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drawing+xml" PartName="/xl/drawings/drawing1.xml"/>
  <Override ContentType="application/vnd.openxmlformats-officedocument.drawing+xml" PartName="/xl/drawings/drawing2.xml"/>
  <Override ContentType="application/vnd.openxmlformats-officedocument.drawingml.chartshapes+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saveExternalLinkValues="0" codeName="ThisWorkbook"/>
  <bookViews>
    <workbookView xWindow="12945" yWindow="7425" windowWidth="2415" windowHeight="4560" tabRatio="866"/>
  </bookViews>
  <sheets>
    <sheet name="ImportantDisclosures" sheetId="42499" r:id="rId1"/>
    <sheet name="PENN" sheetId="42385" r:id="rId2"/>
    <sheet name="EBITDA Val" sheetId="42408" r:id="rId3"/>
    <sheet name="Exhibits 3" sheetId="42492" r:id="rId4"/>
    <sheet name="Sensitivity" sheetId="42420" r:id="rId5"/>
    <sheet name="Exhibits 2" sheetId="42464" r:id="rId6"/>
    <sheet name="ROIC" sheetId="42472" r:id="rId7"/>
    <sheet name="CompSheet - Output" sheetId="42476" r:id="rId8"/>
    <sheet name="REIT" sheetId="42470" r:id="rId9"/>
    <sheet name="DCF" sheetId="42409" r:id="rId10"/>
    <sheet name="MW-Cache" sheetId="42468" state="veryHidden" r:id="rId11"/>
    <sheet name="Exhibits" sheetId="42417" r:id="rId12"/>
    <sheet name="SSS Trough" sheetId="42424" r:id="rId13"/>
    <sheet name="SpendPerVisit" sheetId="42443" r:id="rId14"/>
    <sheet name="Taxes" sheetId="42400" r:id="rId15"/>
    <sheet name="Debt" sheetId="42402" r:id="rId16"/>
    <sheet name="Prop Assumptions" sheetId="42404" r:id="rId17"/>
    <sheet name="OHIO" sheetId="42412" r:id="rId18"/>
    <sheet name="Ohio Old" sheetId="42403" r:id="rId19"/>
    <sheet name="Maryland" sheetId="42405" r:id="rId20"/>
    <sheet name="Kansas" sheetId="42406" r:id="rId21"/>
    <sheet name="PA Tables" sheetId="42407" r:id="rId22"/>
    <sheet name="WV Tables" sheetId="42410" r:id="rId23"/>
    <sheet name="LA Tables" sheetId="42446" r:id="rId24"/>
    <sheet name="Graphic" sheetId="42433" r:id="rId25"/>
    <sheet name="Promotional Expenses" sheetId="42450" r:id="rId26"/>
    <sheet name="Employment" sheetId="42452" r:id="rId27"/>
    <sheet name="Unemployment" sheetId="42418" r:id="rId28"/>
    <sheet name="Summary Financials" sheetId="42465" r:id="rId29"/>
    <sheet name="IndexInformation" sheetId="42500" r:id="rId30"/>
    <sheet name="ModPubIndex" sheetId="42501" r:id="rId31"/>
  </sheets>
  <definedNames>
    <definedName name="__FDS_HYPERLINK_TOGGLE_STATE__" hidden="1">"ON"</definedName>
    <definedName name="__FDS_UNIQUE_RANGE_ID_GENERATOR_COUNTER" localSheetId="7" hidden="1">9</definedName>
    <definedName name="__FDS_UNIQUE_RANGE_ID_GENERATOR_COUNTER" hidden="1">51</definedName>
    <definedName name="_1__FDSAUDITLINK__" localSheetId="7"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13"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1__FDSAUDITLINK__" hidden="1">{"fdsup://directions/FAT Viewer?action=UPDATE&amp;creator=factset&amp;DYN_ARGS=TRUE&amp;DOC_NAME=FAT:FQL_AUDITING_CLIENT_TEMPLATE.FAT&amp;display_string=Audit&amp;VAR:KEY=RSNIXQXIHG&amp;VAR:QUERY=RkZfRU5UUlBSX1ZBTF9EQUlMWSg0MDI2OCk=&amp;WINDOW=FIRST_POPUP&amp;HEIGHT=450&amp;WIDTH=450&amp;START_MA","XIMIZED=FALSE&amp;VAR:CALENDAR=US&amp;VAR:SYMBOL=PENN&amp;VAR:INDEX=0"}</definedName>
    <definedName name="_2__FDSAUDITLINK__" localSheetId="7"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13"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2__FDSAUDITLINK__" hidden="1">{"fdsup://directions/FAT Viewer?action=UPDATE&amp;creator=factset&amp;DYN_ARGS=TRUE&amp;DOC_NAME=FAT:FQL_AUDITING_CLIENT_TEMPLATE.FAT&amp;display_string=Audit&amp;VAR:KEY=RQTUZGJIRU&amp;VAR:QUERY=RkZfRU5UUlBSX1ZBTF9EQUlMWSgzNzI4OCk=&amp;WINDOW=FIRST_POPUP&amp;HEIGHT=450&amp;WIDTH=450&amp;START_MA","XIMIZED=FALSE&amp;VAR:CALENDAR=US&amp;VAR:SYMBOL=PENN&amp;VAR:INDEX=0"}</definedName>
    <definedName name="_3__FDSAUDITLINK__" localSheetId="7"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13"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3__FDSAUDITLINK__" hidden="1">{"fdsup://directions/FAT Viewer?action=UPDATE&amp;creator=factset&amp;DYN_ARGS=TRUE&amp;DOC_NAME=FAT:FQL_AUDITING_CLIENT_TEMPLATE.FAT&amp;display_string=Audit&amp;VAR:KEY=VYHIXAZCFI&amp;VAR:QUERY=RkZfRU5UUlBSX1ZBTF9EQUlMWSgzODIwMCk=&amp;WINDOW=FIRST_POPUP&amp;HEIGHT=450&amp;WIDTH=450&amp;START_MA","XIMIZED=FALSE&amp;VAR:CALENDAR=US&amp;VAR:SYMBOL=PENN&amp;VAR:INDEX=0"}</definedName>
    <definedName name="_4__FDSAUDITLINK__" localSheetId="7"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13"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4__FDSAUDITLINK__" hidden="1">{"fdsup://directions/FAT Viewer?action=UPDATE&amp;creator=factset&amp;DYN_ARGS=TRUE&amp;DOC_NAME=FAT:FQL_AUDITING_CLIENT_TEMPLATE.FAT&amp;display_string=Audit&amp;VAR:KEY=BEHURYZOJY&amp;VAR:QUERY=RkZfRU5UUlBSX1ZBTF9EQUlMWSgzOTQxNyk=&amp;WINDOW=FIRST_POPUP&amp;HEIGHT=450&amp;WIDTH=450&amp;START_MA","XIMIZED=FALSE&amp;VAR:CALENDAR=US&amp;VAR:SYMBOL=PENN&amp;VAR:INDEX=0"}</definedName>
    <definedName name="_5__FDSAUDITLINK__" localSheetId="7"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13"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__FDSAUDITLINK__"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50__FDSAUDITLINK__" localSheetId="13"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50__FDSAUDITLINK__" hidden="1">{"fdsup://directions/FAT Viewer?action=UPDATE&amp;creator=factset&amp;DYN_ARGS=TRUE&amp;DOC_NAME=FAT:FQL_AUDITING_CLIENT_TEMPLATE.FAT&amp;display_string=Audit&amp;VAR:KEY=IVGTWDWNOX&amp;VAR:QUERY=RkZfRU5UUlBSX1ZBTF9EQUlMWSg0MDIzOCk=&amp;WINDOW=FIRST_POPUP&amp;HEIGHT=450&amp;WIDTH=450&amp;START_MA","XIMIZED=FALSE&amp;VAR:CALENDAR=US&amp;VAR:SYMBOL=PENN&amp;VAR:INDEX=0"}</definedName>
    <definedName name="_6__FDSAUDITLINK__" localSheetId="7"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13"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6__FDSAUDITLINK__" hidden="1">{"fdsup://directions/FAT Viewer?action=UPDATE&amp;creator=factset&amp;DYN_ARGS=TRUE&amp;DOC_NAME=FAT:FQL_AUDITING_CLIENT_TEMPLATE.FAT&amp;display_string=Audit&amp;VAR:KEY=NANKTITSPA&amp;VAR:QUERY=RkZfRU5UUlBSX1ZBTF9EQUlMWSgzNjUyNik=&amp;WINDOW=FIRST_POPUP&amp;HEIGHT=450&amp;WIDTH=450&amp;START_MA","XIMIZED=FALSE&amp;VAR:CALENDAR=US&amp;VAR:SYMBOL=PENN&amp;VAR:INDEX=0"}</definedName>
    <definedName name="_7__FDSAUDITLINK__" hidden="1">{"fdsup://Directions/FactSet Auditing Viewer?action=AUDIT_VALUE&amp;DB=129&amp;ID1=16990510&amp;VALUEID=01001&amp;SDATE=201002&amp;PERIODTYPE=QTR_STD&amp;SCFT=3&amp;window=popup_no_bar&amp;width=385&amp;height=120&amp;START_MAXIMIZED=FALSE&amp;creator=factset&amp;display_string=Audit"}</definedName>
    <definedName name="_8__FDSAUDITLINK__" hidden="1">{"fdsup://Directions/FactSet Auditing Viewer?action=AUDIT_VALUE&amp;DB=129&amp;ID1=85590A40&amp;VALUEID=01001&amp;SDATE=201002&amp;PERIODTYPE=QTR_STD&amp;SCFT=3&amp;window=popup_no_bar&amp;width=385&amp;height=120&amp;START_MAXIMIZED=FALSE&amp;creator=factset&amp;display_string=Audit"}</definedName>
    <definedName name="_bdm.0029F34270AA4E058B82ABD6DDF436FB.edm" localSheetId="12" hidden="1">'SSS Trough'!$BG$319:$BO$335</definedName>
    <definedName name="_bdm.01DFE64091F840BB99B2CA49D4CF1624.edm" localSheetId="16" hidden="1">'Prop Assumptions'!$A$2:$H$31</definedName>
    <definedName name="_bdm.04E0AF68117440589AB3C63EC3ABB844.edm" localSheetId="1" hidden="1">PENN!$A$104:$BJ$123</definedName>
    <definedName name="_bdm.0531EC2AC5B34D91A51A0CFBC7B013F2.edm" localSheetId="1" hidden="1">PENN!$A$104:$AZ$120</definedName>
    <definedName name="_bdm.06090EC2AE21424596CF1D11A249F3C0.edm" localSheetId="1" hidden="1">PENN!$A$4:$AU$103</definedName>
    <definedName name="_bdm.07844D44309541C29BD554E55463C4C8.edm" hidden="1">'Promotional Expenses'!$1:$1048576</definedName>
    <definedName name="_bdm.07F9283FCA9B4241A0388614FEA5AB23.edm" localSheetId="11" hidden="1">Exhibits!$BB$158:$BJ$175</definedName>
    <definedName name="_bdm.0A6F1180486A48E484F6AE11EF6C5CB5.edm" localSheetId="11" hidden="1">Exhibits!$T$34:$AB$50</definedName>
    <definedName name="_bdm.0B448F8740134C38957FE5EACED9BCD3.edm" localSheetId="1" hidden="1">PENN!$A$4:$BJ$54</definedName>
    <definedName name="_bdm.0B854F0CDE0D46428B614125AFAF2A67.edm" localSheetId="1" hidden="1">PENN!$A$104:$AU$123</definedName>
    <definedName name="_bdm.10E20E39ACF445CE90D4AA188358ABE3.edm" localSheetId="11" hidden="1">Exhibits!$GI$486:$GP$508</definedName>
    <definedName name="_bdm.12C24D781CBC430FBBC5C1ABB0D7A555.edm" localSheetId="11" hidden="1">Exhibits!$DO$332:$EA$344</definedName>
    <definedName name="_bdm.13EC7DC7FBE94486BCD7520CA64163D0.edm" localSheetId="1" hidden="1">PENN!$A$104:$BJ$123</definedName>
    <definedName name="_bdm.150B82DBB08746C8878CBA8F47461E6D.edm" localSheetId="11" hidden="1">Exhibits!$FG$408:$FP$427</definedName>
    <definedName name="_bdm.1571518A11C24C97A38D4DE75B053AFD.edm" hidden="1">Graphic!$1:$1048576</definedName>
    <definedName name="_bdm.1B61A80F6BCB47D6A676419B74240B2E.edm" localSheetId="11" hidden="1">Exhibits!$DO$332:$EA$343</definedName>
    <definedName name="_bdm.1CCC34FE0F374F86902379DDAD8FD734.edm" localSheetId="23" hidden="1">'LA Tables'!$O$88:$Q$94</definedName>
    <definedName name="_bdm.2040B99B323444C899E0440E9261E545.edm" localSheetId="1" hidden="1">PENN!$A$104:$AU$120</definedName>
    <definedName name="_bdm.205E743248954331BF17DE897F390CE3.edm" localSheetId="1" hidden="1">PENN!$A$1336:$AU$1425</definedName>
    <definedName name="_bdm.21ACC0F7F6EE44FFBF402B6E8CB8593B.edm" localSheetId="23" hidden="1">'LA Tables'!$E$15:$G$26</definedName>
    <definedName name="_bdm.2238AAE2B47F4BD58278F5C4982EDECA.edm" localSheetId="11" hidden="1">Exhibits!$GI$484:$GP$504</definedName>
    <definedName name="_bdm.2523540EA76B4011B3FFF7CB1B02B178.edm" localSheetId="11" hidden="1">Exhibits!$DJ$299:$DK$309</definedName>
    <definedName name="_bdm.28E640090B0745F99758D3891666FAF1.edm" localSheetId="11" hidden="1">Exhibits!$BB$159:$BJ$175</definedName>
    <definedName name="_bdm.2CD75D11EE5245ABAE792BD5D844FE8C.edm" localSheetId="12" hidden="1">'SSS Trough'!$BG$319:$BO$326</definedName>
    <definedName name="_bdm.2E54F544123F4B9FABDF579BB153E538.edm" localSheetId="1" hidden="1">PENN!$A$3:$AZ$103</definedName>
    <definedName name="_bdm.32BE9D2D03664A52B377BB4DB53378E5.edm" localSheetId="1" hidden="1">PENN!$A$1336:$AU$1424</definedName>
    <definedName name="_bdm.35B7399B0132495E86DF6146D6FC2873.edm" localSheetId="11" hidden="1">Exhibits!$DG$295:$DH$296</definedName>
    <definedName name="_bdm.3637093CF5C047BB962FA1B40ECDBB5D.edm" localSheetId="23" hidden="1">'LA Tables'!$E$16:$G$26</definedName>
    <definedName name="_bdm.3ACA33FDA4554CF9AAE58C899824A28C.edm" localSheetId="1" hidden="1">PENN!$A$104:$AZ$123</definedName>
    <definedName name="_bdm.3E9022C5BD2A418FB73BC8744C43BB48.edm" localSheetId="11" hidden="1">Exhibits!$T$32:$AC$50</definedName>
    <definedName name="_bdm.4065FF24A45D44EF9E191D77E50F4E91.edm" localSheetId="11" hidden="1">Exhibits!$BS$199:$BW$200</definedName>
    <definedName name="_bdm.41C74DEFFEBA4CF68D3932BF72D15D67.edm" localSheetId="11" hidden="1">Exhibits!$DG$289:$DH$296</definedName>
    <definedName name="_bdm.426A17E2751A4DA4B0A6C087FB403F80.edm" localSheetId="11" hidden="1">Exhibits!$BB$159:$BJ$174</definedName>
    <definedName name="_bdm.4272D5508F8A4B14AC3E2A57E0290338.edm" localSheetId="23" hidden="1">'LA Tables'!$O$84:$R$96</definedName>
    <definedName name="_bdm.46EA893401654F3C8169499ACD0B550D.edm" hidden="1">PENN!$1:$1048576</definedName>
    <definedName name="_bdm.4B0059C85D5E4F6FADF14D2B5636C353.edm" localSheetId="11" hidden="1">Exhibits!$CS$245:$CZ$258</definedName>
    <definedName name="_bdm.4B0B97D2007A4E398CED2F5826AD72F3.edm" localSheetId="11" hidden="1">Exhibits!$FG$408:$FP$426</definedName>
    <definedName name="_bdm.4D1A4B16544E41A3A5C3F28C6C148D28.edm" localSheetId="11" hidden="1">Exhibits!$CA$214:$CG$229</definedName>
    <definedName name="_bdm.55C2CF382B34464B92CB9E3117776B9D.edm" hidden="1">'SSS Trough'!$1:$1048576</definedName>
    <definedName name="_bdm.5626F25C75F5457DA03A628E2EE383B0.edm" localSheetId="23" hidden="1">'LA Tables'!$L$54:$M$82</definedName>
    <definedName name="_bdm.56684B79986A4DAAB52F356809FE59E5.edm" localSheetId="11" hidden="1">Exhibits!$AQ$127:$AV$138</definedName>
    <definedName name="_bdm.587CCB604C2E4CEAA6F6D74DF1919C48.edm" localSheetId="16" hidden="1">'Prop Assumptions'!$A$1:$H$31</definedName>
    <definedName name="_bdm.58FE018097A340348D97AA6675979200.edm" localSheetId="11" hidden="1">Exhibits!$AY$144:$AZ$156</definedName>
    <definedName name="_bdm.5AAA6064FA84448BA9798F9181553F63.edm" localSheetId="11" hidden="1">Exhibits!$FR$431:$FY$444</definedName>
    <definedName name="_bdm.5BB0A36E1AB841B8A705583B0A446FE7.edm" localSheetId="1" hidden="1">PENN!$A$1337:$AU$1424</definedName>
    <definedName name="_bdm.5E1D1F53183A431B9A047F74E878B0B1.edm" localSheetId="11" hidden="1">Exhibits!$AP$127:$AW$138</definedName>
    <definedName name="_bdm.650DA9F0B0004A42B4E29FFD2E173BF5.edm" localSheetId="11" hidden="1">Exhibits!$BS$203:$BY$204</definedName>
    <definedName name="_bdm.66EB258A4F8949229FE2BE4A4A5C7BC3.edm" localSheetId="1" hidden="1">PENN!$A$4:$AU$316</definedName>
    <definedName name="_bdm.69D3165D099D4F748CD716E0965EEFBD.edm" localSheetId="11" hidden="1">Exhibits!$CA$214:$CG$230</definedName>
    <definedName name="_bdm.69DA994EFE064A8A9D45B94A035AD9F6.edm" localSheetId="1" hidden="1">PENN!$A$1561:$AU$1567</definedName>
    <definedName name="_bdm.6A054C8148554C658C6F58F1CD250987.edm" localSheetId="11" hidden="1">Exhibits!$FG$407:$FL$426</definedName>
    <definedName name="_bdm.6ED5B1EE0CEE4296B14A77C8580DBED1.edm" localSheetId="11" hidden="1">Exhibits!$DJ$300:$DK$308</definedName>
    <definedName name="_bdm.710860B374AB442FA14CEF5853F037C5.edm" localSheetId="1" hidden="1">PENN!$A$1335:$AU$1425</definedName>
    <definedName name="_bdm.719F04DF037C4D06A58D4C1C6BB3B86B.edm" hidden="1">Employment!$1:$1048576</definedName>
    <definedName name="_bdm.7432B69255B9407AA314BE5CF97E8CC5.edm" localSheetId="2" hidden="1">'EBITDA Val'!$A$1:$F$77</definedName>
    <definedName name="_bdm.7643C84E067546BFBF564508390E54B1.edm" localSheetId="23" hidden="1">'LA Tables'!$B$4:$C$27</definedName>
    <definedName name="_bdm.79C2BF43D453419D97C83B91BA956395.edm" localSheetId="11" hidden="1">Exhibits!$CA$214:$CG$231</definedName>
    <definedName name="_bdm.7C89DCCB96DF47139D1BFF6FB8F20748.edm" localSheetId="1" hidden="1">PENN!$A$1275:$AU$1333</definedName>
    <definedName name="_bdm.7CE902113BB647C49FCDB2CB95DD6EAE.edm" localSheetId="11" hidden="1">Exhibits!$AY$144:$AZ$150</definedName>
    <definedName name="_bdm.7EA80324B0FA43D29D3258B0C7A8347C.edm" localSheetId="11" hidden="1">Exhibits!$BS$202:$BY$204</definedName>
    <definedName name="_bdm.7F95DCD3F7E54DE88D34747C49CAFADF.edm" localSheetId="11" hidden="1">Exhibits!$HC$556:$HK$572</definedName>
    <definedName name="_bdm.804AFD13262F4F2780C518F8529DBBBD.edm" localSheetId="12" hidden="1">'SSS Trough'!$BG$318:$BO$334</definedName>
    <definedName name="_bdm.81C084908D4A409BB011A10E9183BC1B.edm" localSheetId="11" hidden="1">Exhibits!$AQ$128:$AV$137</definedName>
    <definedName name="_bdm.83B1D6BCA7D24BF8A373B3E0E9F29E4C.edm" localSheetId="11" hidden="1">Exhibits!$CS$245:$CZ$261</definedName>
    <definedName name="_bdm.83CF325BC494485BBD2899AFA89DFAC6.edm" localSheetId="11" hidden="1">Exhibits!$DJ$299:$DK$308</definedName>
    <definedName name="_bdm.860680B3B4874B529C5FEEAC94CE35EF.edm" localSheetId="1" hidden="1">PENN!$A$104:$AU$120</definedName>
    <definedName name="_bdm.882DB444BE5649C5AFE7981E214A1FC0.edm" localSheetId="11" hidden="1">Exhibits!$FG$408:$FP$426</definedName>
    <definedName name="_bdm.88601494BE974B1B974969C682A770DF.edm" localSheetId="11" hidden="1">Exhibits!$T$34:$AC$50</definedName>
    <definedName name="_bdm.890701F257B44BF1BD71072D02978C5C.edm" hidden="1">'Prop Assumptions'!$1:$1048576</definedName>
    <definedName name="_bdm.8932886D32A14247BBBCF9BC1503A90E.edm" localSheetId="1" hidden="1">PENN!$A$4:$AZ$54</definedName>
    <definedName name="_bdm.8A5B7ADC36E840288AEE31A7ACD87590.edm" localSheetId="1" hidden="1">PENN!$A$104:$AU$120</definedName>
    <definedName name="_bdm.909184AFC85A4D89A97FACEADC5F3B57.edm" localSheetId="11" hidden="1">Exhibits!$ET$387:$FD$402</definedName>
    <definedName name="_bdm.9839146024BF487087361F603DFBCA13.edm" localSheetId="1" hidden="1">PENN!$A$4:$AZ$103</definedName>
    <definedName name="_bdm.98B2DDEDEA36441A8482089A4E868678.edm" localSheetId="12" hidden="1">'SSS Trough'!$BG$318:$BO$343</definedName>
    <definedName name="_bdm.9DF9616E7060479EA5673203EB88BCE3.edm" localSheetId="16" hidden="1">'Prop Assumptions'!$A$1:$H$32</definedName>
    <definedName name="_bdm.9F4A68C73EFA4C629E8B9FA3D5D7E3B2.edm" hidden="1">Exhibits!$1:$1048576</definedName>
    <definedName name="_bdm.A3E73907689F456C8ADCF7E5D3780805.edm" localSheetId="11" hidden="1">Exhibits!$BL$182:$BP$199</definedName>
    <definedName name="_bdm.A6EA5BAA29D1447F9827C6FD6EBACA26.edm" localSheetId="11" hidden="1">Exhibits!$AY$143:$AZ$150</definedName>
    <definedName name="_bdm.A7A9A4782B004E24901A70623D7BABAE.edm" localSheetId="11" hidden="1">Exhibits!$CK$235:$CP$237</definedName>
    <definedName name="_bdm.AAD0712F03254422A4551FBE16AA1473.edm" hidden="1">'EBITDA Val'!$1:$1048576</definedName>
    <definedName name="_bdm.B31731FF6AC44176B0C6231A0296E39E.edm" localSheetId="1" hidden="1">PENN!$A$1274:$AU$1333</definedName>
    <definedName name="_bdm.B32110064502417DB2A8645DAB8B98B5.edm" localSheetId="1" hidden="1">PENN!$A$4:$AZ$94</definedName>
    <definedName name="_bdm.B8F4444FB34C4C18A95EBA0B18C8A193.edm" localSheetId="1" hidden="1">PENN!$A$4:$AU$314</definedName>
    <definedName name="_bdm.B94D11C59E7643BA9B57D209C31D372A.edm" localSheetId="1" hidden="1">PENN!$A$1561:$AU$1635</definedName>
    <definedName name="_bdm.BD8A316BF65E44FC8316A4FE5011E566.edm" localSheetId="11" hidden="1">Exhibits!$GI$513:$GP$536</definedName>
    <definedName name="_bdm.BD9A5BDEF5EE43CFACEA59FD64101DFF.edm" localSheetId="11" hidden="1">Exhibits!$FG$407:$FP$426</definedName>
    <definedName name="_bdm.BE389CC46C1042858A03BB633BD7997E.edm" localSheetId="2" hidden="1">'EBITDA Val'!$A$4:$F$73</definedName>
    <definedName name="_bdm.C06E9B696FCE4E138AD496BE86FAB8D2.edm" localSheetId="12" hidden="1">'SSS Trough'!$BG$351:$BO$360</definedName>
    <definedName name="_bdm.C245CB1814054984AFD202A72C0BE45B.edm" localSheetId="1" hidden="1">PENN!$A$104:$AU$123</definedName>
    <definedName name="_bdm.C723C22E2A5843C8946B63843D1F418D.edm" localSheetId="1" hidden="1">PENN!$A$4:$AU$103</definedName>
    <definedName name="_bdm.C8F95B77571F4F1CA1932C226288CCE6.edm" localSheetId="1" hidden="1">PENN!$A$1274:$AU$1334</definedName>
    <definedName name="_bdm.C9D3C0C2FBC4425591F0B40D8BAEB675.edm" localSheetId="1" hidden="1">PENN!$A$4:$AU$54</definedName>
    <definedName name="_bdm.CB2F012F10AC424DAADA0294AC6F2E57.edm" localSheetId="11" hidden="1">Exhibits!$DO$332:$EA$349</definedName>
    <definedName name="_bdm.CC79D366F7124BE98ACC44364F804F21.edm" localSheetId="11" hidden="1">Exhibits!$GI$485:$GP$509</definedName>
    <definedName name="_bdm.CEB9607C8B0E4EC7BF544BE8BD0F1360.edm" localSheetId="11" hidden="1">Exhibits!$DD$264:$DE$285</definedName>
    <definedName name="_bdm.D0DAD1F879D64427A5A46CC60055953F.edm" localSheetId="11" hidden="1">Exhibits!$BB$160:$BJ$165</definedName>
    <definedName name="_bdm.D117F9D01D464D0AA820F4B44C016359.edm" localSheetId="1" hidden="1">PENN!$A$3:$AU$54</definedName>
    <definedName name="_bdm.D239433EF4194B7383AC02DA0FA95040.edm" localSheetId="11" hidden="1">Exhibits!$GI$512:$GP$532</definedName>
    <definedName name="_bdm.DC1C98A852E948C78719AF282EB1171A.edm" localSheetId="11" hidden="1">Exhibits!$CA$203:$CF$211</definedName>
    <definedName name="_bdm.DCAFA0561ADF4CA18E732CD6F4555EA9.edm" localSheetId="1" hidden="1">PENN!$A$1335:$AU$1424</definedName>
    <definedName name="_bdm.E050B97379EC4FEABDCBAD193447CC23.edm" localSheetId="11" hidden="1">Exhibits!$EN$377:$EQ$388</definedName>
    <definedName name="_bdm.E1CFB791C52B4B06B12001511583CD6F.edm" localSheetId="11" hidden="1">Exhibits!$T$32:$AC$51</definedName>
    <definedName name="_bdm.E20BA68696714318B93DCC394B26CCEF.edm" hidden="1">'LA Tables'!$1:$1048576</definedName>
    <definedName name="_bdm.E385D9A395D847549CD96854D1D0A17E.edm" localSheetId="11" hidden="1">Exhibits!$AL$79:$AO$82</definedName>
    <definedName name="_bdm.E5D3620CE0984FA198A5F5D1533F7519.edm" localSheetId="11" hidden="1">Exhibits!$BL$182:$BP$200</definedName>
    <definedName name="_bdm.E783458E25C84625A25987F61DF9687F.edm" localSheetId="23" hidden="1">'LA Tables'!$L$56:$M$71</definedName>
    <definedName name="_bdm.E865CCB374D841D8BD05C62D117CAD54.edm" localSheetId="11" hidden="1">Exhibits!$BB$158:$BJ$174</definedName>
    <definedName name="_bdm.ED9C1E7EF02A441294DA26D102F63F6C.edm" localSheetId="11" hidden="1">Exhibits!$BS$198:$BY$200</definedName>
    <definedName name="_bdm.EE9E9A236DFC426C8FDEEBCAA6099A1E.edm" localSheetId="11" hidden="1">Exhibits!$ET$388:$FD$402</definedName>
    <definedName name="_bdm.F3195290D3824306B68C96872BBA26F7.edm" localSheetId="23" hidden="1">'LA Tables'!$O$88:$Q$99</definedName>
    <definedName name="_bdm.F5A13B813E0A4AE99160441C96DF8CA4.edm" localSheetId="11" hidden="1">Exhibits!$GI$511:$GP$531</definedName>
    <definedName name="_bdm.F8518760D4F34368AC2596D028182028.edm" localSheetId="12" hidden="1">'SSS Trough'!$BG$363:$BO$371</definedName>
    <definedName name="_bdm.FB5C5983CF484040BCC4A7FCF41D04BC.edm" localSheetId="1" hidden="1">PENN!$A$104:$BJ$120</definedName>
    <definedName name="_bdm.FDBE4A9D5D914086A620A7CFBEFCF524.edm" localSheetId="11" hidden="1">Exhibits!$AY$143:$AZ$151</definedName>
    <definedName name="_DCF2" localSheetId="7">{"Client Name or Project Name"}</definedName>
    <definedName name="_DCF2">{"Client Name or Project Name"}</definedName>
    <definedName name="AdditionalInstructions">IndexInformation!$B$42</definedName>
    <definedName name="Address" localSheetId="0">ImportantDisclosures!$A$2:$A$2</definedName>
    <definedName name="ANA" localSheetId="30">ModPubIndex!$A$7</definedName>
    <definedName name="Authors" localSheetId="0">ImportantDisclosures!$A$7</definedName>
    <definedName name="Authors" localSheetId="29">IndexInformation!$B$18</definedName>
    <definedName name="BRO" localSheetId="30">ModPubIndex!$A$1</definedName>
    <definedName name="CopyrightStamp">ImportantDisclosures!$A$27</definedName>
    <definedName name="COU" localSheetId="30">ModPubIndex!$A$5</definedName>
    <definedName name="CQEnd" localSheetId="29">IndexInformation!$B$31</definedName>
    <definedName name="Currency" localSheetId="29">IndexInformation!$B$24</definedName>
    <definedName name="CurrentStockPrice" localSheetId="29">IndexInformation!$B$23</definedName>
    <definedName name="CurrQtrEPS" localSheetId="29">IndexInformation!$B$29</definedName>
    <definedName name="CurrYearEPS" localSheetId="29">IndexInformation!$B$11</definedName>
    <definedName name="CurrYearTotalRevenue" localSheetId="29">IndexInformation!$B$10</definedName>
    <definedName name="CurrYearTotalRevenueActual" localSheetId="29">IndexInformation!$B$32</definedName>
    <definedName name="CUSIP" localSheetId="29">IndexInformation!$B$20</definedName>
    <definedName name="CYEnd" localSheetId="29">IndexInformation!$B$30</definedName>
    <definedName name="Date" localSheetId="0">ImportantDisclosures!$A$8</definedName>
    <definedName name="Deleted" localSheetId="29">IndexInformation!$B$27</definedName>
    <definedName name="Description" localSheetId="29">IndexInformation!$B$7</definedName>
    <definedName name="Discipline" localSheetId="29">IndexInformation!$B$3</definedName>
    <definedName name="DISCIPLINE" localSheetId="30">ModPubIndex!$A$12</definedName>
    <definedName name="DisclosuresText">ImportantDisclosures!$A$22</definedName>
    <definedName name="Distribution" localSheetId="29">IndexInformation!$B$26</definedName>
    <definedName name="DistTable" localSheetId="0">ImportantDisclosures!#REF!</definedName>
    <definedName name="DistTablePreamble" localSheetId="0">ImportantDisclosures!#REF!</definedName>
    <definedName name="DOCDAT" localSheetId="30">ModPubIndex!$A$2</definedName>
    <definedName name="DOCTIME" localSheetId="30">ModPubIndex!$A$3</definedName>
    <definedName name="DocType" localSheetId="29">IndexInformation!$B$5</definedName>
    <definedName name="EMAIL_ALERT" localSheetId="30">ModPubIndex!$A$10</definedName>
    <definedName name="EmailAlert" localSheetId="29">IndexInformation!$B$28</definedName>
    <definedName name="FiveYearGrowthRate" localSheetId="29">IndexInformation!$B$16</definedName>
    <definedName name="FollowingYearEPS" localSheetId="29">IndexInformation!$B$15</definedName>
    <definedName name="FollowingYearTotalRevenue" localSheetId="29">IndexInformation!$B$14</definedName>
    <definedName name="FollowingYearTotalRevenueActual" localSheetId="29">IndexInformation!$B$34</definedName>
    <definedName name="HL" localSheetId="30">ModPubIndex!$A$8</definedName>
    <definedName name="IND" localSheetId="30">ModPubIndex!$A$9</definedName>
    <definedName name="Industry" localSheetId="0">ImportantDisclosures!$A$12</definedName>
    <definedName name="IndustryId">IndexInformation!$B$40</definedName>
    <definedName name="IndustryRating" localSheetId="0">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hidden="1">40592.6734143519</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KeepVersions" localSheetId="29">IndexInformation!$B$8</definedName>
    <definedName name="LanguageCode">IndexInformation!$B$38</definedName>
    <definedName name="LastCell" localSheetId="0">ImportantDisclosures!$A$22</definedName>
    <definedName name="Linking_1">'Exhibits 2'!$GU$624:$HB$638</definedName>
    <definedName name="Linking_10">PENN!$A$6:$CA$93</definedName>
    <definedName name="Linking_11">'Exhibits 3'!$EL$463:$EM$513</definedName>
    <definedName name="Linking_12">PENN!$A$6:$BZ$103</definedName>
    <definedName name="Linking_2">'Exhibits 3'!$A$3:$H$13</definedName>
    <definedName name="Linking_3">'Exhibits 3'!$X$67:$Y$91</definedName>
    <definedName name="Linking_4">'Exhibits 3'!$AS$165:$AW$167</definedName>
    <definedName name="Linking_5">'Exhibits 3'!$BH$189:$BM$209</definedName>
    <definedName name="Linking_6">'Exhibits 3'!$BH$189:$BM$216</definedName>
    <definedName name="Linking_7">PENN!$A$6:$BY$93</definedName>
    <definedName name="Linking_8">PENN!$A$6:$BZ$93</definedName>
    <definedName name="Linking_9">'EBITDA Val'!$A$4:$H$48</definedName>
    <definedName name="Linking_Range_1">Exhibits!$BB$158:$BJ$174</definedName>
    <definedName name="Linking_Range_10">Exhibits!$IJ$738:$IK$752</definedName>
    <definedName name="Linking_Range_11">Exhibits!$IJ$711:$IK$736</definedName>
    <definedName name="Linking_Range_12">Exhibits!$IJ$738:$IK$751</definedName>
    <definedName name="Linking_Range_14">Exhibits!$BL$182:$BP$199</definedName>
    <definedName name="Linking_Range_17">PENN!$A$3:$AZ$103</definedName>
    <definedName name="Linking_Range_2">Exhibits!$FG$408:$FP$439</definedName>
    <definedName name="Linking_Range_21">'EBITDA Val'!$A$4:$F$51</definedName>
    <definedName name="Linking_Range_22">'EBITDA Val'!$A$4:$F$48</definedName>
    <definedName name="Linking_Range_25">Exhibits!$IO$762:$IR$771</definedName>
    <definedName name="Linking_Range_26">Exhibits!$IO$762:$IU$772</definedName>
    <definedName name="Linking_Range_27">Exhibits!$CS$246:$CZ$261</definedName>
    <definedName name="Linking_Range_28">DCF!$A$5:$F$23</definedName>
    <definedName name="Linking_Range_29">'Summary Financials'!$A$2:$G$18</definedName>
    <definedName name="Linking_Range_3">Exhibits!$AQ$128:$AV$137</definedName>
    <definedName name="Linking_Range_31">DCF!$A$5:$F$21</definedName>
    <definedName name="Linking_Range_32">PENN!$A$3:$BE$102</definedName>
    <definedName name="Linking_Range_33">PENN!$A$104:$BE$123</definedName>
    <definedName name="Linking_Range_34">REIT!$S$55:$V$80</definedName>
    <definedName name="Linking_Range_35">REIT!$S$86:$V$102</definedName>
    <definedName name="Linking_Range_36">REIT!$S$86:$V$98</definedName>
    <definedName name="Linking_Range_37">REIT!$S$108:$V$122</definedName>
    <definedName name="Linking_Range_38">REIT!$S$85:$V$97</definedName>
    <definedName name="Linking_Range_39">REIT!$S$107:$V$122</definedName>
    <definedName name="Linking_Range_4">Exhibits!$FG$409:$FQ$439</definedName>
    <definedName name="Linking_Range_40">REIT!$S$85:$V$98</definedName>
    <definedName name="Linking_Range_41">REIT!$S$107:$V$123</definedName>
    <definedName name="Linking_Range_42">DCF!$A$5:$G$23</definedName>
    <definedName name="Linking_Range_44">'EBITDA Val'!$A$4:$F$50</definedName>
    <definedName name="Linking_Range_45">PENN!$A$6:$BE$101</definedName>
    <definedName name="Linking_Range_46">REIT!$S$55:$V$73</definedName>
    <definedName name="Linking_Range_47">REIT!$S$55:$V$68</definedName>
    <definedName name="Linking_Range_48">REIT!$X$55:$AA$82</definedName>
    <definedName name="Linking_Range_49">REIT!$X$85:$AA$103</definedName>
    <definedName name="Linking_Range_5">PENN!$A$3:$AZ$102</definedName>
    <definedName name="Linking_Range_50">REIT!$X$107:$AA$122</definedName>
    <definedName name="Linking_Range_51">REIT!$S$54:$V$82</definedName>
    <definedName name="Linking_Range_52">REIT!$S$85:$V$103</definedName>
    <definedName name="Linking_Range_53">REIT!$S$55:$V$82</definedName>
    <definedName name="Linking_Range_54">REIT!$S$85:$V$99</definedName>
    <definedName name="Linking_Range_55">REIT!$X$54:$Z$122</definedName>
    <definedName name="Linking_Range_56">REIT!$E$3:$O$50</definedName>
    <definedName name="Linking_Range_57">REIT!$E$3:$L$43</definedName>
    <definedName name="Linking_Range_58">REIT!$S$54:$AA$122</definedName>
    <definedName name="Linking_Range_59">REIT!$X$55:$Z$122</definedName>
    <definedName name="Linking_Range_6">PENN!$A$104:$AZ$123</definedName>
    <definedName name="Linking_Range_60">PENN!$A$6:$BJ$101</definedName>
    <definedName name="Linking_Range_62">REIT!$E$4:$L$43</definedName>
    <definedName name="Linking_Range_63">PENN!$A$104:$BJ$123</definedName>
    <definedName name="Linking_Range_65">'EBITDA Val'!$A$4:$G$50</definedName>
    <definedName name="Linking_Range_66">'EBITDA Val'!$A$4:$G$48</definedName>
    <definedName name="Linking_Range_67">PENN!$A$6:$BJ$93</definedName>
    <definedName name="Linking_Range_68">PENN!$A$6:$BE$93</definedName>
    <definedName name="Linking_Range_69">'Exhibits 2'!$CP$240:$CS$254</definedName>
    <definedName name="Linking_Range_7">Exhibits!$AY$144:$AZ$156</definedName>
    <definedName name="Linking_Range_70">'Exhibits 2'!$DE$332:$DM$352</definedName>
    <definedName name="Linking_Range_71">'Exhibits 2'!$DZ$402:$EA$412</definedName>
    <definedName name="Linking_Range_72">'Exhibits 2'!$FR$469:$FY$471</definedName>
    <definedName name="Linking_Range_73">'Exhibits 2'!$GA$475:$GI$501</definedName>
    <definedName name="Linking_Range_74">'EBITDA Val'!$O$80:$U$86</definedName>
    <definedName name="Linking_Range_75">'EBITDA Val'!$O$80:$U$88</definedName>
    <definedName name="Linking_Range_76">'Exhibits 2'!$GK$563:$GN$600</definedName>
    <definedName name="Linking_Range_77">'Exhibits 2'!$HC$672:$HF$690</definedName>
    <definedName name="Linking_Range_78">'Exhibits 2'!$HK$714:$HP$719</definedName>
    <definedName name="Linking_Range_79">'Exhibits 2'!$HK$712:$HP$719</definedName>
    <definedName name="Linking_Range_8" localSheetId="28">'Summary Financials'!$A$2:$H$60</definedName>
    <definedName name="Linking_Range_8">Exhibits!$IJ$711:$IK$752</definedName>
    <definedName name="Linking_Range_80">PENN!$A$6:$BO$93</definedName>
    <definedName name="Linking_Range_81">PENN!$A$6:$BT$93</definedName>
    <definedName name="Linking_Range_9">Exhibits!$IJ$711:$IK$733</definedName>
    <definedName name="Linking_Text_1">PENN!$AW$11</definedName>
    <definedName name="MacroVersion" localSheetId="29">IndexInformation!$B$1</definedName>
    <definedName name="ModelPrice" localSheetId="0">ImportantDisclosures!$A$14</definedName>
    <definedName name="Multiplier" localSheetId="29">IndexInformation!$B$35</definedName>
    <definedName name="NextYearEPS" localSheetId="29">IndexInformation!$B$13</definedName>
    <definedName name="NextYearTotalRevenue" localSheetId="29">IndexInformation!$B$12</definedName>
    <definedName name="NextYearTotalRevenueActual" localSheetId="29">IndexInformation!$B$33</definedName>
    <definedName name="ObjectType">IndexInformation!$B$37</definedName>
    <definedName name="PANA" localSheetId="30">ModPubIndex!$A$11</definedName>
    <definedName name="PathName" localSheetId="29">IndexInformation!$B$25</definedName>
    <definedName name="_xlnm.Print_Area" localSheetId="2">'EBITDA Val'!$A$1:$F$73</definedName>
    <definedName name="_xlnm.Print_Area" localSheetId="11">Exhibits!$AQ$85:$AW$105</definedName>
    <definedName name="_xlnm.Print_Area" localSheetId="20">Kansas!$A$1:$K$41</definedName>
    <definedName name="_xlnm.Print_Area" localSheetId="18">'Ohio Old'!$A$1:$E$49</definedName>
    <definedName name="_xlnm.Print_Area" localSheetId="1">PENN!$A$1:$BT$1635</definedName>
    <definedName name="_xlnm.Print_Area" localSheetId="16">'Prop Assumptions'!$A$2:$H$31</definedName>
    <definedName name="_xlnm.Print_Area">#REF!</definedName>
    <definedName name="_xlnm.Print_Titles" localSheetId="1">PENN!$A:$A,PENN!$1:$6</definedName>
    <definedName name="_xlnm.Print_Titles">#REF!</definedName>
    <definedName name="PRODUCT" localSheetId="30">ModPubIndex!$A$6</definedName>
    <definedName name="ProjectName" localSheetId="7">{"Client Name or Project Name"}</definedName>
    <definedName name="ProjectName" localSheetId="18">{"Client Name or Project Name"}</definedName>
    <definedName name="ProjectName" localSheetId="6">{"Client Name or Project Name"}</definedName>
    <definedName name="ProjectName" localSheetId="13">{"Client Name or Project Name"}</definedName>
    <definedName name="ProjectName" localSheetId="14">{"Client Name or Project Name"}</definedName>
    <definedName name="ProjectName">{"Client Name or Project Name"}</definedName>
    <definedName name="projectname2" localSheetId="7">{"Client Name or Project Name"}</definedName>
    <definedName name="ProjectName2" localSheetId="6">{"Client Name or Project Name"}</definedName>
    <definedName name="ProjectName2" localSheetId="13">{"Client Name or Project Name"}</definedName>
    <definedName name="ProjectName2">{"Client Name or Project Name"}</definedName>
    <definedName name="PSYM" localSheetId="30">ModPubIndex!$A$4</definedName>
    <definedName name="PublishDate" localSheetId="29">IndexInformation!$B$2</definedName>
    <definedName name="Rating" localSheetId="29">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29">IndexInformation!$B$4</definedName>
    <definedName name="revsheet" localSheetId="7">{"Client Name or Project Name"}</definedName>
    <definedName name="revsheet">{"Client Name or Project Name"}</definedName>
    <definedName name="RIC" localSheetId="29">IndexInformation!$B$21</definedName>
    <definedName name="SECSettlement" localSheetId="0">ImportantDisclosures!#REF!</definedName>
    <definedName name="SEDOL" localSheetId="29">IndexInformation!$B$22</definedName>
    <definedName name="SourceDefined" localSheetId="0">ImportantDisclosures!$A$19</definedName>
    <definedName name="StockRating" localSheetId="0">ImportantDisclosures!$A$11</definedName>
    <definedName name="SubjectCode" localSheetId="29">IndexInformation!$B$6</definedName>
    <definedName name="SubmitterUserId">IndexInformation!$B$39</definedName>
    <definedName name="SUPPRESSED" localSheetId="30">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29">IndexInformation!$B$19</definedName>
    <definedName name="UpdateReason" localSheetId="29">IndexInformation!$B$17</definedName>
    <definedName name="USRegDisclosures" localSheetId="0">ImportantDisclosures!#REF!</definedName>
  </definedNames>
  <calcPr calcId="145621"/>
</workbook>
</file>

<file path=xl/calcChain.xml><?xml version="1.0" encoding="utf-8"?>
<calcChain xmlns="http://schemas.openxmlformats.org/spreadsheetml/2006/main">
  <c r="HB628" i="42464" l="1"/>
  <c r="GW631" i="42464"/>
  <c r="GX631" i="42464" s="1"/>
  <c r="GW632" i="42464"/>
  <c r="GX632" i="42464" s="1"/>
  <c r="GY632" i="42464" l="1"/>
  <c r="GY631" i="42464"/>
  <c r="BS62" i="42385"/>
  <c r="GZ631" i="42464" l="1"/>
  <c r="GZ632" i="42464"/>
  <c r="HA632" i="42464" l="1"/>
  <c r="HB632" i="42464"/>
  <c r="HB635" i="42464" s="1"/>
  <c r="HB631" i="42464"/>
  <c r="HB634" i="42464" s="1"/>
  <c r="HA631" i="42464"/>
  <c r="HB637" i="42464" l="1"/>
  <c r="HB638" i="42464" s="1"/>
  <c r="CA1227" i="42385" l="1"/>
  <c r="BZ1227" i="42385"/>
  <c r="BX1227" i="42385"/>
  <c r="BW1227" i="42385"/>
  <c r="BV1227" i="42385"/>
  <c r="BU1227" i="42385"/>
  <c r="BS1227" i="42385"/>
  <c r="BR1227" i="42385"/>
  <c r="CA318" i="42385" l="1"/>
  <c r="BZ318" i="42385"/>
  <c r="BY318" i="42385"/>
  <c r="BZ260" i="42385"/>
  <c r="BZ261" i="42385"/>
  <c r="BY260" i="42385"/>
  <c r="BY261" i="42385"/>
  <c r="BU338" i="42385" l="1"/>
  <c r="BU337" i="42385"/>
  <c r="BU980" i="42385"/>
  <c r="BU918" i="42385"/>
  <c r="BU887" i="42385"/>
  <c r="BU856" i="42385"/>
  <c r="BJ1033" i="42385" l="1"/>
  <c r="BJ1034" i="42385"/>
  <c r="BJ1035" i="42385"/>
  <c r="BJ1036" i="42385"/>
  <c r="BJ1037" i="42385"/>
  <c r="BJ1038" i="42385"/>
  <c r="BJ1039" i="42385"/>
  <c r="BJ1040" i="42385"/>
  <c r="BJ1041" i="42385"/>
  <c r="BJ1042" i="42385"/>
  <c r="BJ1044" i="42385"/>
  <c r="BO1044" i="42385"/>
  <c r="BO1042" i="42385"/>
  <c r="BO1041" i="42385"/>
  <c r="BO1040" i="42385"/>
  <c r="BO1039" i="42385"/>
  <c r="BO1038" i="42385"/>
  <c r="BO1037" i="42385"/>
  <c r="BO1036" i="42385"/>
  <c r="BO1035" i="42385"/>
  <c r="BO1034" i="42385"/>
  <c r="BO1033" i="42385"/>
  <c r="BU1061" i="42385"/>
  <c r="BU1060" i="42385"/>
  <c r="BU1059" i="42385"/>
  <c r="BU1058" i="42385"/>
  <c r="BU1057" i="42385"/>
  <c r="BU1056" i="42385"/>
  <c r="BU1055" i="42385"/>
  <c r="BU1054" i="42385"/>
  <c r="BU1053" i="42385"/>
  <c r="BU1052" i="42385"/>
  <c r="BU1051" i="42385"/>
  <c r="BU1050" i="42385"/>
  <c r="BU815" i="42385"/>
  <c r="BU822" i="42385"/>
  <c r="BU825" i="42385"/>
  <c r="BU826" i="42385"/>
  <c r="BU827" i="42385" s="1"/>
  <c r="BS826" i="42385"/>
  <c r="BS827" i="42385" s="1"/>
  <c r="BS825" i="42385"/>
  <c r="BR826" i="42385"/>
  <c r="BR827" i="42385" s="1"/>
  <c r="BR825" i="42385"/>
  <c r="BU791" i="42385"/>
  <c r="BU794" i="42385"/>
  <c r="BS795" i="42385"/>
  <c r="BS794" i="42385"/>
  <c r="BU525" i="42385" l="1"/>
  <c r="BU526" i="42385" s="1"/>
  <c r="BU527" i="42385" s="1"/>
  <c r="BU530" i="42385"/>
  <c r="BU531" i="42385" s="1"/>
  <c r="BU502" i="42385"/>
  <c r="BU503" i="42385" s="1"/>
  <c r="BU429" i="42385"/>
  <c r="BU428" i="42385"/>
  <c r="BR369" i="42385"/>
  <c r="BR368" i="42385"/>
  <c r="BU369" i="42385"/>
  <c r="BU368" i="42385"/>
  <c r="BU400" i="42385" l="1"/>
  <c r="BS400" i="42385"/>
  <c r="BR400" i="42385"/>
  <c r="BU399" i="42385"/>
  <c r="BU398" i="42385"/>
  <c r="BV1215" i="42385" l="1"/>
  <c r="BV1197" i="42385"/>
  <c r="BU567" i="42385"/>
  <c r="BS1409" i="42385" l="1"/>
  <c r="BS1389" i="42385"/>
  <c r="BS1371" i="42385"/>
  <c r="BS1359" i="42385"/>
  <c r="BS1351" i="42385"/>
  <c r="BS1349" i="42385"/>
  <c r="BS1348" i="42385"/>
  <c r="BS1343" i="42385"/>
  <c r="BS1325" i="42385"/>
  <c r="BS1324" i="42385"/>
  <c r="BS1323" i="42385"/>
  <c r="BS1322" i="42385"/>
  <c r="BS1320" i="42385"/>
  <c r="BS1319" i="42385"/>
  <c r="BS1318" i="42385"/>
  <c r="BS1317" i="42385"/>
  <c r="BS1312" i="42385"/>
  <c r="BS1310" i="42385"/>
  <c r="BS1307" i="42385"/>
  <c r="BS1313" i="42385"/>
  <c r="BS1311" i="42385"/>
  <c r="BS1309" i="42385"/>
  <c r="BS1308" i="42385"/>
  <c r="BS1306" i="42385"/>
  <c r="BS1305" i="42385"/>
  <c r="BS1304" i="42385"/>
  <c r="EQ530" i="42492" l="1"/>
  <c r="ET541" i="42492" l="1"/>
  <c r="EU541" i="42492"/>
  <c r="EV541" i="42492"/>
  <c r="EW541" i="42492"/>
  <c r="EX541" i="42492"/>
  <c r="EY541" i="42492"/>
  <c r="EZ541" i="42492"/>
  <c r="FA541" i="42492"/>
  <c r="FB541" i="42492"/>
  <c r="ET542" i="42492"/>
  <c r="EU542" i="42492"/>
  <c r="EV542" i="42492"/>
  <c r="EW542" i="42492"/>
  <c r="EX542" i="42492"/>
  <c r="EY542" i="42492"/>
  <c r="EZ542" i="42492"/>
  <c r="FA542" i="42492"/>
  <c r="FB542" i="42492"/>
  <c r="ET543" i="42492"/>
  <c r="EU543" i="42492"/>
  <c r="EV543" i="42492"/>
  <c r="EW543" i="42492"/>
  <c r="EX543" i="42492"/>
  <c r="EY543" i="42492"/>
  <c r="EZ543" i="42492"/>
  <c r="FA543" i="42492"/>
  <c r="FB543" i="42492"/>
  <c r="ES543" i="42492"/>
  <c r="ES542" i="42492"/>
  <c r="ES541" i="42492"/>
  <c r="FB540" i="42492"/>
  <c r="FA540" i="42492"/>
  <c r="EZ540" i="42492"/>
  <c r="EY540" i="42492"/>
  <c r="EX540" i="42492"/>
  <c r="EW540" i="42492"/>
  <c r="EV540" i="42492"/>
  <c r="EU540" i="42492"/>
  <c r="ET540" i="42492"/>
  <c r="ES540" i="42492"/>
  <c r="ES545" i="42492" l="1"/>
  <c r="ES547" i="42492" s="1"/>
  <c r="EW545" i="42492"/>
  <c r="EW547" i="42492" s="1"/>
  <c r="FA545" i="42492"/>
  <c r="FA546" i="42492" s="1"/>
  <c r="EV545" i="42492"/>
  <c r="EV547" i="42492" s="1"/>
  <c r="EZ545" i="42492"/>
  <c r="EY545" i="42492"/>
  <c r="EU545" i="42492"/>
  <c r="EU547" i="42492" s="1"/>
  <c r="ET545" i="42492"/>
  <c r="ET547" i="42492" s="1"/>
  <c r="EX545" i="42492"/>
  <c r="FB545" i="42492"/>
  <c r="FB547" i="42492" s="1"/>
  <c r="EQ533" i="42492"/>
  <c r="EQ526" i="42492"/>
  <c r="EQ529" i="42492" s="1"/>
  <c r="EZ546" i="42492" l="1"/>
  <c r="FA547" i="42492"/>
  <c r="FA548" i="42492" s="1"/>
  <c r="EX547" i="42492"/>
  <c r="EY551" i="42492"/>
  <c r="EZ547" i="42492"/>
  <c r="EZ548" i="42492" s="1"/>
  <c r="FA551" i="42492"/>
  <c r="EQ531" i="42492"/>
  <c r="FB546" i="42492"/>
  <c r="FB548" i="42492"/>
  <c r="EX548" i="42492"/>
  <c r="EY546" i="42492"/>
  <c r="EY547" i="42492"/>
  <c r="EY548" i="42492" s="1"/>
  <c r="EX546" i="42492"/>
  <c r="BS1287" i="42385"/>
  <c r="BS1300" i="42385"/>
  <c r="BS1299" i="42385"/>
  <c r="BS1298" i="42385"/>
  <c r="BS1297" i="42385"/>
  <c r="BS1296" i="42385"/>
  <c r="BS1295" i="42385"/>
  <c r="EQ534" i="42492" l="1"/>
  <c r="BS1294" i="42385"/>
  <c r="BS1292" i="42385"/>
  <c r="BS1286" i="42385"/>
  <c r="BS1291" i="42385"/>
  <c r="BS1290" i="42385"/>
  <c r="BS1289" i="42385"/>
  <c r="BS1285" i="42385"/>
  <c r="BS1284" i="42385"/>
  <c r="BS1283" i="42385"/>
  <c r="BS1282" i="42385"/>
  <c r="BS1281" i="42385"/>
  <c r="BU1554" i="42385" l="1"/>
  <c r="BW112" i="42385"/>
  <c r="BV112" i="42385"/>
  <c r="BU112" i="42385"/>
  <c r="BR112" i="42385"/>
  <c r="BQ112" i="42385"/>
  <c r="BP112" i="42385"/>
  <c r="BO112" i="42385"/>
  <c r="BN112" i="42385"/>
  <c r="BM112" i="42385"/>
  <c r="BL112" i="42385"/>
  <c r="BK112" i="42385"/>
  <c r="BJ112" i="42385"/>
  <c r="BI112" i="42385"/>
  <c r="BH112" i="42385"/>
  <c r="BG112" i="42385"/>
  <c r="BF112" i="42385"/>
  <c r="BE112" i="42385"/>
  <c r="BD112" i="42385"/>
  <c r="BC112" i="42385"/>
  <c r="BB112" i="42385"/>
  <c r="BA112" i="42385"/>
  <c r="AZ112" i="42385"/>
  <c r="AY112" i="42385"/>
  <c r="AX112" i="42385"/>
  <c r="AW112" i="42385"/>
  <c r="AV112" i="42385"/>
  <c r="AU112" i="42385"/>
  <c r="AT112" i="42385"/>
  <c r="AS112" i="42385"/>
  <c r="AR112" i="42385"/>
  <c r="AQ112" i="42385"/>
  <c r="AP112" i="42385"/>
  <c r="AO112" i="42385"/>
  <c r="AN112" i="42385"/>
  <c r="AM112" i="42385"/>
  <c r="AL112" i="42385"/>
  <c r="AK112" i="42385"/>
  <c r="AJ112" i="42385"/>
  <c r="AI112" i="42385"/>
  <c r="AH112" i="42385"/>
  <c r="AG112" i="42385"/>
  <c r="AF112" i="42385"/>
  <c r="AE112" i="42385"/>
  <c r="AD112" i="42385"/>
  <c r="AC112" i="42385"/>
  <c r="AB112" i="42385"/>
  <c r="AA112" i="42385"/>
  <c r="Z112" i="42385"/>
  <c r="Y112" i="42385"/>
  <c r="X112" i="42385"/>
  <c r="W112" i="42385"/>
  <c r="V112" i="42385"/>
  <c r="U112" i="42385"/>
  <c r="T112" i="42385"/>
  <c r="S112" i="42385"/>
  <c r="R112" i="42385"/>
  <c r="Q112" i="42385"/>
  <c r="P112" i="42385"/>
  <c r="O112" i="42385"/>
  <c r="N112" i="42385"/>
  <c r="M112" i="42385"/>
  <c r="L112" i="42385"/>
  <c r="K112" i="42385"/>
  <c r="J112" i="42385"/>
  <c r="I112" i="42385"/>
  <c r="H112" i="42385"/>
  <c r="G112" i="42385"/>
  <c r="F112" i="42385"/>
  <c r="E112" i="42385"/>
  <c r="D112" i="42385"/>
  <c r="C112" i="42385"/>
  <c r="CA112" i="42385"/>
  <c r="BZ112" i="42385"/>
  <c r="BY112" i="42385"/>
  <c r="BX112" i="42385"/>
  <c r="BX1070" i="42385" l="1"/>
  <c r="BW1070" i="42385"/>
  <c r="BU1239" i="42385"/>
  <c r="BS1239" i="42385"/>
  <c r="BV1204" i="42385"/>
  <c r="BU1204" i="42385"/>
  <c r="BW313" i="42385"/>
  <c r="BX313" i="42385"/>
  <c r="BU255" i="42385"/>
  <c r="BX255" i="42385"/>
  <c r="BW255" i="42385"/>
  <c r="BV255" i="42385"/>
  <c r="BX302" i="42385"/>
  <c r="BW302" i="42385"/>
  <c r="BV302" i="42385"/>
  <c r="BW536" i="42385"/>
  <c r="BU311" i="42385"/>
  <c r="BX311" i="42385"/>
  <c r="BW311" i="42385"/>
  <c r="BV311" i="42385"/>
  <c r="BV313" i="42385"/>
  <c r="BS311" i="42385"/>
  <c r="BU508" i="42385"/>
  <c r="BS302" i="42385"/>
  <c r="BZ1235" i="42385"/>
  <c r="BX1235" i="42385"/>
  <c r="BV1554" i="42385"/>
  <c r="BW1554" i="42385" s="1"/>
  <c r="BX1554" i="42385" s="1"/>
  <c r="BS1554" i="42385"/>
  <c r="BS1556" i="42385"/>
  <c r="BS1503" i="42385"/>
  <c r="BS1241" i="42385"/>
  <c r="BS1171" i="42385"/>
  <c r="BS1172" i="42385"/>
  <c r="BS313" i="42385"/>
  <c r="BS23" i="42385"/>
  <c r="BN23" i="42385"/>
  <c r="BY1554" i="42385" l="1"/>
  <c r="BZ1554" i="42385" s="1"/>
  <c r="BS1150" i="42385"/>
  <c r="BS1151" i="42385" s="1"/>
  <c r="BS1061" i="42385"/>
  <c r="BS1060" i="42385"/>
  <c r="BS1059" i="42385"/>
  <c r="BS1058" i="42385"/>
  <c r="BS1057" i="42385"/>
  <c r="BS1056" i="42385"/>
  <c r="BS1055" i="42385"/>
  <c r="BS1054" i="42385"/>
  <c r="BS1053" i="42385"/>
  <c r="BS1052" i="42385"/>
  <c r="BS1051" i="42385"/>
  <c r="BS1050" i="42385"/>
  <c r="BS980" i="42385"/>
  <c r="BS918" i="42385"/>
  <c r="BS884" i="42385"/>
  <c r="BS887" i="42385"/>
  <c r="BS856" i="42385"/>
  <c r="BS853" i="42385"/>
  <c r="BS822" i="42385"/>
  <c r="BS554" i="42385"/>
  <c r="BS399" i="42385" l="1"/>
  <c r="BS368" i="42385"/>
  <c r="BS338" i="42385" l="1"/>
  <c r="BS337" i="42385"/>
  <c r="BV1518" i="42385" l="1"/>
  <c r="BW1518" i="42385" s="1"/>
  <c r="BX1518" i="42385" s="1"/>
  <c r="BY1518" i="42385" s="1"/>
  <c r="BZ1518" i="42385" s="1"/>
  <c r="CA1518" i="42385" s="1"/>
  <c r="BR1409" i="42385" l="1"/>
  <c r="BR1389" i="42385"/>
  <c r="BR1371" i="42385"/>
  <c r="BR1359" i="42385"/>
  <c r="BR1349" i="42385"/>
  <c r="BR1348" i="42385"/>
  <c r="BR1343" i="42385"/>
  <c r="BR1290" i="42385"/>
  <c r="BS38" i="42385" l="1"/>
  <c r="BR38" i="42385"/>
  <c r="BQ38" i="42385"/>
  <c r="BP38" i="42385"/>
  <c r="BN38" i="42385"/>
  <c r="BM38" i="42385"/>
  <c r="BL38" i="42385"/>
  <c r="BK38" i="42385"/>
  <c r="BI38" i="42385"/>
  <c r="BH38" i="42385"/>
  <c r="BG38" i="42385"/>
  <c r="BF38" i="42385"/>
  <c r="BD38" i="42385"/>
  <c r="BC38" i="42385"/>
  <c r="BB38" i="42385"/>
  <c r="BA38" i="42385"/>
  <c r="AR38" i="42385"/>
  <c r="AR40" i="42385" s="1"/>
  <c r="AQ38" i="42385"/>
  <c r="AQ40" i="42385" s="1"/>
  <c r="AO38" i="42385"/>
  <c r="AO40" i="42385" s="1"/>
  <c r="AN38" i="42385"/>
  <c r="AN40" i="42385" s="1"/>
  <c r="AM38" i="42385"/>
  <c r="AL38" i="42385"/>
  <c r="AJ38" i="42385"/>
  <c r="AI38" i="42385"/>
  <c r="AH38" i="42385"/>
  <c r="AC38" i="42385"/>
  <c r="AB38" i="42385"/>
  <c r="Y38" i="42385"/>
  <c r="Y40" i="42385" s="1"/>
  <c r="X38" i="42385"/>
  <c r="X40" i="42385" s="1"/>
  <c r="W38" i="42385"/>
  <c r="W40" i="42385" s="1"/>
  <c r="U38" i="42385"/>
  <c r="U40" i="42385" s="1"/>
  <c r="T38" i="42385"/>
  <c r="T40" i="42385" s="1"/>
  <c r="S38" i="42385"/>
  <c r="S40" i="42385" s="1"/>
  <c r="R38" i="42385"/>
  <c r="R40" i="42385" s="1"/>
  <c r="P38" i="42385"/>
  <c r="P40" i="42385" s="1"/>
  <c r="O38" i="42385"/>
  <c r="O40" i="42385" s="1"/>
  <c r="N38" i="42385"/>
  <c r="N40" i="42385" s="1"/>
  <c r="M38" i="42385"/>
  <c r="M40" i="42385" s="1"/>
  <c r="K38" i="42385"/>
  <c r="K40" i="42385" s="1"/>
  <c r="J38" i="42385"/>
  <c r="J40" i="42385" s="1"/>
  <c r="I38" i="42385"/>
  <c r="I40" i="42385" s="1"/>
  <c r="H38" i="42385"/>
  <c r="H40" i="42385" s="1"/>
  <c r="F38" i="42385"/>
  <c r="F40" i="42385" s="1"/>
  <c r="E38" i="42385"/>
  <c r="E40" i="42385" s="1"/>
  <c r="D38" i="42385"/>
  <c r="D40" i="42385" s="1"/>
  <c r="C38" i="42385"/>
  <c r="C40" i="42385" s="1"/>
  <c r="EM487" i="42492" l="1"/>
  <c r="EM467" i="42492"/>
  <c r="BW1308" i="42385" l="1"/>
  <c r="BX1461" i="42385"/>
  <c r="BW1461" i="42385"/>
  <c r="BW1492" i="42385" s="1"/>
  <c r="BX1392" i="42385"/>
  <c r="BY1392" i="42385" s="1"/>
  <c r="BW34" i="42385"/>
  <c r="BY36" i="42385"/>
  <c r="BR1076" i="42385"/>
  <c r="BQ1076" i="42385"/>
  <c r="BP1076" i="42385"/>
  <c r="BN1076" i="42385"/>
  <c r="BM1076" i="42385"/>
  <c r="BM35" i="42385" s="1"/>
  <c r="BL1076" i="42385"/>
  <c r="BL35" i="42385" s="1"/>
  <c r="BK1076" i="42385"/>
  <c r="BK35" i="42385" s="1"/>
  <c r="BI1076" i="42385"/>
  <c r="BI35" i="42385" s="1"/>
  <c r="BH1076" i="42385"/>
  <c r="BH35" i="42385" s="1"/>
  <c r="BG1076" i="42385"/>
  <c r="BG35" i="42385" s="1"/>
  <c r="BF1076" i="42385"/>
  <c r="BF35" i="42385" s="1"/>
  <c r="BE1076" i="42385"/>
  <c r="BE35" i="42385" s="1"/>
  <c r="BO1077" i="42385"/>
  <c r="BO1076" i="42385" s="1"/>
  <c r="BO35" i="42385" s="1"/>
  <c r="BJ1077" i="42385"/>
  <c r="BJ1076" i="42385" s="1"/>
  <c r="BJ35" i="42385" s="1"/>
  <c r="EM468" i="42492"/>
  <c r="EM475" i="42492"/>
  <c r="EM471" i="42492"/>
  <c r="EM504" i="42492" s="1"/>
  <c r="BR1260" i="42385"/>
  <c r="BQ1260" i="42385"/>
  <c r="BP1260" i="42385"/>
  <c r="BN1260" i="42385"/>
  <c r="BM1260" i="42385"/>
  <c r="BL1260" i="42385"/>
  <c r="BK1260" i="42385"/>
  <c r="BH1260" i="42385"/>
  <c r="BN1256" i="42385"/>
  <c r="BN1258" i="42385" s="1"/>
  <c r="BM1256" i="42385"/>
  <c r="BS1255" i="42385"/>
  <c r="BR1255" i="42385"/>
  <c r="BW1255" i="42385" s="1"/>
  <c r="BQ1255" i="42385"/>
  <c r="BV1255" i="42385" s="1"/>
  <c r="BP1255" i="42385"/>
  <c r="BU1255" i="42385" s="1"/>
  <c r="BM1255" i="42385"/>
  <c r="BO1255" i="42385" s="1"/>
  <c r="BL1250" i="42385"/>
  <c r="BL1249" i="42385"/>
  <c r="BL1248" i="42385"/>
  <c r="BW1044" i="42385"/>
  <c r="BV1044" i="42385"/>
  <c r="BW1043" i="42385"/>
  <c r="BV1043" i="42385"/>
  <c r="BW1042" i="42385"/>
  <c r="BV1042" i="42385"/>
  <c r="BW1041" i="42385"/>
  <c r="BV1041" i="42385"/>
  <c r="BW1040" i="42385"/>
  <c r="BV1040" i="42385"/>
  <c r="BW1039" i="42385"/>
  <c r="BV1039" i="42385"/>
  <c r="BV1038" i="42385"/>
  <c r="BV1037" i="42385"/>
  <c r="BV1036" i="42385"/>
  <c r="BV1035" i="42385"/>
  <c r="BW1034" i="42385"/>
  <c r="BV1034" i="42385"/>
  <c r="BW1033" i="42385"/>
  <c r="BV1033" i="42385"/>
  <c r="BX1044" i="42385"/>
  <c r="BX1043" i="42385"/>
  <c r="BX1042" i="42385"/>
  <c r="BX1041" i="42385"/>
  <c r="BX1040" i="42385"/>
  <c r="BX1039" i="42385"/>
  <c r="BX1034" i="42385"/>
  <c r="BX1033" i="42385"/>
  <c r="BE1074" i="42385"/>
  <c r="BE1069" i="42385"/>
  <c r="BR1060" i="42385"/>
  <c r="BJ1066" i="42385"/>
  <c r="BM1043" i="42385"/>
  <c r="BM1046" i="42385" s="1"/>
  <c r="BM1064" i="42385" s="1"/>
  <c r="BI1074" i="42385"/>
  <c r="BH1074" i="42385"/>
  <c r="BG1074" i="42385"/>
  <c r="BF1074" i="42385"/>
  <c r="BI1069" i="42385"/>
  <c r="BH1069" i="42385"/>
  <c r="BG1069" i="42385"/>
  <c r="BF1069" i="42385"/>
  <c r="BO1066" i="42385"/>
  <c r="BN1069" i="42385"/>
  <c r="BK1069" i="42385"/>
  <c r="BP1069" i="42385"/>
  <c r="BU1069" i="42385" s="1"/>
  <c r="BL1069" i="42385"/>
  <c r="BP1074" i="42385"/>
  <c r="BN1074" i="42385"/>
  <c r="BM1074" i="42385"/>
  <c r="BL1074" i="42385"/>
  <c r="BK1074" i="42385"/>
  <c r="BQ1074" i="42385"/>
  <c r="BQ1069" i="42385"/>
  <c r="BV1069" i="42385" s="1"/>
  <c r="BR1074" i="42385"/>
  <c r="BR1073" i="42385"/>
  <c r="BQ1073" i="42385"/>
  <c r="BP1073" i="42385"/>
  <c r="BN1073" i="42385"/>
  <c r="BM1073" i="42385"/>
  <c r="BL1073" i="42385"/>
  <c r="BK1073" i="42385"/>
  <c r="BR1067" i="42385"/>
  <c r="BQ1067" i="42385"/>
  <c r="BP1067" i="42385"/>
  <c r="BN1067" i="42385"/>
  <c r="BM1067" i="42385"/>
  <c r="BL1067" i="42385"/>
  <c r="BK1067" i="42385"/>
  <c r="BR1069" i="42385"/>
  <c r="BM1069" i="42385"/>
  <c r="BR1061" i="42385"/>
  <c r="BQ1061" i="42385"/>
  <c r="BP1061" i="42385"/>
  <c r="BO1061" i="42385"/>
  <c r="BN1061" i="42385"/>
  <c r="BM1061" i="42385"/>
  <c r="BL1061" i="42385"/>
  <c r="BK1061" i="42385"/>
  <c r="BJ1061" i="42385"/>
  <c r="BR1059" i="42385"/>
  <c r="BQ1059" i="42385"/>
  <c r="BP1059" i="42385"/>
  <c r="BO1059" i="42385"/>
  <c r="BN1059" i="42385"/>
  <c r="BM1059" i="42385"/>
  <c r="BL1059" i="42385"/>
  <c r="BK1059" i="42385"/>
  <c r="BJ1059" i="42385"/>
  <c r="BR1058" i="42385"/>
  <c r="BQ1058" i="42385"/>
  <c r="BP1058" i="42385"/>
  <c r="BO1058" i="42385"/>
  <c r="BN1058" i="42385"/>
  <c r="BM1058" i="42385"/>
  <c r="BL1058" i="42385"/>
  <c r="BK1058" i="42385"/>
  <c r="BJ1058" i="42385"/>
  <c r="BR1057" i="42385"/>
  <c r="BQ1057" i="42385"/>
  <c r="BP1057" i="42385"/>
  <c r="BO1057" i="42385"/>
  <c r="BN1057" i="42385"/>
  <c r="BM1057" i="42385"/>
  <c r="BL1057" i="42385"/>
  <c r="BK1057" i="42385"/>
  <c r="BJ1057" i="42385"/>
  <c r="BR1056" i="42385"/>
  <c r="BQ1056" i="42385"/>
  <c r="BP1056" i="42385"/>
  <c r="BO1056" i="42385"/>
  <c r="BN1056" i="42385"/>
  <c r="BM1056" i="42385"/>
  <c r="BL1056" i="42385"/>
  <c r="BK1056" i="42385"/>
  <c r="BJ1056" i="42385"/>
  <c r="BR1055" i="42385"/>
  <c r="BQ1055" i="42385"/>
  <c r="BP1055" i="42385"/>
  <c r="BO1055" i="42385"/>
  <c r="BN1055" i="42385"/>
  <c r="BM1055" i="42385"/>
  <c r="BL1055" i="42385"/>
  <c r="BK1055" i="42385"/>
  <c r="BJ1055" i="42385"/>
  <c r="BR1054" i="42385"/>
  <c r="BQ1054" i="42385"/>
  <c r="BP1054" i="42385"/>
  <c r="BO1054" i="42385"/>
  <c r="BN1054" i="42385"/>
  <c r="BM1054" i="42385"/>
  <c r="BL1054" i="42385"/>
  <c r="BK1054" i="42385"/>
  <c r="BJ1054" i="42385"/>
  <c r="BR1053" i="42385"/>
  <c r="BQ1053" i="42385"/>
  <c r="BP1053" i="42385"/>
  <c r="BO1053" i="42385"/>
  <c r="BN1053" i="42385"/>
  <c r="BM1053" i="42385"/>
  <c r="BL1053" i="42385"/>
  <c r="BK1053" i="42385"/>
  <c r="BJ1053" i="42385"/>
  <c r="BR1052" i="42385"/>
  <c r="BQ1052" i="42385"/>
  <c r="BP1052" i="42385"/>
  <c r="BO1052" i="42385"/>
  <c r="BN1052" i="42385"/>
  <c r="BM1052" i="42385"/>
  <c r="BL1052" i="42385"/>
  <c r="BK1052" i="42385"/>
  <c r="BJ1052" i="42385"/>
  <c r="BR1051" i="42385"/>
  <c r="BQ1051" i="42385"/>
  <c r="BP1051" i="42385"/>
  <c r="BO1051" i="42385"/>
  <c r="BN1051" i="42385"/>
  <c r="BM1051" i="42385"/>
  <c r="BL1051" i="42385"/>
  <c r="BK1051" i="42385"/>
  <c r="BJ1051" i="42385"/>
  <c r="BR1050" i="42385"/>
  <c r="BQ1050" i="42385"/>
  <c r="BP1050" i="42385"/>
  <c r="BO1050" i="42385"/>
  <c r="BN1050" i="42385"/>
  <c r="BM1050" i="42385"/>
  <c r="BL1050" i="42385"/>
  <c r="BK1050" i="42385"/>
  <c r="BJ1050" i="42385"/>
  <c r="BR1046" i="42385"/>
  <c r="BR1064" i="42385" s="1"/>
  <c r="BW1064" i="42385" s="1"/>
  <c r="BQ1046" i="42385"/>
  <c r="BQ1064" i="42385" s="1"/>
  <c r="BV1064" i="42385" s="1"/>
  <c r="BP1046" i="42385"/>
  <c r="BP1064" i="42385" s="1"/>
  <c r="BU1064" i="42385" s="1"/>
  <c r="BO1046" i="42385"/>
  <c r="BN1046" i="42385"/>
  <c r="BN1064" i="42385" s="1"/>
  <c r="BS1064" i="42385" s="1"/>
  <c r="BX1064" i="42385" s="1"/>
  <c r="BL1046" i="42385"/>
  <c r="BL1064" i="42385" s="1"/>
  <c r="BK1046" i="42385"/>
  <c r="BJ1046" i="42385"/>
  <c r="BI1046" i="42385"/>
  <c r="BI1064" i="42385" s="1"/>
  <c r="BH1046" i="42385"/>
  <c r="BH1064" i="42385" s="1"/>
  <c r="BG1046" i="42385"/>
  <c r="BG1064" i="42385" s="1"/>
  <c r="BF1046" i="42385"/>
  <c r="BF1064" i="42385" s="1"/>
  <c r="BE1046" i="42385"/>
  <c r="BE1064" i="42385" s="1"/>
  <c r="CL1030" i="42385"/>
  <c r="CF1030" i="42385"/>
  <c r="CE1030" i="42385"/>
  <c r="CD1030" i="42385"/>
  <c r="CC1030" i="42385"/>
  <c r="CB1030" i="42385"/>
  <c r="CA1030" i="42385"/>
  <c r="DC1030" i="42385" s="1"/>
  <c r="BZ1030" i="42385"/>
  <c r="DB1030" i="42385" s="1"/>
  <c r="BY1030" i="42385"/>
  <c r="DA1030" i="42385" s="1"/>
  <c r="BX1030" i="42385"/>
  <c r="BW1030" i="42385"/>
  <c r="BV1030" i="42385"/>
  <c r="BU1030" i="42385"/>
  <c r="BT1030" i="42385"/>
  <c r="CZ1030" i="42385" s="1"/>
  <c r="BS1030" i="42385"/>
  <c r="BR1030" i="42385"/>
  <c r="BQ1030" i="42385"/>
  <c r="BP1030" i="42385"/>
  <c r="BO1030" i="42385"/>
  <c r="CY1030" i="42385" s="1"/>
  <c r="BN1030" i="42385"/>
  <c r="BM1030" i="42385"/>
  <c r="BL1030" i="42385"/>
  <c r="BK1030" i="42385"/>
  <c r="BJ1030" i="42385"/>
  <c r="CX1030" i="42385" s="1"/>
  <c r="BI1030" i="42385"/>
  <c r="BH1030" i="42385"/>
  <c r="BG1030" i="42385"/>
  <c r="BF1030" i="42385"/>
  <c r="BE1030" i="42385"/>
  <c r="CW1030" i="42385" s="1"/>
  <c r="BD1030" i="42385"/>
  <c r="BC1030" i="42385"/>
  <c r="BB1030" i="42385"/>
  <c r="BA1030" i="42385"/>
  <c r="AZ1030" i="42385"/>
  <c r="CV1030" i="42385" s="1"/>
  <c r="AY1030" i="42385"/>
  <c r="AX1030" i="42385"/>
  <c r="AW1030" i="42385"/>
  <c r="AV1030" i="42385"/>
  <c r="AU1030" i="42385"/>
  <c r="CU1030" i="42385" s="1"/>
  <c r="AT1030" i="42385"/>
  <c r="AS1030" i="42385"/>
  <c r="AR1030" i="42385"/>
  <c r="AQ1030" i="42385"/>
  <c r="AP1030" i="42385"/>
  <c r="CT1030" i="42385" s="1"/>
  <c r="AO1030" i="42385"/>
  <c r="AN1030" i="42385"/>
  <c r="AM1030" i="42385"/>
  <c r="AL1030" i="42385"/>
  <c r="AK1030" i="42385"/>
  <c r="CS1030" i="42385" s="1"/>
  <c r="AJ1030" i="42385"/>
  <c r="AI1030" i="42385"/>
  <c r="AH1030" i="42385"/>
  <c r="AG1030" i="42385"/>
  <c r="AF1030" i="42385"/>
  <c r="CR1030" i="42385" s="1"/>
  <c r="AE1030" i="42385"/>
  <c r="AD1030" i="42385"/>
  <c r="AC1030" i="42385"/>
  <c r="AB1030" i="42385"/>
  <c r="AA1030" i="42385"/>
  <c r="CQ1030" i="42385" s="1"/>
  <c r="Z1030" i="42385"/>
  <c r="Y1030" i="42385"/>
  <c r="X1030" i="42385"/>
  <c r="W1030" i="42385"/>
  <c r="V1030" i="42385"/>
  <c r="CP1030" i="42385" s="1"/>
  <c r="U1030" i="42385"/>
  <c r="T1030" i="42385"/>
  <c r="S1030" i="42385"/>
  <c r="R1030" i="42385"/>
  <c r="Q1030" i="42385"/>
  <c r="CO1030" i="42385" s="1"/>
  <c r="P1030" i="42385"/>
  <c r="O1030" i="42385"/>
  <c r="N1030" i="42385"/>
  <c r="M1030" i="42385"/>
  <c r="L1030" i="42385"/>
  <c r="CN1030" i="42385" s="1"/>
  <c r="K1030" i="42385"/>
  <c r="J1030" i="42385"/>
  <c r="I1030" i="42385"/>
  <c r="H1030" i="42385"/>
  <c r="G1030" i="42385"/>
  <c r="CM1030" i="42385" s="1"/>
  <c r="F1030" i="42385"/>
  <c r="E1030" i="42385"/>
  <c r="D1030" i="42385"/>
  <c r="C1030" i="42385"/>
  <c r="CL12" i="42385"/>
  <c r="BU38" i="42385"/>
  <c r="BV34" i="42385"/>
  <c r="BV38" i="42385" s="1"/>
  <c r="BR1556" i="42385"/>
  <c r="BR1503" i="42385"/>
  <c r="BZ1442" i="42385"/>
  <c r="BZ1461" i="42385" s="1"/>
  <c r="BZ1492" i="42385" s="1"/>
  <c r="BR1172" i="42385"/>
  <c r="BR1171" i="42385" s="1"/>
  <c r="BR62" i="42385"/>
  <c r="BR23" i="42385"/>
  <c r="BQ1317" i="42385"/>
  <c r="B18" i="42465"/>
  <c r="C18" i="42465"/>
  <c r="D18" i="42465"/>
  <c r="E18" i="42465"/>
  <c r="F18" i="42465"/>
  <c r="G8" i="42418"/>
  <c r="J8" i="42418"/>
  <c r="M8" i="42418"/>
  <c r="P8" i="42418"/>
  <c r="S8" i="42418"/>
  <c r="V8" i="42418"/>
  <c r="Y8" i="42418"/>
  <c r="AB8" i="42418"/>
  <c r="AE8" i="42418"/>
  <c r="AH8" i="42418"/>
  <c r="AK8" i="42418"/>
  <c r="AN8" i="42418"/>
  <c r="AQ8" i="42418"/>
  <c r="AT8" i="42418"/>
  <c r="BX8" i="42418"/>
  <c r="P11" i="42418"/>
  <c r="AB11" i="42418"/>
  <c r="AN11" i="42418"/>
  <c r="AZ11" i="42418"/>
  <c r="BL11" i="42418"/>
  <c r="BX11" i="42418"/>
  <c r="G15" i="42418"/>
  <c r="J15" i="42418"/>
  <c r="M15" i="42418"/>
  <c r="P15" i="42418"/>
  <c r="S15" i="42418"/>
  <c r="V15" i="42418"/>
  <c r="Y15" i="42418"/>
  <c r="AB15" i="42418"/>
  <c r="AE15" i="42418"/>
  <c r="AH15" i="42418"/>
  <c r="AK15" i="42418"/>
  <c r="AN15" i="42418"/>
  <c r="AQ15" i="42418"/>
  <c r="AT15" i="42418"/>
  <c r="BX15" i="42418"/>
  <c r="P18" i="42418"/>
  <c r="AB18" i="42418"/>
  <c r="AN18" i="42418"/>
  <c r="AZ18" i="42418"/>
  <c r="BL18" i="42418"/>
  <c r="BX18" i="42418"/>
  <c r="AA38" i="42417" s="1"/>
  <c r="G22" i="42418"/>
  <c r="J22" i="42418"/>
  <c r="M22" i="42418"/>
  <c r="P22" i="42418"/>
  <c r="S22" i="42418"/>
  <c r="V22" i="42418"/>
  <c r="Y22" i="42418"/>
  <c r="AB22" i="42418"/>
  <c r="AE22" i="42418"/>
  <c r="AH22" i="42418"/>
  <c r="AK22" i="42418"/>
  <c r="AN22" i="42418"/>
  <c r="AQ22" i="42418"/>
  <c r="AT22" i="42418"/>
  <c r="BX22" i="42418"/>
  <c r="P25" i="42418"/>
  <c r="AB25" i="42418"/>
  <c r="AN25" i="42418"/>
  <c r="AZ25" i="42418"/>
  <c r="BL25" i="42418"/>
  <c r="BX25" i="42418"/>
  <c r="G29" i="42418"/>
  <c r="J29" i="42418"/>
  <c r="M29" i="42418"/>
  <c r="P29" i="42418"/>
  <c r="S29" i="42418"/>
  <c r="V29" i="42418"/>
  <c r="Y29" i="42418"/>
  <c r="AB29" i="42418"/>
  <c r="AE29" i="42418"/>
  <c r="AH29" i="42418"/>
  <c r="AK29" i="42418"/>
  <c r="AN29" i="42418"/>
  <c r="AQ29" i="42418"/>
  <c r="AT29" i="42418"/>
  <c r="BX29" i="42418"/>
  <c r="P32" i="42418"/>
  <c r="AB32" i="42418"/>
  <c r="AN32" i="42418"/>
  <c r="AZ32" i="42418"/>
  <c r="Z40" i="42417" s="1"/>
  <c r="Z44" i="42417" s="1"/>
  <c r="BL32" i="42418"/>
  <c r="BX32" i="42418"/>
  <c r="G36" i="42418"/>
  <c r="J36" i="42418"/>
  <c r="M36" i="42418"/>
  <c r="P36" i="42418"/>
  <c r="S36" i="42418"/>
  <c r="V36" i="42418"/>
  <c r="Y36" i="42418"/>
  <c r="AB36" i="42418"/>
  <c r="AE36" i="42418"/>
  <c r="AH36" i="42418"/>
  <c r="AK36" i="42418"/>
  <c r="AN36" i="42418"/>
  <c r="AQ36" i="42418"/>
  <c r="AT36" i="42418"/>
  <c r="BX36" i="42418"/>
  <c r="P39" i="42418"/>
  <c r="AB39" i="42418"/>
  <c r="AN39" i="42418"/>
  <c r="AZ39" i="42418"/>
  <c r="BL39" i="42418"/>
  <c r="BX39" i="42418"/>
  <c r="G43" i="42418"/>
  <c r="J43" i="42418"/>
  <c r="M43" i="42418"/>
  <c r="P43" i="42418"/>
  <c r="S43" i="42418"/>
  <c r="V43" i="42418"/>
  <c r="Y43" i="42418"/>
  <c r="AB43" i="42418"/>
  <c r="AE43" i="42418"/>
  <c r="AH43" i="42418"/>
  <c r="AK43" i="42418"/>
  <c r="AN43" i="42418"/>
  <c r="AQ43" i="42418"/>
  <c r="AT43" i="42418"/>
  <c r="AZ43" i="42418"/>
  <c r="BF43" i="42418"/>
  <c r="BI43" i="42418"/>
  <c r="BL43" i="42418"/>
  <c r="BO43" i="42418"/>
  <c r="BR43" i="42418"/>
  <c r="BU43" i="42418"/>
  <c r="BX43" i="42418"/>
  <c r="P46" i="42418"/>
  <c r="AB46" i="42418"/>
  <c r="AN46" i="42418"/>
  <c r="AZ46" i="42418"/>
  <c r="BL46" i="42418"/>
  <c r="BX46" i="42418"/>
  <c r="G50" i="42418"/>
  <c r="J50" i="42418"/>
  <c r="M50" i="42418"/>
  <c r="P50" i="42418"/>
  <c r="S50" i="42418"/>
  <c r="V50" i="42418"/>
  <c r="Y50" i="42418"/>
  <c r="AB50" i="42418"/>
  <c r="AE50" i="42418"/>
  <c r="AH50" i="42418"/>
  <c r="AK50" i="42418"/>
  <c r="AN50" i="42418"/>
  <c r="AQ50" i="42418"/>
  <c r="AT50" i="42418"/>
  <c r="BX50" i="42418"/>
  <c r="P53" i="42418"/>
  <c r="AB53" i="42418"/>
  <c r="AN53" i="42418"/>
  <c r="AZ53" i="42418"/>
  <c r="BL53" i="42418"/>
  <c r="BX53" i="42418"/>
  <c r="G57" i="42418"/>
  <c r="J57" i="42418"/>
  <c r="M57" i="42418"/>
  <c r="P57" i="42418"/>
  <c r="S57" i="42418"/>
  <c r="V57" i="42418"/>
  <c r="Y57" i="42418"/>
  <c r="AB57" i="42418"/>
  <c r="AE57" i="42418"/>
  <c r="AH57" i="42418"/>
  <c r="AK57" i="42418"/>
  <c r="AN57" i="42418"/>
  <c r="AQ57" i="42418"/>
  <c r="AT57" i="42418"/>
  <c r="BX57" i="42418"/>
  <c r="P60" i="42418"/>
  <c r="AB60" i="42418"/>
  <c r="AN60" i="42418"/>
  <c r="AZ60" i="42418"/>
  <c r="BL60" i="42418"/>
  <c r="BX60" i="42418"/>
  <c r="G64" i="42418"/>
  <c r="J64" i="42418"/>
  <c r="M64" i="42418"/>
  <c r="P64" i="42418"/>
  <c r="S64" i="42418"/>
  <c r="V64" i="42418"/>
  <c r="Y64" i="42418"/>
  <c r="AB64" i="42418"/>
  <c r="AE64" i="42418"/>
  <c r="AH64" i="42418"/>
  <c r="AK64" i="42418"/>
  <c r="AN64" i="42418"/>
  <c r="AQ64" i="42418"/>
  <c r="AT64" i="42418"/>
  <c r="BX64" i="42418"/>
  <c r="P67" i="42418"/>
  <c r="AB67" i="42418"/>
  <c r="AN67" i="42418"/>
  <c r="AZ67" i="42418"/>
  <c r="Z45" i="42417" s="1"/>
  <c r="BL67" i="42418"/>
  <c r="BX67" i="42418"/>
  <c r="G71" i="42418"/>
  <c r="J71" i="42418"/>
  <c r="M71" i="42418"/>
  <c r="P71" i="42418"/>
  <c r="S71" i="42418"/>
  <c r="V71" i="42418"/>
  <c r="Y71" i="42418"/>
  <c r="AB71" i="42418"/>
  <c r="AE71" i="42418"/>
  <c r="AH71" i="42418"/>
  <c r="AK71" i="42418"/>
  <c r="AN71" i="42418"/>
  <c r="AQ71" i="42418"/>
  <c r="AT71" i="42418"/>
  <c r="BX71" i="42418"/>
  <c r="P74" i="42418"/>
  <c r="AB74" i="42418"/>
  <c r="AN74" i="42418"/>
  <c r="AZ74" i="42418"/>
  <c r="BL74" i="42418"/>
  <c r="BX74" i="42418"/>
  <c r="G78" i="42418"/>
  <c r="J78" i="42418"/>
  <c r="M78" i="42418"/>
  <c r="P78" i="42418"/>
  <c r="S78" i="42418"/>
  <c r="V78" i="42418"/>
  <c r="Y78" i="42418"/>
  <c r="AB78" i="42418"/>
  <c r="AE78" i="42418"/>
  <c r="AH78" i="42418"/>
  <c r="AK78" i="42418"/>
  <c r="AN78" i="42418"/>
  <c r="AQ78" i="42418"/>
  <c r="AT78" i="42418"/>
  <c r="BX78" i="42418"/>
  <c r="P81" i="42418"/>
  <c r="AB81" i="42418"/>
  <c r="AN81" i="42418"/>
  <c r="AZ81" i="42418"/>
  <c r="BL81" i="42418"/>
  <c r="BX81" i="42418"/>
  <c r="G85" i="42418"/>
  <c r="J85" i="42418"/>
  <c r="M85" i="42418"/>
  <c r="P85" i="42418"/>
  <c r="S85" i="42418"/>
  <c r="V85" i="42418"/>
  <c r="Y85" i="42418"/>
  <c r="AB85" i="42418"/>
  <c r="AE85" i="42418"/>
  <c r="AH85" i="42418"/>
  <c r="AK85" i="42418"/>
  <c r="AN85" i="42418"/>
  <c r="AQ85" i="42418"/>
  <c r="AT85" i="42418"/>
  <c r="AZ85" i="42418"/>
  <c r="BF85" i="42418"/>
  <c r="BI85" i="42418"/>
  <c r="BL85" i="42418"/>
  <c r="BO85" i="42418"/>
  <c r="BR85" i="42418"/>
  <c r="BU85" i="42418"/>
  <c r="BX85" i="42418"/>
  <c r="P88" i="42418"/>
  <c r="AB88" i="42418"/>
  <c r="AN88" i="42418"/>
  <c r="AZ88" i="42418"/>
  <c r="BL88" i="42418"/>
  <c r="BX88" i="42418"/>
  <c r="G92" i="42418"/>
  <c r="J92" i="42418"/>
  <c r="M92" i="42418"/>
  <c r="P92" i="42418"/>
  <c r="S92" i="42418"/>
  <c r="V92" i="42418"/>
  <c r="Y92" i="42418"/>
  <c r="AB92" i="42418"/>
  <c r="AE92" i="42418"/>
  <c r="AH92" i="42418"/>
  <c r="AK92" i="42418"/>
  <c r="AN92" i="42418"/>
  <c r="AQ92" i="42418"/>
  <c r="AT92" i="42418"/>
  <c r="BX92" i="42418"/>
  <c r="P95" i="42418"/>
  <c r="AB95" i="42418"/>
  <c r="AN95" i="42418"/>
  <c r="AZ95" i="42418"/>
  <c r="BL95" i="42418"/>
  <c r="BX95" i="42418"/>
  <c r="G99" i="42418"/>
  <c r="J99" i="42418"/>
  <c r="M99" i="42418"/>
  <c r="P99" i="42418"/>
  <c r="S99" i="42418"/>
  <c r="V99" i="42418"/>
  <c r="Y99" i="42418"/>
  <c r="AB99" i="42418"/>
  <c r="AE99" i="42418"/>
  <c r="AH99" i="42418"/>
  <c r="AK99" i="42418"/>
  <c r="AN99" i="42418"/>
  <c r="AQ99" i="42418"/>
  <c r="AT99" i="42418"/>
  <c r="BX99" i="42418"/>
  <c r="P102" i="42418"/>
  <c r="AB102" i="42418"/>
  <c r="AN102" i="42418"/>
  <c r="AZ102" i="42418"/>
  <c r="Z50" i="42417" s="1"/>
  <c r="BL102" i="42418"/>
  <c r="BX102" i="42418"/>
  <c r="D8" i="42452"/>
  <c r="J8" i="42452"/>
  <c r="N8" i="42452"/>
  <c r="R8" i="42452"/>
  <c r="W8" i="42452"/>
  <c r="AA8" i="42452"/>
  <c r="D9" i="42452"/>
  <c r="J9" i="42452"/>
  <c r="N9" i="42452"/>
  <c r="R9" i="42452"/>
  <c r="W9" i="42452"/>
  <c r="AA9" i="42452"/>
  <c r="D10" i="42452"/>
  <c r="J10" i="42452"/>
  <c r="N10" i="42452"/>
  <c r="R10" i="42452"/>
  <c r="W10" i="42452"/>
  <c r="AA10" i="42452"/>
  <c r="D11" i="42452"/>
  <c r="J11" i="42452"/>
  <c r="N11" i="42452"/>
  <c r="R11" i="42452"/>
  <c r="W11" i="42452"/>
  <c r="AA11" i="42452"/>
  <c r="D12" i="42452"/>
  <c r="J12" i="42452"/>
  <c r="N12" i="42452"/>
  <c r="R12" i="42452"/>
  <c r="W12" i="42452"/>
  <c r="AA12" i="42452"/>
  <c r="D13" i="42452"/>
  <c r="J13" i="42452"/>
  <c r="N13" i="42452"/>
  <c r="R13" i="42452"/>
  <c r="W13" i="42452"/>
  <c r="AA13" i="42452"/>
  <c r="D14" i="42452"/>
  <c r="J14" i="42452"/>
  <c r="N14" i="42452"/>
  <c r="R14" i="42452"/>
  <c r="W14" i="42452"/>
  <c r="AA14" i="42452"/>
  <c r="D15" i="42452"/>
  <c r="J15" i="42452"/>
  <c r="N15" i="42452"/>
  <c r="R15" i="42452"/>
  <c r="W15" i="42452"/>
  <c r="AA15" i="42452"/>
  <c r="D16" i="42452"/>
  <c r="J16" i="42452"/>
  <c r="N16" i="42452"/>
  <c r="R16" i="42452"/>
  <c r="W16" i="42452"/>
  <c r="AA16" i="42452"/>
  <c r="D17" i="42452"/>
  <c r="J17" i="42452"/>
  <c r="N17" i="42452"/>
  <c r="R17" i="42452"/>
  <c r="W17" i="42452"/>
  <c r="AA17" i="42452"/>
  <c r="D18" i="42452"/>
  <c r="J18" i="42452"/>
  <c r="N18" i="42452"/>
  <c r="R18" i="42452"/>
  <c r="W18" i="42452"/>
  <c r="AA18" i="42452"/>
  <c r="D19" i="42452"/>
  <c r="J19" i="42452"/>
  <c r="N19" i="42452"/>
  <c r="R19" i="42452"/>
  <c r="W19" i="42452"/>
  <c r="AA19" i="42452"/>
  <c r="D20" i="42452"/>
  <c r="J20" i="42452"/>
  <c r="N20" i="42452"/>
  <c r="R20" i="42452"/>
  <c r="W20" i="42452"/>
  <c r="AA20" i="42452"/>
  <c r="D21" i="42452"/>
  <c r="J21" i="42452"/>
  <c r="N21" i="42452"/>
  <c r="R21" i="42452"/>
  <c r="W21" i="42452"/>
  <c r="AA21" i="42452"/>
  <c r="D22" i="42452"/>
  <c r="J22" i="42452"/>
  <c r="N22" i="42452"/>
  <c r="R22" i="42452"/>
  <c r="W22" i="42452"/>
  <c r="AA22" i="42452"/>
  <c r="D23" i="42452"/>
  <c r="J23" i="42452"/>
  <c r="N23" i="42452"/>
  <c r="R23" i="42452"/>
  <c r="W23" i="42452"/>
  <c r="AA23" i="42452"/>
  <c r="D24" i="42452"/>
  <c r="J24" i="42452"/>
  <c r="N24" i="42452"/>
  <c r="R24" i="42452"/>
  <c r="W24" i="42452"/>
  <c r="AA24" i="42452"/>
  <c r="D25" i="42452"/>
  <c r="J25" i="42452"/>
  <c r="N25" i="42452"/>
  <c r="R25" i="42452"/>
  <c r="W25" i="42452"/>
  <c r="AA25" i="42452"/>
  <c r="D26" i="42452"/>
  <c r="J26" i="42452"/>
  <c r="N26" i="42452"/>
  <c r="R26" i="42452"/>
  <c r="W26" i="42452"/>
  <c r="AA26" i="42452"/>
  <c r="D27" i="42452"/>
  <c r="J27" i="42452"/>
  <c r="N27" i="42452"/>
  <c r="R27" i="42452"/>
  <c r="W27" i="42452"/>
  <c r="AA27" i="42452"/>
  <c r="D28" i="42452"/>
  <c r="J28" i="42452"/>
  <c r="N28" i="42452"/>
  <c r="R28" i="42452"/>
  <c r="W28" i="42452"/>
  <c r="AA28" i="42452"/>
  <c r="D29" i="42452"/>
  <c r="J29" i="42452"/>
  <c r="N29" i="42452"/>
  <c r="R29" i="42452"/>
  <c r="W29" i="42452"/>
  <c r="AA29" i="42452"/>
  <c r="D30" i="42452"/>
  <c r="J30" i="42452"/>
  <c r="N30" i="42452"/>
  <c r="R30" i="42452"/>
  <c r="W30" i="42452"/>
  <c r="AA30" i="42452"/>
  <c r="D31" i="42452"/>
  <c r="J31" i="42452"/>
  <c r="N31" i="42452"/>
  <c r="R31" i="42452"/>
  <c r="W31" i="42452"/>
  <c r="AA31" i="42452"/>
  <c r="D32" i="42452"/>
  <c r="J32" i="42452"/>
  <c r="N32" i="42452"/>
  <c r="R32" i="42452"/>
  <c r="W32" i="42452"/>
  <c r="AA32" i="42452"/>
  <c r="D33" i="42452"/>
  <c r="J33" i="42452"/>
  <c r="N33" i="42452"/>
  <c r="R33" i="42452"/>
  <c r="W33" i="42452"/>
  <c r="AA33" i="42452"/>
  <c r="D34" i="42452"/>
  <c r="J34" i="42452"/>
  <c r="N34" i="42452"/>
  <c r="R34" i="42452"/>
  <c r="W34" i="42452"/>
  <c r="AA34" i="42452"/>
  <c r="D35" i="42452"/>
  <c r="J35" i="42452"/>
  <c r="N35" i="42452"/>
  <c r="R35" i="42452"/>
  <c r="W35" i="42452"/>
  <c r="AA35" i="42452"/>
  <c r="D36" i="42452"/>
  <c r="J36" i="42452"/>
  <c r="N36" i="42452"/>
  <c r="R36" i="42452"/>
  <c r="W36" i="42452"/>
  <c r="AA36" i="42452"/>
  <c r="D37" i="42452"/>
  <c r="J37" i="42452"/>
  <c r="N37" i="42452"/>
  <c r="R37" i="42452"/>
  <c r="W37" i="42452"/>
  <c r="AA37" i="42452"/>
  <c r="D38" i="42452"/>
  <c r="J38" i="42452"/>
  <c r="N38" i="42452"/>
  <c r="R38" i="42452"/>
  <c r="W38" i="42452"/>
  <c r="AA38" i="42452"/>
  <c r="D39" i="42452"/>
  <c r="J39" i="42452"/>
  <c r="N39" i="42452"/>
  <c r="R39" i="42452"/>
  <c r="W39" i="42452"/>
  <c r="AA39" i="42452"/>
  <c r="D40" i="42452"/>
  <c r="J40" i="42452"/>
  <c r="N40" i="42452"/>
  <c r="R40" i="42452"/>
  <c r="W40" i="42452"/>
  <c r="AA40" i="42452"/>
  <c r="D41" i="42452"/>
  <c r="J41" i="42452"/>
  <c r="N41" i="42452"/>
  <c r="R41" i="42452"/>
  <c r="W41" i="42452"/>
  <c r="AA41" i="42452"/>
  <c r="D42" i="42452"/>
  <c r="J42" i="42452"/>
  <c r="N42" i="42452"/>
  <c r="R42" i="42452"/>
  <c r="W42" i="42452"/>
  <c r="AA42" i="42452"/>
  <c r="D43" i="42452"/>
  <c r="J43" i="42452"/>
  <c r="N43" i="42452"/>
  <c r="R43" i="42452"/>
  <c r="W43" i="42452"/>
  <c r="AA43" i="42452"/>
  <c r="D44" i="42452"/>
  <c r="J44" i="42452"/>
  <c r="N44" i="42452"/>
  <c r="R44" i="42452"/>
  <c r="W44" i="42452"/>
  <c r="AA44" i="42452"/>
  <c r="D45" i="42452"/>
  <c r="J45" i="42452"/>
  <c r="N45" i="42452"/>
  <c r="R45" i="42452"/>
  <c r="W45" i="42452"/>
  <c r="AA45" i="42452"/>
  <c r="D46" i="42452"/>
  <c r="J46" i="42452"/>
  <c r="N46" i="42452"/>
  <c r="R46" i="42452"/>
  <c r="W46" i="42452"/>
  <c r="AA46" i="42452"/>
  <c r="D47" i="42452"/>
  <c r="J47" i="42452"/>
  <c r="N47" i="42452"/>
  <c r="R47" i="42452"/>
  <c r="W47" i="42452"/>
  <c r="AA47" i="42452"/>
  <c r="D48" i="42452"/>
  <c r="D49" i="42452"/>
  <c r="D50" i="42452"/>
  <c r="D51" i="42452"/>
  <c r="D52" i="42452"/>
  <c r="D53" i="42452"/>
  <c r="D54" i="42452"/>
  <c r="D55" i="42452"/>
  <c r="D56" i="42452"/>
  <c r="D57" i="42452"/>
  <c r="D58" i="42452"/>
  <c r="D59" i="42452"/>
  <c r="D60" i="42452"/>
  <c r="D61" i="42452"/>
  <c r="D62" i="42452"/>
  <c r="D63" i="42452"/>
  <c r="D64" i="42452"/>
  <c r="D65" i="42452"/>
  <c r="D66" i="42452"/>
  <c r="D67" i="42452"/>
  <c r="D68" i="42452"/>
  <c r="D69" i="42452"/>
  <c r="D70" i="42452"/>
  <c r="D71" i="42452"/>
  <c r="D72" i="42452"/>
  <c r="D73" i="42452"/>
  <c r="D74" i="42452"/>
  <c r="D75" i="42452"/>
  <c r="D76" i="42452"/>
  <c r="D77" i="42452"/>
  <c r="D78" i="42452"/>
  <c r="D79" i="42452"/>
  <c r="D80" i="42452"/>
  <c r="D81" i="42452"/>
  <c r="D82" i="42452"/>
  <c r="D83" i="42452"/>
  <c r="D84" i="42452"/>
  <c r="D85" i="42452"/>
  <c r="D86" i="42452"/>
  <c r="D87" i="42452"/>
  <c r="D88" i="42452"/>
  <c r="D89" i="42452"/>
  <c r="D90" i="42452"/>
  <c r="D91" i="42452"/>
  <c r="D92" i="42452"/>
  <c r="D93" i="42452"/>
  <c r="D94" i="42452"/>
  <c r="D95" i="42452"/>
  <c r="D96" i="42452"/>
  <c r="D97" i="42452"/>
  <c r="D98" i="42452"/>
  <c r="D99" i="42452"/>
  <c r="D100" i="42452"/>
  <c r="D101" i="42452"/>
  <c r="D102" i="42452"/>
  <c r="D103" i="42452"/>
  <c r="D104" i="42452"/>
  <c r="D105" i="42452"/>
  <c r="D106" i="42452"/>
  <c r="D107" i="42452"/>
  <c r="D108" i="42452"/>
  <c r="D109" i="42452"/>
  <c r="D110" i="42452"/>
  <c r="D111" i="42452"/>
  <c r="D112" i="42452"/>
  <c r="D113" i="42452"/>
  <c r="D114" i="42452"/>
  <c r="D115" i="42452"/>
  <c r="D116" i="42452"/>
  <c r="D117" i="42452"/>
  <c r="D118" i="42452"/>
  <c r="D119" i="42452"/>
  <c r="D120" i="42452"/>
  <c r="D121" i="42452"/>
  <c r="D122" i="42452"/>
  <c r="D123" i="42452"/>
  <c r="D124" i="42452"/>
  <c r="D125" i="42452"/>
  <c r="D126" i="42452"/>
  <c r="D127" i="42452"/>
  <c r="D128" i="42452"/>
  <c r="D129" i="42452"/>
  <c r="D130" i="42452"/>
  <c r="D131" i="42452"/>
  <c r="D132" i="42452"/>
  <c r="D133" i="42452"/>
  <c r="D134" i="42452"/>
  <c r="D135" i="42452"/>
  <c r="D136" i="42452"/>
  <c r="D137" i="42452"/>
  <c r="D138" i="42452"/>
  <c r="D139" i="42452"/>
  <c r="D140" i="42452"/>
  <c r="D141" i="42452"/>
  <c r="D142" i="42452"/>
  <c r="D143" i="42452"/>
  <c r="D144" i="42452"/>
  <c r="D145" i="42452"/>
  <c r="D146" i="42452"/>
  <c r="D147" i="42452"/>
  <c r="D148" i="42452"/>
  <c r="D149" i="42452"/>
  <c r="D150" i="42452"/>
  <c r="D151" i="42452"/>
  <c r="D152" i="42452"/>
  <c r="D153" i="42452"/>
  <c r="D154" i="42452"/>
  <c r="D155" i="42452"/>
  <c r="D156" i="42452"/>
  <c r="D157" i="42452"/>
  <c r="D158" i="42452"/>
  <c r="D159" i="42452"/>
  <c r="D160" i="42452"/>
  <c r="D161" i="42452"/>
  <c r="D162" i="42452"/>
  <c r="D163" i="42452"/>
  <c r="D164" i="42452"/>
  <c r="D165" i="42452"/>
  <c r="D166" i="42452"/>
  <c r="D167" i="42452"/>
  <c r="D168" i="42452"/>
  <c r="D169" i="42452"/>
  <c r="D170" i="42452"/>
  <c r="D171" i="42452"/>
  <c r="D172" i="42452"/>
  <c r="D173" i="42452"/>
  <c r="D174" i="42452"/>
  <c r="D175" i="42452"/>
  <c r="D176" i="42452"/>
  <c r="D177" i="42452"/>
  <c r="D178" i="42452"/>
  <c r="D179" i="42452"/>
  <c r="D180" i="42452"/>
  <c r="D181" i="42452"/>
  <c r="D182" i="42452"/>
  <c r="D183" i="42452"/>
  <c r="D184" i="42452"/>
  <c r="D185" i="42452"/>
  <c r="D186" i="42452"/>
  <c r="D187" i="42452"/>
  <c r="D188" i="42452"/>
  <c r="D189" i="42452"/>
  <c r="D190" i="42452"/>
  <c r="D191" i="42452"/>
  <c r="D192" i="42452"/>
  <c r="D193" i="42452"/>
  <c r="D194" i="42452"/>
  <c r="D195" i="42452"/>
  <c r="D196" i="42452"/>
  <c r="D197" i="42452"/>
  <c r="D198" i="42452"/>
  <c r="D199" i="42452"/>
  <c r="D200" i="42452"/>
  <c r="D201" i="42452"/>
  <c r="D202" i="42452"/>
  <c r="D203" i="42452"/>
  <c r="D204" i="42452"/>
  <c r="D205" i="42452"/>
  <c r="D206" i="42452"/>
  <c r="D207" i="42452"/>
  <c r="D208" i="42452"/>
  <c r="D209" i="42452"/>
  <c r="D210" i="42452"/>
  <c r="D211" i="42452"/>
  <c r="D212" i="42452"/>
  <c r="D213" i="42452"/>
  <c r="D214" i="42452"/>
  <c r="D215" i="42452"/>
  <c r="D216" i="42452"/>
  <c r="D217" i="42452"/>
  <c r="D218" i="42452"/>
  <c r="D219" i="42452"/>
  <c r="D220" i="42452"/>
  <c r="D221" i="42452"/>
  <c r="D222" i="42452"/>
  <c r="D223" i="42452"/>
  <c r="D224" i="42452"/>
  <c r="D225" i="42452"/>
  <c r="D226" i="42452"/>
  <c r="D227" i="42452"/>
  <c r="D228" i="42452"/>
  <c r="D229" i="42452"/>
  <c r="D230" i="42452"/>
  <c r="D231" i="42452"/>
  <c r="D232" i="42452"/>
  <c r="D233" i="42452"/>
  <c r="D234" i="42452"/>
  <c r="D235" i="42452"/>
  <c r="D236" i="42452"/>
  <c r="D237" i="42452"/>
  <c r="D238" i="42452"/>
  <c r="D239" i="42452"/>
  <c r="D240" i="42452"/>
  <c r="D241" i="42452"/>
  <c r="D242" i="42452"/>
  <c r="D243" i="42452"/>
  <c r="D244" i="42452"/>
  <c r="D245" i="42452"/>
  <c r="D246" i="42452"/>
  <c r="D247" i="42452"/>
  <c r="D248" i="42452"/>
  <c r="D249" i="42452"/>
  <c r="D250" i="42452"/>
  <c r="D251" i="42452"/>
  <c r="D252" i="42452"/>
  <c r="D253" i="42452"/>
  <c r="D254" i="42452"/>
  <c r="D255" i="42452"/>
  <c r="D256" i="42452"/>
  <c r="D257" i="42452"/>
  <c r="D258" i="42452"/>
  <c r="D259" i="42452"/>
  <c r="D260" i="42452"/>
  <c r="D261" i="42452"/>
  <c r="D262" i="42452"/>
  <c r="D263" i="42452"/>
  <c r="D264" i="42452"/>
  <c r="D265" i="42452"/>
  <c r="D266" i="42452"/>
  <c r="D267" i="42452"/>
  <c r="D268" i="42452"/>
  <c r="D269" i="42452"/>
  <c r="D270" i="42452"/>
  <c r="D271" i="42452"/>
  <c r="D272" i="42452"/>
  <c r="D273" i="42452"/>
  <c r="D274" i="42452"/>
  <c r="D275" i="42452"/>
  <c r="D276" i="42452"/>
  <c r="D277" i="42452"/>
  <c r="D278" i="42452"/>
  <c r="D279" i="42452"/>
  <c r="D280" i="42452"/>
  <c r="D281" i="42452"/>
  <c r="D282" i="42452"/>
  <c r="D283" i="42452"/>
  <c r="D284" i="42452"/>
  <c r="D285" i="42452"/>
  <c r="D286" i="42452"/>
  <c r="D287" i="42452"/>
  <c r="D288" i="42452"/>
  <c r="D289" i="42452"/>
  <c r="D290" i="42452"/>
  <c r="D291" i="42452"/>
  <c r="D292" i="42452"/>
  <c r="D293" i="42452"/>
  <c r="D294" i="42452"/>
  <c r="D295" i="42452"/>
  <c r="D296" i="42452"/>
  <c r="D297" i="42452"/>
  <c r="D298" i="42452"/>
  <c r="D299" i="42452"/>
  <c r="D300" i="42452"/>
  <c r="D301" i="42452"/>
  <c r="D302" i="42452"/>
  <c r="D303" i="42452"/>
  <c r="D304" i="42452"/>
  <c r="D305" i="42452"/>
  <c r="D306" i="42452"/>
  <c r="D307" i="42452"/>
  <c r="D308" i="42452"/>
  <c r="D309" i="42452"/>
  <c r="D310" i="42452"/>
  <c r="D311" i="42452"/>
  <c r="D312" i="42452"/>
  <c r="D313" i="42452"/>
  <c r="D314" i="42452"/>
  <c r="D315" i="42452"/>
  <c r="D316" i="42452"/>
  <c r="D317" i="42452"/>
  <c r="D318" i="42452"/>
  <c r="D319" i="42452"/>
  <c r="D320" i="42452"/>
  <c r="D321" i="42452"/>
  <c r="D322" i="42452"/>
  <c r="D323" i="42452"/>
  <c r="D324" i="42452"/>
  <c r="D325" i="42452"/>
  <c r="D326" i="42452"/>
  <c r="D327" i="42452"/>
  <c r="D328" i="42452"/>
  <c r="D329" i="42452"/>
  <c r="D330" i="42452"/>
  <c r="D331" i="42452"/>
  <c r="D332" i="42452"/>
  <c r="D333" i="42452"/>
  <c r="D334" i="42452"/>
  <c r="D335" i="42452"/>
  <c r="J5" i="42450"/>
  <c r="J7" i="42450" s="1"/>
  <c r="N5" i="42450"/>
  <c r="N7" i="42450" s="1"/>
  <c r="C7" i="42450"/>
  <c r="C12" i="42450" s="1"/>
  <c r="D7" i="42450"/>
  <c r="D12" i="42450" s="1"/>
  <c r="E7" i="42450"/>
  <c r="E12" i="42450" s="1"/>
  <c r="G7" i="42450"/>
  <c r="G12" i="42450" s="1"/>
  <c r="H7" i="42450"/>
  <c r="H12" i="42450" s="1"/>
  <c r="I7" i="42450"/>
  <c r="I12" i="42450" s="1"/>
  <c r="K7" i="42450"/>
  <c r="L7" i="42450"/>
  <c r="L12" i="42450" s="1"/>
  <c r="M7" i="42450"/>
  <c r="M12" i="42450" s="1"/>
  <c r="O7" i="42450"/>
  <c r="O12" i="42450" s="1"/>
  <c r="P7" i="42450"/>
  <c r="J10" i="42450"/>
  <c r="N10" i="42450"/>
  <c r="K12" i="42450"/>
  <c r="G11" i="42433"/>
  <c r="F13" i="42433"/>
  <c r="G13" i="42433"/>
  <c r="I13" i="42433"/>
  <c r="J13" i="42433"/>
  <c r="F14" i="42433"/>
  <c r="G14" i="42433"/>
  <c r="I14" i="42433"/>
  <c r="J14" i="42433"/>
  <c r="G15" i="42433"/>
  <c r="G16" i="42433"/>
  <c r="H16" i="42433"/>
  <c r="C5" i="42446"/>
  <c r="C9" i="42446" s="1"/>
  <c r="F8" i="42446"/>
  <c r="F12" i="42446"/>
  <c r="C21" i="42446"/>
  <c r="J47" i="42446"/>
  <c r="J52" i="42446"/>
  <c r="M58" i="42446"/>
  <c r="M74" i="42446"/>
  <c r="Q87" i="42446"/>
  <c r="R87" i="42446" s="1"/>
  <c r="R88" i="42446" s="1"/>
  <c r="P88" i="42446"/>
  <c r="P91" i="42446" s="1"/>
  <c r="Q89" i="42446"/>
  <c r="R89" i="42446" s="1"/>
  <c r="Q92" i="42446"/>
  <c r="R92" i="42446" s="1"/>
  <c r="M5" i="42410"/>
  <c r="O5" i="42410" s="1"/>
  <c r="H6" i="42410"/>
  <c r="I6" i="42410"/>
  <c r="J6" i="42410"/>
  <c r="H7" i="42410"/>
  <c r="I7" i="42410"/>
  <c r="J7" i="42410"/>
  <c r="B8" i="42410"/>
  <c r="C8" i="42410"/>
  <c r="D8" i="42410"/>
  <c r="E8" i="42410"/>
  <c r="F8" i="42410"/>
  <c r="G8" i="42410"/>
  <c r="C9" i="42410"/>
  <c r="C11" i="42410" s="1"/>
  <c r="F9" i="42410"/>
  <c r="H9" i="42410"/>
  <c r="J9" i="42410"/>
  <c r="H10" i="42410"/>
  <c r="I10" i="42410"/>
  <c r="J10" i="42410"/>
  <c r="B11" i="42410"/>
  <c r="D11" i="42410"/>
  <c r="D17" i="42410" s="1"/>
  <c r="E11" i="42410"/>
  <c r="E17" i="42410" s="1"/>
  <c r="G11" i="42410"/>
  <c r="C13" i="42410"/>
  <c r="F13" i="42410"/>
  <c r="B15" i="42410"/>
  <c r="D15" i="42410"/>
  <c r="E15" i="42410"/>
  <c r="G15" i="42410"/>
  <c r="C16" i="42410"/>
  <c r="D16" i="42410"/>
  <c r="F16" i="42410"/>
  <c r="G16" i="42410"/>
  <c r="B20" i="42410"/>
  <c r="B21" i="42410"/>
  <c r="B22" i="42410" s="1"/>
  <c r="B28" i="42410"/>
  <c r="C38" i="42410"/>
  <c r="C45" i="42410" s="1"/>
  <c r="H41" i="42410"/>
  <c r="D45" i="42410"/>
  <c r="D7" i="42407"/>
  <c r="B11" i="42407"/>
  <c r="C11" i="42407"/>
  <c r="D19" i="42407"/>
  <c r="C20" i="42407"/>
  <c r="G23" i="42407"/>
  <c r="G34" i="42407"/>
  <c r="G37" i="42407"/>
  <c r="F7" i="42406"/>
  <c r="G7" i="42406" s="1"/>
  <c r="F8" i="42406"/>
  <c r="G8" i="42406" s="1"/>
  <c r="F9" i="42406"/>
  <c r="G9" i="42406" s="1"/>
  <c r="I10" i="42406"/>
  <c r="I11" i="42406"/>
  <c r="F12" i="42406"/>
  <c r="B13" i="42406"/>
  <c r="B11" i="42406" s="1"/>
  <c r="C13" i="42406"/>
  <c r="C11" i="42406" s="1"/>
  <c r="D13" i="42406"/>
  <c r="D18" i="42406" s="1"/>
  <c r="E13" i="42406"/>
  <c r="E11" i="42406" s="1"/>
  <c r="E10" i="42406" s="1"/>
  <c r="B15" i="42406"/>
  <c r="B16" i="42406" s="1"/>
  <c r="C15" i="42406"/>
  <c r="C16" i="42406" s="1"/>
  <c r="D15" i="42406"/>
  <c r="D16" i="42406" s="1"/>
  <c r="E15" i="42406"/>
  <c r="E16" i="42406" s="1"/>
  <c r="B17" i="42406"/>
  <c r="C17" i="42406"/>
  <c r="E17" i="42406"/>
  <c r="I17" i="42406"/>
  <c r="B18" i="42406"/>
  <c r="E23" i="42406"/>
  <c r="E24" i="42406" s="1"/>
  <c r="E29" i="42406"/>
  <c r="B36" i="42406"/>
  <c r="E37" i="42406"/>
  <c r="B44" i="42406"/>
  <c r="C44" i="42406" s="1"/>
  <c r="B45" i="42406"/>
  <c r="B60" i="42406"/>
  <c r="C60" i="42406" s="1"/>
  <c r="B74" i="42406"/>
  <c r="C74" i="42406" s="1"/>
  <c r="F7" i="42405"/>
  <c r="C8" i="42405"/>
  <c r="D8" i="42405"/>
  <c r="E8" i="42405"/>
  <c r="B9" i="42405"/>
  <c r="F9" i="42405"/>
  <c r="F10" i="42405"/>
  <c r="B11" i="42405"/>
  <c r="B16" i="42405"/>
  <c r="B17" i="42405" s="1"/>
  <c r="B25" i="42405"/>
  <c r="I57" i="42405" s="1"/>
  <c r="B26" i="42405"/>
  <c r="D35" i="42405"/>
  <c r="E36" i="42405"/>
  <c r="F36" i="42405" s="1"/>
  <c r="I38" i="42405"/>
  <c r="J38" i="42405"/>
  <c r="K38" i="42405" s="1"/>
  <c r="L38" i="42405" s="1"/>
  <c r="K55" i="42405"/>
  <c r="L55" i="42405" s="1"/>
  <c r="AT602" i="42385"/>
  <c r="L57" i="42405"/>
  <c r="B6" i="42403"/>
  <c r="B44" i="42403" s="1"/>
  <c r="E6" i="42403"/>
  <c r="K8" i="42403"/>
  <c r="N8" i="42403" s="1"/>
  <c r="K9" i="42403"/>
  <c r="N9" i="42403" s="1"/>
  <c r="P9" i="42403"/>
  <c r="P10" i="42403" s="1"/>
  <c r="Q9" i="42403"/>
  <c r="R9" i="42403"/>
  <c r="S9" i="42403"/>
  <c r="T9" i="42403"/>
  <c r="U9" i="42403"/>
  <c r="V9" i="42403"/>
  <c r="W9" i="42403"/>
  <c r="X9" i="42403"/>
  <c r="Y9" i="42403"/>
  <c r="Z9" i="42403"/>
  <c r="AA9" i="42403"/>
  <c r="AB9" i="42403"/>
  <c r="H10" i="42403"/>
  <c r="H12" i="42403" s="1"/>
  <c r="L11" i="42403"/>
  <c r="L20" i="42403" s="1"/>
  <c r="M11" i="42403"/>
  <c r="M20" i="42403" s="1"/>
  <c r="N12" i="42403"/>
  <c r="L13" i="42403"/>
  <c r="M13" i="42403"/>
  <c r="L15" i="42403"/>
  <c r="M15" i="42403"/>
  <c r="K24" i="42403"/>
  <c r="K25" i="42403" s="1"/>
  <c r="K26" i="42403" s="1"/>
  <c r="K27" i="42403" s="1"/>
  <c r="K28" i="42403" s="1"/>
  <c r="L24" i="42403"/>
  <c r="L16" i="42403" s="1"/>
  <c r="M24" i="42403"/>
  <c r="M16" i="42403" s="1"/>
  <c r="E26" i="42403"/>
  <c r="B47" i="42403"/>
  <c r="D6" i="42412"/>
  <c r="G6" i="42412"/>
  <c r="I6" i="42412" s="1"/>
  <c r="M6" i="42412"/>
  <c r="D7" i="42412"/>
  <c r="L7" i="42412"/>
  <c r="N7" i="42412"/>
  <c r="O7" i="42412"/>
  <c r="D8" i="42412"/>
  <c r="L8" i="42412"/>
  <c r="N8" i="42412"/>
  <c r="O8" i="42412"/>
  <c r="Z8" i="42412"/>
  <c r="AA8" i="42412"/>
  <c r="D9" i="42412"/>
  <c r="B10" i="42412"/>
  <c r="C10" i="42412"/>
  <c r="L10" i="42412"/>
  <c r="L11" i="42412" s="1"/>
  <c r="M11" i="42412" s="1"/>
  <c r="N11" i="42412"/>
  <c r="O11" i="42412"/>
  <c r="Z11" i="42412"/>
  <c r="AA11" i="42412"/>
  <c r="N12" i="42412"/>
  <c r="O12" i="42412"/>
  <c r="Z12" i="42412"/>
  <c r="AA12" i="42412"/>
  <c r="B13" i="42412"/>
  <c r="C13" i="42412"/>
  <c r="D14" i="42412"/>
  <c r="D15" i="42412"/>
  <c r="G15" i="42412"/>
  <c r="G28" i="42412" s="1"/>
  <c r="H15" i="42412"/>
  <c r="G35" i="42412"/>
  <c r="H35" i="42412"/>
  <c r="L43" i="42412"/>
  <c r="AB33" i="42400"/>
  <c r="AB47" i="42400" s="1"/>
  <c r="AC33" i="42400"/>
  <c r="AC47" i="42400" s="1"/>
  <c r="AD33" i="42400"/>
  <c r="AD47" i="42400" s="1"/>
  <c r="AE33" i="42400"/>
  <c r="AE47" i="42400" s="1"/>
  <c r="AG33" i="42400"/>
  <c r="AG47" i="42400" s="1"/>
  <c r="AH33" i="42400"/>
  <c r="AH47" i="42400" s="1"/>
  <c r="AI33" i="42400"/>
  <c r="AI47" i="42400" s="1"/>
  <c r="AJ33" i="42400"/>
  <c r="AJ47" i="42400" s="1"/>
  <c r="AL33" i="42400"/>
  <c r="AL47" i="42400" s="1"/>
  <c r="AM33" i="42400"/>
  <c r="AM47" i="42400" s="1"/>
  <c r="AN33" i="42400"/>
  <c r="AN47" i="42400" s="1"/>
  <c r="AO33" i="42400"/>
  <c r="AO47" i="42400" s="1"/>
  <c r="AQ33" i="42400"/>
  <c r="AQ47" i="42400" s="1"/>
  <c r="AR33" i="42400"/>
  <c r="AR47" i="42400" s="1"/>
  <c r="AS33" i="42400"/>
  <c r="AS47" i="42400" s="1"/>
  <c r="AT33" i="42400"/>
  <c r="AT47" i="42400" s="1"/>
  <c r="AV33" i="42400"/>
  <c r="AV47" i="42400" s="1"/>
  <c r="AW33" i="42400"/>
  <c r="AW47" i="42400" s="1"/>
  <c r="AX33" i="42400"/>
  <c r="AX47" i="42400" s="1"/>
  <c r="AY33" i="42400"/>
  <c r="AY47" i="42400" s="1"/>
  <c r="BA33" i="42400"/>
  <c r="BA47" i="42400" s="1"/>
  <c r="BB33" i="42400"/>
  <c r="BB47" i="42400" s="1"/>
  <c r="BC33" i="42400"/>
  <c r="BC47" i="42400" s="1"/>
  <c r="BD33" i="42400"/>
  <c r="BD47" i="42400" s="1"/>
  <c r="BF33" i="42400"/>
  <c r="BF47" i="42400" s="1"/>
  <c r="BG33" i="42400"/>
  <c r="BG47" i="42400" s="1"/>
  <c r="BH33" i="42400"/>
  <c r="BH47" i="42400" s="1"/>
  <c r="BI33" i="42400"/>
  <c r="BI47" i="42400" s="1"/>
  <c r="BK33" i="42400"/>
  <c r="BK47" i="42400" s="1"/>
  <c r="BL33" i="42400"/>
  <c r="BL47" i="42400" s="1"/>
  <c r="BM33" i="42400"/>
  <c r="BM47" i="42400" s="1"/>
  <c r="BN33" i="42400"/>
  <c r="BN47" i="42400" s="1"/>
  <c r="BP33" i="42400"/>
  <c r="BP47" i="42400" s="1"/>
  <c r="BQ33" i="42400"/>
  <c r="BQ47" i="42400" s="1"/>
  <c r="BR33" i="42400"/>
  <c r="BR47" i="42400" s="1"/>
  <c r="AB34" i="42400"/>
  <c r="AB49" i="42400" s="1"/>
  <c r="AC34" i="42400"/>
  <c r="AC49" i="42400" s="1"/>
  <c r="AD34" i="42400"/>
  <c r="AE34" i="42400"/>
  <c r="AE49" i="42400" s="1"/>
  <c r="AG34" i="42400"/>
  <c r="AG49" i="42400" s="1"/>
  <c r="AH34" i="42400"/>
  <c r="AH49" i="42400" s="1"/>
  <c r="AI34" i="42400"/>
  <c r="AI49" i="42400" s="1"/>
  <c r="AJ34" i="42400"/>
  <c r="AJ49" i="42400" s="1"/>
  <c r="AL34" i="42400"/>
  <c r="AL49" i="42400" s="1"/>
  <c r="AM34" i="42400"/>
  <c r="AM49" i="42400" s="1"/>
  <c r="AN34" i="42400"/>
  <c r="AN49" i="42400" s="1"/>
  <c r="AO34" i="42400"/>
  <c r="AO49" i="42400" s="1"/>
  <c r="AQ34" i="42400"/>
  <c r="AQ49" i="42400" s="1"/>
  <c r="AR34" i="42400"/>
  <c r="AR49" i="42400" s="1"/>
  <c r="AS34" i="42400"/>
  <c r="AS49" i="42400" s="1"/>
  <c r="AT34" i="42400"/>
  <c r="AT49" i="42400" s="1"/>
  <c r="AV34" i="42400"/>
  <c r="AV49" i="42400" s="1"/>
  <c r="AW34" i="42400"/>
  <c r="AW49" i="42400" s="1"/>
  <c r="AX34" i="42400"/>
  <c r="AY34" i="42400"/>
  <c r="AY49" i="42400" s="1"/>
  <c r="BA34" i="42400"/>
  <c r="BA49" i="42400" s="1"/>
  <c r="BB34" i="42400"/>
  <c r="BB49" i="42400" s="1"/>
  <c r="BC34" i="42400"/>
  <c r="BD34" i="42400"/>
  <c r="BD49" i="42400" s="1"/>
  <c r="BF34" i="42400"/>
  <c r="BF49" i="42400" s="1"/>
  <c r="BG34" i="42400"/>
  <c r="BG49" i="42400" s="1"/>
  <c r="BH34" i="42400"/>
  <c r="BH49" i="42400" s="1"/>
  <c r="BI34" i="42400"/>
  <c r="BI49" i="42400" s="1"/>
  <c r="BK34" i="42400"/>
  <c r="BK49" i="42400" s="1"/>
  <c r="BL34" i="42400"/>
  <c r="BL49" i="42400" s="1"/>
  <c r="BM34" i="42400"/>
  <c r="BM49" i="42400" s="1"/>
  <c r="BN34" i="42400"/>
  <c r="BN49" i="42400" s="1"/>
  <c r="BP34" i="42400"/>
  <c r="BP49" i="42400" s="1"/>
  <c r="BQ34" i="42400"/>
  <c r="BQ49" i="42400" s="1"/>
  <c r="BR34" i="42400"/>
  <c r="G37" i="42400"/>
  <c r="H37" i="42400"/>
  <c r="I37" i="42400"/>
  <c r="J37" i="42400"/>
  <c r="K37" i="42400"/>
  <c r="L37" i="42400"/>
  <c r="Q37" i="42400"/>
  <c r="V37" i="42400"/>
  <c r="U37" i="42400"/>
  <c r="AA37" i="42400"/>
  <c r="Y37" i="42400" s="1"/>
  <c r="G38" i="42400"/>
  <c r="H38" i="42400"/>
  <c r="I38" i="42400"/>
  <c r="J38" i="42400"/>
  <c r="K38" i="42400"/>
  <c r="L38" i="42400"/>
  <c r="Q38" i="42400"/>
  <c r="O38" i="42400" s="1"/>
  <c r="V38" i="42400"/>
  <c r="U38" i="42400" s="1"/>
  <c r="AA38" i="42400"/>
  <c r="W38" i="42400" s="1"/>
  <c r="G39" i="42400"/>
  <c r="H39" i="42400"/>
  <c r="I39" i="42400"/>
  <c r="J39" i="42400"/>
  <c r="K39" i="42400"/>
  <c r="L39" i="42400"/>
  <c r="Q39" i="42400"/>
  <c r="V39" i="42400"/>
  <c r="U39" i="42400" s="1"/>
  <c r="AA39" i="42400"/>
  <c r="Y39" i="42400" s="1"/>
  <c r="G40" i="42400"/>
  <c r="H40" i="42400"/>
  <c r="I40" i="42400"/>
  <c r="J40" i="42400"/>
  <c r="K40" i="42400"/>
  <c r="L40" i="42400"/>
  <c r="Q40" i="42400"/>
  <c r="V40" i="42400"/>
  <c r="R40" i="42400" s="1"/>
  <c r="AA40" i="42400"/>
  <c r="W40" i="42400" s="1"/>
  <c r="G41" i="42400"/>
  <c r="H41" i="42400"/>
  <c r="I41" i="42400"/>
  <c r="J41" i="42400"/>
  <c r="K41" i="42400"/>
  <c r="L41" i="42400"/>
  <c r="Q41" i="42400"/>
  <c r="V41" i="42400"/>
  <c r="U41" i="42400" s="1"/>
  <c r="AA41" i="42400"/>
  <c r="W41" i="42400" s="1"/>
  <c r="G42" i="42400"/>
  <c r="C42" i="42400" s="1"/>
  <c r="H42" i="42400"/>
  <c r="I42" i="42400"/>
  <c r="J42" i="42400"/>
  <c r="K42" i="42400"/>
  <c r="L42" i="42400"/>
  <c r="Q42" i="42400"/>
  <c r="M42" i="42400" s="1"/>
  <c r="V42" i="42400"/>
  <c r="AA42" i="42400"/>
  <c r="G43" i="42400"/>
  <c r="C43" i="42400" s="1"/>
  <c r="H43" i="42400"/>
  <c r="I43" i="42400"/>
  <c r="J43" i="42400"/>
  <c r="K43" i="42400"/>
  <c r="L43" i="42400"/>
  <c r="Q43" i="42400"/>
  <c r="M43" i="42400" s="1"/>
  <c r="V43" i="42400"/>
  <c r="U43" i="42400" s="1"/>
  <c r="AA43" i="42400"/>
  <c r="Y43" i="42400" s="1"/>
  <c r="M47" i="42400"/>
  <c r="N47" i="42400"/>
  <c r="O47" i="42400"/>
  <c r="P47" i="42400"/>
  <c r="R47" i="42400"/>
  <c r="S47" i="42400"/>
  <c r="T47" i="42400"/>
  <c r="U47" i="42400"/>
  <c r="W47" i="42400"/>
  <c r="X47" i="42400"/>
  <c r="Z47" i="42400"/>
  <c r="C49" i="42400"/>
  <c r="D49" i="42400"/>
  <c r="E49" i="42400"/>
  <c r="F49" i="42400"/>
  <c r="H49" i="42400"/>
  <c r="I49" i="42400"/>
  <c r="J49" i="42400"/>
  <c r="K49" i="42400"/>
  <c r="M49" i="42400"/>
  <c r="N49" i="42400"/>
  <c r="O49" i="42400"/>
  <c r="P49" i="42400"/>
  <c r="R49" i="42400"/>
  <c r="S49" i="42400"/>
  <c r="T49" i="42400"/>
  <c r="U49" i="42400"/>
  <c r="W49" i="42400"/>
  <c r="X49" i="42400"/>
  <c r="Y49" i="42400"/>
  <c r="Z49" i="42400"/>
  <c r="AD49" i="42400"/>
  <c r="AX49" i="42400"/>
  <c r="BC49" i="42400"/>
  <c r="BR49" i="42400"/>
  <c r="R51" i="42400"/>
  <c r="S51" i="42400"/>
  <c r="T51" i="42400"/>
  <c r="U51" i="42400"/>
  <c r="AB59" i="42400"/>
  <c r="AC59" i="42400"/>
  <c r="AD59" i="42400"/>
  <c r="AE59" i="42400"/>
  <c r="AG59" i="42400"/>
  <c r="AH59" i="42400"/>
  <c r="AI59" i="42400"/>
  <c r="AJ59" i="42400"/>
  <c r="AL59" i="42400"/>
  <c r="AM59" i="42400"/>
  <c r="AN59" i="42400"/>
  <c r="AO59" i="42400"/>
  <c r="AQ59" i="42400"/>
  <c r="AR59" i="42400"/>
  <c r="AS59" i="42400"/>
  <c r="AT59" i="42400"/>
  <c r="AV59" i="42400"/>
  <c r="AW59" i="42400"/>
  <c r="AX59" i="42400"/>
  <c r="AY59" i="42400"/>
  <c r="BA59" i="42400"/>
  <c r="BB59" i="42400"/>
  <c r="BC59" i="42400"/>
  <c r="BD59" i="42400"/>
  <c r="BF59" i="42400"/>
  <c r="BG59" i="42400"/>
  <c r="BH59" i="42400"/>
  <c r="BI59" i="42400"/>
  <c r="BK59" i="42400"/>
  <c r="BL59" i="42400"/>
  <c r="BM59" i="42400"/>
  <c r="BN59" i="42400"/>
  <c r="BP59" i="42400"/>
  <c r="BQ59" i="42400"/>
  <c r="BR59" i="42400"/>
  <c r="AB60" i="42400"/>
  <c r="AB73" i="42400" s="1"/>
  <c r="AC60" i="42400"/>
  <c r="AC73" i="42400" s="1"/>
  <c r="AD60" i="42400"/>
  <c r="AD73" i="42400" s="1"/>
  <c r="AE60" i="42400"/>
  <c r="AE73" i="42400" s="1"/>
  <c r="AG60" i="42400"/>
  <c r="AG73" i="42400" s="1"/>
  <c r="AH60" i="42400"/>
  <c r="AH73" i="42400" s="1"/>
  <c r="AI60" i="42400"/>
  <c r="AI73" i="42400" s="1"/>
  <c r="AJ60" i="42400"/>
  <c r="AJ73" i="42400" s="1"/>
  <c r="AL60" i="42400"/>
  <c r="AL73" i="42400" s="1"/>
  <c r="AM60" i="42400"/>
  <c r="AM73" i="42400" s="1"/>
  <c r="AN60" i="42400"/>
  <c r="AN73" i="42400" s="1"/>
  <c r="AO60" i="42400"/>
  <c r="AO73" i="42400" s="1"/>
  <c r="AQ60" i="42400"/>
  <c r="AQ73" i="42400" s="1"/>
  <c r="AR60" i="42400"/>
  <c r="AR73" i="42400" s="1"/>
  <c r="AS60" i="42400"/>
  <c r="AS73" i="42400" s="1"/>
  <c r="AT60" i="42400"/>
  <c r="AT73" i="42400" s="1"/>
  <c r="AV60" i="42400"/>
  <c r="AV73" i="42400" s="1"/>
  <c r="AW60" i="42400"/>
  <c r="AW73" i="42400" s="1"/>
  <c r="AX60" i="42400"/>
  <c r="AX73" i="42400" s="1"/>
  <c r="AY60" i="42400"/>
  <c r="AY73" i="42400" s="1"/>
  <c r="BA60" i="42400"/>
  <c r="BA73" i="42400" s="1"/>
  <c r="BB60" i="42400"/>
  <c r="BB73" i="42400" s="1"/>
  <c r="BC60" i="42400"/>
  <c r="BC73" i="42400" s="1"/>
  <c r="BD60" i="42400"/>
  <c r="BD73" i="42400" s="1"/>
  <c r="BF60" i="42400"/>
  <c r="BF73" i="42400" s="1"/>
  <c r="BG60" i="42400"/>
  <c r="BG73" i="42400" s="1"/>
  <c r="BH60" i="42400"/>
  <c r="BH73" i="42400" s="1"/>
  <c r="BI60" i="42400"/>
  <c r="BI73" i="42400" s="1"/>
  <c r="BK60" i="42400"/>
  <c r="BK73" i="42400" s="1"/>
  <c r="BL60" i="42400"/>
  <c r="BL73" i="42400" s="1"/>
  <c r="BM60" i="42400"/>
  <c r="BM73" i="42400" s="1"/>
  <c r="BN60" i="42400"/>
  <c r="BN73" i="42400" s="1"/>
  <c r="BP60" i="42400"/>
  <c r="BP73" i="42400" s="1"/>
  <c r="BQ60" i="42400"/>
  <c r="BQ73" i="42400" s="1"/>
  <c r="BR60" i="42400"/>
  <c r="BR73" i="42400" s="1"/>
  <c r="G63" i="42400"/>
  <c r="F63" i="42400" s="1"/>
  <c r="H63" i="42400"/>
  <c r="I63" i="42400"/>
  <c r="L63" i="42400"/>
  <c r="Q63" i="42400"/>
  <c r="V63" i="42400"/>
  <c r="R63" i="42400" s="1"/>
  <c r="AA63" i="42400"/>
  <c r="Z63" i="42400" s="1"/>
  <c r="G64" i="42400"/>
  <c r="C64" i="42400" s="1"/>
  <c r="H64" i="42400"/>
  <c r="I64" i="42400"/>
  <c r="L64" i="42400"/>
  <c r="Q64" i="42400"/>
  <c r="V64" i="42400"/>
  <c r="AA64" i="42400"/>
  <c r="G65" i="42400"/>
  <c r="C65" i="42400" s="1"/>
  <c r="H65" i="42400"/>
  <c r="I65" i="42400"/>
  <c r="L65" i="42400"/>
  <c r="J65" i="42400" s="1"/>
  <c r="Q65" i="42400"/>
  <c r="P65" i="42400" s="1"/>
  <c r="V65" i="42400"/>
  <c r="AA65" i="42400"/>
  <c r="Z65" i="42400" s="1"/>
  <c r="G66" i="42400"/>
  <c r="D66" i="42400" s="1"/>
  <c r="H66" i="42400"/>
  <c r="I66" i="42400"/>
  <c r="L66" i="42400"/>
  <c r="Q66" i="42400"/>
  <c r="N66" i="42400" s="1"/>
  <c r="V66" i="42400"/>
  <c r="R66" i="42400" s="1"/>
  <c r="AA66" i="42400"/>
  <c r="X66" i="42400" s="1"/>
  <c r="G67" i="42400"/>
  <c r="D67" i="42400" s="1"/>
  <c r="H67" i="42400"/>
  <c r="I67" i="42400"/>
  <c r="L67" i="42400"/>
  <c r="J67" i="42400" s="1"/>
  <c r="Q67" i="42400"/>
  <c r="N67" i="42400" s="1"/>
  <c r="V67" i="42400"/>
  <c r="U67" i="42400" s="1"/>
  <c r="AA67" i="42400"/>
  <c r="X67" i="42400" s="1"/>
  <c r="G68" i="42400"/>
  <c r="H68" i="42400"/>
  <c r="I68" i="42400"/>
  <c r="L68" i="42400"/>
  <c r="Q68" i="42400"/>
  <c r="N68" i="42400" s="1"/>
  <c r="V68" i="42400"/>
  <c r="R68" i="42400" s="1"/>
  <c r="AA68" i="42400"/>
  <c r="W68" i="42400" s="1"/>
  <c r="G69" i="42400"/>
  <c r="D69" i="42400" s="1"/>
  <c r="H69" i="42400"/>
  <c r="I69" i="42400"/>
  <c r="L69" i="42400"/>
  <c r="J69" i="42400" s="1"/>
  <c r="Q69" i="42400"/>
  <c r="N69" i="42400" s="1"/>
  <c r="V69" i="42400"/>
  <c r="U69" i="42400" s="1"/>
  <c r="AA69" i="42400"/>
  <c r="X69" i="42400" s="1"/>
  <c r="C73" i="42400"/>
  <c r="D73" i="42400"/>
  <c r="E73" i="42400"/>
  <c r="F73" i="42400"/>
  <c r="G73" i="42400"/>
  <c r="H73" i="42400"/>
  <c r="I73" i="42400"/>
  <c r="J73" i="42400"/>
  <c r="K73" i="42400"/>
  <c r="L73" i="42400"/>
  <c r="M73" i="42400"/>
  <c r="N73" i="42400"/>
  <c r="O73" i="42400"/>
  <c r="P73" i="42400"/>
  <c r="Q73" i="42400"/>
  <c r="R73" i="42400"/>
  <c r="S73" i="42400"/>
  <c r="T73" i="42400"/>
  <c r="U73" i="42400"/>
  <c r="V73" i="42400"/>
  <c r="W73" i="42400"/>
  <c r="X73" i="42400"/>
  <c r="Y73" i="42400"/>
  <c r="Z73" i="42400"/>
  <c r="AA73" i="42400"/>
  <c r="C83" i="42400"/>
  <c r="D83" i="42400"/>
  <c r="E83" i="42400"/>
  <c r="F83" i="42400"/>
  <c r="H83" i="42400"/>
  <c r="H92" i="42400" s="1"/>
  <c r="I83" i="42400"/>
  <c r="J83" i="42400"/>
  <c r="K83" i="42400"/>
  <c r="M83" i="42400"/>
  <c r="M97" i="42400" s="1"/>
  <c r="N83" i="42400"/>
  <c r="N97" i="42400" s="1"/>
  <c r="O83" i="42400"/>
  <c r="O97" i="42400" s="1"/>
  <c r="P83" i="42400"/>
  <c r="P97" i="42400" s="1"/>
  <c r="AB83" i="42400"/>
  <c r="AB97" i="42400" s="1"/>
  <c r="AC83" i="42400"/>
  <c r="AC97" i="42400" s="1"/>
  <c r="AD83" i="42400"/>
  <c r="AD97" i="42400" s="1"/>
  <c r="AE83" i="42400"/>
  <c r="AE97" i="42400" s="1"/>
  <c r="AG83" i="42400"/>
  <c r="AG97" i="42400" s="1"/>
  <c r="AH83" i="42400"/>
  <c r="AH97" i="42400" s="1"/>
  <c r="AI83" i="42400"/>
  <c r="AI97" i="42400" s="1"/>
  <c r="AJ83" i="42400"/>
  <c r="AJ97" i="42400" s="1"/>
  <c r="AL83" i="42400"/>
  <c r="AL97" i="42400" s="1"/>
  <c r="AM83" i="42400"/>
  <c r="AM97" i="42400" s="1"/>
  <c r="AN83" i="42400"/>
  <c r="AN97" i="42400" s="1"/>
  <c r="AO83" i="42400"/>
  <c r="AO97" i="42400" s="1"/>
  <c r="AQ83" i="42400"/>
  <c r="AQ97" i="42400" s="1"/>
  <c r="AR83" i="42400"/>
  <c r="AR97" i="42400" s="1"/>
  <c r="AS83" i="42400"/>
  <c r="AS97" i="42400" s="1"/>
  <c r="AT83" i="42400"/>
  <c r="AT97" i="42400" s="1"/>
  <c r="AV83" i="42400"/>
  <c r="AV97" i="42400" s="1"/>
  <c r="AW83" i="42400"/>
  <c r="AX83" i="42400"/>
  <c r="AX97" i="42400" s="1"/>
  <c r="AY83" i="42400"/>
  <c r="AY97" i="42400" s="1"/>
  <c r="BA83" i="42400"/>
  <c r="BA97" i="42400" s="1"/>
  <c r="BB83" i="42400"/>
  <c r="BB97" i="42400" s="1"/>
  <c r="BC83" i="42400"/>
  <c r="BC97" i="42400" s="1"/>
  <c r="BD83" i="42400"/>
  <c r="BD97" i="42400" s="1"/>
  <c r="BF83" i="42400"/>
  <c r="BF97" i="42400" s="1"/>
  <c r="BG83" i="42400"/>
  <c r="BG97" i="42400" s="1"/>
  <c r="BH83" i="42400"/>
  <c r="BH97" i="42400" s="1"/>
  <c r="BI83" i="42400"/>
  <c r="BI97" i="42400" s="1"/>
  <c r="BK83" i="42400"/>
  <c r="BK97" i="42400" s="1"/>
  <c r="BL83" i="42400"/>
  <c r="BL97" i="42400" s="1"/>
  <c r="BM83" i="42400"/>
  <c r="BM97" i="42400" s="1"/>
  <c r="BN83" i="42400"/>
  <c r="BN97" i="42400" s="1"/>
  <c r="BP83" i="42400"/>
  <c r="BP97" i="42400" s="1"/>
  <c r="BQ83" i="42400"/>
  <c r="BQ97" i="42400" s="1"/>
  <c r="BR83" i="42400"/>
  <c r="BR97" i="42400" s="1"/>
  <c r="AB84" i="42400"/>
  <c r="AB99" i="42400" s="1"/>
  <c r="AC84" i="42400"/>
  <c r="AC99" i="42400" s="1"/>
  <c r="AD84" i="42400"/>
  <c r="AD99" i="42400" s="1"/>
  <c r="AE84" i="42400"/>
  <c r="AE99" i="42400" s="1"/>
  <c r="AG84" i="42400"/>
  <c r="AG99" i="42400" s="1"/>
  <c r="AH84" i="42400"/>
  <c r="AH99" i="42400" s="1"/>
  <c r="AI84" i="42400"/>
  <c r="AI99" i="42400" s="1"/>
  <c r="AJ84" i="42400"/>
  <c r="AJ99" i="42400" s="1"/>
  <c r="AL84" i="42400"/>
  <c r="AL99" i="42400" s="1"/>
  <c r="AM84" i="42400"/>
  <c r="AM99" i="42400" s="1"/>
  <c r="AN84" i="42400"/>
  <c r="AN99" i="42400" s="1"/>
  <c r="AO84" i="42400"/>
  <c r="AO99" i="42400" s="1"/>
  <c r="AQ84" i="42400"/>
  <c r="AQ99" i="42400" s="1"/>
  <c r="AR84" i="42400"/>
  <c r="AR99" i="42400" s="1"/>
  <c r="AS84" i="42400"/>
  <c r="AS99" i="42400" s="1"/>
  <c r="AT84" i="42400"/>
  <c r="AT99" i="42400" s="1"/>
  <c r="AV84" i="42400"/>
  <c r="AV99" i="42400" s="1"/>
  <c r="AW84" i="42400"/>
  <c r="AW99" i="42400" s="1"/>
  <c r="AX84" i="42400"/>
  <c r="AX99" i="42400" s="1"/>
  <c r="AY84" i="42400"/>
  <c r="AY99" i="42400" s="1"/>
  <c r="BA84" i="42400"/>
  <c r="BA99" i="42400" s="1"/>
  <c r="BB84" i="42400"/>
  <c r="BB99" i="42400" s="1"/>
  <c r="BC84" i="42400"/>
  <c r="BD84" i="42400"/>
  <c r="BD99" i="42400" s="1"/>
  <c r="BF84" i="42400"/>
  <c r="BF99" i="42400" s="1"/>
  <c r="BG84" i="42400"/>
  <c r="BG99" i="42400" s="1"/>
  <c r="BH84" i="42400"/>
  <c r="BH99" i="42400" s="1"/>
  <c r="BI84" i="42400"/>
  <c r="BI99" i="42400" s="1"/>
  <c r="BK84" i="42400"/>
  <c r="BK99" i="42400" s="1"/>
  <c r="BL84" i="42400"/>
  <c r="BL99" i="42400" s="1"/>
  <c r="BM84" i="42400"/>
  <c r="BM99" i="42400" s="1"/>
  <c r="BN84" i="42400"/>
  <c r="BN99" i="42400" s="1"/>
  <c r="BP84" i="42400"/>
  <c r="BP99" i="42400" s="1"/>
  <c r="BQ84" i="42400"/>
  <c r="BQ99" i="42400" s="1"/>
  <c r="BR84" i="42400"/>
  <c r="BR99" i="42400" s="1"/>
  <c r="G87" i="42400"/>
  <c r="L87" i="42400"/>
  <c r="J87" i="42400" s="1"/>
  <c r="Q87" i="42400"/>
  <c r="V87" i="42400"/>
  <c r="AA87" i="42400"/>
  <c r="Y87" i="42400" s="1"/>
  <c r="G88" i="42400"/>
  <c r="D88" i="42400" s="1"/>
  <c r="L88" i="42400"/>
  <c r="Q88" i="42400"/>
  <c r="P88" i="42400" s="1"/>
  <c r="V88" i="42400"/>
  <c r="R88" i="42400" s="1"/>
  <c r="AA88" i="42400"/>
  <c r="Z88" i="42400" s="1"/>
  <c r="G89" i="42400"/>
  <c r="F89" i="42400" s="1"/>
  <c r="L89" i="42400"/>
  <c r="J89" i="42400" s="1"/>
  <c r="Q89" i="42400"/>
  <c r="P89" i="42400" s="1"/>
  <c r="V89" i="42400"/>
  <c r="AA89" i="42400"/>
  <c r="G90" i="42400"/>
  <c r="D90" i="42400" s="1"/>
  <c r="L90" i="42400"/>
  <c r="Q90" i="42400"/>
  <c r="P90" i="42400" s="1"/>
  <c r="V90" i="42400"/>
  <c r="R90" i="42400" s="1"/>
  <c r="AA90" i="42400"/>
  <c r="X90" i="42400" s="1"/>
  <c r="G91" i="42400"/>
  <c r="E91" i="42400" s="1"/>
  <c r="L91" i="42400"/>
  <c r="K91" i="42400" s="1"/>
  <c r="Q91" i="42400"/>
  <c r="N91" i="42400" s="1"/>
  <c r="V91" i="42400"/>
  <c r="AA91" i="42400"/>
  <c r="X91" i="42400" s="1"/>
  <c r="G92" i="42400"/>
  <c r="C92" i="42400" s="1"/>
  <c r="L92" i="42400"/>
  <c r="Q92" i="42400"/>
  <c r="P92" i="42400" s="1"/>
  <c r="V92" i="42400"/>
  <c r="R92" i="42400" s="1"/>
  <c r="AA92" i="42400"/>
  <c r="Z92" i="42400" s="1"/>
  <c r="G93" i="42400"/>
  <c r="F93" i="42400" s="1"/>
  <c r="L93" i="42400"/>
  <c r="J93" i="42400" s="1"/>
  <c r="Q93" i="42400"/>
  <c r="P93" i="42400" s="1"/>
  <c r="V93" i="42400"/>
  <c r="R93" i="42400" s="1"/>
  <c r="AA93" i="42400"/>
  <c r="X93" i="42400" s="1"/>
  <c r="R95" i="42400"/>
  <c r="S95" i="42400"/>
  <c r="R97" i="42400"/>
  <c r="S97" i="42400"/>
  <c r="T97" i="42400"/>
  <c r="U97" i="42400"/>
  <c r="W97" i="42400"/>
  <c r="X97" i="42400"/>
  <c r="Z97" i="42400"/>
  <c r="AW97" i="42400"/>
  <c r="C99" i="42400"/>
  <c r="D99" i="42400"/>
  <c r="E99" i="42400"/>
  <c r="F99" i="42400"/>
  <c r="G99" i="42400"/>
  <c r="H99" i="42400"/>
  <c r="I99" i="42400"/>
  <c r="J99" i="42400"/>
  <c r="K99" i="42400"/>
  <c r="L99" i="42400"/>
  <c r="M99" i="42400"/>
  <c r="N99" i="42400"/>
  <c r="O99" i="42400"/>
  <c r="P99" i="42400"/>
  <c r="Q99" i="42400"/>
  <c r="R99" i="42400"/>
  <c r="S99" i="42400"/>
  <c r="T99" i="42400"/>
  <c r="U99" i="42400"/>
  <c r="V99" i="42400"/>
  <c r="W99" i="42400"/>
  <c r="X99" i="42400"/>
  <c r="Y99" i="42400"/>
  <c r="Z99" i="42400"/>
  <c r="AA99" i="42400"/>
  <c r="BC99" i="42400"/>
  <c r="AB130" i="42400"/>
  <c r="AC130" i="42400"/>
  <c r="AD130" i="42400"/>
  <c r="AE130" i="42400"/>
  <c r="AG130" i="42400"/>
  <c r="AH130" i="42400"/>
  <c r="AI130" i="42400"/>
  <c r="AJ130" i="42400"/>
  <c r="AL130" i="42400"/>
  <c r="AM130" i="42400"/>
  <c r="AN130" i="42400"/>
  <c r="AO130" i="42400"/>
  <c r="AQ130" i="42400"/>
  <c r="AR130" i="42400"/>
  <c r="AS130" i="42400"/>
  <c r="AT130" i="42400"/>
  <c r="AV130" i="42400"/>
  <c r="AW130" i="42400"/>
  <c r="AX130" i="42400"/>
  <c r="AY130" i="42400"/>
  <c r="BA130" i="42400"/>
  <c r="BB130" i="42400"/>
  <c r="BC130" i="42400"/>
  <c r="BD130" i="42400"/>
  <c r="BF130" i="42400"/>
  <c r="BG130" i="42400"/>
  <c r="BH130" i="42400"/>
  <c r="BI130" i="42400"/>
  <c r="BK130" i="42400"/>
  <c r="BL130" i="42400"/>
  <c r="BM130" i="42400"/>
  <c r="BN130" i="42400"/>
  <c r="BP130" i="42400"/>
  <c r="BQ130" i="42400"/>
  <c r="BR130" i="42400"/>
  <c r="AB131" i="42400"/>
  <c r="AB146" i="42400" s="1"/>
  <c r="AC131" i="42400"/>
  <c r="AC146" i="42400" s="1"/>
  <c r="AD131" i="42400"/>
  <c r="AD146" i="42400" s="1"/>
  <c r="AE131" i="42400"/>
  <c r="AE146" i="42400" s="1"/>
  <c r="AG131" i="42400"/>
  <c r="AG146" i="42400" s="1"/>
  <c r="AH131" i="42400"/>
  <c r="AH146" i="42400" s="1"/>
  <c r="AI131" i="42400"/>
  <c r="AI146" i="42400" s="1"/>
  <c r="AJ131" i="42400"/>
  <c r="AJ146" i="42400" s="1"/>
  <c r="AL131" i="42400"/>
  <c r="AL146" i="42400" s="1"/>
  <c r="AN131" i="42400"/>
  <c r="AN146" i="42400" s="1"/>
  <c r="AO131" i="42400"/>
  <c r="AO146" i="42400" s="1"/>
  <c r="AQ131" i="42400"/>
  <c r="AQ146" i="42400" s="1"/>
  <c r="AR131" i="42400"/>
  <c r="AR146" i="42400" s="1"/>
  <c r="AS131" i="42400"/>
  <c r="AS146" i="42400" s="1"/>
  <c r="AT131" i="42400"/>
  <c r="AT146" i="42400" s="1"/>
  <c r="AV131" i="42400"/>
  <c r="AV146" i="42400" s="1"/>
  <c r="AW131" i="42400"/>
  <c r="AW146" i="42400" s="1"/>
  <c r="AX131" i="42400"/>
  <c r="AX146" i="42400" s="1"/>
  <c r="AY131" i="42400"/>
  <c r="AY146" i="42400" s="1"/>
  <c r="BA131" i="42400"/>
  <c r="BA146" i="42400" s="1"/>
  <c r="BB131" i="42400"/>
  <c r="BB146" i="42400" s="1"/>
  <c r="BC131" i="42400"/>
  <c r="BC146" i="42400" s="1"/>
  <c r="BD131" i="42400"/>
  <c r="BD146" i="42400" s="1"/>
  <c r="BF131" i="42400"/>
  <c r="BF146" i="42400" s="1"/>
  <c r="BG131" i="42400"/>
  <c r="BG146" i="42400" s="1"/>
  <c r="BH131" i="42400"/>
  <c r="BH146" i="42400" s="1"/>
  <c r="BI131" i="42400"/>
  <c r="BI146" i="42400" s="1"/>
  <c r="BK131" i="42400"/>
  <c r="BK146" i="42400" s="1"/>
  <c r="BL131" i="42400"/>
  <c r="BL146" i="42400" s="1"/>
  <c r="BM131" i="42400"/>
  <c r="BM146" i="42400" s="1"/>
  <c r="BN131" i="42400"/>
  <c r="BN146" i="42400" s="1"/>
  <c r="BP131" i="42400"/>
  <c r="BP146" i="42400" s="1"/>
  <c r="BQ131" i="42400"/>
  <c r="BQ146" i="42400" s="1"/>
  <c r="BR131" i="42400"/>
  <c r="BR146" i="42400" s="1"/>
  <c r="G134" i="42400"/>
  <c r="L134" i="42400"/>
  <c r="K134" i="42400" s="1"/>
  <c r="Q134" i="42400"/>
  <c r="M134" i="42400" s="1"/>
  <c r="V134" i="42400"/>
  <c r="U134" i="42400" s="1"/>
  <c r="AA134" i="42400"/>
  <c r="G135" i="42400"/>
  <c r="L135" i="42400"/>
  <c r="K135" i="42400" s="1"/>
  <c r="Q135" i="42400"/>
  <c r="V135" i="42400"/>
  <c r="U135" i="42400" s="1"/>
  <c r="AA135" i="42400"/>
  <c r="G140" i="42400"/>
  <c r="E140" i="42400" s="1"/>
  <c r="L140" i="42400"/>
  <c r="Q140" i="42400"/>
  <c r="O140" i="42400" s="1"/>
  <c r="V140" i="42400"/>
  <c r="S140" i="42400" s="1"/>
  <c r="AA140" i="42400"/>
  <c r="Y140" i="42400" s="1"/>
  <c r="G141" i="42400"/>
  <c r="D141" i="42400" s="1"/>
  <c r="L141" i="42400"/>
  <c r="K141" i="42400" s="1"/>
  <c r="Q141" i="42400"/>
  <c r="O141" i="42400" s="1"/>
  <c r="V141" i="42400"/>
  <c r="R141" i="42400" s="1"/>
  <c r="AA141" i="42400"/>
  <c r="X141" i="42400" s="1"/>
  <c r="G142" i="42400"/>
  <c r="E142" i="42400" s="1"/>
  <c r="L142" i="42400"/>
  <c r="H142" i="42400" s="1"/>
  <c r="Q142" i="42400"/>
  <c r="V142" i="42400"/>
  <c r="AA142" i="42400"/>
  <c r="X142" i="42400" s="1"/>
  <c r="C146" i="42400"/>
  <c r="D146" i="42400"/>
  <c r="E146" i="42400"/>
  <c r="F146" i="42400"/>
  <c r="G146" i="42400"/>
  <c r="H146" i="42400"/>
  <c r="I146" i="42400"/>
  <c r="J146" i="42400"/>
  <c r="K146" i="42400"/>
  <c r="L146" i="42400"/>
  <c r="M146" i="42400"/>
  <c r="N146" i="42400"/>
  <c r="O146" i="42400"/>
  <c r="P146" i="42400"/>
  <c r="Q146" i="42400"/>
  <c r="R146" i="42400"/>
  <c r="S146" i="42400"/>
  <c r="T146" i="42400"/>
  <c r="U146" i="42400"/>
  <c r="V146" i="42400"/>
  <c r="W146" i="42400"/>
  <c r="X146" i="42400"/>
  <c r="Y146" i="42400"/>
  <c r="Z146" i="42400"/>
  <c r="AA146" i="42400"/>
  <c r="AL151" i="42400"/>
  <c r="AM151" i="42400"/>
  <c r="AN151" i="42400"/>
  <c r="AO151" i="42400"/>
  <c r="AQ151" i="42400"/>
  <c r="AR151" i="42400"/>
  <c r="AS151" i="42400"/>
  <c r="AT151" i="42400"/>
  <c r="AV151" i="42400"/>
  <c r="AW151" i="42400"/>
  <c r="AX151" i="42400"/>
  <c r="AY151" i="42400"/>
  <c r="BA151" i="42400"/>
  <c r="BB151" i="42400"/>
  <c r="BC151" i="42400"/>
  <c r="BD151" i="42400"/>
  <c r="BF151" i="42400"/>
  <c r="BG151" i="42400"/>
  <c r="BH151" i="42400"/>
  <c r="BI151" i="42400"/>
  <c r="BK151" i="42400"/>
  <c r="BL151" i="42400"/>
  <c r="BM151" i="42400"/>
  <c r="BN151" i="42400"/>
  <c r="BP151" i="42400"/>
  <c r="BQ151" i="42400"/>
  <c r="BR151" i="42400"/>
  <c r="AL152" i="42400"/>
  <c r="AL167" i="42400" s="1"/>
  <c r="AM152" i="42400"/>
  <c r="AM167" i="42400" s="1"/>
  <c r="AN152" i="42400"/>
  <c r="AN167" i="42400" s="1"/>
  <c r="AO152" i="42400"/>
  <c r="AO167" i="42400" s="1"/>
  <c r="AQ152" i="42400"/>
  <c r="AQ167" i="42400" s="1"/>
  <c r="AR152" i="42400"/>
  <c r="AR167" i="42400" s="1"/>
  <c r="AS152" i="42400"/>
  <c r="AS167" i="42400" s="1"/>
  <c r="AT152" i="42400"/>
  <c r="AT167" i="42400" s="1"/>
  <c r="AV152" i="42400"/>
  <c r="AV167" i="42400" s="1"/>
  <c r="AW152" i="42400"/>
  <c r="AW167" i="42400" s="1"/>
  <c r="AX152" i="42400"/>
  <c r="AX167" i="42400" s="1"/>
  <c r="AY152" i="42400"/>
  <c r="AY167" i="42400" s="1"/>
  <c r="BA152" i="42400"/>
  <c r="BA167" i="42400" s="1"/>
  <c r="BB152" i="42400"/>
  <c r="BB167" i="42400" s="1"/>
  <c r="BC152" i="42400"/>
  <c r="BC167" i="42400" s="1"/>
  <c r="BD152" i="42400"/>
  <c r="BD167" i="42400" s="1"/>
  <c r="BF152" i="42400"/>
  <c r="BF167" i="42400" s="1"/>
  <c r="BG152" i="42400"/>
  <c r="BG167" i="42400" s="1"/>
  <c r="BH152" i="42400"/>
  <c r="BH167" i="42400" s="1"/>
  <c r="BI152" i="42400"/>
  <c r="BI167" i="42400" s="1"/>
  <c r="BK152" i="42400"/>
  <c r="BK167" i="42400" s="1"/>
  <c r="BL152" i="42400"/>
  <c r="BL167" i="42400" s="1"/>
  <c r="BM152" i="42400"/>
  <c r="BM167" i="42400" s="1"/>
  <c r="BN152" i="42400"/>
  <c r="BN167" i="42400" s="1"/>
  <c r="BP152" i="42400"/>
  <c r="BP167" i="42400" s="1"/>
  <c r="BQ152" i="42400"/>
  <c r="BQ167" i="42400" s="1"/>
  <c r="BR152" i="42400"/>
  <c r="BR167" i="42400" s="1"/>
  <c r="C179" i="42400"/>
  <c r="D179" i="42400"/>
  <c r="E179" i="42400"/>
  <c r="F179" i="42400"/>
  <c r="G179" i="42400"/>
  <c r="H179" i="42400"/>
  <c r="I179" i="42400"/>
  <c r="J179" i="42400"/>
  <c r="K179" i="42400"/>
  <c r="L179" i="42400"/>
  <c r="AB187" i="42400"/>
  <c r="AB190" i="42400" s="1"/>
  <c r="AC187" i="42400"/>
  <c r="AC190" i="42400" s="1"/>
  <c r="AD187" i="42400"/>
  <c r="AD190" i="42400" s="1"/>
  <c r="AE187" i="42400"/>
  <c r="AE190" i="42400" s="1"/>
  <c r="AG187" i="42400"/>
  <c r="AG190" i="42400" s="1"/>
  <c r="AH187" i="42400"/>
  <c r="AH190" i="42400" s="1"/>
  <c r="AI187" i="42400"/>
  <c r="AI190" i="42400" s="1"/>
  <c r="AJ187" i="42400"/>
  <c r="AJ190" i="42400" s="1"/>
  <c r="AL187" i="42400"/>
  <c r="AL190" i="42400" s="1"/>
  <c r="AM187" i="42400"/>
  <c r="AM190" i="42400" s="1"/>
  <c r="AN187" i="42400"/>
  <c r="AN190" i="42400" s="1"/>
  <c r="AO187" i="42400"/>
  <c r="AO190" i="42400" s="1"/>
  <c r="AQ187" i="42400"/>
  <c r="AQ190" i="42400" s="1"/>
  <c r="AR187" i="42400"/>
  <c r="AR190" i="42400" s="1"/>
  <c r="AS187" i="42400"/>
  <c r="AS190" i="42400" s="1"/>
  <c r="AT187" i="42400"/>
  <c r="AT190" i="42400" s="1"/>
  <c r="AV187" i="42400"/>
  <c r="AV190" i="42400" s="1"/>
  <c r="AW187" i="42400"/>
  <c r="AW190" i="42400" s="1"/>
  <c r="AX187" i="42400"/>
  <c r="AX190" i="42400" s="1"/>
  <c r="AY187" i="42400"/>
  <c r="AY190" i="42400" s="1"/>
  <c r="BA187" i="42400"/>
  <c r="BA190" i="42400" s="1"/>
  <c r="BB187" i="42400"/>
  <c r="BB190" i="42400" s="1"/>
  <c r="BC187" i="42400"/>
  <c r="BC190" i="42400" s="1"/>
  <c r="BD187" i="42400"/>
  <c r="BD190" i="42400" s="1"/>
  <c r="BE187" i="42400"/>
  <c r="BE190" i="42400" s="1"/>
  <c r="BF187" i="42400"/>
  <c r="BF190" i="42400" s="1"/>
  <c r="BG187" i="42400"/>
  <c r="BG190" i="42400" s="1"/>
  <c r="BH187" i="42400"/>
  <c r="BH190" i="42400" s="1"/>
  <c r="BI187" i="42400"/>
  <c r="BI190" i="42400" s="1"/>
  <c r="BJ187" i="42400"/>
  <c r="BJ190" i="42400" s="1"/>
  <c r="BK187" i="42400"/>
  <c r="BK190" i="42400" s="1"/>
  <c r="BL187" i="42400"/>
  <c r="BL190" i="42400" s="1"/>
  <c r="BM187" i="42400"/>
  <c r="BM190" i="42400" s="1"/>
  <c r="BN187" i="42400"/>
  <c r="BN190" i="42400" s="1"/>
  <c r="BO187" i="42400"/>
  <c r="BO190" i="42400" s="1"/>
  <c r="BP187" i="42400"/>
  <c r="BP190" i="42400" s="1"/>
  <c r="BQ187" i="42400"/>
  <c r="BQ190" i="42400" s="1"/>
  <c r="BR187" i="42400"/>
  <c r="BR190" i="42400" s="1"/>
  <c r="BS187" i="42400"/>
  <c r="BS190" i="42400" s="1"/>
  <c r="BT187" i="42400"/>
  <c r="BT190" i="42400" s="1"/>
  <c r="BU187" i="42400"/>
  <c r="BU190" i="42400" s="1"/>
  <c r="BV187" i="42400"/>
  <c r="BV190" i="42400" s="1"/>
  <c r="BW187" i="42400"/>
  <c r="BW190" i="42400" s="1"/>
  <c r="BX187" i="42400"/>
  <c r="BX190" i="42400" s="1"/>
  <c r="BY187" i="42400"/>
  <c r="BY190" i="42400" s="1"/>
  <c r="BZ187" i="42400"/>
  <c r="BZ190" i="42400" s="1"/>
  <c r="CA187" i="42400"/>
  <c r="CA190" i="42400" s="1"/>
  <c r="CB187" i="42400"/>
  <c r="CB190" i="42400" s="1"/>
  <c r="CC187" i="42400"/>
  <c r="CC190" i="42400" s="1"/>
  <c r="CD187" i="42400"/>
  <c r="CD190" i="42400" s="1"/>
  <c r="CE187" i="42400"/>
  <c r="CE190" i="42400" s="1"/>
  <c r="CF187" i="42400"/>
  <c r="CF190" i="42400" s="1"/>
  <c r="AB188" i="42400"/>
  <c r="AB192" i="42400" s="1"/>
  <c r="AC188" i="42400"/>
  <c r="AC192" i="42400" s="1"/>
  <c r="AD188" i="42400"/>
  <c r="AD192" i="42400" s="1"/>
  <c r="AE188" i="42400"/>
  <c r="AE192" i="42400" s="1"/>
  <c r="AG188" i="42400"/>
  <c r="AG192" i="42400" s="1"/>
  <c r="AH188" i="42400"/>
  <c r="AH192" i="42400" s="1"/>
  <c r="AI188" i="42400"/>
  <c r="AI192" i="42400" s="1"/>
  <c r="AJ188" i="42400"/>
  <c r="AJ192" i="42400" s="1"/>
  <c r="AL188" i="42400"/>
  <c r="AL192" i="42400" s="1"/>
  <c r="AM188" i="42400"/>
  <c r="AM192" i="42400" s="1"/>
  <c r="AN188" i="42400"/>
  <c r="AN192" i="42400" s="1"/>
  <c r="AO188" i="42400"/>
  <c r="AO192" i="42400" s="1"/>
  <c r="AQ188" i="42400"/>
  <c r="AQ192" i="42400" s="1"/>
  <c r="AR188" i="42400"/>
  <c r="AR192" i="42400" s="1"/>
  <c r="AS188" i="42400"/>
  <c r="AS192" i="42400" s="1"/>
  <c r="AT188" i="42400"/>
  <c r="AT192" i="42400" s="1"/>
  <c r="AV188" i="42400"/>
  <c r="AV192" i="42400" s="1"/>
  <c r="AW188" i="42400"/>
  <c r="AW192" i="42400" s="1"/>
  <c r="AX188" i="42400"/>
  <c r="AX192" i="42400" s="1"/>
  <c r="AY188" i="42400"/>
  <c r="AY192" i="42400" s="1"/>
  <c r="BA188" i="42400"/>
  <c r="BA192" i="42400" s="1"/>
  <c r="BB188" i="42400"/>
  <c r="BB192" i="42400" s="1"/>
  <c r="BC188" i="42400"/>
  <c r="BC192" i="42400" s="1"/>
  <c r="BD188" i="42400"/>
  <c r="BD192" i="42400" s="1"/>
  <c r="BE188" i="42400"/>
  <c r="BE192" i="42400" s="1"/>
  <c r="BF188" i="42400"/>
  <c r="BF192" i="42400" s="1"/>
  <c r="BG188" i="42400"/>
  <c r="BG192" i="42400" s="1"/>
  <c r="BH188" i="42400"/>
  <c r="BH192" i="42400" s="1"/>
  <c r="BI188" i="42400"/>
  <c r="BI192" i="42400" s="1"/>
  <c r="BJ188" i="42400"/>
  <c r="BJ192" i="42400" s="1"/>
  <c r="BK188" i="42400"/>
  <c r="BK192" i="42400" s="1"/>
  <c r="BL188" i="42400"/>
  <c r="BL192" i="42400" s="1"/>
  <c r="BM188" i="42400"/>
  <c r="BM192" i="42400" s="1"/>
  <c r="BN188" i="42400"/>
  <c r="BN192" i="42400" s="1"/>
  <c r="BO188" i="42400"/>
  <c r="BO192" i="42400" s="1"/>
  <c r="BP188" i="42400"/>
  <c r="BP192" i="42400" s="1"/>
  <c r="BQ188" i="42400"/>
  <c r="BQ192" i="42400" s="1"/>
  <c r="BR188" i="42400"/>
  <c r="BR192" i="42400" s="1"/>
  <c r="BS188" i="42400"/>
  <c r="BS192" i="42400" s="1"/>
  <c r="BT188" i="42400"/>
  <c r="BT192" i="42400" s="1"/>
  <c r="BU188" i="42400"/>
  <c r="BU192" i="42400" s="1"/>
  <c r="BV188" i="42400"/>
  <c r="BV192" i="42400" s="1"/>
  <c r="BW188" i="42400"/>
  <c r="BW192" i="42400" s="1"/>
  <c r="BX188" i="42400"/>
  <c r="BX192" i="42400" s="1"/>
  <c r="BY188" i="42400"/>
  <c r="BY192" i="42400" s="1"/>
  <c r="BZ188" i="42400"/>
  <c r="BZ192" i="42400" s="1"/>
  <c r="CA188" i="42400"/>
  <c r="CA192" i="42400" s="1"/>
  <c r="CB188" i="42400"/>
  <c r="CB192" i="42400" s="1"/>
  <c r="CC188" i="42400"/>
  <c r="CC192" i="42400" s="1"/>
  <c r="CD188" i="42400"/>
  <c r="CD192" i="42400" s="1"/>
  <c r="CE188" i="42400"/>
  <c r="CE192" i="42400" s="1"/>
  <c r="CF188" i="42400"/>
  <c r="CF192" i="42400" s="1"/>
  <c r="CF194" i="42400" s="1"/>
  <c r="C190" i="42400"/>
  <c r="D190" i="42400"/>
  <c r="E190" i="42400"/>
  <c r="F190" i="42400"/>
  <c r="G190" i="42400"/>
  <c r="H190" i="42400"/>
  <c r="I190" i="42400"/>
  <c r="J190" i="42400"/>
  <c r="K190" i="42400"/>
  <c r="L190" i="42400"/>
  <c r="M190" i="42400"/>
  <c r="N190" i="42400"/>
  <c r="N194" i="42400" s="1"/>
  <c r="N1019" i="42385" s="1"/>
  <c r="O190" i="42400"/>
  <c r="P190" i="42400"/>
  <c r="Q190" i="42400"/>
  <c r="R190" i="42400"/>
  <c r="S190" i="42400"/>
  <c r="T190" i="42400"/>
  <c r="U190" i="42400"/>
  <c r="V190" i="42400"/>
  <c r="W190" i="42400"/>
  <c r="X190" i="42400"/>
  <c r="Y190" i="42400"/>
  <c r="Z190" i="42400"/>
  <c r="AA190" i="42400"/>
  <c r="C192" i="42400"/>
  <c r="C194" i="42400" s="1"/>
  <c r="C1019" i="42385" s="1"/>
  <c r="D192" i="42400"/>
  <c r="E192" i="42400"/>
  <c r="F192" i="42400"/>
  <c r="G192" i="42400"/>
  <c r="H192" i="42400"/>
  <c r="I192" i="42400"/>
  <c r="J192" i="42400"/>
  <c r="K192" i="42400"/>
  <c r="L192" i="42400"/>
  <c r="M192" i="42400"/>
  <c r="M194" i="42400" s="1"/>
  <c r="M1019" i="42385" s="1"/>
  <c r="N192" i="42400"/>
  <c r="O192" i="42400"/>
  <c r="P192" i="42400"/>
  <c r="P194" i="42400" s="1"/>
  <c r="P1019" i="42385" s="1"/>
  <c r="Q192" i="42400"/>
  <c r="R192" i="42400"/>
  <c r="S192" i="42400"/>
  <c r="T192" i="42400"/>
  <c r="U192" i="42400"/>
  <c r="V192" i="42400"/>
  <c r="W192" i="42400"/>
  <c r="X192" i="42400"/>
  <c r="X194" i="42400" s="1"/>
  <c r="X1019" i="42385" s="1"/>
  <c r="Y192" i="42400"/>
  <c r="Z192" i="42400"/>
  <c r="AA192" i="42400"/>
  <c r="G194" i="42400"/>
  <c r="G1019" i="42385" s="1"/>
  <c r="AB218" i="42400"/>
  <c r="AC218" i="42400"/>
  <c r="AD218" i="42400"/>
  <c r="AE218" i="42400"/>
  <c r="AG218" i="42400"/>
  <c r="AH218" i="42400"/>
  <c r="AI218" i="42400"/>
  <c r="AJ218" i="42400"/>
  <c r="AL218" i="42400"/>
  <c r="AM218" i="42400"/>
  <c r="AN218" i="42400"/>
  <c r="AO218" i="42400"/>
  <c r="AQ218" i="42400"/>
  <c r="AR218" i="42400"/>
  <c r="AS218" i="42400"/>
  <c r="AT218" i="42400"/>
  <c r="AV218" i="42400"/>
  <c r="AW218" i="42400"/>
  <c r="AX218" i="42400"/>
  <c r="AY218" i="42400"/>
  <c r="BA218" i="42400"/>
  <c r="BB218" i="42400"/>
  <c r="BC218" i="42400"/>
  <c r="BD218" i="42400"/>
  <c r="BF218" i="42400"/>
  <c r="BG218" i="42400"/>
  <c r="BH218" i="42400"/>
  <c r="BI218" i="42400"/>
  <c r="BJ218" i="42400"/>
  <c r="BK218" i="42400"/>
  <c r="BL218" i="42400"/>
  <c r="BM218" i="42400"/>
  <c r="BN218" i="42400"/>
  <c r="BO218" i="42400"/>
  <c r="BP218" i="42400"/>
  <c r="BQ218" i="42400"/>
  <c r="BR218" i="42400"/>
  <c r="BS218" i="42400"/>
  <c r="BT218" i="42400"/>
  <c r="BT222" i="42400" s="1"/>
  <c r="BU218" i="42400"/>
  <c r="BV218" i="42400"/>
  <c r="BW218" i="42400"/>
  <c r="BX218" i="42400"/>
  <c r="BY218" i="42400"/>
  <c r="BZ218" i="42400"/>
  <c r="BZ223" i="42400" s="1"/>
  <c r="CA218" i="42400"/>
  <c r="CB218" i="42400"/>
  <c r="CB223" i="42400" s="1"/>
  <c r="CC218" i="42400"/>
  <c r="CD218" i="42400"/>
  <c r="CE218" i="42400"/>
  <c r="CE222" i="42400" s="1"/>
  <c r="CF218" i="42400"/>
  <c r="CF222" i="42400" s="1"/>
  <c r="AB219" i="42400"/>
  <c r="AC219" i="42400"/>
  <c r="AD219" i="42400"/>
  <c r="AE219" i="42400"/>
  <c r="AG219" i="42400"/>
  <c r="AH219" i="42400"/>
  <c r="AI219" i="42400"/>
  <c r="AJ219" i="42400"/>
  <c r="AL219" i="42400"/>
  <c r="AM219" i="42400"/>
  <c r="AN219" i="42400"/>
  <c r="AO219" i="42400"/>
  <c r="AQ219" i="42400"/>
  <c r="AR219" i="42400"/>
  <c r="AS219" i="42400"/>
  <c r="AT219" i="42400"/>
  <c r="AV219" i="42400"/>
  <c r="AW219" i="42400"/>
  <c r="AX219" i="42400"/>
  <c r="AY219" i="42400"/>
  <c r="BA219" i="42400"/>
  <c r="BB219" i="42400"/>
  <c r="BC219" i="42400"/>
  <c r="BD219" i="42400"/>
  <c r="BF219" i="42400"/>
  <c r="BG219" i="42400"/>
  <c r="BH219" i="42400"/>
  <c r="BI219" i="42400"/>
  <c r="BJ219" i="42400"/>
  <c r="BK219" i="42400"/>
  <c r="BL219" i="42400"/>
  <c r="BM219" i="42400"/>
  <c r="BN219" i="42400"/>
  <c r="BO219" i="42400"/>
  <c r="BO229" i="42400" s="1"/>
  <c r="BK229" i="42400" s="1"/>
  <c r="BP219" i="42400"/>
  <c r="BQ219" i="42400"/>
  <c r="BR219" i="42400"/>
  <c r="BS219" i="42400"/>
  <c r="BT219" i="42400"/>
  <c r="BU219" i="42400"/>
  <c r="BV219" i="42400"/>
  <c r="BW219" i="42400"/>
  <c r="BX219" i="42400"/>
  <c r="BY219" i="42400"/>
  <c r="BY231" i="42400" s="1"/>
  <c r="BW231" i="42400" s="1"/>
  <c r="BZ219" i="42400"/>
  <c r="CA219" i="42400"/>
  <c r="CB219" i="42400"/>
  <c r="CB231" i="42400" s="1"/>
  <c r="CC219" i="42400"/>
  <c r="CC230" i="42400" s="1"/>
  <c r="CD219" i="42400"/>
  <c r="CE219" i="42400"/>
  <c r="CF219" i="42400"/>
  <c r="CF231" i="42400" s="1"/>
  <c r="G222" i="42400"/>
  <c r="F222" i="42400" s="1"/>
  <c r="L222" i="42400"/>
  <c r="J222" i="42400" s="1"/>
  <c r="Q222" i="42400"/>
  <c r="P222" i="42400" s="1"/>
  <c r="V222" i="42400"/>
  <c r="AA222" i="42400"/>
  <c r="G223" i="42400"/>
  <c r="D223" i="42400" s="1"/>
  <c r="L223" i="42400"/>
  <c r="H223" i="42400" s="1"/>
  <c r="Q223" i="42400"/>
  <c r="V223" i="42400"/>
  <c r="AA223" i="42400"/>
  <c r="X223" i="42400" s="1"/>
  <c r="G224" i="42400"/>
  <c r="L224" i="42400"/>
  <c r="Q224" i="42400"/>
  <c r="N224" i="42400" s="1"/>
  <c r="V224" i="42400"/>
  <c r="R224" i="42400" s="1"/>
  <c r="AA224" i="42400"/>
  <c r="W224" i="42400" s="1"/>
  <c r="G229" i="42400"/>
  <c r="L229" i="42400"/>
  <c r="H229" i="42400" s="1"/>
  <c r="Q229" i="42400"/>
  <c r="N229" i="42400" s="1"/>
  <c r="V229" i="42400"/>
  <c r="R229" i="42400" s="1"/>
  <c r="AA229" i="42400"/>
  <c r="W229" i="42400" s="1"/>
  <c r="G230" i="42400"/>
  <c r="D230" i="42400" s="1"/>
  <c r="L230" i="42400"/>
  <c r="Q230" i="42400"/>
  <c r="N230" i="42400" s="1"/>
  <c r="V230" i="42400"/>
  <c r="AA230" i="42400"/>
  <c r="G231" i="42400"/>
  <c r="F231" i="42400" s="1"/>
  <c r="L231" i="42400"/>
  <c r="H231" i="42400" s="1"/>
  <c r="Q231" i="42400"/>
  <c r="N231" i="42400" s="1"/>
  <c r="V231" i="42400"/>
  <c r="R231" i="42400" s="1"/>
  <c r="AA231" i="42400"/>
  <c r="W231" i="42400" s="1"/>
  <c r="C275" i="42400"/>
  <c r="D275" i="42400"/>
  <c r="E275" i="42400"/>
  <c r="F275" i="42400"/>
  <c r="H275" i="42400"/>
  <c r="I275" i="42400"/>
  <c r="J275" i="42400"/>
  <c r="K275" i="42400"/>
  <c r="M275" i="42400"/>
  <c r="N275" i="42400"/>
  <c r="O275" i="42400"/>
  <c r="P275" i="42400"/>
  <c r="R275" i="42400"/>
  <c r="S275" i="42400"/>
  <c r="T275" i="42400"/>
  <c r="U275" i="42400"/>
  <c r="W275" i="42400"/>
  <c r="X275" i="42400"/>
  <c r="Y275" i="42400"/>
  <c r="Z275" i="42400"/>
  <c r="AB275" i="42400"/>
  <c r="AC275" i="42400"/>
  <c r="AD275" i="42400"/>
  <c r="AE275" i="42400"/>
  <c r="AG275" i="42400"/>
  <c r="AH275" i="42400"/>
  <c r="AI275" i="42400"/>
  <c r="AJ275" i="42400"/>
  <c r="AL275" i="42400"/>
  <c r="AM275" i="42400"/>
  <c r="AN275" i="42400"/>
  <c r="AO275" i="42400"/>
  <c r="AQ275" i="42400"/>
  <c r="AR275" i="42400"/>
  <c r="AR277" i="42400" s="1"/>
  <c r="AS275" i="42400"/>
  <c r="AT275" i="42400"/>
  <c r="AV275" i="42400"/>
  <c r="AW275" i="42400"/>
  <c r="AX275" i="42400"/>
  <c r="AY275" i="42400"/>
  <c r="BA275" i="42400"/>
  <c r="BB275" i="42400"/>
  <c r="BC275" i="42400"/>
  <c r="BD275" i="42400"/>
  <c r="BF275" i="42400"/>
  <c r="BG275" i="42400"/>
  <c r="BH275" i="42400"/>
  <c r="BI275" i="42400"/>
  <c r="BK275" i="42400"/>
  <c r="BL275" i="42400"/>
  <c r="BM275" i="42400"/>
  <c r="BN275" i="42400"/>
  <c r="BP275" i="42400"/>
  <c r="BQ275" i="42400"/>
  <c r="BR275" i="42400"/>
  <c r="C276" i="42400"/>
  <c r="C296" i="42400" s="1"/>
  <c r="D276" i="42400"/>
  <c r="D296" i="42400" s="1"/>
  <c r="E276" i="42400"/>
  <c r="E296" i="42400" s="1"/>
  <c r="F276" i="42400"/>
  <c r="F296" i="42400" s="1"/>
  <c r="H276" i="42400"/>
  <c r="H296" i="42400" s="1"/>
  <c r="I276" i="42400"/>
  <c r="I296" i="42400" s="1"/>
  <c r="J276" i="42400"/>
  <c r="J296" i="42400" s="1"/>
  <c r="K276" i="42400"/>
  <c r="K296" i="42400" s="1"/>
  <c r="M276" i="42400"/>
  <c r="M296" i="42400" s="1"/>
  <c r="N276" i="42400"/>
  <c r="N296" i="42400" s="1"/>
  <c r="O276" i="42400"/>
  <c r="O296" i="42400" s="1"/>
  <c r="P276" i="42400"/>
  <c r="P296" i="42400" s="1"/>
  <c r="R276" i="42400"/>
  <c r="R296" i="42400" s="1"/>
  <c r="S276" i="42400"/>
  <c r="S296" i="42400" s="1"/>
  <c r="T276" i="42400"/>
  <c r="T296" i="42400" s="1"/>
  <c r="U276" i="42400"/>
  <c r="U296" i="42400" s="1"/>
  <c r="W276" i="42400"/>
  <c r="W296" i="42400" s="1"/>
  <c r="X276" i="42400"/>
  <c r="X296" i="42400" s="1"/>
  <c r="Y276" i="42400"/>
  <c r="Y296" i="42400" s="1"/>
  <c r="Z276" i="42400"/>
  <c r="Z296" i="42400" s="1"/>
  <c r="AB276" i="42400"/>
  <c r="AB296" i="42400" s="1"/>
  <c r="AC276" i="42400"/>
  <c r="AC296" i="42400" s="1"/>
  <c r="AD276" i="42400"/>
  <c r="AD296" i="42400" s="1"/>
  <c r="AE276" i="42400"/>
  <c r="AE296" i="42400" s="1"/>
  <c r="AG276" i="42400"/>
  <c r="AG296" i="42400" s="1"/>
  <c r="AH276" i="42400"/>
  <c r="AH296" i="42400" s="1"/>
  <c r="AI276" i="42400"/>
  <c r="AI296" i="42400" s="1"/>
  <c r="AJ276" i="42400"/>
  <c r="AJ296" i="42400" s="1"/>
  <c r="AL276" i="42400"/>
  <c r="AL296" i="42400" s="1"/>
  <c r="AM276" i="42400"/>
  <c r="AM296" i="42400" s="1"/>
  <c r="AN276" i="42400"/>
  <c r="AN296" i="42400" s="1"/>
  <c r="AO276" i="42400"/>
  <c r="AO296" i="42400" s="1"/>
  <c r="AQ276" i="42400"/>
  <c r="AQ296" i="42400" s="1"/>
  <c r="AR276" i="42400"/>
  <c r="AR296" i="42400" s="1"/>
  <c r="AS276" i="42400"/>
  <c r="AS296" i="42400" s="1"/>
  <c r="AT276" i="42400"/>
  <c r="AT296" i="42400" s="1"/>
  <c r="AV276" i="42400"/>
  <c r="AV296" i="42400" s="1"/>
  <c r="AW276" i="42400"/>
  <c r="AW296" i="42400" s="1"/>
  <c r="AX276" i="42400"/>
  <c r="AX296" i="42400" s="1"/>
  <c r="AY276" i="42400"/>
  <c r="AY296" i="42400" s="1"/>
  <c r="BA276" i="42400"/>
  <c r="BA296" i="42400" s="1"/>
  <c r="BB276" i="42400"/>
  <c r="BB296" i="42400" s="1"/>
  <c r="BC276" i="42400"/>
  <c r="BC296" i="42400" s="1"/>
  <c r="BD276" i="42400"/>
  <c r="BD296" i="42400" s="1"/>
  <c r="BF276" i="42400"/>
  <c r="BF296" i="42400" s="1"/>
  <c r="BG276" i="42400"/>
  <c r="BG296" i="42400" s="1"/>
  <c r="BH276" i="42400"/>
  <c r="BH296" i="42400" s="1"/>
  <c r="BI276" i="42400"/>
  <c r="BI296" i="42400" s="1"/>
  <c r="BK276" i="42400"/>
  <c r="BK296" i="42400" s="1"/>
  <c r="BL276" i="42400"/>
  <c r="BL296" i="42400" s="1"/>
  <c r="BM276" i="42400"/>
  <c r="BM296" i="42400" s="1"/>
  <c r="BN276" i="42400"/>
  <c r="BN296" i="42400" s="1"/>
  <c r="BP276" i="42400"/>
  <c r="BP296" i="42400" s="1"/>
  <c r="BQ276" i="42400"/>
  <c r="BQ296" i="42400" s="1"/>
  <c r="BR276" i="42400"/>
  <c r="BR296" i="42400" s="1"/>
  <c r="C295" i="42400"/>
  <c r="D295" i="42400"/>
  <c r="E295" i="42400"/>
  <c r="F295" i="42400"/>
  <c r="H295" i="42400"/>
  <c r="I295" i="42400"/>
  <c r="J295" i="42400"/>
  <c r="K295" i="42400"/>
  <c r="M295" i="42400"/>
  <c r="N295" i="42400"/>
  <c r="O295" i="42400"/>
  <c r="P295" i="42400"/>
  <c r="R295" i="42400"/>
  <c r="S295" i="42400"/>
  <c r="T295" i="42400"/>
  <c r="U295" i="42400"/>
  <c r="W295" i="42400"/>
  <c r="X295" i="42400"/>
  <c r="Y295" i="42400"/>
  <c r="Z295" i="42400"/>
  <c r="AB295" i="42400"/>
  <c r="AC295" i="42400"/>
  <c r="AD295" i="42400"/>
  <c r="AE295" i="42400"/>
  <c r="AG295" i="42400"/>
  <c r="AH295" i="42400"/>
  <c r="AI295" i="42400"/>
  <c r="AJ295" i="42400"/>
  <c r="AL295" i="42400"/>
  <c r="AM295" i="42400"/>
  <c r="AN295" i="42400"/>
  <c r="AO295" i="42400"/>
  <c r="AQ295" i="42400"/>
  <c r="AR295" i="42400"/>
  <c r="AS295" i="42400"/>
  <c r="AT295" i="42400"/>
  <c r="AV295" i="42400"/>
  <c r="AW295" i="42400"/>
  <c r="AX295" i="42400"/>
  <c r="AY295" i="42400"/>
  <c r="BA295" i="42400"/>
  <c r="BB295" i="42400"/>
  <c r="BC295" i="42400"/>
  <c r="BD295" i="42400"/>
  <c r="BF295" i="42400"/>
  <c r="BG295" i="42400"/>
  <c r="BH295" i="42400"/>
  <c r="BI295" i="42400"/>
  <c r="BK295" i="42400"/>
  <c r="BL295" i="42400"/>
  <c r="BM295" i="42400"/>
  <c r="BN295" i="42400"/>
  <c r="BP295" i="42400"/>
  <c r="BQ295" i="42400"/>
  <c r="BR295" i="42400"/>
  <c r="BS295" i="42400"/>
  <c r="BU295" i="42400"/>
  <c r="BV295" i="42400"/>
  <c r="BW295" i="42400"/>
  <c r="BX295" i="42400"/>
  <c r="B8" i="42443"/>
  <c r="C8" i="42443"/>
  <c r="D8" i="42443"/>
  <c r="E8" i="42443"/>
  <c r="G8" i="42443"/>
  <c r="H8" i="42443"/>
  <c r="I8" i="42443"/>
  <c r="J8" i="42443"/>
  <c r="L8" i="42443"/>
  <c r="M8" i="42443"/>
  <c r="N8" i="42443"/>
  <c r="O8" i="42443"/>
  <c r="Q8" i="42443"/>
  <c r="R8" i="42443"/>
  <c r="S8" i="42443"/>
  <c r="T8" i="42443"/>
  <c r="V8" i="42443"/>
  <c r="W8" i="42443"/>
  <c r="X8" i="42443"/>
  <c r="Y8" i="42443"/>
  <c r="AA8" i="42443"/>
  <c r="AB8" i="42443"/>
  <c r="AC8" i="42443"/>
  <c r="AD8" i="42443"/>
  <c r="AF8" i="42443"/>
  <c r="AG8" i="42443"/>
  <c r="AH8" i="42443"/>
  <c r="B9" i="42443"/>
  <c r="C9" i="42443"/>
  <c r="D9" i="42443"/>
  <c r="E9" i="42443"/>
  <c r="G9" i="42443"/>
  <c r="H9" i="42443"/>
  <c r="I9" i="42443"/>
  <c r="J9" i="42443"/>
  <c r="L9" i="42443"/>
  <c r="M9" i="42443"/>
  <c r="N9" i="42443"/>
  <c r="O9" i="42443"/>
  <c r="Q9" i="42443"/>
  <c r="R9" i="42443"/>
  <c r="S9" i="42443"/>
  <c r="T9" i="42443"/>
  <c r="V9" i="42443"/>
  <c r="W9" i="42443"/>
  <c r="X9" i="42443"/>
  <c r="Y9" i="42443"/>
  <c r="AA9" i="42443"/>
  <c r="AB9" i="42443"/>
  <c r="AC9" i="42443"/>
  <c r="AD9" i="42443"/>
  <c r="AF9" i="42443"/>
  <c r="AG9" i="42443"/>
  <c r="AH9" i="42443"/>
  <c r="B16" i="42443"/>
  <c r="C16" i="42443"/>
  <c r="D16" i="42443"/>
  <c r="E16" i="42443"/>
  <c r="G16" i="42443"/>
  <c r="H16" i="42443"/>
  <c r="I16" i="42443"/>
  <c r="J16" i="42443"/>
  <c r="L16" i="42443"/>
  <c r="M16" i="42443"/>
  <c r="N16" i="42443"/>
  <c r="O16" i="42443"/>
  <c r="Q16" i="42443"/>
  <c r="R16" i="42443"/>
  <c r="S16" i="42443"/>
  <c r="T16" i="42443"/>
  <c r="V16" i="42443"/>
  <c r="W16" i="42443"/>
  <c r="X16" i="42443"/>
  <c r="Y16" i="42443"/>
  <c r="AA16" i="42443"/>
  <c r="AB16" i="42443"/>
  <c r="AC16" i="42443"/>
  <c r="AD16" i="42443"/>
  <c r="AF16" i="42443"/>
  <c r="AG16" i="42443"/>
  <c r="AH16" i="42443"/>
  <c r="B17" i="42443"/>
  <c r="C17" i="42443"/>
  <c r="D17" i="42443"/>
  <c r="E17" i="42443"/>
  <c r="G17" i="42443"/>
  <c r="H17" i="42443"/>
  <c r="I17" i="42443"/>
  <c r="J17" i="42443"/>
  <c r="L17" i="42443"/>
  <c r="M17" i="42443"/>
  <c r="N17" i="42443"/>
  <c r="O17" i="42443"/>
  <c r="Q17" i="42443"/>
  <c r="R17" i="42443"/>
  <c r="S17" i="42443"/>
  <c r="T17" i="42443"/>
  <c r="V17" i="42443"/>
  <c r="W17" i="42443"/>
  <c r="X17" i="42443"/>
  <c r="Y17" i="42443"/>
  <c r="AA17" i="42443"/>
  <c r="AB17" i="42443"/>
  <c r="AC17" i="42443"/>
  <c r="AD17" i="42443"/>
  <c r="AF17" i="42443"/>
  <c r="AG17" i="42443"/>
  <c r="AH17" i="42443"/>
  <c r="B24" i="42443"/>
  <c r="C24" i="42443"/>
  <c r="D24" i="42443"/>
  <c r="E24" i="42443"/>
  <c r="G24" i="42443"/>
  <c r="H24" i="42443"/>
  <c r="I24" i="42443"/>
  <c r="J24" i="42443"/>
  <c r="L24" i="42443"/>
  <c r="M24" i="42443"/>
  <c r="N24" i="42443"/>
  <c r="O24" i="42443"/>
  <c r="Q24" i="42443"/>
  <c r="R24" i="42443"/>
  <c r="S24" i="42443"/>
  <c r="T24" i="42443"/>
  <c r="V24" i="42443"/>
  <c r="W24" i="42443"/>
  <c r="X24" i="42443"/>
  <c r="Y24" i="42443"/>
  <c r="AA24" i="42443"/>
  <c r="AB24" i="42443"/>
  <c r="AC24" i="42443"/>
  <c r="AD24" i="42443"/>
  <c r="AF24" i="42443"/>
  <c r="AG24" i="42443"/>
  <c r="AH24" i="42443"/>
  <c r="B25" i="42443"/>
  <c r="C25" i="42443"/>
  <c r="D25" i="42443"/>
  <c r="E25" i="42443"/>
  <c r="G25" i="42443"/>
  <c r="H25" i="42443"/>
  <c r="I25" i="42443"/>
  <c r="J25" i="42443"/>
  <c r="L25" i="42443"/>
  <c r="M25" i="42443"/>
  <c r="N25" i="42443"/>
  <c r="O25" i="42443"/>
  <c r="Q25" i="42443"/>
  <c r="R25" i="42443"/>
  <c r="S25" i="42443"/>
  <c r="T25" i="42443"/>
  <c r="V25" i="42443"/>
  <c r="W25" i="42443"/>
  <c r="X25" i="42443"/>
  <c r="Y25" i="42443"/>
  <c r="AA25" i="42443"/>
  <c r="AB25" i="42443"/>
  <c r="AC25" i="42443"/>
  <c r="AD25" i="42443"/>
  <c r="AF25" i="42443"/>
  <c r="AG25" i="42443"/>
  <c r="AH25" i="42443"/>
  <c r="B32" i="42443"/>
  <c r="C32" i="42443"/>
  <c r="D32" i="42443"/>
  <c r="E32" i="42443"/>
  <c r="G32" i="42443"/>
  <c r="H32" i="42443"/>
  <c r="I32" i="42443"/>
  <c r="J32" i="42443"/>
  <c r="L32" i="42443"/>
  <c r="M32" i="42443"/>
  <c r="N32" i="42443"/>
  <c r="O32" i="42443"/>
  <c r="Q32" i="42443"/>
  <c r="R32" i="42443"/>
  <c r="S32" i="42443"/>
  <c r="T32" i="42443"/>
  <c r="V32" i="42443"/>
  <c r="W32" i="42443"/>
  <c r="X32" i="42443"/>
  <c r="Y32" i="42443"/>
  <c r="AA32" i="42443"/>
  <c r="AB32" i="42443"/>
  <c r="AC32" i="42443"/>
  <c r="AD32" i="42443"/>
  <c r="AF32" i="42443"/>
  <c r="AG32" i="42443"/>
  <c r="AH32" i="42443"/>
  <c r="B33" i="42443"/>
  <c r="C33" i="42443"/>
  <c r="D33" i="42443"/>
  <c r="E33" i="42443"/>
  <c r="G33" i="42443"/>
  <c r="H33" i="42443"/>
  <c r="I33" i="42443"/>
  <c r="J33" i="42443"/>
  <c r="L33" i="42443"/>
  <c r="M33" i="42443"/>
  <c r="N33" i="42443"/>
  <c r="O33" i="42443"/>
  <c r="Q33" i="42443"/>
  <c r="R33" i="42443"/>
  <c r="S33" i="42443"/>
  <c r="T33" i="42443"/>
  <c r="V33" i="42443"/>
  <c r="W33" i="42443"/>
  <c r="X33" i="42443"/>
  <c r="Y33" i="42443"/>
  <c r="AA33" i="42443"/>
  <c r="AB33" i="42443"/>
  <c r="AC33" i="42443"/>
  <c r="AD33" i="42443"/>
  <c r="AF33" i="42443"/>
  <c r="AG33" i="42443"/>
  <c r="AH33" i="42443"/>
  <c r="B40" i="42443"/>
  <c r="C40" i="42443"/>
  <c r="D40" i="42443"/>
  <c r="E40" i="42443"/>
  <c r="G40" i="42443"/>
  <c r="H40" i="42443"/>
  <c r="I40" i="42443"/>
  <c r="J40" i="42443"/>
  <c r="L40" i="42443"/>
  <c r="M40" i="42443"/>
  <c r="N40" i="42443"/>
  <c r="O40" i="42443"/>
  <c r="Q40" i="42443"/>
  <c r="R40" i="42443"/>
  <c r="S40" i="42443"/>
  <c r="T40" i="42443"/>
  <c r="V40" i="42443"/>
  <c r="W40" i="42443"/>
  <c r="X40" i="42443"/>
  <c r="Y40" i="42443"/>
  <c r="AA40" i="42443"/>
  <c r="AB40" i="42443"/>
  <c r="AC40" i="42443"/>
  <c r="AD40" i="42443"/>
  <c r="AF40" i="42443"/>
  <c r="AG40" i="42443"/>
  <c r="AH40" i="42443"/>
  <c r="B41" i="42443"/>
  <c r="C41" i="42443"/>
  <c r="D41" i="42443"/>
  <c r="E41" i="42443"/>
  <c r="G41" i="42443"/>
  <c r="H41" i="42443"/>
  <c r="I41" i="42443"/>
  <c r="J41" i="42443"/>
  <c r="L41" i="42443"/>
  <c r="M41" i="42443"/>
  <c r="N41" i="42443"/>
  <c r="O41" i="42443"/>
  <c r="Q41" i="42443"/>
  <c r="R41" i="42443"/>
  <c r="S41" i="42443"/>
  <c r="T41" i="42443"/>
  <c r="V41" i="42443"/>
  <c r="W41" i="42443"/>
  <c r="X41" i="42443"/>
  <c r="Y41" i="42443"/>
  <c r="AA41" i="42443"/>
  <c r="AB41" i="42443"/>
  <c r="AC41" i="42443"/>
  <c r="AD41" i="42443"/>
  <c r="AF41" i="42443"/>
  <c r="AG41" i="42443"/>
  <c r="AH41" i="42443"/>
  <c r="B48" i="42443"/>
  <c r="C48" i="42443"/>
  <c r="D48" i="42443"/>
  <c r="E48" i="42443"/>
  <c r="G48" i="42443"/>
  <c r="H48" i="42443"/>
  <c r="I48" i="42443"/>
  <c r="J48" i="42443"/>
  <c r="L48" i="42443"/>
  <c r="M48" i="42443"/>
  <c r="N48" i="42443"/>
  <c r="O48" i="42443"/>
  <c r="Q48" i="42443"/>
  <c r="R48" i="42443"/>
  <c r="S48" i="42443"/>
  <c r="T48" i="42443"/>
  <c r="V48" i="42443"/>
  <c r="W48" i="42443"/>
  <c r="X48" i="42443"/>
  <c r="Y48" i="42443"/>
  <c r="AA48" i="42443"/>
  <c r="AB48" i="42443"/>
  <c r="AC48" i="42443"/>
  <c r="AD48" i="42443"/>
  <c r="AF48" i="42443"/>
  <c r="AG48" i="42443"/>
  <c r="AH48" i="42443"/>
  <c r="B49" i="42443"/>
  <c r="C49" i="42443"/>
  <c r="D49" i="42443"/>
  <c r="E49" i="42443"/>
  <c r="G49" i="42443"/>
  <c r="H49" i="42443"/>
  <c r="I49" i="42443"/>
  <c r="J49" i="42443"/>
  <c r="L49" i="42443"/>
  <c r="M49" i="42443"/>
  <c r="N49" i="42443"/>
  <c r="O49" i="42443"/>
  <c r="Q49" i="42443"/>
  <c r="R49" i="42443"/>
  <c r="S49" i="42443"/>
  <c r="T49" i="42443"/>
  <c r="V49" i="42443"/>
  <c r="W49" i="42443"/>
  <c r="X49" i="42443"/>
  <c r="Y49" i="42443"/>
  <c r="AA49" i="42443"/>
  <c r="AB49" i="42443"/>
  <c r="AC49" i="42443"/>
  <c r="AD49" i="42443"/>
  <c r="AF49" i="42443"/>
  <c r="AG49" i="42443"/>
  <c r="AH49" i="42443"/>
  <c r="B56" i="42443"/>
  <c r="C56" i="42443"/>
  <c r="D56" i="42443"/>
  <c r="E56" i="42443"/>
  <c r="G56" i="42443"/>
  <c r="H56" i="42443"/>
  <c r="I56" i="42443"/>
  <c r="J56" i="42443"/>
  <c r="L56" i="42443"/>
  <c r="M56" i="42443"/>
  <c r="N56" i="42443"/>
  <c r="O56" i="42443"/>
  <c r="Q56" i="42443"/>
  <c r="R56" i="42443"/>
  <c r="S56" i="42443"/>
  <c r="T56" i="42443"/>
  <c r="V56" i="42443"/>
  <c r="W56" i="42443"/>
  <c r="X56" i="42443"/>
  <c r="Y56" i="42443"/>
  <c r="AA56" i="42443"/>
  <c r="AB56" i="42443"/>
  <c r="AC56" i="42443"/>
  <c r="AD56" i="42443"/>
  <c r="AF56" i="42443"/>
  <c r="AG56" i="42443"/>
  <c r="AH56" i="42443"/>
  <c r="B57" i="42443"/>
  <c r="C57" i="42443"/>
  <c r="D57" i="42443"/>
  <c r="E57" i="42443"/>
  <c r="G57" i="42443"/>
  <c r="H57" i="42443"/>
  <c r="I57" i="42443"/>
  <c r="J57" i="42443"/>
  <c r="L57" i="42443"/>
  <c r="M57" i="42443"/>
  <c r="N57" i="42443"/>
  <c r="O57" i="42443"/>
  <c r="Q57" i="42443"/>
  <c r="R57" i="42443"/>
  <c r="S57" i="42443"/>
  <c r="T57" i="42443"/>
  <c r="V57" i="42443"/>
  <c r="W57" i="42443"/>
  <c r="X57" i="42443"/>
  <c r="Y57" i="42443"/>
  <c r="AA57" i="42443"/>
  <c r="AB57" i="42443"/>
  <c r="AC57" i="42443"/>
  <c r="AD57" i="42443"/>
  <c r="AF57" i="42443"/>
  <c r="AG57" i="42443"/>
  <c r="AH57" i="42443"/>
  <c r="J20" i="42424"/>
  <c r="K20" i="42424"/>
  <c r="L20" i="42424"/>
  <c r="M20" i="42424"/>
  <c r="N20" i="42424"/>
  <c r="O20" i="42424"/>
  <c r="P20" i="42424"/>
  <c r="Q20" i="42424"/>
  <c r="X152" i="42424"/>
  <c r="Y152" i="42424"/>
  <c r="Z152" i="42424"/>
  <c r="AA152" i="42424"/>
  <c r="AB152" i="42424"/>
  <c r="AC152" i="42424"/>
  <c r="AD152" i="42424"/>
  <c r="Z153" i="42424"/>
  <c r="AA153" i="42424"/>
  <c r="AB153" i="42424"/>
  <c r="AC153" i="42424"/>
  <c r="AD153" i="42424"/>
  <c r="AJ245" i="42424"/>
  <c r="AK245" i="42424"/>
  <c r="AL245" i="42424"/>
  <c r="AM245" i="42424"/>
  <c r="AN245" i="42424"/>
  <c r="AO245" i="42424"/>
  <c r="AP245" i="42424"/>
  <c r="AQ245" i="42424"/>
  <c r="AR245" i="42424"/>
  <c r="AS245" i="42424"/>
  <c r="AT245" i="42424"/>
  <c r="AU245" i="42424"/>
  <c r="AV245" i="42424"/>
  <c r="AW245" i="42424"/>
  <c r="AX245" i="42424"/>
  <c r="AY245" i="42424"/>
  <c r="AZ245" i="42424"/>
  <c r="BA245" i="42424"/>
  <c r="BB245" i="42424"/>
  <c r="BC245" i="42424"/>
  <c r="BD245" i="42424"/>
  <c r="BE245" i="42424"/>
  <c r="B6" i="42417"/>
  <c r="C6" i="42417" s="1"/>
  <c r="Z29" i="42417"/>
  <c r="AA29" i="42417"/>
  <c r="AB36" i="42417"/>
  <c r="Z37" i="42417"/>
  <c r="AA37" i="42417"/>
  <c r="Z38" i="42417"/>
  <c r="Z39" i="42417"/>
  <c r="AA39" i="42417"/>
  <c r="AA40" i="42417"/>
  <c r="AB40" i="42417" s="1"/>
  <c r="Z41" i="42417"/>
  <c r="AA41" i="42417"/>
  <c r="Z42" i="42417"/>
  <c r="AA42" i="42417"/>
  <c r="Z43" i="42417"/>
  <c r="AA43" i="42417"/>
  <c r="AA45" i="42417"/>
  <c r="Z46" i="42417"/>
  <c r="Z47" i="42417" s="1"/>
  <c r="AA46" i="42417"/>
  <c r="Z48" i="42417"/>
  <c r="AA48" i="42417"/>
  <c r="Z49" i="42417"/>
  <c r="AA49" i="42417"/>
  <c r="AA50" i="42417"/>
  <c r="AB50" i="42417" s="1"/>
  <c r="AG55" i="42417"/>
  <c r="AG57" i="42417" s="1"/>
  <c r="AH57" i="42417"/>
  <c r="AI57" i="42417"/>
  <c r="AJ57" i="42417"/>
  <c r="AI59" i="42417"/>
  <c r="AJ59" i="42417"/>
  <c r="AH60" i="42417"/>
  <c r="AI60" i="42417"/>
  <c r="AJ60" i="42417"/>
  <c r="AG65" i="42417"/>
  <c r="AH65" i="42417"/>
  <c r="AI65" i="42417"/>
  <c r="AJ65" i="42417"/>
  <c r="AH67" i="42417"/>
  <c r="AI67" i="42417"/>
  <c r="AJ67" i="42417"/>
  <c r="AH68" i="42417"/>
  <c r="AI68" i="42417"/>
  <c r="AJ68" i="42417"/>
  <c r="AH71" i="42417"/>
  <c r="AI71" i="42417"/>
  <c r="AJ75" i="42417" s="1"/>
  <c r="AJ71" i="42417"/>
  <c r="AG72" i="42417"/>
  <c r="AH72" i="42417"/>
  <c r="AI72" i="42417"/>
  <c r="AJ72" i="42417"/>
  <c r="AS87" i="42417"/>
  <c r="AU87" i="42417" s="1"/>
  <c r="AV87" i="42417"/>
  <c r="AV88" i="42417"/>
  <c r="AR89" i="42417"/>
  <c r="AS89" i="42417"/>
  <c r="AT89" i="42417"/>
  <c r="AU90" i="42417"/>
  <c r="AV90" i="42417"/>
  <c r="AW90" i="42417"/>
  <c r="AU91" i="42417"/>
  <c r="AV91" i="42417"/>
  <c r="AW91" i="42417"/>
  <c r="AS92" i="42417"/>
  <c r="AW92" i="42417"/>
  <c r="AU93" i="42417"/>
  <c r="AV93" i="42417"/>
  <c r="AW93" i="42417"/>
  <c r="AU94" i="42417"/>
  <c r="AV94" i="42417"/>
  <c r="AW94" i="42417"/>
  <c r="BH162" i="42417"/>
  <c r="BH163" i="42417"/>
  <c r="BH164" i="42417"/>
  <c r="BG171" i="42417"/>
  <c r="BI177" i="42417"/>
  <c r="BI178" i="42417"/>
  <c r="BH179" i="42417"/>
  <c r="BN182" i="42417"/>
  <c r="BM183" i="42417"/>
  <c r="BN183" i="42417"/>
  <c r="BO183" i="42417"/>
  <c r="BP183" i="42417"/>
  <c r="BU183" i="42417"/>
  <c r="BV183" i="42417"/>
  <c r="BW183" i="42417"/>
  <c r="BL184" i="42417"/>
  <c r="BM184" i="42417"/>
  <c r="BN184" i="42417"/>
  <c r="BO184" i="42417"/>
  <c r="BP184" i="42417"/>
  <c r="BL185" i="42417"/>
  <c r="BL186" i="42417"/>
  <c r="BL187" i="42417"/>
  <c r="BU187" i="42417"/>
  <c r="BV187" i="42417"/>
  <c r="BW187" i="42417"/>
  <c r="BL188" i="42417"/>
  <c r="BU190" i="42417"/>
  <c r="BU191" i="42417" s="1"/>
  <c r="BU197" i="42417" s="1"/>
  <c r="BL191" i="42417"/>
  <c r="BV191" i="42417"/>
  <c r="BW191" i="42417"/>
  <c r="BW197" i="42417" s="1"/>
  <c r="BL192" i="42417"/>
  <c r="BL196" i="42417"/>
  <c r="BM201" i="42417"/>
  <c r="CG207" i="42417"/>
  <c r="CG208" i="42417"/>
  <c r="CA218" i="42417"/>
  <c r="CB218" i="42417"/>
  <c r="CA219" i="42417"/>
  <c r="CB219" i="42417"/>
  <c r="CA223" i="42417"/>
  <c r="CB223" i="42417"/>
  <c r="CA224" i="42417"/>
  <c r="CB224" i="42417"/>
  <c r="CA225" i="42417"/>
  <c r="BL193" i="42417" s="1"/>
  <c r="CA226" i="42417"/>
  <c r="CF226" i="42417"/>
  <c r="CA227" i="42417"/>
  <c r="CF227" i="42417"/>
  <c r="CA228" i="42417"/>
  <c r="CD228" i="42417"/>
  <c r="CF228" i="42417"/>
  <c r="CG228" i="42417"/>
  <c r="DK304" i="42417"/>
  <c r="DK307" i="42417"/>
  <c r="DM313" i="42417"/>
  <c r="DM315" i="42417" s="1"/>
  <c r="DK301" i="42417" s="1"/>
  <c r="DK303" i="42417" s="1"/>
  <c r="DQ322" i="42417"/>
  <c r="DS322" i="42417"/>
  <c r="DU322" i="42417"/>
  <c r="DW323" i="42417"/>
  <c r="DY323" i="42417"/>
  <c r="EA323" i="42417"/>
  <c r="DW324" i="42417"/>
  <c r="DY324" i="42417"/>
  <c r="EA324" i="42417"/>
  <c r="DS325" i="42417"/>
  <c r="DY325" i="42417" s="1"/>
  <c r="EA325" i="42417"/>
  <c r="DW326" i="42417"/>
  <c r="DY326" i="42417"/>
  <c r="EA326" i="42417"/>
  <c r="DW327" i="42417"/>
  <c r="DY327" i="42417"/>
  <c r="EA327" i="42417"/>
  <c r="EA334" i="42417"/>
  <c r="EA339" i="42417"/>
  <c r="EA340" i="42417"/>
  <c r="EA341" i="42417"/>
  <c r="EA342" i="42417"/>
  <c r="EA344" i="42417"/>
  <c r="DS353" i="42417"/>
  <c r="DU353" i="42417"/>
  <c r="DQ354" i="42417"/>
  <c r="DQ336" i="42417" s="1"/>
  <c r="DQ337" i="42417" s="1"/>
  <c r="ED356" i="42417"/>
  <c r="EE356" i="42417"/>
  <c r="DS365" i="42417"/>
  <c r="EI374" i="42417"/>
  <c r="DS328" i="42417" s="1"/>
  <c r="EJ374" i="42417"/>
  <c r="DU328" i="42417" s="1"/>
  <c r="EO380" i="42417"/>
  <c r="EP380" i="42417"/>
  <c r="EQ380" i="42417"/>
  <c r="EO383" i="42417"/>
  <c r="EP383" i="42417"/>
  <c r="EQ383" i="42417"/>
  <c r="EO384" i="42417"/>
  <c r="EP384" i="42417"/>
  <c r="EQ384" i="42417"/>
  <c r="EO385" i="42417"/>
  <c r="EP385" i="42417"/>
  <c r="EQ385" i="42417"/>
  <c r="EO386" i="42417"/>
  <c r="EP386" i="42417"/>
  <c r="EQ386" i="42417"/>
  <c r="EO388" i="42417"/>
  <c r="EP388" i="42417"/>
  <c r="EQ388" i="42417"/>
  <c r="GE473" i="42417"/>
  <c r="GG473" i="42417" s="1"/>
  <c r="GG474" i="42417"/>
  <c r="GC479" i="42417"/>
  <c r="GY540" i="42417"/>
  <c r="GZ540" i="42417" s="1"/>
  <c r="HG558" i="42417"/>
  <c r="HI558" i="42417"/>
  <c r="HD559" i="42417"/>
  <c r="HG560" i="42417"/>
  <c r="HH560" i="42417"/>
  <c r="HI560" i="42417"/>
  <c r="HG561" i="42417"/>
  <c r="HI561" i="42417"/>
  <c r="HG562" i="42417"/>
  <c r="HI562" i="42417"/>
  <c r="HG563" i="42417"/>
  <c r="HI563" i="42417"/>
  <c r="HG564" i="42417"/>
  <c r="HI564" i="42417"/>
  <c r="HG565" i="42417"/>
  <c r="HH565" i="42417"/>
  <c r="HI565" i="42417"/>
  <c r="HG566" i="42417"/>
  <c r="HI566" i="42417"/>
  <c r="HF596" i="42417"/>
  <c r="HG596" i="42417" s="1"/>
  <c r="HH596" i="42417" s="1"/>
  <c r="HF597" i="42417"/>
  <c r="HF598" i="42417"/>
  <c r="HF599" i="42417"/>
  <c r="HF600" i="42417"/>
  <c r="HF601" i="42417"/>
  <c r="HF602" i="42417"/>
  <c r="HD603" i="42417"/>
  <c r="HE603" i="42417"/>
  <c r="HD609" i="42417"/>
  <c r="HD615" i="42417" s="1"/>
  <c r="HR669" i="42417"/>
  <c r="HR672" i="42417"/>
  <c r="HR674" i="42417"/>
  <c r="IT772" i="42417"/>
  <c r="C14" i="42409"/>
  <c r="D14" i="42409"/>
  <c r="E14" i="42409"/>
  <c r="F14" i="42409" s="1"/>
  <c r="B41" i="42409"/>
  <c r="C41" i="42409" s="1"/>
  <c r="D41" i="42409" s="1"/>
  <c r="E41" i="42409" s="1"/>
  <c r="F41" i="42409" s="1"/>
  <c r="G41" i="42409" s="1"/>
  <c r="C43" i="42409"/>
  <c r="D43" i="42409" s="1"/>
  <c r="E43" i="42409" s="1"/>
  <c r="F43" i="42409" s="1"/>
  <c r="G43" i="42409" s="1"/>
  <c r="B48" i="42409"/>
  <c r="D5" i="42470"/>
  <c r="D6" i="42470" s="1"/>
  <c r="J10" i="42470"/>
  <c r="F11" i="42470"/>
  <c r="D12" i="42470"/>
  <c r="D14" i="42470" s="1"/>
  <c r="D16" i="42470" s="1"/>
  <c r="F13" i="42470"/>
  <c r="G13" i="42470" s="1"/>
  <c r="G15" i="42470"/>
  <c r="P15" i="42470" s="1"/>
  <c r="N15" i="42470"/>
  <c r="O15" i="42470"/>
  <c r="G18" i="42470"/>
  <c r="G21" i="42470"/>
  <c r="P21" i="42470" s="1"/>
  <c r="N21" i="42470"/>
  <c r="O21" i="42470"/>
  <c r="G26" i="42470"/>
  <c r="N26" i="42470"/>
  <c r="O26" i="42470"/>
  <c r="P26" i="42470"/>
  <c r="Q26" i="42470"/>
  <c r="J30" i="42470"/>
  <c r="J31" i="42470"/>
  <c r="F36" i="42470"/>
  <c r="G36" i="42470" s="1"/>
  <c r="Q36" i="42470" s="1"/>
  <c r="D37" i="42470"/>
  <c r="G38" i="42470"/>
  <c r="N38" i="42470"/>
  <c r="O38" i="42470"/>
  <c r="D39" i="42470"/>
  <c r="D41" i="42470"/>
  <c r="F41" i="42470" s="1"/>
  <c r="O41" i="42470" s="1"/>
  <c r="K42" i="42470"/>
  <c r="N49" i="42470"/>
  <c r="O49" i="42470"/>
  <c r="P49" i="42470"/>
  <c r="Q49" i="42470"/>
  <c r="Y57" i="42470"/>
  <c r="Z57" i="42470"/>
  <c r="AA57" i="42470"/>
  <c r="R61" i="42470"/>
  <c r="U61" i="42470"/>
  <c r="V61" i="42470" s="1"/>
  <c r="Y61" i="42470"/>
  <c r="T63" i="42470"/>
  <c r="T66" i="42470"/>
  <c r="Y66" i="42470"/>
  <c r="AA66" i="42470" s="1"/>
  <c r="U70" i="42470"/>
  <c r="U73" i="42470"/>
  <c r="Y87" i="42470"/>
  <c r="Z87" i="42470"/>
  <c r="AA87" i="42470"/>
  <c r="U91" i="42470"/>
  <c r="V91" i="42470" s="1"/>
  <c r="Y91" i="42470"/>
  <c r="Z91" i="42470" s="1"/>
  <c r="AA91" i="42470" s="1"/>
  <c r="T96" i="42470"/>
  <c r="U96" i="42470" s="1"/>
  <c r="Y96" i="42470"/>
  <c r="Z96" i="42470" s="1"/>
  <c r="U103" i="42470"/>
  <c r="Z103" i="42470"/>
  <c r="AA103" i="42470" s="1"/>
  <c r="T113" i="42470"/>
  <c r="AJ166" i="42470"/>
  <c r="AJ167" i="42470" s="1"/>
  <c r="AL166" i="42470"/>
  <c r="AN166" i="42470"/>
  <c r="AL168" i="42470"/>
  <c r="AN168" i="42470" s="1"/>
  <c r="AH169" i="42470"/>
  <c r="AH170" i="42470" s="1"/>
  <c r="AH179" i="42470" s="1"/>
  <c r="AN171" i="42470"/>
  <c r="AH177" i="42470"/>
  <c r="AJ178" i="42470"/>
  <c r="AL179" i="42470"/>
  <c r="AN180" i="42470"/>
  <c r="AH182" i="42470"/>
  <c r="AN182" i="42470" s="1"/>
  <c r="AH184" i="42470"/>
  <c r="AH187" i="42470"/>
  <c r="AH188" i="42470" s="1"/>
  <c r="AN191" i="42470"/>
  <c r="AV212" i="42470"/>
  <c r="AX212" i="42470" s="1"/>
  <c r="AX213" i="42470" s="1"/>
  <c r="AT213" i="42470"/>
  <c r="AT215" i="42470"/>
  <c r="AU215" i="42470"/>
  <c r="AV215" i="42470"/>
  <c r="AW215" i="42470"/>
  <c r="AX215" i="42470"/>
  <c r="AY215" i="42470"/>
  <c r="C8" i="42476"/>
  <c r="D8" i="42476"/>
  <c r="E8" i="42476"/>
  <c r="F8" i="42476"/>
  <c r="B24" i="42476"/>
  <c r="C24" i="42476"/>
  <c r="D24" i="42476"/>
  <c r="E24" i="42476"/>
  <c r="F24" i="42476"/>
  <c r="G24" i="42476"/>
  <c r="H24" i="42476"/>
  <c r="I24" i="42476"/>
  <c r="J24" i="42476"/>
  <c r="K24" i="42476"/>
  <c r="L24" i="42476"/>
  <c r="M24" i="42476"/>
  <c r="N24" i="42476"/>
  <c r="O24" i="42476"/>
  <c r="P24" i="42476"/>
  <c r="R24" i="42476"/>
  <c r="S24" i="42476"/>
  <c r="T24" i="42476"/>
  <c r="U24" i="42476"/>
  <c r="U25" i="42476" s="1"/>
  <c r="W24" i="42476"/>
  <c r="X24" i="42476"/>
  <c r="X25" i="42476" s="1"/>
  <c r="Y24" i="42476"/>
  <c r="Z24" i="42476"/>
  <c r="Z25" i="42476" s="1"/>
  <c r="AB24" i="42476"/>
  <c r="AC24" i="42476"/>
  <c r="B27" i="42476"/>
  <c r="C27" i="42476"/>
  <c r="D27" i="42476"/>
  <c r="E27" i="42476"/>
  <c r="F27" i="42476"/>
  <c r="G27" i="42476"/>
  <c r="H27" i="42476"/>
  <c r="J27" i="42476"/>
  <c r="J28" i="42476" s="1"/>
  <c r="K27" i="42476"/>
  <c r="L27" i="42476"/>
  <c r="M27" i="42476"/>
  <c r="N27" i="42476"/>
  <c r="O27" i="42476"/>
  <c r="P27" i="42476"/>
  <c r="R27" i="42476"/>
  <c r="S27" i="42476"/>
  <c r="T27" i="42476"/>
  <c r="U27" i="42476"/>
  <c r="U28" i="42476" s="1"/>
  <c r="W27" i="42476"/>
  <c r="X27" i="42476"/>
  <c r="Y27" i="42476"/>
  <c r="Y28" i="42476" s="1"/>
  <c r="Z27" i="42476"/>
  <c r="AB27" i="42476"/>
  <c r="AC27" i="42476"/>
  <c r="AC28" i="42476" s="1"/>
  <c r="C44" i="42476"/>
  <c r="E44" i="42476"/>
  <c r="F44" i="42476"/>
  <c r="H44" i="42476"/>
  <c r="I44" i="42476"/>
  <c r="J44" i="42476"/>
  <c r="K44" i="42476"/>
  <c r="M44" i="42476"/>
  <c r="N44" i="42476"/>
  <c r="O44" i="42476"/>
  <c r="R44" i="42476"/>
  <c r="S44" i="42476"/>
  <c r="T44" i="42476"/>
  <c r="W44" i="42476"/>
  <c r="X44" i="42476"/>
  <c r="Y44" i="42476"/>
  <c r="Z44" i="42476"/>
  <c r="AB44" i="42476"/>
  <c r="AC44" i="42476"/>
  <c r="D5" i="42472"/>
  <c r="E5" i="42472" s="1"/>
  <c r="F5" i="42472" s="1"/>
  <c r="G5" i="42472" s="1"/>
  <c r="K33" i="42464"/>
  <c r="L33" i="42464" s="1"/>
  <c r="M33" i="42464" s="1"/>
  <c r="N33" i="42464" s="1"/>
  <c r="O33" i="42464" s="1"/>
  <c r="P33" i="42464" s="1"/>
  <c r="Q33" i="42464" s="1"/>
  <c r="R33" i="42464" s="1"/>
  <c r="S33" i="42464" s="1"/>
  <c r="T33" i="42464" s="1"/>
  <c r="U33" i="42464" s="1"/>
  <c r="V33" i="42464" s="1"/>
  <c r="J36" i="42464"/>
  <c r="K36" i="42464"/>
  <c r="L36" i="42464"/>
  <c r="M36" i="42464"/>
  <c r="N36" i="42464"/>
  <c r="O36" i="42464"/>
  <c r="P36" i="42464"/>
  <c r="Q36" i="42464"/>
  <c r="R36" i="42464"/>
  <c r="S36" i="42464"/>
  <c r="T36" i="42464"/>
  <c r="U36" i="42464"/>
  <c r="V36" i="42464"/>
  <c r="W36" i="42464"/>
  <c r="X36" i="42464"/>
  <c r="X38" i="42464" s="1"/>
  <c r="X42" i="42464" s="1"/>
  <c r="Y36" i="42464"/>
  <c r="Y38" i="42464" s="1"/>
  <c r="Y42" i="42464" s="1"/>
  <c r="Z36" i="42464"/>
  <c r="AA36" i="42464"/>
  <c r="AB36" i="42464"/>
  <c r="AB38" i="42464" s="1"/>
  <c r="AB42" i="42464" s="1"/>
  <c r="AC36" i="42464"/>
  <c r="AD36" i="42464"/>
  <c r="AE36" i="42464"/>
  <c r="AF36" i="42464"/>
  <c r="AG36" i="42464"/>
  <c r="AH36" i="42464"/>
  <c r="AI36" i="42464"/>
  <c r="AJ36" i="42464"/>
  <c r="AK36" i="42464"/>
  <c r="AL36" i="42464"/>
  <c r="AM36" i="42464"/>
  <c r="AN36" i="42464"/>
  <c r="V37" i="42464"/>
  <c r="W37" i="42464"/>
  <c r="X37" i="42464"/>
  <c r="Y37" i="42464"/>
  <c r="Z37" i="42464"/>
  <c r="AA37" i="42464"/>
  <c r="AB37" i="42464"/>
  <c r="AC37" i="42464"/>
  <c r="AD37" i="42464"/>
  <c r="AE37" i="42464"/>
  <c r="AE38" i="42464"/>
  <c r="AE42" i="42464" s="1"/>
  <c r="AF37" i="42464"/>
  <c r="AF38" i="42464" s="1"/>
  <c r="AF42" i="42464" s="1"/>
  <c r="AG37" i="42464"/>
  <c r="AG38" i="42464" s="1"/>
  <c r="AG42" i="42464" s="1"/>
  <c r="AH37" i="42464"/>
  <c r="AH38" i="42464" s="1"/>
  <c r="AH42" i="42464" s="1"/>
  <c r="AI37" i="42464"/>
  <c r="AI38" i="42464" s="1"/>
  <c r="AI42" i="42464" s="1"/>
  <c r="AJ37" i="42464"/>
  <c r="AJ38" i="42464" s="1"/>
  <c r="AJ42" i="42464" s="1"/>
  <c r="AK37" i="42464"/>
  <c r="AK38" i="42464" s="1"/>
  <c r="AK42" i="42464" s="1"/>
  <c r="AL37" i="42464"/>
  <c r="AL38" i="42464" s="1"/>
  <c r="AL42" i="42464" s="1"/>
  <c r="AM37" i="42464"/>
  <c r="AM38" i="42464" s="1"/>
  <c r="AM42" i="42464" s="1"/>
  <c r="AN37" i="42464"/>
  <c r="AN38" i="42464" s="1"/>
  <c r="AN42" i="42464" s="1"/>
  <c r="AW47" i="42464"/>
  <c r="AW55" i="42464" s="1"/>
  <c r="AV55" i="42464"/>
  <c r="BB63" i="42464"/>
  <c r="BC63" i="42464" s="1"/>
  <c r="BD63" i="42464" s="1"/>
  <c r="BE63" i="42464" s="1"/>
  <c r="BF63" i="42464" s="1"/>
  <c r="BG63" i="42464" s="1"/>
  <c r="BH63" i="42464" s="1"/>
  <c r="BI63" i="42464" s="1"/>
  <c r="BJ63" i="42464" s="1"/>
  <c r="BK63" i="42464" s="1"/>
  <c r="BL63" i="42464" s="1"/>
  <c r="BC73" i="42464"/>
  <c r="BC74" i="42464"/>
  <c r="BA75" i="42464"/>
  <c r="BB75" i="42464"/>
  <c r="BB79" i="42464"/>
  <c r="BC79" i="42464" s="1"/>
  <c r="BD79" i="42464" s="1"/>
  <c r="BE79" i="42464" s="1"/>
  <c r="BF79" i="42464" s="1"/>
  <c r="BA82" i="42464"/>
  <c r="BB82" i="42464"/>
  <c r="BC82" i="42464"/>
  <c r="BD82" i="42464"/>
  <c r="BD90" i="42464" s="1"/>
  <c r="BD67" i="42464" s="1"/>
  <c r="BD68" i="42464" s="1"/>
  <c r="BE82" i="42464"/>
  <c r="BF82" i="42464"/>
  <c r="BA86" i="42464"/>
  <c r="BB86" i="42464"/>
  <c r="BB90" i="42464" s="1"/>
  <c r="BB67" i="42464" s="1"/>
  <c r="BB68" i="42464" s="1"/>
  <c r="BC86" i="42464"/>
  <c r="BD86" i="42464"/>
  <c r="BE86" i="42464"/>
  <c r="BF86" i="42464"/>
  <c r="BA88" i="42464"/>
  <c r="BB88" i="42464"/>
  <c r="BC88" i="42464"/>
  <c r="BD88" i="42464"/>
  <c r="BE88" i="42464"/>
  <c r="BF88" i="42464"/>
  <c r="BA89" i="42464"/>
  <c r="BB89" i="42464"/>
  <c r="BC89" i="42464"/>
  <c r="BD89" i="42464"/>
  <c r="BE89" i="42464"/>
  <c r="BF89" i="42464"/>
  <c r="BT104" i="42464"/>
  <c r="BU104" i="42464"/>
  <c r="BV104" i="42464"/>
  <c r="BW104" i="42464"/>
  <c r="BT110" i="42464"/>
  <c r="BU110" i="42464"/>
  <c r="BV110" i="42464"/>
  <c r="BW110" i="42464"/>
  <c r="BW112" i="42464"/>
  <c r="BT117" i="42464"/>
  <c r="BU117" i="42464"/>
  <c r="BV117" i="42464"/>
  <c r="BW117" i="42464"/>
  <c r="BT121" i="42464"/>
  <c r="BU121" i="42464"/>
  <c r="BV121" i="42464"/>
  <c r="BW121" i="42464"/>
  <c r="BW125" i="42464"/>
  <c r="BT128" i="42464"/>
  <c r="BU128" i="42464"/>
  <c r="BV128" i="42464"/>
  <c r="BW128" i="42464"/>
  <c r="BW130" i="42464"/>
  <c r="BS132" i="42464"/>
  <c r="BW133" i="42464" s="1"/>
  <c r="BT132" i="42464"/>
  <c r="BU132" i="42464"/>
  <c r="BV132" i="42464"/>
  <c r="BT139" i="42464"/>
  <c r="BU139" i="42464"/>
  <c r="BV139" i="42464"/>
  <c r="BW139" i="42464"/>
  <c r="CB145" i="42464"/>
  <c r="CB147" i="42464" s="1"/>
  <c r="CB153" i="42464" s="1"/>
  <c r="CB154" i="42464" s="1"/>
  <c r="CB155" i="42464" s="1"/>
  <c r="CA147" i="42464"/>
  <c r="CB149" i="42464"/>
  <c r="CB151" i="42464" s="1"/>
  <c r="CA151" i="42464"/>
  <c r="CB157" i="42464"/>
  <c r="CB159" i="42464" s="1"/>
  <c r="CB161" i="42464" s="1"/>
  <c r="CA159" i="42464"/>
  <c r="CA161" i="42464" s="1"/>
  <c r="CA169" i="42464"/>
  <c r="CC169" i="42464"/>
  <c r="CA174" i="42464"/>
  <c r="CC174" i="42464"/>
  <c r="CA176" i="42464"/>
  <c r="CC176" i="42464"/>
  <c r="CA181" i="42464"/>
  <c r="CG186" i="42464"/>
  <c r="CF188" i="42464"/>
  <c r="CF198" i="42464" s="1"/>
  <c r="CF202" i="42464"/>
  <c r="CH202" i="42464"/>
  <c r="CF204" i="42464"/>
  <c r="CH204" i="42464"/>
  <c r="CF206" i="42464"/>
  <c r="CH206" i="42464"/>
  <c r="CF211" i="42464"/>
  <c r="CK215" i="42464"/>
  <c r="CJ217" i="42464"/>
  <c r="CK217" i="42464"/>
  <c r="CM222" i="42464"/>
  <c r="CM224" i="42464" s="1"/>
  <c r="CM230" i="42464"/>
  <c r="CM233" i="42464" s="1"/>
  <c r="CM235" i="42464"/>
  <c r="CQ247" i="42464"/>
  <c r="CQ251" i="42464" s="1"/>
  <c r="CR247" i="42464"/>
  <c r="CR251" i="42464" s="1"/>
  <c r="CS247" i="42464"/>
  <c r="CS251" i="42464" s="1"/>
  <c r="CX263" i="42464"/>
  <c r="CY263" i="42464" s="1"/>
  <c r="CX264" i="42464"/>
  <c r="CY264" i="42464" s="1"/>
  <c r="CX265" i="42464"/>
  <c r="CY266" i="42464"/>
  <c r="CY267" i="42464"/>
  <c r="CY268" i="42464"/>
  <c r="CV273" i="42464"/>
  <c r="CV277" i="42464" s="1"/>
  <c r="CV279" i="42464" s="1"/>
  <c r="CW273" i="42464"/>
  <c r="CW274" i="42464"/>
  <c r="CW275" i="42464"/>
  <c r="CX275" i="42464" s="1"/>
  <c r="CY275" i="42464" s="1"/>
  <c r="DG333" i="42464"/>
  <c r="DH333" i="42464" s="1"/>
  <c r="DI333" i="42464" s="1"/>
  <c r="DJ333" i="42464" s="1"/>
  <c r="DK333" i="42464" s="1"/>
  <c r="DL333" i="42464" s="1"/>
  <c r="DM333" i="42464" s="1"/>
  <c r="DL339" i="42464"/>
  <c r="DM339" i="42464"/>
  <c r="DM340" i="42464"/>
  <c r="DP345" i="42464"/>
  <c r="DQ346" i="42464" s="1"/>
  <c r="DL348" i="42464"/>
  <c r="DM348" i="42464"/>
  <c r="DL349" i="42464"/>
  <c r="DM349" i="42464"/>
  <c r="DT362" i="42464"/>
  <c r="DT366" i="42464"/>
  <c r="DT374" i="42464"/>
  <c r="DT375" i="42464" s="1"/>
  <c r="DT378" i="42464"/>
  <c r="DT379" i="42464" s="1"/>
  <c r="EA408" i="42464"/>
  <c r="EB418" i="42464"/>
  <c r="EB419" i="42464" s="1"/>
  <c r="EB420" i="42464" s="1"/>
  <c r="EB421" i="42464" s="1"/>
  <c r="EB422" i="42464" s="1"/>
  <c r="EB423" i="42464" s="1"/>
  <c r="EB424" i="42464" s="1"/>
  <c r="EB425" i="42464" s="1"/>
  <c r="EB426" i="42464" s="1"/>
  <c r="EB427" i="42464" s="1"/>
  <c r="EB428" i="42464" s="1"/>
  <c r="EB429" i="42464" s="1"/>
  <c r="EB430" i="42464" s="1"/>
  <c r="EB431" i="42464" s="1"/>
  <c r="EB432" i="42464" s="1"/>
  <c r="EB433" i="42464" s="1"/>
  <c r="EB434" i="42464" s="1"/>
  <c r="EB435" i="42464" s="1"/>
  <c r="EB436" i="42464" s="1"/>
  <c r="EB437" i="42464" s="1"/>
  <c r="EB438" i="42464" s="1"/>
  <c r="EB439" i="42464" s="1"/>
  <c r="EB440" i="42464" s="1"/>
  <c r="EQ443" i="42464"/>
  <c r="ER443" i="42464" s="1"/>
  <c r="ES443" i="42464" s="1"/>
  <c r="ET443" i="42464" s="1"/>
  <c r="EU443" i="42464" s="1"/>
  <c r="EV443" i="42464" s="1"/>
  <c r="EW443" i="42464" s="1"/>
  <c r="EX443" i="42464" s="1"/>
  <c r="EY443" i="42464" s="1"/>
  <c r="EZ443" i="42464" s="1"/>
  <c r="FA443" i="42464" s="1"/>
  <c r="FB443" i="42464" s="1"/>
  <c r="FC443" i="42464" s="1"/>
  <c r="FD443" i="42464" s="1"/>
  <c r="FE443" i="42464" s="1"/>
  <c r="FF443" i="42464" s="1"/>
  <c r="FG443" i="42464" s="1"/>
  <c r="FH443" i="42464" s="1"/>
  <c r="FI443" i="42464" s="1"/>
  <c r="FJ443" i="42464" s="1"/>
  <c r="FK443" i="42464" s="1"/>
  <c r="FL443" i="42464" s="1"/>
  <c r="FM443" i="42464" s="1"/>
  <c r="FB445" i="42464"/>
  <c r="FC445" i="42464"/>
  <c r="FD445" i="42464"/>
  <c r="FE445" i="42464"/>
  <c r="FF445" i="42464"/>
  <c r="FG445" i="42464"/>
  <c r="FH445" i="42464"/>
  <c r="FI445" i="42464"/>
  <c r="FJ445" i="42464"/>
  <c r="FK445" i="42464"/>
  <c r="FL445" i="42464"/>
  <c r="FM445" i="42464"/>
  <c r="FG448" i="42464"/>
  <c r="FH448" i="42464"/>
  <c r="FI448" i="42464"/>
  <c r="FJ448" i="42464"/>
  <c r="FK448" i="42464"/>
  <c r="FL448" i="42464"/>
  <c r="FM448" i="42464"/>
  <c r="FQ462" i="42464"/>
  <c r="FU470" i="42464"/>
  <c r="FV470" i="42464" s="1"/>
  <c r="FW470" i="42464" s="1"/>
  <c r="FX470" i="42464" s="1"/>
  <c r="FY470" i="42464" s="1"/>
  <c r="GC476" i="42464"/>
  <c r="GD476" i="42464" s="1"/>
  <c r="GE476" i="42464" s="1"/>
  <c r="GF476" i="42464" s="1"/>
  <c r="GG476" i="42464" s="1"/>
  <c r="GC490" i="42464"/>
  <c r="GD490" i="42464" s="1"/>
  <c r="GE490" i="42464" s="1"/>
  <c r="GF490" i="42464" s="1"/>
  <c r="GG490" i="42464" s="1"/>
  <c r="GC504" i="42464"/>
  <c r="GD504" i="42464" s="1"/>
  <c r="GE504" i="42464" s="1"/>
  <c r="GF504" i="42464" s="1"/>
  <c r="GG504" i="42464" s="1"/>
  <c r="GC518" i="42464"/>
  <c r="GD518" i="42464" s="1"/>
  <c r="GE518" i="42464" s="1"/>
  <c r="GF518" i="42464" s="1"/>
  <c r="GG518" i="42464" s="1"/>
  <c r="GB524" i="42464"/>
  <c r="GB525" i="42464"/>
  <c r="GC532" i="42464"/>
  <c r="GD532" i="42464" s="1"/>
  <c r="GE532" i="42464" s="1"/>
  <c r="GF532" i="42464" s="1"/>
  <c r="GG532" i="42464" s="1"/>
  <c r="GG544" i="42464"/>
  <c r="GC546" i="42464"/>
  <c r="GD546" i="42464" s="1"/>
  <c r="GE546" i="42464" s="1"/>
  <c r="GF546" i="42464" s="1"/>
  <c r="GG546" i="42464" s="1"/>
  <c r="GB552" i="42464"/>
  <c r="GB553" i="42464"/>
  <c r="GM566" i="42464"/>
  <c r="GN566" i="42464" s="1"/>
  <c r="GL567" i="42464"/>
  <c r="GL569" i="42464" s="1"/>
  <c r="GN567" i="42464"/>
  <c r="GM571" i="42464"/>
  <c r="GN571" i="42464" s="1"/>
  <c r="GN574" i="42464" s="1"/>
  <c r="GL572" i="42464"/>
  <c r="GL574" i="42464" s="1"/>
  <c r="GN572" i="42464"/>
  <c r="GL589" i="42464"/>
  <c r="GN589" i="42464"/>
  <c r="GM591" i="42464"/>
  <c r="GN591" i="42464" s="1"/>
  <c r="GL595" i="42464"/>
  <c r="GN595" i="42464"/>
  <c r="GL597" i="42464"/>
  <c r="GN597" i="42464"/>
  <c r="GL602" i="42464"/>
  <c r="HF667" i="42464"/>
  <c r="HF668" i="42464"/>
  <c r="HF669" i="42464"/>
  <c r="HE682" i="42464"/>
  <c r="HF682" i="42464" s="1"/>
  <c r="HE684" i="42464"/>
  <c r="HF684" i="42464"/>
  <c r="HE687" i="42464"/>
  <c r="HF687" i="42464"/>
  <c r="HD689" i="42464"/>
  <c r="HE689" i="42464"/>
  <c r="HF689" i="42464"/>
  <c r="HN715" i="42464"/>
  <c r="HO715" i="42464" s="1"/>
  <c r="HP715" i="42464" s="1"/>
  <c r="HL717" i="42464"/>
  <c r="HL718" i="42464" s="1"/>
  <c r="HL719" i="42464" s="1"/>
  <c r="HS728" i="42464"/>
  <c r="HS736" i="42464"/>
  <c r="HT736" i="42464"/>
  <c r="HS741" i="42464"/>
  <c r="HS743" i="42464" s="1"/>
  <c r="HS746" i="42464" s="1"/>
  <c r="HT741" i="42464"/>
  <c r="HV758" i="42464"/>
  <c r="HV762" i="42464"/>
  <c r="HV764" i="42464" s="1"/>
  <c r="HV770" i="42464"/>
  <c r="HV774" i="42464"/>
  <c r="HV776" i="42464" s="1"/>
  <c r="HV779" i="42464"/>
  <c r="HV780" i="42464"/>
  <c r="HV786" i="42464"/>
  <c r="HV829" i="42464" s="1"/>
  <c r="HX829" i="42464" s="1"/>
  <c r="HV797" i="42464"/>
  <c r="HV799" i="42464" s="1"/>
  <c r="HY799" i="42464" s="1"/>
  <c r="HV804" i="42464"/>
  <c r="HV806" i="42464" s="1"/>
  <c r="HY806" i="42464" s="1"/>
  <c r="HV809" i="42464"/>
  <c r="HY809" i="42464" s="1"/>
  <c r="HV810" i="42464"/>
  <c r="HY810" i="42464" s="1"/>
  <c r="HY814" i="42464" s="1"/>
  <c r="HV811" i="42464"/>
  <c r="HY811" i="42464" s="1"/>
  <c r="HV812" i="42464"/>
  <c r="HY812" i="42464" s="1"/>
  <c r="HV817" i="42464"/>
  <c r="HY817" i="42464" s="1"/>
  <c r="HV818" i="42464"/>
  <c r="HV825" i="42464" s="1"/>
  <c r="HV819" i="42464"/>
  <c r="HY819" i="42464" s="1"/>
  <c r="HV820" i="42464"/>
  <c r="HY820" i="42464" s="1"/>
  <c r="HV821" i="42464"/>
  <c r="HY821" i="42464" s="1"/>
  <c r="HV822" i="42464"/>
  <c r="HY822" i="42464" s="1"/>
  <c r="HY823" i="42464"/>
  <c r="IC836" i="42464"/>
  <c r="HX846" i="42464"/>
  <c r="IG864" i="42464"/>
  <c r="IG865" i="42464" s="1"/>
  <c r="IG867" i="42464" s="1"/>
  <c r="IG871" i="42464" s="1"/>
  <c r="IG881" i="42464"/>
  <c r="IL887" i="42464"/>
  <c r="IM887" i="42464" s="1"/>
  <c r="IL890" i="42464"/>
  <c r="IM890" i="42464" s="1"/>
  <c r="IL893" i="42464"/>
  <c r="IM893" i="42464" s="1"/>
  <c r="IL896" i="42464"/>
  <c r="IM896" i="42464" s="1"/>
  <c r="IL897" i="42464"/>
  <c r="IM897" i="42464" s="1"/>
  <c r="IL900" i="42464"/>
  <c r="IL901" i="42464"/>
  <c r="IM901" i="42464" s="1"/>
  <c r="IS901" i="42464" s="1"/>
  <c r="IT901" i="42464" s="1"/>
  <c r="IU901" i="42464" s="1"/>
  <c r="IR901" i="42464"/>
  <c r="IL902" i="42464"/>
  <c r="IM902" i="42464" s="1"/>
  <c r="IK904" i="42464"/>
  <c r="IK921" i="42464"/>
  <c r="L15" i="42492"/>
  <c r="M15" i="42492" s="1"/>
  <c r="H6" i="42492"/>
  <c r="H7" i="42492"/>
  <c r="H8" i="42492"/>
  <c r="B10" i="42492"/>
  <c r="F10" i="42492" s="1"/>
  <c r="F11" i="42492"/>
  <c r="K19" i="42492" s="1"/>
  <c r="C13" i="42492"/>
  <c r="F13" i="42492" s="1"/>
  <c r="K20" i="42492" s="1"/>
  <c r="K15" i="42492"/>
  <c r="K16" i="42492"/>
  <c r="K17" i="42492"/>
  <c r="K18" i="42492"/>
  <c r="M21" i="42492"/>
  <c r="V52" i="42492"/>
  <c r="V56" i="42492" s="1"/>
  <c r="V59" i="42492" s="1"/>
  <c r="AA95" i="42492"/>
  <c r="AA96" i="42492"/>
  <c r="AE118" i="42492"/>
  <c r="AE126" i="42492"/>
  <c r="AE129" i="42492"/>
  <c r="AE130" i="42492"/>
  <c r="AE131" i="42492"/>
  <c r="AE132" i="42492"/>
  <c r="AE133" i="42492"/>
  <c r="AE134" i="42492"/>
  <c r="AE139" i="42492"/>
  <c r="AE140" i="42492"/>
  <c r="AE141" i="42492"/>
  <c r="AE142" i="42492"/>
  <c r="AE143" i="42492"/>
  <c r="AW166" i="42492"/>
  <c r="AW167" i="42492"/>
  <c r="BI194" i="42492"/>
  <c r="BJ194" i="42492"/>
  <c r="BK194" i="42492"/>
  <c r="BL194" i="42492"/>
  <c r="BM194" i="42492"/>
  <c r="BI198" i="42492"/>
  <c r="BJ198" i="42492"/>
  <c r="BK198" i="42492"/>
  <c r="BM198" i="42492"/>
  <c r="BI201" i="42492"/>
  <c r="BJ201" i="42492"/>
  <c r="BK201" i="42492"/>
  <c r="BL201" i="42492"/>
  <c r="BM201" i="42492"/>
  <c r="BI205" i="42492"/>
  <c r="BO221" i="42492" s="1"/>
  <c r="BJ205" i="42492"/>
  <c r="BP221" i="42492" s="1"/>
  <c r="BK205" i="42492"/>
  <c r="BQ221" i="42492" s="1"/>
  <c r="BM205" i="42492"/>
  <c r="BO222" i="42492"/>
  <c r="BR219" i="42492"/>
  <c r="BO218" i="42492"/>
  <c r="BP218" i="42492"/>
  <c r="BQ218" i="42492"/>
  <c r="BR218" i="42492"/>
  <c r="BT268" i="42492"/>
  <c r="BU268" i="42492" s="1"/>
  <c r="BW272" i="42492"/>
  <c r="BW273" i="42492" s="1"/>
  <c r="BZ291" i="42492"/>
  <c r="CA291" i="42492"/>
  <c r="CB291" i="42492"/>
  <c r="CC291" i="42492"/>
  <c r="CE291" i="42492"/>
  <c r="CF291" i="42492"/>
  <c r="CG291" i="42492"/>
  <c r="CH291" i="42492"/>
  <c r="CJ291" i="42492"/>
  <c r="CK291" i="42492"/>
  <c r="CL291" i="42492"/>
  <c r="BZ293" i="42492"/>
  <c r="CA293" i="42492"/>
  <c r="CB293" i="42492"/>
  <c r="CC293" i="42492"/>
  <c r="CE293" i="42492"/>
  <c r="CF293" i="42492"/>
  <c r="CG293" i="42492"/>
  <c r="CH293" i="42492"/>
  <c r="CJ293" i="42492"/>
  <c r="CK293" i="42492"/>
  <c r="CL293" i="42492"/>
  <c r="BZ294" i="42492"/>
  <c r="CA294" i="42492"/>
  <c r="CB294" i="42492"/>
  <c r="CC294" i="42492"/>
  <c r="CE294" i="42492"/>
  <c r="CF294" i="42492"/>
  <c r="CG294" i="42492"/>
  <c r="CH294" i="42492"/>
  <c r="CJ294" i="42492"/>
  <c r="CK294" i="42492"/>
  <c r="CL294" i="42492"/>
  <c r="BY295" i="42492"/>
  <c r="BZ295" i="42492"/>
  <c r="CA295" i="42492"/>
  <c r="CB295" i="42492"/>
  <c r="CC295" i="42492"/>
  <c r="CE295" i="42492"/>
  <c r="CF295" i="42492"/>
  <c r="CG295" i="42492"/>
  <c r="CH295" i="42492"/>
  <c r="CJ295" i="42492"/>
  <c r="CK295" i="42492"/>
  <c r="CL295" i="42492"/>
  <c r="BY296" i="42492"/>
  <c r="BZ296" i="42492"/>
  <c r="CA296" i="42492"/>
  <c r="CB296" i="42492"/>
  <c r="CC296" i="42492"/>
  <c r="CE296" i="42492"/>
  <c r="CF296" i="42492"/>
  <c r="CG296" i="42492"/>
  <c r="CH296" i="42492"/>
  <c r="CJ296" i="42492"/>
  <c r="CK296" i="42492"/>
  <c r="CL296" i="42492"/>
  <c r="BZ297" i="42492"/>
  <c r="CA297" i="42492"/>
  <c r="CB297" i="42492"/>
  <c r="CC297" i="42492"/>
  <c r="CE297" i="42492"/>
  <c r="CF297" i="42492"/>
  <c r="CG297" i="42492"/>
  <c r="CH297" i="42492"/>
  <c r="CJ297" i="42492"/>
  <c r="CK297" i="42492"/>
  <c r="CL297" i="42492"/>
  <c r="BZ298" i="42492"/>
  <c r="CA298" i="42492"/>
  <c r="CB298" i="42492"/>
  <c r="CC298" i="42492"/>
  <c r="CE298" i="42492"/>
  <c r="CF298" i="42492"/>
  <c r="CG298" i="42492"/>
  <c r="CH298" i="42492"/>
  <c r="CJ298" i="42492"/>
  <c r="CK298" i="42492"/>
  <c r="CL298" i="42492"/>
  <c r="BZ299" i="42492"/>
  <c r="CA299" i="42492"/>
  <c r="CB299" i="42492"/>
  <c r="CC299" i="42492"/>
  <c r="CE299" i="42492"/>
  <c r="CF299" i="42492"/>
  <c r="CG299" i="42492"/>
  <c r="CH299" i="42492"/>
  <c r="CJ299" i="42492"/>
  <c r="CK299" i="42492"/>
  <c r="CL299" i="42492"/>
  <c r="BZ300" i="42492"/>
  <c r="CA300" i="42492"/>
  <c r="CB300" i="42492"/>
  <c r="CC300" i="42492"/>
  <c r="CE300" i="42492"/>
  <c r="CF300" i="42492"/>
  <c r="CG300" i="42492"/>
  <c r="CH300" i="42492"/>
  <c r="CJ300" i="42492"/>
  <c r="CK300" i="42492"/>
  <c r="CL300" i="42492"/>
  <c r="BZ301" i="42492"/>
  <c r="CA301" i="42492"/>
  <c r="CB301" i="42492"/>
  <c r="CC301" i="42492"/>
  <c r="CE301" i="42492"/>
  <c r="CF301" i="42492"/>
  <c r="CG301" i="42492"/>
  <c r="CH301" i="42492"/>
  <c r="CJ301" i="42492"/>
  <c r="CK301" i="42492"/>
  <c r="CL301" i="42492"/>
  <c r="BZ302" i="42492"/>
  <c r="CA302" i="42492"/>
  <c r="CB302" i="42492"/>
  <c r="CC302" i="42492"/>
  <c r="CE302" i="42492"/>
  <c r="CF302" i="42492"/>
  <c r="CG302" i="42492"/>
  <c r="CH302" i="42492"/>
  <c r="CJ302" i="42492"/>
  <c r="CK302" i="42492"/>
  <c r="CL302" i="42492"/>
  <c r="CI306" i="42492"/>
  <c r="DE347" i="42492"/>
  <c r="DE351" i="42492"/>
  <c r="DE352" i="42492" s="1"/>
  <c r="DE357" i="42492"/>
  <c r="DE359" i="42492" s="1"/>
  <c r="DE363" i="42492"/>
  <c r="DE366" i="42492" s="1"/>
  <c r="DE370" i="42492" s="1"/>
  <c r="DE374" i="42492" s="1"/>
  <c r="DE381" i="42492"/>
  <c r="EG440" i="42492"/>
  <c r="EH440" i="42492" s="1"/>
  <c r="EI440" i="42492" s="1"/>
  <c r="EJ440" i="42492" s="1"/>
  <c r="B62" i="42420"/>
  <c r="B63" i="42420" s="1"/>
  <c r="C62" i="42420"/>
  <c r="C68" i="42420" s="1"/>
  <c r="T83" i="42408"/>
  <c r="T84" i="42408"/>
  <c r="T85" i="42408"/>
  <c r="Y91" i="42408"/>
  <c r="Z91" i="42408" s="1"/>
  <c r="Y99" i="42408"/>
  <c r="Z99" i="42408" s="1"/>
  <c r="AC112" i="42408"/>
  <c r="AD112" i="42408" s="1"/>
  <c r="AE112" i="42408" s="1"/>
  <c r="AF112" i="42408" s="1"/>
  <c r="AC134" i="42408"/>
  <c r="AD134" i="42408" s="1"/>
  <c r="AE134" i="42408" s="1"/>
  <c r="AF134" i="42408" s="1"/>
  <c r="CL1" i="42385"/>
  <c r="CL2" i="42385"/>
  <c r="CL3" i="42385"/>
  <c r="G4" i="42385"/>
  <c r="L4" i="42385"/>
  <c r="Q4" i="42385"/>
  <c r="V4" i="42385"/>
  <c r="CP4" i="42385" s="1"/>
  <c r="AA4" i="42385"/>
  <c r="CQ4" i="42385" s="1"/>
  <c r="AF4" i="42385"/>
  <c r="AG5" i="42385" s="1"/>
  <c r="AK4" i="42385"/>
  <c r="AP4" i="42385"/>
  <c r="CT4" i="42385" s="1"/>
  <c r="AU4" i="42385"/>
  <c r="AZ4" i="42385"/>
  <c r="BA5" i="42385" s="1"/>
  <c r="BE4" i="42385"/>
  <c r="CX4" i="42385"/>
  <c r="CY4" i="42385"/>
  <c r="CZ4" i="42385"/>
  <c r="DA4" i="42385"/>
  <c r="DB4" i="42385"/>
  <c r="DC4" i="42385"/>
  <c r="C5" i="42385"/>
  <c r="D5" i="42385"/>
  <c r="E5" i="42385"/>
  <c r="F5" i="42385"/>
  <c r="I5" i="42385"/>
  <c r="J5" i="42385"/>
  <c r="K5" i="42385"/>
  <c r="N5" i="42385"/>
  <c r="O5" i="42385"/>
  <c r="P5" i="42385"/>
  <c r="S5" i="42385"/>
  <c r="T5" i="42385"/>
  <c r="U5" i="42385"/>
  <c r="X5" i="42385"/>
  <c r="Y5" i="42385"/>
  <c r="Z5" i="42385"/>
  <c r="AC5" i="42385"/>
  <c r="AD5" i="42385"/>
  <c r="AE5" i="42385"/>
  <c r="AH5" i="42385"/>
  <c r="AI5" i="42385"/>
  <c r="AJ5" i="42385"/>
  <c r="AM5" i="42385"/>
  <c r="AN5" i="42385"/>
  <c r="AO5" i="42385"/>
  <c r="AR5" i="42385"/>
  <c r="AS5" i="42385"/>
  <c r="AT5" i="42385"/>
  <c r="AW5" i="42385"/>
  <c r="AX5" i="42385"/>
  <c r="AY5" i="42385"/>
  <c r="BB5" i="42385"/>
  <c r="BC5" i="42385"/>
  <c r="BD5" i="42385"/>
  <c r="BG5" i="42385"/>
  <c r="BH5" i="42385"/>
  <c r="BI5" i="42385"/>
  <c r="BK5" i="42385"/>
  <c r="BL5" i="42385"/>
  <c r="BM5" i="42385"/>
  <c r="BM1250" i="42385" s="1"/>
  <c r="BN5" i="42385"/>
  <c r="BN1248" i="42385" s="1"/>
  <c r="BO5" i="42385"/>
  <c r="CY5" i="42385" s="1"/>
  <c r="BP5" i="42385"/>
  <c r="BP1248" i="42385" s="1"/>
  <c r="BQ5" i="42385"/>
  <c r="BQ1250" i="42385" s="1"/>
  <c r="BR5" i="42385"/>
  <c r="BR1250" i="42385" s="1"/>
  <c r="BS5" i="42385"/>
  <c r="BS1248" i="42385" s="1"/>
  <c r="BU1248" i="42385" s="1"/>
  <c r="BT5" i="42385"/>
  <c r="CZ5" i="42385" s="1"/>
  <c r="BU5" i="42385"/>
  <c r="BU1250" i="42385" s="1"/>
  <c r="BV5" i="42385"/>
  <c r="BV1250" i="42385" s="1"/>
  <c r="BW5" i="42385"/>
  <c r="BX5" i="42385"/>
  <c r="BY5" i="42385"/>
  <c r="DA5" i="42385" s="1"/>
  <c r="BZ5" i="42385"/>
  <c r="DB5" i="42385" s="1"/>
  <c r="CA5" i="42385"/>
  <c r="DC5" i="42385" s="1"/>
  <c r="CB5" i="42385"/>
  <c r="CC5" i="42385"/>
  <c r="CD5" i="42385"/>
  <c r="CE5" i="42385"/>
  <c r="CF5" i="42385"/>
  <c r="CL5" i="42385"/>
  <c r="CL6" i="42385"/>
  <c r="CM6" i="42385"/>
  <c r="CN6" i="42385"/>
  <c r="CO6" i="42385"/>
  <c r="CP6" i="42385"/>
  <c r="CQ6" i="42385"/>
  <c r="CR6" i="42385"/>
  <c r="CS6" i="42385"/>
  <c r="CT6" i="42385"/>
  <c r="CU6" i="42385"/>
  <c r="CV6" i="42385"/>
  <c r="CW6" i="42385"/>
  <c r="CX6" i="42385"/>
  <c r="CY6" i="42385"/>
  <c r="CZ6" i="42385"/>
  <c r="DA6" i="42385"/>
  <c r="DB6" i="42385"/>
  <c r="DC6" i="42385"/>
  <c r="CL8" i="42385"/>
  <c r="AZ9" i="42385"/>
  <c r="CV9" i="42385" s="1"/>
  <c r="BE9" i="42385"/>
  <c r="CW9" i="42385" s="1"/>
  <c r="BJ9" i="42385"/>
  <c r="CX9" i="42385" s="1"/>
  <c r="BO9" i="42385"/>
  <c r="CY9" i="42385" s="1"/>
  <c r="CL9" i="42385"/>
  <c r="AZ10" i="42385"/>
  <c r="CV10" i="42385" s="1"/>
  <c r="BE10" i="42385"/>
  <c r="CW10" i="42385" s="1"/>
  <c r="BJ10" i="42385"/>
  <c r="BO10" i="42385"/>
  <c r="CL10" i="42385"/>
  <c r="AZ11" i="42385"/>
  <c r="CV11" i="42385" s="1"/>
  <c r="BE11" i="42385"/>
  <c r="CW11" i="42385" s="1"/>
  <c r="BJ11" i="42385"/>
  <c r="CX11" i="42385" s="1"/>
  <c r="BO11" i="42385"/>
  <c r="CY11" i="42385" s="1"/>
  <c r="CL11" i="42385"/>
  <c r="AZ13" i="42385"/>
  <c r="CV13" i="42385" s="1"/>
  <c r="BE13" i="42385"/>
  <c r="BJ13" i="42385"/>
  <c r="CX13" i="42385" s="1"/>
  <c r="BO13" i="42385"/>
  <c r="CY13" i="42385" s="1"/>
  <c r="CL13" i="42385"/>
  <c r="CW13" i="42385"/>
  <c r="AV14" i="42385"/>
  <c r="AV15" i="42385" s="1"/>
  <c r="AW14" i="42385"/>
  <c r="AX14" i="42385"/>
  <c r="AY14" i="42385"/>
  <c r="AY15" i="42385" s="1"/>
  <c r="BA14" i="42385"/>
  <c r="BB14" i="42385"/>
  <c r="BC14" i="42385"/>
  <c r="BD14" i="42385"/>
  <c r="BF14" i="42385"/>
  <c r="BI193" i="42492" s="1"/>
  <c r="BI195" i="42492" s="1"/>
  <c r="BG14" i="42385"/>
  <c r="BJ193" i="42492" s="1"/>
  <c r="BH14" i="42385"/>
  <c r="BI14" i="42385"/>
  <c r="BK14" i="42385"/>
  <c r="BM193" i="42492" s="1"/>
  <c r="BM195" i="42492" s="1"/>
  <c r="BL14" i="42385"/>
  <c r="BL15" i="42385" s="1"/>
  <c r="BM14" i="42385"/>
  <c r="BN14" i="42385"/>
  <c r="BP14" i="42385"/>
  <c r="BP15" i="42385" s="1"/>
  <c r="BQ14" i="42385"/>
  <c r="CL14" i="42385"/>
  <c r="AS15" i="42385"/>
  <c r="AT15" i="42385"/>
  <c r="CL15" i="42385"/>
  <c r="CL16" i="42385"/>
  <c r="CM16" i="42385"/>
  <c r="CN16" i="42385"/>
  <c r="CO16" i="42385"/>
  <c r="CP16" i="42385"/>
  <c r="CQ16" i="42385"/>
  <c r="CR16" i="42385"/>
  <c r="CS16" i="42385"/>
  <c r="CT16" i="42385"/>
  <c r="CU16" i="42385"/>
  <c r="CL18" i="42385"/>
  <c r="AZ19" i="42385"/>
  <c r="BE19" i="42385"/>
  <c r="BJ19" i="42385"/>
  <c r="BJ28" i="42385" s="1"/>
  <c r="BO19" i="42385"/>
  <c r="CY19" i="42385" s="1"/>
  <c r="CL19" i="42385"/>
  <c r="AZ20" i="42385"/>
  <c r="BE20" i="42385"/>
  <c r="BJ20" i="42385"/>
  <c r="CX20" i="42385" s="1"/>
  <c r="BO20" i="42385"/>
  <c r="CY20" i="42385" s="1"/>
  <c r="CL20" i="42385"/>
  <c r="AV21" i="42385"/>
  <c r="AW21" i="42385"/>
  <c r="AX21" i="42385"/>
  <c r="AY21" i="42385"/>
  <c r="BE21" i="42385"/>
  <c r="BJ21" i="42385"/>
  <c r="BO21" i="42385"/>
  <c r="CL21" i="42385"/>
  <c r="CW21" i="42385"/>
  <c r="AX23" i="42385"/>
  <c r="BA23" i="42385"/>
  <c r="BA24" i="42385" s="1"/>
  <c r="BA40" i="42385" s="1"/>
  <c r="BB23" i="42385"/>
  <c r="BC23" i="42385"/>
  <c r="BF23" i="42385"/>
  <c r="BF24" i="42385" s="1"/>
  <c r="BF40" i="42385" s="1"/>
  <c r="BG23" i="42385"/>
  <c r="BG24" i="42385" s="1"/>
  <c r="BG40" i="42385" s="1"/>
  <c r="BH23" i="42385"/>
  <c r="BH24" i="42385" s="1"/>
  <c r="BH40" i="42385" s="1"/>
  <c r="BK23" i="42385"/>
  <c r="BL23" i="42385"/>
  <c r="BL24" i="42385" s="1"/>
  <c r="BL40" i="42385" s="1"/>
  <c r="BM23" i="42385"/>
  <c r="BM24" i="42385" s="1"/>
  <c r="BM40" i="42385" s="1"/>
  <c r="BN24" i="42385"/>
  <c r="BN40" i="42385" s="1"/>
  <c r="BP23" i="42385"/>
  <c r="BP24" i="42385" s="1"/>
  <c r="BP40" i="42385" s="1"/>
  <c r="BQ23" i="42385"/>
  <c r="CL23" i="42385"/>
  <c r="CL24" i="42385"/>
  <c r="AS26" i="42385"/>
  <c r="AT26" i="42385"/>
  <c r="CL26" i="42385"/>
  <c r="AN27" i="42385"/>
  <c r="AO27" i="42385"/>
  <c r="AQ27" i="42385"/>
  <c r="AR27" i="42385"/>
  <c r="AS27" i="42385"/>
  <c r="AT27" i="42385"/>
  <c r="CL27" i="42385"/>
  <c r="AV28" i="42385"/>
  <c r="AW28" i="42385"/>
  <c r="AX28" i="42385"/>
  <c r="AY28" i="42385"/>
  <c r="BA28" i="42385"/>
  <c r="BB28" i="42385"/>
  <c r="BC28" i="42385"/>
  <c r="BD28" i="42385"/>
  <c r="BF28" i="42385"/>
  <c r="BG28" i="42385"/>
  <c r="BH28" i="42385"/>
  <c r="BI28" i="42385"/>
  <c r="BK28" i="42385"/>
  <c r="BL28" i="42385"/>
  <c r="BM28" i="42385"/>
  <c r="BN28" i="42385"/>
  <c r="BP28" i="42385"/>
  <c r="BQ28" i="42385"/>
  <c r="AV29" i="42385"/>
  <c r="AW29" i="42385"/>
  <c r="AX29" i="42385"/>
  <c r="AY29" i="42385"/>
  <c r="BA29" i="42385"/>
  <c r="BB29" i="42385"/>
  <c r="BC29" i="42385"/>
  <c r="BD29" i="42385"/>
  <c r="BF29" i="42385"/>
  <c r="BG29" i="42385"/>
  <c r="BH29" i="42385"/>
  <c r="BI29" i="42385"/>
  <c r="BK29" i="42385"/>
  <c r="BL29" i="42385"/>
  <c r="BM29" i="42385"/>
  <c r="BN29" i="42385"/>
  <c r="BP29" i="42385"/>
  <c r="BQ29" i="42385"/>
  <c r="BA30" i="42385"/>
  <c r="BB30" i="42385"/>
  <c r="BC30" i="42385"/>
  <c r="BD30" i="42385"/>
  <c r="BF30" i="42385"/>
  <c r="BG30" i="42385"/>
  <c r="BH30" i="42385"/>
  <c r="BI30" i="42385"/>
  <c r="BK30" i="42385"/>
  <c r="BL30" i="42385"/>
  <c r="BM30" i="42385"/>
  <c r="BN30" i="42385"/>
  <c r="BP30" i="42385"/>
  <c r="BQ30" i="42385"/>
  <c r="AS32" i="42385"/>
  <c r="AT32" i="42385"/>
  <c r="G34" i="42385"/>
  <c r="G38" i="42385" s="1"/>
  <c r="G40" i="42385" s="1"/>
  <c r="L34" i="42385"/>
  <c r="Q34" i="42385"/>
  <c r="Q38" i="42385" s="1"/>
  <c r="Q40" i="42385" s="1"/>
  <c r="V34" i="42385"/>
  <c r="V38" i="42385" s="1"/>
  <c r="V40" i="42385" s="1"/>
  <c r="Z34" i="42385"/>
  <c r="AD34" i="42385"/>
  <c r="AD38" i="42385" s="1"/>
  <c r="AP34" i="42385"/>
  <c r="AS34" i="42385"/>
  <c r="AY34" i="42385"/>
  <c r="BE34" i="42385"/>
  <c r="BJ34" i="42385"/>
  <c r="BO34" i="42385"/>
  <c r="BT34" i="42385"/>
  <c r="CL34" i="42385"/>
  <c r="AO42" i="42385"/>
  <c r="AQ42" i="42385"/>
  <c r="CL40" i="42385"/>
  <c r="CL41" i="42385"/>
  <c r="CL42" i="42385"/>
  <c r="CL43" i="42385"/>
  <c r="CR43" i="42385"/>
  <c r="AZ47" i="42385"/>
  <c r="CV47" i="42385" s="1"/>
  <c r="BE47" i="42385"/>
  <c r="CW47" i="42385" s="1"/>
  <c r="BH47" i="42385"/>
  <c r="BK47" i="42385"/>
  <c r="BL47" i="42385"/>
  <c r="BM47" i="42385"/>
  <c r="BN47" i="42385"/>
  <c r="BP47" i="42385"/>
  <c r="BQ47" i="42385"/>
  <c r="CL47" i="42385"/>
  <c r="CM47" i="42385"/>
  <c r="CN47" i="42385"/>
  <c r="CO47" i="42385"/>
  <c r="CP47" i="42385"/>
  <c r="CQ47" i="42385"/>
  <c r="CR47" i="42385"/>
  <c r="CS47" i="42385"/>
  <c r="CT47" i="42385"/>
  <c r="CU47" i="42385"/>
  <c r="Y48" i="42385"/>
  <c r="Y53" i="42385" s="1"/>
  <c r="Z48" i="42385"/>
  <c r="Z53" i="42385" s="1"/>
  <c r="AD48" i="42385"/>
  <c r="AE48" i="42385"/>
  <c r="AE53" i="42385" s="1"/>
  <c r="AG48" i="42385"/>
  <c r="AJ48" i="42385"/>
  <c r="AJ53" i="42385" s="1"/>
  <c r="AO48" i="42385"/>
  <c r="AR48" i="42385"/>
  <c r="AR53" i="42385" s="1"/>
  <c r="AS48" i="42385"/>
  <c r="AS53" i="42385" s="1"/>
  <c r="AT48" i="42385"/>
  <c r="AT83" i="42385" s="1"/>
  <c r="AT86" i="42385" s="1"/>
  <c r="AV48" i="42385"/>
  <c r="AV83" i="42385" s="1"/>
  <c r="AV86" i="42385" s="1"/>
  <c r="AW48" i="42385"/>
  <c r="AW53" i="42385" s="1"/>
  <c r="AX48" i="42385"/>
  <c r="AX34" i="42385" s="1"/>
  <c r="AX38" i="42385" s="1"/>
  <c r="BE48" i="42385"/>
  <c r="CW48" i="42385" s="1"/>
  <c r="BJ48" i="42385"/>
  <c r="BJ53" i="42385" s="1"/>
  <c r="CX53" i="42385" s="1"/>
  <c r="BO48" i="42385"/>
  <c r="BO53" i="42385" s="1"/>
  <c r="CY53" i="42385" s="1"/>
  <c r="BT48" i="42385"/>
  <c r="CZ48" i="42385" s="1"/>
  <c r="BY48" i="42385"/>
  <c r="CL48" i="42385"/>
  <c r="CM48" i="42385"/>
  <c r="CN48" i="42385"/>
  <c r="CO48" i="42385"/>
  <c r="CP48" i="42385"/>
  <c r="DB48" i="42385"/>
  <c r="DC48" i="42385"/>
  <c r="AP49" i="42385"/>
  <c r="AU49" i="42385"/>
  <c r="AZ49" i="42385"/>
  <c r="BE49" i="42385"/>
  <c r="BJ49" i="42385"/>
  <c r="BO49" i="42385"/>
  <c r="BT49" i="42385"/>
  <c r="BY49" i="42385"/>
  <c r="CL49" i="42385"/>
  <c r="CM49" i="42385"/>
  <c r="CN49" i="42385"/>
  <c r="CO49" i="42385"/>
  <c r="CP49" i="42385"/>
  <c r="CQ49" i="42385"/>
  <c r="CR49" i="42385"/>
  <c r="CS49" i="42385"/>
  <c r="CT49" i="42385"/>
  <c r="CU49" i="42385"/>
  <c r="CV49" i="42385"/>
  <c r="CW49" i="42385"/>
  <c r="CX49" i="42385"/>
  <c r="CY49" i="42385"/>
  <c r="CZ49" i="42385"/>
  <c r="DA49" i="42385"/>
  <c r="DB49" i="42385"/>
  <c r="DC49" i="42385"/>
  <c r="CL50" i="42385"/>
  <c r="CL51" i="42385"/>
  <c r="CM51" i="42385"/>
  <c r="CL52" i="42385"/>
  <c r="C53" i="42385"/>
  <c r="D53" i="42385"/>
  <c r="E53" i="42385"/>
  <c r="F53" i="42385"/>
  <c r="G53" i="42385"/>
  <c r="CM53" i="42385" s="1"/>
  <c r="H53" i="42385"/>
  <c r="I53" i="42385"/>
  <c r="J53" i="42385"/>
  <c r="K53" i="42385"/>
  <c r="L53" i="42385"/>
  <c r="CN53" i="42385" s="1"/>
  <c r="M53" i="42385"/>
  <c r="N53" i="42385"/>
  <c r="O53" i="42385"/>
  <c r="P53" i="42385"/>
  <c r="Q53" i="42385"/>
  <c r="CO53" i="42385" s="1"/>
  <c r="R53" i="42385"/>
  <c r="S53" i="42385"/>
  <c r="T53" i="42385"/>
  <c r="U53" i="42385"/>
  <c r="V53" i="42385"/>
  <c r="CP53" i="42385" s="1"/>
  <c r="W53" i="42385"/>
  <c r="X53" i="42385"/>
  <c r="AB53" i="42385"/>
  <c r="AC53" i="42385"/>
  <c r="AH53" i="42385"/>
  <c r="AI53" i="42385"/>
  <c r="AL53" i="42385"/>
  <c r="AM53" i="42385"/>
  <c r="AN53" i="42385"/>
  <c r="AQ53" i="42385"/>
  <c r="AY53" i="42385"/>
  <c r="BA53" i="42385"/>
  <c r="BB53" i="42385"/>
  <c r="BC53" i="42385"/>
  <c r="BD53" i="42385"/>
  <c r="BF53" i="42385"/>
  <c r="BG53" i="42385"/>
  <c r="BH53" i="42385"/>
  <c r="BI53" i="42385"/>
  <c r="BK53" i="42385"/>
  <c r="BL53" i="42385"/>
  <c r="BM53" i="42385"/>
  <c r="BN53" i="42385"/>
  <c r="BP53" i="42385"/>
  <c r="BQ53" i="42385"/>
  <c r="BR53" i="42385"/>
  <c r="BS53" i="42385"/>
  <c r="BU53" i="42385"/>
  <c r="BV53" i="42385"/>
  <c r="BW53" i="42385"/>
  <c r="BX53" i="42385"/>
  <c r="BZ53" i="42385"/>
  <c r="DB53" i="42385" s="1"/>
  <c r="CA53" i="42385"/>
  <c r="DC53" i="42385" s="1"/>
  <c r="CB53" i="42385"/>
  <c r="CC53" i="42385"/>
  <c r="CD53" i="42385"/>
  <c r="CE53" i="42385"/>
  <c r="CF53" i="42385"/>
  <c r="CL53" i="42385"/>
  <c r="CL54" i="42385"/>
  <c r="CL55" i="42385"/>
  <c r="CL56" i="42385"/>
  <c r="CL57" i="42385"/>
  <c r="CM57" i="42385"/>
  <c r="CN57" i="42385"/>
  <c r="CO57" i="42385"/>
  <c r="CP57" i="42385"/>
  <c r="CQ57" i="42385"/>
  <c r="CR57" i="42385"/>
  <c r="CS57" i="42385"/>
  <c r="CT57" i="42385"/>
  <c r="CU57" i="42385"/>
  <c r="G59" i="42385"/>
  <c r="CM59" i="42385" s="1"/>
  <c r="L59" i="42385"/>
  <c r="Q59" i="42385"/>
  <c r="CO59" i="42385" s="1"/>
  <c r="V59" i="42385"/>
  <c r="CP59" i="42385" s="1"/>
  <c r="Y59" i="42385"/>
  <c r="AA59" i="42385" s="1"/>
  <c r="CQ59" i="42385" s="1"/>
  <c r="AF59" i="42385"/>
  <c r="CR59" i="42385" s="1"/>
  <c r="AK59" i="42385"/>
  <c r="CS59" i="42385" s="1"/>
  <c r="AP59" i="42385"/>
  <c r="CT59" i="42385" s="1"/>
  <c r="AU59" i="42385"/>
  <c r="CU59" i="42385" s="1"/>
  <c r="AZ59" i="42385"/>
  <c r="BE59" i="42385"/>
  <c r="BE109" i="42385" s="1"/>
  <c r="CW109" i="42385" s="1"/>
  <c r="BI59" i="42385"/>
  <c r="BI109" i="42385" s="1"/>
  <c r="BO59" i="42385"/>
  <c r="CY59" i="42385" s="1"/>
  <c r="BT59" i="42385"/>
  <c r="BY59" i="42385"/>
  <c r="BZ59" i="42385" s="1"/>
  <c r="CL59" i="42385"/>
  <c r="CN59" i="42385"/>
  <c r="BD60" i="42385"/>
  <c r="BE60" i="42385" s="1"/>
  <c r="BI60" i="42385"/>
  <c r="BJ60" i="42385" s="1"/>
  <c r="BO60" i="42385"/>
  <c r="BD61" i="42385"/>
  <c r="BE61" i="42385" s="1"/>
  <c r="BI61" i="42385"/>
  <c r="BJ61" i="42385" s="1"/>
  <c r="BO61" i="42385"/>
  <c r="BA62" i="42385"/>
  <c r="BB62" i="42385"/>
  <c r="BB85" i="42385" s="1"/>
  <c r="BB86" i="42385" s="1"/>
  <c r="BC62" i="42385"/>
  <c r="BF62" i="42385"/>
  <c r="BG62" i="42385"/>
  <c r="BH62" i="42385"/>
  <c r="BH85" i="42385" s="1"/>
  <c r="BH86" i="42385" s="1"/>
  <c r="BK62" i="42385"/>
  <c r="BL62" i="42385"/>
  <c r="BM62" i="42385"/>
  <c r="BM85" i="42385" s="1"/>
  <c r="BM86" i="42385" s="1"/>
  <c r="BM88" i="42385" s="1"/>
  <c r="BM1645" i="42385" s="1"/>
  <c r="BN62" i="42385"/>
  <c r="BP62" i="42385"/>
  <c r="BP85" i="42385" s="1"/>
  <c r="BQ62" i="42385"/>
  <c r="BQ85" i="42385" s="1"/>
  <c r="BQ86" i="42385" s="1"/>
  <c r="BQ88" i="42385" s="1"/>
  <c r="BQ1645" i="42385" s="1"/>
  <c r="BY62" i="42385"/>
  <c r="C63" i="42385"/>
  <c r="D63" i="42385"/>
  <c r="E63" i="42385"/>
  <c r="F63" i="42385"/>
  <c r="H63" i="42385"/>
  <c r="I63" i="42385"/>
  <c r="J63" i="42385"/>
  <c r="K63" i="42385"/>
  <c r="M63" i="42385"/>
  <c r="N63" i="42385"/>
  <c r="O63" i="42385"/>
  <c r="P63" i="42385"/>
  <c r="R63" i="42385"/>
  <c r="S63" i="42385"/>
  <c r="T63" i="42385"/>
  <c r="U63" i="42385"/>
  <c r="W63" i="42385"/>
  <c r="X63" i="42385"/>
  <c r="Y63" i="42385"/>
  <c r="Z63" i="42385"/>
  <c r="AB63" i="42385"/>
  <c r="AC63" i="42385"/>
  <c r="AD63" i="42385"/>
  <c r="AG63" i="42385"/>
  <c r="AH63" i="42385"/>
  <c r="AI63" i="42385"/>
  <c r="AJ63" i="42385"/>
  <c r="AL63" i="42385"/>
  <c r="AM63" i="42385"/>
  <c r="AN63" i="42385"/>
  <c r="AU63" i="42385"/>
  <c r="B9" i="42409" s="1"/>
  <c r="AZ63" i="42385"/>
  <c r="CV63" i="42385" s="1"/>
  <c r="BD63" i="42385"/>
  <c r="BI63" i="42385"/>
  <c r="BO63" i="42385"/>
  <c r="CY63" i="42385" s="1"/>
  <c r="CL63" i="42385"/>
  <c r="CM64" i="42385"/>
  <c r="CN64" i="42385"/>
  <c r="CO64" i="42385"/>
  <c r="CP64" i="42385"/>
  <c r="CQ64" i="42385"/>
  <c r="CR64" i="42385"/>
  <c r="CS64" i="42385"/>
  <c r="CT64" i="42385"/>
  <c r="CU64" i="42385"/>
  <c r="CV64" i="42385"/>
  <c r="CW64" i="42385"/>
  <c r="CX64" i="42385"/>
  <c r="CY64" i="42385"/>
  <c r="CZ64" i="42385"/>
  <c r="DA64" i="42385"/>
  <c r="DB64" i="42385"/>
  <c r="DC64" i="42385"/>
  <c r="CL65" i="42385"/>
  <c r="G67" i="42385"/>
  <c r="CM67" i="42385" s="1"/>
  <c r="L67" i="42385"/>
  <c r="Q67" i="42385"/>
  <c r="CO67" i="42385" s="1"/>
  <c r="V67" i="42385"/>
  <c r="CP67" i="42385" s="1"/>
  <c r="AA67" i="42385"/>
  <c r="CQ67" i="42385" s="1"/>
  <c r="AF67" i="42385"/>
  <c r="AK67" i="42385"/>
  <c r="CS67" i="42385" s="1"/>
  <c r="AP67" i="42385"/>
  <c r="CT67" i="42385" s="1"/>
  <c r="AU67" i="42385"/>
  <c r="CU67" i="42385" s="1"/>
  <c r="AZ67" i="42385"/>
  <c r="CV67" i="42385" s="1"/>
  <c r="BE67" i="42385"/>
  <c r="CW67" i="42385" s="1"/>
  <c r="BI67" i="42385"/>
  <c r="BJ67" i="42385" s="1"/>
  <c r="CX67" i="42385" s="1"/>
  <c r="BO67" i="42385"/>
  <c r="CY67" i="42385" s="1"/>
  <c r="CL67" i="42385"/>
  <c r="G68" i="42385"/>
  <c r="G1574" i="42385" s="1"/>
  <c r="CM1574" i="42385" s="1"/>
  <c r="L68" i="42385"/>
  <c r="L1574" i="42385" s="1"/>
  <c r="CN1574" i="42385" s="1"/>
  <c r="Q68" i="42385"/>
  <c r="V68" i="42385"/>
  <c r="F10" i="42472" s="1"/>
  <c r="AA68" i="42385"/>
  <c r="AA1574" i="42385" s="1"/>
  <c r="CQ1574" i="42385" s="1"/>
  <c r="AF68" i="42385"/>
  <c r="AF1574" i="42385" s="1"/>
  <c r="CR1574" i="42385" s="1"/>
  <c r="AK68" i="42385"/>
  <c r="I10" i="42472" s="1"/>
  <c r="AP68" i="42385"/>
  <c r="CT68" i="42385" s="1"/>
  <c r="AR68" i="42385"/>
  <c r="AV198" i="42385" s="1"/>
  <c r="AZ68" i="42385"/>
  <c r="BD68" i="42385"/>
  <c r="P44" i="42476" s="1"/>
  <c r="BI68" i="42385"/>
  <c r="BO68" i="42385"/>
  <c r="BO1574" i="42385" s="1"/>
  <c r="CY1574" i="42385" s="1"/>
  <c r="CL68" i="42385"/>
  <c r="CS68" i="42385"/>
  <c r="G69" i="42385"/>
  <c r="CM69" i="42385" s="1"/>
  <c r="L69" i="42385"/>
  <c r="CN69" i="42385" s="1"/>
  <c r="Q69" i="42385"/>
  <c r="CO69" i="42385" s="1"/>
  <c r="V69" i="42385"/>
  <c r="CP69" i="42385" s="1"/>
  <c r="AA69" i="42385"/>
  <c r="CQ69" i="42385" s="1"/>
  <c r="AF69" i="42385"/>
  <c r="CR69" i="42385" s="1"/>
  <c r="AK69" i="42385"/>
  <c r="CS69" i="42385" s="1"/>
  <c r="AP69" i="42385"/>
  <c r="CT69" i="42385" s="1"/>
  <c r="AU69" i="42385"/>
  <c r="CU69" i="42385" s="1"/>
  <c r="AZ69" i="42385"/>
  <c r="CV69" i="42385" s="1"/>
  <c r="BD69" i="42385"/>
  <c r="BE69" i="42385" s="1"/>
  <c r="CW69" i="42385" s="1"/>
  <c r="BI69" i="42385"/>
  <c r="BJ69" i="42385" s="1"/>
  <c r="CX69" i="42385" s="1"/>
  <c r="BO69" i="42385"/>
  <c r="CY69" i="42385" s="1"/>
  <c r="CL69" i="42385"/>
  <c r="G70" i="42385"/>
  <c r="CM70" i="42385" s="1"/>
  <c r="L70" i="42385"/>
  <c r="CN70" i="42385" s="1"/>
  <c r="Q70" i="42385"/>
  <c r="CO70" i="42385" s="1"/>
  <c r="V70" i="42385"/>
  <c r="CP70" i="42385" s="1"/>
  <c r="AA70" i="42385"/>
  <c r="CQ70" i="42385" s="1"/>
  <c r="AF70" i="42385"/>
  <c r="AH70" i="42385"/>
  <c r="AO70" i="42385"/>
  <c r="AP70" i="42385" s="1"/>
  <c r="CT70" i="42385" s="1"/>
  <c r="AU70" i="42385"/>
  <c r="CU70" i="42385" s="1"/>
  <c r="AZ70" i="42385"/>
  <c r="CV70" i="42385" s="1"/>
  <c r="BE70" i="42385"/>
  <c r="CW70" i="42385" s="1"/>
  <c r="BJ70" i="42385"/>
  <c r="CX70" i="42385" s="1"/>
  <c r="BO70" i="42385"/>
  <c r="CY70" i="42385" s="1"/>
  <c r="BT70" i="42385"/>
  <c r="CZ70" i="42385" s="1"/>
  <c r="BY70" i="42385"/>
  <c r="DA70" i="42385" s="1"/>
  <c r="CL70" i="42385"/>
  <c r="DB70" i="42385"/>
  <c r="DC70" i="42385"/>
  <c r="D71" i="42385"/>
  <c r="G71" i="42385" s="1"/>
  <c r="CM71" i="42385" s="1"/>
  <c r="L71" i="42385"/>
  <c r="CN71" i="42385" s="1"/>
  <c r="Q71" i="42385"/>
  <c r="CO71" i="42385" s="1"/>
  <c r="V71" i="42385"/>
  <c r="CP71" i="42385" s="1"/>
  <c r="Y71" i="42385"/>
  <c r="Z71" i="42385"/>
  <c r="AB71" i="42385"/>
  <c r="AC71" i="42385"/>
  <c r="AD71" i="42385"/>
  <c r="AK71" i="42385"/>
  <c r="CS71" i="42385" s="1"/>
  <c r="AN71" i="42385"/>
  <c r="AP71" i="42385" s="1"/>
  <c r="CT71" i="42385" s="1"/>
  <c r="AS71" i="42385"/>
  <c r="AU71" i="42385" s="1"/>
  <c r="CU71" i="42385" s="1"/>
  <c r="AV71" i="42385"/>
  <c r="AW71" i="42385"/>
  <c r="AX71" i="42385"/>
  <c r="AY71" i="42385"/>
  <c r="BD71" i="42385"/>
  <c r="BE71" i="42385" s="1"/>
  <c r="CW71" i="42385" s="1"/>
  <c r="BI71" i="42385"/>
  <c r="BJ71" i="42385" s="1"/>
  <c r="CX71" i="42385" s="1"/>
  <c r="BO71" i="42385"/>
  <c r="CY71" i="42385" s="1"/>
  <c r="BT71" i="42385"/>
  <c r="CZ71" i="42385" s="1"/>
  <c r="BY71" i="42385"/>
  <c r="DA71" i="42385" s="1"/>
  <c r="CL71" i="42385"/>
  <c r="DB71" i="42385"/>
  <c r="DC71" i="42385"/>
  <c r="BY72" i="42385"/>
  <c r="CL72" i="42385"/>
  <c r="CM72" i="42385"/>
  <c r="CN72" i="42385"/>
  <c r="CO72" i="42385"/>
  <c r="CP72" i="42385"/>
  <c r="CQ72" i="42385"/>
  <c r="CR72" i="42385"/>
  <c r="CS72" i="42385"/>
  <c r="CT72" i="42385"/>
  <c r="CU72" i="42385"/>
  <c r="CV72" i="42385"/>
  <c r="CW72" i="42385"/>
  <c r="CX72" i="42385"/>
  <c r="CY72" i="42385"/>
  <c r="CZ72" i="42385"/>
  <c r="DA72" i="42385"/>
  <c r="DB72" i="42385"/>
  <c r="DC72" i="42385"/>
  <c r="G73" i="42385"/>
  <c r="CM73" i="42385" s="1"/>
  <c r="L73" i="42385"/>
  <c r="CN73" i="42385" s="1"/>
  <c r="P73" i="42385"/>
  <c r="V73" i="42385"/>
  <c r="CP73" i="42385" s="1"/>
  <c r="Y73" i="42385"/>
  <c r="AA73" i="42385" s="1"/>
  <c r="CQ73" i="42385" s="1"/>
  <c r="AB73" i="42385"/>
  <c r="AC73" i="42385"/>
  <c r="AD73" i="42385"/>
  <c r="AE73" i="42385"/>
  <c r="AG73" i="42385"/>
  <c r="AH73" i="42385"/>
  <c r="AI73" i="42385"/>
  <c r="AI85" i="42385" s="1"/>
  <c r="AI86" i="42385" s="1"/>
  <c r="AJ73" i="42385"/>
  <c r="AJ85" i="42385" s="1"/>
  <c r="AN73" i="42385"/>
  <c r="AN85" i="42385" s="1"/>
  <c r="AN86" i="42385" s="1"/>
  <c r="AO73" i="42385"/>
  <c r="AQ73" i="42385"/>
  <c r="AR73" i="42385"/>
  <c r="AR85" i="42385" s="1"/>
  <c r="AW73" i="42385"/>
  <c r="AW85" i="42385" s="1"/>
  <c r="AY73" i="42385"/>
  <c r="AY85" i="42385" s="1"/>
  <c r="BE73" i="42385"/>
  <c r="CW73" i="42385" s="1"/>
  <c r="BJ73" i="42385"/>
  <c r="CX73" i="42385" s="1"/>
  <c r="BO73" i="42385"/>
  <c r="CY73" i="42385" s="1"/>
  <c r="BT73" i="42385"/>
  <c r="CZ73" i="42385" s="1"/>
  <c r="BY73" i="42385"/>
  <c r="DA73" i="42385" s="1"/>
  <c r="CL73" i="42385"/>
  <c r="DB73" i="42385"/>
  <c r="DC73" i="42385"/>
  <c r="CM74" i="42385"/>
  <c r="CN74" i="42385"/>
  <c r="CO74" i="42385"/>
  <c r="CP74" i="42385"/>
  <c r="CQ74" i="42385"/>
  <c r="CR74" i="42385"/>
  <c r="CS74" i="42385"/>
  <c r="CT74" i="42385"/>
  <c r="CU74" i="42385"/>
  <c r="CV74" i="42385"/>
  <c r="CW74" i="42385"/>
  <c r="CX74" i="42385"/>
  <c r="CY74" i="42385"/>
  <c r="CZ74" i="42385"/>
  <c r="DA74" i="42385"/>
  <c r="DB74" i="42385"/>
  <c r="DC74" i="42385"/>
  <c r="CL75" i="42385"/>
  <c r="G76" i="42385"/>
  <c r="CM76" i="42385" s="1"/>
  <c r="L76" i="42385"/>
  <c r="CN76" i="42385" s="1"/>
  <c r="Q76" i="42385"/>
  <c r="CO76" i="42385" s="1"/>
  <c r="V76" i="42385"/>
  <c r="CP76" i="42385" s="1"/>
  <c r="Y76" i="42385"/>
  <c r="AA76" i="42385" s="1"/>
  <c r="CQ76" i="42385" s="1"/>
  <c r="AB76" i="42385"/>
  <c r="AK76" i="42385"/>
  <c r="CS76" i="42385" s="1"/>
  <c r="AP76" i="42385"/>
  <c r="CT76" i="42385" s="1"/>
  <c r="AU76" i="42385"/>
  <c r="CU76" i="42385" s="1"/>
  <c r="AZ76" i="42385"/>
  <c r="CV76" i="42385" s="1"/>
  <c r="BD76" i="42385"/>
  <c r="BE76" i="42385" s="1"/>
  <c r="BI76" i="42385"/>
  <c r="AB96" i="42492" s="1"/>
  <c r="BO76" i="42385"/>
  <c r="CY76" i="42385" s="1"/>
  <c r="CL76" i="42385"/>
  <c r="CL77" i="42385"/>
  <c r="G78" i="42385"/>
  <c r="CM78" i="42385" s="1"/>
  <c r="L78" i="42385"/>
  <c r="CN78" i="42385" s="1"/>
  <c r="Q78" i="42385"/>
  <c r="CO78" i="42385" s="1"/>
  <c r="V78" i="42385"/>
  <c r="CP78" i="42385" s="1"/>
  <c r="AA78" i="42385"/>
  <c r="CQ78" i="42385" s="1"/>
  <c r="AF78" i="42385"/>
  <c r="AK78" i="42385"/>
  <c r="I9" i="42472" s="1"/>
  <c r="AL78" i="42385"/>
  <c r="AR78" i="42385"/>
  <c r="AT78" i="42385"/>
  <c r="AZ78" i="42385"/>
  <c r="L9" i="42472" s="1"/>
  <c r="BE78" i="42385"/>
  <c r="CW78" i="42385" s="1"/>
  <c r="BJ78" i="42385"/>
  <c r="CX78" i="42385" s="1"/>
  <c r="BO78" i="42385"/>
  <c r="CY78" i="42385" s="1"/>
  <c r="BT78" i="42385"/>
  <c r="P9" i="42472" s="1"/>
  <c r="BY78" i="42385"/>
  <c r="DA78" i="42385" s="1"/>
  <c r="CL78" i="42385"/>
  <c r="DB78" i="42385"/>
  <c r="DC78" i="42385"/>
  <c r="CL79" i="42385"/>
  <c r="CL80" i="42385"/>
  <c r="CM80" i="42385"/>
  <c r="CN80" i="42385"/>
  <c r="CO80" i="42385"/>
  <c r="CP80" i="42385"/>
  <c r="CQ80" i="42385"/>
  <c r="CR80" i="42385"/>
  <c r="CS80" i="42385"/>
  <c r="CT80" i="42385"/>
  <c r="CU80" i="42385"/>
  <c r="CL82" i="42385"/>
  <c r="C83" i="42385"/>
  <c r="D83" i="42385"/>
  <c r="E83" i="42385"/>
  <c r="F83" i="42385"/>
  <c r="G83" i="42385"/>
  <c r="CM83" i="42385" s="1"/>
  <c r="H83" i="42385"/>
  <c r="I83" i="42385"/>
  <c r="J83" i="42385"/>
  <c r="K83" i="42385"/>
  <c r="L83" i="42385"/>
  <c r="M83" i="42385"/>
  <c r="N83" i="42385"/>
  <c r="O83" i="42385"/>
  <c r="P83" i="42385"/>
  <c r="Q83" i="42385"/>
  <c r="CO83" i="42385" s="1"/>
  <c r="R83" i="42385"/>
  <c r="S83" i="42385"/>
  <c r="T83" i="42385"/>
  <c r="U83" i="42385"/>
  <c r="V83" i="42385"/>
  <c r="CP83" i="42385" s="1"/>
  <c r="W83" i="42385"/>
  <c r="X83" i="42385"/>
  <c r="Y83" i="42385"/>
  <c r="Z83" i="42385"/>
  <c r="AB83" i="42385"/>
  <c r="AC83" i="42385"/>
  <c r="AD83" i="42385"/>
  <c r="AL83" i="42385"/>
  <c r="AM83" i="42385"/>
  <c r="AN83" i="42385"/>
  <c r="AO83" i="42385"/>
  <c r="AQ83" i="42385"/>
  <c r="AY83" i="42385"/>
  <c r="AY86" i="42385" s="1"/>
  <c r="BA83" i="42385"/>
  <c r="BB83" i="42385"/>
  <c r="BF83" i="42385"/>
  <c r="BJ83" i="42385" s="1"/>
  <c r="CX83" i="42385" s="1"/>
  <c r="BO83" i="42385"/>
  <c r="CY83" i="42385" s="1"/>
  <c r="BT83" i="42385"/>
  <c r="CZ83" i="42385" s="1"/>
  <c r="BY83" i="42385"/>
  <c r="DA83" i="42385" s="1"/>
  <c r="BZ83" i="42385"/>
  <c r="DB83" i="42385" s="1"/>
  <c r="CA83" i="42385"/>
  <c r="DC83" i="42385" s="1"/>
  <c r="CB83" i="42385"/>
  <c r="CC83" i="42385"/>
  <c r="CD83" i="42385"/>
  <c r="CE83" i="42385"/>
  <c r="CF83" i="42385"/>
  <c r="CL83" i="42385"/>
  <c r="CS83" i="42385"/>
  <c r="G84" i="42385"/>
  <c r="CM84" i="42385" s="1"/>
  <c r="L84" i="42385"/>
  <c r="CN84" i="42385" s="1"/>
  <c r="Q84" i="42385"/>
  <c r="CO84" i="42385" s="1"/>
  <c r="V84" i="42385"/>
  <c r="CP84" i="42385" s="1"/>
  <c r="AA84" i="42385"/>
  <c r="CQ84" i="42385" s="1"/>
  <c r="AF84" i="42385"/>
  <c r="CR84" i="42385" s="1"/>
  <c r="AP84" i="42385"/>
  <c r="CT84" i="42385" s="1"/>
  <c r="AU84" i="42385"/>
  <c r="AZ84" i="42385"/>
  <c r="CV84" i="42385" s="1"/>
  <c r="BE84" i="42385"/>
  <c r="BJ84" i="42385"/>
  <c r="CX84" i="42385" s="1"/>
  <c r="BO84" i="42385"/>
  <c r="BT84" i="42385"/>
  <c r="CZ84" i="42385" s="1"/>
  <c r="BY84" i="42385"/>
  <c r="DA84" i="42385" s="1"/>
  <c r="CL84" i="42385"/>
  <c r="CS84" i="42385"/>
  <c r="C85" i="42385"/>
  <c r="D85" i="42385"/>
  <c r="E85" i="42385"/>
  <c r="F85" i="42385"/>
  <c r="H85" i="42385"/>
  <c r="I85" i="42385"/>
  <c r="J85" i="42385"/>
  <c r="K85" i="42385"/>
  <c r="M85" i="42385"/>
  <c r="N85" i="42385"/>
  <c r="O85" i="42385"/>
  <c r="R85" i="42385"/>
  <c r="S85" i="42385"/>
  <c r="T85" i="42385"/>
  <c r="U85" i="42385"/>
  <c r="W85" i="42385"/>
  <c r="X85" i="42385"/>
  <c r="Y85" i="42385"/>
  <c r="Z85" i="42385"/>
  <c r="AB85" i="42385"/>
  <c r="AC85" i="42385"/>
  <c r="AD85" i="42385"/>
  <c r="AL85" i="42385"/>
  <c r="AM85" i="42385"/>
  <c r="AM86" i="42385" s="1"/>
  <c r="AO85" i="42385"/>
  <c r="AS85" i="42385"/>
  <c r="AT85" i="42385"/>
  <c r="AV85" i="42385"/>
  <c r="AX85" i="42385"/>
  <c r="BC85" i="42385"/>
  <c r="BG85" i="42385"/>
  <c r="BG86" i="42385" s="1"/>
  <c r="BK85" i="42385"/>
  <c r="BR85" i="42385"/>
  <c r="BR86" i="42385" s="1"/>
  <c r="BR88" i="42385" s="1"/>
  <c r="BR1645" i="42385" s="1"/>
  <c r="BS85" i="42385"/>
  <c r="BS86" i="42385" s="1"/>
  <c r="BU85" i="42385"/>
  <c r="BV85" i="42385"/>
  <c r="BV86" i="42385" s="1"/>
  <c r="BW85" i="42385"/>
  <c r="BW86" i="42385" s="1"/>
  <c r="BX85" i="42385"/>
  <c r="BX86" i="42385" s="1"/>
  <c r="CL85" i="42385"/>
  <c r="DB85" i="42385"/>
  <c r="DC85" i="42385"/>
  <c r="G86" i="42385"/>
  <c r="CM86" i="42385" s="1"/>
  <c r="L86" i="42385"/>
  <c r="CN86" i="42385" s="1"/>
  <c r="Q86" i="42385"/>
  <c r="CO86" i="42385" s="1"/>
  <c r="V86" i="42385"/>
  <c r="CP86" i="42385" s="1"/>
  <c r="AA86" i="42385"/>
  <c r="CQ86" i="42385" s="1"/>
  <c r="AO86" i="42385"/>
  <c r="CL86" i="42385"/>
  <c r="DB86" i="42385"/>
  <c r="DC86" i="42385"/>
  <c r="CM87" i="42385"/>
  <c r="CN87" i="42385"/>
  <c r="CO87" i="42385"/>
  <c r="CP87" i="42385"/>
  <c r="CQ87" i="42385"/>
  <c r="CR87" i="42385"/>
  <c r="CS87" i="42385"/>
  <c r="CT87" i="42385"/>
  <c r="CU87" i="42385"/>
  <c r="CV87" i="42385"/>
  <c r="CW87" i="42385"/>
  <c r="CX87" i="42385"/>
  <c r="CY87" i="42385"/>
  <c r="CZ87" i="42385"/>
  <c r="DA87" i="42385"/>
  <c r="DB87" i="42385"/>
  <c r="DC87" i="42385"/>
  <c r="AH88" i="42385"/>
  <c r="AI88" i="42385"/>
  <c r="BN88" i="42385"/>
  <c r="CL88" i="42385"/>
  <c r="CM89" i="42385"/>
  <c r="CN89" i="42385"/>
  <c r="CO89" i="42385"/>
  <c r="CP89" i="42385"/>
  <c r="CQ89" i="42385"/>
  <c r="CR89" i="42385"/>
  <c r="CS89" i="42385"/>
  <c r="CT89" i="42385"/>
  <c r="CU89" i="42385"/>
  <c r="CV89" i="42385"/>
  <c r="CW89" i="42385"/>
  <c r="CX89" i="42385"/>
  <c r="CY89" i="42385"/>
  <c r="CZ89" i="42385"/>
  <c r="DA89" i="42385"/>
  <c r="DB89" i="42385"/>
  <c r="DC89" i="42385"/>
  <c r="CL90" i="42385"/>
  <c r="CL92" i="42385"/>
  <c r="CL93" i="42385"/>
  <c r="CL94" i="42385"/>
  <c r="CM94" i="42385"/>
  <c r="C95" i="42385"/>
  <c r="D95" i="42385"/>
  <c r="E95" i="42385"/>
  <c r="F95" i="42385"/>
  <c r="G95" i="42385"/>
  <c r="CM95" i="42385" s="1"/>
  <c r="CL95" i="42385"/>
  <c r="CN95" i="42385"/>
  <c r="CO95" i="42385"/>
  <c r="CP95" i="42385"/>
  <c r="CQ95" i="42385"/>
  <c r="CR95" i="42385"/>
  <c r="CS95" i="42385"/>
  <c r="CT95" i="42385"/>
  <c r="CU95" i="42385"/>
  <c r="C96" i="42385"/>
  <c r="D96" i="42385"/>
  <c r="E96" i="42385"/>
  <c r="F96" i="42385"/>
  <c r="G96" i="42385"/>
  <c r="CM96" i="42385" s="1"/>
  <c r="CL96" i="42385"/>
  <c r="CN96" i="42385"/>
  <c r="CO96" i="42385"/>
  <c r="CP96" i="42385"/>
  <c r="CQ96" i="42385"/>
  <c r="CR96" i="42385"/>
  <c r="CS96" i="42385"/>
  <c r="CT96" i="42385"/>
  <c r="CU96" i="42385"/>
  <c r="G98" i="42385"/>
  <c r="L98" i="42385"/>
  <c r="Q98" i="42385"/>
  <c r="V98" i="42385"/>
  <c r="AA98" i="42385"/>
  <c r="AF98" i="42385"/>
  <c r="AK98" i="42385"/>
  <c r="AP98" i="42385"/>
  <c r="AU98" i="42385"/>
  <c r="AZ98" i="42385"/>
  <c r="BE98" i="42385"/>
  <c r="BJ98" i="42385"/>
  <c r="BO98" i="42385"/>
  <c r="BT98" i="42385"/>
  <c r="BY98" i="42385"/>
  <c r="CL98" i="42385"/>
  <c r="CM98" i="42385"/>
  <c r="CN98" i="42385"/>
  <c r="CO98" i="42385"/>
  <c r="CP98" i="42385"/>
  <c r="CQ98" i="42385"/>
  <c r="CR98" i="42385"/>
  <c r="CS98" i="42385"/>
  <c r="CT98" i="42385"/>
  <c r="CU98" i="42385"/>
  <c r="CV98" i="42385"/>
  <c r="CW98" i="42385"/>
  <c r="CX98" i="42385"/>
  <c r="CY98" i="42385"/>
  <c r="CZ98" i="42385"/>
  <c r="DA98" i="42385"/>
  <c r="DB98" i="42385"/>
  <c r="DC98" i="42385"/>
  <c r="BS99" i="42385"/>
  <c r="BU99" i="42385" s="1"/>
  <c r="BV99" i="42385" s="1"/>
  <c r="BW99" i="42385" s="1"/>
  <c r="BX99" i="42385" s="1"/>
  <c r="AE100" i="42385"/>
  <c r="BE100" i="42385"/>
  <c r="Q24" i="42476" s="1"/>
  <c r="BJ100" i="42385"/>
  <c r="CX100" i="42385" s="1"/>
  <c r="BO100" i="42385"/>
  <c r="CL100" i="42385"/>
  <c r="CM100" i="42385"/>
  <c r="CN100" i="42385"/>
  <c r="CO100" i="42385"/>
  <c r="CP100" i="42385"/>
  <c r="CQ100" i="42385"/>
  <c r="CR100" i="42385"/>
  <c r="CS100" i="42385"/>
  <c r="CT100" i="42385"/>
  <c r="CU100" i="42385"/>
  <c r="CV100" i="42385"/>
  <c r="AJ101" i="42385"/>
  <c r="AW101" i="42385"/>
  <c r="BE101" i="42385"/>
  <c r="BJ101" i="42385"/>
  <c r="V27" i="42476" s="1"/>
  <c r="BO101" i="42385"/>
  <c r="AA27" i="42476" s="1"/>
  <c r="AD27" i="42476"/>
  <c r="CL101" i="42385"/>
  <c r="CM101" i="42385"/>
  <c r="CN101" i="42385"/>
  <c r="CO101" i="42385"/>
  <c r="CP101" i="42385"/>
  <c r="CQ101" i="42385"/>
  <c r="CR101" i="42385"/>
  <c r="CS101" i="42385"/>
  <c r="CT101" i="42385"/>
  <c r="CU101" i="42385"/>
  <c r="CV101" i="42385"/>
  <c r="C104" i="42385"/>
  <c r="D104" i="42385"/>
  <c r="E104" i="42385"/>
  <c r="F104" i="42385"/>
  <c r="G104" i="42385"/>
  <c r="CM104" i="42385" s="1"/>
  <c r="H104" i="42385"/>
  <c r="I104" i="42385"/>
  <c r="J104" i="42385"/>
  <c r="K104" i="42385"/>
  <c r="L104" i="42385"/>
  <c r="CN104" i="42385" s="1"/>
  <c r="M104" i="42385"/>
  <c r="N104" i="42385"/>
  <c r="O104" i="42385"/>
  <c r="P104" i="42385"/>
  <c r="Q104" i="42385"/>
  <c r="CO104" i="42385" s="1"/>
  <c r="R104" i="42385"/>
  <c r="S104" i="42385"/>
  <c r="T104" i="42385"/>
  <c r="U104" i="42385"/>
  <c r="V104" i="42385"/>
  <c r="CP104" i="42385" s="1"/>
  <c r="W104" i="42385"/>
  <c r="X104" i="42385"/>
  <c r="Y104" i="42385"/>
  <c r="Z104" i="42385"/>
  <c r="AA104" i="42385"/>
  <c r="CQ104" i="42385" s="1"/>
  <c r="AB104" i="42385"/>
  <c r="AC104" i="42385"/>
  <c r="AD104" i="42385"/>
  <c r="AE104" i="42385"/>
  <c r="AF104" i="42385"/>
  <c r="CR104" i="42385" s="1"/>
  <c r="AG104" i="42385"/>
  <c r="AH104" i="42385"/>
  <c r="AI104" i="42385"/>
  <c r="AJ104" i="42385"/>
  <c r="AK104" i="42385"/>
  <c r="CS104" i="42385" s="1"/>
  <c r="AL104" i="42385"/>
  <c r="AM104" i="42385"/>
  <c r="AN104" i="42385"/>
  <c r="AO104" i="42385"/>
  <c r="AP104" i="42385"/>
  <c r="CT104" i="42385" s="1"/>
  <c r="AQ104" i="42385"/>
  <c r="AR104" i="42385"/>
  <c r="AS104" i="42385"/>
  <c r="AT104" i="42385"/>
  <c r="AU104" i="42385"/>
  <c r="CU104" i="42385" s="1"/>
  <c r="AV104" i="42385"/>
  <c r="AW104" i="42385"/>
  <c r="AX104" i="42385"/>
  <c r="AY104" i="42385"/>
  <c r="AZ104" i="42385"/>
  <c r="CV104" i="42385" s="1"/>
  <c r="BA104" i="42385"/>
  <c r="BB104" i="42385"/>
  <c r="BC104" i="42385"/>
  <c r="BD104" i="42385"/>
  <c r="BE104" i="42385"/>
  <c r="CW104" i="42385" s="1"/>
  <c r="BF104" i="42385"/>
  <c r="BG104" i="42385"/>
  <c r="BH104" i="42385"/>
  <c r="BI104" i="42385"/>
  <c r="BJ104" i="42385"/>
  <c r="CX104" i="42385" s="1"/>
  <c r="BK104" i="42385"/>
  <c r="BL104" i="42385"/>
  <c r="BM104" i="42385"/>
  <c r="BN104" i="42385"/>
  <c r="BO104" i="42385"/>
  <c r="CY104" i="42385" s="1"/>
  <c r="BP104" i="42385"/>
  <c r="BQ104" i="42385"/>
  <c r="BR104" i="42385"/>
  <c r="BS104" i="42385"/>
  <c r="BT104" i="42385"/>
  <c r="CZ104" i="42385" s="1"/>
  <c r="BU104" i="42385"/>
  <c r="BV104" i="42385"/>
  <c r="BW104" i="42385"/>
  <c r="BX104" i="42385"/>
  <c r="BY104" i="42385"/>
  <c r="DA104" i="42385" s="1"/>
  <c r="BZ104" i="42385"/>
  <c r="DB104" i="42385" s="1"/>
  <c r="CA104" i="42385"/>
  <c r="DC104" i="42385" s="1"/>
  <c r="CB104" i="42385"/>
  <c r="CC104" i="42385"/>
  <c r="CD104" i="42385"/>
  <c r="CE104" i="42385"/>
  <c r="CF104" i="42385"/>
  <c r="CL104" i="42385"/>
  <c r="CL106" i="42385"/>
  <c r="C107" i="42385"/>
  <c r="D107" i="42385"/>
  <c r="E107" i="42385"/>
  <c r="F107" i="42385"/>
  <c r="H107" i="42385"/>
  <c r="I107" i="42385"/>
  <c r="J107" i="42385"/>
  <c r="K107" i="42385"/>
  <c r="M107" i="42385"/>
  <c r="N107" i="42385"/>
  <c r="O107" i="42385"/>
  <c r="P107" i="42385"/>
  <c r="R107" i="42385"/>
  <c r="S107" i="42385"/>
  <c r="T107" i="42385"/>
  <c r="U107" i="42385"/>
  <c r="W107" i="42385"/>
  <c r="X107" i="42385"/>
  <c r="Y107" i="42385"/>
  <c r="Z107" i="42385"/>
  <c r="AB107" i="42385"/>
  <c r="AC107" i="42385"/>
  <c r="AD107" i="42385"/>
  <c r="AG107" i="42385"/>
  <c r="AH107" i="42385"/>
  <c r="AI107" i="42385"/>
  <c r="AJ107" i="42385"/>
  <c r="AL107" i="42385"/>
  <c r="AM107" i="42385"/>
  <c r="AN107" i="42385"/>
  <c r="AO107" i="42385"/>
  <c r="CL107" i="42385"/>
  <c r="H108" i="42385"/>
  <c r="I108" i="42385"/>
  <c r="J108" i="42385"/>
  <c r="K108" i="42385"/>
  <c r="M108" i="42385"/>
  <c r="N108" i="42385"/>
  <c r="O108" i="42385"/>
  <c r="P108" i="42385"/>
  <c r="R108" i="42385"/>
  <c r="S108" i="42385"/>
  <c r="T108" i="42385"/>
  <c r="U108" i="42385"/>
  <c r="W108" i="42385"/>
  <c r="X108" i="42385"/>
  <c r="Y108" i="42385"/>
  <c r="AL108" i="42385"/>
  <c r="AQ108" i="42385"/>
  <c r="AV108" i="42385"/>
  <c r="BA108" i="42385"/>
  <c r="BF108" i="42385"/>
  <c r="BK108" i="42385"/>
  <c r="BM108" i="42385"/>
  <c r="BP108" i="42385"/>
  <c r="BU108" i="42385"/>
  <c r="BV108" i="42385"/>
  <c r="BW108" i="42385"/>
  <c r="BX108" i="42385"/>
  <c r="BZ108" i="42385"/>
  <c r="DB108" i="42385" s="1"/>
  <c r="CA108" i="42385"/>
  <c r="DC108" i="42385" s="1"/>
  <c r="CB108" i="42385"/>
  <c r="CC108" i="42385"/>
  <c r="CD108" i="42385"/>
  <c r="CE108" i="42385"/>
  <c r="CF108" i="42385"/>
  <c r="CL108" i="42385"/>
  <c r="C109" i="42385"/>
  <c r="D109" i="42385"/>
  <c r="E109" i="42385"/>
  <c r="F109" i="42385"/>
  <c r="H109" i="42385"/>
  <c r="I109" i="42385"/>
  <c r="J109" i="42385"/>
  <c r="K109" i="42385"/>
  <c r="M109" i="42385"/>
  <c r="N109" i="42385"/>
  <c r="O109" i="42385"/>
  <c r="P109" i="42385"/>
  <c r="R109" i="42385"/>
  <c r="S109" i="42385"/>
  <c r="T109" i="42385"/>
  <c r="U109" i="42385"/>
  <c r="W109" i="42385"/>
  <c r="X109" i="42385"/>
  <c r="Y109" i="42385"/>
  <c r="Z109" i="42385"/>
  <c r="AB109" i="42385"/>
  <c r="AC109" i="42385"/>
  <c r="AD109" i="42385"/>
  <c r="AE109" i="42385"/>
  <c r="AG109" i="42385"/>
  <c r="AH109" i="42385"/>
  <c r="AI109" i="42385"/>
  <c r="AJ109" i="42385"/>
  <c r="AL109" i="42385"/>
  <c r="AM109" i="42385"/>
  <c r="AN109" i="42385"/>
  <c r="AO109" i="42385"/>
  <c r="AQ109" i="42385"/>
  <c r="AR109" i="42385"/>
  <c r="AS109" i="42385"/>
  <c r="AT109" i="42385"/>
  <c r="AU109" i="42385"/>
  <c r="CU109" i="42385" s="1"/>
  <c r="AV109" i="42385"/>
  <c r="AW109" i="42385"/>
  <c r="AX109" i="42385"/>
  <c r="AY109" i="42385"/>
  <c r="BA109" i="42385"/>
  <c r="BB109" i="42385"/>
  <c r="BC109" i="42385"/>
  <c r="BD109" i="42385"/>
  <c r="BF109" i="42385"/>
  <c r="BG109" i="42385"/>
  <c r="BH109" i="42385"/>
  <c r="BK109" i="42385"/>
  <c r="BL109" i="42385"/>
  <c r="BM109" i="42385"/>
  <c r="BN109" i="42385"/>
  <c r="BP109" i="42385"/>
  <c r="BQ109" i="42385"/>
  <c r="BR109" i="42385"/>
  <c r="BS109" i="42385"/>
  <c r="BU109" i="42385"/>
  <c r="BV109" i="42385"/>
  <c r="BW109" i="42385"/>
  <c r="BX109" i="42385"/>
  <c r="CL109" i="42385"/>
  <c r="C110" i="42385"/>
  <c r="D110" i="42385"/>
  <c r="H110" i="42385"/>
  <c r="I110" i="42385"/>
  <c r="J110" i="42385"/>
  <c r="K110" i="42385"/>
  <c r="M110" i="42385"/>
  <c r="N110" i="42385"/>
  <c r="O110" i="42385"/>
  <c r="P110" i="42385"/>
  <c r="R110" i="42385"/>
  <c r="S110" i="42385"/>
  <c r="T110" i="42385"/>
  <c r="U110" i="42385"/>
  <c r="W110" i="42385"/>
  <c r="X110" i="42385"/>
  <c r="Y110" i="42385"/>
  <c r="AG110" i="42385"/>
  <c r="AL110" i="42385"/>
  <c r="AQ110" i="42385"/>
  <c r="AV110" i="42385"/>
  <c r="BA110" i="42385"/>
  <c r="BF110" i="42385"/>
  <c r="BK110" i="42385"/>
  <c r="BM110" i="42385"/>
  <c r="BP110" i="42385"/>
  <c r="CL110" i="42385"/>
  <c r="C111" i="42385"/>
  <c r="D111" i="42385"/>
  <c r="E111" i="42385"/>
  <c r="F111" i="42385"/>
  <c r="H111" i="42385"/>
  <c r="I111" i="42385"/>
  <c r="J111" i="42385"/>
  <c r="K111" i="42385"/>
  <c r="M111" i="42385"/>
  <c r="N111" i="42385"/>
  <c r="O111" i="42385"/>
  <c r="P111" i="42385"/>
  <c r="R111" i="42385"/>
  <c r="S111" i="42385"/>
  <c r="T111" i="42385"/>
  <c r="U111" i="42385"/>
  <c r="W111" i="42385"/>
  <c r="X111" i="42385"/>
  <c r="Y111" i="42385"/>
  <c r="Z111" i="42385"/>
  <c r="AB111" i="42385"/>
  <c r="AC111" i="42385"/>
  <c r="AD111" i="42385"/>
  <c r="AE111" i="42385"/>
  <c r="AG111" i="42385"/>
  <c r="AH111" i="42385"/>
  <c r="AI111" i="42385"/>
  <c r="AJ111" i="42385"/>
  <c r="AL111" i="42385"/>
  <c r="AM111" i="42385"/>
  <c r="AN111" i="42385"/>
  <c r="AO111" i="42385"/>
  <c r="AQ111" i="42385"/>
  <c r="AR111" i="42385"/>
  <c r="AS111" i="42385"/>
  <c r="AV111" i="42385"/>
  <c r="AW111" i="42385"/>
  <c r="BA111" i="42385"/>
  <c r="BB111" i="42385"/>
  <c r="BF111" i="42385"/>
  <c r="BG111" i="42385"/>
  <c r="BK111" i="42385"/>
  <c r="BL111" i="42385"/>
  <c r="BN111" i="42385"/>
  <c r="BP111" i="42385"/>
  <c r="BQ111" i="42385"/>
  <c r="BR111" i="42385"/>
  <c r="BS111" i="42385"/>
  <c r="BU111" i="42385"/>
  <c r="BV111" i="42385"/>
  <c r="BW111" i="42385"/>
  <c r="BX111" i="42385"/>
  <c r="BZ111" i="42385"/>
  <c r="DB111" i="42385" s="1"/>
  <c r="CA111" i="42385"/>
  <c r="DC111" i="42385" s="1"/>
  <c r="CL111" i="42385"/>
  <c r="CT249" i="42417"/>
  <c r="CU249" i="42417"/>
  <c r="CV249" i="42417"/>
  <c r="CL112" i="42385"/>
  <c r="C113" i="42385"/>
  <c r="H113" i="42385"/>
  <c r="M113" i="42385"/>
  <c r="N113" i="42385"/>
  <c r="O113" i="42385"/>
  <c r="R113" i="42385"/>
  <c r="W113" i="42385"/>
  <c r="AB113" i="42385"/>
  <c r="AE113" i="42385"/>
  <c r="AG113" i="42385"/>
  <c r="AH113" i="42385"/>
  <c r="AI113" i="42385"/>
  <c r="AJ113" i="42385"/>
  <c r="AL113" i="42385"/>
  <c r="AM113" i="42385"/>
  <c r="AO113" i="42385"/>
  <c r="AQ113" i="42385"/>
  <c r="CT250" i="42417" s="1"/>
  <c r="AR113" i="42385"/>
  <c r="CU250" i="42417" s="1"/>
  <c r="AS113" i="42385"/>
  <c r="CV250" i="42417" s="1"/>
  <c r="AT113" i="42385"/>
  <c r="CW250" i="42417" s="1"/>
  <c r="AV113" i="42385"/>
  <c r="AX113" i="42385"/>
  <c r="BA113" i="42385"/>
  <c r="BB113" i="42385"/>
  <c r="BC113" i="42385"/>
  <c r="BF113" i="42385"/>
  <c r="BK113" i="42385"/>
  <c r="BN113" i="42385"/>
  <c r="BP113" i="42385"/>
  <c r="CL113" i="42385"/>
  <c r="CL114" i="42385"/>
  <c r="H115" i="42385"/>
  <c r="I115" i="42385"/>
  <c r="J115" i="42385"/>
  <c r="K115" i="42385"/>
  <c r="M115" i="42385"/>
  <c r="N115" i="42385"/>
  <c r="O115" i="42385"/>
  <c r="P115" i="42385"/>
  <c r="R115" i="42385"/>
  <c r="S115" i="42385"/>
  <c r="T115" i="42385"/>
  <c r="U115" i="42385"/>
  <c r="W115" i="42385"/>
  <c r="X115" i="42385"/>
  <c r="Y115" i="42385"/>
  <c r="BK115" i="42385"/>
  <c r="BM115" i="42385"/>
  <c r="BP115" i="42385"/>
  <c r="CL115" i="42385"/>
  <c r="BP116" i="42385"/>
  <c r="BS116" i="42385"/>
  <c r="BU116" i="42385"/>
  <c r="BV116" i="42385"/>
  <c r="BX116" i="42385"/>
  <c r="BZ116" i="42385"/>
  <c r="CA116" i="42385"/>
  <c r="C117" i="42385"/>
  <c r="D117" i="42385"/>
  <c r="H117" i="42385"/>
  <c r="I117" i="42385"/>
  <c r="J117" i="42385"/>
  <c r="K117" i="42385"/>
  <c r="M117" i="42385"/>
  <c r="N117" i="42385"/>
  <c r="O117" i="42385"/>
  <c r="P117" i="42385"/>
  <c r="R117" i="42385"/>
  <c r="S117" i="42385"/>
  <c r="T117" i="42385"/>
  <c r="U117" i="42385"/>
  <c r="W117" i="42385"/>
  <c r="X117" i="42385"/>
  <c r="Y117" i="42385"/>
  <c r="Z117" i="42385"/>
  <c r="AG117" i="42385"/>
  <c r="AL117" i="42385"/>
  <c r="AQ117" i="42385"/>
  <c r="AV117" i="42385"/>
  <c r="BA117" i="42385"/>
  <c r="BF117" i="42385"/>
  <c r="BK117" i="42385"/>
  <c r="BM117" i="42385"/>
  <c r="BP117" i="42385"/>
  <c r="CB117" i="42385"/>
  <c r="CC117" i="42385"/>
  <c r="CD117" i="42385"/>
  <c r="CE117" i="42385"/>
  <c r="CF117" i="42385"/>
  <c r="CL117" i="42385"/>
  <c r="AH118" i="42385"/>
  <c r="AI118" i="42385"/>
  <c r="AS118" i="42385"/>
  <c r="CV253" i="42417" s="1"/>
  <c r="AV118" i="42385"/>
  <c r="AX118" i="42385"/>
  <c r="BA118" i="42385"/>
  <c r="BB118" i="42385"/>
  <c r="CL118" i="42385"/>
  <c r="AF119" i="42385"/>
  <c r="BY119" i="42385"/>
  <c r="CL119" i="42385"/>
  <c r="CM119" i="42385"/>
  <c r="CN119" i="42385"/>
  <c r="CO119" i="42385"/>
  <c r="CP119" i="42385"/>
  <c r="CQ119" i="42385"/>
  <c r="CR119" i="42385"/>
  <c r="CS119" i="42385"/>
  <c r="CT119" i="42385"/>
  <c r="CU119" i="42385"/>
  <c r="CV119" i="42385"/>
  <c r="CW119" i="42385"/>
  <c r="CX119" i="42385"/>
  <c r="CY119" i="42385"/>
  <c r="CZ119" i="42385"/>
  <c r="DA119" i="42385"/>
  <c r="DB119" i="42385"/>
  <c r="DC119" i="42385"/>
  <c r="CL120" i="42385"/>
  <c r="CL121" i="42385"/>
  <c r="CL123" i="42385"/>
  <c r="CR123" i="42385"/>
  <c r="CS123" i="42385"/>
  <c r="CT123" i="42385"/>
  <c r="CU123" i="42385"/>
  <c r="CV123" i="42385"/>
  <c r="CW123" i="42385"/>
  <c r="C125" i="42385"/>
  <c r="D125" i="42385"/>
  <c r="E125" i="42385"/>
  <c r="F125" i="42385"/>
  <c r="G125" i="42385"/>
  <c r="CM125" i="42385" s="1"/>
  <c r="H125" i="42385"/>
  <c r="I125" i="42385"/>
  <c r="J125" i="42385"/>
  <c r="K125" i="42385"/>
  <c r="L125" i="42385"/>
  <c r="CN125" i="42385" s="1"/>
  <c r="M125" i="42385"/>
  <c r="N125" i="42385"/>
  <c r="O125" i="42385"/>
  <c r="P125" i="42385"/>
  <c r="Q125" i="42385"/>
  <c r="CO125" i="42385" s="1"/>
  <c r="R125" i="42385"/>
  <c r="S125" i="42385"/>
  <c r="T125" i="42385"/>
  <c r="U125" i="42385"/>
  <c r="V125" i="42385"/>
  <c r="CP125" i="42385" s="1"/>
  <c r="W125" i="42385"/>
  <c r="X125" i="42385"/>
  <c r="Y125" i="42385"/>
  <c r="Z125" i="42385"/>
  <c r="AA125" i="42385"/>
  <c r="CQ125" i="42385" s="1"/>
  <c r="AB125" i="42385"/>
  <c r="AC125" i="42385"/>
  <c r="AD125" i="42385"/>
  <c r="AE125" i="42385"/>
  <c r="AF125" i="42385"/>
  <c r="CR125" i="42385" s="1"/>
  <c r="AG125" i="42385"/>
  <c r="AH125" i="42385"/>
  <c r="AI125" i="42385"/>
  <c r="AJ125" i="42385"/>
  <c r="AK125" i="42385"/>
  <c r="CS125" i="42385" s="1"/>
  <c r="AL125" i="42385"/>
  <c r="AM125" i="42385"/>
  <c r="AN125" i="42385"/>
  <c r="AO125" i="42385"/>
  <c r="AP125" i="42385"/>
  <c r="CT125" i="42385" s="1"/>
  <c r="AQ125" i="42385"/>
  <c r="AR125" i="42385"/>
  <c r="AS125" i="42385"/>
  <c r="AT125" i="42385"/>
  <c r="AU125" i="42385"/>
  <c r="CU125" i="42385" s="1"/>
  <c r="AV125" i="42385"/>
  <c r="AW125" i="42385"/>
  <c r="AX125" i="42385"/>
  <c r="AY125" i="42385"/>
  <c r="AZ125" i="42385"/>
  <c r="CV125" i="42385" s="1"/>
  <c r="BA125" i="42385"/>
  <c r="BB125" i="42385"/>
  <c r="BC125" i="42385"/>
  <c r="BD125" i="42385"/>
  <c r="BE125" i="42385"/>
  <c r="CW125" i="42385" s="1"/>
  <c r="BF125" i="42385"/>
  <c r="BG125" i="42385"/>
  <c r="BH125" i="42385"/>
  <c r="BI125" i="42385"/>
  <c r="BJ125" i="42385"/>
  <c r="CX125" i="42385" s="1"/>
  <c r="BK125" i="42385"/>
  <c r="BL125" i="42385"/>
  <c r="BM125" i="42385"/>
  <c r="BN125" i="42385"/>
  <c r="BO125" i="42385"/>
  <c r="CY125" i="42385" s="1"/>
  <c r="BP125" i="42385"/>
  <c r="BQ125" i="42385"/>
  <c r="BR125" i="42385"/>
  <c r="BS125" i="42385"/>
  <c r="BT125" i="42385"/>
  <c r="CZ125" i="42385" s="1"/>
  <c r="BU125" i="42385"/>
  <c r="BV125" i="42385"/>
  <c r="BW125" i="42385"/>
  <c r="BX125" i="42385"/>
  <c r="BY125" i="42385"/>
  <c r="DA125" i="42385" s="1"/>
  <c r="BZ125" i="42385"/>
  <c r="DB125" i="42385" s="1"/>
  <c r="CA125" i="42385"/>
  <c r="DC125" i="42385" s="1"/>
  <c r="CB125" i="42385"/>
  <c r="CC125" i="42385"/>
  <c r="CD125" i="42385"/>
  <c r="CE125" i="42385"/>
  <c r="CF125" i="42385"/>
  <c r="CL125" i="42385"/>
  <c r="D127" i="42385"/>
  <c r="E127" i="42385" s="1"/>
  <c r="I127" i="42385"/>
  <c r="I113" i="42385" s="1"/>
  <c r="P127" i="42385"/>
  <c r="S127" i="42385"/>
  <c r="S113" i="42385" s="1"/>
  <c r="X127" i="42385"/>
  <c r="Y127" i="42385" s="1"/>
  <c r="AC127" i="42385"/>
  <c r="AH129" i="42385" s="1"/>
  <c r="AK127" i="42385"/>
  <c r="AN127" i="42385"/>
  <c r="AN113" i="42385" s="1"/>
  <c r="AU127" i="42385"/>
  <c r="CU127" i="42385" s="1"/>
  <c r="AW127" i="42385"/>
  <c r="AW113" i="42385" s="1"/>
  <c r="BD127" i="42385"/>
  <c r="BG127" i="42385"/>
  <c r="BH127" i="42385" s="1"/>
  <c r="BH113" i="42385" s="1"/>
  <c r="BL127" i="42385"/>
  <c r="BM127" i="42385" s="1"/>
  <c r="BQ127" i="42385"/>
  <c r="BQ113" i="42385" s="1"/>
  <c r="CL127" i="42385"/>
  <c r="CL128" i="42385"/>
  <c r="DB128" i="42385"/>
  <c r="DC128" i="42385"/>
  <c r="H129" i="42385"/>
  <c r="M129" i="42385"/>
  <c r="R129" i="42385"/>
  <c r="W129" i="42385"/>
  <c r="AB129" i="42385"/>
  <c r="AG129" i="42385"/>
  <c r="AJ129" i="42385"/>
  <c r="AL129" i="42385"/>
  <c r="AM129" i="42385"/>
  <c r="AO129" i="42385"/>
  <c r="AQ129" i="42385"/>
  <c r="AR129" i="42385"/>
  <c r="AT129" i="42385"/>
  <c r="AV129" i="42385"/>
  <c r="AX129" i="42385"/>
  <c r="BA129" i="42385"/>
  <c r="BC129" i="42385"/>
  <c r="BF129" i="42385"/>
  <c r="BK129" i="42385"/>
  <c r="BP129" i="42385"/>
  <c r="C130" i="42385"/>
  <c r="C118" i="42385" s="1"/>
  <c r="AM130" i="42385"/>
  <c r="AM131" i="42385" s="1"/>
  <c r="AN130" i="42385"/>
  <c r="AO130" i="42385"/>
  <c r="AO131" i="42385" s="1"/>
  <c r="AQ130" i="42385"/>
  <c r="AQ118" i="42385" s="1"/>
  <c r="CT253" i="42417" s="1"/>
  <c r="AR130" i="42385"/>
  <c r="AW130" i="42385"/>
  <c r="AW118" i="42385" s="1"/>
  <c r="BC130" i="42385"/>
  <c r="BC133" i="42385" s="1"/>
  <c r="BF130" i="42385"/>
  <c r="BK130" i="42385"/>
  <c r="CL130" i="42385"/>
  <c r="AX131" i="42385"/>
  <c r="BA131" i="42385"/>
  <c r="CM132" i="42385"/>
  <c r="CN132" i="42385"/>
  <c r="CO132" i="42385"/>
  <c r="CP132" i="42385"/>
  <c r="CQ132" i="42385"/>
  <c r="CR132" i="42385"/>
  <c r="CS132" i="42385"/>
  <c r="CT132" i="42385"/>
  <c r="CU132" i="42385"/>
  <c r="CV132" i="42385"/>
  <c r="CW132" i="42385"/>
  <c r="CX132" i="42385"/>
  <c r="CY132" i="42385"/>
  <c r="CZ132" i="42385"/>
  <c r="DA132" i="42385"/>
  <c r="DB132" i="42385"/>
  <c r="DC132" i="42385"/>
  <c r="D133" i="42385"/>
  <c r="G133" i="42385"/>
  <c r="CM133" i="42385" s="1"/>
  <c r="H133" i="42385"/>
  <c r="H130" i="42385" s="1"/>
  <c r="I133" i="42385"/>
  <c r="J133" i="42385"/>
  <c r="K133" i="42385"/>
  <c r="M133" i="42385"/>
  <c r="M130" i="42385" s="1"/>
  <c r="N133" i="42385"/>
  <c r="N130" i="42385" s="1"/>
  <c r="O133" i="42385"/>
  <c r="O130" i="42385" s="1"/>
  <c r="O165" i="42385" s="1"/>
  <c r="O166" i="42385" s="1"/>
  <c r="O134" i="42385" s="1"/>
  <c r="P133" i="42385"/>
  <c r="R133" i="42385"/>
  <c r="R130" i="42385" s="1"/>
  <c r="S133" i="42385"/>
  <c r="T133" i="42385"/>
  <c r="U133" i="42385"/>
  <c r="W133" i="42385"/>
  <c r="W130" i="42385" s="1"/>
  <c r="X133" i="42385"/>
  <c r="X130" i="42385" s="1"/>
  <c r="Y133" i="42385"/>
  <c r="Z133" i="42385"/>
  <c r="AB133" i="42385"/>
  <c r="AB130" i="42385" s="1"/>
  <c r="AH133" i="42385"/>
  <c r="AI133" i="42385"/>
  <c r="AJ133" i="42385"/>
  <c r="AS133" i="42385"/>
  <c r="AT133" i="42385"/>
  <c r="AV133" i="42385"/>
  <c r="AX133" i="42385"/>
  <c r="BA133" i="42385"/>
  <c r="BB133" i="42385"/>
  <c r="CL133" i="42385"/>
  <c r="AG134" i="42385"/>
  <c r="CL134" i="42385"/>
  <c r="CL136" i="42385"/>
  <c r="D137" i="42385"/>
  <c r="I137" i="42385"/>
  <c r="M137" i="42385"/>
  <c r="N137" i="42385" s="1"/>
  <c r="O137" i="42385" s="1"/>
  <c r="S137" i="42385"/>
  <c r="T137" i="42385" s="1"/>
  <c r="X137" i="42385"/>
  <c r="AF137" i="42385"/>
  <c r="CR137" i="42385" s="1"/>
  <c r="AH137" i="42385"/>
  <c r="AJ137" i="42385" s="1"/>
  <c r="AM137" i="42385"/>
  <c r="AN137" i="42385" s="1"/>
  <c r="AU137" i="42385"/>
  <c r="CU137" i="42385" s="1"/>
  <c r="AZ137" i="42385"/>
  <c r="CV137" i="42385" s="1"/>
  <c r="BE137" i="42385"/>
  <c r="CW137" i="42385" s="1"/>
  <c r="BJ137" i="42385"/>
  <c r="CL137" i="42385"/>
  <c r="CY137" i="42385"/>
  <c r="CZ137" i="42385"/>
  <c r="DA137" i="42385"/>
  <c r="DB137" i="42385"/>
  <c r="DC137" i="42385"/>
  <c r="G138" i="42385"/>
  <c r="CM138" i="42385" s="1"/>
  <c r="K138" i="42385"/>
  <c r="L138" i="42385" s="1"/>
  <c r="CN138" i="42385" s="1"/>
  <c r="N138" i="42385"/>
  <c r="O138" i="42385" s="1"/>
  <c r="P138" i="42385" s="1"/>
  <c r="S138" i="42385"/>
  <c r="T138" i="42385" s="1"/>
  <c r="X138" i="42385"/>
  <c r="Y138" i="42385" s="1"/>
  <c r="Z138" i="42385" s="1"/>
  <c r="AC138" i="42385"/>
  <c r="AD138" i="42385" s="1"/>
  <c r="AE138" i="42385" s="1"/>
  <c r="AH138" i="42385"/>
  <c r="AJ138" i="42385" s="1"/>
  <c r="AP138" i="42385"/>
  <c r="CT138" i="42385" s="1"/>
  <c r="AU138" i="42385"/>
  <c r="CU138" i="42385" s="1"/>
  <c r="AZ138" i="42385"/>
  <c r="CV138" i="42385" s="1"/>
  <c r="BE138" i="42385"/>
  <c r="BJ138" i="42385"/>
  <c r="CX138" i="42385" s="1"/>
  <c r="CL138" i="42385"/>
  <c r="CY138" i="42385"/>
  <c r="CZ138" i="42385"/>
  <c r="DA138" i="42385"/>
  <c r="DB138" i="42385"/>
  <c r="DC138" i="42385"/>
  <c r="G139" i="42385"/>
  <c r="CM139" i="42385" s="1"/>
  <c r="I139" i="42385"/>
  <c r="J139" i="42385"/>
  <c r="K139" i="42385" s="1"/>
  <c r="N139" i="42385"/>
  <c r="O139" i="42385" s="1"/>
  <c r="S139" i="42385"/>
  <c r="T139" i="42385" s="1"/>
  <c r="X139" i="42385"/>
  <c r="Y139" i="42385" s="1"/>
  <c r="AC139" i="42385"/>
  <c r="AD139" i="42385" s="1"/>
  <c r="AH139" i="42385"/>
  <c r="AK139" i="42385" s="1"/>
  <c r="CS139" i="42385" s="1"/>
  <c r="AP139" i="42385"/>
  <c r="CT139" i="42385" s="1"/>
  <c r="AU139" i="42385"/>
  <c r="CU139" i="42385" s="1"/>
  <c r="AZ139" i="42385"/>
  <c r="CV139" i="42385" s="1"/>
  <c r="BE139" i="42385"/>
  <c r="CW139" i="42385" s="1"/>
  <c r="BJ139" i="42385"/>
  <c r="CX139" i="42385" s="1"/>
  <c r="CL139" i="42385"/>
  <c r="CY139" i="42385"/>
  <c r="CZ139" i="42385"/>
  <c r="DA139" i="42385"/>
  <c r="DB139" i="42385"/>
  <c r="DC139" i="42385"/>
  <c r="G140" i="42385"/>
  <c r="CM140" i="42385" s="1"/>
  <c r="L140" i="42385"/>
  <c r="CN140" i="42385" s="1"/>
  <c r="Q140" i="42385"/>
  <c r="CO140" i="42385" s="1"/>
  <c r="V140" i="42385"/>
  <c r="CP140" i="42385" s="1"/>
  <c r="AA140" i="42385"/>
  <c r="CQ140" i="42385" s="1"/>
  <c r="AF140" i="42385"/>
  <c r="CR140" i="42385" s="1"/>
  <c r="AK140" i="42385"/>
  <c r="CS140" i="42385" s="1"/>
  <c r="AP140" i="42385"/>
  <c r="CT140" i="42385" s="1"/>
  <c r="AU140" i="42385"/>
  <c r="CU140" i="42385" s="1"/>
  <c r="AZ140" i="42385"/>
  <c r="CV140" i="42385" s="1"/>
  <c r="BE140" i="42385"/>
  <c r="CW140" i="42385" s="1"/>
  <c r="BJ140" i="42385"/>
  <c r="CX140" i="42385" s="1"/>
  <c r="CL140" i="42385"/>
  <c r="CY140" i="42385"/>
  <c r="CZ140" i="42385"/>
  <c r="DA140" i="42385"/>
  <c r="DB140" i="42385"/>
  <c r="DC140" i="42385"/>
  <c r="G141" i="42385"/>
  <c r="CM141" i="42385" s="1"/>
  <c r="L141" i="42385"/>
  <c r="CN141" i="42385" s="1"/>
  <c r="Q141" i="42385"/>
  <c r="CO141" i="42385" s="1"/>
  <c r="V141" i="42385"/>
  <c r="CP141" i="42385" s="1"/>
  <c r="X141" i="42385"/>
  <c r="AC141" i="42385"/>
  <c r="AD141" i="42385" s="1"/>
  <c r="AH141" i="42385"/>
  <c r="AM141" i="42385"/>
  <c r="AN141" i="42385" s="1"/>
  <c r="AO141" i="42385" s="1"/>
  <c r="AU141" i="42385"/>
  <c r="CU141" i="42385" s="1"/>
  <c r="AZ141" i="42385"/>
  <c r="CV141" i="42385" s="1"/>
  <c r="BE141" i="42385"/>
  <c r="CW141" i="42385" s="1"/>
  <c r="BJ141" i="42385"/>
  <c r="CX141" i="42385" s="1"/>
  <c r="CL141" i="42385"/>
  <c r="CY141" i="42385"/>
  <c r="CZ141" i="42385"/>
  <c r="DA141" i="42385"/>
  <c r="DB141" i="42385"/>
  <c r="DC141" i="42385"/>
  <c r="G142" i="42385"/>
  <c r="CM142" i="42385" s="1"/>
  <c r="K142" i="42385"/>
  <c r="L142" i="42385" s="1"/>
  <c r="CN142" i="42385" s="1"/>
  <c r="N142" i="42385"/>
  <c r="O142" i="42385" s="1"/>
  <c r="S142" i="42385"/>
  <c r="T142" i="42385" s="1"/>
  <c r="AA142" i="42385"/>
  <c r="CQ142" i="42385" s="1"/>
  <c r="AF142" i="42385"/>
  <c r="CR142" i="42385" s="1"/>
  <c r="AK142" i="42385"/>
  <c r="CS142" i="42385" s="1"/>
  <c r="AP142" i="42385"/>
  <c r="CT142" i="42385" s="1"/>
  <c r="AU142" i="42385"/>
  <c r="CU142" i="42385" s="1"/>
  <c r="AZ142" i="42385"/>
  <c r="CV142" i="42385" s="1"/>
  <c r="BE142" i="42385"/>
  <c r="CW142" i="42385" s="1"/>
  <c r="BJ142" i="42385"/>
  <c r="CX142" i="42385" s="1"/>
  <c r="CL142" i="42385"/>
  <c r="CY142" i="42385"/>
  <c r="CZ142" i="42385"/>
  <c r="DA142" i="42385"/>
  <c r="DB142" i="42385"/>
  <c r="DC142" i="42385"/>
  <c r="G143" i="42385"/>
  <c r="CM143" i="42385" s="1"/>
  <c r="L143" i="42385"/>
  <c r="CN143" i="42385" s="1"/>
  <c r="Q143" i="42385"/>
  <c r="CO143" i="42385" s="1"/>
  <c r="V143" i="42385"/>
  <c r="CP143" i="42385" s="1"/>
  <c r="AA143" i="42385"/>
  <c r="CQ143" i="42385" s="1"/>
  <c r="AF143" i="42385"/>
  <c r="CR143" i="42385" s="1"/>
  <c r="AK143" i="42385"/>
  <c r="CS143" i="42385" s="1"/>
  <c r="AP143" i="42385"/>
  <c r="CT143" i="42385" s="1"/>
  <c r="AU143" i="42385"/>
  <c r="CU143" i="42385" s="1"/>
  <c r="AZ143" i="42385"/>
  <c r="CV143" i="42385" s="1"/>
  <c r="BE143" i="42385"/>
  <c r="CW143" i="42385" s="1"/>
  <c r="BJ143" i="42385"/>
  <c r="CX143" i="42385" s="1"/>
  <c r="CL143" i="42385"/>
  <c r="CY143" i="42385"/>
  <c r="CZ143" i="42385"/>
  <c r="DA143" i="42385"/>
  <c r="DB143" i="42385"/>
  <c r="DC143" i="42385"/>
  <c r="G144" i="42385"/>
  <c r="CM144" i="42385" s="1"/>
  <c r="L144" i="42385"/>
  <c r="CN144" i="42385" s="1"/>
  <c r="Q144" i="42385"/>
  <c r="CO144" i="42385" s="1"/>
  <c r="V144" i="42385"/>
  <c r="CP144" i="42385" s="1"/>
  <c r="AA144" i="42385"/>
  <c r="CQ144" i="42385" s="1"/>
  <c r="AF144" i="42385"/>
  <c r="CR144" i="42385" s="1"/>
  <c r="AK144" i="42385"/>
  <c r="CS144" i="42385" s="1"/>
  <c r="AP144" i="42385"/>
  <c r="CT144" i="42385" s="1"/>
  <c r="AU144" i="42385"/>
  <c r="CU144" i="42385" s="1"/>
  <c r="AZ144" i="42385"/>
  <c r="CV144" i="42385" s="1"/>
  <c r="BE144" i="42385"/>
  <c r="CW144" i="42385" s="1"/>
  <c r="BJ144" i="42385"/>
  <c r="CX144" i="42385" s="1"/>
  <c r="CL144" i="42385"/>
  <c r="CY144" i="42385"/>
  <c r="CZ144" i="42385"/>
  <c r="DA144" i="42385"/>
  <c r="DB144" i="42385"/>
  <c r="DC144" i="42385"/>
  <c r="G145" i="42385"/>
  <c r="CM145" i="42385" s="1"/>
  <c r="L145" i="42385"/>
  <c r="CN145" i="42385" s="1"/>
  <c r="Q145" i="42385"/>
  <c r="CO145" i="42385" s="1"/>
  <c r="V145" i="42385"/>
  <c r="CP145" i="42385" s="1"/>
  <c r="AA145" i="42385"/>
  <c r="CQ145" i="42385" s="1"/>
  <c r="AF145" i="42385"/>
  <c r="CR145" i="42385" s="1"/>
  <c r="AK145" i="42385"/>
  <c r="CS145" i="42385" s="1"/>
  <c r="AP145" i="42385"/>
  <c r="CT145" i="42385" s="1"/>
  <c r="AU145" i="42385"/>
  <c r="CU145" i="42385" s="1"/>
  <c r="AZ145" i="42385"/>
  <c r="CV145" i="42385" s="1"/>
  <c r="BE145" i="42385"/>
  <c r="CW145" i="42385" s="1"/>
  <c r="BJ145" i="42385"/>
  <c r="CX145" i="42385" s="1"/>
  <c r="CL145" i="42385"/>
  <c r="CY145" i="42385"/>
  <c r="CZ145" i="42385"/>
  <c r="DA145" i="42385"/>
  <c r="DB145" i="42385"/>
  <c r="DC145" i="42385"/>
  <c r="G146" i="42385"/>
  <c r="CM146" i="42385" s="1"/>
  <c r="L146" i="42385"/>
  <c r="CN146" i="42385" s="1"/>
  <c r="Q146" i="42385"/>
  <c r="CO146" i="42385" s="1"/>
  <c r="V146" i="42385"/>
  <c r="CP146" i="42385" s="1"/>
  <c r="AA146" i="42385"/>
  <c r="CQ146" i="42385" s="1"/>
  <c r="AF146" i="42385"/>
  <c r="CR146" i="42385" s="1"/>
  <c r="AK146" i="42385"/>
  <c r="CS146" i="42385" s="1"/>
  <c r="AP146" i="42385"/>
  <c r="CT146" i="42385" s="1"/>
  <c r="AU146" i="42385"/>
  <c r="CU146" i="42385" s="1"/>
  <c r="AZ146" i="42385"/>
  <c r="CV146" i="42385" s="1"/>
  <c r="BE146" i="42385"/>
  <c r="CW146" i="42385" s="1"/>
  <c r="BJ146" i="42385"/>
  <c r="CX146" i="42385" s="1"/>
  <c r="CL146" i="42385"/>
  <c r="CY146" i="42385"/>
  <c r="CZ146" i="42385"/>
  <c r="DA146" i="42385"/>
  <c r="DB146" i="42385"/>
  <c r="DC146" i="42385"/>
  <c r="G147" i="42385"/>
  <c r="CM147" i="42385" s="1"/>
  <c r="L147" i="42385"/>
  <c r="CN147" i="42385" s="1"/>
  <c r="Q147" i="42385"/>
  <c r="CO147" i="42385" s="1"/>
  <c r="V147" i="42385"/>
  <c r="CP147" i="42385" s="1"/>
  <c r="AA147" i="42385"/>
  <c r="CQ147" i="42385" s="1"/>
  <c r="AF147" i="42385"/>
  <c r="CR147" i="42385" s="1"/>
  <c r="AK147" i="42385"/>
  <c r="CS147" i="42385" s="1"/>
  <c r="AP147" i="42385"/>
  <c r="CT147" i="42385" s="1"/>
  <c r="AU147" i="42385"/>
  <c r="CU147" i="42385" s="1"/>
  <c r="AZ147" i="42385"/>
  <c r="CV147" i="42385" s="1"/>
  <c r="BE147" i="42385"/>
  <c r="CW147" i="42385" s="1"/>
  <c r="BJ147" i="42385"/>
  <c r="CX147" i="42385" s="1"/>
  <c r="CL147" i="42385"/>
  <c r="CY147" i="42385"/>
  <c r="CZ147" i="42385"/>
  <c r="DA147" i="42385"/>
  <c r="DB147" i="42385"/>
  <c r="DC147" i="42385"/>
  <c r="D148" i="42385"/>
  <c r="E148" i="42385" s="1"/>
  <c r="I148" i="42385"/>
  <c r="N148" i="42385"/>
  <c r="O148" i="42385" s="1"/>
  <c r="V148" i="42385"/>
  <c r="CP148" i="42385" s="1"/>
  <c r="AA148" i="42385"/>
  <c r="CQ148" i="42385" s="1"/>
  <c r="AF148" i="42385"/>
  <c r="CR148" i="42385" s="1"/>
  <c r="AK148" i="42385"/>
  <c r="CS148" i="42385" s="1"/>
  <c r="AP148" i="42385"/>
  <c r="CT148" i="42385" s="1"/>
  <c r="AU148" i="42385"/>
  <c r="CU148" i="42385" s="1"/>
  <c r="AZ148" i="42385"/>
  <c r="CV148" i="42385" s="1"/>
  <c r="BE148" i="42385"/>
  <c r="CW148" i="42385" s="1"/>
  <c r="BJ148" i="42385"/>
  <c r="CX148" i="42385" s="1"/>
  <c r="CL148" i="42385"/>
  <c r="CY148" i="42385"/>
  <c r="CZ148" i="42385"/>
  <c r="DA148" i="42385"/>
  <c r="DB148" i="42385"/>
  <c r="DC148" i="42385"/>
  <c r="G149" i="42385"/>
  <c r="CM149" i="42385" s="1"/>
  <c r="I149" i="42385"/>
  <c r="J149" i="42385" s="1"/>
  <c r="N149" i="42385"/>
  <c r="O149" i="42385" s="1"/>
  <c r="S149" i="42385"/>
  <c r="T149" i="42385" s="1"/>
  <c r="X149" i="42385"/>
  <c r="Y149" i="42385" s="1"/>
  <c r="AC149" i="42385"/>
  <c r="AD149" i="42385" s="1"/>
  <c r="AK149" i="42385"/>
  <c r="CS149" i="42385" s="1"/>
  <c r="AP149" i="42385"/>
  <c r="CT149" i="42385" s="1"/>
  <c r="AU149" i="42385"/>
  <c r="CU149" i="42385" s="1"/>
  <c r="AZ149" i="42385"/>
  <c r="CV149" i="42385" s="1"/>
  <c r="BE149" i="42385"/>
  <c r="CW149" i="42385" s="1"/>
  <c r="BJ149" i="42385"/>
  <c r="CX149" i="42385" s="1"/>
  <c r="CL149" i="42385"/>
  <c r="CY149" i="42385"/>
  <c r="CZ149" i="42385"/>
  <c r="DA149" i="42385"/>
  <c r="DB149" i="42385"/>
  <c r="DC149" i="42385"/>
  <c r="G150" i="42385"/>
  <c r="CM150" i="42385" s="1"/>
  <c r="L150" i="42385"/>
  <c r="CN150" i="42385" s="1"/>
  <c r="Q150" i="42385"/>
  <c r="CO150" i="42385" s="1"/>
  <c r="V150" i="42385"/>
  <c r="CP150" i="42385" s="1"/>
  <c r="AA150" i="42385"/>
  <c r="CQ150" i="42385" s="1"/>
  <c r="AF150" i="42385"/>
  <c r="CR150" i="42385" s="1"/>
  <c r="AK150" i="42385"/>
  <c r="CS150" i="42385" s="1"/>
  <c r="AP150" i="42385"/>
  <c r="CT150" i="42385" s="1"/>
  <c r="AU150" i="42385"/>
  <c r="CU150" i="42385" s="1"/>
  <c r="AZ150" i="42385"/>
  <c r="CV150" i="42385" s="1"/>
  <c r="BE150" i="42385"/>
  <c r="CW150" i="42385" s="1"/>
  <c r="BJ150" i="42385"/>
  <c r="CX150" i="42385" s="1"/>
  <c r="CL150" i="42385"/>
  <c r="CY150" i="42385"/>
  <c r="CZ150" i="42385"/>
  <c r="DA150" i="42385"/>
  <c r="DB150" i="42385"/>
  <c r="DC150" i="42385"/>
  <c r="G151" i="42385"/>
  <c r="CM151" i="42385" s="1"/>
  <c r="L151" i="42385"/>
  <c r="CN151" i="42385" s="1"/>
  <c r="Q151" i="42385"/>
  <c r="CO151" i="42385" s="1"/>
  <c r="V151" i="42385"/>
  <c r="CP151" i="42385" s="1"/>
  <c r="AA151" i="42385"/>
  <c r="CQ151" i="42385" s="1"/>
  <c r="AC151" i="42385"/>
  <c r="AF151" i="42385" s="1"/>
  <c r="CR151" i="42385" s="1"/>
  <c r="AK151" i="42385"/>
  <c r="CS151" i="42385" s="1"/>
  <c r="AP151" i="42385"/>
  <c r="CT151" i="42385" s="1"/>
  <c r="AU151" i="42385"/>
  <c r="CU151" i="42385" s="1"/>
  <c r="AX151" i="42385"/>
  <c r="AY151" i="42385" s="1"/>
  <c r="BJ151" i="42385"/>
  <c r="CX151" i="42385" s="1"/>
  <c r="CL151" i="42385"/>
  <c r="CY151" i="42385"/>
  <c r="CZ151" i="42385"/>
  <c r="DA151" i="42385"/>
  <c r="DB151" i="42385"/>
  <c r="DC151" i="42385"/>
  <c r="G152" i="42385"/>
  <c r="CM152" i="42385" s="1"/>
  <c r="L152" i="42385"/>
  <c r="CN152" i="42385" s="1"/>
  <c r="Q152" i="42385"/>
  <c r="CO152" i="42385" s="1"/>
  <c r="V152" i="42385"/>
  <c r="CP152" i="42385" s="1"/>
  <c r="AA152" i="42385"/>
  <c r="CQ152" i="42385" s="1"/>
  <c r="AF152" i="42385"/>
  <c r="CR152" i="42385" s="1"/>
  <c r="AK152" i="42385"/>
  <c r="CS152" i="42385" s="1"/>
  <c r="AP152" i="42385"/>
  <c r="CT152" i="42385" s="1"/>
  <c r="AU152" i="42385"/>
  <c r="CU152" i="42385" s="1"/>
  <c r="AZ152" i="42385"/>
  <c r="CV152" i="42385" s="1"/>
  <c r="BE152" i="42385"/>
  <c r="CW152" i="42385" s="1"/>
  <c r="BJ152" i="42385"/>
  <c r="CX152" i="42385" s="1"/>
  <c r="CL152" i="42385"/>
  <c r="CY152" i="42385"/>
  <c r="CZ152" i="42385"/>
  <c r="DA152" i="42385"/>
  <c r="DB152" i="42385"/>
  <c r="DC152" i="42385"/>
  <c r="G153" i="42385"/>
  <c r="CM153" i="42385" s="1"/>
  <c r="L153" i="42385"/>
  <c r="CN153" i="42385" s="1"/>
  <c r="Q153" i="42385"/>
  <c r="CO153" i="42385" s="1"/>
  <c r="V153" i="42385"/>
  <c r="CP153" i="42385" s="1"/>
  <c r="AA153" i="42385"/>
  <c r="CQ153" i="42385" s="1"/>
  <c r="AD153" i="42385"/>
  <c r="AE153" i="42385" s="1"/>
  <c r="AH153" i="42385"/>
  <c r="AP153" i="42385"/>
  <c r="CT153" i="42385" s="1"/>
  <c r="AU153" i="42385"/>
  <c r="CU153" i="42385" s="1"/>
  <c r="AZ153" i="42385"/>
  <c r="CV153" i="42385" s="1"/>
  <c r="BE153" i="42385"/>
  <c r="CW153" i="42385" s="1"/>
  <c r="BJ153" i="42385"/>
  <c r="CX153" i="42385" s="1"/>
  <c r="CL153" i="42385"/>
  <c r="CY153" i="42385"/>
  <c r="CZ153" i="42385"/>
  <c r="DA153" i="42385"/>
  <c r="DB153" i="42385"/>
  <c r="DC153" i="42385"/>
  <c r="G154" i="42385"/>
  <c r="CM154" i="42385" s="1"/>
  <c r="L154" i="42385"/>
  <c r="CN154" i="42385" s="1"/>
  <c r="Q154" i="42385"/>
  <c r="CO154" i="42385" s="1"/>
  <c r="V154" i="42385"/>
  <c r="CP154" i="42385" s="1"/>
  <c r="AA154" i="42385"/>
  <c r="CQ154" i="42385" s="1"/>
  <c r="AF154" i="42385"/>
  <c r="CR154" i="42385" s="1"/>
  <c r="AH154" i="42385"/>
  <c r="AM154" i="42385"/>
  <c r="AN154" i="42385" s="1"/>
  <c r="AV154" i="42385"/>
  <c r="AZ154" i="42385" s="1"/>
  <c r="CV154" i="42385" s="1"/>
  <c r="BE154" i="42385"/>
  <c r="CW154" i="42385" s="1"/>
  <c r="BJ154" i="42385"/>
  <c r="CX154" i="42385" s="1"/>
  <c r="CL154" i="42385"/>
  <c r="CY154" i="42385"/>
  <c r="CZ154" i="42385"/>
  <c r="DA154" i="42385"/>
  <c r="DB154" i="42385"/>
  <c r="DC154" i="42385"/>
  <c r="G155" i="42385"/>
  <c r="CM155" i="42385" s="1"/>
  <c r="L155" i="42385"/>
  <c r="CN155" i="42385" s="1"/>
  <c r="Q155" i="42385"/>
  <c r="CO155" i="42385" s="1"/>
  <c r="V155" i="42385"/>
  <c r="CP155" i="42385" s="1"/>
  <c r="AA155" i="42385"/>
  <c r="CQ155" i="42385" s="1"/>
  <c r="AF155" i="42385"/>
  <c r="CR155" i="42385" s="1"/>
  <c r="AH155" i="42385"/>
  <c r="AJ155" i="42385" s="1"/>
  <c r="AM155" i="42385"/>
  <c r="AQ155" i="42385"/>
  <c r="AQ163" i="42385" s="1"/>
  <c r="AQ165" i="42385" s="1"/>
  <c r="AZ155" i="42385"/>
  <c r="CV155" i="42385" s="1"/>
  <c r="BE155" i="42385"/>
  <c r="CW155" i="42385" s="1"/>
  <c r="BJ155" i="42385"/>
  <c r="CX155" i="42385" s="1"/>
  <c r="CL155" i="42385"/>
  <c r="CY155" i="42385"/>
  <c r="CZ155" i="42385"/>
  <c r="DA155" i="42385"/>
  <c r="DB155" i="42385"/>
  <c r="DC155" i="42385"/>
  <c r="AF156" i="42385"/>
  <c r="CR156" i="42385" s="1"/>
  <c r="AG156" i="42385"/>
  <c r="AH156" i="42385"/>
  <c r="AM156" i="42385"/>
  <c r="AU156" i="42385"/>
  <c r="CU156" i="42385" s="1"/>
  <c r="AZ156" i="42385"/>
  <c r="CV156" i="42385" s="1"/>
  <c r="BE156" i="42385"/>
  <c r="CW156" i="42385" s="1"/>
  <c r="BJ156" i="42385"/>
  <c r="CX156" i="42385" s="1"/>
  <c r="CL156" i="42385"/>
  <c r="CM156" i="42385"/>
  <c r="CN156" i="42385"/>
  <c r="CO156" i="42385"/>
  <c r="CP156" i="42385"/>
  <c r="CQ156" i="42385"/>
  <c r="CY156" i="42385"/>
  <c r="CZ156" i="42385"/>
  <c r="DA156" i="42385"/>
  <c r="DB156" i="42385"/>
  <c r="DC156" i="42385"/>
  <c r="AP157" i="42385"/>
  <c r="AU157" i="42385"/>
  <c r="AV157" i="42385"/>
  <c r="AW157" i="42385"/>
  <c r="BE157" i="42385"/>
  <c r="BJ157" i="42385"/>
  <c r="AP158" i="42385"/>
  <c r="AU158" i="42385"/>
  <c r="AY158" i="42385"/>
  <c r="AZ158" i="42385" s="1"/>
  <c r="BA158" i="42385"/>
  <c r="BB158" i="42385" s="1"/>
  <c r="BH158" i="42385"/>
  <c r="BJ158" i="42385" s="1"/>
  <c r="BK158" i="42385"/>
  <c r="BM158" i="42385"/>
  <c r="BP158" i="42385"/>
  <c r="BR158" i="42385"/>
  <c r="BY158" i="42385"/>
  <c r="BZ158" i="42385"/>
  <c r="CA158" i="42385"/>
  <c r="CB158" i="42385"/>
  <c r="CC158" i="42385"/>
  <c r="CD158" i="42385"/>
  <c r="CE158" i="42385"/>
  <c r="BB159" i="42385"/>
  <c r="BC159" i="42385" s="1"/>
  <c r="BO159" i="42385"/>
  <c r="BT159" i="42385"/>
  <c r="BY159" i="42385"/>
  <c r="BA160" i="42385"/>
  <c r="BB160" i="42385"/>
  <c r="BC160" i="42385"/>
  <c r="BD160" i="42385"/>
  <c r="BG160" i="42385"/>
  <c r="BH160" i="42385"/>
  <c r="BI160" i="42385"/>
  <c r="BL160" i="42385"/>
  <c r="BM160" i="42385"/>
  <c r="BN160" i="42385"/>
  <c r="BY160" i="42385"/>
  <c r="BJ161" i="42385"/>
  <c r="BO161" i="42385"/>
  <c r="Y74" i="42492" s="1"/>
  <c r="BT161" i="42385"/>
  <c r="BY161" i="42385"/>
  <c r="BJ162" i="42385"/>
  <c r="BO162" i="42385"/>
  <c r="BT162" i="42385"/>
  <c r="BY162" i="42385"/>
  <c r="AN163" i="42385"/>
  <c r="AP163" i="42385" s="1"/>
  <c r="CT163" i="42385" s="1"/>
  <c r="AR163" i="42385"/>
  <c r="AR165" i="42385" s="1"/>
  <c r="AR166" i="42385" s="1"/>
  <c r="AR134" i="42385" s="1"/>
  <c r="BT163" i="42385"/>
  <c r="CZ163" i="42385" s="1"/>
  <c r="BY163" i="42385"/>
  <c r="CL163" i="42385"/>
  <c r="CM164" i="42385"/>
  <c r="CN164" i="42385"/>
  <c r="CO164" i="42385"/>
  <c r="CP164" i="42385"/>
  <c r="CQ164" i="42385"/>
  <c r="CR164" i="42385"/>
  <c r="CS164" i="42385"/>
  <c r="CT164" i="42385"/>
  <c r="CU164" i="42385"/>
  <c r="CV164" i="42385"/>
  <c r="CW164" i="42385"/>
  <c r="CX164" i="42385"/>
  <c r="CY164" i="42385"/>
  <c r="CZ164" i="42385"/>
  <c r="DA164" i="42385"/>
  <c r="DB164" i="42385"/>
  <c r="DC164" i="42385"/>
  <c r="AI165" i="42385"/>
  <c r="AI166" i="42385" s="1"/>
  <c r="AI134" i="42385" s="1"/>
  <c r="AL165" i="42385"/>
  <c r="AL166" i="42385" s="1"/>
  <c r="AL134" i="42385" s="1"/>
  <c r="BU165" i="42385"/>
  <c r="BU130" i="42385" s="1"/>
  <c r="BV165" i="42385"/>
  <c r="BW165" i="42385"/>
  <c r="BW166" i="42385" s="1"/>
  <c r="BX165" i="42385"/>
  <c r="CL165" i="42385"/>
  <c r="CL166" i="42385"/>
  <c r="CL168" i="42385"/>
  <c r="C169" i="42385"/>
  <c r="CL169" i="42385"/>
  <c r="C170" i="42385"/>
  <c r="D170" i="42385" s="1"/>
  <c r="E170" i="42385" s="1"/>
  <c r="F170" i="42385" s="1"/>
  <c r="G170" i="42385" s="1"/>
  <c r="CL170" i="42385"/>
  <c r="C171" i="42385"/>
  <c r="D171" i="42385" s="1"/>
  <c r="E171" i="42385" s="1"/>
  <c r="F171" i="42385" s="1"/>
  <c r="G171" i="42385" s="1"/>
  <c r="CL171" i="42385"/>
  <c r="C172" i="42385"/>
  <c r="D172" i="42385" s="1"/>
  <c r="E172" i="42385" s="1"/>
  <c r="F172" i="42385" s="1"/>
  <c r="G172" i="42385" s="1"/>
  <c r="CL172" i="42385"/>
  <c r="C173" i="42385"/>
  <c r="D173" i="42385" s="1"/>
  <c r="E173" i="42385" s="1"/>
  <c r="F173" i="42385" s="1"/>
  <c r="G173" i="42385" s="1"/>
  <c r="CL173" i="42385"/>
  <c r="C174" i="42385"/>
  <c r="D174" i="42385" s="1"/>
  <c r="E174" i="42385" s="1"/>
  <c r="F174" i="42385" s="1"/>
  <c r="G174" i="42385" s="1"/>
  <c r="CL174" i="42385"/>
  <c r="C175" i="42385"/>
  <c r="D175" i="42385" s="1"/>
  <c r="E175" i="42385" s="1"/>
  <c r="F175" i="42385" s="1"/>
  <c r="G175" i="42385" s="1"/>
  <c r="CL175" i="42385"/>
  <c r="C176" i="42385"/>
  <c r="D176" i="42385" s="1"/>
  <c r="E176" i="42385" s="1"/>
  <c r="F176" i="42385" s="1"/>
  <c r="G176" i="42385" s="1"/>
  <c r="CL176" i="42385"/>
  <c r="C177" i="42385"/>
  <c r="D177" i="42385" s="1"/>
  <c r="E177" i="42385" s="1"/>
  <c r="F177" i="42385" s="1"/>
  <c r="G177" i="42385" s="1"/>
  <c r="CL177" i="42385"/>
  <c r="C178" i="42385"/>
  <c r="D178" i="42385" s="1"/>
  <c r="E178" i="42385" s="1"/>
  <c r="F178" i="42385" s="1"/>
  <c r="G178" i="42385" s="1"/>
  <c r="CL178" i="42385"/>
  <c r="C179" i="42385"/>
  <c r="D179" i="42385" s="1"/>
  <c r="E179" i="42385" s="1"/>
  <c r="F179" i="42385" s="1"/>
  <c r="G179" i="42385" s="1"/>
  <c r="CL179" i="42385"/>
  <c r="C180" i="42385"/>
  <c r="D180" i="42385" s="1"/>
  <c r="CL180" i="42385"/>
  <c r="C181" i="42385"/>
  <c r="D181" i="42385" s="1"/>
  <c r="E181" i="42385" s="1"/>
  <c r="F181" i="42385" s="1"/>
  <c r="G181" i="42385" s="1"/>
  <c r="CL181" i="42385"/>
  <c r="C182" i="42385"/>
  <c r="CL182" i="42385"/>
  <c r="C183" i="42385"/>
  <c r="D183" i="42385" s="1"/>
  <c r="E183" i="42385" s="1"/>
  <c r="F183" i="42385" s="1"/>
  <c r="G183" i="42385" s="1"/>
  <c r="CL183" i="42385"/>
  <c r="C184" i="42385"/>
  <c r="D184" i="42385" s="1"/>
  <c r="E184" i="42385" s="1"/>
  <c r="F184" i="42385" s="1"/>
  <c r="G184" i="42385" s="1"/>
  <c r="H184" i="42385" s="1"/>
  <c r="I184" i="42385" s="1"/>
  <c r="J184" i="42385" s="1"/>
  <c r="K184" i="42385" s="1"/>
  <c r="L184" i="42385" s="1"/>
  <c r="CL184" i="42385"/>
  <c r="C185" i="42385"/>
  <c r="D185" i="42385" s="1"/>
  <c r="E185" i="42385" s="1"/>
  <c r="F185" i="42385" s="1"/>
  <c r="G185" i="42385" s="1"/>
  <c r="CL185" i="42385"/>
  <c r="C186" i="42385"/>
  <c r="D186" i="42385" s="1"/>
  <c r="E186" i="42385" s="1"/>
  <c r="F186" i="42385" s="1"/>
  <c r="G186" i="42385" s="1"/>
  <c r="CL186" i="42385"/>
  <c r="C187" i="42385"/>
  <c r="D187" i="42385" s="1"/>
  <c r="E187" i="42385" s="1"/>
  <c r="F187" i="42385" s="1"/>
  <c r="G187" i="42385" s="1"/>
  <c r="CL187" i="42385"/>
  <c r="C188" i="42385"/>
  <c r="D188" i="42385" s="1"/>
  <c r="E188" i="42385" s="1"/>
  <c r="F188" i="42385" s="1"/>
  <c r="G188" i="42385" s="1"/>
  <c r="CL188" i="42385"/>
  <c r="C189" i="42385"/>
  <c r="D189" i="42385" s="1"/>
  <c r="E189" i="42385" s="1"/>
  <c r="F189" i="42385" s="1"/>
  <c r="G189" i="42385" s="1"/>
  <c r="CL189" i="42385"/>
  <c r="A190" i="42385"/>
  <c r="CL190" i="42385" s="1"/>
  <c r="C190" i="42385"/>
  <c r="D190" i="42385" s="1"/>
  <c r="E190" i="42385" s="1"/>
  <c r="F190" i="42385" s="1"/>
  <c r="G190" i="42385" s="1"/>
  <c r="CL191" i="42385"/>
  <c r="CM192" i="42385"/>
  <c r="CN192" i="42385"/>
  <c r="CO192" i="42385"/>
  <c r="CP192" i="42385"/>
  <c r="CQ192" i="42385"/>
  <c r="CR192" i="42385"/>
  <c r="CS192" i="42385"/>
  <c r="CT192" i="42385"/>
  <c r="CU192" i="42385"/>
  <c r="CV192" i="42385"/>
  <c r="CW192" i="42385"/>
  <c r="CX192" i="42385"/>
  <c r="CY192" i="42385"/>
  <c r="CZ192" i="42385"/>
  <c r="DA192" i="42385"/>
  <c r="DB192" i="42385"/>
  <c r="DC192" i="42385"/>
  <c r="CL193" i="42385"/>
  <c r="C195" i="42385"/>
  <c r="D195" i="42385"/>
  <c r="E195" i="42385"/>
  <c r="F195" i="42385"/>
  <c r="G195" i="42385"/>
  <c r="CL195" i="42385" s="1"/>
  <c r="H195" i="42385"/>
  <c r="I195" i="42385"/>
  <c r="J195" i="42385"/>
  <c r="K195" i="42385"/>
  <c r="L195" i="42385"/>
  <c r="CM195" i="42385" s="1"/>
  <c r="M195" i="42385"/>
  <c r="N195" i="42385"/>
  <c r="O195" i="42385"/>
  <c r="P195" i="42385"/>
  <c r="Q195" i="42385"/>
  <c r="CN195" i="42385" s="1"/>
  <c r="R195" i="42385"/>
  <c r="S195" i="42385"/>
  <c r="T195" i="42385"/>
  <c r="U195" i="42385"/>
  <c r="V195" i="42385"/>
  <c r="CO195" i="42385" s="1"/>
  <c r="W195" i="42385"/>
  <c r="X195" i="42385"/>
  <c r="Y195" i="42385"/>
  <c r="Z195" i="42385"/>
  <c r="AA195" i="42385"/>
  <c r="CP195" i="42385" s="1"/>
  <c r="AB195" i="42385"/>
  <c r="AC195" i="42385"/>
  <c r="AD195" i="42385"/>
  <c r="AE195" i="42385"/>
  <c r="AF195" i="42385"/>
  <c r="CQ195" i="42385" s="1"/>
  <c r="AG195" i="42385"/>
  <c r="AH195" i="42385"/>
  <c r="AI195" i="42385"/>
  <c r="AJ195" i="42385"/>
  <c r="AK195" i="42385"/>
  <c r="CR195" i="42385" s="1"/>
  <c r="AL195" i="42385"/>
  <c r="AM195" i="42385"/>
  <c r="AN195" i="42385"/>
  <c r="AO195" i="42385"/>
  <c r="AP195" i="42385"/>
  <c r="AQ195" i="42385"/>
  <c r="AR195" i="42385"/>
  <c r="AS195" i="42385"/>
  <c r="AT195" i="42385"/>
  <c r="AU195" i="42385"/>
  <c r="CT195" i="42385" s="1"/>
  <c r="AV195" i="42385"/>
  <c r="AW195" i="42385"/>
  <c r="AX195" i="42385"/>
  <c r="AY195" i="42385"/>
  <c r="AZ195" i="42385"/>
  <c r="CU195" i="42385" s="1"/>
  <c r="BA195" i="42385"/>
  <c r="BB195" i="42385"/>
  <c r="BC195" i="42385"/>
  <c r="BD195" i="42385"/>
  <c r="BE195" i="42385"/>
  <c r="CV195" i="42385" s="1"/>
  <c r="BF195" i="42385"/>
  <c r="BG195" i="42385"/>
  <c r="BH195" i="42385"/>
  <c r="BI195" i="42385"/>
  <c r="BJ195" i="42385"/>
  <c r="CW195" i="42385" s="1"/>
  <c r="BK195" i="42385"/>
  <c r="BL195" i="42385"/>
  <c r="BM195" i="42385"/>
  <c r="BN195" i="42385"/>
  <c r="BO195" i="42385"/>
  <c r="CX195" i="42385" s="1"/>
  <c r="BP195" i="42385"/>
  <c r="BQ195" i="42385"/>
  <c r="BR195" i="42385"/>
  <c r="BS195" i="42385"/>
  <c r="BT195" i="42385"/>
  <c r="CY195" i="42385" s="1"/>
  <c r="BU195" i="42385"/>
  <c r="BV195" i="42385"/>
  <c r="BW195" i="42385"/>
  <c r="BX195" i="42385"/>
  <c r="BY195" i="42385"/>
  <c r="CZ195" i="42385" s="1"/>
  <c r="BZ195" i="42385"/>
  <c r="DA195" i="42385" s="1"/>
  <c r="CA195" i="42385"/>
  <c r="DB195" i="42385" s="1"/>
  <c r="CB195" i="42385"/>
  <c r="CC195" i="42385"/>
  <c r="CD195" i="42385"/>
  <c r="CE195" i="42385"/>
  <c r="CF195" i="42385"/>
  <c r="CK195" i="42385"/>
  <c r="CS195" i="42385"/>
  <c r="CK197" i="42385"/>
  <c r="CL197" i="42385"/>
  <c r="H198" i="42385"/>
  <c r="I198" i="42385"/>
  <c r="J198" i="42385"/>
  <c r="K198" i="42385"/>
  <c r="L198" i="42385" s="1"/>
  <c r="M198" i="42385"/>
  <c r="N198" i="42385"/>
  <c r="O198" i="42385"/>
  <c r="P198" i="42385"/>
  <c r="Q198" i="42385" s="1"/>
  <c r="R198" i="42385"/>
  <c r="S198" i="42385"/>
  <c r="T198" i="42385"/>
  <c r="U198" i="42385"/>
  <c r="V198" i="42385" s="1"/>
  <c r="W198" i="42385"/>
  <c r="X198" i="42385"/>
  <c r="Y198" i="42385"/>
  <c r="Z198" i="42385"/>
  <c r="AA198" i="42385" s="1"/>
  <c r="AB198" i="42385"/>
  <c r="AC198" i="42385"/>
  <c r="AD198" i="42385"/>
  <c r="AE198" i="42385"/>
  <c r="AF198" i="42385" s="1"/>
  <c r="AG198" i="42385"/>
  <c r="AH198" i="42385"/>
  <c r="AI198" i="42385"/>
  <c r="AJ198" i="42385"/>
  <c r="AK198" i="42385" s="1"/>
  <c r="AL198" i="42385"/>
  <c r="AM198" i="42385"/>
  <c r="AN198" i="42385"/>
  <c r="AO198" i="42385"/>
  <c r="AP198" i="42385" s="1"/>
  <c r="AQ198" i="42385"/>
  <c r="AW198" i="42385"/>
  <c r="AX198" i="42385"/>
  <c r="AY198" i="42385"/>
  <c r="AZ198" i="42385" s="1"/>
  <c r="BA198" i="42385"/>
  <c r="BB198" i="42385"/>
  <c r="BC198" i="42385"/>
  <c r="BD198" i="42385"/>
  <c r="BE198" i="42385" s="1"/>
  <c r="BI198" i="42385"/>
  <c r="BJ198" i="42385" s="1"/>
  <c r="BK198" i="42385"/>
  <c r="BL198" i="42385"/>
  <c r="BM198" i="42385"/>
  <c r="BN198" i="42385"/>
  <c r="BO198" i="42385" s="1"/>
  <c r="BP198" i="42385"/>
  <c r="BQ198" i="42385"/>
  <c r="H200" i="42385"/>
  <c r="I200" i="42385"/>
  <c r="J200" i="42385"/>
  <c r="K200" i="42385"/>
  <c r="M200" i="42385"/>
  <c r="N200" i="42385"/>
  <c r="O200" i="42385"/>
  <c r="P200" i="42385"/>
  <c r="Q200" i="42385" s="1"/>
  <c r="R200" i="42385"/>
  <c r="S200" i="42385"/>
  <c r="T200" i="42385"/>
  <c r="U200" i="42385"/>
  <c r="V200" i="42385" s="1"/>
  <c r="W200" i="42385"/>
  <c r="X200" i="42385"/>
  <c r="Y200" i="42385"/>
  <c r="Z200" i="42385"/>
  <c r="AA200" i="42385" s="1"/>
  <c r="AR200" i="42385"/>
  <c r="AS200" i="42385"/>
  <c r="AT200" i="42385"/>
  <c r="AU200" i="42385" s="1"/>
  <c r="AV200" i="42385"/>
  <c r="AW200" i="42385"/>
  <c r="AY200" i="42385"/>
  <c r="AZ200" i="42385" s="1"/>
  <c r="C215" i="42385"/>
  <c r="D215" i="42385"/>
  <c r="E215" i="42385"/>
  <c r="F215" i="42385"/>
  <c r="G215" i="42385"/>
  <c r="CM215" i="42385" s="1"/>
  <c r="H215" i="42385"/>
  <c r="I215" i="42385"/>
  <c r="J215" i="42385"/>
  <c r="K215" i="42385"/>
  <c r="L215" i="42385"/>
  <c r="CN215" i="42385" s="1"/>
  <c r="M215" i="42385"/>
  <c r="N215" i="42385"/>
  <c r="O215" i="42385"/>
  <c r="P215" i="42385"/>
  <c r="Q215" i="42385"/>
  <c r="CO215" i="42385" s="1"/>
  <c r="R215" i="42385"/>
  <c r="S215" i="42385"/>
  <c r="T215" i="42385"/>
  <c r="U215" i="42385"/>
  <c r="V215" i="42385"/>
  <c r="CP215" i="42385" s="1"/>
  <c r="W215" i="42385"/>
  <c r="X215" i="42385"/>
  <c r="Y215" i="42385"/>
  <c r="Z215" i="42385"/>
  <c r="AA215" i="42385"/>
  <c r="AB215" i="42385"/>
  <c r="AC215" i="42385"/>
  <c r="AD215" i="42385"/>
  <c r="AE215" i="42385"/>
  <c r="AF215" i="42385"/>
  <c r="CR215" i="42385" s="1"/>
  <c r="AG215" i="42385"/>
  <c r="AH215" i="42385"/>
  <c r="AI215" i="42385"/>
  <c r="AJ215" i="42385"/>
  <c r="AK215" i="42385"/>
  <c r="CS215" i="42385" s="1"/>
  <c r="AL215" i="42385"/>
  <c r="AM215" i="42385"/>
  <c r="AN215" i="42385"/>
  <c r="AO215" i="42385"/>
  <c r="AP215" i="42385"/>
  <c r="CT215" i="42385" s="1"/>
  <c r="AQ215" i="42385"/>
  <c r="AR215" i="42385"/>
  <c r="AS215" i="42385"/>
  <c r="AT215" i="42385"/>
  <c r="AU215" i="42385"/>
  <c r="CU215" i="42385" s="1"/>
  <c r="AV215" i="42385"/>
  <c r="AW215" i="42385"/>
  <c r="AX215" i="42385"/>
  <c r="AY215" i="42385"/>
  <c r="AZ215" i="42385"/>
  <c r="CV215" i="42385" s="1"/>
  <c r="BA215" i="42385"/>
  <c r="BB215" i="42385"/>
  <c r="BC215" i="42385"/>
  <c r="BD215" i="42385"/>
  <c r="BE215" i="42385"/>
  <c r="CW215" i="42385" s="1"/>
  <c r="BF215" i="42385"/>
  <c r="BG215" i="42385"/>
  <c r="BH215" i="42385"/>
  <c r="BI215" i="42385"/>
  <c r="BJ215" i="42385"/>
  <c r="CX215" i="42385" s="1"/>
  <c r="BK215" i="42385"/>
  <c r="BL215" i="42385"/>
  <c r="BM215" i="42385"/>
  <c r="BN215" i="42385"/>
  <c r="BO215" i="42385"/>
  <c r="CY215" i="42385" s="1"/>
  <c r="BP215" i="42385"/>
  <c r="BQ215" i="42385"/>
  <c r="BR215" i="42385"/>
  <c r="BS215" i="42385"/>
  <c r="BT215" i="42385"/>
  <c r="CZ215" i="42385" s="1"/>
  <c r="BU215" i="42385"/>
  <c r="BV215" i="42385"/>
  <c r="BW215" i="42385"/>
  <c r="BX215" i="42385"/>
  <c r="BY215" i="42385"/>
  <c r="DA215" i="42385" s="1"/>
  <c r="BZ215" i="42385"/>
  <c r="DB215" i="42385" s="1"/>
  <c r="CA215" i="42385"/>
  <c r="DC215" i="42385" s="1"/>
  <c r="CB215" i="42385"/>
  <c r="CC215" i="42385"/>
  <c r="CD215" i="42385"/>
  <c r="CE215" i="42385"/>
  <c r="CF215" i="42385"/>
  <c r="CL215" i="42385"/>
  <c r="CQ215" i="42385"/>
  <c r="CL216" i="42385"/>
  <c r="C218" i="42385"/>
  <c r="D218" i="42385"/>
  <c r="E218" i="42385"/>
  <c r="F218" i="42385"/>
  <c r="H218" i="42385"/>
  <c r="I218" i="42385"/>
  <c r="J218" i="42385"/>
  <c r="K218" i="42385"/>
  <c r="M218" i="42385"/>
  <c r="N218" i="42385"/>
  <c r="O218" i="42385"/>
  <c r="P218" i="42385"/>
  <c r="R218" i="42385"/>
  <c r="S218" i="42385"/>
  <c r="T218" i="42385"/>
  <c r="U218" i="42385"/>
  <c r="W218" i="42385"/>
  <c r="X218" i="42385"/>
  <c r="Y218" i="42385"/>
  <c r="Z218" i="42385"/>
  <c r="AB218" i="42385"/>
  <c r="AC218" i="42385"/>
  <c r="AD218" i="42385"/>
  <c r="AE218" i="42385"/>
  <c r="AG218" i="42385"/>
  <c r="AH218" i="42385"/>
  <c r="AI218" i="42385"/>
  <c r="AJ218" i="42385"/>
  <c r="AL218" i="42385"/>
  <c r="AM218" i="42385"/>
  <c r="CL218" i="42385"/>
  <c r="C219" i="42385"/>
  <c r="D219" i="42385"/>
  <c r="E219" i="42385"/>
  <c r="F219" i="42385"/>
  <c r="H219" i="42385"/>
  <c r="I219" i="42385"/>
  <c r="J219" i="42385"/>
  <c r="K219" i="42385"/>
  <c r="M219" i="42385"/>
  <c r="N219" i="42385"/>
  <c r="O219" i="42385"/>
  <c r="P219" i="42385"/>
  <c r="R219" i="42385"/>
  <c r="S219" i="42385"/>
  <c r="T219" i="42385"/>
  <c r="U219" i="42385"/>
  <c r="W219" i="42385"/>
  <c r="X219" i="42385"/>
  <c r="Y219" i="42385"/>
  <c r="Z219" i="42385"/>
  <c r="AB219" i="42385"/>
  <c r="AC219" i="42385"/>
  <c r="AD219" i="42385"/>
  <c r="AE219" i="42385"/>
  <c r="AG219" i="42385"/>
  <c r="AH219" i="42385"/>
  <c r="AI219" i="42385"/>
  <c r="AJ219" i="42385"/>
  <c r="AL219" i="42385"/>
  <c r="AM219" i="42385"/>
  <c r="CL219" i="42385"/>
  <c r="C220" i="42385"/>
  <c r="D220" i="42385"/>
  <c r="E220" i="42385"/>
  <c r="F220" i="42385"/>
  <c r="H220" i="42385"/>
  <c r="I220" i="42385"/>
  <c r="J220" i="42385"/>
  <c r="K220" i="42385"/>
  <c r="M220" i="42385"/>
  <c r="N220" i="42385"/>
  <c r="O220" i="42385"/>
  <c r="P220" i="42385"/>
  <c r="R220" i="42385"/>
  <c r="S220" i="42385"/>
  <c r="T220" i="42385"/>
  <c r="U220" i="42385"/>
  <c r="W220" i="42385"/>
  <c r="X220" i="42385"/>
  <c r="Y220" i="42385"/>
  <c r="Z220" i="42385"/>
  <c r="AB220" i="42385"/>
  <c r="AC220" i="42385"/>
  <c r="AD220" i="42385"/>
  <c r="AE220" i="42385"/>
  <c r="AG220" i="42385"/>
  <c r="AH220" i="42385"/>
  <c r="AI220" i="42385"/>
  <c r="AJ220" i="42385"/>
  <c r="AL220" i="42385"/>
  <c r="AM220" i="42385"/>
  <c r="CL220" i="42385"/>
  <c r="C221" i="42385"/>
  <c r="D221" i="42385"/>
  <c r="E221" i="42385"/>
  <c r="F221" i="42385"/>
  <c r="H221" i="42385"/>
  <c r="I221" i="42385"/>
  <c r="J221" i="42385"/>
  <c r="K221" i="42385"/>
  <c r="M221" i="42385"/>
  <c r="N221" i="42385"/>
  <c r="O221" i="42385"/>
  <c r="P221" i="42385"/>
  <c r="R221" i="42385"/>
  <c r="S221" i="42385"/>
  <c r="T221" i="42385"/>
  <c r="U221" i="42385"/>
  <c r="W221" i="42385"/>
  <c r="X221" i="42385"/>
  <c r="Y221" i="42385"/>
  <c r="Z221" i="42385"/>
  <c r="AB221" i="42385"/>
  <c r="AC221" i="42385"/>
  <c r="AD221" i="42385"/>
  <c r="AE221" i="42385"/>
  <c r="AG221" i="42385"/>
  <c r="AH221" i="42385"/>
  <c r="AI221" i="42385"/>
  <c r="AJ221" i="42385"/>
  <c r="AL221" i="42385"/>
  <c r="AM221" i="42385"/>
  <c r="AN221" i="42385"/>
  <c r="AO221" i="42385"/>
  <c r="AQ221" i="42385"/>
  <c r="AR221" i="42385"/>
  <c r="AS221" i="42385"/>
  <c r="CL221" i="42385"/>
  <c r="C222" i="42385"/>
  <c r="D222" i="42385"/>
  <c r="E222" i="42385"/>
  <c r="F222" i="42385"/>
  <c r="H222" i="42385"/>
  <c r="I222" i="42385"/>
  <c r="J222" i="42385"/>
  <c r="K222" i="42385"/>
  <c r="M222" i="42385"/>
  <c r="N222" i="42385"/>
  <c r="O222" i="42385"/>
  <c r="P222" i="42385"/>
  <c r="R222" i="42385"/>
  <c r="S222" i="42385"/>
  <c r="T222" i="42385"/>
  <c r="U222" i="42385"/>
  <c r="W222" i="42385"/>
  <c r="X222" i="42385"/>
  <c r="Y222" i="42385"/>
  <c r="Z222" i="42385"/>
  <c r="AB222" i="42385"/>
  <c r="AC222" i="42385"/>
  <c r="AD222" i="42385"/>
  <c r="AE222" i="42385"/>
  <c r="AG222" i="42385"/>
  <c r="AH222" i="42385"/>
  <c r="AI222" i="42385"/>
  <c r="AJ222" i="42385"/>
  <c r="AL222" i="42385"/>
  <c r="AM222" i="42385"/>
  <c r="AN222" i="42385"/>
  <c r="AO222" i="42385"/>
  <c r="AQ222" i="42385"/>
  <c r="CL222" i="42385"/>
  <c r="C223" i="42385"/>
  <c r="D223" i="42385"/>
  <c r="E223" i="42385"/>
  <c r="F223" i="42385"/>
  <c r="H223" i="42385"/>
  <c r="I223" i="42385"/>
  <c r="J223" i="42385"/>
  <c r="K223" i="42385"/>
  <c r="M223" i="42385"/>
  <c r="N223" i="42385"/>
  <c r="O223" i="42385"/>
  <c r="P223" i="42385"/>
  <c r="R223" i="42385"/>
  <c r="S223" i="42385"/>
  <c r="T223" i="42385"/>
  <c r="U223" i="42385"/>
  <c r="W223" i="42385"/>
  <c r="X223" i="42385"/>
  <c r="Y223" i="42385"/>
  <c r="Z223" i="42385"/>
  <c r="AB223" i="42385"/>
  <c r="AC223" i="42385"/>
  <c r="AD223" i="42385"/>
  <c r="AE223" i="42385"/>
  <c r="AG223" i="42385"/>
  <c r="AH223" i="42385"/>
  <c r="AI223" i="42385"/>
  <c r="AJ223" i="42385"/>
  <c r="AL223" i="42385"/>
  <c r="AM223" i="42385"/>
  <c r="CL223" i="42385"/>
  <c r="BA224" i="42385"/>
  <c r="BB224" i="42385"/>
  <c r="CL224" i="42385"/>
  <c r="BA225" i="42385"/>
  <c r="BB225" i="42385"/>
  <c r="BF226" i="42385"/>
  <c r="CL226" i="42385"/>
  <c r="C227" i="42385"/>
  <c r="D227" i="42385"/>
  <c r="E227" i="42385"/>
  <c r="F227" i="42385"/>
  <c r="H227" i="42385"/>
  <c r="I227" i="42385"/>
  <c r="J227" i="42385"/>
  <c r="K227" i="42385"/>
  <c r="M227" i="42385"/>
  <c r="N227" i="42385"/>
  <c r="O227" i="42385"/>
  <c r="P227" i="42385"/>
  <c r="R227" i="42385"/>
  <c r="S227" i="42385"/>
  <c r="T227" i="42385"/>
  <c r="U227" i="42385"/>
  <c r="W227" i="42385"/>
  <c r="X227" i="42385"/>
  <c r="Y227" i="42385"/>
  <c r="Z227" i="42385"/>
  <c r="AB227" i="42385"/>
  <c r="AC227" i="42385"/>
  <c r="AD227" i="42385"/>
  <c r="AE227" i="42385"/>
  <c r="AG227" i="42385"/>
  <c r="AH227" i="42385"/>
  <c r="AI227" i="42385"/>
  <c r="AJ227" i="42385"/>
  <c r="AL227" i="42385"/>
  <c r="AM227" i="42385"/>
  <c r="BA227" i="42385"/>
  <c r="BB227" i="42385"/>
  <c r="BC227" i="42385"/>
  <c r="BD227" i="42385"/>
  <c r="BF227" i="42385"/>
  <c r="BG227" i="42385"/>
  <c r="BH227" i="42385"/>
  <c r="BI227" i="42385"/>
  <c r="BK227" i="42385"/>
  <c r="BL227" i="42385"/>
  <c r="BM227" i="42385"/>
  <c r="BN227" i="42385"/>
  <c r="BP227" i="42385"/>
  <c r="BQ227" i="42385"/>
  <c r="BR227" i="42385"/>
  <c r="BS227" i="42385"/>
  <c r="BU227" i="42385"/>
  <c r="BV227" i="42385"/>
  <c r="BW227" i="42385"/>
  <c r="BX227" i="42385"/>
  <c r="BZ227" i="42385"/>
  <c r="DB227" i="42385" s="1"/>
  <c r="CA227" i="42385"/>
  <c r="DC227" i="42385" s="1"/>
  <c r="CB227" i="42385"/>
  <c r="CC227" i="42385"/>
  <c r="CD227" i="42385"/>
  <c r="CE227" i="42385"/>
  <c r="CF227" i="42385"/>
  <c r="CL227" i="42385"/>
  <c r="BY228" i="42385"/>
  <c r="DA228" i="42385" s="1"/>
  <c r="CL228" i="42385"/>
  <c r="CM228" i="42385"/>
  <c r="CN228" i="42385"/>
  <c r="CO228" i="42385"/>
  <c r="CP228" i="42385"/>
  <c r="CQ228" i="42385"/>
  <c r="CR228" i="42385"/>
  <c r="CS228" i="42385"/>
  <c r="CT228" i="42385"/>
  <c r="CU228" i="42385"/>
  <c r="DB228" i="42385"/>
  <c r="DC228" i="42385"/>
  <c r="CL229" i="42385"/>
  <c r="C230" i="42385"/>
  <c r="D230" i="42385"/>
  <c r="E230" i="42385"/>
  <c r="F230" i="42385"/>
  <c r="H230" i="42385"/>
  <c r="I230" i="42385"/>
  <c r="J230" i="42385"/>
  <c r="K230" i="42385"/>
  <c r="M230" i="42385"/>
  <c r="N230" i="42385"/>
  <c r="O230" i="42385"/>
  <c r="P230" i="42385"/>
  <c r="R230" i="42385"/>
  <c r="S230" i="42385"/>
  <c r="T230" i="42385"/>
  <c r="U230" i="42385"/>
  <c r="W230" i="42385"/>
  <c r="X230" i="42385"/>
  <c r="Y230" i="42385"/>
  <c r="Z230" i="42385"/>
  <c r="AB230" i="42385"/>
  <c r="AC230" i="42385"/>
  <c r="AD230" i="42385"/>
  <c r="AE230" i="42385"/>
  <c r="AE10" i="42385" s="1"/>
  <c r="AG230" i="42385"/>
  <c r="AH230" i="42385"/>
  <c r="AI230" i="42385"/>
  <c r="AI10" i="42385" s="1"/>
  <c r="AJ230" i="42385"/>
  <c r="AL230" i="42385"/>
  <c r="AM230" i="42385"/>
  <c r="CL230" i="42385"/>
  <c r="AN231" i="42385"/>
  <c r="AO231" i="42385"/>
  <c r="CL231" i="42385"/>
  <c r="CM231" i="42385"/>
  <c r="CN231" i="42385"/>
  <c r="CO231" i="42385"/>
  <c r="CP231" i="42385"/>
  <c r="CQ231" i="42385"/>
  <c r="CR231" i="42385"/>
  <c r="CS231" i="42385"/>
  <c r="BJ232" i="42385"/>
  <c r="CX232" i="42385" s="1"/>
  <c r="BK232" i="42385"/>
  <c r="BK282" i="42385" s="1"/>
  <c r="BL232" i="42385"/>
  <c r="BM232" i="42385"/>
  <c r="CL232" i="42385"/>
  <c r="CT232" i="42385"/>
  <c r="CU232" i="42385"/>
  <c r="CV232" i="42385"/>
  <c r="CW232" i="42385"/>
  <c r="CL233" i="42385"/>
  <c r="C234" i="42385"/>
  <c r="D234" i="42385"/>
  <c r="E234" i="42385"/>
  <c r="F234" i="42385"/>
  <c r="H234" i="42385"/>
  <c r="I234" i="42385"/>
  <c r="J234" i="42385"/>
  <c r="K234" i="42385"/>
  <c r="M234" i="42385"/>
  <c r="N234" i="42385"/>
  <c r="O234" i="42385"/>
  <c r="P234" i="42385"/>
  <c r="R234" i="42385"/>
  <c r="S234" i="42385"/>
  <c r="T234" i="42385"/>
  <c r="U234" i="42385"/>
  <c r="W234" i="42385"/>
  <c r="X234" i="42385"/>
  <c r="Y234" i="42385"/>
  <c r="Z234" i="42385"/>
  <c r="AB234" i="42385"/>
  <c r="AC234" i="42385"/>
  <c r="AD234" i="42385"/>
  <c r="AE234" i="42385"/>
  <c r="AG234" i="42385"/>
  <c r="AH234" i="42385"/>
  <c r="AI234" i="42385"/>
  <c r="AJ234" i="42385"/>
  <c r="AL234" i="42385"/>
  <c r="AM234" i="42385"/>
  <c r="CL234" i="42385"/>
  <c r="CL235" i="42385"/>
  <c r="C236" i="42385"/>
  <c r="D236" i="42385"/>
  <c r="E236" i="42385"/>
  <c r="F236" i="42385"/>
  <c r="H236" i="42385"/>
  <c r="I236" i="42385"/>
  <c r="J236" i="42385"/>
  <c r="K236" i="42385"/>
  <c r="M236" i="42385"/>
  <c r="N236" i="42385"/>
  <c r="O236" i="42385"/>
  <c r="P236" i="42385"/>
  <c r="R236" i="42385"/>
  <c r="S236" i="42385"/>
  <c r="T236" i="42385"/>
  <c r="U236" i="42385"/>
  <c r="W236" i="42385"/>
  <c r="X236" i="42385"/>
  <c r="Y236" i="42385"/>
  <c r="Z236" i="42385"/>
  <c r="AB236" i="42385"/>
  <c r="AC236" i="42385"/>
  <c r="AD236" i="42385"/>
  <c r="AE236" i="42385"/>
  <c r="AG236" i="42385"/>
  <c r="AH236" i="42385"/>
  <c r="AI236" i="42385"/>
  <c r="AJ236" i="42385"/>
  <c r="AL236" i="42385"/>
  <c r="AM236" i="42385"/>
  <c r="CL236" i="42385"/>
  <c r="C237" i="42385"/>
  <c r="D237" i="42385"/>
  <c r="E237" i="42385"/>
  <c r="F237" i="42385"/>
  <c r="H237" i="42385"/>
  <c r="I237" i="42385"/>
  <c r="J237" i="42385"/>
  <c r="K237" i="42385"/>
  <c r="M237" i="42385"/>
  <c r="N237" i="42385"/>
  <c r="O237" i="42385"/>
  <c r="P237" i="42385"/>
  <c r="R237" i="42385"/>
  <c r="S237" i="42385"/>
  <c r="T237" i="42385"/>
  <c r="U237" i="42385"/>
  <c r="W237" i="42385"/>
  <c r="X237" i="42385"/>
  <c r="Y237" i="42385"/>
  <c r="Z237" i="42385"/>
  <c r="AB237" i="42385"/>
  <c r="AC237" i="42385"/>
  <c r="AD237" i="42385"/>
  <c r="AE237" i="42385"/>
  <c r="AG237" i="42385"/>
  <c r="AH237" i="42385"/>
  <c r="AI237" i="42385"/>
  <c r="AJ237" i="42385"/>
  <c r="AL237" i="42385"/>
  <c r="AM237" i="42385"/>
  <c r="CL237" i="42385"/>
  <c r="BY238" i="42385"/>
  <c r="CL238" i="42385"/>
  <c r="CT238" i="42385"/>
  <c r="CU238" i="42385"/>
  <c r="DA238" i="42385"/>
  <c r="DB238" i="42385"/>
  <c r="DC238" i="42385"/>
  <c r="CL239" i="42385"/>
  <c r="C240" i="42385"/>
  <c r="D240" i="42385"/>
  <c r="E240" i="42385"/>
  <c r="F240" i="42385"/>
  <c r="H240" i="42385"/>
  <c r="I240" i="42385"/>
  <c r="J240" i="42385"/>
  <c r="K240" i="42385"/>
  <c r="M240" i="42385"/>
  <c r="N240" i="42385"/>
  <c r="O240" i="42385"/>
  <c r="P240" i="42385"/>
  <c r="R240" i="42385"/>
  <c r="S240" i="42385"/>
  <c r="T240" i="42385"/>
  <c r="U240" i="42385"/>
  <c r="W240" i="42385"/>
  <c r="X240" i="42385"/>
  <c r="Y240" i="42385"/>
  <c r="Z240" i="42385"/>
  <c r="AB240" i="42385"/>
  <c r="AC240" i="42385"/>
  <c r="AD240" i="42385"/>
  <c r="AE240" i="42385"/>
  <c r="AG240" i="42385"/>
  <c r="AH240" i="42385"/>
  <c r="AI240" i="42385"/>
  <c r="AJ240" i="42385"/>
  <c r="AL240" i="42385"/>
  <c r="AM240" i="42385"/>
  <c r="CL240" i="42385"/>
  <c r="G241" i="42385"/>
  <c r="CM241" i="42385" s="1"/>
  <c r="K241" i="42385"/>
  <c r="L241" i="42385" s="1"/>
  <c r="CN241" i="42385" s="1"/>
  <c r="M241" i="42385"/>
  <c r="N241" i="42385"/>
  <c r="O241" i="42385"/>
  <c r="P241" i="42385"/>
  <c r="R241" i="42385"/>
  <c r="S241" i="42385"/>
  <c r="T241" i="42385"/>
  <c r="U241" i="42385"/>
  <c r="W241" i="42385"/>
  <c r="X241" i="42385"/>
  <c r="Y241" i="42385"/>
  <c r="Z241" i="42385"/>
  <c r="AB241" i="42385"/>
  <c r="AC241" i="42385"/>
  <c r="AD241" i="42385"/>
  <c r="AE241" i="42385"/>
  <c r="AG241" i="42385"/>
  <c r="AH241" i="42385"/>
  <c r="AI241" i="42385"/>
  <c r="AJ241" i="42385"/>
  <c r="AL241" i="42385"/>
  <c r="AM241" i="42385"/>
  <c r="CL241" i="42385"/>
  <c r="G242" i="42385"/>
  <c r="CM242" i="42385" s="1"/>
  <c r="K242" i="42385"/>
  <c r="L242" i="42385" s="1"/>
  <c r="CN242" i="42385" s="1"/>
  <c r="M242" i="42385"/>
  <c r="N242" i="42385"/>
  <c r="O242" i="42385"/>
  <c r="P242" i="42385"/>
  <c r="R242" i="42385"/>
  <c r="S242" i="42385"/>
  <c r="T242" i="42385"/>
  <c r="U242" i="42385"/>
  <c r="W242" i="42385"/>
  <c r="X242" i="42385"/>
  <c r="Y242" i="42385"/>
  <c r="Z242" i="42385"/>
  <c r="AB242" i="42385"/>
  <c r="AC242" i="42385"/>
  <c r="AD242" i="42385"/>
  <c r="AE242" i="42385"/>
  <c r="AG242" i="42385"/>
  <c r="AH242" i="42385"/>
  <c r="AI242" i="42385"/>
  <c r="AJ242" i="42385"/>
  <c r="AL242" i="42385"/>
  <c r="AM242" i="42385"/>
  <c r="CL242" i="42385"/>
  <c r="G243" i="42385"/>
  <c r="CM243" i="42385" s="1"/>
  <c r="K243" i="42385"/>
  <c r="L243" i="42385" s="1"/>
  <c r="CN243" i="42385" s="1"/>
  <c r="M243" i="42385"/>
  <c r="N243" i="42385"/>
  <c r="O243" i="42385"/>
  <c r="P243" i="42385"/>
  <c r="R243" i="42385"/>
  <c r="S243" i="42385"/>
  <c r="T243" i="42385"/>
  <c r="U243" i="42385"/>
  <c r="W243" i="42385"/>
  <c r="X243" i="42385"/>
  <c r="Y243" i="42385"/>
  <c r="Z243" i="42385"/>
  <c r="AB243" i="42385"/>
  <c r="AC243" i="42385"/>
  <c r="AD243" i="42385"/>
  <c r="AE243" i="42385"/>
  <c r="AG243" i="42385"/>
  <c r="AH243" i="42385"/>
  <c r="AI243" i="42385"/>
  <c r="AJ243" i="42385"/>
  <c r="AL243" i="42385"/>
  <c r="AM243" i="42385"/>
  <c r="CL243" i="42385"/>
  <c r="G244" i="42385"/>
  <c r="CM244" i="42385" s="1"/>
  <c r="K244" i="42385"/>
  <c r="L244" i="42385" s="1"/>
  <c r="CN244" i="42385" s="1"/>
  <c r="M244" i="42385"/>
  <c r="N244" i="42385"/>
  <c r="O244" i="42385"/>
  <c r="P244" i="42385"/>
  <c r="R244" i="42385"/>
  <c r="S244" i="42385"/>
  <c r="T244" i="42385"/>
  <c r="U244" i="42385"/>
  <c r="W244" i="42385"/>
  <c r="X244" i="42385"/>
  <c r="Y244" i="42385"/>
  <c r="Z244" i="42385"/>
  <c r="AB244" i="42385"/>
  <c r="AC244" i="42385"/>
  <c r="AD244" i="42385"/>
  <c r="AE244" i="42385"/>
  <c r="AG244" i="42385"/>
  <c r="AH244" i="42385"/>
  <c r="AI244" i="42385"/>
  <c r="AJ244" i="42385"/>
  <c r="AL244" i="42385"/>
  <c r="AM244" i="42385"/>
  <c r="CL244" i="42385"/>
  <c r="G245" i="42385"/>
  <c r="CM245" i="42385" s="1"/>
  <c r="K245" i="42385"/>
  <c r="L245" i="42385" s="1"/>
  <c r="CN245" i="42385" s="1"/>
  <c r="M245" i="42385"/>
  <c r="N245" i="42385"/>
  <c r="O245" i="42385"/>
  <c r="P245" i="42385"/>
  <c r="R245" i="42385"/>
  <c r="S245" i="42385"/>
  <c r="T245" i="42385"/>
  <c r="U245" i="42385"/>
  <c r="W245" i="42385"/>
  <c r="X245" i="42385"/>
  <c r="Y245" i="42385"/>
  <c r="Z245" i="42385"/>
  <c r="AB245" i="42385"/>
  <c r="AC245" i="42385"/>
  <c r="AD245" i="42385"/>
  <c r="AE245" i="42385"/>
  <c r="AG245" i="42385"/>
  <c r="AH245" i="42385"/>
  <c r="AI245" i="42385"/>
  <c r="AJ245" i="42385"/>
  <c r="AL245" i="42385"/>
  <c r="AM245" i="42385"/>
  <c r="BD245" i="42385"/>
  <c r="BF245" i="42385"/>
  <c r="BG245" i="42385"/>
  <c r="BH245" i="42385"/>
  <c r="BI245" i="42385"/>
  <c r="BK245" i="42385"/>
  <c r="BL245" i="42385"/>
  <c r="BM245" i="42385"/>
  <c r="BN245" i="42385"/>
  <c r="BP245" i="42385"/>
  <c r="BQ245" i="42385"/>
  <c r="BR245" i="42385"/>
  <c r="BS245" i="42385"/>
  <c r="BU245" i="42385"/>
  <c r="BV245" i="42385"/>
  <c r="BW245" i="42385"/>
  <c r="BX245" i="42385"/>
  <c r="BZ245" i="42385"/>
  <c r="CA245" i="42385"/>
  <c r="CB245" i="42385"/>
  <c r="CC245" i="42385"/>
  <c r="CD245" i="42385"/>
  <c r="CE245" i="42385"/>
  <c r="CF245" i="42385"/>
  <c r="CL245" i="42385"/>
  <c r="DB245" i="42385"/>
  <c r="DC245" i="42385"/>
  <c r="CL246" i="42385"/>
  <c r="CM246" i="42385"/>
  <c r="CN246" i="42385"/>
  <c r="CO246" i="42385"/>
  <c r="CP246" i="42385"/>
  <c r="CQ246" i="42385"/>
  <c r="CR246" i="42385"/>
  <c r="CS246" i="42385"/>
  <c r="CT246" i="42385"/>
  <c r="C247" i="42385"/>
  <c r="D247" i="42385"/>
  <c r="E247" i="42385"/>
  <c r="F247" i="42385"/>
  <c r="H247" i="42385"/>
  <c r="I247" i="42385"/>
  <c r="J247" i="42385"/>
  <c r="K247" i="42385"/>
  <c r="M247" i="42385"/>
  <c r="N247" i="42385"/>
  <c r="O247" i="42385"/>
  <c r="P247" i="42385"/>
  <c r="R247" i="42385"/>
  <c r="S247" i="42385"/>
  <c r="T247" i="42385"/>
  <c r="U247" i="42385"/>
  <c r="W247" i="42385"/>
  <c r="X247" i="42385"/>
  <c r="Y247" i="42385"/>
  <c r="Z247" i="42385"/>
  <c r="AB247" i="42385"/>
  <c r="AC247" i="42385"/>
  <c r="AD247" i="42385"/>
  <c r="AE247" i="42385"/>
  <c r="AG247" i="42385"/>
  <c r="AH247" i="42385"/>
  <c r="AI247" i="42385"/>
  <c r="AJ247" i="42385"/>
  <c r="AL247" i="42385"/>
  <c r="AM247" i="42385"/>
  <c r="BA247" i="42385"/>
  <c r="BB247" i="42385"/>
  <c r="BC247" i="42385"/>
  <c r="BD247" i="42385"/>
  <c r="BF247" i="42385"/>
  <c r="BG247" i="42385"/>
  <c r="BH247" i="42385"/>
  <c r="BI247" i="42385"/>
  <c r="BK247" i="42385"/>
  <c r="BL247" i="42385"/>
  <c r="BM247" i="42385"/>
  <c r="BN247" i="42385"/>
  <c r="BP247" i="42385"/>
  <c r="BQ247" i="42385"/>
  <c r="BR247" i="42385"/>
  <c r="BS247" i="42385"/>
  <c r="BU247" i="42385"/>
  <c r="BV247" i="42385"/>
  <c r="BW247" i="42385"/>
  <c r="BX247" i="42385"/>
  <c r="BZ247" i="42385"/>
  <c r="DB247" i="42385" s="1"/>
  <c r="CA247" i="42385"/>
  <c r="DC247" i="42385" s="1"/>
  <c r="CB247" i="42385"/>
  <c r="CC247" i="42385"/>
  <c r="CD247" i="42385"/>
  <c r="CE247" i="42385"/>
  <c r="CF247" i="42385"/>
  <c r="CL247" i="42385"/>
  <c r="BI248" i="42385"/>
  <c r="BJ248" i="42385" s="1"/>
  <c r="BK248" i="42385"/>
  <c r="BL248" i="42385"/>
  <c r="BM248" i="42385"/>
  <c r="BN248" i="42385"/>
  <c r="CL248" i="42385"/>
  <c r="BY249" i="42385"/>
  <c r="CL253" i="42385"/>
  <c r="C254" i="42385"/>
  <c r="D254" i="42385"/>
  <c r="E254" i="42385"/>
  <c r="F254" i="42385"/>
  <c r="H254" i="42385"/>
  <c r="I254" i="42385"/>
  <c r="J254" i="42385"/>
  <c r="K254" i="42385"/>
  <c r="M254" i="42385"/>
  <c r="N254" i="42385"/>
  <c r="O254" i="42385"/>
  <c r="P254" i="42385"/>
  <c r="R254" i="42385"/>
  <c r="S254" i="42385"/>
  <c r="T254" i="42385"/>
  <c r="U254" i="42385"/>
  <c r="W254" i="42385"/>
  <c r="X254" i="42385"/>
  <c r="Y254" i="42385"/>
  <c r="Z254" i="42385"/>
  <c r="AB254" i="42385"/>
  <c r="AC254" i="42385"/>
  <c r="AD254" i="42385"/>
  <c r="AE254" i="42385"/>
  <c r="AG254" i="42385"/>
  <c r="AH254" i="42385"/>
  <c r="AI254" i="42385"/>
  <c r="AJ254" i="42385"/>
  <c r="AL254" i="42385"/>
  <c r="AM254" i="42385"/>
  <c r="AX254" i="42385"/>
  <c r="AY254" i="42385"/>
  <c r="BA254" i="42385"/>
  <c r="BB254" i="42385"/>
  <c r="BC254" i="42385"/>
  <c r="BD254" i="42385"/>
  <c r="BF254" i="42385"/>
  <c r="BG254" i="42385"/>
  <c r="BH254" i="42385"/>
  <c r="BI254" i="42385"/>
  <c r="BK254" i="42385"/>
  <c r="BL254" i="42385"/>
  <c r="BM254" i="42385"/>
  <c r="BN254" i="42385"/>
  <c r="BP254" i="42385"/>
  <c r="BQ254" i="42385"/>
  <c r="BR254" i="42385"/>
  <c r="BS254" i="42385"/>
  <c r="BU254" i="42385"/>
  <c r="BV254" i="42385"/>
  <c r="BW254" i="42385"/>
  <c r="BX254" i="42385"/>
  <c r="BZ254" i="42385"/>
  <c r="DB254" i="42385" s="1"/>
  <c r="CA254" i="42385"/>
  <c r="DC254" i="42385" s="1"/>
  <c r="CB254" i="42385"/>
  <c r="CC254" i="42385"/>
  <c r="CD254" i="42385"/>
  <c r="CE254" i="42385"/>
  <c r="CF254" i="42385"/>
  <c r="CL254" i="42385"/>
  <c r="BM255" i="42385"/>
  <c r="BN255" i="42385"/>
  <c r="CL256" i="42385"/>
  <c r="CL258" i="42385"/>
  <c r="CL259" i="42385"/>
  <c r="CM259" i="42385"/>
  <c r="CL260" i="42385"/>
  <c r="CT260" i="42385"/>
  <c r="CU260" i="42385"/>
  <c r="CV260" i="42385"/>
  <c r="CL263" i="42385"/>
  <c r="C265" i="42385"/>
  <c r="D265" i="42385"/>
  <c r="E265" i="42385"/>
  <c r="F265" i="42385"/>
  <c r="H265" i="42385"/>
  <c r="I265" i="42385"/>
  <c r="J265" i="42385"/>
  <c r="K265" i="42385"/>
  <c r="M265" i="42385"/>
  <c r="N265" i="42385"/>
  <c r="O265" i="42385"/>
  <c r="P265" i="42385"/>
  <c r="R265" i="42385"/>
  <c r="S265" i="42385"/>
  <c r="T265" i="42385"/>
  <c r="U265" i="42385"/>
  <c r="W265" i="42385"/>
  <c r="X265" i="42385"/>
  <c r="Y265" i="42385"/>
  <c r="Z265" i="42385"/>
  <c r="AB265" i="42385"/>
  <c r="AC265" i="42385"/>
  <c r="AD265" i="42385"/>
  <c r="AE265" i="42385"/>
  <c r="AG265" i="42385"/>
  <c r="AH265" i="42385"/>
  <c r="AI265" i="42385"/>
  <c r="AJ265" i="42385"/>
  <c r="AL265" i="42385"/>
  <c r="AM265" i="42385"/>
  <c r="CL265" i="42385"/>
  <c r="C266" i="42385"/>
  <c r="D266" i="42385"/>
  <c r="E266" i="42385"/>
  <c r="F266" i="42385"/>
  <c r="H266" i="42385"/>
  <c r="I266" i="42385"/>
  <c r="J266" i="42385"/>
  <c r="K266" i="42385"/>
  <c r="M266" i="42385"/>
  <c r="N266" i="42385"/>
  <c r="O266" i="42385"/>
  <c r="P266" i="42385"/>
  <c r="R266" i="42385"/>
  <c r="S266" i="42385"/>
  <c r="T266" i="42385"/>
  <c r="U266" i="42385"/>
  <c r="W266" i="42385"/>
  <c r="X266" i="42385"/>
  <c r="Y266" i="42385"/>
  <c r="Z266" i="42385"/>
  <c r="AB266" i="42385"/>
  <c r="AC266" i="42385"/>
  <c r="AD266" i="42385"/>
  <c r="AE266" i="42385"/>
  <c r="AG266" i="42385"/>
  <c r="AH266" i="42385"/>
  <c r="AI266" i="42385"/>
  <c r="AJ266" i="42385"/>
  <c r="AL266" i="42385"/>
  <c r="AM266" i="42385"/>
  <c r="CL266" i="42385"/>
  <c r="C267" i="42385"/>
  <c r="D267" i="42385"/>
  <c r="E267" i="42385"/>
  <c r="F267" i="42385"/>
  <c r="H267" i="42385"/>
  <c r="I267" i="42385"/>
  <c r="J267" i="42385"/>
  <c r="K267" i="42385"/>
  <c r="M267" i="42385"/>
  <c r="N267" i="42385"/>
  <c r="O267" i="42385"/>
  <c r="P267" i="42385"/>
  <c r="R267" i="42385"/>
  <c r="S267" i="42385"/>
  <c r="T267" i="42385"/>
  <c r="U267" i="42385"/>
  <c r="W267" i="42385"/>
  <c r="X267" i="42385"/>
  <c r="Y267" i="42385"/>
  <c r="Z267" i="42385"/>
  <c r="AB267" i="42385"/>
  <c r="AC267" i="42385"/>
  <c r="AD267" i="42385"/>
  <c r="AE267" i="42385"/>
  <c r="AG267" i="42385"/>
  <c r="AH267" i="42385"/>
  <c r="AI267" i="42385"/>
  <c r="AJ267" i="42385"/>
  <c r="AL267" i="42385"/>
  <c r="AM267" i="42385"/>
  <c r="CL267" i="42385"/>
  <c r="C268" i="42385"/>
  <c r="D268" i="42385"/>
  <c r="E268" i="42385"/>
  <c r="F268" i="42385"/>
  <c r="H268" i="42385"/>
  <c r="I268" i="42385"/>
  <c r="J268" i="42385"/>
  <c r="K268" i="42385"/>
  <c r="M268" i="42385"/>
  <c r="N268" i="42385"/>
  <c r="O268" i="42385"/>
  <c r="P268" i="42385"/>
  <c r="R268" i="42385"/>
  <c r="S268" i="42385"/>
  <c r="T268" i="42385"/>
  <c r="U268" i="42385"/>
  <c r="W268" i="42385"/>
  <c r="X268" i="42385"/>
  <c r="Y268" i="42385"/>
  <c r="Z268" i="42385"/>
  <c r="AB268" i="42385"/>
  <c r="AC268" i="42385"/>
  <c r="AD268" i="42385"/>
  <c r="AE268" i="42385"/>
  <c r="AG268" i="42385"/>
  <c r="AH268" i="42385"/>
  <c r="AI268" i="42385"/>
  <c r="AJ268" i="42385"/>
  <c r="AL268" i="42385"/>
  <c r="AM268" i="42385"/>
  <c r="AN268" i="42385"/>
  <c r="AO268" i="42385"/>
  <c r="AQ268" i="42385"/>
  <c r="AR268" i="42385"/>
  <c r="AS268" i="42385"/>
  <c r="CL268" i="42385"/>
  <c r="C269" i="42385"/>
  <c r="D269" i="42385"/>
  <c r="E269" i="42385"/>
  <c r="F269" i="42385"/>
  <c r="H269" i="42385"/>
  <c r="I269" i="42385"/>
  <c r="J269" i="42385"/>
  <c r="K269" i="42385"/>
  <c r="M269" i="42385"/>
  <c r="N269" i="42385"/>
  <c r="O269" i="42385"/>
  <c r="P269" i="42385"/>
  <c r="R269" i="42385"/>
  <c r="S269" i="42385"/>
  <c r="T269" i="42385"/>
  <c r="U269" i="42385"/>
  <c r="W269" i="42385"/>
  <c r="X269" i="42385"/>
  <c r="Y269" i="42385"/>
  <c r="Z269" i="42385"/>
  <c r="AB269" i="42385"/>
  <c r="AC269" i="42385"/>
  <c r="AD269" i="42385"/>
  <c r="AE269" i="42385"/>
  <c r="AG269" i="42385"/>
  <c r="AH269" i="42385"/>
  <c r="AI269" i="42385"/>
  <c r="AJ269" i="42385"/>
  <c r="AL269" i="42385"/>
  <c r="AM269" i="42385"/>
  <c r="AN269" i="42385"/>
  <c r="AO269" i="42385"/>
  <c r="AQ269" i="42385"/>
  <c r="CL269" i="42385"/>
  <c r="C270" i="42385"/>
  <c r="D270" i="42385"/>
  <c r="E270" i="42385"/>
  <c r="F270" i="42385"/>
  <c r="H270" i="42385"/>
  <c r="I270" i="42385"/>
  <c r="J270" i="42385"/>
  <c r="K270" i="42385"/>
  <c r="M270" i="42385"/>
  <c r="N270" i="42385"/>
  <c r="O270" i="42385"/>
  <c r="P270" i="42385"/>
  <c r="R270" i="42385"/>
  <c r="S270" i="42385"/>
  <c r="T270" i="42385"/>
  <c r="U270" i="42385"/>
  <c r="W270" i="42385"/>
  <c r="X270" i="42385"/>
  <c r="Y270" i="42385"/>
  <c r="Z270" i="42385"/>
  <c r="AB270" i="42385"/>
  <c r="AC270" i="42385"/>
  <c r="AD270" i="42385"/>
  <c r="AE270" i="42385"/>
  <c r="AG270" i="42385"/>
  <c r="AH270" i="42385"/>
  <c r="AI270" i="42385"/>
  <c r="AJ270" i="42385"/>
  <c r="AL270" i="42385"/>
  <c r="AM270" i="42385"/>
  <c r="CL270" i="42385"/>
  <c r="BA271" i="42385"/>
  <c r="BB271" i="42385"/>
  <c r="CL271" i="42385"/>
  <c r="BA272" i="42385"/>
  <c r="BB272" i="42385"/>
  <c r="BF273" i="42385"/>
  <c r="CL273" i="42385"/>
  <c r="C274" i="42385"/>
  <c r="D274" i="42385"/>
  <c r="E274" i="42385"/>
  <c r="F274" i="42385"/>
  <c r="H274" i="42385"/>
  <c r="I274" i="42385"/>
  <c r="J274" i="42385"/>
  <c r="K274" i="42385"/>
  <c r="M274" i="42385"/>
  <c r="N274" i="42385"/>
  <c r="O274" i="42385"/>
  <c r="P274" i="42385"/>
  <c r="R274" i="42385"/>
  <c r="S274" i="42385"/>
  <c r="T274" i="42385"/>
  <c r="U274" i="42385"/>
  <c r="W274" i="42385"/>
  <c r="X274" i="42385"/>
  <c r="Y274" i="42385"/>
  <c r="Z274" i="42385"/>
  <c r="AB274" i="42385"/>
  <c r="AC274" i="42385"/>
  <c r="AD274" i="42385"/>
  <c r="AE274" i="42385"/>
  <c r="AG274" i="42385"/>
  <c r="AH274" i="42385"/>
  <c r="AJ274" i="42385"/>
  <c r="AL274" i="42385"/>
  <c r="AM274" i="42385"/>
  <c r="BA274" i="42385"/>
  <c r="BB274" i="42385"/>
  <c r="BC274" i="42385"/>
  <c r="BD274" i="42385"/>
  <c r="BF274" i="42385"/>
  <c r="BG274" i="42385"/>
  <c r="BH274" i="42385"/>
  <c r="BI274" i="42385"/>
  <c r="BK274" i="42385"/>
  <c r="BL274" i="42385"/>
  <c r="BM274" i="42385"/>
  <c r="BN274" i="42385"/>
  <c r="BP274" i="42385"/>
  <c r="BQ274" i="42385"/>
  <c r="BR274" i="42385"/>
  <c r="BS274" i="42385"/>
  <c r="BU274" i="42385"/>
  <c r="BV274" i="42385"/>
  <c r="BW274" i="42385"/>
  <c r="BX274" i="42385"/>
  <c r="BZ274" i="42385"/>
  <c r="CA274" i="42385"/>
  <c r="CB274" i="42385"/>
  <c r="CC274" i="42385"/>
  <c r="CD274" i="42385"/>
  <c r="CE274" i="42385"/>
  <c r="CF274" i="42385"/>
  <c r="CL274" i="42385"/>
  <c r="DB274" i="42385"/>
  <c r="DC274" i="42385"/>
  <c r="BY275" i="42385"/>
  <c r="DA275" i="42385" s="1"/>
  <c r="CL275" i="42385"/>
  <c r="CM275" i="42385"/>
  <c r="CN275" i="42385"/>
  <c r="CO275" i="42385"/>
  <c r="CP275" i="42385"/>
  <c r="CQ275" i="42385"/>
  <c r="CR275" i="42385"/>
  <c r="CS275" i="42385"/>
  <c r="CT275" i="42385"/>
  <c r="CU275" i="42385"/>
  <c r="DB275" i="42385"/>
  <c r="DC275" i="42385"/>
  <c r="CL279" i="42385"/>
  <c r="C280" i="42385"/>
  <c r="D280" i="42385"/>
  <c r="E280" i="42385"/>
  <c r="F280" i="42385"/>
  <c r="H280" i="42385"/>
  <c r="I280" i="42385"/>
  <c r="J280" i="42385"/>
  <c r="K280" i="42385"/>
  <c r="M280" i="42385"/>
  <c r="N280" i="42385"/>
  <c r="O280" i="42385"/>
  <c r="P280" i="42385"/>
  <c r="R280" i="42385"/>
  <c r="S280" i="42385"/>
  <c r="T280" i="42385"/>
  <c r="U280" i="42385"/>
  <c r="W280" i="42385"/>
  <c r="X280" i="42385"/>
  <c r="Y280" i="42385"/>
  <c r="Z280" i="42385"/>
  <c r="AB280" i="42385"/>
  <c r="AC280" i="42385"/>
  <c r="AD280" i="42385"/>
  <c r="AE280" i="42385"/>
  <c r="AG280" i="42385"/>
  <c r="AH280" i="42385"/>
  <c r="AI280" i="42385"/>
  <c r="AJ280" i="42385"/>
  <c r="AL280" i="42385"/>
  <c r="AM280" i="42385"/>
  <c r="CL280" i="42385"/>
  <c r="AM281" i="42385"/>
  <c r="CL281" i="42385"/>
  <c r="CM281" i="42385"/>
  <c r="CN281" i="42385"/>
  <c r="CO281" i="42385"/>
  <c r="CP281" i="42385"/>
  <c r="CQ281" i="42385"/>
  <c r="CR281" i="42385"/>
  <c r="CS281" i="42385"/>
  <c r="BM282" i="42385"/>
  <c r="CL282" i="42385"/>
  <c r="CM282" i="42385"/>
  <c r="CN282" i="42385"/>
  <c r="CO282" i="42385"/>
  <c r="CP282" i="42385"/>
  <c r="CQ282" i="42385"/>
  <c r="CR282" i="42385"/>
  <c r="CS282" i="42385"/>
  <c r="CT282" i="42385"/>
  <c r="CU282" i="42385"/>
  <c r="CV282" i="42385"/>
  <c r="CW282" i="42385"/>
  <c r="CX282" i="42385"/>
  <c r="CL283" i="42385"/>
  <c r="C284" i="42385"/>
  <c r="D284" i="42385"/>
  <c r="E284" i="42385"/>
  <c r="F284" i="42385"/>
  <c r="H284" i="42385"/>
  <c r="I284" i="42385"/>
  <c r="J284" i="42385"/>
  <c r="K284" i="42385"/>
  <c r="M284" i="42385"/>
  <c r="N284" i="42385"/>
  <c r="O284" i="42385"/>
  <c r="P284" i="42385"/>
  <c r="R284" i="42385"/>
  <c r="S284" i="42385"/>
  <c r="T284" i="42385"/>
  <c r="U284" i="42385"/>
  <c r="W284" i="42385"/>
  <c r="X284" i="42385"/>
  <c r="Y284" i="42385"/>
  <c r="Z284" i="42385"/>
  <c r="AB284" i="42385"/>
  <c r="AC284" i="42385"/>
  <c r="AD284" i="42385"/>
  <c r="AE284" i="42385"/>
  <c r="AG284" i="42385"/>
  <c r="AH284" i="42385"/>
  <c r="AI284" i="42385"/>
  <c r="AJ284" i="42385"/>
  <c r="AL284" i="42385"/>
  <c r="AM284" i="42385"/>
  <c r="CL284" i="42385"/>
  <c r="CL285" i="42385"/>
  <c r="C286" i="42385"/>
  <c r="D286" i="42385"/>
  <c r="E286" i="42385"/>
  <c r="F286" i="42385"/>
  <c r="H286" i="42385"/>
  <c r="I286" i="42385"/>
  <c r="J286" i="42385"/>
  <c r="K286" i="42385"/>
  <c r="M286" i="42385"/>
  <c r="N286" i="42385"/>
  <c r="O286" i="42385"/>
  <c r="P286" i="42385"/>
  <c r="R286" i="42385"/>
  <c r="S286" i="42385"/>
  <c r="T286" i="42385"/>
  <c r="U286" i="42385"/>
  <c r="W286" i="42385"/>
  <c r="X286" i="42385"/>
  <c r="Y286" i="42385"/>
  <c r="Z286" i="42385"/>
  <c r="AB286" i="42385"/>
  <c r="AC286" i="42385"/>
  <c r="AD286" i="42385"/>
  <c r="AE286" i="42385"/>
  <c r="AG286" i="42385"/>
  <c r="AH286" i="42385"/>
  <c r="AI286" i="42385"/>
  <c r="AJ286" i="42385"/>
  <c r="AL286" i="42385"/>
  <c r="AM286" i="42385"/>
  <c r="CL286" i="42385"/>
  <c r="C287" i="42385"/>
  <c r="D287" i="42385"/>
  <c r="E287" i="42385"/>
  <c r="F287" i="42385"/>
  <c r="H287" i="42385"/>
  <c r="I287" i="42385"/>
  <c r="J287" i="42385"/>
  <c r="K287" i="42385"/>
  <c r="M287" i="42385"/>
  <c r="N287" i="42385"/>
  <c r="O287" i="42385"/>
  <c r="P287" i="42385"/>
  <c r="R287" i="42385"/>
  <c r="S287" i="42385"/>
  <c r="T287" i="42385"/>
  <c r="U287" i="42385"/>
  <c r="W287" i="42385"/>
  <c r="X287" i="42385"/>
  <c r="Y287" i="42385"/>
  <c r="Z287" i="42385"/>
  <c r="AB287" i="42385"/>
  <c r="AC287" i="42385"/>
  <c r="AD287" i="42385"/>
  <c r="AE287" i="42385"/>
  <c r="AG287" i="42385"/>
  <c r="AH287" i="42385"/>
  <c r="AI287" i="42385"/>
  <c r="AJ287" i="42385"/>
  <c r="AL287" i="42385"/>
  <c r="AM287" i="42385"/>
  <c r="CL287" i="42385"/>
  <c r="BY288" i="42385"/>
  <c r="DA288" i="42385" s="1"/>
  <c r="CL288" i="42385"/>
  <c r="CM288" i="42385"/>
  <c r="CN288" i="42385"/>
  <c r="CO288" i="42385"/>
  <c r="CP288" i="42385"/>
  <c r="CQ288" i="42385"/>
  <c r="CR288" i="42385"/>
  <c r="CS288" i="42385"/>
  <c r="CT288" i="42385"/>
  <c r="CU288" i="42385"/>
  <c r="DB288" i="42385"/>
  <c r="DC288" i="42385"/>
  <c r="C293" i="42385"/>
  <c r="D293" i="42385"/>
  <c r="E293" i="42385"/>
  <c r="F293" i="42385"/>
  <c r="H293" i="42385"/>
  <c r="I293" i="42385"/>
  <c r="J293" i="42385"/>
  <c r="K293" i="42385"/>
  <c r="M293" i="42385"/>
  <c r="N293" i="42385"/>
  <c r="O293" i="42385"/>
  <c r="P293" i="42385"/>
  <c r="R293" i="42385"/>
  <c r="S293" i="42385"/>
  <c r="T293" i="42385"/>
  <c r="U293" i="42385"/>
  <c r="W293" i="42385"/>
  <c r="X293" i="42385"/>
  <c r="Y293" i="42385"/>
  <c r="Z293" i="42385"/>
  <c r="AB293" i="42385"/>
  <c r="AC293" i="42385"/>
  <c r="AD293" i="42385"/>
  <c r="AE293" i="42385"/>
  <c r="AG293" i="42385"/>
  <c r="AI293" i="42385"/>
  <c r="AJ293" i="42385"/>
  <c r="AL293" i="42385"/>
  <c r="AM293" i="42385"/>
  <c r="CL293" i="42385"/>
  <c r="G294" i="42385"/>
  <c r="CM294" i="42385" s="1"/>
  <c r="K294" i="42385"/>
  <c r="L294" i="42385" s="1"/>
  <c r="CN294" i="42385" s="1"/>
  <c r="M294" i="42385"/>
  <c r="N294" i="42385"/>
  <c r="O294" i="42385"/>
  <c r="P294" i="42385"/>
  <c r="R294" i="42385"/>
  <c r="S294" i="42385"/>
  <c r="T294" i="42385"/>
  <c r="U294" i="42385"/>
  <c r="W294" i="42385"/>
  <c r="X294" i="42385"/>
  <c r="Y294" i="42385"/>
  <c r="Z294" i="42385"/>
  <c r="AB294" i="42385"/>
  <c r="AC294" i="42385"/>
  <c r="AD294" i="42385"/>
  <c r="AE294" i="42385"/>
  <c r="AG294" i="42385"/>
  <c r="AH294" i="42385"/>
  <c r="AI294" i="42385"/>
  <c r="AJ294" i="42385"/>
  <c r="AL294" i="42385"/>
  <c r="AM294" i="42385"/>
  <c r="CL294" i="42385"/>
  <c r="G295" i="42385"/>
  <c r="CM295" i="42385" s="1"/>
  <c r="K295" i="42385"/>
  <c r="L295" i="42385" s="1"/>
  <c r="CN295" i="42385" s="1"/>
  <c r="M295" i="42385"/>
  <c r="N295" i="42385"/>
  <c r="O295" i="42385"/>
  <c r="P295" i="42385"/>
  <c r="R295" i="42385"/>
  <c r="S295" i="42385"/>
  <c r="T295" i="42385"/>
  <c r="U295" i="42385"/>
  <c r="W295" i="42385"/>
  <c r="X295" i="42385"/>
  <c r="Y295" i="42385"/>
  <c r="Z295" i="42385"/>
  <c r="AB295" i="42385"/>
  <c r="AC295" i="42385"/>
  <c r="AD295" i="42385"/>
  <c r="AE295" i="42385"/>
  <c r="AG295" i="42385"/>
  <c r="AH295" i="42385"/>
  <c r="AI295" i="42385"/>
  <c r="AJ295" i="42385"/>
  <c r="AL295" i="42385"/>
  <c r="AM295" i="42385"/>
  <c r="CL295" i="42385"/>
  <c r="G296" i="42385"/>
  <c r="CM296" i="42385" s="1"/>
  <c r="K296" i="42385"/>
  <c r="L296" i="42385" s="1"/>
  <c r="CN296" i="42385" s="1"/>
  <c r="M296" i="42385"/>
  <c r="N296" i="42385"/>
  <c r="O296" i="42385"/>
  <c r="P296" i="42385"/>
  <c r="R296" i="42385"/>
  <c r="S296" i="42385"/>
  <c r="T296" i="42385"/>
  <c r="U296" i="42385"/>
  <c r="W296" i="42385"/>
  <c r="X296" i="42385"/>
  <c r="Y296" i="42385"/>
  <c r="Z296" i="42385"/>
  <c r="AB296" i="42385"/>
  <c r="AC296" i="42385"/>
  <c r="AD296" i="42385"/>
  <c r="AE296" i="42385"/>
  <c r="AG296" i="42385"/>
  <c r="AH296" i="42385"/>
  <c r="AI296" i="42385"/>
  <c r="AJ296" i="42385"/>
  <c r="AL296" i="42385"/>
  <c r="AM296" i="42385"/>
  <c r="CL296" i="42385"/>
  <c r="G297" i="42385"/>
  <c r="CM297" i="42385" s="1"/>
  <c r="K297" i="42385"/>
  <c r="L297" i="42385" s="1"/>
  <c r="CN297" i="42385" s="1"/>
  <c r="M297" i="42385"/>
  <c r="N297" i="42385"/>
  <c r="O297" i="42385"/>
  <c r="P297" i="42385"/>
  <c r="R297" i="42385"/>
  <c r="S297" i="42385"/>
  <c r="T297" i="42385"/>
  <c r="U297" i="42385"/>
  <c r="W297" i="42385"/>
  <c r="X297" i="42385"/>
  <c r="Y297" i="42385"/>
  <c r="Z297" i="42385"/>
  <c r="AB297" i="42385"/>
  <c r="AC297" i="42385"/>
  <c r="AD297" i="42385"/>
  <c r="AE297" i="42385"/>
  <c r="AG297" i="42385"/>
  <c r="AH297" i="42385"/>
  <c r="AI297" i="42385"/>
  <c r="AJ297" i="42385"/>
  <c r="AL297" i="42385"/>
  <c r="AM297" i="42385"/>
  <c r="CL297" i="42385"/>
  <c r="G298" i="42385"/>
  <c r="CM298" i="42385" s="1"/>
  <c r="K298" i="42385"/>
  <c r="L298" i="42385" s="1"/>
  <c r="CN298" i="42385" s="1"/>
  <c r="M298" i="42385"/>
  <c r="N298" i="42385"/>
  <c r="O298" i="42385"/>
  <c r="P298" i="42385"/>
  <c r="R298" i="42385"/>
  <c r="S298" i="42385"/>
  <c r="T298" i="42385"/>
  <c r="U298" i="42385"/>
  <c r="W298" i="42385"/>
  <c r="X298" i="42385"/>
  <c r="Y298" i="42385"/>
  <c r="Z298" i="42385"/>
  <c r="AB298" i="42385"/>
  <c r="AC298" i="42385"/>
  <c r="AD298" i="42385"/>
  <c r="AE298" i="42385"/>
  <c r="AG298" i="42385"/>
  <c r="AH298" i="42385"/>
  <c r="AI298" i="42385"/>
  <c r="AJ298" i="42385"/>
  <c r="AL298" i="42385"/>
  <c r="AM298" i="42385"/>
  <c r="BD298" i="42385"/>
  <c r="BF298" i="42385"/>
  <c r="BG298" i="42385"/>
  <c r="BH298" i="42385"/>
  <c r="BI298" i="42385"/>
  <c r="BK298" i="42385"/>
  <c r="BL298" i="42385"/>
  <c r="BM298" i="42385"/>
  <c r="BN298" i="42385"/>
  <c r="BP298" i="42385"/>
  <c r="C20" i="42408" s="1"/>
  <c r="H20" i="42408" s="1"/>
  <c r="BQ298" i="42385"/>
  <c r="BR298" i="42385"/>
  <c r="BS298" i="42385"/>
  <c r="BU298" i="42385"/>
  <c r="BV298" i="42385"/>
  <c r="BW298" i="42385"/>
  <c r="BX298" i="42385"/>
  <c r="BZ298" i="42385"/>
  <c r="CA298" i="42385"/>
  <c r="CB298" i="42385"/>
  <c r="CC298" i="42385"/>
  <c r="CD298" i="42385"/>
  <c r="CE298" i="42385"/>
  <c r="CF298" i="42385"/>
  <c r="CL298" i="42385"/>
  <c r="DB298" i="42385"/>
  <c r="DC298" i="42385"/>
  <c r="CL299" i="42385"/>
  <c r="CM299" i="42385"/>
  <c r="CN299" i="42385"/>
  <c r="CO299" i="42385"/>
  <c r="CP299" i="42385"/>
  <c r="CQ299" i="42385"/>
  <c r="CR299" i="42385"/>
  <c r="CS299" i="42385"/>
  <c r="CT299" i="42385"/>
  <c r="C300" i="42385"/>
  <c r="D300" i="42385"/>
  <c r="E300" i="42385"/>
  <c r="F300" i="42385"/>
  <c r="H300" i="42385"/>
  <c r="I300" i="42385"/>
  <c r="J300" i="42385"/>
  <c r="K300" i="42385"/>
  <c r="M300" i="42385"/>
  <c r="N300" i="42385"/>
  <c r="O300" i="42385"/>
  <c r="P300" i="42385"/>
  <c r="R300" i="42385"/>
  <c r="S300" i="42385"/>
  <c r="T300" i="42385"/>
  <c r="U300" i="42385"/>
  <c r="W300" i="42385"/>
  <c r="X300" i="42385"/>
  <c r="Y300" i="42385"/>
  <c r="Z300" i="42385"/>
  <c r="AB300" i="42385"/>
  <c r="AC300" i="42385"/>
  <c r="AD300" i="42385"/>
  <c r="AE300" i="42385"/>
  <c r="AG300" i="42385"/>
  <c r="AH300" i="42385"/>
  <c r="AI300" i="42385"/>
  <c r="AJ300" i="42385"/>
  <c r="AL300" i="42385"/>
  <c r="AM300" i="42385"/>
  <c r="AN300" i="42385"/>
  <c r="AO300" i="42385"/>
  <c r="CL300" i="42385"/>
  <c r="C301" i="42385"/>
  <c r="D301" i="42385"/>
  <c r="E301" i="42385"/>
  <c r="F301" i="42385"/>
  <c r="H301" i="42385"/>
  <c r="I301" i="42385"/>
  <c r="J301" i="42385"/>
  <c r="K301" i="42385"/>
  <c r="M301" i="42385"/>
  <c r="N301" i="42385"/>
  <c r="O301" i="42385"/>
  <c r="P301" i="42385"/>
  <c r="R301" i="42385"/>
  <c r="S301" i="42385"/>
  <c r="T301" i="42385"/>
  <c r="U301" i="42385"/>
  <c r="W301" i="42385"/>
  <c r="X301" i="42385"/>
  <c r="Y301" i="42385"/>
  <c r="Z301" i="42385"/>
  <c r="AB301" i="42385"/>
  <c r="AC301" i="42385"/>
  <c r="AD301" i="42385"/>
  <c r="AE301" i="42385"/>
  <c r="AG301" i="42385"/>
  <c r="AH301" i="42385"/>
  <c r="AI301" i="42385"/>
  <c r="AJ301" i="42385"/>
  <c r="AL301" i="42385"/>
  <c r="AM301" i="42385"/>
  <c r="BA301" i="42385"/>
  <c r="BB301" i="42385"/>
  <c r="BC301" i="42385"/>
  <c r="BD301" i="42385"/>
  <c r="BF301" i="42385"/>
  <c r="BG301" i="42385"/>
  <c r="BH301" i="42385"/>
  <c r="BI301" i="42385"/>
  <c r="BK301" i="42385"/>
  <c r="BL301" i="42385"/>
  <c r="BM301" i="42385"/>
  <c r="BN301" i="42385"/>
  <c r="BP301" i="42385"/>
  <c r="BQ301" i="42385"/>
  <c r="BR301" i="42385"/>
  <c r="BS301" i="42385"/>
  <c r="BU301" i="42385"/>
  <c r="BV301" i="42385"/>
  <c r="BW301" i="42385"/>
  <c r="BX301" i="42385"/>
  <c r="BZ301" i="42385"/>
  <c r="CA301" i="42385"/>
  <c r="CB301" i="42385"/>
  <c r="CC301" i="42385"/>
  <c r="CD301" i="42385"/>
  <c r="CE301" i="42385"/>
  <c r="CF301" i="42385"/>
  <c r="CL301" i="42385"/>
  <c r="DB301" i="42385"/>
  <c r="DC301" i="42385"/>
  <c r="BJ302" i="42385"/>
  <c r="BO302" i="42385"/>
  <c r="BP302" i="42385"/>
  <c r="BP248" i="42385" s="1"/>
  <c r="BQ302" i="42385"/>
  <c r="BR302" i="42385"/>
  <c r="CL302" i="42385"/>
  <c r="BY303" i="42385"/>
  <c r="C310" i="42385"/>
  <c r="D310" i="42385"/>
  <c r="E310" i="42385"/>
  <c r="F310" i="42385"/>
  <c r="H310" i="42385"/>
  <c r="I310" i="42385"/>
  <c r="J310" i="42385"/>
  <c r="K310" i="42385"/>
  <c r="M310" i="42385"/>
  <c r="N310" i="42385"/>
  <c r="O310" i="42385"/>
  <c r="P310" i="42385"/>
  <c r="R310" i="42385"/>
  <c r="S310" i="42385"/>
  <c r="T310" i="42385"/>
  <c r="U310" i="42385"/>
  <c r="W310" i="42385"/>
  <c r="X310" i="42385"/>
  <c r="Y310" i="42385"/>
  <c r="Z310" i="42385"/>
  <c r="AB310" i="42385"/>
  <c r="AC310" i="42385"/>
  <c r="AD310" i="42385"/>
  <c r="AE310" i="42385"/>
  <c r="AG310" i="42385"/>
  <c r="AH310" i="42385"/>
  <c r="AI310" i="42385"/>
  <c r="AL310" i="42385"/>
  <c r="AM310" i="42385"/>
  <c r="AX310" i="42385"/>
  <c r="AY310" i="42385"/>
  <c r="BA310" i="42385"/>
  <c r="BB310" i="42385"/>
  <c r="BC310" i="42385"/>
  <c r="BD310" i="42385"/>
  <c r="BF310" i="42385"/>
  <c r="BG310" i="42385"/>
  <c r="BH310" i="42385"/>
  <c r="BI310" i="42385"/>
  <c r="BK310" i="42385"/>
  <c r="BL310" i="42385"/>
  <c r="BM310" i="42385"/>
  <c r="BN310" i="42385"/>
  <c r="BP310" i="42385"/>
  <c r="BQ310" i="42385"/>
  <c r="BR310" i="42385"/>
  <c r="BS310" i="42385"/>
  <c r="BU310" i="42385"/>
  <c r="BV310" i="42385"/>
  <c r="BW310" i="42385"/>
  <c r="BX310" i="42385"/>
  <c r="BZ310" i="42385"/>
  <c r="CA310" i="42385"/>
  <c r="DC310" i="42385" s="1"/>
  <c r="CB310" i="42385"/>
  <c r="CC310" i="42385"/>
  <c r="CD310" i="42385"/>
  <c r="CE310" i="42385"/>
  <c r="CF310" i="42385"/>
  <c r="CL310" i="42385"/>
  <c r="BM311" i="42385"/>
  <c r="BN311" i="42385"/>
  <c r="BP311" i="42385" s="1"/>
  <c r="CL312" i="42385"/>
  <c r="CL314" i="42385"/>
  <c r="CL315" i="42385"/>
  <c r="CM315" i="42385"/>
  <c r="CL316" i="42385"/>
  <c r="D320" i="42385"/>
  <c r="E320" i="42385" s="1"/>
  <c r="F320" i="42385" s="1"/>
  <c r="CL320" i="42385"/>
  <c r="CL322" i="42385"/>
  <c r="C324" i="42385"/>
  <c r="B5" i="42443" s="1"/>
  <c r="D324" i="42385"/>
  <c r="C5" i="42443" s="1"/>
  <c r="E324" i="42385"/>
  <c r="D5" i="42443" s="1"/>
  <c r="F324" i="42385"/>
  <c r="E5" i="42443" s="1"/>
  <c r="G324" i="42385"/>
  <c r="H324" i="42385"/>
  <c r="G5" i="42443" s="1"/>
  <c r="I324" i="42385"/>
  <c r="H5" i="42443" s="1"/>
  <c r="J324" i="42385"/>
  <c r="I5" i="42443" s="1"/>
  <c r="K324" i="42385"/>
  <c r="J5" i="42443" s="1"/>
  <c r="L324" i="42385"/>
  <c r="K5" i="42443" s="1"/>
  <c r="M324" i="42385"/>
  <c r="L5" i="42443" s="1"/>
  <c r="N324" i="42385"/>
  <c r="M5" i="42443" s="1"/>
  <c r="O324" i="42385"/>
  <c r="N5" i="42443" s="1"/>
  <c r="P324" i="42385"/>
  <c r="O5" i="42443" s="1"/>
  <c r="Q324" i="42385"/>
  <c r="R324" i="42385"/>
  <c r="Q5" i="42443" s="1"/>
  <c r="S324" i="42385"/>
  <c r="R5" i="42443" s="1"/>
  <c r="T324" i="42385"/>
  <c r="S5" i="42443" s="1"/>
  <c r="U324" i="42385"/>
  <c r="T5" i="42443" s="1"/>
  <c r="V324" i="42385"/>
  <c r="W324" i="42385"/>
  <c r="V5" i="42443" s="1"/>
  <c r="X324" i="42385"/>
  <c r="W5" i="42443" s="1"/>
  <c r="Y324" i="42385"/>
  <c r="X5" i="42443" s="1"/>
  <c r="Z324" i="42385"/>
  <c r="Y5" i="42443" s="1"/>
  <c r="AA324" i="42385"/>
  <c r="AB324" i="42385"/>
  <c r="AA5" i="42443" s="1"/>
  <c r="AC324" i="42385"/>
  <c r="AB5" i="42443" s="1"/>
  <c r="AD324" i="42385"/>
  <c r="AC5" i="42443" s="1"/>
  <c r="AE324" i="42385"/>
  <c r="AD5" i="42443" s="1"/>
  <c r="AF324" i="42385"/>
  <c r="AE5" i="42443" s="1"/>
  <c r="AG324" i="42385"/>
  <c r="AF5" i="42443" s="1"/>
  <c r="AH324" i="42385"/>
  <c r="AG5" i="42443" s="1"/>
  <c r="AI324" i="42385"/>
  <c r="AH5" i="42443" s="1"/>
  <c r="AJ324" i="42385"/>
  <c r="AK324" i="42385"/>
  <c r="CS324" i="42385" s="1"/>
  <c r="AL324" i="42385"/>
  <c r="AM324" i="42385"/>
  <c r="AN324" i="42385"/>
  <c r="AO324" i="42385"/>
  <c r="AP324" i="42385"/>
  <c r="CT324" i="42385" s="1"/>
  <c r="AQ324" i="42385"/>
  <c r="AR324" i="42385"/>
  <c r="AS324" i="42385"/>
  <c r="AT324" i="42385"/>
  <c r="AU324" i="42385"/>
  <c r="CU324" i="42385" s="1"/>
  <c r="AV324" i="42385"/>
  <c r="AW324" i="42385"/>
  <c r="AX324" i="42385"/>
  <c r="AY324" i="42385"/>
  <c r="AZ324" i="42385"/>
  <c r="CV324" i="42385" s="1"/>
  <c r="BA324" i="42385"/>
  <c r="BB324" i="42385"/>
  <c r="BC324" i="42385"/>
  <c r="BD324" i="42385"/>
  <c r="BE324" i="42385"/>
  <c r="CW324" i="42385" s="1"/>
  <c r="BF324" i="42385"/>
  <c r="BG324" i="42385"/>
  <c r="BH324" i="42385"/>
  <c r="BI324" i="42385"/>
  <c r="BJ324" i="42385"/>
  <c r="CX324" i="42385" s="1"/>
  <c r="BK324" i="42385"/>
  <c r="BL324" i="42385"/>
  <c r="BM324" i="42385"/>
  <c r="BN324" i="42385"/>
  <c r="BO324" i="42385"/>
  <c r="CY324" i="42385" s="1"/>
  <c r="BP324" i="42385"/>
  <c r="BQ324" i="42385"/>
  <c r="BR324" i="42385"/>
  <c r="BS324" i="42385"/>
  <c r="BT324" i="42385"/>
  <c r="CZ324" i="42385" s="1"/>
  <c r="BU324" i="42385"/>
  <c r="BV324" i="42385"/>
  <c r="BW324" i="42385"/>
  <c r="BX324" i="42385"/>
  <c r="BY324" i="42385"/>
  <c r="DA324" i="42385" s="1"/>
  <c r="BZ324" i="42385"/>
  <c r="DB324" i="42385" s="1"/>
  <c r="CA324" i="42385"/>
  <c r="DC324" i="42385" s="1"/>
  <c r="CB324" i="42385"/>
  <c r="CC324" i="42385"/>
  <c r="CD324" i="42385"/>
  <c r="CE324" i="42385"/>
  <c r="CF324" i="42385"/>
  <c r="CL324" i="42385"/>
  <c r="CL325" i="42385"/>
  <c r="CM325" i="42385"/>
  <c r="CN325" i="42385"/>
  <c r="CO325" i="42385"/>
  <c r="CP325" i="42385"/>
  <c r="CQ325" i="42385"/>
  <c r="CR325" i="42385"/>
  <c r="CS325" i="42385"/>
  <c r="CT325" i="42385"/>
  <c r="CU325" i="42385"/>
  <c r="CV325" i="42385"/>
  <c r="CW325" i="42385"/>
  <c r="CX325" i="42385"/>
  <c r="CY325" i="42385"/>
  <c r="CZ325" i="42385"/>
  <c r="DA325" i="42385"/>
  <c r="DB325" i="42385"/>
  <c r="DC325" i="42385"/>
  <c r="C326" i="42385"/>
  <c r="CL326" i="42385"/>
  <c r="G327" i="42385"/>
  <c r="L327" i="42385"/>
  <c r="CN327" i="42385" s="1"/>
  <c r="Q327" i="42385"/>
  <c r="CO327" i="42385" s="1"/>
  <c r="V327" i="42385"/>
  <c r="CP327" i="42385" s="1"/>
  <c r="AA327" i="42385"/>
  <c r="AF327" i="42385"/>
  <c r="B36" i="42410" s="1"/>
  <c r="B35" i="42410" s="1"/>
  <c r="AK327" i="42385"/>
  <c r="CS327" i="42385" s="1"/>
  <c r="AP327" i="42385"/>
  <c r="CT327" i="42385" s="1"/>
  <c r="AU327" i="42385"/>
  <c r="CU327" i="42385" s="1"/>
  <c r="AZ327" i="42385"/>
  <c r="CV327" i="42385" s="1"/>
  <c r="BE327" i="42385"/>
  <c r="CW327" i="42385" s="1"/>
  <c r="BJ327" i="42385"/>
  <c r="CX327" i="42385" s="1"/>
  <c r="BO327" i="42385"/>
  <c r="CY327" i="42385" s="1"/>
  <c r="BT327" i="42385"/>
  <c r="CL327" i="42385"/>
  <c r="G328" i="42385"/>
  <c r="CM328" i="42385" s="1"/>
  <c r="L328" i="42385"/>
  <c r="CN328" i="42385" s="1"/>
  <c r="Q328" i="42385"/>
  <c r="CO328" i="42385" s="1"/>
  <c r="V328" i="42385"/>
  <c r="CP328" i="42385" s="1"/>
  <c r="AA328" i="42385"/>
  <c r="CQ328" i="42385" s="1"/>
  <c r="AF328" i="42385"/>
  <c r="CR328" i="42385" s="1"/>
  <c r="AK328" i="42385"/>
  <c r="CS328" i="42385" s="1"/>
  <c r="AP328" i="42385"/>
  <c r="CT328" i="42385" s="1"/>
  <c r="AU328" i="42385"/>
  <c r="CU328" i="42385" s="1"/>
  <c r="AZ328" i="42385"/>
  <c r="CV328" i="42385" s="1"/>
  <c r="BE328" i="42385"/>
  <c r="CW328" i="42385" s="1"/>
  <c r="BJ328" i="42385"/>
  <c r="CX328" i="42385" s="1"/>
  <c r="BO328" i="42385"/>
  <c r="CY328" i="42385" s="1"/>
  <c r="BT328" i="42385"/>
  <c r="CL328" i="42385"/>
  <c r="CL329" i="42385"/>
  <c r="CL330" i="42385"/>
  <c r="CL331" i="42385"/>
  <c r="CM331" i="42385"/>
  <c r="C333" i="42385"/>
  <c r="C347" i="42385" s="1"/>
  <c r="C354" i="42385" s="1"/>
  <c r="D333" i="42385"/>
  <c r="E333" i="42385"/>
  <c r="E347" i="42385" s="1"/>
  <c r="E354" i="42385" s="1"/>
  <c r="F333" i="42385"/>
  <c r="H333" i="42385"/>
  <c r="I333" i="42385"/>
  <c r="J333" i="42385"/>
  <c r="J337" i="42385" s="1"/>
  <c r="K333" i="42385"/>
  <c r="K337" i="42385" s="1"/>
  <c r="M333" i="42385"/>
  <c r="M347" i="42385" s="1"/>
  <c r="M354" i="42385" s="1"/>
  <c r="N333" i="42385"/>
  <c r="O333" i="42385"/>
  <c r="O347" i="42385" s="1"/>
  <c r="P333" i="42385"/>
  <c r="R333" i="42385"/>
  <c r="S333" i="42385"/>
  <c r="T333" i="42385"/>
  <c r="T347" i="42385" s="1"/>
  <c r="U333" i="42385"/>
  <c r="U347" i="42385" s="1"/>
  <c r="W333" i="42385"/>
  <c r="X333" i="42385"/>
  <c r="Y333" i="42385"/>
  <c r="Y347" i="42385" s="1"/>
  <c r="Z333" i="42385"/>
  <c r="Z347" i="42385" s="1"/>
  <c r="Z354" i="42385" s="1"/>
  <c r="AB333" i="42385"/>
  <c r="AB347" i="42385" s="1"/>
  <c r="AB354" i="42385" s="1"/>
  <c r="AC333" i="42385"/>
  <c r="AD333" i="42385"/>
  <c r="AD347" i="42385" s="1"/>
  <c r="AD354" i="42385" s="1"/>
  <c r="AE333" i="42385"/>
  <c r="AJ337" i="42385" s="1"/>
  <c r="AK333" i="42385"/>
  <c r="AP333" i="42385"/>
  <c r="IK714" i="42417" s="1"/>
  <c r="IK720" i="42417" s="1"/>
  <c r="IK724" i="42417" s="1"/>
  <c r="IK730" i="42417" s="1"/>
  <c r="AU333" i="42385"/>
  <c r="CU333" i="42385" s="1"/>
  <c r="AZ333" i="42385"/>
  <c r="CV333" i="42385" s="1"/>
  <c r="BE333" i="42385"/>
  <c r="CW333" i="42385" s="1"/>
  <c r="BJ333" i="42385"/>
  <c r="CX333" i="42385" s="1"/>
  <c r="BO333" i="42385"/>
  <c r="CY333" i="42385" s="1"/>
  <c r="BV333" i="42385"/>
  <c r="BW333" i="42385"/>
  <c r="CL333" i="42385"/>
  <c r="CS333" i="42385"/>
  <c r="AK334" i="42385"/>
  <c r="AP334" i="42385"/>
  <c r="CT334" i="42385" s="1"/>
  <c r="AU334" i="42385"/>
  <c r="CU334" i="42385" s="1"/>
  <c r="AZ334" i="42385"/>
  <c r="BE334" i="42385"/>
  <c r="BJ334" i="42385"/>
  <c r="BO334" i="42385"/>
  <c r="CY334" i="42385" s="1"/>
  <c r="BU336" i="42385"/>
  <c r="BU339" i="42385" s="1"/>
  <c r="BU340" i="42385" s="1"/>
  <c r="BV334" i="42385"/>
  <c r="BW334" i="42385"/>
  <c r="CL334" i="42385"/>
  <c r="CM335" i="42385"/>
  <c r="CN335" i="42385"/>
  <c r="CO335" i="42385"/>
  <c r="CP335" i="42385"/>
  <c r="CQ335" i="42385"/>
  <c r="CR335" i="42385"/>
  <c r="CS335" i="42385"/>
  <c r="CT335" i="42385"/>
  <c r="CU335" i="42385"/>
  <c r="CV335" i="42385"/>
  <c r="CW335" i="42385"/>
  <c r="CX335" i="42385"/>
  <c r="CY335" i="42385"/>
  <c r="CZ335" i="42385"/>
  <c r="DA335" i="42385"/>
  <c r="DB335" i="42385"/>
  <c r="DC335" i="42385"/>
  <c r="G336" i="42385"/>
  <c r="L336" i="42385"/>
  <c r="CN336" i="42385" s="1"/>
  <c r="Q336" i="42385"/>
  <c r="V336" i="42385"/>
  <c r="CP336" i="42385" s="1"/>
  <c r="AA336" i="42385"/>
  <c r="CQ336" i="42385" s="1"/>
  <c r="AF336" i="42385"/>
  <c r="AG336" i="42385"/>
  <c r="AH336" i="42385"/>
  <c r="AH339" i="42385" s="1"/>
  <c r="AI336" i="42385"/>
  <c r="AI340" i="42385" s="1"/>
  <c r="AN340" i="42385" s="1"/>
  <c r="AJ336" i="42385"/>
  <c r="AJ340" i="42385" s="1"/>
  <c r="AL336" i="42385"/>
  <c r="AM336" i="42385"/>
  <c r="AM340" i="42385" s="1"/>
  <c r="AR340" i="42385" s="1"/>
  <c r="AN336" i="42385"/>
  <c r="AO336" i="42385"/>
  <c r="AO341" i="42385" s="1"/>
  <c r="AQ336" i="42385"/>
  <c r="AR336" i="42385"/>
  <c r="AS336" i="42385"/>
  <c r="AT336" i="42385"/>
  <c r="AV336" i="42385"/>
  <c r="AW336" i="42385"/>
  <c r="AX336" i="42385"/>
  <c r="AY336" i="42385"/>
  <c r="BA336" i="42385"/>
  <c r="BB336" i="42385"/>
  <c r="BC336" i="42385"/>
  <c r="BD336" i="42385"/>
  <c r="BD341" i="42385" s="1"/>
  <c r="BF336" i="42385"/>
  <c r="BG336" i="42385"/>
  <c r="BH336" i="42385"/>
  <c r="BH339" i="42385" s="1"/>
  <c r="BI336" i="42385"/>
  <c r="BI341" i="42385" s="1"/>
  <c r="BK336" i="42385"/>
  <c r="BL336" i="42385"/>
  <c r="BL341" i="42385" s="1"/>
  <c r="BM336" i="42385"/>
  <c r="BM341" i="42385" s="1"/>
  <c r="BN336" i="42385"/>
  <c r="BN341" i="42385" s="1"/>
  <c r="BP336" i="42385"/>
  <c r="BP339" i="42385" s="1"/>
  <c r="BQ336" i="42385"/>
  <c r="BR336" i="42385"/>
  <c r="CL336" i="42385"/>
  <c r="AL337" i="42385"/>
  <c r="AM337" i="42385"/>
  <c r="AN337" i="42385"/>
  <c r="AO337" i="42385"/>
  <c r="AQ337" i="42385"/>
  <c r="AR337" i="42385"/>
  <c r="AS337" i="42385"/>
  <c r="AT337" i="42385"/>
  <c r="AV337" i="42385"/>
  <c r="AW337" i="42385"/>
  <c r="AX337" i="42385"/>
  <c r="AY337" i="42385"/>
  <c r="BA337" i="42385"/>
  <c r="BB337" i="42385"/>
  <c r="BC337" i="42385"/>
  <c r="BD337" i="42385"/>
  <c r="BF337" i="42385"/>
  <c r="BG337" i="42385"/>
  <c r="BH337" i="42385"/>
  <c r="BI337" i="42385"/>
  <c r="BK337" i="42385"/>
  <c r="BL337" i="42385"/>
  <c r="BM337" i="42385"/>
  <c r="BN337" i="42385"/>
  <c r="BP337" i="42385"/>
  <c r="BQ337" i="42385"/>
  <c r="BR337" i="42385"/>
  <c r="AN338" i="42385"/>
  <c r="AO338" i="42385"/>
  <c r="AQ338" i="42385"/>
  <c r="AR338" i="42385"/>
  <c r="AS338" i="42385"/>
  <c r="AT338" i="42385"/>
  <c r="AV338" i="42385"/>
  <c r="AW338" i="42385"/>
  <c r="AX338" i="42385"/>
  <c r="AY338" i="42385"/>
  <c r="BA338" i="42385"/>
  <c r="BB338" i="42385"/>
  <c r="BC338" i="42385"/>
  <c r="BD338" i="42385"/>
  <c r="BF338" i="42385"/>
  <c r="BG338" i="42385"/>
  <c r="BH338" i="42385"/>
  <c r="BI338" i="42385"/>
  <c r="BK338" i="42385"/>
  <c r="BL338" i="42385"/>
  <c r="BM338" i="42385"/>
  <c r="BN338" i="42385"/>
  <c r="BP338" i="42385"/>
  <c r="BQ338" i="42385"/>
  <c r="BR338" i="42385"/>
  <c r="H339" i="42385"/>
  <c r="I339" i="42385"/>
  <c r="J339" i="42385"/>
  <c r="K339" i="42385"/>
  <c r="M339" i="42385"/>
  <c r="N339" i="42385"/>
  <c r="O339" i="42385"/>
  <c r="P339" i="42385"/>
  <c r="R339" i="42385"/>
  <c r="S339" i="42385"/>
  <c r="T339" i="42385"/>
  <c r="U339" i="42385"/>
  <c r="W339" i="42385"/>
  <c r="X339" i="42385"/>
  <c r="Y339" i="42385"/>
  <c r="Z339" i="42385"/>
  <c r="AB339" i="42385"/>
  <c r="AC339" i="42385"/>
  <c r="AD339" i="42385"/>
  <c r="AE339" i="42385"/>
  <c r="BD339" i="42385"/>
  <c r="BL339" i="42385"/>
  <c r="CL339" i="42385"/>
  <c r="CM339" i="42385"/>
  <c r="C340" i="42385"/>
  <c r="D340" i="42385"/>
  <c r="E340" i="42385"/>
  <c r="F340" i="42385"/>
  <c r="H340" i="42385"/>
  <c r="I340" i="42385"/>
  <c r="J340" i="42385"/>
  <c r="K340" i="42385"/>
  <c r="M340" i="42385"/>
  <c r="N340" i="42385"/>
  <c r="O340" i="42385"/>
  <c r="P340" i="42385"/>
  <c r="R340" i="42385"/>
  <c r="S340" i="42385"/>
  <c r="T340" i="42385"/>
  <c r="U340" i="42385"/>
  <c r="W340" i="42385"/>
  <c r="X340" i="42385"/>
  <c r="Y340" i="42385"/>
  <c r="Z340" i="42385"/>
  <c r="AB340" i="42385"/>
  <c r="AC340" i="42385"/>
  <c r="AD340" i="42385"/>
  <c r="AE340" i="42385"/>
  <c r="AT340" i="42385"/>
  <c r="BJ340" i="42385"/>
  <c r="CX340" i="42385" s="1"/>
  <c r="BO340" i="42385"/>
  <c r="CY340" i="42385" s="1"/>
  <c r="BP340" i="42385"/>
  <c r="BQ340" i="42385"/>
  <c r="CL340" i="42385"/>
  <c r="G341" i="42385"/>
  <c r="L341" i="42385"/>
  <c r="Q341" i="42385"/>
  <c r="V341" i="42385"/>
  <c r="DG334" i="42464" s="1"/>
  <c r="AA341" i="42385"/>
  <c r="AF341" i="42385"/>
  <c r="CR341" i="42385" s="1"/>
  <c r="AK341" i="42385"/>
  <c r="CS341" i="42385" s="1"/>
  <c r="BG341" i="42385"/>
  <c r="BG218" i="42385" s="1"/>
  <c r="CL341" i="42385"/>
  <c r="H342" i="42385"/>
  <c r="I342" i="42385"/>
  <c r="J342" i="42385"/>
  <c r="K342" i="42385"/>
  <c r="M342" i="42385"/>
  <c r="N342" i="42385"/>
  <c r="O342" i="42385"/>
  <c r="P342" i="42385"/>
  <c r="R342" i="42385"/>
  <c r="S342" i="42385"/>
  <c r="T342" i="42385"/>
  <c r="U342" i="42385"/>
  <c r="W342" i="42385"/>
  <c r="X342" i="42385"/>
  <c r="Y342" i="42385"/>
  <c r="Z342" i="42385"/>
  <c r="AB342" i="42385"/>
  <c r="AC342" i="42385"/>
  <c r="AD342" i="42385"/>
  <c r="AE342" i="42385"/>
  <c r="AG342" i="42385"/>
  <c r="AH342" i="42385"/>
  <c r="AI342" i="42385"/>
  <c r="AJ342" i="42385"/>
  <c r="AL342" i="42385"/>
  <c r="AM342" i="42385"/>
  <c r="CL342" i="42385"/>
  <c r="CM342" i="42385"/>
  <c r="CL344" i="42385"/>
  <c r="CL345" i="42385"/>
  <c r="CL346" i="42385"/>
  <c r="CM346" i="42385"/>
  <c r="DB346" i="42385"/>
  <c r="DC346" i="42385"/>
  <c r="F347" i="42385"/>
  <c r="F354" i="42385" s="1"/>
  <c r="K347" i="42385"/>
  <c r="CL347" i="42385"/>
  <c r="G348" i="42385"/>
  <c r="CM348" i="42385" s="1"/>
  <c r="L348" i="42385"/>
  <c r="CN348" i="42385" s="1"/>
  <c r="Q348" i="42385"/>
  <c r="CO348" i="42385" s="1"/>
  <c r="V348" i="42385"/>
  <c r="CP348" i="42385" s="1"/>
  <c r="AA348" i="42385"/>
  <c r="CQ348" i="42385" s="1"/>
  <c r="AF348" i="42385"/>
  <c r="CR348" i="42385" s="1"/>
  <c r="AG348" i="42385"/>
  <c r="CL348" i="42385"/>
  <c r="BL349" i="42385"/>
  <c r="BM349" i="42385" s="1"/>
  <c r="BN349" i="42385" s="1"/>
  <c r="BP349" i="42385"/>
  <c r="BQ349" i="42385" s="1"/>
  <c r="BR349" i="42385" s="1"/>
  <c r="BS349" i="42385" s="1"/>
  <c r="BU349" i="42385"/>
  <c r="BV349" i="42385" s="1"/>
  <c r="BW349" i="42385" s="1"/>
  <c r="BX349" i="42385" s="1"/>
  <c r="CL349" i="42385"/>
  <c r="CS349" i="42385"/>
  <c r="CT349" i="42385"/>
  <c r="CU349" i="42385"/>
  <c r="CV349" i="42385"/>
  <c r="CW349" i="42385"/>
  <c r="CX349" i="42385"/>
  <c r="CY349" i="42385"/>
  <c r="CZ349" i="42385"/>
  <c r="DA349" i="42385"/>
  <c r="DB349" i="42385"/>
  <c r="DC349" i="42385"/>
  <c r="C350" i="42385"/>
  <c r="D350" i="42385"/>
  <c r="E350" i="42385"/>
  <c r="F350" i="42385"/>
  <c r="H350" i="42385"/>
  <c r="I350" i="42385"/>
  <c r="J350" i="42385"/>
  <c r="K350" i="42385"/>
  <c r="M350" i="42385"/>
  <c r="N350" i="42385"/>
  <c r="O350" i="42385"/>
  <c r="P350" i="42385"/>
  <c r="R350" i="42385"/>
  <c r="S350" i="42385"/>
  <c r="T350" i="42385"/>
  <c r="U350" i="42385"/>
  <c r="W350" i="42385"/>
  <c r="X350" i="42385"/>
  <c r="Y350" i="42385"/>
  <c r="Z350" i="42385"/>
  <c r="AB350" i="42385"/>
  <c r="AC350" i="42385"/>
  <c r="AD350" i="42385"/>
  <c r="AE350" i="42385"/>
  <c r="AG350" i="42385"/>
  <c r="AH350" i="42385"/>
  <c r="AI350" i="42385"/>
  <c r="AJ350" i="42385"/>
  <c r="AL350" i="42385"/>
  <c r="AM350" i="42385"/>
  <c r="CL350" i="42385"/>
  <c r="G352" i="42385"/>
  <c r="CM352" i="42385" s="1"/>
  <c r="L352" i="42385"/>
  <c r="CN352" i="42385" s="1"/>
  <c r="Q352" i="42385"/>
  <c r="V352" i="42385"/>
  <c r="CP352" i="42385" s="1"/>
  <c r="AA352" i="42385"/>
  <c r="AF352" i="42385"/>
  <c r="CR352" i="42385" s="1"/>
  <c r="AK352" i="42385"/>
  <c r="CL352" i="42385"/>
  <c r="C353" i="42385"/>
  <c r="D353" i="42385"/>
  <c r="E353" i="42385"/>
  <c r="F353" i="42385"/>
  <c r="H353" i="42385"/>
  <c r="I353" i="42385"/>
  <c r="J353" i="42385"/>
  <c r="K353" i="42385"/>
  <c r="M353" i="42385"/>
  <c r="N353" i="42385"/>
  <c r="O353" i="42385"/>
  <c r="P353" i="42385"/>
  <c r="R353" i="42385"/>
  <c r="S353" i="42385"/>
  <c r="T353" i="42385"/>
  <c r="U353" i="42385"/>
  <c r="W353" i="42385"/>
  <c r="X353" i="42385"/>
  <c r="Y353" i="42385"/>
  <c r="Z353" i="42385"/>
  <c r="AB353" i="42385"/>
  <c r="AC353" i="42385"/>
  <c r="AD353" i="42385"/>
  <c r="AE353" i="42385"/>
  <c r="AG353" i="42385"/>
  <c r="AH353" i="42385"/>
  <c r="AI353" i="42385"/>
  <c r="AJ353" i="42385"/>
  <c r="AL353" i="42385"/>
  <c r="AM353" i="42385"/>
  <c r="CL353" i="42385"/>
  <c r="CL354" i="42385"/>
  <c r="H355" i="42385"/>
  <c r="I355" i="42385"/>
  <c r="J355" i="42385"/>
  <c r="K355" i="42385"/>
  <c r="M355" i="42385"/>
  <c r="N355" i="42385"/>
  <c r="O355" i="42385"/>
  <c r="P355" i="42385"/>
  <c r="R355" i="42385"/>
  <c r="S355" i="42385"/>
  <c r="T355" i="42385"/>
  <c r="U355" i="42385"/>
  <c r="W355" i="42385"/>
  <c r="X355" i="42385"/>
  <c r="Y355" i="42385"/>
  <c r="Z355" i="42385"/>
  <c r="AB355" i="42385"/>
  <c r="AC355" i="42385"/>
  <c r="AD355" i="42385"/>
  <c r="AE355" i="42385"/>
  <c r="AG355" i="42385"/>
  <c r="AH355" i="42385"/>
  <c r="AI355" i="42385"/>
  <c r="AJ355" i="42385"/>
  <c r="AL355" i="42385"/>
  <c r="AM355" i="42385"/>
  <c r="CL355" i="42385"/>
  <c r="CM355" i="42385"/>
  <c r="G356" i="42385"/>
  <c r="L356" i="42385"/>
  <c r="Q356" i="42385"/>
  <c r="CO356" i="42385" s="1"/>
  <c r="V356" i="42385"/>
  <c r="CP356" i="42385" s="1"/>
  <c r="AA356" i="42385"/>
  <c r="CQ356" i="42385" s="1"/>
  <c r="AF356" i="42385"/>
  <c r="AK356" i="42385"/>
  <c r="AN356" i="42385"/>
  <c r="CL356" i="42385"/>
  <c r="C357" i="42385"/>
  <c r="D357" i="42385"/>
  <c r="E357" i="42385"/>
  <c r="F357" i="42385"/>
  <c r="H357" i="42385"/>
  <c r="I357" i="42385"/>
  <c r="J357" i="42385"/>
  <c r="K357" i="42385"/>
  <c r="M357" i="42385"/>
  <c r="N357" i="42385"/>
  <c r="O357" i="42385"/>
  <c r="P357" i="42385"/>
  <c r="R357" i="42385"/>
  <c r="S357" i="42385"/>
  <c r="T357" i="42385"/>
  <c r="U357" i="42385"/>
  <c r="W357" i="42385"/>
  <c r="X357" i="42385"/>
  <c r="Y357" i="42385"/>
  <c r="Z357" i="42385"/>
  <c r="AB357" i="42385"/>
  <c r="AC357" i="42385"/>
  <c r="AD357" i="42385"/>
  <c r="AE357" i="42385"/>
  <c r="AG357" i="42385"/>
  <c r="AH357" i="42385"/>
  <c r="AI357" i="42385"/>
  <c r="AJ357" i="42385"/>
  <c r="AL357" i="42385"/>
  <c r="AM357" i="42385"/>
  <c r="CL357" i="42385"/>
  <c r="CL359" i="42385"/>
  <c r="CM359" i="42385"/>
  <c r="CN359" i="42385"/>
  <c r="CO359" i="42385"/>
  <c r="CP359" i="42385"/>
  <c r="CQ359" i="42385"/>
  <c r="CR359" i="42385"/>
  <c r="CS359" i="42385"/>
  <c r="CT359" i="42385"/>
  <c r="CU359" i="42385"/>
  <c r="CV359" i="42385"/>
  <c r="CW359" i="42385"/>
  <c r="CX359" i="42385"/>
  <c r="CY359" i="42385"/>
  <c r="CZ359" i="42385"/>
  <c r="DA359" i="42385"/>
  <c r="DB359" i="42385"/>
  <c r="DC359" i="42385"/>
  <c r="CL360" i="42385"/>
  <c r="AF361" i="42385"/>
  <c r="CR361" i="42385" s="1"/>
  <c r="AG361" i="42385"/>
  <c r="AH361" i="42385" s="1"/>
  <c r="AU361" i="42385"/>
  <c r="CU361" i="42385" s="1"/>
  <c r="AZ361" i="42385"/>
  <c r="CV361" i="42385" s="1"/>
  <c r="BE361" i="42385"/>
  <c r="CW361" i="42385" s="1"/>
  <c r="BJ361" i="42385"/>
  <c r="CX361" i="42385" s="1"/>
  <c r="BO361" i="42385"/>
  <c r="CY361" i="42385" s="1"/>
  <c r="BT361" i="42385"/>
  <c r="CZ361" i="42385" s="1"/>
  <c r="CL361" i="42385"/>
  <c r="CN361" i="42385"/>
  <c r="CO361" i="42385"/>
  <c r="CP361" i="42385"/>
  <c r="CQ361" i="42385"/>
  <c r="AF362" i="42385"/>
  <c r="CR362" i="42385" s="1"/>
  <c r="AK362" i="42385"/>
  <c r="CS362" i="42385" s="1"/>
  <c r="AP362" i="42385"/>
  <c r="CT362" i="42385" s="1"/>
  <c r="AU362" i="42385"/>
  <c r="CU362" i="42385" s="1"/>
  <c r="AZ362" i="42385"/>
  <c r="CV362" i="42385" s="1"/>
  <c r="BE362" i="42385"/>
  <c r="CW362" i="42385" s="1"/>
  <c r="BJ362" i="42385"/>
  <c r="CX362" i="42385" s="1"/>
  <c r="BO362" i="42385"/>
  <c r="CY362" i="42385" s="1"/>
  <c r="BT362" i="42385"/>
  <c r="CL362" i="42385"/>
  <c r="CN362" i="42385"/>
  <c r="CO362" i="42385"/>
  <c r="CP362" i="42385"/>
  <c r="CQ362" i="42385"/>
  <c r="CL363" i="42385"/>
  <c r="CL364" i="42385"/>
  <c r="CL365" i="42385"/>
  <c r="CN365" i="42385"/>
  <c r="G367" i="42385"/>
  <c r="CM367" i="42385" s="1"/>
  <c r="L367" i="42385"/>
  <c r="CN367" i="42385" s="1"/>
  <c r="Q367" i="42385"/>
  <c r="V367" i="42385"/>
  <c r="CP367" i="42385" s="1"/>
  <c r="AA367" i="42385"/>
  <c r="CQ367" i="42385" s="1"/>
  <c r="AF367" i="42385"/>
  <c r="CR367" i="42385" s="1"/>
  <c r="AK367" i="42385"/>
  <c r="AP367" i="42385"/>
  <c r="AU367" i="42385"/>
  <c r="CU367" i="42385" s="1"/>
  <c r="AZ367" i="42385"/>
  <c r="BE367" i="42385"/>
  <c r="BJ367" i="42385"/>
  <c r="BO367" i="42385"/>
  <c r="BT367" i="42385"/>
  <c r="CZ367" i="42385" s="1"/>
  <c r="BV367" i="42385"/>
  <c r="BW367" i="42385"/>
  <c r="CL367" i="42385"/>
  <c r="P368" i="42385"/>
  <c r="R368" i="42385"/>
  <c r="S368" i="42385"/>
  <c r="T368" i="42385"/>
  <c r="U368" i="42385"/>
  <c r="W368" i="42385"/>
  <c r="X368" i="42385"/>
  <c r="Y368" i="42385"/>
  <c r="Z368" i="42385"/>
  <c r="AB368" i="42385"/>
  <c r="AC368" i="42385"/>
  <c r="AD368" i="42385"/>
  <c r="AE368" i="42385"/>
  <c r="AG368" i="42385"/>
  <c r="AH368" i="42385"/>
  <c r="AI368" i="42385"/>
  <c r="AJ368" i="42385"/>
  <c r="AL368" i="42385"/>
  <c r="AM368" i="42385"/>
  <c r="AN368" i="42385"/>
  <c r="AO368" i="42385"/>
  <c r="AQ368" i="42385"/>
  <c r="AR368" i="42385"/>
  <c r="AS368" i="42385"/>
  <c r="AT368" i="42385"/>
  <c r="AV368" i="42385"/>
  <c r="AW368" i="42385"/>
  <c r="AX368" i="42385"/>
  <c r="AY368" i="42385"/>
  <c r="BA368" i="42385"/>
  <c r="BB368" i="42385"/>
  <c r="BC368" i="42385"/>
  <c r="BD368" i="42385"/>
  <c r="BF368" i="42385"/>
  <c r="BG368" i="42385"/>
  <c r="BH368" i="42385"/>
  <c r="BI368" i="42385"/>
  <c r="BK368" i="42385"/>
  <c r="BL368" i="42385"/>
  <c r="BM368" i="42385"/>
  <c r="BN368" i="42385"/>
  <c r="BP368" i="42385"/>
  <c r="BQ368" i="42385"/>
  <c r="CL368" i="42385"/>
  <c r="CM368" i="42385"/>
  <c r="CN368" i="42385"/>
  <c r="DB368" i="42385"/>
  <c r="DC368" i="42385"/>
  <c r="E369" i="42385"/>
  <c r="F369" i="42385"/>
  <c r="H369" i="42385"/>
  <c r="I369" i="42385"/>
  <c r="J369" i="42385"/>
  <c r="K369" i="42385"/>
  <c r="M369" i="42385"/>
  <c r="N369" i="42385"/>
  <c r="O369" i="42385"/>
  <c r="P369" i="42385"/>
  <c r="R369" i="42385"/>
  <c r="S369" i="42385"/>
  <c r="T369" i="42385"/>
  <c r="U369" i="42385"/>
  <c r="W369" i="42385"/>
  <c r="X369" i="42385"/>
  <c r="Y369" i="42385"/>
  <c r="Z369" i="42385"/>
  <c r="AB369" i="42385"/>
  <c r="AC369" i="42385"/>
  <c r="AD369" i="42385"/>
  <c r="AE369" i="42385"/>
  <c r="AG369" i="42385"/>
  <c r="AH369" i="42385"/>
  <c r="AI369" i="42385"/>
  <c r="AN369" i="42385" s="1"/>
  <c r="AJ369" i="42385"/>
  <c r="AO369" i="42385" s="1"/>
  <c r="AL369" i="42385"/>
  <c r="AQ369" i="42385" s="1"/>
  <c r="AM369" i="42385"/>
  <c r="BW369" i="42385"/>
  <c r="CL369" i="42385"/>
  <c r="G370" i="42385"/>
  <c r="CM370" i="42385" s="1"/>
  <c r="L370" i="42385"/>
  <c r="Q370" i="42385"/>
  <c r="V370" i="42385"/>
  <c r="AA370" i="42385"/>
  <c r="AF370" i="42385"/>
  <c r="AK370" i="42385"/>
  <c r="CS370" i="42385" s="1"/>
  <c r="BR370" i="42385"/>
  <c r="BR219" i="42385" s="1"/>
  <c r="CL370" i="42385"/>
  <c r="P371" i="42385"/>
  <c r="R371" i="42385"/>
  <c r="S371" i="42385"/>
  <c r="T371" i="42385"/>
  <c r="U371" i="42385"/>
  <c r="W371" i="42385"/>
  <c r="X371" i="42385"/>
  <c r="Y371" i="42385"/>
  <c r="Z371" i="42385"/>
  <c r="AB371" i="42385"/>
  <c r="AC371" i="42385"/>
  <c r="AD371" i="42385"/>
  <c r="AE371" i="42385"/>
  <c r="AG371" i="42385"/>
  <c r="AH371" i="42385"/>
  <c r="AI371" i="42385"/>
  <c r="AJ371" i="42385"/>
  <c r="AL371" i="42385"/>
  <c r="AM371" i="42385"/>
  <c r="CL371" i="42385"/>
  <c r="CM371" i="42385"/>
  <c r="CN371" i="42385"/>
  <c r="CL373" i="42385"/>
  <c r="CL374" i="42385"/>
  <c r="CM374" i="42385"/>
  <c r="CN374" i="42385"/>
  <c r="AR375" i="42385"/>
  <c r="CL375" i="42385"/>
  <c r="CM375" i="42385"/>
  <c r="CN375" i="42385"/>
  <c r="DB375" i="42385"/>
  <c r="DC375" i="42385"/>
  <c r="E376" i="42385"/>
  <c r="F376" i="42385"/>
  <c r="G376" i="42385"/>
  <c r="CM376" i="42385" s="1"/>
  <c r="H376" i="42385"/>
  <c r="I376" i="42385"/>
  <c r="J376" i="42385"/>
  <c r="K376" i="42385"/>
  <c r="Y376" i="42385"/>
  <c r="CL376" i="42385"/>
  <c r="M377" i="42385"/>
  <c r="N377" i="42385" s="1"/>
  <c r="Z377" i="42385"/>
  <c r="Z376" i="42385" s="1"/>
  <c r="CL377" i="42385"/>
  <c r="E378" i="42385"/>
  <c r="F378" i="42385"/>
  <c r="H378" i="42385"/>
  <c r="I378" i="42385"/>
  <c r="J378" i="42385"/>
  <c r="K378" i="42385"/>
  <c r="M378" i="42385"/>
  <c r="N378" i="42385"/>
  <c r="O378" i="42385"/>
  <c r="P378" i="42385"/>
  <c r="R378" i="42385"/>
  <c r="S378" i="42385"/>
  <c r="T378" i="42385"/>
  <c r="U378" i="42385"/>
  <c r="W378" i="42385"/>
  <c r="X378" i="42385"/>
  <c r="Y378" i="42385"/>
  <c r="Z378" i="42385"/>
  <c r="AB378" i="42385"/>
  <c r="AC378" i="42385"/>
  <c r="AD378" i="42385"/>
  <c r="AE378" i="42385"/>
  <c r="AG378" i="42385"/>
  <c r="AH378" i="42385"/>
  <c r="AI378" i="42385"/>
  <c r="AJ378" i="42385"/>
  <c r="AL378" i="42385"/>
  <c r="AM378" i="42385"/>
  <c r="CL378" i="42385"/>
  <c r="G380" i="42385"/>
  <c r="CM380" i="42385" s="1"/>
  <c r="L380" i="42385"/>
  <c r="CN380" i="42385" s="1"/>
  <c r="Q380" i="42385"/>
  <c r="CO380" i="42385" s="1"/>
  <c r="V380" i="42385"/>
  <c r="AA380" i="42385"/>
  <c r="AF380" i="42385"/>
  <c r="AK380" i="42385"/>
  <c r="CS380" i="42385" s="1"/>
  <c r="CL380" i="42385"/>
  <c r="M381" i="42385"/>
  <c r="N381" i="42385"/>
  <c r="O381" i="42385"/>
  <c r="P381" i="42385"/>
  <c r="R381" i="42385"/>
  <c r="S381" i="42385"/>
  <c r="T381" i="42385"/>
  <c r="U381" i="42385"/>
  <c r="W381" i="42385"/>
  <c r="X381" i="42385"/>
  <c r="Y381" i="42385"/>
  <c r="Z381" i="42385"/>
  <c r="AB381" i="42385"/>
  <c r="AC381" i="42385"/>
  <c r="AD381" i="42385"/>
  <c r="AE381" i="42385"/>
  <c r="AG381" i="42385"/>
  <c r="AH381" i="42385"/>
  <c r="AI381" i="42385"/>
  <c r="AJ381" i="42385"/>
  <c r="AL381" i="42385"/>
  <c r="AM381" i="42385"/>
  <c r="CL381" i="42385"/>
  <c r="CM381" i="42385"/>
  <c r="CN381" i="42385"/>
  <c r="CL382" i="42385"/>
  <c r="R383" i="42385"/>
  <c r="S383" i="42385"/>
  <c r="T383" i="42385"/>
  <c r="U383" i="42385"/>
  <c r="W383" i="42385"/>
  <c r="X383" i="42385"/>
  <c r="Y383" i="42385"/>
  <c r="Z383" i="42385"/>
  <c r="AB383" i="42385"/>
  <c r="AC383" i="42385"/>
  <c r="AD383" i="42385"/>
  <c r="AE383" i="42385"/>
  <c r="AG383" i="42385"/>
  <c r="AH383" i="42385"/>
  <c r="AI383" i="42385"/>
  <c r="AJ383" i="42385"/>
  <c r="AL383" i="42385"/>
  <c r="AM383" i="42385"/>
  <c r="CL383" i="42385"/>
  <c r="CM383" i="42385"/>
  <c r="CN383" i="42385"/>
  <c r="CO383" i="42385"/>
  <c r="G384" i="42385"/>
  <c r="CM384" i="42385" s="1"/>
  <c r="L384" i="42385"/>
  <c r="CN384" i="42385" s="1"/>
  <c r="Q384" i="42385"/>
  <c r="CO384" i="42385" s="1"/>
  <c r="V384" i="42385"/>
  <c r="CP384" i="42385" s="1"/>
  <c r="AA384" i="42385"/>
  <c r="AF384" i="42385"/>
  <c r="CR384" i="42385" s="1"/>
  <c r="AK384" i="42385"/>
  <c r="CS384" i="42385" s="1"/>
  <c r="AN384" i="42385"/>
  <c r="AO384" i="42385" s="1"/>
  <c r="CL384" i="42385"/>
  <c r="M385" i="42385"/>
  <c r="N385" i="42385"/>
  <c r="O385" i="42385"/>
  <c r="P385" i="42385"/>
  <c r="R385" i="42385"/>
  <c r="S385" i="42385"/>
  <c r="T385" i="42385"/>
  <c r="U385" i="42385"/>
  <c r="W385" i="42385"/>
  <c r="X385" i="42385"/>
  <c r="Y385" i="42385"/>
  <c r="Z385" i="42385"/>
  <c r="AB385" i="42385"/>
  <c r="AC385" i="42385"/>
  <c r="AD385" i="42385"/>
  <c r="AE385" i="42385"/>
  <c r="AG385" i="42385"/>
  <c r="AH385" i="42385"/>
  <c r="AI385" i="42385"/>
  <c r="AJ385" i="42385"/>
  <c r="AL385" i="42385"/>
  <c r="AM385" i="42385"/>
  <c r="CL385" i="42385"/>
  <c r="CM385" i="42385"/>
  <c r="CN385" i="42385"/>
  <c r="CL387" i="42385"/>
  <c r="CM387" i="42385"/>
  <c r="CN387" i="42385"/>
  <c r="CO387" i="42385"/>
  <c r="CP387" i="42385"/>
  <c r="CQ387" i="42385"/>
  <c r="CR387" i="42385"/>
  <c r="CS387" i="42385"/>
  <c r="CT387" i="42385"/>
  <c r="CU387" i="42385"/>
  <c r="CV387" i="42385"/>
  <c r="CW387" i="42385"/>
  <c r="CX387" i="42385"/>
  <c r="CY387" i="42385"/>
  <c r="CZ387" i="42385"/>
  <c r="DA387" i="42385"/>
  <c r="DB387" i="42385"/>
  <c r="DC387" i="42385"/>
  <c r="C388" i="42385"/>
  <c r="CL388" i="42385"/>
  <c r="AA389" i="42385"/>
  <c r="CQ389" i="42385" s="1"/>
  <c r="AF389" i="42385"/>
  <c r="B18" i="42407" s="1"/>
  <c r="AG389" i="42385"/>
  <c r="AK389" i="42385"/>
  <c r="C18" i="42407" s="1"/>
  <c r="D18" i="42407" s="1"/>
  <c r="AP389" i="42385"/>
  <c r="CT389" i="42385" s="1"/>
  <c r="AU389" i="42385"/>
  <c r="CU389" i="42385" s="1"/>
  <c r="AZ389" i="42385"/>
  <c r="CV389" i="42385" s="1"/>
  <c r="BE389" i="42385"/>
  <c r="CW389" i="42385" s="1"/>
  <c r="BI389" i="42385"/>
  <c r="BO389" i="42385"/>
  <c r="CY389" i="42385" s="1"/>
  <c r="BT389" i="42385"/>
  <c r="CL389" i="42385"/>
  <c r="CM389" i="42385"/>
  <c r="CN389" i="42385"/>
  <c r="CO389" i="42385"/>
  <c r="CP389" i="42385"/>
  <c r="AA390" i="42385"/>
  <c r="CQ390" i="42385" s="1"/>
  <c r="AF390" i="42385"/>
  <c r="CR390" i="42385" s="1"/>
  <c r="AK390" i="42385"/>
  <c r="CS390" i="42385" s="1"/>
  <c r="AP390" i="42385"/>
  <c r="CT390" i="42385" s="1"/>
  <c r="AU390" i="42385"/>
  <c r="CU390" i="42385" s="1"/>
  <c r="AZ390" i="42385"/>
  <c r="CV390" i="42385" s="1"/>
  <c r="BE390" i="42385"/>
  <c r="CW390" i="42385" s="1"/>
  <c r="BJ390" i="42385"/>
  <c r="CX390" i="42385" s="1"/>
  <c r="BO390" i="42385"/>
  <c r="CY390" i="42385" s="1"/>
  <c r="BT390" i="42385"/>
  <c r="CL390" i="42385"/>
  <c r="CM390" i="42385"/>
  <c r="CN390" i="42385"/>
  <c r="CO390" i="42385"/>
  <c r="CP390" i="42385"/>
  <c r="CL391" i="42385"/>
  <c r="CL392" i="42385"/>
  <c r="CM392" i="42385"/>
  <c r="CN392" i="42385"/>
  <c r="CO392" i="42385"/>
  <c r="CP392" i="42385"/>
  <c r="CL393" i="42385"/>
  <c r="CM393" i="42385"/>
  <c r="CN393" i="42385"/>
  <c r="CO393" i="42385"/>
  <c r="CP393" i="42385"/>
  <c r="CQ393" i="42385"/>
  <c r="C395" i="42385"/>
  <c r="W395" i="42385"/>
  <c r="X395" i="42385"/>
  <c r="Y395" i="42385"/>
  <c r="Z395" i="42385"/>
  <c r="AB395" i="42385"/>
  <c r="AC395" i="42385"/>
  <c r="AD395" i="42385"/>
  <c r="AE395" i="42385"/>
  <c r="AK395" i="42385"/>
  <c r="CS395" i="42385" s="1"/>
  <c r="AP395" i="42385"/>
  <c r="CT395" i="42385" s="1"/>
  <c r="AU395" i="42385"/>
  <c r="CU395" i="42385" s="1"/>
  <c r="AZ395" i="42385"/>
  <c r="CV395" i="42385" s="1"/>
  <c r="BE395" i="42385"/>
  <c r="CW395" i="42385" s="1"/>
  <c r="BJ395" i="42385"/>
  <c r="CX395" i="42385" s="1"/>
  <c r="BO395" i="42385"/>
  <c r="CY395" i="42385" s="1"/>
  <c r="BT395" i="42385"/>
  <c r="CZ395" i="42385" s="1"/>
  <c r="BV395" i="42385"/>
  <c r="BW395" i="42385"/>
  <c r="CL395" i="42385"/>
  <c r="CM395" i="42385"/>
  <c r="CN395" i="42385"/>
  <c r="CO395" i="42385"/>
  <c r="CP395" i="42385"/>
  <c r="AK396" i="42385"/>
  <c r="CS396" i="42385" s="1"/>
  <c r="AP396" i="42385"/>
  <c r="CT396" i="42385" s="1"/>
  <c r="AU396" i="42385"/>
  <c r="CU396" i="42385" s="1"/>
  <c r="AZ396" i="42385"/>
  <c r="CV396" i="42385" s="1"/>
  <c r="BE396" i="42385"/>
  <c r="CW396" i="42385" s="1"/>
  <c r="BJ396" i="42385"/>
  <c r="CX396" i="42385" s="1"/>
  <c r="BO396" i="42385"/>
  <c r="CY396" i="42385" s="1"/>
  <c r="BT396" i="42385"/>
  <c r="CZ396" i="42385" s="1"/>
  <c r="BV396" i="42385"/>
  <c r="BW396" i="42385"/>
  <c r="CL396" i="42385"/>
  <c r="CM396" i="42385"/>
  <c r="CN396" i="42385"/>
  <c r="CO396" i="42385"/>
  <c r="CP396" i="42385"/>
  <c r="CQ396" i="42385"/>
  <c r="CR396" i="42385"/>
  <c r="CM397" i="42385"/>
  <c r="CN397" i="42385"/>
  <c r="CO397" i="42385"/>
  <c r="CP397" i="42385"/>
  <c r="CQ397" i="42385"/>
  <c r="CR397" i="42385"/>
  <c r="CS397" i="42385"/>
  <c r="CT397" i="42385"/>
  <c r="CU397" i="42385"/>
  <c r="CV397" i="42385"/>
  <c r="CW397" i="42385"/>
  <c r="CX397" i="42385"/>
  <c r="CY397" i="42385"/>
  <c r="CZ397" i="42385"/>
  <c r="DA397" i="42385"/>
  <c r="DB397" i="42385"/>
  <c r="DC397" i="42385"/>
  <c r="AA398" i="42385"/>
  <c r="CQ398" i="42385" s="1"/>
  <c r="AF398" i="42385"/>
  <c r="AG398" i="42385"/>
  <c r="AH398" i="42385"/>
  <c r="AH400" i="42385" s="1"/>
  <c r="AI398" i="42385"/>
  <c r="AI399" i="42385" s="1"/>
  <c r="AJ398" i="42385"/>
  <c r="AJ399" i="42385" s="1"/>
  <c r="AL398" i="42385"/>
  <c r="AM398" i="42385"/>
  <c r="AM400" i="42385" s="1"/>
  <c r="AN398" i="42385"/>
  <c r="AO398" i="42385"/>
  <c r="AQ398" i="42385"/>
  <c r="AQ401" i="42385" s="1"/>
  <c r="AQ402" i="42385" s="1"/>
  <c r="AR398" i="42385"/>
  <c r="AS398" i="42385"/>
  <c r="AT398" i="42385"/>
  <c r="AV398" i="42385"/>
  <c r="AW398" i="42385"/>
  <c r="AX398" i="42385"/>
  <c r="AX399" i="42385" s="1"/>
  <c r="AY398" i="42385"/>
  <c r="BA398" i="42385"/>
  <c r="BB398" i="42385"/>
  <c r="BC398" i="42385"/>
  <c r="CB292" i="42492" s="1"/>
  <c r="BD398" i="42385"/>
  <c r="CC292" i="42492" s="1"/>
  <c r="BF398" i="42385"/>
  <c r="BG398" i="42385"/>
  <c r="CF292" i="42492" s="1"/>
  <c r="BH398" i="42385"/>
  <c r="CG292" i="42492" s="1"/>
  <c r="BI398" i="42385"/>
  <c r="BI401" i="42385" s="1"/>
  <c r="BK398" i="42385"/>
  <c r="CJ292" i="42492" s="1"/>
  <c r="BL398" i="42385"/>
  <c r="CK292" i="42492" s="1"/>
  <c r="BM398" i="42385"/>
  <c r="BN398" i="42385"/>
  <c r="BP398" i="42385"/>
  <c r="BQ398" i="42385"/>
  <c r="BR398" i="42385"/>
  <c r="BR401" i="42385" s="1"/>
  <c r="BR220" i="42385" s="1"/>
  <c r="CL398" i="42385"/>
  <c r="CM398" i="42385"/>
  <c r="CN398" i="42385"/>
  <c r="CO398" i="42385"/>
  <c r="CP398" i="42385"/>
  <c r="AB399" i="42385"/>
  <c r="AC399" i="42385"/>
  <c r="AD399" i="42385"/>
  <c r="AE399" i="42385"/>
  <c r="CL399" i="42385"/>
  <c r="CM399" i="42385"/>
  <c r="CN399" i="42385"/>
  <c r="CO399" i="42385"/>
  <c r="CP399" i="42385"/>
  <c r="CQ399" i="42385"/>
  <c r="DB399" i="42385"/>
  <c r="DC399" i="42385"/>
  <c r="C400" i="42385"/>
  <c r="D400" i="42385"/>
  <c r="E400" i="42385"/>
  <c r="F400" i="42385"/>
  <c r="H400" i="42385"/>
  <c r="I400" i="42385"/>
  <c r="J400" i="42385"/>
  <c r="K400" i="42385"/>
  <c r="M400" i="42385"/>
  <c r="N400" i="42385"/>
  <c r="O400" i="42385"/>
  <c r="P400" i="42385"/>
  <c r="R400" i="42385"/>
  <c r="S400" i="42385"/>
  <c r="T400" i="42385"/>
  <c r="U400" i="42385"/>
  <c r="W400" i="42385"/>
  <c r="X400" i="42385"/>
  <c r="Y400" i="42385"/>
  <c r="Z400" i="42385"/>
  <c r="AB400" i="42385"/>
  <c r="AC400" i="42385"/>
  <c r="AD400" i="42385"/>
  <c r="AE400" i="42385"/>
  <c r="AI400" i="42385"/>
  <c r="AN400" i="42385" s="1"/>
  <c r="BW400" i="42385"/>
  <c r="CL400" i="42385"/>
  <c r="G401" i="42385"/>
  <c r="L401" i="42385"/>
  <c r="CN401" i="42385" s="1"/>
  <c r="Q401" i="42385"/>
  <c r="V401" i="42385"/>
  <c r="AA401" i="42385"/>
  <c r="AF401" i="42385"/>
  <c r="AK401" i="42385"/>
  <c r="CS401" i="42385" s="1"/>
  <c r="CL401" i="42385"/>
  <c r="H402" i="42385"/>
  <c r="I402" i="42385"/>
  <c r="J402" i="42385"/>
  <c r="K402" i="42385"/>
  <c r="M402" i="42385"/>
  <c r="N402" i="42385"/>
  <c r="O402" i="42385"/>
  <c r="P402" i="42385"/>
  <c r="R402" i="42385"/>
  <c r="S402" i="42385"/>
  <c r="T402" i="42385"/>
  <c r="U402" i="42385"/>
  <c r="W402" i="42385"/>
  <c r="X402" i="42385"/>
  <c r="Y402" i="42385"/>
  <c r="Z402" i="42385"/>
  <c r="AB402" i="42385"/>
  <c r="AC402" i="42385"/>
  <c r="AD402" i="42385"/>
  <c r="AE402" i="42385"/>
  <c r="AG402" i="42385"/>
  <c r="AH402" i="42385"/>
  <c r="AI402" i="42385"/>
  <c r="AJ402" i="42385"/>
  <c r="AL402" i="42385"/>
  <c r="AM402" i="42385"/>
  <c r="CL402" i="42385"/>
  <c r="CM402" i="42385"/>
  <c r="CL404" i="42385"/>
  <c r="CL405" i="42385"/>
  <c r="CL406" i="42385"/>
  <c r="CM406" i="42385"/>
  <c r="DB406" i="42385"/>
  <c r="DC406" i="42385"/>
  <c r="W407" i="42385"/>
  <c r="W414" i="42385" s="1"/>
  <c r="CL407" i="42385"/>
  <c r="CM407" i="42385"/>
  <c r="CN407" i="42385"/>
  <c r="CO407" i="42385"/>
  <c r="CP407" i="42385"/>
  <c r="X408" i="42385"/>
  <c r="X407" i="42385" s="1"/>
  <c r="CL408" i="42385"/>
  <c r="AK409" i="42385"/>
  <c r="CS409" i="42385" s="1"/>
  <c r="AN409" i="42385"/>
  <c r="AO409" i="42385" s="1"/>
  <c r="AP409" i="42385" s="1"/>
  <c r="CL409" i="42385"/>
  <c r="C410" i="42385"/>
  <c r="C404" i="42385" s="1"/>
  <c r="D410" i="42385"/>
  <c r="D404" i="42385" s="1"/>
  <c r="D405" i="42385" s="1"/>
  <c r="E410" i="42385"/>
  <c r="E404" i="42385" s="1"/>
  <c r="F410" i="42385"/>
  <c r="F404" i="42385" s="1"/>
  <c r="H410" i="42385"/>
  <c r="H404" i="42385" s="1"/>
  <c r="I410" i="42385"/>
  <c r="I404" i="42385" s="1"/>
  <c r="J410" i="42385"/>
  <c r="J404" i="42385" s="1"/>
  <c r="K410" i="42385"/>
  <c r="M410" i="42385"/>
  <c r="N410" i="42385"/>
  <c r="N404" i="42385" s="1"/>
  <c r="N405" i="42385" s="1"/>
  <c r="O410" i="42385"/>
  <c r="O404" i="42385" s="1"/>
  <c r="P410" i="42385"/>
  <c r="P404" i="42385" s="1"/>
  <c r="R410" i="42385"/>
  <c r="R404" i="42385" s="1"/>
  <c r="R405" i="42385" s="1"/>
  <c r="S410" i="42385"/>
  <c r="T410" i="42385"/>
  <c r="T404" i="42385" s="1"/>
  <c r="U410" i="42385"/>
  <c r="U404" i="42385" s="1"/>
  <c r="W410" i="42385"/>
  <c r="X410" i="42385"/>
  <c r="Y410" i="42385"/>
  <c r="Z410" i="42385"/>
  <c r="AB410" i="42385"/>
  <c r="AC410" i="42385"/>
  <c r="AD410" i="42385"/>
  <c r="AE410" i="42385"/>
  <c r="AG410" i="42385"/>
  <c r="AH410" i="42385"/>
  <c r="AI410" i="42385"/>
  <c r="AJ410" i="42385"/>
  <c r="AL410" i="42385"/>
  <c r="AM410" i="42385"/>
  <c r="CL410" i="42385"/>
  <c r="G412" i="42385"/>
  <c r="L412" i="42385"/>
  <c r="CN412" i="42385" s="1"/>
  <c r="Q412" i="42385"/>
  <c r="V412" i="42385"/>
  <c r="CP412" i="42385" s="1"/>
  <c r="AA412" i="42385"/>
  <c r="AF412" i="42385"/>
  <c r="CR412" i="42385" s="1"/>
  <c r="AK412" i="42385"/>
  <c r="CS412" i="42385" s="1"/>
  <c r="CL412" i="42385"/>
  <c r="C413" i="42385"/>
  <c r="D413" i="42385"/>
  <c r="E413" i="42385"/>
  <c r="F413" i="42385"/>
  <c r="H413" i="42385"/>
  <c r="I413" i="42385"/>
  <c r="J413" i="42385"/>
  <c r="K413" i="42385"/>
  <c r="M413" i="42385"/>
  <c r="N413" i="42385"/>
  <c r="O413" i="42385"/>
  <c r="P413" i="42385"/>
  <c r="R413" i="42385"/>
  <c r="S413" i="42385"/>
  <c r="T413" i="42385"/>
  <c r="U413" i="42385"/>
  <c r="W413" i="42385"/>
  <c r="X413" i="42385"/>
  <c r="Y413" i="42385"/>
  <c r="Z413" i="42385"/>
  <c r="AB413" i="42385"/>
  <c r="AC413" i="42385"/>
  <c r="AD413" i="42385"/>
  <c r="AE413" i="42385"/>
  <c r="AG413" i="42385"/>
  <c r="AH413" i="42385"/>
  <c r="AI413" i="42385"/>
  <c r="AJ413" i="42385"/>
  <c r="AL413" i="42385"/>
  <c r="AM413" i="42385"/>
  <c r="CL413" i="42385"/>
  <c r="C414" i="42385"/>
  <c r="D414" i="42385"/>
  <c r="E414" i="42385"/>
  <c r="F414" i="42385"/>
  <c r="H414" i="42385"/>
  <c r="I414" i="42385"/>
  <c r="J414" i="42385"/>
  <c r="K414" i="42385"/>
  <c r="M414" i="42385"/>
  <c r="N414" i="42385"/>
  <c r="O414" i="42385"/>
  <c r="P414" i="42385"/>
  <c r="R414" i="42385"/>
  <c r="S414" i="42385"/>
  <c r="T414" i="42385"/>
  <c r="U414" i="42385"/>
  <c r="CL414" i="42385"/>
  <c r="AB415" i="42385"/>
  <c r="AC415" i="42385"/>
  <c r="AD415" i="42385"/>
  <c r="AE415" i="42385"/>
  <c r="AG415" i="42385"/>
  <c r="AH415" i="42385"/>
  <c r="AI415" i="42385"/>
  <c r="AJ415" i="42385"/>
  <c r="AL415" i="42385"/>
  <c r="AM415" i="42385"/>
  <c r="CL415" i="42385"/>
  <c r="CM415" i="42385"/>
  <c r="CN415" i="42385"/>
  <c r="CO415" i="42385"/>
  <c r="CP415" i="42385"/>
  <c r="CQ415" i="42385"/>
  <c r="G416" i="42385"/>
  <c r="L416" i="42385"/>
  <c r="CN416" i="42385" s="1"/>
  <c r="Q416" i="42385"/>
  <c r="CO416" i="42385" s="1"/>
  <c r="V416" i="42385"/>
  <c r="AA416" i="42385"/>
  <c r="AF416" i="42385"/>
  <c r="CR416" i="42385" s="1"/>
  <c r="AK416" i="42385"/>
  <c r="CS416" i="42385" s="1"/>
  <c r="AN416" i="42385"/>
  <c r="CL416" i="42385"/>
  <c r="C417" i="42385"/>
  <c r="D417" i="42385"/>
  <c r="E417" i="42385"/>
  <c r="F417" i="42385"/>
  <c r="H417" i="42385"/>
  <c r="I417" i="42385"/>
  <c r="J417" i="42385"/>
  <c r="K417" i="42385"/>
  <c r="M417" i="42385"/>
  <c r="N417" i="42385"/>
  <c r="O417" i="42385"/>
  <c r="P417" i="42385"/>
  <c r="R417" i="42385"/>
  <c r="S417" i="42385"/>
  <c r="T417" i="42385"/>
  <c r="U417" i="42385"/>
  <c r="W417" i="42385"/>
  <c r="X417" i="42385"/>
  <c r="Y417" i="42385"/>
  <c r="Z417" i="42385"/>
  <c r="AB417" i="42385"/>
  <c r="AC417" i="42385"/>
  <c r="AD417" i="42385"/>
  <c r="AE417" i="42385"/>
  <c r="AG417" i="42385"/>
  <c r="AH417" i="42385"/>
  <c r="AI417" i="42385"/>
  <c r="AJ417" i="42385"/>
  <c r="AL417" i="42385"/>
  <c r="AM417" i="42385"/>
  <c r="CL417" i="42385"/>
  <c r="CL419" i="42385"/>
  <c r="CM419" i="42385"/>
  <c r="CN419" i="42385"/>
  <c r="CO419" i="42385"/>
  <c r="CP419" i="42385"/>
  <c r="CQ419" i="42385"/>
  <c r="CR419" i="42385"/>
  <c r="CS419" i="42385"/>
  <c r="CT419" i="42385"/>
  <c r="CU419" i="42385"/>
  <c r="CV419" i="42385"/>
  <c r="CW419" i="42385"/>
  <c r="CX419" i="42385"/>
  <c r="CY419" i="42385"/>
  <c r="CZ419" i="42385"/>
  <c r="DA419" i="42385"/>
  <c r="DB419" i="42385"/>
  <c r="DC419" i="42385"/>
  <c r="CL420" i="42385"/>
  <c r="AZ421" i="42385"/>
  <c r="BE421" i="42385"/>
  <c r="CW421" i="42385" s="1"/>
  <c r="BJ421" i="42385"/>
  <c r="CX421" i="42385" s="1"/>
  <c r="BO421" i="42385"/>
  <c r="CY421" i="42385" s="1"/>
  <c r="CL421" i="42385"/>
  <c r="AZ422" i="42385"/>
  <c r="CV422" i="42385" s="1"/>
  <c r="BE422" i="42385"/>
  <c r="BO422" i="42385"/>
  <c r="CY422" i="42385" s="1"/>
  <c r="BT422" i="42385"/>
  <c r="CL422" i="42385"/>
  <c r="CL423" i="42385"/>
  <c r="CL424" i="42385"/>
  <c r="CL425" i="42385"/>
  <c r="CV425" i="42385"/>
  <c r="DB425" i="42385"/>
  <c r="DC425" i="42385"/>
  <c r="AU427" i="42385"/>
  <c r="CU427" i="42385" s="1"/>
  <c r="AZ427" i="42385"/>
  <c r="BY293" i="42492" s="1"/>
  <c r="BE427" i="42385"/>
  <c r="CW427" i="42385" s="1"/>
  <c r="BJ427" i="42385"/>
  <c r="CX427" i="42385" s="1"/>
  <c r="BO427" i="42385"/>
  <c r="CY427" i="42385" s="1"/>
  <c r="CL427" i="42385"/>
  <c r="BA428" i="42385"/>
  <c r="BB428" i="42385"/>
  <c r="BC428" i="42385"/>
  <c r="BD428" i="42385"/>
  <c r="BF428" i="42385"/>
  <c r="BG428" i="42385"/>
  <c r="BH428" i="42385"/>
  <c r="BI428" i="42385"/>
  <c r="BK428" i="42385"/>
  <c r="BL428" i="42385"/>
  <c r="BM428" i="42385"/>
  <c r="BN428" i="42385"/>
  <c r="BP428" i="42385"/>
  <c r="BQ428" i="42385"/>
  <c r="BR428" i="42385"/>
  <c r="CL428" i="42385"/>
  <c r="CU428" i="42385"/>
  <c r="CV428" i="42385"/>
  <c r="AT429" i="42385"/>
  <c r="AV429" i="42385"/>
  <c r="AV430" i="42385" s="1"/>
  <c r="AW429" i="42385"/>
  <c r="AW430" i="42385" s="1"/>
  <c r="AX429" i="42385"/>
  <c r="AX430" i="42385" s="1"/>
  <c r="AY429" i="42385"/>
  <c r="AY430" i="42385" s="1"/>
  <c r="BA429" i="42385"/>
  <c r="BB429" i="42385"/>
  <c r="BB430" i="42385" s="1"/>
  <c r="BC429" i="42385"/>
  <c r="BH429" i="42385" s="1"/>
  <c r="BM429" i="42385" s="1"/>
  <c r="BD429" i="42385"/>
  <c r="BD430" i="42385" s="1"/>
  <c r="BQ429" i="42385"/>
  <c r="BV429" i="42385" s="1"/>
  <c r="CL429" i="42385"/>
  <c r="BL430" i="42385"/>
  <c r="BL221" i="42385" s="1"/>
  <c r="CL430" i="42385"/>
  <c r="CL431" i="42385"/>
  <c r="CU431" i="42385"/>
  <c r="CV431" i="42385"/>
  <c r="AZ433" i="42385"/>
  <c r="CV433" i="42385" s="1"/>
  <c r="BA433" i="42385"/>
  <c r="BF433" i="42385" s="1"/>
  <c r="BK433" i="42385" s="1"/>
  <c r="BB433" i="42385"/>
  <c r="BC433" i="42385"/>
  <c r="BH433" i="42385" s="1"/>
  <c r="BD433" i="42385"/>
  <c r="CL433" i="42385"/>
  <c r="CL434" i="42385"/>
  <c r="CL435" i="42385"/>
  <c r="CU435" i="42385"/>
  <c r="CV435" i="42385"/>
  <c r="DB435" i="42385"/>
  <c r="DC435" i="42385"/>
  <c r="AT436" i="42385"/>
  <c r="AU436" i="42385" s="1"/>
  <c r="CU436" i="42385" s="1"/>
  <c r="AV436" i="42385"/>
  <c r="AW436" i="42385"/>
  <c r="AW438" i="42385" s="1"/>
  <c r="AX436" i="42385"/>
  <c r="AX438" i="42385" s="1"/>
  <c r="AY436" i="42385"/>
  <c r="BA436" i="42385"/>
  <c r="BB436" i="42385"/>
  <c r="BC436" i="42385"/>
  <c r="BD436" i="42385"/>
  <c r="BF436" i="42385"/>
  <c r="BG436" i="42385"/>
  <c r="BH436" i="42385"/>
  <c r="BI436" i="42385"/>
  <c r="BK436" i="42385"/>
  <c r="BL436" i="42385"/>
  <c r="CL436" i="42385"/>
  <c r="BM437" i="42385"/>
  <c r="BN437" i="42385" s="1"/>
  <c r="BN436" i="42385" s="1"/>
  <c r="CL437" i="42385"/>
  <c r="DB437" i="42385"/>
  <c r="DC437" i="42385"/>
  <c r="AY438" i="42385"/>
  <c r="CL438" i="42385"/>
  <c r="CL440" i="42385"/>
  <c r="CL441" i="42385"/>
  <c r="CL442" i="42385"/>
  <c r="CV442" i="42385"/>
  <c r="CL443" i="42385"/>
  <c r="CL444" i="42385"/>
  <c r="CL445" i="42385"/>
  <c r="CL446" i="42385"/>
  <c r="CL448" i="42385"/>
  <c r="CM448" i="42385"/>
  <c r="CN448" i="42385"/>
  <c r="CO448" i="42385"/>
  <c r="CP448" i="42385"/>
  <c r="CQ448" i="42385"/>
  <c r="CR448" i="42385"/>
  <c r="CS448" i="42385"/>
  <c r="CT448" i="42385"/>
  <c r="CU448" i="42385"/>
  <c r="CV448" i="42385"/>
  <c r="CW448" i="42385"/>
  <c r="CX448" i="42385"/>
  <c r="CY448" i="42385"/>
  <c r="CZ448" i="42385"/>
  <c r="DA448" i="42385"/>
  <c r="DB448" i="42385"/>
  <c r="DC448" i="42385"/>
  <c r="CL449" i="42385"/>
  <c r="AU450" i="42385"/>
  <c r="CU450" i="42385" s="1"/>
  <c r="AZ450" i="42385"/>
  <c r="CL450" i="42385"/>
  <c r="AT451" i="42385"/>
  <c r="AU451" i="42385" s="1"/>
  <c r="CU451" i="42385" s="1"/>
  <c r="AZ451" i="42385"/>
  <c r="BE451" i="42385" s="1"/>
  <c r="BV451" i="42385"/>
  <c r="BW451" i="42385" s="1"/>
  <c r="BX451" i="42385" s="1"/>
  <c r="CL451" i="42385"/>
  <c r="CL452" i="42385"/>
  <c r="CL453" i="42385"/>
  <c r="CL454" i="42385"/>
  <c r="CV454" i="42385"/>
  <c r="DB454" i="42385"/>
  <c r="DC454" i="42385"/>
  <c r="AU456" i="42385"/>
  <c r="CU456" i="42385" s="1"/>
  <c r="AZ456" i="42385"/>
  <c r="BE456" i="42385"/>
  <c r="CW456" i="42385" s="1"/>
  <c r="BJ456" i="42385"/>
  <c r="CI294" i="42492" s="1"/>
  <c r="BO456" i="42385"/>
  <c r="CL456" i="42385"/>
  <c r="AW457" i="42385"/>
  <c r="AX457" i="42385"/>
  <c r="AY457" i="42385"/>
  <c r="BA457" i="42385"/>
  <c r="BB457" i="42385"/>
  <c r="BC457" i="42385"/>
  <c r="BD457" i="42385"/>
  <c r="BF457" i="42385"/>
  <c r="BG457" i="42385"/>
  <c r="BH457" i="42385"/>
  <c r="BI457" i="42385"/>
  <c r="BK457" i="42385"/>
  <c r="BL457" i="42385"/>
  <c r="BM457" i="42385"/>
  <c r="BN457" i="42385"/>
  <c r="BP457" i="42385"/>
  <c r="BQ457" i="42385"/>
  <c r="BR457" i="42385"/>
  <c r="CL457" i="42385"/>
  <c r="AT458" i="42385"/>
  <c r="AV458" i="42385"/>
  <c r="AV459" i="42385" s="1"/>
  <c r="AV222" i="42385" s="1"/>
  <c r="AW458" i="42385"/>
  <c r="AW459" i="42385" s="1"/>
  <c r="AW222" i="42385" s="1"/>
  <c r="AX458" i="42385"/>
  <c r="AX459" i="42385" s="1"/>
  <c r="AY458" i="42385"/>
  <c r="AY459" i="42385" s="1"/>
  <c r="BA458" i="42385"/>
  <c r="BA459" i="42385" s="1"/>
  <c r="BA222" i="42385" s="1"/>
  <c r="BB458" i="42385"/>
  <c r="BC458" i="42385"/>
  <c r="BC459" i="42385" s="1"/>
  <c r="BC222" i="42385" s="1"/>
  <c r="BD458" i="42385"/>
  <c r="BD459" i="42385" s="1"/>
  <c r="BF458" i="42385"/>
  <c r="BF459" i="42385" s="1"/>
  <c r="BG458" i="42385"/>
  <c r="BG459" i="42385" s="1"/>
  <c r="BG222" i="42385" s="1"/>
  <c r="BH458" i="42385"/>
  <c r="BH459" i="42385" s="1"/>
  <c r="BI458" i="42385"/>
  <c r="BI459" i="42385"/>
  <c r="BI222" i="42385" s="1"/>
  <c r="BK458" i="42385"/>
  <c r="BK459" i="42385" s="1"/>
  <c r="BM458" i="42385"/>
  <c r="BM459" i="42385" s="1"/>
  <c r="BM222" i="42385" s="1"/>
  <c r="BN458" i="42385"/>
  <c r="BN459" i="42385" s="1"/>
  <c r="BP458" i="42385"/>
  <c r="BP459" i="42385" s="1"/>
  <c r="BQ458" i="42385"/>
  <c r="BQ459" i="42385" s="1"/>
  <c r="BR458" i="42385"/>
  <c r="BR459" i="42385" s="1"/>
  <c r="CL458" i="42385"/>
  <c r="AR459" i="42385"/>
  <c r="AS459" i="42385"/>
  <c r="AS222" i="42385" s="1"/>
  <c r="BL459" i="42385"/>
  <c r="BL222" i="42385" s="1"/>
  <c r="CL459" i="42385"/>
  <c r="CL460" i="42385"/>
  <c r="CL462" i="42385"/>
  <c r="CL463" i="42385"/>
  <c r="CL464" i="42385"/>
  <c r="CU464" i="42385"/>
  <c r="DB464" i="42385"/>
  <c r="DC464" i="42385"/>
  <c r="AR465" i="42385"/>
  <c r="AR467" i="42385" s="1"/>
  <c r="AS465" i="42385"/>
  <c r="AV465" i="42385"/>
  <c r="AW465" i="42385"/>
  <c r="AX465" i="42385"/>
  <c r="AY465" i="42385"/>
  <c r="BA465" i="42385"/>
  <c r="BB465" i="42385"/>
  <c r="BC465" i="42385"/>
  <c r="BD465" i="42385"/>
  <c r="BF465" i="42385"/>
  <c r="BG465" i="42385"/>
  <c r="BH465" i="42385"/>
  <c r="BI465" i="42385"/>
  <c r="BK465" i="42385"/>
  <c r="BL465" i="42385"/>
  <c r="BM465" i="42385"/>
  <c r="BN465" i="42385"/>
  <c r="BP465" i="42385"/>
  <c r="BQ465" i="42385"/>
  <c r="BR465" i="42385"/>
  <c r="CL465" i="42385"/>
  <c r="AT466" i="42385"/>
  <c r="AT465" i="42385" s="1"/>
  <c r="CL466" i="42385"/>
  <c r="CU466" i="42385"/>
  <c r="DB466" i="42385"/>
  <c r="DC466" i="42385"/>
  <c r="CL467" i="42385"/>
  <c r="CL469" i="42385"/>
  <c r="CL470" i="42385"/>
  <c r="CL471" i="42385"/>
  <c r="CU471" i="42385"/>
  <c r="CV471" i="42385"/>
  <c r="CL472" i="42385"/>
  <c r="CL473" i="42385"/>
  <c r="CL474" i="42385"/>
  <c r="CL475" i="42385"/>
  <c r="CL477" i="42385"/>
  <c r="CM477" i="42385"/>
  <c r="CN477" i="42385"/>
  <c r="CO477" i="42385"/>
  <c r="CP477" i="42385"/>
  <c r="CQ477" i="42385"/>
  <c r="CR477" i="42385"/>
  <c r="CS477" i="42385"/>
  <c r="CT477" i="42385"/>
  <c r="CU477" i="42385"/>
  <c r="CV477" i="42385"/>
  <c r="CW477" i="42385"/>
  <c r="CX477" i="42385"/>
  <c r="CY477" i="42385"/>
  <c r="CZ477" i="42385"/>
  <c r="DA477" i="42385"/>
  <c r="DB477" i="42385"/>
  <c r="DC477" i="42385"/>
  <c r="C478" i="42385"/>
  <c r="CL478" i="42385"/>
  <c r="G479" i="42385"/>
  <c r="CM479" i="42385" s="1"/>
  <c r="L479" i="42385"/>
  <c r="CN479" i="42385" s="1"/>
  <c r="Q479" i="42385"/>
  <c r="CO479" i="42385" s="1"/>
  <c r="V479" i="42385"/>
  <c r="CP479" i="42385" s="1"/>
  <c r="AA479" i="42385"/>
  <c r="CQ479" i="42385" s="1"/>
  <c r="AB479" i="42385"/>
  <c r="AC479" i="42385" s="1"/>
  <c r="AF479" i="42385"/>
  <c r="CR479" i="42385" s="1"/>
  <c r="AG479" i="42385"/>
  <c r="AH479" i="42385" s="1"/>
  <c r="CL479" i="42385"/>
  <c r="G480" i="42385"/>
  <c r="CM480" i="42385" s="1"/>
  <c r="L480" i="42385"/>
  <c r="CN480" i="42385" s="1"/>
  <c r="Q480" i="42385"/>
  <c r="CO480" i="42385" s="1"/>
  <c r="V480" i="42385"/>
  <c r="CP480" i="42385" s="1"/>
  <c r="AA480" i="42385"/>
  <c r="CQ480" i="42385" s="1"/>
  <c r="AF480" i="42385"/>
  <c r="CR480" i="42385" s="1"/>
  <c r="AG480" i="42385"/>
  <c r="AH480" i="42385" s="1"/>
  <c r="AI480" i="42385" s="1"/>
  <c r="CL480" i="42385"/>
  <c r="CL481" i="42385"/>
  <c r="G483" i="42385"/>
  <c r="L483" i="42385"/>
  <c r="CN483" i="42385" s="1"/>
  <c r="Q483" i="42385"/>
  <c r="CO483" i="42385" s="1"/>
  <c r="V483" i="42385"/>
  <c r="AA483" i="42385"/>
  <c r="AF483" i="42385"/>
  <c r="CR483" i="42385" s="1"/>
  <c r="AK483" i="42385"/>
  <c r="CS483" i="42385" s="1"/>
  <c r="AN483" i="42385"/>
  <c r="AN223" i="42385" s="1"/>
  <c r="GM502" i="42417" s="1"/>
  <c r="AQ483" i="42385"/>
  <c r="AQ223" i="42385" s="1"/>
  <c r="CL483" i="42385"/>
  <c r="H484" i="42385"/>
  <c r="I484" i="42385"/>
  <c r="J484" i="42385"/>
  <c r="K484" i="42385"/>
  <c r="M484" i="42385"/>
  <c r="N484" i="42385"/>
  <c r="O484" i="42385"/>
  <c r="P484" i="42385"/>
  <c r="Q484" i="42385"/>
  <c r="CO484" i="42385" s="1"/>
  <c r="R484" i="42385"/>
  <c r="S484" i="42385"/>
  <c r="T484" i="42385"/>
  <c r="U484" i="42385"/>
  <c r="W484" i="42385"/>
  <c r="X484" i="42385"/>
  <c r="Y484" i="42385"/>
  <c r="Z484" i="42385"/>
  <c r="AB484" i="42385"/>
  <c r="AC484" i="42385"/>
  <c r="AD484" i="42385"/>
  <c r="AE484" i="42385"/>
  <c r="AG484" i="42385"/>
  <c r="AH484" i="42385"/>
  <c r="AI484" i="42385"/>
  <c r="AJ484" i="42385" s="1"/>
  <c r="AL484" i="42385"/>
  <c r="AM484" i="42385"/>
  <c r="AO484" i="42385"/>
  <c r="AO483" i="42385" s="1"/>
  <c r="AR484" i="42385"/>
  <c r="CL484" i="42385"/>
  <c r="CM484" i="42385"/>
  <c r="C486" i="42385"/>
  <c r="C487" i="42385" s="1"/>
  <c r="D486" i="42385"/>
  <c r="E486" i="42385"/>
  <c r="E487" i="42385" s="1"/>
  <c r="F486" i="42385"/>
  <c r="F487" i="42385" s="1"/>
  <c r="H486" i="42385"/>
  <c r="H487" i="42385" s="1"/>
  <c r="I486" i="42385"/>
  <c r="I487" i="42385" s="1"/>
  <c r="J486" i="42385"/>
  <c r="J487" i="42385" s="1"/>
  <c r="K486" i="42385"/>
  <c r="K487" i="42385" s="1"/>
  <c r="M486" i="42385"/>
  <c r="M487" i="42385" s="1"/>
  <c r="N486" i="42385"/>
  <c r="N487" i="42385" s="1"/>
  <c r="O486" i="42385"/>
  <c r="O487" i="42385" s="1"/>
  <c r="P486" i="42385"/>
  <c r="R486" i="42385"/>
  <c r="R487" i="42385" s="1"/>
  <c r="S486" i="42385"/>
  <c r="S487" i="42385" s="1"/>
  <c r="T486" i="42385"/>
  <c r="T487" i="42385" s="1"/>
  <c r="U486" i="42385"/>
  <c r="U487" i="42385" s="1"/>
  <c r="W486" i="42385"/>
  <c r="W487" i="42385" s="1"/>
  <c r="X486" i="42385"/>
  <c r="X487" i="42385" s="1"/>
  <c r="Y486" i="42385"/>
  <c r="Y487" i="42385" s="1"/>
  <c r="Z486" i="42385"/>
  <c r="Z487" i="42385" s="1"/>
  <c r="AB486" i="42385"/>
  <c r="AB487" i="42385" s="1"/>
  <c r="AC486" i="42385"/>
  <c r="AC487" i="42385" s="1"/>
  <c r="AD486" i="42385"/>
  <c r="AD487" i="42385" s="1"/>
  <c r="AE486" i="42385"/>
  <c r="AE487" i="42385" s="1"/>
  <c r="AG486" i="42385"/>
  <c r="AH486" i="42385"/>
  <c r="AI486" i="42385"/>
  <c r="AI487" i="42385" s="1"/>
  <c r="AJ486" i="42385"/>
  <c r="AL486" i="42385"/>
  <c r="AL487" i="42385" s="1"/>
  <c r="AM486" i="42385"/>
  <c r="AM487" i="42385" s="1"/>
  <c r="AV486" i="42385"/>
  <c r="BA486" i="42385"/>
  <c r="BB486" i="42385" s="1"/>
  <c r="CL486" i="42385"/>
  <c r="DB486" i="42385"/>
  <c r="DC486" i="42385"/>
  <c r="AG487" i="42385"/>
  <c r="CL487" i="42385"/>
  <c r="G489" i="42385"/>
  <c r="L489" i="42385"/>
  <c r="CN489" i="42385" s="1"/>
  <c r="Q489" i="42385"/>
  <c r="V489" i="42385"/>
  <c r="AA489" i="42385"/>
  <c r="AF489" i="42385"/>
  <c r="CR489" i="42385" s="1"/>
  <c r="AK489" i="42385"/>
  <c r="CL489" i="42385"/>
  <c r="C490" i="42385"/>
  <c r="D490" i="42385"/>
  <c r="E490" i="42385"/>
  <c r="F490" i="42385"/>
  <c r="H490" i="42385"/>
  <c r="I490" i="42385"/>
  <c r="J490" i="42385"/>
  <c r="K490" i="42385"/>
  <c r="M490" i="42385"/>
  <c r="N490" i="42385"/>
  <c r="O490" i="42385"/>
  <c r="P490" i="42385"/>
  <c r="R490" i="42385"/>
  <c r="S490" i="42385"/>
  <c r="T490" i="42385"/>
  <c r="U490" i="42385"/>
  <c r="W490" i="42385"/>
  <c r="X490" i="42385"/>
  <c r="Y490" i="42385"/>
  <c r="Z490" i="42385"/>
  <c r="AB490" i="42385"/>
  <c r="AC490" i="42385"/>
  <c r="AD490" i="42385"/>
  <c r="AE490" i="42385"/>
  <c r="AF490" i="42385"/>
  <c r="CR490" i="42385" s="1"/>
  <c r="AG490" i="42385"/>
  <c r="AH490" i="42385"/>
  <c r="AI490" i="42385"/>
  <c r="AJ490" i="42385"/>
  <c r="AL490" i="42385"/>
  <c r="AM490" i="42385"/>
  <c r="CL490" i="42385"/>
  <c r="H491" i="42385"/>
  <c r="I491" i="42385"/>
  <c r="J491" i="42385"/>
  <c r="K491" i="42385"/>
  <c r="M491" i="42385"/>
  <c r="N491" i="42385"/>
  <c r="O491" i="42385"/>
  <c r="P491" i="42385"/>
  <c r="R491" i="42385"/>
  <c r="S491" i="42385"/>
  <c r="T491" i="42385"/>
  <c r="U491" i="42385"/>
  <c r="W491" i="42385"/>
  <c r="X491" i="42385"/>
  <c r="Y491" i="42385"/>
  <c r="Z491" i="42385"/>
  <c r="AB491" i="42385"/>
  <c r="AC491" i="42385"/>
  <c r="AD491" i="42385"/>
  <c r="AE491" i="42385"/>
  <c r="AG491" i="42385"/>
  <c r="AH491" i="42385"/>
  <c r="AI491" i="42385"/>
  <c r="AJ491" i="42385"/>
  <c r="AL491" i="42385"/>
  <c r="AM491" i="42385"/>
  <c r="CL491" i="42385"/>
  <c r="CM491" i="42385"/>
  <c r="CL493" i="42385"/>
  <c r="CM493" i="42385"/>
  <c r="CN493" i="42385"/>
  <c r="CO493" i="42385"/>
  <c r="CP493" i="42385"/>
  <c r="CQ493" i="42385"/>
  <c r="CR493" i="42385"/>
  <c r="CS493" i="42385"/>
  <c r="CT493" i="42385"/>
  <c r="CU493" i="42385"/>
  <c r="CV493" i="42385"/>
  <c r="CW493" i="42385"/>
  <c r="CX493" i="42385"/>
  <c r="CY493" i="42385"/>
  <c r="CZ493" i="42385"/>
  <c r="DA493" i="42385"/>
  <c r="DB493" i="42385"/>
  <c r="DC493" i="42385"/>
  <c r="CL494" i="42385"/>
  <c r="CU494" i="42385"/>
  <c r="CV494" i="42385"/>
  <c r="BE495" i="42385"/>
  <c r="CW495" i="42385" s="1"/>
  <c r="BJ495" i="42385"/>
  <c r="CX495" i="42385" s="1"/>
  <c r="BO495" i="42385"/>
  <c r="CY495" i="42385" s="1"/>
  <c r="CL495" i="42385"/>
  <c r="CU495" i="42385"/>
  <c r="CV495" i="42385"/>
  <c r="BE496" i="42385"/>
  <c r="CW496" i="42385" s="1"/>
  <c r="BJ496" i="42385"/>
  <c r="CX496" i="42385" s="1"/>
  <c r="BO496" i="42385"/>
  <c r="CY496" i="42385" s="1"/>
  <c r="BT496" i="42385"/>
  <c r="CZ496" i="42385" s="1"/>
  <c r="BY496" i="42385"/>
  <c r="BZ496" i="42385" s="1"/>
  <c r="CL496" i="42385"/>
  <c r="CU496" i="42385"/>
  <c r="CV496" i="42385"/>
  <c r="CL497" i="42385"/>
  <c r="CU497" i="42385"/>
  <c r="CV497" i="42385"/>
  <c r="CL498" i="42385"/>
  <c r="CU498" i="42385"/>
  <c r="CV498" i="42385"/>
  <c r="CL499" i="42385"/>
  <c r="CV499" i="42385"/>
  <c r="CW499" i="42385"/>
  <c r="CX499" i="42385"/>
  <c r="DB499" i="42385"/>
  <c r="DC499" i="42385"/>
  <c r="BE501" i="42385"/>
  <c r="CW501" i="42385" s="1"/>
  <c r="BJ501" i="42385"/>
  <c r="BO501" i="42385"/>
  <c r="CY501" i="42385" s="1"/>
  <c r="CL501" i="42385"/>
  <c r="CU501" i="42385"/>
  <c r="CV501" i="42385"/>
  <c r="BK502" i="42385"/>
  <c r="BK503" i="42385" s="1"/>
  <c r="BK504" i="42385" s="1"/>
  <c r="BL502" i="42385"/>
  <c r="BL503" i="42385" s="1"/>
  <c r="BM502" i="42385"/>
  <c r="BM503" i="42385" s="1"/>
  <c r="BN502" i="42385"/>
  <c r="BN503" i="42385" s="1"/>
  <c r="BN504" i="42385" s="1"/>
  <c r="BP502" i="42385"/>
  <c r="BQ502" i="42385"/>
  <c r="BR502" i="42385"/>
  <c r="CL502" i="42385"/>
  <c r="CV502" i="42385"/>
  <c r="CW502" i="42385"/>
  <c r="CX502" i="42385"/>
  <c r="BE503" i="42385"/>
  <c r="CW503" i="42385" s="1"/>
  <c r="BJ503" i="42385"/>
  <c r="CX503" i="42385" s="1"/>
  <c r="CL503" i="42385"/>
  <c r="CU503" i="42385"/>
  <c r="CV503" i="42385"/>
  <c r="BC504" i="42385"/>
  <c r="BD504" i="42385"/>
  <c r="BF504" i="42385"/>
  <c r="BF224" i="42385" s="1"/>
  <c r="BG504" i="42385"/>
  <c r="BH504" i="42385"/>
  <c r="BH224" i="42385" s="1"/>
  <c r="BI504" i="42385"/>
  <c r="BI507" i="42385" s="1"/>
  <c r="CL504" i="42385"/>
  <c r="CU504" i="42385"/>
  <c r="CV504" i="42385"/>
  <c r="CL505" i="42385"/>
  <c r="CV505" i="42385"/>
  <c r="CW505" i="42385"/>
  <c r="CL507" i="42385"/>
  <c r="CU507" i="42385"/>
  <c r="CV507" i="42385"/>
  <c r="BP508" i="42385"/>
  <c r="BQ508" i="42385"/>
  <c r="BR508" i="42385"/>
  <c r="BS508" i="42385"/>
  <c r="CL508" i="42385"/>
  <c r="CU508" i="42385"/>
  <c r="CV508" i="42385"/>
  <c r="CL509" i="42385"/>
  <c r="CU509" i="42385"/>
  <c r="CV509" i="42385"/>
  <c r="CW509" i="42385"/>
  <c r="DB509" i="42385"/>
  <c r="DC509" i="42385"/>
  <c r="BC510" i="42385"/>
  <c r="BD510" i="42385"/>
  <c r="BF510" i="42385"/>
  <c r="BG510" i="42385"/>
  <c r="BH510" i="42385"/>
  <c r="BI510" i="42385"/>
  <c r="BK510" i="42385"/>
  <c r="BL510" i="42385"/>
  <c r="BM510" i="42385"/>
  <c r="BN510" i="42385"/>
  <c r="BP510" i="42385"/>
  <c r="BQ510" i="42385"/>
  <c r="BR510" i="42385"/>
  <c r="CL510" i="42385"/>
  <c r="CU510" i="42385"/>
  <c r="CV510" i="42385"/>
  <c r="CL511" i="42385"/>
  <c r="CU511" i="42385"/>
  <c r="CV511" i="42385"/>
  <c r="DB511" i="42385"/>
  <c r="DC511" i="42385"/>
  <c r="CL512" i="42385"/>
  <c r="CU512" i="42385"/>
  <c r="CV512" i="42385"/>
  <c r="CL514" i="42385"/>
  <c r="CU514" i="42385"/>
  <c r="CV514" i="42385"/>
  <c r="CL515" i="42385"/>
  <c r="CU515" i="42385"/>
  <c r="CV515" i="42385"/>
  <c r="CL516" i="42385"/>
  <c r="CU516" i="42385"/>
  <c r="CV516" i="42385"/>
  <c r="CW516" i="42385"/>
  <c r="BE517" i="42385"/>
  <c r="CW517" i="42385" s="1"/>
  <c r="BJ517" i="42385"/>
  <c r="CX517" i="42385" s="1"/>
  <c r="BO517" i="42385"/>
  <c r="CY517" i="42385" s="1"/>
  <c r="BT517" i="42385"/>
  <c r="CZ517" i="42385" s="1"/>
  <c r="BY517" i="42385"/>
  <c r="CL517" i="42385"/>
  <c r="CU517" i="42385"/>
  <c r="CV517" i="42385"/>
  <c r="BF518" i="42385"/>
  <c r="CL518" i="42385"/>
  <c r="CU518" i="42385"/>
  <c r="CV518" i="42385"/>
  <c r="CL519" i="42385"/>
  <c r="CU519" i="42385"/>
  <c r="CV519" i="42385"/>
  <c r="CL521" i="42385"/>
  <c r="CM521" i="42385"/>
  <c r="CN521" i="42385"/>
  <c r="CO521" i="42385"/>
  <c r="CP521" i="42385"/>
  <c r="CQ521" i="42385"/>
  <c r="CR521" i="42385"/>
  <c r="CS521" i="42385"/>
  <c r="CT521" i="42385"/>
  <c r="CU521" i="42385"/>
  <c r="CV521" i="42385"/>
  <c r="CW521" i="42385"/>
  <c r="CX521" i="42385"/>
  <c r="CY521" i="42385"/>
  <c r="CZ521" i="42385"/>
  <c r="DA521" i="42385"/>
  <c r="DB521" i="42385"/>
  <c r="DC521" i="42385"/>
  <c r="CL522" i="42385"/>
  <c r="CU522" i="42385"/>
  <c r="CV522" i="42385"/>
  <c r="BE523" i="42385"/>
  <c r="CW523" i="42385" s="1"/>
  <c r="BJ523" i="42385"/>
  <c r="CX523" i="42385" s="1"/>
  <c r="BO523" i="42385"/>
  <c r="CY523" i="42385" s="1"/>
  <c r="BT523" i="42385"/>
  <c r="CL523" i="42385"/>
  <c r="CU523" i="42385"/>
  <c r="CV523" i="42385"/>
  <c r="BE524" i="42385"/>
  <c r="CW524" i="42385" s="1"/>
  <c r="BJ524" i="42385"/>
  <c r="CX524" i="42385" s="1"/>
  <c r="BO524" i="42385"/>
  <c r="CY524" i="42385" s="1"/>
  <c r="BT524" i="42385"/>
  <c r="CZ524" i="42385" s="1"/>
  <c r="BY524" i="42385"/>
  <c r="CL524" i="42385"/>
  <c r="CU524" i="42385"/>
  <c r="CV524" i="42385"/>
  <c r="CL525" i="42385"/>
  <c r="CU525" i="42385"/>
  <c r="CV525" i="42385"/>
  <c r="CL526" i="42385"/>
  <c r="CU526" i="42385"/>
  <c r="CV526" i="42385"/>
  <c r="CL527" i="42385"/>
  <c r="CV527" i="42385"/>
  <c r="CW527" i="42385"/>
  <c r="CX527" i="42385"/>
  <c r="DB527" i="42385"/>
  <c r="DC527" i="42385"/>
  <c r="BE529" i="42385"/>
  <c r="CD296" i="42492" s="1"/>
  <c r="BJ529" i="42385"/>
  <c r="BO529" i="42385"/>
  <c r="CY529" i="42385" s="1"/>
  <c r="CL529" i="42385"/>
  <c r="CU529" i="42385"/>
  <c r="CV529" i="42385"/>
  <c r="BK530" i="42385"/>
  <c r="BK531" i="42385" s="1"/>
  <c r="BL530" i="42385"/>
  <c r="BL531" i="42385" s="1"/>
  <c r="BM530" i="42385"/>
  <c r="BM531" i="42385" s="1"/>
  <c r="BN530" i="42385"/>
  <c r="BN531" i="42385" s="1"/>
  <c r="BN532" i="42385" s="1"/>
  <c r="BP530" i="42385"/>
  <c r="BQ530" i="42385"/>
  <c r="BR530" i="42385"/>
  <c r="CL530" i="42385"/>
  <c r="CV530" i="42385"/>
  <c r="CW530" i="42385"/>
  <c r="CX530" i="42385"/>
  <c r="BE531" i="42385"/>
  <c r="CW531" i="42385" s="1"/>
  <c r="BJ531" i="42385"/>
  <c r="CX531" i="42385" s="1"/>
  <c r="CL531" i="42385"/>
  <c r="CU531" i="42385"/>
  <c r="CV531" i="42385"/>
  <c r="BC532" i="42385"/>
  <c r="BC225" i="42385" s="1"/>
  <c r="BD532" i="42385"/>
  <c r="BF532" i="42385"/>
  <c r="BG532" i="42385"/>
  <c r="BG225" i="42385" s="1"/>
  <c r="BH532" i="42385"/>
  <c r="BH546" i="42385" s="1"/>
  <c r="BI532" i="42385"/>
  <c r="BI225" i="42385" s="1"/>
  <c r="CL532" i="42385"/>
  <c r="CU532" i="42385"/>
  <c r="CV532" i="42385"/>
  <c r="CL533" i="42385"/>
  <c r="CV533" i="42385"/>
  <c r="CW533" i="42385"/>
  <c r="BC535" i="42385"/>
  <c r="CL535" i="42385"/>
  <c r="CU535" i="42385"/>
  <c r="CV535" i="42385"/>
  <c r="BQ536" i="42385"/>
  <c r="BU536" i="42385"/>
  <c r="CL536" i="42385"/>
  <c r="CU536" i="42385"/>
  <c r="CV536" i="42385"/>
  <c r="CL537" i="42385"/>
  <c r="CU537" i="42385"/>
  <c r="CV537" i="42385"/>
  <c r="CW537" i="42385"/>
  <c r="DB537" i="42385"/>
  <c r="DC537" i="42385"/>
  <c r="BC538" i="42385"/>
  <c r="BD538" i="42385"/>
  <c r="BF538" i="42385"/>
  <c r="BG538" i="42385"/>
  <c r="BH538" i="42385"/>
  <c r="BI538" i="42385"/>
  <c r="BK538" i="42385"/>
  <c r="BL538" i="42385"/>
  <c r="BM538" i="42385"/>
  <c r="BN538" i="42385"/>
  <c r="BP538" i="42385"/>
  <c r="BQ538" i="42385"/>
  <c r="BR538" i="42385"/>
  <c r="CL538" i="42385"/>
  <c r="CU538" i="42385"/>
  <c r="CV538" i="42385"/>
  <c r="CL539" i="42385"/>
  <c r="CU539" i="42385"/>
  <c r="CV539" i="42385"/>
  <c r="DB539" i="42385"/>
  <c r="DC539" i="42385"/>
  <c r="CL540" i="42385"/>
  <c r="CU540" i="42385"/>
  <c r="CV540" i="42385"/>
  <c r="CL542" i="42385"/>
  <c r="CU542" i="42385"/>
  <c r="CV542" i="42385"/>
  <c r="CL543" i="42385"/>
  <c r="CU543" i="42385"/>
  <c r="CV543" i="42385"/>
  <c r="CL544" i="42385"/>
  <c r="CU544" i="42385"/>
  <c r="CV544" i="42385"/>
  <c r="CW544" i="42385"/>
  <c r="BE545" i="42385"/>
  <c r="CW545" i="42385" s="1"/>
  <c r="BJ545" i="42385"/>
  <c r="CX545" i="42385" s="1"/>
  <c r="BO545" i="42385"/>
  <c r="CY545" i="42385" s="1"/>
  <c r="BT545" i="42385"/>
  <c r="CZ545" i="42385" s="1"/>
  <c r="BY545" i="42385"/>
  <c r="DA545" i="42385" s="1"/>
  <c r="CL545" i="42385"/>
  <c r="CU545" i="42385"/>
  <c r="CV545" i="42385"/>
  <c r="BC546" i="42385"/>
  <c r="CL546" i="42385"/>
  <c r="CU546" i="42385"/>
  <c r="CV546" i="42385"/>
  <c r="CL547" i="42385"/>
  <c r="CU547" i="42385"/>
  <c r="CV547" i="42385"/>
  <c r="CL549" i="42385"/>
  <c r="CM549" i="42385"/>
  <c r="CN549" i="42385"/>
  <c r="CO549" i="42385"/>
  <c r="CP549" i="42385"/>
  <c r="CQ549" i="42385"/>
  <c r="CR549" i="42385"/>
  <c r="CS549" i="42385"/>
  <c r="CT549" i="42385"/>
  <c r="CU549" i="42385"/>
  <c r="CV549" i="42385"/>
  <c r="CW549" i="42385"/>
  <c r="CX549" i="42385"/>
  <c r="CY549" i="42385"/>
  <c r="CZ549" i="42385"/>
  <c r="DA549" i="42385"/>
  <c r="DB549" i="42385"/>
  <c r="DC549" i="42385"/>
  <c r="CL550" i="42385"/>
  <c r="CU550" i="42385"/>
  <c r="CV550" i="42385"/>
  <c r="CW550" i="42385"/>
  <c r="BJ551" i="42385"/>
  <c r="CX551" i="42385" s="1"/>
  <c r="BO551" i="42385"/>
  <c r="CY551" i="42385" s="1"/>
  <c r="BT551" i="42385"/>
  <c r="CZ551" i="42385" s="1"/>
  <c r="BY551" i="42385"/>
  <c r="BZ551" i="42385" s="1"/>
  <c r="CL551" i="42385"/>
  <c r="CU551" i="42385"/>
  <c r="CV551" i="42385"/>
  <c r="CW551" i="42385"/>
  <c r="BJ552" i="42385"/>
  <c r="BO552" i="42385"/>
  <c r="BT552" i="42385"/>
  <c r="BY552" i="42385"/>
  <c r="CL552" i="42385"/>
  <c r="CU552" i="42385"/>
  <c r="CV552" i="42385"/>
  <c r="CW552" i="42385"/>
  <c r="CX552" i="42385"/>
  <c r="CY552" i="42385"/>
  <c r="CZ552" i="42385"/>
  <c r="CL553" i="42385"/>
  <c r="CU553" i="42385"/>
  <c r="CV553" i="42385"/>
  <c r="CW553" i="42385"/>
  <c r="BX554" i="42385"/>
  <c r="BX555" i="42385" s="1"/>
  <c r="CB554" i="42385"/>
  <c r="CC554" i="42385" s="1"/>
  <c r="CD554" i="42385" s="1"/>
  <c r="CL554" i="42385"/>
  <c r="CU554" i="42385"/>
  <c r="CV554" i="42385"/>
  <c r="CW554" i="42385"/>
  <c r="DC554" i="42385"/>
  <c r="CL555" i="42385"/>
  <c r="CV555" i="42385"/>
  <c r="CW555" i="42385"/>
  <c r="CX555" i="42385"/>
  <c r="BJ557" i="42385"/>
  <c r="CX557" i="42385" s="1"/>
  <c r="BO557" i="42385"/>
  <c r="CY557" i="42385" s="1"/>
  <c r="CL557" i="42385"/>
  <c r="CU557" i="42385"/>
  <c r="CV557" i="42385"/>
  <c r="CW557" i="42385"/>
  <c r="BL558" i="42385"/>
  <c r="BM558" i="42385"/>
  <c r="BN558" i="42385"/>
  <c r="BP558" i="42385"/>
  <c r="BQ558" i="42385"/>
  <c r="BR558" i="42385"/>
  <c r="CL558" i="42385"/>
  <c r="CV558" i="42385"/>
  <c r="CW558" i="42385"/>
  <c r="CX558" i="42385"/>
  <c r="BJ559" i="42385"/>
  <c r="BJ560" i="42385" s="1"/>
  <c r="BK559" i="42385"/>
  <c r="BK561" i="42385" s="1"/>
  <c r="BK562" i="42385" s="1"/>
  <c r="BL559" i="42385"/>
  <c r="BL561" i="42385" s="1"/>
  <c r="BL562" i="42385" s="1"/>
  <c r="BM559" i="42385"/>
  <c r="BN559" i="42385"/>
  <c r="BN561" i="42385" s="1"/>
  <c r="BP559" i="42385"/>
  <c r="BP561" i="42385" s="1"/>
  <c r="BQ559" i="42385"/>
  <c r="BQ561" i="42385" s="1"/>
  <c r="BR559" i="42385"/>
  <c r="BR561" i="42385" s="1"/>
  <c r="BG560" i="42385"/>
  <c r="BH560" i="42385"/>
  <c r="BI560" i="42385"/>
  <c r="BG561" i="42385"/>
  <c r="BG563" i="42385" s="1"/>
  <c r="BG566" i="42385" s="1"/>
  <c r="BH561" i="42385"/>
  <c r="BI561" i="42385"/>
  <c r="BI562" i="42385" s="1"/>
  <c r="CL562" i="42385"/>
  <c r="CU562" i="42385"/>
  <c r="CV562" i="42385"/>
  <c r="CW562" i="42385"/>
  <c r="CL563" i="42385"/>
  <c r="CU563" i="42385"/>
  <c r="CV563" i="42385"/>
  <c r="CW563" i="42385"/>
  <c r="CL564" i="42385"/>
  <c r="CV564" i="42385"/>
  <c r="CW564" i="42385"/>
  <c r="CX564" i="42385"/>
  <c r="CL566" i="42385"/>
  <c r="CU566" i="42385"/>
  <c r="CV566" i="42385"/>
  <c r="CW566" i="42385"/>
  <c r="BP567" i="42385"/>
  <c r="BR567" i="42385"/>
  <c r="BW567" i="42385" s="1"/>
  <c r="BV567" i="42385"/>
  <c r="CL567" i="42385"/>
  <c r="CU567" i="42385"/>
  <c r="CV567" i="42385"/>
  <c r="CW567" i="42385"/>
  <c r="CL568" i="42385"/>
  <c r="CU568" i="42385"/>
  <c r="CV568" i="42385"/>
  <c r="CW568" i="42385"/>
  <c r="CX568" i="42385"/>
  <c r="BG569" i="42385"/>
  <c r="BH569" i="42385"/>
  <c r="BI569" i="42385"/>
  <c r="BK569" i="42385"/>
  <c r="BL569" i="42385"/>
  <c r="BM569" i="42385"/>
  <c r="BN569" i="42385"/>
  <c r="BP569" i="42385"/>
  <c r="BQ569" i="42385"/>
  <c r="BR569" i="42385"/>
  <c r="CL569" i="42385"/>
  <c r="CU569" i="42385"/>
  <c r="CV569" i="42385"/>
  <c r="CW569" i="42385"/>
  <c r="CL570" i="42385"/>
  <c r="CU570" i="42385"/>
  <c r="CV570" i="42385"/>
  <c r="CW570" i="42385"/>
  <c r="CL571" i="42385"/>
  <c r="CU571" i="42385"/>
  <c r="CV571" i="42385"/>
  <c r="CW571" i="42385"/>
  <c r="CL573" i="42385"/>
  <c r="CU573" i="42385"/>
  <c r="CV573" i="42385"/>
  <c r="CW573" i="42385"/>
  <c r="CL574" i="42385"/>
  <c r="CU574" i="42385"/>
  <c r="CV574" i="42385"/>
  <c r="CW574" i="42385"/>
  <c r="CL575" i="42385"/>
  <c r="CU575" i="42385"/>
  <c r="CV575" i="42385"/>
  <c r="CW575" i="42385"/>
  <c r="CX575" i="42385"/>
  <c r="CY575" i="42385"/>
  <c r="CZ575" i="42385"/>
  <c r="BH576" i="42385"/>
  <c r="CL576" i="42385"/>
  <c r="CU576" i="42385"/>
  <c r="CV576" i="42385"/>
  <c r="CW576" i="42385"/>
  <c r="CL577" i="42385"/>
  <c r="CU577" i="42385"/>
  <c r="CV577" i="42385"/>
  <c r="CW577" i="42385"/>
  <c r="CL578" i="42385"/>
  <c r="CU578" i="42385"/>
  <c r="CV578" i="42385"/>
  <c r="CW578" i="42385"/>
  <c r="CL580" i="42385"/>
  <c r="CM580" i="42385"/>
  <c r="CN580" i="42385"/>
  <c r="CO580" i="42385"/>
  <c r="CP580" i="42385"/>
  <c r="CQ580" i="42385"/>
  <c r="CR580" i="42385"/>
  <c r="CS580" i="42385"/>
  <c r="CT580" i="42385"/>
  <c r="CU580" i="42385"/>
  <c r="CV580" i="42385"/>
  <c r="CW580" i="42385"/>
  <c r="CX580" i="42385"/>
  <c r="CY580" i="42385"/>
  <c r="CZ580" i="42385"/>
  <c r="DA580" i="42385"/>
  <c r="DB580" i="42385"/>
  <c r="DC580" i="42385"/>
  <c r="AK581" i="42385"/>
  <c r="CL581" i="42385"/>
  <c r="CW581" i="42385"/>
  <c r="CX581" i="42385"/>
  <c r="CY581" i="42385"/>
  <c r="CZ581" i="42385"/>
  <c r="DA581" i="42385"/>
  <c r="DB581" i="42385"/>
  <c r="DC581" i="42385"/>
  <c r="AK582" i="42385"/>
  <c r="CS582" i="42385" s="1"/>
  <c r="AL582" i="42385"/>
  <c r="CL582" i="42385"/>
  <c r="CW582" i="42385"/>
  <c r="CX582" i="42385"/>
  <c r="CY582" i="42385"/>
  <c r="CZ582" i="42385"/>
  <c r="DA582" i="42385"/>
  <c r="DB582" i="42385"/>
  <c r="DC582" i="42385"/>
  <c r="AJ583" i="42385"/>
  <c r="AK583" i="42385" s="1"/>
  <c r="CS583" i="42385" s="1"/>
  <c r="AL583" i="42385"/>
  <c r="AM583" i="42385"/>
  <c r="AU583" i="42385"/>
  <c r="CU583" i="42385" s="1"/>
  <c r="AX583" i="42385"/>
  <c r="AY583" i="42385" s="1"/>
  <c r="AZ583" i="42385" s="1"/>
  <c r="CV583" i="42385" s="1"/>
  <c r="CL583" i="42385"/>
  <c r="CW583" i="42385"/>
  <c r="CX583" i="42385"/>
  <c r="CY583" i="42385"/>
  <c r="CZ583" i="42385"/>
  <c r="DA583" i="42385"/>
  <c r="DB583" i="42385"/>
  <c r="DC583" i="42385"/>
  <c r="AI584" i="42385"/>
  <c r="AJ584" i="42385"/>
  <c r="CL584" i="42385"/>
  <c r="CW584" i="42385"/>
  <c r="CX584" i="42385"/>
  <c r="CY584" i="42385"/>
  <c r="CZ584" i="42385"/>
  <c r="DA584" i="42385"/>
  <c r="DB584" i="42385"/>
  <c r="DC584" i="42385"/>
  <c r="AI585" i="42385"/>
  <c r="AJ585" i="42385"/>
  <c r="AK585" i="42385" s="1"/>
  <c r="CS585" i="42385" s="1"/>
  <c r="CL585" i="42385"/>
  <c r="CW585" i="42385"/>
  <c r="CX585" i="42385"/>
  <c r="CY585" i="42385"/>
  <c r="CZ585" i="42385"/>
  <c r="DA585" i="42385"/>
  <c r="DB585" i="42385"/>
  <c r="DC585" i="42385"/>
  <c r="CL586" i="42385"/>
  <c r="CW586" i="42385"/>
  <c r="CX586" i="42385"/>
  <c r="CY586" i="42385"/>
  <c r="CZ586" i="42385"/>
  <c r="DA586" i="42385"/>
  <c r="DB586" i="42385"/>
  <c r="DC586" i="42385"/>
  <c r="AK588" i="42385"/>
  <c r="CS588" i="42385" s="1"/>
  <c r="AP588" i="42385"/>
  <c r="AU588" i="42385"/>
  <c r="HN643" i="42417" s="1"/>
  <c r="AZ588" i="42385"/>
  <c r="CL588" i="42385"/>
  <c r="CW588" i="42385"/>
  <c r="CX588" i="42385"/>
  <c r="CY588" i="42385"/>
  <c r="CZ588" i="42385"/>
  <c r="DA588" i="42385"/>
  <c r="DB588" i="42385"/>
  <c r="DC588" i="42385"/>
  <c r="AO589" i="42385"/>
  <c r="AQ589" i="42385"/>
  <c r="AR589" i="42385"/>
  <c r="AS589" i="42385"/>
  <c r="AT589" i="42385"/>
  <c r="AV589" i="42385"/>
  <c r="AW589" i="42385"/>
  <c r="AX589" i="42385"/>
  <c r="AY589" i="42385"/>
  <c r="CL589" i="42385"/>
  <c r="CW589" i="42385"/>
  <c r="CX589" i="42385"/>
  <c r="CY589" i="42385"/>
  <c r="CZ589" i="42385"/>
  <c r="DA589" i="42385"/>
  <c r="DB589" i="42385"/>
  <c r="DC589" i="42385"/>
  <c r="AI590" i="42385"/>
  <c r="AJ590" i="42385"/>
  <c r="AK590" i="42385" s="1"/>
  <c r="CS590" i="42385" s="1"/>
  <c r="AL590" i="42385"/>
  <c r="AM590" i="42385"/>
  <c r="CL590" i="42385"/>
  <c r="CW590" i="42385"/>
  <c r="CX590" i="42385"/>
  <c r="CY590" i="42385"/>
  <c r="CZ590" i="42385"/>
  <c r="DA590" i="42385"/>
  <c r="DB590" i="42385"/>
  <c r="DC590" i="42385"/>
  <c r="AK591" i="42385"/>
  <c r="CS591" i="42385" s="1"/>
  <c r="CL591" i="42385"/>
  <c r="CW591" i="42385"/>
  <c r="CX591" i="42385"/>
  <c r="CY591" i="42385"/>
  <c r="CZ591" i="42385"/>
  <c r="DA591" i="42385"/>
  <c r="DB591" i="42385"/>
  <c r="DC591" i="42385"/>
  <c r="CL592" i="42385"/>
  <c r="CW592" i="42385"/>
  <c r="CX592" i="42385"/>
  <c r="CY592" i="42385"/>
  <c r="CZ592" i="42385"/>
  <c r="DA592" i="42385"/>
  <c r="DB592" i="42385"/>
  <c r="DC592" i="42385"/>
  <c r="CL594" i="42385"/>
  <c r="CW594" i="42385"/>
  <c r="CX594" i="42385"/>
  <c r="CY594" i="42385"/>
  <c r="CZ594" i="42385"/>
  <c r="DA594" i="42385"/>
  <c r="DB594" i="42385"/>
  <c r="DC594" i="42385"/>
  <c r="CL595" i="42385"/>
  <c r="CW595" i="42385"/>
  <c r="CX595" i="42385"/>
  <c r="CY595" i="42385"/>
  <c r="CZ595" i="42385"/>
  <c r="DA595" i="42385"/>
  <c r="DB595" i="42385"/>
  <c r="DC595" i="42385"/>
  <c r="CL596" i="42385"/>
  <c r="CW596" i="42385"/>
  <c r="CX596" i="42385"/>
  <c r="CY596" i="42385"/>
  <c r="CZ596" i="42385"/>
  <c r="DA596" i="42385"/>
  <c r="DB596" i="42385"/>
  <c r="DC596" i="42385"/>
  <c r="AL597" i="42385"/>
  <c r="AL594" i="42385" s="1"/>
  <c r="AM597" i="42385"/>
  <c r="AM594" i="42385" s="1"/>
  <c r="CL597" i="42385"/>
  <c r="CW597" i="42385"/>
  <c r="CX597" i="42385"/>
  <c r="CY597" i="42385"/>
  <c r="CZ597" i="42385"/>
  <c r="DA597" i="42385"/>
  <c r="DB597" i="42385"/>
  <c r="DC597" i="42385"/>
  <c r="AJ598" i="42385"/>
  <c r="AK598" i="42385" s="1"/>
  <c r="CS598" i="42385" s="1"/>
  <c r="AN598" i="42385"/>
  <c r="AN597" i="42385" s="1"/>
  <c r="CL598" i="42385"/>
  <c r="CW598" i="42385"/>
  <c r="CX598" i="42385"/>
  <c r="CY598" i="42385"/>
  <c r="CZ598" i="42385"/>
  <c r="DA598" i="42385"/>
  <c r="DB598" i="42385"/>
  <c r="DC598" i="42385"/>
  <c r="AJ599" i="42385"/>
  <c r="AK599" i="42385" s="1"/>
  <c r="CS599" i="42385" s="1"/>
  <c r="AL599" i="42385"/>
  <c r="AM599" i="42385"/>
  <c r="CL599" i="42385"/>
  <c r="CW599" i="42385"/>
  <c r="CX599" i="42385"/>
  <c r="CY599" i="42385"/>
  <c r="CZ599" i="42385"/>
  <c r="DA599" i="42385"/>
  <c r="DB599" i="42385"/>
  <c r="DC599" i="42385"/>
  <c r="AI601" i="42385"/>
  <c r="AK601" i="42385"/>
  <c r="CS601" i="42385" s="1"/>
  <c r="CL601" i="42385"/>
  <c r="CW601" i="42385"/>
  <c r="CX601" i="42385"/>
  <c r="CY601" i="42385"/>
  <c r="CZ601" i="42385"/>
  <c r="DA601" i="42385"/>
  <c r="DB601" i="42385"/>
  <c r="DC601" i="42385"/>
  <c r="AJ602" i="42385"/>
  <c r="AK602" i="42385" s="1"/>
  <c r="CS602" i="42385" s="1"/>
  <c r="AL602" i="42385"/>
  <c r="AM602" i="42385"/>
  <c r="AN602" i="42385"/>
  <c r="AO602" i="42385"/>
  <c r="AR602" i="42385"/>
  <c r="AS602" i="42385"/>
  <c r="CL602" i="42385"/>
  <c r="CW602" i="42385"/>
  <c r="CX602" i="42385"/>
  <c r="CY602" i="42385"/>
  <c r="CZ602" i="42385"/>
  <c r="DA602" i="42385"/>
  <c r="DB602" i="42385"/>
  <c r="DC602" i="42385"/>
  <c r="CL603" i="42385"/>
  <c r="CW603" i="42385"/>
  <c r="CX603" i="42385"/>
  <c r="CY603" i="42385"/>
  <c r="CZ603" i="42385"/>
  <c r="DA603" i="42385"/>
  <c r="DB603" i="42385"/>
  <c r="DC603" i="42385"/>
  <c r="AK604" i="42385"/>
  <c r="CS604" i="42385" s="1"/>
  <c r="AN604" i="42385"/>
  <c r="AO604" i="42385" s="1"/>
  <c r="AQ604" i="42385" s="1"/>
  <c r="AR604" i="42385" s="1"/>
  <c r="CL604" i="42385"/>
  <c r="CW604" i="42385"/>
  <c r="CX604" i="42385"/>
  <c r="CY604" i="42385"/>
  <c r="CZ604" i="42385"/>
  <c r="DA604" i="42385"/>
  <c r="DB604" i="42385"/>
  <c r="DC604" i="42385"/>
  <c r="AJ605" i="42385"/>
  <c r="AK605" i="42385" s="1"/>
  <c r="CS605" i="42385" s="1"/>
  <c r="AL605" i="42385"/>
  <c r="AM605" i="42385"/>
  <c r="CL605" i="42385"/>
  <c r="CW605" i="42385"/>
  <c r="CX605" i="42385"/>
  <c r="CY605" i="42385"/>
  <c r="CZ605" i="42385"/>
  <c r="DA605" i="42385"/>
  <c r="DB605" i="42385"/>
  <c r="DC605" i="42385"/>
  <c r="C608" i="42385"/>
  <c r="D608" i="42385"/>
  <c r="E608" i="42385"/>
  <c r="F608" i="42385"/>
  <c r="G608" i="42385"/>
  <c r="CM608" i="42385" s="1"/>
  <c r="H608" i="42385"/>
  <c r="I608" i="42385"/>
  <c r="J608" i="42385"/>
  <c r="K608" i="42385"/>
  <c r="L608" i="42385"/>
  <c r="CN608" i="42385" s="1"/>
  <c r="M608" i="42385"/>
  <c r="N608" i="42385"/>
  <c r="O608" i="42385"/>
  <c r="P608" i="42385"/>
  <c r="Q608" i="42385"/>
  <c r="CO608" i="42385" s="1"/>
  <c r="R608" i="42385"/>
  <c r="S608" i="42385"/>
  <c r="T608" i="42385"/>
  <c r="U608" i="42385"/>
  <c r="V608" i="42385"/>
  <c r="CP608" i="42385" s="1"/>
  <c r="W608" i="42385"/>
  <c r="X608" i="42385"/>
  <c r="Y608" i="42385"/>
  <c r="Z608" i="42385"/>
  <c r="AA608" i="42385"/>
  <c r="CQ608" i="42385" s="1"/>
  <c r="AB608" i="42385"/>
  <c r="AC608" i="42385"/>
  <c r="AD608" i="42385"/>
  <c r="AE608" i="42385"/>
  <c r="AF608" i="42385"/>
  <c r="CR608" i="42385" s="1"/>
  <c r="AG608" i="42385"/>
  <c r="AH608" i="42385"/>
  <c r="AI608" i="42385"/>
  <c r="AJ608" i="42385"/>
  <c r="AK608" i="42385"/>
  <c r="CS608" i="42385" s="1"/>
  <c r="AL608" i="42385"/>
  <c r="AM608" i="42385"/>
  <c r="AN608" i="42385"/>
  <c r="AO608" i="42385"/>
  <c r="AP608" i="42385"/>
  <c r="CT608" i="42385" s="1"/>
  <c r="AQ608" i="42385"/>
  <c r="AR608" i="42385"/>
  <c r="AS608" i="42385"/>
  <c r="AT608" i="42385"/>
  <c r="AU608" i="42385"/>
  <c r="CU608" i="42385" s="1"/>
  <c r="AV608" i="42385"/>
  <c r="AW608" i="42385"/>
  <c r="AX608" i="42385"/>
  <c r="AY608" i="42385"/>
  <c r="AZ608" i="42385"/>
  <c r="CV608" i="42385" s="1"/>
  <c r="BA608" i="42385"/>
  <c r="BB608" i="42385"/>
  <c r="BC608" i="42385"/>
  <c r="BD608" i="42385"/>
  <c r="BE608" i="42385"/>
  <c r="CW608" i="42385" s="1"/>
  <c r="BF608" i="42385"/>
  <c r="BG608" i="42385"/>
  <c r="BH608" i="42385"/>
  <c r="BI608" i="42385"/>
  <c r="BJ608" i="42385"/>
  <c r="CX608" i="42385" s="1"/>
  <c r="BK608" i="42385"/>
  <c r="BL608" i="42385"/>
  <c r="BM608" i="42385"/>
  <c r="BN608" i="42385"/>
  <c r="BO608" i="42385"/>
  <c r="CY608" i="42385" s="1"/>
  <c r="BP608" i="42385"/>
  <c r="BQ608" i="42385"/>
  <c r="BR608" i="42385"/>
  <c r="BS608" i="42385"/>
  <c r="BT608" i="42385"/>
  <c r="CZ608" i="42385" s="1"/>
  <c r="BU608" i="42385"/>
  <c r="BV608" i="42385"/>
  <c r="BW608" i="42385"/>
  <c r="BX608" i="42385"/>
  <c r="BY608" i="42385"/>
  <c r="DA608" i="42385" s="1"/>
  <c r="BZ608" i="42385"/>
  <c r="DB608" i="42385" s="1"/>
  <c r="CA608" i="42385"/>
  <c r="DC608" i="42385" s="1"/>
  <c r="CB608" i="42385"/>
  <c r="CC608" i="42385"/>
  <c r="CD608" i="42385"/>
  <c r="CE608" i="42385"/>
  <c r="CF608" i="42385"/>
  <c r="CL608" i="42385"/>
  <c r="CL610" i="42385"/>
  <c r="CM610" i="42385"/>
  <c r="CN610" i="42385"/>
  <c r="CO610" i="42385"/>
  <c r="CP610" i="42385"/>
  <c r="CQ610" i="42385"/>
  <c r="CR610" i="42385"/>
  <c r="CS610" i="42385"/>
  <c r="CT610" i="42385"/>
  <c r="CU610" i="42385"/>
  <c r="CV610" i="42385"/>
  <c r="CW610" i="42385"/>
  <c r="CX610" i="42385"/>
  <c r="CY610" i="42385"/>
  <c r="CZ610" i="42385"/>
  <c r="DA610" i="42385"/>
  <c r="DB610" i="42385"/>
  <c r="DC610" i="42385"/>
  <c r="CL611" i="42385"/>
  <c r="V612" i="42385"/>
  <c r="CP612" i="42385" s="1"/>
  <c r="AA612" i="42385"/>
  <c r="CQ612" i="42385" s="1"/>
  <c r="AF612" i="42385"/>
  <c r="CR612" i="42385" s="1"/>
  <c r="AG612" i="42385"/>
  <c r="AH612" i="42385" s="1"/>
  <c r="AI612" i="42385" s="1"/>
  <c r="AJ612" i="42385" s="1"/>
  <c r="AK612" i="42385" s="1"/>
  <c r="CL612" i="42385"/>
  <c r="V613" i="42385"/>
  <c r="CP613" i="42385" s="1"/>
  <c r="AA613" i="42385"/>
  <c r="CQ613" i="42385" s="1"/>
  <c r="AF613" i="42385"/>
  <c r="CR613" i="42385" s="1"/>
  <c r="AG613" i="42385"/>
  <c r="CL613" i="42385"/>
  <c r="CL614" i="42385"/>
  <c r="CL615" i="42385"/>
  <c r="CL616" i="42385"/>
  <c r="CP616" i="42385"/>
  <c r="V618" i="42385"/>
  <c r="AA618" i="42385"/>
  <c r="AF618" i="42385"/>
  <c r="AK618" i="42385"/>
  <c r="AN618" i="42385"/>
  <c r="AN230" i="42385" s="1"/>
  <c r="AQ618" i="42385"/>
  <c r="AR618" i="42385"/>
  <c r="BC50" i="42418" s="1"/>
  <c r="CL618" i="42385"/>
  <c r="X619" i="42385"/>
  <c r="Y619" i="42385"/>
  <c r="Z619" i="42385"/>
  <c r="AB619" i="42385"/>
  <c r="AC619" i="42385"/>
  <c r="AD619" i="42385"/>
  <c r="AE619" i="42385"/>
  <c r="AG619" i="42385"/>
  <c r="AH619" i="42385"/>
  <c r="AI619" i="42385"/>
  <c r="AJ619" i="42385"/>
  <c r="AL619" i="42385"/>
  <c r="AM619" i="42385"/>
  <c r="AO619" i="42385"/>
  <c r="AO618" i="42385" s="1"/>
  <c r="CL619" i="42385"/>
  <c r="CP619" i="42385"/>
  <c r="DB619" i="42385"/>
  <c r="DC619" i="42385"/>
  <c r="CL621" i="42385"/>
  <c r="CL622" i="42385"/>
  <c r="AO623" i="42385"/>
  <c r="CL623" i="42385"/>
  <c r="CP623" i="42385"/>
  <c r="DB623" i="42385"/>
  <c r="DC623" i="42385"/>
  <c r="S624" i="42385"/>
  <c r="CL624" i="42385"/>
  <c r="T625" i="42385"/>
  <c r="CL625" i="42385"/>
  <c r="S626" i="42385"/>
  <c r="T626" i="42385"/>
  <c r="U626" i="42385"/>
  <c r="W626" i="42385"/>
  <c r="X626" i="42385"/>
  <c r="Y626" i="42385"/>
  <c r="Z626" i="42385"/>
  <c r="AB626" i="42385"/>
  <c r="AC626" i="42385"/>
  <c r="AD626" i="42385"/>
  <c r="AE626" i="42385"/>
  <c r="AG626" i="42385"/>
  <c r="AH626" i="42385"/>
  <c r="AI626" i="42385"/>
  <c r="AJ626" i="42385"/>
  <c r="AL626" i="42385"/>
  <c r="AM626" i="42385"/>
  <c r="CL626" i="42385"/>
  <c r="V628" i="42385"/>
  <c r="AA628" i="42385"/>
  <c r="AF628" i="42385"/>
  <c r="AK628" i="42385"/>
  <c r="CL628" i="42385"/>
  <c r="CQ628" i="42385"/>
  <c r="CR628" i="42385"/>
  <c r="S629" i="42385"/>
  <c r="T629" i="42385"/>
  <c r="U629" i="42385"/>
  <c r="W629" i="42385"/>
  <c r="X629" i="42385"/>
  <c r="Y629" i="42385"/>
  <c r="Z629" i="42385"/>
  <c r="AB629" i="42385"/>
  <c r="AC629" i="42385"/>
  <c r="AD629" i="42385"/>
  <c r="AE629" i="42385"/>
  <c r="AG629" i="42385"/>
  <c r="AH629" i="42385"/>
  <c r="AI629" i="42385"/>
  <c r="AJ629" i="42385"/>
  <c r="AL629" i="42385"/>
  <c r="AM629" i="42385"/>
  <c r="CL629" i="42385"/>
  <c r="X630" i="42385"/>
  <c r="Y630" i="42385"/>
  <c r="Z630" i="42385"/>
  <c r="AB630" i="42385"/>
  <c r="AC630" i="42385"/>
  <c r="AD630" i="42385"/>
  <c r="AE630" i="42385"/>
  <c r="AG630" i="42385"/>
  <c r="AH630" i="42385"/>
  <c r="AI630" i="42385"/>
  <c r="AJ630" i="42385"/>
  <c r="AL630" i="42385"/>
  <c r="AM630" i="42385"/>
  <c r="CL630" i="42385"/>
  <c r="CP630" i="42385"/>
  <c r="V631" i="42385"/>
  <c r="CP631" i="42385" s="1"/>
  <c r="AA631" i="42385"/>
  <c r="AF631" i="42385"/>
  <c r="AK631" i="42385"/>
  <c r="CS631" i="42385" s="1"/>
  <c r="AN631" i="42385"/>
  <c r="CL631" i="42385"/>
  <c r="S632" i="42385"/>
  <c r="T632" i="42385"/>
  <c r="U632" i="42385"/>
  <c r="W632" i="42385"/>
  <c r="X632" i="42385"/>
  <c r="Y632" i="42385"/>
  <c r="Z632" i="42385"/>
  <c r="AB632" i="42385"/>
  <c r="AC632" i="42385"/>
  <c r="AD632" i="42385"/>
  <c r="AE632" i="42385"/>
  <c r="AG632" i="42385"/>
  <c r="AH632" i="42385"/>
  <c r="AI632" i="42385"/>
  <c r="AJ632" i="42385"/>
  <c r="AL632" i="42385"/>
  <c r="AM632" i="42385"/>
  <c r="CL632" i="42385"/>
  <c r="CL634" i="42385"/>
  <c r="CM634" i="42385"/>
  <c r="CN634" i="42385"/>
  <c r="CO634" i="42385"/>
  <c r="CP634" i="42385"/>
  <c r="CQ634" i="42385"/>
  <c r="CR634" i="42385"/>
  <c r="CS634" i="42385"/>
  <c r="CT634" i="42385"/>
  <c r="CU634" i="42385"/>
  <c r="CV634" i="42385"/>
  <c r="CW634" i="42385"/>
  <c r="CX634" i="42385"/>
  <c r="CY634" i="42385"/>
  <c r="CZ634" i="42385"/>
  <c r="DA634" i="42385"/>
  <c r="DB634" i="42385"/>
  <c r="DC634" i="42385"/>
  <c r="CL635" i="42385"/>
  <c r="CL636" i="42385"/>
  <c r="CL637" i="42385"/>
  <c r="CL638" i="42385"/>
  <c r="AG640" i="42385"/>
  <c r="AL640" i="42385"/>
  <c r="AR640" i="42385"/>
  <c r="AS640" i="42385"/>
  <c r="AT640" i="42385"/>
  <c r="AT231" i="42385" s="1"/>
  <c r="CL640" i="42385"/>
  <c r="AM641" i="42385"/>
  <c r="CL641" i="42385"/>
  <c r="DB641" i="42385"/>
  <c r="DC641" i="42385"/>
  <c r="AH643" i="42385"/>
  <c r="AH644" i="42385" s="1"/>
  <c r="AS643" i="42385"/>
  <c r="AT643" i="42385"/>
  <c r="CL643" i="42385"/>
  <c r="AN644" i="42385"/>
  <c r="AO644" i="42385"/>
  <c r="CL644" i="42385"/>
  <c r="CL645" i="42385"/>
  <c r="DB645" i="42385"/>
  <c r="DC645" i="42385"/>
  <c r="AG647" i="42385"/>
  <c r="AM647" i="42385"/>
  <c r="AL647" i="42385" s="1"/>
  <c r="AN647" i="42385"/>
  <c r="AN281" i="42385" s="1"/>
  <c r="AO647" i="42385"/>
  <c r="CL647" i="42385"/>
  <c r="AH648" i="42385"/>
  <c r="CL648" i="42385"/>
  <c r="AP649" i="42385"/>
  <c r="CT649" i="42385" s="1"/>
  <c r="AQ649" i="42385"/>
  <c r="CL649" i="42385"/>
  <c r="AM650" i="42385"/>
  <c r="AN650" i="42385"/>
  <c r="AO650" i="42385"/>
  <c r="CL650" i="42385"/>
  <c r="G653" i="42385"/>
  <c r="G656" i="42385"/>
  <c r="L653" i="42385"/>
  <c r="Q653" i="42385"/>
  <c r="V653" i="42385"/>
  <c r="AA653" i="42385"/>
  <c r="AF653" i="42385"/>
  <c r="AK653" i="42385"/>
  <c r="AP653" i="42385"/>
  <c r="AU653" i="42385"/>
  <c r="AZ653" i="42385"/>
  <c r="BE653" i="42385"/>
  <c r="AB654" i="42385"/>
  <c r="AG654" i="42385"/>
  <c r="AL654" i="42385"/>
  <c r="AQ654" i="42385"/>
  <c r="AR654" i="42385" s="1"/>
  <c r="AV654" i="42385"/>
  <c r="BA654" i="42385"/>
  <c r="BF654" i="42385"/>
  <c r="BG654" i="42385" s="1"/>
  <c r="BH654" i="42385" s="1"/>
  <c r="AB655" i="42385"/>
  <c r="AC655" i="42385" s="1"/>
  <c r="AD655" i="42385" s="1"/>
  <c r="AE655" i="42385" s="1"/>
  <c r="AG655" i="42385"/>
  <c r="AH655" i="42385" s="1"/>
  <c r="AI655" i="42385" s="1"/>
  <c r="AJ655" i="42385" s="1"/>
  <c r="AL655" i="42385"/>
  <c r="AM655" i="42385" s="1"/>
  <c r="AN655" i="42385" s="1"/>
  <c r="AO655" i="42385" s="1"/>
  <c r="AQ655" i="42385"/>
  <c r="AR655" i="42385" s="1"/>
  <c r="AV655" i="42385"/>
  <c r="AW655" i="42385" s="1"/>
  <c r="AX655" i="42385" s="1"/>
  <c r="AY655" i="42385" s="1"/>
  <c r="BA655" i="42385"/>
  <c r="BB655" i="42385" s="1"/>
  <c r="BC655" i="42385" s="1"/>
  <c r="BD655" i="42385" s="1"/>
  <c r="BF655" i="42385"/>
  <c r="BG655" i="42385" s="1"/>
  <c r="BH655" i="42385" s="1"/>
  <c r="BI655" i="42385" s="1"/>
  <c r="Z661" i="42385"/>
  <c r="AF661" i="42385"/>
  <c r="AJ661" i="42385"/>
  <c r="AO661" i="42385"/>
  <c r="AT661" i="42385"/>
  <c r="AY661" i="42385"/>
  <c r="BD661" i="42385"/>
  <c r="BH661" i="42385"/>
  <c r="BK661" i="42385"/>
  <c r="BP661" i="42385" s="1"/>
  <c r="BL661" i="42385"/>
  <c r="V662" i="42385"/>
  <c r="AA662" i="42385"/>
  <c r="AG662" i="42385"/>
  <c r="AH662" i="42385"/>
  <c r="AI662" i="42385"/>
  <c r="AL662" i="42385"/>
  <c r="AM662" i="42385"/>
  <c r="AN662" i="42385"/>
  <c r="AP662" i="42385"/>
  <c r="AQ662" i="42385"/>
  <c r="AR662" i="42385"/>
  <c r="AS662" i="42385"/>
  <c r="AU662" i="42385"/>
  <c r="AV662" i="42385"/>
  <c r="AW662" i="42385"/>
  <c r="AX662" i="42385"/>
  <c r="AZ662" i="42385"/>
  <c r="BA662" i="42385"/>
  <c r="BB662" i="42385"/>
  <c r="BC662" i="42385"/>
  <c r="BE662" i="42385"/>
  <c r="BF662" i="42385"/>
  <c r="BG662" i="42385"/>
  <c r="Z664" i="42385"/>
  <c r="AF664" i="42385"/>
  <c r="AJ664" i="42385"/>
  <c r="AO664" i="42385"/>
  <c r="AT664" i="42385"/>
  <c r="AY664" i="42385"/>
  <c r="BD664" i="42385"/>
  <c r="BI664" i="42385" s="1"/>
  <c r="BN664" i="42385" s="1"/>
  <c r="BS664" i="42385" s="1"/>
  <c r="BH664" i="42385"/>
  <c r="BM664" i="42385" s="1"/>
  <c r="BR664" i="42385" s="1"/>
  <c r="BW664" i="42385" s="1"/>
  <c r="BK664" i="42385"/>
  <c r="BL664" i="42385"/>
  <c r="V665" i="42385"/>
  <c r="AA665" i="42385"/>
  <c r="AG665" i="42385"/>
  <c r="AH665" i="42385"/>
  <c r="AI665" i="42385"/>
  <c r="AL665" i="42385"/>
  <c r="AM665" i="42385"/>
  <c r="AN665" i="42385"/>
  <c r="AP665" i="42385"/>
  <c r="AQ665" i="42385"/>
  <c r="AR665" i="42385"/>
  <c r="AS665" i="42385"/>
  <c r="AU665" i="42385"/>
  <c r="AV665" i="42385"/>
  <c r="AW665" i="42385"/>
  <c r="AX665" i="42385"/>
  <c r="AZ665" i="42385"/>
  <c r="BA665" i="42385"/>
  <c r="BB665" i="42385"/>
  <c r="BC665" i="42385"/>
  <c r="BE665" i="42385"/>
  <c r="BF665" i="42385"/>
  <c r="BG665" i="42385"/>
  <c r="Z667" i="42385"/>
  <c r="AF667" i="42385"/>
  <c r="AJ667" i="42385"/>
  <c r="AO667" i="42385"/>
  <c r="AT667" i="42385"/>
  <c r="AY667" i="42385"/>
  <c r="BD667" i="42385"/>
  <c r="BH667" i="42385"/>
  <c r="BM667" i="42385" s="1"/>
  <c r="BR667" i="42385" s="1"/>
  <c r="BK667" i="42385"/>
  <c r="BP667" i="42385" s="1"/>
  <c r="BL667" i="42385"/>
  <c r="BQ667" i="42385" s="1"/>
  <c r="V668" i="42385"/>
  <c r="AA668" i="42385"/>
  <c r="AG668" i="42385"/>
  <c r="AH668" i="42385"/>
  <c r="AI668" i="42385"/>
  <c r="AL668" i="42385"/>
  <c r="AM668" i="42385"/>
  <c r="AN668" i="42385"/>
  <c r="AP668" i="42385"/>
  <c r="AQ668" i="42385"/>
  <c r="AR668" i="42385"/>
  <c r="AS668" i="42385"/>
  <c r="AU668" i="42385"/>
  <c r="AV668" i="42385"/>
  <c r="AW668" i="42385"/>
  <c r="AX668" i="42385"/>
  <c r="AZ668" i="42385"/>
  <c r="BA668" i="42385"/>
  <c r="BB668" i="42385"/>
  <c r="BC668" i="42385"/>
  <c r="BE668" i="42385"/>
  <c r="BF668" i="42385"/>
  <c r="BG668" i="42385"/>
  <c r="Z670" i="42385"/>
  <c r="AF670" i="42385"/>
  <c r="AJ670" i="42385"/>
  <c r="AO670" i="42385"/>
  <c r="AT670" i="42385"/>
  <c r="AY670" i="42385"/>
  <c r="BD670" i="42385"/>
  <c r="BI670" i="42385" s="1"/>
  <c r="BH670" i="42385"/>
  <c r="BK670" i="42385"/>
  <c r="BP670" i="42385" s="1"/>
  <c r="BL670" i="42385"/>
  <c r="BQ670" i="42385" s="1"/>
  <c r="V671" i="42385"/>
  <c r="AA671" i="42385"/>
  <c r="AG671" i="42385"/>
  <c r="AH671" i="42385"/>
  <c r="AI671" i="42385"/>
  <c r="AL671" i="42385"/>
  <c r="AM671" i="42385"/>
  <c r="AN671" i="42385"/>
  <c r="AP671" i="42385"/>
  <c r="AQ671" i="42385"/>
  <c r="AR671" i="42385"/>
  <c r="AS671" i="42385"/>
  <c r="AU671" i="42385"/>
  <c r="AV671" i="42385"/>
  <c r="AW671" i="42385"/>
  <c r="AX671" i="42385"/>
  <c r="AZ671" i="42385"/>
  <c r="BA671" i="42385"/>
  <c r="BB671" i="42385"/>
  <c r="BC671" i="42385"/>
  <c r="BE671" i="42385"/>
  <c r="BF671" i="42385"/>
  <c r="BG671" i="42385"/>
  <c r="Q673" i="42385"/>
  <c r="Q675" i="42385" s="1"/>
  <c r="V673" i="42385"/>
  <c r="V677" i="42385" s="1"/>
  <c r="AA673" i="42385"/>
  <c r="AA675" i="42385" s="1"/>
  <c r="AB673" i="42385"/>
  <c r="AB675" i="42385" s="1"/>
  <c r="AC673" i="42385"/>
  <c r="AC675" i="42385" s="1"/>
  <c r="AD673" i="42385"/>
  <c r="AG673" i="42385"/>
  <c r="AG675" i="42385" s="1"/>
  <c r="AH673" i="42385"/>
  <c r="AI673" i="42385"/>
  <c r="AK673" i="42385"/>
  <c r="AK677" i="42385" s="1"/>
  <c r="AL673" i="42385"/>
  <c r="AM673" i="42385"/>
  <c r="AM677" i="42385" s="1"/>
  <c r="AN673" i="42385"/>
  <c r="AN675" i="42385" s="1"/>
  <c r="AP673" i="42385"/>
  <c r="AQ673" i="42385"/>
  <c r="AQ675" i="42385" s="1"/>
  <c r="AR673" i="42385"/>
  <c r="AS673" i="42385"/>
  <c r="AS677" i="42385" s="1"/>
  <c r="AU673" i="42385"/>
  <c r="AV673" i="42385"/>
  <c r="AV677" i="42385" s="1"/>
  <c r="AW673" i="42385"/>
  <c r="AW677" i="42385" s="1"/>
  <c r="AX673" i="42385"/>
  <c r="AZ673" i="42385"/>
  <c r="BA673" i="42385"/>
  <c r="BA675" i="42385" s="1"/>
  <c r="BB673" i="42385"/>
  <c r="BC673" i="42385"/>
  <c r="BC675" i="42385" s="1"/>
  <c r="BE673" i="42385"/>
  <c r="BE677" i="42385" s="1"/>
  <c r="BF673" i="42385"/>
  <c r="BF675" i="42385" s="1"/>
  <c r="BG673" i="42385"/>
  <c r="Z674" i="42385"/>
  <c r="AF674" i="42385"/>
  <c r="AE674" i="42385" s="1"/>
  <c r="AJ674" i="42385"/>
  <c r="AO674" i="42385"/>
  <c r="AT674" i="42385"/>
  <c r="AY674" i="42385"/>
  <c r="BD674" i="42385"/>
  <c r="Z680" i="42385"/>
  <c r="AF680" i="42385"/>
  <c r="AE680" i="42385" s="1"/>
  <c r="AJ680" i="42385"/>
  <c r="AO680" i="42385"/>
  <c r="AT680" i="42385"/>
  <c r="AY680" i="42385"/>
  <c r="AY699" i="42385" s="1"/>
  <c r="BD680" i="42385"/>
  <c r="Z681" i="42385"/>
  <c r="AF681" i="42385"/>
  <c r="AJ681" i="42385"/>
  <c r="AO681" i="42385"/>
  <c r="AT681" i="42385"/>
  <c r="AY681" i="42385"/>
  <c r="BD681" i="42385"/>
  <c r="Z682" i="42385"/>
  <c r="AF682" i="42385"/>
  <c r="AE682" i="42385" s="1"/>
  <c r="AJ682" i="42385"/>
  <c r="AO682" i="42385"/>
  <c r="AO701" i="42385" s="1"/>
  <c r="AT682" i="42385"/>
  <c r="AY682" i="42385"/>
  <c r="BD682" i="42385"/>
  <c r="Z683" i="42385"/>
  <c r="AF683" i="42385"/>
  <c r="AE683" i="42385" s="1"/>
  <c r="AJ683" i="42385"/>
  <c r="AO683" i="42385"/>
  <c r="AT683" i="42385"/>
  <c r="AY683" i="42385"/>
  <c r="BD683" i="42385"/>
  <c r="Q684" i="42385"/>
  <c r="V684" i="42385"/>
  <c r="V691" i="42385" s="1"/>
  <c r="Z684" i="42385"/>
  <c r="AA684" i="42385"/>
  <c r="AA691" i="42385" s="1"/>
  <c r="AB684" i="42385"/>
  <c r="AB691" i="42385" s="1"/>
  <c r="AC684" i="42385"/>
  <c r="AC691" i="42385" s="1"/>
  <c r="AD684" i="42385"/>
  <c r="AD691" i="42385" s="1"/>
  <c r="AF684" i="42385"/>
  <c r="AG684" i="42385"/>
  <c r="AG691" i="42385" s="1"/>
  <c r="AH684" i="42385"/>
  <c r="AH691" i="42385" s="1"/>
  <c r="AI684" i="42385"/>
  <c r="AI691" i="42385" s="1"/>
  <c r="AK684" i="42385"/>
  <c r="AK691" i="42385" s="1"/>
  <c r="AO684" i="42385"/>
  <c r="AT684" i="42385"/>
  <c r="AY684" i="42385"/>
  <c r="BD684" i="42385"/>
  <c r="BI684" i="42385" s="1"/>
  <c r="BN684" i="42385" s="1"/>
  <c r="BH684" i="42385"/>
  <c r="BM684" i="42385" s="1"/>
  <c r="BR684" i="42385" s="1"/>
  <c r="BW684" i="42385" s="1"/>
  <c r="BK684" i="42385"/>
  <c r="BP684" i="42385" s="1"/>
  <c r="BU684" i="42385" s="1"/>
  <c r="BL684" i="42385"/>
  <c r="BQ684" i="42385" s="1"/>
  <c r="Q685" i="42385"/>
  <c r="Z685" i="42385"/>
  <c r="AF685" i="42385"/>
  <c r="AE685" i="42385" s="1"/>
  <c r="AJ685" i="42385"/>
  <c r="AO685" i="42385"/>
  <c r="AT685" i="42385"/>
  <c r="AY685" i="42385"/>
  <c r="BD685" i="42385"/>
  <c r="BI685" i="42385" s="1"/>
  <c r="BH685" i="42385"/>
  <c r="BM685" i="42385" s="1"/>
  <c r="BR685" i="42385" s="1"/>
  <c r="BW685" i="42385" s="1"/>
  <c r="BK685" i="42385"/>
  <c r="BP685" i="42385" s="1"/>
  <c r="BL685" i="42385"/>
  <c r="BQ685" i="42385" s="1"/>
  <c r="BV685" i="42385" s="1"/>
  <c r="Z686" i="42385"/>
  <c r="AF686" i="42385"/>
  <c r="AE686" i="42385" s="1"/>
  <c r="AJ686" i="42385"/>
  <c r="AO686" i="42385"/>
  <c r="AT686" i="42385"/>
  <c r="AY686" i="42385"/>
  <c r="BD686" i="42385"/>
  <c r="BH686" i="42385"/>
  <c r="BI686" i="42385" s="1"/>
  <c r="BK686" i="42385" s="1"/>
  <c r="BL686" i="42385" s="1"/>
  <c r="Z687" i="42385"/>
  <c r="AE687" i="42385"/>
  <c r="AJ687" i="42385"/>
  <c r="AO687" i="42385"/>
  <c r="AT687" i="42385"/>
  <c r="AY687" i="42385"/>
  <c r="BD687" i="42385"/>
  <c r="Z688" i="42385"/>
  <c r="AE688" i="42385"/>
  <c r="AJ688" i="42385"/>
  <c r="AO688" i="42385"/>
  <c r="AT688" i="42385"/>
  <c r="AY688" i="42385"/>
  <c r="BD688" i="42385"/>
  <c r="AE689" i="42385"/>
  <c r="AJ689" i="42385"/>
  <c r="AO689" i="42385"/>
  <c r="AT689" i="42385"/>
  <c r="AY689" i="42385"/>
  <c r="BD689" i="42385"/>
  <c r="G691" i="42385"/>
  <c r="L691" i="42385"/>
  <c r="AL691" i="42385"/>
  <c r="AM691" i="42385"/>
  <c r="AN691" i="42385"/>
  <c r="AP691" i="42385"/>
  <c r="AQ691" i="42385"/>
  <c r="AR691" i="42385"/>
  <c r="AS691" i="42385"/>
  <c r="AU691" i="42385"/>
  <c r="AV691" i="42385"/>
  <c r="AW691" i="42385"/>
  <c r="AX691" i="42385"/>
  <c r="AZ691" i="42385"/>
  <c r="BA691" i="42385"/>
  <c r="BB691" i="42385"/>
  <c r="BC691" i="42385"/>
  <c r="BE691" i="42385"/>
  <c r="BF691" i="42385"/>
  <c r="BG691" i="42385"/>
  <c r="Q699" i="42385"/>
  <c r="V699" i="42385"/>
  <c r="AA699" i="42385"/>
  <c r="AB699" i="42385"/>
  <c r="AC699" i="42385"/>
  <c r="AD699" i="42385"/>
  <c r="AG699" i="42385"/>
  <c r="AH699" i="42385"/>
  <c r="AI699" i="42385"/>
  <c r="AK699" i="42385"/>
  <c r="AL699" i="42385"/>
  <c r="AM699" i="42385"/>
  <c r="AN699" i="42385"/>
  <c r="AP699" i="42385"/>
  <c r="AQ699" i="42385"/>
  <c r="AR699" i="42385"/>
  <c r="AS699" i="42385"/>
  <c r="AU699" i="42385"/>
  <c r="AV699" i="42385"/>
  <c r="AW699" i="42385"/>
  <c r="AX699" i="42385"/>
  <c r="AZ699" i="42385"/>
  <c r="BA699" i="42385"/>
  <c r="BB699" i="42385"/>
  <c r="BC699" i="42385"/>
  <c r="BH699" i="42385" s="1"/>
  <c r="BE699" i="42385"/>
  <c r="BF699" i="42385"/>
  <c r="BK699" i="42385" s="1"/>
  <c r="BK680" i="42385" s="1"/>
  <c r="BG699" i="42385"/>
  <c r="BL699" i="42385" s="1"/>
  <c r="BX699" i="42385"/>
  <c r="Q700" i="42385"/>
  <c r="V700" i="42385"/>
  <c r="AA700" i="42385"/>
  <c r="AB700" i="42385"/>
  <c r="AC700" i="42385"/>
  <c r="AD700" i="42385"/>
  <c r="AG700" i="42385"/>
  <c r="AH700" i="42385"/>
  <c r="AI700" i="42385"/>
  <c r="AK700" i="42385"/>
  <c r="AL700" i="42385"/>
  <c r="AM700" i="42385"/>
  <c r="AN700" i="42385"/>
  <c r="AP700" i="42385"/>
  <c r="AQ700" i="42385"/>
  <c r="AR700" i="42385"/>
  <c r="AS700" i="42385"/>
  <c r="AU700" i="42385"/>
  <c r="AV700" i="42385"/>
  <c r="AW700" i="42385"/>
  <c r="AX700" i="42385"/>
  <c r="AZ700" i="42385"/>
  <c r="BA700" i="42385"/>
  <c r="BB700" i="42385"/>
  <c r="BC700" i="42385"/>
  <c r="BH700" i="42385" s="1"/>
  <c r="BE700" i="42385"/>
  <c r="BF700" i="42385"/>
  <c r="BK700" i="42385" s="1"/>
  <c r="BG700" i="42385"/>
  <c r="BL700" i="42385" s="1"/>
  <c r="BV700" i="42385"/>
  <c r="BW700" i="42385"/>
  <c r="BX700" i="42385"/>
  <c r="Q701" i="42385"/>
  <c r="V701" i="42385"/>
  <c r="AA701" i="42385"/>
  <c r="AB701" i="42385"/>
  <c r="AC701" i="42385"/>
  <c r="AD701" i="42385"/>
  <c r="AG701" i="42385"/>
  <c r="AH701" i="42385"/>
  <c r="AI701" i="42385"/>
  <c r="AK701" i="42385"/>
  <c r="AL701" i="42385"/>
  <c r="AM701" i="42385"/>
  <c r="AN701" i="42385"/>
  <c r="AP701" i="42385"/>
  <c r="AQ701" i="42385"/>
  <c r="AR701" i="42385"/>
  <c r="AS701" i="42385"/>
  <c r="AU701" i="42385"/>
  <c r="AV701" i="42385"/>
  <c r="AW701" i="42385"/>
  <c r="AX701" i="42385"/>
  <c r="AZ701" i="42385"/>
  <c r="BA701" i="42385"/>
  <c r="BB701" i="42385"/>
  <c r="BC701" i="42385"/>
  <c r="BH701" i="42385" s="1"/>
  <c r="BE701" i="42385"/>
  <c r="BF701" i="42385"/>
  <c r="BK701" i="42385" s="1"/>
  <c r="BG701" i="42385"/>
  <c r="BL701" i="42385" s="1"/>
  <c r="BL682" i="42385" s="1"/>
  <c r="BV701" i="42385"/>
  <c r="BW701" i="42385"/>
  <c r="BX701" i="42385"/>
  <c r="Q702" i="42385"/>
  <c r="V702" i="42385"/>
  <c r="AA702" i="42385"/>
  <c r="AB702" i="42385"/>
  <c r="AC702" i="42385"/>
  <c r="AD702" i="42385"/>
  <c r="AG702" i="42385"/>
  <c r="AH702" i="42385"/>
  <c r="AI702" i="42385"/>
  <c r="AK702" i="42385"/>
  <c r="AL702" i="42385"/>
  <c r="AM702" i="42385"/>
  <c r="AN702" i="42385"/>
  <c r="AP702" i="42385"/>
  <c r="AQ702" i="42385"/>
  <c r="AR702" i="42385"/>
  <c r="AS702" i="42385"/>
  <c r="AU702" i="42385"/>
  <c r="AV702" i="42385"/>
  <c r="AW702" i="42385"/>
  <c r="AX702" i="42385"/>
  <c r="AZ702" i="42385"/>
  <c r="BA702" i="42385"/>
  <c r="BB702" i="42385"/>
  <c r="BC702" i="42385"/>
  <c r="BE702" i="42385"/>
  <c r="BF702" i="42385"/>
  <c r="BK702" i="42385" s="1"/>
  <c r="BG702" i="42385"/>
  <c r="BL702" i="42385" s="1"/>
  <c r="BL683" i="42385" s="1"/>
  <c r="BM702" i="42385"/>
  <c r="BN702" i="42385"/>
  <c r="BU702" i="42385"/>
  <c r="BV702" i="42385"/>
  <c r="BW702" i="42385"/>
  <c r="BX702" i="42385"/>
  <c r="CL704" i="42385"/>
  <c r="CM704" i="42385"/>
  <c r="CN704" i="42385"/>
  <c r="CO704" i="42385"/>
  <c r="CP704" i="42385"/>
  <c r="CQ704" i="42385"/>
  <c r="CR704" i="42385"/>
  <c r="CS704" i="42385"/>
  <c r="CT704" i="42385"/>
  <c r="CU704" i="42385"/>
  <c r="CV704" i="42385"/>
  <c r="CW704" i="42385"/>
  <c r="CX704" i="42385"/>
  <c r="CY704" i="42385"/>
  <c r="CZ704" i="42385"/>
  <c r="DA704" i="42385"/>
  <c r="DB704" i="42385"/>
  <c r="DC704" i="42385"/>
  <c r="C705" i="42385"/>
  <c r="E705" i="42385"/>
  <c r="F705" i="42385"/>
  <c r="G705" i="42385" s="1"/>
  <c r="CL705" i="42385"/>
  <c r="G706" i="42385"/>
  <c r="CM706" i="42385" s="1"/>
  <c r="L706" i="42385"/>
  <c r="CN706" i="42385" s="1"/>
  <c r="Q706" i="42385"/>
  <c r="CO706" i="42385" s="1"/>
  <c r="V706" i="42385"/>
  <c r="CP706" i="42385" s="1"/>
  <c r="AA706" i="42385"/>
  <c r="CQ706" i="42385" s="1"/>
  <c r="AF706" i="42385"/>
  <c r="CR706" i="42385" s="1"/>
  <c r="AG706" i="42385"/>
  <c r="AH706" i="42385" s="1"/>
  <c r="AK706" i="42385"/>
  <c r="CS706" i="42385" s="1"/>
  <c r="AL706" i="42385"/>
  <c r="CL706" i="42385"/>
  <c r="G707" i="42385"/>
  <c r="CM707" i="42385" s="1"/>
  <c r="L707" i="42385"/>
  <c r="CN707" i="42385" s="1"/>
  <c r="Q707" i="42385"/>
  <c r="CO707" i="42385" s="1"/>
  <c r="V707" i="42385"/>
  <c r="CP707" i="42385" s="1"/>
  <c r="AA707" i="42385"/>
  <c r="CQ707" i="42385" s="1"/>
  <c r="AF707" i="42385"/>
  <c r="CR707" i="42385" s="1"/>
  <c r="AG707" i="42385"/>
  <c r="AH707" i="42385" s="1"/>
  <c r="AI707" i="42385" s="1"/>
  <c r="AK707" i="42385"/>
  <c r="CS707" i="42385" s="1"/>
  <c r="AL707" i="42385"/>
  <c r="AM707" i="42385" s="1"/>
  <c r="AN707" i="42385" s="1"/>
  <c r="AO707" i="42385" s="1"/>
  <c r="AP707" i="42385" s="1"/>
  <c r="CL707" i="42385"/>
  <c r="CL708" i="42385"/>
  <c r="G710" i="42385"/>
  <c r="CM710" i="42385" s="1"/>
  <c r="L710" i="42385"/>
  <c r="Q710" i="42385"/>
  <c r="V710" i="42385"/>
  <c r="CP710" i="42385" s="1"/>
  <c r="AA710" i="42385"/>
  <c r="CQ710" i="42385" s="1"/>
  <c r="AF710" i="42385"/>
  <c r="AK710" i="42385"/>
  <c r="AN710" i="42385"/>
  <c r="AN234" i="42385" s="1"/>
  <c r="AO710" i="42385"/>
  <c r="AO234" i="42385" s="1"/>
  <c r="GN495" i="42417" s="1"/>
  <c r="AQ710" i="42385"/>
  <c r="AR710" i="42385"/>
  <c r="AW710" i="42385" s="1"/>
  <c r="AW234" i="42385" s="1"/>
  <c r="CL710" i="42385"/>
  <c r="H711" i="42385"/>
  <c r="I711" i="42385"/>
  <c r="J711" i="42385"/>
  <c r="K711" i="42385"/>
  <c r="M711" i="42385"/>
  <c r="N711" i="42385"/>
  <c r="O711" i="42385"/>
  <c r="P711" i="42385"/>
  <c r="R711" i="42385"/>
  <c r="S711" i="42385"/>
  <c r="T711" i="42385"/>
  <c r="U711" i="42385"/>
  <c r="W711" i="42385"/>
  <c r="X711" i="42385"/>
  <c r="Y711" i="42385"/>
  <c r="Z711" i="42385"/>
  <c r="AB711" i="42385"/>
  <c r="AC711" i="42385"/>
  <c r="AD711" i="42385"/>
  <c r="AE711" i="42385"/>
  <c r="AG711" i="42385"/>
  <c r="AH711" i="42385"/>
  <c r="AI711" i="42385"/>
  <c r="AJ711" i="42385"/>
  <c r="AL711" i="42385"/>
  <c r="AM711" i="42385"/>
  <c r="CL711" i="42385"/>
  <c r="CM711" i="42385"/>
  <c r="DB711" i="42385"/>
  <c r="DC711" i="42385"/>
  <c r="C713" i="42385"/>
  <c r="C714" i="42385" s="1"/>
  <c r="D713" i="42385"/>
  <c r="E713" i="42385"/>
  <c r="E714" i="42385" s="1"/>
  <c r="F713" i="42385"/>
  <c r="F714" i="42385" s="1"/>
  <c r="H713" i="42385"/>
  <c r="I713" i="42385"/>
  <c r="I714" i="42385" s="1"/>
  <c r="J713" i="42385"/>
  <c r="K713" i="42385"/>
  <c r="K714" i="42385" s="1"/>
  <c r="M713" i="42385"/>
  <c r="N713" i="42385"/>
  <c r="O713" i="42385"/>
  <c r="O714" i="42385" s="1"/>
  <c r="P713" i="42385"/>
  <c r="P714" i="42385" s="1"/>
  <c r="R713" i="42385"/>
  <c r="R715" i="42385" s="1"/>
  <c r="S713" i="42385"/>
  <c r="S714" i="42385" s="1"/>
  <c r="T713" i="42385"/>
  <c r="U713" i="42385"/>
  <c r="U714" i="42385" s="1"/>
  <c r="W713" i="42385"/>
  <c r="X713" i="42385"/>
  <c r="Y713" i="42385"/>
  <c r="Y714" i="42385" s="1"/>
  <c r="Z713" i="42385"/>
  <c r="AB713" i="42385"/>
  <c r="AC713" i="42385"/>
  <c r="AC714" i="42385" s="1"/>
  <c r="AD713" i="42385"/>
  <c r="AD714" i="42385" s="1"/>
  <c r="AE713" i="42385"/>
  <c r="AE714" i="42385" s="1"/>
  <c r="AG713" i="42385"/>
  <c r="AH713" i="42385"/>
  <c r="AI713" i="42385"/>
  <c r="AI714" i="42385" s="1"/>
  <c r="AJ713" i="42385"/>
  <c r="AJ714" i="42385" s="1"/>
  <c r="AL713" i="42385"/>
  <c r="AQ713" i="42385" s="1"/>
  <c r="AV713" i="42385" s="1"/>
  <c r="BA713" i="42385" s="1"/>
  <c r="BF713" i="42385" s="1"/>
  <c r="AM713" i="42385"/>
  <c r="AN713" i="42385"/>
  <c r="AS713" i="42385" s="1"/>
  <c r="CL713" i="42385"/>
  <c r="CL714" i="42385"/>
  <c r="CL715" i="42385"/>
  <c r="CM715" i="42385"/>
  <c r="DB715" i="42385"/>
  <c r="DC715" i="42385"/>
  <c r="G717" i="42385"/>
  <c r="CM717" i="42385" s="1"/>
  <c r="L717" i="42385"/>
  <c r="L718" i="42385" s="1"/>
  <c r="CN718" i="42385" s="1"/>
  <c r="Q717" i="42385"/>
  <c r="V717" i="42385"/>
  <c r="AA717" i="42385"/>
  <c r="CQ717" i="42385" s="1"/>
  <c r="AF717" i="42385"/>
  <c r="AF718" i="42385" s="1"/>
  <c r="CR718" i="42385" s="1"/>
  <c r="AK717" i="42385"/>
  <c r="CS717" i="42385" s="1"/>
  <c r="CL717" i="42385"/>
  <c r="C718" i="42385"/>
  <c r="D718" i="42385"/>
  <c r="E718" i="42385"/>
  <c r="F718" i="42385"/>
  <c r="H718" i="42385"/>
  <c r="I718" i="42385"/>
  <c r="J718" i="42385"/>
  <c r="K718" i="42385"/>
  <c r="M718" i="42385"/>
  <c r="N718" i="42385"/>
  <c r="O718" i="42385"/>
  <c r="P718" i="42385"/>
  <c r="R718" i="42385"/>
  <c r="S718" i="42385"/>
  <c r="T718" i="42385"/>
  <c r="U718" i="42385"/>
  <c r="W718" i="42385"/>
  <c r="X718" i="42385"/>
  <c r="Y718" i="42385"/>
  <c r="Z718" i="42385"/>
  <c r="AB718" i="42385"/>
  <c r="AC718" i="42385"/>
  <c r="AD718" i="42385"/>
  <c r="AE718" i="42385"/>
  <c r="AG718" i="42385"/>
  <c r="AH718" i="42385"/>
  <c r="AI718" i="42385"/>
  <c r="AJ718" i="42385"/>
  <c r="AL718" i="42385"/>
  <c r="AM718" i="42385"/>
  <c r="CL718" i="42385"/>
  <c r="H719" i="42385"/>
  <c r="I719" i="42385"/>
  <c r="J719" i="42385"/>
  <c r="K719" i="42385"/>
  <c r="M719" i="42385"/>
  <c r="N719" i="42385"/>
  <c r="O719" i="42385"/>
  <c r="P719" i="42385"/>
  <c r="R719" i="42385"/>
  <c r="S719" i="42385"/>
  <c r="T719" i="42385"/>
  <c r="U719" i="42385"/>
  <c r="W719" i="42385"/>
  <c r="X719" i="42385"/>
  <c r="Y719" i="42385"/>
  <c r="Z719" i="42385"/>
  <c r="AB719" i="42385"/>
  <c r="AC719" i="42385"/>
  <c r="AD719" i="42385"/>
  <c r="AE719" i="42385"/>
  <c r="AG719" i="42385"/>
  <c r="AH719" i="42385"/>
  <c r="AI719" i="42385"/>
  <c r="AJ719" i="42385"/>
  <c r="AL719" i="42385"/>
  <c r="AM719" i="42385"/>
  <c r="CL719" i="42385"/>
  <c r="CM719" i="42385"/>
  <c r="G720" i="42385"/>
  <c r="CM720" i="42385" s="1"/>
  <c r="L720" i="42385"/>
  <c r="Q720" i="42385"/>
  <c r="V720" i="42385"/>
  <c r="CP720" i="42385" s="1"/>
  <c r="AA720" i="42385"/>
  <c r="AF720" i="42385"/>
  <c r="AK720" i="42385"/>
  <c r="CS720" i="42385" s="1"/>
  <c r="AM720" i="42385"/>
  <c r="AN720" i="42385" s="1"/>
  <c r="CL720" i="42385"/>
  <c r="C721" i="42385"/>
  <c r="D721" i="42385"/>
  <c r="E721" i="42385"/>
  <c r="F721" i="42385"/>
  <c r="H721" i="42385"/>
  <c r="I721" i="42385"/>
  <c r="J721" i="42385"/>
  <c r="K721" i="42385"/>
  <c r="M721" i="42385"/>
  <c r="N721" i="42385"/>
  <c r="O721" i="42385"/>
  <c r="P721" i="42385"/>
  <c r="R721" i="42385"/>
  <c r="S721" i="42385"/>
  <c r="T721" i="42385"/>
  <c r="U721" i="42385"/>
  <c r="W721" i="42385"/>
  <c r="X721" i="42385"/>
  <c r="Y721" i="42385"/>
  <c r="Z721" i="42385"/>
  <c r="AB721" i="42385"/>
  <c r="AC721" i="42385"/>
  <c r="AD721" i="42385"/>
  <c r="AE721" i="42385"/>
  <c r="AG721" i="42385"/>
  <c r="AH721" i="42385"/>
  <c r="AI721" i="42385"/>
  <c r="AJ721" i="42385"/>
  <c r="AL721" i="42385"/>
  <c r="CL721" i="42385"/>
  <c r="BO725" i="42385"/>
  <c r="BQ725" i="42385"/>
  <c r="BR725" i="42385" s="1"/>
  <c r="BS725" i="42385" s="1"/>
  <c r="BT725" i="42385" s="1"/>
  <c r="BO726" i="42385"/>
  <c r="BQ726" i="42385"/>
  <c r="BR726" i="42385" s="1"/>
  <c r="BS726" i="42385" s="1"/>
  <c r="BT726" i="42385" s="1"/>
  <c r="BU726" i="42385" s="1"/>
  <c r="BV726" i="42385" s="1"/>
  <c r="BW726" i="42385" s="1"/>
  <c r="BX726" i="42385" s="1"/>
  <c r="BY726" i="42385" s="1"/>
  <c r="BZ726" i="42385" s="1"/>
  <c r="CA726" i="42385" s="1"/>
  <c r="BQ739" i="42385"/>
  <c r="BR739" i="42385"/>
  <c r="BS739" i="42385"/>
  <c r="BU739" i="42385" s="1"/>
  <c r="CL742" i="42385"/>
  <c r="CM742" i="42385"/>
  <c r="CN742" i="42385"/>
  <c r="CO742" i="42385"/>
  <c r="CP742" i="42385"/>
  <c r="CQ742" i="42385"/>
  <c r="CR742" i="42385"/>
  <c r="CS742" i="42385"/>
  <c r="CT742" i="42385"/>
  <c r="CU742" i="42385"/>
  <c r="CV742" i="42385"/>
  <c r="CW742" i="42385"/>
  <c r="CX742" i="42385"/>
  <c r="CY742" i="42385"/>
  <c r="CZ742" i="42385"/>
  <c r="DA742" i="42385"/>
  <c r="DB742" i="42385"/>
  <c r="DC742" i="42385"/>
  <c r="C743" i="42385"/>
  <c r="E743" i="42385"/>
  <c r="F743" i="42385"/>
  <c r="G743" i="42385" s="1"/>
  <c r="CL743" i="42385"/>
  <c r="J744" i="42385"/>
  <c r="AF744" i="42385"/>
  <c r="CR744" i="42385" s="1"/>
  <c r="AG744" i="42385"/>
  <c r="AK744" i="42385"/>
  <c r="AL744" i="42385"/>
  <c r="CL744" i="42385"/>
  <c r="CM744" i="42385"/>
  <c r="CN744" i="42385"/>
  <c r="CO744" i="42385"/>
  <c r="CP744" i="42385"/>
  <c r="CQ744" i="42385"/>
  <c r="CS744" i="42385"/>
  <c r="J745" i="42385"/>
  <c r="AF745" i="42385"/>
  <c r="CR745" i="42385" s="1"/>
  <c r="AG745" i="42385"/>
  <c r="AH745" i="42385" s="1"/>
  <c r="AI745" i="42385" s="1"/>
  <c r="AK745" i="42385"/>
  <c r="CS745" i="42385" s="1"/>
  <c r="AL745" i="42385"/>
  <c r="AM745" i="42385" s="1"/>
  <c r="AN745" i="42385" s="1"/>
  <c r="AO745" i="42385" s="1"/>
  <c r="AP745" i="42385" s="1"/>
  <c r="CL745" i="42385"/>
  <c r="CM745" i="42385"/>
  <c r="CN745" i="42385"/>
  <c r="CO745" i="42385"/>
  <c r="CP745" i="42385"/>
  <c r="CQ745" i="42385"/>
  <c r="CL746" i="42385"/>
  <c r="G748" i="42385"/>
  <c r="L748" i="42385"/>
  <c r="Q748" i="42385"/>
  <c r="CO748" i="42385" s="1"/>
  <c r="V748" i="42385"/>
  <c r="CP748" i="42385" s="1"/>
  <c r="AA748" i="42385"/>
  <c r="AF748" i="42385"/>
  <c r="AK748" i="42385"/>
  <c r="CS748" i="42385" s="1"/>
  <c r="AN748" i="42385"/>
  <c r="AO748" i="42385"/>
  <c r="AO236" i="42385" s="1"/>
  <c r="GN496" i="42417" s="1"/>
  <c r="AQ748" i="42385"/>
  <c r="AQ236" i="42385" s="1"/>
  <c r="AR748" i="42385"/>
  <c r="BC78" i="42418" s="1"/>
  <c r="CL748" i="42385"/>
  <c r="H749" i="42385"/>
  <c r="I749" i="42385"/>
  <c r="J749" i="42385"/>
  <c r="K749" i="42385"/>
  <c r="M749" i="42385"/>
  <c r="N749" i="42385"/>
  <c r="O749" i="42385"/>
  <c r="T749" i="42385"/>
  <c r="U749" i="42385"/>
  <c r="W749" i="42385"/>
  <c r="X749" i="42385"/>
  <c r="Y749" i="42385"/>
  <c r="Z749" i="42385"/>
  <c r="AB749" i="42385"/>
  <c r="AC749" i="42385"/>
  <c r="AD749" i="42385"/>
  <c r="AE749" i="42385"/>
  <c r="AG749" i="42385"/>
  <c r="AH749" i="42385"/>
  <c r="AI749" i="42385"/>
  <c r="AJ749" i="42385"/>
  <c r="AL749" i="42385"/>
  <c r="AM749" i="42385"/>
  <c r="CL749" i="42385"/>
  <c r="CM749" i="42385"/>
  <c r="DB749" i="42385"/>
  <c r="DC749" i="42385"/>
  <c r="C751" i="42385"/>
  <c r="C752" i="42385" s="1"/>
  <c r="D751" i="42385"/>
  <c r="E751" i="42385"/>
  <c r="F751" i="42385"/>
  <c r="F752" i="42385" s="1"/>
  <c r="H751" i="42385"/>
  <c r="I751" i="42385"/>
  <c r="I753" i="42385" s="1"/>
  <c r="J751" i="42385"/>
  <c r="J752" i="42385" s="1"/>
  <c r="K751" i="42385"/>
  <c r="K753" i="42385" s="1"/>
  <c r="M751" i="42385"/>
  <c r="N751" i="42385"/>
  <c r="N753" i="42385" s="1"/>
  <c r="O751" i="42385"/>
  <c r="O753" i="42385" s="1"/>
  <c r="P751" i="42385"/>
  <c r="P752" i="42385" s="1"/>
  <c r="R751" i="42385"/>
  <c r="R752" i="42385" s="1"/>
  <c r="S751" i="42385"/>
  <c r="T751" i="42385"/>
  <c r="T752" i="42385" s="1"/>
  <c r="U751" i="42385"/>
  <c r="U752" i="42385" s="1"/>
  <c r="W751" i="42385"/>
  <c r="W752" i="42385" s="1"/>
  <c r="X751" i="42385"/>
  <c r="X752" i="42385" s="1"/>
  <c r="Y751" i="42385"/>
  <c r="Y752" i="42385" s="1"/>
  <c r="Z751" i="42385"/>
  <c r="Z752" i="42385" s="1"/>
  <c r="AB751" i="42385"/>
  <c r="AC751" i="42385"/>
  <c r="AC753" i="42385" s="1"/>
  <c r="AD751" i="42385"/>
  <c r="AE751" i="42385"/>
  <c r="AG751" i="42385"/>
  <c r="AH751" i="42385"/>
  <c r="AH752" i="42385" s="1"/>
  <c r="AI751" i="42385"/>
  <c r="AJ751" i="42385"/>
  <c r="AL751" i="42385"/>
  <c r="AQ751" i="42385" s="1"/>
  <c r="AM751" i="42385"/>
  <c r="CL751" i="42385"/>
  <c r="CL752" i="42385"/>
  <c r="AO753" i="42385"/>
  <c r="AR753" i="42385"/>
  <c r="CL753" i="42385"/>
  <c r="CM753" i="42385"/>
  <c r="DB753" i="42385"/>
  <c r="DC753" i="42385"/>
  <c r="G755" i="42385"/>
  <c r="CM755" i="42385" s="1"/>
  <c r="L755" i="42385"/>
  <c r="CN755" i="42385" s="1"/>
  <c r="Q755" i="42385"/>
  <c r="V755" i="42385"/>
  <c r="AA755" i="42385"/>
  <c r="CQ755" i="42385" s="1"/>
  <c r="AF755" i="42385"/>
  <c r="CR755" i="42385" s="1"/>
  <c r="AK755" i="42385"/>
  <c r="CL755" i="42385"/>
  <c r="C756" i="42385"/>
  <c r="D756" i="42385"/>
  <c r="E756" i="42385"/>
  <c r="F756" i="42385"/>
  <c r="H756" i="42385"/>
  <c r="I756" i="42385"/>
  <c r="J756" i="42385"/>
  <c r="O756" i="42385"/>
  <c r="P756" i="42385"/>
  <c r="R756" i="42385"/>
  <c r="S756" i="42385"/>
  <c r="T756" i="42385"/>
  <c r="U756" i="42385"/>
  <c r="W756" i="42385"/>
  <c r="X756" i="42385"/>
  <c r="Y756" i="42385"/>
  <c r="Z756" i="42385"/>
  <c r="AB756" i="42385"/>
  <c r="AC756" i="42385"/>
  <c r="AD756" i="42385"/>
  <c r="AE756" i="42385"/>
  <c r="AG756" i="42385"/>
  <c r="AH756" i="42385"/>
  <c r="AI756" i="42385"/>
  <c r="AJ756" i="42385"/>
  <c r="AL756" i="42385"/>
  <c r="AM756" i="42385"/>
  <c r="CL756" i="42385"/>
  <c r="H757" i="42385"/>
  <c r="I757" i="42385"/>
  <c r="J757" i="42385"/>
  <c r="K757" i="42385"/>
  <c r="M757" i="42385"/>
  <c r="N757" i="42385"/>
  <c r="O757" i="42385"/>
  <c r="T757" i="42385"/>
  <c r="U757" i="42385"/>
  <c r="W757" i="42385"/>
  <c r="X757" i="42385"/>
  <c r="Y757" i="42385"/>
  <c r="Z757" i="42385"/>
  <c r="AB757" i="42385"/>
  <c r="AC757" i="42385"/>
  <c r="AD757" i="42385"/>
  <c r="AE757" i="42385"/>
  <c r="AG757" i="42385"/>
  <c r="AH757" i="42385"/>
  <c r="AI757" i="42385"/>
  <c r="AJ757" i="42385"/>
  <c r="AL757" i="42385"/>
  <c r="AM757" i="42385"/>
  <c r="CL757" i="42385"/>
  <c r="CM757" i="42385"/>
  <c r="G758" i="42385"/>
  <c r="CM758" i="42385" s="1"/>
  <c r="L758" i="42385"/>
  <c r="CN758" i="42385" s="1"/>
  <c r="Q758" i="42385"/>
  <c r="V758" i="42385"/>
  <c r="AA758" i="42385"/>
  <c r="AF758" i="42385"/>
  <c r="CR758" i="42385" s="1"/>
  <c r="AK758" i="42385"/>
  <c r="AN758" i="42385"/>
  <c r="CL758" i="42385"/>
  <c r="C759" i="42385"/>
  <c r="D759" i="42385"/>
  <c r="E759" i="42385"/>
  <c r="F759" i="42385"/>
  <c r="H759" i="42385"/>
  <c r="I759" i="42385"/>
  <c r="J759" i="42385"/>
  <c r="O759" i="42385"/>
  <c r="P759" i="42385"/>
  <c r="R759" i="42385"/>
  <c r="S759" i="42385"/>
  <c r="T759" i="42385"/>
  <c r="U759" i="42385"/>
  <c r="W759" i="42385"/>
  <c r="X759" i="42385"/>
  <c r="Y759" i="42385"/>
  <c r="Z759" i="42385"/>
  <c r="AB759" i="42385"/>
  <c r="AC759" i="42385"/>
  <c r="AD759" i="42385"/>
  <c r="AE759" i="42385"/>
  <c r="AG759" i="42385"/>
  <c r="AH759" i="42385"/>
  <c r="AI759" i="42385"/>
  <c r="AJ759" i="42385"/>
  <c r="AL759" i="42385"/>
  <c r="AM759" i="42385"/>
  <c r="CL759" i="42385"/>
  <c r="CL761" i="42385"/>
  <c r="CM761" i="42385"/>
  <c r="CN761" i="42385"/>
  <c r="CO761" i="42385"/>
  <c r="CP761" i="42385"/>
  <c r="CQ761" i="42385"/>
  <c r="CR761" i="42385"/>
  <c r="CS761" i="42385"/>
  <c r="CT761" i="42385"/>
  <c r="CU761" i="42385"/>
  <c r="CV761" i="42385"/>
  <c r="CW761" i="42385"/>
  <c r="CX761" i="42385"/>
  <c r="CY761" i="42385"/>
  <c r="CZ761" i="42385"/>
  <c r="DA761" i="42385"/>
  <c r="DB761" i="42385"/>
  <c r="DC761" i="42385"/>
  <c r="C762" i="42385"/>
  <c r="F762" i="42385"/>
  <c r="CL762" i="42385"/>
  <c r="G763" i="42385"/>
  <c r="CM763" i="42385" s="1"/>
  <c r="J763" i="42385"/>
  <c r="L763" i="42385"/>
  <c r="CN763" i="42385" s="1"/>
  <c r="N763" i="42385"/>
  <c r="Q763" i="42385"/>
  <c r="CO763" i="42385" s="1"/>
  <c r="V763" i="42385"/>
  <c r="CP763" i="42385" s="1"/>
  <c r="AA763" i="42385"/>
  <c r="CQ763" i="42385" s="1"/>
  <c r="AF763" i="42385"/>
  <c r="CR763" i="42385" s="1"/>
  <c r="AG763" i="42385"/>
  <c r="AH763" i="42385" s="1"/>
  <c r="AK763" i="42385"/>
  <c r="AL763" i="42385" s="1"/>
  <c r="AM763" i="42385" s="1"/>
  <c r="CL763" i="42385"/>
  <c r="G764" i="42385"/>
  <c r="CM764" i="42385" s="1"/>
  <c r="J764" i="42385"/>
  <c r="L764" i="42385"/>
  <c r="CN764" i="42385" s="1"/>
  <c r="N764" i="42385"/>
  <c r="Q764" i="42385"/>
  <c r="CO764" i="42385" s="1"/>
  <c r="V764" i="42385"/>
  <c r="CP764" i="42385" s="1"/>
  <c r="AA764" i="42385"/>
  <c r="CQ764" i="42385" s="1"/>
  <c r="AF764" i="42385"/>
  <c r="CR764" i="42385" s="1"/>
  <c r="AG764" i="42385"/>
  <c r="AH764" i="42385" s="1"/>
  <c r="AK764" i="42385"/>
  <c r="CS764" i="42385" s="1"/>
  <c r="AL764" i="42385"/>
  <c r="AM764" i="42385" s="1"/>
  <c r="AN764" i="42385" s="1"/>
  <c r="AO764" i="42385" s="1"/>
  <c r="AP764" i="42385" s="1"/>
  <c r="CL764" i="42385"/>
  <c r="CL765" i="42385"/>
  <c r="G767" i="42385"/>
  <c r="CM767" i="42385" s="1"/>
  <c r="L767" i="42385"/>
  <c r="Q767" i="42385"/>
  <c r="CO767" i="42385" s="1"/>
  <c r="V767" i="42385"/>
  <c r="AA767" i="42385"/>
  <c r="AF767" i="42385"/>
  <c r="AK767" i="42385"/>
  <c r="CS767" i="42385" s="1"/>
  <c r="AN767" i="42385"/>
  <c r="AN237" i="42385" s="1"/>
  <c r="AO767" i="42385"/>
  <c r="AO237" i="42385" s="1"/>
  <c r="AQ767" i="42385"/>
  <c r="AR767" i="42385"/>
  <c r="BC71" i="42418" s="1"/>
  <c r="CL767" i="42385"/>
  <c r="H768" i="42385"/>
  <c r="I768" i="42385"/>
  <c r="J768" i="42385"/>
  <c r="K768" i="42385"/>
  <c r="M768" i="42385"/>
  <c r="N768" i="42385"/>
  <c r="O768" i="42385"/>
  <c r="T768" i="42385"/>
  <c r="U768" i="42385"/>
  <c r="W768" i="42385"/>
  <c r="X768" i="42385"/>
  <c r="Y768" i="42385"/>
  <c r="Z768" i="42385"/>
  <c r="AB768" i="42385"/>
  <c r="AC768" i="42385"/>
  <c r="AD768" i="42385"/>
  <c r="AE768" i="42385"/>
  <c r="AG768" i="42385"/>
  <c r="AH768" i="42385"/>
  <c r="AI768" i="42385"/>
  <c r="AJ768" i="42385"/>
  <c r="AL768" i="42385"/>
  <c r="AM768" i="42385"/>
  <c r="CL768" i="42385"/>
  <c r="CM768" i="42385"/>
  <c r="DB768" i="42385"/>
  <c r="DC768" i="42385"/>
  <c r="C770" i="42385"/>
  <c r="C771" i="42385" s="1"/>
  <c r="D770" i="42385"/>
  <c r="D771" i="42385" s="1"/>
  <c r="E770" i="42385"/>
  <c r="E771" i="42385" s="1"/>
  <c r="F770" i="42385"/>
  <c r="F771" i="42385" s="1"/>
  <c r="H770" i="42385"/>
  <c r="H771" i="42385" s="1"/>
  <c r="I770" i="42385"/>
  <c r="I771" i="42385" s="1"/>
  <c r="J770" i="42385"/>
  <c r="K770" i="42385"/>
  <c r="M770" i="42385"/>
  <c r="N770" i="42385"/>
  <c r="O770" i="42385"/>
  <c r="P770" i="42385"/>
  <c r="P771" i="42385" s="1"/>
  <c r="R770" i="42385"/>
  <c r="R771" i="42385" s="1"/>
  <c r="S770" i="42385"/>
  <c r="T770" i="42385"/>
  <c r="U770" i="42385"/>
  <c r="U771" i="42385" s="1"/>
  <c r="W770" i="42385"/>
  <c r="X770" i="42385"/>
  <c r="Y770" i="42385"/>
  <c r="Y771" i="42385" s="1"/>
  <c r="Z770" i="42385"/>
  <c r="AB770" i="42385"/>
  <c r="AC770" i="42385"/>
  <c r="AD770" i="42385"/>
  <c r="AE770" i="42385"/>
  <c r="AG770" i="42385"/>
  <c r="AG771" i="42385" s="1"/>
  <c r="AH770" i="42385"/>
  <c r="AI770" i="42385"/>
  <c r="AJ770" i="42385"/>
  <c r="AJ771" i="42385" s="1"/>
  <c r="AL770" i="42385"/>
  <c r="AQ770" i="42385" s="1"/>
  <c r="AM770" i="42385"/>
  <c r="CL770" i="42385"/>
  <c r="Z771" i="42385"/>
  <c r="CL771" i="42385"/>
  <c r="AO772" i="42385"/>
  <c r="CL772" i="42385"/>
  <c r="CM772" i="42385"/>
  <c r="DB772" i="42385"/>
  <c r="DC772" i="42385"/>
  <c r="G774" i="42385"/>
  <c r="CM774" i="42385" s="1"/>
  <c r="L774" i="42385"/>
  <c r="Q774" i="42385"/>
  <c r="V774" i="42385"/>
  <c r="CP774" i="42385" s="1"/>
  <c r="AA774" i="42385"/>
  <c r="AF774" i="42385"/>
  <c r="CR774" i="42385" s="1"/>
  <c r="AK774" i="42385"/>
  <c r="CS774" i="42385" s="1"/>
  <c r="CL774" i="42385"/>
  <c r="C775" i="42385"/>
  <c r="D775" i="42385"/>
  <c r="E775" i="42385"/>
  <c r="F775" i="42385"/>
  <c r="H775" i="42385"/>
  <c r="I775" i="42385"/>
  <c r="J775" i="42385"/>
  <c r="N775" i="42385"/>
  <c r="O775" i="42385"/>
  <c r="P775" i="42385"/>
  <c r="R775" i="42385"/>
  <c r="S775" i="42385"/>
  <c r="T775" i="42385"/>
  <c r="U775" i="42385"/>
  <c r="W775" i="42385"/>
  <c r="X775" i="42385"/>
  <c r="Y775" i="42385"/>
  <c r="Z775" i="42385"/>
  <c r="AB775" i="42385"/>
  <c r="AC775" i="42385"/>
  <c r="AD775" i="42385"/>
  <c r="AE775" i="42385"/>
  <c r="AG775" i="42385"/>
  <c r="AH775" i="42385"/>
  <c r="AI775" i="42385"/>
  <c r="AJ775" i="42385"/>
  <c r="AL775" i="42385"/>
  <c r="AM775" i="42385"/>
  <c r="CL775" i="42385"/>
  <c r="H776" i="42385"/>
  <c r="I776" i="42385"/>
  <c r="J776" i="42385"/>
  <c r="K776" i="42385"/>
  <c r="M776" i="42385"/>
  <c r="N776" i="42385"/>
  <c r="O776" i="42385"/>
  <c r="T776" i="42385"/>
  <c r="U776" i="42385"/>
  <c r="W776" i="42385"/>
  <c r="X776" i="42385"/>
  <c r="Y776" i="42385"/>
  <c r="Z776" i="42385"/>
  <c r="AB776" i="42385"/>
  <c r="AC776" i="42385"/>
  <c r="AD776" i="42385"/>
  <c r="AE776" i="42385"/>
  <c r="AG776" i="42385"/>
  <c r="AH776" i="42385"/>
  <c r="AI776" i="42385"/>
  <c r="AJ776" i="42385"/>
  <c r="AL776" i="42385"/>
  <c r="AM776" i="42385"/>
  <c r="CL776" i="42385"/>
  <c r="CM776" i="42385"/>
  <c r="G777" i="42385"/>
  <c r="L777" i="42385"/>
  <c r="CN777" i="42385" s="1"/>
  <c r="Q777" i="42385"/>
  <c r="CO777" i="42385" s="1"/>
  <c r="V777" i="42385"/>
  <c r="CP777" i="42385" s="1"/>
  <c r="AA777" i="42385"/>
  <c r="CQ777" i="42385" s="1"/>
  <c r="AF777" i="42385"/>
  <c r="CR777" i="42385" s="1"/>
  <c r="AK777" i="42385"/>
  <c r="CS777" i="42385" s="1"/>
  <c r="AN777" i="42385"/>
  <c r="AO777" i="42385" s="1"/>
  <c r="CL777" i="42385"/>
  <c r="C778" i="42385"/>
  <c r="D778" i="42385"/>
  <c r="E778" i="42385"/>
  <c r="F778" i="42385"/>
  <c r="H778" i="42385"/>
  <c r="I778" i="42385"/>
  <c r="J778" i="42385"/>
  <c r="N778" i="42385"/>
  <c r="O778" i="42385"/>
  <c r="P778" i="42385"/>
  <c r="R778" i="42385"/>
  <c r="S778" i="42385"/>
  <c r="T778" i="42385"/>
  <c r="U778" i="42385"/>
  <c r="W778" i="42385"/>
  <c r="X778" i="42385"/>
  <c r="Y778" i="42385"/>
  <c r="Z778" i="42385"/>
  <c r="AB778" i="42385"/>
  <c r="AC778" i="42385"/>
  <c r="AD778" i="42385"/>
  <c r="AE778" i="42385"/>
  <c r="AG778" i="42385"/>
  <c r="AH778" i="42385"/>
  <c r="AI778" i="42385"/>
  <c r="AJ778" i="42385"/>
  <c r="AL778" i="42385"/>
  <c r="AM778" i="42385"/>
  <c r="CL778" i="42385"/>
  <c r="C781" i="42385"/>
  <c r="D781" i="42385"/>
  <c r="E781" i="42385"/>
  <c r="F781" i="42385"/>
  <c r="G781" i="42385"/>
  <c r="CM781" i="42385" s="1"/>
  <c r="H781" i="42385"/>
  <c r="I781" i="42385"/>
  <c r="J781" i="42385"/>
  <c r="K781" i="42385"/>
  <c r="L781" i="42385"/>
  <c r="CN781" i="42385" s="1"/>
  <c r="M781" i="42385"/>
  <c r="N781" i="42385"/>
  <c r="O781" i="42385"/>
  <c r="P781" i="42385"/>
  <c r="Q781" i="42385"/>
  <c r="CO781" i="42385" s="1"/>
  <c r="R781" i="42385"/>
  <c r="S781" i="42385"/>
  <c r="T781" i="42385"/>
  <c r="U781" i="42385"/>
  <c r="V781" i="42385"/>
  <c r="CP781" i="42385" s="1"/>
  <c r="W781" i="42385"/>
  <c r="X781" i="42385"/>
  <c r="Y781" i="42385"/>
  <c r="Z781" i="42385"/>
  <c r="AA781" i="42385"/>
  <c r="CQ781" i="42385" s="1"/>
  <c r="AB781" i="42385"/>
  <c r="AC781" i="42385"/>
  <c r="AD781" i="42385"/>
  <c r="AE781" i="42385"/>
  <c r="AF781" i="42385"/>
  <c r="CR781" i="42385" s="1"/>
  <c r="AG781" i="42385"/>
  <c r="AH781" i="42385"/>
  <c r="AI781" i="42385"/>
  <c r="AJ781" i="42385"/>
  <c r="AK781" i="42385"/>
  <c r="CS781" i="42385" s="1"/>
  <c r="AL781" i="42385"/>
  <c r="AM781" i="42385"/>
  <c r="AN781" i="42385"/>
  <c r="AO781" i="42385"/>
  <c r="AP781" i="42385"/>
  <c r="CT781" i="42385" s="1"/>
  <c r="AQ781" i="42385"/>
  <c r="AR781" i="42385"/>
  <c r="AS781" i="42385"/>
  <c r="AT781" i="42385"/>
  <c r="AU781" i="42385"/>
  <c r="CU781" i="42385" s="1"/>
  <c r="AV781" i="42385"/>
  <c r="AW781" i="42385"/>
  <c r="AX781" i="42385"/>
  <c r="AY781" i="42385"/>
  <c r="AZ781" i="42385"/>
  <c r="CV781" i="42385" s="1"/>
  <c r="BA781" i="42385"/>
  <c r="BB781" i="42385"/>
  <c r="BC781" i="42385"/>
  <c r="BD781" i="42385"/>
  <c r="BE781" i="42385"/>
  <c r="CW781" i="42385" s="1"/>
  <c r="BF781" i="42385"/>
  <c r="BG781" i="42385"/>
  <c r="BH781" i="42385"/>
  <c r="BI781" i="42385"/>
  <c r="BJ781" i="42385"/>
  <c r="CX781" i="42385" s="1"/>
  <c r="BK781" i="42385"/>
  <c r="BL781" i="42385"/>
  <c r="BM781" i="42385"/>
  <c r="BN781" i="42385"/>
  <c r="BO781" i="42385"/>
  <c r="CY781" i="42385" s="1"/>
  <c r="BP781" i="42385"/>
  <c r="BQ781" i="42385"/>
  <c r="BR781" i="42385"/>
  <c r="BS781" i="42385"/>
  <c r="BT781" i="42385"/>
  <c r="CZ781" i="42385" s="1"/>
  <c r="BU781" i="42385"/>
  <c r="BV781" i="42385"/>
  <c r="BW781" i="42385"/>
  <c r="BX781" i="42385"/>
  <c r="BY781" i="42385"/>
  <c r="DA781" i="42385" s="1"/>
  <c r="BZ781" i="42385"/>
  <c r="DB781" i="42385" s="1"/>
  <c r="CA781" i="42385"/>
  <c r="DC781" i="42385" s="1"/>
  <c r="CB781" i="42385"/>
  <c r="CC781" i="42385"/>
  <c r="CD781" i="42385"/>
  <c r="CE781" i="42385"/>
  <c r="CF781" i="42385"/>
  <c r="CL781" i="42385"/>
  <c r="CL782" i="42385"/>
  <c r="CM782" i="42385"/>
  <c r="CN782" i="42385"/>
  <c r="CO782" i="42385"/>
  <c r="CP782" i="42385"/>
  <c r="CQ782" i="42385"/>
  <c r="CR782" i="42385"/>
  <c r="CS782" i="42385"/>
  <c r="CT782" i="42385"/>
  <c r="CU782" i="42385"/>
  <c r="CV782" i="42385"/>
  <c r="CW782" i="42385"/>
  <c r="CX782" i="42385"/>
  <c r="CY782" i="42385"/>
  <c r="CZ782" i="42385"/>
  <c r="DA782" i="42385"/>
  <c r="DB782" i="42385"/>
  <c r="DC782" i="42385"/>
  <c r="C783" i="42385"/>
  <c r="D783" i="42385"/>
  <c r="CL783" i="42385"/>
  <c r="G784" i="42385"/>
  <c r="CM784" i="42385" s="1"/>
  <c r="L784" i="42385"/>
  <c r="CN784" i="42385" s="1"/>
  <c r="Q784" i="42385"/>
  <c r="CO784" i="42385" s="1"/>
  <c r="V784" i="42385"/>
  <c r="CP784" i="42385" s="1"/>
  <c r="AA784" i="42385"/>
  <c r="CQ784" i="42385" s="1"/>
  <c r="AF784" i="42385"/>
  <c r="CR784" i="42385" s="1"/>
  <c r="AG784" i="42385"/>
  <c r="AP784" i="42385"/>
  <c r="CT784" i="42385" s="1"/>
  <c r="AU784" i="42385"/>
  <c r="AZ784" i="42385"/>
  <c r="CV784" i="42385" s="1"/>
  <c r="BE784" i="42385"/>
  <c r="CW784" i="42385" s="1"/>
  <c r="BJ784" i="42385"/>
  <c r="CX784" i="42385" s="1"/>
  <c r="BO784" i="42385"/>
  <c r="BT784" i="42385"/>
  <c r="CZ784" i="42385" s="1"/>
  <c r="CL784" i="42385"/>
  <c r="G785" i="42385"/>
  <c r="L785" i="42385"/>
  <c r="CN785" i="42385" s="1"/>
  <c r="Q785" i="42385"/>
  <c r="CO785" i="42385" s="1"/>
  <c r="V785" i="42385"/>
  <c r="AA785" i="42385"/>
  <c r="AF785" i="42385"/>
  <c r="CR785" i="42385" s="1"/>
  <c r="AG785" i="42385"/>
  <c r="AH785" i="42385" s="1"/>
  <c r="AI785" i="42385" s="1"/>
  <c r="AJ785" i="42385" s="1"/>
  <c r="AK785" i="42385" s="1"/>
  <c r="CS785" i="42385" s="1"/>
  <c r="AP785" i="42385"/>
  <c r="CT785" i="42385" s="1"/>
  <c r="AU785" i="42385"/>
  <c r="CU785" i="42385" s="1"/>
  <c r="AZ785" i="42385"/>
  <c r="CV785" i="42385" s="1"/>
  <c r="BE785" i="42385"/>
  <c r="CW785" i="42385" s="1"/>
  <c r="BJ785" i="42385"/>
  <c r="CX785" i="42385" s="1"/>
  <c r="BO785" i="42385"/>
  <c r="BT785" i="42385"/>
  <c r="BU785" i="42385" s="1"/>
  <c r="BV785" i="42385" s="1"/>
  <c r="BW785" i="42385" s="1"/>
  <c r="BX785" i="42385" s="1"/>
  <c r="BY785" i="42385" s="1"/>
  <c r="BZ785" i="42385" s="1"/>
  <c r="CL785" i="42385"/>
  <c r="CP785" i="42385"/>
  <c r="CY785" i="42385"/>
  <c r="CL786" i="42385"/>
  <c r="CL787" i="42385"/>
  <c r="CL788" i="42385"/>
  <c r="CM788" i="42385"/>
  <c r="G790" i="42385"/>
  <c r="CM790" i="42385" s="1"/>
  <c r="L790" i="42385"/>
  <c r="CN790" i="42385" s="1"/>
  <c r="Q790" i="42385"/>
  <c r="V790" i="42385"/>
  <c r="U17" i="42443" s="1"/>
  <c r="AA790" i="42385"/>
  <c r="Z17" i="42443" s="1"/>
  <c r="AF790" i="42385"/>
  <c r="CR790" i="42385" s="1"/>
  <c r="AK790" i="42385"/>
  <c r="AP790" i="42385"/>
  <c r="AP34" i="42400" s="1"/>
  <c r="AP49" i="42400" s="1"/>
  <c r="AU790" i="42385"/>
  <c r="AZ790" i="42385"/>
  <c r="AZ34" i="42400" s="1"/>
  <c r="AZ49" i="42400" s="1"/>
  <c r="BE790" i="42385"/>
  <c r="BJ790" i="42385"/>
  <c r="BJ34" i="42400" s="1"/>
  <c r="BJ49" i="42400" s="1"/>
  <c r="BO790" i="42385"/>
  <c r="CY790" i="42385" s="1"/>
  <c r="BS34" i="42400"/>
  <c r="BS49" i="42400" s="1"/>
  <c r="BV790" i="42385"/>
  <c r="BV34" i="42400" s="1"/>
  <c r="BV49" i="42400" s="1"/>
  <c r="BW790" i="42385"/>
  <c r="BW34" i="42400" s="1"/>
  <c r="BW49" i="42400" s="1"/>
  <c r="CL790" i="42385"/>
  <c r="H791" i="42385"/>
  <c r="I791" i="42385"/>
  <c r="J791" i="42385"/>
  <c r="K791" i="42385"/>
  <c r="M791" i="42385"/>
  <c r="N791" i="42385"/>
  <c r="O791" i="42385"/>
  <c r="P791" i="42385"/>
  <c r="R791" i="42385"/>
  <c r="S791" i="42385"/>
  <c r="T791" i="42385"/>
  <c r="U791" i="42385"/>
  <c r="W791" i="42385"/>
  <c r="X791" i="42385"/>
  <c r="Y791" i="42385"/>
  <c r="Z791" i="42385"/>
  <c r="AB791" i="42385"/>
  <c r="AC791" i="42385"/>
  <c r="AD791" i="42385"/>
  <c r="AE791" i="42385"/>
  <c r="AG791" i="42385"/>
  <c r="AH791" i="42385"/>
  <c r="AI791" i="42385"/>
  <c r="AJ791" i="42385"/>
  <c r="AL791" i="42385"/>
  <c r="AM791" i="42385"/>
  <c r="AN791" i="42385"/>
  <c r="AO791" i="42385"/>
  <c r="AQ791" i="42385"/>
  <c r="AR791" i="42385"/>
  <c r="AS791" i="42385"/>
  <c r="AT791" i="42385"/>
  <c r="AV791" i="42385"/>
  <c r="AW791" i="42385"/>
  <c r="AX791" i="42385"/>
  <c r="AY791" i="42385"/>
  <c r="BA791" i="42385"/>
  <c r="BB791" i="42385"/>
  <c r="BC791" i="42385"/>
  <c r="BD791" i="42385"/>
  <c r="BF791" i="42385"/>
  <c r="BG791" i="42385"/>
  <c r="BH791" i="42385"/>
  <c r="BI791" i="42385"/>
  <c r="BK791" i="42385"/>
  <c r="BL791" i="42385"/>
  <c r="BM791" i="42385"/>
  <c r="BN791" i="42385"/>
  <c r="BP791" i="42385"/>
  <c r="BQ791" i="42385"/>
  <c r="BR791" i="42385"/>
  <c r="BZ791" i="42385"/>
  <c r="DB791" i="42385" s="1"/>
  <c r="CA791" i="42385"/>
  <c r="DC791" i="42385" s="1"/>
  <c r="CB791" i="42385"/>
  <c r="CC791" i="42385"/>
  <c r="CD791" i="42385"/>
  <c r="CE791" i="42385"/>
  <c r="CF791" i="42385"/>
  <c r="CL791" i="42385"/>
  <c r="CM791" i="42385"/>
  <c r="G793" i="42385"/>
  <c r="L793" i="42385"/>
  <c r="K16" i="42443" s="1"/>
  <c r="Q793" i="42385"/>
  <c r="V793" i="42385"/>
  <c r="U16" i="42443" s="1"/>
  <c r="AA793" i="42385"/>
  <c r="AF793" i="42385"/>
  <c r="CR793" i="42385" s="1"/>
  <c r="AK793" i="42385"/>
  <c r="AP793" i="42385"/>
  <c r="AU793" i="42385"/>
  <c r="CU793" i="42385" s="1"/>
  <c r="AZ793" i="42385"/>
  <c r="BE793" i="42385"/>
  <c r="BJ793" i="42385"/>
  <c r="CX793" i="42385" s="1"/>
  <c r="BO793" i="42385"/>
  <c r="BO33" i="42400" s="1"/>
  <c r="BT793" i="42385"/>
  <c r="CZ793" i="42385" s="1"/>
  <c r="BU33" i="42400"/>
  <c r="BU47" i="42400" s="1"/>
  <c r="BV793" i="42385"/>
  <c r="BV33" i="42400" s="1"/>
  <c r="BV47" i="42400" s="1"/>
  <c r="BW793" i="42385"/>
  <c r="BW33" i="42400" s="1"/>
  <c r="BW47" i="42400" s="1"/>
  <c r="CL793" i="42385"/>
  <c r="H794" i="42385"/>
  <c r="I794" i="42385"/>
  <c r="J794" i="42385"/>
  <c r="K794" i="42385"/>
  <c r="M794" i="42385"/>
  <c r="N794" i="42385"/>
  <c r="O794" i="42385"/>
  <c r="P794" i="42385"/>
  <c r="R794" i="42385"/>
  <c r="S794" i="42385"/>
  <c r="T794" i="42385"/>
  <c r="U794" i="42385"/>
  <c r="W794" i="42385"/>
  <c r="X794" i="42385"/>
  <c r="Y794" i="42385"/>
  <c r="Z794" i="42385"/>
  <c r="AB794" i="42385"/>
  <c r="AC794" i="42385"/>
  <c r="AD794" i="42385"/>
  <c r="AE794" i="42385"/>
  <c r="AG794" i="42385"/>
  <c r="AH794" i="42385"/>
  <c r="AI794" i="42385"/>
  <c r="AJ794" i="42385"/>
  <c r="AL794" i="42385"/>
  <c r="AM794" i="42385"/>
  <c r="AN794" i="42385"/>
  <c r="AO794" i="42385"/>
  <c r="AQ794" i="42385"/>
  <c r="AR794" i="42385"/>
  <c r="AS794" i="42385"/>
  <c r="AT794" i="42385"/>
  <c r="AV794" i="42385"/>
  <c r="AW794" i="42385"/>
  <c r="AX794" i="42385"/>
  <c r="AY794" i="42385"/>
  <c r="BA794" i="42385"/>
  <c r="BB794" i="42385"/>
  <c r="BC794" i="42385"/>
  <c r="BD794" i="42385"/>
  <c r="BF794" i="42385"/>
  <c r="BG794" i="42385"/>
  <c r="BH794" i="42385"/>
  <c r="BI794" i="42385"/>
  <c r="BK794" i="42385"/>
  <c r="BL794" i="42385"/>
  <c r="BM794" i="42385"/>
  <c r="BN794" i="42385"/>
  <c r="BP794" i="42385"/>
  <c r="BQ794" i="42385"/>
  <c r="BR794" i="42385"/>
  <c r="CL794" i="42385"/>
  <c r="CM794" i="42385"/>
  <c r="DB794" i="42385"/>
  <c r="DC794" i="42385"/>
  <c r="C795" i="42385"/>
  <c r="D795" i="42385"/>
  <c r="E795" i="42385"/>
  <c r="F795" i="42385"/>
  <c r="H795" i="42385"/>
  <c r="I795" i="42385"/>
  <c r="J795" i="42385"/>
  <c r="K795" i="42385"/>
  <c r="M795" i="42385"/>
  <c r="N795" i="42385"/>
  <c r="O795" i="42385"/>
  <c r="P795" i="42385"/>
  <c r="R795" i="42385"/>
  <c r="S795" i="42385"/>
  <c r="T795" i="42385"/>
  <c r="U795" i="42385"/>
  <c r="W795" i="42385"/>
  <c r="X795" i="42385"/>
  <c r="Y795" i="42385"/>
  <c r="Z795" i="42385"/>
  <c r="AB795" i="42385"/>
  <c r="AC795" i="42385"/>
  <c r="AD795" i="42385"/>
  <c r="AE795" i="42385"/>
  <c r="AG795" i="42385"/>
  <c r="AH795" i="42385"/>
  <c r="AI795" i="42385"/>
  <c r="AJ795" i="42385" s="1"/>
  <c r="AL795" i="42385"/>
  <c r="AM795" i="42385"/>
  <c r="AO795" i="42385"/>
  <c r="AO796" i="42385" s="1"/>
  <c r="BF795" i="42385"/>
  <c r="BF796" i="42385" s="1"/>
  <c r="BG795" i="42385"/>
  <c r="BG796" i="42385" s="1"/>
  <c r="BH795" i="42385"/>
  <c r="BH796" i="42385" s="1"/>
  <c r="BK795" i="42385"/>
  <c r="BK796" i="42385" s="1"/>
  <c r="BN795" i="42385"/>
  <c r="BN796" i="42385" s="1"/>
  <c r="CL795" i="42385"/>
  <c r="G796" i="42385"/>
  <c r="L796" i="42385"/>
  <c r="Q796" i="42385"/>
  <c r="CO796" i="42385" s="1"/>
  <c r="V796" i="42385"/>
  <c r="AA796" i="42385"/>
  <c r="AF796" i="42385"/>
  <c r="AW29" i="42418" s="1"/>
  <c r="AK796" i="42385"/>
  <c r="AN796" i="42385"/>
  <c r="AQ796" i="42385"/>
  <c r="AR796" i="42385"/>
  <c r="BC29" i="42418" s="1"/>
  <c r="AS796" i="42385"/>
  <c r="AT796" i="42385"/>
  <c r="AT240" i="42385" s="1"/>
  <c r="AV796" i="42385"/>
  <c r="AW796" i="42385"/>
  <c r="AW240" i="42385" s="1"/>
  <c r="AX796" i="42385"/>
  <c r="AY796" i="42385"/>
  <c r="AY797" i="42385" s="1"/>
  <c r="BA796" i="42385"/>
  <c r="BA240" i="42385" s="1"/>
  <c r="BB796" i="42385"/>
  <c r="BB240" i="42385" s="1"/>
  <c r="BC796" i="42385"/>
  <c r="BC797" i="42385" s="1"/>
  <c r="BD796" i="42385"/>
  <c r="BI796" i="42385"/>
  <c r="BL796" i="42385"/>
  <c r="BM796" i="42385"/>
  <c r="BM240" i="42385" s="1"/>
  <c r="CL796" i="42385"/>
  <c r="H797" i="42385"/>
  <c r="I797" i="42385"/>
  <c r="J797" i="42385"/>
  <c r="K797" i="42385"/>
  <c r="M797" i="42385"/>
  <c r="N797" i="42385"/>
  <c r="O797" i="42385"/>
  <c r="P797" i="42385"/>
  <c r="R797" i="42385"/>
  <c r="S797" i="42385"/>
  <c r="T797" i="42385"/>
  <c r="U797" i="42385"/>
  <c r="W797" i="42385"/>
  <c r="X797" i="42385"/>
  <c r="Y797" i="42385"/>
  <c r="Z797" i="42385"/>
  <c r="AB797" i="42385"/>
  <c r="AC797" i="42385"/>
  <c r="AD797" i="42385"/>
  <c r="AE797" i="42385"/>
  <c r="AG797" i="42385"/>
  <c r="AH797" i="42385"/>
  <c r="AI797" i="42385"/>
  <c r="AJ797" i="42385"/>
  <c r="AL797" i="42385"/>
  <c r="AM797" i="42385"/>
  <c r="CL797" i="42385"/>
  <c r="CM797" i="42385"/>
  <c r="CL799" i="42385"/>
  <c r="CL800" i="42385"/>
  <c r="CL801" i="42385"/>
  <c r="CM801" i="42385"/>
  <c r="DB801" i="42385"/>
  <c r="DC801" i="42385"/>
  <c r="R802" i="42385"/>
  <c r="R808" i="42385" s="1"/>
  <c r="S802" i="42385"/>
  <c r="T802" i="42385"/>
  <c r="U802" i="42385"/>
  <c r="V802" i="42385"/>
  <c r="CP802" i="42385" s="1"/>
  <c r="CL802" i="42385"/>
  <c r="T803" i="42385"/>
  <c r="CL803" i="42385"/>
  <c r="C804" i="42385"/>
  <c r="D804" i="42385"/>
  <c r="E804" i="42385"/>
  <c r="F804" i="42385"/>
  <c r="H804" i="42385"/>
  <c r="I804" i="42385"/>
  <c r="J804" i="42385"/>
  <c r="K804" i="42385"/>
  <c r="M804" i="42385"/>
  <c r="N804" i="42385"/>
  <c r="O804" i="42385"/>
  <c r="P804" i="42385"/>
  <c r="R804" i="42385"/>
  <c r="S804" i="42385"/>
  <c r="T804" i="42385"/>
  <c r="U804" i="42385"/>
  <c r="W804" i="42385"/>
  <c r="X804" i="42385"/>
  <c r="Y804" i="42385"/>
  <c r="Z804" i="42385"/>
  <c r="AB804" i="42385"/>
  <c r="AC804" i="42385"/>
  <c r="AD804" i="42385"/>
  <c r="AE804" i="42385"/>
  <c r="AG804" i="42385"/>
  <c r="AI804" i="42385"/>
  <c r="AJ804" i="42385"/>
  <c r="AL804" i="42385"/>
  <c r="AM804" i="42385"/>
  <c r="CL804" i="42385"/>
  <c r="G806" i="42385"/>
  <c r="L806" i="42385"/>
  <c r="CN806" i="42385"/>
  <c r="Q806" i="42385"/>
  <c r="CO806" i="42385" s="1"/>
  <c r="V806" i="42385"/>
  <c r="AA806" i="42385"/>
  <c r="AF806" i="42385"/>
  <c r="CR806" i="42385" s="1"/>
  <c r="AH806" i="42385"/>
  <c r="AH293" i="42385" s="1"/>
  <c r="CL806" i="42385"/>
  <c r="C807" i="42385"/>
  <c r="D807" i="42385"/>
  <c r="E807" i="42385"/>
  <c r="F807" i="42385"/>
  <c r="H807" i="42385"/>
  <c r="I807" i="42385"/>
  <c r="J807" i="42385"/>
  <c r="K807" i="42385"/>
  <c r="M807" i="42385"/>
  <c r="N807" i="42385"/>
  <c r="O807" i="42385"/>
  <c r="P807" i="42385"/>
  <c r="R807" i="42385"/>
  <c r="S807" i="42385"/>
  <c r="T807" i="42385"/>
  <c r="U807" i="42385"/>
  <c r="W807" i="42385"/>
  <c r="X807" i="42385"/>
  <c r="Y807" i="42385"/>
  <c r="Z807" i="42385"/>
  <c r="AB807" i="42385"/>
  <c r="AC807" i="42385"/>
  <c r="AD807" i="42385"/>
  <c r="AE807" i="42385"/>
  <c r="AG807" i="42385"/>
  <c r="AI807" i="42385"/>
  <c r="AJ807" i="42385"/>
  <c r="AL807" i="42385"/>
  <c r="AM807" i="42385"/>
  <c r="CL807" i="42385"/>
  <c r="CL808" i="42385"/>
  <c r="H809" i="42385"/>
  <c r="I809" i="42385"/>
  <c r="J809" i="42385"/>
  <c r="K809" i="42385"/>
  <c r="M809" i="42385"/>
  <c r="N809" i="42385"/>
  <c r="O809" i="42385"/>
  <c r="P809" i="42385"/>
  <c r="R809" i="42385"/>
  <c r="S809" i="42385"/>
  <c r="T809" i="42385"/>
  <c r="U809" i="42385"/>
  <c r="W809" i="42385"/>
  <c r="X809" i="42385"/>
  <c r="Y809" i="42385"/>
  <c r="Z809" i="42385"/>
  <c r="AB809" i="42385"/>
  <c r="AC809" i="42385"/>
  <c r="AD809" i="42385"/>
  <c r="AE809" i="42385"/>
  <c r="AG809" i="42385"/>
  <c r="AI809" i="42385"/>
  <c r="AJ809" i="42385"/>
  <c r="AL809" i="42385"/>
  <c r="CL809" i="42385"/>
  <c r="CM809" i="42385"/>
  <c r="G810" i="42385"/>
  <c r="L810" i="42385"/>
  <c r="L811" i="42385" s="1"/>
  <c r="CN811" i="42385" s="1"/>
  <c r="Q810" i="42385"/>
  <c r="V810" i="42385"/>
  <c r="AA810" i="42385"/>
  <c r="CQ810" i="42385" s="1"/>
  <c r="AF810" i="42385"/>
  <c r="CR810" i="42385" s="1"/>
  <c r="AK810" i="42385"/>
  <c r="AL810" i="42385"/>
  <c r="AL811" i="42385" s="1"/>
  <c r="AN810" i="42385"/>
  <c r="CL810" i="42385"/>
  <c r="C811" i="42385"/>
  <c r="D811" i="42385"/>
  <c r="E811" i="42385"/>
  <c r="F811" i="42385"/>
  <c r="H811" i="42385"/>
  <c r="I811" i="42385"/>
  <c r="J811" i="42385"/>
  <c r="K811" i="42385"/>
  <c r="M811" i="42385"/>
  <c r="N811" i="42385"/>
  <c r="O811" i="42385"/>
  <c r="P811" i="42385"/>
  <c r="R811" i="42385"/>
  <c r="S811" i="42385"/>
  <c r="T811" i="42385"/>
  <c r="U811" i="42385"/>
  <c r="W811" i="42385"/>
  <c r="X811" i="42385"/>
  <c r="Y811" i="42385"/>
  <c r="Z811" i="42385"/>
  <c r="AB811" i="42385"/>
  <c r="AC811" i="42385"/>
  <c r="AD811" i="42385"/>
  <c r="AE811" i="42385"/>
  <c r="AG811" i="42385"/>
  <c r="AH811" i="42385"/>
  <c r="AI811" i="42385"/>
  <c r="AJ811" i="42385"/>
  <c r="AM811" i="42385"/>
  <c r="CL811" i="42385"/>
  <c r="CL813" i="42385"/>
  <c r="CM813" i="42385"/>
  <c r="CN813" i="42385"/>
  <c r="CO813" i="42385"/>
  <c r="CP813" i="42385"/>
  <c r="CQ813" i="42385"/>
  <c r="CR813" i="42385"/>
  <c r="CS813" i="42385"/>
  <c r="CT813" i="42385"/>
  <c r="CU813" i="42385"/>
  <c r="CV813" i="42385"/>
  <c r="CW813" i="42385"/>
  <c r="CX813" i="42385"/>
  <c r="CY813" i="42385"/>
  <c r="CZ813" i="42385"/>
  <c r="DA813" i="42385"/>
  <c r="DB813" i="42385"/>
  <c r="DC813" i="42385"/>
  <c r="C814" i="42385"/>
  <c r="D814" i="42385"/>
  <c r="E814" i="42385"/>
  <c r="F814" i="42385"/>
  <c r="G814" i="42385" s="1"/>
  <c r="CM814" i="42385" s="1"/>
  <c r="CL814" i="42385"/>
  <c r="G815" i="42385"/>
  <c r="L815" i="42385"/>
  <c r="CN815" i="42385" s="1"/>
  <c r="Q815" i="42385"/>
  <c r="CO815" i="42385" s="1"/>
  <c r="V815" i="42385"/>
  <c r="CP815" i="42385" s="1"/>
  <c r="AA815" i="42385"/>
  <c r="CQ815" i="42385" s="1"/>
  <c r="AC815" i="42385"/>
  <c r="AF815" i="42385"/>
  <c r="CR815" i="42385" s="1"/>
  <c r="AG815" i="42385"/>
  <c r="AP815" i="42385"/>
  <c r="CT815" i="42385" s="1"/>
  <c r="AU815" i="42385"/>
  <c r="CU815" i="42385" s="1"/>
  <c r="AZ815" i="42385"/>
  <c r="CV815" i="42385" s="1"/>
  <c r="BE815" i="42385"/>
  <c r="CW815" i="42385" s="1"/>
  <c r="BJ815" i="42385"/>
  <c r="CX815" i="42385" s="1"/>
  <c r="BO815" i="42385"/>
  <c r="CY815" i="42385" s="1"/>
  <c r="CL815" i="42385"/>
  <c r="CM815" i="42385"/>
  <c r="G816" i="42385"/>
  <c r="CM816" i="42385" s="1"/>
  <c r="L816" i="42385"/>
  <c r="CN816" i="42385" s="1"/>
  <c r="Q816" i="42385"/>
  <c r="CO816" i="42385" s="1"/>
  <c r="V816" i="42385"/>
  <c r="CP816" i="42385" s="1"/>
  <c r="AA816" i="42385"/>
  <c r="CQ816" i="42385" s="1"/>
  <c r="AC816" i="42385"/>
  <c r="AF816" i="42385"/>
  <c r="AG816" i="42385"/>
  <c r="AH816" i="42385" s="1"/>
  <c r="AI816" i="42385" s="1"/>
  <c r="AJ816" i="42385" s="1"/>
  <c r="AK816" i="42385" s="1"/>
  <c r="CS816" i="42385" s="1"/>
  <c r="AP816" i="42385"/>
  <c r="CT816" i="42385" s="1"/>
  <c r="AU816" i="42385"/>
  <c r="CU816" i="42385" s="1"/>
  <c r="AZ816" i="42385"/>
  <c r="CV816" i="42385" s="1"/>
  <c r="BE816" i="42385"/>
  <c r="CW816" i="42385" s="1"/>
  <c r="BJ816" i="42385"/>
  <c r="CX816" i="42385" s="1"/>
  <c r="BO816" i="42385"/>
  <c r="CY816" i="42385" s="1"/>
  <c r="BT816" i="42385"/>
  <c r="CL816" i="42385"/>
  <c r="CL817" i="42385"/>
  <c r="C818" i="42385"/>
  <c r="CL818" i="42385"/>
  <c r="CL819" i="42385"/>
  <c r="CM819" i="42385"/>
  <c r="G821" i="42385"/>
  <c r="L821" i="42385"/>
  <c r="CN821" i="42385" s="1"/>
  <c r="Q821" i="42385"/>
  <c r="V821" i="42385"/>
  <c r="AA821" i="42385"/>
  <c r="AF821" i="42385"/>
  <c r="CR821" i="42385" s="1"/>
  <c r="AK821" i="42385"/>
  <c r="AK84" i="42400" s="1"/>
  <c r="AK99" i="42400" s="1"/>
  <c r="AP821" i="42385"/>
  <c r="AU821" i="42385"/>
  <c r="AU84" i="42400" s="1"/>
  <c r="AU99" i="42400" s="1"/>
  <c r="AZ821" i="42385"/>
  <c r="AZ84" i="42400" s="1"/>
  <c r="AZ99" i="42400" s="1"/>
  <c r="BE821" i="42385"/>
  <c r="BE84" i="42400" s="1"/>
  <c r="BE99" i="42400" s="1"/>
  <c r="BJ821" i="42385"/>
  <c r="BO821" i="42385"/>
  <c r="BT821" i="42385"/>
  <c r="BU84" i="42400"/>
  <c r="BU99" i="42400" s="1"/>
  <c r="BV821" i="42385"/>
  <c r="BV84" i="42400" s="1"/>
  <c r="BV99" i="42400" s="1"/>
  <c r="BW821" i="42385"/>
  <c r="BW84" i="42400" s="1"/>
  <c r="BW99" i="42400" s="1"/>
  <c r="CL821" i="42385"/>
  <c r="H822" i="42385"/>
  <c r="I822" i="42385"/>
  <c r="J822" i="42385"/>
  <c r="K822" i="42385"/>
  <c r="M822" i="42385"/>
  <c r="N822" i="42385"/>
  <c r="O822" i="42385"/>
  <c r="P822" i="42385"/>
  <c r="R822" i="42385"/>
  <c r="S822" i="42385"/>
  <c r="T822" i="42385"/>
  <c r="U822" i="42385"/>
  <c r="W822" i="42385"/>
  <c r="X822" i="42385"/>
  <c r="Y822" i="42385"/>
  <c r="Z822" i="42385"/>
  <c r="AB822" i="42385"/>
  <c r="AC822" i="42385"/>
  <c r="AD822" i="42385"/>
  <c r="AE822" i="42385"/>
  <c r="AG822" i="42385"/>
  <c r="AI822" i="42385"/>
  <c r="AJ822" i="42385"/>
  <c r="AL822" i="42385"/>
  <c r="AM822" i="42385"/>
  <c r="AN822" i="42385"/>
  <c r="AO822" i="42385"/>
  <c r="AQ822" i="42385"/>
  <c r="AR822" i="42385"/>
  <c r="AS822" i="42385"/>
  <c r="AT822" i="42385"/>
  <c r="AV822" i="42385"/>
  <c r="AW822" i="42385"/>
  <c r="AX822" i="42385"/>
  <c r="AY822" i="42385"/>
  <c r="BA822" i="42385"/>
  <c r="BB822" i="42385"/>
  <c r="BC822" i="42385"/>
  <c r="BD822" i="42385"/>
  <c r="BF822" i="42385"/>
  <c r="BG822" i="42385"/>
  <c r="BH822" i="42385"/>
  <c r="BI822" i="42385"/>
  <c r="BK822" i="42385"/>
  <c r="BL822" i="42385"/>
  <c r="BM822" i="42385"/>
  <c r="BN822" i="42385"/>
  <c r="BP822" i="42385"/>
  <c r="BQ822" i="42385"/>
  <c r="BR822" i="42385"/>
  <c r="BV822" i="42385"/>
  <c r="BW822" i="42385"/>
  <c r="BX822" i="42385"/>
  <c r="BZ822" i="42385"/>
  <c r="DB822" i="42385" s="1"/>
  <c r="CA822" i="42385"/>
  <c r="DC822" i="42385" s="1"/>
  <c r="CB822" i="42385"/>
  <c r="CC822" i="42385"/>
  <c r="CD822" i="42385"/>
  <c r="CE822" i="42385"/>
  <c r="CF822" i="42385"/>
  <c r="CL822" i="42385"/>
  <c r="CM822" i="42385"/>
  <c r="G824" i="42385"/>
  <c r="L824" i="42385"/>
  <c r="CN824" i="42385" s="1"/>
  <c r="Q824" i="42385"/>
  <c r="P24" i="42443" s="1"/>
  <c r="V824" i="42385"/>
  <c r="AA824" i="42385"/>
  <c r="AF824" i="42385"/>
  <c r="CR824" i="42385" s="1"/>
  <c r="AK824" i="42385"/>
  <c r="AK83" i="42400" s="1"/>
  <c r="AK92" i="42400" s="1"/>
  <c r="AP824" i="42385"/>
  <c r="CT824" i="42385" s="1"/>
  <c r="AU824" i="42385"/>
  <c r="AZ824" i="42385"/>
  <c r="BE824" i="42385"/>
  <c r="BJ824" i="42385"/>
  <c r="CX824" i="42385" s="1"/>
  <c r="BO824" i="42385"/>
  <c r="BU83" i="42400"/>
  <c r="BU97" i="42400" s="1"/>
  <c r="BV824" i="42385"/>
  <c r="BV83" i="42400" s="1"/>
  <c r="BV97" i="42400" s="1"/>
  <c r="BW824" i="42385"/>
  <c r="BW83" i="42400" s="1"/>
  <c r="BW97" i="42400" s="1"/>
  <c r="CL824" i="42385"/>
  <c r="CW824" i="42385"/>
  <c r="H825" i="42385"/>
  <c r="I825" i="42385"/>
  <c r="J825" i="42385"/>
  <c r="K825" i="42385"/>
  <c r="M825" i="42385"/>
  <c r="N825" i="42385"/>
  <c r="O825" i="42385"/>
  <c r="P825" i="42385"/>
  <c r="R825" i="42385"/>
  <c r="S825" i="42385"/>
  <c r="T825" i="42385"/>
  <c r="U825" i="42385"/>
  <c r="W825" i="42385"/>
  <c r="X825" i="42385"/>
  <c r="Y825" i="42385"/>
  <c r="Z825" i="42385"/>
  <c r="AB825" i="42385"/>
  <c r="AC825" i="42385"/>
  <c r="AD825" i="42385"/>
  <c r="AE825" i="42385"/>
  <c r="AG825" i="42385"/>
  <c r="AI825" i="42385"/>
  <c r="AJ825" i="42385"/>
  <c r="AL825" i="42385"/>
  <c r="AM825" i="42385"/>
  <c r="AN825" i="42385"/>
  <c r="AO825" i="42385"/>
  <c r="AQ825" i="42385"/>
  <c r="AR825" i="42385"/>
  <c r="AS825" i="42385"/>
  <c r="AT825" i="42385"/>
  <c r="AV825" i="42385"/>
  <c r="AW825" i="42385"/>
  <c r="AX825" i="42385"/>
  <c r="AY825" i="42385"/>
  <c r="BA825" i="42385"/>
  <c r="BB825" i="42385"/>
  <c r="BC825" i="42385"/>
  <c r="BD825" i="42385"/>
  <c r="BF825" i="42385"/>
  <c r="BG825" i="42385"/>
  <c r="BH825" i="42385"/>
  <c r="BI825" i="42385"/>
  <c r="BK825" i="42385"/>
  <c r="BL825" i="42385"/>
  <c r="BM825" i="42385"/>
  <c r="BN825" i="42385"/>
  <c r="BP825" i="42385"/>
  <c r="BQ825" i="42385"/>
  <c r="CL825" i="42385"/>
  <c r="CM825" i="42385"/>
  <c r="DB825" i="42385"/>
  <c r="DC825" i="42385"/>
  <c r="C826" i="42385"/>
  <c r="D826" i="42385"/>
  <c r="E826" i="42385"/>
  <c r="F826" i="42385"/>
  <c r="H826" i="42385"/>
  <c r="I826" i="42385"/>
  <c r="J826" i="42385"/>
  <c r="K826" i="42385"/>
  <c r="M826" i="42385"/>
  <c r="N826" i="42385"/>
  <c r="O826" i="42385"/>
  <c r="P826" i="42385"/>
  <c r="R826" i="42385"/>
  <c r="S826" i="42385"/>
  <c r="T826" i="42385"/>
  <c r="U826" i="42385"/>
  <c r="W826" i="42385"/>
  <c r="X826" i="42385"/>
  <c r="Y826" i="42385"/>
  <c r="Z826" i="42385"/>
  <c r="AB826" i="42385"/>
  <c r="AC826" i="42385"/>
  <c r="AD826" i="42385"/>
  <c r="AE826" i="42385"/>
  <c r="AG826" i="42385"/>
  <c r="AH826" i="42385"/>
  <c r="AI826" i="42385"/>
  <c r="AN826" i="42385" s="1"/>
  <c r="AJ826" i="42385"/>
  <c r="AO826" i="42385" s="1"/>
  <c r="AO827" i="42385" s="1"/>
  <c r="AL826" i="42385"/>
  <c r="AM826" i="42385"/>
  <c r="AU826" i="42385"/>
  <c r="CU826" i="42385" s="1"/>
  <c r="AZ826" i="42385"/>
  <c r="CV826" i="42385" s="1"/>
  <c r="BE826" i="42385"/>
  <c r="CW826" i="42385" s="1"/>
  <c r="BH826" i="42385"/>
  <c r="BK826" i="42385"/>
  <c r="BN826" i="42385"/>
  <c r="BP826" i="42385" s="1"/>
  <c r="BV826" i="42385"/>
  <c r="CL826" i="42385"/>
  <c r="G827" i="42385"/>
  <c r="CM827" i="42385" s="1"/>
  <c r="L827" i="42385"/>
  <c r="Q827" i="42385"/>
  <c r="CO827" i="42385" s="1"/>
  <c r="V827" i="42385"/>
  <c r="AA827" i="42385"/>
  <c r="AF827" i="42385"/>
  <c r="AK827" i="42385"/>
  <c r="CS827" i="42385" s="1"/>
  <c r="AQ827" i="42385"/>
  <c r="AR827" i="42385"/>
  <c r="BC57" i="42418" s="1"/>
  <c r="AS827" i="42385"/>
  <c r="AS241" i="42385" s="1"/>
  <c r="AT827" i="42385"/>
  <c r="AV827" i="42385"/>
  <c r="AV241" i="42385" s="1"/>
  <c r="AW827" i="42385"/>
  <c r="AW241" i="42385" s="1"/>
  <c r="AX827" i="42385"/>
  <c r="AY827" i="42385"/>
  <c r="AY241" i="42385" s="1"/>
  <c r="BA827" i="42385"/>
  <c r="BB827" i="42385"/>
  <c r="BC827" i="42385"/>
  <c r="BC241" i="42385" s="1"/>
  <c r="BD827" i="42385"/>
  <c r="BF827" i="42385"/>
  <c r="BG827" i="42385"/>
  <c r="BI827" i="42385"/>
  <c r="BL827" i="42385"/>
  <c r="BL241" i="42385" s="1"/>
  <c r="BM827" i="42385"/>
  <c r="CL827" i="42385"/>
  <c r="H828" i="42385"/>
  <c r="I828" i="42385"/>
  <c r="J828" i="42385"/>
  <c r="K828" i="42385"/>
  <c r="M828" i="42385"/>
  <c r="N828" i="42385"/>
  <c r="O828" i="42385"/>
  <c r="P828" i="42385"/>
  <c r="R828" i="42385"/>
  <c r="S828" i="42385"/>
  <c r="T828" i="42385"/>
  <c r="U828" i="42385"/>
  <c r="W828" i="42385"/>
  <c r="X828" i="42385"/>
  <c r="Y828" i="42385"/>
  <c r="Z828" i="42385"/>
  <c r="AB828" i="42385"/>
  <c r="AC828" i="42385"/>
  <c r="AD828" i="42385"/>
  <c r="AE828" i="42385"/>
  <c r="AG828" i="42385"/>
  <c r="AI828" i="42385"/>
  <c r="AJ828" i="42385"/>
  <c r="AL828" i="42385"/>
  <c r="AM828" i="42385"/>
  <c r="CL828" i="42385"/>
  <c r="CM828" i="42385"/>
  <c r="CL830" i="42385"/>
  <c r="CL831" i="42385"/>
  <c r="CL832" i="42385"/>
  <c r="CM832" i="42385"/>
  <c r="DB832" i="42385"/>
  <c r="DC832" i="42385"/>
  <c r="CL833" i="42385"/>
  <c r="CL834" i="42385"/>
  <c r="C835" i="42385"/>
  <c r="D835" i="42385"/>
  <c r="E835" i="42385"/>
  <c r="F835" i="42385"/>
  <c r="H835" i="42385"/>
  <c r="I835" i="42385"/>
  <c r="J835" i="42385"/>
  <c r="K835" i="42385"/>
  <c r="M835" i="42385"/>
  <c r="N835" i="42385"/>
  <c r="O835" i="42385"/>
  <c r="P835" i="42385"/>
  <c r="R835" i="42385"/>
  <c r="S835" i="42385"/>
  <c r="T835" i="42385"/>
  <c r="U835" i="42385"/>
  <c r="W835" i="42385"/>
  <c r="X835" i="42385"/>
  <c r="Y835" i="42385"/>
  <c r="Z835" i="42385"/>
  <c r="AB835" i="42385"/>
  <c r="AC835" i="42385"/>
  <c r="AD835" i="42385"/>
  <c r="AE835" i="42385"/>
  <c r="AG835" i="42385"/>
  <c r="AH835" i="42385"/>
  <c r="AI835" i="42385"/>
  <c r="AJ835" i="42385"/>
  <c r="AL835" i="42385"/>
  <c r="AM835" i="42385"/>
  <c r="CL835" i="42385"/>
  <c r="G837" i="42385"/>
  <c r="L837" i="42385"/>
  <c r="Q837" i="42385"/>
  <c r="V837" i="42385"/>
  <c r="CP837" i="42385" s="1"/>
  <c r="AA837" i="42385"/>
  <c r="AF837" i="42385"/>
  <c r="AK837" i="42385"/>
  <c r="CS837" i="42385" s="1"/>
  <c r="CL837" i="42385"/>
  <c r="C838" i="42385"/>
  <c r="D838" i="42385"/>
  <c r="E838" i="42385"/>
  <c r="F838" i="42385"/>
  <c r="H838" i="42385"/>
  <c r="I838" i="42385"/>
  <c r="J838" i="42385"/>
  <c r="K838" i="42385"/>
  <c r="M838" i="42385"/>
  <c r="N838" i="42385"/>
  <c r="O838" i="42385"/>
  <c r="P838" i="42385"/>
  <c r="R838" i="42385"/>
  <c r="S838" i="42385"/>
  <c r="T838" i="42385"/>
  <c r="U838" i="42385"/>
  <c r="W838" i="42385"/>
  <c r="X838" i="42385"/>
  <c r="Y838" i="42385"/>
  <c r="Z838" i="42385"/>
  <c r="AB838" i="42385"/>
  <c r="AD838" i="42385"/>
  <c r="AE838" i="42385"/>
  <c r="AG838" i="42385"/>
  <c r="AH838" i="42385"/>
  <c r="AI838" i="42385"/>
  <c r="AJ838" i="42385"/>
  <c r="AL838" i="42385"/>
  <c r="AM838" i="42385"/>
  <c r="CL838" i="42385"/>
  <c r="CL839" i="42385"/>
  <c r="H840" i="42385"/>
  <c r="I840" i="42385"/>
  <c r="J840" i="42385"/>
  <c r="K840" i="42385"/>
  <c r="M840" i="42385"/>
  <c r="N840" i="42385"/>
  <c r="O840" i="42385"/>
  <c r="P840" i="42385"/>
  <c r="R840" i="42385"/>
  <c r="S840" i="42385"/>
  <c r="T840" i="42385"/>
  <c r="U840" i="42385"/>
  <c r="W840" i="42385"/>
  <c r="X840" i="42385"/>
  <c r="Y840" i="42385"/>
  <c r="Z840" i="42385"/>
  <c r="AB840" i="42385"/>
  <c r="AC840" i="42385"/>
  <c r="AD840" i="42385"/>
  <c r="AE840" i="42385"/>
  <c r="AG840" i="42385"/>
  <c r="AI840" i="42385"/>
  <c r="AJ840" i="42385"/>
  <c r="AL840" i="42385"/>
  <c r="AM840" i="42385"/>
  <c r="CL840" i="42385"/>
  <c r="CM840" i="42385"/>
  <c r="G841" i="42385"/>
  <c r="L841" i="42385"/>
  <c r="Q841" i="42385"/>
  <c r="V841" i="42385"/>
  <c r="CP841" i="42385" s="1"/>
  <c r="AA841" i="42385"/>
  <c r="AF841" i="42385"/>
  <c r="AK841" i="42385"/>
  <c r="AN841" i="42385"/>
  <c r="CL841" i="42385"/>
  <c r="C842" i="42385"/>
  <c r="D842" i="42385"/>
  <c r="E842" i="42385"/>
  <c r="F842" i="42385"/>
  <c r="H842" i="42385"/>
  <c r="I842" i="42385"/>
  <c r="J842" i="42385"/>
  <c r="K842" i="42385"/>
  <c r="M842" i="42385"/>
  <c r="N842" i="42385"/>
  <c r="O842" i="42385"/>
  <c r="P842" i="42385"/>
  <c r="R842" i="42385"/>
  <c r="S842" i="42385"/>
  <c r="T842" i="42385"/>
  <c r="U842" i="42385"/>
  <c r="W842" i="42385"/>
  <c r="X842" i="42385"/>
  <c r="Y842" i="42385"/>
  <c r="Z842" i="42385"/>
  <c r="AB842" i="42385"/>
  <c r="AC842" i="42385"/>
  <c r="AD842" i="42385"/>
  <c r="AE842" i="42385"/>
  <c r="AG842" i="42385"/>
  <c r="AH842" i="42385"/>
  <c r="AI842" i="42385"/>
  <c r="AJ842" i="42385"/>
  <c r="AL842" i="42385"/>
  <c r="AM842" i="42385"/>
  <c r="CL842" i="42385"/>
  <c r="CL844" i="42385"/>
  <c r="CM844" i="42385"/>
  <c r="CN844" i="42385"/>
  <c r="CO844" i="42385"/>
  <c r="CP844" i="42385"/>
  <c r="CQ844" i="42385"/>
  <c r="CR844" i="42385"/>
  <c r="CS844" i="42385"/>
  <c r="CT844" i="42385"/>
  <c r="CU844" i="42385"/>
  <c r="CV844" i="42385"/>
  <c r="CW844" i="42385"/>
  <c r="CX844" i="42385"/>
  <c r="CY844" i="42385"/>
  <c r="CZ844" i="42385"/>
  <c r="DA844" i="42385"/>
  <c r="DB844" i="42385"/>
  <c r="DC844" i="42385"/>
  <c r="C845" i="42385"/>
  <c r="D845" i="42385"/>
  <c r="E845" i="42385"/>
  <c r="F845" i="42385"/>
  <c r="G845" i="42385" s="1"/>
  <c r="CL845" i="42385"/>
  <c r="AF846" i="42385"/>
  <c r="CR846" i="42385" s="1"/>
  <c r="AG846" i="42385"/>
  <c r="AP846" i="42385"/>
  <c r="CT846" i="42385" s="1"/>
  <c r="AU846" i="42385"/>
  <c r="CU846" i="42385" s="1"/>
  <c r="AZ846" i="42385"/>
  <c r="CV846" i="42385" s="1"/>
  <c r="BE846" i="42385"/>
  <c r="CW846" i="42385" s="1"/>
  <c r="BJ846" i="42385"/>
  <c r="CX846" i="42385" s="1"/>
  <c r="BO846" i="42385"/>
  <c r="CY846" i="42385" s="1"/>
  <c r="BR846" i="42385"/>
  <c r="BS846" i="42385" s="1"/>
  <c r="CL846" i="42385"/>
  <c r="CM846" i="42385"/>
  <c r="CN846" i="42385"/>
  <c r="CO846" i="42385"/>
  <c r="CP846" i="42385"/>
  <c r="CQ846" i="42385"/>
  <c r="AF847" i="42385"/>
  <c r="CR847" i="42385" s="1"/>
  <c r="AG847" i="42385"/>
  <c r="AH847" i="42385" s="1"/>
  <c r="AI847" i="42385" s="1"/>
  <c r="AJ847" i="42385" s="1"/>
  <c r="AK847" i="42385" s="1"/>
  <c r="CS847" i="42385" s="1"/>
  <c r="AP847" i="42385"/>
  <c r="CT847" i="42385" s="1"/>
  <c r="AU847" i="42385"/>
  <c r="CU847" i="42385" s="1"/>
  <c r="AZ847" i="42385"/>
  <c r="CV847" i="42385" s="1"/>
  <c r="BE847" i="42385"/>
  <c r="CW847" i="42385" s="1"/>
  <c r="BJ847" i="42385"/>
  <c r="CX847" i="42385" s="1"/>
  <c r="BO847" i="42385"/>
  <c r="CY847" i="42385" s="1"/>
  <c r="BR847" i="42385"/>
  <c r="BS847" i="42385" s="1"/>
  <c r="BT847" i="42385" s="1"/>
  <c r="CL847" i="42385"/>
  <c r="CM847" i="42385"/>
  <c r="CN847" i="42385"/>
  <c r="CO847" i="42385"/>
  <c r="CP847" i="42385"/>
  <c r="CQ847" i="42385"/>
  <c r="CL848" i="42385"/>
  <c r="CL849" i="42385"/>
  <c r="CL850" i="42385"/>
  <c r="CM850" i="42385"/>
  <c r="G852" i="42385"/>
  <c r="F49" i="42443" s="1"/>
  <c r="L852" i="42385"/>
  <c r="CN852" i="42385" s="1"/>
  <c r="Q852" i="42385"/>
  <c r="P49" i="42443" s="1"/>
  <c r="V852" i="42385"/>
  <c r="U49" i="42443" s="1"/>
  <c r="AA852" i="42385"/>
  <c r="AF852" i="42385"/>
  <c r="CR852" i="42385" s="1"/>
  <c r="AK852" i="42385"/>
  <c r="AP852" i="42385"/>
  <c r="AU852" i="42385"/>
  <c r="AU60" i="42400" s="1"/>
  <c r="AU73" i="42400" s="1"/>
  <c r="AZ852" i="42385"/>
  <c r="BE852" i="42385"/>
  <c r="BE60" i="42400" s="1"/>
  <c r="BE73" i="42400" s="1"/>
  <c r="BJ852" i="42385"/>
  <c r="BO852" i="42385"/>
  <c r="CL852" i="42385"/>
  <c r="CP852" i="42385"/>
  <c r="H853" i="42385"/>
  <c r="I853" i="42385"/>
  <c r="J853" i="42385"/>
  <c r="K853" i="42385"/>
  <c r="M853" i="42385"/>
  <c r="N853" i="42385"/>
  <c r="O853" i="42385"/>
  <c r="P853" i="42385"/>
  <c r="R853" i="42385"/>
  <c r="S853" i="42385"/>
  <c r="T853" i="42385"/>
  <c r="U853" i="42385"/>
  <c r="W853" i="42385"/>
  <c r="X853" i="42385"/>
  <c r="Y853" i="42385"/>
  <c r="Z853" i="42385"/>
  <c r="AB853" i="42385"/>
  <c r="AC853" i="42385"/>
  <c r="AD853" i="42385"/>
  <c r="AE853" i="42385"/>
  <c r="AG853" i="42385"/>
  <c r="AH853" i="42385"/>
  <c r="AI853" i="42385"/>
  <c r="AJ853" i="42385"/>
  <c r="AL853" i="42385"/>
  <c r="AM853" i="42385"/>
  <c r="AN853" i="42385"/>
  <c r="AO853" i="42385"/>
  <c r="AQ853" i="42385"/>
  <c r="AR853" i="42385"/>
  <c r="AS853" i="42385"/>
  <c r="AT853" i="42385"/>
  <c r="AV853" i="42385"/>
  <c r="AW853" i="42385"/>
  <c r="AX853" i="42385"/>
  <c r="AY853" i="42385"/>
  <c r="BA853" i="42385"/>
  <c r="BB853" i="42385"/>
  <c r="BC853" i="42385"/>
  <c r="BD853" i="42385"/>
  <c r="BF853" i="42385"/>
  <c r="BG853" i="42385"/>
  <c r="BH853" i="42385"/>
  <c r="BI853" i="42385"/>
  <c r="BK853" i="42385"/>
  <c r="BL853" i="42385"/>
  <c r="BM853" i="42385"/>
  <c r="BN853" i="42385"/>
  <c r="BP853" i="42385"/>
  <c r="BQ853" i="42385"/>
  <c r="BR853" i="42385"/>
  <c r="BS60" i="42400"/>
  <c r="BS73" i="42400" s="1"/>
  <c r="BU853" i="42385"/>
  <c r="BU852" i="42385" s="1"/>
  <c r="BU60" i="42400" s="1"/>
  <c r="BU73" i="42400" s="1"/>
  <c r="BV853" i="42385"/>
  <c r="BV852" i="42385" s="1"/>
  <c r="BV60" i="42400" s="1"/>
  <c r="BV73" i="42400" s="1"/>
  <c r="BW853" i="42385"/>
  <c r="BW852" i="42385" s="1"/>
  <c r="BW60" i="42400" s="1"/>
  <c r="BW73" i="42400" s="1"/>
  <c r="BX853" i="42385"/>
  <c r="BZ853" i="42385"/>
  <c r="DB853" i="42385" s="1"/>
  <c r="CA853" i="42385"/>
  <c r="DC853" i="42385" s="1"/>
  <c r="CB853" i="42385"/>
  <c r="CC853" i="42385"/>
  <c r="CD853" i="42385"/>
  <c r="CE853" i="42385"/>
  <c r="CF853" i="42385"/>
  <c r="CL853" i="42385"/>
  <c r="CM853" i="42385"/>
  <c r="G855" i="42385"/>
  <c r="F48" i="42443" s="1"/>
  <c r="L855" i="42385"/>
  <c r="Q855" i="42385"/>
  <c r="CO855" i="42385" s="1"/>
  <c r="V855" i="42385"/>
  <c r="U48" i="42443" s="1"/>
  <c r="AA855" i="42385"/>
  <c r="CQ855" i="42385" s="1"/>
  <c r="AF855" i="42385"/>
  <c r="CR855" i="42385" s="1"/>
  <c r="AK855" i="42385"/>
  <c r="AK59" i="42400" s="1"/>
  <c r="AK63" i="42400" s="1"/>
  <c r="AJ63" i="42400" s="1"/>
  <c r="AP855" i="42385"/>
  <c r="AU855" i="42385"/>
  <c r="AZ855" i="42385"/>
  <c r="BE855" i="42385"/>
  <c r="CW855" i="42385" s="1"/>
  <c r="BJ855" i="42385"/>
  <c r="BO855" i="42385"/>
  <c r="BO59" i="42400" s="1"/>
  <c r="BU59" i="42400"/>
  <c r="BV855" i="42385"/>
  <c r="BV59" i="42400" s="1"/>
  <c r="BW855" i="42385"/>
  <c r="BW59" i="42400" s="1"/>
  <c r="CL855" i="42385"/>
  <c r="CP855" i="42385"/>
  <c r="H856" i="42385"/>
  <c r="I856" i="42385"/>
  <c r="J856" i="42385"/>
  <c r="K856" i="42385"/>
  <c r="M856" i="42385"/>
  <c r="N856" i="42385"/>
  <c r="O856" i="42385"/>
  <c r="P856" i="42385"/>
  <c r="R856" i="42385"/>
  <c r="S856" i="42385"/>
  <c r="T856" i="42385"/>
  <c r="U856" i="42385"/>
  <c r="W856" i="42385"/>
  <c r="X856" i="42385"/>
  <c r="Y856" i="42385"/>
  <c r="Z856" i="42385"/>
  <c r="AB856" i="42385"/>
  <c r="AC856" i="42385"/>
  <c r="AD856" i="42385"/>
  <c r="AE856" i="42385"/>
  <c r="AG856" i="42385"/>
  <c r="AH856" i="42385"/>
  <c r="AI856" i="42385"/>
  <c r="AJ856" i="42385"/>
  <c r="AL856" i="42385"/>
  <c r="AM856" i="42385"/>
  <c r="AN856" i="42385"/>
  <c r="AO856" i="42385"/>
  <c r="AQ856" i="42385"/>
  <c r="AR856" i="42385"/>
  <c r="AS856" i="42385"/>
  <c r="AT856" i="42385"/>
  <c r="AV856" i="42385"/>
  <c r="AW856" i="42385"/>
  <c r="AX856" i="42385"/>
  <c r="AY856" i="42385"/>
  <c r="BA856" i="42385"/>
  <c r="BB856" i="42385"/>
  <c r="BC856" i="42385"/>
  <c r="BD856" i="42385"/>
  <c r="BF856" i="42385"/>
  <c r="BG856" i="42385"/>
  <c r="BH856" i="42385"/>
  <c r="BI856" i="42385"/>
  <c r="BK856" i="42385"/>
  <c r="BL856" i="42385"/>
  <c r="BM856" i="42385"/>
  <c r="BN856" i="42385"/>
  <c r="BP856" i="42385"/>
  <c r="BQ856" i="42385"/>
  <c r="BR856" i="42385"/>
  <c r="CL856" i="42385"/>
  <c r="CM856" i="42385"/>
  <c r="DB856" i="42385"/>
  <c r="DC856" i="42385"/>
  <c r="C857" i="42385"/>
  <c r="D857" i="42385"/>
  <c r="E857" i="42385"/>
  <c r="F857" i="42385"/>
  <c r="H857" i="42385"/>
  <c r="I857" i="42385"/>
  <c r="J857" i="42385"/>
  <c r="K857" i="42385"/>
  <c r="M857" i="42385"/>
  <c r="N857" i="42385"/>
  <c r="O857" i="42385"/>
  <c r="P857" i="42385"/>
  <c r="R857" i="42385"/>
  <c r="S857" i="42385"/>
  <c r="T857" i="42385"/>
  <c r="U857" i="42385"/>
  <c r="W857" i="42385"/>
  <c r="X857" i="42385"/>
  <c r="Y857" i="42385"/>
  <c r="Z857" i="42385"/>
  <c r="AB857" i="42385"/>
  <c r="AC857" i="42385"/>
  <c r="AD857" i="42385"/>
  <c r="AE857" i="42385"/>
  <c r="AG857" i="42385"/>
  <c r="AH857" i="42385" s="1"/>
  <c r="AI857" i="42385" s="1"/>
  <c r="AJ857" i="42385" s="1"/>
  <c r="AL857" i="42385"/>
  <c r="AQ857" i="42385" s="1"/>
  <c r="AV857" i="42385" s="1"/>
  <c r="AV858" i="42385" s="1"/>
  <c r="AM857" i="42385"/>
  <c r="AR857" i="42385" s="1"/>
  <c r="BE857" i="42385"/>
  <c r="CW857" i="42385" s="1"/>
  <c r="BF857" i="42385"/>
  <c r="BF858" i="42385" s="1"/>
  <c r="BG857" i="42385"/>
  <c r="BG858" i="42385" s="1"/>
  <c r="BH857" i="42385"/>
  <c r="BH858" i="42385" s="1"/>
  <c r="BN857" i="42385"/>
  <c r="BT857" i="42385"/>
  <c r="CZ857" i="42385" s="1"/>
  <c r="BU857" i="42385"/>
  <c r="BV857" i="42385" s="1"/>
  <c r="CL857" i="42385"/>
  <c r="G858" i="42385"/>
  <c r="L858" i="42385"/>
  <c r="Q858" i="42385"/>
  <c r="V858" i="42385"/>
  <c r="AA858" i="42385"/>
  <c r="CQ858" i="42385" s="1"/>
  <c r="AF858" i="42385"/>
  <c r="AK858" i="42385"/>
  <c r="CS858" i="42385" s="1"/>
  <c r="BA858" i="42385"/>
  <c r="BB858" i="42385"/>
  <c r="BC858" i="42385"/>
  <c r="BC242" i="42385" s="1"/>
  <c r="BD858" i="42385"/>
  <c r="BD242" i="42385" s="1"/>
  <c r="BI858" i="42385"/>
  <c r="BK858" i="42385"/>
  <c r="BK242" i="42385" s="1"/>
  <c r="BL858" i="42385"/>
  <c r="BM858" i="42385"/>
  <c r="BM242" i="42385" s="1"/>
  <c r="BP858" i="42385"/>
  <c r="BQ858" i="42385"/>
  <c r="BR858" i="42385"/>
  <c r="CL858" i="42385"/>
  <c r="H859" i="42385"/>
  <c r="I859" i="42385"/>
  <c r="J859" i="42385"/>
  <c r="K859" i="42385"/>
  <c r="M859" i="42385"/>
  <c r="N859" i="42385"/>
  <c r="O859" i="42385"/>
  <c r="P859" i="42385"/>
  <c r="R859" i="42385"/>
  <c r="S859" i="42385"/>
  <c r="T859" i="42385"/>
  <c r="U859" i="42385"/>
  <c r="W859" i="42385"/>
  <c r="X859" i="42385"/>
  <c r="Y859" i="42385"/>
  <c r="Z859" i="42385"/>
  <c r="AB859" i="42385"/>
  <c r="AC859" i="42385"/>
  <c r="AD859" i="42385"/>
  <c r="AE859" i="42385"/>
  <c r="AG859" i="42385"/>
  <c r="AH859" i="42385"/>
  <c r="AI859" i="42385"/>
  <c r="AJ859" i="42385"/>
  <c r="AL859" i="42385"/>
  <c r="AM859" i="42385"/>
  <c r="CL859" i="42385"/>
  <c r="CM859" i="42385"/>
  <c r="CL861" i="42385"/>
  <c r="CL862" i="42385"/>
  <c r="AO863" i="42385"/>
  <c r="CL863" i="42385"/>
  <c r="CM863" i="42385"/>
  <c r="DB863" i="42385"/>
  <c r="DC863" i="42385"/>
  <c r="CL864" i="42385"/>
  <c r="CL865" i="42385"/>
  <c r="C866" i="42385"/>
  <c r="D866" i="42385"/>
  <c r="E866" i="42385"/>
  <c r="F866" i="42385"/>
  <c r="H866" i="42385"/>
  <c r="I866" i="42385"/>
  <c r="J866" i="42385"/>
  <c r="K866" i="42385"/>
  <c r="M866" i="42385"/>
  <c r="N866" i="42385"/>
  <c r="O866" i="42385"/>
  <c r="P866" i="42385"/>
  <c r="R866" i="42385"/>
  <c r="S866" i="42385"/>
  <c r="T866" i="42385"/>
  <c r="U866" i="42385"/>
  <c r="W866" i="42385"/>
  <c r="X866" i="42385"/>
  <c r="Y866" i="42385"/>
  <c r="Z866" i="42385"/>
  <c r="AB866" i="42385"/>
  <c r="AC866" i="42385"/>
  <c r="AD866" i="42385"/>
  <c r="AE866" i="42385"/>
  <c r="AG866" i="42385"/>
  <c r="AH866" i="42385"/>
  <c r="AI866" i="42385"/>
  <c r="AJ866" i="42385"/>
  <c r="AL866" i="42385"/>
  <c r="AM866" i="42385"/>
  <c r="CL866" i="42385"/>
  <c r="G868" i="42385"/>
  <c r="L868" i="42385"/>
  <c r="Q868" i="42385"/>
  <c r="CO868" i="42385" s="1"/>
  <c r="V868" i="42385"/>
  <c r="AA868" i="42385"/>
  <c r="AF868" i="42385"/>
  <c r="AK868" i="42385"/>
  <c r="CS868" i="42385" s="1"/>
  <c r="CL868" i="42385"/>
  <c r="C869" i="42385"/>
  <c r="D869" i="42385"/>
  <c r="E869" i="42385"/>
  <c r="F869" i="42385"/>
  <c r="H869" i="42385"/>
  <c r="I869" i="42385"/>
  <c r="J869" i="42385"/>
  <c r="K869" i="42385"/>
  <c r="M869" i="42385"/>
  <c r="N869" i="42385"/>
  <c r="O869" i="42385"/>
  <c r="P869" i="42385"/>
  <c r="R869" i="42385"/>
  <c r="S869" i="42385"/>
  <c r="T869" i="42385"/>
  <c r="U869" i="42385"/>
  <c r="W869" i="42385"/>
  <c r="X869" i="42385"/>
  <c r="Y869" i="42385"/>
  <c r="Z869" i="42385"/>
  <c r="AB869" i="42385"/>
  <c r="AC869" i="42385"/>
  <c r="AD869" i="42385"/>
  <c r="AE869" i="42385"/>
  <c r="AG869" i="42385"/>
  <c r="AH869" i="42385"/>
  <c r="AI869" i="42385"/>
  <c r="AJ869" i="42385"/>
  <c r="AL869" i="42385"/>
  <c r="AM869" i="42385"/>
  <c r="CL869" i="42385"/>
  <c r="CL870" i="42385"/>
  <c r="H871" i="42385"/>
  <c r="I871" i="42385"/>
  <c r="J871" i="42385"/>
  <c r="K871" i="42385"/>
  <c r="M871" i="42385"/>
  <c r="N871" i="42385"/>
  <c r="O871" i="42385"/>
  <c r="P871" i="42385"/>
  <c r="R871" i="42385"/>
  <c r="S871" i="42385"/>
  <c r="T871" i="42385"/>
  <c r="U871" i="42385"/>
  <c r="W871" i="42385"/>
  <c r="X871" i="42385"/>
  <c r="Y871" i="42385"/>
  <c r="Z871" i="42385"/>
  <c r="AB871" i="42385"/>
  <c r="AC871" i="42385"/>
  <c r="AD871" i="42385"/>
  <c r="AE871" i="42385"/>
  <c r="AG871" i="42385"/>
  <c r="AH871" i="42385"/>
  <c r="AI871" i="42385"/>
  <c r="AJ871" i="42385"/>
  <c r="AL871" i="42385"/>
  <c r="AM871" i="42385"/>
  <c r="CL871" i="42385"/>
  <c r="CM871" i="42385"/>
  <c r="G872" i="42385"/>
  <c r="CM872" i="42385" s="1"/>
  <c r="L872" i="42385"/>
  <c r="Q872" i="42385"/>
  <c r="CO872" i="42385" s="1"/>
  <c r="V872" i="42385"/>
  <c r="AA872" i="42385"/>
  <c r="CQ872" i="42385" s="1"/>
  <c r="AF872" i="42385"/>
  <c r="CR872" i="42385" s="1"/>
  <c r="AK872" i="42385"/>
  <c r="CS872" i="42385" s="1"/>
  <c r="AN872" i="42385"/>
  <c r="AN1535" i="42385" s="1"/>
  <c r="CL872" i="42385"/>
  <c r="CN872" i="42385"/>
  <c r="C873" i="42385"/>
  <c r="D873" i="42385"/>
  <c r="E873" i="42385"/>
  <c r="F873" i="42385"/>
  <c r="H873" i="42385"/>
  <c r="I873" i="42385"/>
  <c r="J873" i="42385"/>
  <c r="K873" i="42385"/>
  <c r="M873" i="42385"/>
  <c r="N873" i="42385"/>
  <c r="O873" i="42385"/>
  <c r="P873" i="42385"/>
  <c r="R873" i="42385"/>
  <c r="S873" i="42385"/>
  <c r="T873" i="42385"/>
  <c r="U873" i="42385"/>
  <c r="W873" i="42385"/>
  <c r="X873" i="42385"/>
  <c r="Y873" i="42385"/>
  <c r="Z873" i="42385"/>
  <c r="AB873" i="42385"/>
  <c r="AC873" i="42385"/>
  <c r="AD873" i="42385"/>
  <c r="AE873" i="42385"/>
  <c r="AG873" i="42385"/>
  <c r="AH873" i="42385"/>
  <c r="AI873" i="42385"/>
  <c r="AJ873" i="42385"/>
  <c r="AL873" i="42385"/>
  <c r="AM873" i="42385"/>
  <c r="CL873" i="42385"/>
  <c r="CL875" i="42385"/>
  <c r="CM875" i="42385"/>
  <c r="CN875" i="42385"/>
  <c r="CO875" i="42385"/>
  <c r="CP875" i="42385"/>
  <c r="CQ875" i="42385"/>
  <c r="CR875" i="42385"/>
  <c r="CS875" i="42385"/>
  <c r="CT875" i="42385"/>
  <c r="CU875" i="42385"/>
  <c r="CV875" i="42385"/>
  <c r="CW875" i="42385"/>
  <c r="CX875" i="42385"/>
  <c r="CY875" i="42385"/>
  <c r="CZ875" i="42385"/>
  <c r="DA875" i="42385"/>
  <c r="DB875" i="42385"/>
  <c r="DC875" i="42385"/>
  <c r="C876" i="42385"/>
  <c r="D876" i="42385"/>
  <c r="E876" i="42385"/>
  <c r="F876" i="42385"/>
  <c r="G876" i="42385" s="1"/>
  <c r="CM876" i="42385" s="1"/>
  <c r="CL876" i="42385"/>
  <c r="G877" i="42385"/>
  <c r="CM877" i="42385" s="1"/>
  <c r="L877" i="42385"/>
  <c r="M877" i="42385" s="1"/>
  <c r="Q877" i="42385"/>
  <c r="R877" i="42385" s="1"/>
  <c r="V877" i="42385"/>
  <c r="AA877" i="42385"/>
  <c r="CQ877" i="42385" s="1"/>
  <c r="AF877" i="42385"/>
  <c r="AG877" i="42385"/>
  <c r="AI877" i="42385"/>
  <c r="AK877" i="42385"/>
  <c r="CS877" i="42385" s="1"/>
  <c r="AM877" i="42385"/>
  <c r="AN877" i="42385" s="1"/>
  <c r="AO877" i="42385" s="1"/>
  <c r="AP877" i="42385" s="1"/>
  <c r="CT877" i="42385" s="1"/>
  <c r="AU877" i="42385"/>
  <c r="CU877" i="42385" s="1"/>
  <c r="AZ877" i="42385"/>
  <c r="BE877" i="42385"/>
  <c r="CW877" i="42385"/>
  <c r="BJ877" i="42385"/>
  <c r="CX877" i="42385" s="1"/>
  <c r="BO877" i="42385"/>
  <c r="CY877" i="42385" s="1"/>
  <c r="BS877" i="42385"/>
  <c r="CL877" i="42385"/>
  <c r="CN877" i="42385"/>
  <c r="G878" i="42385"/>
  <c r="L878" i="42385"/>
  <c r="M878" i="42385" s="1"/>
  <c r="Q878" i="42385"/>
  <c r="V878" i="42385"/>
  <c r="AA878" i="42385"/>
  <c r="CQ878" i="42385" s="1"/>
  <c r="AF878" i="42385"/>
  <c r="CR878" i="42385" s="1"/>
  <c r="AG878" i="42385"/>
  <c r="AI878" i="42385"/>
  <c r="AK878" i="42385"/>
  <c r="CS878" i="42385" s="1"/>
  <c r="AM878" i="42385"/>
  <c r="AN878" i="42385" s="1"/>
  <c r="AU878" i="42385"/>
  <c r="CU878" i="42385" s="1"/>
  <c r="AZ878" i="42385"/>
  <c r="CV878" i="42385" s="1"/>
  <c r="BE878" i="42385"/>
  <c r="CW878" i="42385" s="1"/>
  <c r="BJ878" i="42385"/>
  <c r="CX878" i="42385" s="1"/>
  <c r="BO878" i="42385"/>
  <c r="CY878" i="42385" s="1"/>
  <c r="BS878" i="42385"/>
  <c r="BT878" i="42385" s="1"/>
  <c r="CL878" i="42385"/>
  <c r="CL879" i="42385"/>
  <c r="C880" i="42385"/>
  <c r="CL880" i="42385"/>
  <c r="CL881" i="42385"/>
  <c r="CM881" i="42385"/>
  <c r="G883" i="42385"/>
  <c r="L883" i="42385"/>
  <c r="Q883" i="42385"/>
  <c r="CO883" i="42385" s="1"/>
  <c r="V883" i="42385"/>
  <c r="AA883" i="42385"/>
  <c r="AF883" i="42385"/>
  <c r="CR883" i="42385" s="1"/>
  <c r="AK883" i="42385"/>
  <c r="CS883" i="42385" s="1"/>
  <c r="AP883" i="42385"/>
  <c r="AU883" i="42385"/>
  <c r="AZ883" i="42385"/>
  <c r="BE883" i="42385"/>
  <c r="CW883" i="42385" s="1"/>
  <c r="BJ883" i="42385"/>
  <c r="BO883" i="42385"/>
  <c r="BT883" i="42385"/>
  <c r="BU883" i="42385"/>
  <c r="BU276" i="42400" s="1"/>
  <c r="BU296" i="42400" s="1"/>
  <c r="BV883" i="42385"/>
  <c r="BV276" i="42400" s="1"/>
  <c r="BV296" i="42400" s="1"/>
  <c r="BW883" i="42385"/>
  <c r="BW276" i="42400" s="1"/>
  <c r="BW296" i="42400" s="1"/>
  <c r="CL883" i="42385"/>
  <c r="H884" i="42385"/>
  <c r="I884" i="42385"/>
  <c r="J884" i="42385"/>
  <c r="K884" i="42385"/>
  <c r="M884" i="42385"/>
  <c r="N884" i="42385"/>
  <c r="O884" i="42385"/>
  <c r="P884" i="42385"/>
  <c r="R884" i="42385"/>
  <c r="S884" i="42385"/>
  <c r="T884" i="42385"/>
  <c r="U884" i="42385"/>
  <c r="W884" i="42385"/>
  <c r="X884" i="42385"/>
  <c r="Y884" i="42385"/>
  <c r="Z884" i="42385"/>
  <c r="AB884" i="42385"/>
  <c r="AC884" i="42385"/>
  <c r="AD884" i="42385"/>
  <c r="AE884" i="42385"/>
  <c r="AG884" i="42385"/>
  <c r="AH884" i="42385"/>
  <c r="AI884" i="42385"/>
  <c r="AJ884" i="42385"/>
  <c r="AL884" i="42385"/>
  <c r="AM884" i="42385"/>
  <c r="AN884" i="42385"/>
  <c r="AO884" i="42385"/>
  <c r="AQ884" i="42385"/>
  <c r="AR884" i="42385"/>
  <c r="AS884" i="42385"/>
  <c r="AT884" i="42385"/>
  <c r="AV884" i="42385"/>
  <c r="AW884" i="42385"/>
  <c r="AX884" i="42385"/>
  <c r="AY884" i="42385"/>
  <c r="BA884" i="42385"/>
  <c r="BB884" i="42385"/>
  <c r="BC884" i="42385"/>
  <c r="BD884" i="42385"/>
  <c r="BF884" i="42385"/>
  <c r="BG884" i="42385"/>
  <c r="BH884" i="42385"/>
  <c r="BI884" i="42385"/>
  <c r="BK884" i="42385"/>
  <c r="BL884" i="42385"/>
  <c r="BM884" i="42385"/>
  <c r="BN884" i="42385"/>
  <c r="BP884" i="42385"/>
  <c r="BQ884" i="42385"/>
  <c r="BR884" i="42385"/>
  <c r="BU884" i="42385"/>
  <c r="BV884" i="42385"/>
  <c r="BW884" i="42385"/>
  <c r="BX884" i="42385"/>
  <c r="CL884" i="42385"/>
  <c r="CM884" i="42385"/>
  <c r="G886" i="42385"/>
  <c r="CM886" i="42385" s="1"/>
  <c r="L886" i="42385"/>
  <c r="Q886" i="42385"/>
  <c r="V886" i="42385"/>
  <c r="CP886" i="42385" s="1"/>
  <c r="AA886" i="42385"/>
  <c r="AF886" i="42385"/>
  <c r="CR886" i="42385" s="1"/>
  <c r="AK886" i="42385"/>
  <c r="CS886" i="42385" s="1"/>
  <c r="AP886" i="42385"/>
  <c r="CT886" i="42385" s="1"/>
  <c r="AU886" i="42385"/>
  <c r="CU886" i="42385" s="1"/>
  <c r="AZ886" i="42385"/>
  <c r="BE886" i="42385"/>
  <c r="BE275" i="42400" s="1"/>
  <c r="BE283" i="42400" s="1"/>
  <c r="BB283" i="42400" s="1"/>
  <c r="BJ886" i="42385"/>
  <c r="CX886" i="42385" s="1"/>
  <c r="BO886" i="42385"/>
  <c r="BS275" i="42400"/>
  <c r="BU888" i="42385"/>
  <c r="BU889" i="42385" s="1"/>
  <c r="BV886" i="42385"/>
  <c r="BW886" i="42385"/>
  <c r="BW275" i="42400" s="1"/>
  <c r="CL886" i="42385"/>
  <c r="H887" i="42385"/>
  <c r="I887" i="42385"/>
  <c r="J887" i="42385"/>
  <c r="K887" i="42385"/>
  <c r="M887" i="42385"/>
  <c r="N887" i="42385"/>
  <c r="O887" i="42385"/>
  <c r="P887" i="42385"/>
  <c r="R887" i="42385"/>
  <c r="S887" i="42385"/>
  <c r="T887" i="42385"/>
  <c r="U887" i="42385"/>
  <c r="W887" i="42385"/>
  <c r="X887" i="42385"/>
  <c r="Y887" i="42385"/>
  <c r="Z887" i="42385"/>
  <c r="AB887" i="42385"/>
  <c r="AC887" i="42385"/>
  <c r="AD887" i="42385"/>
  <c r="AE887" i="42385"/>
  <c r="AG887" i="42385"/>
  <c r="AH887" i="42385"/>
  <c r="AI887" i="42385"/>
  <c r="AJ887" i="42385"/>
  <c r="AL887" i="42385"/>
  <c r="AM887" i="42385"/>
  <c r="AN887" i="42385"/>
  <c r="AO887" i="42385"/>
  <c r="AQ887" i="42385"/>
  <c r="AR887" i="42385"/>
  <c r="AS887" i="42385"/>
  <c r="AT887" i="42385"/>
  <c r="AV887" i="42385"/>
  <c r="AW887" i="42385"/>
  <c r="AX887" i="42385"/>
  <c r="AY887" i="42385"/>
  <c r="BA887" i="42385"/>
  <c r="BB887" i="42385"/>
  <c r="BC887" i="42385"/>
  <c r="BD887" i="42385"/>
  <c r="BF887" i="42385"/>
  <c r="BG887" i="42385"/>
  <c r="BH887" i="42385"/>
  <c r="BI887" i="42385"/>
  <c r="BK887" i="42385"/>
  <c r="BL887" i="42385"/>
  <c r="BM887" i="42385"/>
  <c r="BN887" i="42385"/>
  <c r="BP887" i="42385"/>
  <c r="BQ887" i="42385"/>
  <c r="BR887" i="42385"/>
  <c r="CL887" i="42385"/>
  <c r="CM887" i="42385"/>
  <c r="DB887" i="42385"/>
  <c r="DC887" i="42385"/>
  <c r="C888" i="42385"/>
  <c r="D888" i="42385"/>
  <c r="E888" i="42385"/>
  <c r="F888" i="42385"/>
  <c r="H888" i="42385"/>
  <c r="I888" i="42385"/>
  <c r="J888" i="42385"/>
  <c r="K888" i="42385"/>
  <c r="M888" i="42385"/>
  <c r="N888" i="42385"/>
  <c r="O888" i="42385"/>
  <c r="P888" i="42385"/>
  <c r="R888" i="42385"/>
  <c r="S888" i="42385"/>
  <c r="T888" i="42385"/>
  <c r="U888" i="42385"/>
  <c r="W888" i="42385"/>
  <c r="X888" i="42385"/>
  <c r="Y888" i="42385"/>
  <c r="Z888" i="42385"/>
  <c r="AB888" i="42385"/>
  <c r="AC888" i="42385"/>
  <c r="AD888" i="42385"/>
  <c r="AE888" i="42385"/>
  <c r="AG888" i="42385"/>
  <c r="AH888" i="42385"/>
  <c r="AI888" i="42385"/>
  <c r="AN888" i="42385" s="1"/>
  <c r="AJ888" i="42385"/>
  <c r="AO888" i="42385" s="1"/>
  <c r="AO889" i="42385" s="1"/>
  <c r="AO890" i="42385" s="1"/>
  <c r="AL888" i="42385"/>
  <c r="AQ888" i="42385" s="1"/>
  <c r="AQ889" i="42385" s="1"/>
  <c r="AM888" i="42385"/>
  <c r="AR888" i="42385" s="1"/>
  <c r="AR889" i="42385" s="1"/>
  <c r="AV888" i="42385"/>
  <c r="AV889" i="42385" s="1"/>
  <c r="AW888" i="42385"/>
  <c r="AW889" i="42385" s="1"/>
  <c r="AX888" i="42385"/>
  <c r="AX889" i="42385" s="1"/>
  <c r="AY888" i="42385"/>
  <c r="AY889" i="42385" s="1"/>
  <c r="AY243" i="42385" s="1"/>
  <c r="BA888" i="42385"/>
  <c r="BA889" i="42385" s="1"/>
  <c r="BB888" i="42385"/>
  <c r="BB889" i="42385" s="1"/>
  <c r="BC888" i="42385"/>
  <c r="BC889" i="42385" s="1"/>
  <c r="BD888" i="42385"/>
  <c r="BD889" i="42385" s="1"/>
  <c r="BF888" i="42385"/>
  <c r="BF889" i="42385" s="1"/>
  <c r="BG888" i="42385"/>
  <c r="BG889" i="42385" s="1"/>
  <c r="BG243" i="42385" s="1"/>
  <c r="BH888" i="42385"/>
  <c r="BH889" i="42385" s="1"/>
  <c r="BI888" i="42385"/>
  <c r="BI889" i="42385" s="1"/>
  <c r="BK888" i="42385"/>
  <c r="BK889" i="42385" s="1"/>
  <c r="BK243" i="42385" s="1"/>
  <c r="BL888" i="42385"/>
  <c r="BL889" i="42385" s="1"/>
  <c r="BM888" i="42385"/>
  <c r="BM889" i="42385" s="1"/>
  <c r="BN888" i="42385"/>
  <c r="BN889" i="42385" s="1"/>
  <c r="BP888" i="42385"/>
  <c r="BP889" i="42385" s="1"/>
  <c r="BQ888" i="42385"/>
  <c r="BQ889" i="42385" s="1"/>
  <c r="BR888" i="42385"/>
  <c r="BR889" i="42385" s="1"/>
  <c r="CL888" i="42385"/>
  <c r="G889" i="42385"/>
  <c r="L889" i="42385"/>
  <c r="Q889" i="42385"/>
  <c r="V889" i="42385"/>
  <c r="AA889" i="42385"/>
  <c r="AF889" i="42385"/>
  <c r="AK889" i="42385"/>
  <c r="CL889" i="42385"/>
  <c r="H890" i="42385"/>
  <c r="I890" i="42385"/>
  <c r="J890" i="42385"/>
  <c r="K890" i="42385"/>
  <c r="M890" i="42385"/>
  <c r="N890" i="42385"/>
  <c r="O890" i="42385"/>
  <c r="P890" i="42385"/>
  <c r="R890" i="42385"/>
  <c r="S890" i="42385"/>
  <c r="T890" i="42385"/>
  <c r="U890" i="42385"/>
  <c r="W890" i="42385"/>
  <c r="X890" i="42385"/>
  <c r="Y890" i="42385"/>
  <c r="Z890" i="42385"/>
  <c r="AB890" i="42385"/>
  <c r="AC890" i="42385"/>
  <c r="AD890" i="42385"/>
  <c r="AE890" i="42385"/>
  <c r="AG890" i="42385"/>
  <c r="AH890" i="42385"/>
  <c r="AI890" i="42385"/>
  <c r="AJ890" i="42385"/>
  <c r="AL890" i="42385"/>
  <c r="AM890" i="42385"/>
  <c r="CL890" i="42385"/>
  <c r="CM890" i="42385"/>
  <c r="CL892" i="42385"/>
  <c r="CL893" i="42385"/>
  <c r="CL894" i="42385"/>
  <c r="CM894" i="42385"/>
  <c r="DB894" i="42385"/>
  <c r="DC894" i="42385"/>
  <c r="CL895" i="42385"/>
  <c r="CL896" i="42385"/>
  <c r="C897" i="42385"/>
  <c r="E897" i="42385"/>
  <c r="H897" i="42385"/>
  <c r="I897" i="42385"/>
  <c r="J897" i="42385"/>
  <c r="K897" i="42385"/>
  <c r="M897" i="42385"/>
  <c r="N897" i="42385"/>
  <c r="O897" i="42385"/>
  <c r="P897" i="42385"/>
  <c r="R897" i="42385"/>
  <c r="S897" i="42385"/>
  <c r="T897" i="42385"/>
  <c r="U897" i="42385"/>
  <c r="W897" i="42385"/>
  <c r="X897" i="42385"/>
  <c r="Y897" i="42385"/>
  <c r="Z897" i="42385"/>
  <c r="AB897" i="42385"/>
  <c r="AC897" i="42385"/>
  <c r="AD897" i="42385"/>
  <c r="AE897" i="42385"/>
  <c r="AG897" i="42385"/>
  <c r="AH897" i="42385"/>
  <c r="AI897" i="42385"/>
  <c r="AJ897" i="42385"/>
  <c r="AL897" i="42385"/>
  <c r="AM897" i="42385"/>
  <c r="CL897" i="42385"/>
  <c r="D899" i="42385"/>
  <c r="F899" i="42385"/>
  <c r="F897" i="42385" s="1"/>
  <c r="L899" i="42385"/>
  <c r="Q899" i="42385"/>
  <c r="V899" i="42385"/>
  <c r="AA899" i="42385"/>
  <c r="AF899" i="42385"/>
  <c r="CR899" i="42385" s="1"/>
  <c r="AK899" i="42385"/>
  <c r="CL899" i="42385"/>
  <c r="C900" i="42385"/>
  <c r="E900" i="42385"/>
  <c r="H900" i="42385"/>
  <c r="I900" i="42385"/>
  <c r="J900" i="42385"/>
  <c r="K900" i="42385"/>
  <c r="M900" i="42385"/>
  <c r="N900" i="42385"/>
  <c r="O900" i="42385"/>
  <c r="P900" i="42385"/>
  <c r="R900" i="42385"/>
  <c r="S900" i="42385"/>
  <c r="T900" i="42385"/>
  <c r="U900" i="42385"/>
  <c r="W900" i="42385"/>
  <c r="X900" i="42385"/>
  <c r="Y900" i="42385"/>
  <c r="Z900" i="42385"/>
  <c r="AB900" i="42385"/>
  <c r="AC900" i="42385"/>
  <c r="AD900" i="42385"/>
  <c r="AE900" i="42385"/>
  <c r="AG900" i="42385"/>
  <c r="AH900" i="42385"/>
  <c r="AI900" i="42385"/>
  <c r="AJ900" i="42385"/>
  <c r="AL900" i="42385"/>
  <c r="AM900" i="42385"/>
  <c r="CL900" i="42385"/>
  <c r="CL901" i="42385"/>
  <c r="H902" i="42385"/>
  <c r="J902" i="42385"/>
  <c r="M902" i="42385"/>
  <c r="N902" i="42385"/>
  <c r="O902" i="42385"/>
  <c r="P902" i="42385"/>
  <c r="R902" i="42385"/>
  <c r="S902" i="42385"/>
  <c r="T902" i="42385"/>
  <c r="U902" i="42385"/>
  <c r="W902" i="42385"/>
  <c r="X902" i="42385"/>
  <c r="Y902" i="42385"/>
  <c r="Z902" i="42385"/>
  <c r="AB902" i="42385"/>
  <c r="AC902" i="42385"/>
  <c r="AD902" i="42385"/>
  <c r="AE902" i="42385"/>
  <c r="AG902" i="42385"/>
  <c r="AH902" i="42385"/>
  <c r="AI902" i="42385"/>
  <c r="AJ902" i="42385"/>
  <c r="AL902" i="42385"/>
  <c r="AM902" i="42385"/>
  <c r="CL902" i="42385"/>
  <c r="CM902" i="42385"/>
  <c r="G903" i="42385"/>
  <c r="L903" i="42385"/>
  <c r="Q903" i="42385"/>
  <c r="V903" i="42385"/>
  <c r="AA903" i="42385"/>
  <c r="CQ903" i="42385" s="1"/>
  <c r="AF903" i="42385"/>
  <c r="AK903" i="42385"/>
  <c r="CS903" i="42385" s="1"/>
  <c r="AN903" i="42385"/>
  <c r="AO903" i="42385" s="1"/>
  <c r="CL903" i="42385"/>
  <c r="C904" i="42385"/>
  <c r="D904" i="42385"/>
  <c r="E904" i="42385"/>
  <c r="F904" i="42385"/>
  <c r="H904" i="42385"/>
  <c r="I904" i="42385"/>
  <c r="J904" i="42385"/>
  <c r="K904" i="42385"/>
  <c r="M904" i="42385"/>
  <c r="N904" i="42385"/>
  <c r="O904" i="42385"/>
  <c r="P904" i="42385"/>
  <c r="R904" i="42385"/>
  <c r="S904" i="42385"/>
  <c r="T904" i="42385"/>
  <c r="U904" i="42385"/>
  <c r="W904" i="42385"/>
  <c r="X904" i="42385"/>
  <c r="Y904" i="42385"/>
  <c r="Z904" i="42385"/>
  <c r="AB904" i="42385"/>
  <c r="AC904" i="42385"/>
  <c r="AD904" i="42385"/>
  <c r="AE904" i="42385"/>
  <c r="AG904" i="42385"/>
  <c r="AH904" i="42385"/>
  <c r="AI904" i="42385"/>
  <c r="AJ904" i="42385"/>
  <c r="AL904" i="42385"/>
  <c r="AM904" i="42385"/>
  <c r="CL904" i="42385"/>
  <c r="C907" i="42385"/>
  <c r="D907" i="42385"/>
  <c r="E907" i="42385"/>
  <c r="F907" i="42385"/>
  <c r="CL907" i="42385"/>
  <c r="G908" i="42385"/>
  <c r="CM908" i="42385" s="1"/>
  <c r="L908" i="42385"/>
  <c r="Q908" i="42385"/>
  <c r="CO908" i="42385" s="1"/>
  <c r="V908" i="42385"/>
  <c r="CP908" i="42385" s="1"/>
  <c r="AA908" i="42385"/>
  <c r="CQ908" i="42385" s="1"/>
  <c r="AF908" i="42385"/>
  <c r="CR908" i="42385" s="1"/>
  <c r="AG908" i="42385"/>
  <c r="AH908" i="42385" s="1"/>
  <c r="AI908" i="42385" s="1"/>
  <c r="AJ908" i="42385" s="1"/>
  <c r="AP908" i="42385"/>
  <c r="CT908" i="42385" s="1"/>
  <c r="AU908" i="42385"/>
  <c r="CU908" i="42385" s="1"/>
  <c r="AZ908" i="42385"/>
  <c r="CV908" i="42385" s="1"/>
  <c r="BE908" i="42385"/>
  <c r="CW908" i="42385" s="1"/>
  <c r="BJ908" i="42385"/>
  <c r="CX908" i="42385" s="1"/>
  <c r="BO908" i="42385"/>
  <c r="CY908" i="42385" s="1"/>
  <c r="BR908" i="42385"/>
  <c r="BS908" i="42385" s="1"/>
  <c r="BT908" i="42385" s="1"/>
  <c r="BU908" i="42385" s="1"/>
  <c r="BV908" i="42385" s="1"/>
  <c r="BW908" i="42385" s="1"/>
  <c r="CL908" i="42385"/>
  <c r="G909" i="42385"/>
  <c r="CM909" i="42385" s="1"/>
  <c r="L909" i="42385"/>
  <c r="Q909" i="42385"/>
  <c r="V909" i="42385"/>
  <c r="CP909" i="42385" s="1"/>
  <c r="AA909" i="42385"/>
  <c r="CQ909" i="42385" s="1"/>
  <c r="AF909" i="42385"/>
  <c r="AG909" i="42385"/>
  <c r="AH909" i="42385" s="1"/>
  <c r="AI909" i="42385" s="1"/>
  <c r="AP909" i="42385"/>
  <c r="CT909" i="42385" s="1"/>
  <c r="AU909" i="42385"/>
  <c r="CU909" i="42385" s="1"/>
  <c r="AZ909" i="42385"/>
  <c r="BE909" i="42385"/>
  <c r="CW909" i="42385" s="1"/>
  <c r="BJ909" i="42385"/>
  <c r="CX909" i="42385" s="1"/>
  <c r="BO909" i="42385"/>
  <c r="CY909" i="42385" s="1"/>
  <c r="BR909" i="42385"/>
  <c r="BS909" i="42385" s="1"/>
  <c r="CL909" i="42385"/>
  <c r="CL910" i="42385"/>
  <c r="CL911" i="42385"/>
  <c r="CL912" i="42385"/>
  <c r="CM912" i="42385"/>
  <c r="G914" i="42385"/>
  <c r="L914" i="42385"/>
  <c r="Q914" i="42385"/>
  <c r="V914" i="42385"/>
  <c r="U33" i="42443" s="1"/>
  <c r="AA914" i="42385"/>
  <c r="Z33" i="42443" s="1"/>
  <c r="AF914" i="42385"/>
  <c r="AK914" i="42385"/>
  <c r="CS914" i="42385" s="1"/>
  <c r="AM914" i="42385"/>
  <c r="AU914" i="42385"/>
  <c r="AZ914" i="42385"/>
  <c r="BE914" i="42385"/>
  <c r="BE131" i="42400" s="1"/>
  <c r="BE146" i="42400" s="1"/>
  <c r="BJ914" i="42385"/>
  <c r="BJ131" i="42400" s="1"/>
  <c r="BJ146" i="42400" s="1"/>
  <c r="BO914" i="42385"/>
  <c r="BO131" i="42400" s="1"/>
  <c r="BO146" i="42400" s="1"/>
  <c r="BS131" i="42400"/>
  <c r="BS146" i="42400" s="1"/>
  <c r="BU914" i="42385"/>
  <c r="BU915" i="42385" s="1"/>
  <c r="BV914" i="42385"/>
  <c r="BW914" i="42385"/>
  <c r="CL914" i="42385"/>
  <c r="H915" i="42385"/>
  <c r="I915" i="42385"/>
  <c r="J915" i="42385"/>
  <c r="K915" i="42385"/>
  <c r="M915" i="42385"/>
  <c r="N915" i="42385"/>
  <c r="O915" i="42385"/>
  <c r="P915" i="42385"/>
  <c r="R915" i="42385"/>
  <c r="S915" i="42385"/>
  <c r="T915" i="42385"/>
  <c r="U915" i="42385"/>
  <c r="W915" i="42385"/>
  <c r="X915" i="42385"/>
  <c r="Y915" i="42385"/>
  <c r="Z915" i="42385"/>
  <c r="AB915" i="42385"/>
  <c r="AC915" i="42385"/>
  <c r="AD915" i="42385"/>
  <c r="AE915" i="42385"/>
  <c r="AG915" i="42385"/>
  <c r="AH915" i="42385"/>
  <c r="AI915" i="42385"/>
  <c r="AJ915" i="42385"/>
  <c r="AL915" i="42385"/>
  <c r="AN915" i="42385"/>
  <c r="AO915" i="42385"/>
  <c r="AQ915" i="42385"/>
  <c r="AS915" i="42385"/>
  <c r="AT915" i="42385"/>
  <c r="AV915" i="42385"/>
  <c r="AW915" i="42385"/>
  <c r="AX915" i="42385"/>
  <c r="AY915" i="42385"/>
  <c r="BA915" i="42385"/>
  <c r="BB915" i="42385"/>
  <c r="BC915" i="42385"/>
  <c r="BD915" i="42385"/>
  <c r="BF915" i="42385"/>
  <c r="BG915" i="42385"/>
  <c r="BH915" i="42385"/>
  <c r="BI915" i="42385"/>
  <c r="BK915" i="42385"/>
  <c r="BL915" i="42385"/>
  <c r="BM915" i="42385"/>
  <c r="BN915" i="42385"/>
  <c r="BP915" i="42385"/>
  <c r="BQ915" i="42385"/>
  <c r="BR915" i="42385"/>
  <c r="CL915" i="42385"/>
  <c r="CM915" i="42385"/>
  <c r="G917" i="42385"/>
  <c r="L917" i="42385"/>
  <c r="K32" i="42443" s="1"/>
  <c r="Q917" i="42385"/>
  <c r="V917" i="42385"/>
  <c r="U32" i="42443" s="1"/>
  <c r="AA917" i="42385"/>
  <c r="AF917" i="42385"/>
  <c r="CR917" i="42385" s="1"/>
  <c r="AK917" i="42385"/>
  <c r="AK130" i="42400" s="1"/>
  <c r="AP917" i="42385"/>
  <c r="CT917" i="42385" s="1"/>
  <c r="AU917" i="42385"/>
  <c r="AZ917" i="42385"/>
  <c r="BE917" i="42385"/>
  <c r="BJ917" i="42385"/>
  <c r="BO917" i="42385"/>
  <c r="BS130" i="42400"/>
  <c r="BU130" i="42400"/>
  <c r="BV917" i="42385"/>
  <c r="BW917" i="42385"/>
  <c r="BW130" i="42400" s="1"/>
  <c r="CL917" i="42385"/>
  <c r="CW917" i="42385"/>
  <c r="H918" i="42385"/>
  <c r="I918" i="42385"/>
  <c r="J918" i="42385"/>
  <c r="K918" i="42385"/>
  <c r="M918" i="42385"/>
  <c r="N918" i="42385"/>
  <c r="O918" i="42385"/>
  <c r="P918" i="42385"/>
  <c r="R918" i="42385"/>
  <c r="S918" i="42385"/>
  <c r="T918" i="42385"/>
  <c r="U918" i="42385"/>
  <c r="W918" i="42385"/>
  <c r="X918" i="42385"/>
  <c r="Y918" i="42385"/>
  <c r="Z918" i="42385"/>
  <c r="AB918" i="42385"/>
  <c r="AC918" i="42385"/>
  <c r="AD918" i="42385"/>
  <c r="AE918" i="42385"/>
  <c r="AG918" i="42385"/>
  <c r="AH918" i="42385"/>
  <c r="AI918" i="42385"/>
  <c r="AJ918" i="42385"/>
  <c r="AL918" i="42385"/>
  <c r="AM918" i="42385"/>
  <c r="AN918" i="42385"/>
  <c r="AO918" i="42385"/>
  <c r="AQ918" i="42385"/>
  <c r="AR918" i="42385"/>
  <c r="AS918" i="42385"/>
  <c r="AT918" i="42385"/>
  <c r="AV918" i="42385"/>
  <c r="AW918" i="42385"/>
  <c r="AX918" i="42385"/>
  <c r="AY918" i="42385"/>
  <c r="BA918" i="42385"/>
  <c r="BB918" i="42385"/>
  <c r="BC918" i="42385"/>
  <c r="BD918" i="42385"/>
  <c r="BF918" i="42385"/>
  <c r="BG918" i="42385"/>
  <c r="BH918" i="42385"/>
  <c r="BI918" i="42385"/>
  <c r="BK918" i="42385"/>
  <c r="BL918" i="42385"/>
  <c r="BM918" i="42385"/>
  <c r="BN918" i="42385"/>
  <c r="BP918" i="42385"/>
  <c r="BQ918" i="42385"/>
  <c r="BR918" i="42385"/>
  <c r="CL918" i="42385"/>
  <c r="CM918" i="42385"/>
  <c r="DB918" i="42385"/>
  <c r="DC918" i="42385"/>
  <c r="C919" i="42385"/>
  <c r="D919" i="42385"/>
  <c r="E919" i="42385"/>
  <c r="F919" i="42385"/>
  <c r="H919" i="42385"/>
  <c r="I919" i="42385"/>
  <c r="J919" i="42385"/>
  <c r="K919" i="42385"/>
  <c r="M919" i="42385"/>
  <c r="N919" i="42385"/>
  <c r="O919" i="42385"/>
  <c r="P919" i="42385"/>
  <c r="R919" i="42385"/>
  <c r="S919" i="42385"/>
  <c r="T919" i="42385"/>
  <c r="U919" i="42385"/>
  <c r="W919" i="42385"/>
  <c r="X919" i="42385"/>
  <c r="Y919" i="42385"/>
  <c r="Z919" i="42385"/>
  <c r="AB919" i="42385"/>
  <c r="AC919" i="42385"/>
  <c r="AD919" i="42385"/>
  <c r="AE919" i="42385"/>
  <c r="AG919" i="42385"/>
  <c r="AH919" i="42385"/>
  <c r="AI919" i="42385"/>
  <c r="AJ919" i="42385"/>
  <c r="AL919" i="42385"/>
  <c r="AQ919" i="42385" s="1"/>
  <c r="AQ920" i="42385" s="1"/>
  <c r="AM919" i="42385"/>
  <c r="AW919" i="42385"/>
  <c r="AW920" i="42385" s="1"/>
  <c r="AW244" i="42385" s="1"/>
  <c r="BF919" i="42385"/>
  <c r="BF920" i="42385" s="1"/>
  <c r="BG919" i="42385"/>
  <c r="BG920" i="42385" s="1"/>
  <c r="BH919" i="42385"/>
  <c r="BH920" i="42385" s="1"/>
  <c r="BT919" i="42385"/>
  <c r="CZ919" i="42385" s="1"/>
  <c r="BU919" i="42385"/>
  <c r="CL919" i="42385"/>
  <c r="G920" i="42385"/>
  <c r="L920" i="42385"/>
  <c r="Q920" i="42385"/>
  <c r="V920" i="42385"/>
  <c r="AA920" i="42385"/>
  <c r="CQ920" i="42385" s="1"/>
  <c r="AF920" i="42385"/>
  <c r="AK920" i="42385"/>
  <c r="AV920" i="42385"/>
  <c r="BA920" i="42385"/>
  <c r="BA244" i="42385" s="1"/>
  <c r="BB920" i="42385"/>
  <c r="BC920" i="42385"/>
  <c r="BD920" i="42385"/>
  <c r="BD244" i="42385" s="1"/>
  <c r="BI920" i="42385"/>
  <c r="BK920" i="42385"/>
  <c r="BL920" i="42385"/>
  <c r="BM920" i="42385"/>
  <c r="BN920" i="42385"/>
  <c r="BN244" i="42385" s="1"/>
  <c r="BP920" i="42385"/>
  <c r="BQ920" i="42385"/>
  <c r="BQ244" i="42385" s="1"/>
  <c r="BR920" i="42385"/>
  <c r="BR244" i="42385" s="1"/>
  <c r="CL920" i="42385"/>
  <c r="H921" i="42385"/>
  <c r="I921" i="42385"/>
  <c r="J921" i="42385"/>
  <c r="K921" i="42385"/>
  <c r="M921" i="42385"/>
  <c r="N921" i="42385"/>
  <c r="O921" i="42385"/>
  <c r="P921" i="42385"/>
  <c r="R921" i="42385"/>
  <c r="S921" i="42385"/>
  <c r="T921" i="42385"/>
  <c r="U921" i="42385"/>
  <c r="W921" i="42385"/>
  <c r="X921" i="42385"/>
  <c r="Y921" i="42385"/>
  <c r="Z921" i="42385"/>
  <c r="AB921" i="42385"/>
  <c r="AC921" i="42385"/>
  <c r="AD921" i="42385"/>
  <c r="AE921" i="42385"/>
  <c r="AG921" i="42385"/>
  <c r="AH921" i="42385"/>
  <c r="AI921" i="42385"/>
  <c r="AJ921" i="42385"/>
  <c r="AL921" i="42385"/>
  <c r="AM921" i="42385"/>
  <c r="CL921" i="42385"/>
  <c r="CM921" i="42385"/>
  <c r="CL923" i="42385"/>
  <c r="CL924" i="42385"/>
  <c r="AO925" i="42385"/>
  <c r="CL925" i="42385"/>
  <c r="CM925" i="42385"/>
  <c r="DB925" i="42385"/>
  <c r="DC925" i="42385"/>
  <c r="CL926" i="42385"/>
  <c r="CL927" i="42385"/>
  <c r="C928" i="42385"/>
  <c r="D928" i="42385"/>
  <c r="E928" i="42385"/>
  <c r="F928" i="42385"/>
  <c r="H928" i="42385"/>
  <c r="I928" i="42385"/>
  <c r="J928" i="42385"/>
  <c r="K928" i="42385"/>
  <c r="M928" i="42385"/>
  <c r="N928" i="42385"/>
  <c r="O928" i="42385"/>
  <c r="P928" i="42385"/>
  <c r="R928" i="42385"/>
  <c r="S928" i="42385"/>
  <c r="T928" i="42385"/>
  <c r="U928" i="42385"/>
  <c r="W928" i="42385"/>
  <c r="X928" i="42385"/>
  <c r="Y928" i="42385"/>
  <c r="Z928" i="42385"/>
  <c r="AB928" i="42385"/>
  <c r="AC928" i="42385"/>
  <c r="AD928" i="42385"/>
  <c r="AE928" i="42385"/>
  <c r="AG928" i="42385"/>
  <c r="AH928" i="42385"/>
  <c r="AI928" i="42385"/>
  <c r="AJ928" i="42385"/>
  <c r="AL928" i="42385"/>
  <c r="AM928" i="42385"/>
  <c r="CL928" i="42385"/>
  <c r="G930" i="42385"/>
  <c r="L930" i="42385"/>
  <c r="Q930" i="42385"/>
  <c r="V930" i="42385"/>
  <c r="CP930" i="42385" s="1"/>
  <c r="AA930" i="42385"/>
  <c r="CQ930" i="42385" s="1"/>
  <c r="AF930" i="42385"/>
  <c r="AK930" i="42385"/>
  <c r="CL930" i="42385"/>
  <c r="CM930" i="42385"/>
  <c r="C931" i="42385"/>
  <c r="D931" i="42385"/>
  <c r="E931" i="42385"/>
  <c r="F931" i="42385"/>
  <c r="H931" i="42385"/>
  <c r="I931" i="42385"/>
  <c r="J931" i="42385"/>
  <c r="K931" i="42385"/>
  <c r="M931" i="42385"/>
  <c r="N931" i="42385"/>
  <c r="O931" i="42385"/>
  <c r="P931" i="42385"/>
  <c r="R931" i="42385"/>
  <c r="S931" i="42385"/>
  <c r="T931" i="42385"/>
  <c r="U931" i="42385"/>
  <c r="W931" i="42385"/>
  <c r="X931" i="42385"/>
  <c r="Y931" i="42385"/>
  <c r="Z931" i="42385"/>
  <c r="AB931" i="42385"/>
  <c r="AC931" i="42385"/>
  <c r="AD931" i="42385"/>
  <c r="AE931" i="42385"/>
  <c r="AG931" i="42385"/>
  <c r="AH931" i="42385"/>
  <c r="AI931" i="42385"/>
  <c r="AJ931" i="42385"/>
  <c r="AL931" i="42385"/>
  <c r="AM931" i="42385"/>
  <c r="CL931" i="42385"/>
  <c r="CL932" i="42385"/>
  <c r="H933" i="42385"/>
  <c r="I933" i="42385"/>
  <c r="J933" i="42385"/>
  <c r="K933" i="42385"/>
  <c r="M933" i="42385"/>
  <c r="N933" i="42385"/>
  <c r="O933" i="42385"/>
  <c r="P933" i="42385"/>
  <c r="R933" i="42385"/>
  <c r="S933" i="42385"/>
  <c r="T933" i="42385"/>
  <c r="U933" i="42385"/>
  <c r="W933" i="42385"/>
  <c r="X933" i="42385"/>
  <c r="Y933" i="42385"/>
  <c r="Z933" i="42385"/>
  <c r="AB933" i="42385"/>
  <c r="AC933" i="42385"/>
  <c r="AD933" i="42385"/>
  <c r="AE933" i="42385"/>
  <c r="AG933" i="42385"/>
  <c r="AH933" i="42385"/>
  <c r="AI933" i="42385"/>
  <c r="AJ933" i="42385"/>
  <c r="AL933" i="42385"/>
  <c r="AM933" i="42385"/>
  <c r="CL933" i="42385"/>
  <c r="CM933" i="42385"/>
  <c r="G934" i="42385"/>
  <c r="L934" i="42385"/>
  <c r="Q934" i="42385"/>
  <c r="V934" i="42385"/>
  <c r="AA934" i="42385"/>
  <c r="AF934" i="42385"/>
  <c r="AK934" i="42385"/>
  <c r="CS934" i="42385" s="1"/>
  <c r="AN934" i="42385"/>
  <c r="CL934" i="42385"/>
  <c r="CN934" i="42385"/>
  <c r="C935" i="42385"/>
  <c r="D935" i="42385"/>
  <c r="E935" i="42385"/>
  <c r="F935" i="42385"/>
  <c r="H935" i="42385"/>
  <c r="I935" i="42385"/>
  <c r="J935" i="42385"/>
  <c r="K935" i="42385"/>
  <c r="M935" i="42385"/>
  <c r="N935" i="42385"/>
  <c r="O935" i="42385"/>
  <c r="P935" i="42385"/>
  <c r="R935" i="42385"/>
  <c r="S935" i="42385"/>
  <c r="T935" i="42385"/>
  <c r="U935" i="42385"/>
  <c r="W935" i="42385"/>
  <c r="X935" i="42385"/>
  <c r="Y935" i="42385"/>
  <c r="Z935" i="42385"/>
  <c r="AB935" i="42385"/>
  <c r="AC935" i="42385"/>
  <c r="AD935" i="42385"/>
  <c r="AE935" i="42385"/>
  <c r="AG935" i="42385"/>
  <c r="AH935" i="42385"/>
  <c r="AI935" i="42385"/>
  <c r="AJ935" i="42385"/>
  <c r="AL935" i="42385"/>
  <c r="AM935" i="42385"/>
  <c r="CL935" i="42385"/>
  <c r="CL937" i="42385"/>
  <c r="CM937" i="42385"/>
  <c r="CN937" i="42385"/>
  <c r="CO937" i="42385"/>
  <c r="CP937" i="42385"/>
  <c r="CQ937" i="42385"/>
  <c r="CR937" i="42385"/>
  <c r="CS937" i="42385"/>
  <c r="CT937" i="42385"/>
  <c r="CU937" i="42385"/>
  <c r="CV937" i="42385"/>
  <c r="CW937" i="42385"/>
  <c r="CX937" i="42385"/>
  <c r="CY937" i="42385"/>
  <c r="CZ937" i="42385"/>
  <c r="DA937" i="42385"/>
  <c r="DB937" i="42385"/>
  <c r="DC937" i="42385"/>
  <c r="C938" i="42385"/>
  <c r="D938" i="42385"/>
  <c r="E938" i="42385"/>
  <c r="F938" i="42385"/>
  <c r="BE938" i="42385"/>
  <c r="CW938" i="42385" s="1"/>
  <c r="CL938" i="42385"/>
  <c r="CX938" i="42385"/>
  <c r="CY938" i="42385"/>
  <c r="CZ938" i="42385"/>
  <c r="DA938" i="42385"/>
  <c r="DB938" i="42385"/>
  <c r="DC938" i="42385"/>
  <c r="G939" i="42385"/>
  <c r="CM939" i="42385" s="1"/>
  <c r="L939" i="42385"/>
  <c r="CN939" i="42385" s="1"/>
  <c r="Q939" i="42385"/>
  <c r="CO939" i="42385" s="1"/>
  <c r="V939" i="42385"/>
  <c r="AA939" i="42385"/>
  <c r="CQ939" i="42385" s="1"/>
  <c r="AF939" i="42385"/>
  <c r="CR939" i="42385" s="1"/>
  <c r="AG939" i="42385"/>
  <c r="AP939" i="42385"/>
  <c r="CT939" i="42385" s="1"/>
  <c r="AU939" i="42385"/>
  <c r="CU939" i="42385" s="1"/>
  <c r="AZ939" i="42385"/>
  <c r="CV939" i="42385" s="1"/>
  <c r="BE939" i="42385"/>
  <c r="CW939" i="42385" s="1"/>
  <c r="CL939" i="42385"/>
  <c r="CX939" i="42385"/>
  <c r="CY939" i="42385"/>
  <c r="CZ939" i="42385"/>
  <c r="DA939" i="42385"/>
  <c r="DB939" i="42385"/>
  <c r="DC939" i="42385"/>
  <c r="G940" i="42385"/>
  <c r="L940" i="42385"/>
  <c r="CN940" i="42385" s="1"/>
  <c r="Q940" i="42385"/>
  <c r="CO940" i="42385" s="1"/>
  <c r="V940" i="42385"/>
  <c r="AA940" i="42385"/>
  <c r="CQ940" i="42385" s="1"/>
  <c r="AF940" i="42385"/>
  <c r="CR940" i="42385" s="1"/>
  <c r="AG940" i="42385"/>
  <c r="AH940" i="42385" s="1"/>
  <c r="AI940" i="42385" s="1"/>
  <c r="AJ940" i="42385" s="1"/>
  <c r="AK940" i="42385" s="1"/>
  <c r="CS940" i="42385" s="1"/>
  <c r="AP940" i="42385"/>
  <c r="CT940" i="42385" s="1"/>
  <c r="AU940" i="42385"/>
  <c r="CU940" i="42385" s="1"/>
  <c r="AZ940" i="42385"/>
  <c r="CV940" i="42385" s="1"/>
  <c r="BE940" i="42385"/>
  <c r="CW940" i="42385" s="1"/>
  <c r="CL940" i="42385"/>
  <c r="CM940" i="42385"/>
  <c r="CX940" i="42385"/>
  <c r="CY940" i="42385"/>
  <c r="CZ940" i="42385"/>
  <c r="DA940" i="42385"/>
  <c r="DB940" i="42385"/>
  <c r="DC940" i="42385"/>
  <c r="CL941" i="42385"/>
  <c r="CX941" i="42385"/>
  <c r="CY941" i="42385"/>
  <c r="CZ941" i="42385"/>
  <c r="DA941" i="42385"/>
  <c r="DB941" i="42385"/>
  <c r="DC941" i="42385"/>
  <c r="C942" i="42385"/>
  <c r="CL942" i="42385"/>
  <c r="CX942" i="42385"/>
  <c r="CY942" i="42385"/>
  <c r="CZ942" i="42385"/>
  <c r="DA942" i="42385"/>
  <c r="DB942" i="42385"/>
  <c r="DC942" i="42385"/>
  <c r="CL943" i="42385"/>
  <c r="CM943" i="42385"/>
  <c r="CW943" i="42385"/>
  <c r="CX943" i="42385"/>
  <c r="CY943" i="42385"/>
  <c r="CZ943" i="42385"/>
  <c r="DA943" i="42385"/>
  <c r="DB943" i="42385"/>
  <c r="DC943" i="42385"/>
  <c r="G945" i="42385"/>
  <c r="F57" i="42443" s="1"/>
  <c r="L945" i="42385"/>
  <c r="Q945" i="42385"/>
  <c r="CO945" i="42385" s="1"/>
  <c r="V945" i="42385"/>
  <c r="U57" i="42443" s="1"/>
  <c r="AA945" i="42385"/>
  <c r="AF945" i="42385"/>
  <c r="CR945" i="42385" s="1"/>
  <c r="AK945" i="42385"/>
  <c r="AK219" i="42400" s="1"/>
  <c r="AP945" i="42385"/>
  <c r="AP219" i="42400" s="1"/>
  <c r="AP230" i="42400" s="1"/>
  <c r="AU945" i="42385"/>
  <c r="AZ945" i="42385"/>
  <c r="AZ219" i="42400" s="1"/>
  <c r="BE945" i="42385"/>
  <c r="CW945" i="42385" s="1"/>
  <c r="CL945" i="42385"/>
  <c r="CX945" i="42385"/>
  <c r="CY945" i="42385"/>
  <c r="CZ945" i="42385"/>
  <c r="DA945" i="42385"/>
  <c r="DB945" i="42385"/>
  <c r="DC945" i="42385"/>
  <c r="H946" i="42385"/>
  <c r="I946" i="42385"/>
  <c r="J946" i="42385"/>
  <c r="K946" i="42385"/>
  <c r="M946" i="42385"/>
  <c r="N946" i="42385"/>
  <c r="O946" i="42385"/>
  <c r="P946" i="42385"/>
  <c r="R946" i="42385"/>
  <c r="S946" i="42385"/>
  <c r="T946" i="42385"/>
  <c r="U946" i="42385"/>
  <c r="W946" i="42385"/>
  <c r="X946" i="42385"/>
  <c r="Y946" i="42385"/>
  <c r="Z946" i="42385"/>
  <c r="AB946" i="42385"/>
  <c r="AC946" i="42385"/>
  <c r="AD946" i="42385"/>
  <c r="AE946" i="42385"/>
  <c r="AG946" i="42385"/>
  <c r="AH946" i="42385"/>
  <c r="AI946" i="42385"/>
  <c r="AJ946" i="42385"/>
  <c r="AL946" i="42385"/>
  <c r="AM946" i="42385"/>
  <c r="AN946" i="42385"/>
  <c r="AO946" i="42385"/>
  <c r="AQ946" i="42385"/>
  <c r="AR946" i="42385"/>
  <c r="AS946" i="42385"/>
  <c r="AT946" i="42385"/>
  <c r="AV946" i="42385"/>
  <c r="AW946" i="42385"/>
  <c r="AX946" i="42385"/>
  <c r="AY946" i="42385"/>
  <c r="BA946" i="42385"/>
  <c r="BB946" i="42385"/>
  <c r="CL946" i="42385"/>
  <c r="CM946" i="42385"/>
  <c r="CW946" i="42385"/>
  <c r="CX946" i="42385"/>
  <c r="CY946" i="42385"/>
  <c r="CZ946" i="42385"/>
  <c r="DA946" i="42385"/>
  <c r="DB946" i="42385"/>
  <c r="DC946" i="42385"/>
  <c r="G948" i="42385"/>
  <c r="F56" i="42443" s="1"/>
  <c r="L948" i="42385"/>
  <c r="Q948" i="42385"/>
  <c r="P56" i="42443" s="1"/>
  <c r="V948" i="42385"/>
  <c r="CP948" i="42385" s="1"/>
  <c r="AA948" i="42385"/>
  <c r="Z56" i="42443" s="1"/>
  <c r="AF948" i="42385"/>
  <c r="CR948" i="42385" s="1"/>
  <c r="AK948" i="42385"/>
  <c r="AP948" i="42385"/>
  <c r="CT948" i="42385" s="1"/>
  <c r="AU948" i="42385"/>
  <c r="CU948" i="42385" s="1"/>
  <c r="AZ948" i="42385"/>
  <c r="BE948" i="42385"/>
  <c r="BE218" i="42400" s="1"/>
  <c r="BE222" i="42400" s="1"/>
  <c r="BB222" i="42400" s="1"/>
  <c r="CL948" i="42385"/>
  <c r="CX948" i="42385"/>
  <c r="CY948" i="42385"/>
  <c r="CZ948" i="42385"/>
  <c r="DA948" i="42385"/>
  <c r="DB948" i="42385"/>
  <c r="DC948" i="42385"/>
  <c r="H949" i="42385"/>
  <c r="I949" i="42385"/>
  <c r="J949" i="42385"/>
  <c r="K949" i="42385"/>
  <c r="M949" i="42385"/>
  <c r="N949" i="42385"/>
  <c r="O949" i="42385"/>
  <c r="P949" i="42385"/>
  <c r="R949" i="42385"/>
  <c r="S949" i="42385"/>
  <c r="T949" i="42385"/>
  <c r="U949" i="42385"/>
  <c r="W949" i="42385"/>
  <c r="X949" i="42385"/>
  <c r="Y949" i="42385"/>
  <c r="Z949" i="42385"/>
  <c r="AB949" i="42385"/>
  <c r="AC949" i="42385"/>
  <c r="AD949" i="42385"/>
  <c r="AE949" i="42385"/>
  <c r="AG949" i="42385"/>
  <c r="AH949" i="42385"/>
  <c r="AI949" i="42385"/>
  <c r="AJ949" i="42385"/>
  <c r="AL949" i="42385"/>
  <c r="AM949" i="42385"/>
  <c r="AN949" i="42385"/>
  <c r="AO949" i="42385"/>
  <c r="AQ949" i="42385"/>
  <c r="AR949" i="42385"/>
  <c r="AS949" i="42385"/>
  <c r="AT949" i="42385"/>
  <c r="AV949" i="42385"/>
  <c r="AW949" i="42385"/>
  <c r="AX949" i="42385"/>
  <c r="AY949" i="42385"/>
  <c r="BA949" i="42385"/>
  <c r="BB949" i="42385"/>
  <c r="CL949" i="42385"/>
  <c r="CM949" i="42385"/>
  <c r="CX949" i="42385"/>
  <c r="CY949" i="42385"/>
  <c r="CZ949" i="42385"/>
  <c r="DA949" i="42385"/>
  <c r="DB949" i="42385"/>
  <c r="DC949" i="42385"/>
  <c r="C950" i="42385"/>
  <c r="D950" i="42385"/>
  <c r="E950" i="42385"/>
  <c r="F950" i="42385"/>
  <c r="H950" i="42385"/>
  <c r="I950" i="42385"/>
  <c r="J950" i="42385"/>
  <c r="K950" i="42385"/>
  <c r="M950" i="42385"/>
  <c r="N950" i="42385"/>
  <c r="O950" i="42385"/>
  <c r="P950" i="42385"/>
  <c r="R950" i="42385"/>
  <c r="S950" i="42385"/>
  <c r="T950" i="42385"/>
  <c r="U950" i="42385"/>
  <c r="W950" i="42385"/>
  <c r="X950" i="42385"/>
  <c r="Y950" i="42385"/>
  <c r="Z950" i="42385"/>
  <c r="AB950" i="42385"/>
  <c r="AC950" i="42385"/>
  <c r="AD950" i="42385"/>
  <c r="AE950" i="42385"/>
  <c r="AG950" i="42385"/>
  <c r="AH950" i="42385"/>
  <c r="AI950" i="42385"/>
  <c r="AJ950" i="42385"/>
  <c r="AL950" i="42385"/>
  <c r="AQ950" i="42385" s="1"/>
  <c r="AM950" i="42385"/>
  <c r="CL950" i="42385"/>
  <c r="CX950" i="42385"/>
  <c r="CY950" i="42385"/>
  <c r="CZ950" i="42385"/>
  <c r="DA950" i="42385"/>
  <c r="DB950" i="42385"/>
  <c r="DC950" i="42385"/>
  <c r="G951" i="42385"/>
  <c r="L951" i="42385"/>
  <c r="CN951" i="42385" s="1"/>
  <c r="Q951" i="42385"/>
  <c r="V951" i="42385"/>
  <c r="CP951" i="42385" s="1"/>
  <c r="AA951" i="42385"/>
  <c r="AF951" i="42385"/>
  <c r="AW85" i="42418" s="1"/>
  <c r="AK951" i="42385"/>
  <c r="CL951" i="42385"/>
  <c r="CX951" i="42385"/>
  <c r="CY951" i="42385"/>
  <c r="CZ951" i="42385"/>
  <c r="DA951" i="42385"/>
  <c r="DB951" i="42385"/>
  <c r="DC951" i="42385"/>
  <c r="H952" i="42385"/>
  <c r="I952" i="42385"/>
  <c r="J952" i="42385"/>
  <c r="K952" i="42385"/>
  <c r="M952" i="42385"/>
  <c r="N952" i="42385"/>
  <c r="O952" i="42385"/>
  <c r="P952" i="42385"/>
  <c r="R952" i="42385"/>
  <c r="S952" i="42385"/>
  <c r="T952" i="42385"/>
  <c r="U952" i="42385"/>
  <c r="W952" i="42385"/>
  <c r="X952" i="42385"/>
  <c r="Y952" i="42385"/>
  <c r="Z952" i="42385"/>
  <c r="AB952" i="42385"/>
  <c r="AC952" i="42385"/>
  <c r="AD952" i="42385"/>
  <c r="AE952" i="42385"/>
  <c r="AG952" i="42385"/>
  <c r="AH952" i="42385"/>
  <c r="AI952" i="42385"/>
  <c r="AJ952" i="42385"/>
  <c r="AL952" i="42385"/>
  <c r="AM952" i="42385"/>
  <c r="CL952" i="42385"/>
  <c r="CM952" i="42385"/>
  <c r="CX952" i="42385"/>
  <c r="CY952" i="42385"/>
  <c r="CZ952" i="42385"/>
  <c r="DA952" i="42385"/>
  <c r="DB952" i="42385"/>
  <c r="DC952" i="42385"/>
  <c r="CL954" i="42385"/>
  <c r="CX954" i="42385"/>
  <c r="CY954" i="42385"/>
  <c r="CZ954" i="42385"/>
  <c r="DA954" i="42385"/>
  <c r="DB954" i="42385"/>
  <c r="DC954" i="42385"/>
  <c r="CL955" i="42385"/>
  <c r="CX955" i="42385"/>
  <c r="CY955" i="42385"/>
  <c r="CZ955" i="42385"/>
  <c r="DA955" i="42385"/>
  <c r="DB955" i="42385"/>
  <c r="DC955" i="42385"/>
  <c r="CL956" i="42385"/>
  <c r="CM956" i="42385"/>
  <c r="CX956" i="42385"/>
  <c r="CY956" i="42385"/>
  <c r="CZ956" i="42385"/>
  <c r="DA956" i="42385"/>
  <c r="DB956" i="42385"/>
  <c r="DC956" i="42385"/>
  <c r="CL957" i="42385"/>
  <c r="CX957" i="42385"/>
  <c r="CY957" i="42385"/>
  <c r="CZ957" i="42385"/>
  <c r="DA957" i="42385"/>
  <c r="DB957" i="42385"/>
  <c r="DC957" i="42385"/>
  <c r="CL958" i="42385"/>
  <c r="CX958" i="42385"/>
  <c r="CY958" i="42385"/>
  <c r="CZ958" i="42385"/>
  <c r="DA958" i="42385"/>
  <c r="DB958" i="42385"/>
  <c r="DC958" i="42385"/>
  <c r="C959" i="42385"/>
  <c r="D959" i="42385"/>
  <c r="E959" i="42385"/>
  <c r="F959" i="42385"/>
  <c r="H959" i="42385"/>
  <c r="I959" i="42385"/>
  <c r="J959" i="42385"/>
  <c r="K959" i="42385"/>
  <c r="M959" i="42385"/>
  <c r="N959" i="42385"/>
  <c r="O959" i="42385"/>
  <c r="P959" i="42385"/>
  <c r="R959" i="42385"/>
  <c r="S959" i="42385"/>
  <c r="T959" i="42385"/>
  <c r="U959" i="42385"/>
  <c r="W959" i="42385"/>
  <c r="X959" i="42385"/>
  <c r="Y959" i="42385"/>
  <c r="Z959" i="42385"/>
  <c r="AB959" i="42385"/>
  <c r="AC959" i="42385"/>
  <c r="AD959" i="42385"/>
  <c r="AE959" i="42385"/>
  <c r="AG959" i="42385"/>
  <c r="AH959" i="42385"/>
  <c r="AI959" i="42385"/>
  <c r="AJ959" i="42385"/>
  <c r="AL959" i="42385"/>
  <c r="AM959" i="42385"/>
  <c r="CL959" i="42385"/>
  <c r="CX959" i="42385"/>
  <c r="CY959" i="42385"/>
  <c r="CZ959" i="42385"/>
  <c r="DA959" i="42385"/>
  <c r="DB959" i="42385"/>
  <c r="DC959" i="42385"/>
  <c r="G961" i="42385"/>
  <c r="L961" i="42385"/>
  <c r="Q961" i="42385"/>
  <c r="V961" i="42385"/>
  <c r="AA961" i="42385"/>
  <c r="AF961" i="42385"/>
  <c r="CR961" i="42385" s="1"/>
  <c r="AK961" i="42385"/>
  <c r="CL961" i="42385"/>
  <c r="CX961" i="42385"/>
  <c r="CY961" i="42385"/>
  <c r="CZ961" i="42385"/>
  <c r="DA961" i="42385"/>
  <c r="DB961" i="42385"/>
  <c r="DC961" i="42385"/>
  <c r="C962" i="42385"/>
  <c r="D962" i="42385"/>
  <c r="E962" i="42385"/>
  <c r="F962" i="42385"/>
  <c r="H962" i="42385"/>
  <c r="I962" i="42385"/>
  <c r="J962" i="42385"/>
  <c r="K962" i="42385"/>
  <c r="M962" i="42385"/>
  <c r="N962" i="42385"/>
  <c r="O962" i="42385"/>
  <c r="P962" i="42385"/>
  <c r="R962" i="42385"/>
  <c r="S962" i="42385"/>
  <c r="T962" i="42385"/>
  <c r="U962" i="42385"/>
  <c r="W962" i="42385"/>
  <c r="X962" i="42385"/>
  <c r="Y962" i="42385"/>
  <c r="Z962" i="42385"/>
  <c r="AB962" i="42385"/>
  <c r="AC962" i="42385"/>
  <c r="AD962" i="42385"/>
  <c r="AE962" i="42385"/>
  <c r="AG962" i="42385"/>
  <c r="AH962" i="42385"/>
  <c r="AI962" i="42385"/>
  <c r="AJ962" i="42385"/>
  <c r="AL962" i="42385"/>
  <c r="AM962" i="42385"/>
  <c r="CL962" i="42385"/>
  <c r="CX962" i="42385"/>
  <c r="CY962" i="42385"/>
  <c r="CZ962" i="42385"/>
  <c r="DA962" i="42385"/>
  <c r="DB962" i="42385"/>
  <c r="DC962" i="42385"/>
  <c r="CL963" i="42385"/>
  <c r="CX963" i="42385"/>
  <c r="CY963" i="42385"/>
  <c r="CZ963" i="42385"/>
  <c r="DA963" i="42385"/>
  <c r="DB963" i="42385"/>
  <c r="DC963" i="42385"/>
  <c r="H964" i="42385"/>
  <c r="I964" i="42385"/>
  <c r="J964" i="42385"/>
  <c r="K964" i="42385"/>
  <c r="M964" i="42385"/>
  <c r="N964" i="42385"/>
  <c r="O964" i="42385"/>
  <c r="P964" i="42385"/>
  <c r="R964" i="42385"/>
  <c r="S964" i="42385"/>
  <c r="T964" i="42385"/>
  <c r="U964" i="42385"/>
  <c r="W964" i="42385"/>
  <c r="X964" i="42385"/>
  <c r="Y964" i="42385"/>
  <c r="Z964" i="42385"/>
  <c r="AB964" i="42385"/>
  <c r="AC964" i="42385"/>
  <c r="AD964" i="42385"/>
  <c r="AE964" i="42385"/>
  <c r="AG964" i="42385"/>
  <c r="AH964" i="42385"/>
  <c r="AI964" i="42385"/>
  <c r="AJ964" i="42385"/>
  <c r="AL964" i="42385"/>
  <c r="AM964" i="42385"/>
  <c r="CL964" i="42385"/>
  <c r="CM964" i="42385"/>
  <c r="CX964" i="42385"/>
  <c r="CY964" i="42385"/>
  <c r="CZ964" i="42385"/>
  <c r="DA964" i="42385"/>
  <c r="DB964" i="42385"/>
  <c r="DC964" i="42385"/>
  <c r="G965" i="42385"/>
  <c r="CM965" i="42385" s="1"/>
  <c r="L965" i="42385"/>
  <c r="Q965" i="42385"/>
  <c r="V965" i="42385"/>
  <c r="CP965" i="42385" s="1"/>
  <c r="AA965" i="42385"/>
  <c r="AF965" i="42385"/>
  <c r="AK965" i="42385"/>
  <c r="AN965" i="42385"/>
  <c r="CL965" i="42385"/>
  <c r="CX965" i="42385"/>
  <c r="CY965" i="42385"/>
  <c r="CZ965" i="42385"/>
  <c r="DA965" i="42385"/>
  <c r="DB965" i="42385"/>
  <c r="DC965" i="42385"/>
  <c r="C966" i="42385"/>
  <c r="D966" i="42385"/>
  <c r="E966" i="42385"/>
  <c r="F966" i="42385"/>
  <c r="H966" i="42385"/>
  <c r="I966" i="42385"/>
  <c r="J966" i="42385"/>
  <c r="K966" i="42385"/>
  <c r="M966" i="42385"/>
  <c r="N966" i="42385"/>
  <c r="O966" i="42385"/>
  <c r="P966" i="42385"/>
  <c r="R966" i="42385"/>
  <c r="S966" i="42385"/>
  <c r="T966" i="42385"/>
  <c r="U966" i="42385"/>
  <c r="W966" i="42385"/>
  <c r="X966" i="42385"/>
  <c r="Y966" i="42385"/>
  <c r="Z966" i="42385"/>
  <c r="AB966" i="42385"/>
  <c r="AC966" i="42385"/>
  <c r="AD966" i="42385"/>
  <c r="AE966" i="42385"/>
  <c r="AG966" i="42385"/>
  <c r="AH966" i="42385"/>
  <c r="AI966" i="42385"/>
  <c r="AJ966" i="42385"/>
  <c r="AL966" i="42385"/>
  <c r="AM966" i="42385"/>
  <c r="CL966" i="42385"/>
  <c r="CX966" i="42385"/>
  <c r="CY966" i="42385"/>
  <c r="CZ966" i="42385"/>
  <c r="DA966" i="42385"/>
  <c r="DB966" i="42385"/>
  <c r="DC966" i="42385"/>
  <c r="CL968" i="42385"/>
  <c r="CM968" i="42385"/>
  <c r="CN968" i="42385"/>
  <c r="CO968" i="42385"/>
  <c r="CP968" i="42385"/>
  <c r="CQ968" i="42385"/>
  <c r="CR968" i="42385"/>
  <c r="CS968" i="42385"/>
  <c r="CT968" i="42385"/>
  <c r="CU968" i="42385"/>
  <c r="CV968" i="42385"/>
  <c r="CW968" i="42385"/>
  <c r="CX968" i="42385"/>
  <c r="CY968" i="42385"/>
  <c r="CZ968" i="42385"/>
  <c r="DA968" i="42385"/>
  <c r="DB968" i="42385"/>
  <c r="DC968" i="42385"/>
  <c r="CL969" i="42385"/>
  <c r="AP970" i="42385"/>
  <c r="AR970" i="42385"/>
  <c r="AS970" i="42385" s="1"/>
  <c r="AT970" i="42385" s="1"/>
  <c r="AU970" i="42385" s="1"/>
  <c r="CU970" i="42385" s="1"/>
  <c r="AZ970" i="42385"/>
  <c r="CV970" i="42385" s="1"/>
  <c r="BE970" i="42385"/>
  <c r="BJ970" i="42385"/>
  <c r="CX970" i="42385" s="1"/>
  <c r="BO970" i="42385"/>
  <c r="CY970" i="42385" s="1"/>
  <c r="BR970" i="42385"/>
  <c r="BS970" i="42385" s="1"/>
  <c r="BT970" i="42385" s="1"/>
  <c r="CL970" i="42385"/>
  <c r="AP971" i="42385"/>
  <c r="AR971" i="42385"/>
  <c r="AS971" i="42385" s="1"/>
  <c r="AT971" i="42385" s="1"/>
  <c r="AU971" i="42385" s="1"/>
  <c r="CU971" i="42385" s="1"/>
  <c r="AZ971" i="42385"/>
  <c r="CV971" i="42385" s="1"/>
  <c r="BE971" i="42385"/>
  <c r="CW971" i="42385" s="1"/>
  <c r="BJ971" i="42385"/>
  <c r="CX971" i="42385" s="1"/>
  <c r="BO971" i="42385"/>
  <c r="CY971" i="42385" s="1"/>
  <c r="BR971" i="42385"/>
  <c r="BS971" i="42385" s="1"/>
  <c r="BT971" i="42385" s="1"/>
  <c r="BU971" i="42385" s="1"/>
  <c r="BV971" i="42385" s="1"/>
  <c r="BW971" i="42385" s="1"/>
  <c r="BX971" i="42385" s="1"/>
  <c r="BY971" i="42385" s="1"/>
  <c r="CL971" i="42385"/>
  <c r="CL972" i="42385"/>
  <c r="CL973" i="42385"/>
  <c r="CL974" i="42385"/>
  <c r="AK976" i="42385"/>
  <c r="CS976" i="42385" s="1"/>
  <c r="AP976" i="42385"/>
  <c r="CT976" i="42385" s="1"/>
  <c r="AU976" i="42385"/>
  <c r="AZ976" i="42385"/>
  <c r="BE976" i="42385"/>
  <c r="BE152" i="42400" s="1"/>
  <c r="BE167" i="42400" s="1"/>
  <c r="BJ976" i="42385"/>
  <c r="BO976" i="42385"/>
  <c r="BO152" i="42400" s="1"/>
  <c r="BO167" i="42400" s="1"/>
  <c r="BS152" i="42400"/>
  <c r="BS167" i="42400" s="1"/>
  <c r="BU976" i="42385"/>
  <c r="BU152" i="42400" s="1"/>
  <c r="BU167" i="42400" s="1"/>
  <c r="BV976" i="42385"/>
  <c r="BV152" i="42400" s="1"/>
  <c r="BV167" i="42400" s="1"/>
  <c r="BW976" i="42385"/>
  <c r="CL976" i="42385"/>
  <c r="CW976" i="42385"/>
  <c r="AL977" i="42385"/>
  <c r="AM977" i="42385"/>
  <c r="AN977" i="42385"/>
  <c r="AO977" i="42385"/>
  <c r="AQ977" i="42385"/>
  <c r="AR977" i="42385"/>
  <c r="AS977" i="42385"/>
  <c r="AT977" i="42385"/>
  <c r="AV977" i="42385"/>
  <c r="AW977" i="42385"/>
  <c r="AX977" i="42385"/>
  <c r="AY977" i="42385"/>
  <c r="BA977" i="42385"/>
  <c r="BB977" i="42385"/>
  <c r="BC977" i="42385"/>
  <c r="BD977" i="42385"/>
  <c r="BF977" i="42385"/>
  <c r="BG977" i="42385"/>
  <c r="BH977" i="42385"/>
  <c r="BI977" i="42385"/>
  <c r="BK977" i="42385"/>
  <c r="BL977" i="42385"/>
  <c r="BM977" i="42385"/>
  <c r="BN977" i="42385"/>
  <c r="BP977" i="42385"/>
  <c r="BQ977" i="42385"/>
  <c r="BR977" i="42385"/>
  <c r="CL977" i="42385"/>
  <c r="AK979" i="42385"/>
  <c r="AP979" i="42385"/>
  <c r="AU979" i="42385"/>
  <c r="CU979" i="42385" s="1"/>
  <c r="AZ979" i="42385"/>
  <c r="CV979" i="42385" s="1"/>
  <c r="BE979" i="42385"/>
  <c r="BJ979" i="42385"/>
  <c r="BO979" i="42385"/>
  <c r="BO151" i="42400" s="1"/>
  <c r="BS151" i="42400"/>
  <c r="BU151" i="42400"/>
  <c r="BV979" i="42385"/>
  <c r="BV151" i="42400" s="1"/>
  <c r="BW979" i="42385"/>
  <c r="BW151" i="42400" s="1"/>
  <c r="CL979" i="42385"/>
  <c r="AL980" i="42385"/>
  <c r="AM980" i="42385"/>
  <c r="AN980" i="42385"/>
  <c r="AO980" i="42385"/>
  <c r="AQ980" i="42385"/>
  <c r="AR980" i="42385"/>
  <c r="AS980" i="42385"/>
  <c r="AT980" i="42385"/>
  <c r="AV980" i="42385"/>
  <c r="AW980" i="42385"/>
  <c r="AX980" i="42385"/>
  <c r="AY980" i="42385"/>
  <c r="BA980" i="42385"/>
  <c r="BB980" i="42385"/>
  <c r="BC980" i="42385"/>
  <c r="BD980" i="42385"/>
  <c r="BF980" i="42385"/>
  <c r="BG980" i="42385"/>
  <c r="BH980" i="42385"/>
  <c r="BI980" i="42385"/>
  <c r="BK980" i="42385"/>
  <c r="BL980" i="42385"/>
  <c r="BM980" i="42385"/>
  <c r="BN980" i="42385"/>
  <c r="BP980" i="42385"/>
  <c r="BQ980" i="42385"/>
  <c r="BR980" i="42385"/>
  <c r="CL980" i="42385"/>
  <c r="DB980" i="42385"/>
  <c r="DC980" i="42385"/>
  <c r="AR981" i="42385"/>
  <c r="AV981" i="42385"/>
  <c r="AW981" i="42385"/>
  <c r="AX981" i="42385"/>
  <c r="BC981" i="42385" s="1"/>
  <c r="AY981" i="42385"/>
  <c r="CL981" i="42385"/>
  <c r="AQ982" i="42385"/>
  <c r="AQ996" i="42385" s="1"/>
  <c r="AX982" i="42385"/>
  <c r="AX246" i="42385" s="1"/>
  <c r="CL982" i="42385"/>
  <c r="CL983" i="42385"/>
  <c r="AQ985" i="42385"/>
  <c r="AV985" i="42385" s="1"/>
  <c r="BA985" i="42385" s="1"/>
  <c r="CL985" i="42385"/>
  <c r="CL986" i="42385"/>
  <c r="CL987" i="42385"/>
  <c r="DB987" i="42385"/>
  <c r="DC987" i="42385"/>
  <c r="CL988" i="42385"/>
  <c r="CL989" i="42385"/>
  <c r="CL990" i="42385"/>
  <c r="CL992" i="42385"/>
  <c r="CL993" i="42385"/>
  <c r="CL994" i="42385"/>
  <c r="AR995" i="42385"/>
  <c r="AW995" i="42385"/>
  <c r="AX995" i="42385" s="1"/>
  <c r="AX1549" i="42385" s="1"/>
  <c r="BB995" i="42385"/>
  <c r="CL995" i="42385"/>
  <c r="CL996" i="42385"/>
  <c r="CL997" i="42385"/>
  <c r="CL999" i="42385"/>
  <c r="C1000" i="42385"/>
  <c r="D1000" i="42385"/>
  <c r="E1000" i="42385"/>
  <c r="F1000" i="42385"/>
  <c r="G1000" i="42385" s="1"/>
  <c r="CM1000" i="42385" s="1"/>
  <c r="CL1000" i="42385"/>
  <c r="CW1000" i="42385"/>
  <c r="CX1000" i="42385"/>
  <c r="CY1000" i="42385"/>
  <c r="CZ1000" i="42385"/>
  <c r="DA1000" i="42385"/>
  <c r="DB1000" i="42385"/>
  <c r="DC1000" i="42385"/>
  <c r="G1001" i="42385"/>
  <c r="CM1001" i="42385" s="1"/>
  <c r="L1001" i="42385"/>
  <c r="CN1001" i="42385" s="1"/>
  <c r="Q1001" i="42385"/>
  <c r="CO1001" i="42385" s="1"/>
  <c r="V1001" i="42385"/>
  <c r="CP1001" i="42385" s="1"/>
  <c r="AA1001" i="42385"/>
  <c r="AF1001" i="42385"/>
  <c r="CR1001" i="42385" s="1"/>
  <c r="AG1001" i="42385"/>
  <c r="CL1001" i="42385"/>
  <c r="CW1001" i="42385"/>
  <c r="CX1001" i="42385"/>
  <c r="CY1001" i="42385"/>
  <c r="CZ1001" i="42385"/>
  <c r="DA1001" i="42385"/>
  <c r="DB1001" i="42385"/>
  <c r="DC1001" i="42385"/>
  <c r="G1002" i="42385"/>
  <c r="CM1002" i="42385" s="1"/>
  <c r="L1002" i="42385"/>
  <c r="CN1002" i="42385" s="1"/>
  <c r="Q1002" i="42385"/>
  <c r="CO1002" i="42385" s="1"/>
  <c r="V1002" i="42385"/>
  <c r="CP1002" i="42385" s="1"/>
  <c r="AA1002" i="42385"/>
  <c r="CQ1002" i="42385" s="1"/>
  <c r="AF1002" i="42385"/>
  <c r="CR1002" i="42385" s="1"/>
  <c r="AG1002" i="42385"/>
  <c r="AH1002" i="42385" s="1"/>
  <c r="CL1002" i="42385"/>
  <c r="CW1002" i="42385"/>
  <c r="CX1002" i="42385"/>
  <c r="CY1002" i="42385"/>
  <c r="CZ1002" i="42385"/>
  <c r="DA1002" i="42385"/>
  <c r="DB1002" i="42385"/>
  <c r="DC1002" i="42385"/>
  <c r="CL1003" i="42385"/>
  <c r="CW1003" i="42385"/>
  <c r="CX1003" i="42385"/>
  <c r="CY1003" i="42385"/>
  <c r="CZ1003" i="42385"/>
  <c r="DA1003" i="42385"/>
  <c r="DB1003" i="42385"/>
  <c r="DC1003" i="42385"/>
  <c r="CL1004" i="42385"/>
  <c r="CW1004" i="42385"/>
  <c r="CX1004" i="42385"/>
  <c r="CY1004" i="42385"/>
  <c r="CZ1004" i="42385"/>
  <c r="DA1004" i="42385"/>
  <c r="DB1004" i="42385"/>
  <c r="DC1004" i="42385"/>
  <c r="CL1005" i="42385"/>
  <c r="CM1005" i="42385"/>
  <c r="CW1005" i="42385"/>
  <c r="CX1005" i="42385"/>
  <c r="CY1005" i="42385"/>
  <c r="CZ1005" i="42385"/>
  <c r="DA1005" i="42385"/>
  <c r="DB1005" i="42385"/>
  <c r="DC1005" i="42385"/>
  <c r="G1007" i="42385"/>
  <c r="CM1007" i="42385" s="1"/>
  <c r="L1007" i="42385"/>
  <c r="Q1008" i="42385" s="1"/>
  <c r="CO1008" i="42385" s="1"/>
  <c r="Q1007" i="42385"/>
  <c r="V1007" i="42385"/>
  <c r="AA1007" i="42385"/>
  <c r="Z41" i="42443" s="1"/>
  <c r="AF1007" i="42385"/>
  <c r="AK1008" i="42385" s="1"/>
  <c r="CS1008" i="42385" s="1"/>
  <c r="AK1007" i="42385"/>
  <c r="AP1007" i="42385"/>
  <c r="AU1007" i="42385"/>
  <c r="AZ1007" i="42385"/>
  <c r="CL1007" i="42385"/>
  <c r="CT1007" i="42385"/>
  <c r="CW1007" i="42385"/>
  <c r="CX1007" i="42385"/>
  <c r="CY1007" i="42385"/>
  <c r="CZ1007" i="42385"/>
  <c r="DA1007" i="42385"/>
  <c r="DB1007" i="42385"/>
  <c r="DC1007" i="42385"/>
  <c r="H1008" i="42385"/>
  <c r="I1008" i="42385"/>
  <c r="J1008" i="42385"/>
  <c r="K1008" i="42385"/>
  <c r="M1008" i="42385"/>
  <c r="N1008" i="42385"/>
  <c r="O1008" i="42385"/>
  <c r="P1008" i="42385"/>
  <c r="R1008" i="42385"/>
  <c r="S1008" i="42385"/>
  <c r="T1008" i="42385"/>
  <c r="U1008" i="42385"/>
  <c r="W1008" i="42385"/>
  <c r="X1008" i="42385"/>
  <c r="Y1008" i="42385"/>
  <c r="Z1008" i="42385"/>
  <c r="AB1008" i="42385"/>
  <c r="AC1008" i="42385"/>
  <c r="AD1008" i="42385"/>
  <c r="AE1008" i="42385"/>
  <c r="AG1008" i="42385"/>
  <c r="AH1008" i="42385"/>
  <c r="AI1008" i="42385"/>
  <c r="AJ1008" i="42385"/>
  <c r="AL1008" i="42385"/>
  <c r="AM1008" i="42385"/>
  <c r="AN1008" i="42385"/>
  <c r="AO1008" i="42385"/>
  <c r="AQ1008" i="42385"/>
  <c r="AR1008" i="42385"/>
  <c r="AS1008" i="42385"/>
  <c r="AT1008" i="42385"/>
  <c r="AV1008" i="42385"/>
  <c r="AW1008" i="42385"/>
  <c r="AX1008" i="42385"/>
  <c r="AY1008" i="42385"/>
  <c r="CL1008" i="42385"/>
  <c r="CM1008" i="42385"/>
  <c r="CW1008" i="42385"/>
  <c r="CX1008" i="42385"/>
  <c r="CY1008" i="42385"/>
  <c r="CZ1008" i="42385"/>
  <c r="DA1008" i="42385"/>
  <c r="DB1008" i="42385"/>
  <c r="DC1008" i="42385"/>
  <c r="G1010" i="42385"/>
  <c r="L1010" i="42385"/>
  <c r="CN1010" i="42385" s="1"/>
  <c r="Q1010" i="42385"/>
  <c r="CO1010" i="42385" s="1"/>
  <c r="V1010" i="42385"/>
  <c r="AA1010" i="42385"/>
  <c r="AF1010" i="42385"/>
  <c r="CR1010" i="42385" s="1"/>
  <c r="AK1010" i="42385"/>
  <c r="AK187" i="42400" s="1"/>
  <c r="AK190" i="42400" s="1"/>
  <c r="AP1010" i="42385"/>
  <c r="AU1010" i="42385"/>
  <c r="CU1010" i="42385" s="1"/>
  <c r="AZ1010" i="42385"/>
  <c r="CV1010" i="42385" s="1"/>
  <c r="CL1010" i="42385"/>
  <c r="CW1010" i="42385"/>
  <c r="CX1010" i="42385"/>
  <c r="CY1010" i="42385"/>
  <c r="CZ1010" i="42385"/>
  <c r="DA1010" i="42385"/>
  <c r="DB1010" i="42385"/>
  <c r="DC1010" i="42385"/>
  <c r="H1011" i="42385"/>
  <c r="I1011" i="42385"/>
  <c r="J1011" i="42385"/>
  <c r="K1011" i="42385"/>
  <c r="M1011" i="42385"/>
  <c r="N1011" i="42385"/>
  <c r="O1011" i="42385"/>
  <c r="P1011" i="42385"/>
  <c r="R1011" i="42385"/>
  <c r="S1011" i="42385"/>
  <c r="T1011" i="42385"/>
  <c r="U1011" i="42385"/>
  <c r="W1011" i="42385"/>
  <c r="X1011" i="42385"/>
  <c r="Y1011" i="42385"/>
  <c r="Z1011" i="42385"/>
  <c r="AB1011" i="42385"/>
  <c r="AC1011" i="42385"/>
  <c r="AD1011" i="42385"/>
  <c r="AE1011" i="42385"/>
  <c r="AG1011" i="42385"/>
  <c r="AH1011" i="42385"/>
  <c r="AI1011" i="42385"/>
  <c r="AJ1011" i="42385"/>
  <c r="AL1011" i="42385"/>
  <c r="AM1011" i="42385"/>
  <c r="AN1011" i="42385"/>
  <c r="AO1011" i="42385"/>
  <c r="AQ1011" i="42385"/>
  <c r="AR1011" i="42385"/>
  <c r="AS1011" i="42385"/>
  <c r="AT1011" i="42385"/>
  <c r="AV1011" i="42385"/>
  <c r="AW1011" i="42385"/>
  <c r="AX1011" i="42385"/>
  <c r="AY1011" i="42385"/>
  <c r="CL1011" i="42385"/>
  <c r="CM1011" i="42385"/>
  <c r="CW1011" i="42385"/>
  <c r="CX1011" i="42385"/>
  <c r="CY1011" i="42385"/>
  <c r="CZ1011" i="42385"/>
  <c r="DA1011" i="42385"/>
  <c r="DB1011" i="42385"/>
  <c r="DC1011" i="42385"/>
  <c r="C1012" i="42385"/>
  <c r="D1012" i="42385"/>
  <c r="E1012" i="42385"/>
  <c r="F1012" i="42385"/>
  <c r="H1012" i="42385"/>
  <c r="I1012" i="42385"/>
  <c r="J1012" i="42385"/>
  <c r="K1012" i="42385"/>
  <c r="M1012" i="42385"/>
  <c r="N1012" i="42385"/>
  <c r="O1012" i="42385"/>
  <c r="P1012" i="42385"/>
  <c r="R1012" i="42385"/>
  <c r="S1012" i="42385"/>
  <c r="T1012" i="42385"/>
  <c r="U1012" i="42385"/>
  <c r="W1012" i="42385"/>
  <c r="X1012" i="42385"/>
  <c r="Y1012" i="42385"/>
  <c r="Z1012" i="42385"/>
  <c r="AB1012" i="42385"/>
  <c r="AC1012" i="42385"/>
  <c r="AD1012" i="42385"/>
  <c r="AE1012" i="42385"/>
  <c r="AG1012" i="42385"/>
  <c r="AH1012" i="42385"/>
  <c r="AI1012" i="42385"/>
  <c r="AJ1012" i="42385"/>
  <c r="AL1012" i="42385"/>
  <c r="AQ1012" i="42385" s="1"/>
  <c r="AV1012" i="42385" s="1"/>
  <c r="AM1012" i="42385"/>
  <c r="CL1012" i="42385"/>
  <c r="CW1012" i="42385"/>
  <c r="CX1012" i="42385"/>
  <c r="CY1012" i="42385"/>
  <c r="CZ1012" i="42385"/>
  <c r="DA1012" i="42385"/>
  <c r="DB1012" i="42385"/>
  <c r="DC1012" i="42385"/>
  <c r="G1013" i="42385"/>
  <c r="L1013" i="42385"/>
  <c r="CN1013" i="42385" s="1"/>
  <c r="Q1013" i="42385"/>
  <c r="V1013" i="42385"/>
  <c r="CP1013" i="42385" s="1"/>
  <c r="AA1013" i="42385"/>
  <c r="AF1013" i="42385"/>
  <c r="CR1013" i="42385" s="1"/>
  <c r="AK1013" i="42385"/>
  <c r="CS1013" i="42385" s="1"/>
  <c r="CL1013" i="42385"/>
  <c r="CW1013" i="42385"/>
  <c r="CX1013" i="42385"/>
  <c r="CY1013" i="42385"/>
  <c r="CZ1013" i="42385"/>
  <c r="DA1013" i="42385"/>
  <c r="DB1013" i="42385"/>
  <c r="DC1013" i="42385"/>
  <c r="H1014" i="42385"/>
  <c r="I1014" i="42385"/>
  <c r="J1014" i="42385"/>
  <c r="K1014" i="42385"/>
  <c r="M1014" i="42385"/>
  <c r="N1014" i="42385"/>
  <c r="O1014" i="42385"/>
  <c r="P1014" i="42385"/>
  <c r="R1014" i="42385"/>
  <c r="S1014" i="42385"/>
  <c r="T1014" i="42385"/>
  <c r="U1014" i="42385"/>
  <c r="W1014" i="42385"/>
  <c r="X1014" i="42385"/>
  <c r="Y1014" i="42385"/>
  <c r="Z1014" i="42385"/>
  <c r="AB1014" i="42385"/>
  <c r="AC1014" i="42385"/>
  <c r="AD1014" i="42385"/>
  <c r="AE1014" i="42385"/>
  <c r="AG1014" i="42385"/>
  <c r="AH1014" i="42385"/>
  <c r="AI1014" i="42385"/>
  <c r="AJ1014" i="42385"/>
  <c r="AL1014" i="42385"/>
  <c r="AM1014" i="42385"/>
  <c r="CL1014" i="42385"/>
  <c r="CM1014" i="42385"/>
  <c r="CW1014" i="42385"/>
  <c r="CX1014" i="42385"/>
  <c r="CY1014" i="42385"/>
  <c r="CZ1014" i="42385"/>
  <c r="DA1014" i="42385"/>
  <c r="DB1014" i="42385"/>
  <c r="DC1014" i="42385"/>
  <c r="CL1016" i="42385"/>
  <c r="CW1016" i="42385"/>
  <c r="CX1016" i="42385"/>
  <c r="CY1016" i="42385"/>
  <c r="CZ1016" i="42385"/>
  <c r="DA1016" i="42385"/>
  <c r="DB1016" i="42385"/>
  <c r="DC1016" i="42385"/>
  <c r="CL1017" i="42385"/>
  <c r="CW1017" i="42385"/>
  <c r="CX1017" i="42385"/>
  <c r="CY1017" i="42385"/>
  <c r="CZ1017" i="42385"/>
  <c r="DA1017" i="42385"/>
  <c r="DB1017" i="42385"/>
  <c r="DC1017" i="42385"/>
  <c r="AO1018" i="42385"/>
  <c r="CL1018" i="42385"/>
  <c r="CM1018" i="42385"/>
  <c r="CW1018" i="42385"/>
  <c r="CX1018" i="42385"/>
  <c r="CY1018" i="42385"/>
  <c r="CZ1018" i="42385"/>
  <c r="DA1018" i="42385"/>
  <c r="DB1018" i="42385"/>
  <c r="DC1018" i="42385"/>
  <c r="CL1019" i="42385"/>
  <c r="CW1019" i="42385"/>
  <c r="CX1019" i="42385"/>
  <c r="CY1019" i="42385"/>
  <c r="CZ1019" i="42385"/>
  <c r="DA1019" i="42385"/>
  <c r="DB1019" i="42385"/>
  <c r="DC1019" i="42385"/>
  <c r="CL1020" i="42385"/>
  <c r="CW1020" i="42385"/>
  <c r="CX1020" i="42385"/>
  <c r="CY1020" i="42385"/>
  <c r="CZ1020" i="42385"/>
  <c r="DA1020" i="42385"/>
  <c r="DB1020" i="42385"/>
  <c r="DC1020" i="42385"/>
  <c r="C1021" i="42385"/>
  <c r="D1021" i="42385"/>
  <c r="E1021" i="42385"/>
  <c r="F1021" i="42385"/>
  <c r="H1021" i="42385"/>
  <c r="I1021" i="42385"/>
  <c r="J1021" i="42385"/>
  <c r="K1021" i="42385"/>
  <c r="M1021" i="42385"/>
  <c r="N1021" i="42385"/>
  <c r="O1021" i="42385"/>
  <c r="P1021" i="42385"/>
  <c r="R1021" i="42385"/>
  <c r="S1021" i="42385"/>
  <c r="T1021" i="42385"/>
  <c r="U1021" i="42385"/>
  <c r="W1021" i="42385"/>
  <c r="X1021" i="42385"/>
  <c r="Y1021" i="42385"/>
  <c r="Z1021" i="42385"/>
  <c r="AB1021" i="42385"/>
  <c r="AC1021" i="42385"/>
  <c r="AD1021" i="42385"/>
  <c r="AE1021" i="42385"/>
  <c r="AG1021" i="42385"/>
  <c r="AH1021" i="42385"/>
  <c r="AI1021" i="42385"/>
  <c r="AJ1021" i="42385"/>
  <c r="AL1021" i="42385"/>
  <c r="AM1021" i="42385"/>
  <c r="CL1021" i="42385"/>
  <c r="CW1021" i="42385"/>
  <c r="CX1021" i="42385"/>
  <c r="CY1021" i="42385"/>
  <c r="CZ1021" i="42385"/>
  <c r="DA1021" i="42385"/>
  <c r="DB1021" i="42385"/>
  <c r="DC1021" i="42385"/>
  <c r="G1023" i="42385"/>
  <c r="L1023" i="42385"/>
  <c r="Q1023" i="42385"/>
  <c r="V1023" i="42385"/>
  <c r="AA1023" i="42385"/>
  <c r="CQ1023" i="42385" s="1"/>
  <c r="AF1023" i="42385"/>
  <c r="AK1023" i="42385"/>
  <c r="AK1026" i="42385" s="1"/>
  <c r="CS1026" i="42385" s="1"/>
  <c r="CL1023" i="42385"/>
  <c r="CM1023" i="42385"/>
  <c r="CW1023" i="42385"/>
  <c r="CX1023" i="42385"/>
  <c r="CY1023" i="42385"/>
  <c r="CZ1023" i="42385"/>
  <c r="DA1023" i="42385"/>
  <c r="DB1023" i="42385"/>
  <c r="DC1023" i="42385"/>
  <c r="C1024" i="42385"/>
  <c r="D1024" i="42385"/>
  <c r="E1024" i="42385"/>
  <c r="F1024" i="42385"/>
  <c r="H1024" i="42385"/>
  <c r="I1024" i="42385"/>
  <c r="J1024" i="42385"/>
  <c r="K1024" i="42385"/>
  <c r="M1024" i="42385"/>
  <c r="N1024" i="42385"/>
  <c r="O1024" i="42385"/>
  <c r="P1024" i="42385"/>
  <c r="R1024" i="42385"/>
  <c r="S1024" i="42385"/>
  <c r="T1024" i="42385"/>
  <c r="U1024" i="42385"/>
  <c r="W1024" i="42385"/>
  <c r="X1024" i="42385"/>
  <c r="Y1024" i="42385"/>
  <c r="Z1024" i="42385"/>
  <c r="AB1024" i="42385"/>
  <c r="AC1024" i="42385"/>
  <c r="AD1024" i="42385"/>
  <c r="AE1024" i="42385"/>
  <c r="AG1024" i="42385"/>
  <c r="AH1024" i="42385"/>
  <c r="AI1024" i="42385"/>
  <c r="AJ1024" i="42385"/>
  <c r="AL1024" i="42385"/>
  <c r="AM1024" i="42385"/>
  <c r="CL1024" i="42385"/>
  <c r="CW1024" i="42385"/>
  <c r="CX1024" i="42385"/>
  <c r="CY1024" i="42385"/>
  <c r="CZ1024" i="42385"/>
  <c r="DA1024" i="42385"/>
  <c r="DB1024" i="42385"/>
  <c r="DC1024" i="42385"/>
  <c r="CL1025" i="42385"/>
  <c r="CW1025" i="42385"/>
  <c r="CX1025" i="42385"/>
  <c r="CY1025" i="42385"/>
  <c r="CZ1025" i="42385"/>
  <c r="DA1025" i="42385"/>
  <c r="DB1025" i="42385"/>
  <c r="DC1025" i="42385"/>
  <c r="H1026" i="42385"/>
  <c r="I1026" i="42385"/>
  <c r="J1026" i="42385"/>
  <c r="K1026" i="42385"/>
  <c r="M1026" i="42385"/>
  <c r="N1026" i="42385"/>
  <c r="O1026" i="42385"/>
  <c r="P1026" i="42385"/>
  <c r="R1026" i="42385"/>
  <c r="S1026" i="42385"/>
  <c r="T1026" i="42385"/>
  <c r="U1026" i="42385"/>
  <c r="W1026" i="42385"/>
  <c r="X1026" i="42385"/>
  <c r="Y1026" i="42385"/>
  <c r="Z1026" i="42385"/>
  <c r="AB1026" i="42385"/>
  <c r="AC1026" i="42385"/>
  <c r="AD1026" i="42385"/>
  <c r="AE1026" i="42385"/>
  <c r="AG1026" i="42385"/>
  <c r="AH1026" i="42385"/>
  <c r="AI1026" i="42385"/>
  <c r="AJ1026" i="42385"/>
  <c r="AL1026" i="42385"/>
  <c r="AM1026" i="42385"/>
  <c r="CL1026" i="42385"/>
  <c r="CM1026" i="42385"/>
  <c r="CW1026" i="42385"/>
  <c r="CX1026" i="42385"/>
  <c r="CY1026" i="42385"/>
  <c r="CZ1026" i="42385"/>
  <c r="DA1026" i="42385"/>
  <c r="DB1026" i="42385"/>
  <c r="DC1026" i="42385"/>
  <c r="G1027" i="42385"/>
  <c r="CM1027" i="42385" s="1"/>
  <c r="L1027" i="42385"/>
  <c r="Q1027" i="42385"/>
  <c r="V1027" i="42385"/>
  <c r="AA1027" i="42385"/>
  <c r="CQ1027" i="42385" s="1"/>
  <c r="AF1027" i="42385"/>
  <c r="CR1027" i="42385" s="1"/>
  <c r="AK1027" i="42385"/>
  <c r="AN1027" i="42385"/>
  <c r="CL1027" i="42385"/>
  <c r="CN1027" i="42385"/>
  <c r="CW1027" i="42385"/>
  <c r="CX1027" i="42385"/>
  <c r="CY1027" i="42385"/>
  <c r="CZ1027" i="42385"/>
  <c r="DA1027" i="42385"/>
  <c r="DB1027" i="42385"/>
  <c r="DC1027" i="42385"/>
  <c r="C1028" i="42385"/>
  <c r="D1028" i="42385"/>
  <c r="E1028" i="42385"/>
  <c r="F1028" i="42385"/>
  <c r="H1028" i="42385"/>
  <c r="I1028" i="42385"/>
  <c r="J1028" i="42385"/>
  <c r="K1028" i="42385"/>
  <c r="M1028" i="42385"/>
  <c r="N1028" i="42385"/>
  <c r="O1028" i="42385"/>
  <c r="P1028" i="42385"/>
  <c r="R1028" i="42385"/>
  <c r="S1028" i="42385"/>
  <c r="T1028" i="42385"/>
  <c r="U1028" i="42385"/>
  <c r="W1028" i="42385"/>
  <c r="X1028" i="42385"/>
  <c r="Y1028" i="42385"/>
  <c r="Z1028" i="42385"/>
  <c r="AB1028" i="42385"/>
  <c r="AC1028" i="42385"/>
  <c r="AD1028" i="42385"/>
  <c r="AE1028" i="42385"/>
  <c r="AG1028" i="42385"/>
  <c r="AH1028" i="42385"/>
  <c r="AI1028" i="42385"/>
  <c r="AJ1028" i="42385"/>
  <c r="AL1028" i="42385"/>
  <c r="AM1028" i="42385"/>
  <c r="CL1028" i="42385"/>
  <c r="CW1028" i="42385"/>
  <c r="CX1028" i="42385"/>
  <c r="CY1028" i="42385"/>
  <c r="CZ1028" i="42385"/>
  <c r="DA1028" i="42385"/>
  <c r="DB1028" i="42385"/>
  <c r="DC1028" i="42385"/>
  <c r="C1079" i="42385"/>
  <c r="D1079" i="42385"/>
  <c r="E1079" i="42385"/>
  <c r="F1079" i="42385"/>
  <c r="G1079" i="42385"/>
  <c r="CM1079" i="42385" s="1"/>
  <c r="H1079" i="42385"/>
  <c r="I1079" i="42385"/>
  <c r="J1079" i="42385"/>
  <c r="K1079" i="42385"/>
  <c r="L1079" i="42385"/>
  <c r="CN1079" i="42385" s="1"/>
  <c r="M1079" i="42385"/>
  <c r="N1079" i="42385"/>
  <c r="O1079" i="42385"/>
  <c r="P1079" i="42385"/>
  <c r="Q1079" i="42385"/>
  <c r="CO1079" i="42385" s="1"/>
  <c r="R1079" i="42385"/>
  <c r="S1079" i="42385"/>
  <c r="T1079" i="42385"/>
  <c r="U1079" i="42385"/>
  <c r="V1079" i="42385"/>
  <c r="CP1079" i="42385" s="1"/>
  <c r="W1079" i="42385"/>
  <c r="X1079" i="42385"/>
  <c r="Y1079" i="42385"/>
  <c r="Z1079" i="42385"/>
  <c r="AA1079" i="42385"/>
  <c r="CQ1079" i="42385" s="1"/>
  <c r="AB1079" i="42385"/>
  <c r="AC1079" i="42385"/>
  <c r="AD1079" i="42385"/>
  <c r="AE1079" i="42385"/>
  <c r="AF1079" i="42385"/>
  <c r="CR1079" i="42385" s="1"/>
  <c r="AG1079" i="42385"/>
  <c r="AH1079" i="42385"/>
  <c r="AI1079" i="42385"/>
  <c r="AJ1079" i="42385"/>
  <c r="AK1079" i="42385"/>
  <c r="CS1079" i="42385" s="1"/>
  <c r="AL1079" i="42385"/>
  <c r="AM1079" i="42385"/>
  <c r="AN1079" i="42385"/>
  <c r="AO1079" i="42385"/>
  <c r="AP1079" i="42385"/>
  <c r="CT1079" i="42385" s="1"/>
  <c r="AQ1079" i="42385"/>
  <c r="AR1079" i="42385"/>
  <c r="AS1079" i="42385"/>
  <c r="AT1079" i="42385"/>
  <c r="AU1079" i="42385"/>
  <c r="CU1079" i="42385" s="1"/>
  <c r="AV1079" i="42385"/>
  <c r="AW1079" i="42385"/>
  <c r="AX1079" i="42385"/>
  <c r="AY1079" i="42385"/>
  <c r="AZ1079" i="42385"/>
  <c r="CV1079" i="42385" s="1"/>
  <c r="BA1079" i="42385"/>
  <c r="BB1079" i="42385"/>
  <c r="BC1079" i="42385"/>
  <c r="BD1079" i="42385"/>
  <c r="BE1079" i="42385"/>
  <c r="CW1079" i="42385" s="1"/>
  <c r="BF1079" i="42385"/>
  <c r="BG1079" i="42385"/>
  <c r="BH1079" i="42385"/>
  <c r="BI1079" i="42385"/>
  <c r="BJ1079" i="42385"/>
  <c r="CX1079" i="42385" s="1"/>
  <c r="BK1079" i="42385"/>
  <c r="BL1079" i="42385"/>
  <c r="BM1079" i="42385"/>
  <c r="BN1079" i="42385"/>
  <c r="BO1079" i="42385"/>
  <c r="CY1079" i="42385" s="1"/>
  <c r="BP1079" i="42385"/>
  <c r="BQ1079" i="42385"/>
  <c r="BR1079" i="42385"/>
  <c r="BS1079" i="42385"/>
  <c r="BT1079" i="42385"/>
  <c r="CZ1079" i="42385" s="1"/>
  <c r="BU1079" i="42385"/>
  <c r="BV1079" i="42385"/>
  <c r="BW1079" i="42385"/>
  <c r="BX1079" i="42385"/>
  <c r="BY1079" i="42385"/>
  <c r="DA1079" i="42385" s="1"/>
  <c r="BZ1079" i="42385"/>
  <c r="DB1079" i="42385" s="1"/>
  <c r="CA1079" i="42385"/>
  <c r="DC1079" i="42385" s="1"/>
  <c r="CB1079" i="42385"/>
  <c r="CC1079" i="42385"/>
  <c r="CD1079" i="42385"/>
  <c r="CE1079" i="42385"/>
  <c r="CF1079" i="42385"/>
  <c r="CL1079" i="42385"/>
  <c r="CL1080" i="42385"/>
  <c r="CM1080" i="42385"/>
  <c r="CN1080" i="42385"/>
  <c r="CO1080" i="42385"/>
  <c r="CP1080" i="42385"/>
  <c r="CQ1080" i="42385"/>
  <c r="CR1080" i="42385"/>
  <c r="CS1080" i="42385"/>
  <c r="CT1080" i="42385"/>
  <c r="CU1080" i="42385"/>
  <c r="CV1080" i="42385"/>
  <c r="CW1080" i="42385"/>
  <c r="CX1080" i="42385"/>
  <c r="CY1080" i="42385"/>
  <c r="CZ1080" i="42385"/>
  <c r="DA1080" i="42385"/>
  <c r="DB1080" i="42385"/>
  <c r="DC1080" i="42385"/>
  <c r="C1081" i="42385"/>
  <c r="D1081" i="42385"/>
  <c r="E1081" i="42385"/>
  <c r="F1081" i="42385"/>
  <c r="CL1081" i="42385"/>
  <c r="CV1081" i="42385"/>
  <c r="CW1081" i="42385"/>
  <c r="CX1081" i="42385"/>
  <c r="CY1081" i="42385"/>
  <c r="CZ1081" i="42385"/>
  <c r="DA1081" i="42385"/>
  <c r="DB1081" i="42385"/>
  <c r="DC1081" i="42385"/>
  <c r="G1082" i="42385"/>
  <c r="CM1082" i="42385" s="1"/>
  <c r="L1082" i="42385"/>
  <c r="CN1082" i="42385" s="1"/>
  <c r="Q1082" i="42385"/>
  <c r="CO1082" i="42385" s="1"/>
  <c r="V1082" i="42385"/>
  <c r="CP1082" i="42385" s="1"/>
  <c r="W1082" i="42385"/>
  <c r="X1082" i="42385" s="1"/>
  <c r="Y1082" i="42385" s="1"/>
  <c r="AA1082" i="42385"/>
  <c r="CQ1082" i="42385" s="1"/>
  <c r="AB1082" i="42385"/>
  <c r="AF1082" i="42385"/>
  <c r="CR1082" i="42385" s="1"/>
  <c r="AG1082" i="42385"/>
  <c r="AH1082" i="42385" s="1"/>
  <c r="CL1082" i="42385"/>
  <c r="CV1082" i="42385"/>
  <c r="CW1082" i="42385"/>
  <c r="CX1082" i="42385"/>
  <c r="CY1082" i="42385"/>
  <c r="CZ1082" i="42385"/>
  <c r="DA1082" i="42385"/>
  <c r="DB1082" i="42385"/>
  <c r="DC1082" i="42385"/>
  <c r="G1083" i="42385"/>
  <c r="CM1083" i="42385" s="1"/>
  <c r="L1083" i="42385"/>
  <c r="CN1083" i="42385" s="1"/>
  <c r="Q1083" i="42385"/>
  <c r="CO1083" i="42385" s="1"/>
  <c r="V1083" i="42385"/>
  <c r="CP1083" i="42385" s="1"/>
  <c r="AA1083" i="42385"/>
  <c r="AF1083" i="42385"/>
  <c r="CR1083" i="42385" s="1"/>
  <c r="AG1083" i="42385"/>
  <c r="AH1083" i="42385" s="1"/>
  <c r="AI1083" i="42385" s="1"/>
  <c r="AJ1083" i="42385" s="1"/>
  <c r="AK1083" i="42385" s="1"/>
  <c r="CS1083" i="42385" s="1"/>
  <c r="CL1083" i="42385"/>
  <c r="CQ1083" i="42385"/>
  <c r="CV1083" i="42385"/>
  <c r="CW1083" i="42385"/>
  <c r="CX1083" i="42385"/>
  <c r="CY1083" i="42385"/>
  <c r="CZ1083" i="42385"/>
  <c r="DA1083" i="42385"/>
  <c r="DB1083" i="42385"/>
  <c r="DC1083" i="42385"/>
  <c r="CL1084" i="42385"/>
  <c r="CV1084" i="42385"/>
  <c r="CW1084" i="42385"/>
  <c r="CX1084" i="42385"/>
  <c r="CY1084" i="42385"/>
  <c r="CZ1084" i="42385"/>
  <c r="DA1084" i="42385"/>
  <c r="DB1084" i="42385"/>
  <c r="DC1084" i="42385"/>
  <c r="C1085" i="42385"/>
  <c r="CL1085" i="42385"/>
  <c r="CV1085" i="42385"/>
  <c r="CW1085" i="42385"/>
  <c r="CX1085" i="42385"/>
  <c r="CY1085" i="42385"/>
  <c r="CZ1085" i="42385"/>
  <c r="DA1085" i="42385"/>
  <c r="DB1085" i="42385"/>
  <c r="DC1085" i="42385"/>
  <c r="CL1086" i="42385"/>
  <c r="CM1086" i="42385"/>
  <c r="CV1086" i="42385"/>
  <c r="CW1086" i="42385"/>
  <c r="CX1086" i="42385"/>
  <c r="CY1086" i="42385"/>
  <c r="CZ1086" i="42385"/>
  <c r="DA1086" i="42385"/>
  <c r="DB1086" i="42385"/>
  <c r="DC1086" i="42385"/>
  <c r="G1088" i="42385"/>
  <c r="L1088" i="42385"/>
  <c r="CN1088" i="42385" s="1"/>
  <c r="Q1088" i="42385"/>
  <c r="V1088" i="42385"/>
  <c r="AA1088" i="42385"/>
  <c r="AF1088" i="42385"/>
  <c r="AK1088" i="42385"/>
  <c r="AN1088" i="42385"/>
  <c r="AQ1088" i="42385"/>
  <c r="AQ254" i="42385" s="1"/>
  <c r="CL1088" i="42385"/>
  <c r="CV1088" i="42385"/>
  <c r="CW1088" i="42385"/>
  <c r="CX1088" i="42385"/>
  <c r="CY1088" i="42385"/>
  <c r="CZ1088" i="42385"/>
  <c r="DA1088" i="42385"/>
  <c r="DB1088" i="42385"/>
  <c r="DC1088" i="42385"/>
  <c r="H1089" i="42385"/>
  <c r="I1089" i="42385"/>
  <c r="J1089" i="42385"/>
  <c r="K1089" i="42385"/>
  <c r="M1089" i="42385"/>
  <c r="N1089" i="42385"/>
  <c r="O1089" i="42385"/>
  <c r="P1089" i="42385"/>
  <c r="R1089" i="42385"/>
  <c r="S1089" i="42385"/>
  <c r="T1089" i="42385"/>
  <c r="U1089" i="42385"/>
  <c r="W1089" i="42385"/>
  <c r="X1089" i="42385"/>
  <c r="Y1089" i="42385"/>
  <c r="Z1089" i="42385"/>
  <c r="AB1089" i="42385"/>
  <c r="AC1089" i="42385"/>
  <c r="AD1089" i="42385"/>
  <c r="AE1089" i="42385"/>
  <c r="AG1089" i="42385"/>
  <c r="AH1089" i="42385"/>
  <c r="AI1089" i="42385"/>
  <c r="AJ1089" i="42385"/>
  <c r="AL1089" i="42385"/>
  <c r="AM1089" i="42385"/>
  <c r="AO1089" i="42385"/>
  <c r="AO1088" i="42385" s="1"/>
  <c r="AR1089" i="42385"/>
  <c r="AS1089" i="42385" s="1"/>
  <c r="AT1089" i="42385" s="1"/>
  <c r="CL1089" i="42385"/>
  <c r="CM1089" i="42385"/>
  <c r="CV1089" i="42385"/>
  <c r="CW1089" i="42385"/>
  <c r="CX1089" i="42385"/>
  <c r="CY1089" i="42385"/>
  <c r="CZ1089" i="42385"/>
  <c r="DA1089" i="42385"/>
  <c r="DB1089" i="42385"/>
  <c r="DC1089" i="42385"/>
  <c r="C1091" i="42385"/>
  <c r="D1091" i="42385"/>
  <c r="D1092" i="42385" s="1"/>
  <c r="E1091" i="42385"/>
  <c r="F1091" i="42385"/>
  <c r="F1092" i="42385" s="1"/>
  <c r="H1091" i="42385"/>
  <c r="H1092" i="42385" s="1"/>
  <c r="I1091" i="42385"/>
  <c r="J1091" i="42385"/>
  <c r="J1092" i="42385" s="1"/>
  <c r="K1091" i="42385"/>
  <c r="K1092" i="42385" s="1"/>
  <c r="M1091" i="42385"/>
  <c r="N1091" i="42385"/>
  <c r="N1092" i="42385" s="1"/>
  <c r="O1091" i="42385"/>
  <c r="O1092" i="42385" s="1"/>
  <c r="P1091" i="42385"/>
  <c r="P1092" i="42385" s="1"/>
  <c r="R1091" i="42385"/>
  <c r="S1091" i="42385"/>
  <c r="T1091" i="42385"/>
  <c r="T1092" i="42385" s="1"/>
  <c r="U1091" i="42385"/>
  <c r="W1091" i="42385"/>
  <c r="X1091" i="42385"/>
  <c r="X1092" i="42385" s="1"/>
  <c r="Y1091" i="42385"/>
  <c r="Z1091" i="42385"/>
  <c r="Z1092" i="42385" s="1"/>
  <c r="AB1091" i="42385"/>
  <c r="AB1092" i="42385" s="1"/>
  <c r="AC1091" i="42385"/>
  <c r="AD1091" i="42385"/>
  <c r="AD1092" i="42385" s="1"/>
  <c r="AE1091" i="42385"/>
  <c r="AE1092" i="42385" s="1"/>
  <c r="AG1091" i="42385"/>
  <c r="AH1091" i="42385"/>
  <c r="AH1092" i="42385" s="1"/>
  <c r="AI1091" i="42385"/>
  <c r="AN1091" i="42385" s="1"/>
  <c r="AL1091" i="42385"/>
  <c r="AQ1091" i="42385" s="1"/>
  <c r="AM1091" i="42385"/>
  <c r="CL1091" i="42385"/>
  <c r="CV1091" i="42385"/>
  <c r="CW1091" i="42385"/>
  <c r="CX1091" i="42385"/>
  <c r="CY1091" i="42385"/>
  <c r="CZ1091" i="42385"/>
  <c r="DA1091" i="42385"/>
  <c r="DB1091" i="42385"/>
  <c r="DC1091" i="42385"/>
  <c r="CL1092" i="42385"/>
  <c r="CV1092" i="42385"/>
  <c r="CW1092" i="42385"/>
  <c r="CX1092" i="42385"/>
  <c r="CY1092" i="42385"/>
  <c r="CZ1092" i="42385"/>
  <c r="DA1092" i="42385"/>
  <c r="DB1092" i="42385"/>
  <c r="DC1092" i="42385"/>
  <c r="AO1093" i="42385"/>
  <c r="AR1093" i="42385"/>
  <c r="AS1093" i="42385" s="1"/>
  <c r="CL1093" i="42385"/>
  <c r="CM1093" i="42385"/>
  <c r="CV1093" i="42385"/>
  <c r="CW1093" i="42385"/>
  <c r="CX1093" i="42385"/>
  <c r="CY1093" i="42385"/>
  <c r="CZ1093" i="42385"/>
  <c r="DA1093" i="42385"/>
  <c r="DB1093" i="42385"/>
  <c r="DC1093" i="42385"/>
  <c r="G1095" i="42385"/>
  <c r="L1095" i="42385"/>
  <c r="CN1095" i="42385" s="1"/>
  <c r="Q1095" i="42385"/>
  <c r="V1095" i="42385"/>
  <c r="CP1095" i="42385" s="1"/>
  <c r="AA1095" i="42385"/>
  <c r="AF1095" i="42385"/>
  <c r="AJ1095" i="42385"/>
  <c r="AJ1096" i="42385" s="1"/>
  <c r="CL1095" i="42385"/>
  <c r="CV1095" i="42385"/>
  <c r="CW1095" i="42385"/>
  <c r="CX1095" i="42385"/>
  <c r="CY1095" i="42385"/>
  <c r="CZ1095" i="42385"/>
  <c r="DA1095" i="42385"/>
  <c r="DB1095" i="42385"/>
  <c r="DC1095" i="42385"/>
  <c r="C1096" i="42385"/>
  <c r="D1096" i="42385"/>
  <c r="E1096" i="42385"/>
  <c r="F1096" i="42385"/>
  <c r="H1096" i="42385"/>
  <c r="I1096" i="42385"/>
  <c r="J1096" i="42385"/>
  <c r="K1096" i="42385"/>
  <c r="M1096" i="42385"/>
  <c r="N1096" i="42385"/>
  <c r="O1096" i="42385"/>
  <c r="P1096" i="42385"/>
  <c r="R1096" i="42385"/>
  <c r="S1096" i="42385"/>
  <c r="T1096" i="42385"/>
  <c r="U1096" i="42385"/>
  <c r="W1096" i="42385"/>
  <c r="X1096" i="42385"/>
  <c r="Y1096" i="42385"/>
  <c r="Z1096" i="42385"/>
  <c r="AB1096" i="42385"/>
  <c r="AC1096" i="42385"/>
  <c r="AD1096" i="42385"/>
  <c r="AE1096" i="42385"/>
  <c r="AG1096" i="42385"/>
  <c r="AH1096" i="42385"/>
  <c r="AI1096" i="42385"/>
  <c r="AL1096" i="42385"/>
  <c r="AM1096" i="42385"/>
  <c r="CL1096" i="42385"/>
  <c r="CV1096" i="42385"/>
  <c r="CW1096" i="42385"/>
  <c r="CX1096" i="42385"/>
  <c r="CY1096" i="42385"/>
  <c r="CZ1096" i="42385"/>
  <c r="DA1096" i="42385"/>
  <c r="DB1096" i="42385"/>
  <c r="DC1096" i="42385"/>
  <c r="H1097" i="42385"/>
  <c r="I1097" i="42385"/>
  <c r="J1097" i="42385"/>
  <c r="K1097" i="42385"/>
  <c r="M1097" i="42385"/>
  <c r="N1097" i="42385"/>
  <c r="O1097" i="42385"/>
  <c r="P1097" i="42385"/>
  <c r="R1097" i="42385"/>
  <c r="S1097" i="42385"/>
  <c r="T1097" i="42385"/>
  <c r="U1097" i="42385"/>
  <c r="W1097" i="42385"/>
  <c r="X1097" i="42385"/>
  <c r="Y1097" i="42385"/>
  <c r="Z1097" i="42385"/>
  <c r="AB1097" i="42385"/>
  <c r="AC1097" i="42385"/>
  <c r="AD1097" i="42385"/>
  <c r="AE1097" i="42385"/>
  <c r="AG1097" i="42385"/>
  <c r="AH1097" i="42385"/>
  <c r="AI1097" i="42385"/>
  <c r="AL1097" i="42385"/>
  <c r="AM1097" i="42385"/>
  <c r="CL1097" i="42385"/>
  <c r="CM1097" i="42385"/>
  <c r="CV1097" i="42385"/>
  <c r="CW1097" i="42385"/>
  <c r="CX1097" i="42385"/>
  <c r="CY1097" i="42385"/>
  <c r="CZ1097" i="42385"/>
  <c r="DA1097" i="42385"/>
  <c r="DB1097" i="42385"/>
  <c r="DC1097" i="42385"/>
  <c r="G1098" i="42385"/>
  <c r="CM1098" i="42385" s="1"/>
  <c r="L1098" i="42385"/>
  <c r="L1099" i="42385" s="1"/>
  <c r="CN1099" i="42385" s="1"/>
  <c r="Q1098" i="42385"/>
  <c r="CO1098" i="42385" s="1"/>
  <c r="V1098" i="42385"/>
  <c r="AA1098" i="42385"/>
  <c r="CQ1098" i="42385" s="1"/>
  <c r="AF1098" i="42385"/>
  <c r="CR1098" i="42385" s="1"/>
  <c r="AK1098" i="42385"/>
  <c r="AN1098" i="42385"/>
  <c r="CL1098" i="42385"/>
  <c r="CV1098" i="42385"/>
  <c r="CW1098" i="42385"/>
  <c r="CX1098" i="42385"/>
  <c r="CY1098" i="42385"/>
  <c r="CZ1098" i="42385"/>
  <c r="DA1098" i="42385"/>
  <c r="DB1098" i="42385"/>
  <c r="DC1098" i="42385"/>
  <c r="C1099" i="42385"/>
  <c r="D1099" i="42385"/>
  <c r="E1099" i="42385"/>
  <c r="F1099" i="42385"/>
  <c r="H1099" i="42385"/>
  <c r="I1099" i="42385"/>
  <c r="J1099" i="42385"/>
  <c r="K1099" i="42385"/>
  <c r="M1099" i="42385"/>
  <c r="N1099" i="42385"/>
  <c r="O1099" i="42385"/>
  <c r="P1099" i="42385"/>
  <c r="R1099" i="42385"/>
  <c r="S1099" i="42385"/>
  <c r="T1099" i="42385"/>
  <c r="U1099" i="42385"/>
  <c r="W1099" i="42385"/>
  <c r="X1099" i="42385"/>
  <c r="Y1099" i="42385"/>
  <c r="Z1099" i="42385"/>
  <c r="AB1099" i="42385"/>
  <c r="AC1099" i="42385"/>
  <c r="AD1099" i="42385"/>
  <c r="AE1099" i="42385"/>
  <c r="AG1099" i="42385"/>
  <c r="AH1099" i="42385"/>
  <c r="AI1099" i="42385"/>
  <c r="AJ1099" i="42385"/>
  <c r="AL1099" i="42385"/>
  <c r="AM1099" i="42385"/>
  <c r="CL1099" i="42385"/>
  <c r="CV1099" i="42385"/>
  <c r="CW1099" i="42385"/>
  <c r="CX1099" i="42385"/>
  <c r="CY1099" i="42385"/>
  <c r="CZ1099" i="42385"/>
  <c r="DA1099" i="42385"/>
  <c r="DB1099" i="42385"/>
  <c r="DC1099" i="42385"/>
  <c r="CL1101" i="42385"/>
  <c r="CM1101" i="42385"/>
  <c r="CN1101" i="42385"/>
  <c r="CO1101" i="42385"/>
  <c r="CP1101" i="42385"/>
  <c r="CQ1101" i="42385"/>
  <c r="CR1101" i="42385"/>
  <c r="CS1101" i="42385"/>
  <c r="CT1101" i="42385"/>
  <c r="CU1101" i="42385"/>
  <c r="CV1101" i="42385"/>
  <c r="CW1101" i="42385"/>
  <c r="CX1101" i="42385"/>
  <c r="CY1101" i="42385"/>
  <c r="CZ1101" i="42385"/>
  <c r="DA1101" i="42385"/>
  <c r="DB1101" i="42385"/>
  <c r="DC1101" i="42385"/>
  <c r="G1102" i="42385"/>
  <c r="CM1102" i="42385" s="1"/>
  <c r="L1102" i="42385"/>
  <c r="CN1102" i="42385" s="1"/>
  <c r="Q1102" i="42385"/>
  <c r="CO1102" i="42385" s="1"/>
  <c r="V1102" i="42385"/>
  <c r="CP1102" i="42385" s="1"/>
  <c r="AA1102" i="42385"/>
  <c r="AF1102" i="42385"/>
  <c r="CR1102" i="42385" s="1"/>
  <c r="AK1102" i="42385"/>
  <c r="AN1102" i="42385"/>
  <c r="AS1102" i="42385" s="1"/>
  <c r="AX1102" i="42385" s="1"/>
  <c r="BC1102" i="42385" s="1"/>
  <c r="AO1102" i="42385"/>
  <c r="AQ1102" i="42385"/>
  <c r="AV1102" i="42385" s="1"/>
  <c r="AR1102" i="42385"/>
  <c r="AW1102" i="42385" s="1"/>
  <c r="BB1102" i="42385" s="1"/>
  <c r="CL1102" i="42385"/>
  <c r="G1103" i="42385"/>
  <c r="CM1103" i="42385" s="1"/>
  <c r="L1103" i="42385"/>
  <c r="CN1103" i="42385"/>
  <c r="Q1103" i="42385"/>
  <c r="CO1103" i="42385" s="1"/>
  <c r="V1103" i="42385"/>
  <c r="AA1103" i="42385"/>
  <c r="CQ1103" i="42385" s="1"/>
  <c r="AF1103" i="42385"/>
  <c r="CR1103" i="42385" s="1"/>
  <c r="AK1103" i="42385"/>
  <c r="CS1103" i="42385" s="1"/>
  <c r="AN1103" i="42385"/>
  <c r="AO1103" i="42385"/>
  <c r="AQ1103" i="42385"/>
  <c r="AV1103" i="42385" s="1"/>
  <c r="BA1103" i="42385" s="1"/>
  <c r="BF1103" i="42385" s="1"/>
  <c r="BK1103" i="42385" s="1"/>
  <c r="BP1103" i="42385" s="1"/>
  <c r="BU1103" i="42385" s="1"/>
  <c r="AR1103" i="42385"/>
  <c r="AW1103" i="42385" s="1"/>
  <c r="CL1103" i="42385"/>
  <c r="AN1104" i="42385"/>
  <c r="CL1104" i="42385"/>
  <c r="CM1104" i="42385"/>
  <c r="CN1104" i="42385"/>
  <c r="CO1104" i="42385"/>
  <c r="CP1104" i="42385"/>
  <c r="CQ1104" i="42385"/>
  <c r="CR1104" i="42385"/>
  <c r="CS1104" i="42385"/>
  <c r="AK1105" i="42385"/>
  <c r="CS1105" i="42385" s="1"/>
  <c r="AP1105" i="42385"/>
  <c r="CT1105" i="42385" s="1"/>
  <c r="AU1105" i="42385"/>
  <c r="CU1105" i="42385" s="1"/>
  <c r="AZ1105" i="42385"/>
  <c r="CV1105" i="42385" s="1"/>
  <c r="BE1105" i="42385"/>
  <c r="CW1105" i="42385" s="1"/>
  <c r="BJ1105" i="42385"/>
  <c r="CX1105" i="42385" s="1"/>
  <c r="BO1105" i="42385"/>
  <c r="CY1105" i="42385" s="1"/>
  <c r="BT1105" i="42385"/>
  <c r="CZ1105" i="42385" s="1"/>
  <c r="BY1105" i="42385"/>
  <c r="CL1105" i="42385"/>
  <c r="CM1105" i="42385"/>
  <c r="CN1105" i="42385"/>
  <c r="CO1105" i="42385"/>
  <c r="CP1105" i="42385"/>
  <c r="CQ1105" i="42385"/>
  <c r="CR1105" i="42385"/>
  <c r="G1106" i="42385"/>
  <c r="CM1106" i="42385" s="1"/>
  <c r="L1106" i="42385"/>
  <c r="Q1106" i="42385"/>
  <c r="CO1106" i="42385" s="1"/>
  <c r="V1106" i="42385"/>
  <c r="CP1106" i="42385" s="1"/>
  <c r="AA1106" i="42385"/>
  <c r="CQ1106" i="42385" s="1"/>
  <c r="AE1106" i="42385"/>
  <c r="AF1106" i="42385" s="1"/>
  <c r="CR1106" i="42385" s="1"/>
  <c r="AJ1106" i="42385"/>
  <c r="AK1106" i="42385" s="1"/>
  <c r="CS1106" i="42385" s="1"/>
  <c r="AO1106" i="42385"/>
  <c r="AP1106" i="42385" s="1"/>
  <c r="CT1106" i="42385" s="1"/>
  <c r="CL1106" i="42385"/>
  <c r="C1107" i="42385"/>
  <c r="C256" i="42385" s="1"/>
  <c r="D1107" i="42385"/>
  <c r="D256" i="42385" s="1"/>
  <c r="E1107" i="42385"/>
  <c r="E256" i="42385" s="1"/>
  <c r="F1107" i="42385"/>
  <c r="F256" i="42385" s="1"/>
  <c r="H1107" i="42385"/>
  <c r="H256" i="42385" s="1"/>
  <c r="I1107" i="42385"/>
  <c r="I256" i="42385" s="1"/>
  <c r="J1107" i="42385"/>
  <c r="J256" i="42385" s="1"/>
  <c r="K1107" i="42385"/>
  <c r="K256" i="42385" s="1"/>
  <c r="M1107" i="42385"/>
  <c r="M256" i="42385" s="1"/>
  <c r="N1107" i="42385"/>
  <c r="N256" i="42385" s="1"/>
  <c r="O1107" i="42385"/>
  <c r="O256" i="42385" s="1"/>
  <c r="P1107" i="42385"/>
  <c r="P1108" i="42385" s="1"/>
  <c r="R1107" i="42385"/>
  <c r="R256" i="42385" s="1"/>
  <c r="S1107" i="42385"/>
  <c r="T1107" i="42385"/>
  <c r="U1107" i="42385"/>
  <c r="W1107" i="42385"/>
  <c r="W1108" i="42385" s="1"/>
  <c r="X1107" i="42385"/>
  <c r="Y1107" i="42385"/>
  <c r="Y256" i="42385" s="1"/>
  <c r="Z1107" i="42385"/>
  <c r="Z256" i="42385" s="1"/>
  <c r="AB1107" i="42385"/>
  <c r="AC1107" i="42385"/>
  <c r="AC256" i="42385" s="1"/>
  <c r="AD1107" i="42385"/>
  <c r="AG1107" i="42385"/>
  <c r="AH1107" i="42385"/>
  <c r="AI1107" i="42385"/>
  <c r="AI256" i="42385" s="1"/>
  <c r="AL1107" i="42385"/>
  <c r="AL256" i="42385" s="1"/>
  <c r="AM1107" i="42385"/>
  <c r="AM256" i="42385" s="1"/>
  <c r="CL1107" i="42385"/>
  <c r="CL1108" i="42385"/>
  <c r="CM1108" i="42385"/>
  <c r="CN1108" i="42385"/>
  <c r="G1110" i="42385"/>
  <c r="CM1110" i="42385" s="1"/>
  <c r="L1110" i="42385"/>
  <c r="Q1110" i="42385"/>
  <c r="V1110" i="42385"/>
  <c r="CP1110" i="42385" s="1"/>
  <c r="AA1110" i="42385"/>
  <c r="CQ1110" i="42385" s="1"/>
  <c r="AF1110" i="42385"/>
  <c r="CR1110" i="42385" s="1"/>
  <c r="AK1110" i="42385"/>
  <c r="AN1110" i="42385"/>
  <c r="AO1110" i="42385" s="1"/>
  <c r="AT1110" i="42385" s="1"/>
  <c r="AQ1110" i="42385"/>
  <c r="AR1110" i="42385"/>
  <c r="AW1110" i="42385" s="1"/>
  <c r="CL1110" i="42385"/>
  <c r="G1111" i="42385"/>
  <c r="CM1111" i="42385" s="1"/>
  <c r="L1111" i="42385"/>
  <c r="CN1111" i="42385" s="1"/>
  <c r="Q1111" i="42385"/>
  <c r="V1111" i="42385"/>
  <c r="CP1111" i="42385" s="1"/>
  <c r="AA1111" i="42385"/>
  <c r="CQ1111" i="42385" s="1"/>
  <c r="AF1111" i="42385"/>
  <c r="AK1111" i="42385"/>
  <c r="CS1111" i="42385" s="1"/>
  <c r="AN1111" i="42385"/>
  <c r="AS1111" i="42385" s="1"/>
  <c r="AQ1111" i="42385"/>
  <c r="AV1111" i="42385" s="1"/>
  <c r="BA1111" i="42385" s="1"/>
  <c r="BF1111" i="42385" s="1"/>
  <c r="BK1111" i="42385" s="1"/>
  <c r="AR1111" i="42385"/>
  <c r="AW1111" i="42385" s="1"/>
  <c r="BB1111" i="42385" s="1"/>
  <c r="BG1111" i="42385" s="1"/>
  <c r="BL1111" i="42385" s="1"/>
  <c r="BQ1111" i="42385" s="1"/>
  <c r="BV1111" i="42385" s="1"/>
  <c r="CL1111" i="42385"/>
  <c r="AK1112" i="42385"/>
  <c r="CS1112" i="42385" s="1"/>
  <c r="AP1112" i="42385"/>
  <c r="CT1112" i="42385" s="1"/>
  <c r="AQ1112" i="42385"/>
  <c r="AR1112" i="42385"/>
  <c r="AS1112" i="42385"/>
  <c r="AT1112" i="42385"/>
  <c r="AZ1112" i="42385"/>
  <c r="CV1112" i="42385" s="1"/>
  <c r="BA1112" i="42385"/>
  <c r="BF1112" i="42385" s="1"/>
  <c r="BB1112" i="42385"/>
  <c r="BG1112" i="42385" s="1"/>
  <c r="BL1112" i="42385" s="1"/>
  <c r="BQ1112" i="42385" s="1"/>
  <c r="BV1112" i="42385" s="1"/>
  <c r="BC1112" i="42385"/>
  <c r="BE1112" i="42385" s="1"/>
  <c r="CW1112" i="42385" s="1"/>
  <c r="BD1112" i="42385"/>
  <c r="BI1112" i="42385" s="1"/>
  <c r="BN1112" i="42385" s="1"/>
  <c r="BS1112" i="42385" s="1"/>
  <c r="BX1112" i="42385" s="1"/>
  <c r="CL1112" i="42385"/>
  <c r="CM1112" i="42385"/>
  <c r="CN1112" i="42385"/>
  <c r="CO1112" i="42385"/>
  <c r="CP1112" i="42385"/>
  <c r="CQ1112" i="42385"/>
  <c r="CR1112" i="42385"/>
  <c r="DB1112" i="42385"/>
  <c r="DC1112" i="42385"/>
  <c r="AK1113" i="42385"/>
  <c r="CS1113" i="42385" s="1"/>
  <c r="AN1113" i="42385"/>
  <c r="AO1113" i="42385" s="1"/>
  <c r="AP1113" i="42385" s="1"/>
  <c r="CT1113" i="42385" s="1"/>
  <c r="AQ1113" i="42385"/>
  <c r="AR1113" i="42385"/>
  <c r="AW1113" i="42385" s="1"/>
  <c r="BB1113" i="42385" s="1"/>
  <c r="BG1113" i="42385" s="1"/>
  <c r="BL1113" i="42385" s="1"/>
  <c r="BQ1113" i="42385" s="1"/>
  <c r="BV1113" i="42385" s="1"/>
  <c r="CL1113" i="42385"/>
  <c r="CM1113" i="42385"/>
  <c r="CN1113" i="42385"/>
  <c r="CO1113" i="42385"/>
  <c r="CP1113" i="42385"/>
  <c r="CQ1113" i="42385"/>
  <c r="CR1113" i="42385"/>
  <c r="G1114" i="42385"/>
  <c r="CM1114" i="42385" s="1"/>
  <c r="L1114" i="42385"/>
  <c r="CN1114" i="42385" s="1"/>
  <c r="Q1114" i="42385"/>
  <c r="CO1114" i="42385" s="1"/>
  <c r="V1114" i="42385"/>
  <c r="AA1114" i="42385"/>
  <c r="CQ1114" i="42385" s="1"/>
  <c r="AF1114" i="42385"/>
  <c r="CR1114" i="42385" s="1"/>
  <c r="AJ1114" i="42385"/>
  <c r="AJ1115" i="42385" s="1"/>
  <c r="AP1114" i="42385"/>
  <c r="CT1114" i="42385" s="1"/>
  <c r="AQ1114" i="42385"/>
  <c r="AR1114" i="42385"/>
  <c r="AS1114" i="42385"/>
  <c r="AT1114" i="42385"/>
  <c r="BB1114" i="42385"/>
  <c r="BG1114" i="42385" s="1"/>
  <c r="BL1114" i="42385" s="1"/>
  <c r="BQ1114" i="42385" s="1"/>
  <c r="BV1114" i="42385" s="1"/>
  <c r="BD1114" i="42385"/>
  <c r="BI1114" i="42385" s="1"/>
  <c r="BN1114" i="42385" s="1"/>
  <c r="BS1114" i="42385" s="1"/>
  <c r="BX1114" i="42385" s="1"/>
  <c r="BF1114" i="42385"/>
  <c r="BK1114" i="42385" s="1"/>
  <c r="BP1114" i="42385" s="1"/>
  <c r="CL1114" i="42385"/>
  <c r="C1115" i="42385"/>
  <c r="C312" i="42385" s="1"/>
  <c r="D1115" i="42385"/>
  <c r="D312" i="42385" s="1"/>
  <c r="E1115" i="42385"/>
  <c r="E312" i="42385" s="1"/>
  <c r="F1115" i="42385"/>
  <c r="F312" i="42385" s="1"/>
  <c r="H1115" i="42385"/>
  <c r="I1115" i="42385"/>
  <c r="I312" i="42385" s="1"/>
  <c r="J1115" i="42385"/>
  <c r="K1115" i="42385"/>
  <c r="K312" i="42385" s="1"/>
  <c r="M1115" i="42385"/>
  <c r="M312" i="42385" s="1"/>
  <c r="N1115" i="42385"/>
  <c r="O1115" i="42385"/>
  <c r="O312" i="42385" s="1"/>
  <c r="P1115" i="42385"/>
  <c r="P1116" i="42385" s="1"/>
  <c r="R1115" i="42385"/>
  <c r="R312" i="42385" s="1"/>
  <c r="S1115" i="42385"/>
  <c r="S312" i="42385" s="1"/>
  <c r="T1115" i="42385"/>
  <c r="T312" i="42385" s="1"/>
  <c r="V312" i="42385" s="1"/>
  <c r="CP312" i="42385" s="1"/>
  <c r="U1115" i="42385"/>
  <c r="U312" i="42385" s="1"/>
  <c r="W1115" i="42385"/>
  <c r="W312" i="42385" s="1"/>
  <c r="X1115" i="42385"/>
  <c r="Y1115" i="42385"/>
  <c r="Y312" i="42385" s="1"/>
  <c r="Z1115" i="42385"/>
  <c r="Z312" i="42385" s="1"/>
  <c r="AB1115" i="42385"/>
  <c r="AC1115" i="42385"/>
  <c r="AC1116" i="42385" s="1"/>
  <c r="AD1115" i="42385"/>
  <c r="AD312" i="42385" s="1"/>
  <c r="AE1115" i="42385"/>
  <c r="AG1115" i="42385"/>
  <c r="AH1115" i="42385"/>
  <c r="AI1115" i="42385"/>
  <c r="AI312" i="42385" s="1"/>
  <c r="AL1115" i="42385"/>
  <c r="AM1115" i="42385"/>
  <c r="AM312" i="42385" s="1"/>
  <c r="CL1115" i="42385"/>
  <c r="I1116" i="42385"/>
  <c r="CL1116" i="42385"/>
  <c r="CM1116" i="42385"/>
  <c r="G1118" i="42385"/>
  <c r="CM1118" i="42385" s="1"/>
  <c r="L1118" i="42385"/>
  <c r="CN1118" i="42385" s="1"/>
  <c r="Q1118" i="42385"/>
  <c r="V1118" i="42385"/>
  <c r="AA1118" i="42385"/>
  <c r="CQ1118" i="42385" s="1"/>
  <c r="AB1118" i="42385"/>
  <c r="AK1118" i="42385"/>
  <c r="CS1118" i="42385" s="1"/>
  <c r="AN1118" i="42385"/>
  <c r="CL1118" i="42385"/>
  <c r="G1119" i="42385"/>
  <c r="CM1119" i="42385" s="1"/>
  <c r="L1119" i="42385"/>
  <c r="CN1119" i="42385" s="1"/>
  <c r="Q1119" i="42385"/>
  <c r="CO1119" i="42385" s="1"/>
  <c r="V1119" i="42385"/>
  <c r="CP1119" i="42385" s="1"/>
  <c r="AA1119" i="42385"/>
  <c r="CQ1119" i="42385" s="1"/>
  <c r="AF1119" i="42385"/>
  <c r="CR1119" i="42385" s="1"/>
  <c r="AK1119" i="42385"/>
  <c r="CS1119" i="42385" s="1"/>
  <c r="AN1119" i="42385"/>
  <c r="CL1119" i="42385"/>
  <c r="AK1120" i="42385"/>
  <c r="CS1120" i="42385" s="1"/>
  <c r="AN1120" i="42385"/>
  <c r="CL1120" i="42385"/>
  <c r="CM1120" i="42385"/>
  <c r="CN1120" i="42385"/>
  <c r="CO1120" i="42385"/>
  <c r="CP1120" i="42385"/>
  <c r="CQ1120" i="42385"/>
  <c r="CR1120" i="42385"/>
  <c r="AK1121" i="42385"/>
  <c r="CS1121" i="42385" s="1"/>
  <c r="AL1121" i="42385"/>
  <c r="AL1124" i="42385" s="1"/>
  <c r="AL1552" i="42385" s="1"/>
  <c r="AM1121" i="42385"/>
  <c r="AN1121" i="42385" s="1"/>
  <c r="CL1121" i="42385"/>
  <c r="CM1121" i="42385"/>
  <c r="CN1121" i="42385"/>
  <c r="CO1121" i="42385"/>
  <c r="CP1121" i="42385"/>
  <c r="CQ1121" i="42385"/>
  <c r="CR1121" i="42385"/>
  <c r="G1122" i="42385"/>
  <c r="CM1122" i="42385" s="1"/>
  <c r="L1122" i="42385"/>
  <c r="CN1122" i="42385" s="1"/>
  <c r="Q1122" i="42385"/>
  <c r="V1122" i="42385"/>
  <c r="CP1122" i="42385" s="1"/>
  <c r="AA1122" i="42385"/>
  <c r="CQ1122" i="42385" s="1"/>
  <c r="AE1122" i="42385"/>
  <c r="AF1122" i="42385" s="1"/>
  <c r="CR1122" i="42385" s="1"/>
  <c r="AK1122" i="42385"/>
  <c r="CS1122" i="42385" s="1"/>
  <c r="AP1122" i="42385"/>
  <c r="CT1122" i="42385" s="1"/>
  <c r="AQ1122" i="42385"/>
  <c r="AR1122" i="42385" s="1"/>
  <c r="AS1122" i="42385" s="1"/>
  <c r="AT1122" i="42385" s="1"/>
  <c r="AV1122" i="42385" s="1"/>
  <c r="AW1122" i="42385" s="1"/>
  <c r="AX1122" i="42385" s="1"/>
  <c r="AY1122" i="42385" s="1"/>
  <c r="BA1122" i="42385" s="1"/>
  <c r="CL1122" i="42385"/>
  <c r="CM1123" i="42385"/>
  <c r="CN1123" i="42385"/>
  <c r="CO1123" i="42385"/>
  <c r="CP1123" i="42385"/>
  <c r="CQ1123" i="42385"/>
  <c r="CR1123" i="42385"/>
  <c r="CS1123" i="42385"/>
  <c r="CT1123" i="42385"/>
  <c r="CU1123" i="42385"/>
  <c r="CV1123" i="42385"/>
  <c r="CW1123" i="42385"/>
  <c r="CX1123" i="42385"/>
  <c r="CY1123" i="42385"/>
  <c r="CZ1123" i="42385"/>
  <c r="DA1123" i="42385"/>
  <c r="DB1123" i="42385"/>
  <c r="DC1123" i="42385"/>
  <c r="C1124" i="42385"/>
  <c r="D1124" i="42385"/>
  <c r="D1552" i="42385" s="1"/>
  <c r="E1124" i="42385"/>
  <c r="E1552" i="42385" s="1"/>
  <c r="F1124" i="42385"/>
  <c r="F1552" i="42385" s="1"/>
  <c r="H1124" i="42385"/>
  <c r="I1124" i="42385"/>
  <c r="I1552" i="42385" s="1"/>
  <c r="J1124" i="42385"/>
  <c r="K1124" i="42385"/>
  <c r="K1552" i="42385" s="1"/>
  <c r="M1124" i="42385"/>
  <c r="M1552" i="42385" s="1"/>
  <c r="N1124" i="42385"/>
  <c r="N1552" i="42385" s="1"/>
  <c r="O1124" i="42385"/>
  <c r="P1124" i="42385"/>
  <c r="P1552" i="42385" s="1"/>
  <c r="R1124" i="42385"/>
  <c r="R1552" i="42385" s="1"/>
  <c r="S1124" i="42385"/>
  <c r="S1552" i="42385" s="1"/>
  <c r="T1124" i="42385"/>
  <c r="U1124" i="42385"/>
  <c r="U1552" i="42385" s="1"/>
  <c r="W1124" i="42385"/>
  <c r="W1552" i="42385" s="1"/>
  <c r="X1124" i="42385"/>
  <c r="X1552" i="42385" s="1"/>
  <c r="Y1124" i="42385"/>
  <c r="Z1124" i="42385"/>
  <c r="Z1552" i="42385" s="1"/>
  <c r="AC1124" i="42385"/>
  <c r="AD1124" i="42385"/>
  <c r="AG1124" i="42385"/>
  <c r="AG1552" i="42385" s="1"/>
  <c r="AH1124" i="42385"/>
  <c r="AI1124" i="42385"/>
  <c r="AI1552" i="42385" s="1"/>
  <c r="AJ1124" i="42385"/>
  <c r="AJ1552" i="42385" s="1"/>
  <c r="CL1124" i="42385"/>
  <c r="C1127" i="42385"/>
  <c r="D1127" i="42385"/>
  <c r="E1127" i="42385"/>
  <c r="F1127" i="42385"/>
  <c r="G1127" i="42385"/>
  <c r="CM1127" i="42385" s="1"/>
  <c r="H1127" i="42385"/>
  <c r="I1127" i="42385"/>
  <c r="J1127" i="42385"/>
  <c r="K1127" i="42385"/>
  <c r="L1127" i="42385"/>
  <c r="CN1127" i="42385" s="1"/>
  <c r="M1127" i="42385"/>
  <c r="N1127" i="42385"/>
  <c r="O1127" i="42385"/>
  <c r="P1127" i="42385"/>
  <c r="Q1127" i="42385"/>
  <c r="CO1127" i="42385" s="1"/>
  <c r="R1127" i="42385"/>
  <c r="S1127" i="42385"/>
  <c r="T1127" i="42385"/>
  <c r="U1127" i="42385"/>
  <c r="V1127" i="42385"/>
  <c r="CP1127" i="42385" s="1"/>
  <c r="W1127" i="42385"/>
  <c r="X1127" i="42385"/>
  <c r="Y1127" i="42385"/>
  <c r="Z1127" i="42385"/>
  <c r="AA1127" i="42385"/>
  <c r="CQ1127" i="42385" s="1"/>
  <c r="AB1127" i="42385"/>
  <c r="AC1127" i="42385"/>
  <c r="AD1127" i="42385"/>
  <c r="AE1127" i="42385"/>
  <c r="AF1127" i="42385"/>
  <c r="CR1127" i="42385" s="1"/>
  <c r="AG1127" i="42385"/>
  <c r="AH1127" i="42385"/>
  <c r="AI1127" i="42385"/>
  <c r="AJ1127" i="42385"/>
  <c r="AK1127" i="42385"/>
  <c r="CS1127" i="42385" s="1"/>
  <c r="AL1127" i="42385"/>
  <c r="AM1127" i="42385"/>
  <c r="AN1127" i="42385"/>
  <c r="AO1127" i="42385"/>
  <c r="AP1127" i="42385"/>
  <c r="CT1127" i="42385" s="1"/>
  <c r="AQ1127" i="42385"/>
  <c r="AR1127" i="42385"/>
  <c r="AS1127" i="42385"/>
  <c r="AT1127" i="42385"/>
  <c r="AU1127" i="42385"/>
  <c r="CU1127" i="42385" s="1"/>
  <c r="AV1127" i="42385"/>
  <c r="AW1127" i="42385"/>
  <c r="AX1127" i="42385"/>
  <c r="AY1127" i="42385"/>
  <c r="AZ1127" i="42385"/>
  <c r="CV1127" i="42385" s="1"/>
  <c r="BA1127" i="42385"/>
  <c r="BB1127" i="42385"/>
  <c r="BC1127" i="42385"/>
  <c r="BD1127" i="42385"/>
  <c r="BE1127" i="42385"/>
  <c r="CW1127" i="42385" s="1"/>
  <c r="BF1127" i="42385"/>
  <c r="BG1127" i="42385"/>
  <c r="BH1127" i="42385"/>
  <c r="BI1127" i="42385"/>
  <c r="BJ1127" i="42385"/>
  <c r="CX1127" i="42385" s="1"/>
  <c r="BK1127" i="42385"/>
  <c r="BL1127" i="42385"/>
  <c r="BM1127" i="42385"/>
  <c r="BN1127" i="42385"/>
  <c r="BO1127" i="42385"/>
  <c r="CY1127" i="42385" s="1"/>
  <c r="BP1127" i="42385"/>
  <c r="BQ1127" i="42385"/>
  <c r="BR1127" i="42385"/>
  <c r="BS1127" i="42385"/>
  <c r="BT1127" i="42385"/>
  <c r="CZ1127" i="42385" s="1"/>
  <c r="BU1127" i="42385"/>
  <c r="BV1127" i="42385"/>
  <c r="BW1127" i="42385"/>
  <c r="BX1127" i="42385"/>
  <c r="BY1127" i="42385"/>
  <c r="DA1127" i="42385" s="1"/>
  <c r="BZ1127" i="42385"/>
  <c r="DB1127" i="42385" s="1"/>
  <c r="CA1127" i="42385"/>
  <c r="DC1127" i="42385" s="1"/>
  <c r="CB1127" i="42385"/>
  <c r="CC1127" i="42385"/>
  <c r="CD1127" i="42385"/>
  <c r="CE1127" i="42385"/>
  <c r="CF1127" i="42385"/>
  <c r="CL1127" i="42385"/>
  <c r="C1128" i="42385"/>
  <c r="D1128" i="42385"/>
  <c r="E1128" i="42385"/>
  <c r="F1128" i="42385"/>
  <c r="G1128" i="42385" s="1"/>
  <c r="CM1128" i="42385" s="1"/>
  <c r="CL1128" i="42385"/>
  <c r="CN1128" i="42385"/>
  <c r="G1129" i="42385"/>
  <c r="CM1129" i="42385" s="1"/>
  <c r="CL1129" i="42385"/>
  <c r="CN1129" i="42385"/>
  <c r="G1130" i="42385"/>
  <c r="CM1130" i="42385" s="1"/>
  <c r="CL1130" i="42385"/>
  <c r="CN1130" i="42385"/>
  <c r="G1132" i="42385"/>
  <c r="CM1132" i="42385" s="1"/>
  <c r="L1132" i="42385"/>
  <c r="CN1132" i="42385" s="1"/>
  <c r="CL1132" i="42385"/>
  <c r="G1133" i="42385"/>
  <c r="CM1133" i="42385" s="1"/>
  <c r="L1133" i="42385"/>
  <c r="CN1133" i="42385" s="1"/>
  <c r="CL1133" i="42385"/>
  <c r="C1134" i="42385"/>
  <c r="D1134" i="42385"/>
  <c r="E1134" i="42385"/>
  <c r="F1134" i="42385"/>
  <c r="H1134" i="42385"/>
  <c r="I1134" i="42385"/>
  <c r="J1134" i="42385"/>
  <c r="CL1134" i="42385"/>
  <c r="G1135" i="42385"/>
  <c r="CM1135" i="42385" s="1"/>
  <c r="L1135" i="42385"/>
  <c r="CN1135" i="42385" s="1"/>
  <c r="CL1135" i="42385"/>
  <c r="AH1137" i="42385"/>
  <c r="AI1137" i="42385"/>
  <c r="AJ1137" i="42385"/>
  <c r="AL1137" i="42385"/>
  <c r="AM1137" i="42385"/>
  <c r="AN1137" i="42385"/>
  <c r="AO1137" i="42385"/>
  <c r="AP1137" i="42385"/>
  <c r="CT1137" i="42385" s="1"/>
  <c r="AQ1137" i="42385"/>
  <c r="AR1137" i="42385"/>
  <c r="AS1137" i="42385"/>
  <c r="AT1137" i="42385"/>
  <c r="AU1137" i="42385"/>
  <c r="CU1137" i="42385" s="1"/>
  <c r="AV1137" i="42385"/>
  <c r="AW1137" i="42385"/>
  <c r="AX1137" i="42385"/>
  <c r="AY1137" i="42385"/>
  <c r="AZ1137" i="42385"/>
  <c r="CV1137" i="42385" s="1"/>
  <c r="BA1137" i="42385"/>
  <c r="BB1137" i="42385"/>
  <c r="BC1137" i="42385"/>
  <c r="BD1137" i="42385"/>
  <c r="BE1137" i="42385"/>
  <c r="CW1137" i="42385" s="1"/>
  <c r="BF1137" i="42385"/>
  <c r="BG1137" i="42385"/>
  <c r="BH1137" i="42385"/>
  <c r="BI1137" i="42385"/>
  <c r="BJ1137" i="42385"/>
  <c r="CX1137" i="42385" s="1"/>
  <c r="BK1137" i="42385"/>
  <c r="BL1137" i="42385"/>
  <c r="BM1137" i="42385"/>
  <c r="BN1137" i="42385"/>
  <c r="BO1137" i="42385"/>
  <c r="CY1137" i="42385" s="1"/>
  <c r="BP1137" i="42385"/>
  <c r="BQ1137" i="42385"/>
  <c r="BR1137" i="42385"/>
  <c r="BS1137" i="42385"/>
  <c r="BT1137" i="42385"/>
  <c r="CZ1137" i="42385" s="1"/>
  <c r="BU1137" i="42385"/>
  <c r="BV1137" i="42385"/>
  <c r="BW1137" i="42385"/>
  <c r="BX1137" i="42385"/>
  <c r="BY1137" i="42385"/>
  <c r="DA1137" i="42385" s="1"/>
  <c r="BZ1137" i="42385"/>
  <c r="DB1137" i="42385" s="1"/>
  <c r="CA1137" i="42385"/>
  <c r="DC1137" i="42385" s="1"/>
  <c r="CB1137" i="42385"/>
  <c r="CC1137" i="42385"/>
  <c r="CD1137" i="42385"/>
  <c r="CE1137" i="42385"/>
  <c r="CF1137" i="42385"/>
  <c r="CL1137" i="42385"/>
  <c r="CM1137" i="42385"/>
  <c r="CN1137" i="42385"/>
  <c r="CO1137" i="42385"/>
  <c r="CP1137" i="42385"/>
  <c r="CQ1137" i="42385"/>
  <c r="CR1137" i="42385"/>
  <c r="CS1137" i="42385"/>
  <c r="CL1138" i="42385"/>
  <c r="C1139" i="42385"/>
  <c r="D1139" i="42385"/>
  <c r="E1139" i="42385"/>
  <c r="F1139" i="42385"/>
  <c r="H1139" i="42385"/>
  <c r="I1139" i="42385"/>
  <c r="K1139" i="42385"/>
  <c r="P1139" i="42385"/>
  <c r="U1139" i="42385"/>
  <c r="Z1139" i="42385"/>
  <c r="AD1139" i="42385"/>
  <c r="AE1139" i="42385"/>
  <c r="CL1139" i="42385"/>
  <c r="C1140" i="42385"/>
  <c r="D1140" i="42385"/>
  <c r="E1140" i="42385"/>
  <c r="F1140" i="42385"/>
  <c r="H1140" i="42385"/>
  <c r="I1140" i="42385"/>
  <c r="J1140" i="42385"/>
  <c r="K1140" i="42385"/>
  <c r="P1140" i="42385"/>
  <c r="U1140" i="42385"/>
  <c r="Z1140" i="42385"/>
  <c r="AB1140" i="42385"/>
  <c r="AC1140" i="42385"/>
  <c r="AD1140" i="42385"/>
  <c r="AE1140" i="42385"/>
  <c r="CL1140" i="42385"/>
  <c r="CL1141" i="42385"/>
  <c r="C1144" i="42385"/>
  <c r="D1144" i="42385"/>
  <c r="E1144" i="42385"/>
  <c r="F1144" i="42385"/>
  <c r="G1144" i="42385"/>
  <c r="CM1144" i="42385" s="1"/>
  <c r="H1144" i="42385"/>
  <c r="I1144" i="42385"/>
  <c r="J1144" i="42385"/>
  <c r="K1144" i="42385"/>
  <c r="L1144" i="42385"/>
  <c r="CN1144" i="42385" s="1"/>
  <c r="M1144" i="42385"/>
  <c r="N1144" i="42385"/>
  <c r="O1144" i="42385"/>
  <c r="P1144" i="42385"/>
  <c r="Q1144" i="42385"/>
  <c r="CO1144" i="42385" s="1"/>
  <c r="R1144" i="42385"/>
  <c r="S1144" i="42385"/>
  <c r="T1144" i="42385"/>
  <c r="U1144" i="42385"/>
  <c r="V1144" i="42385"/>
  <c r="CP1144" i="42385" s="1"/>
  <c r="W1144" i="42385"/>
  <c r="X1144" i="42385"/>
  <c r="Y1144" i="42385"/>
  <c r="Z1144" i="42385"/>
  <c r="AA1144" i="42385"/>
  <c r="CQ1144" i="42385" s="1"/>
  <c r="AB1144" i="42385"/>
  <c r="AC1144" i="42385"/>
  <c r="AD1144" i="42385"/>
  <c r="AE1144" i="42385"/>
  <c r="AF1144" i="42385"/>
  <c r="CR1144" i="42385" s="1"/>
  <c r="AG1144" i="42385"/>
  <c r="AH1144" i="42385"/>
  <c r="AI1144" i="42385"/>
  <c r="AJ1144" i="42385"/>
  <c r="AK1144" i="42385"/>
  <c r="CS1144" i="42385" s="1"/>
  <c r="AL1144" i="42385"/>
  <c r="AM1144" i="42385"/>
  <c r="AN1144" i="42385"/>
  <c r="AO1144" i="42385"/>
  <c r="AP1144" i="42385"/>
  <c r="CT1144" i="42385" s="1"/>
  <c r="AQ1144" i="42385"/>
  <c r="AR1144" i="42385"/>
  <c r="AS1144" i="42385"/>
  <c r="AT1144" i="42385"/>
  <c r="AU1144" i="42385"/>
  <c r="CU1144" i="42385" s="1"/>
  <c r="AV1144" i="42385"/>
  <c r="AW1144" i="42385"/>
  <c r="AX1144" i="42385"/>
  <c r="AY1144" i="42385"/>
  <c r="AZ1144" i="42385"/>
  <c r="CV1144" i="42385" s="1"/>
  <c r="BA1144" i="42385"/>
  <c r="BB1144" i="42385"/>
  <c r="BC1144" i="42385"/>
  <c r="BD1144" i="42385"/>
  <c r="BE1144" i="42385"/>
  <c r="CW1144" i="42385" s="1"/>
  <c r="BF1144" i="42385"/>
  <c r="BG1144" i="42385"/>
  <c r="BH1144" i="42385"/>
  <c r="BI1144" i="42385"/>
  <c r="BJ1144" i="42385"/>
  <c r="CX1144" i="42385" s="1"/>
  <c r="BK1144" i="42385"/>
  <c r="BL1144" i="42385"/>
  <c r="BM1144" i="42385"/>
  <c r="BN1144" i="42385"/>
  <c r="BO1144" i="42385"/>
  <c r="CY1144" i="42385" s="1"/>
  <c r="BP1144" i="42385"/>
  <c r="BQ1144" i="42385"/>
  <c r="BR1144" i="42385"/>
  <c r="BS1144" i="42385"/>
  <c r="BT1144" i="42385"/>
  <c r="CZ1144" i="42385" s="1"/>
  <c r="BU1144" i="42385"/>
  <c r="BV1144" i="42385"/>
  <c r="BW1144" i="42385"/>
  <c r="BX1144" i="42385"/>
  <c r="BY1144" i="42385"/>
  <c r="DA1144" i="42385" s="1"/>
  <c r="BZ1144" i="42385"/>
  <c r="DB1144" i="42385" s="1"/>
  <c r="CA1144" i="42385"/>
  <c r="DC1144" i="42385" s="1"/>
  <c r="CB1144" i="42385"/>
  <c r="CC1144" i="42385"/>
  <c r="CD1144" i="42385"/>
  <c r="CE1144" i="42385"/>
  <c r="CF1144" i="42385"/>
  <c r="CL1144" i="42385"/>
  <c r="CL1145" i="42385"/>
  <c r="CM1145" i="42385"/>
  <c r="CN1145" i="42385"/>
  <c r="CO1145" i="42385"/>
  <c r="CP1145" i="42385"/>
  <c r="CQ1145" i="42385"/>
  <c r="CR1145" i="42385"/>
  <c r="CS1145" i="42385"/>
  <c r="CT1145" i="42385"/>
  <c r="CU1145" i="42385"/>
  <c r="CV1145" i="42385"/>
  <c r="CW1145" i="42385"/>
  <c r="CX1145" i="42385"/>
  <c r="CY1145" i="42385"/>
  <c r="CZ1145" i="42385"/>
  <c r="DA1145" i="42385"/>
  <c r="DB1145" i="42385"/>
  <c r="DC1145" i="42385"/>
  <c r="CL1146" i="42385"/>
  <c r="AR1147" i="42385"/>
  <c r="AS1147" i="42385" s="1"/>
  <c r="AT1147" i="42385" s="1"/>
  <c r="AU1147" i="42385" s="1"/>
  <c r="CL1147" i="42385"/>
  <c r="AR1148" i="42385"/>
  <c r="AS1148" i="42385" s="1"/>
  <c r="AT1148" i="42385" s="1"/>
  <c r="AU1148" i="42385" s="1"/>
  <c r="CU1148" i="42385" s="1"/>
  <c r="CL1148" i="42385"/>
  <c r="CL1149" i="42385"/>
  <c r="CL1150" i="42385"/>
  <c r="CL1151" i="42385"/>
  <c r="DB1151" i="42385"/>
  <c r="DC1151" i="42385"/>
  <c r="AU1153" i="42385"/>
  <c r="CU1153" i="42385" s="1"/>
  <c r="AZ1153" i="42385"/>
  <c r="BE1153" i="42385"/>
  <c r="BJ1153" i="42385"/>
  <c r="CX1153" i="42385" s="1"/>
  <c r="BO1153" i="42385"/>
  <c r="CY1153" i="42385" s="1"/>
  <c r="CL1153" i="42385"/>
  <c r="CW1153" i="42385"/>
  <c r="AV1154" i="42385"/>
  <c r="AW1154" i="42385"/>
  <c r="AX1154" i="42385"/>
  <c r="AY1154" i="42385"/>
  <c r="BA1154" i="42385"/>
  <c r="BB1154" i="42385"/>
  <c r="BC1154" i="42385"/>
  <c r="BD1154" i="42385"/>
  <c r="BF1154" i="42385"/>
  <c r="BG1154" i="42385"/>
  <c r="BH1154" i="42385"/>
  <c r="BI1154" i="42385"/>
  <c r="BK1154" i="42385"/>
  <c r="BL1154" i="42385"/>
  <c r="BM1154" i="42385"/>
  <c r="BN1154" i="42385"/>
  <c r="BP1154" i="42385"/>
  <c r="BQ1154" i="42385"/>
  <c r="BR1154" i="42385"/>
  <c r="CL1154" i="42385"/>
  <c r="AR1155" i="42385"/>
  <c r="AV1155" i="42385"/>
  <c r="AW1155" i="42385"/>
  <c r="BB1155" i="42385" s="1"/>
  <c r="AX1155" i="42385"/>
  <c r="BC1155" i="42385" s="1"/>
  <c r="AY1155" i="42385"/>
  <c r="BD1155" i="42385" s="1"/>
  <c r="CL1155" i="42385"/>
  <c r="AQ1156" i="42385"/>
  <c r="AX1156" i="42385"/>
  <c r="CL1156" i="42385"/>
  <c r="CL1157" i="42385"/>
  <c r="AQ1159" i="42385"/>
  <c r="CL1159" i="42385"/>
  <c r="BX1160" i="42385"/>
  <c r="CL1160" i="42385"/>
  <c r="CL1161" i="42385"/>
  <c r="AQ1162" i="42385"/>
  <c r="CL1162" i="42385"/>
  <c r="AR1163" i="42385"/>
  <c r="CL1163" i="42385"/>
  <c r="DB1163" i="42385"/>
  <c r="DC1163" i="42385"/>
  <c r="CL1164" i="42385"/>
  <c r="CL1166" i="42385"/>
  <c r="CL1167" i="42385"/>
  <c r="CL1168" i="42385"/>
  <c r="AQ1169" i="42385"/>
  <c r="AR1169" i="42385"/>
  <c r="AS1169" i="42385"/>
  <c r="AS1548" i="42385" s="1"/>
  <c r="AT1169" i="42385"/>
  <c r="AV1169" i="42385"/>
  <c r="AV1548" i="42385" s="1"/>
  <c r="AW1169" i="42385"/>
  <c r="AX1169" i="42385"/>
  <c r="AX1548" i="42385" s="1"/>
  <c r="AY1169" i="42385"/>
  <c r="BA1169" i="42385"/>
  <c r="BA1548" i="42385" s="1"/>
  <c r="BB1169" i="42385"/>
  <c r="BC1169" i="42385"/>
  <c r="BD1169" i="42385"/>
  <c r="BF1169" i="42385"/>
  <c r="BG1169" i="42385"/>
  <c r="BH1169" i="42385"/>
  <c r="BI1169" i="42385"/>
  <c r="BK1169" i="42385"/>
  <c r="BK1548" i="42385" s="1"/>
  <c r="BL1169" i="42385"/>
  <c r="BM1169" i="42385"/>
  <c r="BM1548" i="42385" s="1"/>
  <c r="BN1169" i="42385"/>
  <c r="BP1169" i="42385"/>
  <c r="BP1548" i="42385" s="1"/>
  <c r="BQ1169" i="42385"/>
  <c r="BR1169" i="42385"/>
  <c r="BR1548" i="42385" s="1"/>
  <c r="BS1169" i="42385"/>
  <c r="BU1169" i="42385"/>
  <c r="BV1169" i="42385"/>
  <c r="BW1169" i="42385"/>
  <c r="BW1548" i="42385" s="1"/>
  <c r="BX1169" i="42385"/>
  <c r="CL1169" i="42385"/>
  <c r="CL1170" i="42385"/>
  <c r="CL1171" i="42385"/>
  <c r="BA1172" i="42385"/>
  <c r="BA1171" i="42385" s="1"/>
  <c r="BB1172" i="42385"/>
  <c r="BB1171" i="42385" s="1"/>
  <c r="BC1172" i="42385"/>
  <c r="BC1171" i="42385" s="1"/>
  <c r="BD1172" i="42385"/>
  <c r="BD1171" i="42385" s="1"/>
  <c r="BF1172" i="42385"/>
  <c r="BF1171" i="42385" s="1"/>
  <c r="BG1172" i="42385"/>
  <c r="BH1172" i="42385"/>
  <c r="BH1171" i="42385" s="1"/>
  <c r="BI1172" i="42385"/>
  <c r="BI1171" i="42385" s="1"/>
  <c r="BK1172" i="42385"/>
  <c r="BK1171" i="42385" s="1"/>
  <c r="BL1172" i="42385"/>
  <c r="BL1171" i="42385" s="1"/>
  <c r="BM1172" i="42385"/>
  <c r="BN1172" i="42385"/>
  <c r="BN1171" i="42385" s="1"/>
  <c r="BN1166" i="42385" s="1"/>
  <c r="BP1172" i="42385"/>
  <c r="BP1171" i="42385" s="1"/>
  <c r="BP1166" i="42385" s="1"/>
  <c r="BQ1172" i="42385"/>
  <c r="BQ1171" i="42385" s="1"/>
  <c r="CL1172" i="42385"/>
  <c r="CL1174" i="42385"/>
  <c r="CL1175" i="42385"/>
  <c r="CL1177" i="42385"/>
  <c r="CL1178" i="42385"/>
  <c r="CL1180" i="42385"/>
  <c r="CL1181" i="42385"/>
  <c r="CL1183" i="42385"/>
  <c r="CL1184" i="42385"/>
  <c r="AP1186" i="42385"/>
  <c r="CT1186" i="42385" s="1"/>
  <c r="AR1186" i="42385"/>
  <c r="AS1186" i="42385" s="1"/>
  <c r="AT1186" i="42385" s="1"/>
  <c r="AU1186" i="42385" s="1"/>
  <c r="CU1186" i="42385" s="1"/>
  <c r="AZ1186" i="42385"/>
  <c r="AW1186" i="42385" s="1"/>
  <c r="BE1186" i="42385"/>
  <c r="BD1186" i="42385" s="1"/>
  <c r="CL1186" i="42385"/>
  <c r="CL1187" i="42385"/>
  <c r="CL1189" i="42385"/>
  <c r="CM1189" i="42385"/>
  <c r="CN1189" i="42385"/>
  <c r="CO1189" i="42385"/>
  <c r="CP1189" i="42385"/>
  <c r="CQ1189" i="42385"/>
  <c r="CR1189" i="42385"/>
  <c r="CS1189" i="42385"/>
  <c r="CT1189" i="42385"/>
  <c r="CU1189" i="42385"/>
  <c r="CV1189" i="42385"/>
  <c r="CW1189" i="42385"/>
  <c r="CX1189" i="42385"/>
  <c r="CY1189" i="42385"/>
  <c r="CZ1189" i="42385"/>
  <c r="DA1189" i="42385"/>
  <c r="DB1189" i="42385"/>
  <c r="DC1189" i="42385"/>
  <c r="BN1190" i="42385"/>
  <c r="BN1197" i="42385" s="1"/>
  <c r="BP1190" i="42385"/>
  <c r="BU1190" i="42385"/>
  <c r="BV1190" i="42385" s="1"/>
  <c r="CL1190" i="42385"/>
  <c r="CU1190" i="42385"/>
  <c r="CV1190" i="42385"/>
  <c r="CW1190" i="42385"/>
  <c r="CX1190" i="42385"/>
  <c r="CY1190" i="42385"/>
  <c r="CZ1190" i="42385"/>
  <c r="DA1190" i="42385"/>
  <c r="BN1191" i="42385"/>
  <c r="BP1191" i="42385"/>
  <c r="BQ1191" i="42385" s="1"/>
  <c r="BR1191" i="42385" s="1"/>
  <c r="BS1191" i="42385" s="1"/>
  <c r="BU1191" i="42385"/>
  <c r="BV1191" i="42385" s="1"/>
  <c r="CL1191" i="42385"/>
  <c r="CU1191" i="42385"/>
  <c r="CV1191" i="42385"/>
  <c r="CW1191" i="42385"/>
  <c r="CX1191" i="42385"/>
  <c r="CY1191" i="42385"/>
  <c r="CZ1191" i="42385"/>
  <c r="DA1191" i="42385"/>
  <c r="BN1192" i="42385"/>
  <c r="BP1192" i="42385"/>
  <c r="BQ1192" i="42385" s="1"/>
  <c r="BR1192" i="42385" s="1"/>
  <c r="BS1192" i="42385" s="1"/>
  <c r="BU1192" i="42385"/>
  <c r="BV1192" i="42385" s="1"/>
  <c r="CL1192" i="42385"/>
  <c r="CU1192" i="42385"/>
  <c r="CV1192" i="42385"/>
  <c r="CW1192" i="42385"/>
  <c r="CX1192" i="42385"/>
  <c r="CY1192" i="42385"/>
  <c r="CZ1192" i="42385"/>
  <c r="DA1192" i="42385"/>
  <c r="CL1193" i="42385"/>
  <c r="CU1193" i="42385"/>
  <c r="CV1193" i="42385"/>
  <c r="CW1193" i="42385"/>
  <c r="CX1193" i="42385"/>
  <c r="BU1194" i="42385"/>
  <c r="BV1194" i="42385"/>
  <c r="CL1194" i="42385"/>
  <c r="CU1194" i="42385"/>
  <c r="CV1194" i="42385"/>
  <c r="CW1194" i="42385"/>
  <c r="CX1194" i="42385"/>
  <c r="BS1195" i="42385"/>
  <c r="CL1195" i="42385"/>
  <c r="CV1195" i="42385"/>
  <c r="CW1195" i="42385"/>
  <c r="CX1195" i="42385"/>
  <c r="CY1195" i="42385"/>
  <c r="CL1197" i="42385"/>
  <c r="CU1197" i="42385"/>
  <c r="CV1197" i="42385"/>
  <c r="CW1197" i="42385"/>
  <c r="CX1197" i="42385"/>
  <c r="CL1198" i="42385"/>
  <c r="CV1198" i="42385"/>
  <c r="CW1198" i="42385"/>
  <c r="CX1198" i="42385"/>
  <c r="CY1198" i="42385"/>
  <c r="CZ1198" i="42385"/>
  <c r="BO1199" i="42385"/>
  <c r="CY1199" i="42385" s="1"/>
  <c r="BT1199" i="42385"/>
  <c r="CZ1199" i="42385" s="1"/>
  <c r="DA1199" i="42385"/>
  <c r="CL1199" i="42385"/>
  <c r="CU1199" i="42385"/>
  <c r="CV1199" i="42385"/>
  <c r="CW1199" i="42385"/>
  <c r="CX1199" i="42385"/>
  <c r="CL1200" i="42385"/>
  <c r="CU1200" i="42385"/>
  <c r="CV1200" i="42385"/>
  <c r="CW1200" i="42385"/>
  <c r="CX1200" i="42385"/>
  <c r="CL1201" i="42385"/>
  <c r="CV1201" i="42385"/>
  <c r="CW1201" i="42385"/>
  <c r="CX1201" i="42385"/>
  <c r="CY1201" i="42385"/>
  <c r="CZ1201" i="42385"/>
  <c r="CL1203" i="42385"/>
  <c r="CU1203" i="42385"/>
  <c r="CV1203" i="42385"/>
  <c r="CW1203" i="42385"/>
  <c r="CX1203" i="42385"/>
  <c r="CD1204" i="42385"/>
  <c r="CL1204" i="42385"/>
  <c r="CU1204" i="42385"/>
  <c r="CV1204" i="42385"/>
  <c r="CW1204" i="42385"/>
  <c r="CX1204" i="42385"/>
  <c r="CL1205" i="42385"/>
  <c r="CV1205" i="42385"/>
  <c r="CW1205" i="42385"/>
  <c r="CX1205" i="42385"/>
  <c r="CY1205" i="42385"/>
  <c r="CZ1205" i="42385"/>
  <c r="CL1206" i="42385"/>
  <c r="CU1206" i="42385"/>
  <c r="CV1206" i="42385"/>
  <c r="CW1206" i="42385"/>
  <c r="CX1206" i="42385"/>
  <c r="CL1207" i="42385"/>
  <c r="CU1207" i="42385"/>
  <c r="CV1207" i="42385"/>
  <c r="CW1207" i="42385"/>
  <c r="CX1207" i="42385"/>
  <c r="CL1208" i="42385"/>
  <c r="CU1208" i="42385"/>
  <c r="CV1208" i="42385"/>
  <c r="CW1208" i="42385"/>
  <c r="CX1208" i="42385"/>
  <c r="CL1210" i="42385"/>
  <c r="CU1210" i="42385"/>
  <c r="CV1210" i="42385"/>
  <c r="CW1210" i="42385"/>
  <c r="CX1210" i="42385"/>
  <c r="CL1211" i="42385"/>
  <c r="CU1211" i="42385"/>
  <c r="CV1211" i="42385"/>
  <c r="CW1211" i="42385"/>
  <c r="CX1211" i="42385"/>
  <c r="CL1212" i="42385"/>
  <c r="CV1212" i="42385"/>
  <c r="CW1212" i="42385"/>
  <c r="CX1212" i="42385"/>
  <c r="CY1212" i="42385"/>
  <c r="CZ1212" i="42385"/>
  <c r="BN1213" i="42385"/>
  <c r="BO1213" i="42385" s="1"/>
  <c r="BP1213" i="42385"/>
  <c r="BQ1213" i="42385" s="1"/>
  <c r="CL1213" i="42385"/>
  <c r="CU1213" i="42385"/>
  <c r="CV1213" i="42385"/>
  <c r="CW1213" i="42385"/>
  <c r="CX1213" i="42385"/>
  <c r="CL1214" i="42385"/>
  <c r="CU1214" i="42385"/>
  <c r="CV1214" i="42385"/>
  <c r="CW1214" i="42385"/>
  <c r="CX1214" i="42385"/>
  <c r="BN1215" i="42385"/>
  <c r="BO1215" i="42385" s="1"/>
  <c r="BP1215" i="42385"/>
  <c r="BQ1215" i="42385"/>
  <c r="BR1215" i="42385"/>
  <c r="BS1215" i="42385"/>
  <c r="BU1215" i="42385"/>
  <c r="CL1215" i="42385"/>
  <c r="CL1217" i="42385"/>
  <c r="CU1217" i="42385"/>
  <c r="CV1217" i="42385"/>
  <c r="CW1217" i="42385"/>
  <c r="CX1217" i="42385"/>
  <c r="CL1218" i="42385"/>
  <c r="CU1218" i="42385"/>
  <c r="CV1218" i="42385"/>
  <c r="CW1218" i="42385"/>
  <c r="CX1218" i="42385"/>
  <c r="BE1227" i="42385"/>
  <c r="BJ1227" i="42385"/>
  <c r="BO1227" i="42385"/>
  <c r="BA1228" i="42385"/>
  <c r="BA1229" i="42385" s="1"/>
  <c r="BB1228" i="42385"/>
  <c r="BC1228" i="42385"/>
  <c r="BD1228" i="42385"/>
  <c r="BG1228" i="42385"/>
  <c r="BH1228" i="42385"/>
  <c r="BI1228" i="42385"/>
  <c r="BL1228" i="42385"/>
  <c r="BM1228" i="42385"/>
  <c r="BN1228" i="42385"/>
  <c r="BO1229" i="42385"/>
  <c r="BP1229" i="42385"/>
  <c r="BQ1229" i="42385" s="1"/>
  <c r="BR1229" i="42385" s="1"/>
  <c r="AH1231" i="42385"/>
  <c r="AI1231" i="42385"/>
  <c r="AJ1231" i="42385"/>
  <c r="AL1231" i="42385"/>
  <c r="AM1231" i="42385"/>
  <c r="AN1231" i="42385"/>
  <c r="AO1231" i="42385"/>
  <c r="AP1231" i="42385"/>
  <c r="CT1231" i="42385" s="1"/>
  <c r="AQ1231" i="42385"/>
  <c r="AR1231" i="42385"/>
  <c r="AS1231" i="42385"/>
  <c r="AT1231" i="42385"/>
  <c r="AU1231" i="42385"/>
  <c r="CU1231" i="42385" s="1"/>
  <c r="AV1231" i="42385"/>
  <c r="AW1231" i="42385"/>
  <c r="AX1231" i="42385"/>
  <c r="AY1231" i="42385"/>
  <c r="AZ1231" i="42385"/>
  <c r="CV1231" i="42385" s="1"/>
  <c r="BA1231" i="42385"/>
  <c r="BB1231" i="42385"/>
  <c r="BC1231" i="42385"/>
  <c r="BD1231" i="42385"/>
  <c r="BE1231" i="42385"/>
  <c r="CW1231" i="42385" s="1"/>
  <c r="BF1231" i="42385"/>
  <c r="BG1231" i="42385"/>
  <c r="BH1231" i="42385"/>
  <c r="BI1231" i="42385"/>
  <c r="BJ1231" i="42385"/>
  <c r="CX1231" i="42385" s="1"/>
  <c r="BK1231" i="42385"/>
  <c r="BL1231" i="42385"/>
  <c r="BM1231" i="42385"/>
  <c r="BN1231" i="42385"/>
  <c r="BO1231" i="42385"/>
  <c r="CY1231" i="42385" s="1"/>
  <c r="BP1231" i="42385"/>
  <c r="BQ1231" i="42385"/>
  <c r="BR1231" i="42385"/>
  <c r="BS1231" i="42385"/>
  <c r="BT1231" i="42385"/>
  <c r="CZ1231" i="42385" s="1"/>
  <c r="BU1231" i="42385"/>
  <c r="BV1231" i="42385"/>
  <c r="BW1231" i="42385"/>
  <c r="BX1231" i="42385"/>
  <c r="BY1231" i="42385"/>
  <c r="DA1231" i="42385" s="1"/>
  <c r="BZ1231" i="42385"/>
  <c r="CA1231" i="42385"/>
  <c r="DC1231" i="42385" s="1"/>
  <c r="CB1231" i="42385"/>
  <c r="CC1231" i="42385"/>
  <c r="CD1231" i="42385"/>
  <c r="CE1231" i="42385"/>
  <c r="CF1231" i="42385"/>
  <c r="CL1231" i="42385"/>
  <c r="CM1231" i="42385"/>
  <c r="CN1231" i="42385"/>
  <c r="CO1231" i="42385"/>
  <c r="CP1231" i="42385"/>
  <c r="CQ1231" i="42385"/>
  <c r="CR1231" i="42385"/>
  <c r="CS1231" i="42385"/>
  <c r="DB1231" i="42385"/>
  <c r="BL1233" i="42385"/>
  <c r="CL1233" i="42385"/>
  <c r="CV1233" i="42385"/>
  <c r="CL1234" i="42385"/>
  <c r="CV1234" i="42385"/>
  <c r="CW1234" i="42385"/>
  <c r="BA1235" i="42385"/>
  <c r="BB1235" i="42385"/>
  <c r="CL1235" i="42385"/>
  <c r="CV1235" i="42385"/>
  <c r="CL1236" i="42385"/>
  <c r="CV1236" i="42385"/>
  <c r="CW1236" i="42385"/>
  <c r="BC1237" i="42385"/>
  <c r="BD1237" i="42385"/>
  <c r="BF1237" i="42385" s="1"/>
  <c r="CL1237" i="42385"/>
  <c r="CV1237" i="42385"/>
  <c r="CL1238" i="42385"/>
  <c r="CV1238" i="42385"/>
  <c r="CW1238" i="42385"/>
  <c r="BA1239" i="42385"/>
  <c r="BE1239" i="42385" s="1"/>
  <c r="BB1239" i="42385"/>
  <c r="BC1239" i="42385"/>
  <c r="BD1239" i="42385"/>
  <c r="BI1239" i="42385"/>
  <c r="BK1239" i="42385"/>
  <c r="BP1239" i="42385" s="1"/>
  <c r="BL1239" i="42385"/>
  <c r="BQ1239" i="42385" s="1"/>
  <c r="BM1239" i="42385"/>
  <c r="CL1239" i="42385"/>
  <c r="CV1239" i="42385"/>
  <c r="CL1240" i="42385"/>
  <c r="CV1240" i="42385"/>
  <c r="CW1240" i="42385"/>
  <c r="DB1240" i="42385"/>
  <c r="DC1240" i="42385"/>
  <c r="BY1241" i="42385"/>
  <c r="BZ1241" i="42385" s="1"/>
  <c r="CA1241" i="42385" s="1"/>
  <c r="CM1242" i="42385"/>
  <c r="CN1242" i="42385"/>
  <c r="CO1242" i="42385"/>
  <c r="CP1242" i="42385"/>
  <c r="CQ1242" i="42385"/>
  <c r="CR1242" i="42385"/>
  <c r="CS1242" i="42385"/>
  <c r="CV1242" i="42385"/>
  <c r="CW1242" i="42385"/>
  <c r="CX1242" i="42385"/>
  <c r="CY1242" i="42385"/>
  <c r="CZ1242" i="42385"/>
  <c r="DA1242" i="42385"/>
  <c r="DB1242" i="42385"/>
  <c r="DC1242" i="42385"/>
  <c r="BF1243" i="42385"/>
  <c r="BF1263" i="42385" s="1"/>
  <c r="BF1553" i="42385" s="1"/>
  <c r="BG1243" i="42385"/>
  <c r="CL1243" i="42385"/>
  <c r="CV1243" i="42385"/>
  <c r="BK1244" i="42385"/>
  <c r="BM1244" i="42385"/>
  <c r="BP1244" i="42385"/>
  <c r="BQ1244" i="42385"/>
  <c r="CL1244" i="42385"/>
  <c r="CW1244" i="42385"/>
  <c r="BA1245" i="42385"/>
  <c r="BB1245" i="42385"/>
  <c r="BC1245" i="42385"/>
  <c r="BE1245" i="42385"/>
  <c r="BF1245" i="42385"/>
  <c r="BJ1245" i="42385"/>
  <c r="BD1262" i="42385"/>
  <c r="BI1262" i="42385"/>
  <c r="BJ1262" i="42385" s="1"/>
  <c r="BJ1493" i="42385" s="1"/>
  <c r="BP1262" i="42385"/>
  <c r="BA1263" i="42385"/>
  <c r="BA1266" i="42385" s="1"/>
  <c r="BB1263" i="42385"/>
  <c r="BC1263" i="42385"/>
  <c r="BC1266" i="42385" s="1"/>
  <c r="BH1263" i="42385"/>
  <c r="BH1266" i="42385" s="1"/>
  <c r="BA1265" i="42385"/>
  <c r="BB1265" i="42385"/>
  <c r="BC1265" i="42385"/>
  <c r="BH1265" i="42385"/>
  <c r="BQ1265" i="42385"/>
  <c r="BQ1262" i="42385" s="1"/>
  <c r="BQ1493" i="42385" s="1"/>
  <c r="BP1266" i="42385"/>
  <c r="BP1263" i="42385" s="1"/>
  <c r="BP1553" i="42385" s="1"/>
  <c r="CL1269" i="42385"/>
  <c r="CL1270" i="42385"/>
  <c r="BO1271" i="42385"/>
  <c r="BT1271" i="42385" s="1"/>
  <c r="CL1271" i="42385"/>
  <c r="CW1271" i="42385"/>
  <c r="CX1271" i="42385"/>
  <c r="CL1272" i="42385"/>
  <c r="C1275" i="42385"/>
  <c r="D1275" i="42385"/>
  <c r="E1275" i="42385"/>
  <c r="F1275" i="42385"/>
  <c r="G1275" i="42385"/>
  <c r="CM1275" i="42385" s="1"/>
  <c r="H1275" i="42385"/>
  <c r="I1275" i="42385"/>
  <c r="J1275" i="42385"/>
  <c r="K1275" i="42385"/>
  <c r="L1275" i="42385"/>
  <c r="CN1275" i="42385" s="1"/>
  <c r="M1275" i="42385"/>
  <c r="N1275" i="42385"/>
  <c r="O1275" i="42385"/>
  <c r="P1275" i="42385"/>
  <c r="Q1275" i="42385"/>
  <c r="CO1275" i="42385" s="1"/>
  <c r="R1275" i="42385"/>
  <c r="S1275" i="42385"/>
  <c r="T1275" i="42385"/>
  <c r="U1275" i="42385"/>
  <c r="V1275" i="42385"/>
  <c r="CP1275" i="42385" s="1"/>
  <c r="W1275" i="42385"/>
  <c r="X1275" i="42385"/>
  <c r="Y1275" i="42385"/>
  <c r="Z1275" i="42385"/>
  <c r="AA1275" i="42385"/>
  <c r="CQ1275" i="42385" s="1"/>
  <c r="AB1275" i="42385"/>
  <c r="AC1275" i="42385"/>
  <c r="AD1275" i="42385"/>
  <c r="AE1275" i="42385"/>
  <c r="AF1275" i="42385"/>
  <c r="CR1275" i="42385" s="1"/>
  <c r="AG1275" i="42385"/>
  <c r="AH1275" i="42385"/>
  <c r="AI1275" i="42385"/>
  <c r="AJ1275" i="42385"/>
  <c r="AK1275" i="42385"/>
  <c r="CS1275" i="42385" s="1"/>
  <c r="AL1275" i="42385"/>
  <c r="AM1275" i="42385"/>
  <c r="AN1275" i="42385"/>
  <c r="AO1275" i="42385"/>
  <c r="AP1275" i="42385"/>
  <c r="CT1275" i="42385" s="1"/>
  <c r="AQ1275" i="42385"/>
  <c r="AR1275" i="42385"/>
  <c r="AS1275" i="42385"/>
  <c r="AT1275" i="42385"/>
  <c r="AU1275" i="42385"/>
  <c r="CU1275" i="42385" s="1"/>
  <c r="AV1275" i="42385"/>
  <c r="AW1275" i="42385"/>
  <c r="AX1275" i="42385"/>
  <c r="AY1275" i="42385"/>
  <c r="AZ1275" i="42385"/>
  <c r="CV1275" i="42385" s="1"/>
  <c r="BA1275" i="42385"/>
  <c r="BB1275" i="42385"/>
  <c r="BC1275" i="42385"/>
  <c r="BD1275" i="42385"/>
  <c r="BE1275" i="42385"/>
  <c r="CW1275" i="42385" s="1"/>
  <c r="BF1275" i="42385"/>
  <c r="BG1275" i="42385"/>
  <c r="BH1275" i="42385"/>
  <c r="BI1275" i="42385"/>
  <c r="BJ1275" i="42385"/>
  <c r="CX1275" i="42385" s="1"/>
  <c r="BK1275" i="42385"/>
  <c r="BL1275" i="42385"/>
  <c r="BM1275" i="42385"/>
  <c r="BN1275" i="42385"/>
  <c r="BO1275" i="42385"/>
  <c r="CY1275" i="42385" s="1"/>
  <c r="BP1275" i="42385"/>
  <c r="BQ1275" i="42385"/>
  <c r="BR1275" i="42385"/>
  <c r="BS1275" i="42385"/>
  <c r="BT1275" i="42385"/>
  <c r="CZ1275" i="42385" s="1"/>
  <c r="BU1275" i="42385"/>
  <c r="BV1275" i="42385"/>
  <c r="BW1275" i="42385"/>
  <c r="BX1275" i="42385"/>
  <c r="BY1275" i="42385"/>
  <c r="DA1275" i="42385" s="1"/>
  <c r="BZ1275" i="42385"/>
  <c r="DB1275" i="42385" s="1"/>
  <c r="CA1275" i="42385"/>
  <c r="DC1275" i="42385" s="1"/>
  <c r="CB1275" i="42385"/>
  <c r="CC1275" i="42385"/>
  <c r="CD1275" i="42385"/>
  <c r="CE1275" i="42385"/>
  <c r="CF1275" i="42385"/>
  <c r="CL1275" i="42385"/>
  <c r="CL1277" i="42385"/>
  <c r="E1278" i="42385"/>
  <c r="CL1278" i="42385"/>
  <c r="CM1278" i="42385"/>
  <c r="E1279" i="42385"/>
  <c r="F1279" i="42385" s="1"/>
  <c r="L1279" i="42385"/>
  <c r="Q1279" i="42385"/>
  <c r="V1279" i="42385"/>
  <c r="AA1279" i="42385"/>
  <c r="AF1279" i="42385"/>
  <c r="AK1279" i="42385"/>
  <c r="AP1279" i="42385"/>
  <c r="AU1279" i="42385"/>
  <c r="AZ1279" i="42385"/>
  <c r="BE1279" i="42385"/>
  <c r="BJ1279" i="42385"/>
  <c r="BO1279" i="42385"/>
  <c r="BT1279" i="42385"/>
  <c r="BY1279" i="42385"/>
  <c r="CL1279" i="42385"/>
  <c r="CM1279" i="42385"/>
  <c r="CN1279" i="42385"/>
  <c r="CO1279" i="42385"/>
  <c r="CP1279" i="42385"/>
  <c r="CQ1279" i="42385"/>
  <c r="CR1279" i="42385"/>
  <c r="CS1279" i="42385"/>
  <c r="CT1279" i="42385"/>
  <c r="CU1279" i="42385"/>
  <c r="CV1279" i="42385"/>
  <c r="CW1279" i="42385"/>
  <c r="CX1279" i="42385"/>
  <c r="CY1279" i="42385"/>
  <c r="CZ1279" i="42385"/>
  <c r="DA1279" i="42385"/>
  <c r="DB1279" i="42385"/>
  <c r="DC1279" i="42385"/>
  <c r="E1280" i="42385"/>
  <c r="F1280" i="42385" s="1"/>
  <c r="L1280" i="42385"/>
  <c r="CN1280" i="42385" s="1"/>
  <c r="Q1280" i="42385"/>
  <c r="CO1280" i="42385" s="1"/>
  <c r="V1280" i="42385"/>
  <c r="CP1280" i="42385" s="1"/>
  <c r="Z1280" i="42385"/>
  <c r="AA1280" i="42385" s="1"/>
  <c r="CQ1280" i="42385" s="1"/>
  <c r="AC1280" i="42385"/>
  <c r="AD1280" i="42385" s="1"/>
  <c r="AG1280" i="42385"/>
  <c r="AH1280" i="42385"/>
  <c r="AI1280" i="42385"/>
  <c r="AJ1280" i="42385"/>
  <c r="AL1280" i="42385"/>
  <c r="AM1280" i="42385"/>
  <c r="AN1280" i="42385"/>
  <c r="AO1280" i="42385"/>
  <c r="CL1280" i="42385"/>
  <c r="CM1280" i="42385"/>
  <c r="D1281" i="42385"/>
  <c r="E1281" i="42385" s="1"/>
  <c r="G1281" i="42385"/>
  <c r="CM1281" i="42385" s="1"/>
  <c r="L1281" i="42385"/>
  <c r="CN1281" i="42385" s="1"/>
  <c r="Q1281" i="42385"/>
  <c r="CO1281" i="42385" s="1"/>
  <c r="V1281" i="42385"/>
  <c r="CP1281" i="42385" s="1"/>
  <c r="Z1281" i="42385"/>
  <c r="AB1281" i="42385"/>
  <c r="AG1281" i="42385"/>
  <c r="AG108" i="42385" s="1"/>
  <c r="AM1281" i="42385"/>
  <c r="AN1281" i="42385" s="1"/>
  <c r="AN108" i="42385" s="1"/>
  <c r="AR1281" i="42385"/>
  <c r="AW1281" i="42385"/>
  <c r="AW108" i="42385" s="1"/>
  <c r="BB1281" i="42385"/>
  <c r="BB108" i="42385" s="1"/>
  <c r="BG1281" i="42385"/>
  <c r="BH1281" i="42385" s="1"/>
  <c r="BH108" i="42385" s="1"/>
  <c r="BL1281" i="42385"/>
  <c r="BQ1281" i="42385"/>
  <c r="BS108" i="42385"/>
  <c r="BY1281" i="42385"/>
  <c r="CL1281" i="42385"/>
  <c r="DB1281" i="42385"/>
  <c r="DC1281" i="42385"/>
  <c r="D1282" i="42385"/>
  <c r="G1282" i="42385"/>
  <c r="CM1282" i="42385" s="1"/>
  <c r="L1282" i="42385"/>
  <c r="CN1282" i="42385" s="1"/>
  <c r="Q1282" i="42385"/>
  <c r="CO1282" i="42385" s="1"/>
  <c r="V1282" i="42385"/>
  <c r="CP1282" i="42385" s="1"/>
  <c r="Z1282" i="42385"/>
  <c r="AA1282" i="42385" s="1"/>
  <c r="CQ1282" i="42385" s="1"/>
  <c r="AB1282" i="42385"/>
  <c r="AC1282" i="42385" s="1"/>
  <c r="AG1282" i="42385"/>
  <c r="AH1282" i="42385" s="1"/>
  <c r="AI1282" i="42385" s="1"/>
  <c r="AJ1282" i="42385" s="1"/>
  <c r="AL1282" i="42385"/>
  <c r="AM1282" i="42385" s="1"/>
  <c r="AR1282" i="42385"/>
  <c r="AS1282" i="42385" s="1"/>
  <c r="AT1282" i="42385" s="1"/>
  <c r="AW1282" i="42385"/>
  <c r="BA1282" i="42385"/>
  <c r="BF1282" i="42385"/>
  <c r="BG1282" i="42385" s="1"/>
  <c r="BK1282" i="42385"/>
  <c r="BP1282" i="42385"/>
  <c r="BQ1282" i="42385" s="1"/>
  <c r="BR1282" i="42385" s="1"/>
  <c r="BY1282" i="42385"/>
  <c r="DA1282" i="42385" s="1"/>
  <c r="CL1282" i="42385"/>
  <c r="DB1282" i="42385"/>
  <c r="DC1282" i="42385"/>
  <c r="G1283" i="42385"/>
  <c r="CM1283" i="42385" s="1"/>
  <c r="L1283" i="42385"/>
  <c r="CN1283" i="42385" s="1"/>
  <c r="Q1283" i="42385"/>
  <c r="CO1283" i="42385" s="1"/>
  <c r="V1283" i="42385"/>
  <c r="CP1283" i="42385" s="1"/>
  <c r="AA1283" i="42385"/>
  <c r="CQ1283" i="42385" s="1"/>
  <c r="AC1283" i="42385"/>
  <c r="AD1283" i="42385" s="1"/>
  <c r="AE1283" i="42385"/>
  <c r="AH1283" i="42385"/>
  <c r="AI1283" i="42385" s="1"/>
  <c r="AM1283" i="42385"/>
  <c r="AR1283" i="42385"/>
  <c r="AS1283" i="42385" s="1"/>
  <c r="AW1283" i="42385"/>
  <c r="AX1283" i="42385" s="1"/>
  <c r="BB1283" i="42385"/>
  <c r="BG1283" i="42385"/>
  <c r="BH1283" i="42385" s="1"/>
  <c r="BL1283" i="42385"/>
  <c r="BN1283" i="42385" s="1"/>
  <c r="BQ1283" i="42385"/>
  <c r="BR1283" i="42385" s="1"/>
  <c r="BU1283" i="42385"/>
  <c r="BV1283" i="42385"/>
  <c r="BW1283" i="42385"/>
  <c r="BX1283" i="42385"/>
  <c r="BZ1283" i="42385"/>
  <c r="DB1283" i="42385" s="1"/>
  <c r="CL1283" i="42385"/>
  <c r="E1284" i="42385"/>
  <c r="G1284" i="42385"/>
  <c r="L1284" i="42385"/>
  <c r="CN1284" i="42385" s="1"/>
  <c r="Q1284" i="42385"/>
  <c r="CO1284" i="42385" s="1"/>
  <c r="V1284" i="42385"/>
  <c r="CP1284" i="42385" s="1"/>
  <c r="Z1284" i="42385"/>
  <c r="AA1284" i="42385" s="1"/>
  <c r="CQ1284" i="42385" s="1"/>
  <c r="AB1284" i="42385"/>
  <c r="AB110" i="42385" s="1"/>
  <c r="AH1284" i="42385"/>
  <c r="AH110" i="42385" s="1"/>
  <c r="AM1284" i="42385"/>
  <c r="AN1284" i="42385" s="1"/>
  <c r="AO1284" i="42385" s="1"/>
  <c r="AO110" i="42385" s="1"/>
  <c r="AR1284" i="42385"/>
  <c r="AW1284" i="42385"/>
  <c r="BB1284" i="42385"/>
  <c r="BG1284" i="42385"/>
  <c r="BL1284" i="42385"/>
  <c r="BQ1284" i="42385"/>
  <c r="CL1284" i="42385"/>
  <c r="G1285" i="42385"/>
  <c r="CM1285" i="42385" s="1"/>
  <c r="L1285" i="42385"/>
  <c r="CN1285" i="42385" s="1"/>
  <c r="Q1285" i="42385"/>
  <c r="CO1285" i="42385" s="1"/>
  <c r="V1285" i="42385"/>
  <c r="CP1285" i="42385" s="1"/>
  <c r="AA1285" i="42385"/>
  <c r="CQ1285" i="42385" s="1"/>
  <c r="AF1285" i="42385"/>
  <c r="CR1285" i="42385" s="1"/>
  <c r="AK1285" i="42385"/>
  <c r="CS1285" i="42385" s="1"/>
  <c r="AP1285" i="42385"/>
  <c r="CT1285" i="42385" s="1"/>
  <c r="AS1285" i="42385"/>
  <c r="AW1285" i="42385"/>
  <c r="AX1285" i="42385" s="1"/>
  <c r="BB1285" i="42385"/>
  <c r="BC1285" i="42385" s="1"/>
  <c r="BD1285" i="42385" s="1"/>
  <c r="BG1285" i="42385"/>
  <c r="BH1285" i="42385" s="1"/>
  <c r="BL1285" i="42385"/>
  <c r="BQ1285" i="42385"/>
  <c r="BY1285" i="42385"/>
  <c r="DA1285" i="42385" s="1"/>
  <c r="CL1285" i="42385"/>
  <c r="DB1285" i="42385"/>
  <c r="DC1285" i="42385"/>
  <c r="AT1286" i="42385"/>
  <c r="AU1286" i="42385" s="1"/>
  <c r="CU1286" i="42385" s="1"/>
  <c r="AX1286" i="42385"/>
  <c r="AY1286" i="42385" s="1"/>
  <c r="BC1286" i="42385"/>
  <c r="BD1286" i="42385" s="1"/>
  <c r="BE1286" i="42385" s="1"/>
  <c r="CW1286" i="42385" s="1"/>
  <c r="BG1286" i="42385"/>
  <c r="BH1286" i="42385" s="1"/>
  <c r="BL1286" i="42385"/>
  <c r="BQ1286" i="42385"/>
  <c r="BY1286" i="42385"/>
  <c r="DA1286" i="42385" s="1"/>
  <c r="CL1286" i="42385"/>
  <c r="CM1286" i="42385"/>
  <c r="CN1286" i="42385"/>
  <c r="CO1286" i="42385"/>
  <c r="CP1286" i="42385"/>
  <c r="CQ1286" i="42385"/>
  <c r="CR1286" i="42385"/>
  <c r="CS1286" i="42385"/>
  <c r="CT1286" i="42385"/>
  <c r="DB1286" i="42385"/>
  <c r="DC1286" i="42385"/>
  <c r="E1287" i="42385"/>
  <c r="L1287" i="42385"/>
  <c r="CN1287" i="42385" s="1"/>
  <c r="Q1287" i="42385"/>
  <c r="CO1287" i="42385" s="1"/>
  <c r="V1287" i="42385"/>
  <c r="CP1287" i="42385" s="1"/>
  <c r="AA1287" i="42385"/>
  <c r="CQ1287" i="42385" s="1"/>
  <c r="AB1287" i="42385"/>
  <c r="AB117" i="42385" s="1"/>
  <c r="AH1287" i="42385"/>
  <c r="AI1287" i="42385" s="1"/>
  <c r="AI117" i="42385" s="1"/>
  <c r="AM1287" i="42385"/>
  <c r="AM117" i="42385" s="1"/>
  <c r="AR1287" i="42385"/>
  <c r="AR117" i="42385" s="1"/>
  <c r="AW1287" i="42385"/>
  <c r="AW117" i="42385" s="1"/>
  <c r="BB1287" i="42385"/>
  <c r="BB117" i="42385" s="1"/>
  <c r="BG1287" i="42385"/>
  <c r="BG117" i="42385" s="1"/>
  <c r="BL1287" i="42385"/>
  <c r="BL117" i="42385" s="1"/>
  <c r="BQ1287" i="42385"/>
  <c r="CL1287" i="42385"/>
  <c r="CM1287" i="42385"/>
  <c r="D1288" i="42385"/>
  <c r="E1288" i="42385" s="1"/>
  <c r="F1288" i="42385" s="1"/>
  <c r="G1288" i="42385"/>
  <c r="CM1288" i="42385" s="1"/>
  <c r="L1288" i="42385"/>
  <c r="CN1288" i="42385" s="1"/>
  <c r="Q1288" i="42385"/>
  <c r="CO1288" i="42385" s="1"/>
  <c r="V1288" i="42385"/>
  <c r="CP1288" i="42385" s="1"/>
  <c r="AA1288" i="42385"/>
  <c r="CQ1288" i="42385" s="1"/>
  <c r="AF1288" i="42385"/>
  <c r="CR1288" i="42385" s="1"/>
  <c r="AK1288" i="42385"/>
  <c r="CS1288" i="42385" s="1"/>
  <c r="BO1288" i="42385"/>
  <c r="CY1288" i="42385" s="1"/>
  <c r="BT1288" i="42385"/>
  <c r="CZ1288" i="42385" s="1"/>
  <c r="BY1288" i="42385"/>
  <c r="DA1288" i="42385" s="1"/>
  <c r="CL1288" i="42385"/>
  <c r="CT1288" i="42385"/>
  <c r="CU1288" i="42385"/>
  <c r="CV1288" i="42385"/>
  <c r="CW1288" i="42385"/>
  <c r="CX1288" i="42385"/>
  <c r="DB1288" i="42385"/>
  <c r="DC1288" i="42385"/>
  <c r="Q1289" i="42385"/>
  <c r="CO1289" i="42385" s="1"/>
  <c r="V1289" i="42385"/>
  <c r="CP1289" i="42385" s="1"/>
  <c r="AA1289" i="42385"/>
  <c r="CQ1289" i="42385" s="1"/>
  <c r="AC1289" i="42385"/>
  <c r="AD1289" i="42385" s="1"/>
  <c r="AH1289" i="42385"/>
  <c r="AM1289" i="42385"/>
  <c r="AR1289" i="42385"/>
  <c r="AW1289" i="42385"/>
  <c r="BB1289" i="42385"/>
  <c r="BG1289" i="42385"/>
  <c r="BH1289" i="42385" s="1"/>
  <c r="BI1289" i="42385" s="1"/>
  <c r="BL1289" i="42385"/>
  <c r="BQ1289" i="42385"/>
  <c r="BR1289" i="42385" s="1"/>
  <c r="CL1289" i="42385"/>
  <c r="CM1289" i="42385"/>
  <c r="CN1289" i="42385"/>
  <c r="Q1290" i="42385"/>
  <c r="CO1290" i="42385" s="1"/>
  <c r="V1290" i="42385"/>
  <c r="CP1290" i="42385" s="1"/>
  <c r="AA1290" i="42385"/>
  <c r="CQ1290" i="42385" s="1"/>
  <c r="AF1290" i="42385"/>
  <c r="CR1290" i="42385" s="1"/>
  <c r="AH1290" i="42385"/>
  <c r="AI1290" i="42385" s="1"/>
  <c r="AM1290" i="42385"/>
  <c r="AN1290" i="42385" s="1"/>
  <c r="AR1290" i="42385"/>
  <c r="AS1290" i="42385" s="1"/>
  <c r="AW1290" i="42385"/>
  <c r="AX1290" i="42385" s="1"/>
  <c r="BC1290" i="42385"/>
  <c r="BE1290" i="42385" s="1"/>
  <c r="CW1290" i="42385" s="1"/>
  <c r="BH1290" i="42385"/>
  <c r="BJ1290" i="42385" s="1"/>
  <c r="CX1290" i="42385" s="1"/>
  <c r="BL1290" i="42385"/>
  <c r="BO1290" i="42385" s="1"/>
  <c r="CY1290" i="42385" s="1"/>
  <c r="BT1290" i="42385"/>
  <c r="CZ1290" i="42385" s="1"/>
  <c r="BY1290" i="42385"/>
  <c r="DA1290" i="42385" s="1"/>
  <c r="CL1290" i="42385"/>
  <c r="CM1290" i="42385"/>
  <c r="CN1290" i="42385"/>
  <c r="DB1290" i="42385"/>
  <c r="DC1290" i="42385"/>
  <c r="Q1291" i="42385"/>
  <c r="CO1291" i="42385" s="1"/>
  <c r="V1291" i="42385"/>
  <c r="CP1291" i="42385" s="1"/>
  <c r="AA1291" i="42385"/>
  <c r="CQ1291" i="42385" s="1"/>
  <c r="AC1291" i="42385"/>
  <c r="AD1291" i="42385" s="1"/>
  <c r="AH1291" i="42385"/>
  <c r="AI1291" i="42385" s="1"/>
  <c r="AJ1291" i="42385" s="1"/>
  <c r="AM1291" i="42385"/>
  <c r="AR1291" i="42385"/>
  <c r="AS1291" i="42385" s="1"/>
  <c r="AW1291" i="42385"/>
  <c r="AX1291" i="42385" s="1"/>
  <c r="BB1291" i="42385"/>
  <c r="BC1291" i="42385" s="1"/>
  <c r="BG1291" i="42385"/>
  <c r="BL1291" i="42385"/>
  <c r="BQ1291" i="42385"/>
  <c r="BY1291" i="42385"/>
  <c r="DA1291" i="42385" s="1"/>
  <c r="CL1291" i="42385"/>
  <c r="CM1291" i="42385"/>
  <c r="CN1291" i="42385"/>
  <c r="DB1291" i="42385"/>
  <c r="DC1291" i="42385"/>
  <c r="Q1292" i="42385"/>
  <c r="CO1292" i="42385" s="1"/>
  <c r="V1292" i="42385"/>
  <c r="CP1292" i="42385" s="1"/>
  <c r="AA1292" i="42385"/>
  <c r="CQ1292" i="42385" s="1"/>
  <c r="AC1292" i="42385"/>
  <c r="AD1292" i="42385" s="1"/>
  <c r="AE1292" i="42385" s="1"/>
  <c r="AH1292" i="42385"/>
  <c r="AI1292" i="42385" s="1"/>
  <c r="AJ1292" i="42385" s="1"/>
  <c r="AM1292" i="42385"/>
  <c r="AR1292" i="42385"/>
  <c r="AV1292" i="42385"/>
  <c r="AW1292" i="42385" s="1"/>
  <c r="BB1292" i="42385"/>
  <c r="BG1292" i="42385"/>
  <c r="BH1292" i="42385" s="1"/>
  <c r="BL1292" i="42385"/>
  <c r="BQ1292" i="42385"/>
  <c r="BY1292" i="42385"/>
  <c r="DA1292" i="42385" s="1"/>
  <c r="CL1292" i="42385"/>
  <c r="CM1292" i="42385"/>
  <c r="CN1292" i="42385"/>
  <c r="DB1292" i="42385"/>
  <c r="DC1292" i="42385"/>
  <c r="D1293" i="42385"/>
  <c r="G1293" i="42385"/>
  <c r="CM1293" i="42385" s="1"/>
  <c r="L1293" i="42385"/>
  <c r="CN1293" i="42385" s="1"/>
  <c r="Q1293" i="42385"/>
  <c r="CO1293" i="42385" s="1"/>
  <c r="V1293" i="42385"/>
  <c r="CP1293" i="42385" s="1"/>
  <c r="AA1293" i="42385"/>
  <c r="CQ1293" i="42385" s="1"/>
  <c r="AF1293" i="42385"/>
  <c r="CR1293" i="42385" s="1"/>
  <c r="BO1293" i="42385"/>
  <c r="CY1293" i="42385" s="1"/>
  <c r="BT1293" i="42385"/>
  <c r="CZ1293" i="42385" s="1"/>
  <c r="BY1293" i="42385"/>
  <c r="DA1293" i="42385" s="1"/>
  <c r="CL1293" i="42385"/>
  <c r="CS1293" i="42385"/>
  <c r="CT1293" i="42385"/>
  <c r="CU1293" i="42385"/>
  <c r="CV1293" i="42385"/>
  <c r="CW1293" i="42385"/>
  <c r="CX1293" i="42385"/>
  <c r="DB1293" i="42385"/>
  <c r="DC1293" i="42385"/>
  <c r="Q1294" i="42385"/>
  <c r="CO1294" i="42385" s="1"/>
  <c r="V1294" i="42385"/>
  <c r="CP1294" i="42385" s="1"/>
  <c r="AA1294" i="42385"/>
  <c r="CQ1294" i="42385" s="1"/>
  <c r="AC1294" i="42385"/>
  <c r="AD1294" i="42385" s="1"/>
  <c r="AH1294" i="42385"/>
  <c r="AI1294" i="42385" s="1"/>
  <c r="AM1294" i="42385"/>
  <c r="AN1294" i="42385" s="1"/>
  <c r="AO1294" i="42385" s="1"/>
  <c r="AR1294" i="42385"/>
  <c r="AS1294" i="42385" s="1"/>
  <c r="AW1294" i="42385"/>
  <c r="AX1294" i="42385" s="1"/>
  <c r="BB1294" i="42385"/>
  <c r="BC1294" i="42385" s="1"/>
  <c r="BG1294" i="42385"/>
  <c r="BH1294" i="42385" s="1"/>
  <c r="BL1294" i="42385"/>
  <c r="BQ1294" i="42385"/>
  <c r="BY1294" i="42385"/>
  <c r="DA1294" i="42385" s="1"/>
  <c r="CL1294" i="42385"/>
  <c r="CM1294" i="42385"/>
  <c r="CN1294" i="42385"/>
  <c r="DB1294" i="42385"/>
  <c r="DC1294" i="42385"/>
  <c r="Q1295" i="42385"/>
  <c r="CO1295" i="42385" s="1"/>
  <c r="V1295" i="42385"/>
  <c r="CP1295" i="42385" s="1"/>
  <c r="AA1295" i="42385"/>
  <c r="CQ1295" i="42385" s="1"/>
  <c r="AC1295" i="42385"/>
  <c r="AD1295" i="42385" s="1"/>
  <c r="AE1295" i="42385" s="1"/>
  <c r="AF1295" i="42385" s="1"/>
  <c r="CR1295" i="42385" s="1"/>
  <c r="AH1295" i="42385"/>
  <c r="AI1295" i="42385" s="1"/>
  <c r="AM1295" i="42385"/>
  <c r="AN1295" i="42385" s="1"/>
  <c r="AO1295" i="42385" s="1"/>
  <c r="AR1295" i="42385"/>
  <c r="AS1295" i="42385" s="1"/>
  <c r="AW1295" i="42385"/>
  <c r="BB1295" i="42385"/>
  <c r="BC1295" i="42385" s="1"/>
  <c r="BG1295" i="42385"/>
  <c r="BH1295" i="42385" s="1"/>
  <c r="BL1295" i="42385"/>
  <c r="BQ1295" i="42385"/>
  <c r="BY1295" i="42385"/>
  <c r="DA1295" i="42385" s="1"/>
  <c r="CL1295" i="42385"/>
  <c r="CM1295" i="42385"/>
  <c r="CN1295" i="42385"/>
  <c r="DB1295" i="42385"/>
  <c r="DC1295" i="42385"/>
  <c r="Q1296" i="42385"/>
  <c r="CO1296" i="42385" s="1"/>
  <c r="V1296" i="42385"/>
  <c r="CP1296" i="42385" s="1"/>
  <c r="AA1296" i="42385"/>
  <c r="CQ1296" i="42385" s="1"/>
  <c r="AC1296" i="42385"/>
  <c r="AH1296" i="42385"/>
  <c r="AI1296" i="42385" s="1"/>
  <c r="AM1296" i="42385"/>
  <c r="AN1296" i="42385" s="1"/>
  <c r="AO1296" i="42385" s="1"/>
  <c r="AR1296" i="42385"/>
  <c r="AS1296" i="42385" s="1"/>
  <c r="AT1296" i="42385" s="1"/>
  <c r="AU1296" i="42385" s="1"/>
  <c r="CU1296" i="42385" s="1"/>
  <c r="AW1296" i="42385"/>
  <c r="AX1296" i="42385" s="1"/>
  <c r="BB1296" i="42385"/>
  <c r="BC1296" i="42385" s="1"/>
  <c r="BD1296" i="42385" s="1"/>
  <c r="BE1296" i="42385" s="1"/>
  <c r="CW1296" i="42385" s="1"/>
  <c r="BG1296" i="42385"/>
  <c r="BH1296" i="42385" s="1"/>
  <c r="BL1296" i="42385"/>
  <c r="BN1296" i="42385" s="1"/>
  <c r="BO1296" i="42385" s="1"/>
  <c r="CY1296" i="42385" s="1"/>
  <c r="BQ1296" i="42385"/>
  <c r="BY1296" i="42385"/>
  <c r="CL1296" i="42385"/>
  <c r="CM1296" i="42385"/>
  <c r="CN1296" i="42385"/>
  <c r="DA1296" i="42385"/>
  <c r="DB1296" i="42385"/>
  <c r="DC1296" i="42385"/>
  <c r="Q1297" i="42385"/>
  <c r="CO1297" i="42385" s="1"/>
  <c r="V1297" i="42385"/>
  <c r="CP1297" i="42385" s="1"/>
  <c r="AA1297" i="42385"/>
  <c r="CQ1297" i="42385" s="1"/>
  <c r="AC1297" i="42385"/>
  <c r="AH1297" i="42385"/>
  <c r="AM1297" i="42385"/>
  <c r="AN1297" i="42385" s="1"/>
  <c r="AO1297" i="42385" s="1"/>
  <c r="AR1297" i="42385"/>
  <c r="AW1297" i="42385"/>
  <c r="BB1297" i="42385"/>
  <c r="BG1297" i="42385"/>
  <c r="BH1297" i="42385"/>
  <c r="BL1297" i="42385"/>
  <c r="BQ1297" i="42385"/>
  <c r="BY1297" i="42385"/>
  <c r="CL1297" i="42385"/>
  <c r="CM1297" i="42385"/>
  <c r="CN1297" i="42385"/>
  <c r="DA1297" i="42385"/>
  <c r="DB1297" i="42385"/>
  <c r="DC1297" i="42385"/>
  <c r="Q1298" i="42385"/>
  <c r="CO1298" i="42385" s="1"/>
  <c r="V1298" i="42385"/>
  <c r="CP1298" i="42385" s="1"/>
  <c r="AA1298" i="42385"/>
  <c r="CQ1298" i="42385" s="1"/>
  <c r="AC1298" i="42385"/>
  <c r="AD1298" i="42385" s="1"/>
  <c r="AE1298" i="42385" s="1"/>
  <c r="AF1298" i="42385" s="1"/>
  <c r="CR1298" i="42385" s="1"/>
  <c r="AH1298" i="42385"/>
  <c r="AI1298" i="42385" s="1"/>
  <c r="AM1298" i="42385"/>
  <c r="AN1298" i="42385" s="1"/>
  <c r="AO1298" i="42385" s="1"/>
  <c r="AP1298" i="42385" s="1"/>
  <c r="CT1298" i="42385" s="1"/>
  <c r="AR1298" i="42385"/>
  <c r="AS1298" i="42385" s="1"/>
  <c r="AW1298" i="42385"/>
  <c r="AX1298" i="42385" s="1"/>
  <c r="AY1298" i="42385" s="1"/>
  <c r="AZ1298" i="42385" s="1"/>
  <c r="CV1298" i="42385" s="1"/>
  <c r="BB1298" i="42385"/>
  <c r="BC1298" i="42385" s="1"/>
  <c r="BG1298" i="42385"/>
  <c r="BH1298" i="42385" s="1"/>
  <c r="BI1298" i="42385" s="1"/>
  <c r="BJ1298" i="42385" s="1"/>
  <c r="CX1298" i="42385" s="1"/>
  <c r="BL1298" i="42385"/>
  <c r="BQ1298" i="42385"/>
  <c r="BY1298" i="42385"/>
  <c r="DA1298" i="42385" s="1"/>
  <c r="CL1298" i="42385"/>
  <c r="CM1298" i="42385"/>
  <c r="CN1298" i="42385"/>
  <c r="DB1298" i="42385"/>
  <c r="DC1298" i="42385"/>
  <c r="Q1299" i="42385"/>
  <c r="CO1299" i="42385" s="1"/>
  <c r="V1299" i="42385"/>
  <c r="CP1299" i="42385" s="1"/>
  <c r="AA1299" i="42385"/>
  <c r="CQ1299" i="42385" s="1"/>
  <c r="AC1299" i="42385"/>
  <c r="AK1299" i="42385"/>
  <c r="CS1299" i="42385" s="1"/>
  <c r="AP1299" i="42385"/>
  <c r="CT1299" i="42385" s="1"/>
  <c r="AR1299" i="42385"/>
  <c r="AX1299" i="42385"/>
  <c r="AY1299" i="42385" s="1"/>
  <c r="AZ1299" i="42385" s="1"/>
  <c r="CV1299" i="42385" s="1"/>
  <c r="BB1299" i="42385"/>
  <c r="BC1299" i="42385" s="1"/>
  <c r="BD1299" i="42385" s="1"/>
  <c r="BE1299" i="42385" s="1"/>
  <c r="CW1299" i="42385" s="1"/>
  <c r="BG1299" i="42385"/>
  <c r="BH1299" i="42385" s="1"/>
  <c r="BL1299" i="42385"/>
  <c r="BN1299" i="42385" s="1"/>
  <c r="BQ1299" i="42385"/>
  <c r="BY1299" i="42385"/>
  <c r="DA1299" i="42385" s="1"/>
  <c r="CL1299" i="42385"/>
  <c r="CM1299" i="42385"/>
  <c r="CN1299" i="42385"/>
  <c r="DB1299" i="42385"/>
  <c r="DC1299" i="42385"/>
  <c r="J1300" i="42385"/>
  <c r="Q1300" i="42385"/>
  <c r="CO1300" i="42385" s="1"/>
  <c r="V1300" i="42385"/>
  <c r="CP1300" i="42385" s="1"/>
  <c r="Z1300" i="42385"/>
  <c r="AB1300" i="42385"/>
  <c r="AG1300" i="42385"/>
  <c r="AH1300" i="42385" s="1"/>
  <c r="AL1300" i="42385"/>
  <c r="AL115" i="42385" s="1"/>
  <c r="AQ1300" i="42385"/>
  <c r="AQ115" i="42385" s="1"/>
  <c r="AV1300" i="42385"/>
  <c r="BA1300" i="42385"/>
  <c r="BF1300" i="42385"/>
  <c r="BG1300" i="42385" s="1"/>
  <c r="BH1300" i="42385" s="1"/>
  <c r="BL1300" i="42385"/>
  <c r="BN1300" i="42385" s="1"/>
  <c r="BQ1300" i="42385"/>
  <c r="BR1300" i="42385" s="1"/>
  <c r="BY1300" i="42385"/>
  <c r="DA1300" i="42385" s="1"/>
  <c r="CL1300" i="42385"/>
  <c r="CM1300" i="42385"/>
  <c r="DB1300" i="42385"/>
  <c r="DC1300" i="42385"/>
  <c r="CL1301" i="42385"/>
  <c r="CL1303" i="42385"/>
  <c r="E1304" i="42385"/>
  <c r="L1304" i="42385"/>
  <c r="Q1304" i="42385"/>
  <c r="V1304" i="42385"/>
  <c r="V133" i="42385" s="1"/>
  <c r="CP133" i="42385" s="1"/>
  <c r="AA1304" i="42385"/>
  <c r="AA133" i="42385" s="1"/>
  <c r="CQ133" i="42385" s="1"/>
  <c r="AC1304" i="42385"/>
  <c r="AH1304" i="42385"/>
  <c r="AI1304" i="42385" s="1"/>
  <c r="AM1304" i="42385"/>
  <c r="AR1304" i="42385"/>
  <c r="AS1304" i="42385" s="1"/>
  <c r="AW1304" i="42385"/>
  <c r="BA1304" i="42385"/>
  <c r="BA1314" i="42385" s="1"/>
  <c r="BF1304" i="42385"/>
  <c r="BK1304" i="42385"/>
  <c r="BL1304" i="42385" s="1"/>
  <c r="BP1304" i="42385"/>
  <c r="BQ1304" i="42385" s="1"/>
  <c r="BR1304" i="42385" s="1"/>
  <c r="CL1304" i="42385"/>
  <c r="CM1304" i="42385"/>
  <c r="BB1305" i="42385"/>
  <c r="BG1305" i="42385"/>
  <c r="BH1305" i="42385" s="1"/>
  <c r="BI1305" i="42385" s="1"/>
  <c r="BJ1305" i="42385" s="1"/>
  <c r="CX1305" i="42385" s="1"/>
  <c r="BL1305" i="42385"/>
  <c r="BT1305" i="42385"/>
  <c r="CZ1305" i="42385" s="1"/>
  <c r="BY1305" i="42385"/>
  <c r="DA1305" i="42385" s="1"/>
  <c r="CT1305" i="42385"/>
  <c r="CU1305" i="42385"/>
  <c r="CV1305" i="42385"/>
  <c r="DB1305" i="42385"/>
  <c r="DC1305" i="42385"/>
  <c r="AE1306" i="42385"/>
  <c r="AF1306" i="42385" s="1"/>
  <c r="CR1306" i="42385" s="1"/>
  <c r="AH1306" i="42385"/>
  <c r="AM1306" i="42385"/>
  <c r="AR1306" i="42385"/>
  <c r="AW1306" i="42385"/>
  <c r="AX1306" i="42385" s="1"/>
  <c r="AY1306" i="42385" s="1"/>
  <c r="AZ1306" i="42385" s="1"/>
  <c r="CV1306" i="42385" s="1"/>
  <c r="BC1306" i="42385"/>
  <c r="BD1306" i="42385" s="1"/>
  <c r="BD118" i="42385" s="1"/>
  <c r="BG1306" i="42385"/>
  <c r="BH1306" i="42385" s="1"/>
  <c r="BI1306" i="42385" s="1"/>
  <c r="BJ1306" i="42385" s="1"/>
  <c r="CX1306" i="42385" s="1"/>
  <c r="BL1306" i="42385"/>
  <c r="BQ1306" i="42385"/>
  <c r="BY1306" i="42385"/>
  <c r="DA1306" i="42385" s="1"/>
  <c r="CL1306" i="42385"/>
  <c r="CM1306" i="42385"/>
  <c r="CN1306" i="42385"/>
  <c r="CO1306" i="42385"/>
  <c r="CP1306" i="42385"/>
  <c r="CQ1306" i="42385"/>
  <c r="DB1306" i="42385"/>
  <c r="DC1306" i="42385"/>
  <c r="L1307" i="42385"/>
  <c r="CN1307" i="42385" s="1"/>
  <c r="Q1307" i="42385"/>
  <c r="CO1307" i="42385" s="1"/>
  <c r="V1307" i="42385"/>
  <c r="CP1307" i="42385" s="1"/>
  <c r="AA1307" i="42385"/>
  <c r="CQ1307" i="42385" s="1"/>
  <c r="AF1307" i="42385"/>
  <c r="CR1307" i="42385" s="1"/>
  <c r="AK1307" i="42385"/>
  <c r="CS1307" i="42385" s="1"/>
  <c r="AP1307" i="42385"/>
  <c r="CT1307" i="42385" s="1"/>
  <c r="AR1307" i="42385"/>
  <c r="AS1307" i="42385" s="1"/>
  <c r="AT1307" i="42385" s="1"/>
  <c r="AU1307" i="42385" s="1"/>
  <c r="CU1307" i="42385" s="1"/>
  <c r="AY1307" i="42385"/>
  <c r="AZ1307" i="42385" s="1"/>
  <c r="CV1307" i="42385" s="1"/>
  <c r="BC1307" i="42385"/>
  <c r="BE1307" i="42385" s="1"/>
  <c r="CW1307" i="42385" s="1"/>
  <c r="BG1307" i="42385"/>
  <c r="BH1307" i="42385" s="1"/>
  <c r="BL1307" i="42385"/>
  <c r="BT1307" i="42385"/>
  <c r="CZ1307" i="42385" s="1"/>
  <c r="BY1307" i="42385"/>
  <c r="DA1307" i="42385" s="1"/>
  <c r="CL1307" i="42385"/>
  <c r="CM1307" i="42385"/>
  <c r="DB1307" i="42385"/>
  <c r="DC1307" i="42385"/>
  <c r="E1308" i="42385"/>
  <c r="F1308" i="42385" s="1"/>
  <c r="L1308" i="42385"/>
  <c r="CN1308" i="42385" s="1"/>
  <c r="Q1308" i="42385"/>
  <c r="CO1308" i="42385" s="1"/>
  <c r="V1308" i="42385"/>
  <c r="CP1308" i="42385" s="1"/>
  <c r="AA1308" i="42385"/>
  <c r="CQ1308" i="42385" s="1"/>
  <c r="AC1308" i="42385"/>
  <c r="AH1308" i="42385"/>
  <c r="AI1308" i="42385" s="1"/>
  <c r="AJ1308" i="42385" s="1"/>
  <c r="AK1308" i="42385" s="1"/>
  <c r="CS1308" i="42385" s="1"/>
  <c r="AM1308" i="42385"/>
  <c r="AN1308" i="42385" s="1"/>
  <c r="AO1308" i="42385" s="1"/>
  <c r="AP1308" i="42385" s="1"/>
  <c r="CT1308" i="42385" s="1"/>
  <c r="AR1308" i="42385"/>
  <c r="AS1308" i="42385" s="1"/>
  <c r="AW1308" i="42385"/>
  <c r="BB1308" i="42385"/>
  <c r="BC1308" i="42385" s="1"/>
  <c r="BG1308" i="42385"/>
  <c r="BL1308" i="42385"/>
  <c r="BM1308" i="42385" s="1"/>
  <c r="BQ1308" i="42385"/>
  <c r="BR1308" i="42385" s="1"/>
  <c r="BY1308" i="42385"/>
  <c r="DA1308" i="42385" s="1"/>
  <c r="CL1308" i="42385"/>
  <c r="CM1308" i="42385"/>
  <c r="DB1308" i="42385"/>
  <c r="DC1308" i="42385"/>
  <c r="L1309" i="42385"/>
  <c r="CN1309" i="42385" s="1"/>
  <c r="Q1309" i="42385"/>
  <c r="V1309" i="42385"/>
  <c r="AA1309" i="42385"/>
  <c r="CQ1309" i="42385" s="1"/>
  <c r="AC1309" i="42385"/>
  <c r="AD1309" i="42385" s="1"/>
  <c r="AE1309" i="42385" s="1"/>
  <c r="AF1309" i="42385" s="1"/>
  <c r="CR1309" i="42385" s="1"/>
  <c r="AK1309" i="42385"/>
  <c r="CS1309" i="42385" s="1"/>
  <c r="AP1309" i="42385"/>
  <c r="CT1309" i="42385" s="1"/>
  <c r="AT1309" i="42385"/>
  <c r="AU1309" i="42385" s="1"/>
  <c r="CU1309" i="42385" s="1"/>
  <c r="AW1309" i="42385"/>
  <c r="AX1309" i="42385" s="1"/>
  <c r="BC1309" i="42385"/>
  <c r="BE1309" i="42385" s="1"/>
  <c r="CW1309" i="42385" s="1"/>
  <c r="BH1309" i="42385"/>
  <c r="BJ1309" i="42385" s="1"/>
  <c r="CX1309" i="42385" s="1"/>
  <c r="BL1309" i="42385"/>
  <c r="BT1309" i="42385"/>
  <c r="CZ1309" i="42385" s="1"/>
  <c r="BY1309" i="42385"/>
  <c r="DA1309" i="42385" s="1"/>
  <c r="CL1309" i="42385"/>
  <c r="CM1309" i="42385"/>
  <c r="DB1309" i="42385"/>
  <c r="DC1309" i="42385"/>
  <c r="L1310" i="42385"/>
  <c r="CN1310" i="42385" s="1"/>
  <c r="Q1310" i="42385"/>
  <c r="CO1310" i="42385" s="1"/>
  <c r="V1310" i="42385"/>
  <c r="CP1310" i="42385" s="1"/>
  <c r="AA1310" i="42385"/>
  <c r="CQ1310" i="42385" s="1"/>
  <c r="AF1310" i="42385"/>
  <c r="CR1310" i="42385" s="1"/>
  <c r="AK1310" i="42385"/>
  <c r="CS1310" i="42385" s="1"/>
  <c r="AP1310" i="42385"/>
  <c r="CT1310" i="42385" s="1"/>
  <c r="AT1310" i="42385"/>
  <c r="AU1310" i="42385" s="1"/>
  <c r="CU1310" i="42385" s="1"/>
  <c r="AY1310" i="42385"/>
  <c r="AZ1310" i="42385" s="1"/>
  <c r="CV1310" i="42385" s="1"/>
  <c r="BC1310" i="42385"/>
  <c r="BE1310" i="42385" s="1"/>
  <c r="CW1310" i="42385" s="1"/>
  <c r="BH1310" i="42385"/>
  <c r="BJ1310" i="42385" s="1"/>
  <c r="CX1310" i="42385" s="1"/>
  <c r="BL1310" i="42385"/>
  <c r="BM1310" i="42385" s="1"/>
  <c r="BO1310" i="42385" s="1"/>
  <c r="CY1310" i="42385" s="1"/>
  <c r="BT1310" i="42385"/>
  <c r="CZ1310" i="42385" s="1"/>
  <c r="BY1310" i="42385"/>
  <c r="DA1310" i="42385" s="1"/>
  <c r="CL1310" i="42385"/>
  <c r="CM1310" i="42385"/>
  <c r="DB1310" i="42385"/>
  <c r="DC1310" i="42385"/>
  <c r="E1311" i="42385"/>
  <c r="F1311" i="42385" s="1"/>
  <c r="L1311" i="42385"/>
  <c r="CN1311" i="42385" s="1"/>
  <c r="Q1311" i="42385"/>
  <c r="CO1311" i="42385" s="1"/>
  <c r="V1311" i="42385"/>
  <c r="CP1311" i="42385" s="1"/>
  <c r="AA1311" i="42385"/>
  <c r="CQ1311" i="42385" s="1"/>
  <c r="AD1311" i="42385"/>
  <c r="AK1311" i="42385"/>
  <c r="C48" i="42465" s="1"/>
  <c r="AP1311" i="42385"/>
  <c r="AT1311" i="42385"/>
  <c r="AU1311" i="42385" s="1"/>
  <c r="AW1311" i="42385"/>
  <c r="AX1311" i="42385" s="1"/>
  <c r="AY1311" i="42385" s="1"/>
  <c r="AZ1311" i="42385" s="1"/>
  <c r="CV1311" i="42385" s="1"/>
  <c r="BB1311" i="42385"/>
  <c r="BG1311" i="42385"/>
  <c r="BH1311" i="42385" s="1"/>
  <c r="AA98" i="42492" s="1"/>
  <c r="BL1311" i="42385"/>
  <c r="BM1311" i="42385" s="1"/>
  <c r="BN1311" i="42385" s="1"/>
  <c r="BO1311" i="42385" s="1"/>
  <c r="CY1311" i="42385" s="1"/>
  <c r="BQ1311" i="42385"/>
  <c r="BR1311" i="42385" s="1"/>
  <c r="CL1311" i="42385"/>
  <c r="CM1311" i="42385"/>
  <c r="DB1311" i="42385"/>
  <c r="DC1311" i="42385"/>
  <c r="D1312" i="42385"/>
  <c r="L1312" i="42385"/>
  <c r="CN1312" i="42385" s="1"/>
  <c r="Q1312" i="42385"/>
  <c r="V1312" i="42385"/>
  <c r="CP1312" i="42385" s="1"/>
  <c r="AA1312" i="42385"/>
  <c r="CQ1312" i="42385" s="1"/>
  <c r="AC1312" i="42385"/>
  <c r="AG1312" i="42385"/>
  <c r="AM1312" i="42385"/>
  <c r="AN1312" i="42385" s="1"/>
  <c r="AO1312" i="42385" s="1"/>
  <c r="AR1312" i="42385"/>
  <c r="AS1312" i="42385" s="1"/>
  <c r="AW1312" i="42385"/>
  <c r="BB1312" i="42385"/>
  <c r="BG1312" i="42385"/>
  <c r="BL1312" i="42385"/>
  <c r="BM1312" i="42385" s="1"/>
  <c r="BO1312" i="42385" s="1"/>
  <c r="CY1312" i="42385" s="1"/>
  <c r="BP1312" i="42385"/>
  <c r="BQ1312" i="42385" s="1"/>
  <c r="BR1312" i="42385" s="1"/>
  <c r="BY1312" i="42385"/>
  <c r="DA1312" i="42385" s="1"/>
  <c r="CL1312" i="42385"/>
  <c r="CM1312" i="42385"/>
  <c r="DB1312" i="42385"/>
  <c r="DC1312" i="42385"/>
  <c r="E1313" i="42385"/>
  <c r="F1313" i="42385" s="1"/>
  <c r="L1313" i="42385"/>
  <c r="CN1313" i="42385" s="1"/>
  <c r="Q1313" i="42385"/>
  <c r="CO1313" i="42385" s="1"/>
  <c r="V1313" i="42385"/>
  <c r="CP1313" i="42385" s="1"/>
  <c r="AA1313" i="42385"/>
  <c r="CQ1313" i="42385" s="1"/>
  <c r="AF1313" i="42385"/>
  <c r="CR1313" i="42385" s="1"/>
  <c r="AK1313" i="42385"/>
  <c r="CS1313" i="42385" s="1"/>
  <c r="AP1313" i="42385"/>
  <c r="AT1313" i="42385"/>
  <c r="AT111" i="42385" s="1"/>
  <c r="AX1313" i="42385"/>
  <c r="BC1313" i="42385"/>
  <c r="BD1313" i="42385" s="1"/>
  <c r="BH1313" i="42385"/>
  <c r="BH111" i="42385" s="1"/>
  <c r="BM1313" i="42385"/>
  <c r="BM111" i="42385" s="1"/>
  <c r="BT1313" i="42385"/>
  <c r="BY1313" i="42385"/>
  <c r="DA1313" i="42385" s="1"/>
  <c r="CL1313" i="42385"/>
  <c r="CM1313" i="42385"/>
  <c r="DB1313" i="42385"/>
  <c r="DC1313" i="42385"/>
  <c r="G1314" i="42385"/>
  <c r="CM1314" i="42385" s="1"/>
  <c r="H1314" i="42385"/>
  <c r="I1314" i="42385"/>
  <c r="J1314" i="42385"/>
  <c r="K1314" i="42385"/>
  <c r="M1314" i="42385"/>
  <c r="N1314" i="42385"/>
  <c r="O1314" i="42385"/>
  <c r="P1314" i="42385"/>
  <c r="R1314" i="42385"/>
  <c r="S1314" i="42385"/>
  <c r="T1314" i="42385"/>
  <c r="U1314" i="42385"/>
  <c r="W1314" i="42385"/>
  <c r="X1314" i="42385"/>
  <c r="Y1314" i="42385"/>
  <c r="Z1314" i="42385"/>
  <c r="AB1314" i="42385"/>
  <c r="AL1314" i="42385"/>
  <c r="AQ1314" i="42385"/>
  <c r="AV1314" i="42385"/>
  <c r="CL1314" i="42385"/>
  <c r="CL1316" i="42385"/>
  <c r="E1317" i="42385"/>
  <c r="L1317" i="42385"/>
  <c r="CN1317" i="42385" s="1"/>
  <c r="Q1317" i="42385"/>
  <c r="CO1317" i="42385" s="1"/>
  <c r="V1317" i="42385"/>
  <c r="AA1317" i="42385"/>
  <c r="CQ1317" i="42385" s="1"/>
  <c r="AB1317" i="42385"/>
  <c r="AC1317" i="42385" s="1"/>
  <c r="AD1317" i="42385" s="1"/>
  <c r="AH1317" i="42385"/>
  <c r="AI1317" i="42385" s="1"/>
  <c r="AJ1317" i="42385" s="1"/>
  <c r="AM1317" i="42385"/>
  <c r="AR1317" i="42385"/>
  <c r="AS1317" i="42385" s="1"/>
  <c r="AW1317" i="42385"/>
  <c r="AX1317" i="42385" s="1"/>
  <c r="BB1317" i="42385"/>
  <c r="BC1317" i="42385" s="1"/>
  <c r="BG1317" i="42385"/>
  <c r="BH1317" i="42385" s="1"/>
  <c r="BL1317" i="42385"/>
  <c r="BM1317" i="42385" s="1"/>
  <c r="BY1317" i="42385"/>
  <c r="DA1317" i="42385" s="1"/>
  <c r="CL1317" i="42385"/>
  <c r="CM1317" i="42385"/>
  <c r="DB1317" i="42385"/>
  <c r="DC1317" i="42385"/>
  <c r="L1318" i="42385"/>
  <c r="CN1318" i="42385" s="1"/>
  <c r="Q1318" i="42385"/>
  <c r="CO1318" i="42385" s="1"/>
  <c r="V1318" i="42385"/>
  <c r="CP1318" i="42385" s="1"/>
  <c r="AA1318" i="42385"/>
  <c r="CQ1318" i="42385" s="1"/>
  <c r="AF1318" i="42385"/>
  <c r="CR1318" i="42385" s="1"/>
  <c r="AK1318" i="42385"/>
  <c r="CS1318" i="42385" s="1"/>
  <c r="AP1318" i="42385"/>
  <c r="CT1318" i="42385" s="1"/>
  <c r="AT1318" i="42385"/>
  <c r="AU1318" i="42385" s="1"/>
  <c r="CU1318" i="42385" s="1"/>
  <c r="AW1318" i="42385"/>
  <c r="BC1318" i="42385"/>
  <c r="BE1318" i="42385" s="1"/>
  <c r="CW1318" i="42385" s="1"/>
  <c r="BH1318" i="42385"/>
  <c r="BJ1318" i="42385" s="1"/>
  <c r="CX1318" i="42385" s="1"/>
  <c r="BL1318" i="42385"/>
  <c r="BM1318" i="42385" s="1"/>
  <c r="BT1318" i="42385"/>
  <c r="CZ1318" i="42385" s="1"/>
  <c r="BY1318" i="42385"/>
  <c r="DA1318" i="42385" s="1"/>
  <c r="CL1318" i="42385"/>
  <c r="CM1318" i="42385"/>
  <c r="DB1318" i="42385"/>
  <c r="DC1318" i="42385"/>
  <c r="E1319" i="42385"/>
  <c r="G1319" i="42385"/>
  <c r="L1319" i="42385"/>
  <c r="CN1319" i="42385" s="1"/>
  <c r="Q1319" i="42385"/>
  <c r="CO1319" i="42385" s="1"/>
  <c r="V1319" i="42385"/>
  <c r="CP1319" i="42385" s="1"/>
  <c r="AA1319" i="42385"/>
  <c r="CQ1319" i="42385" s="1"/>
  <c r="AB1319" i="42385"/>
  <c r="AG1319" i="42385"/>
  <c r="AH1319" i="42385" s="1"/>
  <c r="AI1319" i="42385" s="1"/>
  <c r="AL1319" i="42385"/>
  <c r="AM1319" i="42385" s="1"/>
  <c r="AQ1319" i="42385"/>
  <c r="AV1319" i="42385"/>
  <c r="BA1319" i="42385"/>
  <c r="BF1319" i="42385"/>
  <c r="BG1319" i="42385" s="1"/>
  <c r="BH1319" i="42385" s="1"/>
  <c r="BK1319" i="42385"/>
  <c r="BL1319" i="42385" s="1"/>
  <c r="BM1319" i="42385" s="1"/>
  <c r="BP1319" i="42385"/>
  <c r="BQ1319" i="42385" s="1"/>
  <c r="BR1319" i="42385" s="1"/>
  <c r="CL1319" i="42385"/>
  <c r="BB1320" i="42385"/>
  <c r="BC1320" i="42385" s="1"/>
  <c r="BG1320" i="42385"/>
  <c r="BL1320" i="42385"/>
  <c r="BM1320" i="42385" s="1"/>
  <c r="BQ1320" i="42385"/>
  <c r="BR1320" i="42385" s="1"/>
  <c r="L1321" i="42385"/>
  <c r="CN1321" i="42385" s="1"/>
  <c r="Q1321" i="42385"/>
  <c r="V1321" i="42385"/>
  <c r="CP1321" i="42385" s="1"/>
  <c r="AA1321" i="42385"/>
  <c r="AF1321" i="42385"/>
  <c r="CR1321" i="42385" s="1"/>
  <c r="AK1321" i="42385"/>
  <c r="AP1321" i="42385"/>
  <c r="CT1321" i="42385" s="1"/>
  <c r="AT1321" i="42385"/>
  <c r="AW1321" i="42385"/>
  <c r="AX1321" i="42385" s="1"/>
  <c r="BA1321" i="42385"/>
  <c r="BC1321" i="42385" s="1"/>
  <c r="BC1643" i="42385" s="1"/>
  <c r="BD1321" i="42385"/>
  <c r="BI1321" i="42385"/>
  <c r="BK1321" i="42385"/>
  <c r="BN1321" i="42385"/>
  <c r="BN1643" i="42385" s="1"/>
  <c r="BQ1321" i="42385"/>
  <c r="BQ1643" i="42385" s="1"/>
  <c r="CL1321" i="42385"/>
  <c r="CM1321" i="42385"/>
  <c r="E1322" i="42385"/>
  <c r="G1322" i="42385"/>
  <c r="CM1322" i="42385" s="1"/>
  <c r="L1322" i="42385"/>
  <c r="Q1322" i="42385"/>
  <c r="CO1322" i="42385" s="1"/>
  <c r="V1322" i="42385"/>
  <c r="CP1322" i="42385" s="1"/>
  <c r="AA1322" i="42385"/>
  <c r="AD1322" i="42385"/>
  <c r="AE1322" i="42385" s="1"/>
  <c r="AH1322" i="42385"/>
  <c r="AK1322" i="42385" s="1"/>
  <c r="CS1322" i="42385" s="1"/>
  <c r="AP1322" i="42385"/>
  <c r="CT1322" i="42385" s="1"/>
  <c r="AT1322" i="42385"/>
  <c r="AU1322" i="42385" s="1"/>
  <c r="CU1322" i="42385" s="1"/>
  <c r="AX1322" i="42385"/>
  <c r="AY1322" i="42385" s="1"/>
  <c r="BC1322" i="42385"/>
  <c r="BE1322" i="42385" s="1"/>
  <c r="CW1322" i="42385" s="1"/>
  <c r="BH1322" i="42385"/>
  <c r="BL1322" i="42385"/>
  <c r="BM1322" i="42385" s="1"/>
  <c r="BT1322" i="42385"/>
  <c r="CZ1322" i="42385" s="1"/>
  <c r="BY1322" i="42385"/>
  <c r="DA1322" i="42385" s="1"/>
  <c r="CL1322" i="42385"/>
  <c r="DB1322" i="42385"/>
  <c r="DC1322" i="42385"/>
  <c r="BQ1323" i="42385"/>
  <c r="CL1323" i="42385"/>
  <c r="L1324" i="42385"/>
  <c r="CN1324" i="42385" s="1"/>
  <c r="Q1324" i="42385"/>
  <c r="CO1324" i="42385" s="1"/>
  <c r="V1324" i="42385"/>
  <c r="CP1324" i="42385" s="1"/>
  <c r="AA1324" i="42385"/>
  <c r="CQ1324" i="42385" s="1"/>
  <c r="AC1324" i="42385"/>
  <c r="AD1324" i="42385" s="1"/>
  <c r="AG1324" i="42385"/>
  <c r="AM1324" i="42385"/>
  <c r="AR1324" i="42385"/>
  <c r="AS1324" i="42385" s="1"/>
  <c r="AV1324" i="42385"/>
  <c r="AW1324" i="42385" s="1"/>
  <c r="BA1324" i="42385"/>
  <c r="BF1324" i="42385"/>
  <c r="BK1324" i="42385"/>
  <c r="BL1324" i="42385" s="1"/>
  <c r="BP1324" i="42385"/>
  <c r="BQ1324" i="42385" s="1"/>
  <c r="BR1324" i="42385" s="1"/>
  <c r="CL1324" i="42385"/>
  <c r="CM1324" i="42385"/>
  <c r="DB1324" i="42385"/>
  <c r="DC1324" i="42385"/>
  <c r="E1325" i="42385"/>
  <c r="F1325" i="42385" s="1"/>
  <c r="H1325" i="42385"/>
  <c r="L1325" i="42385" s="1"/>
  <c r="CN1325" i="42385" s="1"/>
  <c r="Q1325" i="42385"/>
  <c r="V1325" i="42385"/>
  <c r="CP1325" i="42385" s="1"/>
  <c r="AA1325" i="42385"/>
  <c r="CQ1325" i="42385" s="1"/>
  <c r="AE1325" i="42385"/>
  <c r="AF1325" i="42385" s="1"/>
  <c r="CR1325" i="42385" s="1"/>
  <c r="AG1325" i="42385"/>
  <c r="AH1325" i="42385" s="1"/>
  <c r="AM1325" i="42385"/>
  <c r="AN1325" i="42385" s="1"/>
  <c r="AO1325" i="42385" s="1"/>
  <c r="AP1325" i="42385" s="1"/>
  <c r="CT1325" i="42385" s="1"/>
  <c r="AR1325" i="42385"/>
  <c r="AW1325" i="42385"/>
  <c r="AX1325" i="42385" s="1"/>
  <c r="AY1325" i="42385" s="1"/>
  <c r="AZ1325" i="42385" s="1"/>
  <c r="CV1325" i="42385" s="1"/>
  <c r="BB1325" i="42385"/>
  <c r="BG1325" i="42385"/>
  <c r="BH1325" i="42385" s="1"/>
  <c r="BL1325" i="42385"/>
  <c r="BQ1325" i="42385"/>
  <c r="BY1325" i="42385"/>
  <c r="DA1325" i="42385" s="1"/>
  <c r="CL1325" i="42385"/>
  <c r="CM1325" i="42385"/>
  <c r="DB1325" i="42385"/>
  <c r="DC1325" i="42385"/>
  <c r="D1326" i="42385"/>
  <c r="I1326" i="42385"/>
  <c r="J1326" i="42385"/>
  <c r="K1326" i="42385"/>
  <c r="M1326" i="42385"/>
  <c r="N1326" i="42385"/>
  <c r="O1326" i="42385"/>
  <c r="P1326" i="42385"/>
  <c r="R1326" i="42385"/>
  <c r="S1326" i="42385"/>
  <c r="T1326" i="42385"/>
  <c r="U1326" i="42385"/>
  <c r="W1326" i="42385"/>
  <c r="X1326" i="42385"/>
  <c r="Y1326" i="42385"/>
  <c r="Z1326" i="42385"/>
  <c r="CL1326" i="42385"/>
  <c r="E1328" i="42385"/>
  <c r="F1328" i="42385" s="1"/>
  <c r="L1328" i="42385"/>
  <c r="CN1328" i="42385" s="1"/>
  <c r="Q1328" i="42385"/>
  <c r="CO1328" i="42385" s="1"/>
  <c r="V1328" i="42385"/>
  <c r="CP1328" i="42385" s="1"/>
  <c r="AA1328" i="42385"/>
  <c r="CQ1328" i="42385" s="1"/>
  <c r="AF1328" i="42385"/>
  <c r="CR1328" i="42385" s="1"/>
  <c r="AK1328" i="42385"/>
  <c r="CS1328" i="42385" s="1"/>
  <c r="AP1328" i="42385"/>
  <c r="CT1328" i="42385" s="1"/>
  <c r="AT1328" i="42385"/>
  <c r="AU1328" i="42385" s="1"/>
  <c r="CU1328" i="42385" s="1"/>
  <c r="AX1328" i="42385"/>
  <c r="AY1328" i="42385" s="1"/>
  <c r="BE1328" i="42385"/>
  <c r="CW1328" i="42385" s="1"/>
  <c r="BJ1328" i="42385"/>
  <c r="CX1328" i="42385" s="1"/>
  <c r="BO1328" i="42385"/>
  <c r="CY1328" i="42385" s="1"/>
  <c r="BT1328" i="42385"/>
  <c r="BY1328" i="42385"/>
  <c r="DA1328" i="42385" s="1"/>
  <c r="CL1328" i="42385"/>
  <c r="CM1328" i="42385"/>
  <c r="CZ1328" i="42385"/>
  <c r="DB1328" i="42385"/>
  <c r="DC1328" i="42385"/>
  <c r="CL1330" i="42385"/>
  <c r="G1332" i="42385"/>
  <c r="CM1332" i="42385" s="1"/>
  <c r="CL1332" i="42385"/>
  <c r="CL1333" i="42385"/>
  <c r="CL1335" i="42385"/>
  <c r="C1336" i="42385"/>
  <c r="D1336" i="42385"/>
  <c r="E1336" i="42385"/>
  <c r="F1336" i="42385"/>
  <c r="G1336" i="42385"/>
  <c r="CM1336" i="42385" s="1"/>
  <c r="H1336" i="42385"/>
  <c r="I1336" i="42385"/>
  <c r="J1336" i="42385"/>
  <c r="K1336" i="42385"/>
  <c r="L1336" i="42385"/>
  <c r="CN1336" i="42385" s="1"/>
  <c r="M1336" i="42385"/>
  <c r="N1336" i="42385"/>
  <c r="O1336" i="42385"/>
  <c r="P1336" i="42385"/>
  <c r="Q1336" i="42385"/>
  <c r="CO1336" i="42385" s="1"/>
  <c r="R1336" i="42385"/>
  <c r="S1336" i="42385"/>
  <c r="T1336" i="42385"/>
  <c r="U1336" i="42385"/>
  <c r="V1336" i="42385"/>
  <c r="CP1336" i="42385" s="1"/>
  <c r="W1336" i="42385"/>
  <c r="X1336" i="42385"/>
  <c r="Y1336" i="42385"/>
  <c r="Z1336" i="42385"/>
  <c r="AA1336" i="42385"/>
  <c r="CQ1336" i="42385" s="1"/>
  <c r="AB1336" i="42385"/>
  <c r="AC1336" i="42385"/>
  <c r="AD1336" i="42385"/>
  <c r="AE1336" i="42385"/>
  <c r="AF1336" i="42385"/>
  <c r="CR1336" i="42385" s="1"/>
  <c r="AG1336" i="42385"/>
  <c r="AH1336" i="42385"/>
  <c r="AI1336" i="42385"/>
  <c r="AJ1336" i="42385"/>
  <c r="AK1336" i="42385"/>
  <c r="CS1336" i="42385" s="1"/>
  <c r="AL1336" i="42385"/>
  <c r="AM1336" i="42385"/>
  <c r="AN1336" i="42385"/>
  <c r="AO1336" i="42385"/>
  <c r="AP1336" i="42385"/>
  <c r="AQ1336" i="42385"/>
  <c r="AR1336" i="42385"/>
  <c r="AS1336" i="42385"/>
  <c r="AT1336" i="42385"/>
  <c r="AU1336" i="42385"/>
  <c r="CU1336" i="42385" s="1"/>
  <c r="AV1336" i="42385"/>
  <c r="AW1336" i="42385"/>
  <c r="AX1336" i="42385"/>
  <c r="AY1336" i="42385"/>
  <c r="AZ1336" i="42385"/>
  <c r="CV1336" i="42385" s="1"/>
  <c r="BA1336" i="42385"/>
  <c r="BB1336" i="42385"/>
  <c r="BC1336" i="42385"/>
  <c r="BD1336" i="42385"/>
  <c r="BE1336" i="42385"/>
  <c r="CW1336" i="42385" s="1"/>
  <c r="BF1336" i="42385"/>
  <c r="BG1336" i="42385"/>
  <c r="BH1336" i="42385"/>
  <c r="BI1336" i="42385"/>
  <c r="BJ1336" i="42385"/>
  <c r="CX1336" i="42385" s="1"/>
  <c r="BK1336" i="42385"/>
  <c r="BL1336" i="42385"/>
  <c r="BM1336" i="42385"/>
  <c r="BN1336" i="42385"/>
  <c r="BO1336" i="42385"/>
  <c r="CY1336" i="42385" s="1"/>
  <c r="BP1336" i="42385"/>
  <c r="BQ1336" i="42385"/>
  <c r="BR1336" i="42385"/>
  <c r="BS1336" i="42385"/>
  <c r="BT1336" i="42385"/>
  <c r="CZ1336" i="42385" s="1"/>
  <c r="BU1336" i="42385"/>
  <c r="BV1336" i="42385"/>
  <c r="BW1336" i="42385"/>
  <c r="BX1336" i="42385"/>
  <c r="BY1336" i="42385"/>
  <c r="DA1336" i="42385" s="1"/>
  <c r="BZ1336" i="42385"/>
  <c r="DB1336" i="42385" s="1"/>
  <c r="CA1336" i="42385"/>
  <c r="DC1336" i="42385" s="1"/>
  <c r="CB1336" i="42385"/>
  <c r="CC1336" i="42385"/>
  <c r="CD1336" i="42385"/>
  <c r="CE1336" i="42385"/>
  <c r="CF1336" i="42385"/>
  <c r="CL1336" i="42385"/>
  <c r="CT1336" i="42385"/>
  <c r="CL1338" i="42385"/>
  <c r="G1339" i="42385"/>
  <c r="CM1339" i="42385" s="1"/>
  <c r="L1339" i="42385"/>
  <c r="Q1339" i="42385"/>
  <c r="CO1339" i="42385" s="1"/>
  <c r="V1339" i="42385"/>
  <c r="V1565" i="42385" s="1"/>
  <c r="AA1339" i="42385"/>
  <c r="CQ1339" i="42385" s="1"/>
  <c r="AF1339" i="42385"/>
  <c r="BT189" i="42417" s="1"/>
  <c r="BT191" i="42417" s="1"/>
  <c r="CL1339" i="42385"/>
  <c r="G1340" i="42385"/>
  <c r="L1340" i="42385"/>
  <c r="CN1340" i="42385" s="1"/>
  <c r="Q1340" i="42385"/>
  <c r="CO1340" i="42385" s="1"/>
  <c r="V1340" i="42385"/>
  <c r="CP1340" i="42385" s="1"/>
  <c r="AA1340" i="42385"/>
  <c r="CQ1340" i="42385" s="1"/>
  <c r="AE1340" i="42385"/>
  <c r="AF1340" i="42385" s="1"/>
  <c r="CR1340" i="42385" s="1"/>
  <c r="AK1340" i="42385"/>
  <c r="CS1340" i="42385" s="1"/>
  <c r="AP1340" i="42385"/>
  <c r="CT1340" i="42385" s="1"/>
  <c r="AU1340" i="42385"/>
  <c r="CU1340" i="42385" s="1"/>
  <c r="AZ1340" i="42385"/>
  <c r="CV1340" i="42385" s="1"/>
  <c r="CL1340" i="42385"/>
  <c r="CW1340" i="42385"/>
  <c r="CX1340" i="42385"/>
  <c r="CY1340" i="42385"/>
  <c r="CZ1340" i="42385"/>
  <c r="DA1340" i="42385"/>
  <c r="DB1340" i="42385"/>
  <c r="DC1340" i="42385"/>
  <c r="G1341" i="42385"/>
  <c r="L1341" i="42385"/>
  <c r="CN1341" i="42385" s="1"/>
  <c r="Q1341" i="42385"/>
  <c r="CO1341" i="42385" s="1"/>
  <c r="V1341" i="42385"/>
  <c r="CP1341" i="42385" s="1"/>
  <c r="AA1341" i="42385"/>
  <c r="CQ1341" i="42385" s="1"/>
  <c r="AF1341" i="42385"/>
  <c r="CR1341" i="42385" s="1"/>
  <c r="AG1341" i="42385"/>
  <c r="AK1341" i="42385"/>
  <c r="CS1341" i="42385" s="1"/>
  <c r="AP1341" i="42385"/>
  <c r="AU1341" i="42385"/>
  <c r="E23" i="42465" s="1"/>
  <c r="AZ1341" i="42385"/>
  <c r="F23" i="42465" s="1"/>
  <c r="BE1341" i="42385"/>
  <c r="G23" i="42465" s="1"/>
  <c r="BJ1341" i="42385"/>
  <c r="CX1341" i="42385" s="1"/>
  <c r="BO1341" i="42385"/>
  <c r="CY1341" i="42385" s="1"/>
  <c r="CL1341" i="42385"/>
  <c r="G1342" i="42385"/>
  <c r="CM1342" i="42385" s="1"/>
  <c r="L1342" i="42385"/>
  <c r="CN1342" i="42385" s="1"/>
  <c r="Q1342" i="42385"/>
  <c r="CO1342" i="42385" s="1"/>
  <c r="V1342" i="42385"/>
  <c r="CP1342" i="42385" s="1"/>
  <c r="AA1342" i="42385"/>
  <c r="CQ1342" i="42385" s="1"/>
  <c r="AE1342" i="42385"/>
  <c r="AF1342" i="42385" s="1"/>
  <c r="AK1342" i="42385"/>
  <c r="AL1342" i="42385" s="1"/>
  <c r="AM1342" i="42385" s="1"/>
  <c r="AP1342" i="42385"/>
  <c r="AU1342" i="42385"/>
  <c r="CU1342" i="42385" s="1"/>
  <c r="AZ1342" i="42385"/>
  <c r="BE1342" i="42385"/>
  <c r="BH1342" i="42385"/>
  <c r="BJ1342" i="42385"/>
  <c r="CX1342" i="42385" s="1"/>
  <c r="BN1342" i="42385"/>
  <c r="BO1342" i="42385" s="1"/>
  <c r="CY1342" i="42385" s="1"/>
  <c r="BS1342" i="42385"/>
  <c r="BT1342" i="42385" s="1"/>
  <c r="CL1342" i="42385"/>
  <c r="G1343" i="42385"/>
  <c r="CM1343" i="42385" s="1"/>
  <c r="L1343" i="42385"/>
  <c r="CN1343" i="42385" s="1"/>
  <c r="Q1343" i="42385"/>
  <c r="CO1343" i="42385" s="1"/>
  <c r="V1343" i="42385"/>
  <c r="CP1343" i="42385" s="1"/>
  <c r="AA1343" i="42385"/>
  <c r="CQ1343" i="42385" s="1"/>
  <c r="AB1343" i="42385"/>
  <c r="AC1343" i="42385"/>
  <c r="AC1346" i="42385" s="1"/>
  <c r="AD1343" i="42385"/>
  <c r="AD1346" i="42385" s="1"/>
  <c r="AE1343" i="42385"/>
  <c r="AF1343" i="42385" s="1"/>
  <c r="CR1343" i="42385" s="1"/>
  <c r="AH1343" i="42385"/>
  <c r="AI1343" i="42385"/>
  <c r="AJ1343" i="42385"/>
  <c r="AK1343" i="42385" s="1"/>
  <c r="AL1343" i="42385"/>
  <c r="AM1343" i="42385"/>
  <c r="AN1343" i="42385"/>
  <c r="AO1343" i="42385"/>
  <c r="AP1343" i="42385" s="1"/>
  <c r="CT1343" i="42385" s="1"/>
  <c r="AQ1343" i="42385"/>
  <c r="AR1343" i="42385"/>
  <c r="AS1343" i="42385"/>
  <c r="AT1343" i="42385"/>
  <c r="AU1343" i="42385" s="1"/>
  <c r="AV1343" i="42385"/>
  <c r="AW1343" i="42385"/>
  <c r="AX1343" i="42385"/>
  <c r="AY1343" i="42385"/>
  <c r="AZ1343" i="42385" s="1"/>
  <c r="BA1343" i="42385"/>
  <c r="BB1343" i="42385"/>
  <c r="BC1343" i="42385"/>
  <c r="BD1343" i="42385"/>
  <c r="BE1343" i="42385" s="1"/>
  <c r="CW1343" i="42385" s="1"/>
  <c r="BF1343" i="42385"/>
  <c r="BG1343" i="42385"/>
  <c r="BH1343" i="42385"/>
  <c r="BI1343" i="42385"/>
  <c r="BJ1343" i="42385" s="1"/>
  <c r="CX1343" i="42385" s="1"/>
  <c r="BK1343" i="42385"/>
  <c r="BL1343" i="42385"/>
  <c r="BM1343" i="42385"/>
  <c r="BN1343" i="42385"/>
  <c r="BO1343" i="42385" s="1"/>
  <c r="CY1343" i="42385" s="1"/>
  <c r="BP1343" i="42385"/>
  <c r="BQ1343" i="42385"/>
  <c r="BT1343" i="42385" s="1"/>
  <c r="CL1343" i="42385"/>
  <c r="G1344" i="42385"/>
  <c r="CM1344" i="42385" s="1"/>
  <c r="L1344" i="42385"/>
  <c r="CN1344" i="42385" s="1"/>
  <c r="Q1344" i="42385"/>
  <c r="CO1344" i="42385" s="1"/>
  <c r="V1344" i="42385"/>
  <c r="CP1344" i="42385" s="1"/>
  <c r="AA1344" i="42385"/>
  <c r="CQ1344" i="42385" s="1"/>
  <c r="AB1344" i="42385"/>
  <c r="AF1344" i="42385"/>
  <c r="AK1344" i="42385"/>
  <c r="CS1344" i="42385" s="1"/>
  <c r="AP1344" i="42385"/>
  <c r="CT1344" i="42385" s="1"/>
  <c r="AU1344" i="42385"/>
  <c r="CU1344" i="42385" s="1"/>
  <c r="AZ1344" i="42385"/>
  <c r="CV1344" i="42385" s="1"/>
  <c r="BE1344" i="42385"/>
  <c r="CW1344" i="42385" s="1"/>
  <c r="BJ1344" i="42385"/>
  <c r="CX1344" i="42385" s="1"/>
  <c r="BN1344" i="42385"/>
  <c r="BO1344" i="42385" s="1"/>
  <c r="CL1344" i="42385"/>
  <c r="CM1345" i="42385"/>
  <c r="CN1345" i="42385"/>
  <c r="CO1345" i="42385"/>
  <c r="CP1345" i="42385"/>
  <c r="CQ1345" i="42385"/>
  <c r="CR1345" i="42385"/>
  <c r="CS1345" i="42385"/>
  <c r="CT1345" i="42385"/>
  <c r="CU1345" i="42385"/>
  <c r="CV1345" i="42385"/>
  <c r="CW1345" i="42385"/>
  <c r="CX1345" i="42385"/>
  <c r="CY1345" i="42385"/>
  <c r="CZ1345" i="42385"/>
  <c r="DA1345" i="42385"/>
  <c r="DB1345" i="42385"/>
  <c r="DC1345" i="42385"/>
  <c r="D1346" i="42385"/>
  <c r="E1346" i="42385"/>
  <c r="F1346" i="42385"/>
  <c r="H1346" i="42385"/>
  <c r="I1346" i="42385"/>
  <c r="J1346" i="42385"/>
  <c r="K1346" i="42385"/>
  <c r="M1346" i="42385"/>
  <c r="N1346" i="42385"/>
  <c r="O1346" i="42385"/>
  <c r="P1346" i="42385"/>
  <c r="R1346" i="42385"/>
  <c r="S1346" i="42385"/>
  <c r="T1346" i="42385"/>
  <c r="U1346" i="42385"/>
  <c r="W1346" i="42385"/>
  <c r="X1346" i="42385"/>
  <c r="Y1346" i="42385"/>
  <c r="Z1346" i="42385"/>
  <c r="CL1346" i="42385"/>
  <c r="G1348" i="42385"/>
  <c r="CM1348" i="42385" s="1"/>
  <c r="L1348" i="42385"/>
  <c r="Q1348" i="42385"/>
  <c r="CO1348" i="42385" s="1"/>
  <c r="V1348" i="42385"/>
  <c r="CP1348" i="42385" s="1"/>
  <c r="AA1348" i="42385"/>
  <c r="AF1348" i="42385"/>
  <c r="AK1348" i="42385"/>
  <c r="AP1348" i="42385"/>
  <c r="CT1348" i="42385" s="1"/>
  <c r="AU1348" i="42385"/>
  <c r="CU1348" i="42385" s="1"/>
  <c r="AZ1348" i="42385"/>
  <c r="BD1348" i="42385"/>
  <c r="BF1348" i="42385"/>
  <c r="BG1348" i="42385"/>
  <c r="BH1348" i="42385"/>
  <c r="BI1348" i="42385"/>
  <c r="BJ1348" i="42385" s="1"/>
  <c r="CX1348" i="42385" s="1"/>
  <c r="BK1348" i="42385"/>
  <c r="BL1348" i="42385"/>
  <c r="BM1348" i="42385"/>
  <c r="BN1348" i="42385"/>
  <c r="BO1348" i="42385" s="1"/>
  <c r="CY1348" i="42385" s="1"/>
  <c r="BP1348" i="42385"/>
  <c r="BQ1348" i="42385"/>
  <c r="CL1348" i="42385"/>
  <c r="G1349" i="42385"/>
  <c r="CM1349" i="42385" s="1"/>
  <c r="L1349" i="42385"/>
  <c r="CN1349" i="42385" s="1"/>
  <c r="Q1349" i="42385"/>
  <c r="V1349" i="42385"/>
  <c r="CP1349" i="42385" s="1"/>
  <c r="AA1349" i="42385"/>
  <c r="CQ1349" i="42385" s="1"/>
  <c r="AF1349" i="42385"/>
  <c r="CR1349" i="42385" s="1"/>
  <c r="AK1349" i="42385"/>
  <c r="AP1349" i="42385"/>
  <c r="CT1349" i="42385" s="1"/>
  <c r="AU1349" i="42385"/>
  <c r="CU1349" i="42385" s="1"/>
  <c r="AZ1349" i="42385"/>
  <c r="CV1349" i="42385" s="1"/>
  <c r="BD1349" i="42385"/>
  <c r="BE1349" i="42385" s="1"/>
  <c r="CW1349" i="42385" s="1"/>
  <c r="BF1349" i="42385"/>
  <c r="BG1349" i="42385"/>
  <c r="BH1349" i="42385"/>
  <c r="BI1349" i="42385"/>
  <c r="BK1349" i="42385"/>
  <c r="BL1349" i="42385"/>
  <c r="BM1349" i="42385"/>
  <c r="BN1349" i="42385"/>
  <c r="BO1349" i="42385" s="1"/>
  <c r="BP1349" i="42385"/>
  <c r="BQ1349" i="42385"/>
  <c r="CL1349" i="42385"/>
  <c r="CM1350" i="42385"/>
  <c r="CN1350" i="42385"/>
  <c r="CO1350" i="42385"/>
  <c r="CP1350" i="42385"/>
  <c r="CQ1350" i="42385"/>
  <c r="CR1350" i="42385"/>
  <c r="CS1350" i="42385"/>
  <c r="CT1350" i="42385"/>
  <c r="CU1350" i="42385"/>
  <c r="CV1350" i="42385"/>
  <c r="CW1350" i="42385"/>
  <c r="CX1350" i="42385"/>
  <c r="CY1350" i="42385"/>
  <c r="CZ1350" i="42385"/>
  <c r="DA1350" i="42385"/>
  <c r="DB1350" i="42385"/>
  <c r="DC1350" i="42385"/>
  <c r="D1351" i="42385"/>
  <c r="E1351" i="42385"/>
  <c r="F1351" i="42385"/>
  <c r="H1351" i="42385"/>
  <c r="I1351" i="42385"/>
  <c r="J1351" i="42385"/>
  <c r="K1351" i="42385"/>
  <c r="M1351" i="42385"/>
  <c r="N1351" i="42385"/>
  <c r="O1351" i="42385"/>
  <c r="P1351" i="42385"/>
  <c r="R1351" i="42385"/>
  <c r="S1351" i="42385"/>
  <c r="T1351" i="42385"/>
  <c r="U1351" i="42385"/>
  <c r="W1351" i="42385"/>
  <c r="X1351" i="42385"/>
  <c r="Y1351" i="42385"/>
  <c r="Y1366" i="42385" s="1"/>
  <c r="Y1426" i="42385" s="1"/>
  <c r="Z1351" i="42385"/>
  <c r="AB1351" i="42385"/>
  <c r="AC1351" i="42385"/>
  <c r="AD1351" i="42385"/>
  <c r="AE1351" i="42385"/>
  <c r="AG1351" i="42385"/>
  <c r="AH1351" i="42385"/>
  <c r="AI1351" i="42385"/>
  <c r="AJ1351" i="42385"/>
  <c r="AL1351" i="42385"/>
  <c r="AM1351" i="42385"/>
  <c r="AN1351" i="42385"/>
  <c r="AO1351" i="42385"/>
  <c r="AQ1351" i="42385"/>
  <c r="AR1351" i="42385"/>
  <c r="AS1351" i="42385"/>
  <c r="AT1351" i="42385"/>
  <c r="AV1351" i="42385"/>
  <c r="AW1351" i="42385"/>
  <c r="AX1351" i="42385"/>
  <c r="AY1351" i="42385"/>
  <c r="BA1351" i="42385"/>
  <c r="BB1351" i="42385"/>
  <c r="BC1351" i="42385"/>
  <c r="CL1351" i="42385"/>
  <c r="G1353" i="42385"/>
  <c r="CM1353" i="42385" s="1"/>
  <c r="L1353" i="42385"/>
  <c r="Q1353" i="42385"/>
  <c r="CO1353" i="42385" s="1"/>
  <c r="V1353" i="42385"/>
  <c r="CP1353" i="42385" s="1"/>
  <c r="AA1353" i="42385"/>
  <c r="CQ1353" i="42385" s="1"/>
  <c r="AF1353" i="42385"/>
  <c r="AK1353" i="42385"/>
  <c r="CS1353" i="42385" s="1"/>
  <c r="AP1353" i="42385"/>
  <c r="CT1353" i="42385" s="1"/>
  <c r="AU1353" i="42385"/>
  <c r="CU1353" i="42385" s="1"/>
  <c r="AZ1353" i="42385"/>
  <c r="BE1353" i="42385"/>
  <c r="CW1353" i="42385" s="1"/>
  <c r="BJ1353" i="42385"/>
  <c r="CX1353" i="42385" s="1"/>
  <c r="BO1353" i="42385"/>
  <c r="CY1353" i="42385" s="1"/>
  <c r="CL1353" i="42385"/>
  <c r="G1354" i="42385"/>
  <c r="CM1354" i="42385" s="1"/>
  <c r="L1354" i="42385"/>
  <c r="CN1354" i="42385" s="1"/>
  <c r="Q1354" i="42385"/>
  <c r="CO1354" i="42385" s="1"/>
  <c r="V1354" i="42385"/>
  <c r="CP1354" i="42385" s="1"/>
  <c r="AA1354" i="42385"/>
  <c r="CQ1354" i="42385" s="1"/>
  <c r="AF1354" i="42385"/>
  <c r="B26" i="42465" s="1"/>
  <c r="AK1354" i="42385"/>
  <c r="C26" i="42465" s="1"/>
  <c r="AP1354" i="42385"/>
  <c r="D26" i="42465" s="1"/>
  <c r="AU1354" i="42385"/>
  <c r="AZ1354" i="42385"/>
  <c r="CV1354" i="42385" s="1"/>
  <c r="BE1354" i="42385"/>
  <c r="G26" i="42465" s="1"/>
  <c r="BJ1354" i="42385"/>
  <c r="CX1354" i="42385" s="1"/>
  <c r="BO1354" i="42385"/>
  <c r="CY1354" i="42385" s="1"/>
  <c r="BT1354" i="42385"/>
  <c r="BU1354" i="42385" s="1"/>
  <c r="BV1354" i="42385" s="1"/>
  <c r="BW1354" i="42385" s="1"/>
  <c r="BX1354" i="42385" s="1"/>
  <c r="BY1354" i="42385" s="1"/>
  <c r="CL1354" i="42385"/>
  <c r="G1355" i="42385"/>
  <c r="CM1355" i="42385" s="1"/>
  <c r="L1355" i="42385"/>
  <c r="CN1355" i="42385" s="1"/>
  <c r="Q1355" i="42385"/>
  <c r="CO1355" i="42385" s="1"/>
  <c r="V1355" i="42385"/>
  <c r="CP1355" i="42385" s="1"/>
  <c r="AA1355" i="42385"/>
  <c r="CQ1355" i="42385" s="1"/>
  <c r="AE1355" i="42385"/>
  <c r="AE1364" i="42385" s="1"/>
  <c r="AU1355" i="42385"/>
  <c r="AW1355" i="42385"/>
  <c r="AZ1355" i="42385"/>
  <c r="CV1355" i="42385" s="1"/>
  <c r="BE1355" i="42385"/>
  <c r="CW1355" i="42385" s="1"/>
  <c r="BJ1355" i="42385"/>
  <c r="BK1355" i="42385" s="1"/>
  <c r="BN1355" i="42385"/>
  <c r="BO1355" i="42385" s="1"/>
  <c r="BP1355" i="42385" s="1"/>
  <c r="BQ1355" i="42385" s="1"/>
  <c r="CL1355" i="42385"/>
  <c r="G1356" i="42385"/>
  <c r="CM1356" i="42385" s="1"/>
  <c r="L1356" i="42385"/>
  <c r="Q1356" i="42385"/>
  <c r="CO1356" i="42385" s="1"/>
  <c r="V1356" i="42385"/>
  <c r="CP1356" i="42385" s="1"/>
  <c r="AA1356" i="42385"/>
  <c r="CQ1356" i="42385" s="1"/>
  <c r="AF1356" i="42385"/>
  <c r="CR1356" i="42385" s="1"/>
  <c r="AK1356" i="42385"/>
  <c r="CS1356" i="42385" s="1"/>
  <c r="AP1356" i="42385"/>
  <c r="CT1356" i="42385" s="1"/>
  <c r="AU1356" i="42385"/>
  <c r="CU1356" i="42385" s="1"/>
  <c r="AZ1356" i="42385"/>
  <c r="BE1356" i="42385"/>
  <c r="CW1356" i="42385" s="1"/>
  <c r="BJ1356" i="42385"/>
  <c r="CX1356" i="42385" s="1"/>
  <c r="BN1356" i="42385"/>
  <c r="BO1356" i="42385" s="1"/>
  <c r="BP1356" i="42385" s="1"/>
  <c r="BQ1356" i="42385" s="1"/>
  <c r="CL1356" i="42385"/>
  <c r="G1357" i="42385"/>
  <c r="CM1357" i="42385" s="1"/>
  <c r="L1357" i="42385"/>
  <c r="CN1357" i="42385" s="1"/>
  <c r="Q1357" i="42385"/>
  <c r="V1357" i="42385"/>
  <c r="CP1357" i="42385" s="1"/>
  <c r="AA1357" i="42385"/>
  <c r="AE1357" i="42385"/>
  <c r="AF1357" i="42385" s="1"/>
  <c r="AU1357" i="42385"/>
  <c r="CU1357" i="42385" s="1"/>
  <c r="AW1357" i="42385"/>
  <c r="AZ1357" i="42385"/>
  <c r="BA1357" i="42385" s="1"/>
  <c r="BE1357" i="42385"/>
  <c r="CW1357" i="42385" s="1"/>
  <c r="BJ1357" i="42385"/>
  <c r="CX1357" i="42385" s="1"/>
  <c r="BN1357" i="42385"/>
  <c r="BO1357" i="42385" s="1"/>
  <c r="BP1357" i="42385" s="1"/>
  <c r="CL1357" i="42385"/>
  <c r="BE1358" i="42385"/>
  <c r="BJ1358" i="42385"/>
  <c r="BO1358" i="42385"/>
  <c r="BT1358" i="42385"/>
  <c r="BU1358" i="42385" s="1"/>
  <c r="BV1358" i="42385" s="1"/>
  <c r="BW1358" i="42385" s="1"/>
  <c r="BX1358" i="42385" s="1"/>
  <c r="BY1358" i="42385" s="1"/>
  <c r="BZ1358" i="42385" s="1"/>
  <c r="CA1358" i="42385" s="1"/>
  <c r="E1359" i="42385"/>
  <c r="E1364" i="42385" s="1"/>
  <c r="G1359" i="42385"/>
  <c r="CM1359" i="42385" s="1"/>
  <c r="L1359" i="42385"/>
  <c r="CN1359" i="42385" s="1"/>
  <c r="Q1359" i="42385"/>
  <c r="CO1359" i="42385" s="1"/>
  <c r="V1359" i="42385"/>
  <c r="CP1359" i="42385" s="1"/>
  <c r="AA1359" i="42385"/>
  <c r="CQ1359" i="42385" s="1"/>
  <c r="AB1359" i="42385"/>
  <c r="AB1364" i="42385" s="1"/>
  <c r="AC1359" i="42385"/>
  <c r="AC1364" i="42385" s="1"/>
  <c r="AD1359" i="42385"/>
  <c r="AD1364" i="42385" s="1"/>
  <c r="AE1359" i="42385"/>
  <c r="AF1359" i="42385" s="1"/>
  <c r="AG1359" i="42385"/>
  <c r="AH1359" i="42385"/>
  <c r="AI1359" i="42385"/>
  <c r="AJ1359" i="42385"/>
  <c r="AK1359" i="42385" s="1"/>
  <c r="AL1359" i="42385"/>
  <c r="AM1359" i="42385"/>
  <c r="AN1359" i="42385"/>
  <c r="AO1359" i="42385"/>
  <c r="AP1359" i="42385" s="1"/>
  <c r="AQ1359" i="42385"/>
  <c r="AR1359" i="42385"/>
  <c r="AS1359" i="42385"/>
  <c r="AS1364" i="42385" s="1"/>
  <c r="AT1359" i="42385"/>
  <c r="AU1359" i="42385" s="1"/>
  <c r="AV1359" i="42385"/>
  <c r="AV1364" i="42385" s="1"/>
  <c r="AW1359" i="42385"/>
  <c r="AX1359" i="42385"/>
  <c r="AX1364" i="42385" s="1"/>
  <c r="AY1359" i="42385"/>
  <c r="AZ1359" i="42385" s="1"/>
  <c r="BA1359" i="42385"/>
  <c r="BB1359" i="42385"/>
  <c r="BC1359" i="42385"/>
  <c r="BC1364" i="42385" s="1"/>
  <c r="BD1359" i="42385"/>
  <c r="BF1359" i="42385"/>
  <c r="BG1359" i="42385"/>
  <c r="BH1359" i="42385"/>
  <c r="BI1359" i="42385"/>
  <c r="BJ1359" i="42385" s="1"/>
  <c r="CX1359" i="42385" s="1"/>
  <c r="BK1359" i="42385"/>
  <c r="BL1359" i="42385"/>
  <c r="BL1364" i="42385" s="1"/>
  <c r="BM1359" i="42385"/>
  <c r="BN1359" i="42385"/>
  <c r="BO1359" i="42385" s="1"/>
  <c r="BP1359" i="42385"/>
  <c r="BQ1359" i="42385"/>
  <c r="BT1359" i="42385" s="1"/>
  <c r="CL1359" i="42385"/>
  <c r="G1360" i="42385"/>
  <c r="CM1360" i="42385" s="1"/>
  <c r="L1360" i="42385"/>
  <c r="CN1360" i="42385" s="1"/>
  <c r="Q1360" i="42385"/>
  <c r="CO1360" i="42385" s="1"/>
  <c r="V1360" i="42385"/>
  <c r="CP1360" i="42385" s="1"/>
  <c r="AA1360" i="42385"/>
  <c r="CQ1360" i="42385" s="1"/>
  <c r="AE1360" i="42385"/>
  <c r="AF1360" i="42385" s="1"/>
  <c r="CR1360" i="42385" s="1"/>
  <c r="AU1360" i="42385"/>
  <c r="CU1360" i="42385" s="1"/>
  <c r="AW1360" i="42385"/>
  <c r="AZ1360" i="42385"/>
  <c r="CV1360" i="42385" s="1"/>
  <c r="BE1360" i="42385"/>
  <c r="BF1360" i="42385" s="1"/>
  <c r="BG1360" i="42385" s="1"/>
  <c r="BH1360" i="42385" s="1"/>
  <c r="BJ1360" i="42385"/>
  <c r="CX1360" i="42385" s="1"/>
  <c r="BM1360" i="42385"/>
  <c r="BN1360" i="42385" s="1"/>
  <c r="BO1360" i="42385" s="1"/>
  <c r="CL1360" i="42385"/>
  <c r="G1361" i="42385"/>
  <c r="CM1361" i="42385" s="1"/>
  <c r="L1361" i="42385"/>
  <c r="CN1361" i="42385" s="1"/>
  <c r="Q1361" i="42385"/>
  <c r="CO1361" i="42385" s="1"/>
  <c r="V1361" i="42385"/>
  <c r="AA1361" i="42385"/>
  <c r="CQ1361" i="42385" s="1"/>
  <c r="AE1361" i="42385"/>
  <c r="AF1361" i="42385" s="1"/>
  <c r="CR1361" i="42385" s="1"/>
  <c r="AU1361" i="42385"/>
  <c r="CU1361" i="42385" s="1"/>
  <c r="AW1361" i="42385"/>
  <c r="AZ1361" i="42385"/>
  <c r="CV1361" i="42385" s="1"/>
  <c r="BE1361" i="42385"/>
  <c r="BJ1361" i="42385"/>
  <c r="BM1361" i="42385"/>
  <c r="BN1361" i="42385" s="1"/>
  <c r="BO1361" i="42385" s="1"/>
  <c r="CL1361" i="42385"/>
  <c r="CM1362" i="42385"/>
  <c r="CN1362" i="42385"/>
  <c r="CO1362" i="42385"/>
  <c r="CP1362" i="42385"/>
  <c r="CQ1362" i="42385"/>
  <c r="CR1362" i="42385"/>
  <c r="CS1362" i="42385"/>
  <c r="CT1362" i="42385"/>
  <c r="CU1362" i="42385"/>
  <c r="CV1362" i="42385"/>
  <c r="CW1362" i="42385"/>
  <c r="CX1362" i="42385"/>
  <c r="CY1362" i="42385"/>
  <c r="CZ1362" i="42385"/>
  <c r="DA1362" i="42385"/>
  <c r="DB1362" i="42385"/>
  <c r="DC1362" i="42385"/>
  <c r="D1364" i="42385"/>
  <c r="F1364" i="42385"/>
  <c r="H1364" i="42385"/>
  <c r="I1364" i="42385"/>
  <c r="J1364" i="42385"/>
  <c r="K1364" i="42385"/>
  <c r="M1364" i="42385"/>
  <c r="N1364" i="42385"/>
  <c r="O1364" i="42385"/>
  <c r="P1364" i="42385"/>
  <c r="R1364" i="42385"/>
  <c r="S1364" i="42385"/>
  <c r="T1364" i="42385"/>
  <c r="U1364" i="42385"/>
  <c r="W1364" i="42385"/>
  <c r="X1364" i="42385"/>
  <c r="Y1364" i="42385"/>
  <c r="Z1364" i="42385"/>
  <c r="CL1364" i="42385"/>
  <c r="CM1365" i="42385"/>
  <c r="CN1365" i="42385"/>
  <c r="CO1365" i="42385"/>
  <c r="CP1365" i="42385"/>
  <c r="CQ1365" i="42385"/>
  <c r="CR1365" i="42385"/>
  <c r="CS1365" i="42385"/>
  <c r="CT1365" i="42385"/>
  <c r="CU1365" i="42385"/>
  <c r="CV1365" i="42385"/>
  <c r="CW1365" i="42385"/>
  <c r="CX1365" i="42385"/>
  <c r="CY1365" i="42385"/>
  <c r="CZ1365" i="42385"/>
  <c r="DA1365" i="42385"/>
  <c r="DB1365" i="42385"/>
  <c r="DC1365" i="42385"/>
  <c r="CL1366" i="42385"/>
  <c r="CL1368" i="42385"/>
  <c r="G1369" i="42385"/>
  <c r="CM1369" i="42385" s="1"/>
  <c r="L1369" i="42385"/>
  <c r="Q1369" i="42385"/>
  <c r="CO1369" i="42385" s="1"/>
  <c r="V1369" i="42385"/>
  <c r="CP1369" i="42385" s="1"/>
  <c r="AA1369" i="42385"/>
  <c r="CQ1369" i="42385" s="1"/>
  <c r="AF1369" i="42385"/>
  <c r="AK1369" i="42385"/>
  <c r="AP1369" i="42385"/>
  <c r="CT1369" i="42385" s="1"/>
  <c r="AU1369" i="42385"/>
  <c r="CU1369" i="42385" s="1"/>
  <c r="AZ1369" i="42385"/>
  <c r="BE1369" i="42385"/>
  <c r="BJ1369" i="42385"/>
  <c r="CX1369" i="42385" s="1"/>
  <c r="BO1369" i="42385"/>
  <c r="CY1369" i="42385" s="1"/>
  <c r="CL1369" i="42385"/>
  <c r="G1370" i="42385"/>
  <c r="CM1370" i="42385" s="1"/>
  <c r="L1370" i="42385"/>
  <c r="CN1370" i="42385" s="1"/>
  <c r="Q1370" i="42385"/>
  <c r="CO1370" i="42385" s="1"/>
  <c r="V1370" i="42385"/>
  <c r="AA1370" i="42385"/>
  <c r="CQ1370" i="42385" s="1"/>
  <c r="AF1370" i="42385"/>
  <c r="CR1370" i="42385" s="1"/>
  <c r="AG1370" i="42385"/>
  <c r="AK1370" i="42385"/>
  <c r="CS1370" i="42385" s="1"/>
  <c r="AP1370" i="42385"/>
  <c r="CT1370" i="42385" s="1"/>
  <c r="AT1370" i="42385"/>
  <c r="AU1370" i="42385" s="1"/>
  <c r="E30" i="42465" s="1"/>
  <c r="AZ1370" i="42385"/>
  <c r="CV1370" i="42385" s="1"/>
  <c r="BE1370" i="42385"/>
  <c r="CW1370" i="42385" s="1"/>
  <c r="BJ1370" i="42385"/>
  <c r="CX1370" i="42385" s="1"/>
  <c r="BO1370" i="42385"/>
  <c r="CY1370" i="42385" s="1"/>
  <c r="BT1370" i="42385"/>
  <c r="CL1370" i="42385"/>
  <c r="G1371" i="42385"/>
  <c r="CM1371" i="42385" s="1"/>
  <c r="L1371" i="42385"/>
  <c r="CN1371" i="42385" s="1"/>
  <c r="Q1371" i="42385"/>
  <c r="CO1371" i="42385" s="1"/>
  <c r="V1371" i="42385"/>
  <c r="CP1371" i="42385" s="1"/>
  <c r="AA1371" i="42385"/>
  <c r="CQ1371" i="42385" s="1"/>
  <c r="AB1371" i="42385"/>
  <c r="AB1375" i="42385" s="1"/>
  <c r="AC1371" i="42385"/>
  <c r="AC1375" i="42385" s="1"/>
  <c r="AD1371" i="42385"/>
  <c r="AD1375" i="42385" s="1"/>
  <c r="AE1371" i="42385"/>
  <c r="AF1371" i="42385" s="1"/>
  <c r="AG1371" i="42385"/>
  <c r="AH1371" i="42385"/>
  <c r="AI1371" i="42385"/>
  <c r="AJ1371" i="42385"/>
  <c r="AK1371" i="42385" s="1"/>
  <c r="C31" i="42465" s="1"/>
  <c r="AL1371" i="42385"/>
  <c r="AM1371" i="42385"/>
  <c r="AN1371" i="42385"/>
  <c r="AO1371" i="42385"/>
  <c r="AP1371" i="42385" s="1"/>
  <c r="AQ1371" i="42385"/>
  <c r="AR1371" i="42385"/>
  <c r="AS1371" i="42385"/>
  <c r="AS1375" i="42385" s="1"/>
  <c r="AT1371" i="42385"/>
  <c r="AU1371" i="42385" s="1"/>
  <c r="AV1371" i="42385"/>
  <c r="AV1375" i="42385" s="1"/>
  <c r="AW1371" i="42385"/>
  <c r="AX1371" i="42385"/>
  <c r="AX1375" i="42385" s="1"/>
  <c r="AY1371" i="42385"/>
  <c r="AY1375" i="42385" s="1"/>
  <c r="BA1371" i="42385"/>
  <c r="BB1371" i="42385"/>
  <c r="BC1371" i="42385"/>
  <c r="BD1371" i="42385"/>
  <c r="BE1371" i="42385" s="1"/>
  <c r="BF1371" i="42385"/>
  <c r="BF1375" i="42385" s="1"/>
  <c r="BG1371" i="42385"/>
  <c r="BG1375" i="42385" s="1"/>
  <c r="BH1371" i="42385"/>
  <c r="BI1371" i="42385"/>
  <c r="BJ1371" i="42385" s="1"/>
  <c r="CX1371" i="42385" s="1"/>
  <c r="BK1371" i="42385"/>
  <c r="BK1375" i="42385" s="1"/>
  <c r="BL1371" i="42385"/>
  <c r="BM1371" i="42385"/>
  <c r="BN1371" i="42385"/>
  <c r="BO1371" i="42385" s="1"/>
  <c r="BP1371" i="42385"/>
  <c r="BQ1371" i="42385"/>
  <c r="BT1371" i="42385" s="1"/>
  <c r="CL1371" i="42385"/>
  <c r="BE1372" i="42385"/>
  <c r="BJ1372" i="42385"/>
  <c r="BO1372" i="42385"/>
  <c r="BT1372" i="42385"/>
  <c r="BU1372" i="42385" s="1"/>
  <c r="BV1372" i="42385" s="1"/>
  <c r="BW1372" i="42385" s="1"/>
  <c r="BX1372" i="42385" s="1"/>
  <c r="BY1372" i="42385" s="1"/>
  <c r="BZ1372" i="42385" s="1"/>
  <c r="CA1372" i="42385" s="1"/>
  <c r="G1373" i="42385"/>
  <c r="CM1373" i="42385" s="1"/>
  <c r="L1373" i="42385"/>
  <c r="CN1373" i="42385" s="1"/>
  <c r="Q1373" i="42385"/>
  <c r="CO1373" i="42385" s="1"/>
  <c r="V1373" i="42385"/>
  <c r="CP1373" i="42385" s="1"/>
  <c r="AA1373" i="42385"/>
  <c r="CQ1373" i="42385" s="1"/>
  <c r="AF1373" i="42385"/>
  <c r="AU1373" i="42385"/>
  <c r="CU1373" i="42385" s="1"/>
  <c r="AW1373" i="42385"/>
  <c r="AZ1373" i="42385"/>
  <c r="BH1373" i="42385"/>
  <c r="BL1373" i="42385"/>
  <c r="BM1373" i="42385" s="1"/>
  <c r="CL1373" i="42385"/>
  <c r="CM1374" i="42385"/>
  <c r="CN1374" i="42385"/>
  <c r="CO1374" i="42385"/>
  <c r="CP1374" i="42385"/>
  <c r="CQ1374" i="42385"/>
  <c r="CR1374" i="42385"/>
  <c r="CS1374" i="42385"/>
  <c r="CT1374" i="42385"/>
  <c r="CU1374" i="42385"/>
  <c r="CV1374" i="42385"/>
  <c r="CW1374" i="42385"/>
  <c r="CX1374" i="42385"/>
  <c r="CY1374" i="42385"/>
  <c r="CZ1374" i="42385"/>
  <c r="DA1374" i="42385"/>
  <c r="DB1374" i="42385"/>
  <c r="DC1374" i="42385"/>
  <c r="D1375" i="42385"/>
  <c r="E1375" i="42385"/>
  <c r="F1375" i="42385"/>
  <c r="H1375" i="42385"/>
  <c r="I1375" i="42385"/>
  <c r="J1375" i="42385"/>
  <c r="K1375" i="42385"/>
  <c r="M1375" i="42385"/>
  <c r="N1375" i="42385"/>
  <c r="O1375" i="42385"/>
  <c r="P1375" i="42385"/>
  <c r="R1375" i="42385"/>
  <c r="S1375" i="42385"/>
  <c r="T1375" i="42385"/>
  <c r="U1375" i="42385"/>
  <c r="W1375" i="42385"/>
  <c r="X1375" i="42385"/>
  <c r="Y1375" i="42385"/>
  <c r="Z1375" i="42385"/>
  <c r="CL1375" i="42385"/>
  <c r="G1377" i="42385"/>
  <c r="L1377" i="42385"/>
  <c r="CN1377" i="42385" s="1"/>
  <c r="Q1377" i="42385"/>
  <c r="CO1377" i="42385" s="1"/>
  <c r="V1377" i="42385"/>
  <c r="CP1377" i="42385" s="1"/>
  <c r="AA1377" i="42385"/>
  <c r="CQ1377" i="42385" s="1"/>
  <c r="AF1377" i="42385"/>
  <c r="CR1377" i="42385" s="1"/>
  <c r="AK1377" i="42385"/>
  <c r="AP1377" i="42385"/>
  <c r="CT1377" i="42385" s="1"/>
  <c r="AU1377" i="42385"/>
  <c r="CU1377" i="42385" s="1"/>
  <c r="AW1377" i="42385"/>
  <c r="AZ1377" i="42385"/>
  <c r="BM1377" i="42385"/>
  <c r="CL1377" i="42385"/>
  <c r="G1378" i="42385"/>
  <c r="CM1378" i="42385" s="1"/>
  <c r="L1378" i="42385"/>
  <c r="Q1378" i="42385"/>
  <c r="V1378" i="42385"/>
  <c r="CP1378" i="42385" s="1"/>
  <c r="AA1378" i="42385"/>
  <c r="CQ1378" i="42385" s="1"/>
  <c r="AF1378" i="42385"/>
  <c r="AG1478" i="42385" s="1"/>
  <c r="AK1378" i="42385"/>
  <c r="AP1378" i="42385"/>
  <c r="CT1378" i="42385" s="1"/>
  <c r="AU1378" i="42385"/>
  <c r="CU1378" i="42385" s="1"/>
  <c r="AW1378" i="42385"/>
  <c r="AZ1378" i="42385"/>
  <c r="BM1378" i="42385"/>
  <c r="BN1378" i="42385" s="1"/>
  <c r="BO1378" i="42385" s="1"/>
  <c r="CL1378" i="42385"/>
  <c r="G1379" i="42385"/>
  <c r="L1379" i="42385"/>
  <c r="CN1379" i="42385" s="1"/>
  <c r="Q1379" i="42385"/>
  <c r="V1379" i="42385"/>
  <c r="CP1379" i="42385" s="1"/>
  <c r="AA1379" i="42385"/>
  <c r="AB1379" i="42385"/>
  <c r="AB1378" i="42385" s="1"/>
  <c r="AD1379" i="42385"/>
  <c r="AD1563" i="42385" s="1"/>
  <c r="AE1379" i="42385"/>
  <c r="AF1379" i="42385" s="1"/>
  <c r="AG1379" i="42385"/>
  <c r="AG1402" i="42385" s="1"/>
  <c r="AJ1379" i="42385"/>
  <c r="AJ1402" i="42385" s="1"/>
  <c r="AL1379" i="42385"/>
  <c r="AP1379" i="42385"/>
  <c r="CT1379" i="42385" s="1"/>
  <c r="AU1379" i="42385"/>
  <c r="CU1379" i="42385" s="1"/>
  <c r="AW1379" i="42385"/>
  <c r="AZ1379" i="42385"/>
  <c r="CV1379" i="42385" s="1"/>
  <c r="BM1379" i="42385"/>
  <c r="BN1379" i="42385" s="1"/>
  <c r="BO1379" i="42385" s="1"/>
  <c r="CL1379" i="42385"/>
  <c r="G1380" i="42385"/>
  <c r="L1380" i="42385"/>
  <c r="CN1380" i="42385" s="1"/>
  <c r="Q1380" i="42385"/>
  <c r="V1380" i="42385"/>
  <c r="AA1380" i="42385"/>
  <c r="AF1380" i="42385"/>
  <c r="CR1380" i="42385" s="1"/>
  <c r="AK1380" i="42385"/>
  <c r="AP1380" i="42385"/>
  <c r="AU1380" i="42385"/>
  <c r="CU1380" i="42385" s="1"/>
  <c r="AW1380" i="42385"/>
  <c r="AX1480" i="42385" s="1"/>
  <c r="AZ1380" i="42385"/>
  <c r="BM1380" i="42385"/>
  <c r="CL1380" i="42385"/>
  <c r="G1381" i="42385"/>
  <c r="CM1381" i="42385" s="1"/>
  <c r="L1381" i="42385"/>
  <c r="CN1381" i="42385" s="1"/>
  <c r="Q1381" i="42385"/>
  <c r="CO1381" i="42385" s="1"/>
  <c r="V1381" i="42385"/>
  <c r="CP1381" i="42385" s="1"/>
  <c r="AA1381" i="42385"/>
  <c r="CQ1381" i="42385" s="1"/>
  <c r="AF1381" i="42385"/>
  <c r="CR1381" i="42385" s="1"/>
  <c r="AK1381" i="42385"/>
  <c r="CS1381" i="42385" s="1"/>
  <c r="AN1381" i="42385"/>
  <c r="AN1563" i="42385" s="1"/>
  <c r="AO1381" i="42385"/>
  <c r="AP1381" i="42385" s="1"/>
  <c r="AQ1381" i="42385"/>
  <c r="AQ1402" i="42385" s="1"/>
  <c r="AR1381" i="42385"/>
  <c r="AS1381" i="42385"/>
  <c r="AT1381" i="42385"/>
  <c r="AZ1381" i="42385"/>
  <c r="CV1381" i="42385" s="1"/>
  <c r="BM1381" i="42385"/>
  <c r="BN1381" i="42385" s="1"/>
  <c r="CL1381" i="42385"/>
  <c r="G1382" i="42385"/>
  <c r="L1382" i="42385"/>
  <c r="Q1382" i="42385"/>
  <c r="CO1382" i="42385" s="1"/>
  <c r="V1382" i="42385"/>
  <c r="CP1382" i="42385" s="1"/>
  <c r="AA1382" i="42385"/>
  <c r="CQ1382" i="42385" s="1"/>
  <c r="AF1382" i="42385"/>
  <c r="CR1382" i="42385" s="1"/>
  <c r="AK1382" i="42385"/>
  <c r="CS1382" i="42385" s="1"/>
  <c r="AP1382" i="42385"/>
  <c r="CT1382" i="42385" s="1"/>
  <c r="AU1382" i="42385"/>
  <c r="AV1382" i="42385"/>
  <c r="AV1381" i="42385" s="1"/>
  <c r="AZ1382" i="42385"/>
  <c r="CV1382" i="42385" s="1"/>
  <c r="BM1382" i="42385"/>
  <c r="BN1382" i="42385" s="1"/>
  <c r="CL1382" i="42385"/>
  <c r="CN1382" i="42385"/>
  <c r="G1383" i="42385"/>
  <c r="CM1383" i="42385" s="1"/>
  <c r="L1383" i="42385"/>
  <c r="CN1383" i="42385" s="1"/>
  <c r="Q1383" i="42385"/>
  <c r="CO1383" i="42385" s="1"/>
  <c r="V1383" i="42385"/>
  <c r="CP1383" i="42385" s="1"/>
  <c r="AA1383" i="42385"/>
  <c r="CQ1383" i="42385" s="1"/>
  <c r="AF1383" i="42385"/>
  <c r="CR1383" i="42385" s="1"/>
  <c r="AK1383" i="42385"/>
  <c r="CS1383" i="42385" s="1"/>
  <c r="AP1383" i="42385"/>
  <c r="CT1383" i="42385" s="1"/>
  <c r="AU1383" i="42385"/>
  <c r="AW1383" i="42385"/>
  <c r="AX1383" i="42385"/>
  <c r="AX1563" i="42385" s="1"/>
  <c r="AZ1383" i="42385"/>
  <c r="BM1383" i="42385"/>
  <c r="BN1383" i="42385" s="1"/>
  <c r="CL1383" i="42385"/>
  <c r="G1384" i="42385"/>
  <c r="L1384" i="42385"/>
  <c r="CN1384" i="42385" s="1"/>
  <c r="Q1384" i="42385"/>
  <c r="CO1384" i="42385" s="1"/>
  <c r="V1384" i="42385"/>
  <c r="CP1384" i="42385" s="1"/>
  <c r="AA1384" i="42385"/>
  <c r="AF1384" i="42385"/>
  <c r="CR1384" i="42385" s="1"/>
  <c r="AK1384" i="42385"/>
  <c r="AP1384" i="42385"/>
  <c r="AU1384" i="42385"/>
  <c r="AZ1384" i="42385"/>
  <c r="BA1384" i="42385" s="1"/>
  <c r="BM1384" i="42385"/>
  <c r="CL1384" i="42385"/>
  <c r="G1385" i="42385"/>
  <c r="CM1385" i="42385" s="1"/>
  <c r="L1385" i="42385"/>
  <c r="CN1385" i="42385" s="1"/>
  <c r="Q1385" i="42385"/>
  <c r="V1385" i="42385"/>
  <c r="CP1385" i="42385" s="1"/>
  <c r="AA1385" i="42385"/>
  <c r="CQ1385" i="42385" s="1"/>
  <c r="AF1385" i="42385"/>
  <c r="CR1385" i="42385" s="1"/>
  <c r="AK1385" i="42385"/>
  <c r="CS1385" i="42385" s="1"/>
  <c r="AP1385" i="42385"/>
  <c r="CT1385" i="42385" s="1"/>
  <c r="AU1385" i="42385"/>
  <c r="CU1385" i="42385" s="1"/>
  <c r="AZ1385" i="42385"/>
  <c r="CV1385" i="42385" s="1"/>
  <c r="BM1385" i="42385"/>
  <c r="CL1385" i="42385"/>
  <c r="G1386" i="42385"/>
  <c r="CM1386" i="42385" s="1"/>
  <c r="L1386" i="42385"/>
  <c r="Q1386" i="42385"/>
  <c r="CO1386" i="42385" s="1"/>
  <c r="V1386" i="42385"/>
  <c r="CP1386" i="42385" s="1"/>
  <c r="AA1386" i="42385"/>
  <c r="CQ1386" i="42385" s="1"/>
  <c r="AF1386" i="42385"/>
  <c r="AK1386" i="42385"/>
  <c r="AP1386" i="42385"/>
  <c r="CT1386" i="42385" s="1"/>
  <c r="AU1386" i="42385"/>
  <c r="CU1386" i="42385" s="1"/>
  <c r="AZ1386" i="42385"/>
  <c r="BA1386" i="42385" s="1"/>
  <c r="BM1386" i="42385"/>
  <c r="CL1386" i="42385"/>
  <c r="AZ1387" i="42385"/>
  <c r="BA1387" i="42385" s="1"/>
  <c r="BB1387" i="42385" s="1"/>
  <c r="BE1387" i="42385"/>
  <c r="BJ1387" i="42385"/>
  <c r="BO1387" i="42385"/>
  <c r="BQ1387" i="42385"/>
  <c r="BR1387" i="42385" s="1"/>
  <c r="BT1387" i="42385" s="1"/>
  <c r="BU1387" i="42385" s="1"/>
  <c r="CL1387" i="42385"/>
  <c r="AZ1389" i="42385"/>
  <c r="BC1389" i="42385"/>
  <c r="BD1389" i="42385"/>
  <c r="BE1389" i="42385" s="1"/>
  <c r="BF1389" i="42385"/>
  <c r="BG1389" i="42385"/>
  <c r="BI1389" i="42385"/>
  <c r="BJ1389" i="42385" s="1"/>
  <c r="BK1389" i="42385"/>
  <c r="BL1389" i="42385"/>
  <c r="BM1389" i="42385"/>
  <c r="BN1389" i="42385"/>
  <c r="BP1389" i="42385"/>
  <c r="BQ1389" i="42385"/>
  <c r="CL1389" i="42385"/>
  <c r="AZ1390" i="42385"/>
  <c r="BA1390" i="42385" s="1"/>
  <c r="BE1390" i="42385"/>
  <c r="BH1390" i="42385"/>
  <c r="BH1389" i="42385" s="1"/>
  <c r="BJ1390" i="42385"/>
  <c r="BO1390" i="42385"/>
  <c r="AZ1391" i="42385"/>
  <c r="BA1391" i="42385" s="1"/>
  <c r="BE1391" i="42385"/>
  <c r="BJ1391" i="42385"/>
  <c r="BO1391" i="42385"/>
  <c r="BE1393" i="42385"/>
  <c r="BJ1393" i="42385"/>
  <c r="BO1393" i="42385"/>
  <c r="G1395" i="42385"/>
  <c r="CM1395" i="42385" s="1"/>
  <c r="L1395" i="42385"/>
  <c r="CN1395" i="42385" s="1"/>
  <c r="Q1395" i="42385"/>
  <c r="CO1395" i="42385" s="1"/>
  <c r="V1395" i="42385"/>
  <c r="CP1395" i="42385" s="1"/>
  <c r="AA1395" i="42385"/>
  <c r="CQ1395" i="42385" s="1"/>
  <c r="AF1395" i="42385"/>
  <c r="CR1395" i="42385" s="1"/>
  <c r="AK1395" i="42385"/>
  <c r="CS1395" i="42385" s="1"/>
  <c r="AP1395" i="42385"/>
  <c r="CT1395" i="42385" s="1"/>
  <c r="AU1395" i="42385"/>
  <c r="CU1395" i="42385" s="1"/>
  <c r="AZ1395" i="42385"/>
  <c r="CV1395" i="42385" s="1"/>
  <c r="BE1395" i="42385"/>
  <c r="CW1395" i="42385" s="1"/>
  <c r="BJ1395" i="42385"/>
  <c r="CX1395" i="42385" s="1"/>
  <c r="BO1395" i="42385"/>
  <c r="CY1395" i="42385" s="1"/>
  <c r="BT1395" i="42385"/>
  <c r="CL1395" i="42385"/>
  <c r="C1396" i="42385"/>
  <c r="C1402" i="42385" s="1"/>
  <c r="G1396" i="42385"/>
  <c r="CM1396" i="42385" s="1"/>
  <c r="L1396" i="42385"/>
  <c r="CN1396" i="42385" s="1"/>
  <c r="Q1396" i="42385"/>
  <c r="CO1396" i="42385" s="1"/>
  <c r="V1396" i="42385"/>
  <c r="CP1396" i="42385" s="1"/>
  <c r="AA1396" i="42385"/>
  <c r="CQ1396" i="42385" s="1"/>
  <c r="AF1396" i="42385"/>
  <c r="CR1396" i="42385" s="1"/>
  <c r="AK1396" i="42385"/>
  <c r="CS1396" i="42385" s="1"/>
  <c r="AP1396" i="42385"/>
  <c r="CT1396" i="42385" s="1"/>
  <c r="AU1396" i="42385"/>
  <c r="CU1396" i="42385" s="1"/>
  <c r="AZ1396" i="42385"/>
  <c r="BA1396" i="42385" s="1"/>
  <c r="BB1396" i="42385" s="1"/>
  <c r="BC1396" i="42385" s="1"/>
  <c r="BD1396" i="42385" s="1"/>
  <c r="BE1396" i="42385" s="1"/>
  <c r="BL1396" i="42385"/>
  <c r="BM1396" i="42385" s="1"/>
  <c r="BN1396" i="42385" s="1"/>
  <c r="BO1396" i="42385" s="1"/>
  <c r="CL1396" i="42385"/>
  <c r="CM1397" i="42385"/>
  <c r="CN1397" i="42385"/>
  <c r="CO1397" i="42385"/>
  <c r="CP1397" i="42385"/>
  <c r="CQ1397" i="42385"/>
  <c r="CR1397" i="42385"/>
  <c r="CS1397" i="42385"/>
  <c r="CT1397" i="42385"/>
  <c r="CU1397" i="42385"/>
  <c r="CV1397" i="42385"/>
  <c r="CW1397" i="42385"/>
  <c r="CX1397" i="42385"/>
  <c r="CY1397" i="42385"/>
  <c r="CZ1397" i="42385"/>
  <c r="DA1397" i="42385"/>
  <c r="DB1397" i="42385"/>
  <c r="DC1397" i="42385"/>
  <c r="G1398" i="42385"/>
  <c r="CM1398" i="42385" s="1"/>
  <c r="L1398" i="42385"/>
  <c r="CN1398" i="42385" s="1"/>
  <c r="Q1398" i="42385"/>
  <c r="CO1398" i="42385" s="1"/>
  <c r="V1398" i="42385"/>
  <c r="CP1398" i="42385" s="1"/>
  <c r="AA1398" i="42385"/>
  <c r="CQ1398" i="42385" s="1"/>
  <c r="AF1398" i="42385"/>
  <c r="CR1398" i="42385" s="1"/>
  <c r="AK1398" i="42385"/>
  <c r="CS1398" i="42385" s="1"/>
  <c r="AP1398" i="42385"/>
  <c r="CT1398" i="42385" s="1"/>
  <c r="AU1398" i="42385"/>
  <c r="CU1398" i="42385" s="1"/>
  <c r="AW1398" i="42385"/>
  <c r="AX1398" i="42385" s="1"/>
  <c r="AZ1398" i="42385"/>
  <c r="CV1398" i="42385" s="1"/>
  <c r="CL1398" i="42385"/>
  <c r="G1399" i="42385"/>
  <c r="CM1399" i="42385" s="1"/>
  <c r="L1399" i="42385"/>
  <c r="CN1399" i="42385" s="1"/>
  <c r="Q1399" i="42385"/>
  <c r="CO1399" i="42385" s="1"/>
  <c r="V1399" i="42385"/>
  <c r="AA1399" i="42385"/>
  <c r="AF1399" i="42385"/>
  <c r="AK1399" i="42385"/>
  <c r="CS1399" i="42385" s="1"/>
  <c r="AP1399" i="42385"/>
  <c r="AU1399" i="42385"/>
  <c r="AW1399" i="42385"/>
  <c r="AX1399" i="42385" s="1"/>
  <c r="AZ1399" i="42385"/>
  <c r="BA1399" i="42385" s="1"/>
  <c r="CL1399" i="42385"/>
  <c r="G1400" i="42385"/>
  <c r="L1400" i="42385"/>
  <c r="Q1400" i="42385"/>
  <c r="CO1400" i="42385" s="1"/>
  <c r="V1400" i="42385"/>
  <c r="CP1400" i="42385" s="1"/>
  <c r="AA1400" i="42385"/>
  <c r="AF1400" i="42385"/>
  <c r="CR1400" i="42385" s="1"/>
  <c r="AK1400" i="42385"/>
  <c r="CS1400" i="42385" s="1"/>
  <c r="AP1400" i="42385"/>
  <c r="CT1400" i="42385" s="1"/>
  <c r="AU1400" i="42385"/>
  <c r="AW1400" i="42385"/>
  <c r="AX1400" i="42385" s="1"/>
  <c r="AZ1400" i="42385"/>
  <c r="CV1400" i="42385" s="1"/>
  <c r="CL1400" i="42385"/>
  <c r="CM1401" i="42385"/>
  <c r="CN1401" i="42385"/>
  <c r="CO1401" i="42385"/>
  <c r="CP1401" i="42385"/>
  <c r="CQ1401" i="42385"/>
  <c r="CR1401" i="42385"/>
  <c r="CS1401" i="42385"/>
  <c r="CT1401" i="42385"/>
  <c r="CU1401" i="42385"/>
  <c r="CV1401" i="42385"/>
  <c r="CW1401" i="42385"/>
  <c r="CX1401" i="42385"/>
  <c r="CY1401" i="42385"/>
  <c r="CZ1401" i="42385"/>
  <c r="DA1401" i="42385"/>
  <c r="DB1401" i="42385"/>
  <c r="DC1401" i="42385"/>
  <c r="B1402" i="42385"/>
  <c r="B1406" i="42385" s="1"/>
  <c r="D1402" i="42385"/>
  <c r="D1406" i="42385" s="1"/>
  <c r="E1402" i="42385"/>
  <c r="E1406" i="42385" s="1"/>
  <c r="F1402" i="42385"/>
  <c r="H1402" i="42385"/>
  <c r="I1402" i="42385"/>
  <c r="I1406" i="42385" s="1"/>
  <c r="J1402" i="42385"/>
  <c r="J1406" i="42385" s="1"/>
  <c r="K1402" i="42385"/>
  <c r="M1402" i="42385"/>
  <c r="N1402" i="42385"/>
  <c r="N1406" i="42385" s="1"/>
  <c r="O1402" i="42385"/>
  <c r="O1406" i="42385" s="1"/>
  <c r="P1402" i="42385"/>
  <c r="P1406" i="42385" s="1"/>
  <c r="R1402" i="42385"/>
  <c r="S1402" i="42385"/>
  <c r="T1402" i="42385"/>
  <c r="T1406" i="42385" s="1"/>
  <c r="U1402" i="42385"/>
  <c r="W1402" i="42385"/>
  <c r="X1402" i="42385"/>
  <c r="X1406" i="42385" s="1"/>
  <c r="Y1402" i="42385"/>
  <c r="Y1406" i="42385" s="1"/>
  <c r="Z1402" i="42385"/>
  <c r="AH1402" i="42385"/>
  <c r="AH1406" i="42385" s="1"/>
  <c r="AI1402" i="42385"/>
  <c r="AI1406" i="42385" s="1"/>
  <c r="AM1402" i="42385"/>
  <c r="AM1406" i="42385" s="1"/>
  <c r="AY1402" i="42385"/>
  <c r="CL1402" i="42385"/>
  <c r="G1403" i="42385"/>
  <c r="CM1403" i="42385" s="1"/>
  <c r="L1403" i="42385"/>
  <c r="CN1403" i="42385" s="1"/>
  <c r="Q1403" i="42385"/>
  <c r="CO1403" i="42385" s="1"/>
  <c r="V1403" i="42385"/>
  <c r="CP1403" i="42385" s="1"/>
  <c r="AA1403" i="42385"/>
  <c r="CQ1403" i="42385" s="1"/>
  <c r="AF1403" i="42385"/>
  <c r="CR1403" i="42385" s="1"/>
  <c r="AK1403" i="42385"/>
  <c r="CS1403" i="42385" s="1"/>
  <c r="AP1403" i="42385"/>
  <c r="CT1403" i="42385" s="1"/>
  <c r="AU1403" i="42385"/>
  <c r="CU1403" i="42385" s="1"/>
  <c r="AZ1403" i="42385"/>
  <c r="CV1403" i="42385" s="1"/>
  <c r="BE1403" i="42385"/>
  <c r="CW1403" i="42385" s="1"/>
  <c r="BJ1403" i="42385"/>
  <c r="CX1403" i="42385" s="1"/>
  <c r="BO1403" i="42385"/>
  <c r="CY1403" i="42385" s="1"/>
  <c r="BT1403" i="42385"/>
  <c r="CL1403" i="42385"/>
  <c r="BE1404" i="42385"/>
  <c r="BJ1404" i="42385"/>
  <c r="BO1404" i="42385"/>
  <c r="CM1405" i="42385"/>
  <c r="CN1405" i="42385"/>
  <c r="CO1405" i="42385"/>
  <c r="CP1405" i="42385"/>
  <c r="CQ1405" i="42385"/>
  <c r="CR1405" i="42385"/>
  <c r="CS1405" i="42385"/>
  <c r="CT1405" i="42385"/>
  <c r="CU1405" i="42385"/>
  <c r="CV1405" i="42385"/>
  <c r="CW1405" i="42385"/>
  <c r="CX1405" i="42385"/>
  <c r="CY1405" i="42385"/>
  <c r="CZ1405" i="42385"/>
  <c r="DA1405" i="42385"/>
  <c r="DB1405" i="42385"/>
  <c r="DC1405" i="42385"/>
  <c r="CL1406" i="42385"/>
  <c r="G1408" i="42385"/>
  <c r="CM1408" i="42385" s="1"/>
  <c r="L1408" i="42385"/>
  <c r="CN1408" i="42385" s="1"/>
  <c r="Q1408" i="42385"/>
  <c r="V1408" i="42385"/>
  <c r="AA1408" i="42385"/>
  <c r="AF1408" i="42385"/>
  <c r="CR1408" i="42385" s="1"/>
  <c r="AK1408" i="42385"/>
  <c r="AP1408" i="42385"/>
  <c r="AU1408" i="42385"/>
  <c r="CU1408" i="42385" s="1"/>
  <c r="AZ1408" i="42385"/>
  <c r="CV1408" i="42385" s="1"/>
  <c r="BE1408" i="42385"/>
  <c r="BJ1408" i="42385"/>
  <c r="CX1408" i="42385" s="1"/>
  <c r="BO1408" i="42385"/>
  <c r="CY1408" i="42385" s="1"/>
  <c r="CL1408" i="42385"/>
  <c r="G1409" i="42385"/>
  <c r="CM1409" i="42385" s="1"/>
  <c r="L1409" i="42385"/>
  <c r="CN1409" i="42385" s="1"/>
  <c r="Q1409" i="42385"/>
  <c r="CO1409" i="42385" s="1"/>
  <c r="V1409" i="42385"/>
  <c r="CP1409" i="42385" s="1"/>
  <c r="AA1409" i="42385"/>
  <c r="CQ1409" i="42385" s="1"/>
  <c r="AB1409" i="42385"/>
  <c r="AB1411" i="42385" s="1"/>
  <c r="AC1409" i="42385"/>
  <c r="AC1411" i="42385" s="1"/>
  <c r="AD1409" i="42385"/>
  <c r="AD1411" i="42385" s="1"/>
  <c r="AE1409" i="42385"/>
  <c r="AF1409" i="42385" s="1"/>
  <c r="AG1409" i="42385"/>
  <c r="AG1411" i="42385" s="1"/>
  <c r="AH1409" i="42385"/>
  <c r="AH1411" i="42385" s="1"/>
  <c r="AI1409" i="42385"/>
  <c r="AI1411" i="42385" s="1"/>
  <c r="AJ1409" i="42385"/>
  <c r="AK1409" i="42385" s="1"/>
  <c r="AL1409" i="42385"/>
  <c r="AL1411" i="42385" s="1"/>
  <c r="AM1409" i="42385"/>
  <c r="AM1411" i="42385" s="1"/>
  <c r="AN1409" i="42385"/>
  <c r="AN1411" i="42385" s="1"/>
  <c r="AO1409" i="42385"/>
  <c r="AP1409" i="42385" s="1"/>
  <c r="CT1409" i="42385" s="1"/>
  <c r="AQ1409" i="42385"/>
  <c r="AQ1411" i="42385" s="1"/>
  <c r="AR1409" i="42385"/>
  <c r="AR1411" i="42385" s="1"/>
  <c r="AS1409" i="42385"/>
  <c r="AS1411" i="42385" s="1"/>
  <c r="AT1409" i="42385"/>
  <c r="AT1411" i="42385" s="1"/>
  <c r="AV1409" i="42385"/>
  <c r="AV1411" i="42385" s="1"/>
  <c r="AW1409" i="42385"/>
  <c r="AW1411" i="42385" s="1"/>
  <c r="AX1409" i="42385"/>
  <c r="AX1411" i="42385" s="1"/>
  <c r="AY1409" i="42385"/>
  <c r="AY1411" i="42385" s="1"/>
  <c r="BA1409" i="42385"/>
  <c r="BA1411" i="42385" s="1"/>
  <c r="BB1409" i="42385"/>
  <c r="BB1411" i="42385" s="1"/>
  <c r="BC1409" i="42385"/>
  <c r="BC1411" i="42385" s="1"/>
  <c r="BD1409" i="42385"/>
  <c r="BE1409" i="42385" s="1"/>
  <c r="CW1409" i="42385" s="1"/>
  <c r="BF1409" i="42385"/>
  <c r="BF1411" i="42385" s="1"/>
  <c r="BG1409" i="42385"/>
  <c r="BG1411" i="42385" s="1"/>
  <c r="BH1409" i="42385"/>
  <c r="BH1411" i="42385" s="1"/>
  <c r="BJ1409" i="42385"/>
  <c r="CX1409" i="42385" s="1"/>
  <c r="BL1409" i="42385"/>
  <c r="BL1411" i="42385" s="1"/>
  <c r="BM1409" i="42385"/>
  <c r="BM1411" i="42385" s="1"/>
  <c r="BN1409" i="42385"/>
  <c r="BO1409" i="42385" s="1"/>
  <c r="BP1409" i="42385"/>
  <c r="BP1411" i="42385" s="1"/>
  <c r="BQ1409" i="42385"/>
  <c r="BQ1411" i="42385" s="1"/>
  <c r="CL1409" i="42385"/>
  <c r="CM1410" i="42385"/>
  <c r="CN1410" i="42385"/>
  <c r="CO1410" i="42385"/>
  <c r="CP1410" i="42385"/>
  <c r="CQ1410" i="42385"/>
  <c r="CR1410" i="42385"/>
  <c r="CS1410" i="42385"/>
  <c r="CT1410" i="42385"/>
  <c r="CU1410" i="42385"/>
  <c r="CV1410" i="42385"/>
  <c r="CW1410" i="42385"/>
  <c r="CX1410" i="42385"/>
  <c r="CY1410" i="42385"/>
  <c r="CZ1410" i="42385"/>
  <c r="DA1410" i="42385"/>
  <c r="DB1410" i="42385"/>
  <c r="DC1410" i="42385"/>
  <c r="D1411" i="42385"/>
  <c r="E1411" i="42385"/>
  <c r="F1411" i="42385"/>
  <c r="H1411" i="42385"/>
  <c r="I1411" i="42385"/>
  <c r="J1411" i="42385"/>
  <c r="K1411" i="42385"/>
  <c r="M1411" i="42385"/>
  <c r="N1411" i="42385"/>
  <c r="O1411" i="42385"/>
  <c r="P1411" i="42385"/>
  <c r="R1411" i="42385"/>
  <c r="S1411" i="42385"/>
  <c r="T1411" i="42385"/>
  <c r="U1411" i="42385"/>
  <c r="W1411" i="42385"/>
  <c r="X1411" i="42385"/>
  <c r="Y1411" i="42385"/>
  <c r="Z1411" i="42385"/>
  <c r="BI1411" i="42385"/>
  <c r="BK1411" i="42385"/>
  <c r="CL1411" i="42385"/>
  <c r="G1413" i="42385"/>
  <c r="AE1413" i="42385"/>
  <c r="AF1413" i="42385" s="1"/>
  <c r="CR1413" i="42385" s="1"/>
  <c r="AK1413" i="42385"/>
  <c r="CS1413" i="42385" s="1"/>
  <c r="AO1413" i="42385"/>
  <c r="AO1421" i="42385" s="1"/>
  <c r="AU1413" i="42385"/>
  <c r="AW1413" i="42385"/>
  <c r="AZ1413" i="42385"/>
  <c r="CV1413" i="42385" s="1"/>
  <c r="BB1413" i="42385"/>
  <c r="BC1413" i="42385" s="1"/>
  <c r="BD1413" i="42385" s="1"/>
  <c r="BE1413" i="42385" s="1"/>
  <c r="BJ1413" i="42385"/>
  <c r="BO1413" i="42385"/>
  <c r="CY1413" i="42385" s="1"/>
  <c r="CL1413" i="42385"/>
  <c r="CN1413" i="42385"/>
  <c r="CO1413" i="42385"/>
  <c r="CP1413" i="42385"/>
  <c r="CQ1413" i="42385"/>
  <c r="G1414" i="42385"/>
  <c r="CM1414" i="42385" s="1"/>
  <c r="AF1414" i="42385"/>
  <c r="AK1414" i="42385"/>
  <c r="CS1414" i="42385" s="1"/>
  <c r="AP1414" i="42385"/>
  <c r="CT1414" i="42385" s="1"/>
  <c r="AU1414" i="42385"/>
  <c r="CU1414" i="42385" s="1"/>
  <c r="AW1414" i="42385"/>
  <c r="AZ1414" i="42385"/>
  <c r="CV1414" i="42385" s="1"/>
  <c r="BB1414" i="42385"/>
  <c r="BC1414" i="42385" s="1"/>
  <c r="BJ1414" i="42385"/>
  <c r="CX1414" i="42385" s="1"/>
  <c r="BO1414" i="42385"/>
  <c r="CL1414" i="42385"/>
  <c r="CN1414" i="42385"/>
  <c r="CO1414" i="42385"/>
  <c r="CP1414" i="42385"/>
  <c r="CQ1414" i="42385"/>
  <c r="G1415" i="42385"/>
  <c r="CM1415" i="42385" s="1"/>
  <c r="AE1415" i="42385"/>
  <c r="AF1415" i="42385" s="1"/>
  <c r="AK1415" i="42385"/>
  <c r="AP1415" i="42385"/>
  <c r="CT1415" i="42385" s="1"/>
  <c r="AU1415" i="42385"/>
  <c r="CU1415" i="42385" s="1"/>
  <c r="AZ1415" i="42385"/>
  <c r="CV1415" i="42385" s="1"/>
  <c r="BE1415" i="42385"/>
  <c r="CW1415" i="42385" s="1"/>
  <c r="BJ1415" i="42385"/>
  <c r="CX1415" i="42385" s="1"/>
  <c r="BO1415" i="42385"/>
  <c r="CY1415" i="42385" s="1"/>
  <c r="BT1415" i="42385"/>
  <c r="CL1415" i="42385"/>
  <c r="CN1415" i="42385"/>
  <c r="CO1415" i="42385"/>
  <c r="CP1415" i="42385"/>
  <c r="CQ1415" i="42385"/>
  <c r="G1416" i="42385"/>
  <c r="CM1416" i="42385" s="1"/>
  <c r="AE1416" i="42385"/>
  <c r="AK1416" i="42385"/>
  <c r="AL1416" i="42385" s="1"/>
  <c r="AM1416" i="42385" s="1"/>
  <c r="AP1416" i="42385"/>
  <c r="CT1416" i="42385" s="1"/>
  <c r="AU1416" i="42385"/>
  <c r="CU1416" i="42385" s="1"/>
  <c r="AW1416" i="42385"/>
  <c r="AZ1416" i="42385"/>
  <c r="CV1416" i="42385" s="1"/>
  <c r="BB1416" i="42385"/>
  <c r="BC1416" i="42385" s="1"/>
  <c r="BE1416" i="42385"/>
  <c r="CW1416" i="42385" s="1"/>
  <c r="BJ1416" i="42385"/>
  <c r="CX1416" i="42385" s="1"/>
  <c r="BO1416" i="42385"/>
  <c r="CY1416" i="42385" s="1"/>
  <c r="BT1416" i="42385"/>
  <c r="CL1416" i="42385"/>
  <c r="CN1416" i="42385"/>
  <c r="CO1416" i="42385"/>
  <c r="CP1416" i="42385"/>
  <c r="CQ1416" i="42385"/>
  <c r="G1417" i="42385"/>
  <c r="CM1417" i="42385" s="1"/>
  <c r="AF1417" i="42385"/>
  <c r="CR1417" i="42385" s="1"/>
  <c r="AK1417" i="42385"/>
  <c r="CS1417" i="42385" s="1"/>
  <c r="AP1417" i="42385"/>
  <c r="CT1417" i="42385" s="1"/>
  <c r="AU1417" i="42385"/>
  <c r="CU1417" i="42385" s="1"/>
  <c r="AZ1417" i="42385"/>
  <c r="CV1417" i="42385" s="1"/>
  <c r="BE1417" i="42385"/>
  <c r="CW1417" i="42385" s="1"/>
  <c r="BJ1417" i="42385"/>
  <c r="CX1417" i="42385" s="1"/>
  <c r="BO1417" i="42385"/>
  <c r="CY1417" i="42385" s="1"/>
  <c r="CL1417" i="42385"/>
  <c r="CN1417" i="42385"/>
  <c r="CO1417" i="42385"/>
  <c r="CP1417" i="42385"/>
  <c r="CQ1417" i="42385"/>
  <c r="G1418" i="42385"/>
  <c r="CM1418" i="42385" s="1"/>
  <c r="AF1418" i="42385"/>
  <c r="CR1418" i="42385" s="1"/>
  <c r="AK1418" i="42385"/>
  <c r="CS1418" i="42385" s="1"/>
  <c r="AP1418" i="42385"/>
  <c r="CT1418" i="42385" s="1"/>
  <c r="AU1418" i="42385"/>
  <c r="AV1418" i="42385"/>
  <c r="AV1421" i="42385" s="1"/>
  <c r="H42" i="42476" s="1"/>
  <c r="AW1418" i="42385"/>
  <c r="AX1418" i="42385"/>
  <c r="AX1421" i="42385" s="1"/>
  <c r="AY1418" i="42385"/>
  <c r="AY1421" i="42385" s="1"/>
  <c r="K42" i="42476" s="1"/>
  <c r="BA1418" i="42385"/>
  <c r="BA1421" i="42385" s="1"/>
  <c r="M42" i="42476" s="1"/>
  <c r="BE1418" i="42385"/>
  <c r="CW1418" i="42385" s="1"/>
  <c r="BJ1418" i="42385"/>
  <c r="CX1418" i="42385" s="1"/>
  <c r="BO1418" i="42385"/>
  <c r="CY1418" i="42385" s="1"/>
  <c r="CL1418" i="42385"/>
  <c r="CN1418" i="42385"/>
  <c r="CO1418" i="42385"/>
  <c r="CP1418" i="42385"/>
  <c r="CQ1418" i="42385"/>
  <c r="G1419" i="42385"/>
  <c r="CM1419" i="42385" s="1"/>
  <c r="AE1419" i="42385"/>
  <c r="AF1419" i="42385" s="1"/>
  <c r="CR1419" i="42385" s="1"/>
  <c r="AK1419" i="42385"/>
  <c r="CS1419" i="42385" s="1"/>
  <c r="AL1419" i="42385"/>
  <c r="AP1419" i="42385"/>
  <c r="CT1419" i="42385" s="1"/>
  <c r="AU1419" i="42385"/>
  <c r="CU1419" i="42385" s="1"/>
  <c r="AZ1419" i="42385"/>
  <c r="CV1419" i="42385" s="1"/>
  <c r="BE1419" i="42385"/>
  <c r="CW1419" i="42385" s="1"/>
  <c r="BJ1419" i="42385"/>
  <c r="CX1419" i="42385" s="1"/>
  <c r="BO1419" i="42385"/>
  <c r="CY1419" i="42385" s="1"/>
  <c r="BP1419" i="42385"/>
  <c r="BT1419" i="42385"/>
  <c r="BU1419" i="42385" s="1"/>
  <c r="BV1419" i="42385" s="1"/>
  <c r="BW1419" i="42385" s="1"/>
  <c r="BX1419" i="42385" s="1"/>
  <c r="BY1419" i="42385" s="1"/>
  <c r="CL1419" i="42385"/>
  <c r="CN1419" i="42385"/>
  <c r="CO1419" i="42385"/>
  <c r="CP1419" i="42385"/>
  <c r="CQ1419" i="42385"/>
  <c r="CM1420" i="42385"/>
  <c r="CN1420" i="42385"/>
  <c r="CO1420" i="42385"/>
  <c r="CP1420" i="42385"/>
  <c r="CQ1420" i="42385"/>
  <c r="CR1420" i="42385"/>
  <c r="CS1420" i="42385"/>
  <c r="CT1420" i="42385"/>
  <c r="CU1420" i="42385"/>
  <c r="CV1420" i="42385"/>
  <c r="CW1420" i="42385"/>
  <c r="CX1420" i="42385"/>
  <c r="CY1420" i="42385"/>
  <c r="CZ1420" i="42385"/>
  <c r="DA1420" i="42385"/>
  <c r="DB1420" i="42385"/>
  <c r="DC1420" i="42385"/>
  <c r="D1421" i="42385"/>
  <c r="E1421" i="42385"/>
  <c r="F1421" i="42385"/>
  <c r="H1421" i="42385"/>
  <c r="I1421" i="42385"/>
  <c r="J1421" i="42385"/>
  <c r="K1421" i="42385"/>
  <c r="L1421" i="42385"/>
  <c r="M1421" i="42385"/>
  <c r="N1421" i="42385"/>
  <c r="Q202" i="42385" s="1"/>
  <c r="O1421" i="42385"/>
  <c r="P1421" i="42385"/>
  <c r="Q1421" i="42385"/>
  <c r="R1421" i="42385"/>
  <c r="R202" i="42385" s="1"/>
  <c r="S1421" i="42385"/>
  <c r="T1421" i="42385"/>
  <c r="U1421" i="42385"/>
  <c r="V1421" i="42385"/>
  <c r="W1421" i="42385"/>
  <c r="X1421" i="42385"/>
  <c r="Y1421" i="42385"/>
  <c r="Z1421" i="42385"/>
  <c r="AA1421" i="42385"/>
  <c r="CQ1421" i="42385" s="1"/>
  <c r="AB1421" i="42385"/>
  <c r="AC1421" i="42385"/>
  <c r="AD1421" i="42385"/>
  <c r="AI1421" i="42385"/>
  <c r="AJ1421" i="42385"/>
  <c r="AN1421" i="42385"/>
  <c r="AS1421" i="42385"/>
  <c r="E42" i="42476" s="1"/>
  <c r="AT1421" i="42385"/>
  <c r="F42" i="42476" s="1"/>
  <c r="BG1421" i="42385"/>
  <c r="BH1421" i="42385"/>
  <c r="BI1421" i="42385"/>
  <c r="BK1421" i="42385"/>
  <c r="BL1421" i="42385"/>
  <c r="BM1421" i="42385"/>
  <c r="BN1421" i="42385"/>
  <c r="CL1421" i="42385"/>
  <c r="AF1422" i="42385"/>
  <c r="CR1422" i="42385" s="1"/>
  <c r="AJ1422" i="42385"/>
  <c r="AK1422" i="42385" s="1"/>
  <c r="AU1422" i="42385"/>
  <c r="AV1422" i="42385" s="1"/>
  <c r="AW1422" i="42385" s="1"/>
  <c r="AX1422" i="42385" s="1"/>
  <c r="AZ1422" i="42385"/>
  <c r="CV1422" i="42385" s="1"/>
  <c r="CL1422" i="42385"/>
  <c r="CM1422" i="42385"/>
  <c r="CN1422" i="42385"/>
  <c r="CO1422" i="42385"/>
  <c r="CP1422" i="42385"/>
  <c r="CQ1422" i="42385"/>
  <c r="CL1424" i="42385"/>
  <c r="CL1426" i="42385"/>
  <c r="C1429" i="42385"/>
  <c r="D1429" i="42385"/>
  <c r="E1429" i="42385"/>
  <c r="F1429" i="42385"/>
  <c r="G1429" i="42385"/>
  <c r="CM1429" i="42385" s="1"/>
  <c r="H1429" i="42385"/>
  <c r="I1429" i="42385"/>
  <c r="J1429" i="42385"/>
  <c r="K1429" i="42385"/>
  <c r="L1429" i="42385"/>
  <c r="CN1429" i="42385" s="1"/>
  <c r="M1429" i="42385"/>
  <c r="N1429" i="42385"/>
  <c r="O1429" i="42385"/>
  <c r="P1429" i="42385"/>
  <c r="Q1429" i="42385"/>
  <c r="CO1429" i="42385" s="1"/>
  <c r="R1429" i="42385"/>
  <c r="S1429" i="42385"/>
  <c r="T1429" i="42385"/>
  <c r="U1429" i="42385"/>
  <c r="V1429" i="42385"/>
  <c r="CP1429" i="42385" s="1"/>
  <c r="W1429" i="42385"/>
  <c r="X1429" i="42385"/>
  <c r="Y1429" i="42385"/>
  <c r="Z1429" i="42385"/>
  <c r="AA1429" i="42385"/>
  <c r="CQ1429" i="42385" s="1"/>
  <c r="AB1429" i="42385"/>
  <c r="AC1429" i="42385"/>
  <c r="AD1429" i="42385"/>
  <c r="AE1429" i="42385"/>
  <c r="AF1429" i="42385"/>
  <c r="CR1429" i="42385" s="1"/>
  <c r="AG1429" i="42385"/>
  <c r="AH1429" i="42385"/>
  <c r="AI1429" i="42385"/>
  <c r="AJ1429" i="42385"/>
  <c r="AK1429" i="42385"/>
  <c r="CS1429" i="42385" s="1"/>
  <c r="AL1429" i="42385"/>
  <c r="AM1429" i="42385"/>
  <c r="AN1429" i="42385"/>
  <c r="AO1429" i="42385"/>
  <c r="AP1429" i="42385"/>
  <c r="CT1429" i="42385" s="1"/>
  <c r="AQ1429" i="42385"/>
  <c r="AR1429" i="42385"/>
  <c r="AS1429" i="42385"/>
  <c r="AT1429" i="42385"/>
  <c r="AU1429" i="42385"/>
  <c r="CU1429" i="42385" s="1"/>
  <c r="AV1429" i="42385"/>
  <c r="AW1429" i="42385"/>
  <c r="AX1429" i="42385"/>
  <c r="AY1429" i="42385"/>
  <c r="AZ1429" i="42385"/>
  <c r="CV1429" i="42385" s="1"/>
  <c r="BA1429" i="42385"/>
  <c r="BB1429" i="42385"/>
  <c r="BC1429" i="42385"/>
  <c r="BD1429" i="42385"/>
  <c r="BE1429" i="42385"/>
  <c r="CW1429" i="42385" s="1"/>
  <c r="BF1429" i="42385"/>
  <c r="BG1429" i="42385"/>
  <c r="BH1429" i="42385"/>
  <c r="BI1429" i="42385"/>
  <c r="BJ1429" i="42385"/>
  <c r="CX1429" i="42385" s="1"/>
  <c r="BK1429" i="42385"/>
  <c r="BL1429" i="42385"/>
  <c r="BM1429" i="42385"/>
  <c r="BN1429" i="42385"/>
  <c r="BO1429" i="42385"/>
  <c r="CY1429" i="42385" s="1"/>
  <c r="BP1429" i="42385"/>
  <c r="BQ1429" i="42385"/>
  <c r="BR1429" i="42385"/>
  <c r="BS1429" i="42385"/>
  <c r="BT1429" i="42385"/>
  <c r="CZ1429" i="42385" s="1"/>
  <c r="BU1429" i="42385"/>
  <c r="BV1429" i="42385"/>
  <c r="BW1429" i="42385"/>
  <c r="BX1429" i="42385"/>
  <c r="BY1429" i="42385"/>
  <c r="DA1429" i="42385" s="1"/>
  <c r="BZ1429" i="42385"/>
  <c r="DB1429" i="42385" s="1"/>
  <c r="CA1429" i="42385"/>
  <c r="DC1429" i="42385" s="1"/>
  <c r="CB1429" i="42385"/>
  <c r="CC1429" i="42385"/>
  <c r="CD1429" i="42385"/>
  <c r="CE1429" i="42385"/>
  <c r="CF1429" i="42385"/>
  <c r="CL1429" i="42385"/>
  <c r="AC1431" i="42385"/>
  <c r="CL1431" i="42385"/>
  <c r="CL1432" i="42385"/>
  <c r="CM1433" i="42385"/>
  <c r="CN1433" i="42385"/>
  <c r="CO1433" i="42385"/>
  <c r="CP1433" i="42385"/>
  <c r="CQ1433" i="42385"/>
  <c r="CR1433" i="42385"/>
  <c r="CS1433" i="42385"/>
  <c r="CT1433" i="42385"/>
  <c r="CU1433" i="42385"/>
  <c r="CV1433" i="42385"/>
  <c r="CW1433" i="42385"/>
  <c r="CX1433" i="42385"/>
  <c r="CY1433" i="42385"/>
  <c r="CZ1433" i="42385"/>
  <c r="DA1433" i="42385"/>
  <c r="DB1433" i="42385"/>
  <c r="DC1433" i="42385"/>
  <c r="AC1434" i="42385"/>
  <c r="CL1434" i="42385"/>
  <c r="AE1436" i="42385"/>
  <c r="CL1436" i="42385"/>
  <c r="AE1437" i="42385"/>
  <c r="AF1437" i="42385" s="1"/>
  <c r="CL1437" i="42385"/>
  <c r="CM1438" i="42385"/>
  <c r="CN1438" i="42385"/>
  <c r="CO1438" i="42385"/>
  <c r="CP1438" i="42385"/>
  <c r="CQ1438" i="42385"/>
  <c r="CR1438" i="42385"/>
  <c r="CS1438" i="42385"/>
  <c r="CT1438" i="42385"/>
  <c r="CU1438" i="42385"/>
  <c r="CV1438" i="42385"/>
  <c r="CW1438" i="42385"/>
  <c r="CX1438" i="42385"/>
  <c r="CY1438" i="42385"/>
  <c r="CZ1438" i="42385"/>
  <c r="DA1438" i="42385"/>
  <c r="DB1438" i="42385"/>
  <c r="DC1438" i="42385"/>
  <c r="AD1439" i="42385"/>
  <c r="AD1431" i="42385" s="1"/>
  <c r="CL1439" i="42385"/>
  <c r="CM1439" i="42385"/>
  <c r="CN1439" i="42385"/>
  <c r="CO1439" i="42385"/>
  <c r="CP1439" i="42385"/>
  <c r="CQ1439" i="42385"/>
  <c r="CL1441" i="42385"/>
  <c r="G1442" i="42385"/>
  <c r="CM1442" i="42385" s="1"/>
  <c r="L1442" i="42385"/>
  <c r="CN1442" i="42385" s="1"/>
  <c r="Q1442" i="42385"/>
  <c r="CO1442" i="42385" s="1"/>
  <c r="V1442" i="42385"/>
  <c r="CP1442" i="42385" s="1"/>
  <c r="AA1442" i="42385"/>
  <c r="CQ1442" i="42385" s="1"/>
  <c r="AE1442" i="42385"/>
  <c r="AK1442" i="42385"/>
  <c r="CS1442" i="42385" s="1"/>
  <c r="AP1442" i="42385"/>
  <c r="AP1452" i="42385" s="1"/>
  <c r="CT1452" i="42385" s="1"/>
  <c r="AR1442" i="42385"/>
  <c r="AS1442" i="42385" s="1"/>
  <c r="AZ1442" i="42385"/>
  <c r="CV1442" i="42385" s="1"/>
  <c r="BE1442" i="42385"/>
  <c r="BE1452" i="42385" s="1"/>
  <c r="CW1452" i="42385" s="1"/>
  <c r="BJ1442" i="42385"/>
  <c r="BJ1451" i="42385" s="1"/>
  <c r="CX1451" i="42385" s="1"/>
  <c r="BO1442" i="42385"/>
  <c r="BT1442" i="42385"/>
  <c r="BY1442" i="42385"/>
  <c r="BY1458" i="42385" s="1"/>
  <c r="AD135" i="42408" s="1"/>
  <c r="CL1442" i="42385"/>
  <c r="CL1444" i="42385"/>
  <c r="CL1445" i="42385"/>
  <c r="CL1446" i="42385"/>
  <c r="CL1447" i="42385"/>
  <c r="CL1448" i="42385"/>
  <c r="C1449" i="42385"/>
  <c r="C1480" i="42385" s="1"/>
  <c r="D1449" i="42385"/>
  <c r="D1480" i="42385" s="1"/>
  <c r="E1449" i="42385"/>
  <c r="E1480" i="42385" s="1"/>
  <c r="F1449" i="42385"/>
  <c r="F1480" i="42385" s="1"/>
  <c r="H1449" i="42385"/>
  <c r="I1449" i="42385"/>
  <c r="I1480" i="42385" s="1"/>
  <c r="CL1449" i="42385"/>
  <c r="AN1450" i="42385"/>
  <c r="AO1450" i="42385"/>
  <c r="AQ1450" i="42385"/>
  <c r="AV1450" i="42385"/>
  <c r="AW1450" i="42385"/>
  <c r="AX1450" i="42385"/>
  <c r="AY1450" i="42385"/>
  <c r="AY1481" i="42385" s="1"/>
  <c r="BA1450" i="42385"/>
  <c r="BB1450" i="42385"/>
  <c r="BC1450" i="42385"/>
  <c r="BD1450" i="42385"/>
  <c r="BF1450" i="42385"/>
  <c r="BG1450" i="42385"/>
  <c r="BH1450" i="42385"/>
  <c r="BI1450" i="42385"/>
  <c r="BK1450" i="42385"/>
  <c r="BL1450" i="42385"/>
  <c r="BL1481" i="42385" s="1"/>
  <c r="BM1450" i="42385"/>
  <c r="BN1450" i="42385"/>
  <c r="BP1450" i="42385"/>
  <c r="BQ1450" i="42385"/>
  <c r="BR1450" i="42385"/>
  <c r="BS1450" i="42385"/>
  <c r="BU1450" i="42385"/>
  <c r="BV1450" i="42385"/>
  <c r="BW1450" i="42385"/>
  <c r="BX1450" i="42385"/>
  <c r="CL1450" i="42385"/>
  <c r="AN1451" i="42385"/>
  <c r="AN1482" i="42385" s="1"/>
  <c r="AP1482" i="42385" s="1"/>
  <c r="CT1482" i="42385" s="1"/>
  <c r="AO1451" i="42385"/>
  <c r="AO1482" i="42385" s="1"/>
  <c r="AQ1451" i="42385"/>
  <c r="AV1451" i="42385"/>
  <c r="AW1451" i="42385"/>
  <c r="AW1482" i="42385" s="1"/>
  <c r="AX1451" i="42385"/>
  <c r="AX1482" i="42385" s="1"/>
  <c r="AY1451" i="42385"/>
  <c r="AY1482" i="42385" s="1"/>
  <c r="BA1451" i="42385"/>
  <c r="BB1451" i="42385"/>
  <c r="BC1451" i="42385"/>
  <c r="BD1451" i="42385"/>
  <c r="BF1451" i="42385"/>
  <c r="BG1451" i="42385"/>
  <c r="BH1451" i="42385"/>
  <c r="BI1451" i="42385"/>
  <c r="BK1451" i="42385"/>
  <c r="BL1451" i="42385"/>
  <c r="BL1482" i="42385" s="1"/>
  <c r="BM1451" i="42385"/>
  <c r="BN1451" i="42385"/>
  <c r="BP1451" i="42385"/>
  <c r="BQ1451" i="42385"/>
  <c r="BR1451" i="42385"/>
  <c r="BS1451" i="42385"/>
  <c r="BU1451" i="42385"/>
  <c r="BV1451" i="42385"/>
  <c r="BW1451" i="42385"/>
  <c r="BX1451" i="42385"/>
  <c r="CL1451" i="42385"/>
  <c r="AN1452" i="42385"/>
  <c r="AN1483" i="42385" s="1"/>
  <c r="AO1452" i="42385"/>
  <c r="AO1483" i="42385" s="1"/>
  <c r="AQ1452" i="42385"/>
  <c r="AV1452" i="42385"/>
  <c r="AW1452" i="42385"/>
  <c r="AW1483" i="42385" s="1"/>
  <c r="AX1452" i="42385"/>
  <c r="AY1452" i="42385"/>
  <c r="BA1452" i="42385"/>
  <c r="BB1452" i="42385"/>
  <c r="BC1452" i="42385"/>
  <c r="BD1452" i="42385"/>
  <c r="BF1452" i="42385"/>
  <c r="BG1452" i="42385"/>
  <c r="BH1452" i="42385"/>
  <c r="BI1452" i="42385"/>
  <c r="BK1452" i="42385"/>
  <c r="BL1452" i="42385"/>
  <c r="BL1483" i="42385" s="1"/>
  <c r="BM1452" i="42385"/>
  <c r="BN1452" i="42385"/>
  <c r="BP1452" i="42385"/>
  <c r="BQ1452" i="42385"/>
  <c r="BR1452" i="42385"/>
  <c r="BS1452" i="42385"/>
  <c r="BU1452" i="42385"/>
  <c r="BV1452" i="42385"/>
  <c r="BW1452" i="42385"/>
  <c r="BX1452" i="42385"/>
  <c r="CL1452" i="42385"/>
  <c r="C1453" i="42385"/>
  <c r="C1484" i="42385" s="1"/>
  <c r="D1453" i="42385"/>
  <c r="E1453" i="42385"/>
  <c r="E1484" i="42385" s="1"/>
  <c r="F1453" i="42385"/>
  <c r="F1484" i="42385" s="1"/>
  <c r="H1453" i="42385"/>
  <c r="I1453" i="42385"/>
  <c r="J1453" i="42385"/>
  <c r="J1484" i="42385" s="1"/>
  <c r="K1453" i="42385"/>
  <c r="K1484" i="42385" s="1"/>
  <c r="M1453" i="42385"/>
  <c r="N1453" i="42385"/>
  <c r="O1453" i="42385"/>
  <c r="O1484" i="42385" s="1"/>
  <c r="P1453" i="42385"/>
  <c r="P1484" i="42385" s="1"/>
  <c r="R1453" i="42385"/>
  <c r="S1453" i="42385"/>
  <c r="T1453" i="42385"/>
  <c r="T1484" i="42385" s="1"/>
  <c r="U1453" i="42385"/>
  <c r="U1484" i="42385" s="1"/>
  <c r="W1453" i="42385"/>
  <c r="W1484" i="42385" s="1"/>
  <c r="X1453" i="42385"/>
  <c r="Y1453" i="42385"/>
  <c r="Y1484" i="42385" s="1"/>
  <c r="Z1453" i="42385"/>
  <c r="Z1484" i="42385" s="1"/>
  <c r="AB1453" i="42385"/>
  <c r="AC1453" i="42385"/>
  <c r="AD1453" i="42385"/>
  <c r="AD1484" i="42385" s="1"/>
  <c r="AE1453" i="42385"/>
  <c r="AE1484" i="42385" s="1"/>
  <c r="AG1453" i="42385"/>
  <c r="AH1453" i="42385"/>
  <c r="AH1484" i="42385" s="1"/>
  <c r="AI1453" i="42385"/>
  <c r="AI1484" i="42385" s="1"/>
  <c r="AJ1453" i="42385"/>
  <c r="AJ1484" i="42385" s="1"/>
  <c r="AL1453" i="42385"/>
  <c r="AM1453" i="42385"/>
  <c r="AN1453" i="42385"/>
  <c r="AN1484" i="42385" s="1"/>
  <c r="AO1453" i="42385"/>
  <c r="AQ1453" i="42385"/>
  <c r="AR1453" i="42385"/>
  <c r="AS1453" i="42385"/>
  <c r="AS1484" i="42385" s="1"/>
  <c r="AT1453" i="42385"/>
  <c r="AV1453" i="42385"/>
  <c r="AW1453" i="42385"/>
  <c r="AX1453" i="42385"/>
  <c r="AX1484" i="42385" s="1"/>
  <c r="AY1453" i="42385"/>
  <c r="AY1484" i="42385" s="1"/>
  <c r="AZ1453" i="42385"/>
  <c r="CV1453" i="42385" s="1"/>
  <c r="BA1453" i="42385"/>
  <c r="BB1453" i="42385"/>
  <c r="BC1453" i="42385"/>
  <c r="BD1453" i="42385"/>
  <c r="BE1453" i="42385"/>
  <c r="CW1453" i="42385" s="1"/>
  <c r="BF1453" i="42385"/>
  <c r="BG1453" i="42385"/>
  <c r="BH1453" i="42385"/>
  <c r="BI1453" i="42385"/>
  <c r="BJ1453" i="42385"/>
  <c r="CX1453" i="42385" s="1"/>
  <c r="BK1453" i="42385"/>
  <c r="BL1453" i="42385"/>
  <c r="BL1484" i="42385" s="1"/>
  <c r="BM1453" i="42385"/>
  <c r="BN1453" i="42385"/>
  <c r="BO1453" i="42385"/>
  <c r="CY1453" i="42385" s="1"/>
  <c r="BP1453" i="42385"/>
  <c r="BQ1453" i="42385"/>
  <c r="BR1453" i="42385"/>
  <c r="BS1453" i="42385"/>
  <c r="BT1453" i="42385"/>
  <c r="CZ1453" i="42385" s="1"/>
  <c r="BU1453" i="42385"/>
  <c r="BV1453" i="42385"/>
  <c r="BW1453" i="42385"/>
  <c r="BX1453" i="42385"/>
  <c r="BY1453" i="42385"/>
  <c r="DA1453" i="42385" s="1"/>
  <c r="BZ1453" i="42385"/>
  <c r="DB1453" i="42385" s="1"/>
  <c r="CA1453" i="42385"/>
  <c r="DC1453" i="42385" s="1"/>
  <c r="CB1453" i="42385"/>
  <c r="CC1453" i="42385"/>
  <c r="CD1453" i="42385"/>
  <c r="CE1453" i="42385"/>
  <c r="CF1453" i="42385"/>
  <c r="CL1453" i="42385"/>
  <c r="H1454" i="42385"/>
  <c r="I1454" i="42385"/>
  <c r="I1485" i="42385" s="1"/>
  <c r="J1454" i="42385"/>
  <c r="J1485" i="42385" s="1"/>
  <c r="K1454" i="42385"/>
  <c r="K1485" i="42385" s="1"/>
  <c r="M1454" i="42385"/>
  <c r="N1454" i="42385"/>
  <c r="N1485" i="42385" s="1"/>
  <c r="O1454" i="42385"/>
  <c r="O1485" i="42385" s="1"/>
  <c r="P1454" i="42385"/>
  <c r="R1454" i="42385"/>
  <c r="S1454" i="42385"/>
  <c r="S1485" i="42385" s="1"/>
  <c r="T1454" i="42385"/>
  <c r="T1485" i="42385" s="1"/>
  <c r="U1454" i="42385"/>
  <c r="W1454" i="42385"/>
  <c r="X1454" i="42385"/>
  <c r="Y1454" i="42385"/>
  <c r="Y1485" i="42385" s="1"/>
  <c r="Z1454" i="42385"/>
  <c r="Z1485" i="42385" s="1"/>
  <c r="AB1454" i="42385"/>
  <c r="AC1454" i="42385"/>
  <c r="AD1454" i="42385"/>
  <c r="AE1454" i="42385"/>
  <c r="AE1485" i="42385" s="1"/>
  <c r="AG1454" i="42385"/>
  <c r="AH1454" i="42385"/>
  <c r="AH1485" i="42385" s="1"/>
  <c r="AI1454" i="42385"/>
  <c r="AI1485" i="42385" s="1"/>
  <c r="AJ1454" i="42385"/>
  <c r="AJ1485" i="42385" s="1"/>
  <c r="AL1454" i="42385"/>
  <c r="AM1454" i="42385"/>
  <c r="AM1485" i="42385" s="1"/>
  <c r="AN1454" i="42385"/>
  <c r="AN1485" i="42385" s="1"/>
  <c r="AO1454" i="42385"/>
  <c r="AQ1454" i="42385"/>
  <c r="AR1454" i="42385"/>
  <c r="AR1485" i="42385" s="1"/>
  <c r="AS1454" i="42385"/>
  <c r="AS1485" i="42385" s="1"/>
  <c r="AT1454" i="42385"/>
  <c r="AT1485" i="42385" s="1"/>
  <c r="AV1454" i="42385"/>
  <c r="AW1454" i="42385"/>
  <c r="AW1485" i="42385" s="1"/>
  <c r="AX1454" i="42385"/>
  <c r="AY1454" i="42385"/>
  <c r="AY1485" i="42385" s="1"/>
  <c r="AZ1454" i="42385"/>
  <c r="CV1454" i="42385" s="1"/>
  <c r="BA1454" i="42385"/>
  <c r="BB1454" i="42385"/>
  <c r="BC1454" i="42385"/>
  <c r="BD1454" i="42385"/>
  <c r="BE1454" i="42385"/>
  <c r="CW1454" i="42385" s="1"/>
  <c r="BF1454" i="42385"/>
  <c r="BG1454" i="42385"/>
  <c r="BH1454" i="42385"/>
  <c r="BI1454" i="42385"/>
  <c r="BJ1454" i="42385"/>
  <c r="CX1454" i="42385" s="1"/>
  <c r="BK1454" i="42385"/>
  <c r="BL1454" i="42385"/>
  <c r="BL1485" i="42385" s="1"/>
  <c r="BM1454" i="42385"/>
  <c r="BN1454" i="42385"/>
  <c r="BO1454" i="42385"/>
  <c r="CY1454" i="42385" s="1"/>
  <c r="BP1454" i="42385"/>
  <c r="BQ1454" i="42385"/>
  <c r="BR1454" i="42385"/>
  <c r="BS1454" i="42385"/>
  <c r="BT1454" i="42385"/>
  <c r="CZ1454" i="42385" s="1"/>
  <c r="BU1454" i="42385"/>
  <c r="BV1454" i="42385"/>
  <c r="BW1454" i="42385"/>
  <c r="BX1454" i="42385"/>
  <c r="BY1454" i="42385"/>
  <c r="DA1454" i="42385" s="1"/>
  <c r="BZ1454" i="42385"/>
  <c r="DB1454" i="42385" s="1"/>
  <c r="CA1454" i="42385"/>
  <c r="DC1454" i="42385" s="1"/>
  <c r="CB1454" i="42385"/>
  <c r="CC1454" i="42385"/>
  <c r="CD1454" i="42385"/>
  <c r="CE1454" i="42385"/>
  <c r="CF1454" i="42385"/>
  <c r="CL1454" i="42385"/>
  <c r="AD1455" i="42385"/>
  <c r="AD1486" i="42385" s="1"/>
  <c r="AE1455" i="42385"/>
  <c r="AE1486" i="42385" s="1"/>
  <c r="AG1455" i="42385"/>
  <c r="AH1455" i="42385"/>
  <c r="AI1455" i="42385"/>
  <c r="AJ1455" i="42385"/>
  <c r="AJ1486" i="42385" s="1"/>
  <c r="AL1455" i="42385"/>
  <c r="AM1455" i="42385"/>
  <c r="AM1486" i="42385" s="1"/>
  <c r="AN1455" i="42385"/>
  <c r="AN1486" i="42385" s="1"/>
  <c r="AO1455" i="42385"/>
  <c r="AQ1455" i="42385"/>
  <c r="AR1455" i="42385"/>
  <c r="AS1455" i="42385"/>
  <c r="AS1486" i="42385" s="1"/>
  <c r="AT1455" i="42385"/>
  <c r="AT1486" i="42385" s="1"/>
  <c r="AV1455" i="42385"/>
  <c r="AW1455" i="42385"/>
  <c r="AW1486" i="42385" s="1"/>
  <c r="AX1455" i="42385"/>
  <c r="AX1486" i="42385" s="1"/>
  <c r="AY1455" i="42385"/>
  <c r="AY1486" i="42385" s="1"/>
  <c r="AZ1455" i="42385"/>
  <c r="CV1455" i="42385" s="1"/>
  <c r="BA1455" i="42385"/>
  <c r="BB1455" i="42385"/>
  <c r="BC1455" i="42385"/>
  <c r="BD1455" i="42385"/>
  <c r="BE1455" i="42385"/>
  <c r="CW1455" i="42385" s="1"/>
  <c r="BF1455" i="42385"/>
  <c r="BG1455" i="42385"/>
  <c r="BH1455" i="42385"/>
  <c r="BI1455" i="42385"/>
  <c r="BJ1455" i="42385"/>
  <c r="CX1455" i="42385" s="1"/>
  <c r="BK1455" i="42385"/>
  <c r="BL1455" i="42385"/>
  <c r="BL1486" i="42385" s="1"/>
  <c r="BM1455" i="42385"/>
  <c r="BN1455" i="42385"/>
  <c r="BO1455" i="42385"/>
  <c r="CY1455" i="42385" s="1"/>
  <c r="BP1455" i="42385"/>
  <c r="BQ1455" i="42385"/>
  <c r="BR1455" i="42385"/>
  <c r="BS1455" i="42385"/>
  <c r="BT1455" i="42385"/>
  <c r="CZ1455" i="42385" s="1"/>
  <c r="BU1455" i="42385"/>
  <c r="BV1455" i="42385"/>
  <c r="BW1455" i="42385"/>
  <c r="BX1455" i="42385"/>
  <c r="BY1455" i="42385"/>
  <c r="DA1455" i="42385" s="1"/>
  <c r="BZ1455" i="42385"/>
  <c r="DB1455" i="42385" s="1"/>
  <c r="CA1455" i="42385"/>
  <c r="DC1455" i="42385" s="1"/>
  <c r="CB1455" i="42385"/>
  <c r="CC1455" i="42385"/>
  <c r="CD1455" i="42385"/>
  <c r="CE1455" i="42385"/>
  <c r="CF1455" i="42385"/>
  <c r="CL1455" i="42385"/>
  <c r="AY1456" i="42385"/>
  <c r="BQ1457" i="42385"/>
  <c r="AY1458" i="42385"/>
  <c r="BA1458" i="42385"/>
  <c r="BB1458" i="42385"/>
  <c r="BC1458" i="42385"/>
  <c r="BD1458" i="42385"/>
  <c r="BF1458" i="42385"/>
  <c r="BG1458" i="42385"/>
  <c r="BH1458" i="42385"/>
  <c r="BI1458" i="42385"/>
  <c r="BK1458" i="42385"/>
  <c r="BL1458" i="42385"/>
  <c r="BM1458" i="42385"/>
  <c r="BN1458" i="42385"/>
  <c r="BP1458" i="42385"/>
  <c r="BQ1458" i="42385"/>
  <c r="BR1458" i="42385"/>
  <c r="BS1458" i="42385"/>
  <c r="BU1458" i="42385"/>
  <c r="BV1458" i="42385"/>
  <c r="BW1458" i="42385"/>
  <c r="BX1458" i="42385"/>
  <c r="AY1459" i="42385"/>
  <c r="BA1459" i="42385"/>
  <c r="BB1459" i="42385"/>
  <c r="BC1459" i="42385"/>
  <c r="BD1459" i="42385"/>
  <c r="BD1490" i="42385" s="1"/>
  <c r="BF1459" i="42385"/>
  <c r="BG1459" i="42385"/>
  <c r="BG1490" i="42385" s="1"/>
  <c r="BH1459" i="42385"/>
  <c r="BI1459" i="42385"/>
  <c r="BK1459" i="42385"/>
  <c r="BK1490" i="42385" s="1"/>
  <c r="BL1459" i="42385"/>
  <c r="BM1459" i="42385"/>
  <c r="BN1459" i="42385"/>
  <c r="BN1490" i="42385" s="1"/>
  <c r="BP1459" i="42385"/>
  <c r="BQ1459" i="42385"/>
  <c r="BQ1490" i="42385" s="1"/>
  <c r="BR1459" i="42385"/>
  <c r="BS1459" i="42385"/>
  <c r="BU1459" i="42385"/>
  <c r="BV1459" i="42385"/>
  <c r="BW1459" i="42385"/>
  <c r="BX1459" i="42385"/>
  <c r="AY1460" i="42385"/>
  <c r="AZ1460" i="42385" s="1"/>
  <c r="BA1460" i="42385"/>
  <c r="BB1460" i="42385"/>
  <c r="BC1460" i="42385"/>
  <c r="BD1460" i="42385"/>
  <c r="BD1491" i="42385" s="1"/>
  <c r="BF1460" i="42385"/>
  <c r="BG1460" i="42385"/>
  <c r="BG1491" i="42385" s="1"/>
  <c r="BH1460" i="42385"/>
  <c r="BH1491" i="42385" s="1"/>
  <c r="BI1460" i="42385"/>
  <c r="BI1491" i="42385" s="1"/>
  <c r="BK1460" i="42385"/>
  <c r="BL1460" i="42385"/>
  <c r="BL1491" i="42385" s="1"/>
  <c r="BM1460" i="42385"/>
  <c r="BM1491" i="42385" s="1"/>
  <c r="BN1460" i="42385"/>
  <c r="BN1491" i="42385" s="1"/>
  <c r="BP1460" i="42385"/>
  <c r="BQ1460" i="42385"/>
  <c r="BQ1491" i="42385" s="1"/>
  <c r="BR1460" i="42385"/>
  <c r="BS1460" i="42385"/>
  <c r="BU1460" i="42385"/>
  <c r="BV1460" i="42385"/>
  <c r="BW1460" i="42385"/>
  <c r="BX1460" i="42385"/>
  <c r="AY1464" i="42385"/>
  <c r="AZ1464" i="42385"/>
  <c r="BA1464" i="42385"/>
  <c r="BB1464" i="42385"/>
  <c r="BC1464" i="42385"/>
  <c r="BD1464" i="42385"/>
  <c r="BF1464" i="42385"/>
  <c r="BG1464" i="42385"/>
  <c r="BH1464" i="42385"/>
  <c r="BI1464" i="42385"/>
  <c r="BK1464" i="42385"/>
  <c r="BL1464" i="42385"/>
  <c r="BM1464" i="42385"/>
  <c r="BN1464" i="42385"/>
  <c r="BP1464" i="42385"/>
  <c r="BQ1464" i="42385"/>
  <c r="BR1464" i="42385"/>
  <c r="BS1464" i="42385"/>
  <c r="BU1464" i="42385"/>
  <c r="BV1464" i="42385"/>
  <c r="BW1464" i="42385"/>
  <c r="BX1464" i="42385"/>
  <c r="AY1465" i="42385"/>
  <c r="BA1465" i="42385"/>
  <c r="BB1465" i="42385"/>
  <c r="BC1465" i="42385"/>
  <c r="BD1465" i="42385"/>
  <c r="BF1465" i="42385"/>
  <c r="BG1465" i="42385"/>
  <c r="BH1465" i="42385"/>
  <c r="BI1465" i="42385"/>
  <c r="BK1465" i="42385"/>
  <c r="BL1465" i="42385"/>
  <c r="BM1465" i="42385"/>
  <c r="BN1465" i="42385"/>
  <c r="BP1465" i="42385"/>
  <c r="BQ1465" i="42385"/>
  <c r="BR1465" i="42385"/>
  <c r="BS1465" i="42385"/>
  <c r="BU1465" i="42385"/>
  <c r="BV1465" i="42385"/>
  <c r="BW1465" i="42385"/>
  <c r="BX1465" i="42385"/>
  <c r="AY1466" i="42385"/>
  <c r="BA1466" i="42385" s="1"/>
  <c r="BB1466" i="42385" s="1"/>
  <c r="BC1466" i="42385" s="1"/>
  <c r="BD1466" i="42385" s="1"/>
  <c r="BE1466" i="42385" s="1"/>
  <c r="BF1466" i="42385" s="1"/>
  <c r="BG1466" i="42385" s="1"/>
  <c r="BH1466" i="42385" s="1"/>
  <c r="BI1466" i="42385" s="1"/>
  <c r="BJ1466" i="42385" s="1"/>
  <c r="BK1466" i="42385" s="1"/>
  <c r="BL1466" i="42385" s="1"/>
  <c r="BM1466" i="42385" s="1"/>
  <c r="BN1466" i="42385" s="1"/>
  <c r="BO1466" i="42385" s="1"/>
  <c r="BP1466" i="42385" s="1"/>
  <c r="BQ1466" i="42385" s="1"/>
  <c r="BR1466" i="42385" s="1"/>
  <c r="BS1466" i="42385" s="1"/>
  <c r="BT1466" i="42385" s="1"/>
  <c r="BU1466" i="42385" s="1"/>
  <c r="BV1466" i="42385" s="1"/>
  <c r="BW1466" i="42385" s="1"/>
  <c r="BX1466" i="42385" s="1"/>
  <c r="BY1466" i="42385" s="1"/>
  <c r="BZ1466" i="42385" s="1"/>
  <c r="CA1466" i="42385" s="1"/>
  <c r="CB1466" i="42385" s="1"/>
  <c r="CC1466" i="42385" s="1"/>
  <c r="CD1466" i="42385" s="1"/>
  <c r="CE1466" i="42385" s="1"/>
  <c r="CF1466" i="42385" s="1"/>
  <c r="AY1467" i="42385"/>
  <c r="AZ1467" i="42385" s="1"/>
  <c r="AY1468" i="42385"/>
  <c r="BA1468" i="42385" s="1"/>
  <c r="BB1468" i="42385" s="1"/>
  <c r="BC1468" i="42385" s="1"/>
  <c r="BD1468" i="42385" s="1"/>
  <c r="BE1468" i="42385" s="1"/>
  <c r="BF1468" i="42385" s="1"/>
  <c r="BG1468" i="42385" s="1"/>
  <c r="BH1468" i="42385" s="1"/>
  <c r="BI1468" i="42385" s="1"/>
  <c r="BJ1468" i="42385" s="1"/>
  <c r="BK1468" i="42385" s="1"/>
  <c r="BL1468" i="42385" s="1"/>
  <c r="BM1468" i="42385" s="1"/>
  <c r="BN1468" i="42385" s="1"/>
  <c r="BO1468" i="42385" s="1"/>
  <c r="BP1468" i="42385" s="1"/>
  <c r="BQ1468" i="42385" s="1"/>
  <c r="BR1468" i="42385" s="1"/>
  <c r="BS1468" i="42385" s="1"/>
  <c r="BT1468" i="42385" s="1"/>
  <c r="BU1468" i="42385" s="1"/>
  <c r="BV1468" i="42385" s="1"/>
  <c r="BW1468" i="42385" s="1"/>
  <c r="BX1468" i="42385" s="1"/>
  <c r="BY1468" i="42385" s="1"/>
  <c r="BZ1468" i="42385" s="1"/>
  <c r="CA1468" i="42385" s="1"/>
  <c r="CB1468" i="42385" s="1"/>
  <c r="CC1468" i="42385" s="1"/>
  <c r="CD1468" i="42385" s="1"/>
  <c r="CE1468" i="42385" s="1"/>
  <c r="CF1468" i="42385" s="1"/>
  <c r="CL1469" i="42385"/>
  <c r="CL1470" i="42385"/>
  <c r="CL1471" i="42385"/>
  <c r="C1472" i="42385"/>
  <c r="C1497" i="42385" s="1"/>
  <c r="D1472" i="42385"/>
  <c r="D1497" i="42385" s="1"/>
  <c r="E1472" i="42385"/>
  <c r="E1497" i="42385" s="1"/>
  <c r="F1472" i="42385"/>
  <c r="H1472" i="42385"/>
  <c r="L1472" i="42385" s="1"/>
  <c r="CN1472" i="42385" s="1"/>
  <c r="CL1472" i="42385"/>
  <c r="C1473" i="42385"/>
  <c r="D1473" i="42385"/>
  <c r="D1498" i="42385" s="1"/>
  <c r="E1473" i="42385"/>
  <c r="E1498" i="42385" s="1"/>
  <c r="F1473" i="42385"/>
  <c r="F1498" i="42385" s="1"/>
  <c r="H1473" i="42385"/>
  <c r="I1473" i="42385"/>
  <c r="I1498" i="42385" s="1"/>
  <c r="J1473" i="42385"/>
  <c r="J1498" i="42385" s="1"/>
  <c r="K1473" i="42385"/>
  <c r="K1498" i="42385" s="1"/>
  <c r="M1473" i="42385"/>
  <c r="Q1473" i="42385" s="1"/>
  <c r="CO1473" i="42385" s="1"/>
  <c r="CL1473" i="42385"/>
  <c r="CL1475" i="42385"/>
  <c r="C1476" i="42385"/>
  <c r="D1476" i="42385"/>
  <c r="E1476" i="42385"/>
  <c r="F1476" i="42385"/>
  <c r="I1476" i="42385"/>
  <c r="J1476" i="42385"/>
  <c r="CL1476" i="42385"/>
  <c r="G1477" i="42385"/>
  <c r="CM1477" i="42385" s="1"/>
  <c r="L1477" i="42385"/>
  <c r="CN1477" i="42385" s="1"/>
  <c r="Q1477" i="42385"/>
  <c r="CO1477" i="42385" s="1"/>
  <c r="V1477" i="42385"/>
  <c r="CP1477" i="42385" s="1"/>
  <c r="AA1477" i="42385"/>
  <c r="CQ1477" i="42385" s="1"/>
  <c r="CL1477" i="42385"/>
  <c r="C1478" i="42385"/>
  <c r="D1478" i="42385"/>
  <c r="E1478" i="42385"/>
  <c r="F1478" i="42385"/>
  <c r="I1478" i="42385"/>
  <c r="J1478" i="42385"/>
  <c r="AE1478" i="42385"/>
  <c r="AH1478" i="42385"/>
  <c r="AI1478" i="42385"/>
  <c r="AJ1478" i="42385"/>
  <c r="AM1478" i="42385"/>
  <c r="AN1478" i="42385"/>
  <c r="AO1478" i="42385"/>
  <c r="AQ1478" i="42385"/>
  <c r="AR1478" i="42385"/>
  <c r="AS1478" i="42385"/>
  <c r="AT1478" i="42385"/>
  <c r="AY1478" i="42385"/>
  <c r="BL1478" i="42385"/>
  <c r="BM1478" i="42385"/>
  <c r="CL1478" i="42385"/>
  <c r="C1479" i="42385"/>
  <c r="D1479" i="42385"/>
  <c r="E1479" i="42385"/>
  <c r="F1479" i="42385"/>
  <c r="I1479" i="42385"/>
  <c r="J1479" i="42385"/>
  <c r="CL1479" i="42385"/>
  <c r="J1480" i="42385"/>
  <c r="K1480" i="42385"/>
  <c r="N1480" i="42385"/>
  <c r="O1480" i="42385"/>
  <c r="P1480" i="42385"/>
  <c r="S1480" i="42385"/>
  <c r="T1480" i="42385"/>
  <c r="U1480" i="42385"/>
  <c r="X1480" i="42385"/>
  <c r="Y1480" i="42385"/>
  <c r="Z1480" i="42385"/>
  <c r="AC1480" i="42385"/>
  <c r="AD1480" i="42385"/>
  <c r="AE1480" i="42385"/>
  <c r="AH1480" i="42385"/>
  <c r="AI1480" i="42385"/>
  <c r="AJ1480" i="42385"/>
  <c r="AM1480" i="42385"/>
  <c r="AN1480" i="42385"/>
  <c r="AO1480" i="42385"/>
  <c r="AR1480" i="42385"/>
  <c r="AS1480" i="42385"/>
  <c r="AT1480" i="42385"/>
  <c r="AV1480" i="42385"/>
  <c r="AY1480" i="42385"/>
  <c r="BL1480" i="42385"/>
  <c r="CL1480" i="42385"/>
  <c r="CL1481" i="42385"/>
  <c r="CM1481" i="42385"/>
  <c r="CN1481" i="42385"/>
  <c r="CO1481" i="42385"/>
  <c r="CP1481" i="42385"/>
  <c r="CQ1481" i="42385"/>
  <c r="CR1481" i="42385"/>
  <c r="CS1481" i="42385"/>
  <c r="CL1482" i="42385"/>
  <c r="CM1482" i="42385"/>
  <c r="CN1482" i="42385"/>
  <c r="CO1482" i="42385"/>
  <c r="CP1482" i="42385"/>
  <c r="CQ1482" i="42385"/>
  <c r="CR1482" i="42385"/>
  <c r="CS1482" i="42385"/>
  <c r="CL1483" i="42385"/>
  <c r="CM1483" i="42385"/>
  <c r="CN1483" i="42385"/>
  <c r="CO1483" i="42385"/>
  <c r="CP1483" i="42385"/>
  <c r="CQ1483" i="42385"/>
  <c r="CR1483" i="42385"/>
  <c r="CS1483" i="42385"/>
  <c r="D1484" i="42385"/>
  <c r="N1484" i="42385"/>
  <c r="S1484" i="42385"/>
  <c r="X1484" i="42385"/>
  <c r="AC1484" i="42385"/>
  <c r="AM1484" i="42385"/>
  <c r="AR1484" i="42385"/>
  <c r="AW1484" i="42385"/>
  <c r="CL1484" i="42385"/>
  <c r="C1485" i="42385"/>
  <c r="D1485" i="42385"/>
  <c r="E1485" i="42385"/>
  <c r="F1485" i="42385"/>
  <c r="P1485" i="42385"/>
  <c r="U1485" i="42385"/>
  <c r="AO1485" i="42385"/>
  <c r="AX1485" i="42385"/>
  <c r="CL1485" i="42385"/>
  <c r="C1486" i="42385"/>
  <c r="D1486" i="42385"/>
  <c r="E1486" i="42385"/>
  <c r="F1486" i="42385"/>
  <c r="I1486" i="42385"/>
  <c r="J1486" i="42385"/>
  <c r="K1486" i="42385"/>
  <c r="N1486" i="42385"/>
  <c r="O1486" i="42385"/>
  <c r="P1486" i="42385"/>
  <c r="S1486" i="42385"/>
  <c r="T1486" i="42385"/>
  <c r="U1486" i="42385"/>
  <c r="X1486" i="42385"/>
  <c r="Y1486" i="42385"/>
  <c r="Z1486" i="42385"/>
  <c r="AC1486" i="42385"/>
  <c r="AH1486" i="42385"/>
  <c r="AI1486" i="42385"/>
  <c r="AO1486" i="42385"/>
  <c r="AR1486" i="42385"/>
  <c r="CL1486" i="42385"/>
  <c r="BP1488" i="42385"/>
  <c r="BL1490" i="42385"/>
  <c r="BM1490" i="42385"/>
  <c r="BA1493" i="42385"/>
  <c r="BB1493" i="42385"/>
  <c r="BC1493" i="42385"/>
  <c r="BF1493" i="42385"/>
  <c r="BG1493" i="42385"/>
  <c r="BH1493" i="42385"/>
  <c r="BP1493" i="42385"/>
  <c r="AZ1494" i="42385"/>
  <c r="BE1494" i="42385"/>
  <c r="BJ1494" i="42385"/>
  <c r="BO1494" i="42385"/>
  <c r="BT1494" i="42385"/>
  <c r="BY1494" i="42385"/>
  <c r="CL1494" i="42385"/>
  <c r="CM1494" i="42385"/>
  <c r="CN1494" i="42385"/>
  <c r="CO1494" i="42385"/>
  <c r="CP1494" i="42385"/>
  <c r="CQ1494" i="42385"/>
  <c r="CR1494" i="42385"/>
  <c r="CS1494" i="42385"/>
  <c r="CT1494" i="42385"/>
  <c r="CU1494" i="42385"/>
  <c r="CV1494" i="42385"/>
  <c r="CW1494" i="42385"/>
  <c r="CX1494" i="42385"/>
  <c r="CY1494" i="42385"/>
  <c r="CZ1494" i="42385"/>
  <c r="DA1494" i="42385"/>
  <c r="DB1494" i="42385"/>
  <c r="DC1494" i="42385"/>
  <c r="G1495" i="42385"/>
  <c r="L1495" i="42385"/>
  <c r="Q1495" i="42385"/>
  <c r="V1495" i="42385"/>
  <c r="AA1495" i="42385"/>
  <c r="AF1495" i="42385"/>
  <c r="AK1495" i="42385"/>
  <c r="AP1495" i="42385"/>
  <c r="AU1495" i="42385"/>
  <c r="AZ1495" i="42385"/>
  <c r="BE1495" i="42385"/>
  <c r="BJ1495" i="42385"/>
  <c r="BO1495" i="42385"/>
  <c r="BT1495" i="42385"/>
  <c r="BY1495" i="42385"/>
  <c r="CL1495" i="42385"/>
  <c r="CM1495" i="42385"/>
  <c r="CN1495" i="42385"/>
  <c r="CO1495" i="42385"/>
  <c r="CP1495" i="42385"/>
  <c r="CQ1495" i="42385"/>
  <c r="CR1495" i="42385"/>
  <c r="CS1495" i="42385"/>
  <c r="CT1495" i="42385"/>
  <c r="CU1495" i="42385"/>
  <c r="CV1495" i="42385"/>
  <c r="CW1495" i="42385"/>
  <c r="CX1495" i="42385"/>
  <c r="CY1495" i="42385"/>
  <c r="CZ1495" i="42385"/>
  <c r="DA1495" i="42385"/>
  <c r="DB1495" i="42385"/>
  <c r="DC1495" i="42385"/>
  <c r="G1496" i="42385"/>
  <c r="L1496" i="42385"/>
  <c r="Q1496" i="42385"/>
  <c r="V1496" i="42385"/>
  <c r="AA1496" i="42385"/>
  <c r="AF1496" i="42385"/>
  <c r="AK1496" i="42385"/>
  <c r="AP1496" i="42385"/>
  <c r="AU1496" i="42385"/>
  <c r="AZ1496" i="42385"/>
  <c r="BE1496" i="42385"/>
  <c r="BJ1496" i="42385"/>
  <c r="BO1496" i="42385"/>
  <c r="BT1496" i="42385"/>
  <c r="BY1496" i="42385"/>
  <c r="CL1496" i="42385"/>
  <c r="CM1496" i="42385"/>
  <c r="CN1496" i="42385"/>
  <c r="CO1496" i="42385"/>
  <c r="CP1496" i="42385"/>
  <c r="CQ1496" i="42385"/>
  <c r="CR1496" i="42385"/>
  <c r="CS1496" i="42385"/>
  <c r="CT1496" i="42385"/>
  <c r="CU1496" i="42385"/>
  <c r="CV1496" i="42385"/>
  <c r="CW1496" i="42385"/>
  <c r="CX1496" i="42385"/>
  <c r="CY1496" i="42385"/>
  <c r="CZ1496" i="42385"/>
  <c r="DA1496" i="42385"/>
  <c r="DB1496" i="42385"/>
  <c r="DC1496" i="42385"/>
  <c r="F1497" i="42385"/>
  <c r="I1497" i="42385"/>
  <c r="J1497" i="42385"/>
  <c r="K1497" i="42385"/>
  <c r="N1497" i="42385"/>
  <c r="O1497" i="42385"/>
  <c r="P1497" i="42385"/>
  <c r="S1497" i="42385"/>
  <c r="T1497" i="42385"/>
  <c r="U1497" i="42385"/>
  <c r="X1497" i="42385"/>
  <c r="Y1497" i="42385"/>
  <c r="Z1497" i="42385"/>
  <c r="AC1497" i="42385"/>
  <c r="AD1497" i="42385"/>
  <c r="AE1497" i="42385"/>
  <c r="AH1497" i="42385"/>
  <c r="AI1497" i="42385"/>
  <c r="AJ1497" i="42385"/>
  <c r="AM1497" i="42385"/>
  <c r="AN1497" i="42385"/>
  <c r="AO1497" i="42385"/>
  <c r="AR1497" i="42385"/>
  <c r="AS1497" i="42385"/>
  <c r="AT1497" i="42385"/>
  <c r="CL1497" i="42385"/>
  <c r="N1498" i="42385"/>
  <c r="O1498" i="42385"/>
  <c r="P1498" i="42385"/>
  <c r="S1498" i="42385"/>
  <c r="T1498" i="42385"/>
  <c r="U1498" i="42385"/>
  <c r="X1498" i="42385"/>
  <c r="Y1498" i="42385"/>
  <c r="Z1498" i="42385"/>
  <c r="AC1498" i="42385"/>
  <c r="AD1498" i="42385"/>
  <c r="AE1498" i="42385"/>
  <c r="AH1498" i="42385"/>
  <c r="AI1498" i="42385"/>
  <c r="AJ1498" i="42385"/>
  <c r="AM1498" i="42385"/>
  <c r="AN1498" i="42385"/>
  <c r="AO1498" i="42385"/>
  <c r="AR1498" i="42385"/>
  <c r="AS1498" i="42385"/>
  <c r="AT1498" i="42385"/>
  <c r="CL1498" i="42385"/>
  <c r="I1499" i="42385"/>
  <c r="J1499" i="42385"/>
  <c r="CL1499" i="42385"/>
  <c r="C1500" i="42385"/>
  <c r="C1575" i="42385" s="1"/>
  <c r="D1500" i="42385"/>
  <c r="D1575" i="42385" s="1"/>
  <c r="H1500" i="42385"/>
  <c r="H1575" i="42385" s="1"/>
  <c r="M1500" i="42385"/>
  <c r="R1500" i="42385"/>
  <c r="R1575" i="42385" s="1"/>
  <c r="S1500" i="42385"/>
  <c r="S1575" i="42385" s="1"/>
  <c r="T1500" i="42385"/>
  <c r="T1575" i="42385" s="1"/>
  <c r="W1500" i="42385"/>
  <c r="X1500" i="42385"/>
  <c r="Y1500" i="42385"/>
  <c r="Y1575" i="42385" s="1"/>
  <c r="AB1500" i="42385"/>
  <c r="AB1575" i="42385" s="1"/>
  <c r="AC1500" i="42385"/>
  <c r="AD1500" i="42385"/>
  <c r="AD1575" i="42385" s="1"/>
  <c r="AG1500" i="42385"/>
  <c r="AG1575" i="42385" s="1"/>
  <c r="AH1500" i="42385"/>
  <c r="AH1575" i="42385" s="1"/>
  <c r="AI1500" i="42385"/>
  <c r="AL1500" i="42385"/>
  <c r="AL1575" i="42385" s="1"/>
  <c r="AM1500" i="42385"/>
  <c r="AM1575" i="42385" s="1"/>
  <c r="AN1500" i="42385"/>
  <c r="AQ1500" i="42385"/>
  <c r="AR1500" i="42385"/>
  <c r="AR1575" i="42385" s="1"/>
  <c r="AS1500" i="42385"/>
  <c r="AV1500" i="42385"/>
  <c r="AV1575" i="42385" s="1"/>
  <c r="AW1500" i="42385"/>
  <c r="AX1500" i="42385"/>
  <c r="AX1575" i="42385" s="1"/>
  <c r="BA1500" i="42385"/>
  <c r="BA1575" i="42385" s="1"/>
  <c r="BB1500" i="42385"/>
  <c r="BB1575" i="42385" s="1"/>
  <c r="BC1500" i="42385"/>
  <c r="BD1500" i="42385"/>
  <c r="BD1575" i="42385" s="1"/>
  <c r="BF1500" i="42385"/>
  <c r="BF1575" i="42385" s="1"/>
  <c r="BG1500" i="42385"/>
  <c r="BG1575" i="42385" s="1"/>
  <c r="BH1500" i="42385"/>
  <c r="BI1500" i="42385"/>
  <c r="BI1575" i="42385" s="1"/>
  <c r="CL1500" i="42385"/>
  <c r="CL1501" i="42385"/>
  <c r="CM1502" i="42385"/>
  <c r="CN1502" i="42385"/>
  <c r="CO1502" i="42385"/>
  <c r="CP1502" i="42385"/>
  <c r="CQ1502" i="42385"/>
  <c r="CR1502" i="42385"/>
  <c r="CS1502" i="42385"/>
  <c r="CT1502" i="42385"/>
  <c r="CU1502" i="42385"/>
  <c r="CV1502" i="42385"/>
  <c r="CW1502" i="42385"/>
  <c r="CX1502" i="42385"/>
  <c r="CY1502" i="42385"/>
  <c r="CZ1502" i="42385"/>
  <c r="DA1502" i="42385"/>
  <c r="DB1502" i="42385"/>
  <c r="DC1502" i="42385"/>
  <c r="C1503" i="42385"/>
  <c r="D1503" i="42385"/>
  <c r="E1503" i="42385"/>
  <c r="F1503" i="42385"/>
  <c r="H1503" i="42385"/>
  <c r="I1503" i="42385"/>
  <c r="J1503" i="42385"/>
  <c r="K1503" i="42385"/>
  <c r="M1503" i="42385"/>
  <c r="N1503" i="42385"/>
  <c r="O1503" i="42385"/>
  <c r="P1503" i="42385"/>
  <c r="R1503" i="42385"/>
  <c r="S1503" i="42385"/>
  <c r="T1503" i="42385"/>
  <c r="U1503" i="42385"/>
  <c r="W1503" i="42385"/>
  <c r="X1503" i="42385"/>
  <c r="Y1503" i="42385"/>
  <c r="Z1503" i="42385"/>
  <c r="AB1503" i="42385"/>
  <c r="AC1503" i="42385"/>
  <c r="AD1503" i="42385"/>
  <c r="AE1503" i="42385"/>
  <c r="AG1503" i="42385"/>
  <c r="AH1503" i="42385"/>
  <c r="AI1503" i="42385"/>
  <c r="AI1504" i="42385" s="1"/>
  <c r="AJ1503" i="42385"/>
  <c r="AL1503" i="42385"/>
  <c r="AM1503" i="42385"/>
  <c r="AN1503" i="42385"/>
  <c r="AO1503" i="42385"/>
  <c r="AQ1503" i="42385"/>
  <c r="AS1503" i="42385"/>
  <c r="AT1503" i="42385"/>
  <c r="AV1503" i="42385"/>
  <c r="AW1503" i="42385"/>
  <c r="AX1503" i="42385"/>
  <c r="AY1503" i="42385"/>
  <c r="BA1503" i="42385"/>
  <c r="BB1503" i="42385"/>
  <c r="BC1503" i="42385"/>
  <c r="BD1503" i="42385"/>
  <c r="BF1503" i="42385"/>
  <c r="BG1503" i="42385"/>
  <c r="BH1503" i="42385"/>
  <c r="BI1503" i="42385"/>
  <c r="BK1503" i="42385"/>
  <c r="BL1503" i="42385"/>
  <c r="BM1503" i="42385"/>
  <c r="BN1503" i="42385"/>
  <c r="BP1503" i="42385"/>
  <c r="BQ1503" i="42385"/>
  <c r="CL1503" i="42385"/>
  <c r="CL1504" i="42385"/>
  <c r="C1506" i="42385"/>
  <c r="D1506" i="42385"/>
  <c r="E1506" i="42385"/>
  <c r="F1506" i="42385"/>
  <c r="G1506" i="42385"/>
  <c r="CM1506" i="42385" s="1"/>
  <c r="I1506" i="42385"/>
  <c r="J1506" i="42385"/>
  <c r="K1506" i="42385"/>
  <c r="N1506" i="42385"/>
  <c r="O1506" i="42385"/>
  <c r="P1506" i="42385"/>
  <c r="S1506" i="42385"/>
  <c r="T1506" i="42385"/>
  <c r="U1506" i="42385"/>
  <c r="X1506" i="42385"/>
  <c r="Y1506" i="42385"/>
  <c r="Z1506" i="42385"/>
  <c r="AC1506" i="42385"/>
  <c r="AD1506" i="42385"/>
  <c r="AE1506" i="42385"/>
  <c r="AI1506" i="42385"/>
  <c r="AJ1506" i="42385" s="1"/>
  <c r="AL1506" i="42385" s="1"/>
  <c r="AM1506" i="42385" s="1"/>
  <c r="AN1506" i="42385" s="1"/>
  <c r="AO1506" i="42385" s="1"/>
  <c r="BT1506" i="42385"/>
  <c r="CZ1506" i="42385" s="1"/>
  <c r="BY1506" i="42385"/>
  <c r="BZ1506" i="42385" s="1"/>
  <c r="CL1506" i="42385"/>
  <c r="CL1508" i="42385"/>
  <c r="G1509" i="42385"/>
  <c r="CM1509" i="42385" s="1"/>
  <c r="L1509" i="42385"/>
  <c r="CN1509" i="42385" s="1"/>
  <c r="Q1509" i="42385"/>
  <c r="CO1509" i="42385" s="1"/>
  <c r="V1509" i="42385"/>
  <c r="CP1509" i="42385" s="1"/>
  <c r="AA1509" i="42385"/>
  <c r="CQ1509" i="42385" s="1"/>
  <c r="AF1509" i="42385"/>
  <c r="CR1509" i="42385" s="1"/>
  <c r="AK1509" i="42385"/>
  <c r="CS1509" i="42385" s="1"/>
  <c r="AP1509" i="42385"/>
  <c r="CT1509" i="42385" s="1"/>
  <c r="AU1509" i="42385"/>
  <c r="CU1509" i="42385" s="1"/>
  <c r="AZ1509" i="42385"/>
  <c r="CV1509" i="42385" s="1"/>
  <c r="BE1509" i="42385"/>
  <c r="CW1509" i="42385" s="1"/>
  <c r="BJ1509" i="42385"/>
  <c r="CX1509" i="42385" s="1"/>
  <c r="CL1509" i="42385"/>
  <c r="C1510" i="42385"/>
  <c r="D1510" i="42385"/>
  <c r="H1510" i="42385"/>
  <c r="M1510" i="42385"/>
  <c r="R1510" i="42385"/>
  <c r="S1510" i="42385"/>
  <c r="T1510" i="42385"/>
  <c r="W1510" i="42385"/>
  <c r="X1510" i="42385"/>
  <c r="Y1510" i="42385"/>
  <c r="AB1510" i="42385"/>
  <c r="AC1510" i="42385"/>
  <c r="AD1510" i="42385"/>
  <c r="AG1510" i="42385"/>
  <c r="AH1510" i="42385"/>
  <c r="AI1510" i="42385"/>
  <c r="AL1510" i="42385"/>
  <c r="AM1510" i="42385"/>
  <c r="AN1510" i="42385"/>
  <c r="AQ1510" i="42385"/>
  <c r="AR1510" i="42385"/>
  <c r="AS1510" i="42385"/>
  <c r="AV1510" i="42385"/>
  <c r="AW1510" i="42385"/>
  <c r="AX1510" i="42385"/>
  <c r="BA1510" i="42385"/>
  <c r="BB1510" i="42385"/>
  <c r="BC1510" i="42385"/>
  <c r="BD1510" i="42385"/>
  <c r="BF1510" i="42385"/>
  <c r="BG1510" i="42385"/>
  <c r="BH1510" i="42385"/>
  <c r="BI1510" i="42385"/>
  <c r="BO1510" i="42385"/>
  <c r="CY1510" i="42385" s="1"/>
  <c r="BT1510" i="42385"/>
  <c r="CZ1510" i="42385" s="1"/>
  <c r="BY1510" i="42385"/>
  <c r="DA1510" i="42385" s="1"/>
  <c r="CL1510" i="42385"/>
  <c r="E1511" i="42385"/>
  <c r="I1511" i="42385"/>
  <c r="N1511" i="42385"/>
  <c r="U1511" i="42385"/>
  <c r="Z1511" i="42385"/>
  <c r="CQ112" i="42385" s="1"/>
  <c r="AE1511" i="42385"/>
  <c r="AJ1511" i="42385"/>
  <c r="AO1511" i="42385"/>
  <c r="AT1511" i="42385"/>
  <c r="AY1511" i="42385"/>
  <c r="BE1511" i="42385"/>
  <c r="BJ1511" i="42385"/>
  <c r="CX112" i="42385" s="1"/>
  <c r="CL1511" i="42385"/>
  <c r="BV1514" i="42385"/>
  <c r="BW1514" i="42385" s="1"/>
  <c r="BX1514" i="42385" s="1"/>
  <c r="CL1521" i="42385"/>
  <c r="V1522" i="42385"/>
  <c r="AF1522" i="42385"/>
  <c r="CR1522" i="42385" s="1"/>
  <c r="AK1522" i="42385"/>
  <c r="AL1522" i="42385"/>
  <c r="AP1522" i="42385"/>
  <c r="CT1522" i="42385" s="1"/>
  <c r="AU1522" i="42385"/>
  <c r="CU1522" i="42385" s="1"/>
  <c r="AZ1522" i="42385"/>
  <c r="CV1522" i="42385" s="1"/>
  <c r="BE1522" i="42385"/>
  <c r="CW1522" i="42385" s="1"/>
  <c r="BJ1522" i="42385"/>
  <c r="CX1522" i="42385" s="1"/>
  <c r="BO1522" i="42385"/>
  <c r="CY1522" i="42385" s="1"/>
  <c r="BT1522" i="42385"/>
  <c r="CZ1522" i="42385" s="1"/>
  <c r="BY1522" i="42385"/>
  <c r="DA1522" i="42385" s="1"/>
  <c r="CL1522" i="42385"/>
  <c r="CM1522" i="42385"/>
  <c r="CN1522" i="42385"/>
  <c r="CO1522" i="42385"/>
  <c r="CQ1522" i="42385"/>
  <c r="G1523" i="42385"/>
  <c r="CM1523" i="42385" s="1"/>
  <c r="L1523" i="42385"/>
  <c r="CN1523" i="42385" s="1"/>
  <c r="Q1523" i="42385"/>
  <c r="CO1523" i="42385" s="1"/>
  <c r="V1523" i="42385"/>
  <c r="CP1523" i="42385" s="1"/>
  <c r="AA1523" i="42385"/>
  <c r="CQ1523" i="42385" s="1"/>
  <c r="AF1523" i="42385"/>
  <c r="CR1523" i="42385" s="1"/>
  <c r="AK1523" i="42385"/>
  <c r="CS1523" i="42385" s="1"/>
  <c r="AL1523" i="42385"/>
  <c r="CL1523" i="42385"/>
  <c r="C1524" i="42385"/>
  <c r="D1524" i="42385"/>
  <c r="D1525" i="42385" s="1"/>
  <c r="E1524" i="42385"/>
  <c r="E1525" i="42385" s="1"/>
  <c r="E1499" i="42385" s="1"/>
  <c r="F1524" i="42385"/>
  <c r="F1525" i="42385" s="1"/>
  <c r="H1524" i="42385"/>
  <c r="H1525" i="42385" s="1"/>
  <c r="H1499" i="42385" s="1"/>
  <c r="I1524" i="42385"/>
  <c r="J1524" i="42385"/>
  <c r="K1524" i="42385"/>
  <c r="K1525" i="42385" s="1"/>
  <c r="K1499" i="42385" s="1"/>
  <c r="M1524" i="42385"/>
  <c r="M1525" i="42385" s="1"/>
  <c r="M1499" i="42385" s="1"/>
  <c r="N1524" i="42385"/>
  <c r="O1524" i="42385"/>
  <c r="O1525" i="42385" s="1"/>
  <c r="O1499" i="42385" s="1"/>
  <c r="P1524" i="42385"/>
  <c r="P1525" i="42385" s="1"/>
  <c r="P1499" i="42385" s="1"/>
  <c r="R1524" i="42385"/>
  <c r="R1525" i="42385" s="1"/>
  <c r="R1499" i="42385" s="1"/>
  <c r="S1524" i="42385"/>
  <c r="S1525" i="42385" s="1"/>
  <c r="S1499" i="42385" s="1"/>
  <c r="T1524" i="42385"/>
  <c r="U1524" i="42385"/>
  <c r="W1524" i="42385"/>
  <c r="X1524" i="42385"/>
  <c r="X1525" i="42385" s="1"/>
  <c r="X1499" i="42385" s="1"/>
  <c r="Y1524" i="42385"/>
  <c r="Y1525" i="42385" s="1"/>
  <c r="Y1499" i="42385" s="1"/>
  <c r="Z1524" i="42385"/>
  <c r="Z1525" i="42385" s="1"/>
  <c r="Z1499" i="42385" s="1"/>
  <c r="AB1524" i="42385"/>
  <c r="AC1524" i="42385"/>
  <c r="AC1525" i="42385" s="1"/>
  <c r="AC1499" i="42385" s="1"/>
  <c r="AD1524" i="42385"/>
  <c r="AG1524" i="42385"/>
  <c r="AH1524" i="42385"/>
  <c r="AI1524" i="42385"/>
  <c r="AI1525" i="42385" s="1"/>
  <c r="AI1499" i="42385" s="1"/>
  <c r="AJ1524" i="42385"/>
  <c r="AJ1525" i="42385" s="1"/>
  <c r="AJ1499" i="42385" s="1"/>
  <c r="AL1524" i="42385"/>
  <c r="AM1524" i="42385"/>
  <c r="AN1524" i="42385"/>
  <c r="AO1524" i="42385"/>
  <c r="AQ1524" i="42385"/>
  <c r="AV1524" i="42385"/>
  <c r="AW1524" i="42385"/>
  <c r="AX1524" i="42385"/>
  <c r="AY1524" i="42385"/>
  <c r="BA1524" i="42385"/>
  <c r="BB1524" i="42385"/>
  <c r="BC1524" i="42385"/>
  <c r="BD1524" i="42385"/>
  <c r="BF1524" i="42385"/>
  <c r="BG1524" i="42385"/>
  <c r="BH1524" i="42385"/>
  <c r="BI1524" i="42385"/>
  <c r="BK1524" i="42385"/>
  <c r="BL1524" i="42385"/>
  <c r="BO1524" i="42385" s="1"/>
  <c r="CY1524" i="42385" s="1"/>
  <c r="BM1524" i="42385"/>
  <c r="BN1524" i="42385"/>
  <c r="BP1524" i="42385"/>
  <c r="BQ1524" i="42385"/>
  <c r="BR1524" i="42385"/>
  <c r="BS1524" i="42385"/>
  <c r="BU1524" i="42385"/>
  <c r="BV1524" i="42385"/>
  <c r="BW1524" i="42385"/>
  <c r="BX1524" i="42385"/>
  <c r="CL1524" i="42385"/>
  <c r="C1525" i="42385"/>
  <c r="C1499" i="42385" s="1"/>
  <c r="T1525" i="42385"/>
  <c r="T1499" i="42385" s="1"/>
  <c r="CL1525" i="42385"/>
  <c r="CL1527" i="42385"/>
  <c r="C1528" i="42385"/>
  <c r="D1528" i="42385"/>
  <c r="E1528" i="42385"/>
  <c r="F1528" i="42385"/>
  <c r="H1528" i="42385"/>
  <c r="I1528" i="42385"/>
  <c r="J1528" i="42385"/>
  <c r="K1528" i="42385"/>
  <c r="M1528" i="42385"/>
  <c r="N1528" i="42385"/>
  <c r="O1528" i="42385"/>
  <c r="P1528" i="42385"/>
  <c r="R1528" i="42385"/>
  <c r="S1528" i="42385"/>
  <c r="T1528" i="42385"/>
  <c r="U1528" i="42385"/>
  <c r="W1528" i="42385"/>
  <c r="X1528" i="42385"/>
  <c r="Y1528" i="42385"/>
  <c r="Z1528" i="42385"/>
  <c r="AB1528" i="42385"/>
  <c r="AC1528" i="42385"/>
  <c r="AD1528" i="42385"/>
  <c r="AE1528" i="42385"/>
  <c r="AG1528" i="42385"/>
  <c r="AH1528" i="42385"/>
  <c r="AI1528" i="42385"/>
  <c r="AJ1528" i="42385"/>
  <c r="AL1528" i="42385"/>
  <c r="AM1528" i="42385"/>
  <c r="CL1528" i="42385"/>
  <c r="G1529" i="42385"/>
  <c r="CM1529" i="42385" s="1"/>
  <c r="K1529" i="42385"/>
  <c r="L1529" i="42385" s="1"/>
  <c r="CN1529" i="42385" s="1"/>
  <c r="M1529" i="42385"/>
  <c r="N1529" i="42385"/>
  <c r="O1529" i="42385"/>
  <c r="P1529" i="42385"/>
  <c r="R1529" i="42385"/>
  <c r="S1529" i="42385"/>
  <c r="T1529" i="42385"/>
  <c r="U1529" i="42385"/>
  <c r="W1529" i="42385"/>
  <c r="X1529" i="42385"/>
  <c r="Y1529" i="42385"/>
  <c r="Z1529" i="42385"/>
  <c r="AB1529" i="42385"/>
  <c r="AC1529" i="42385"/>
  <c r="AD1529" i="42385"/>
  <c r="AE1529" i="42385"/>
  <c r="AG1529" i="42385"/>
  <c r="AH1529" i="42385"/>
  <c r="AI1529" i="42385"/>
  <c r="AJ1529" i="42385"/>
  <c r="AK1529" i="42385" s="1"/>
  <c r="CS1529" i="42385" s="1"/>
  <c r="AL1529" i="42385"/>
  <c r="AM1529" i="42385"/>
  <c r="AN1529" i="42385"/>
  <c r="CL1529" i="42385"/>
  <c r="C1530" i="42385"/>
  <c r="D1530" i="42385"/>
  <c r="E1530" i="42385"/>
  <c r="F1530" i="42385"/>
  <c r="H1530" i="42385"/>
  <c r="I1530" i="42385"/>
  <c r="J1530" i="42385"/>
  <c r="K1530" i="42385"/>
  <c r="M1530" i="42385"/>
  <c r="N1530" i="42385"/>
  <c r="O1530" i="42385"/>
  <c r="P1530" i="42385"/>
  <c r="R1530" i="42385"/>
  <c r="S1530" i="42385"/>
  <c r="T1530" i="42385"/>
  <c r="U1530" i="42385"/>
  <c r="W1530" i="42385"/>
  <c r="X1530" i="42385"/>
  <c r="Y1530" i="42385"/>
  <c r="Z1530" i="42385"/>
  <c r="AB1530" i="42385"/>
  <c r="AC1530" i="42385"/>
  <c r="AD1530" i="42385"/>
  <c r="AE1530" i="42385"/>
  <c r="AG1530" i="42385"/>
  <c r="AH1530" i="42385"/>
  <c r="AI1530" i="42385"/>
  <c r="AJ1530" i="42385"/>
  <c r="AL1530" i="42385"/>
  <c r="AM1530" i="42385"/>
  <c r="AN1530" i="42385"/>
  <c r="CL1530" i="42385"/>
  <c r="C1531" i="42385"/>
  <c r="D1531" i="42385"/>
  <c r="E1531" i="42385"/>
  <c r="F1531" i="42385"/>
  <c r="H1531" i="42385"/>
  <c r="I1531" i="42385"/>
  <c r="J1531" i="42385"/>
  <c r="K1531" i="42385"/>
  <c r="M1531" i="42385"/>
  <c r="N1531" i="42385"/>
  <c r="O1531" i="42385"/>
  <c r="P1531" i="42385"/>
  <c r="R1531" i="42385"/>
  <c r="S1531" i="42385"/>
  <c r="T1531" i="42385"/>
  <c r="U1531" i="42385"/>
  <c r="W1531" i="42385"/>
  <c r="X1531" i="42385"/>
  <c r="Y1531" i="42385"/>
  <c r="Z1531" i="42385"/>
  <c r="AB1531" i="42385"/>
  <c r="AC1531" i="42385"/>
  <c r="AD1531" i="42385"/>
  <c r="AE1531" i="42385"/>
  <c r="AG1531" i="42385"/>
  <c r="AH1531" i="42385"/>
  <c r="AI1531" i="42385"/>
  <c r="AJ1531" i="42385"/>
  <c r="AL1531" i="42385"/>
  <c r="AM1531" i="42385"/>
  <c r="CL1531" i="42385"/>
  <c r="G1532" i="42385"/>
  <c r="CM1532" i="42385" s="1"/>
  <c r="K1532" i="42385"/>
  <c r="L1532" i="42385" s="1"/>
  <c r="CN1532" i="42385" s="1"/>
  <c r="M1532" i="42385"/>
  <c r="N1532" i="42385"/>
  <c r="O1532" i="42385"/>
  <c r="P1532" i="42385"/>
  <c r="R1532" i="42385"/>
  <c r="S1532" i="42385"/>
  <c r="T1532" i="42385"/>
  <c r="U1532" i="42385"/>
  <c r="W1532" i="42385"/>
  <c r="X1532" i="42385"/>
  <c r="Y1532" i="42385"/>
  <c r="Z1532" i="42385"/>
  <c r="AB1532" i="42385"/>
  <c r="AC1532" i="42385"/>
  <c r="AD1532" i="42385"/>
  <c r="AE1532" i="42385"/>
  <c r="AG1532" i="42385"/>
  <c r="AH1532" i="42385"/>
  <c r="AI1532" i="42385"/>
  <c r="AJ1532" i="42385"/>
  <c r="AL1532" i="42385"/>
  <c r="AM1532" i="42385"/>
  <c r="AN1532" i="42385"/>
  <c r="CL1532" i="42385"/>
  <c r="G1533" i="42385"/>
  <c r="CM1533" i="42385" s="1"/>
  <c r="K1533" i="42385"/>
  <c r="L1533" i="42385" s="1"/>
  <c r="CN1533" i="42385" s="1"/>
  <c r="M1533" i="42385"/>
  <c r="N1533" i="42385"/>
  <c r="O1533" i="42385"/>
  <c r="P1533" i="42385"/>
  <c r="R1533" i="42385"/>
  <c r="S1533" i="42385"/>
  <c r="T1533" i="42385"/>
  <c r="U1533" i="42385"/>
  <c r="W1533" i="42385"/>
  <c r="X1533" i="42385"/>
  <c r="Y1533" i="42385"/>
  <c r="Z1533" i="42385"/>
  <c r="AB1533" i="42385"/>
  <c r="AC1533" i="42385"/>
  <c r="AD1533" i="42385"/>
  <c r="AE1533" i="42385"/>
  <c r="AG1533" i="42385"/>
  <c r="AH1533" i="42385"/>
  <c r="AI1533" i="42385"/>
  <c r="AJ1533" i="42385"/>
  <c r="AL1533" i="42385"/>
  <c r="AM1533" i="42385"/>
  <c r="AN1533" i="42385"/>
  <c r="CL1533" i="42385"/>
  <c r="C1534" i="42385"/>
  <c r="D1534" i="42385"/>
  <c r="E1534" i="42385"/>
  <c r="F1534" i="42385"/>
  <c r="H1534" i="42385"/>
  <c r="I1534" i="42385"/>
  <c r="J1534" i="42385"/>
  <c r="K1534" i="42385"/>
  <c r="M1534" i="42385"/>
  <c r="N1534" i="42385"/>
  <c r="O1534" i="42385"/>
  <c r="P1534" i="42385"/>
  <c r="R1534" i="42385"/>
  <c r="S1534" i="42385"/>
  <c r="T1534" i="42385"/>
  <c r="U1534" i="42385"/>
  <c r="W1534" i="42385"/>
  <c r="X1534" i="42385"/>
  <c r="Y1534" i="42385"/>
  <c r="Z1534" i="42385"/>
  <c r="AB1534" i="42385"/>
  <c r="AC1534" i="42385"/>
  <c r="AD1534" i="42385"/>
  <c r="AE1534" i="42385"/>
  <c r="AG1534" i="42385"/>
  <c r="AH1534" i="42385"/>
  <c r="AI1534" i="42385"/>
  <c r="AJ1534" i="42385"/>
  <c r="AL1534" i="42385"/>
  <c r="AM1534" i="42385"/>
  <c r="AN1534" i="42385"/>
  <c r="BA1534" i="42385"/>
  <c r="BB1534" i="42385"/>
  <c r="BC1534" i="42385"/>
  <c r="BD1534" i="42385"/>
  <c r="BF1534" i="42385"/>
  <c r="BG1534" i="42385"/>
  <c r="BH1534" i="42385"/>
  <c r="BI1534" i="42385"/>
  <c r="BK1534" i="42385"/>
  <c r="BL1534" i="42385"/>
  <c r="BM1534" i="42385"/>
  <c r="BN1534" i="42385"/>
  <c r="BP1534" i="42385"/>
  <c r="BQ1534" i="42385"/>
  <c r="BR1534" i="42385"/>
  <c r="BS1534" i="42385"/>
  <c r="BU1534" i="42385"/>
  <c r="BV1534" i="42385"/>
  <c r="BW1534" i="42385"/>
  <c r="BX1534" i="42385"/>
  <c r="BZ1534" i="42385"/>
  <c r="DB1534" i="42385" s="1"/>
  <c r="CA1534" i="42385"/>
  <c r="DC1534" i="42385" s="1"/>
  <c r="CB1534" i="42385"/>
  <c r="CC1534" i="42385"/>
  <c r="CD1534" i="42385"/>
  <c r="CE1534" i="42385"/>
  <c r="CF1534" i="42385"/>
  <c r="CL1534" i="42385"/>
  <c r="G1535" i="42385"/>
  <c r="CM1535" i="42385" s="1"/>
  <c r="K1535" i="42385"/>
  <c r="L1535" i="42385" s="1"/>
  <c r="CN1535" i="42385" s="1"/>
  <c r="M1535" i="42385"/>
  <c r="N1535" i="42385"/>
  <c r="O1535" i="42385"/>
  <c r="P1535" i="42385"/>
  <c r="R1535" i="42385"/>
  <c r="S1535" i="42385"/>
  <c r="T1535" i="42385"/>
  <c r="U1535" i="42385"/>
  <c r="W1535" i="42385"/>
  <c r="X1535" i="42385"/>
  <c r="Y1535" i="42385"/>
  <c r="Z1535" i="42385"/>
  <c r="AB1535" i="42385"/>
  <c r="AC1535" i="42385"/>
  <c r="AD1535" i="42385"/>
  <c r="AE1535" i="42385"/>
  <c r="AG1535" i="42385"/>
  <c r="AH1535" i="42385"/>
  <c r="AI1535" i="42385"/>
  <c r="AJ1535" i="42385"/>
  <c r="AL1535" i="42385"/>
  <c r="AM1535" i="42385"/>
  <c r="CL1535" i="42385"/>
  <c r="C1536" i="42385"/>
  <c r="D1536" i="42385"/>
  <c r="E1536" i="42385"/>
  <c r="F1536" i="42385"/>
  <c r="H1536" i="42385"/>
  <c r="I1536" i="42385"/>
  <c r="J1536" i="42385"/>
  <c r="K1536" i="42385"/>
  <c r="M1536" i="42385"/>
  <c r="N1536" i="42385"/>
  <c r="O1536" i="42385"/>
  <c r="P1536" i="42385"/>
  <c r="R1536" i="42385"/>
  <c r="S1536" i="42385"/>
  <c r="T1536" i="42385"/>
  <c r="U1536" i="42385"/>
  <c r="W1536" i="42385"/>
  <c r="X1536" i="42385"/>
  <c r="Y1536" i="42385"/>
  <c r="Z1536" i="42385"/>
  <c r="AB1536" i="42385"/>
  <c r="AC1536" i="42385"/>
  <c r="AD1536" i="42385"/>
  <c r="AE1536" i="42385"/>
  <c r="AG1536" i="42385"/>
  <c r="AH1536" i="42385"/>
  <c r="AI1536" i="42385"/>
  <c r="AJ1536" i="42385"/>
  <c r="AL1536" i="42385"/>
  <c r="AM1536" i="42385"/>
  <c r="AN1536" i="42385"/>
  <c r="CL1536" i="42385"/>
  <c r="BQ1537" i="42385"/>
  <c r="BS1537" i="42385"/>
  <c r="C1538" i="42385"/>
  <c r="D1538" i="42385"/>
  <c r="E1538" i="42385"/>
  <c r="F1538" i="42385"/>
  <c r="H1538" i="42385"/>
  <c r="I1538" i="42385"/>
  <c r="J1538" i="42385"/>
  <c r="K1538" i="42385"/>
  <c r="M1538" i="42385"/>
  <c r="N1538" i="42385"/>
  <c r="O1538" i="42385"/>
  <c r="P1538" i="42385"/>
  <c r="R1538" i="42385"/>
  <c r="S1538" i="42385"/>
  <c r="T1538" i="42385"/>
  <c r="U1538" i="42385"/>
  <c r="W1538" i="42385"/>
  <c r="X1538" i="42385"/>
  <c r="Y1538" i="42385"/>
  <c r="Z1538" i="42385"/>
  <c r="AB1538" i="42385"/>
  <c r="AC1538" i="42385"/>
  <c r="AD1538" i="42385"/>
  <c r="AE1538" i="42385"/>
  <c r="AG1538" i="42385"/>
  <c r="AH1538" i="42385"/>
  <c r="AI1538" i="42385"/>
  <c r="AJ1538" i="42385"/>
  <c r="AL1538" i="42385"/>
  <c r="AM1538" i="42385"/>
  <c r="AN1538" i="42385"/>
  <c r="CL1538" i="42385"/>
  <c r="G1539" i="42385"/>
  <c r="CM1539" i="42385" s="1"/>
  <c r="K1539" i="42385"/>
  <c r="L1539" i="42385" s="1"/>
  <c r="CN1539" i="42385" s="1"/>
  <c r="M1539" i="42385"/>
  <c r="N1539" i="42385"/>
  <c r="O1539" i="42385"/>
  <c r="P1539" i="42385"/>
  <c r="R1539" i="42385"/>
  <c r="S1539" i="42385"/>
  <c r="T1539" i="42385"/>
  <c r="U1539" i="42385"/>
  <c r="W1539" i="42385"/>
  <c r="X1539" i="42385"/>
  <c r="Y1539" i="42385"/>
  <c r="Z1539" i="42385"/>
  <c r="AB1539" i="42385"/>
  <c r="AF1539" i="42385" s="1"/>
  <c r="CR1539" i="42385" s="1"/>
  <c r="AC1539" i="42385"/>
  <c r="AD1539" i="42385"/>
  <c r="AE1539" i="42385"/>
  <c r="AG1539" i="42385"/>
  <c r="AH1539" i="42385"/>
  <c r="AI1539" i="42385"/>
  <c r="AJ1539" i="42385"/>
  <c r="AL1539" i="42385"/>
  <c r="AM1539" i="42385"/>
  <c r="BD1539" i="42385"/>
  <c r="BF1539" i="42385"/>
  <c r="BG1539" i="42385"/>
  <c r="BH1539" i="42385"/>
  <c r="BI1539" i="42385"/>
  <c r="BK1539" i="42385"/>
  <c r="BL1539" i="42385"/>
  <c r="BM1539" i="42385"/>
  <c r="BN1539" i="42385"/>
  <c r="BP1539" i="42385"/>
  <c r="BQ1539" i="42385"/>
  <c r="BR1539" i="42385"/>
  <c r="BS1539" i="42385"/>
  <c r="BU1539" i="42385"/>
  <c r="BV1539" i="42385"/>
  <c r="BW1539" i="42385"/>
  <c r="BX1539" i="42385"/>
  <c r="BZ1539" i="42385"/>
  <c r="DB1539" i="42385" s="1"/>
  <c r="CA1539" i="42385"/>
  <c r="DC1539" i="42385" s="1"/>
  <c r="CB1539" i="42385"/>
  <c r="CC1539" i="42385"/>
  <c r="CD1539" i="42385"/>
  <c r="CE1539" i="42385"/>
  <c r="CF1539" i="42385"/>
  <c r="CL1539" i="42385"/>
  <c r="C1540" i="42385"/>
  <c r="D1540" i="42385"/>
  <c r="E1540" i="42385"/>
  <c r="F1540" i="42385"/>
  <c r="H1540" i="42385"/>
  <c r="I1540" i="42385"/>
  <c r="J1540" i="42385"/>
  <c r="K1540" i="42385"/>
  <c r="M1540" i="42385"/>
  <c r="N1540" i="42385"/>
  <c r="O1540" i="42385"/>
  <c r="P1540" i="42385"/>
  <c r="R1540" i="42385"/>
  <c r="S1540" i="42385"/>
  <c r="T1540" i="42385"/>
  <c r="U1540" i="42385"/>
  <c r="W1540" i="42385"/>
  <c r="X1540" i="42385"/>
  <c r="Y1540" i="42385"/>
  <c r="Z1540" i="42385"/>
  <c r="AB1540" i="42385"/>
  <c r="AC1540" i="42385"/>
  <c r="AD1540" i="42385"/>
  <c r="AE1540" i="42385"/>
  <c r="AG1540" i="42385"/>
  <c r="AH1540" i="42385"/>
  <c r="AI1540" i="42385"/>
  <c r="AJ1540" i="42385"/>
  <c r="AL1540" i="42385"/>
  <c r="AM1540" i="42385"/>
  <c r="AN1540" i="42385"/>
  <c r="AO1540" i="42385"/>
  <c r="CL1540" i="42385"/>
  <c r="C1541" i="42385"/>
  <c r="D1541" i="42385"/>
  <c r="E1541" i="42385"/>
  <c r="F1541" i="42385"/>
  <c r="H1541" i="42385"/>
  <c r="I1541" i="42385"/>
  <c r="J1541" i="42385"/>
  <c r="K1541" i="42385"/>
  <c r="M1541" i="42385"/>
  <c r="N1541" i="42385"/>
  <c r="O1541" i="42385"/>
  <c r="P1541" i="42385"/>
  <c r="R1541" i="42385"/>
  <c r="S1541" i="42385"/>
  <c r="T1541" i="42385"/>
  <c r="U1541" i="42385"/>
  <c r="W1541" i="42385"/>
  <c r="X1541" i="42385"/>
  <c r="Y1541" i="42385"/>
  <c r="Z1541" i="42385"/>
  <c r="AB1541" i="42385"/>
  <c r="AC1541" i="42385"/>
  <c r="AD1541" i="42385"/>
  <c r="AE1541" i="42385"/>
  <c r="AG1541" i="42385"/>
  <c r="AH1541" i="42385"/>
  <c r="AI1541" i="42385"/>
  <c r="AJ1541" i="42385"/>
  <c r="AL1541" i="42385"/>
  <c r="AM1541" i="42385"/>
  <c r="AN1541" i="42385"/>
  <c r="AO1541" i="42385"/>
  <c r="CL1541" i="42385"/>
  <c r="C1542" i="42385"/>
  <c r="D1542" i="42385"/>
  <c r="E1542" i="42385"/>
  <c r="F1542" i="42385"/>
  <c r="H1542" i="42385"/>
  <c r="I1542" i="42385"/>
  <c r="J1542" i="42385"/>
  <c r="K1542" i="42385"/>
  <c r="M1542" i="42385"/>
  <c r="N1542" i="42385"/>
  <c r="O1542" i="42385"/>
  <c r="P1542" i="42385"/>
  <c r="R1542" i="42385"/>
  <c r="S1542" i="42385"/>
  <c r="T1542" i="42385"/>
  <c r="U1542" i="42385"/>
  <c r="W1542" i="42385"/>
  <c r="X1542" i="42385"/>
  <c r="Y1542" i="42385"/>
  <c r="Z1542" i="42385"/>
  <c r="AB1542" i="42385"/>
  <c r="AC1542" i="42385"/>
  <c r="AD1542" i="42385"/>
  <c r="AE1542" i="42385"/>
  <c r="AG1542" i="42385"/>
  <c r="AH1542" i="42385"/>
  <c r="AI1542" i="42385"/>
  <c r="AJ1542" i="42385"/>
  <c r="AL1542" i="42385"/>
  <c r="AM1542" i="42385"/>
  <c r="AX1542" i="42385"/>
  <c r="AY1542" i="42385"/>
  <c r="BA1542" i="42385"/>
  <c r="BB1542" i="42385"/>
  <c r="BC1542" i="42385"/>
  <c r="BD1542" i="42385"/>
  <c r="BF1542" i="42385"/>
  <c r="BG1542" i="42385"/>
  <c r="BH1542" i="42385"/>
  <c r="BI1542" i="42385"/>
  <c r="BK1542" i="42385"/>
  <c r="BL1542" i="42385"/>
  <c r="BM1542" i="42385"/>
  <c r="BN1542" i="42385"/>
  <c r="BP1542" i="42385"/>
  <c r="BQ1542" i="42385"/>
  <c r="BR1542" i="42385"/>
  <c r="BS1542" i="42385"/>
  <c r="BU1542" i="42385"/>
  <c r="BV1542" i="42385"/>
  <c r="BW1542" i="42385"/>
  <c r="BX1542" i="42385"/>
  <c r="BZ1542" i="42385"/>
  <c r="DB1542" i="42385" s="1"/>
  <c r="CA1542" i="42385"/>
  <c r="DC1542" i="42385" s="1"/>
  <c r="CB1542" i="42385"/>
  <c r="CC1542" i="42385"/>
  <c r="CD1542" i="42385"/>
  <c r="CE1542" i="42385"/>
  <c r="CF1542" i="42385"/>
  <c r="CL1542" i="42385"/>
  <c r="C1543" i="42385"/>
  <c r="D1543" i="42385"/>
  <c r="E1543" i="42385"/>
  <c r="F1543" i="42385"/>
  <c r="H1543" i="42385"/>
  <c r="I1543" i="42385"/>
  <c r="J1543" i="42385"/>
  <c r="K1543" i="42385"/>
  <c r="M1543" i="42385"/>
  <c r="N1543" i="42385"/>
  <c r="O1543" i="42385"/>
  <c r="P1543" i="42385"/>
  <c r="R1543" i="42385"/>
  <c r="S1543" i="42385"/>
  <c r="T1543" i="42385"/>
  <c r="U1543" i="42385"/>
  <c r="W1543" i="42385"/>
  <c r="X1543" i="42385"/>
  <c r="Y1543" i="42385"/>
  <c r="Z1543" i="42385"/>
  <c r="AB1543" i="42385"/>
  <c r="AC1543" i="42385"/>
  <c r="AD1543" i="42385"/>
  <c r="AE1543" i="42385"/>
  <c r="AG1543" i="42385"/>
  <c r="AH1543" i="42385"/>
  <c r="AI1543" i="42385"/>
  <c r="AJ1543" i="42385"/>
  <c r="AL1543" i="42385"/>
  <c r="AM1543" i="42385"/>
  <c r="CL1543" i="42385"/>
  <c r="AZ1544" i="42385"/>
  <c r="CV1544" i="42385" s="1"/>
  <c r="CL1544" i="42385"/>
  <c r="CM1544" i="42385"/>
  <c r="CN1544" i="42385"/>
  <c r="CO1544" i="42385"/>
  <c r="CP1544" i="42385"/>
  <c r="CQ1544" i="42385"/>
  <c r="CR1544" i="42385"/>
  <c r="CS1544" i="42385"/>
  <c r="CT1544" i="42385"/>
  <c r="CU1544" i="42385"/>
  <c r="CW1544" i="42385"/>
  <c r="CX1544" i="42385"/>
  <c r="CY1544" i="42385"/>
  <c r="CZ1544" i="42385"/>
  <c r="DA1544" i="42385"/>
  <c r="DB1544" i="42385"/>
  <c r="DC1544" i="42385"/>
  <c r="C1545" i="42385"/>
  <c r="D1545" i="42385"/>
  <c r="E1545" i="42385"/>
  <c r="F1545" i="42385"/>
  <c r="G1545" i="42385"/>
  <c r="CM1545" i="42385" s="1"/>
  <c r="H1545" i="42385"/>
  <c r="I1545" i="42385"/>
  <c r="J1545" i="42385"/>
  <c r="K1545" i="42385"/>
  <c r="L1545" i="42385"/>
  <c r="CN1545" i="42385" s="1"/>
  <c r="M1545" i="42385"/>
  <c r="N1545" i="42385"/>
  <c r="O1545" i="42385"/>
  <c r="P1545" i="42385"/>
  <c r="Q1545" i="42385"/>
  <c r="CO1545" i="42385" s="1"/>
  <c r="R1545" i="42385"/>
  <c r="S1545" i="42385"/>
  <c r="T1545" i="42385"/>
  <c r="U1545" i="42385"/>
  <c r="V1545" i="42385"/>
  <c r="CP1545" i="42385" s="1"/>
  <c r="W1545" i="42385"/>
  <c r="X1545" i="42385"/>
  <c r="Y1545" i="42385"/>
  <c r="Z1545" i="42385"/>
  <c r="AA1545" i="42385"/>
  <c r="CQ1545" i="42385" s="1"/>
  <c r="AB1545" i="42385"/>
  <c r="AC1545" i="42385"/>
  <c r="AD1545" i="42385"/>
  <c r="AE1545" i="42385"/>
  <c r="AF1545" i="42385"/>
  <c r="CR1545" i="42385" s="1"/>
  <c r="AG1545" i="42385"/>
  <c r="AH1545" i="42385"/>
  <c r="AI1545" i="42385"/>
  <c r="AJ1545" i="42385"/>
  <c r="AK1545" i="42385"/>
  <c r="CS1545" i="42385" s="1"/>
  <c r="AL1545" i="42385"/>
  <c r="AM1545" i="42385"/>
  <c r="AN1545" i="42385"/>
  <c r="AO1545" i="42385"/>
  <c r="AQ1545" i="42385"/>
  <c r="AR1545" i="42385"/>
  <c r="BA1545" i="42385"/>
  <c r="BB1545" i="42385"/>
  <c r="BC1545" i="42385"/>
  <c r="BD1545" i="42385"/>
  <c r="BE1545" i="42385"/>
  <c r="CW1545" i="42385" s="1"/>
  <c r="BF1545" i="42385"/>
  <c r="BG1545" i="42385"/>
  <c r="BH1545" i="42385"/>
  <c r="BI1545" i="42385"/>
  <c r="BJ1545" i="42385"/>
  <c r="CX1545" i="42385" s="1"/>
  <c r="BK1545" i="42385"/>
  <c r="BL1545" i="42385"/>
  <c r="BM1545" i="42385"/>
  <c r="BN1545" i="42385"/>
  <c r="BO1545" i="42385"/>
  <c r="CY1545" i="42385" s="1"/>
  <c r="BP1545" i="42385"/>
  <c r="BQ1545" i="42385"/>
  <c r="BR1545" i="42385"/>
  <c r="BS1545" i="42385"/>
  <c r="BT1545" i="42385"/>
  <c r="CZ1545" i="42385" s="1"/>
  <c r="BU1545" i="42385"/>
  <c r="BV1545" i="42385"/>
  <c r="BW1545" i="42385"/>
  <c r="BX1545" i="42385"/>
  <c r="BY1545" i="42385"/>
  <c r="DA1545" i="42385" s="1"/>
  <c r="BZ1545" i="42385"/>
  <c r="DB1545" i="42385" s="1"/>
  <c r="CA1545" i="42385"/>
  <c r="DC1545" i="42385" s="1"/>
  <c r="CB1545" i="42385"/>
  <c r="CC1545" i="42385"/>
  <c r="CD1545" i="42385"/>
  <c r="CE1545" i="42385"/>
  <c r="CF1545" i="42385"/>
  <c r="CL1545" i="42385"/>
  <c r="C1546" i="42385"/>
  <c r="D1546" i="42385"/>
  <c r="E1546" i="42385"/>
  <c r="F1546" i="42385"/>
  <c r="G1546" i="42385"/>
  <c r="CM1546" i="42385" s="1"/>
  <c r="H1546" i="42385"/>
  <c r="I1546" i="42385"/>
  <c r="J1546" i="42385"/>
  <c r="K1546" i="42385"/>
  <c r="L1546" i="42385"/>
  <c r="CN1546" i="42385" s="1"/>
  <c r="M1546" i="42385"/>
  <c r="N1546" i="42385"/>
  <c r="O1546" i="42385"/>
  <c r="P1546" i="42385"/>
  <c r="Q1546" i="42385"/>
  <c r="CO1546" i="42385" s="1"/>
  <c r="R1546" i="42385"/>
  <c r="S1546" i="42385"/>
  <c r="T1546" i="42385"/>
  <c r="U1546" i="42385"/>
  <c r="V1546" i="42385"/>
  <c r="CP1546" i="42385" s="1"/>
  <c r="W1546" i="42385"/>
  <c r="X1546" i="42385"/>
  <c r="Y1546" i="42385"/>
  <c r="Z1546" i="42385"/>
  <c r="AA1546" i="42385"/>
  <c r="CQ1546" i="42385" s="1"/>
  <c r="AB1546" i="42385"/>
  <c r="AC1546" i="42385"/>
  <c r="AD1546" i="42385"/>
  <c r="AE1546" i="42385"/>
  <c r="AF1546" i="42385"/>
  <c r="CR1546" i="42385" s="1"/>
  <c r="AG1546" i="42385"/>
  <c r="AH1546" i="42385"/>
  <c r="AI1546" i="42385"/>
  <c r="AJ1546" i="42385"/>
  <c r="AK1546" i="42385"/>
  <c r="CS1546" i="42385" s="1"/>
  <c r="AL1546" i="42385"/>
  <c r="AM1546" i="42385"/>
  <c r="AN1546" i="42385"/>
  <c r="AO1546" i="42385"/>
  <c r="AP1546" i="42385"/>
  <c r="CT1546" i="42385" s="1"/>
  <c r="AQ1546" i="42385"/>
  <c r="AR1546" i="42385"/>
  <c r="AS1546" i="42385"/>
  <c r="CL1546" i="42385"/>
  <c r="C1547" i="42385"/>
  <c r="D1547" i="42385"/>
  <c r="E1547" i="42385"/>
  <c r="F1547" i="42385"/>
  <c r="G1547" i="42385"/>
  <c r="CM1547" i="42385" s="1"/>
  <c r="H1547" i="42385"/>
  <c r="I1547" i="42385"/>
  <c r="J1547" i="42385"/>
  <c r="K1547" i="42385"/>
  <c r="L1547" i="42385"/>
  <c r="CN1547" i="42385" s="1"/>
  <c r="M1547" i="42385"/>
  <c r="N1547" i="42385"/>
  <c r="O1547" i="42385"/>
  <c r="P1547" i="42385"/>
  <c r="Q1547" i="42385"/>
  <c r="CO1547" i="42385" s="1"/>
  <c r="R1547" i="42385"/>
  <c r="S1547" i="42385"/>
  <c r="T1547" i="42385"/>
  <c r="U1547" i="42385"/>
  <c r="V1547" i="42385"/>
  <c r="CP1547" i="42385" s="1"/>
  <c r="W1547" i="42385"/>
  <c r="X1547" i="42385"/>
  <c r="Y1547" i="42385"/>
  <c r="Z1547" i="42385"/>
  <c r="AA1547" i="42385"/>
  <c r="CQ1547" i="42385" s="1"/>
  <c r="AB1547" i="42385"/>
  <c r="AC1547" i="42385"/>
  <c r="AD1547" i="42385"/>
  <c r="AE1547" i="42385"/>
  <c r="AF1547" i="42385"/>
  <c r="CR1547" i="42385" s="1"/>
  <c r="AG1547" i="42385"/>
  <c r="AH1547" i="42385"/>
  <c r="AI1547" i="42385"/>
  <c r="AJ1547" i="42385"/>
  <c r="AK1547" i="42385"/>
  <c r="CS1547" i="42385" s="1"/>
  <c r="AL1547" i="42385"/>
  <c r="AM1547" i="42385"/>
  <c r="AN1547" i="42385"/>
  <c r="AO1547" i="42385"/>
  <c r="AP1547" i="42385"/>
  <c r="CT1547" i="42385" s="1"/>
  <c r="AQ1547" i="42385"/>
  <c r="CL1547" i="42385"/>
  <c r="C1548" i="42385"/>
  <c r="D1548" i="42385"/>
  <c r="E1548" i="42385"/>
  <c r="F1548" i="42385"/>
  <c r="G1548" i="42385"/>
  <c r="CM1548" i="42385" s="1"/>
  <c r="H1548" i="42385"/>
  <c r="I1548" i="42385"/>
  <c r="J1548" i="42385"/>
  <c r="K1548" i="42385"/>
  <c r="L1548" i="42385"/>
  <c r="CN1548" i="42385" s="1"/>
  <c r="M1548" i="42385"/>
  <c r="N1548" i="42385"/>
  <c r="O1548" i="42385"/>
  <c r="P1548" i="42385"/>
  <c r="Q1548" i="42385"/>
  <c r="CO1548" i="42385" s="1"/>
  <c r="R1548" i="42385"/>
  <c r="S1548" i="42385"/>
  <c r="T1548" i="42385"/>
  <c r="U1548" i="42385"/>
  <c r="V1548" i="42385"/>
  <c r="CP1548" i="42385" s="1"/>
  <c r="W1548" i="42385"/>
  <c r="X1548" i="42385"/>
  <c r="Y1548" i="42385"/>
  <c r="Z1548" i="42385"/>
  <c r="AA1548" i="42385"/>
  <c r="CQ1548" i="42385" s="1"/>
  <c r="AB1548" i="42385"/>
  <c r="AC1548" i="42385"/>
  <c r="AD1548" i="42385"/>
  <c r="AE1548" i="42385"/>
  <c r="AF1548" i="42385"/>
  <c r="CR1548" i="42385" s="1"/>
  <c r="AG1548" i="42385"/>
  <c r="AH1548" i="42385"/>
  <c r="AI1548" i="42385"/>
  <c r="AJ1548" i="42385"/>
  <c r="AK1548" i="42385"/>
  <c r="CS1548" i="42385" s="1"/>
  <c r="AL1548" i="42385"/>
  <c r="AM1548" i="42385"/>
  <c r="AN1548" i="42385"/>
  <c r="AO1548" i="42385"/>
  <c r="AP1548" i="42385"/>
  <c r="CT1548" i="42385" s="1"/>
  <c r="AQ1548" i="42385"/>
  <c r="AR1548" i="42385"/>
  <c r="AT1548" i="42385"/>
  <c r="AY1548" i="42385"/>
  <c r="BB1548" i="42385"/>
  <c r="BD1548" i="42385"/>
  <c r="BF1548" i="42385"/>
  <c r="BG1548" i="42385"/>
  <c r="BI1548" i="42385"/>
  <c r="BL1548" i="42385"/>
  <c r="BN1548" i="42385"/>
  <c r="BQ1548" i="42385"/>
  <c r="BS1548" i="42385"/>
  <c r="BV1548" i="42385"/>
  <c r="BX1548" i="42385"/>
  <c r="CL1548" i="42385"/>
  <c r="AV1549" i="42385"/>
  <c r="AW1549" i="42385"/>
  <c r="BA1549" i="42385"/>
  <c r="CL1549" i="42385"/>
  <c r="CM1549" i="42385"/>
  <c r="CN1549" i="42385"/>
  <c r="CO1549" i="42385"/>
  <c r="CP1549" i="42385"/>
  <c r="CQ1549" i="42385"/>
  <c r="CR1549" i="42385"/>
  <c r="CS1549" i="42385"/>
  <c r="CT1549" i="42385"/>
  <c r="BA1550" i="42385"/>
  <c r="BB1550" i="42385"/>
  <c r="BC1550" i="42385"/>
  <c r="BD1550" i="42385"/>
  <c r="BF1550" i="42385"/>
  <c r="BG1550" i="42385"/>
  <c r="BH1550" i="42385"/>
  <c r="BI1550" i="42385"/>
  <c r="BK1550" i="42385"/>
  <c r="BL1550" i="42385"/>
  <c r="BM1550" i="42385"/>
  <c r="BN1550" i="42385"/>
  <c r="BP1550" i="42385"/>
  <c r="BQ1550" i="42385"/>
  <c r="BR1550" i="42385"/>
  <c r="BS1550" i="42385"/>
  <c r="BU1550" i="42385"/>
  <c r="BV1550" i="42385"/>
  <c r="BW1550" i="42385"/>
  <c r="BX1550" i="42385"/>
  <c r="CL1550" i="42385"/>
  <c r="BF1551" i="42385"/>
  <c r="BG1551" i="42385"/>
  <c r="CL1551" i="42385"/>
  <c r="C1552" i="42385"/>
  <c r="H1552" i="42385"/>
  <c r="J1552" i="42385"/>
  <c r="O1552" i="42385"/>
  <c r="T1552" i="42385"/>
  <c r="Y1552" i="42385"/>
  <c r="AC1552" i="42385"/>
  <c r="AD1552" i="42385"/>
  <c r="AH1552" i="42385"/>
  <c r="CL1552" i="42385"/>
  <c r="BA1553" i="42385"/>
  <c r="BA107" i="42385" s="1"/>
  <c r="BH1553" i="42385"/>
  <c r="CL1553" i="42385"/>
  <c r="CL1554" i="42385"/>
  <c r="CM1555" i="42385"/>
  <c r="CN1555" i="42385"/>
  <c r="CO1555" i="42385"/>
  <c r="CP1555" i="42385"/>
  <c r="CQ1555" i="42385"/>
  <c r="CR1555" i="42385"/>
  <c r="CS1555" i="42385"/>
  <c r="CT1555" i="42385"/>
  <c r="CU1555" i="42385"/>
  <c r="CV1555" i="42385"/>
  <c r="CW1555" i="42385"/>
  <c r="CX1555" i="42385"/>
  <c r="CY1555" i="42385"/>
  <c r="CZ1555" i="42385"/>
  <c r="DA1555" i="42385"/>
  <c r="DB1555" i="42385"/>
  <c r="DC1555" i="42385"/>
  <c r="G1556" i="42385"/>
  <c r="G63" i="42385" s="1"/>
  <c r="CM63" i="42385" s="1"/>
  <c r="L1556" i="42385"/>
  <c r="CN1556" i="42385" s="1"/>
  <c r="Q1556" i="42385"/>
  <c r="CO1556" i="42385" s="1"/>
  <c r="V1556" i="42385"/>
  <c r="CP1556" i="42385" s="1"/>
  <c r="AA1556" i="42385"/>
  <c r="AK1556" i="42385"/>
  <c r="AK63" i="42385" s="1"/>
  <c r="AP1556" i="42385"/>
  <c r="CT1556" i="42385" s="1"/>
  <c r="AQ1556" i="42385"/>
  <c r="AQ1557" i="42385" s="1"/>
  <c r="AR1556" i="42385"/>
  <c r="AR1280" i="42385" s="1"/>
  <c r="AS1556" i="42385"/>
  <c r="AU1556" i="42385" s="1"/>
  <c r="AT1556" i="42385"/>
  <c r="AT1557" i="42385" s="1"/>
  <c r="AV1556" i="42385"/>
  <c r="AV1280" i="42385" s="1"/>
  <c r="AW1556" i="42385"/>
  <c r="AW1557" i="42385" s="1"/>
  <c r="AX1556" i="42385"/>
  <c r="AY1556" i="42385"/>
  <c r="BA1556" i="42385"/>
  <c r="BA1557" i="42385" s="1"/>
  <c r="BB1556" i="42385"/>
  <c r="BC1556" i="42385"/>
  <c r="BD1556" i="42385"/>
  <c r="BF1556" i="42385"/>
  <c r="BF1280" i="42385" s="1"/>
  <c r="BG1556" i="42385"/>
  <c r="BG1280" i="42385" s="1"/>
  <c r="BH1556" i="42385"/>
  <c r="BI1556" i="42385"/>
  <c r="BI1280" i="42385" s="1"/>
  <c r="BK1556" i="42385"/>
  <c r="BK1280" i="42385" s="1"/>
  <c r="BL1556" i="42385"/>
  <c r="BM1556" i="42385"/>
  <c r="BM1280" i="42385" s="1"/>
  <c r="BN1556" i="42385"/>
  <c r="BP1556" i="42385"/>
  <c r="BP1280" i="42385" s="1"/>
  <c r="BQ1556" i="42385"/>
  <c r="CL1556" i="42385"/>
  <c r="AG1557" i="42385"/>
  <c r="AH1557" i="42385"/>
  <c r="AI1557" i="42385"/>
  <c r="AL1557" i="42385"/>
  <c r="AM1557" i="42385"/>
  <c r="AN1557" i="42385"/>
  <c r="AO1557" i="42385"/>
  <c r="CL1557" i="42385"/>
  <c r="CL1558" i="42385"/>
  <c r="C1561" i="42385"/>
  <c r="D1561" i="42385"/>
  <c r="E1561" i="42385"/>
  <c r="F1561" i="42385"/>
  <c r="G1561" i="42385"/>
  <c r="CM1561" i="42385" s="1"/>
  <c r="H1561" i="42385"/>
  <c r="I1561" i="42385"/>
  <c r="J1561" i="42385"/>
  <c r="K1561" i="42385"/>
  <c r="L1561" i="42385"/>
  <c r="CN1561" i="42385" s="1"/>
  <c r="M1561" i="42385"/>
  <c r="N1561" i="42385"/>
  <c r="O1561" i="42385"/>
  <c r="P1561" i="42385"/>
  <c r="Q1561" i="42385"/>
  <c r="CO1561" i="42385" s="1"/>
  <c r="R1561" i="42385"/>
  <c r="S1561" i="42385"/>
  <c r="T1561" i="42385"/>
  <c r="U1561" i="42385"/>
  <c r="V1561" i="42385"/>
  <c r="CP1561" i="42385" s="1"/>
  <c r="W1561" i="42385"/>
  <c r="X1561" i="42385"/>
  <c r="Y1561" i="42385"/>
  <c r="Z1561" i="42385"/>
  <c r="AA1561" i="42385"/>
  <c r="CQ1561" i="42385" s="1"/>
  <c r="AB1561" i="42385"/>
  <c r="AC1561" i="42385"/>
  <c r="AD1561" i="42385"/>
  <c r="AE1561" i="42385"/>
  <c r="AF1561" i="42385"/>
  <c r="CR1561" i="42385" s="1"/>
  <c r="AG1561" i="42385"/>
  <c r="AH1561" i="42385"/>
  <c r="AI1561" i="42385"/>
  <c r="AJ1561" i="42385"/>
  <c r="AK1561" i="42385"/>
  <c r="CS1561" i="42385" s="1"/>
  <c r="AL1561" i="42385"/>
  <c r="AM1561" i="42385"/>
  <c r="AN1561" i="42385"/>
  <c r="AO1561" i="42385"/>
  <c r="AP1561" i="42385"/>
  <c r="CT1561" i="42385" s="1"/>
  <c r="AQ1561" i="42385"/>
  <c r="AR1561" i="42385"/>
  <c r="AS1561" i="42385"/>
  <c r="AT1561" i="42385"/>
  <c r="AU1561" i="42385"/>
  <c r="CU1561" i="42385" s="1"/>
  <c r="AV1561" i="42385"/>
  <c r="AW1561" i="42385"/>
  <c r="AX1561" i="42385"/>
  <c r="AY1561" i="42385"/>
  <c r="AZ1561" i="42385"/>
  <c r="CV1561" i="42385" s="1"/>
  <c r="BA1561" i="42385"/>
  <c r="BB1561" i="42385"/>
  <c r="BC1561" i="42385"/>
  <c r="BD1561" i="42385"/>
  <c r="BE1561" i="42385"/>
  <c r="CW1561" i="42385" s="1"/>
  <c r="BF1561" i="42385"/>
  <c r="BG1561" i="42385"/>
  <c r="BH1561" i="42385"/>
  <c r="BI1561" i="42385"/>
  <c r="BJ1561" i="42385"/>
  <c r="CX1561" i="42385" s="1"/>
  <c r="BK1561" i="42385"/>
  <c r="BL1561" i="42385"/>
  <c r="BM1561" i="42385"/>
  <c r="BN1561" i="42385"/>
  <c r="BO1561" i="42385"/>
  <c r="CY1561" i="42385" s="1"/>
  <c r="BP1561" i="42385"/>
  <c r="BQ1561" i="42385"/>
  <c r="BR1561" i="42385"/>
  <c r="BS1561" i="42385"/>
  <c r="BT1561" i="42385"/>
  <c r="CZ1561" i="42385" s="1"/>
  <c r="BU1561" i="42385"/>
  <c r="BV1561" i="42385"/>
  <c r="BW1561" i="42385"/>
  <c r="BX1561" i="42385"/>
  <c r="BY1561" i="42385"/>
  <c r="DA1561" i="42385" s="1"/>
  <c r="BZ1561" i="42385"/>
  <c r="DB1561" i="42385" s="1"/>
  <c r="CA1561" i="42385"/>
  <c r="DC1561" i="42385" s="1"/>
  <c r="CB1561" i="42385"/>
  <c r="CC1561" i="42385"/>
  <c r="CD1561" i="42385"/>
  <c r="CE1561" i="42385"/>
  <c r="CF1561" i="42385"/>
  <c r="CL1561" i="42385"/>
  <c r="C1563" i="42385"/>
  <c r="D1563" i="42385"/>
  <c r="E1563" i="42385"/>
  <c r="F1563" i="42385"/>
  <c r="H1563" i="42385"/>
  <c r="I1563" i="42385"/>
  <c r="J1563" i="42385"/>
  <c r="K1563" i="42385"/>
  <c r="M1563" i="42385"/>
  <c r="N1563" i="42385"/>
  <c r="O1563" i="42385"/>
  <c r="P1563" i="42385"/>
  <c r="R1563" i="42385"/>
  <c r="S1563" i="42385"/>
  <c r="T1563" i="42385"/>
  <c r="U1563" i="42385"/>
  <c r="W1563" i="42385"/>
  <c r="W1593" i="42385" s="1"/>
  <c r="X1563" i="42385"/>
  <c r="X1593" i="42385" s="1"/>
  <c r="Y1563" i="42385"/>
  <c r="Z1563" i="42385"/>
  <c r="Z1593" i="42385" s="1"/>
  <c r="AE1563" i="42385"/>
  <c r="AE1593" i="42385" s="1"/>
  <c r="AG1563" i="42385"/>
  <c r="AG1593" i="42385" s="1"/>
  <c r="AH1563" i="42385"/>
  <c r="AI1563" i="42385"/>
  <c r="AI1593" i="42385" s="1"/>
  <c r="AM1563" i="42385"/>
  <c r="AO1563" i="42385"/>
  <c r="AQ1563" i="42385"/>
  <c r="AT1563" i="42385"/>
  <c r="AY1563" i="42385"/>
  <c r="BK1563" i="42385"/>
  <c r="BL1563" i="42385"/>
  <c r="CL1563" i="42385"/>
  <c r="D1564" i="42385"/>
  <c r="D1660" i="42385" s="1"/>
  <c r="E1564" i="42385"/>
  <c r="I1564" i="42385"/>
  <c r="J1564" i="42385"/>
  <c r="N1564" i="42385"/>
  <c r="N1660" i="42385" s="1"/>
  <c r="O1564" i="42385"/>
  <c r="O1660" i="42385" s="1"/>
  <c r="P1564" i="42385"/>
  <c r="P1660" i="42385" s="1"/>
  <c r="T1564" i="42385"/>
  <c r="T1660" i="42385" s="1"/>
  <c r="X1564" i="42385"/>
  <c r="X1585" i="42385" s="1"/>
  <c r="Y1564" i="42385"/>
  <c r="Y1660" i="42385" s="1"/>
  <c r="AH1564" i="42385"/>
  <c r="AI1564" i="42385"/>
  <c r="AI1585" i="42385" s="1"/>
  <c r="AM1564" i="42385"/>
  <c r="AM1660" i="42385" s="1"/>
  <c r="CL1564" i="42385"/>
  <c r="C1565" i="42385"/>
  <c r="C1661" i="42385" s="1"/>
  <c r="D1565" i="42385"/>
  <c r="D1661" i="42385" s="1"/>
  <c r="E1565" i="42385"/>
  <c r="E1661" i="42385" s="1"/>
  <c r="F1565" i="42385"/>
  <c r="F1661" i="42385" s="1"/>
  <c r="H1565" i="42385"/>
  <c r="I1565" i="42385"/>
  <c r="I1661" i="42385" s="1"/>
  <c r="J1565" i="42385"/>
  <c r="J1661" i="42385" s="1"/>
  <c r="K1565" i="42385"/>
  <c r="K1661" i="42385" s="1"/>
  <c r="M1565" i="42385"/>
  <c r="N1565" i="42385"/>
  <c r="O1565" i="42385"/>
  <c r="O1661" i="42385" s="1"/>
  <c r="P1565" i="42385"/>
  <c r="P1661" i="42385" s="1"/>
  <c r="R1565" i="42385"/>
  <c r="R1661" i="42385" s="1"/>
  <c r="S1565" i="42385"/>
  <c r="S1661" i="42385" s="1"/>
  <c r="T1565" i="42385"/>
  <c r="T1661" i="42385" s="1"/>
  <c r="U1565" i="42385"/>
  <c r="W1565" i="42385"/>
  <c r="W1661" i="42385" s="1"/>
  <c r="X1565" i="42385"/>
  <c r="X1661" i="42385" s="1"/>
  <c r="Y1565" i="42385"/>
  <c r="Z1565" i="42385"/>
  <c r="Z1661" i="42385" s="1"/>
  <c r="AB1565" i="42385"/>
  <c r="AB1661" i="42385" s="1"/>
  <c r="AC1565" i="42385"/>
  <c r="AC1661" i="42385" s="1"/>
  <c r="AD1565" i="42385"/>
  <c r="AE1565" i="42385"/>
  <c r="AE1661" i="42385" s="1"/>
  <c r="CL1565" i="42385"/>
  <c r="CM1566" i="42385"/>
  <c r="CN1566" i="42385"/>
  <c r="CO1566" i="42385"/>
  <c r="CP1566" i="42385"/>
  <c r="CQ1566" i="42385"/>
  <c r="CR1566" i="42385"/>
  <c r="CS1566" i="42385"/>
  <c r="CT1566" i="42385"/>
  <c r="CU1566" i="42385"/>
  <c r="CV1566" i="42385"/>
  <c r="CW1566" i="42385"/>
  <c r="CX1566" i="42385"/>
  <c r="CY1566" i="42385"/>
  <c r="CZ1566" i="42385"/>
  <c r="DA1566" i="42385"/>
  <c r="DB1566" i="42385"/>
  <c r="DC1566" i="42385"/>
  <c r="CL1567" i="42385"/>
  <c r="CL1569" i="42385"/>
  <c r="G1570" i="42385"/>
  <c r="CM1570" i="42385" s="1"/>
  <c r="K1570" i="42385"/>
  <c r="L1570" i="42385" s="1"/>
  <c r="CN1570" i="42385" s="1"/>
  <c r="M1570" i="42385"/>
  <c r="N1570" i="42385"/>
  <c r="CL1570" i="42385"/>
  <c r="CO1570" i="42385"/>
  <c r="CP1570" i="42385"/>
  <c r="CQ1570" i="42385"/>
  <c r="CR1570" i="42385"/>
  <c r="CS1570" i="42385"/>
  <c r="CT1570" i="42385"/>
  <c r="CU1570" i="42385"/>
  <c r="CV1570" i="42385"/>
  <c r="CW1570" i="42385"/>
  <c r="CX1570" i="42385"/>
  <c r="CY1570" i="42385"/>
  <c r="CZ1570" i="42385"/>
  <c r="DA1570" i="42385"/>
  <c r="DB1570" i="42385"/>
  <c r="DC1570" i="42385"/>
  <c r="CM1571" i="42385"/>
  <c r="CN1571" i="42385"/>
  <c r="CO1571" i="42385"/>
  <c r="CP1571" i="42385"/>
  <c r="CQ1571" i="42385"/>
  <c r="CR1571" i="42385"/>
  <c r="CS1571" i="42385"/>
  <c r="CT1571" i="42385"/>
  <c r="CU1571" i="42385"/>
  <c r="CV1571" i="42385"/>
  <c r="CW1571" i="42385"/>
  <c r="CX1571" i="42385"/>
  <c r="CY1571" i="42385"/>
  <c r="CZ1571" i="42385"/>
  <c r="DA1571" i="42385"/>
  <c r="DB1571" i="42385"/>
  <c r="DC1571" i="42385"/>
  <c r="CL1572" i="42385"/>
  <c r="C1574" i="42385"/>
  <c r="D1574" i="42385"/>
  <c r="E1574" i="42385"/>
  <c r="F1574" i="42385"/>
  <c r="H1574" i="42385"/>
  <c r="I1574" i="42385"/>
  <c r="J1574" i="42385"/>
  <c r="K1574" i="42385"/>
  <c r="M1574" i="42385"/>
  <c r="N1574" i="42385"/>
  <c r="O1574" i="42385"/>
  <c r="P1574" i="42385"/>
  <c r="Q1574" i="42385"/>
  <c r="CO1574" i="42385" s="1"/>
  <c r="R1574" i="42385"/>
  <c r="S1574" i="42385"/>
  <c r="T1574" i="42385"/>
  <c r="U1574" i="42385"/>
  <c r="V1574" i="42385"/>
  <c r="CP1574" i="42385" s="1"/>
  <c r="W1574" i="42385"/>
  <c r="X1574" i="42385"/>
  <c r="Y1574" i="42385"/>
  <c r="Z1574" i="42385"/>
  <c r="AB1574" i="42385"/>
  <c r="AC1574" i="42385"/>
  <c r="AD1574" i="42385"/>
  <c r="AE1574" i="42385"/>
  <c r="AG1574" i="42385"/>
  <c r="AH1574" i="42385"/>
  <c r="AI1574" i="42385"/>
  <c r="AJ1574" i="42385"/>
  <c r="AK1574" i="42385"/>
  <c r="CS1574" i="42385" s="1"/>
  <c r="AL1574" i="42385"/>
  <c r="AM1574" i="42385"/>
  <c r="AN1574" i="42385"/>
  <c r="AO1574" i="42385"/>
  <c r="AP1574" i="42385"/>
  <c r="CT1574" i="42385" s="1"/>
  <c r="AQ1574" i="42385"/>
  <c r="AS1574" i="42385"/>
  <c r="AT1574" i="42385"/>
  <c r="AV1574" i="42385"/>
  <c r="AW1574" i="42385"/>
  <c r="AX1574" i="42385"/>
  <c r="AY1574" i="42385"/>
  <c r="BA1574" i="42385"/>
  <c r="BB1574" i="42385"/>
  <c r="BC1574" i="42385"/>
  <c r="BD1574" i="42385"/>
  <c r="BF1574" i="42385"/>
  <c r="BG1574" i="42385"/>
  <c r="BH1574" i="42385"/>
  <c r="BI1574" i="42385"/>
  <c r="BK1574" i="42385"/>
  <c r="BL1574" i="42385"/>
  <c r="BM1574" i="42385"/>
  <c r="BN1574" i="42385"/>
  <c r="BP1574" i="42385"/>
  <c r="BQ1574" i="42385"/>
  <c r="CL1574" i="42385"/>
  <c r="M1575" i="42385"/>
  <c r="W1575" i="42385"/>
  <c r="AC1575" i="42385"/>
  <c r="AI1575" i="42385"/>
  <c r="AN1575" i="42385"/>
  <c r="AQ1575" i="42385"/>
  <c r="AS1575" i="42385"/>
  <c r="AW1575" i="42385"/>
  <c r="AW1577" i="42385" s="1"/>
  <c r="BC1575" i="42385"/>
  <c r="BH1575" i="42385"/>
  <c r="CL1575" i="42385"/>
  <c r="CM1576" i="42385"/>
  <c r="CN1576" i="42385"/>
  <c r="CO1576" i="42385"/>
  <c r="CP1576" i="42385"/>
  <c r="CQ1576" i="42385"/>
  <c r="CR1576" i="42385"/>
  <c r="CS1576" i="42385"/>
  <c r="CT1576" i="42385"/>
  <c r="CU1576" i="42385"/>
  <c r="CV1576" i="42385"/>
  <c r="CW1576" i="42385"/>
  <c r="CX1576" i="42385"/>
  <c r="CY1576" i="42385"/>
  <c r="CZ1576" i="42385"/>
  <c r="DA1576" i="42385"/>
  <c r="DB1576" i="42385"/>
  <c r="DC1576" i="42385"/>
  <c r="CL1577" i="42385"/>
  <c r="CM1578" i="42385"/>
  <c r="CN1578" i="42385"/>
  <c r="CO1578" i="42385"/>
  <c r="CP1578" i="42385"/>
  <c r="CQ1578" i="42385"/>
  <c r="CR1578" i="42385"/>
  <c r="CS1578" i="42385"/>
  <c r="CT1578" i="42385"/>
  <c r="CU1578" i="42385"/>
  <c r="CV1578" i="42385"/>
  <c r="CW1578" i="42385"/>
  <c r="CX1578" i="42385"/>
  <c r="CY1578" i="42385"/>
  <c r="CZ1578" i="42385"/>
  <c r="DA1578" i="42385"/>
  <c r="DB1578" i="42385"/>
  <c r="DC1578" i="42385"/>
  <c r="CL1579" i="42385"/>
  <c r="CL1581" i="42385"/>
  <c r="G1582" i="42385"/>
  <c r="CM1582" i="42385" s="1"/>
  <c r="L1582" i="42385"/>
  <c r="CN1582" i="42385" s="1"/>
  <c r="Q1582" i="42385"/>
  <c r="CO1582" i="42385" s="1"/>
  <c r="V1582" i="42385"/>
  <c r="CP1582" i="42385" s="1"/>
  <c r="AA1582" i="42385"/>
  <c r="CQ1582" i="42385" s="1"/>
  <c r="AF1582" i="42385"/>
  <c r="CR1582" i="42385" s="1"/>
  <c r="AK1582" i="42385"/>
  <c r="CS1582" i="42385" s="1"/>
  <c r="AL1582" i="42385"/>
  <c r="AM1582" i="42385" s="1"/>
  <c r="CL1582" i="42385"/>
  <c r="CL1583" i="42385"/>
  <c r="CL1584" i="42385"/>
  <c r="CL1585" i="42385"/>
  <c r="CL1586" i="42385"/>
  <c r="CL1587" i="42385"/>
  <c r="CL1589" i="42385"/>
  <c r="G1590" i="42385"/>
  <c r="CM1590" i="42385" s="1"/>
  <c r="L1590" i="42385"/>
  <c r="CN1590" i="42385" s="1"/>
  <c r="Q1590" i="42385"/>
  <c r="CO1590" i="42385" s="1"/>
  <c r="V1590" i="42385"/>
  <c r="CP1590" i="42385" s="1"/>
  <c r="AA1590" i="42385"/>
  <c r="AF1590" i="42385"/>
  <c r="CR1590" i="42385" s="1"/>
  <c r="AK1590" i="42385"/>
  <c r="AM1590" i="42385" s="1"/>
  <c r="AL1590" i="42385"/>
  <c r="AN1590" i="42385" s="1"/>
  <c r="BG1590" i="42385"/>
  <c r="BH1590" i="42385" s="1"/>
  <c r="BI1590" i="42385" s="1"/>
  <c r="BJ1590" i="42385" s="1"/>
  <c r="CL1590" i="42385"/>
  <c r="CL1591" i="42385"/>
  <c r="CL1592" i="42385"/>
  <c r="Y1593" i="42385"/>
  <c r="CL1593" i="42385"/>
  <c r="CL1594" i="42385"/>
  <c r="CL1595" i="42385"/>
  <c r="BA1598" i="42385"/>
  <c r="BB1598" i="42385" s="1"/>
  <c r="BC1598" i="42385" s="1"/>
  <c r="CL1603" i="42385"/>
  <c r="CQ1603" i="42385"/>
  <c r="CR1603" i="42385"/>
  <c r="CS1603" i="42385"/>
  <c r="CT1603" i="42385"/>
  <c r="CU1603" i="42385"/>
  <c r="CV1603" i="42385"/>
  <c r="CL1604" i="42385"/>
  <c r="CQ1604" i="42385"/>
  <c r="CR1604" i="42385"/>
  <c r="CS1604" i="42385"/>
  <c r="CT1604" i="42385"/>
  <c r="CU1604" i="42385"/>
  <c r="CV1604" i="42385"/>
  <c r="CL1605" i="42385"/>
  <c r="CQ1605" i="42385"/>
  <c r="CR1605" i="42385"/>
  <c r="CS1605" i="42385"/>
  <c r="CT1605" i="42385"/>
  <c r="CU1605" i="42385"/>
  <c r="CV1605" i="42385"/>
  <c r="V1607" i="42385"/>
  <c r="AA1607" i="42385"/>
  <c r="AF1607" i="42385"/>
  <c r="CR1607" i="42385" s="1"/>
  <c r="AK1607" i="42385"/>
  <c r="CS1607" i="42385" s="1"/>
  <c r="AP1607" i="42385"/>
  <c r="CT1607" i="42385" s="1"/>
  <c r="AU1607" i="42385"/>
  <c r="AZ1607" i="42385"/>
  <c r="CV1607" i="42385" s="1"/>
  <c r="BE1607" i="42385"/>
  <c r="CW1607" i="42385" s="1"/>
  <c r="BJ1607" i="42385"/>
  <c r="CX1607" i="42385" s="1"/>
  <c r="BO1607" i="42385"/>
  <c r="BT1607" i="42385"/>
  <c r="CZ1607" i="42385" s="1"/>
  <c r="BY1607" i="42385"/>
  <c r="CL1607" i="42385"/>
  <c r="CM1607" i="42385"/>
  <c r="CN1607" i="42385"/>
  <c r="CO1607" i="42385"/>
  <c r="CP1607" i="42385"/>
  <c r="DB1607" i="42385"/>
  <c r="DC1607" i="42385"/>
  <c r="G1608" i="42385"/>
  <c r="G1610" i="42385" s="1"/>
  <c r="CM1610" i="42385" s="1"/>
  <c r="L1608" i="42385"/>
  <c r="L1610" i="42385" s="1"/>
  <c r="CN1610" i="42385" s="1"/>
  <c r="Q1608" i="42385"/>
  <c r="CO1608" i="42385" s="1"/>
  <c r="V1608" i="42385"/>
  <c r="CP1608" i="42385" s="1"/>
  <c r="AA1608" i="42385"/>
  <c r="CQ1608" i="42385" s="1"/>
  <c r="AF1608" i="42385"/>
  <c r="CR1608" i="42385" s="1"/>
  <c r="AK1608" i="42385"/>
  <c r="CS1608" i="42385" s="1"/>
  <c r="AP1608" i="42385"/>
  <c r="AU1608" i="42385"/>
  <c r="CU1608" i="42385" s="1"/>
  <c r="AZ1608" i="42385"/>
  <c r="BE1608" i="42385"/>
  <c r="BJ1608" i="42385"/>
  <c r="BO1608" i="42385"/>
  <c r="CY1608" i="42385" s="1"/>
  <c r="BT1608" i="42385"/>
  <c r="BY1608" i="42385"/>
  <c r="DA1608" i="42385" s="1"/>
  <c r="BZ1608" i="42385"/>
  <c r="DB1608" i="42385" s="1"/>
  <c r="CA1608" i="42385"/>
  <c r="CB1608" i="42385"/>
  <c r="CB1611" i="42385" s="1"/>
  <c r="CC1608" i="42385"/>
  <c r="CC1611" i="42385" s="1"/>
  <c r="CD1608" i="42385"/>
  <c r="CD1611" i="42385" s="1"/>
  <c r="CE1608" i="42385"/>
  <c r="CE1611" i="42385" s="1"/>
  <c r="CF1608" i="42385"/>
  <c r="CF1611" i="42385" s="1"/>
  <c r="CL1608" i="42385"/>
  <c r="CM1609" i="42385"/>
  <c r="CN1609" i="42385"/>
  <c r="CO1609" i="42385"/>
  <c r="CP1609" i="42385"/>
  <c r="CQ1609" i="42385"/>
  <c r="CR1609" i="42385"/>
  <c r="CS1609" i="42385"/>
  <c r="CT1609" i="42385"/>
  <c r="CU1609" i="42385"/>
  <c r="CV1609" i="42385"/>
  <c r="CW1609" i="42385"/>
  <c r="CX1609" i="42385"/>
  <c r="CY1609" i="42385"/>
  <c r="CZ1609" i="42385"/>
  <c r="DA1609" i="42385"/>
  <c r="DB1609" i="42385"/>
  <c r="DC1609" i="42385"/>
  <c r="C1610" i="42385"/>
  <c r="C1611" i="42385" s="1"/>
  <c r="D1610" i="42385"/>
  <c r="E1610" i="42385"/>
  <c r="F1610" i="42385"/>
  <c r="H1610" i="42385"/>
  <c r="I1610" i="42385"/>
  <c r="J1610" i="42385"/>
  <c r="K1610" i="42385"/>
  <c r="M1610" i="42385"/>
  <c r="N1610" i="42385"/>
  <c r="O1610" i="42385"/>
  <c r="P1610" i="42385"/>
  <c r="R1610" i="42385"/>
  <c r="S1610" i="42385"/>
  <c r="T1610" i="42385"/>
  <c r="U1610" i="42385"/>
  <c r="W1610" i="42385"/>
  <c r="X1610" i="42385"/>
  <c r="Y1610" i="42385"/>
  <c r="Z1610" i="42385"/>
  <c r="AB1610" i="42385"/>
  <c r="AC1610" i="42385"/>
  <c r="AD1610" i="42385"/>
  <c r="AE1610" i="42385"/>
  <c r="AG1610" i="42385"/>
  <c r="AH1610" i="42385"/>
  <c r="AI1610" i="42385"/>
  <c r="AJ1610" i="42385"/>
  <c r="AL1610" i="42385"/>
  <c r="AM1610" i="42385"/>
  <c r="AN1610" i="42385"/>
  <c r="AO1610" i="42385"/>
  <c r="AQ1610" i="42385"/>
  <c r="AR1610" i="42385"/>
  <c r="AS1610" i="42385"/>
  <c r="AT1610" i="42385"/>
  <c r="AY1610" i="42385"/>
  <c r="CL1610" i="42385"/>
  <c r="CW1610" i="42385"/>
  <c r="CX1610" i="42385"/>
  <c r="CY1610" i="42385"/>
  <c r="CZ1610" i="42385"/>
  <c r="DA1610" i="42385"/>
  <c r="DB1610" i="42385"/>
  <c r="DC1610" i="42385"/>
  <c r="AP1611" i="42385"/>
  <c r="CT1611" i="42385" s="1"/>
  <c r="AU1611" i="42385"/>
  <c r="CU1611" i="42385" s="1"/>
  <c r="AV1611" i="42385"/>
  <c r="AW1611" i="42385"/>
  <c r="AX1611" i="42385"/>
  <c r="AY1611" i="42385"/>
  <c r="AZ1611" i="42385" s="1"/>
  <c r="CV1611" i="42385" s="1"/>
  <c r="BA1611" i="42385"/>
  <c r="BB1611" i="42385"/>
  <c r="BC1611" i="42385"/>
  <c r="BD1611" i="42385"/>
  <c r="BF1611" i="42385"/>
  <c r="BG1611" i="42385"/>
  <c r="BH1611" i="42385"/>
  <c r="BI1611" i="42385"/>
  <c r="BK1611" i="42385"/>
  <c r="BL1611" i="42385"/>
  <c r="BM1611" i="42385"/>
  <c r="BN1611" i="42385"/>
  <c r="BP1611" i="42385"/>
  <c r="BQ1611" i="42385"/>
  <c r="BR1611" i="42385"/>
  <c r="BS1611" i="42385"/>
  <c r="BU1611" i="42385"/>
  <c r="BV1611" i="42385"/>
  <c r="BW1611" i="42385"/>
  <c r="BX1611" i="42385"/>
  <c r="CL1611" i="42385"/>
  <c r="E1613" i="42385"/>
  <c r="I1613" i="42385"/>
  <c r="J1613" i="42385" s="1"/>
  <c r="N1613" i="42385"/>
  <c r="S1613" i="42385"/>
  <c r="X1613" i="42385"/>
  <c r="AC1613" i="42385"/>
  <c r="AD1613" i="42385" s="1"/>
  <c r="AK1613" i="42385"/>
  <c r="CS1613" i="42385" s="1"/>
  <c r="AM1613" i="42385"/>
  <c r="AN1613" i="42385" s="1"/>
  <c r="CL1613" i="42385"/>
  <c r="C1614" i="42385"/>
  <c r="D1614" i="42385"/>
  <c r="AG1614" i="42385"/>
  <c r="AH1614" i="42385"/>
  <c r="AI1614" i="42385"/>
  <c r="AJ1614" i="42385"/>
  <c r="AK1614" i="42385" s="1"/>
  <c r="CS1614" i="42385" s="1"/>
  <c r="AL1614" i="42385"/>
  <c r="CL1614" i="42385"/>
  <c r="F1616" i="42385"/>
  <c r="K1616" i="42385"/>
  <c r="N1617" i="42385" s="1"/>
  <c r="P1616" i="42385"/>
  <c r="S1617" i="42385" s="1"/>
  <c r="U1616" i="42385"/>
  <c r="X1617" i="42385" s="1"/>
  <c r="Z1616" i="42385"/>
  <c r="AC1616" i="42385"/>
  <c r="AE1616" i="42385"/>
  <c r="AE1613" i="42385" s="1"/>
  <c r="AG1616" i="42385"/>
  <c r="AH1616" i="42385"/>
  <c r="AI1616" i="42385"/>
  <c r="AJ1616" i="42385"/>
  <c r="AL1616" i="42385"/>
  <c r="AM1616" i="42385"/>
  <c r="AN1616" i="42385"/>
  <c r="AO1616" i="42385"/>
  <c r="AQ1616" i="42385"/>
  <c r="AR1616" i="42385"/>
  <c r="AS1616" i="42385"/>
  <c r="AT1616" i="42385"/>
  <c r="AV1616" i="42385"/>
  <c r="AW1616" i="42385"/>
  <c r="AX1616" i="42385"/>
  <c r="AY1616" i="42385"/>
  <c r="BA1616" i="42385"/>
  <c r="BB1616" i="42385"/>
  <c r="BC1616" i="42385"/>
  <c r="BD1616" i="42385"/>
  <c r="BF1616" i="42385"/>
  <c r="BG1616" i="42385"/>
  <c r="BH1616" i="42385"/>
  <c r="BI1616" i="42385"/>
  <c r="BK1616" i="42385"/>
  <c r="BL1616" i="42385"/>
  <c r="BM1616" i="42385"/>
  <c r="BN1616" i="42385"/>
  <c r="BP1616" i="42385"/>
  <c r="BQ1616" i="42385"/>
  <c r="CL1616" i="42385"/>
  <c r="C1617" i="42385"/>
  <c r="C1620" i="42385" s="1"/>
  <c r="D1617" i="42385"/>
  <c r="D1620" i="42385" s="1"/>
  <c r="E1617" i="42385"/>
  <c r="E1620" i="42385" s="1"/>
  <c r="K1617" i="42385"/>
  <c r="L1617" i="42385" s="1"/>
  <c r="CN1617" i="42385" s="1"/>
  <c r="CL1617" i="42385"/>
  <c r="CL1619" i="42385"/>
  <c r="CX1619" i="42385"/>
  <c r="CY1619" i="42385"/>
  <c r="CZ1619" i="42385"/>
  <c r="DA1619" i="42385"/>
  <c r="DB1619" i="42385"/>
  <c r="DC1619" i="42385"/>
  <c r="CL1620" i="42385"/>
  <c r="C1622" i="42385"/>
  <c r="C1623" i="42385" s="1"/>
  <c r="D1622" i="42385"/>
  <c r="E1622" i="42385"/>
  <c r="H1622" i="42385"/>
  <c r="I1622" i="42385"/>
  <c r="M1622" i="42385"/>
  <c r="N1622" i="42385"/>
  <c r="O1622" i="42385"/>
  <c r="R1622" i="42385"/>
  <c r="S1622" i="42385"/>
  <c r="W1622" i="42385"/>
  <c r="X1622" i="42385"/>
  <c r="Y1622" i="42385"/>
  <c r="AB1622" i="42385"/>
  <c r="AC1622" i="42385"/>
  <c r="AE1622" i="42385"/>
  <c r="AG1622" i="42385"/>
  <c r="AH1622" i="42385"/>
  <c r="AI1622" i="42385"/>
  <c r="AJ1622" i="42385"/>
  <c r="AL1622" i="42385"/>
  <c r="AM1622" i="42385"/>
  <c r="AN1622" i="42385"/>
  <c r="AO1622" i="42385"/>
  <c r="AQ1622" i="42385"/>
  <c r="AV1622" i="42385" s="1"/>
  <c r="BA1622" i="42385" s="1"/>
  <c r="AR1622" i="42385"/>
  <c r="AW1622" i="42385" s="1"/>
  <c r="BB1622" i="42385" s="1"/>
  <c r="AS1622" i="42385"/>
  <c r="AX1622" i="42385" s="1"/>
  <c r="AT1622" i="42385"/>
  <c r="AU1622" i="42385"/>
  <c r="CU1622" i="42385" s="1"/>
  <c r="BF1622" i="42385"/>
  <c r="BG1622" i="42385"/>
  <c r="BH1622" i="42385"/>
  <c r="BK1622" i="42385"/>
  <c r="BL1622" i="42385"/>
  <c r="BM1622" i="42385"/>
  <c r="BN1622" i="42385"/>
  <c r="BP1622" i="42385"/>
  <c r="BQ1622" i="42385"/>
  <c r="CL1622" i="42385"/>
  <c r="CL1623" i="42385"/>
  <c r="CL1625" i="42385"/>
  <c r="G1626" i="42385"/>
  <c r="CM1626" i="42385" s="1"/>
  <c r="L1626" i="42385"/>
  <c r="CN1626" i="42385" s="1"/>
  <c r="Q1626" i="42385"/>
  <c r="CO1626" i="42385" s="1"/>
  <c r="V1626" i="42385"/>
  <c r="CP1626" i="42385" s="1"/>
  <c r="AA1626" i="42385"/>
  <c r="CQ1626" i="42385" s="1"/>
  <c r="AF1626" i="42385"/>
  <c r="CR1626" i="42385" s="1"/>
  <c r="AK1626" i="42385"/>
  <c r="CS1626" i="42385" s="1"/>
  <c r="AL1626" i="42385"/>
  <c r="AM1626" i="42385" s="1"/>
  <c r="AN1626" i="42385" s="1"/>
  <c r="AO1626" i="42385" s="1"/>
  <c r="AP1626" i="42385" s="1"/>
  <c r="CL1626" i="42385"/>
  <c r="CL1627" i="42385"/>
  <c r="CL1628" i="42385"/>
  <c r="CL1630" i="42385"/>
  <c r="CL1631" i="42385"/>
  <c r="CL1632" i="42385"/>
  <c r="DB1632" i="42385"/>
  <c r="DC1632" i="42385"/>
  <c r="CL1634" i="42385"/>
  <c r="CL1638" i="42385"/>
  <c r="CL1639" i="42385"/>
  <c r="CM1639" i="42385"/>
  <c r="CN1639" i="42385"/>
  <c r="CO1639" i="42385"/>
  <c r="CP1639" i="42385"/>
  <c r="CQ1639" i="42385"/>
  <c r="CR1639" i="42385"/>
  <c r="CS1639" i="42385"/>
  <c r="CT1639" i="42385"/>
  <c r="CU1639" i="42385"/>
  <c r="CV1639" i="42385"/>
  <c r="CW1639" i="42385"/>
  <c r="CX1639" i="42385"/>
  <c r="CY1639" i="42385"/>
  <c r="CZ1639" i="42385"/>
  <c r="DA1639" i="42385"/>
  <c r="DB1639" i="42385"/>
  <c r="DC1639" i="42385"/>
  <c r="AU1640" i="42385"/>
  <c r="AS1640" i="42385" s="1"/>
  <c r="AZ1640" i="42385"/>
  <c r="CL1640" i="42385"/>
  <c r="CM1640" i="42385"/>
  <c r="CN1640" i="42385"/>
  <c r="CO1640" i="42385"/>
  <c r="CP1640" i="42385"/>
  <c r="CQ1640" i="42385"/>
  <c r="CR1640" i="42385"/>
  <c r="CS1640" i="42385"/>
  <c r="CT1640" i="42385"/>
  <c r="CW1640" i="42385"/>
  <c r="CX1640" i="42385"/>
  <c r="CY1640" i="42385"/>
  <c r="CZ1640" i="42385"/>
  <c r="DA1640" i="42385"/>
  <c r="DB1640" i="42385"/>
  <c r="DC1640" i="42385"/>
  <c r="CL1641" i="42385"/>
  <c r="CM1641" i="42385"/>
  <c r="CN1641" i="42385"/>
  <c r="CO1641" i="42385"/>
  <c r="CP1641" i="42385"/>
  <c r="CL1642" i="42385"/>
  <c r="C1643" i="42385"/>
  <c r="D1643" i="42385"/>
  <c r="D1642" i="42385"/>
  <c r="E1643" i="42385"/>
  <c r="E1642" i="42385" s="1"/>
  <c r="F1643" i="42385"/>
  <c r="F1642" i="42385" s="1"/>
  <c r="G1643" i="42385"/>
  <c r="CM1643" i="42385" s="1"/>
  <c r="H1643" i="42385"/>
  <c r="I1643" i="42385"/>
  <c r="J1643" i="42385"/>
  <c r="K1643" i="42385"/>
  <c r="L1643" i="42385"/>
  <c r="CN1643" i="42385" s="1"/>
  <c r="M1643" i="42385"/>
  <c r="N1643" i="42385"/>
  <c r="O1643" i="42385"/>
  <c r="P1643" i="42385"/>
  <c r="R1643" i="42385"/>
  <c r="S1643" i="42385"/>
  <c r="T1643" i="42385"/>
  <c r="U1643" i="42385"/>
  <c r="W1643" i="42385"/>
  <c r="X1643" i="42385"/>
  <c r="Y1643" i="42385"/>
  <c r="Z1643" i="42385"/>
  <c r="AB1643" i="42385"/>
  <c r="AC1643" i="42385"/>
  <c r="AD1643" i="42385"/>
  <c r="AE1643" i="42385"/>
  <c r="AG1643" i="42385"/>
  <c r="AH1643" i="42385"/>
  <c r="AI1643" i="42385"/>
  <c r="AJ1643" i="42385"/>
  <c r="AL1643" i="42385"/>
  <c r="AM1643" i="42385"/>
  <c r="AN1643" i="42385"/>
  <c r="AO1643" i="42385"/>
  <c r="AQ1643" i="42385"/>
  <c r="AR1643" i="42385"/>
  <c r="AS1643" i="42385"/>
  <c r="AV1643" i="42385"/>
  <c r="AW1643" i="42385"/>
  <c r="BA1643" i="42385"/>
  <c r="BB1643" i="42385"/>
  <c r="BD1643" i="42385"/>
  <c r="BF1643" i="42385"/>
  <c r="BG1643" i="42385"/>
  <c r="BH1643" i="42385"/>
  <c r="BK1643" i="42385"/>
  <c r="BM1643" i="42385"/>
  <c r="BP1643" i="42385"/>
  <c r="CL1643" i="42385"/>
  <c r="CL1644" i="42385"/>
  <c r="CM1644" i="42385"/>
  <c r="CN1644" i="42385"/>
  <c r="CO1644" i="42385"/>
  <c r="CP1644" i="42385"/>
  <c r="CQ1644" i="42385"/>
  <c r="CR1644" i="42385"/>
  <c r="CS1644" i="42385"/>
  <c r="CT1644" i="42385"/>
  <c r="CU1644" i="42385"/>
  <c r="CV1644" i="42385"/>
  <c r="CW1644" i="42385"/>
  <c r="CX1644" i="42385"/>
  <c r="CY1644" i="42385"/>
  <c r="CZ1644" i="42385"/>
  <c r="DA1644" i="42385"/>
  <c r="DB1644" i="42385"/>
  <c r="DC1644" i="42385"/>
  <c r="AG1645" i="42385"/>
  <c r="AH1645" i="42385"/>
  <c r="AI1645" i="42385"/>
  <c r="BN1645" i="42385"/>
  <c r="CL1645" i="42385"/>
  <c r="CL1647" i="42385"/>
  <c r="C1648" i="42385"/>
  <c r="D1648" i="42385"/>
  <c r="E1648" i="42385"/>
  <c r="F1648" i="42385"/>
  <c r="G1648" i="42385"/>
  <c r="CM1648" i="42385" s="1"/>
  <c r="H1648" i="42385"/>
  <c r="I1648" i="42385"/>
  <c r="J1648" i="42385"/>
  <c r="K1648" i="42385"/>
  <c r="L1648" i="42385"/>
  <c r="CN1648" i="42385" s="1"/>
  <c r="M1648" i="42385"/>
  <c r="N1648" i="42385"/>
  <c r="O1648" i="42385"/>
  <c r="P1648" i="42385"/>
  <c r="Q1648" i="42385"/>
  <c r="CO1648" i="42385" s="1"/>
  <c r="R1648" i="42385"/>
  <c r="S1648" i="42385"/>
  <c r="T1648" i="42385"/>
  <c r="U1648" i="42385"/>
  <c r="V1648" i="42385"/>
  <c r="CP1648" i="42385" s="1"/>
  <c r="W1648" i="42385"/>
  <c r="X1648" i="42385"/>
  <c r="Y1648" i="42385"/>
  <c r="Z1648" i="42385"/>
  <c r="AA1648" i="42385"/>
  <c r="AA1641" i="42385" s="1"/>
  <c r="CQ1641" i="42385" s="1"/>
  <c r="AB1648" i="42385"/>
  <c r="AB1641" i="42385" s="1"/>
  <c r="AC1648" i="42385"/>
  <c r="AC1641" i="42385" s="1"/>
  <c r="AD1648" i="42385"/>
  <c r="AD1641" i="42385" s="1"/>
  <c r="AE1648" i="42385"/>
  <c r="AE1641" i="42385" s="1"/>
  <c r="AF1648" i="42385"/>
  <c r="AF1641" i="42385" s="1"/>
  <c r="CR1641" i="42385" s="1"/>
  <c r="CL1648" i="42385"/>
  <c r="AS1649" i="42385"/>
  <c r="AY1650" i="42385"/>
  <c r="X1660" i="42385"/>
  <c r="AH1660" i="42385"/>
  <c r="H1661" i="42385"/>
  <c r="M1661" i="42385"/>
  <c r="U1661" i="42385"/>
  <c r="Y1661" i="42385"/>
  <c r="AD1661" i="42385"/>
  <c r="Y42" i="42476"/>
  <c r="AJ1295" i="42385"/>
  <c r="AK1295" i="42385" s="1"/>
  <c r="CS1295" i="42385" s="1"/>
  <c r="BA1166" i="42385"/>
  <c r="U40" i="42443"/>
  <c r="AK931" i="42385"/>
  <c r="CS931" i="42385" s="1"/>
  <c r="BQ243" i="42385"/>
  <c r="BQ890" i="42385"/>
  <c r="AF869" i="42385"/>
  <c r="CR869" i="42385" s="1"/>
  <c r="AK871" i="42385"/>
  <c r="CS871" i="42385" s="1"/>
  <c r="CR868" i="42385"/>
  <c r="Q859" i="42385"/>
  <c r="CO859" i="42385" s="1"/>
  <c r="CN858" i="42385"/>
  <c r="L859" i="42385"/>
  <c r="CN859" i="42385" s="1"/>
  <c r="L873" i="42385"/>
  <c r="CN873" i="42385" s="1"/>
  <c r="AW57" i="42418"/>
  <c r="CR827" i="42385"/>
  <c r="AF828" i="42385"/>
  <c r="CR828" i="42385" s="1"/>
  <c r="AK828" i="42385"/>
  <c r="CS828" i="42385" s="1"/>
  <c r="CO793" i="42385"/>
  <c r="AA227" i="42385"/>
  <c r="CQ227" i="42385" s="1"/>
  <c r="BL1280" i="42385"/>
  <c r="BL1557" i="42385"/>
  <c r="Q63" i="42385"/>
  <c r="CO63" i="42385" s="1"/>
  <c r="Q1529" i="42385"/>
  <c r="CO1529" i="42385" s="1"/>
  <c r="CT112" i="42385"/>
  <c r="AO118" i="42385"/>
  <c r="AP1511" i="42385"/>
  <c r="AO1500" i="42385"/>
  <c r="AO1510" i="42385"/>
  <c r="V1511" i="42385"/>
  <c r="U1500" i="42385"/>
  <c r="U1510" i="42385"/>
  <c r="AD1485" i="42385"/>
  <c r="CX1413" i="42385"/>
  <c r="CY1357" i="42385"/>
  <c r="AZ1351" i="42385"/>
  <c r="CV1348" i="42385"/>
  <c r="AF1351" i="42385"/>
  <c r="CR1348" i="42385"/>
  <c r="L1351" i="42385"/>
  <c r="CN1351" i="42385" s="1"/>
  <c r="CN1348" i="42385"/>
  <c r="AM1314" i="42385"/>
  <c r="AN1304" i="42385"/>
  <c r="BI1299" i="42385"/>
  <c r="BJ1299" i="42385" s="1"/>
  <c r="CX1299" i="42385" s="1"/>
  <c r="BN1297" i="42385"/>
  <c r="BO1297" i="42385" s="1"/>
  <c r="CY1297" i="42385" s="1"/>
  <c r="AS1297" i="42385"/>
  <c r="AT1297" i="42385" s="1"/>
  <c r="AU1297" i="42385" s="1"/>
  <c r="CU1297" i="42385" s="1"/>
  <c r="AT1295" i="42385"/>
  <c r="AU1295" i="42385" s="1"/>
  <c r="CU1295" i="42385" s="1"/>
  <c r="AB256" i="42385"/>
  <c r="AB1108" i="42385"/>
  <c r="U1092" i="42385"/>
  <c r="U1093" i="42385"/>
  <c r="G928" i="42385"/>
  <c r="CM928" i="42385"/>
  <c r="G899" i="42385"/>
  <c r="CM899" i="42385" s="1"/>
  <c r="AR243" i="42385"/>
  <c r="BR241" i="42385"/>
  <c r="BB241" i="42385"/>
  <c r="BB828" i="42385"/>
  <c r="BG828" i="42385"/>
  <c r="AO241" i="42385"/>
  <c r="GN491" i="42417"/>
  <c r="AO828" i="42385"/>
  <c r="AH613" i="42385"/>
  <c r="AI613" i="42385" s="1"/>
  <c r="AK137" i="42385"/>
  <c r="CS137" i="42385" s="1"/>
  <c r="AH1525" i="42385"/>
  <c r="L1453" i="42385"/>
  <c r="CN1453" i="42385" s="1"/>
  <c r="I1484" i="42385"/>
  <c r="BN1317" i="42385"/>
  <c r="BH1312" i="42385"/>
  <c r="BI1312" i="42385" s="1"/>
  <c r="BJ1312" i="42385" s="1"/>
  <c r="CX1312" i="42385" s="1"/>
  <c r="L869" i="42385"/>
  <c r="CN869" i="42385" s="1"/>
  <c r="L871" i="42385"/>
  <c r="CN871" i="42385" s="1"/>
  <c r="Q871" i="42385"/>
  <c r="CO871" i="42385" s="1"/>
  <c r="CN868" i="42385"/>
  <c r="Q828" i="42385"/>
  <c r="CO828" i="42385" s="1"/>
  <c r="CN827" i="42385"/>
  <c r="L828" i="42385"/>
  <c r="CN828" i="42385" s="1"/>
  <c r="L826" i="42385"/>
  <c r="CN826" i="42385" s="1"/>
  <c r="GW541" i="42417"/>
  <c r="GX541" i="42417" s="1"/>
  <c r="BE794" i="42385"/>
  <c r="CW794" i="42385" s="1"/>
  <c r="CX1608" i="42385"/>
  <c r="CT1608" i="42385"/>
  <c r="BP1557" i="42385"/>
  <c r="AR1557" i="42385"/>
  <c r="AM1523" i="42385"/>
  <c r="S1406" i="42385"/>
  <c r="S1424" i="42385" s="1"/>
  <c r="S1564" i="42385"/>
  <c r="BD1295" i="42385"/>
  <c r="BE1295" i="42385" s="1"/>
  <c r="CW1295" i="42385" s="1"/>
  <c r="AB108" i="42385"/>
  <c r="AC1281" i="42385"/>
  <c r="AR1162" i="42385"/>
  <c r="AS1163" i="42385"/>
  <c r="AS1155" i="42385"/>
  <c r="AR1156" i="42385"/>
  <c r="AV1148" i="42385"/>
  <c r="AW1148" i="42385" s="1"/>
  <c r="AX1148" i="42385" s="1"/>
  <c r="AY1148" i="42385" s="1"/>
  <c r="AZ1148" i="42385" s="1"/>
  <c r="AQ1013" i="42385"/>
  <c r="AP218" i="42400"/>
  <c r="AU949" i="42385"/>
  <c r="CU949" i="42385" s="1"/>
  <c r="U56" i="42443"/>
  <c r="AA949" i="42385"/>
  <c r="CQ949" i="42385" s="1"/>
  <c r="CP940" i="42385"/>
  <c r="AK897" i="42385"/>
  <c r="CS897" i="42385" s="1"/>
  <c r="CM845" i="42385"/>
  <c r="CS810" i="42385"/>
  <c r="AK811" i="42385"/>
  <c r="CS811" i="42385" s="1"/>
  <c r="CO810" i="42385"/>
  <c r="Q811" i="42385"/>
  <c r="CO811" i="42385" s="1"/>
  <c r="AO281" i="42385"/>
  <c r="AP281" i="42385" s="1"/>
  <c r="CT281" i="42385" s="1"/>
  <c r="AO648" i="42385"/>
  <c r="AT1317" i="42385"/>
  <c r="F1317" i="42385"/>
  <c r="AY1309" i="42385"/>
  <c r="AZ1309" i="42385" s="1"/>
  <c r="CV1309" i="42385" s="1"/>
  <c r="AN1306" i="42385"/>
  <c r="BG1102" i="42385"/>
  <c r="BL1102" i="42385" s="1"/>
  <c r="BQ1102" i="42385" s="1"/>
  <c r="BV1102" i="42385" s="1"/>
  <c r="IB689" i="42417"/>
  <c r="V962" i="42385"/>
  <c r="CP962" i="42385" s="1"/>
  <c r="AA964" i="42385"/>
  <c r="CQ964" i="42385" s="1"/>
  <c r="CP961" i="42385"/>
  <c r="V964" i="42385"/>
  <c r="CP964" i="42385" s="1"/>
  <c r="Q933" i="42385"/>
  <c r="CO933" i="42385" s="1"/>
  <c r="AW92" i="42418"/>
  <c r="AK859" i="42385"/>
  <c r="CS859" i="42385" s="1"/>
  <c r="CR858" i="42385"/>
  <c r="AF859" i="42385"/>
  <c r="CR859" i="42385" s="1"/>
  <c r="AF873" i="42385"/>
  <c r="CR873" i="42385" s="1"/>
  <c r="L857" i="42385"/>
  <c r="CN857" i="42385" s="1"/>
  <c r="BT846" i="42385"/>
  <c r="CS793" i="42385"/>
  <c r="AU429" i="42385"/>
  <c r="AT430" i="42385"/>
  <c r="CQ1590" i="42385"/>
  <c r="AH1585" i="42385"/>
  <c r="AH1593" i="42385"/>
  <c r="AD1593" i="42385"/>
  <c r="BD1280" i="42385"/>
  <c r="BD1557" i="42385"/>
  <c r="AF1528" i="42385"/>
  <c r="CR1528" i="42385" s="1"/>
  <c r="AD1525" i="42385"/>
  <c r="AD1499" i="42385" s="1"/>
  <c r="CP1522" i="42385"/>
  <c r="AY1500" i="42385"/>
  <c r="AY1510" i="42385"/>
  <c r="AZ1511" i="42385"/>
  <c r="AE1500" i="42385"/>
  <c r="AE1510" i="42385"/>
  <c r="AF1511" i="42385"/>
  <c r="J1511" i="42385"/>
  <c r="K1511" i="42385" s="1"/>
  <c r="I1500" i="42385"/>
  <c r="I1510" i="42385"/>
  <c r="AT202" i="42385"/>
  <c r="CO1379" i="42385"/>
  <c r="CS1377" i="42385"/>
  <c r="CU1370" i="42385"/>
  <c r="AM1300" i="42385"/>
  <c r="AN1300" i="42385" s="1"/>
  <c r="AO1300" i="42385" s="1"/>
  <c r="BU1548" i="42385"/>
  <c r="AW1548" i="42385"/>
  <c r="BB1122" i="42385"/>
  <c r="AK1124" i="42385"/>
  <c r="CS1124" i="42385" s="1"/>
  <c r="X312" i="42385"/>
  <c r="X1116" i="42385"/>
  <c r="AT1113" i="42385"/>
  <c r="AY1113" i="42385" s="1"/>
  <c r="BD1113" i="42385" s="1"/>
  <c r="BI1113" i="42385" s="1"/>
  <c r="BN1113" i="42385" s="1"/>
  <c r="BS1113" i="42385" s="1"/>
  <c r="BX1113" i="42385" s="1"/>
  <c r="AQ1106" i="42385"/>
  <c r="BA1102" i="42385"/>
  <c r="Q1021" i="42385"/>
  <c r="CO1021" i="42385" s="1"/>
  <c r="AK188" i="42400"/>
  <c r="AK192" i="42400" s="1"/>
  <c r="CS1007" i="42385"/>
  <c r="P41" i="42443"/>
  <c r="CO1007" i="42385"/>
  <c r="AF952" i="42385"/>
  <c r="CR952" i="42385" s="1"/>
  <c r="L952" i="42385"/>
  <c r="CN952" i="42385" s="1"/>
  <c r="G966" i="42385"/>
  <c r="CM966" i="42385" s="1"/>
  <c r="AF131" i="42400"/>
  <c r="AF146" i="42400" s="1"/>
  <c r="AE33" i="42443"/>
  <c r="CR914" i="42385"/>
  <c r="AF915" i="42385"/>
  <c r="CR915" i="42385" s="1"/>
  <c r="K33" i="42443"/>
  <c r="CN914" i="42385"/>
  <c r="L915" i="42385"/>
  <c r="CN915" i="42385" s="1"/>
  <c r="AF842" i="42385"/>
  <c r="CR842" i="42385" s="1"/>
  <c r="CR841" i="42385"/>
  <c r="L842" i="42385"/>
  <c r="CN842" i="42385" s="1"/>
  <c r="CN841" i="42385"/>
  <c r="P337" i="42385"/>
  <c r="U337" i="42385"/>
  <c r="P347" i="42385"/>
  <c r="P354" i="42385" s="1"/>
  <c r="H337" i="42385"/>
  <c r="M337" i="42385"/>
  <c r="H347" i="42385"/>
  <c r="H344" i="42385" s="1"/>
  <c r="H345" i="42385" s="1"/>
  <c r="Y1613" i="42385"/>
  <c r="T1613" i="42385"/>
  <c r="O1613" i="42385"/>
  <c r="AY107" i="42385"/>
  <c r="AY1280" i="42385"/>
  <c r="AA1511" i="42385"/>
  <c r="BJ1459" i="42385"/>
  <c r="BJ1464" i="42385"/>
  <c r="CX1442" i="42385"/>
  <c r="E18" i="42472"/>
  <c r="Y1424" i="42385"/>
  <c r="AU1375" i="42385"/>
  <c r="CU1375" i="42385" s="1"/>
  <c r="I1366" i="42385"/>
  <c r="BK1326" i="42385"/>
  <c r="BL1321" i="42385"/>
  <c r="AN1319" i="42385"/>
  <c r="AO1319" i="42385" s="1"/>
  <c r="CP1317" i="42385"/>
  <c r="BC1312" i="42385"/>
  <c r="BD1312" i="42385" s="1"/>
  <c r="AI1306" i="42385"/>
  <c r="AJ1306" i="42385" s="1"/>
  <c r="AI1300" i="42385"/>
  <c r="AJ1300" i="42385" s="1"/>
  <c r="Z115" i="42385"/>
  <c r="AA1300" i="42385"/>
  <c r="CQ1300" i="42385" s="1"/>
  <c r="AS1299" i="42385"/>
  <c r="AT1299" i="42385" s="1"/>
  <c r="BI1294" i="42385"/>
  <c r="BJ1294" i="42385" s="1"/>
  <c r="CX1294" i="42385" s="1"/>
  <c r="AY1294" i="42385"/>
  <c r="AZ1294" i="42385" s="1"/>
  <c r="CV1294" i="42385" s="1"/>
  <c r="CM1284" i="42385"/>
  <c r="BH1282" i="42385"/>
  <c r="BI1282" i="42385" s="1"/>
  <c r="AK1282" i="42385"/>
  <c r="CS1282" i="42385" s="1"/>
  <c r="CY1271" i="42385"/>
  <c r="BD1235" i="42385"/>
  <c r="BC1235" i="42385"/>
  <c r="AO1120" i="42385"/>
  <c r="AQ1120" i="42385" s="1"/>
  <c r="AR1120" i="42385" s="1"/>
  <c r="AS1120" i="42385" s="1"/>
  <c r="AT1120" i="42385" s="1"/>
  <c r="AV1120" i="42385" s="1"/>
  <c r="AW1120" i="42385" s="1"/>
  <c r="AX1120" i="42385" s="1"/>
  <c r="AY1120" i="42385" s="1"/>
  <c r="BA1120" i="42385" s="1"/>
  <c r="BB1120" i="42385" s="1"/>
  <c r="BC1120" i="42385" s="1"/>
  <c r="BD1120" i="42385" s="1"/>
  <c r="AJ312" i="42385"/>
  <c r="AB312" i="42385"/>
  <c r="AB1116" i="42385"/>
  <c r="CS1110" i="42385"/>
  <c r="CO1110" i="42385"/>
  <c r="CQ1095" i="42385"/>
  <c r="CM1095" i="42385"/>
  <c r="L1097" i="42385"/>
  <c r="CN1097" i="42385" s="1"/>
  <c r="Y1092" i="42385"/>
  <c r="Y1093" i="42385"/>
  <c r="AO254" i="42385"/>
  <c r="GN500" i="42417" s="1"/>
  <c r="AF1024" i="42385"/>
  <c r="CR1024" i="42385" s="1"/>
  <c r="AF1026" i="42385"/>
  <c r="CR1026" i="42385" s="1"/>
  <c r="CR1023" i="42385"/>
  <c r="L1024" i="42385"/>
  <c r="CN1024" i="42385" s="1"/>
  <c r="L1026" i="42385"/>
  <c r="CN1026" i="42385" s="1"/>
  <c r="CN1023" i="42385"/>
  <c r="V1021" i="42385"/>
  <c r="CP1021" i="42385" s="1"/>
  <c r="AN1012" i="42385"/>
  <c r="AR1012" i="42385"/>
  <c r="CQ1001" i="42385"/>
  <c r="BE151" i="42400"/>
  <c r="CD302" i="42492"/>
  <c r="CW979" i="42385"/>
  <c r="CS979" i="42385"/>
  <c r="BS977" i="42385"/>
  <c r="BT976" i="42385"/>
  <c r="AZ152" i="42400"/>
  <c r="AZ167" i="42400" s="1"/>
  <c r="CV976" i="42385"/>
  <c r="BE977" i="42385"/>
  <c r="CW977" i="42385" s="1"/>
  <c r="V950" i="42385"/>
  <c r="CP950" i="42385" s="1"/>
  <c r="AZ230" i="42400"/>
  <c r="AX230" i="42400" s="1"/>
  <c r="AZ229" i="42400"/>
  <c r="AV229" i="42400" s="1"/>
  <c r="AZ231" i="42400"/>
  <c r="AW231" i="42400" s="1"/>
  <c r="AF219" i="42400"/>
  <c r="AE57" i="42443"/>
  <c r="AK946" i="42385"/>
  <c r="CS946" i="42385" s="1"/>
  <c r="K57" i="42443"/>
  <c r="Q946" i="42385"/>
  <c r="CO946" i="42385" s="1"/>
  <c r="BC244" i="42385"/>
  <c r="AQ244" i="42385"/>
  <c r="AQ921" i="42385"/>
  <c r="BU920" i="42385"/>
  <c r="BV919" i="42385"/>
  <c r="BV920" i="42385" s="1"/>
  <c r="BV131" i="42400"/>
  <c r="BV146" i="42400" s="1"/>
  <c r="BV915" i="42385"/>
  <c r="AU131" i="42400"/>
  <c r="AU146" i="42400" s="1"/>
  <c r="AZ915" i="42385"/>
  <c r="CV915" i="42385" s="1"/>
  <c r="CR909" i="42385"/>
  <c r="L1140" i="42385"/>
  <c r="CN1140" i="42385" s="1"/>
  <c r="CN909" i="42385"/>
  <c r="AF904" i="42385"/>
  <c r="CR904" i="42385" s="1"/>
  <c r="CR903" i="42385"/>
  <c r="L904" i="42385"/>
  <c r="CN904" i="42385" s="1"/>
  <c r="CN903" i="42385"/>
  <c r="CS899" i="42385"/>
  <c r="AK902" i="42385"/>
  <c r="CS902" i="42385" s="1"/>
  <c r="CO899" i="42385"/>
  <c r="Q902" i="42385"/>
  <c r="CO902" i="42385" s="1"/>
  <c r="BH890" i="42385"/>
  <c r="AA890" i="42385"/>
  <c r="CQ890" i="42385" s="1"/>
  <c r="CP889" i="42385"/>
  <c r="V890" i="42385"/>
  <c r="CP890" i="42385" s="1"/>
  <c r="BB243" i="42385"/>
  <c r="BG890" i="42385"/>
  <c r="BJ276" i="42400"/>
  <c r="BJ296" i="42400" s="1"/>
  <c r="AP276" i="42400"/>
  <c r="AP296" i="42400" s="1"/>
  <c r="AU884" i="42385"/>
  <c r="CU884" i="42385" s="1"/>
  <c r="V276" i="42400"/>
  <c r="V296" i="42400" s="1"/>
  <c r="U9" i="42443"/>
  <c r="AO872" i="42385"/>
  <c r="AP872" i="42385" s="1"/>
  <c r="CT872" i="42385" s="1"/>
  <c r="BS59" i="42400"/>
  <c r="BT855" i="42385"/>
  <c r="BX855" i="42385"/>
  <c r="BS858" i="42385"/>
  <c r="BT858" i="42385" s="1"/>
  <c r="AZ59" i="42400"/>
  <c r="AZ65" i="42400" s="1"/>
  <c r="AV65" i="42400" s="1"/>
  <c r="BY299" i="42492"/>
  <c r="BE856" i="42385"/>
  <c r="CW856" i="42385" s="1"/>
  <c r="AF59" i="42400"/>
  <c r="AF67" i="42400" s="1"/>
  <c r="AC67" i="42400" s="1"/>
  <c r="AE48" i="42443"/>
  <c r="AK856" i="42385"/>
  <c r="CS856" i="42385" s="1"/>
  <c r="K48" i="42443"/>
  <c r="Q856" i="42385"/>
  <c r="CO856" i="42385" s="1"/>
  <c r="AZ60" i="42400"/>
  <c r="AZ73" i="42400" s="1"/>
  <c r="BE853" i="42385"/>
  <c r="CW853" i="42385" s="1"/>
  <c r="AF60" i="42400"/>
  <c r="AF73" i="42400" s="1"/>
  <c r="AE49" i="42443"/>
  <c r="AK853" i="42385"/>
  <c r="CS853" i="42385" s="1"/>
  <c r="K49" i="42443"/>
  <c r="Q853" i="42385"/>
  <c r="CO853" i="42385" s="1"/>
  <c r="AH846" i="42385"/>
  <c r="V835" i="42385"/>
  <c r="CP835" i="42385" s="1"/>
  <c r="AP826" i="42385"/>
  <c r="CT826" i="42385" s="1"/>
  <c r="AN827" i="42385"/>
  <c r="AS828" i="42385" s="1"/>
  <c r="BJ84" i="42400"/>
  <c r="BJ99" i="42400" s="1"/>
  <c r="BJ822" i="42385"/>
  <c r="CX822" i="42385" s="1"/>
  <c r="AP84" i="42400"/>
  <c r="AP99" i="42400" s="1"/>
  <c r="AP822" i="42385"/>
  <c r="CT822" i="42385" s="1"/>
  <c r="U25" i="42443"/>
  <c r="BT815" i="42385"/>
  <c r="CY784" i="42385"/>
  <c r="CU784" i="42385"/>
  <c r="AO778" i="42385"/>
  <c r="AQ777" i="42385"/>
  <c r="AK768" i="42385"/>
  <c r="CS768" i="42385" s="1"/>
  <c r="CN767" i="42385"/>
  <c r="CT764" i="42385"/>
  <c r="AQ764" i="42385"/>
  <c r="AR764" i="42385" s="1"/>
  <c r="AS764" i="42385" s="1"/>
  <c r="AT764" i="42385" s="1"/>
  <c r="AU764" i="42385" s="1"/>
  <c r="CM743" i="42385"/>
  <c r="V718" i="42385"/>
  <c r="CP718" i="42385" s="1"/>
  <c r="V719" i="42385"/>
  <c r="CP719" i="42385" s="1"/>
  <c r="AA719" i="42385"/>
  <c r="CQ719" i="42385" s="1"/>
  <c r="CP717" i="42385"/>
  <c r="BM699" i="42385"/>
  <c r="BH680" i="42385"/>
  <c r="CS581" i="42385"/>
  <c r="AK584" i="42385"/>
  <c r="CS584" i="42385" s="1"/>
  <c r="BF36" i="42418"/>
  <c r="BI220" i="42385"/>
  <c r="Z110" i="42385"/>
  <c r="AA110" i="42385" s="1"/>
  <c r="CQ110" i="42385" s="1"/>
  <c r="BN1280" i="42385"/>
  <c r="BB1280" i="42385"/>
  <c r="AT107" i="42385"/>
  <c r="AT1280" i="42385"/>
  <c r="CW249" i="42417"/>
  <c r="CX249" i="42417" s="1"/>
  <c r="AF1436" i="42385"/>
  <c r="AG1436" i="42385" s="1"/>
  <c r="CO1421" i="42385"/>
  <c r="BA1389" i="42385"/>
  <c r="BH1375" i="42385"/>
  <c r="BI1373" i="42385"/>
  <c r="AF1355" i="42385"/>
  <c r="CR1353" i="42385"/>
  <c r="CN1353" i="42385"/>
  <c r="M1366" i="42385"/>
  <c r="AI1325" i="42385"/>
  <c r="BI1317" i="42385"/>
  <c r="BJ1317" i="42385" s="1"/>
  <c r="CX1317" i="42385" s="1"/>
  <c r="AY1317" i="42385"/>
  <c r="AE1317" i="42385"/>
  <c r="AF1317" i="42385" s="1"/>
  <c r="CR1317" i="42385" s="1"/>
  <c r="BY111" i="42385"/>
  <c r="DA111" i="42385" s="1"/>
  <c r="AX1312" i="42385"/>
  <c r="AY1312" i="42385" s="1"/>
  <c r="AZ1312" i="42385" s="1"/>
  <c r="CV1312" i="42385" s="1"/>
  <c r="AX1304" i="42385"/>
  <c r="AW1314" i="42385"/>
  <c r="AC133" i="42385"/>
  <c r="AC130" i="42385" s="1"/>
  <c r="AD1304" i="42385"/>
  <c r="L133" i="42385"/>
  <c r="CN133" i="42385" s="1"/>
  <c r="CN1304" i="42385"/>
  <c r="BD1298" i="42385"/>
  <c r="BE1298" i="42385" s="1"/>
  <c r="CW1298" i="42385" s="1"/>
  <c r="AJ1298" i="42385"/>
  <c r="AK1298" i="42385" s="1"/>
  <c r="CS1298" i="42385" s="1"/>
  <c r="BC1297" i="42385"/>
  <c r="BD1297" i="42385" s="1"/>
  <c r="BE1297" i="42385" s="1"/>
  <c r="CW1297" i="42385" s="1"/>
  <c r="AI1297" i="42385"/>
  <c r="AJ1297" i="42385" s="1"/>
  <c r="AP1295" i="42385"/>
  <c r="CT1295" i="42385" s="1"/>
  <c r="BI1285" i="42385"/>
  <c r="BJ1285" i="42385" s="1"/>
  <c r="CX1285" i="42385" s="1"/>
  <c r="AY1285" i="42385"/>
  <c r="AZ1285" i="42385" s="1"/>
  <c r="CV1285" i="42385" s="1"/>
  <c r="AN1282" i="42385"/>
  <c r="AO1282" i="42385" s="1"/>
  <c r="AP1282" i="42385" s="1"/>
  <c r="CT1282" i="42385" s="1"/>
  <c r="BR1239" i="42385"/>
  <c r="BS1229" i="42385"/>
  <c r="BT1229" i="42385" s="1"/>
  <c r="BU1229" i="42385" s="1"/>
  <c r="BV1229" i="42385" s="1"/>
  <c r="BW1229" i="42385" s="1"/>
  <c r="BX1229" i="42385" s="1"/>
  <c r="BY1229" i="42385" s="1"/>
  <c r="BZ1229" i="42385" s="1"/>
  <c r="CA1229" i="42385" s="1"/>
  <c r="BR1213" i="42385"/>
  <c r="BM1171" i="42385"/>
  <c r="BB1156" i="42385"/>
  <c r="BG1155" i="42385"/>
  <c r="V1124" i="42385"/>
  <c r="CP1124" i="42385" s="1"/>
  <c r="P312" i="42385"/>
  <c r="H312" i="42385"/>
  <c r="H1116" i="42385"/>
  <c r="BH1112" i="42385"/>
  <c r="T256" i="42385"/>
  <c r="AO1098" i="42385"/>
  <c r="AP1098" i="42385" s="1"/>
  <c r="CT1098" i="42385" s="1"/>
  <c r="AA1097" i="42385"/>
  <c r="CQ1097" i="42385" s="1"/>
  <c r="AN1095" i="42385"/>
  <c r="AN1092" i="42385"/>
  <c r="AF1091" i="42385"/>
  <c r="AC1092" i="42385"/>
  <c r="AC1093" i="42385"/>
  <c r="E1092" i="42385"/>
  <c r="AN254" i="42385"/>
  <c r="AS1088" i="42385"/>
  <c r="CP1088" i="42385"/>
  <c r="V1089" i="42385"/>
  <c r="CP1089" i="42385" s="1"/>
  <c r="V1096" i="42385"/>
  <c r="CP1096" i="42385" s="1"/>
  <c r="AO1027" i="42385"/>
  <c r="V1028" i="42385"/>
  <c r="CP1028" i="42385" s="1"/>
  <c r="CP1027" i="42385"/>
  <c r="AA1021" i="42385"/>
  <c r="CQ1021" i="42385" s="1"/>
  <c r="AF1014" i="42385"/>
  <c r="CR1014" i="42385" s="1"/>
  <c r="AA1028" i="42385"/>
  <c r="CQ1028" i="42385" s="1"/>
  <c r="CQ1013" i="42385"/>
  <c r="AA1014" i="42385"/>
  <c r="CQ1014" i="42385" s="1"/>
  <c r="AA1024" i="42385"/>
  <c r="CQ1024" i="42385" s="1"/>
  <c r="L1014" i="42385"/>
  <c r="CN1014" i="42385" s="1"/>
  <c r="G1028" i="42385"/>
  <c r="CM1028" i="42385" s="1"/>
  <c r="CM1013" i="42385"/>
  <c r="G1024" i="42385"/>
  <c r="CM1024" i="42385" s="1"/>
  <c r="AK966" i="42385"/>
  <c r="CS966" i="42385" s="1"/>
  <c r="CS965" i="42385"/>
  <c r="Q966" i="42385"/>
  <c r="CO966" i="42385" s="1"/>
  <c r="CO965" i="42385"/>
  <c r="AQ951" i="42385"/>
  <c r="AV950" i="42385"/>
  <c r="BG244" i="42385"/>
  <c r="AK919" i="42385"/>
  <c r="CS919" i="42385" s="1"/>
  <c r="CS920" i="42385"/>
  <c r="Q919" i="42385"/>
  <c r="CO919" i="42385" s="1"/>
  <c r="V921" i="42385"/>
  <c r="CP921" i="42385" s="1"/>
  <c r="CO920" i="42385"/>
  <c r="CY914" i="42385"/>
  <c r="CU914" i="42385"/>
  <c r="CZ908" i="42385"/>
  <c r="BP243" i="42385"/>
  <c r="BP890" i="42385"/>
  <c r="BN243" i="42385"/>
  <c r="AZ8" i="42418"/>
  <c r="BF243" i="42385"/>
  <c r="BK890" i="42385"/>
  <c r="BF890" i="42385"/>
  <c r="BA243" i="42385"/>
  <c r="AQ243" i="42385"/>
  <c r="AQ890" i="42385"/>
  <c r="CM878" i="42385"/>
  <c r="BT877" i="42385"/>
  <c r="BR242" i="42385"/>
  <c r="BR859" i="42385"/>
  <c r="BB242" i="42385"/>
  <c r="BH242" i="42385"/>
  <c r="AT241" i="42385"/>
  <c r="AT828" i="42385"/>
  <c r="AY828" i="42385"/>
  <c r="HN631" i="42417"/>
  <c r="AF825" i="42385"/>
  <c r="CR825" i="42385" s="1"/>
  <c r="AH815" i="42385"/>
  <c r="AZ29" i="42418"/>
  <c r="BF240" i="42385"/>
  <c r="BF797" i="42385"/>
  <c r="AV770" i="42385"/>
  <c r="AI771" i="42385"/>
  <c r="AJ753" i="42385"/>
  <c r="AE752" i="42385"/>
  <c r="AE753" i="42385"/>
  <c r="W753" i="42385"/>
  <c r="X715" i="42385"/>
  <c r="X714" i="42385"/>
  <c r="AC715" i="42385"/>
  <c r="CM705" i="42385"/>
  <c r="BH682" i="42385"/>
  <c r="BM701" i="42385"/>
  <c r="BM682" i="42385" s="1"/>
  <c r="BM686" i="42385"/>
  <c r="BN686" i="42385" s="1"/>
  <c r="BP686" i="42385" s="1"/>
  <c r="BQ686" i="42385" s="1"/>
  <c r="BR686" i="42385" s="1"/>
  <c r="BS686" i="42385" s="1"/>
  <c r="Z702" i="42385"/>
  <c r="AE681" i="42385"/>
  <c r="AF691" i="42385"/>
  <c r="AX675" i="42385"/>
  <c r="AX677" i="42385"/>
  <c r="AP675" i="42385"/>
  <c r="AP677" i="42385"/>
  <c r="AH675" i="42385"/>
  <c r="AH677" i="42385"/>
  <c r="AR649" i="42385"/>
  <c r="AV649" i="42385"/>
  <c r="S621" i="42385"/>
  <c r="BN225" i="42385"/>
  <c r="BN533" i="42385"/>
  <c r="BN535" i="42385"/>
  <c r="BN546" i="42385"/>
  <c r="BQ1280" i="42385"/>
  <c r="AW107" i="42385"/>
  <c r="AW1280" i="42385"/>
  <c r="AZ1456" i="42385"/>
  <c r="AU1409" i="42385"/>
  <c r="CW1408" i="42385"/>
  <c r="BE1411" i="42385"/>
  <c r="CS1408" i="42385"/>
  <c r="CO1408" i="42385"/>
  <c r="Q1411" i="42385"/>
  <c r="I1424" i="42385"/>
  <c r="BT1369" i="42385"/>
  <c r="F30" i="42465"/>
  <c r="CV1369" i="42385"/>
  <c r="B30" i="42465"/>
  <c r="CR1369" i="42385"/>
  <c r="CN1369" i="42385"/>
  <c r="CT1354" i="42385"/>
  <c r="CW1341" i="42385"/>
  <c r="BG1324" i="42385"/>
  <c r="BN1319" i="42385"/>
  <c r="BO1319" i="42385" s="1"/>
  <c r="CY1319" i="42385" s="1"/>
  <c r="BB1319" i="42385"/>
  <c r="AS1306" i="42385"/>
  <c r="AT1306" i="42385" s="1"/>
  <c r="AX1297" i="42385"/>
  <c r="AD1297" i="42385"/>
  <c r="AE1297" i="42385" s="1"/>
  <c r="BD1294" i="42385"/>
  <c r="BE1294" i="42385" s="1"/>
  <c r="CW1294" i="42385" s="1"/>
  <c r="AT1294" i="42385"/>
  <c r="AU1294" i="42385" s="1"/>
  <c r="CU1294" i="42385" s="1"/>
  <c r="AJ1294" i="42385"/>
  <c r="AK1294" i="42385" s="1"/>
  <c r="CS1294" i="42385" s="1"/>
  <c r="AX1292" i="42385"/>
  <c r="BB1282" i="42385"/>
  <c r="E1282" i="42385"/>
  <c r="D1301" i="42385"/>
  <c r="E108" i="42385"/>
  <c r="Y86" i="42492"/>
  <c r="BP1227" i="42385"/>
  <c r="CY1213" i="42385"/>
  <c r="CE1204" i="42385"/>
  <c r="BF1166" i="42385"/>
  <c r="AO1119" i="42385"/>
  <c r="AQ1119" i="42385" s="1"/>
  <c r="CO1118" i="42385"/>
  <c r="T1116" i="42385"/>
  <c r="AX1114" i="42385"/>
  <c r="BC1114" i="42385" s="1"/>
  <c r="AX1111" i="42385"/>
  <c r="BC1111" i="42385" s="1"/>
  <c r="BH1111" i="42385" s="1"/>
  <c r="BM1111" i="42385" s="1"/>
  <c r="BR1111" i="42385" s="1"/>
  <c r="BW1111" i="42385" s="1"/>
  <c r="AV1110" i="42385"/>
  <c r="BA1110" i="42385" s="1"/>
  <c r="BF1110" i="42385" s="1"/>
  <c r="BK1110" i="42385" s="1"/>
  <c r="X256" i="42385"/>
  <c r="X1108" i="42385"/>
  <c r="AS1103" i="42385"/>
  <c r="V1107" i="42385"/>
  <c r="CP1103" i="42385"/>
  <c r="I1092" i="42385"/>
  <c r="I1093" i="42385"/>
  <c r="F1084" i="42385"/>
  <c r="F1085" i="42385" s="1"/>
  <c r="G1081" i="42385"/>
  <c r="G1021" i="42385"/>
  <c r="CM1021" i="42385" s="1"/>
  <c r="AA1012" i="42385"/>
  <c r="CQ1012" i="42385" s="1"/>
  <c r="AW982" i="42385"/>
  <c r="AK950" i="42385"/>
  <c r="CS950" i="42385" s="1"/>
  <c r="AZ946" i="42385"/>
  <c r="CV946" i="42385" s="1"/>
  <c r="AA935" i="42385"/>
  <c r="CQ935" i="42385" s="1"/>
  <c r="CQ934" i="42385"/>
  <c r="G935" i="42385"/>
  <c r="CM935" i="42385" s="1"/>
  <c r="CM934" i="42385"/>
  <c r="AN919" i="42385"/>
  <c r="AR919" i="42385"/>
  <c r="AR920" i="42385" s="1"/>
  <c r="BV130" i="42400"/>
  <c r="Z32" i="42443"/>
  <c r="L918" i="42385"/>
  <c r="CN918" i="42385" s="1"/>
  <c r="BT909" i="42385"/>
  <c r="CV909" i="42385"/>
  <c r="G907" i="42385"/>
  <c r="BL243" i="42385"/>
  <c r="BL890" i="42385"/>
  <c r="BD243" i="42385"/>
  <c r="BD890" i="42385"/>
  <c r="AV243" i="42385"/>
  <c r="AV890" i="42385"/>
  <c r="BF8" i="42418"/>
  <c r="BI243" i="42385"/>
  <c r="AO243" i="42385"/>
  <c r="GN488" i="42417" s="1"/>
  <c r="V888" i="42385"/>
  <c r="CP888" i="42385" s="1"/>
  <c r="BU275" i="42400"/>
  <c r="BJ275" i="42400"/>
  <c r="BJ289" i="42400" s="1"/>
  <c r="CI300" i="42492"/>
  <c r="BO887" i="42385"/>
  <c r="CY887" i="42385" s="1"/>
  <c r="AP275" i="42400"/>
  <c r="IB683" i="42417"/>
  <c r="AU887" i="42385"/>
  <c r="CU887" i="42385" s="1"/>
  <c r="V275" i="42400"/>
  <c r="U8" i="42443"/>
  <c r="AA887" i="42385"/>
  <c r="CQ887" i="42385" s="1"/>
  <c r="BJ884" i="42385"/>
  <c r="CX884" i="42385" s="1"/>
  <c r="CX883" i="42385"/>
  <c r="CT883" i="42385"/>
  <c r="CP883" i="42385"/>
  <c r="CZ878" i="42385"/>
  <c r="BU878" i="42385"/>
  <c r="BV878" i="42385" s="1"/>
  <c r="BW878" i="42385" s="1"/>
  <c r="BX878" i="42385" s="1"/>
  <c r="BY878" i="42385" s="1"/>
  <c r="CV877" i="42385"/>
  <c r="V866" i="42385"/>
  <c r="CP866" i="42385" s="1"/>
  <c r="AZ92" i="42418"/>
  <c r="BF242" i="42385"/>
  <c r="AV242" i="42385"/>
  <c r="AQ858" i="42385"/>
  <c r="AV859" i="42385" s="1"/>
  <c r="BU847" i="42385"/>
  <c r="BV847" i="42385" s="1"/>
  <c r="BW847" i="42385" s="1"/>
  <c r="BX847" i="42385" s="1"/>
  <c r="BY847" i="42385" s="1"/>
  <c r="CZ847" i="42385"/>
  <c r="AA838" i="42385"/>
  <c r="CQ838" i="42385" s="1"/>
  <c r="CQ837" i="42385"/>
  <c r="G838" i="42385"/>
  <c r="CM838" i="42385" s="1"/>
  <c r="CM837" i="42385"/>
  <c r="AX241" i="42385"/>
  <c r="AZ827" i="42385"/>
  <c r="AX828" i="42385"/>
  <c r="BC828" i="42385"/>
  <c r="BO826" i="42385"/>
  <c r="CY826" i="42385" s="1"/>
  <c r="BK827" i="42385"/>
  <c r="CX821" i="42385"/>
  <c r="CT821" i="42385"/>
  <c r="CP821" i="42385"/>
  <c r="AN763" i="42385"/>
  <c r="AK759" i="42385"/>
  <c r="CS759" i="42385" s="1"/>
  <c r="CS758" i="42385"/>
  <c r="Q759" i="42385"/>
  <c r="CO759" i="42385" s="1"/>
  <c r="CO758" i="42385"/>
  <c r="AE664" i="42385"/>
  <c r="Q656" i="42385"/>
  <c r="L656" i="42385"/>
  <c r="BG571" i="42385"/>
  <c r="BG573" i="42385"/>
  <c r="DA552" i="42385"/>
  <c r="BZ552" i="42385"/>
  <c r="BL115" i="42385"/>
  <c r="AF1012" i="42385"/>
  <c r="CR1012" i="42385"/>
  <c r="AU187" i="42400"/>
  <c r="AU190" i="42400" s="1"/>
  <c r="HN633" i="42417"/>
  <c r="BU977" i="42385"/>
  <c r="CY976" i="42385"/>
  <c r="BE949" i="42385"/>
  <c r="CW949" i="42385" s="1"/>
  <c r="AU218" i="42400"/>
  <c r="HN637" i="42417"/>
  <c r="AF933" i="42385"/>
  <c r="CR933" i="42385" s="1"/>
  <c r="L933" i="42385"/>
  <c r="CN933" i="42385" s="1"/>
  <c r="V928" i="42385"/>
  <c r="CP928" i="42385" s="1"/>
  <c r="BQ921" i="42385"/>
  <c r="BA921" i="42385"/>
  <c r="AZ130" i="42400"/>
  <c r="AZ142" i="42400" s="1"/>
  <c r="IA687" i="42417"/>
  <c r="BY301" i="42492"/>
  <c r="AF130" i="42400"/>
  <c r="AF134" i="42400" s="1"/>
  <c r="AE32" i="42443"/>
  <c r="AR915" i="42385"/>
  <c r="BW888" i="42385"/>
  <c r="BW889" i="42385" s="1"/>
  <c r="BS888" i="42385"/>
  <c r="BS889" i="42385" s="1"/>
  <c r="AU275" i="42400"/>
  <c r="HN628" i="42417"/>
  <c r="HZ683" i="42417"/>
  <c r="AA275" i="42400"/>
  <c r="Z8" i="42443"/>
  <c r="G275" i="42400"/>
  <c r="G289" i="42400" s="1"/>
  <c r="F8" i="42443"/>
  <c r="G276" i="42400"/>
  <c r="G296" i="42400" s="1"/>
  <c r="Q866" i="42385"/>
  <c r="CO866" i="42385" s="1"/>
  <c r="AF123" i="42492"/>
  <c r="AG123" i="42492" s="1"/>
  <c r="AK857" i="42385"/>
  <c r="CS857" i="42385" s="1"/>
  <c r="BE59" i="42400"/>
  <c r="CD299" i="42492"/>
  <c r="AK65" i="42400"/>
  <c r="AI65" i="42400" s="1"/>
  <c r="AK69" i="42400"/>
  <c r="AJ69" i="42400" s="1"/>
  <c r="AW828" i="42385"/>
  <c r="AK825" i="42385"/>
  <c r="CS825" i="42385" s="1"/>
  <c r="AZ83" i="42400"/>
  <c r="AZ91" i="42400" s="1"/>
  <c r="AV91" i="42400" s="1"/>
  <c r="BY298" i="42492"/>
  <c r="AF83" i="42400"/>
  <c r="AF92" i="42400" s="1"/>
  <c r="AE24" i="42443"/>
  <c r="AZ822" i="42385"/>
  <c r="CV822" i="42385" s="1"/>
  <c r="BL240" i="42385"/>
  <c r="BL797" i="42385"/>
  <c r="BD240" i="42385"/>
  <c r="BD797" i="42385"/>
  <c r="AK791" i="42385"/>
  <c r="CS791" i="42385" s="1"/>
  <c r="AE771" i="42385"/>
  <c r="AE772" i="42385"/>
  <c r="AJ772" i="42385"/>
  <c r="W771" i="42385"/>
  <c r="W772" i="42385"/>
  <c r="AB772" i="42385"/>
  <c r="X753" i="42385"/>
  <c r="V751" i="42385"/>
  <c r="S752" i="42385"/>
  <c r="AW78" i="42418"/>
  <c r="AF756" i="42385"/>
  <c r="CR756" i="42385" s="1"/>
  <c r="AF759" i="42385"/>
  <c r="CR759" i="42385" s="1"/>
  <c r="AK749" i="42385"/>
  <c r="CS749" i="42385" s="1"/>
  <c r="CR748" i="42385"/>
  <c r="CN748" i="42385"/>
  <c r="Q749" i="42385"/>
  <c r="CO749" i="42385" s="1"/>
  <c r="D714" i="42385"/>
  <c r="AW64" i="42418"/>
  <c r="CR710" i="42385"/>
  <c r="AF711" i="42385"/>
  <c r="CR711" i="42385"/>
  <c r="CN710" i="42385"/>
  <c r="L711" i="42385"/>
  <c r="CN711" i="42385" s="1"/>
  <c r="AM706" i="42385"/>
  <c r="AN706" i="42385" s="1"/>
  <c r="AO706" i="42385" s="1"/>
  <c r="AP706" i="42385" s="1"/>
  <c r="CT706" i="42385" s="1"/>
  <c r="AB693" i="42385"/>
  <c r="AB695" i="42385" s="1"/>
  <c r="AB696" i="42385" s="1"/>
  <c r="BE656" i="42385"/>
  <c r="AK656" i="42385"/>
  <c r="CR631" i="42385"/>
  <c r="AF632" i="42385"/>
  <c r="CR632" i="42385" s="1"/>
  <c r="CS628" i="42385"/>
  <c r="AK630" i="42385"/>
  <c r="CS630" i="42385" s="1"/>
  <c r="AQ230" i="42385"/>
  <c r="AV618" i="42385"/>
  <c r="AQ594" i="42385"/>
  <c r="AL595" i="42385"/>
  <c r="BO569" i="42385"/>
  <c r="BR562" i="42385"/>
  <c r="BR563" i="42385" s="1"/>
  <c r="BM561" i="42385"/>
  <c r="DB496" i="42385"/>
  <c r="CA496" i="42385"/>
  <c r="CZ422" i="42385"/>
  <c r="BV422" i="42385"/>
  <c r="BW422" i="42385" s="1"/>
  <c r="BX422" i="42385" s="1"/>
  <c r="BY422" i="42385" s="1"/>
  <c r="DA422" i="42385" s="1"/>
  <c r="P405" i="42385"/>
  <c r="C405" i="42385"/>
  <c r="AF378" i="42385"/>
  <c r="CR378" i="42385" s="1"/>
  <c r="AF234" i="42385"/>
  <c r="AP221" i="42385"/>
  <c r="CT221" i="42385" s="1"/>
  <c r="H190" i="42385"/>
  <c r="I190" i="42385" s="1"/>
  <c r="J190" i="42385" s="1"/>
  <c r="K190" i="42385" s="1"/>
  <c r="L190" i="42385" s="1"/>
  <c r="CM190" i="42385"/>
  <c r="BE1422" i="42385"/>
  <c r="T42" i="42476"/>
  <c r="Y202" i="42385"/>
  <c r="AZ1328" i="42385"/>
  <c r="CV1328" i="42385" s="1"/>
  <c r="H1326" i="42385"/>
  <c r="AZ1322" i="42385"/>
  <c r="CV1322" i="42385" s="1"/>
  <c r="AF1322" i="42385"/>
  <c r="CR1322" i="42385" s="1"/>
  <c r="BO1318" i="42385"/>
  <c r="CY1318" i="42385" s="1"/>
  <c r="BI1313" i="42385"/>
  <c r="BI1311" i="42385"/>
  <c r="AB98" i="42492" s="1"/>
  <c r="BO1300" i="42385"/>
  <c r="CY1300" i="42385" s="1"/>
  <c r="AY1296" i="42385"/>
  <c r="AZ1296" i="42385" s="1"/>
  <c r="CV1296" i="42385" s="1"/>
  <c r="BN1287" i="42385"/>
  <c r="BH1287" i="42385"/>
  <c r="BC1287" i="42385"/>
  <c r="AX1287" i="42385"/>
  <c r="AS1287" i="42385"/>
  <c r="AN1287" i="42385"/>
  <c r="AZ1286" i="42385"/>
  <c r="CV1286" i="42385" s="1"/>
  <c r="AC1284" i="42385"/>
  <c r="BO1283" i="42385"/>
  <c r="CY1283" i="42385" s="1"/>
  <c r="BI1283" i="42385"/>
  <c r="BJ1283" i="42385" s="1"/>
  <c r="CX1283" i="42385" s="1"/>
  <c r="AT1283" i="42385"/>
  <c r="AU1283" i="42385" s="1"/>
  <c r="CU1283" i="42385" s="1"/>
  <c r="D108" i="42385"/>
  <c r="C108" i="42385"/>
  <c r="BE1154" i="42385"/>
  <c r="CW1154" i="42385" s="1"/>
  <c r="AM1124" i="42385"/>
  <c r="AM1552" i="42385" s="1"/>
  <c r="AE1124" i="42385"/>
  <c r="AE1552" i="42385" s="1"/>
  <c r="CP1118" i="42385"/>
  <c r="AI23" i="42385"/>
  <c r="AA1115" i="42385"/>
  <c r="G1115" i="42385"/>
  <c r="CM1115" i="42385" s="1"/>
  <c r="AS1113" i="42385"/>
  <c r="AP1110" i="42385"/>
  <c r="AM13" i="42385"/>
  <c r="AE1107" i="42385"/>
  <c r="G1107" i="42385"/>
  <c r="CM1107" i="42385" s="1"/>
  <c r="AK1095" i="42385"/>
  <c r="AI1093" i="42385"/>
  <c r="AE1093" i="42385"/>
  <c r="S1093" i="42385"/>
  <c r="O1093" i="42385"/>
  <c r="K1093" i="42385"/>
  <c r="AI1092" i="42385"/>
  <c r="AJ1091" i="42385"/>
  <c r="AF188" i="42400"/>
  <c r="AF192" i="42400" s="1"/>
  <c r="AE41" i="42443"/>
  <c r="AH1001" i="42385"/>
  <c r="AI1001" i="42385" s="1"/>
  <c r="AZ151" i="42400"/>
  <c r="AZ161" i="42400" s="1"/>
  <c r="BY302" i="42492"/>
  <c r="CW970" i="42385"/>
  <c r="AZ22" i="42418"/>
  <c r="BF244" i="42385"/>
  <c r="BJ130" i="42400"/>
  <c r="CI301" i="42492"/>
  <c r="AP130" i="42400"/>
  <c r="AP140" i="42400" s="1"/>
  <c r="AN140" i="42400" s="1"/>
  <c r="HZ687" i="42417"/>
  <c r="IB687" i="42417"/>
  <c r="AP914" i="42385"/>
  <c r="CD300" i="42492"/>
  <c r="Q276" i="42400"/>
  <c r="Q296" i="42400" s="1"/>
  <c r="P9" i="42443"/>
  <c r="AU59" i="42400"/>
  <c r="BF57" i="42418"/>
  <c r="BI241" i="42385"/>
  <c r="BJ83" i="42400"/>
  <c r="CI298" i="42492"/>
  <c r="AP83" i="42400"/>
  <c r="IB691" i="42417"/>
  <c r="HZ691" i="42417"/>
  <c r="AN240" i="42385"/>
  <c r="AP796" i="42385"/>
  <c r="AN811" i="42385"/>
  <c r="AN797" i="42385"/>
  <c r="AA797" i="42385"/>
  <c r="CQ797" i="42385" s="1"/>
  <c r="V795" i="42385"/>
  <c r="CP795" i="42385" s="1"/>
  <c r="CP796" i="42385"/>
  <c r="V797" i="42385"/>
  <c r="CP797" i="42385" s="1"/>
  <c r="BK240" i="42385"/>
  <c r="BK797" i="42385"/>
  <c r="BO796" i="42385"/>
  <c r="AP791" i="42385"/>
  <c r="CT791" i="42385" s="1"/>
  <c r="BU784" i="42385"/>
  <c r="BV784" i="42385" s="1"/>
  <c r="BW784" i="42385" s="1"/>
  <c r="BX784" i="42385" s="1"/>
  <c r="BY784" i="42385" s="1"/>
  <c r="Q776" i="42385"/>
  <c r="CO776" i="42385" s="1"/>
  <c r="CO774" i="42385"/>
  <c r="V776" i="42385"/>
  <c r="CP776" i="42385" s="1"/>
  <c r="AM771" i="42385"/>
  <c r="AM772" i="42385"/>
  <c r="AR770" i="42385"/>
  <c r="O772" i="42385"/>
  <c r="Q757" i="42385"/>
  <c r="CO757" i="42385" s="1"/>
  <c r="Q756" i="42385"/>
  <c r="CO756" i="42385" s="1"/>
  <c r="CO755" i="42385"/>
  <c r="AV751" i="42385"/>
  <c r="AN751" i="42385"/>
  <c r="AI752" i="42385"/>
  <c r="AI753" i="42385"/>
  <c r="AJ715" i="42385"/>
  <c r="AO713" i="42385"/>
  <c r="AI706" i="42385"/>
  <c r="F708" i="42385"/>
  <c r="BU685" i="42385"/>
  <c r="BF677" i="42385"/>
  <c r="BB675" i="42385"/>
  <c r="BB677" i="42385"/>
  <c r="BW667" i="42385"/>
  <c r="BW682" i="42385" s="1"/>
  <c r="BR682" i="42385"/>
  <c r="BD668" i="42385"/>
  <c r="AF668" i="42385"/>
  <c r="AE667" i="42385"/>
  <c r="AK668" i="42385"/>
  <c r="AT644" i="42385"/>
  <c r="AY643" i="42385"/>
  <c r="AT647" i="42385"/>
  <c r="AT281" i="42385" s="1"/>
  <c r="AF626" i="42385"/>
  <c r="CR626" i="42385" s="1"/>
  <c r="AO230" i="42385"/>
  <c r="AP618" i="42385"/>
  <c r="AT618" i="42385"/>
  <c r="AT230" i="42385" s="1"/>
  <c r="AT10" i="42385" s="1"/>
  <c r="AK619" i="42385"/>
  <c r="CS619" i="42385" s="1"/>
  <c r="AS604" i="42385"/>
  <c r="AI602" i="42385"/>
  <c r="AN590" i="42385"/>
  <c r="AR590" i="42385"/>
  <c r="DB551" i="42385"/>
  <c r="CA551" i="42385"/>
  <c r="BF225" i="42385"/>
  <c r="BF535" i="42385"/>
  <c r="BF546" i="42385"/>
  <c r="BC224" i="42385"/>
  <c r="BE504" i="42385"/>
  <c r="BC518" i="42385"/>
  <c r="BC507" i="42385"/>
  <c r="AO223" i="42385"/>
  <c r="GN502" i="42417" s="1"/>
  <c r="AF484" i="42385"/>
  <c r="CR484" i="42385" s="1"/>
  <c r="CQ483" i="42385"/>
  <c r="L484" i="42385"/>
  <c r="CN484" i="42385" s="1"/>
  <c r="CM483" i="42385"/>
  <c r="CL292" i="42492"/>
  <c r="BM399" i="42385"/>
  <c r="BR399" i="42385"/>
  <c r="AO399" i="42385"/>
  <c r="AT399" i="42385"/>
  <c r="AT400" i="42385" s="1"/>
  <c r="AO401" i="42385"/>
  <c r="AL399" i="42385"/>
  <c r="BM218" i="42385"/>
  <c r="AA340" i="42385"/>
  <c r="CQ340" i="42385" s="1"/>
  <c r="L342" i="42385"/>
  <c r="CN342" i="42385" s="1"/>
  <c r="BB339" i="42385"/>
  <c r="AW339" i="42385"/>
  <c r="AW340" i="42385" s="1"/>
  <c r="V295" i="42385"/>
  <c r="CP295" i="42385" s="1"/>
  <c r="L293" i="42385"/>
  <c r="GJ489" i="42417"/>
  <c r="AK220" i="42385"/>
  <c r="AD1432" i="42385"/>
  <c r="W42" i="42476"/>
  <c r="BL202" i="42385"/>
  <c r="G18" i="42472"/>
  <c r="AB202" i="42385"/>
  <c r="AR1300" i="42385"/>
  <c r="BN1289" i="42385"/>
  <c r="BC1289" i="42385"/>
  <c r="AS1289" i="42385"/>
  <c r="AN1289" i="42385"/>
  <c r="AO1289" i="42385" s="1"/>
  <c r="AI1289" i="42385"/>
  <c r="AC1287" i="42385"/>
  <c r="AH1281" i="42385"/>
  <c r="AD23" i="42385"/>
  <c r="AS1110" i="42385"/>
  <c r="AH1093" i="42385"/>
  <c r="AD1093" i="42385"/>
  <c r="Z1093" i="42385"/>
  <c r="N1093" i="42385"/>
  <c r="J1093" i="42385"/>
  <c r="AL1092" i="42385"/>
  <c r="AZ187" i="42400"/>
  <c r="AZ190" i="42400" s="1"/>
  <c r="IA689" i="42417"/>
  <c r="AF187" i="42400"/>
  <c r="AF190" i="42400" s="1"/>
  <c r="AE40" i="42443"/>
  <c r="AF218" i="42400"/>
  <c r="AF223" i="42400" s="1"/>
  <c r="AE56" i="42443"/>
  <c r="BF22" i="42418"/>
  <c r="BI244" i="42385"/>
  <c r="BE130" i="42400"/>
  <c r="BE141" i="42400" s="1"/>
  <c r="CD301" i="42492"/>
  <c r="AK134" i="42400"/>
  <c r="AK135" i="42400"/>
  <c r="AH135" i="42400" s="1"/>
  <c r="AK140" i="42400"/>
  <c r="AG140" i="42400" s="1"/>
  <c r="AK142" i="42400"/>
  <c r="AG142" i="42400" s="1"/>
  <c r="AK141" i="42400"/>
  <c r="AF888" i="42385"/>
  <c r="CR888" i="42385" s="1"/>
  <c r="AZ275" i="42400"/>
  <c r="AZ290" i="42400" s="1"/>
  <c r="IA683" i="42417"/>
  <c r="BY300" i="42492"/>
  <c r="K10" i="42403"/>
  <c r="K11" i="42403" s="1"/>
  <c r="K20" i="42403" s="1"/>
  <c r="AF275" i="42400"/>
  <c r="AF282" i="42400" s="1"/>
  <c r="AE282" i="42400" s="1"/>
  <c r="AE8" i="42443"/>
  <c r="L275" i="42400"/>
  <c r="K8" i="42443"/>
  <c r="K7" i="42403"/>
  <c r="N7" i="42403" s="1"/>
  <c r="AF276" i="42400"/>
  <c r="AF296" i="42400" s="1"/>
  <c r="AE9" i="42443"/>
  <c r="L276" i="42400"/>
  <c r="L296" i="42400" s="1"/>
  <c r="K9" i="42443"/>
  <c r="BJ59" i="42400"/>
  <c r="CI299" i="42492"/>
  <c r="BE83" i="42400"/>
  <c r="BE87" i="42400" s="1"/>
  <c r="CD298" i="42492"/>
  <c r="AF84" i="42400"/>
  <c r="AF99" i="42400" s="1"/>
  <c r="AE25" i="42443"/>
  <c r="CQ806" i="42385"/>
  <c r="AF809" i="42385"/>
  <c r="CR809" i="42385" s="1"/>
  <c r="CM806" i="42385"/>
  <c r="L809" i="42385"/>
  <c r="CN809" i="42385" s="1"/>
  <c r="Q804" i="42385"/>
  <c r="CO804" i="42385" s="1"/>
  <c r="AR240" i="42385"/>
  <c r="AR797" i="42385"/>
  <c r="AK776" i="42385"/>
  <c r="CS776" i="42385" s="1"/>
  <c r="AK775" i="42385"/>
  <c r="CS775" i="42385" s="1"/>
  <c r="S771" i="42385"/>
  <c r="X772" i="42385"/>
  <c r="AI763" i="42385"/>
  <c r="AM752" i="42385"/>
  <c r="AM753" i="42385"/>
  <c r="T753" i="42385"/>
  <c r="O752" i="42385"/>
  <c r="CR720" i="42385"/>
  <c r="AF721" i="42385"/>
  <c r="CR721" i="42385" s="1"/>
  <c r="CN720" i="42385"/>
  <c r="L721" i="42385"/>
  <c r="CN721" i="42385" s="1"/>
  <c r="AX713" i="42385"/>
  <c r="P715" i="42385"/>
  <c r="BV684" i="42385"/>
  <c r="AD675" i="42385"/>
  <c r="AD677" i="42385"/>
  <c r="BD671" i="42385"/>
  <c r="AY671" i="42385"/>
  <c r="AF671" i="42385"/>
  <c r="AE670" i="42385"/>
  <c r="AK671" i="42385"/>
  <c r="AF702" i="42385"/>
  <c r="BX664" i="42385"/>
  <c r="BS681" i="42385"/>
  <c r="BU661" i="42385"/>
  <c r="BU680" i="42385" s="1"/>
  <c r="BP680" i="42385"/>
  <c r="AY662" i="42385"/>
  <c r="AF662" i="42385"/>
  <c r="AF699" i="42385"/>
  <c r="AE661" i="42385"/>
  <c r="AK662" i="42385"/>
  <c r="BG226" i="42385"/>
  <c r="BP562" i="42385"/>
  <c r="BP563" i="42385" s="1"/>
  <c r="BH562" i="42385"/>
  <c r="BJ562" i="42385" s="1"/>
  <c r="BN562" i="42385"/>
  <c r="BN563" i="42385" s="1"/>
  <c r="BZ545" i="42385"/>
  <c r="AJ487" i="42385"/>
  <c r="D487" i="42385"/>
  <c r="BG433" i="42385"/>
  <c r="AO416" i="42385"/>
  <c r="CP416" i="42385"/>
  <c r="AF415" i="42385"/>
  <c r="CM412" i="42385"/>
  <c r="CP380" i="42385"/>
  <c r="AI361" i="42385"/>
  <c r="AJ361" i="42385" s="1"/>
  <c r="AT341" i="42385"/>
  <c r="BE796" i="42385"/>
  <c r="BJ33" i="42400"/>
  <c r="CI297" i="42492"/>
  <c r="AP33" i="42400"/>
  <c r="AP43" i="42400" s="1"/>
  <c r="AM43" i="42400" s="1"/>
  <c r="IB693" i="42417"/>
  <c r="BK532" i="42385"/>
  <c r="DA524" i="42385"/>
  <c r="BZ524" i="42385"/>
  <c r="AW486" i="42385"/>
  <c r="AA486" i="42385"/>
  <c r="BD222" i="42385"/>
  <c r="BI460" i="42385"/>
  <c r="AR463" i="42385"/>
  <c r="AR222" i="42385"/>
  <c r="AW460" i="42385"/>
  <c r="AR469" i="42385"/>
  <c r="AX221" i="42385"/>
  <c r="AX440" i="42385"/>
  <c r="H405" i="42385"/>
  <c r="H406" i="42385"/>
  <c r="AQ409" i="42385"/>
  <c r="AR409" i="42385" s="1"/>
  <c r="CT409" i="42385"/>
  <c r="AF402" i="42385"/>
  <c r="AA400" i="42385"/>
  <c r="CQ400" i="42385" s="1"/>
  <c r="CQ401" i="42385"/>
  <c r="AA402" i="42385"/>
  <c r="CQ402" i="42385" s="1"/>
  <c r="L402" i="42385"/>
  <c r="CN402" i="42385" s="1"/>
  <c r="G400" i="42385"/>
  <c r="CM400" i="42385" s="1"/>
  <c r="CM401" i="42385"/>
  <c r="CH292" i="42492"/>
  <c r="BI399" i="42385"/>
  <c r="BZ292" i="42492"/>
  <c r="AA371" i="42385"/>
  <c r="CQ371" i="42385" s="1"/>
  <c r="V369" i="42385"/>
  <c r="CP369" i="42385" s="1"/>
  <c r="CP370" i="42385"/>
  <c r="V371" i="42385"/>
  <c r="CP371" i="42385" s="1"/>
  <c r="V385" i="42385"/>
  <c r="CP385" i="42385" s="1"/>
  <c r="AT369" i="42385"/>
  <c r="AO370" i="42385"/>
  <c r="HN639" i="42417"/>
  <c r="AZ368" i="42385"/>
  <c r="CV368" i="42385" s="1"/>
  <c r="AF368" i="42385"/>
  <c r="CR368" i="42385" s="1"/>
  <c r="AF357" i="42385"/>
  <c r="CR357" i="42385" s="1"/>
  <c r="CR356" i="42385"/>
  <c r="L357" i="42385"/>
  <c r="CN357" i="42385" s="1"/>
  <c r="CN356" i="42385"/>
  <c r="BF15" i="42418"/>
  <c r="BI218" i="42385"/>
  <c r="BI342" i="42385"/>
  <c r="BQ339" i="42385"/>
  <c r="AX339" i="42385"/>
  <c r="AS339" i="42385"/>
  <c r="BT333" i="42385"/>
  <c r="BX333" i="42385"/>
  <c r="BY333" i="42385" s="1"/>
  <c r="BZ333" i="42385" s="1"/>
  <c r="AZ337" i="42385"/>
  <c r="BE337" i="42385"/>
  <c r="AB337" i="42385"/>
  <c r="AG337" i="42385"/>
  <c r="Z5" i="42443"/>
  <c r="CQ324" i="42385"/>
  <c r="F5" i="42443"/>
  <c r="CM324" i="42385"/>
  <c r="K305" i="42385"/>
  <c r="AI260" i="42385"/>
  <c r="AP222" i="42385"/>
  <c r="CT222" i="42385" s="1"/>
  <c r="BK86" i="42385"/>
  <c r="BK88" i="42385" s="1"/>
  <c r="BK1645" i="42385" s="1"/>
  <c r="BC86" i="42385"/>
  <c r="BC88" i="42385" s="1"/>
  <c r="BC1645" i="42385" s="1"/>
  <c r="AK806" i="42385"/>
  <c r="AF795" i="42385"/>
  <c r="CR795" i="42385" s="1"/>
  <c r="AZ33" i="42400"/>
  <c r="BY297" i="42492"/>
  <c r="AF33" i="42400"/>
  <c r="AF41" i="42400" s="1"/>
  <c r="AC41" i="42400" s="1"/>
  <c r="AE16" i="42443"/>
  <c r="AF34" i="42400"/>
  <c r="AE17" i="42443"/>
  <c r="AH784" i="42385"/>
  <c r="AP777" i="42385"/>
  <c r="AM744" i="42385"/>
  <c r="AN744" i="42385" s="1"/>
  <c r="AO744" i="42385" s="1"/>
  <c r="AP744" i="42385" s="1"/>
  <c r="AH744" i="42385"/>
  <c r="AI744" i="42385" s="1"/>
  <c r="BQ661" i="42385"/>
  <c r="BM661" i="42385"/>
  <c r="BI661" i="42385"/>
  <c r="CV588" i="42385"/>
  <c r="DA517" i="42385"/>
  <c r="BZ517" i="42385"/>
  <c r="BG518" i="42385"/>
  <c r="BC486" i="42385"/>
  <c r="BD486" i="42385" s="1"/>
  <c r="Q486" i="42385"/>
  <c r="P487" i="42385"/>
  <c r="AR483" i="42385"/>
  <c r="AS484" i="42385"/>
  <c r="AT484" i="42385" s="1"/>
  <c r="AT483" i="42385" s="1"/>
  <c r="AI479" i="42385"/>
  <c r="BH460" i="42385"/>
  <c r="BA460" i="42385"/>
  <c r="AV462" i="42385"/>
  <c r="BB459" i="42385"/>
  <c r="BG460" i="42385" s="1"/>
  <c r="AX222" i="42385"/>
  <c r="BC460" i="42385"/>
  <c r="AX462" i="42385"/>
  <c r="CD294" i="42492"/>
  <c r="BE457" i="42385"/>
  <c r="CW457" i="42385" s="1"/>
  <c r="BV450" i="42385"/>
  <c r="BW450" i="42385" s="1"/>
  <c r="BX450" i="42385" s="1"/>
  <c r="AX434" i="42385"/>
  <c r="BP433" i="42385"/>
  <c r="BK438" i="42385"/>
  <c r="BO428" i="42385"/>
  <c r="CY428" i="42385" s="1"/>
  <c r="T405" i="42385"/>
  <c r="T406" i="42385"/>
  <c r="J405" i="42385"/>
  <c r="BQ399" i="42385"/>
  <c r="AS399" i="42385"/>
  <c r="AS400" i="42385" s="1"/>
  <c r="N376" i="42385"/>
  <c r="N373" i="42385" s="1"/>
  <c r="N374" i="42385" s="1"/>
  <c r="O377" i="42385"/>
  <c r="P344" i="42385"/>
  <c r="BQ341" i="42385"/>
  <c r="BQ342" i="42385" s="1"/>
  <c r="AO218" i="42385"/>
  <c r="AO342" i="42385"/>
  <c r="AS340" i="42385"/>
  <c r="AU340" i="42385" s="1"/>
  <c r="CU340" i="42385" s="1"/>
  <c r="AN341" i="42385"/>
  <c r="BN339" i="42385"/>
  <c r="BI339" i="42385"/>
  <c r="T337" i="42385"/>
  <c r="Y337" i="42385"/>
  <c r="CZ327" i="42385"/>
  <c r="BU327" i="42385"/>
  <c r="BV327" i="42385" s="1"/>
  <c r="BW327" i="42385" s="1"/>
  <c r="BX327" i="42385" s="1"/>
  <c r="BY327" i="42385" s="1"/>
  <c r="Y305" i="42385"/>
  <c r="AF274" i="42385"/>
  <c r="CR274" i="42385" s="1"/>
  <c r="AF236" i="42385"/>
  <c r="CM184" i="42385"/>
  <c r="CM174" i="42385"/>
  <c r="H174" i="42385"/>
  <c r="I174" i="42385" s="1"/>
  <c r="J174" i="42385" s="1"/>
  <c r="K174" i="42385" s="1"/>
  <c r="L174" i="42385" s="1"/>
  <c r="M174" i="42385" s="1"/>
  <c r="N174" i="42385" s="1"/>
  <c r="O174" i="42385" s="1"/>
  <c r="CM170" i="42385"/>
  <c r="H170" i="42385"/>
  <c r="I170" i="42385" s="1"/>
  <c r="J170" i="42385" s="1"/>
  <c r="K170" i="42385" s="1"/>
  <c r="L170" i="42385" s="1"/>
  <c r="AJ153" i="42385"/>
  <c r="AK153" i="42385" s="1"/>
  <c r="CS153" i="42385" s="1"/>
  <c r="CX137" i="42385"/>
  <c r="BO37" i="42400"/>
  <c r="BN37" i="42400" s="1"/>
  <c r="BO40" i="42400"/>
  <c r="BO38" i="42400"/>
  <c r="BK38" i="42400" s="1"/>
  <c r="BO41" i="42400"/>
  <c r="BK41" i="42400" s="1"/>
  <c r="BO39" i="42400"/>
  <c r="BK39" i="42400" s="1"/>
  <c r="BO47" i="42400"/>
  <c r="BO43" i="42400"/>
  <c r="BK43" i="42400" s="1"/>
  <c r="BO42" i="42400"/>
  <c r="BN42" i="42400" s="1"/>
  <c r="AU33" i="42400"/>
  <c r="HN630" i="42417"/>
  <c r="IA693" i="42417"/>
  <c r="GM498" i="42417"/>
  <c r="AW618" i="42385"/>
  <c r="AS618" i="42385"/>
  <c r="CU588" i="42385"/>
  <c r="BI563" i="42385"/>
  <c r="BJ561" i="42385"/>
  <c r="BQ503" i="42385"/>
  <c r="BL504" i="42385"/>
  <c r="BL507" i="42385" s="1"/>
  <c r="AA490" i="42385"/>
  <c r="CQ490" i="42385" s="1"/>
  <c r="AF491" i="42385"/>
  <c r="CR491" i="42385" s="1"/>
  <c r="CQ489" i="42385"/>
  <c r="AA491" i="42385"/>
  <c r="CQ491" i="42385" s="1"/>
  <c r="G490" i="42385"/>
  <c r="CM490" i="42385" s="1"/>
  <c r="L491" i="42385"/>
  <c r="CN491" i="42385" s="1"/>
  <c r="CM489" i="42385"/>
  <c r="BL460" i="42385"/>
  <c r="BF222" i="42385"/>
  <c r="BJ451" i="42385"/>
  <c r="CX451" i="42385" s="1"/>
  <c r="CW451" i="42385"/>
  <c r="BG429" i="42385"/>
  <c r="CI293" i="42492"/>
  <c r="BT421" i="42385"/>
  <c r="CV421" i="42385"/>
  <c r="V410" i="42385"/>
  <c r="CP410" i="42385" s="1"/>
  <c r="S404" i="42385"/>
  <c r="I406" i="42385"/>
  <c r="I405" i="42385"/>
  <c r="N406" i="42385"/>
  <c r="AW399" i="42385"/>
  <c r="BV389" i="42385"/>
  <c r="BW389" i="42385" s="1"/>
  <c r="BX389" i="42385" s="1"/>
  <c r="BY389" i="42385" s="1"/>
  <c r="CZ389" i="42385"/>
  <c r="AA369" i="42385"/>
  <c r="CQ369" i="42385" s="1"/>
  <c r="G369" i="42385"/>
  <c r="CM369" i="42385" s="1"/>
  <c r="AA368" i="42385"/>
  <c r="CQ368" i="42385" s="1"/>
  <c r="AK353" i="42385"/>
  <c r="CS353" i="42385" s="1"/>
  <c r="CS352" i="42385"/>
  <c r="AK355" i="42385"/>
  <c r="CS355" i="42385" s="1"/>
  <c r="Q353" i="42385"/>
  <c r="CO353" i="42385" s="1"/>
  <c r="V355" i="42385"/>
  <c r="CP355" i="42385" s="1"/>
  <c r="CO352" i="42385"/>
  <c r="Q355" i="42385"/>
  <c r="CO355" i="42385" s="1"/>
  <c r="AR341" i="42385"/>
  <c r="BC15" i="42418" s="1"/>
  <c r="BR339" i="42385"/>
  <c r="BR340" i="42385" s="1"/>
  <c r="BR341" i="42385" s="1"/>
  <c r="BM339" i="42385"/>
  <c r="AT339" i="42385"/>
  <c r="AO339" i="42385"/>
  <c r="AL339" i="42385"/>
  <c r="CO336" i="42385"/>
  <c r="CW334" i="42385"/>
  <c r="BJ338" i="42385"/>
  <c r="G14" i="42424"/>
  <c r="CS334" i="42385"/>
  <c r="AP338" i="42385"/>
  <c r="AA333" i="42385"/>
  <c r="BT310" i="42385"/>
  <c r="CZ310" i="42385" s="1"/>
  <c r="AK287" i="42385"/>
  <c r="GK522" i="42417"/>
  <c r="AL290" i="42385"/>
  <c r="N290" i="42385"/>
  <c r="GJ491" i="42417"/>
  <c r="BL282" i="42385"/>
  <c r="GJ502" i="42417"/>
  <c r="CM187" i="42385"/>
  <c r="H187" i="42385"/>
  <c r="I187" i="42385" s="1"/>
  <c r="J187" i="42385" s="1"/>
  <c r="K187" i="42385" s="1"/>
  <c r="L187" i="42385" s="1"/>
  <c r="M187" i="42385" s="1"/>
  <c r="N187" i="42385" s="1"/>
  <c r="O187" i="42385" s="1"/>
  <c r="P187" i="42385" s="1"/>
  <c r="Q187" i="42385" s="1"/>
  <c r="R187" i="42385" s="1"/>
  <c r="S187" i="42385" s="1"/>
  <c r="T187" i="42385" s="1"/>
  <c r="U187" i="42385" s="1"/>
  <c r="V187" i="42385" s="1"/>
  <c r="CM181" i="42385"/>
  <c r="H181" i="42385"/>
  <c r="I181" i="42385" s="1"/>
  <c r="J181" i="42385" s="1"/>
  <c r="CM177" i="42385"/>
  <c r="H177" i="42385"/>
  <c r="I177" i="42385" s="1"/>
  <c r="J177" i="42385" s="1"/>
  <c r="K177" i="42385" s="1"/>
  <c r="L177" i="42385" s="1"/>
  <c r="CM173" i="42385"/>
  <c r="H173" i="42385"/>
  <c r="I173" i="42385" s="1"/>
  <c r="J173" i="42385" s="1"/>
  <c r="K173" i="42385" s="1"/>
  <c r="L173" i="42385" s="1"/>
  <c r="AR131" i="42385"/>
  <c r="AG53" i="42385"/>
  <c r="BE29" i="42385"/>
  <c r="CW20" i="42385"/>
  <c r="BI533" i="42385"/>
  <c r="CI295" i="42492"/>
  <c r="AP483" i="42385"/>
  <c r="AP484" i="42385" s="1"/>
  <c r="CT484" i="42385" s="1"/>
  <c r="AB377" i="42385"/>
  <c r="AW15" i="42418"/>
  <c r="DI334" i="42464"/>
  <c r="Q340" i="42385"/>
  <c r="CO340" i="42385" s="1"/>
  <c r="BQ311" i="42385"/>
  <c r="AA310" i="42385"/>
  <c r="CQ310" i="42385" s="1"/>
  <c r="BS248" i="42385"/>
  <c r="BX248" i="42385"/>
  <c r="V300" i="42385"/>
  <c r="CP300" i="42385" s="1"/>
  <c r="GK519" i="42417"/>
  <c r="AE305" i="42385"/>
  <c r="U305" i="42385"/>
  <c r="AF293" i="42385"/>
  <c r="CR293" i="42385" s="1"/>
  <c r="F305" i="42385"/>
  <c r="AH290" i="42385"/>
  <c r="AK284" i="42385"/>
  <c r="Y277" i="42385"/>
  <c r="GK529" i="42417"/>
  <c r="G268" i="42385"/>
  <c r="CM268" i="42385" s="1"/>
  <c r="GK516" i="42417"/>
  <c r="GK526" i="42417"/>
  <c r="GK514" i="42417"/>
  <c r="AL19" i="42385"/>
  <c r="L265" i="42385"/>
  <c r="CN265" i="42385" s="1"/>
  <c r="BJ254" i="42385"/>
  <c r="CX254" i="42385" s="1"/>
  <c r="AI13" i="42385"/>
  <c r="GL494" i="42417"/>
  <c r="AA234" i="42385"/>
  <c r="CQ234" i="42385" s="1"/>
  <c r="Y258" i="42385"/>
  <c r="AK230" i="42385"/>
  <c r="AK222" i="42385"/>
  <c r="CS222" i="42385" s="1"/>
  <c r="AK221" i="42385"/>
  <c r="CS221" i="42385" s="1"/>
  <c r="BD218" i="42385"/>
  <c r="H258" i="42385"/>
  <c r="D169" i="42385"/>
  <c r="BY165" i="42385"/>
  <c r="DA165" i="42385" s="1"/>
  <c r="AM165" i="42385"/>
  <c r="AM166" i="42385" s="1"/>
  <c r="AM134" i="42385" s="1"/>
  <c r="AN155" i="42385"/>
  <c r="AZ151" i="42385"/>
  <c r="BA151" i="42385" s="1"/>
  <c r="AE149" i="42385"/>
  <c r="AF149" i="42385" s="1"/>
  <c r="CR149" i="42385" s="1"/>
  <c r="U149" i="42385"/>
  <c r="V149" i="42385" s="1"/>
  <c r="CP149" i="42385" s="1"/>
  <c r="K149" i="42385"/>
  <c r="L149" i="42385" s="1"/>
  <c r="CN149" i="42385" s="1"/>
  <c r="U142" i="42385"/>
  <c r="V142" i="42385" s="1"/>
  <c r="CP142" i="42385" s="1"/>
  <c r="Y141" i="42385"/>
  <c r="AA141" i="42385" s="1"/>
  <c r="CQ141" i="42385" s="1"/>
  <c r="E137" i="42385"/>
  <c r="F137" i="42385" s="1"/>
  <c r="H118" i="42385"/>
  <c r="AN118" i="42385"/>
  <c r="AS131" i="42385"/>
  <c r="F127" i="42385"/>
  <c r="AA115" i="42385"/>
  <c r="CQ115" i="42385" s="1"/>
  <c r="E113" i="42385"/>
  <c r="CS112" i="42385"/>
  <c r="G18" i="42465"/>
  <c r="Q27" i="42476"/>
  <c r="CW101" i="42385"/>
  <c r="CN83" i="42385"/>
  <c r="AR42" i="42385"/>
  <c r="BQ24" i="42385"/>
  <c r="BQ40" i="42385" s="1"/>
  <c r="BE28" i="42385"/>
  <c r="CW19" i="42385"/>
  <c r="BJ389" i="42385"/>
  <c r="CX389" i="42385" s="1"/>
  <c r="AH389" i="42385"/>
  <c r="BY310" i="42385"/>
  <c r="DA310" i="42385" s="1"/>
  <c r="GK527" i="42417"/>
  <c r="BE301" i="42385"/>
  <c r="CW301" i="42385" s="1"/>
  <c r="AF297" i="42385"/>
  <c r="CR297" i="42385" s="1"/>
  <c r="GL515" i="42417"/>
  <c r="AM305" i="42385"/>
  <c r="AF294" i="42385"/>
  <c r="AC305" i="42385"/>
  <c r="GK517" i="42417"/>
  <c r="AL21" i="42385"/>
  <c r="AL305" i="42385"/>
  <c r="N305" i="42385"/>
  <c r="Q293" i="42385"/>
  <c r="CO293" i="42385" s="1"/>
  <c r="GK525" i="42417"/>
  <c r="GK523" i="42417"/>
  <c r="Z290" i="42385"/>
  <c r="AA284" i="42385"/>
  <c r="CQ284" i="42385" s="1"/>
  <c r="R290" i="42385"/>
  <c r="GJ528" i="42417"/>
  <c r="AJ20" i="42385"/>
  <c r="AK280" i="42385"/>
  <c r="CS280" i="42385" s="1"/>
  <c r="AB20" i="42385"/>
  <c r="AG277" i="42385"/>
  <c r="I277" i="42385"/>
  <c r="L274" i="42385"/>
  <c r="CN274" i="42385" s="1"/>
  <c r="AF270" i="42385"/>
  <c r="CR270" i="42385" s="1"/>
  <c r="AK269" i="42385"/>
  <c r="CS269" i="42385" s="1"/>
  <c r="AF267" i="42385"/>
  <c r="CR267" i="42385" s="1"/>
  <c r="AF266" i="42385"/>
  <c r="CR266" i="42385" s="1"/>
  <c r="AA266" i="42385"/>
  <c r="CQ266" i="42385" s="1"/>
  <c r="AD19" i="42385"/>
  <c r="AD277" i="42385"/>
  <c r="F277" i="42385"/>
  <c r="G254" i="42385"/>
  <c r="CM254" i="42385" s="1"/>
  <c r="BO248" i="42385"/>
  <c r="GL493" i="42417"/>
  <c r="GJ497" i="42417"/>
  <c r="GK488" i="42417"/>
  <c r="AL258" i="42385"/>
  <c r="Q243" i="42385"/>
  <c r="CO243" i="42385" s="1"/>
  <c r="N258" i="42385"/>
  <c r="AF242" i="42385"/>
  <c r="X49" i="42417" s="1"/>
  <c r="AC11" i="42385"/>
  <c r="AF240" i="42385"/>
  <c r="CR240" i="42385" s="1"/>
  <c r="I258" i="42385"/>
  <c r="L234" i="42385"/>
  <c r="CN234" i="42385" s="1"/>
  <c r="GJ501" i="42417"/>
  <c r="AJ10" i="42385"/>
  <c r="AB10" i="42385"/>
  <c r="AK227" i="42385"/>
  <c r="CS227" i="42385" s="1"/>
  <c r="GJ499" i="42417"/>
  <c r="AK219" i="42385"/>
  <c r="CS219" i="42385" s="1"/>
  <c r="BL218" i="42385"/>
  <c r="AA218" i="42385"/>
  <c r="CQ218" i="42385" s="1"/>
  <c r="X258" i="42385"/>
  <c r="DA163" i="42385"/>
  <c r="BZ163" i="42385"/>
  <c r="DB163" i="42385" s="1"/>
  <c r="AJ154" i="42385"/>
  <c r="AK154" i="42385" s="1"/>
  <c r="CS154" i="42385" s="1"/>
  <c r="Z149" i="42385"/>
  <c r="AA149" i="42385" s="1"/>
  <c r="CQ149" i="42385" s="1"/>
  <c r="P149" i="42385"/>
  <c r="P142" i="42385"/>
  <c r="Q142" i="42385" s="1"/>
  <c r="CO142" i="42385" s="1"/>
  <c r="AE141" i="42385"/>
  <c r="AF141" i="42385" s="1"/>
  <c r="CR141" i="42385" s="1"/>
  <c r="P137" i="42385"/>
  <c r="X118" i="42385"/>
  <c r="N163" i="42385"/>
  <c r="N165" i="42385"/>
  <c r="N166" i="42385" s="1"/>
  <c r="N134" i="42385" s="1"/>
  <c r="BC118" i="42385"/>
  <c r="M131" i="42385"/>
  <c r="M163" i="42385"/>
  <c r="M165" i="42385"/>
  <c r="M166" i="42385" s="1"/>
  <c r="M134" i="42385" s="1"/>
  <c r="CR112" i="42385"/>
  <c r="G109" i="42385"/>
  <c r="CM109" i="42385" s="1"/>
  <c r="AA107" i="42385"/>
  <c r="CQ107" i="42385" s="1"/>
  <c r="H9" i="42472"/>
  <c r="CR78" i="42385"/>
  <c r="AU73" i="42385"/>
  <c r="AQ85" i="42385"/>
  <c r="AW30" i="42385"/>
  <c r="AZ21" i="42385"/>
  <c r="CV21" i="42385" s="1"/>
  <c r="BQ15" i="42385"/>
  <c r="BQ200" i="42385"/>
  <c r="BO29" i="42385"/>
  <c r="CY10" i="42385"/>
  <c r="AZ457" i="42385"/>
  <c r="CV457" i="42385" s="1"/>
  <c r="BO398" i="42385"/>
  <c r="AU398" i="42385"/>
  <c r="BX367" i="42385"/>
  <c r="BY367" i="42385" s="1"/>
  <c r="AA350" i="42385"/>
  <c r="CQ350" i="42385" s="1"/>
  <c r="G350" i="42385"/>
  <c r="CM350" i="42385" s="1"/>
  <c r="BL342" i="42385"/>
  <c r="V340" i="42385"/>
  <c r="CP340" i="42385" s="1"/>
  <c r="AU336" i="42385"/>
  <c r="DB310" i="42385"/>
  <c r="AF310" i="42385"/>
  <c r="CR310" i="42385" s="1"/>
  <c r="GJ520" i="42417"/>
  <c r="AF298" i="42385"/>
  <c r="CR298" i="42385" s="1"/>
  <c r="AK297" i="42385"/>
  <c r="CS297" i="42385" s="1"/>
  <c r="AA297" i="42385"/>
  <c r="CQ297" i="42385" s="1"/>
  <c r="V296" i="42385"/>
  <c r="CP296" i="42385" s="1"/>
  <c r="S305" i="42385"/>
  <c r="GJ521" i="42417"/>
  <c r="AG305" i="42385"/>
  <c r="Z305" i="42385"/>
  <c r="AA293" i="42385"/>
  <c r="CQ293" i="42385" s="1"/>
  <c r="R305" i="42385"/>
  <c r="AF284" i="42385"/>
  <c r="AD290" i="42385"/>
  <c r="F290" i="42385"/>
  <c r="G284" i="42385"/>
  <c r="BJ274" i="42385"/>
  <c r="CX274" i="42385" s="1"/>
  <c r="AK270" i="42385"/>
  <c r="CS270" i="42385" s="1"/>
  <c r="AK268" i="42385"/>
  <c r="CS268" i="42385" s="1"/>
  <c r="AK267" i="42385"/>
  <c r="AA267" i="42385"/>
  <c r="G267" i="42385"/>
  <c r="CM267" i="42385" s="1"/>
  <c r="AK266" i="42385"/>
  <c r="CS266" i="42385" s="1"/>
  <c r="G266" i="42385"/>
  <c r="CM266" i="42385" s="1"/>
  <c r="AH19" i="42385"/>
  <c r="AK265" i="42385"/>
  <c r="CS265" i="42385" s="1"/>
  <c r="AH277" i="42385"/>
  <c r="AA265" i="42385"/>
  <c r="CQ265" i="42385" s="1"/>
  <c r="J277" i="42385"/>
  <c r="BO254" i="42385"/>
  <c r="CY254" i="42385" s="1"/>
  <c r="Z258" i="42385"/>
  <c r="AA243" i="42385"/>
  <c r="CQ243" i="42385" s="1"/>
  <c r="R258" i="42385"/>
  <c r="AK242" i="42385"/>
  <c r="AG11" i="42385"/>
  <c r="M258" i="42385"/>
  <c r="GJ504" i="42417"/>
  <c r="GJ487" i="42417"/>
  <c r="AJ9" i="42385"/>
  <c r="AB9" i="42385"/>
  <c r="AG260" i="42385"/>
  <c r="AB258" i="42385"/>
  <c r="G218" i="42385"/>
  <c r="CM218" i="42385" s="1"/>
  <c r="D258" i="42385"/>
  <c r="D128" i="42385" s="1"/>
  <c r="L200" i="42385"/>
  <c r="AQ166" i="42385"/>
  <c r="AQ134" i="42385" s="1"/>
  <c r="P148" i="42385"/>
  <c r="Q148" i="42385" s="1"/>
  <c r="CO148" i="42385" s="1"/>
  <c r="F148" i="42385"/>
  <c r="G148" i="42385" s="1"/>
  <c r="CM148" i="42385" s="1"/>
  <c r="CW138" i="42385"/>
  <c r="J137" i="42385"/>
  <c r="K137" i="42385" s="1"/>
  <c r="AG133" i="42385"/>
  <c r="AK133" i="42385" s="1"/>
  <c r="CS133" i="42385" s="1"/>
  <c r="AB118" i="42385"/>
  <c r="R131" i="42385"/>
  <c r="R163" i="42385"/>
  <c r="R165" i="42385"/>
  <c r="R166" i="42385" s="1"/>
  <c r="R134" i="42385" s="1"/>
  <c r="R118" i="42385"/>
  <c r="BK131" i="42385"/>
  <c r="BK133" i="42385"/>
  <c r="BL130" i="42385"/>
  <c r="BQ129" i="42385"/>
  <c r="AW129" i="42385"/>
  <c r="BB129" i="42385"/>
  <c r="AW133" i="42385"/>
  <c r="CS127" i="42385"/>
  <c r="M118" i="42385"/>
  <c r="AA111" i="42385"/>
  <c r="CQ111" i="42385" s="1"/>
  <c r="G107" i="42385"/>
  <c r="CM107" i="42385" s="1"/>
  <c r="AA24" i="42476"/>
  <c r="CY100" i="42385"/>
  <c r="BG88" i="42385"/>
  <c r="BG1645" i="42385" s="1"/>
  <c r="S88" i="42385"/>
  <c r="S1645" i="42385" s="1"/>
  <c r="V85" i="42385"/>
  <c r="IM900" i="42464"/>
  <c r="N9" i="42472"/>
  <c r="GL527" i="42417"/>
  <c r="GK524" i="42417"/>
  <c r="GL519" i="42417"/>
  <c r="GJ515" i="42417"/>
  <c r="GK518" i="42417"/>
  <c r="GL517" i="42417"/>
  <c r="AM21" i="42385"/>
  <c r="AI21" i="42385"/>
  <c r="AE21" i="42385"/>
  <c r="GL525" i="42417"/>
  <c r="GL523" i="42417"/>
  <c r="GL522" i="42417"/>
  <c r="GL529" i="42417"/>
  <c r="GL516" i="42417"/>
  <c r="GL526" i="42417"/>
  <c r="GL514" i="42417"/>
  <c r="AM19" i="42385"/>
  <c r="AE19" i="42385"/>
  <c r="GK500" i="42417"/>
  <c r="AL13" i="42385"/>
  <c r="GJ493" i="42417"/>
  <c r="GK492" i="42417"/>
  <c r="GL488" i="42417"/>
  <c r="GJ494" i="42417"/>
  <c r="GK490" i="42417"/>
  <c r="AL11" i="42385"/>
  <c r="AL30" i="42385" s="1"/>
  <c r="AH11" i="42385"/>
  <c r="AD11" i="42385"/>
  <c r="GK498" i="42417"/>
  <c r="GK496" i="42417"/>
  <c r="GK495" i="42417"/>
  <c r="AG10" i="42385"/>
  <c r="AC10" i="42385"/>
  <c r="AG9" i="42385"/>
  <c r="AC9" i="42385"/>
  <c r="AP141" i="42385"/>
  <c r="CT141" i="42385" s="1"/>
  <c r="AF138" i="42385"/>
  <c r="CR138" i="42385" s="1"/>
  <c r="AA138" i="42385"/>
  <c r="CQ138" i="42385" s="1"/>
  <c r="Q138" i="42385"/>
  <c r="CO138" i="42385" s="1"/>
  <c r="AW131" i="42385"/>
  <c r="BH129" i="42385"/>
  <c r="CT251" i="42417"/>
  <c r="BX88" i="42385"/>
  <c r="BX1645" i="42385" s="1"/>
  <c r="O88" i="42385"/>
  <c r="O1645" i="42385" s="1"/>
  <c r="AG85" i="42385"/>
  <c r="D44" i="42476"/>
  <c r="D45" i="42476" s="1"/>
  <c r="AU68" i="42385"/>
  <c r="G80" i="42476" s="1"/>
  <c r="G10" i="42472"/>
  <c r="CQ68" i="42385"/>
  <c r="C10" i="42472"/>
  <c r="CM68" i="42385"/>
  <c r="BT62" i="42385"/>
  <c r="BA85" i="42385"/>
  <c r="BA86" i="42385" s="1"/>
  <c r="BD62" i="42385"/>
  <c r="AN42" i="42385"/>
  <c r="M8" i="42476"/>
  <c r="M12" i="42476"/>
  <c r="BL193" i="42492"/>
  <c r="BL195" i="42492" s="1"/>
  <c r="BL198" i="42492" s="1"/>
  <c r="BI15" i="42385"/>
  <c r="BN15" i="42385"/>
  <c r="BA15" i="42385"/>
  <c r="BF15" i="42385"/>
  <c r="AW15" i="42385"/>
  <c r="BB15" i="42385"/>
  <c r="BO14" i="42385"/>
  <c r="BO28" i="42385"/>
  <c r="AE9" i="42385"/>
  <c r="CM236" i="42464"/>
  <c r="GL520" i="42417"/>
  <c r="GJ524" i="42417"/>
  <c r="GK515" i="42417"/>
  <c r="GL521" i="42417"/>
  <c r="GJ518" i="42417"/>
  <c r="GL528" i="42417"/>
  <c r="AM20" i="42385"/>
  <c r="AI20" i="42385"/>
  <c r="AI29" i="42385" s="1"/>
  <c r="AE20" i="42385"/>
  <c r="GJ500" i="42417"/>
  <c r="AB13" i="42385"/>
  <c r="GK493" i="42417"/>
  <c r="GL497" i="42417"/>
  <c r="GJ492" i="42417"/>
  <c r="GK494" i="42417"/>
  <c r="GL491" i="42417"/>
  <c r="GJ490" i="42417"/>
  <c r="AJ11" i="42385"/>
  <c r="AB11" i="42385"/>
  <c r="GJ498" i="42417"/>
  <c r="GJ496" i="42417"/>
  <c r="GJ495" i="42417"/>
  <c r="GL501" i="42417"/>
  <c r="GL502" i="42417"/>
  <c r="GL489" i="42417"/>
  <c r="GL499" i="42417"/>
  <c r="GL487" i="42417"/>
  <c r="GL504" i="42417"/>
  <c r="BO127" i="42385"/>
  <c r="BI127" i="42385"/>
  <c r="I27" i="42476"/>
  <c r="N28" i="42476" s="1"/>
  <c r="CW100" i="42385"/>
  <c r="CY84" i="42385"/>
  <c r="CB84" i="42385"/>
  <c r="CB88" i="42385" s="1"/>
  <c r="CU84" i="42385"/>
  <c r="G12" i="42465"/>
  <c r="D8" i="42409"/>
  <c r="CW76" i="42385"/>
  <c r="AK70" i="42385"/>
  <c r="CS70" i="42385" s="1"/>
  <c r="AH85" i="42385"/>
  <c r="CP34" i="42385"/>
  <c r="CP40" i="42385"/>
  <c r="Y8" i="42476"/>
  <c r="Y45" i="42476" s="1"/>
  <c r="BM32" i="42385"/>
  <c r="BM26" i="42385"/>
  <c r="BD23" i="42385"/>
  <c r="AG21" i="42385"/>
  <c r="AG20" i="42385"/>
  <c r="AG19" i="42385"/>
  <c r="AE11" i="42385"/>
  <c r="AM9" i="42385"/>
  <c r="HV782" i="42464"/>
  <c r="CA153" i="42464"/>
  <c r="CA154" i="42464" s="1"/>
  <c r="CA155" i="42464" s="1"/>
  <c r="CA163" i="42464" s="1"/>
  <c r="CA168" i="42464" s="1"/>
  <c r="CA166" i="42464" s="1"/>
  <c r="CA165" i="42464"/>
  <c r="GK520" i="42417"/>
  <c r="GL524" i="42417"/>
  <c r="GJ519" i="42417"/>
  <c r="GK521" i="42417"/>
  <c r="GL518" i="42417"/>
  <c r="GJ517" i="42417"/>
  <c r="AJ21" i="42385"/>
  <c r="AB21" i="42385"/>
  <c r="GJ525" i="42417"/>
  <c r="GJ523" i="42417"/>
  <c r="GJ522" i="42417"/>
  <c r="GK528" i="42417"/>
  <c r="AL20" i="42385"/>
  <c r="AH20" i="42385"/>
  <c r="AD20" i="42385"/>
  <c r="GJ529" i="42417"/>
  <c r="GJ516" i="42417"/>
  <c r="GJ526" i="42417"/>
  <c r="GJ514" i="42417"/>
  <c r="AJ19" i="42385"/>
  <c r="AF265" i="42385"/>
  <c r="AB19" i="42385"/>
  <c r="GL500" i="42417"/>
  <c r="GK497" i="42417"/>
  <c r="GL492" i="42417"/>
  <c r="GJ488" i="42417"/>
  <c r="GK491" i="42417"/>
  <c r="GL490" i="42417"/>
  <c r="GL498" i="42417"/>
  <c r="GL496" i="42417"/>
  <c r="GL495" i="42417"/>
  <c r="GK501" i="42417"/>
  <c r="AL10" i="42385"/>
  <c r="AH10" i="42385"/>
  <c r="AD10" i="42385"/>
  <c r="GK502" i="42417"/>
  <c r="GK489" i="42417"/>
  <c r="GK499" i="42417"/>
  <c r="GK504" i="42417"/>
  <c r="GK487" i="42417"/>
  <c r="AL9" i="42385"/>
  <c r="AH9" i="42385"/>
  <c r="AD9" i="42385"/>
  <c r="D10" i="42409"/>
  <c r="BY34" i="42385"/>
  <c r="AC21" i="42385"/>
  <c r="AC20" i="42385"/>
  <c r="AC19" i="42385"/>
  <c r="AM10" i="42385"/>
  <c r="AI9" i="42385"/>
  <c r="BF5" i="42385"/>
  <c r="BJ5" i="42385"/>
  <c r="CX5" i="42385" s="1"/>
  <c r="CW4" i="42385"/>
  <c r="AL5" i="42385"/>
  <c r="AP5" i="42385" s="1"/>
  <c r="CS4" i="42385"/>
  <c r="R5" i="42385"/>
  <c r="V5" i="42385" s="1"/>
  <c r="CO4" i="42385"/>
  <c r="L17" i="42492"/>
  <c r="M17" i="42492" s="1"/>
  <c r="CC157" i="42464"/>
  <c r="CC159" i="42464" s="1"/>
  <c r="CC161" i="42464" s="1"/>
  <c r="AM78" i="42385"/>
  <c r="AA44" i="42476"/>
  <c r="AA80" i="42476"/>
  <c r="O10" i="42472"/>
  <c r="B44" i="42476"/>
  <c r="B80" i="42476"/>
  <c r="J10" i="42472"/>
  <c r="F7" i="42465"/>
  <c r="C10" i="42409"/>
  <c r="GM569" i="42464"/>
  <c r="CY265" i="42464"/>
  <c r="CC149" i="42464"/>
  <c r="CC151" i="42464" s="1"/>
  <c r="G28" i="42476"/>
  <c r="L28" i="42476"/>
  <c r="N25" i="42476"/>
  <c r="S25" i="42476"/>
  <c r="J25" i="42476"/>
  <c r="O25" i="42476"/>
  <c r="AA96" i="42470"/>
  <c r="P38" i="42470"/>
  <c r="Q38" i="42470"/>
  <c r="P36" i="42470"/>
  <c r="G11" i="42470"/>
  <c r="N11" i="42470"/>
  <c r="O11" i="42470"/>
  <c r="F12" i="42465"/>
  <c r="C8" i="42409"/>
  <c r="G10" i="42465"/>
  <c r="L44" i="42476"/>
  <c r="L80" i="42476"/>
  <c r="D9" i="42465"/>
  <c r="E7" i="42465"/>
  <c r="B10" i="42409"/>
  <c r="AT34" i="42385"/>
  <c r="O28" i="42476"/>
  <c r="T28" i="42476"/>
  <c r="K28" i="42476"/>
  <c r="P28" i="42476"/>
  <c r="R25" i="42476"/>
  <c r="W25" i="42476"/>
  <c r="AN177" i="42470"/>
  <c r="V103" i="42470"/>
  <c r="CW84" i="42385"/>
  <c r="AU78" i="42385"/>
  <c r="CU78" i="42385" s="1"/>
  <c r="E12" i="42465"/>
  <c r="B8" i="42409"/>
  <c r="CR70" i="42385"/>
  <c r="CY68" i="42385"/>
  <c r="C9" i="42465"/>
  <c r="CU63" i="42385"/>
  <c r="AW34" i="42385"/>
  <c r="S28" i="42476"/>
  <c r="X28" i="42476"/>
  <c r="V70" i="42470"/>
  <c r="AA70" i="42470" s="1"/>
  <c r="T70" i="42470"/>
  <c r="Z70" i="42470"/>
  <c r="O36" i="42470"/>
  <c r="AH76" i="42417"/>
  <c r="AI76" i="42417"/>
  <c r="AI75" i="42417"/>
  <c r="CI208" i="42417"/>
  <c r="CG227" i="42417" s="1"/>
  <c r="CH208" i="42417"/>
  <c r="I18" i="42443"/>
  <c r="I64" i="42443"/>
  <c r="HJ596" i="42417"/>
  <c r="HD612" i="42417"/>
  <c r="HD614" i="42417" s="1"/>
  <c r="HD616" i="42417" s="1"/>
  <c r="DS354" i="42417"/>
  <c r="DS337" i="42417"/>
  <c r="EO382" i="42417" s="1"/>
  <c r="DY322" i="42417"/>
  <c r="EA322" i="42417"/>
  <c r="CI207" i="42417"/>
  <c r="CG226" i="42417" s="1"/>
  <c r="CH207" i="42417"/>
  <c r="AU89" i="42417"/>
  <c r="AV89" i="42417"/>
  <c r="N64" i="42443"/>
  <c r="N42" i="42443"/>
  <c r="W34" i="42443"/>
  <c r="W64" i="42443"/>
  <c r="AG42" i="42443"/>
  <c r="HF603" i="42417"/>
  <c r="HE559" i="42417" s="1"/>
  <c r="C58" i="42443"/>
  <c r="AB10" i="42443"/>
  <c r="AB64" i="42443"/>
  <c r="DW354" i="42417"/>
  <c r="W58" i="42443"/>
  <c r="S50" i="42443"/>
  <c r="S64" i="42443"/>
  <c r="N50" i="42443"/>
  <c r="AC42" i="42443"/>
  <c r="Y42" i="42443"/>
  <c r="T64" i="42443"/>
  <c r="AC26" i="42443"/>
  <c r="AC65" i="42443"/>
  <c r="D10" i="42443"/>
  <c r="D64" i="42443"/>
  <c r="AB46" i="42417"/>
  <c r="AA47" i="42417"/>
  <c r="AB47" i="42417" s="1"/>
  <c r="G58" i="42443"/>
  <c r="AA50" i="42443"/>
  <c r="AA64" i="42443"/>
  <c r="V50" i="42443"/>
  <c r="C50" i="42443"/>
  <c r="C64" i="42443"/>
  <c r="AF64" i="42443"/>
  <c r="M42" i="42443"/>
  <c r="H64" i="42443"/>
  <c r="J26" i="42443"/>
  <c r="J64" i="42443"/>
  <c r="B26" i="42443"/>
  <c r="B64" i="42443"/>
  <c r="W10" i="42443"/>
  <c r="W65" i="42443"/>
  <c r="S58" i="42443"/>
  <c r="AD50" i="42443"/>
  <c r="O50" i="42443"/>
  <c r="O64" i="42443"/>
  <c r="G50" i="42443"/>
  <c r="G64" i="42443"/>
  <c r="AD64" i="42443"/>
  <c r="AD42" i="42443"/>
  <c r="V64" i="42443"/>
  <c r="V42" i="42443"/>
  <c r="Q42" i="42443"/>
  <c r="L64" i="42443"/>
  <c r="AD34" i="42443"/>
  <c r="AD65" i="42443"/>
  <c r="V34" i="42443"/>
  <c r="V65" i="42443"/>
  <c r="E26" i="42443"/>
  <c r="E65" i="42443"/>
  <c r="AH26" i="42443"/>
  <c r="AH64" i="42443"/>
  <c r="AH59" i="42417"/>
  <c r="AA65" i="42443"/>
  <c r="S65" i="42443"/>
  <c r="O65" i="42443"/>
  <c r="G65" i="42443"/>
  <c r="C65" i="42443"/>
  <c r="M65" i="42443"/>
  <c r="R64" i="42443"/>
  <c r="G295" i="42400"/>
  <c r="X134" i="42400"/>
  <c r="Z134" i="42400"/>
  <c r="W134" i="42400"/>
  <c r="Y134" i="42400"/>
  <c r="AA137" i="42400"/>
  <c r="AA295" i="42400"/>
  <c r="CC222" i="42400"/>
  <c r="CC223" i="42400"/>
  <c r="CC224" i="42400"/>
  <c r="BY222" i="42400"/>
  <c r="BY223" i="42400"/>
  <c r="BR223" i="42400" s="1"/>
  <c r="BY224" i="42400"/>
  <c r="BX224" i="42400" s="1"/>
  <c r="J224" i="42400"/>
  <c r="K224" i="42400"/>
  <c r="I224" i="42400"/>
  <c r="H224" i="42400"/>
  <c r="CF230" i="42400"/>
  <c r="CF229" i="42400"/>
  <c r="CB230" i="42400"/>
  <c r="CB229" i="42400"/>
  <c r="BT230" i="42400"/>
  <c r="BP230" i="42400" s="1"/>
  <c r="BT229" i="42400"/>
  <c r="BQ229" i="42400" s="1"/>
  <c r="BT231" i="42400"/>
  <c r="T230" i="42400"/>
  <c r="U230" i="42400"/>
  <c r="S230" i="42400"/>
  <c r="R230" i="42400"/>
  <c r="V233" i="42400"/>
  <c r="J231" i="42400"/>
  <c r="K231" i="42400"/>
  <c r="I231" i="42400"/>
  <c r="J223" i="42400"/>
  <c r="L226" i="42400"/>
  <c r="K223" i="42400"/>
  <c r="I223" i="42400"/>
  <c r="I140" i="42400"/>
  <c r="J140" i="42400"/>
  <c r="L144" i="42400"/>
  <c r="K140" i="42400"/>
  <c r="H140" i="42400"/>
  <c r="T222" i="42400"/>
  <c r="U222" i="42400"/>
  <c r="S222" i="42400"/>
  <c r="J229" i="42400"/>
  <c r="L233" i="42400"/>
  <c r="L235" i="42400" s="1"/>
  <c r="L957" i="42385" s="1"/>
  <c r="CN957" i="42385" s="1"/>
  <c r="K229" i="42400"/>
  <c r="I229" i="42400"/>
  <c r="R222" i="42400"/>
  <c r="Y231" i="42400"/>
  <c r="U231" i="42400"/>
  <c r="E231" i="42400"/>
  <c r="O230" i="42400"/>
  <c r="K230" i="42400"/>
  <c r="BM229" i="42400"/>
  <c r="Y229" i="42400"/>
  <c r="U229" i="42400"/>
  <c r="E229" i="42400"/>
  <c r="Y224" i="42400"/>
  <c r="U224" i="42400"/>
  <c r="U223" i="42400"/>
  <c r="M223" i="42400"/>
  <c r="W222" i="42400"/>
  <c r="K222" i="42400"/>
  <c r="C222" i="42400"/>
  <c r="I142" i="42400"/>
  <c r="J142" i="42400"/>
  <c r="K142" i="42400"/>
  <c r="Z42" i="42400"/>
  <c r="X42" i="42400"/>
  <c r="W42" i="42400"/>
  <c r="Y42" i="42400"/>
  <c r="S231" i="42400"/>
  <c r="C231" i="42400"/>
  <c r="I230" i="42400"/>
  <c r="S229" i="42400"/>
  <c r="S224" i="42400"/>
  <c r="S226" i="42400" s="1"/>
  <c r="S223" i="42400"/>
  <c r="I222" i="42400"/>
  <c r="S141" i="42400"/>
  <c r="T141" i="42400"/>
  <c r="U141" i="42400"/>
  <c r="Z135" i="42400"/>
  <c r="Z137" i="42400" s="1"/>
  <c r="X135" i="42400"/>
  <c r="W135" i="42400"/>
  <c r="Y135" i="42400"/>
  <c r="T87" i="42400"/>
  <c r="V95" i="42400"/>
  <c r="U87" i="42400"/>
  <c r="S87" i="42400"/>
  <c r="R87" i="42400"/>
  <c r="W142" i="42400"/>
  <c r="C142" i="42400"/>
  <c r="M141" i="42400"/>
  <c r="W140" i="42400"/>
  <c r="C140" i="42400"/>
  <c r="F135" i="42400"/>
  <c r="F137" i="42400" s="1"/>
  <c r="D135" i="42400"/>
  <c r="T89" i="42400"/>
  <c r="U89" i="42400"/>
  <c r="S89" i="42400"/>
  <c r="J88" i="42400"/>
  <c r="K88" i="42400"/>
  <c r="Z142" i="42400"/>
  <c r="R142" i="42400"/>
  <c r="R144" i="42400" s="1"/>
  <c r="F142" i="42400"/>
  <c r="P141" i="42400"/>
  <c r="H141" i="42400"/>
  <c r="Z140" i="42400"/>
  <c r="R140" i="42400"/>
  <c r="F140" i="42400"/>
  <c r="E135" i="42400"/>
  <c r="P134" i="42400"/>
  <c r="N134" i="42400"/>
  <c r="T91" i="42400"/>
  <c r="U91" i="42400"/>
  <c r="S91" i="42400"/>
  <c r="J90" i="42400"/>
  <c r="K90" i="42400"/>
  <c r="R89" i="42400"/>
  <c r="F68" i="42400"/>
  <c r="E68" i="42400"/>
  <c r="C68" i="42400"/>
  <c r="D68" i="42400"/>
  <c r="J66" i="42400"/>
  <c r="K66" i="42400"/>
  <c r="T65" i="42400"/>
  <c r="V71" i="42400"/>
  <c r="S71" i="42400" s="1"/>
  <c r="S75" i="42400" s="1"/>
  <c r="S864" i="42385" s="1"/>
  <c r="S870" i="42385" s="1"/>
  <c r="U65" i="42400"/>
  <c r="S65" i="42400"/>
  <c r="R65" i="42400"/>
  <c r="AA144" i="42400"/>
  <c r="G144" i="42400"/>
  <c r="N135" i="42400"/>
  <c r="P135" i="42400"/>
  <c r="C135" i="42400"/>
  <c r="O134" i="42400"/>
  <c r="T93" i="42400"/>
  <c r="U93" i="42400"/>
  <c r="S93" i="42400"/>
  <c r="J92" i="42400"/>
  <c r="K92" i="42400"/>
  <c r="R91" i="42400"/>
  <c r="I87" i="42400"/>
  <c r="I89" i="42400"/>
  <c r="I91" i="42400"/>
  <c r="I93" i="42400"/>
  <c r="I88" i="42400"/>
  <c r="I90" i="42400"/>
  <c r="I92" i="42400"/>
  <c r="G71" i="42400"/>
  <c r="G75" i="42400" s="1"/>
  <c r="G864" i="42385" s="1"/>
  <c r="J68" i="42400"/>
  <c r="K68" i="42400"/>
  <c r="H135" i="42400"/>
  <c r="R134" i="42400"/>
  <c r="F134" i="42400"/>
  <c r="W93" i="42400"/>
  <c r="C93" i="42400"/>
  <c r="U92" i="42400"/>
  <c r="M92" i="42400"/>
  <c r="W91" i="42400"/>
  <c r="C91" i="42400"/>
  <c r="U90" i="42400"/>
  <c r="M90" i="42400"/>
  <c r="W89" i="42400"/>
  <c r="C89" i="42400"/>
  <c r="U88" i="42400"/>
  <c r="M88" i="42400"/>
  <c r="W87" i="42400"/>
  <c r="C87" i="42400"/>
  <c r="T69" i="42400"/>
  <c r="S69" i="42400"/>
  <c r="T67" i="42400"/>
  <c r="S67" i="42400"/>
  <c r="D134" i="42400"/>
  <c r="D137" i="42400" s="1"/>
  <c r="S92" i="42400"/>
  <c r="S90" i="42400"/>
  <c r="S88" i="42400"/>
  <c r="R69" i="42400"/>
  <c r="R67" i="42400"/>
  <c r="F40" i="42400"/>
  <c r="D40" i="42400"/>
  <c r="C40" i="42400"/>
  <c r="E40" i="42400"/>
  <c r="P69" i="42400"/>
  <c r="O69" i="42400"/>
  <c r="Z68" i="42400"/>
  <c r="Y68" i="42400"/>
  <c r="P67" i="42400"/>
  <c r="O67" i="42400"/>
  <c r="Z66" i="42400"/>
  <c r="Y66" i="42400"/>
  <c r="I71" i="42400"/>
  <c r="I75" i="42400" s="1"/>
  <c r="I864" i="42385" s="1"/>
  <c r="I870" i="42385" s="1"/>
  <c r="Q71" i="42400"/>
  <c r="U68" i="42400"/>
  <c r="U66" i="42400"/>
  <c r="E66" i="42400"/>
  <c r="O65" i="42400"/>
  <c r="Y63" i="42400"/>
  <c r="X63" i="42400"/>
  <c r="V49" i="42400"/>
  <c r="C66" i="42400"/>
  <c r="M65" i="42400"/>
  <c r="K64" i="42400"/>
  <c r="J64" i="42400"/>
  <c r="V47" i="42400"/>
  <c r="O39" i="42400"/>
  <c r="P39" i="42400"/>
  <c r="N39" i="42400"/>
  <c r="M39" i="42400"/>
  <c r="K45" i="42400"/>
  <c r="K51" i="42400" s="1"/>
  <c r="K802" i="42385" s="1"/>
  <c r="K808" i="42385" s="1"/>
  <c r="E38" i="42400"/>
  <c r="F38" i="42400"/>
  <c r="D38" i="42400"/>
  <c r="G45" i="42400"/>
  <c r="C38" i="42400"/>
  <c r="O64" i="42400"/>
  <c r="N64" i="42400"/>
  <c r="U63" i="42400"/>
  <c r="T63" i="42400"/>
  <c r="E63" i="42400"/>
  <c r="D63" i="42400"/>
  <c r="Q49" i="42400"/>
  <c r="AA47" i="42400"/>
  <c r="N40" i="42400"/>
  <c r="P40" i="42400"/>
  <c r="M40" i="42400"/>
  <c r="O40" i="42400"/>
  <c r="Z64" i="42400"/>
  <c r="R64" i="42400"/>
  <c r="F64" i="42400"/>
  <c r="X43" i="42400"/>
  <c r="Z43" i="42400"/>
  <c r="P41" i="42400"/>
  <c r="N41" i="42400"/>
  <c r="D41" i="42400"/>
  <c r="F41" i="42400"/>
  <c r="Y38" i="42400"/>
  <c r="Z38" i="42400"/>
  <c r="X38" i="42400"/>
  <c r="P43" i="42400"/>
  <c r="N43" i="42400"/>
  <c r="D43" i="42400"/>
  <c r="F43" i="42400"/>
  <c r="X41" i="42400"/>
  <c r="Z41" i="42400"/>
  <c r="O37" i="42400"/>
  <c r="P37" i="42400"/>
  <c r="N37" i="42400"/>
  <c r="I15" i="42412"/>
  <c r="H28" i="42412"/>
  <c r="AA45" i="42400"/>
  <c r="O43" i="42400"/>
  <c r="E43" i="42400"/>
  <c r="N42" i="42400"/>
  <c r="P42" i="42400"/>
  <c r="F42" i="42400"/>
  <c r="D42" i="42400"/>
  <c r="Y41" i="42400"/>
  <c r="Z40" i="42400"/>
  <c r="X40" i="42400"/>
  <c r="M37" i="42400"/>
  <c r="C45" i="42406"/>
  <c r="D45" i="42406" s="1"/>
  <c r="B50" i="42406"/>
  <c r="B43" i="42406"/>
  <c r="B46" i="42406" s="1"/>
  <c r="R43" i="42400"/>
  <c r="T42" i="42400"/>
  <c r="R41" i="42400"/>
  <c r="T40" i="42400"/>
  <c r="Z39" i="42400"/>
  <c r="R39" i="42400"/>
  <c r="F39" i="42400"/>
  <c r="P38" i="42400"/>
  <c r="Z37" i="42400"/>
  <c r="R37" i="42400"/>
  <c r="F37" i="42400"/>
  <c r="D13" i="42412"/>
  <c r="B16" i="42412"/>
  <c r="X39" i="42400"/>
  <c r="D39" i="42400"/>
  <c r="N38" i="42400"/>
  <c r="X37" i="42400"/>
  <c r="D37" i="42400"/>
  <c r="G7" i="42412"/>
  <c r="B23" i="42412" s="1"/>
  <c r="B26" i="42412" s="1"/>
  <c r="D10" i="42412"/>
  <c r="Q10" i="42403"/>
  <c r="P11" i="42403"/>
  <c r="F57" i="42405"/>
  <c r="J57" i="42405"/>
  <c r="D34" i="42405"/>
  <c r="E35" i="42405"/>
  <c r="AM582" i="42385" s="1"/>
  <c r="D74" i="42406"/>
  <c r="D69" i="42406" s="1"/>
  <c r="BJ1174" i="42385" s="1"/>
  <c r="C69" i="42406"/>
  <c r="BE1174" i="42385" s="1"/>
  <c r="CW1174" i="42385" s="1"/>
  <c r="B69" i="42406"/>
  <c r="D44" i="42406"/>
  <c r="E44" i="42406" s="1"/>
  <c r="E19" i="42406"/>
  <c r="E18" i="42406"/>
  <c r="C10" i="42406"/>
  <c r="K57" i="42405"/>
  <c r="E57" i="42405"/>
  <c r="B35" i="42405"/>
  <c r="E25" i="42406"/>
  <c r="F15" i="42406"/>
  <c r="F16" i="42406" s="1"/>
  <c r="G12" i="42406"/>
  <c r="F13" i="42406"/>
  <c r="C19" i="42406"/>
  <c r="D11" i="42406"/>
  <c r="D10" i="42406" s="1"/>
  <c r="N9" i="42450"/>
  <c r="N12" i="42450"/>
  <c r="D19" i="42406"/>
  <c r="J11" i="42410"/>
  <c r="J16" i="42410"/>
  <c r="J48" i="42446"/>
  <c r="J54" i="42446"/>
  <c r="R5" i="42410"/>
  <c r="N5" i="42410"/>
  <c r="CA163" i="42385"/>
  <c r="AO246" i="42424"/>
  <c r="X128" i="42385"/>
  <c r="X1558" i="42385"/>
  <c r="AJ29" i="42385"/>
  <c r="F1622" i="42385"/>
  <c r="BY166" i="42385"/>
  <c r="DA166" i="42385" s="1"/>
  <c r="BY130" i="42385"/>
  <c r="DA130" i="42385" s="1"/>
  <c r="FS442" i="42417"/>
  <c r="CS230" i="42385"/>
  <c r="BK224" i="42385"/>
  <c r="BK505" i="42385"/>
  <c r="BK518" i="42385"/>
  <c r="BK507" i="42385"/>
  <c r="E74" i="42406"/>
  <c r="BJ1186" i="42385"/>
  <c r="BI1186" i="42385" s="1"/>
  <c r="G43" i="42412"/>
  <c r="I43" i="42412" s="1"/>
  <c r="N43" i="42412" s="1"/>
  <c r="V75" i="42400"/>
  <c r="V864" i="42385" s="1"/>
  <c r="K9" i="42472"/>
  <c r="AJ246" i="42424"/>
  <c r="R128" i="42385"/>
  <c r="R1558" i="42385"/>
  <c r="Y1558" i="42385"/>
  <c r="BQ255" i="42385"/>
  <c r="BR311" i="42385"/>
  <c r="AR218" i="42385"/>
  <c r="BL224" i="42385"/>
  <c r="BL505" i="42385"/>
  <c r="BM43" i="42400"/>
  <c r="BM38" i="42400"/>
  <c r="BQ218" i="42385"/>
  <c r="BU433" i="42385"/>
  <c r="BB222" i="42385"/>
  <c r="BE222" i="42385" s="1"/>
  <c r="BB460" i="42385"/>
  <c r="CA517" i="42385"/>
  <c r="DB517" i="42385"/>
  <c r="BZ1550" i="42385"/>
  <c r="BL433" i="42385"/>
  <c r="BG438" i="42385"/>
  <c r="AF283" i="42400"/>
  <c r="AD283" i="42400" s="1"/>
  <c r="AO220" i="42385"/>
  <c r="GN489" i="42417" s="1"/>
  <c r="AO402" i="42385"/>
  <c r="AW590" i="42385"/>
  <c r="AW591" i="42385" s="1"/>
  <c r="AR591" i="42385"/>
  <c r="AY618" i="42385"/>
  <c r="GN501" i="42417"/>
  <c r="AO10" i="42385"/>
  <c r="AT648" i="42385"/>
  <c r="AS751" i="42385"/>
  <c r="AW770" i="42385"/>
  <c r="BB770" i="42385" s="1"/>
  <c r="AR771" i="42385"/>
  <c r="AR774" i="42385"/>
  <c r="AP240" i="42385"/>
  <c r="CT240" i="42385" s="1"/>
  <c r="CT796" i="42385"/>
  <c r="AP797" i="42385"/>
  <c r="CT797" i="42385" s="1"/>
  <c r="AP795" i="42385"/>
  <c r="CT795" i="42385" s="1"/>
  <c r="BJ88" i="42400"/>
  <c r="BG88" i="42400" s="1"/>
  <c r="BJ90" i="42400"/>
  <c r="BJ92" i="42400"/>
  <c r="BG92" i="42400" s="1"/>
  <c r="BJ97" i="42400"/>
  <c r="BJ93" i="42400"/>
  <c r="BI93" i="42400" s="1"/>
  <c r="BJ91" i="42400"/>
  <c r="BJ89" i="42400"/>
  <c r="BI89" i="42400" s="1"/>
  <c r="BJ87" i="42400"/>
  <c r="AK1096" i="42385"/>
  <c r="CS1096" i="42385" s="1"/>
  <c r="AK1097" i="42385"/>
  <c r="CS1097" i="42385" s="1"/>
  <c r="CS1095" i="42385"/>
  <c r="AE256" i="42385"/>
  <c r="AE1108" i="42385"/>
  <c r="CT1110" i="42385"/>
  <c r="BC117" i="42385"/>
  <c r="BD1287" i="42385"/>
  <c r="AS1300" i="42385"/>
  <c r="AT1300" i="42385" s="1"/>
  <c r="AU1300" i="42385" s="1"/>
  <c r="CU1300" i="42385" s="1"/>
  <c r="BM562" i="42385"/>
  <c r="BM563" i="42385" s="1"/>
  <c r="GC480" i="42464"/>
  <c r="BO570" i="42385"/>
  <c r="CY570" i="42385" s="1"/>
  <c r="CY569" i="42385"/>
  <c r="AV230" i="42385"/>
  <c r="BA618" i="42385"/>
  <c r="BA230" i="42385" s="1"/>
  <c r="CV827" i="42385"/>
  <c r="BF985" i="42385"/>
  <c r="CM1081" i="42385"/>
  <c r="AP1284" i="42385"/>
  <c r="CT1284" i="42385" s="1"/>
  <c r="AY1297" i="42385"/>
  <c r="AZ1297" i="42385" s="1"/>
  <c r="CV1297" i="42385" s="1"/>
  <c r="AT1304" i="42385"/>
  <c r="AU1304" i="42385" s="1"/>
  <c r="CU1304" i="42385" s="1"/>
  <c r="BA649" i="42385"/>
  <c r="BF649" i="42385" s="1"/>
  <c r="BK649" i="42385" s="1"/>
  <c r="BP649" i="42385" s="1"/>
  <c r="BU649" i="42385" s="1"/>
  <c r="BA950" i="42385"/>
  <c r="AV951" i="42385"/>
  <c r="AO1534" i="42385"/>
  <c r="AP1534" i="42385" s="1"/>
  <c r="CT1534" i="42385" s="1"/>
  <c r="AS254" i="42385"/>
  <c r="CR1091" i="42385"/>
  <c r="AF1092" i="42385"/>
  <c r="CR1092" i="42385" s="1"/>
  <c r="AO1099" i="42385"/>
  <c r="AQ1098" i="42385"/>
  <c r="AO1542" i="42385"/>
  <c r="BM1166" i="42385"/>
  <c r="AD133" i="42385"/>
  <c r="AE1304" i="42385"/>
  <c r="BA1489" i="42385"/>
  <c r="CR1436" i="42385"/>
  <c r="BS242" i="42385"/>
  <c r="AY231" i="42400"/>
  <c r="AO1012" i="42385"/>
  <c r="AB23" i="42385"/>
  <c r="BF1235" i="42385"/>
  <c r="BY1271" i="42385"/>
  <c r="CZ1271" i="42385"/>
  <c r="AJ1304" i="42385"/>
  <c r="I1426" i="42385"/>
  <c r="K1613" i="42385"/>
  <c r="BF1102" i="42385"/>
  <c r="BK1102" i="42385" s="1"/>
  <c r="BP1102" i="42385" s="1"/>
  <c r="BU1102" i="42385" s="1"/>
  <c r="AP1506" i="42385"/>
  <c r="I1575" i="42385"/>
  <c r="I1577" i="42385" s="1"/>
  <c r="I1504" i="42385"/>
  <c r="CR1511" i="42385"/>
  <c r="AF1500" i="42385"/>
  <c r="AF1510" i="42385"/>
  <c r="CR1510" i="42385" s="1"/>
  <c r="CV1511" i="42385"/>
  <c r="CU429" i="42385"/>
  <c r="AU430" i="42385"/>
  <c r="CU430" i="42385" s="1"/>
  <c r="GY541" i="42417"/>
  <c r="G900" i="42385"/>
  <c r="CM900" i="42385" s="1"/>
  <c r="L902" i="42385"/>
  <c r="CN902" i="42385" s="1"/>
  <c r="B25" i="42465"/>
  <c r="CR1351" i="42385"/>
  <c r="U1575" i="42385"/>
  <c r="U1577" i="42385" s="1"/>
  <c r="AO1575" i="42385"/>
  <c r="AO1577" i="42385" s="1"/>
  <c r="BD1598" i="42385"/>
  <c r="G15" i="42406"/>
  <c r="G16" i="42406" s="1"/>
  <c r="J12" i="42406"/>
  <c r="J14" i="42406" s="1"/>
  <c r="Q11" i="42470"/>
  <c r="P11" i="42470"/>
  <c r="CR265" i="42385"/>
  <c r="R10" i="42403"/>
  <c r="Q11" i="42403"/>
  <c r="AA148" i="42400"/>
  <c r="AA926" i="42385" s="1"/>
  <c r="Y70" i="42470"/>
  <c r="Y120" i="42470" s="1"/>
  <c r="Z120" i="42470" s="1"/>
  <c r="AA120" i="42470" s="1"/>
  <c r="T120" i="42470"/>
  <c r="U120" i="42470" s="1"/>
  <c r="V120" i="42470" s="1"/>
  <c r="AL29" i="42385"/>
  <c r="BI1622" i="42385"/>
  <c r="CP85" i="42385"/>
  <c r="CR284" i="42385"/>
  <c r="CY398" i="42385"/>
  <c r="AZ30" i="42385"/>
  <c r="Q137" i="42385"/>
  <c r="CO137" i="42385" s="1"/>
  <c r="R25" i="42424"/>
  <c r="R21" i="42424" s="1"/>
  <c r="AB95" i="42424"/>
  <c r="AB100" i="42424" s="1"/>
  <c r="AZ246" i="42424"/>
  <c r="AL128" i="42385"/>
  <c r="AL1558" i="42385"/>
  <c r="BT495" i="42385"/>
  <c r="BQ32" i="42385"/>
  <c r="AP155" i="42385"/>
  <c r="CT155" i="42385" s="1"/>
  <c r="H128" i="42385"/>
  <c r="H1558" i="42385"/>
  <c r="CQ333" i="42385"/>
  <c r="BG430" i="42385"/>
  <c r="BO451" i="42385"/>
  <c r="BQ504" i="42385"/>
  <c r="BQ518" i="42385" s="1"/>
  <c r="BV503" i="42385"/>
  <c r="AN342" i="42385"/>
  <c r="AN357" i="42385"/>
  <c r="AO219" i="42385"/>
  <c r="GN499" i="42417" s="1"/>
  <c r="AO371" i="42385"/>
  <c r="AO385" i="42385"/>
  <c r="CA524" i="42385"/>
  <c r="DB524" i="42385"/>
  <c r="AT218" i="42385"/>
  <c r="AT342" i="42385"/>
  <c r="BP226" i="42385"/>
  <c r="BP566" i="42385"/>
  <c r="BC713" i="42385"/>
  <c r="AI92" i="42400"/>
  <c r="AH108" i="42385"/>
  <c r="AI1281" i="42385"/>
  <c r="AI108" i="42385" s="1"/>
  <c r="CB551" i="42385"/>
  <c r="CC551" i="42385" s="1"/>
  <c r="CD551" i="42385" s="1"/>
  <c r="CE551" i="42385" s="1"/>
  <c r="CF551" i="42385" s="1"/>
  <c r="DC551" i="42385"/>
  <c r="AO590" i="42385"/>
  <c r="AS590" i="42385"/>
  <c r="AS591" i="42385" s="1"/>
  <c r="AS227" i="42385" s="1"/>
  <c r="AN591" i="42385"/>
  <c r="AP230" i="42385"/>
  <c r="CT230" i="42385" s="1"/>
  <c r="AP619" i="42385"/>
  <c r="CT619" i="42385" s="1"/>
  <c r="CT618" i="42385"/>
  <c r="BD643" i="42385"/>
  <c r="AJ668" i="42385"/>
  <c r="AE701" i="42385"/>
  <c r="AE668" i="42385"/>
  <c r="BF693" i="42385"/>
  <c r="BF695" i="42385" s="1"/>
  <c r="BF696" i="42385" s="1"/>
  <c r="GM490" i="42417"/>
  <c r="BC222" i="42400"/>
  <c r="AU1113" i="42385"/>
  <c r="CU1113" i="42385" s="1"/>
  <c r="AX1113" i="42385"/>
  <c r="BC1113" i="42385" s="1"/>
  <c r="CQ1115" i="42385"/>
  <c r="AC110" i="42385"/>
  <c r="AD1284" i="42385"/>
  <c r="AE1284" i="42385" s="1"/>
  <c r="AE110" i="42385" s="1"/>
  <c r="AN117" i="42385"/>
  <c r="AO1287" i="42385"/>
  <c r="BH117" i="42385"/>
  <c r="BI1287" i="42385"/>
  <c r="AT1289" i="42385"/>
  <c r="AU1289" i="42385" s="1"/>
  <c r="CU1289" i="42385" s="1"/>
  <c r="BO1289" i="42385"/>
  <c r="CY1289" i="42385" s="1"/>
  <c r="CW1422" i="42385"/>
  <c r="BJ1422" i="42385"/>
  <c r="BF1422" i="42385"/>
  <c r="BG1422" i="42385" s="1"/>
  <c r="BH1422" i="42385" s="1"/>
  <c r="BI1422" i="42385" s="1"/>
  <c r="BO562" i="42385"/>
  <c r="CY562" i="42385" s="1"/>
  <c r="CP751" i="42385"/>
  <c r="V752" i="42385"/>
  <c r="CP752" i="42385" s="1"/>
  <c r="BE66" i="42400"/>
  <c r="BC66" i="42400" s="1"/>
  <c r="AA280" i="42400"/>
  <c r="AA282" i="42400"/>
  <c r="X282" i="42400" s="1"/>
  <c r="AA289" i="42400"/>
  <c r="AA291" i="42400"/>
  <c r="AA279" i="42400"/>
  <c r="AA281" i="42400"/>
  <c r="Z281" i="42400" s="1"/>
  <c r="AA283" i="42400"/>
  <c r="X283" i="42400" s="1"/>
  <c r="AA288" i="42400"/>
  <c r="AA290" i="42400"/>
  <c r="AA292" i="42400"/>
  <c r="Z292" i="42400" s="1"/>
  <c r="AJ665" i="42385"/>
  <c r="AE665" i="42385"/>
  <c r="BU243" i="42385"/>
  <c r="BU890" i="42385"/>
  <c r="CM907" i="42385"/>
  <c r="BU909" i="42385"/>
  <c r="BV909" i="42385" s="1"/>
  <c r="BW909" i="42385" s="1"/>
  <c r="BX909" i="42385" s="1"/>
  <c r="BY909" i="42385" s="1"/>
  <c r="CZ909" i="42385"/>
  <c r="AO919" i="42385"/>
  <c r="AS919" i="42385"/>
  <c r="AS920" i="42385" s="1"/>
  <c r="AN920" i="42385"/>
  <c r="AW246" i="42385"/>
  <c r="AW996" i="42385"/>
  <c r="BP300" i="42385"/>
  <c r="CF1204" i="42385"/>
  <c r="BP165" i="42385"/>
  <c r="BQ1227" i="42385"/>
  <c r="BQ1228" i="42385" s="1"/>
  <c r="BP1228" i="42385"/>
  <c r="BC1282" i="42385"/>
  <c r="BD1282" i="42385" s="1"/>
  <c r="BE1282" i="42385" s="1"/>
  <c r="CW1282" i="42385" s="1"/>
  <c r="BN540" i="42385"/>
  <c r="BN542" i="42385" s="1"/>
  <c r="AS649" i="42385"/>
  <c r="AW649" i="42385"/>
  <c r="BB649" i="42385" s="1"/>
  <c r="AR650" i="42385"/>
  <c r="AH676" i="42385"/>
  <c r="AH693" i="42385"/>
  <c r="AH695" i="42385" s="1"/>
  <c r="AH696" i="42385" s="1"/>
  <c r="AP693" i="42385"/>
  <c r="AP695" i="42385" s="1"/>
  <c r="AP696" i="42385" s="1"/>
  <c r="BC676" i="42385"/>
  <c r="AX693" i="42385"/>
  <c r="AX695" i="42385" s="1"/>
  <c r="AX696" i="42385" s="1"/>
  <c r="AI815" i="42385"/>
  <c r="AJ815" i="42385" s="1"/>
  <c r="AK815" i="42385" s="1"/>
  <c r="CS815" i="42385" s="1"/>
  <c r="CZ858" i="42385"/>
  <c r="BU877" i="42385"/>
  <c r="BV877" i="42385" s="1"/>
  <c r="BW877" i="42385" s="1"/>
  <c r="BX877" i="42385" s="1"/>
  <c r="BY877" i="42385" s="1"/>
  <c r="CZ877" i="42385"/>
  <c r="AK908" i="42385"/>
  <c r="CS908" i="42385" s="1"/>
  <c r="AQ245" i="42385"/>
  <c r="AQ952" i="42385"/>
  <c r="BG1156" i="42385"/>
  <c r="BL1155" i="42385"/>
  <c r="BQ1155" i="42385" s="1"/>
  <c r="BT1341" i="42385"/>
  <c r="AG1342" i="42385"/>
  <c r="AH1342" i="42385" s="1"/>
  <c r="CR1342" i="42385"/>
  <c r="BV815" i="42385"/>
  <c r="BW815" i="42385" s="1"/>
  <c r="BX815" i="42385" s="1"/>
  <c r="BY815" i="42385" s="1"/>
  <c r="CZ815" i="42385"/>
  <c r="AN241" i="42385"/>
  <c r="AN842" i="42385"/>
  <c r="AP827" i="42385"/>
  <c r="AN828" i="42385"/>
  <c r="BX59" i="42400"/>
  <c r="AW229" i="42400"/>
  <c r="AA99" i="42492"/>
  <c r="BI1319" i="42385"/>
  <c r="E31" i="42465"/>
  <c r="CU1371" i="42385"/>
  <c r="P1613" i="42385"/>
  <c r="AX1623" i="42385"/>
  <c r="BC1622" i="42385"/>
  <c r="AP223" i="42400"/>
  <c r="AO223" i="42400" s="1"/>
  <c r="AP224" i="42400"/>
  <c r="AM224" i="42400" s="1"/>
  <c r="AP222" i="42400"/>
  <c r="AS1162" i="42385"/>
  <c r="AT1163" i="42385"/>
  <c r="AT1162" i="42385" s="1"/>
  <c r="AU107" i="42385"/>
  <c r="CU107" i="42385" s="1"/>
  <c r="CU1556" i="42385"/>
  <c r="AU1557" i="42385"/>
  <c r="CU1557" i="42385" s="1"/>
  <c r="BU1114" i="42385"/>
  <c r="CP1511" i="42385"/>
  <c r="V1500" i="42385"/>
  <c r="CP1500" i="42385" s="1"/>
  <c r="V1510" i="42385"/>
  <c r="CP1510" i="42385" s="1"/>
  <c r="CT1511" i="42385"/>
  <c r="AP1500" i="42385"/>
  <c r="AP1510" i="42385"/>
  <c r="CT1510" i="42385" s="1"/>
  <c r="BN300" i="42385"/>
  <c r="DC84" i="42385"/>
  <c r="AG130" i="42385"/>
  <c r="HN629" i="42417"/>
  <c r="H25" i="42406"/>
  <c r="H23" i="42406" s="1"/>
  <c r="B33" i="42412"/>
  <c r="B17" i="42412"/>
  <c r="C50" i="42406"/>
  <c r="B59" i="42406"/>
  <c r="K144" i="42400"/>
  <c r="D37" i="42405"/>
  <c r="D41" i="42405" s="1"/>
  <c r="B34" i="42405"/>
  <c r="B37" i="42405" s="1"/>
  <c r="N71" i="42400"/>
  <c r="N75" i="42400" s="1"/>
  <c r="N864" i="42385" s="1"/>
  <c r="M71" i="42400"/>
  <c r="M75" i="42400" s="1"/>
  <c r="M864" i="42385" s="1"/>
  <c r="M861" i="42385" s="1"/>
  <c r="M862" i="42385" s="1"/>
  <c r="Q75" i="42400"/>
  <c r="Q864" i="42385" s="1"/>
  <c r="P71" i="42400"/>
  <c r="P75" i="42400" s="1"/>
  <c r="P864" i="42385" s="1"/>
  <c r="O71" i="42400"/>
  <c r="O75" i="42400" s="1"/>
  <c r="O864" i="42385" s="1"/>
  <c r="O861" i="42385" s="1"/>
  <c r="O862" i="42385" s="1"/>
  <c r="N137" i="42400"/>
  <c r="I28" i="42476"/>
  <c r="Y76" i="42492"/>
  <c r="BO113" i="42385"/>
  <c r="CY127" i="42385"/>
  <c r="BO1622" i="42385"/>
  <c r="CY1622" i="42385" s="1"/>
  <c r="AT166" i="42492"/>
  <c r="CY14" i="42385"/>
  <c r="AG86" i="42385"/>
  <c r="AD24" i="42476"/>
  <c r="AD25" i="42476" s="1"/>
  <c r="BR1643" i="42385"/>
  <c r="AM28" i="42385"/>
  <c r="X40" i="42417"/>
  <c r="FW442" i="42417"/>
  <c r="AI389" i="42385"/>
  <c r="FW437" i="42417"/>
  <c r="CS284" i="42385"/>
  <c r="AC377" i="42385"/>
  <c r="AB376" i="42385"/>
  <c r="S405" i="42385"/>
  <c r="S406" i="42385"/>
  <c r="V404" i="42385"/>
  <c r="V405" i="42385" s="1"/>
  <c r="CP405" i="42385" s="1"/>
  <c r="AW230" i="42385"/>
  <c r="BB618" i="42385"/>
  <c r="BB230" i="42385" s="1"/>
  <c r="AX340" i="42385"/>
  <c r="AS341" i="42385"/>
  <c r="GN487" i="42417"/>
  <c r="P345" i="42385"/>
  <c r="AV467" i="42385"/>
  <c r="AV469" i="42385" s="1"/>
  <c r="BA462" i="42385"/>
  <c r="BA463" i="42385" s="1"/>
  <c r="BM680" i="42385"/>
  <c r="BR661" i="42385"/>
  <c r="AK807" i="42385"/>
  <c r="CS807" i="42385" s="1"/>
  <c r="CS806" i="42385"/>
  <c r="AK809" i="42385"/>
  <c r="CS809" i="42385" s="1"/>
  <c r="BT337" i="42385"/>
  <c r="CZ333" i="42385"/>
  <c r="B31" i="42407"/>
  <c r="CR402" i="42385"/>
  <c r="AR269" i="42385"/>
  <c r="AR470" i="42385"/>
  <c r="AX486" i="42385"/>
  <c r="AY486" i="42385" s="1"/>
  <c r="AZ486" i="42385" s="1"/>
  <c r="CV486" i="42385" s="1"/>
  <c r="BJ47" i="42400"/>
  <c r="AJ662" i="42385"/>
  <c r="AE662" i="42385"/>
  <c r="AE699" i="42385"/>
  <c r="BE140" i="42400"/>
  <c r="AE1289" i="42385"/>
  <c r="AF1289" i="42385" s="1"/>
  <c r="CR1289" i="42385" s="1"/>
  <c r="AC1139" i="42385"/>
  <c r="DB289" i="42464"/>
  <c r="DB291" i="42464" s="1"/>
  <c r="CX270" i="42464" s="1"/>
  <c r="CW504" i="42385"/>
  <c r="BE518" i="42385"/>
  <c r="CW518" i="42385" s="1"/>
  <c r="BF540" i="42385"/>
  <c r="BF542" i="42385" s="1"/>
  <c r="BF272" i="42385" s="1"/>
  <c r="BA751" i="42385"/>
  <c r="BF751" i="42385" s="1"/>
  <c r="BK751" i="42385" s="1"/>
  <c r="BP751" i="42385" s="1"/>
  <c r="BU751" i="42385" s="1"/>
  <c r="AU64" i="42400"/>
  <c r="AU69" i="42400"/>
  <c r="AP131" i="42400"/>
  <c r="AP146" i="42400" s="1"/>
  <c r="CT914" i="42385"/>
  <c r="AP915" i="42385"/>
  <c r="CT915" i="42385" s="1"/>
  <c r="AU915" i="42385"/>
  <c r="CU915" i="42385" s="1"/>
  <c r="AJ1092" i="42385"/>
  <c r="AO1091" i="42385"/>
  <c r="AO1092" i="42385" s="1"/>
  <c r="AJ1093" i="42385"/>
  <c r="AK1091" i="42385"/>
  <c r="AS117" i="42385"/>
  <c r="AT1287" i="42385"/>
  <c r="AT117" i="42385" s="1"/>
  <c r="BN117" i="42385"/>
  <c r="BO1287" i="42385"/>
  <c r="BO117" i="42385" s="1"/>
  <c r="CY117" i="42385" s="1"/>
  <c r="BI111" i="42385"/>
  <c r="BJ1313" i="42385"/>
  <c r="X45" i="42417"/>
  <c r="CR234" i="42385"/>
  <c r="CB496" i="42385"/>
  <c r="CC496" i="42385" s="1"/>
  <c r="CD496" i="42385" s="1"/>
  <c r="CE496" i="42385" s="1"/>
  <c r="CF496" i="42385" s="1"/>
  <c r="DC496" i="42385"/>
  <c r="BR226" i="42385"/>
  <c r="BR566" i="42385"/>
  <c r="AL612" i="42385"/>
  <c r="AN612" i="42385" s="1"/>
  <c r="AZ141" i="42400"/>
  <c r="AV141" i="42400" s="1"/>
  <c r="CE554" i="42385"/>
  <c r="CF554" i="42385" s="1"/>
  <c r="AQ242" i="42385"/>
  <c r="AQ859" i="42385"/>
  <c r="CP1107" i="42385"/>
  <c r="AR1119" i="42385"/>
  <c r="AS1119" i="42385" s="1"/>
  <c r="BF300" i="42385"/>
  <c r="BF1168" i="42385"/>
  <c r="AJ1319" i="42385"/>
  <c r="AK1319" i="42385" s="1"/>
  <c r="CS1319" i="42385" s="1"/>
  <c r="BC1319" i="42385"/>
  <c r="BD1319" i="42385" s="1"/>
  <c r="BE1319" i="42385" s="1"/>
  <c r="BH1324" i="42385"/>
  <c r="AN310" i="42385"/>
  <c r="GM527" i="42417" s="1"/>
  <c r="AN1096" i="42385"/>
  <c r="AN1097" i="42385"/>
  <c r="BB1162" i="42385"/>
  <c r="BB1170" i="42385"/>
  <c r="AH131" i="42385"/>
  <c r="AC118" i="42385"/>
  <c r="AY1304" i="42385"/>
  <c r="AZ1304" i="42385" s="1"/>
  <c r="AZ1317" i="42385"/>
  <c r="CV1317" i="42385" s="1"/>
  <c r="AG1355" i="42385"/>
  <c r="AH1355" i="42385" s="1"/>
  <c r="AI1355" i="42385" s="1"/>
  <c r="AJ1355" i="42385" s="1"/>
  <c r="AK1355" i="42385" s="1"/>
  <c r="CR1355" i="42385"/>
  <c r="BT59" i="42400"/>
  <c r="BT856" i="42385"/>
  <c r="CZ856" i="42385" s="1"/>
  <c r="CZ855" i="42385"/>
  <c r="BP1111" i="42385"/>
  <c r="BU1111" i="42385" s="1"/>
  <c r="BJ1311" i="42385"/>
  <c r="CX1311" i="42385" s="1"/>
  <c r="BE1312" i="42385"/>
  <c r="CW1312" i="42385" s="1"/>
  <c r="BG1326" i="42385"/>
  <c r="U1613" i="42385"/>
  <c r="H354" i="42385"/>
  <c r="BQ562" i="42385"/>
  <c r="BQ563" i="42385" s="1"/>
  <c r="AP1300" i="42385"/>
  <c r="CT1300" i="42385" s="1"/>
  <c r="CY1371" i="42385"/>
  <c r="L1511" i="42385"/>
  <c r="J1500" i="42385"/>
  <c r="J1504" i="42385" s="1"/>
  <c r="J1510" i="42385"/>
  <c r="AE1575" i="42385"/>
  <c r="AE1577" i="42385" s="1"/>
  <c r="AY1575" i="42385"/>
  <c r="AY1577" i="42385" s="1"/>
  <c r="BI1166" i="42385"/>
  <c r="AV1013" i="42385"/>
  <c r="BH1102" i="42385"/>
  <c r="BM1102" i="42385" s="1"/>
  <c r="AR1159" i="42385"/>
  <c r="AR1164" i="42385" s="1"/>
  <c r="AR1166" i="42385" s="1"/>
  <c r="AR1170" i="42385"/>
  <c r="CW1239" i="42385"/>
  <c r="S1567" i="42385"/>
  <c r="S1660" i="42385"/>
  <c r="BO1317" i="42385"/>
  <c r="CY1317" i="42385" s="1"/>
  <c r="AH1499" i="42385"/>
  <c r="AO1304" i="42385"/>
  <c r="AP1304" i="42385" s="1"/>
  <c r="CT1304" i="42385" s="1"/>
  <c r="AN1314" i="42385"/>
  <c r="F25" i="42465"/>
  <c r="CV1351" i="42385"/>
  <c r="AY1110" i="42385"/>
  <c r="BD1110" i="42385" s="1"/>
  <c r="BI1110" i="42385" s="1"/>
  <c r="BN1110" i="42385" s="1"/>
  <c r="BS1110" i="42385" s="1"/>
  <c r="BX1110" i="42385" s="1"/>
  <c r="BA300" i="42385"/>
  <c r="AD1434" i="42385"/>
  <c r="BC462" i="42385"/>
  <c r="AX467" i="42385"/>
  <c r="AX469" i="42385" s="1"/>
  <c r="AJ479" i="42385"/>
  <c r="Q487" i="42385"/>
  <c r="CO487" i="42385" s="1"/>
  <c r="CO486" i="42385"/>
  <c r="BE486" i="42385"/>
  <c r="CW486" i="42385" s="1"/>
  <c r="BQ680" i="42385"/>
  <c r="BV661" i="42385"/>
  <c r="CT777" i="42385"/>
  <c r="BE795" i="42385"/>
  <c r="CW795" i="42385" s="1"/>
  <c r="CW796" i="42385"/>
  <c r="AO1530" i="42385"/>
  <c r="AP1530" i="42385" s="1"/>
  <c r="CT1530" i="42385" s="1"/>
  <c r="BH563" i="42385"/>
  <c r="AL230" i="42400"/>
  <c r="AX1110" i="42385"/>
  <c r="AS1115" i="42385"/>
  <c r="AS312" i="42385" s="1"/>
  <c r="AC117" i="42385"/>
  <c r="AD1287" i="42385"/>
  <c r="AI115" i="42385"/>
  <c r="AJ1289" i="42385"/>
  <c r="AK1289" i="42385" s="1"/>
  <c r="CS1289" i="42385" s="1"/>
  <c r="AW341" i="42385"/>
  <c r="BC512" i="42385"/>
  <c r="BC514" i="42385" s="1"/>
  <c r="AS1545" i="42385"/>
  <c r="AT604" i="42385"/>
  <c r="BB693" i="42385"/>
  <c r="BB695" i="42385" s="1"/>
  <c r="BB696" i="42385" s="1"/>
  <c r="AT713" i="42385"/>
  <c r="AY713" i="42385" s="1"/>
  <c r="BD713" i="42385" s="1"/>
  <c r="AO714" i="42385"/>
  <c r="AO717" i="42385"/>
  <c r="AO718" i="42385" s="1"/>
  <c r="BO795" i="42385"/>
  <c r="CY795" i="42385" s="1"/>
  <c r="CY796" i="42385"/>
  <c r="BE281" i="42400"/>
  <c r="BB281" i="42400" s="1"/>
  <c r="BE292" i="42400"/>
  <c r="BB292" i="42400" s="1"/>
  <c r="BE291" i="42400"/>
  <c r="BD291" i="42400" s="1"/>
  <c r="AX117" i="42385"/>
  <c r="AY1287" i="42385"/>
  <c r="BD1289" i="42385"/>
  <c r="BE1289" i="42385" s="1"/>
  <c r="CW1289" i="42385" s="1"/>
  <c r="AV594" i="42385"/>
  <c r="AP713" i="42385"/>
  <c r="BK713" i="42385"/>
  <c r="BP713" i="42385" s="1"/>
  <c r="BU713" i="42385" s="1"/>
  <c r="AG63" i="42400"/>
  <c r="AI63" i="42400"/>
  <c r="AH63" i="42400"/>
  <c r="G283" i="42400"/>
  <c r="AF142" i="42400"/>
  <c r="AE142" i="42400" s="1"/>
  <c r="CA552" i="42385"/>
  <c r="CB552" i="42385" s="1"/>
  <c r="CC552" i="42385" s="1"/>
  <c r="CD552" i="42385" s="1"/>
  <c r="CE552" i="42385" s="1"/>
  <c r="CF552" i="42385" s="1"/>
  <c r="DB552" i="42385"/>
  <c r="AO763" i="42385"/>
  <c r="AP763" i="42385" s="1"/>
  <c r="CT763" i="42385" s="1"/>
  <c r="BK241" i="42385"/>
  <c r="BK828" i="42385"/>
  <c r="BV244" i="42385"/>
  <c r="BV921" i="42385"/>
  <c r="BS1355" i="42385"/>
  <c r="BT1355" i="42385" s="1"/>
  <c r="E21" i="42472"/>
  <c r="CO1411" i="42385"/>
  <c r="G32" i="42465"/>
  <c r="M21" i="42472"/>
  <c r="CW1411" i="42385"/>
  <c r="CU1409" i="42385"/>
  <c r="AU1411" i="42385"/>
  <c r="E32" i="42465" s="1"/>
  <c r="S622" i="42385"/>
  <c r="BA770" i="42385"/>
  <c r="BF770" i="42385" s="1"/>
  <c r="BK770" i="42385" s="1"/>
  <c r="BY855" i="42385"/>
  <c r="DA855" i="42385" s="1"/>
  <c r="GM500" i="42417"/>
  <c r="BS1213" i="42385"/>
  <c r="BJ1373" i="42385"/>
  <c r="BI1375" i="42385"/>
  <c r="AQ778" i="42385"/>
  <c r="AR777" i="42385"/>
  <c r="AQ1540" i="42385"/>
  <c r="AI846" i="42385"/>
  <c r="AJ846" i="42385" s="1"/>
  <c r="AK846" i="42385" s="1"/>
  <c r="CS846" i="42385" s="1"/>
  <c r="AF65" i="42400"/>
  <c r="AD65" i="42400" s="1"/>
  <c r="AF66" i="42400"/>
  <c r="AE66" i="42400" s="1"/>
  <c r="AZ63" i="42400"/>
  <c r="AZ67" i="42400"/>
  <c r="AZ64" i="42400"/>
  <c r="AZ68" i="42400"/>
  <c r="AQ872" i="42385"/>
  <c r="AO1535" i="42385"/>
  <c r="AP1535" i="42385" s="1"/>
  <c r="CT1535" i="42385" s="1"/>
  <c r="BW919" i="42385"/>
  <c r="BW920" i="42385" s="1"/>
  <c r="BT152" i="42400"/>
  <c r="BT167" i="42400" s="1"/>
  <c r="CZ976" i="42385"/>
  <c r="BT977" i="42385"/>
  <c r="CZ977" i="42385" s="1"/>
  <c r="AW1012" i="42385"/>
  <c r="AW1013" i="42385" s="1"/>
  <c r="AR1013" i="42385"/>
  <c r="AR247" i="42385" s="1"/>
  <c r="AP1297" i="42385"/>
  <c r="CT1297" i="42385" s="1"/>
  <c r="AA1500" i="42385"/>
  <c r="AA1575" i="42385" s="1"/>
  <c r="AA1510" i="42385"/>
  <c r="CQ1510" i="42385" s="1"/>
  <c r="CQ1511" i="42385"/>
  <c r="Z1613" i="42385"/>
  <c r="AR1106" i="42385"/>
  <c r="AS1106" i="42385" s="1"/>
  <c r="AT221" i="42385"/>
  <c r="AU221" i="42385" s="1"/>
  <c r="CU221" i="42385" s="1"/>
  <c r="AY431" i="42385"/>
  <c r="AT433" i="42385"/>
  <c r="BU846" i="42385"/>
  <c r="BV846" i="42385" s="1"/>
  <c r="BW846" i="42385" s="1"/>
  <c r="BX846" i="42385" s="1"/>
  <c r="BY846" i="42385" s="1"/>
  <c r="DA846" i="42385" s="1"/>
  <c r="CZ846" i="42385"/>
  <c r="AU1317" i="42385"/>
  <c r="CU1317" i="42385" s="1"/>
  <c r="AQ247" i="42385"/>
  <c r="AQ1014" i="42385"/>
  <c r="AI1082" i="42385"/>
  <c r="AJ1082" i="42385" s="1"/>
  <c r="AK1082" i="42385" s="1"/>
  <c r="CS1082" i="42385" s="1"/>
  <c r="AT1155" i="42385"/>
  <c r="AS1156" i="42385"/>
  <c r="AS1159" i="42385" s="1"/>
  <c r="AC108" i="42385"/>
  <c r="AD1281" i="42385"/>
  <c r="AD108" i="42385" s="1"/>
  <c r="AN1523" i="42385"/>
  <c r="AM1525" i="42385"/>
  <c r="AM1499" i="42385" s="1"/>
  <c r="AK1317" i="42385"/>
  <c r="CS1317" i="42385" s="1"/>
  <c r="AP1312" i="42385"/>
  <c r="CT1312" i="42385" s="1"/>
  <c r="CP404" i="42385"/>
  <c r="R1614" i="42385"/>
  <c r="S1614" i="42385"/>
  <c r="P1614" i="42385"/>
  <c r="Q1614" i="42385" s="1"/>
  <c r="CO1614" i="42385" s="1"/>
  <c r="AK361" i="42385"/>
  <c r="CS361" i="42385" s="1"/>
  <c r="AL361" i="42385"/>
  <c r="AM361" i="42385" s="1"/>
  <c r="AN361" i="42385" s="1"/>
  <c r="AO361" i="42385" s="1"/>
  <c r="AP361" i="42385" s="1"/>
  <c r="CT361" i="42385" s="1"/>
  <c r="AF113" i="42492"/>
  <c r="AG113" i="42492" s="1"/>
  <c r="BH226" i="42385"/>
  <c r="BH566" i="42385"/>
  <c r="BH571" i="42385" s="1"/>
  <c r="BH573" i="42385" s="1"/>
  <c r="BA467" i="42385"/>
  <c r="BA469" i="42385" s="1"/>
  <c r="AX341" i="42385"/>
  <c r="AP241" i="42385"/>
  <c r="CT241" i="42385" s="1"/>
  <c r="AP828" i="42385"/>
  <c r="CT828" i="42385" s="1"/>
  <c r="CT827" i="42385"/>
  <c r="BG1162" i="42385"/>
  <c r="AN227" i="42385"/>
  <c r="AN605" i="42385"/>
  <c r="BP571" i="42385"/>
  <c r="BP573" i="42385" s="1"/>
  <c r="BZ1271" i="42385"/>
  <c r="CA1271" i="42385" s="1"/>
  <c r="DA1271" i="42385"/>
  <c r="AH1436" i="42385"/>
  <c r="AF1304" i="42385"/>
  <c r="BA951" i="42385"/>
  <c r="BK985" i="42385"/>
  <c r="BP985" i="42385" s="1"/>
  <c r="BU985" i="42385" s="1"/>
  <c r="BC1110" i="42385"/>
  <c r="BQ165" i="42385"/>
  <c r="BO1422" i="42385"/>
  <c r="BT1422" i="42385" s="1"/>
  <c r="BH713" i="42385"/>
  <c r="BM300" i="42385"/>
  <c r="BL438" i="42385"/>
  <c r="BL440" i="42385" s="1"/>
  <c r="BH462" i="42385"/>
  <c r="BM462" i="42385" s="1"/>
  <c r="BC463" i="42385"/>
  <c r="BC467" i="42385"/>
  <c r="BC469" i="42385" s="1"/>
  <c r="D50" i="42406"/>
  <c r="X6" i="42412"/>
  <c r="X7" i="42412" s="1"/>
  <c r="H22" i="42406"/>
  <c r="BI643" i="42385"/>
  <c r="BN643" i="42385" s="1"/>
  <c r="BS643" i="42385" s="1"/>
  <c r="BX643" i="42385" s="1"/>
  <c r="GO501" i="42417"/>
  <c r="CB524" i="42385"/>
  <c r="CC524" i="42385" s="1"/>
  <c r="CD524" i="42385" s="1"/>
  <c r="CE524" i="42385" s="1"/>
  <c r="CF524" i="42385" s="1"/>
  <c r="DC524" i="42385"/>
  <c r="BF486" i="42385"/>
  <c r="BG486" i="42385" s="1"/>
  <c r="BH486" i="42385" s="1"/>
  <c r="BI486" i="42385" s="1"/>
  <c r="BJ486" i="42385" s="1"/>
  <c r="BG221" i="42385"/>
  <c r="BG1233" i="42385" s="1"/>
  <c r="BL431" i="42385"/>
  <c r="S10" i="42403"/>
  <c r="R11" i="42403"/>
  <c r="BE1598" i="42385"/>
  <c r="CR1500" i="42385"/>
  <c r="AF1575" i="42385"/>
  <c r="AF1577" i="42385" s="1"/>
  <c r="CR1577" i="42385" s="1"/>
  <c r="CT1506" i="42385"/>
  <c r="AQ1506" i="42385"/>
  <c r="AQ1099" i="42385"/>
  <c r="AR1098" i="42385"/>
  <c r="AS1098" i="42385" s="1"/>
  <c r="AQ1542" i="42385"/>
  <c r="AX751" i="42385"/>
  <c r="BC751" i="42385" s="1"/>
  <c r="BH751" i="42385" s="1"/>
  <c r="BM751" i="42385" s="1"/>
  <c r="BR751" i="42385" s="1"/>
  <c r="BW751" i="42385" s="1"/>
  <c r="AR605" i="42385"/>
  <c r="BJ1289" i="42385"/>
  <c r="CX1289" i="42385" s="1"/>
  <c r="BL512" i="42385"/>
  <c r="BL514" i="42385" s="1"/>
  <c r="BL271" i="42385" s="1"/>
  <c r="G44" i="42412"/>
  <c r="I44" i="42412" s="1"/>
  <c r="N44" i="42412" s="1"/>
  <c r="E69" i="42406"/>
  <c r="BO1174" i="42385" s="1"/>
  <c r="CY1174" i="42385" s="1"/>
  <c r="BO1186" i="42385"/>
  <c r="Q1613" i="42385"/>
  <c r="CO1613" i="42385" s="1"/>
  <c r="AJ1001" i="42385"/>
  <c r="AS218" i="42385"/>
  <c r="AS342" i="42385"/>
  <c r="AB96" i="42424"/>
  <c r="AB134" i="42400"/>
  <c r="AD134" i="42400"/>
  <c r="AC134" i="42400"/>
  <c r="AE134" i="42400"/>
  <c r="AE1281" i="42385"/>
  <c r="AE108" i="42385" s="1"/>
  <c r="AF108" i="42385" s="1"/>
  <c r="CR108" i="42385" s="1"/>
  <c r="Y1614" i="42385"/>
  <c r="K21" i="42472"/>
  <c r="BU725" i="42385"/>
  <c r="BV725" i="42385" s="1"/>
  <c r="BW725" i="42385" s="1"/>
  <c r="BX725" i="42385" s="1"/>
  <c r="BY725" i="42385" s="1"/>
  <c r="BZ725" i="42385" s="1"/>
  <c r="CA725" i="42385" s="1"/>
  <c r="BV680" i="42385"/>
  <c r="CN1511" i="42385"/>
  <c r="L1500" i="42385"/>
  <c r="L1510" i="42385"/>
  <c r="CN1510" i="42385" s="1"/>
  <c r="T1614" i="42385"/>
  <c r="AC92" i="42400"/>
  <c r="BR571" i="42385"/>
  <c r="BR573" i="42385" s="1"/>
  <c r="AU1287" i="42385"/>
  <c r="CU1287" i="42385" s="1"/>
  <c r="V1575" i="42385"/>
  <c r="CP1575" i="42385" s="1"/>
  <c r="AT649" i="42385"/>
  <c r="AT650" i="42385" s="1"/>
  <c r="CY451" i="42385"/>
  <c r="BT451" i="42385"/>
  <c r="BY451" i="42385" s="1"/>
  <c r="CZ495" i="42385"/>
  <c r="BV495" i="42385"/>
  <c r="BW495" i="42385" s="1"/>
  <c r="BX495" i="42385" s="1"/>
  <c r="BY495" i="42385" s="1"/>
  <c r="AJ613" i="42385"/>
  <c r="AL613" i="42385" s="1"/>
  <c r="AN613" i="42385" s="1"/>
  <c r="AK1304" i="42385"/>
  <c r="CS1304" i="42385" s="1"/>
  <c r="AY230" i="42385"/>
  <c r="BD618" i="42385"/>
  <c r="BI618" i="42385" s="1"/>
  <c r="AW227" i="42385"/>
  <c r="BG434" i="42385"/>
  <c r="CB517" i="42385"/>
  <c r="BR255" i="42385"/>
  <c r="CB163" i="42385"/>
  <c r="BH467" i="42385"/>
  <c r="BH469" i="42385" s="1"/>
  <c r="BH463" i="42385"/>
  <c r="AQ763" i="42385"/>
  <c r="AR763" i="42385" s="1"/>
  <c r="AS763" i="42385" s="1"/>
  <c r="AT763" i="42385" s="1"/>
  <c r="AU763" i="42385" s="1"/>
  <c r="BX908" i="42385"/>
  <c r="BY908" i="42385" s="1"/>
  <c r="CZ451" i="42385"/>
  <c r="BF543" i="42385"/>
  <c r="BG770" i="42385"/>
  <c r="BL770" i="42385" s="1"/>
  <c r="BQ770" i="42385" s="1"/>
  <c r="BV770" i="42385" s="1"/>
  <c r="CR1575" i="42385"/>
  <c r="AS592" i="42385"/>
  <c r="E50" i="42406"/>
  <c r="AI1436" i="42385"/>
  <c r="AJ1436" i="42385" s="1"/>
  <c r="AK1436" i="42385" s="1"/>
  <c r="BD230" i="42385"/>
  <c r="AU117" i="42385"/>
  <c r="CU117" i="42385" s="1"/>
  <c r="BV1387" i="42385"/>
  <c r="BW1387" i="42385" s="1"/>
  <c r="BX1387" i="42385" s="1"/>
  <c r="BY1387" i="42385" s="1"/>
  <c r="BZ1387" i="42385" s="1"/>
  <c r="CA1387" i="42385" s="1"/>
  <c r="CB1387" i="42385" s="1"/>
  <c r="CC1387" i="42385" s="1"/>
  <c r="CD1387" i="42385" s="1"/>
  <c r="CE1387" i="42385" s="1"/>
  <c r="CF1387" i="42385" s="1"/>
  <c r="BF1598" i="42385"/>
  <c r="BG1598" i="42385" s="1"/>
  <c r="BH1598" i="42385" s="1"/>
  <c r="BI1598" i="42385" s="1"/>
  <c r="BJ1598" i="42385" s="1"/>
  <c r="BK1598" i="42385" s="1"/>
  <c r="BL1598" i="42385" s="1"/>
  <c r="BM1598" i="42385" s="1"/>
  <c r="BN1598" i="42385" s="1"/>
  <c r="BO1598" i="42385" s="1"/>
  <c r="BP1598" i="42385" s="1"/>
  <c r="BQ1598" i="42385" s="1"/>
  <c r="BR1598" i="42385" s="1"/>
  <c r="BS1598" i="42385" s="1"/>
  <c r="BT1598" i="42385" s="1"/>
  <c r="BU1598" i="42385" s="1"/>
  <c r="BV1598" i="42385" s="1"/>
  <c r="BW1598" i="42385" s="1"/>
  <c r="BX1598" i="42385" s="1"/>
  <c r="BY1598" i="42385" s="1"/>
  <c r="BZ1598" i="42385" s="1"/>
  <c r="CA1598" i="42385" s="1"/>
  <c r="CB1598" i="42385" s="1"/>
  <c r="CC1598" i="42385" s="1"/>
  <c r="CD1598" i="42385" s="1"/>
  <c r="CE1598" i="42385" s="1"/>
  <c r="CF1598" i="42385" s="1"/>
  <c r="T10" i="42403"/>
  <c r="T11" i="42403" s="1"/>
  <c r="S11" i="42403"/>
  <c r="BG649" i="42385"/>
  <c r="BL649" i="42385" s="1"/>
  <c r="BQ649" i="42385" s="1"/>
  <c r="BV649" i="42385" s="1"/>
  <c r="BV1155" i="42385"/>
  <c r="BQ1156" i="42385"/>
  <c r="BH1110" i="42385"/>
  <c r="AR1506" i="42385"/>
  <c r="AS1506" i="42385" s="1"/>
  <c r="B47" i="42465"/>
  <c r="CR1304" i="42385"/>
  <c r="BL515" i="42385"/>
  <c r="BL519" i="42385"/>
  <c r="AR1542" i="42385"/>
  <c r="BM713" i="42385"/>
  <c r="BR713" i="42385" s="1"/>
  <c r="BW713" i="42385" s="1"/>
  <c r="U10" i="42403"/>
  <c r="BT1311" i="42385"/>
  <c r="CZ1311" i="42385" s="1"/>
  <c r="BM463" i="42385"/>
  <c r="BP1110" i="42385"/>
  <c r="BR47" i="42385"/>
  <c r="BR1244" i="42385"/>
  <c r="BR30" i="42385"/>
  <c r="BR14" i="42385"/>
  <c r="BR129" i="42385"/>
  <c r="BR113" i="42385"/>
  <c r="BR1622" i="42385"/>
  <c r="BR1623" i="42385" s="1"/>
  <c r="BR29" i="42385"/>
  <c r="BR24" i="42385"/>
  <c r="BR40" i="42385" s="1"/>
  <c r="BR28" i="42385"/>
  <c r="BR681" i="42385"/>
  <c r="BW826" i="42385"/>
  <c r="BX826" i="42385" s="1"/>
  <c r="BV827" i="42385"/>
  <c r="BV241" i="42385" s="1"/>
  <c r="BX793" i="42385"/>
  <c r="BY793" i="42385" s="1"/>
  <c r="AX1643" i="42385"/>
  <c r="AE27" i="42476"/>
  <c r="AE28" i="42476" s="1"/>
  <c r="BT99" i="42385"/>
  <c r="AY1321" i="42385"/>
  <c r="AZ1321" i="42385" s="1"/>
  <c r="AZ1643" i="42385" s="1"/>
  <c r="CV1643" i="42385" s="1"/>
  <c r="BZ1451" i="42385"/>
  <c r="DB1451" i="42385" s="1"/>
  <c r="BZ1465" i="42385"/>
  <c r="BZ1524" i="42385"/>
  <c r="DB1524" i="42385" s="1"/>
  <c r="DB1442" i="42385"/>
  <c r="BZ1452" i="42385"/>
  <c r="DB1452" i="42385" s="1"/>
  <c r="BZ1458" i="42385"/>
  <c r="AE135" i="42408" s="1"/>
  <c r="AE136" i="42408" s="1"/>
  <c r="AE118" i="42408" s="1"/>
  <c r="BZ1459" i="42385"/>
  <c r="BZ1450" i="42385"/>
  <c r="DB1450" i="42385" s="1"/>
  <c r="BZ1460" i="42385"/>
  <c r="CA1442" i="42385"/>
  <c r="BZ1464" i="42385"/>
  <c r="DA1442" i="42385"/>
  <c r="BR1280" i="42385"/>
  <c r="BR1557" i="42385"/>
  <c r="BY99" i="42385"/>
  <c r="BZ99" i="42385" s="1"/>
  <c r="CA99" i="42385" s="1"/>
  <c r="CB99" i="42385" s="1"/>
  <c r="CC99" i="42385" s="1"/>
  <c r="CD99" i="42385" s="1"/>
  <c r="CE99" i="42385" s="1"/>
  <c r="CF99" i="42385" s="1"/>
  <c r="BS113" i="42385"/>
  <c r="BT127" i="42385"/>
  <c r="CZ127" i="42385" s="1"/>
  <c r="BS129" i="42385"/>
  <c r="BS1622" i="42385"/>
  <c r="DB567" i="42385"/>
  <c r="CA567" i="42385"/>
  <c r="CB567" i="42385" s="1"/>
  <c r="CC567" i="42385" s="1"/>
  <c r="CD567" i="42385" s="1"/>
  <c r="CE567" i="42385" s="1"/>
  <c r="CF567" i="42385" s="1"/>
  <c r="AD44" i="42476"/>
  <c r="BR198" i="42385"/>
  <c r="BR1574" i="42385"/>
  <c r="BR1616" i="42385"/>
  <c r="BR1617" i="42385" s="1"/>
  <c r="BT790" i="42385"/>
  <c r="CZ790" i="42385" s="1"/>
  <c r="BT33" i="42400"/>
  <c r="BT47" i="42400" s="1"/>
  <c r="BS791" i="42385"/>
  <c r="BX790" i="42385"/>
  <c r="BX34" i="42400" s="1"/>
  <c r="BX49" i="42400" s="1"/>
  <c r="BR165" i="42385"/>
  <c r="BR130" i="42385" s="1"/>
  <c r="BT160" i="42385"/>
  <c r="BS165" i="42385"/>
  <c r="BS166" i="42385" s="1"/>
  <c r="BS134" i="42385" s="1"/>
  <c r="BS1314" i="42385" s="1"/>
  <c r="CA88" i="42385"/>
  <c r="DC88" i="42385" s="1"/>
  <c r="DB84" i="42385"/>
  <c r="CC84" i="42385"/>
  <c r="BO1067" i="42385"/>
  <c r="BJ1073" i="42385"/>
  <c r="BO1073" i="42385"/>
  <c r="BK1047" i="42385"/>
  <c r="BK1064" i="42385"/>
  <c r="BO1064" i="42385" s="1"/>
  <c r="BP1047" i="42385"/>
  <c r="BL1047" i="42385"/>
  <c r="BO1074" i="42385"/>
  <c r="BP1070" i="42385"/>
  <c r="CM1019" i="42385"/>
  <c r="BD283" i="42400"/>
  <c r="BA283" i="42400"/>
  <c r="CS612" i="42385"/>
  <c r="AM612" i="42385"/>
  <c r="AO612" i="42385" s="1"/>
  <c r="BB141" i="42400"/>
  <c r="BH194" i="42400"/>
  <c r="IK722" i="42417"/>
  <c r="IK728" i="42417" s="1"/>
  <c r="IK731" i="42417" s="1"/>
  <c r="BL196" i="42492"/>
  <c r="AQ653" i="42385"/>
  <c r="AQ656" i="42385" s="1"/>
  <c r="BJ684" i="42385"/>
  <c r="AK66" i="42400"/>
  <c r="AI66" i="42400" s="1"/>
  <c r="AV1186" i="42385"/>
  <c r="AK67" i="42400"/>
  <c r="AI67" i="42400" s="1"/>
  <c r="AK64" i="42400"/>
  <c r="AI64" i="42400" s="1"/>
  <c r="AK68" i="42400"/>
  <c r="BO1047" i="42385"/>
  <c r="AD8" i="42476"/>
  <c r="AD9" i="42476" s="1"/>
  <c r="BR15" i="42385"/>
  <c r="AW247" i="42385"/>
  <c r="BR26" i="42385"/>
  <c r="BR50" i="42385"/>
  <c r="BS890" i="42385"/>
  <c r="BT889" i="42385"/>
  <c r="BS243" i="42385"/>
  <c r="BC22" i="42418"/>
  <c r="AR244" i="42385"/>
  <c r="AR921" i="42385"/>
  <c r="AW921" i="42385"/>
  <c r="AT401" i="42385"/>
  <c r="F48" i="42465"/>
  <c r="AC163" i="42385"/>
  <c r="AC165" i="42385"/>
  <c r="AC166" i="42385" s="1"/>
  <c r="AC134" i="42385" s="1"/>
  <c r="AC131" i="42385"/>
  <c r="CT1626" i="42385"/>
  <c r="AQ1626" i="42385"/>
  <c r="AR1626" i="42385" s="1"/>
  <c r="AS1626" i="42385" s="1"/>
  <c r="AT1626" i="42385" s="1"/>
  <c r="AU1626" i="42385" s="1"/>
  <c r="AO1613" i="42385"/>
  <c r="AN1614" i="42385"/>
  <c r="AY202" i="42385"/>
  <c r="J42" i="42476"/>
  <c r="CZ1395" i="42385"/>
  <c r="BU1395" i="42385"/>
  <c r="BV1395" i="42385" s="1"/>
  <c r="BW1395" i="42385" s="1"/>
  <c r="BX1395" i="42385" s="1"/>
  <c r="BY1395" i="42385" s="1"/>
  <c r="DA1419" i="42385"/>
  <c r="BZ1419" i="42385"/>
  <c r="DB1419" i="42385" s="1"/>
  <c r="BB1386" i="42385"/>
  <c r="BB1486" i="42385" s="1"/>
  <c r="BA1486" i="42385"/>
  <c r="BO1382" i="42385"/>
  <c r="BN1482" i="42385"/>
  <c r="AM1585" i="42385"/>
  <c r="AN1582" i="42385"/>
  <c r="BF1396" i="42385"/>
  <c r="BG1396" i="42385" s="1"/>
  <c r="BH1396" i="42385" s="1"/>
  <c r="BI1396" i="42385" s="1"/>
  <c r="BJ1396" i="42385" s="1"/>
  <c r="CX1396" i="42385" s="1"/>
  <c r="CW1396" i="42385"/>
  <c r="AG1406" i="42385"/>
  <c r="AG1564" i="42385"/>
  <c r="AH1504" i="42385"/>
  <c r="AH29" i="42385"/>
  <c r="BT1391" i="42385"/>
  <c r="BU1391" i="42385" s="1"/>
  <c r="BU1491" i="42385" s="1"/>
  <c r="BS1491" i="42385"/>
  <c r="AO1623" i="42385"/>
  <c r="AP1623" i="42385" s="1"/>
  <c r="CT1623" i="42385" s="1"/>
  <c r="AL1623" i="42385"/>
  <c r="I1617" i="42385"/>
  <c r="BP1617" i="42385"/>
  <c r="AG1577" i="42385"/>
  <c r="AB1577" i="42385"/>
  <c r="C1577" i="42385"/>
  <c r="C1579" i="42385" s="1"/>
  <c r="T1567" i="42385"/>
  <c r="AP63" i="42385"/>
  <c r="BY1542" i="42385"/>
  <c r="DA1542" i="42385" s="1"/>
  <c r="L1540" i="42385"/>
  <c r="CN1540" i="42385" s="1"/>
  <c r="AK1539" i="42385"/>
  <c r="CS1539" i="42385" s="1"/>
  <c r="Q1539" i="42385"/>
  <c r="CO1539" i="42385" s="1"/>
  <c r="AA1538" i="42385"/>
  <c r="CQ1538" i="42385" s="1"/>
  <c r="BT1534" i="42385"/>
  <c r="CZ1534" i="42385" s="1"/>
  <c r="BJ1534" i="42385"/>
  <c r="CX1534" i="42385" s="1"/>
  <c r="L1531" i="42385"/>
  <c r="CN1531" i="42385" s="1"/>
  <c r="G1531" i="42385"/>
  <c r="CM1531" i="42385" s="1"/>
  <c r="U1525" i="42385"/>
  <c r="BY1524" i="42385"/>
  <c r="DA1524" i="42385" s="1"/>
  <c r="AP1524" i="42385"/>
  <c r="CT1524" i="42385" s="1"/>
  <c r="AA1524" i="42385"/>
  <c r="CQ1524" i="42385" s="1"/>
  <c r="V1503" i="42385"/>
  <c r="G1476" i="42385"/>
  <c r="CM1476" i="42385" s="1"/>
  <c r="AZ1466" i="42385"/>
  <c r="AA1453" i="42385"/>
  <c r="CQ1453" i="42385" s="1"/>
  <c r="Q1453" i="42385"/>
  <c r="CO1453" i="42385" s="1"/>
  <c r="G1453" i="42385"/>
  <c r="CM1453" i="42385" s="1"/>
  <c r="CZ1442" i="42385"/>
  <c r="AE1439" i="42385"/>
  <c r="AE1421" i="42385"/>
  <c r="AE202" i="42385" s="1"/>
  <c r="BP1413" i="42385"/>
  <c r="BJ1411" i="42385"/>
  <c r="CV1396" i="42385"/>
  <c r="BA1385" i="42385"/>
  <c r="AC1379" i="42385"/>
  <c r="AC1378" i="42385" s="1"/>
  <c r="CV1378" i="42385"/>
  <c r="CW1360" i="42385"/>
  <c r="E1366" i="42385"/>
  <c r="V1351" i="42385"/>
  <c r="AC1366" i="42385"/>
  <c r="BC1325" i="42385"/>
  <c r="BD1325" i="42385" s="1"/>
  <c r="BE1325" i="42385" s="1"/>
  <c r="CW1325" i="42385" s="1"/>
  <c r="BF1314" i="42385"/>
  <c r="BG1304" i="42385"/>
  <c r="AK1300" i="42385"/>
  <c r="CS1300" i="42385" s="1"/>
  <c r="AF1453" i="42385"/>
  <c r="CR1453" i="42385" s="1"/>
  <c r="G1421" i="42385"/>
  <c r="AD1366" i="42385"/>
  <c r="CS1348" i="42385"/>
  <c r="CU1640" i="42385"/>
  <c r="AT1640" i="42385"/>
  <c r="AN1617" i="42385"/>
  <c r="AB1611" i="42385"/>
  <c r="X1611" i="42385"/>
  <c r="P1611" i="42385"/>
  <c r="Q1611" i="42385" s="1"/>
  <c r="CO1611" i="42385" s="1"/>
  <c r="CU1607" i="42385"/>
  <c r="R1577" i="42385"/>
  <c r="AP1557" i="42385"/>
  <c r="CT1557" i="42385" s="1"/>
  <c r="Q1552" i="42385"/>
  <c r="CO1552" i="42385" s="1"/>
  <c r="AK1542" i="42385"/>
  <c r="CS1542" i="42385" s="1"/>
  <c r="E1554" i="42385"/>
  <c r="AA1541" i="42385"/>
  <c r="CQ1541" i="42385" s="1"/>
  <c r="Q1541" i="42385"/>
  <c r="CO1541" i="42385" s="1"/>
  <c r="AF1540" i="42385"/>
  <c r="CR1540" i="42385" s="1"/>
  <c r="AF1538" i="42385"/>
  <c r="CR1538" i="42385" s="1"/>
  <c r="V1536" i="42385"/>
  <c r="CP1536" i="42385" s="1"/>
  <c r="G1536" i="42385"/>
  <c r="CM1536" i="42385" s="1"/>
  <c r="AF1535" i="42385"/>
  <c r="CR1535" i="42385" s="1"/>
  <c r="Q1535" i="42385"/>
  <c r="CO1535" i="42385" s="1"/>
  <c r="V1534" i="42385"/>
  <c r="CP1534" i="42385" s="1"/>
  <c r="AK1532" i="42385"/>
  <c r="CS1532" i="42385" s="1"/>
  <c r="AF1531" i="42385"/>
  <c r="CR1531" i="42385" s="1"/>
  <c r="AF1530" i="42385"/>
  <c r="CR1530" i="42385" s="1"/>
  <c r="Q1530" i="42385"/>
  <c r="CO1530" i="42385" s="1"/>
  <c r="V1529" i="42385"/>
  <c r="CP1529" i="42385" s="1"/>
  <c r="AK1528" i="42385"/>
  <c r="CS1528" i="42385" s="1"/>
  <c r="AA1528" i="42385"/>
  <c r="CQ1528" i="42385" s="1"/>
  <c r="V1528" i="42385"/>
  <c r="CP1528" i="42385" s="1"/>
  <c r="BT1524" i="42385"/>
  <c r="CZ1524" i="42385" s="1"/>
  <c r="AZ1524" i="42385"/>
  <c r="CV1524" i="42385" s="1"/>
  <c r="BE1500" i="42385"/>
  <c r="L1454" i="42385"/>
  <c r="CN1454" i="42385" s="1"/>
  <c r="BT1452" i="42385"/>
  <c r="CZ1452" i="42385" s="1"/>
  <c r="AZ1452" i="42385"/>
  <c r="CV1452" i="42385" s="1"/>
  <c r="BT1451" i="42385"/>
  <c r="CZ1451" i="42385" s="1"/>
  <c r="AZ1451" i="42385"/>
  <c r="CV1451" i="42385" s="1"/>
  <c r="AP1451" i="42385"/>
  <c r="CT1451" i="42385" s="1"/>
  <c r="L1449" i="42385"/>
  <c r="CN1449" i="42385" s="1"/>
  <c r="AJ202" i="42385"/>
  <c r="CM1413" i="42385"/>
  <c r="BK1489" i="42385"/>
  <c r="CV1384" i="42385"/>
  <c r="T1366" i="42385"/>
  <c r="K1366" i="42385"/>
  <c r="AS1325" i="42385"/>
  <c r="AT1325" i="42385" s="1"/>
  <c r="BB1324" i="42385"/>
  <c r="BA1326" i="42385"/>
  <c r="AR1319" i="42385"/>
  <c r="AQ1326" i="42385"/>
  <c r="Q133" i="42385"/>
  <c r="CO133" i="42385" s="1"/>
  <c r="CO1304" i="42385"/>
  <c r="BN1298" i="42385"/>
  <c r="BO1298" i="42385" s="1"/>
  <c r="CY1298" i="42385" s="1"/>
  <c r="AW110" i="42385"/>
  <c r="AX1284" i="42385"/>
  <c r="DA1281" i="42385"/>
  <c r="BY108" i="42385"/>
  <c r="DA108" i="42385" s="1"/>
  <c r="AY995" i="42385"/>
  <c r="AX996" i="42385"/>
  <c r="BI1297" i="42385"/>
  <c r="BJ1297" i="42385" s="1"/>
  <c r="CX1297" i="42385" s="1"/>
  <c r="AJ1617" i="42385"/>
  <c r="AK1617" i="42385" s="1"/>
  <c r="CS1617" i="42385" s="1"/>
  <c r="BY1611" i="42385"/>
  <c r="DA1611" i="42385" s="1"/>
  <c r="AK1610" i="42385"/>
  <c r="CS1610" i="42385" s="1"/>
  <c r="BG1577" i="42385"/>
  <c r="BY1550" i="42385"/>
  <c r="AK1543" i="42385"/>
  <c r="CS1543" i="42385" s="1"/>
  <c r="G1542" i="42385"/>
  <c r="CM1542" i="42385" s="1"/>
  <c r="AK1541" i="42385"/>
  <c r="CS1541" i="42385" s="1"/>
  <c r="V1541" i="42385"/>
  <c r="CP1541" i="42385" s="1"/>
  <c r="L1538" i="42385"/>
  <c r="CN1538" i="42385" s="1"/>
  <c r="AK1535" i="42385"/>
  <c r="CS1535" i="42385" s="1"/>
  <c r="AA1535" i="42385"/>
  <c r="CQ1535" i="42385" s="1"/>
  <c r="AF1534" i="42385"/>
  <c r="CR1534" i="42385" s="1"/>
  <c r="L1534" i="42385"/>
  <c r="CN1534" i="42385" s="1"/>
  <c r="V1530" i="42385"/>
  <c r="CP1530" i="42385" s="1"/>
  <c r="AA1529" i="42385"/>
  <c r="CQ1529" i="42385" s="1"/>
  <c r="G1528" i="42385"/>
  <c r="CM1528" i="42385" s="1"/>
  <c r="G1524" i="42385"/>
  <c r="CM1524" i="42385" s="1"/>
  <c r="BJ1510" i="42385"/>
  <c r="CX1510" i="42385" s="1"/>
  <c r="AP1483" i="42385"/>
  <c r="CT1483" i="42385" s="1"/>
  <c r="AZ1465" i="42385"/>
  <c r="BT1458" i="42385"/>
  <c r="AC135" i="42408" s="1"/>
  <c r="AC136" i="42408" s="1"/>
  <c r="AC118" i="42408" s="1"/>
  <c r="AP1455" i="42385"/>
  <c r="CT1455" i="42385" s="1"/>
  <c r="AF1455" i="42385"/>
  <c r="CR1455" i="42385" s="1"/>
  <c r="BO1452" i="42385"/>
  <c r="CY1452" i="42385" s="1"/>
  <c r="AP1450" i="42385"/>
  <c r="CT1450" i="42385" s="1"/>
  <c r="AW1421" i="42385"/>
  <c r="BD1411" i="42385"/>
  <c r="L1411" i="42385"/>
  <c r="CV1399" i="42385"/>
  <c r="Q1375" i="42385"/>
  <c r="AW1364" i="42385"/>
  <c r="BQ1351" i="42385"/>
  <c r="BK1351" i="42385"/>
  <c r="BG1351" i="42385"/>
  <c r="BT1324" i="42385"/>
  <c r="CZ1324" i="42385" s="1"/>
  <c r="AG1326" i="42385"/>
  <c r="AH1324" i="42385"/>
  <c r="BJ1307" i="42385"/>
  <c r="CX1307" i="42385" s="1"/>
  <c r="K1300" i="42385"/>
  <c r="BN1294" i="42385"/>
  <c r="BO1294" i="42385" s="1"/>
  <c r="CY1294" i="42385" s="1"/>
  <c r="AA1281" i="42385"/>
  <c r="CQ1281" i="42385" s="1"/>
  <c r="Z108" i="42385"/>
  <c r="AA108" i="42385" s="1"/>
  <c r="CQ108" i="42385" s="1"/>
  <c r="BT1312" i="42385"/>
  <c r="CZ1312" i="42385" s="1"/>
  <c r="AP1280" i="42385"/>
  <c r="BE1172" i="42385"/>
  <c r="CW1172" i="42385" s="1"/>
  <c r="BO1169" i="42385"/>
  <c r="AW1156" i="42385"/>
  <c r="AZ1155" i="42385"/>
  <c r="AZ1156" i="42385" s="1"/>
  <c r="G1134" i="42385"/>
  <c r="CM1134" i="42385" s="1"/>
  <c r="Y1116" i="42385"/>
  <c r="K1116" i="42385"/>
  <c r="AH312" i="42385"/>
  <c r="AH23" i="42385" s="1"/>
  <c r="AK1114" i="42385"/>
  <c r="CR1111" i="42385"/>
  <c r="Z1108" i="42385"/>
  <c r="S256" i="42385"/>
  <c r="S258" i="42385" s="1"/>
  <c r="Q1107" i="42385"/>
  <c r="CO1107" i="42385" s="1"/>
  <c r="CN1106" i="42385"/>
  <c r="CR1095" i="42385"/>
  <c r="V1097" i="42385"/>
  <c r="CP1097" i="42385" s="1"/>
  <c r="H1093" i="42385"/>
  <c r="Q1089" i="42385"/>
  <c r="CO1089" i="42385" s="1"/>
  <c r="AK1089" i="42385"/>
  <c r="CS1089" i="42385" s="1"/>
  <c r="Q1139" i="42385"/>
  <c r="CO1139" i="42385" s="1"/>
  <c r="AZ188" i="42400"/>
  <c r="AZ192" i="42400" s="1"/>
  <c r="AZ194" i="42400" s="1"/>
  <c r="AZ1019" i="42385" s="1"/>
  <c r="CV1007" i="42385"/>
  <c r="BE980" i="42385"/>
  <c r="CW980" i="42385" s="1"/>
  <c r="CQ965" i="42385"/>
  <c r="AA966" i="42385"/>
  <c r="CQ966" i="42385" s="1"/>
  <c r="AK964" i="42385"/>
  <c r="CS964" i="42385" s="1"/>
  <c r="L962" i="42385"/>
  <c r="CN962" i="42385" s="1"/>
  <c r="Q962" i="42385"/>
  <c r="CO962" i="42385" s="1"/>
  <c r="CO961" i="42385"/>
  <c r="Z57" i="42443"/>
  <c r="Z58" i="42443" s="1"/>
  <c r="CQ945" i="42385"/>
  <c r="AA946" i="42385"/>
  <c r="CQ946" i="42385" s="1"/>
  <c r="CO934" i="42385"/>
  <c r="Q935" i="42385"/>
  <c r="CO935" i="42385" s="1"/>
  <c r="AA921" i="42385"/>
  <c r="CQ921" i="42385" s="1"/>
  <c r="CP920" i="42385"/>
  <c r="BM244" i="42385"/>
  <c r="AA919" i="42385"/>
  <c r="CQ919" i="42385" s="1"/>
  <c r="AF921" i="42385"/>
  <c r="CR921" i="42385" s="1"/>
  <c r="AA931" i="42385"/>
  <c r="CQ931" i="42385" s="1"/>
  <c r="G919" i="42385"/>
  <c r="CM919" i="42385" s="1"/>
  <c r="CM920" i="42385"/>
  <c r="G931" i="42385"/>
  <c r="CM931" i="42385" s="1"/>
  <c r="AX919" i="42385"/>
  <c r="AX920" i="42385" s="1"/>
  <c r="AW43" i="42418"/>
  <c r="AK1014" i="42385"/>
  <c r="CS1014" i="42385" s="1"/>
  <c r="CO1013" i="42385"/>
  <c r="V1014" i="42385"/>
  <c r="CP1014" i="42385" s="1"/>
  <c r="AU188" i="42400"/>
  <c r="AU192" i="42400" s="1"/>
  <c r="AU194" i="42400" s="1"/>
  <c r="AU1019" i="42385" s="1"/>
  <c r="CU1007" i="42385"/>
  <c r="AU1008" i="42385"/>
  <c r="CU1008" i="42385" s="1"/>
  <c r="AF962" i="42385"/>
  <c r="CR962" i="42385" s="1"/>
  <c r="AF964" i="42385"/>
  <c r="CR964" i="42385" s="1"/>
  <c r="G938" i="42385"/>
  <c r="CM938" i="42385" s="1"/>
  <c r="F941" i="42385"/>
  <c r="F942" i="42385" s="1"/>
  <c r="AV244" i="42385"/>
  <c r="AV921" i="42385"/>
  <c r="AT1324" i="42385"/>
  <c r="AU1324" i="42385" s="1"/>
  <c r="CU1324" i="42385" s="1"/>
  <c r="AK1291" i="42385"/>
  <c r="CS1291" i="42385" s="1"/>
  <c r="BT1282" i="42385"/>
  <c r="CZ1282" i="42385" s="1"/>
  <c r="BC1281" i="42385"/>
  <c r="BC108" i="42385" s="1"/>
  <c r="AX1281" i="42385"/>
  <c r="AM108" i="42385"/>
  <c r="BY1169" i="42385"/>
  <c r="BY1548" i="42385" s="1"/>
  <c r="DA1548" i="42385" s="1"/>
  <c r="BE1169" i="42385"/>
  <c r="AY1156" i="42385"/>
  <c r="BO1154" i="42385"/>
  <c r="CY1154" i="42385" s="1"/>
  <c r="AM1116" i="42385"/>
  <c r="U1116" i="42385"/>
  <c r="AN1115" i="42385"/>
  <c r="AU1112" i="42385"/>
  <c r="CU1112" i="42385" s="1"/>
  <c r="Q1096" i="42385"/>
  <c r="CO1096" i="42385" s="1"/>
  <c r="CO1095" i="42385"/>
  <c r="T1093" i="42385"/>
  <c r="X1093" i="42385"/>
  <c r="L1089" i="42385"/>
  <c r="CN1089" i="42385" s="1"/>
  <c r="Q1024" i="42385"/>
  <c r="CO1024" i="42385" s="1"/>
  <c r="CS1023" i="42385"/>
  <c r="AK1024" i="42385"/>
  <c r="CS1024" i="42385" s="1"/>
  <c r="CO1023" i="42385"/>
  <c r="V1026" i="42385"/>
  <c r="CP1026" i="42385" s="1"/>
  <c r="K40" i="42443"/>
  <c r="L1011" i="42385"/>
  <c r="CN1011" i="42385" s="1"/>
  <c r="Q1011" i="42385"/>
  <c r="CO1011" i="42385" s="1"/>
  <c r="F41" i="42443"/>
  <c r="L1008" i="42385"/>
  <c r="CN1008" i="42385" s="1"/>
  <c r="BA981" i="42385"/>
  <c r="AV982" i="42385"/>
  <c r="AP152" i="42400"/>
  <c r="AP167" i="42400" s="1"/>
  <c r="AU977" i="42385"/>
  <c r="CU977" i="42385" s="1"/>
  <c r="CN965" i="42385"/>
  <c r="V959" i="42385"/>
  <c r="CP959" i="42385" s="1"/>
  <c r="Q952" i="42385"/>
  <c r="CO952" i="42385" s="1"/>
  <c r="BR921" i="42385"/>
  <c r="CV917" i="42385"/>
  <c r="BE918" i="42385"/>
  <c r="CW918" i="42385" s="1"/>
  <c r="BI1322" i="42385"/>
  <c r="BE1321" i="42385"/>
  <c r="BC1305" i="42385"/>
  <c r="BD1305" i="42385" s="1"/>
  <c r="BE1305" i="42385" s="1"/>
  <c r="AN1291" i="42385"/>
  <c r="AO1291" i="42385" s="1"/>
  <c r="CV1153" i="42385"/>
  <c r="C1138" i="42385"/>
  <c r="G1124" i="42385"/>
  <c r="CM1124" i="42385" s="1"/>
  <c r="Z1116" i="42385"/>
  <c r="AF1099" i="42385"/>
  <c r="CR1099" i="42385" s="1"/>
  <c r="L1096" i="42385"/>
  <c r="CN1096" i="42385" s="1"/>
  <c r="P1093" i="42385"/>
  <c r="AB1093" i="42385"/>
  <c r="AK1028" i="42385"/>
  <c r="CS1028" i="42385" s="1"/>
  <c r="CS1027" i="42385"/>
  <c r="CO1027" i="42385"/>
  <c r="Q1028" i="42385"/>
  <c r="CO1028" i="42385" s="1"/>
  <c r="Q1014" i="42385"/>
  <c r="CO1014" i="42385" s="1"/>
  <c r="Z40" i="42443"/>
  <c r="Z42" i="42443" s="1"/>
  <c r="CQ1010" i="42385"/>
  <c r="U41" i="42443"/>
  <c r="U42" i="42443" s="1"/>
  <c r="CP1007" i="42385"/>
  <c r="AZ980" i="42385"/>
  <c r="CV980" i="42385" s="1"/>
  <c r="AK959" i="42385"/>
  <c r="CS959" i="42385" s="1"/>
  <c r="AF949" i="42385"/>
  <c r="CR949" i="42385" s="1"/>
  <c r="CQ948" i="42385"/>
  <c r="BE219" i="42400"/>
  <c r="BE230" i="42400" s="1"/>
  <c r="AO934" i="42385"/>
  <c r="AP934" i="42385" s="1"/>
  <c r="V935" i="42385"/>
  <c r="CP935" i="42385" s="1"/>
  <c r="CP934" i="42385"/>
  <c r="BB244" i="42385"/>
  <c r="BE244" i="42385" s="1"/>
  <c r="BB921" i="42385"/>
  <c r="AK890" i="42385"/>
  <c r="CS890" i="42385" s="1"/>
  <c r="CQ889" i="42385"/>
  <c r="AK888" i="42385"/>
  <c r="CS888" i="42385" s="1"/>
  <c r="BE887" i="42385"/>
  <c r="CW887" i="42385" s="1"/>
  <c r="AK275" i="42400"/>
  <c r="AK289" i="42400" s="1"/>
  <c r="V887" i="42385"/>
  <c r="CP887" i="42385" s="1"/>
  <c r="BE276" i="42400"/>
  <c r="BE296" i="42400" s="1"/>
  <c r="CO877" i="42385"/>
  <c r="BG859" i="42385"/>
  <c r="AN857" i="42385"/>
  <c r="G835" i="42385"/>
  <c r="CM835" i="42385" s="1"/>
  <c r="Q840" i="42385"/>
  <c r="CO840" i="42385" s="1"/>
  <c r="CQ827" i="42385"/>
  <c r="BI828" i="42385"/>
  <c r="L1012" i="42385"/>
  <c r="CN1012" i="42385" s="1"/>
  <c r="Q959" i="42385"/>
  <c r="CO959" i="42385" s="1"/>
  <c r="BN921" i="42385"/>
  <c r="L921" i="42385"/>
  <c r="CN921" i="42385" s="1"/>
  <c r="BA890" i="42385"/>
  <c r="AF866" i="42385"/>
  <c r="CR866" i="42385" s="1"/>
  <c r="AF857" i="42385"/>
  <c r="CR857" i="42385" s="1"/>
  <c r="AU853" i="42385"/>
  <c r="CU853" i="42385" s="1"/>
  <c r="AA828" i="42385"/>
  <c r="CQ828" i="42385" s="1"/>
  <c r="AF1021" i="42385"/>
  <c r="CR1021" i="42385" s="1"/>
  <c r="AF966" i="42385"/>
  <c r="CR966" i="42385" s="1"/>
  <c r="AK928" i="42385"/>
  <c r="CS928" i="42385" s="1"/>
  <c r="L919" i="42385"/>
  <c r="CN919" i="42385" s="1"/>
  <c r="CX914" i="42385"/>
  <c r="CQ914" i="42385"/>
  <c r="BT914" i="42385"/>
  <c r="BT131" i="42400" s="1"/>
  <c r="BT146" i="42400" s="1"/>
  <c r="Q890" i="42385"/>
  <c r="CO890" i="42385" s="1"/>
  <c r="AK887" i="42385"/>
  <c r="CS887" i="42385" s="1"/>
  <c r="BX886" i="42385"/>
  <c r="BJ887" i="42385"/>
  <c r="CX887" i="42385" s="1"/>
  <c r="AP887" i="42385"/>
  <c r="CT887" i="42385" s="1"/>
  <c r="L887" i="42385"/>
  <c r="CN887" i="42385" s="1"/>
  <c r="BS276" i="42400"/>
  <c r="BS296" i="42400" s="1"/>
  <c r="Q884" i="42385"/>
  <c r="CO884" i="42385" s="1"/>
  <c r="CP878" i="42385"/>
  <c r="AK869" i="42385"/>
  <c r="CS869" i="42385" s="1"/>
  <c r="CM868" i="42385"/>
  <c r="AF856" i="42385"/>
  <c r="CR856" i="42385" s="1"/>
  <c r="AA825" i="42385"/>
  <c r="CQ825" i="42385" s="1"/>
  <c r="V825" i="42385"/>
  <c r="CP825" i="42385" s="1"/>
  <c r="BU670" i="42385"/>
  <c r="BU683" i="42385" s="1"/>
  <c r="BP683" i="42385"/>
  <c r="BM433" i="42385"/>
  <c r="CS824" i="42385"/>
  <c r="Q822" i="42385"/>
  <c r="CO822" i="42385" s="1"/>
  <c r="CV821" i="42385"/>
  <c r="AA811" i="42385"/>
  <c r="CQ811" i="42385" s="1"/>
  <c r="V809" i="42385"/>
  <c r="CP809" i="42385" s="1"/>
  <c r="AF807" i="42385"/>
  <c r="CR807" i="42385" s="1"/>
  <c r="BB797" i="42385"/>
  <c r="AW797" i="42385"/>
  <c r="AF797" i="42385"/>
  <c r="CR797" i="42385" s="1"/>
  <c r="CR796" i="42385"/>
  <c r="BN240" i="42385"/>
  <c r="BO240" i="42385" s="1"/>
  <c r="BO794" i="42385"/>
  <c r="CY794" i="42385" s="1"/>
  <c r="CY793" i="42385"/>
  <c r="CQ793" i="42385"/>
  <c r="BW791" i="42385"/>
  <c r="BE791" i="42385"/>
  <c r="CW791" i="42385" s="1"/>
  <c r="AA791" i="42385"/>
  <c r="CQ791" i="42385" s="1"/>
  <c r="CQ790" i="42385"/>
  <c r="L778" i="42385"/>
  <c r="CN778" i="42385" s="1"/>
  <c r="AB771" i="42385"/>
  <c r="AA770" i="42385"/>
  <c r="CQ770" i="42385" s="1"/>
  <c r="AS710" i="42385"/>
  <c r="AU656" i="42385"/>
  <c r="AS647" i="42385"/>
  <c r="AX643" i="42385"/>
  <c r="BC643" i="42385" s="1"/>
  <c r="BH643" i="42385" s="1"/>
  <c r="BM643" i="42385" s="1"/>
  <c r="V632" i="42385"/>
  <c r="CP632" i="42385" s="1"/>
  <c r="AF630" i="42385"/>
  <c r="CR630" i="42385" s="1"/>
  <c r="AA629" i="42385"/>
  <c r="CQ629" i="42385" s="1"/>
  <c r="CQ618" i="42385"/>
  <c r="BJ538" i="42385"/>
  <c r="BJ532" i="42385"/>
  <c r="BO458" i="42385"/>
  <c r="AX460" i="42385"/>
  <c r="BN399" i="42385"/>
  <c r="BN400" i="42385" s="1"/>
  <c r="HR654" i="42417"/>
  <c r="H772" i="42385"/>
  <c r="U715" i="42385"/>
  <c r="BM700" i="42385"/>
  <c r="BM681" i="42385" s="1"/>
  <c r="AJ684" i="42385"/>
  <c r="AJ691" i="42385" s="1"/>
  <c r="BJ664" i="42385"/>
  <c r="AG648" i="42385"/>
  <c r="BO538" i="42385"/>
  <c r="AV483" i="42385"/>
  <c r="AZ436" i="42385"/>
  <c r="BE398" i="42385"/>
  <c r="Q385" i="42385"/>
  <c r="CO385" i="42385" s="1"/>
  <c r="BO822" i="42385"/>
  <c r="CY822" i="42385" s="1"/>
  <c r="AK822" i="42385"/>
  <c r="CS822" i="42385" s="1"/>
  <c r="CY821" i="42385"/>
  <c r="CS821" i="42385"/>
  <c r="AM809" i="42385"/>
  <c r="AH809" i="42385"/>
  <c r="Q809" i="42385"/>
  <c r="CO809" i="42385" s="1"/>
  <c r="AH807" i="42385"/>
  <c r="AA751" i="42385"/>
  <c r="R714" i="42385"/>
  <c r="H714" i="42385"/>
  <c r="V713" i="42385"/>
  <c r="CP713" i="42385" s="1"/>
  <c r="BE465" i="42385"/>
  <c r="AF410" i="42385"/>
  <c r="CR410" i="42385" s="1"/>
  <c r="Q410" i="42385"/>
  <c r="CO410" i="42385" s="1"/>
  <c r="AF400" i="42385"/>
  <c r="CR380" i="42385"/>
  <c r="AF381" i="42385"/>
  <c r="CR381" i="42385" s="1"/>
  <c r="CO824" i="42385"/>
  <c r="BE825" i="42385"/>
  <c r="CW825" i="42385" s="1"/>
  <c r="BE822" i="42385"/>
  <c r="CW822" i="42385" s="1"/>
  <c r="V822" i="42385"/>
  <c r="CP822" i="42385" s="1"/>
  <c r="F817" i="42385"/>
  <c r="AF811" i="42385"/>
  <c r="CR811" i="42385" s="1"/>
  <c r="L807" i="42385"/>
  <c r="CN807" i="42385" s="1"/>
  <c r="AA804" i="42385"/>
  <c r="CQ804" i="42385" s="1"/>
  <c r="AZ796" i="42385"/>
  <c r="AF791" i="42385"/>
  <c r="CR791" i="42385" s="1"/>
  <c r="AA778" i="42385"/>
  <c r="CQ778" i="42385" s="1"/>
  <c r="AA776" i="42385"/>
  <c r="CQ776" i="42385" s="1"/>
  <c r="AL771" i="42385"/>
  <c r="V749" i="42385"/>
  <c r="CP749" i="42385" s="1"/>
  <c r="AN717" i="42385"/>
  <c r="AN714" i="42385"/>
  <c r="G713" i="42385"/>
  <c r="AE684" i="42385"/>
  <c r="AE691" i="42385" s="1"/>
  <c r="AP656" i="42385"/>
  <c r="AN632" i="42385"/>
  <c r="CR618" i="42385"/>
  <c r="AR230" i="42385"/>
  <c r="AP604" i="42385"/>
  <c r="BO503" i="42385"/>
  <c r="CY503" i="42385" s="1"/>
  <c r="BM436" i="42385"/>
  <c r="BH438" i="42385"/>
  <c r="BQ430" i="42385"/>
  <c r="BI429" i="42385"/>
  <c r="AK402" i="42385"/>
  <c r="CS402" i="42385" s="1"/>
  <c r="BP399" i="42385"/>
  <c r="AF395" i="42385"/>
  <c r="CR395" i="42385" s="1"/>
  <c r="CQ380" i="42385"/>
  <c r="AA381" i="42385"/>
  <c r="CQ381" i="42385" s="1"/>
  <c r="BN218" i="42385"/>
  <c r="BN342" i="42385"/>
  <c r="V378" i="42385"/>
  <c r="CP378" i="42385" s="1"/>
  <c r="M376" i="42385"/>
  <c r="CN370" i="42385"/>
  <c r="AW99" i="42418"/>
  <c r="V368" i="42385"/>
  <c r="CP368" i="42385" s="1"/>
  <c r="CI291" i="42492"/>
  <c r="V357" i="42385"/>
  <c r="CP357" i="42385" s="1"/>
  <c r="AA355" i="42385"/>
  <c r="CQ355" i="42385" s="1"/>
  <c r="O354" i="42385"/>
  <c r="CN341" i="42385"/>
  <c r="AH340" i="42385"/>
  <c r="AI339" i="42385"/>
  <c r="BJ337" i="42385"/>
  <c r="AI337" i="42385"/>
  <c r="CR336" i="42385"/>
  <c r="B44" i="42410"/>
  <c r="C46" i="42410" s="1"/>
  <c r="L310" i="42385"/>
  <c r="CN310" i="42385" s="1"/>
  <c r="BT301" i="42385"/>
  <c r="CZ301" i="42385" s="1"/>
  <c r="BJ301" i="42385"/>
  <c r="CX301" i="42385" s="1"/>
  <c r="V301" i="42385"/>
  <c r="CP301" i="42385" s="1"/>
  <c r="BJ298" i="42385"/>
  <c r="CX298" i="42385" s="1"/>
  <c r="V297" i="42385"/>
  <c r="CP297" i="42385" s="1"/>
  <c r="AA296" i="42385"/>
  <c r="CQ296" i="42385" s="1"/>
  <c r="AA295" i="42385"/>
  <c r="CQ295" i="42385" s="1"/>
  <c r="BE274" i="42385"/>
  <c r="V267" i="42385"/>
  <c r="Q244" i="42385"/>
  <c r="CO244" i="42385" s="1"/>
  <c r="V236" i="42385"/>
  <c r="Q236" i="42385"/>
  <c r="CO236" i="42385" s="1"/>
  <c r="L236" i="42385"/>
  <c r="CN236" i="42385" s="1"/>
  <c r="AA230" i="42385"/>
  <c r="CQ230" i="42385" s="1"/>
  <c r="BY227" i="42385"/>
  <c r="DA227" i="42385" s="1"/>
  <c r="V227" i="42385"/>
  <c r="CP227" i="42385" s="1"/>
  <c r="L223" i="42385"/>
  <c r="CN223" i="42385" s="1"/>
  <c r="AA222" i="42385"/>
  <c r="CQ222" i="42385" s="1"/>
  <c r="H131" i="42385"/>
  <c r="H163" i="42385"/>
  <c r="H165" i="42385"/>
  <c r="H166" i="42385" s="1"/>
  <c r="H134" i="42385" s="1"/>
  <c r="W305" i="42385"/>
  <c r="AA280" i="42385"/>
  <c r="CQ280" i="42385" s="1"/>
  <c r="L280" i="42385"/>
  <c r="CN280" i="42385" s="1"/>
  <c r="BO274" i="42385"/>
  <c r="CY274" i="42385" s="1"/>
  <c r="V270" i="42385"/>
  <c r="CP270" i="42385" s="1"/>
  <c r="G270" i="42385"/>
  <c r="CM270" i="42385" s="1"/>
  <c r="Q269" i="42385"/>
  <c r="CO269" i="42385" s="1"/>
  <c r="V254" i="42385"/>
  <c r="CP254" i="42385" s="1"/>
  <c r="AA245" i="42385"/>
  <c r="CQ245" i="42385" s="1"/>
  <c r="AM11" i="42385"/>
  <c r="AA242" i="42385"/>
  <c r="CQ242" i="42385" s="1"/>
  <c r="AA236" i="42385"/>
  <c r="CQ236" i="42385" s="1"/>
  <c r="CX367" i="42385"/>
  <c r="AU368" i="42385"/>
  <c r="CU368" i="42385" s="1"/>
  <c r="Q350" i="42385"/>
  <c r="CO350" i="42385" s="1"/>
  <c r="Q310" i="42385"/>
  <c r="CO310" i="42385" s="1"/>
  <c r="G310" i="42385"/>
  <c r="CM310" i="42385" s="1"/>
  <c r="BY301" i="42385"/>
  <c r="DA301" i="42385" s="1"/>
  <c r="AK301" i="42385"/>
  <c r="CS301" i="42385" s="1"/>
  <c r="G300" i="42385"/>
  <c r="CM300" i="42385" s="1"/>
  <c r="BY298" i="42385"/>
  <c r="DA298" i="42385" s="1"/>
  <c r="G287" i="42385"/>
  <c r="CM287" i="42385" s="1"/>
  <c r="AA286" i="42385"/>
  <c r="CQ286" i="42385" s="1"/>
  <c r="AF280" i="42385"/>
  <c r="V280" i="42385"/>
  <c r="Q270" i="42385"/>
  <c r="CO270" i="42385" s="1"/>
  <c r="V269" i="42385"/>
  <c r="CP269" i="42385" s="1"/>
  <c r="Q267" i="42385"/>
  <c r="CO267" i="42385" s="1"/>
  <c r="L267" i="42385"/>
  <c r="CN267" i="42385" s="1"/>
  <c r="BE254" i="42385"/>
  <c r="CW254" i="42385" s="1"/>
  <c r="BY247" i="42385"/>
  <c r="DA247" i="42385" s="1"/>
  <c r="BO247" i="42385"/>
  <c r="CY247" i="42385" s="1"/>
  <c r="BT245" i="42385"/>
  <c r="CZ245" i="42385" s="1"/>
  <c r="AK244" i="42385"/>
  <c r="CS244" i="42385" s="1"/>
  <c r="Q242" i="42385"/>
  <c r="CO242" i="42385" s="1"/>
  <c r="V237" i="42385"/>
  <c r="Q237" i="42385"/>
  <c r="CO237" i="42385" s="1"/>
  <c r="L237" i="42385"/>
  <c r="CN237" i="42385" s="1"/>
  <c r="AK236" i="42385"/>
  <c r="V223" i="42385"/>
  <c r="CP223" i="42385" s="1"/>
  <c r="G221" i="42385"/>
  <c r="CM221" i="42385" s="1"/>
  <c r="DB59" i="42385"/>
  <c r="CA59" i="42385"/>
  <c r="DC59" i="42385" s="1"/>
  <c r="BZ109" i="42385"/>
  <c r="DB109" i="42385" s="1"/>
  <c r="K373" i="42385"/>
  <c r="Q371" i="42385"/>
  <c r="CO371" i="42385" s="1"/>
  <c r="BO368" i="42385"/>
  <c r="CY368" i="42385" s="1"/>
  <c r="BY291" i="42492"/>
  <c r="V353" i="42385"/>
  <c r="CP353" i="42385" s="1"/>
  <c r="C344" i="42385"/>
  <c r="C345" i="42385" s="1"/>
  <c r="Q342" i="42385"/>
  <c r="CO342" i="42385" s="1"/>
  <c r="AY339" i="42385"/>
  <c r="AY340" i="42385" s="1"/>
  <c r="AY341" i="42385" s="1"/>
  <c r="BO337" i="42385"/>
  <c r="BO336" i="42385"/>
  <c r="CY336" i="42385" s="1"/>
  <c r="AF333" i="42385"/>
  <c r="AF337" i="42385" s="1"/>
  <c r="BO311" i="42385"/>
  <c r="BE310" i="42385"/>
  <c r="CW310" i="42385" s="1"/>
  <c r="Q301" i="42385"/>
  <c r="CO301" i="42385" s="1"/>
  <c r="AP300" i="42385"/>
  <c r="CT300" i="42385" s="1"/>
  <c r="AF300" i="42385"/>
  <c r="Q300" i="42385"/>
  <c r="CO300" i="42385" s="1"/>
  <c r="O305" i="42385"/>
  <c r="AK294" i="42385"/>
  <c r="CS294" i="42385" s="1"/>
  <c r="Q294" i="42385"/>
  <c r="CO294" i="42385" s="1"/>
  <c r="V284" i="42385"/>
  <c r="CP284" i="42385" s="1"/>
  <c r="G280" i="42385"/>
  <c r="CM280" i="42385" s="1"/>
  <c r="BT274" i="42385"/>
  <c r="CZ274" i="42385" s="1"/>
  <c r="AP269" i="42385"/>
  <c r="CT269" i="42385" s="1"/>
  <c r="AF269" i="42385"/>
  <c r="CR269" i="42385" s="1"/>
  <c r="AA269" i="42385"/>
  <c r="CQ269" i="42385" s="1"/>
  <c r="G269" i="42385"/>
  <c r="CM269" i="42385" s="1"/>
  <c r="V268" i="42385"/>
  <c r="CP268" i="42385" s="1"/>
  <c r="V265" i="42385"/>
  <c r="CP265" i="42385" s="1"/>
  <c r="AA254" i="42385"/>
  <c r="CQ254" i="42385" s="1"/>
  <c r="AA247" i="42385"/>
  <c r="CQ247" i="42385" s="1"/>
  <c r="L247" i="42385"/>
  <c r="CN247" i="42385" s="1"/>
  <c r="G247" i="42385"/>
  <c r="CM247" i="42385" s="1"/>
  <c r="V244" i="42385"/>
  <c r="W39" i="42417" s="1"/>
  <c r="V243" i="42385"/>
  <c r="Q240" i="42385"/>
  <c r="CO240" i="42385" s="1"/>
  <c r="AK237" i="42385"/>
  <c r="AK234" i="42385"/>
  <c r="L230" i="42385"/>
  <c r="CN230" i="42385" s="1"/>
  <c r="BT227" i="42385"/>
  <c r="CZ227" i="42385" s="1"/>
  <c r="Q227" i="42385"/>
  <c r="CO227" i="42385" s="1"/>
  <c r="V222" i="42385"/>
  <c r="CP222" i="42385" s="1"/>
  <c r="Q222" i="42385"/>
  <c r="CO222" i="42385" s="1"/>
  <c r="X165" i="42385"/>
  <c r="X166" i="42385" s="1"/>
  <c r="X134" i="42385" s="1"/>
  <c r="X163" i="42385"/>
  <c r="AF219" i="42385"/>
  <c r="Q219" i="42385"/>
  <c r="CO219" i="42385" s="1"/>
  <c r="L218" i="42385"/>
  <c r="CN218" i="42385" s="1"/>
  <c r="AL130" i="42385"/>
  <c r="BF131" i="42385"/>
  <c r="BF118" i="42385"/>
  <c r="BL129" i="42385"/>
  <c r="AC129" i="42385"/>
  <c r="P113" i="42385"/>
  <c r="D113" i="42385"/>
  <c r="AA117" i="42385"/>
  <c r="CQ117" i="42385" s="1"/>
  <c r="V117" i="42385"/>
  <c r="CP117" i="42385" s="1"/>
  <c r="Q111" i="42385"/>
  <c r="CO111" i="42385" s="1"/>
  <c r="Q108" i="42385"/>
  <c r="CO108" i="42385" s="1"/>
  <c r="AA85" i="42385"/>
  <c r="CQ85" i="42385" s="1"/>
  <c r="AP73" i="42385"/>
  <c r="CT73" i="42385" s="1"/>
  <c r="AZ71" i="42385"/>
  <c r="CV71" i="42385" s="1"/>
  <c r="BJ59" i="42385"/>
  <c r="CX59" i="42385" s="1"/>
  <c r="BJ1047" i="42385"/>
  <c r="BN1047" i="42385"/>
  <c r="BR1047" i="42385"/>
  <c r="BQ1047" i="42385"/>
  <c r="L221" i="42385"/>
  <c r="CN221" i="42385" s="1"/>
  <c r="L220" i="42385"/>
  <c r="CN220" i="42385" s="1"/>
  <c r="V219" i="42385"/>
  <c r="L219" i="42385"/>
  <c r="CN219" i="42385" s="1"/>
  <c r="AK218" i="42385"/>
  <c r="Q218" i="42385"/>
  <c r="CO218" i="42385" s="1"/>
  <c r="L110" i="42385"/>
  <c r="CN110" i="42385" s="1"/>
  <c r="AF109" i="42385"/>
  <c r="CR109" i="42385" s="1"/>
  <c r="BE160" i="42385"/>
  <c r="BC158" i="42385"/>
  <c r="BD158" i="42385" s="1"/>
  <c r="BY85" i="42385"/>
  <c r="G85" i="42385"/>
  <c r="AF73" i="42385"/>
  <c r="CR73" i="42385" s="1"/>
  <c r="BO62" i="42385"/>
  <c r="BO47" i="42385"/>
  <c r="CY47" i="42385" s="1"/>
  <c r="BE5" i="42385"/>
  <c r="G222" i="42385"/>
  <c r="CM222" i="42385" s="1"/>
  <c r="V220" i="42385"/>
  <c r="CP220" i="42385" s="1"/>
  <c r="BD159" i="42385"/>
  <c r="BE159" i="42385" s="1"/>
  <c r="BF159" i="42385" s="1"/>
  <c r="AO133" i="42385"/>
  <c r="N129" i="42385"/>
  <c r="Q117" i="42385"/>
  <c r="CO117" i="42385" s="1"/>
  <c r="V115" i="42385"/>
  <c r="CP115" i="42385" s="1"/>
  <c r="V111" i="42385"/>
  <c r="CP111" i="42385" s="1"/>
  <c r="L111" i="42385"/>
  <c r="CN111" i="42385" s="1"/>
  <c r="AA109" i="42385"/>
  <c r="CQ109" i="42385" s="1"/>
  <c r="Q109" i="42385"/>
  <c r="CO109" i="42385" s="1"/>
  <c r="L108" i="42385"/>
  <c r="CN108" i="42385" s="1"/>
  <c r="AK107" i="42385"/>
  <c r="CS107" i="42385" s="1"/>
  <c r="L85" i="42385"/>
  <c r="BJ76" i="42385"/>
  <c r="AK73" i="42385"/>
  <c r="CS73" i="42385" s="1"/>
  <c r="AP48" i="42385"/>
  <c r="AP83" i="42385" s="1"/>
  <c r="BM15" i="42385"/>
  <c r="G5" i="42385"/>
  <c r="AB194" i="42400"/>
  <c r="AB1019" i="42385" s="1"/>
  <c r="AB1020" i="42385" s="1"/>
  <c r="BC269" i="42385"/>
  <c r="BC470" i="42385"/>
  <c r="CT5" i="42385"/>
  <c r="AP657" i="42385"/>
  <c r="AT1156" i="42385"/>
  <c r="AU1155" i="42385"/>
  <c r="CU1155" i="42385" s="1"/>
  <c r="CP5" i="42385"/>
  <c r="AP1289" i="42385"/>
  <c r="CT1289" i="42385" s="1"/>
  <c r="CM284" i="42385"/>
  <c r="BI1300" i="42385"/>
  <c r="BJ1300" i="42385" s="1"/>
  <c r="CX1300" i="42385" s="1"/>
  <c r="BO686" i="42385"/>
  <c r="AB117" i="42408" s="1"/>
  <c r="AB123" i="42408" s="1"/>
  <c r="AP1120" i="42385"/>
  <c r="CT1120" i="42385" s="1"/>
  <c r="AU1282" i="42385"/>
  <c r="CU1282" i="42385" s="1"/>
  <c r="BJ1282" i="42385"/>
  <c r="CX1282" i="42385" s="1"/>
  <c r="AK1306" i="42385"/>
  <c r="CS1306" i="42385" s="1"/>
  <c r="BE1306" i="42385"/>
  <c r="CW1306" i="42385" s="1"/>
  <c r="AO1306" i="42385"/>
  <c r="AO1314" i="42385" s="1"/>
  <c r="AF1616" i="42385"/>
  <c r="CR1616" i="42385" s="1"/>
  <c r="AD1617" i="42385"/>
  <c r="AE1617" i="42385"/>
  <c r="AF1617" i="42385" s="1"/>
  <c r="CR1617" i="42385" s="1"/>
  <c r="F1613" i="42385"/>
  <c r="E1614" i="42385"/>
  <c r="AA1610" i="42385"/>
  <c r="CQ1610" i="42385" s="1"/>
  <c r="CQ1607" i="42385"/>
  <c r="Y1567" i="42385"/>
  <c r="Y1585" i="42385"/>
  <c r="I1567" i="42385"/>
  <c r="I1660" i="42385"/>
  <c r="E1567" i="42385"/>
  <c r="E1660" i="42385"/>
  <c r="AN1593" i="42385"/>
  <c r="AA63" i="42385"/>
  <c r="CQ63" i="42385" s="1"/>
  <c r="CQ1556" i="42385"/>
  <c r="BJ1550" i="42385"/>
  <c r="Q1543" i="42385"/>
  <c r="CO1543" i="42385" s="1"/>
  <c r="M1554" i="42385"/>
  <c r="W1554" i="42385"/>
  <c r="S1554" i="42385"/>
  <c r="BU1240" i="42385"/>
  <c r="AU1299" i="42385"/>
  <c r="CU1299" i="42385" s="1"/>
  <c r="AY1640" i="42385"/>
  <c r="CV1640" i="42385"/>
  <c r="Q1616" i="42385"/>
  <c r="CO1616" i="42385" s="1"/>
  <c r="T1617" i="42385"/>
  <c r="R1617" i="42385"/>
  <c r="AF1542" i="42385"/>
  <c r="CR1542" i="42385" s="1"/>
  <c r="V1542" i="42385"/>
  <c r="CP1542" i="42385" s="1"/>
  <c r="AP1540" i="42385"/>
  <c r="CT1540" i="42385" s="1"/>
  <c r="AA1540" i="42385"/>
  <c r="CQ1540" i="42385" s="1"/>
  <c r="BT1539" i="42385"/>
  <c r="CZ1539" i="42385" s="1"/>
  <c r="BJ1539" i="42385"/>
  <c r="CX1539" i="42385" s="1"/>
  <c r="AA1539" i="42385"/>
  <c r="CQ1539" i="42385" s="1"/>
  <c r="AJ1554" i="42385"/>
  <c r="AG1554" i="42385"/>
  <c r="AC1617" i="42385"/>
  <c r="BF1617" i="42385"/>
  <c r="BD1617" i="42385"/>
  <c r="BE1617" i="42385" s="1"/>
  <c r="CW1617" i="42385" s="1"/>
  <c r="BG1617" i="42385"/>
  <c r="AI1577" i="42385"/>
  <c r="V1540" i="42385"/>
  <c r="CP1540" i="42385" s="1"/>
  <c r="Q1540" i="42385"/>
  <c r="CO1540" i="42385" s="1"/>
  <c r="V1539" i="42385"/>
  <c r="CP1539" i="42385" s="1"/>
  <c r="AV1623" i="42385"/>
  <c r="BH1617" i="42385"/>
  <c r="T1611" i="42385"/>
  <c r="R1611" i="42385"/>
  <c r="CZ1608" i="42385"/>
  <c r="BT1611" i="42385"/>
  <c r="CZ1611" i="42385" s="1"/>
  <c r="CV1608" i="42385"/>
  <c r="AZ1610" i="42385"/>
  <c r="CV1610" i="42385" s="1"/>
  <c r="DA1607" i="42385"/>
  <c r="BO1611" i="42385"/>
  <c r="CY1611" i="42385" s="1"/>
  <c r="CY1607" i="42385"/>
  <c r="BE1542" i="42385"/>
  <c r="CW1542" i="42385" s="1"/>
  <c r="AA1542" i="42385"/>
  <c r="CQ1542" i="42385" s="1"/>
  <c r="BO1539" i="42385"/>
  <c r="CY1539" i="42385" s="1"/>
  <c r="U1554" i="42385"/>
  <c r="F1554" i="42385"/>
  <c r="AU1511" i="42385"/>
  <c r="AU1500" i="42385" s="1"/>
  <c r="N1510" i="42385"/>
  <c r="Z1500" i="42385"/>
  <c r="G1449" i="42385"/>
  <c r="CM1449" i="42385" s="1"/>
  <c r="AE1432" i="42385"/>
  <c r="AF1432" i="42385" s="1"/>
  <c r="CR1432" i="42385" s="1"/>
  <c r="AF1411" i="42385"/>
  <c r="CR1409" i="42385"/>
  <c r="D1424" i="42385"/>
  <c r="AE1291" i="42385"/>
  <c r="AF1291" i="42385" s="1"/>
  <c r="CR1291" i="42385" s="1"/>
  <c r="AR1640" i="42385"/>
  <c r="K1554" i="42385"/>
  <c r="V1531" i="42385"/>
  <c r="CP1531" i="42385" s="1"/>
  <c r="Z1510" i="42385"/>
  <c r="BJ1452" i="42385"/>
  <c r="CX1452" i="42385" s="1"/>
  <c r="BJ1450" i="42385"/>
  <c r="CX1450" i="42385" s="1"/>
  <c r="BJ1458" i="42385"/>
  <c r="BJ1465" i="42385"/>
  <c r="AS1451" i="42385"/>
  <c r="AS1482" i="42385" s="1"/>
  <c r="AS1452" i="42385"/>
  <c r="AS1483" i="42385" s="1"/>
  <c r="BP1361" i="42385"/>
  <c r="BQ1361" i="42385" s="1"/>
  <c r="CY1361" i="42385"/>
  <c r="BP1360" i="42385"/>
  <c r="BQ1360" i="42385" s="1"/>
  <c r="BR1360" i="42385" s="1"/>
  <c r="BS1360" i="42385" s="1"/>
  <c r="BT1360" i="42385" s="1"/>
  <c r="CY1360" i="42385"/>
  <c r="BU1343" i="42385"/>
  <c r="BV1343" i="42385" s="1"/>
  <c r="BW1343" i="42385" s="1"/>
  <c r="BX1343" i="42385" s="1"/>
  <c r="BY1343" i="42385" s="1"/>
  <c r="CZ1343" i="42385"/>
  <c r="AK1531" i="42385"/>
  <c r="CS1531" i="42385" s="1"/>
  <c r="L1525" i="42385"/>
  <c r="AT1510" i="42385"/>
  <c r="AU1510" i="42385" s="1"/>
  <c r="CU1510" i="42385" s="1"/>
  <c r="AU1454" i="42385"/>
  <c r="CU1454" i="42385" s="1"/>
  <c r="AK1454" i="42385"/>
  <c r="CS1454" i="42385" s="1"/>
  <c r="Q1454" i="42385"/>
  <c r="CO1454" i="42385" s="1"/>
  <c r="T1424" i="42385"/>
  <c r="T1426" i="42385" s="1"/>
  <c r="AE1324" i="42385"/>
  <c r="AP1296" i="42385"/>
  <c r="CT1296" i="42385" s="1"/>
  <c r="AK1292" i="42385"/>
  <c r="CS1292" i="42385" s="1"/>
  <c r="AO1290" i="42385"/>
  <c r="AP1290" i="42385" s="1"/>
  <c r="CT1290" i="42385" s="1"/>
  <c r="CX1511" i="42385"/>
  <c r="X1424" i="42385"/>
  <c r="AG1357" i="42385"/>
  <c r="CR1357" i="42385"/>
  <c r="BL1314" i="42385"/>
  <c r="BM1304" i="42385"/>
  <c r="BI1292" i="42385"/>
  <c r="BJ1292" i="42385" s="1"/>
  <c r="BD1291" i="42385"/>
  <c r="BE1291" i="42385" s="1"/>
  <c r="CW1291" i="42385" s="1"/>
  <c r="AZ1450" i="42385"/>
  <c r="CV1450" i="42385" s="1"/>
  <c r="CZ1419" i="42385"/>
  <c r="AZ1418" i="42385"/>
  <c r="AF1416" i="42385"/>
  <c r="CS1415" i="42385"/>
  <c r="CU1413" i="42385"/>
  <c r="AG1413" i="42385"/>
  <c r="AH1413" i="42385" s="1"/>
  <c r="AZ1409" i="42385"/>
  <c r="CQ1408" i="42385"/>
  <c r="AE1402" i="42385"/>
  <c r="BA1400" i="42385"/>
  <c r="BA1498" i="42385" s="1"/>
  <c r="BA1382" i="42385"/>
  <c r="CM1382" i="42385"/>
  <c r="AK1379" i="42385"/>
  <c r="AZ1371" i="42385"/>
  <c r="BN1364" i="42385"/>
  <c r="BJ1364" i="42385"/>
  <c r="CX1364" i="42385" s="1"/>
  <c r="BK1360" i="42385"/>
  <c r="CV1357" i="42385"/>
  <c r="F26" i="42465"/>
  <c r="BN1351" i="42385"/>
  <c r="AU1351" i="42385"/>
  <c r="BJ1349" i="42385"/>
  <c r="CX1349" i="42385" s="1"/>
  <c r="B23" i="42465"/>
  <c r="BM1325" i="42385"/>
  <c r="BC111" i="42385"/>
  <c r="AE1311" i="42385"/>
  <c r="BD1308" i="42385"/>
  <c r="AX1308" i="42385"/>
  <c r="BM1305" i="42385"/>
  <c r="AD1296" i="42385"/>
  <c r="AE1296" i="42385" s="1"/>
  <c r="AF1296" i="42385" s="1"/>
  <c r="CR1296" i="42385" s="1"/>
  <c r="BN1295" i="42385"/>
  <c r="BO1295" i="42385" s="1"/>
  <c r="CY1295" i="42385" s="1"/>
  <c r="AX1295" i="42385"/>
  <c r="AY1295" i="42385" s="1"/>
  <c r="BC1292" i="42385"/>
  <c r="AN1292" i="42385"/>
  <c r="AO1292" i="42385" s="1"/>
  <c r="AJ1287" i="42385"/>
  <c r="BG110" i="42385"/>
  <c r="AM110" i="42385"/>
  <c r="AN1283" i="42385"/>
  <c r="AO1283" i="42385" s="1"/>
  <c r="AP1283" i="42385" s="1"/>
  <c r="CT1283" i="42385" s="1"/>
  <c r="BL1282" i="42385"/>
  <c r="BN1282" i="42385" s="1"/>
  <c r="BO1282" i="42385" s="1"/>
  <c r="CY1282" i="42385" s="1"/>
  <c r="BN1281" i="42385"/>
  <c r="BO1281" i="42385" s="1"/>
  <c r="BL108" i="42385"/>
  <c r="AK1107" i="42385"/>
  <c r="AF1283" i="42385"/>
  <c r="CR1283" i="42385" s="1"/>
  <c r="BI1281" i="42385"/>
  <c r="AS1281" i="42385"/>
  <c r="AR108" i="42385"/>
  <c r="BD1156" i="42385"/>
  <c r="BD1170" i="42385" s="1"/>
  <c r="BI1155" i="42385"/>
  <c r="AO1121" i="42385"/>
  <c r="AN1124" i="42385"/>
  <c r="AN1552" i="42385" s="1"/>
  <c r="AR1450" i="42385"/>
  <c r="AR1481" i="42385" s="1"/>
  <c r="G1375" i="42385"/>
  <c r="CM1375" i="42385" s="1"/>
  <c r="CY1355" i="42385"/>
  <c r="CW1354" i="42385"/>
  <c r="BO1299" i="42385"/>
  <c r="CY1299" i="42385" s="1"/>
  <c r="AY1291" i="42385"/>
  <c r="BG108" i="42385"/>
  <c r="AO1281" i="42385"/>
  <c r="AK1280" i="42385"/>
  <c r="CS1280" i="42385" s="1"/>
  <c r="BC1156" i="42385"/>
  <c r="BH1155" i="42385"/>
  <c r="J258" i="42385"/>
  <c r="L256" i="42385"/>
  <c r="G1411" i="42385"/>
  <c r="CV1341" i="42385"/>
  <c r="BR1265" i="42385"/>
  <c r="BR1262" i="42385" s="1"/>
  <c r="BO1172" i="42385"/>
  <c r="CY1172" i="42385" s="1"/>
  <c r="AO1118" i="42385"/>
  <c r="AA1124" i="42385"/>
  <c r="CQ1124" i="42385" s="1"/>
  <c r="AI1116" i="42385"/>
  <c r="AD1116" i="42385"/>
  <c r="AL312" i="42385"/>
  <c r="AL23" i="42385" s="1"/>
  <c r="AL24" i="42385" s="1"/>
  <c r="AL40" i="42385" s="1"/>
  <c r="Y1108" i="42385"/>
  <c r="R1108" i="42385"/>
  <c r="AJ1107" i="42385"/>
  <c r="AD256" i="42385"/>
  <c r="CS1102" i="42385"/>
  <c r="CN1098" i="42385"/>
  <c r="AJ1097" i="42385"/>
  <c r="AJ310" i="42385"/>
  <c r="W1092" i="42385"/>
  <c r="S1092" i="42385"/>
  <c r="Q1091" i="42385"/>
  <c r="AF1089" i="42385"/>
  <c r="CR1089" i="42385" s="1"/>
  <c r="CS1088" i="42385"/>
  <c r="N1016" i="42385"/>
  <c r="N1017" i="42385" s="1"/>
  <c r="BT884" i="42385"/>
  <c r="CZ884" i="42385" s="1"/>
  <c r="BT276" i="42400"/>
  <c r="BT296" i="42400" s="1"/>
  <c r="CZ883" i="42385"/>
  <c r="BT84" i="42400"/>
  <c r="BT99" i="42400" s="1"/>
  <c r="CZ821" i="42385"/>
  <c r="AU980" i="42385"/>
  <c r="CU980" i="42385" s="1"/>
  <c r="AP977" i="42385"/>
  <c r="CT977" i="42385" s="1"/>
  <c r="L950" i="42385"/>
  <c r="CN950" i="42385" s="1"/>
  <c r="V949" i="42385"/>
  <c r="CP949" i="42385" s="1"/>
  <c r="CM948" i="42385"/>
  <c r="AK218" i="42400"/>
  <c r="V946" i="42385"/>
  <c r="CP946" i="42385" s="1"/>
  <c r="CP945" i="42385"/>
  <c r="CZ785" i="42385"/>
  <c r="AD1108" i="42385"/>
  <c r="AT1102" i="42385"/>
  <c r="AU1011" i="42385"/>
  <c r="CU1011" i="42385" s="1"/>
  <c r="BT979" i="42385"/>
  <c r="CX976" i="42385"/>
  <c r="CO951" i="42385"/>
  <c r="CR930" i="42385"/>
  <c r="AN889" i="42385"/>
  <c r="AS888" i="42385"/>
  <c r="AS889" i="42385" s="1"/>
  <c r="BQ826" i="42385"/>
  <c r="BQ827" i="42385" s="1"/>
  <c r="BQ828" i="42385" s="1"/>
  <c r="BP827" i="42385"/>
  <c r="BP241" i="42385" s="1"/>
  <c r="BX979" i="42385"/>
  <c r="BX151" i="42400" s="1"/>
  <c r="CR965" i="42385"/>
  <c r="V952" i="42385"/>
  <c r="CP952" i="42385" s="1"/>
  <c r="Q949" i="42385"/>
  <c r="CO949" i="42385" s="1"/>
  <c r="CW948" i="42385"/>
  <c r="CO948" i="42385"/>
  <c r="AF946" i="42385"/>
  <c r="CR946" i="42385" s="1"/>
  <c r="G873" i="42385"/>
  <c r="CM873" i="42385" s="1"/>
  <c r="V869" i="42385"/>
  <c r="CP869" i="42385" s="1"/>
  <c r="CP868" i="42385"/>
  <c r="BL242" i="42385"/>
  <c r="AA856" i="42385"/>
  <c r="CQ856" i="42385" s="1"/>
  <c r="CV855" i="42385"/>
  <c r="Z48" i="42443"/>
  <c r="P48" i="42443"/>
  <c r="P50" i="42443" s="1"/>
  <c r="L853" i="42385"/>
  <c r="CN853" i="42385" s="1"/>
  <c r="CV852" i="42385"/>
  <c r="AP60" i="42400"/>
  <c r="AP73" i="42400" s="1"/>
  <c r="AK838" i="42385"/>
  <c r="CS838" i="42385" s="1"/>
  <c r="AK840" i="42385"/>
  <c r="CS840" i="42385" s="1"/>
  <c r="AV828" i="42385"/>
  <c r="BG241" i="42385"/>
  <c r="AR241" i="42385"/>
  <c r="BJ825" i="42385"/>
  <c r="CX825" i="42385" s="1"/>
  <c r="AP825" i="42385"/>
  <c r="CT825" i="42385" s="1"/>
  <c r="CP824" i="42385"/>
  <c r="U24" i="42443"/>
  <c r="K24" i="42443"/>
  <c r="BS84" i="42400"/>
  <c r="BS99" i="42400" s="1"/>
  <c r="AY240" i="42385"/>
  <c r="F17" i="42443"/>
  <c r="BN670" i="42385"/>
  <c r="BS670" i="42385" s="1"/>
  <c r="BI683" i="42385"/>
  <c r="BM532" i="42385"/>
  <c r="BM546" i="42385" s="1"/>
  <c r="BR531" i="42385"/>
  <c r="BW531" i="42385" s="1"/>
  <c r="BR222" i="42385"/>
  <c r="BR460" i="42385"/>
  <c r="O406" i="42385"/>
  <c r="O405" i="42385"/>
  <c r="AP384" i="42385"/>
  <c r="AQ384" i="42385"/>
  <c r="Q918" i="42385"/>
  <c r="CO918" i="42385" s="1"/>
  <c r="CN917" i="42385"/>
  <c r="BO915" i="42385"/>
  <c r="CY915" i="42385" s="1"/>
  <c r="AA915" i="42385"/>
  <c r="CQ915" i="42385" s="1"/>
  <c r="BX914" i="42385"/>
  <c r="AA902" i="42385"/>
  <c r="CQ902" i="42385" s="1"/>
  <c r="CR889" i="42385"/>
  <c r="CM889" i="42385"/>
  <c r="CW886" i="42385"/>
  <c r="AZ884" i="42385"/>
  <c r="CV884" i="42385" s="1"/>
  <c r="BJ858" i="42385"/>
  <c r="CX858" i="42385" s="1"/>
  <c r="G770" i="42385"/>
  <c r="G771" i="42385" s="1"/>
  <c r="CM771" i="42385" s="1"/>
  <c r="AV748" i="42385"/>
  <c r="AR236" i="42385"/>
  <c r="AP748" i="42385"/>
  <c r="CT748" i="42385" s="1"/>
  <c r="CY538" i="42385"/>
  <c r="BO539" i="42385"/>
  <c r="CY539" i="42385" s="1"/>
  <c r="BO436" i="42385"/>
  <c r="AA918" i="42385"/>
  <c r="CQ918" i="42385" s="1"/>
  <c r="BJ915" i="42385"/>
  <c r="CX915" i="42385" s="1"/>
  <c r="V915" i="42385"/>
  <c r="CP915" i="42385" s="1"/>
  <c r="AP903" i="42385"/>
  <c r="BT886" i="42385"/>
  <c r="BT887" i="42385" s="1"/>
  <c r="CZ887" i="42385" s="1"/>
  <c r="AF884" i="42385"/>
  <c r="CR884" i="42385" s="1"/>
  <c r="BX883" i="42385"/>
  <c r="BX276" i="42400" s="1"/>
  <c r="BX296" i="42400" s="1"/>
  <c r="V856" i="42385"/>
  <c r="CP856" i="42385" s="1"/>
  <c r="CT852" i="42385"/>
  <c r="AQ828" i="42385"/>
  <c r="CP827" i="42385"/>
  <c r="BN827" i="42385"/>
  <c r="AZ825" i="42385"/>
  <c r="CV825" i="42385" s="1"/>
  <c r="Q825" i="42385"/>
  <c r="CO825" i="42385" s="1"/>
  <c r="CV824" i="42385"/>
  <c r="BX824" i="42385"/>
  <c r="G775" i="42385"/>
  <c r="CM775" i="42385" s="1"/>
  <c r="AS767" i="42385"/>
  <c r="AK718" i="42385"/>
  <c r="CS718" i="42385" s="1"/>
  <c r="AR594" i="42385"/>
  <c r="AM595" i="42385"/>
  <c r="AN595" i="42385" s="1"/>
  <c r="AU437" i="42385"/>
  <c r="CU437" i="42385" s="1"/>
  <c r="BD221" i="42385"/>
  <c r="BD1233" i="42385" s="1"/>
  <c r="BD434" i="42385"/>
  <c r="BD431" i="42385"/>
  <c r="AY221" i="42385"/>
  <c r="AY434" i="42385"/>
  <c r="AY440" i="42385"/>
  <c r="CZ390" i="42385"/>
  <c r="BV390" i="42385"/>
  <c r="BW390" i="42385" s="1"/>
  <c r="BX390" i="42385" s="1"/>
  <c r="BY390" i="42385" s="1"/>
  <c r="AP918" i="42385"/>
  <c r="CT918" i="42385" s="1"/>
  <c r="AK918" i="42385"/>
  <c r="CS918" i="42385" s="1"/>
  <c r="V918" i="42385"/>
  <c r="CP918" i="42385" s="1"/>
  <c r="CP917" i="42385"/>
  <c r="CN899" i="42385"/>
  <c r="AT888" i="42385"/>
  <c r="AT889" i="42385" s="1"/>
  <c r="BX821" i="42385"/>
  <c r="AH804" i="42385"/>
  <c r="AK804" i="42385" s="1"/>
  <c r="CS804" i="42385" s="1"/>
  <c r="CX790" i="42385"/>
  <c r="Q778" i="42385"/>
  <c r="CO778" i="42385" s="1"/>
  <c r="AW767" i="42385"/>
  <c r="AR237" i="42385"/>
  <c r="AP767" i="42385"/>
  <c r="CS763" i="42385"/>
  <c r="AW748" i="42385"/>
  <c r="AW236" i="42385" s="1"/>
  <c r="BV667" i="42385"/>
  <c r="BQ682" i="42385"/>
  <c r="BN222" i="42385"/>
  <c r="BN460" i="42385"/>
  <c r="BX681" i="42385"/>
  <c r="BG535" i="42385"/>
  <c r="BL532" i="42385"/>
  <c r="BH225" i="42385"/>
  <c r="BJ225" i="42385" s="1"/>
  <c r="CI296" i="42492"/>
  <c r="CD295" i="42492"/>
  <c r="BA438" i="42385"/>
  <c r="BQ431" i="42385"/>
  <c r="BE428" i="42385"/>
  <c r="CW428" i="42385" s="1"/>
  <c r="V414" i="42385"/>
  <c r="CP414" i="42385" s="1"/>
  <c r="AF413" i="42385"/>
  <c r="CR413" i="42385" s="1"/>
  <c r="AA410" i="42385"/>
  <c r="CQ410" i="42385" s="1"/>
  <c r="G410" i="42385"/>
  <c r="CM410" i="42385" s="1"/>
  <c r="CR401" i="42385"/>
  <c r="AQ220" i="42385"/>
  <c r="L400" i="42385"/>
  <c r="CN400" i="42385" s="1"/>
  <c r="BL399" i="42385"/>
  <c r="BD399" i="42385"/>
  <c r="AV399" i="42385"/>
  <c r="AV400" i="42385" s="1"/>
  <c r="CA292" i="42492"/>
  <c r="BX396" i="42385"/>
  <c r="BY396" i="42385" s="1"/>
  <c r="F373" i="42385"/>
  <c r="AK369" i="42385"/>
  <c r="CS369" i="42385" s="1"/>
  <c r="CS367" i="42385"/>
  <c r="AK368" i="42385"/>
  <c r="CS368" i="42385" s="1"/>
  <c r="CO367" i="42385"/>
  <c r="Q368" i="42385"/>
  <c r="CO368" i="42385" s="1"/>
  <c r="AO673" i="42385"/>
  <c r="AO675" i="42385" s="1"/>
  <c r="AY640" i="42385"/>
  <c r="AF486" i="42385"/>
  <c r="AY462" i="42385"/>
  <c r="AY467" i="42385" s="1"/>
  <c r="AY469" i="42385" s="1"/>
  <c r="BJ458" i="42385"/>
  <c r="BJ457" i="42385"/>
  <c r="CX457" i="42385" s="1"/>
  <c r="BF438" i="42385"/>
  <c r="V413" i="42385"/>
  <c r="CP413" i="42385" s="1"/>
  <c r="M404" i="42385"/>
  <c r="Y408" i="42385"/>
  <c r="AW36" i="42418"/>
  <c r="BK399" i="42385"/>
  <c r="BC399" i="42385"/>
  <c r="BX395" i="42385"/>
  <c r="I373" i="42385"/>
  <c r="E373" i="42385"/>
  <c r="AK371" i="42385"/>
  <c r="CS371" i="42385" s="1"/>
  <c r="AF369" i="42385"/>
  <c r="CR369" i="42385" s="1"/>
  <c r="CY367" i="42385"/>
  <c r="F326" i="42385"/>
  <c r="G320" i="42385"/>
  <c r="H320" i="42385" s="1"/>
  <c r="AR234" i="42385"/>
  <c r="AP710" i="42385"/>
  <c r="BJ686" i="42385"/>
  <c r="AB677" i="42385"/>
  <c r="Q369" i="42385"/>
  <c r="CO369" i="42385" s="1"/>
  <c r="CO370" i="42385"/>
  <c r="CZ328" i="42385"/>
  <c r="BU328" i="42385"/>
  <c r="BV328" i="42385" s="1"/>
  <c r="AF713" i="42385"/>
  <c r="L713" i="42385"/>
  <c r="BB710" i="42385"/>
  <c r="AX640" i="42385"/>
  <c r="AV438" i="42385"/>
  <c r="AV440" i="42385" s="1"/>
  <c r="BG399" i="42385"/>
  <c r="AS369" i="42385"/>
  <c r="AN370" i="42385"/>
  <c r="CW367" i="42385"/>
  <c r="CD291" i="42492"/>
  <c r="AA357" i="42385"/>
  <c r="CQ357" i="42385" s="1"/>
  <c r="BQ248" i="42385"/>
  <c r="AK254" i="42385"/>
  <c r="W46" i="42417"/>
  <c r="CP237" i="42385"/>
  <c r="Z139" i="42385"/>
  <c r="AA139" i="42385" s="1"/>
  <c r="CQ139" i="42385" s="1"/>
  <c r="M344" i="42385"/>
  <c r="M345" i="42385" s="1"/>
  <c r="BX334" i="42385"/>
  <c r="IK715" i="42417"/>
  <c r="IK742" i="42417" s="1"/>
  <c r="U139" i="42385"/>
  <c r="AB131" i="42385"/>
  <c r="AB165" i="42385"/>
  <c r="AB163" i="42385"/>
  <c r="BM113" i="42385"/>
  <c r="BM129" i="42385"/>
  <c r="BY254" i="42385"/>
  <c r="DA254" i="42385" s="1"/>
  <c r="AO137" i="42385"/>
  <c r="W118" i="42385"/>
  <c r="AE139" i="42385"/>
  <c r="AF139" i="42385" s="1"/>
  <c r="CR139" i="42385" s="1"/>
  <c r="AI11" i="42385"/>
  <c r="AK155" i="42385"/>
  <c r="AF153" i="42385"/>
  <c r="CR153" i="42385" s="1"/>
  <c r="AJ141" i="42385"/>
  <c r="AK141" i="42385" s="1"/>
  <c r="CS141" i="42385" s="1"/>
  <c r="Y137" i="42385"/>
  <c r="U137" i="42385"/>
  <c r="V137" i="42385" s="1"/>
  <c r="AY130" i="42385"/>
  <c r="BL113" i="42385"/>
  <c r="BG113" i="42385"/>
  <c r="AD127" i="42385"/>
  <c r="Z127" i="42385"/>
  <c r="E180" i="42385"/>
  <c r="F180" i="42385" s="1"/>
  <c r="G180" i="42385" s="1"/>
  <c r="BW130" i="42385"/>
  <c r="L139" i="42385"/>
  <c r="CN139" i="42385" s="1"/>
  <c r="Q115" i="42385"/>
  <c r="CO115" i="42385" s="1"/>
  <c r="AF230" i="42385"/>
  <c r="AF220" i="42385"/>
  <c r="AF218" i="42385"/>
  <c r="X38" i="42417" s="1"/>
  <c r="AB8" i="42476"/>
  <c r="BP50" i="42385"/>
  <c r="BP27" i="42385"/>
  <c r="BA27" i="42385"/>
  <c r="BA50" i="42385"/>
  <c r="AF222" i="42385"/>
  <c r="CR222" i="42385" s="1"/>
  <c r="J127" i="42385"/>
  <c r="CY101" i="42385"/>
  <c r="V24" i="42476"/>
  <c r="O9" i="42472"/>
  <c r="M9" i="42472"/>
  <c r="D12" i="42465"/>
  <c r="AB95" i="42492"/>
  <c r="AV30" i="42385"/>
  <c r="AZ14" i="42385"/>
  <c r="AF1506" i="42385"/>
  <c r="CR1506" i="42385" s="1"/>
  <c r="AU48" i="42385"/>
  <c r="AU53" i="42385" s="1"/>
  <c r="CU53" i="42385" s="1"/>
  <c r="BM27" i="42385"/>
  <c r="BM50" i="42385"/>
  <c r="BM52" i="42385" s="1"/>
  <c r="AY30" i="42385"/>
  <c r="BE14" i="42385"/>
  <c r="AB5" i="42385"/>
  <c r="AF5" i="42385" s="1"/>
  <c r="BR1166" i="42385"/>
  <c r="BE68" i="42385"/>
  <c r="CO34" i="42385"/>
  <c r="CO40" i="42385"/>
  <c r="Z12" i="42476"/>
  <c r="Z8" i="42476"/>
  <c r="Z45" i="42476" s="1"/>
  <c r="CV19" i="42385"/>
  <c r="AZ28" i="42385"/>
  <c r="BJ14" i="42385"/>
  <c r="CU4" i="42385"/>
  <c r="AV5" i="42385"/>
  <c r="AZ5" i="42385" s="1"/>
  <c r="CV5" i="42385" s="1"/>
  <c r="CM4" i="42385"/>
  <c r="H5" i="42385"/>
  <c r="L5" i="42385" s="1"/>
  <c r="BJ68" i="42385"/>
  <c r="V44" i="42476" s="1"/>
  <c r="T8" i="42476"/>
  <c r="BH50" i="42385"/>
  <c r="BO23" i="42385"/>
  <c r="BK24" i="42385"/>
  <c r="BK40" i="42385" s="1"/>
  <c r="CV20" i="42385"/>
  <c r="AZ29" i="42385"/>
  <c r="BC15" i="42385"/>
  <c r="BM1047" i="42385"/>
  <c r="AF48" i="42385"/>
  <c r="AF83" i="42385" s="1"/>
  <c r="CR83" i="42385" s="1"/>
  <c r="K25" i="42476"/>
  <c r="G25" i="42476"/>
  <c r="L58" i="42443"/>
  <c r="DA327" i="42385"/>
  <c r="BZ327" i="42385"/>
  <c r="AC34" i="42443"/>
  <c r="X34" i="42443"/>
  <c r="D34" i="42443"/>
  <c r="AD18" i="42443"/>
  <c r="CC229" i="42400"/>
  <c r="O18" i="42443"/>
  <c r="BV336" i="42385"/>
  <c r="BV339" i="42385" s="1"/>
  <c r="BV340" i="42385" s="1"/>
  <c r="C45" i="42476"/>
  <c r="BY230" i="42400"/>
  <c r="T58" i="42443"/>
  <c r="E58" i="42443"/>
  <c r="AG10" i="42443"/>
  <c r="AG11" i="42443" s="1"/>
  <c r="R10" i="42443"/>
  <c r="T42" i="42443"/>
  <c r="V10" i="42443"/>
  <c r="G10" i="42443"/>
  <c r="I25" i="42476"/>
  <c r="E34" i="42443"/>
  <c r="X26" i="42443"/>
  <c r="S26" i="42443"/>
  <c r="N26" i="42443"/>
  <c r="I26" i="42443"/>
  <c r="D26" i="42443"/>
  <c r="AI784" i="42385"/>
  <c r="AZ42" i="42400"/>
  <c r="AZ43" i="42400"/>
  <c r="AE67" i="42400"/>
  <c r="AF222" i="42400"/>
  <c r="AD222" i="42400" s="1"/>
  <c r="AF224" i="42400"/>
  <c r="CN293" i="42385"/>
  <c r="N878" i="42385"/>
  <c r="O878" i="42385" s="1"/>
  <c r="O1140" i="42385" s="1"/>
  <c r="M1140" i="42385"/>
  <c r="AI1002" i="42385"/>
  <c r="O42" i="42443"/>
  <c r="J42" i="42443"/>
  <c r="C10" i="42443"/>
  <c r="AT691" i="42385"/>
  <c r="AK93" i="42400"/>
  <c r="AJ93" i="42400" s="1"/>
  <c r="AK97" i="42400"/>
  <c r="AK87" i="42400"/>
  <c r="AK88" i="42400"/>
  <c r="AG88" i="42400" s="1"/>
  <c r="AK89" i="42400"/>
  <c r="AK90" i="42400"/>
  <c r="W28" i="42476"/>
  <c r="AB28" i="42476"/>
  <c r="CM186" i="42385"/>
  <c r="H186" i="42385"/>
  <c r="I186" i="42385" s="1"/>
  <c r="J186" i="42385" s="1"/>
  <c r="K186" i="42385" s="1"/>
  <c r="L186" i="42385" s="1"/>
  <c r="D182" i="42385"/>
  <c r="E182" i="42385" s="1"/>
  <c r="F182" i="42385" s="1"/>
  <c r="G182" i="42385" s="1"/>
  <c r="CV68" i="42385"/>
  <c r="AZ1574" i="42385"/>
  <c r="CV1574" i="42385" s="1"/>
  <c r="CN67" i="42385"/>
  <c r="L1506" i="42385"/>
  <c r="CN1506" i="42385" s="1"/>
  <c r="CE230" i="42400"/>
  <c r="CE229" i="42400"/>
  <c r="CA229" i="42400"/>
  <c r="CA231" i="42400"/>
  <c r="CA230" i="42400"/>
  <c r="CD224" i="42400"/>
  <c r="CD223" i="42400"/>
  <c r="CD222" i="42400"/>
  <c r="BJ224" i="42400"/>
  <c r="BH224" i="42400" s="1"/>
  <c r="BJ223" i="42400"/>
  <c r="BI223" i="42400" s="1"/>
  <c r="T799" i="42385"/>
  <c r="T800" i="42385" s="1"/>
  <c r="T808" i="42385"/>
  <c r="S877" i="42385"/>
  <c r="R1139" i="42385"/>
  <c r="BS684" i="42385"/>
  <c r="BX684" i="42385" s="1"/>
  <c r="BY684" i="42385" s="1"/>
  <c r="BZ684" i="42385" s="1"/>
  <c r="CA684" i="42385" s="1"/>
  <c r="CB684" i="42385" s="1"/>
  <c r="CC684" i="42385" s="1"/>
  <c r="CD684" i="42385" s="1"/>
  <c r="CE684" i="42385" s="1"/>
  <c r="CF684" i="42385" s="1"/>
  <c r="BO684" i="42385"/>
  <c r="AO691" i="42385"/>
  <c r="AO693" i="42385" s="1"/>
  <c r="AO695" i="42385" s="1"/>
  <c r="AO696" i="42385" s="1"/>
  <c r="AO700" i="42385"/>
  <c r="BD699" i="42385"/>
  <c r="BI699" i="42385" s="1"/>
  <c r="BD691" i="42385"/>
  <c r="AS655" i="42385"/>
  <c r="AT655" i="42385" s="1"/>
  <c r="E45" i="42476"/>
  <c r="Z34" i="42443"/>
  <c r="M50" i="42443"/>
  <c r="AH18" i="42443"/>
  <c r="AC18" i="42443"/>
  <c r="X18" i="42443"/>
  <c r="S18" i="42443"/>
  <c r="N18" i="42443"/>
  <c r="D18" i="42443"/>
  <c r="B10" i="42443"/>
  <c r="AD10" i="42443"/>
  <c r="CB224" i="42400"/>
  <c r="Q5" i="42410"/>
  <c r="D17" i="42407"/>
  <c r="D21" i="42407" s="1"/>
  <c r="P25" i="42476"/>
  <c r="L25" i="42476"/>
  <c r="AF10" i="42443"/>
  <c r="AA10" i="42443"/>
  <c r="Q10" i="42443"/>
  <c r="L10" i="42443"/>
  <c r="BY229" i="42400"/>
  <c r="AS409" i="42385"/>
  <c r="AT409" i="42385" s="1"/>
  <c r="AU409" i="42385" s="1"/>
  <c r="BN685" i="42385"/>
  <c r="BO685" i="42385" s="1"/>
  <c r="BJ685" i="42385"/>
  <c r="AJ480" i="42385"/>
  <c r="H178" i="42385"/>
  <c r="I178" i="42385" s="1"/>
  <c r="J178" i="42385" s="1"/>
  <c r="K178" i="42385" s="1"/>
  <c r="L178" i="42385" s="1"/>
  <c r="CM178" i="42385"/>
  <c r="AO878" i="42385"/>
  <c r="AP878" i="42385" s="1"/>
  <c r="CT878" i="42385" s="1"/>
  <c r="CM183" i="42385"/>
  <c r="H183" i="42385"/>
  <c r="I183" i="42385" s="1"/>
  <c r="J183" i="42385" s="1"/>
  <c r="K183" i="42385" s="1"/>
  <c r="L183" i="42385" s="1"/>
  <c r="H34" i="42443"/>
  <c r="J10" i="42443"/>
  <c r="Q18" i="42443"/>
  <c r="L18" i="42443"/>
  <c r="B18" i="42443"/>
  <c r="J18" i="42443"/>
  <c r="BZ222" i="42400"/>
  <c r="M10" i="42443"/>
  <c r="R11" i="42443" s="1"/>
  <c r="W18" i="42443"/>
  <c r="R18" i="42443"/>
  <c r="C18" i="42443"/>
  <c r="BI654" i="42385"/>
  <c r="BJ654" i="42385" s="1"/>
  <c r="BH653" i="42385"/>
  <c r="CM185" i="42385"/>
  <c r="H185" i="42385"/>
  <c r="I185" i="42385" s="1"/>
  <c r="J185" i="42385" s="1"/>
  <c r="K185" i="42385" s="1"/>
  <c r="L185" i="42385" s="1"/>
  <c r="BW336" i="42385"/>
  <c r="BW339" i="42385" s="1"/>
  <c r="BW340" i="42385" s="1"/>
  <c r="DA333" i="42385"/>
  <c r="AJ909" i="42385"/>
  <c r="AK909" i="42385" s="1"/>
  <c r="CS909" i="42385" s="1"/>
  <c r="AB67" i="42400"/>
  <c r="AL653" i="42385"/>
  <c r="AL656" i="42385" s="1"/>
  <c r="AL657" i="42385" s="1"/>
  <c r="AE194" i="42400"/>
  <c r="AE1019" i="42385" s="1"/>
  <c r="AE1020" i="42385" s="1"/>
  <c r="AD67" i="42400"/>
  <c r="AV653" i="42385"/>
  <c r="AV656" i="42385" s="1"/>
  <c r="AT194" i="42400"/>
  <c r="AT1019" i="42385" s="1"/>
  <c r="AT1020" i="42385" s="1"/>
  <c r="BG653" i="42385"/>
  <c r="AB653" i="42385"/>
  <c r="AB656" i="42385" s="1"/>
  <c r="AY691" i="42385"/>
  <c r="BF653" i="42385"/>
  <c r="AM654" i="42385"/>
  <c r="AN654" i="42385" s="1"/>
  <c r="AO654" i="42385" s="1"/>
  <c r="AO653" i="42385" s="1"/>
  <c r="CU764" i="42385"/>
  <c r="AV764" i="42385"/>
  <c r="AW764" i="42385" s="1"/>
  <c r="AX764" i="42385" s="1"/>
  <c r="AY764" i="42385" s="1"/>
  <c r="AZ764" i="42385" s="1"/>
  <c r="DA847" i="42385"/>
  <c r="BZ847" i="42385"/>
  <c r="DB847" i="42385" s="1"/>
  <c r="BZ422" i="42385"/>
  <c r="BE224" i="42400"/>
  <c r="BA224" i="42400" s="1"/>
  <c r="BE223" i="42400"/>
  <c r="BA223" i="42400" s="1"/>
  <c r="BJ655" i="42385"/>
  <c r="BK655" i="42385"/>
  <c r="BL655" i="42385" s="1"/>
  <c r="BM655" i="42385" s="1"/>
  <c r="BN655" i="42385" s="1"/>
  <c r="BO655" i="42385" s="1"/>
  <c r="BP655" i="42385" s="1"/>
  <c r="BQ655" i="42385" s="1"/>
  <c r="AQ745" i="42385"/>
  <c r="AR745" i="42385" s="1"/>
  <c r="AS745" i="42385" s="1"/>
  <c r="AT745" i="42385" s="1"/>
  <c r="AU745" i="42385" s="1"/>
  <c r="CT745" i="42385"/>
  <c r="CZ970" i="42385"/>
  <c r="BU970" i="42385"/>
  <c r="BV970" i="42385" s="1"/>
  <c r="BW970" i="42385" s="1"/>
  <c r="BX970" i="42385" s="1"/>
  <c r="BY970" i="42385" s="1"/>
  <c r="AQ707" i="42385"/>
  <c r="AR707" i="42385" s="1"/>
  <c r="AS707" i="42385" s="1"/>
  <c r="AT707" i="42385" s="1"/>
  <c r="AU707" i="42385" s="1"/>
  <c r="CT707" i="42385"/>
  <c r="F50" i="42443"/>
  <c r="U18" i="42443"/>
  <c r="H10" i="42472"/>
  <c r="CR68" i="42385"/>
  <c r="Y10" i="42443"/>
  <c r="Y64" i="42443"/>
  <c r="AW654" i="42385"/>
  <c r="CD231" i="42400"/>
  <c r="CD229" i="42400"/>
  <c r="CD230" i="42400"/>
  <c r="BZ229" i="42400"/>
  <c r="BZ230" i="42400"/>
  <c r="BZ231" i="42400"/>
  <c r="BJ231" i="42400"/>
  <c r="BG231" i="42400" s="1"/>
  <c r="BJ229" i="42400"/>
  <c r="BI229" i="42400" s="1"/>
  <c r="BJ230" i="42400"/>
  <c r="AE34" i="42443"/>
  <c r="AC654" i="42385"/>
  <c r="E10" i="42472"/>
  <c r="CO68" i="42385"/>
  <c r="H87" i="42400"/>
  <c r="H90" i="42400"/>
  <c r="H89" i="42400"/>
  <c r="H93" i="42400"/>
  <c r="H91" i="42400"/>
  <c r="AB58" i="42443"/>
  <c r="H58" i="42443"/>
  <c r="H59" i="42443" s="1"/>
  <c r="AF42" i="42443"/>
  <c r="T34" i="42443"/>
  <c r="L26" i="42443"/>
  <c r="H10" i="42443"/>
  <c r="H11" i="42443" s="1"/>
  <c r="P5" i="42410"/>
  <c r="F45" i="42476"/>
  <c r="AY194" i="42400"/>
  <c r="AY1019" i="42385" s="1"/>
  <c r="AY1020" i="42385" s="1"/>
  <c r="AG34" i="42443"/>
  <c r="AB34" i="42443"/>
  <c r="R34" i="42443"/>
  <c r="M34" i="42443"/>
  <c r="AF34" i="42443"/>
  <c r="Q34" i="42443"/>
  <c r="AD26" i="42443"/>
  <c r="Y26" i="42443"/>
  <c r="T26" i="42443"/>
  <c r="O26" i="42443"/>
  <c r="Y18" i="42443"/>
  <c r="T18" i="42443"/>
  <c r="E18" i="42443"/>
  <c r="CD194" i="42400"/>
  <c r="CN174" i="42385"/>
  <c r="W292" i="42400"/>
  <c r="BB66" i="42400"/>
  <c r="BA66" i="42400"/>
  <c r="BD66" i="42400"/>
  <c r="D10" i="42472"/>
  <c r="CN68" i="42385"/>
  <c r="Q64" i="42443"/>
  <c r="E10" i="42443"/>
  <c r="S808" i="42385"/>
  <c r="S803" i="42385"/>
  <c r="CA222" i="42400"/>
  <c r="CA224" i="42400"/>
  <c r="CA223" i="42400"/>
  <c r="BO223" i="42400"/>
  <c r="BK223" i="42400" s="1"/>
  <c r="BO224" i="42400"/>
  <c r="BO222" i="42400"/>
  <c r="BL222" i="42400" s="1"/>
  <c r="B9" i="42465"/>
  <c r="T65" i="42443"/>
  <c r="AB42" i="42443"/>
  <c r="AG43" i="42443" s="1"/>
  <c r="AA34" i="42443"/>
  <c r="L34" i="42443"/>
  <c r="B34" i="42443"/>
  <c r="Y34" i="42443"/>
  <c r="AF26" i="42443"/>
  <c r="AG18" i="42443"/>
  <c r="AB18" i="42443"/>
  <c r="M18" i="42443"/>
  <c r="H18" i="42443"/>
  <c r="X65" i="42443"/>
  <c r="D65" i="42443"/>
  <c r="CA194" i="42400"/>
  <c r="M25" i="42476"/>
  <c r="R65" i="42443"/>
  <c r="R66" i="42443" s="1"/>
  <c r="H26" i="42443"/>
  <c r="T10" i="42443"/>
  <c r="O10" i="42443"/>
  <c r="BQ230" i="42400"/>
  <c r="BV223" i="42400"/>
  <c r="K10" i="42472"/>
  <c r="S66" i="42443"/>
  <c r="R799" i="42385"/>
  <c r="R800" i="42385" s="1"/>
  <c r="R803" i="42385"/>
  <c r="CP68" i="42385"/>
  <c r="H28" i="42476"/>
  <c r="AB25" i="42476"/>
  <c r="L65" i="42443"/>
  <c r="L66" i="42443" s="1"/>
  <c r="Q50" i="42443"/>
  <c r="BF194" i="42400"/>
  <c r="AL194" i="42400"/>
  <c r="AL1019" i="42385" s="1"/>
  <c r="AL1020" i="42385" s="1"/>
  <c r="U58" i="42443"/>
  <c r="P1025" i="42385"/>
  <c r="V803" i="42385"/>
  <c r="CP803" i="42385" s="1"/>
  <c r="Q25" i="42476"/>
  <c r="CR67" i="42385"/>
  <c r="E50" i="42443"/>
  <c r="X42" i="42443"/>
  <c r="AC43" i="42443" s="1"/>
  <c r="S42" i="42443"/>
  <c r="I42" i="42443"/>
  <c r="D42" i="42443"/>
  <c r="R42" i="42443"/>
  <c r="R43" i="42443" s="1"/>
  <c r="H42" i="42443"/>
  <c r="AG26" i="42443"/>
  <c r="AB26" i="42443"/>
  <c r="W26" i="42443"/>
  <c r="R26" i="42443"/>
  <c r="C26" i="42443"/>
  <c r="AQ194" i="42400"/>
  <c r="AQ1019" i="42385" s="1"/>
  <c r="AQ1020" i="42385" s="1"/>
  <c r="AN194" i="42400"/>
  <c r="AN1019" i="42385" s="1"/>
  <c r="AN1020" i="42385" s="1"/>
  <c r="AI194" i="42400"/>
  <c r="AI1019" i="42385" s="1"/>
  <c r="AI1025" i="42385" s="1"/>
  <c r="AD194" i="42400"/>
  <c r="AD1019" i="42385" s="1"/>
  <c r="CE194" i="42400"/>
  <c r="BS194" i="42400"/>
  <c r="BG194" i="42400"/>
  <c r="AF97" i="42400"/>
  <c r="F9" i="42465"/>
  <c r="H25" i="42476"/>
  <c r="AH58" i="42443"/>
  <c r="N58" i="42443"/>
  <c r="N34" i="42443"/>
  <c r="I34" i="42443"/>
  <c r="CE231" i="42400"/>
  <c r="BZ224" i="42400"/>
  <c r="AR194" i="42400"/>
  <c r="AR1019" i="42385" s="1"/>
  <c r="AR1020" i="42385" s="1"/>
  <c r="BB194" i="42400"/>
  <c r="M170" i="42385"/>
  <c r="N170" i="42385" s="1"/>
  <c r="O170" i="42385" s="1"/>
  <c r="P170" i="42385" s="1"/>
  <c r="Q170" i="42385" s="1"/>
  <c r="CN170" i="42385"/>
  <c r="CN190" i="42385"/>
  <c r="M190" i="42385"/>
  <c r="N190" i="42385" s="1"/>
  <c r="O190" i="42385" s="1"/>
  <c r="P190" i="42385" s="1"/>
  <c r="Q190" i="42385" s="1"/>
  <c r="CN184" i="42385"/>
  <c r="M184" i="42385"/>
  <c r="N184" i="42385" s="1"/>
  <c r="O184" i="42385" s="1"/>
  <c r="P184" i="42385" s="1"/>
  <c r="Q184" i="42385" s="1"/>
  <c r="R184" i="42385" s="1"/>
  <c r="S184" i="42385" s="1"/>
  <c r="T184" i="42385" s="1"/>
  <c r="U184" i="42385" s="1"/>
  <c r="V184" i="42385" s="1"/>
  <c r="CM171" i="42385"/>
  <c r="H171" i="42385"/>
  <c r="I171" i="42385" s="1"/>
  <c r="J171" i="42385" s="1"/>
  <c r="K171" i="42385" s="1"/>
  <c r="L171" i="42385" s="1"/>
  <c r="M171" i="42385" s="1"/>
  <c r="N171" i="42385" s="1"/>
  <c r="O171" i="42385" s="1"/>
  <c r="CM175" i="42385"/>
  <c r="H175" i="42385"/>
  <c r="I175" i="42385" s="1"/>
  <c r="J175" i="42385" s="1"/>
  <c r="K175" i="42385" s="1"/>
  <c r="L175" i="42385" s="1"/>
  <c r="CN175" i="42385" s="1"/>
  <c r="AD66" i="42443"/>
  <c r="Q28" i="42476"/>
  <c r="V28" i="42476"/>
  <c r="N1020" i="42385"/>
  <c r="AE42" i="42443"/>
  <c r="N1025" i="42385"/>
  <c r="U799" i="42385"/>
  <c r="U800" i="42385" s="1"/>
  <c r="U808" i="42385"/>
  <c r="BC194" i="42400"/>
  <c r="AE58" i="42443"/>
  <c r="AE59" i="42443" s="1"/>
  <c r="U803" i="42385"/>
  <c r="BV194" i="42400"/>
  <c r="BN194" i="42400"/>
  <c r="AM194" i="42400"/>
  <c r="AM1019" i="42385" s="1"/>
  <c r="AH194" i="42400"/>
  <c r="AH1019" i="42385" s="1"/>
  <c r="L10" i="42472"/>
  <c r="AG58" i="42443"/>
  <c r="M58" i="42443"/>
  <c r="AH50" i="42443"/>
  <c r="AC50" i="42443"/>
  <c r="X50" i="42443"/>
  <c r="X51" i="42443" s="1"/>
  <c r="I50" i="42443"/>
  <c r="D50" i="42443"/>
  <c r="E42" i="42443"/>
  <c r="AA26" i="42443"/>
  <c r="AF27" i="42443" s="1"/>
  <c r="Q26" i="42443"/>
  <c r="CC231" i="42400"/>
  <c r="CF224" i="42400"/>
  <c r="CF223" i="42400"/>
  <c r="CF226" i="42400" s="1"/>
  <c r="BT223" i="42400"/>
  <c r="BO194" i="42400"/>
  <c r="CC194" i="42400"/>
  <c r="BU194" i="42400"/>
  <c r="BM194" i="42400"/>
  <c r="AF58" i="42443"/>
  <c r="AA58" i="42443"/>
  <c r="V58" i="42443"/>
  <c r="Q58" i="42443"/>
  <c r="Q59" i="42443" s="1"/>
  <c r="BO231" i="42400"/>
  <c r="BK231" i="42400" s="1"/>
  <c r="BT224" i="42400"/>
  <c r="BQ224" i="42400" s="1"/>
  <c r="CE223" i="42400"/>
  <c r="CB222" i="42400"/>
  <c r="BJ222" i="42400"/>
  <c r="BG222" i="42400" s="1"/>
  <c r="BL194" i="42400"/>
  <c r="AH65" i="42443"/>
  <c r="BW194" i="42400"/>
  <c r="BR194" i="42400"/>
  <c r="O58" i="42443"/>
  <c r="J65" i="42443"/>
  <c r="I58" i="42443"/>
  <c r="AF50" i="42443"/>
  <c r="AF51" i="42443" s="1"/>
  <c r="L50" i="42443"/>
  <c r="C42" i="42443"/>
  <c r="L42" i="42443"/>
  <c r="J34" i="42443"/>
  <c r="AH34" i="42443"/>
  <c r="M26" i="42443"/>
  <c r="BO230" i="42400"/>
  <c r="BN230" i="42400" s="1"/>
  <c r="AJ194" i="42400"/>
  <c r="AJ1019" i="42385" s="1"/>
  <c r="AE18" i="42443"/>
  <c r="L376" i="42385"/>
  <c r="CN376" i="42385" s="1"/>
  <c r="T50" i="42443"/>
  <c r="J50" i="42443"/>
  <c r="O51" i="42443" s="1"/>
  <c r="Y65" i="42443"/>
  <c r="AH42" i="42443"/>
  <c r="BY194" i="42400"/>
  <c r="AS194" i="42400"/>
  <c r="AS1019" i="42385" s="1"/>
  <c r="AS1020" i="42385" s="1"/>
  <c r="N65" i="42443"/>
  <c r="BN229" i="42400"/>
  <c r="CB194" i="42400"/>
  <c r="BQ194" i="42400"/>
  <c r="AW194" i="42400"/>
  <c r="AW1019" i="42385" s="1"/>
  <c r="AW1020" i="42385" s="1"/>
  <c r="H65" i="42443"/>
  <c r="H66" i="42443" s="1"/>
  <c r="M64" i="42443"/>
  <c r="J58" i="42443"/>
  <c r="AC58" i="42443"/>
  <c r="D58" i="42443"/>
  <c r="AG64" i="42443"/>
  <c r="AB50" i="42443"/>
  <c r="W50" i="42443"/>
  <c r="R50" i="42443"/>
  <c r="W42" i="42443"/>
  <c r="G26" i="42443"/>
  <c r="BL229" i="42400"/>
  <c r="BI194" i="42400"/>
  <c r="BE194" i="42400"/>
  <c r="BA194" i="42400"/>
  <c r="AC194" i="42400"/>
  <c r="AC1019" i="42385" s="1"/>
  <c r="AB65" i="42443"/>
  <c r="AB66" i="42443" s="1"/>
  <c r="E64" i="42443"/>
  <c r="R58" i="42443"/>
  <c r="AD58" i="42443"/>
  <c r="Y58" i="42443"/>
  <c r="B58" i="42443"/>
  <c r="X64" i="42443"/>
  <c r="H50" i="42443"/>
  <c r="B50" i="42443"/>
  <c r="AA42" i="42443"/>
  <c r="Q65" i="42443"/>
  <c r="G42" i="42443"/>
  <c r="B42" i="42443"/>
  <c r="V26" i="42443"/>
  <c r="CE224" i="42400"/>
  <c r="BZ194" i="42400"/>
  <c r="BT194" i="42400"/>
  <c r="BJ194" i="42400"/>
  <c r="BD194" i="42400"/>
  <c r="AO194" i="42400"/>
  <c r="AO1019" i="42385" s="1"/>
  <c r="AO1020" i="42385" s="1"/>
  <c r="CV1186" i="42385"/>
  <c r="BA1186" i="42385"/>
  <c r="AX1186" i="42385"/>
  <c r="AY1186" i="42385"/>
  <c r="AA28" i="42476"/>
  <c r="AF65" i="42443"/>
  <c r="AF66" i="42443" s="1"/>
  <c r="AC64" i="42443"/>
  <c r="X58" i="42443"/>
  <c r="AG50" i="42443"/>
  <c r="C34" i="42443"/>
  <c r="AG65" i="42443"/>
  <c r="I65" i="42443"/>
  <c r="G34" i="42443"/>
  <c r="B65" i="42443"/>
  <c r="O34" i="42443"/>
  <c r="S34" i="42443"/>
  <c r="X35" i="42443" s="1"/>
  <c r="BU231" i="42400"/>
  <c r="BV231" i="42400"/>
  <c r="BX231" i="42400"/>
  <c r="AV246" i="42385"/>
  <c r="AV986" i="42385"/>
  <c r="AY1162" i="42385"/>
  <c r="AY1159" i="42385"/>
  <c r="CS1114" i="42385"/>
  <c r="AK1115" i="42385"/>
  <c r="CS1115" i="42385" s="1"/>
  <c r="I42" i="42476"/>
  <c r="AX202" i="42385"/>
  <c r="AW202" i="42385"/>
  <c r="AX110" i="42385"/>
  <c r="AY1284" i="42385"/>
  <c r="AY110" i="42385" s="1"/>
  <c r="CZ889" i="42385"/>
  <c r="CT48" i="42385"/>
  <c r="AP53" i="42385"/>
  <c r="CT53" i="42385" s="1"/>
  <c r="W41" i="42417"/>
  <c r="FS440" i="42417"/>
  <c r="CS237" i="42385"/>
  <c r="H346" i="42385"/>
  <c r="CR280" i="42385"/>
  <c r="CW274" i="42385"/>
  <c r="CY458" i="42385"/>
  <c r="BO459" i="42385"/>
  <c r="CY459" i="42385" s="1"/>
  <c r="AS281" i="42385"/>
  <c r="AS648" i="42385"/>
  <c r="BT915" i="42385"/>
  <c r="CZ915" i="42385" s="1"/>
  <c r="CT934" i="42385"/>
  <c r="AW1162" i="42385"/>
  <c r="AW1170" i="42385"/>
  <c r="AW1159" i="42385"/>
  <c r="BB1157" i="42385"/>
  <c r="AW1157" i="42385"/>
  <c r="BJ1322" i="42385"/>
  <c r="CX1322" i="42385" s="1"/>
  <c r="AS1319" i="42385"/>
  <c r="AS1326" i="42385" s="1"/>
  <c r="BG1314" i="42385"/>
  <c r="BH1304" i="42385"/>
  <c r="AD201" i="42385"/>
  <c r="N21" i="42472"/>
  <c r="CX1411" i="42385"/>
  <c r="AF1439" i="42385"/>
  <c r="CR1439" i="42385" s="1"/>
  <c r="AE1431" i="42385"/>
  <c r="AF1431" i="42385" s="1"/>
  <c r="CR1431" i="42385" s="1"/>
  <c r="CT63" i="42385"/>
  <c r="D7" i="42465"/>
  <c r="CA1419" i="42385"/>
  <c r="DC1419" i="42385" s="1"/>
  <c r="AO1614" i="42385"/>
  <c r="AP1614" i="42385" s="1"/>
  <c r="CT1614" i="42385" s="1"/>
  <c r="AP1613" i="42385"/>
  <c r="CM713" i="42385"/>
  <c r="G714" i="42385"/>
  <c r="CM714" i="42385" s="1"/>
  <c r="C10" i="42465"/>
  <c r="AS857" i="42385"/>
  <c r="AN858" i="42385"/>
  <c r="AO857" i="42385"/>
  <c r="AP857" i="42385" s="1"/>
  <c r="CT857" i="42385" s="1"/>
  <c r="AN1116" i="42385"/>
  <c r="AN312" i="42385"/>
  <c r="AY1281" i="42385"/>
  <c r="AY108" i="42385" s="1"/>
  <c r="AX108" i="42385"/>
  <c r="V1108" i="42385"/>
  <c r="CP1108" i="42385" s="1"/>
  <c r="BO1548" i="42385"/>
  <c r="CY1548" i="42385" s="1"/>
  <c r="CY1169" i="42385"/>
  <c r="AY1549" i="42385"/>
  <c r="AZ1549" i="42385" s="1"/>
  <c r="CV1549" i="42385" s="1"/>
  <c r="BQ1413" i="42385"/>
  <c r="BR1413" i="42385" s="1"/>
  <c r="BT1413" i="42385" s="1"/>
  <c r="U1499" i="42385"/>
  <c r="V1525" i="42385"/>
  <c r="BC1386" i="42385"/>
  <c r="CR300" i="42385"/>
  <c r="BQ221" i="42385"/>
  <c r="AP1545" i="42385"/>
  <c r="CT1545" i="42385" s="1"/>
  <c r="CT604" i="42385"/>
  <c r="CV796" i="42385"/>
  <c r="CV436" i="42385"/>
  <c r="AZ437" i="42385"/>
  <c r="CV437" i="42385" s="1"/>
  <c r="AZ438" i="42385"/>
  <c r="CV438" i="42385" s="1"/>
  <c r="CX538" i="42385"/>
  <c r="BJ539" i="42385"/>
  <c r="CX539" i="42385" s="1"/>
  <c r="CW1169" i="42385"/>
  <c r="BE1548" i="42385"/>
  <c r="CW1548" i="42385" s="1"/>
  <c r="CO1375" i="42385"/>
  <c r="AY1170" i="42385"/>
  <c r="BC1324" i="42385"/>
  <c r="BB1326" i="42385"/>
  <c r="CP236" i="42385"/>
  <c r="W47" i="42417"/>
  <c r="CW465" i="42385"/>
  <c r="BE466" i="42385"/>
  <c r="CW466" i="42385" s="1"/>
  <c r="CN1411" i="42385"/>
  <c r="D21" i="42472"/>
  <c r="CP1351" i="42385"/>
  <c r="CP1503" i="42385"/>
  <c r="AO1582" i="42385"/>
  <c r="DA85" i="42385"/>
  <c r="E10" i="42409"/>
  <c r="BJ109" i="42385"/>
  <c r="CX109" i="42385" s="1"/>
  <c r="AL118" i="42385"/>
  <c r="AQ131" i="42385"/>
  <c r="CP280" i="42385"/>
  <c r="AN284" i="42385"/>
  <c r="GM522" i="42417" s="1"/>
  <c r="AN719" i="42385"/>
  <c r="AN718" i="42385"/>
  <c r="AP717" i="42385"/>
  <c r="F818" i="42385"/>
  <c r="V714" i="42385"/>
  <c r="CP714" i="42385" s="1"/>
  <c r="AA753" i="42385"/>
  <c r="CQ753" i="42385" s="1"/>
  <c r="BJ665" i="42385"/>
  <c r="AX710" i="42385"/>
  <c r="AS234" i="42385"/>
  <c r="AS717" i="42385"/>
  <c r="AS714" i="42385"/>
  <c r="BR433" i="42385"/>
  <c r="BW433" i="42385" s="1"/>
  <c r="AQ934" i="42385"/>
  <c r="AR934" i="42385" s="1"/>
  <c r="AO1533" i="42385"/>
  <c r="AP1533" i="42385" s="1"/>
  <c r="CT1533" i="42385" s="1"/>
  <c r="CW1321" i="42385"/>
  <c r="BE1643" i="42385"/>
  <c r="CW1643" i="42385" s="1"/>
  <c r="DA1169" i="42385"/>
  <c r="BZ1169" i="42385"/>
  <c r="L1300" i="42385"/>
  <c r="CN1300" i="42385" s="1"/>
  <c r="AU1325" i="42385"/>
  <c r="CU1325" i="42385" s="1"/>
  <c r="AG1585" i="42385"/>
  <c r="AG1660" i="42385"/>
  <c r="AT220" i="42385"/>
  <c r="AT402" i="42385"/>
  <c r="CX1292" i="42385"/>
  <c r="BK32" i="42385"/>
  <c r="BK27" i="42385"/>
  <c r="BK26" i="42385"/>
  <c r="W8" i="42476"/>
  <c r="W45" i="42476" s="1"/>
  <c r="BK50" i="42385"/>
  <c r="BP51" i="42385" s="1"/>
  <c r="BR300" i="42385"/>
  <c r="BR1168" i="42385"/>
  <c r="O129" i="42385"/>
  <c r="J1622" i="42385"/>
  <c r="J113" i="42385"/>
  <c r="K127" i="42385"/>
  <c r="L127" i="42385" s="1"/>
  <c r="L1622" i="42385" s="1"/>
  <c r="CN1622" i="42385" s="1"/>
  <c r="J128" i="42385"/>
  <c r="J129" i="42385"/>
  <c r="BA52" i="42385"/>
  <c r="BP32" i="42385"/>
  <c r="X43" i="42417"/>
  <c r="CR230" i="42385"/>
  <c r="AE129" i="42385"/>
  <c r="AI14" i="42385"/>
  <c r="AB166" i="42385"/>
  <c r="AB134" i="42385" s="1"/>
  <c r="FS441" i="42417"/>
  <c r="CS254" i="42385"/>
  <c r="CN713" i="42385"/>
  <c r="AY231" i="42385"/>
  <c r="AY238" i="42385" s="1"/>
  <c r="BD640" i="42385"/>
  <c r="AY647" i="42385"/>
  <c r="AY281" i="42385" s="1"/>
  <c r="AY644" i="42385"/>
  <c r="BG540" i="42385"/>
  <c r="BG542" i="42385" s="1"/>
  <c r="AV752" i="42385"/>
  <c r="BM225" i="42385"/>
  <c r="AN890" i="42385"/>
  <c r="AN243" i="42385"/>
  <c r="BT151" i="42400"/>
  <c r="BT156" i="42400" s="1"/>
  <c r="BR1266" i="42385"/>
  <c r="BR1263" i="42385" s="1"/>
  <c r="BS1265" i="42385"/>
  <c r="BS1266" i="42385" s="1"/>
  <c r="J1558" i="42385"/>
  <c r="BD1162" i="42385"/>
  <c r="BD1157" i="42385"/>
  <c r="AP1306" i="42385"/>
  <c r="BH52" i="42385"/>
  <c r="BJ1574" i="42385"/>
  <c r="CX1574" i="42385" s="1"/>
  <c r="AA127" i="42385"/>
  <c r="BW131" i="42385"/>
  <c r="AY131" i="42385"/>
  <c r="BD131" i="42385"/>
  <c r="AZ130" i="42385"/>
  <c r="M346" i="42385"/>
  <c r="AF714" i="42385"/>
  <c r="CR714" i="42385" s="1"/>
  <c r="CR713" i="42385"/>
  <c r="AO677" i="42385"/>
  <c r="BV682" i="42385"/>
  <c r="BB748" i="42385"/>
  <c r="BB236" i="42385" s="1"/>
  <c r="AW771" i="42385"/>
  <c r="AW594" i="42385"/>
  <c r="AR595" i="42385"/>
  <c r="BN828" i="42385"/>
  <c r="CZ886" i="42385"/>
  <c r="BT275" i="42400"/>
  <c r="BT281" i="42400" s="1"/>
  <c r="BT888" i="42385"/>
  <c r="CZ888" i="42385" s="1"/>
  <c r="BN683" i="42385"/>
  <c r="BP828" i="42385"/>
  <c r="AD258" i="42385"/>
  <c r="AD259" i="42385" s="1"/>
  <c r="C42" i="42465"/>
  <c r="AZ1291" i="42385"/>
  <c r="CV1291" i="42385" s="1"/>
  <c r="BV1200" i="42385"/>
  <c r="BV1220" i="42385" s="1"/>
  <c r="BE1308" i="42385"/>
  <c r="CW1308" i="42385" s="1"/>
  <c r="CN1525" i="42385"/>
  <c r="L1499" i="42385"/>
  <c r="CN1499" i="42385" s="1"/>
  <c r="G1613" i="42385"/>
  <c r="CM1613" i="42385" s="1"/>
  <c r="I1614" i="42385"/>
  <c r="F1614" i="42385"/>
  <c r="G1614" i="42385" s="1"/>
  <c r="CM1614" i="42385" s="1"/>
  <c r="H1614" i="42385"/>
  <c r="J1614" i="42385"/>
  <c r="G9" i="42465"/>
  <c r="CV14" i="42385"/>
  <c r="F4" i="42465"/>
  <c r="BP26" i="42385"/>
  <c r="BP54" i="42385"/>
  <c r="BP1663" i="42385" s="1"/>
  <c r="BP52" i="42385"/>
  <c r="CR218" i="42385"/>
  <c r="J130" i="42385"/>
  <c r="BV248" i="42385"/>
  <c r="BV361" i="42385"/>
  <c r="BW361" i="42385" s="1"/>
  <c r="BX361" i="42385" s="1"/>
  <c r="BY361" i="42385" s="1"/>
  <c r="BZ361" i="42385" s="1"/>
  <c r="AX369" i="42385"/>
  <c r="AX370" i="42385" s="1"/>
  <c r="AS370" i="42385"/>
  <c r="AX231" i="42385"/>
  <c r="CM320" i="42385"/>
  <c r="Q404" i="42385"/>
  <c r="CO404" i="42385" s="1"/>
  <c r="BD462" i="42385"/>
  <c r="AP236" i="42385"/>
  <c r="AP749" i="42385"/>
  <c r="CT749" i="42385" s="1"/>
  <c r="CM770" i="42385"/>
  <c r="AQ1541" i="42385"/>
  <c r="AR384" i="42385"/>
  <c r="AR1541" i="42385" s="1"/>
  <c r="BT826" i="42385"/>
  <c r="CZ826" i="42385" s="1"/>
  <c r="AO108" i="42385"/>
  <c r="AP108" i="42385" s="1"/>
  <c r="CT108" i="42385" s="1"/>
  <c r="AP1281" i="42385"/>
  <c r="CT1281" i="42385" s="1"/>
  <c r="BR1489" i="42385"/>
  <c r="AP1292" i="42385"/>
  <c r="CT1292" i="42385" s="1"/>
  <c r="AN115" i="42385"/>
  <c r="AE1406" i="42385"/>
  <c r="AE1564" i="42385"/>
  <c r="BJ1351" i="42385"/>
  <c r="CX1351" i="42385" s="1"/>
  <c r="AF1311" i="42385"/>
  <c r="B48" i="42465" s="1"/>
  <c r="AI30" i="42385"/>
  <c r="BH65" i="42385"/>
  <c r="BH75" i="42385" s="1"/>
  <c r="BM43" i="42385"/>
  <c r="T12" i="42476"/>
  <c r="BH42" i="42385"/>
  <c r="BM41" i="42385"/>
  <c r="BK200" i="42492"/>
  <c r="BK203" i="42492" s="1"/>
  <c r="HJ696" i="42464"/>
  <c r="HJ698" i="42464" s="1"/>
  <c r="HJ701" i="42464" s="1"/>
  <c r="HJ704" i="42464" s="1"/>
  <c r="BO15" i="42385"/>
  <c r="CY15" i="42385" s="1"/>
  <c r="BN42" i="42385"/>
  <c r="BN65" i="42385"/>
  <c r="BN75" i="42385" s="1"/>
  <c r="CW14" i="42385"/>
  <c r="BE15" i="42385"/>
  <c r="CW15" i="42385" s="1"/>
  <c r="G4" i="42465"/>
  <c r="BP42" i="42385"/>
  <c r="Z137" i="42385"/>
  <c r="AA137" i="42385" s="1"/>
  <c r="CQ137" i="42385" s="1"/>
  <c r="IK716" i="42417"/>
  <c r="IK733" i="42417" s="1"/>
  <c r="BB234" i="42385"/>
  <c r="BG710" i="42385"/>
  <c r="BL710" i="42385" s="1"/>
  <c r="G326" i="42385"/>
  <c r="BL400" i="42385"/>
  <c r="BL401" i="42385" s="1"/>
  <c r="BL220" i="42385" s="1"/>
  <c r="BL546" i="42385"/>
  <c r="BL535" i="42385"/>
  <c r="BL540" i="42385" s="1"/>
  <c r="AP237" i="42385"/>
  <c r="GO498" i="42417" s="1"/>
  <c r="AY268" i="42385"/>
  <c r="AY441" i="42385"/>
  <c r="BY883" i="42385"/>
  <c r="BZ883" i="42385" s="1"/>
  <c r="CT903" i="42385"/>
  <c r="CT384" i="42385"/>
  <c r="BR532" i="42385"/>
  <c r="BR546" i="42385" s="1"/>
  <c r="AX244" i="42385"/>
  <c r="BC921" i="42385"/>
  <c r="CN256" i="42385"/>
  <c r="CS1107" i="42385"/>
  <c r="BN1304" i="42385"/>
  <c r="BO1304" i="42385" s="1"/>
  <c r="CY1304" i="42385" s="1"/>
  <c r="BD1292" i="42385"/>
  <c r="BE1292" i="42385" s="1"/>
  <c r="BV1239" i="42385"/>
  <c r="AT1170" i="42385"/>
  <c r="N1140" i="42385"/>
  <c r="CA327" i="42385"/>
  <c r="DC327" i="42385" s="1"/>
  <c r="DB327" i="42385"/>
  <c r="CZ971" i="42385"/>
  <c r="AJ784" i="42385"/>
  <c r="AK784" i="42385" s="1"/>
  <c r="CS784" i="42385" s="1"/>
  <c r="AD224" i="42400"/>
  <c r="AH88" i="42400"/>
  <c r="CO187" i="42385"/>
  <c r="BF230" i="42400"/>
  <c r="BM224" i="42400"/>
  <c r="BM223" i="42400"/>
  <c r="BM231" i="42400"/>
  <c r="IK741" i="42417"/>
  <c r="IK732" i="42417"/>
  <c r="G27" i="42443"/>
  <c r="DB1169" i="42385"/>
  <c r="AS284" i="42385"/>
  <c r="AP1582" i="42385"/>
  <c r="AQ1582" i="42385" s="1"/>
  <c r="AR1582" i="42385" s="1"/>
  <c r="AS1582" i="42385" s="1"/>
  <c r="AT1582" i="42385" s="1"/>
  <c r="AU1582" i="42385" s="1"/>
  <c r="V1499" i="42385"/>
  <c r="CP1499" i="42385" s="1"/>
  <c r="CP1525" i="42385"/>
  <c r="AX857" i="42385"/>
  <c r="AX858" i="42385" s="1"/>
  <c r="AS858" i="42385"/>
  <c r="BV1391" i="42385"/>
  <c r="BW1391" i="42385" s="1"/>
  <c r="AW1164" i="42385"/>
  <c r="AW1166" i="42385" s="1"/>
  <c r="AW1161" i="42385"/>
  <c r="AQ1533" i="42385"/>
  <c r="X259" i="42385"/>
  <c r="AK246" i="42424"/>
  <c r="AT857" i="42385"/>
  <c r="AU857" i="42385" s="1"/>
  <c r="CU857" i="42385" s="1"/>
  <c r="AO858" i="42385"/>
  <c r="AP858" i="42385" s="1"/>
  <c r="CT1613" i="42385"/>
  <c r="AQ1613" i="42385"/>
  <c r="AQ1614" i="42385" s="1"/>
  <c r="BD1324" i="42385"/>
  <c r="BE1324" i="42385" s="1"/>
  <c r="CW1324" i="42385" s="1"/>
  <c r="AN859" i="42385"/>
  <c r="CB1419" i="42385"/>
  <c r="CC1419" i="42385" s="1"/>
  <c r="CD1419" i="42385" s="1"/>
  <c r="CE1419" i="42385" s="1"/>
  <c r="CF1419" i="42385" s="1"/>
  <c r="BI1304" i="42385"/>
  <c r="BJ1304" i="42385" s="1"/>
  <c r="CX1304" i="42385" s="1"/>
  <c r="CT83" i="42385"/>
  <c r="AZ1284" i="42385"/>
  <c r="AZ110" i="42385" s="1"/>
  <c r="CV110" i="42385" s="1"/>
  <c r="H478" i="42385"/>
  <c r="H876" i="42385"/>
  <c r="H814" i="42385"/>
  <c r="H817" i="42385" s="1"/>
  <c r="H818" i="42385" s="1"/>
  <c r="H819" i="42385" s="1"/>
  <c r="H1128" i="42385"/>
  <c r="H326" i="42385"/>
  <c r="H329" i="42385" s="1"/>
  <c r="H330" i="42385" s="1"/>
  <c r="H743" i="42385"/>
  <c r="H746" i="42385" s="1"/>
  <c r="H907" i="42385"/>
  <c r="H938" i="42385"/>
  <c r="H388" i="42385"/>
  <c r="H783" i="42385"/>
  <c r="H1081" i="42385"/>
  <c r="H1000" i="42385"/>
  <c r="H1003" i="42385" s="1"/>
  <c r="H1004" i="42385" s="1"/>
  <c r="H705" i="42385"/>
  <c r="I320" i="42385"/>
  <c r="J320" i="42385" s="1"/>
  <c r="H762" i="42385"/>
  <c r="H845" i="42385"/>
  <c r="H1138" i="42385"/>
  <c r="CP137" i="42385"/>
  <c r="AT246" i="42424"/>
  <c r="AW595" i="42385"/>
  <c r="BG748" i="42385"/>
  <c r="BG236" i="42385" s="1"/>
  <c r="CT1306" i="42385"/>
  <c r="AP1314" i="42385"/>
  <c r="D50" i="42465" s="1"/>
  <c r="D47" i="42465"/>
  <c r="BR1493" i="42385"/>
  <c r="GM488" i="42417"/>
  <c r="BD231" i="42385"/>
  <c r="BD647" i="42385"/>
  <c r="BD648" i="42385" s="1"/>
  <c r="BI640" i="42385"/>
  <c r="BN640" i="42385" s="1"/>
  <c r="BD644" i="42385"/>
  <c r="BW328" i="42385"/>
  <c r="BX328" i="42385" s="1"/>
  <c r="BY328" i="42385" s="1"/>
  <c r="AS219" i="42385"/>
  <c r="AS371" i="42385"/>
  <c r="BX670" i="42385"/>
  <c r="BX683" i="42385" s="1"/>
  <c r="BS683" i="42385"/>
  <c r="BQ400" i="42385"/>
  <c r="BQ401" i="42385" s="1"/>
  <c r="BQ241" i="42385"/>
  <c r="CT236" i="42385"/>
  <c r="Q405" i="42385"/>
  <c r="CO405" i="42385" s="1"/>
  <c r="BD1241" i="42385"/>
  <c r="AD128" i="42385"/>
  <c r="AA1622" i="42385"/>
  <c r="CQ1622" i="42385" s="1"/>
  <c r="CQ127" i="42385"/>
  <c r="AA113" i="42385"/>
  <c r="CQ113" i="42385" s="1"/>
  <c r="W12" i="42476"/>
  <c r="BK42" i="42385"/>
  <c r="BK65" i="42385"/>
  <c r="BK75" i="42385" s="1"/>
  <c r="BM200" i="42492"/>
  <c r="BR535" i="42385"/>
  <c r="BR540" i="42385" s="1"/>
  <c r="BR542" i="42385" s="1"/>
  <c r="BR547" i="42385" s="1"/>
  <c r="CM326" i="42385"/>
  <c r="J118" i="42385"/>
  <c r="O131" i="42385"/>
  <c r="J165" i="42385"/>
  <c r="J166" i="42385" s="1"/>
  <c r="J134" i="42385" s="1"/>
  <c r="AZ1295" i="42385"/>
  <c r="CV1295" i="42385" s="1"/>
  <c r="AY648" i="42385"/>
  <c r="AN15" i="42385"/>
  <c r="K113" i="42385"/>
  <c r="K130" i="42385"/>
  <c r="K118" i="42385" s="1"/>
  <c r="P129" i="42385"/>
  <c r="AS859" i="42385"/>
  <c r="CT1582" i="42385"/>
  <c r="AY857" i="42385"/>
  <c r="AY858" i="42385" s="1"/>
  <c r="AT858" i="42385"/>
  <c r="AT859" i="42385" s="1"/>
  <c r="AO859" i="42385"/>
  <c r="I762" i="42385"/>
  <c r="I765" i="42385" s="1"/>
  <c r="BG543" i="42385"/>
  <c r="H708" i="42385"/>
  <c r="BD281" i="42385"/>
  <c r="BL748" i="42385"/>
  <c r="BQ748" i="42385" s="1"/>
  <c r="H1084" i="42385"/>
  <c r="H1085" i="42385" s="1"/>
  <c r="H1086" i="42385" s="1"/>
  <c r="H910" i="42385"/>
  <c r="H911" i="42385" s="1"/>
  <c r="P1020" i="42385"/>
  <c r="P1016" i="42385"/>
  <c r="B10" i="42406"/>
  <c r="F11" i="42406"/>
  <c r="AJ1406" i="42385"/>
  <c r="AJ1564" i="42385"/>
  <c r="AJ1660" i="42385" s="1"/>
  <c r="U138" i="42385"/>
  <c r="V138" i="42385" s="1"/>
  <c r="CP138" i="42385" s="1"/>
  <c r="AE1614" i="42385"/>
  <c r="AF1614" i="42385" s="1"/>
  <c r="CR1614" i="42385" s="1"/>
  <c r="V1610" i="42385"/>
  <c r="CP1610" i="42385" s="1"/>
  <c r="CU1341" i="42385"/>
  <c r="AF1097" i="42385"/>
  <c r="CR1097" i="42385" s="1"/>
  <c r="AA1089" i="42385"/>
  <c r="CQ1089" i="42385" s="1"/>
  <c r="D1084" i="42385"/>
  <c r="D1085" i="42385" s="1"/>
  <c r="V626" i="42385"/>
  <c r="CP626" i="42385" s="1"/>
  <c r="BO158" i="42385"/>
  <c r="GZ541" i="42417"/>
  <c r="AA97" i="42400"/>
  <c r="N93" i="42400"/>
  <c r="Y91" i="42400"/>
  <c r="M89" i="42400"/>
  <c r="K69" i="42400"/>
  <c r="T68" i="42400"/>
  <c r="W37" i="42400"/>
  <c r="AF1532" i="42385"/>
  <c r="CR1532" i="42385" s="1"/>
  <c r="CP1304" i="42385"/>
  <c r="P229" i="42400"/>
  <c r="P224" i="42400"/>
  <c r="F223" i="42400"/>
  <c r="R194" i="42400"/>
  <c r="R1019" i="42385" s="1"/>
  <c r="Y142" i="42400"/>
  <c r="Y141" i="42400"/>
  <c r="P140" i="42400"/>
  <c r="R135" i="42400"/>
  <c r="R137" i="42400" s="1"/>
  <c r="R148" i="42400" s="1"/>
  <c r="R926" i="42385" s="1"/>
  <c r="R927" i="42385" s="1"/>
  <c r="J135" i="42400"/>
  <c r="O42" i="42400"/>
  <c r="V1533" i="42385"/>
  <c r="CP1533" i="42385" s="1"/>
  <c r="R1116" i="42385"/>
  <c r="AL1116" i="42385"/>
  <c r="AK1012" i="42385"/>
  <c r="CS1012" i="42385" s="1"/>
  <c r="CR951" i="42385"/>
  <c r="AF950" i="42385"/>
  <c r="CR950" i="42385" s="1"/>
  <c r="V804" i="42385"/>
  <c r="CP804" i="42385" s="1"/>
  <c r="L804" i="42385"/>
  <c r="CN804" i="42385" s="1"/>
  <c r="Q284" i="42385"/>
  <c r="CO284" i="42385" s="1"/>
  <c r="L266" i="42385"/>
  <c r="CN266" i="42385" s="1"/>
  <c r="BY245" i="42385"/>
  <c r="DA245" i="42385" s="1"/>
  <c r="BA90" i="42464"/>
  <c r="BA67" i="42464" s="1"/>
  <c r="BA68" i="42464" s="1"/>
  <c r="V113" i="42470"/>
  <c r="BY295" i="42400"/>
  <c r="BE295" i="42400"/>
  <c r="AK295" i="42400"/>
  <c r="Q295" i="42400"/>
  <c r="T231" i="42400"/>
  <c r="X229" i="42400"/>
  <c r="Z224" i="42400"/>
  <c r="O224" i="42400"/>
  <c r="Z223" i="42400"/>
  <c r="E223" i="42400"/>
  <c r="Y194" i="42400"/>
  <c r="Y1019" i="42385" s="1"/>
  <c r="Y1016" i="42385" s="1"/>
  <c r="Y1017" i="42385" s="1"/>
  <c r="Z91" i="42400"/>
  <c r="N89" i="42400"/>
  <c r="F10" i="42406"/>
  <c r="B47" i="42406"/>
  <c r="AI1611" i="42385"/>
  <c r="AC1611" i="42385"/>
  <c r="Y1611" i="42385"/>
  <c r="AS1577" i="42385"/>
  <c r="AN1577" i="42385"/>
  <c r="CS1098" i="42385"/>
  <c r="D941" i="42385"/>
  <c r="AF897" i="42385"/>
  <c r="CR897" i="42385" s="1"/>
  <c r="V897" i="42385"/>
  <c r="CP897" i="42385" s="1"/>
  <c r="Q897" i="42385"/>
  <c r="CO897" i="42385" s="1"/>
  <c r="L897" i="42385"/>
  <c r="CN897" i="42385" s="1"/>
  <c r="AK826" i="42385"/>
  <c r="CS826" i="42385" s="1"/>
  <c r="AA294" i="42385"/>
  <c r="E13" i="42424" s="1"/>
  <c r="G293" i="42385"/>
  <c r="CM293" i="42385" s="1"/>
  <c r="B68" i="42420"/>
  <c r="CF190" i="42464"/>
  <c r="CF191" i="42464" s="1"/>
  <c r="CF192" i="42464" s="1"/>
  <c r="CF194" i="42464" s="1"/>
  <c r="CF196" i="42464" s="1"/>
  <c r="CF201" i="42464" s="1"/>
  <c r="BC75" i="42464"/>
  <c r="BA69" i="42464" s="1"/>
  <c r="AA38" i="42464"/>
  <c r="AA42" i="42464" s="1"/>
  <c r="AU216" i="42470"/>
  <c r="AU217" i="42470" s="1"/>
  <c r="U63" i="42470"/>
  <c r="Q233" i="42400"/>
  <c r="C223" i="42400"/>
  <c r="C226" i="42400" s="1"/>
  <c r="AA194" i="42400"/>
  <c r="AA1019" i="42385" s="1"/>
  <c r="AA1025" i="42385" s="1"/>
  <c r="CQ1025" i="42385" s="1"/>
  <c r="D142" i="42400"/>
  <c r="S135" i="42400"/>
  <c r="I135" i="42400"/>
  <c r="N90" i="42400"/>
  <c r="Z87" i="42400"/>
  <c r="Z67" i="42400"/>
  <c r="K67" i="42400"/>
  <c r="L25" i="42403"/>
  <c r="E9" i="42403"/>
  <c r="C18" i="42406"/>
  <c r="BB221" i="42385"/>
  <c r="BB1233" i="42385" s="1"/>
  <c r="BB1241" i="42385" s="1"/>
  <c r="BG431" i="42385"/>
  <c r="BB431" i="42385"/>
  <c r="AW434" i="42385"/>
  <c r="AW221" i="42385"/>
  <c r="EA328" i="42417"/>
  <c r="DY328" i="42417"/>
  <c r="DU343" i="42417"/>
  <c r="H9" i="42406"/>
  <c r="J9" i="42406" s="1"/>
  <c r="B23" i="42410"/>
  <c r="B24" i="42410" s="1"/>
  <c r="AO595" i="42385"/>
  <c r="AN594" i="42385"/>
  <c r="AS594" i="42385" s="1"/>
  <c r="AW890" i="42385"/>
  <c r="BB890" i="42385"/>
  <c r="AW243" i="42385"/>
  <c r="DW328" i="42417"/>
  <c r="DS343" i="42417"/>
  <c r="H8" i="42406"/>
  <c r="C10" i="42446"/>
  <c r="C11" i="42446" s="1"/>
  <c r="C15" i="42446"/>
  <c r="C12" i="42446"/>
  <c r="BU1416" i="42385"/>
  <c r="BV1416" i="42385" s="1"/>
  <c r="CZ1416" i="42385"/>
  <c r="CY1356" i="42385"/>
  <c r="AL167" i="42470"/>
  <c r="AJ170" i="42470"/>
  <c r="AJ177" i="42470"/>
  <c r="BV523" i="42385"/>
  <c r="BW523" i="42385" s="1"/>
  <c r="BX523" i="42385" s="1"/>
  <c r="BY523" i="42385" s="1"/>
  <c r="CZ523" i="42385"/>
  <c r="BQ222" i="42385"/>
  <c r="BQ460" i="42385"/>
  <c r="BK222" i="42385"/>
  <c r="AF112" i="42492" s="1"/>
  <c r="AF130" i="42492" s="1"/>
  <c r="AG130" i="42492" s="1"/>
  <c r="BK460" i="42385"/>
  <c r="C1020" i="42385"/>
  <c r="C1016" i="42385"/>
  <c r="C1025" i="42385"/>
  <c r="C59" i="42406"/>
  <c r="D60" i="42406"/>
  <c r="CA1458" i="42385"/>
  <c r="AF135" i="42408" s="1"/>
  <c r="AF136" i="42408" s="1"/>
  <c r="AF118" i="42408" s="1"/>
  <c r="R233" i="42400"/>
  <c r="X137" i="42400"/>
  <c r="AA1532" i="42385"/>
  <c r="CQ1532" i="42385" s="1"/>
  <c r="L1530" i="42385"/>
  <c r="CN1530" i="42385" s="1"/>
  <c r="G1530" i="42385"/>
  <c r="CM1530" i="42385" s="1"/>
  <c r="BZ1522" i="42385"/>
  <c r="AA312" i="42385"/>
  <c r="CQ312" i="42385" s="1"/>
  <c r="G312" i="42385"/>
  <c r="CM312" i="42385" s="1"/>
  <c r="AP980" i="42385"/>
  <c r="CT980" i="42385" s="1"/>
  <c r="AF959" i="42385"/>
  <c r="CR959" i="42385" s="1"/>
  <c r="AA959" i="42385"/>
  <c r="CQ959" i="42385" s="1"/>
  <c r="G959" i="42385"/>
  <c r="CM959" i="42385" s="1"/>
  <c r="AF919" i="42385"/>
  <c r="CR919" i="42385" s="1"/>
  <c r="Q915" i="42385"/>
  <c r="CO915" i="42385" s="1"/>
  <c r="AP853" i="42385"/>
  <c r="CT853" i="42385" s="1"/>
  <c r="AK410" i="42385"/>
  <c r="CS410" i="42385" s="1"/>
  <c r="BD200" i="42385"/>
  <c r="BE200" i="42385" s="1"/>
  <c r="GL576" i="42464"/>
  <c r="GL577" i="42464" s="1"/>
  <c r="U113" i="42470"/>
  <c r="AB49" i="42417"/>
  <c r="AB42" i="42417"/>
  <c r="M222" i="42400"/>
  <c r="H222" i="42400"/>
  <c r="H226" i="42400" s="1"/>
  <c r="F194" i="42400"/>
  <c r="F1019" i="42385" s="1"/>
  <c r="Y93" i="42400"/>
  <c r="K93" i="42400"/>
  <c r="W92" i="42400"/>
  <c r="O92" i="42400"/>
  <c r="E92" i="42400"/>
  <c r="J91" i="42400"/>
  <c r="J95" i="42400" s="1"/>
  <c r="J101" i="42400" s="1"/>
  <c r="J833" i="42385" s="1"/>
  <c r="Y90" i="42400"/>
  <c r="F90" i="42400"/>
  <c r="E89" i="42400"/>
  <c r="X88" i="42400"/>
  <c r="Z69" i="42400"/>
  <c r="M69" i="42400"/>
  <c r="S68" i="42400"/>
  <c r="W66" i="42400"/>
  <c r="O66" i="42400"/>
  <c r="F66" i="42400"/>
  <c r="X65" i="42400"/>
  <c r="L49" i="42400"/>
  <c r="T43" i="42400"/>
  <c r="T41" i="42400"/>
  <c r="T39" i="42400"/>
  <c r="S38" i="42400"/>
  <c r="T37" i="42400"/>
  <c r="B18" i="42405"/>
  <c r="B19" i="42405" s="1"/>
  <c r="B22" i="42405" s="1"/>
  <c r="F10" i="42433"/>
  <c r="CB1442" i="42385"/>
  <c r="AE24" i="42476"/>
  <c r="AE25" i="42476" s="1"/>
  <c r="BM1617" i="42385"/>
  <c r="BI1617" i="42385"/>
  <c r="BJ1617" i="42385" s="1"/>
  <c r="CX1617" i="42385" s="1"/>
  <c r="AZ1616" i="42385"/>
  <c r="AO1617" i="42385"/>
  <c r="AP1617" i="42385" s="1"/>
  <c r="CT1617" i="42385" s="1"/>
  <c r="AI1617" i="42385"/>
  <c r="BQ1166" i="42385"/>
  <c r="BL1166" i="42385"/>
  <c r="BQ1168" i="42385" s="1"/>
  <c r="F1138" i="42385"/>
  <c r="G1138" i="42385" s="1"/>
  <c r="CM1138" i="42385" s="1"/>
  <c r="AK866" i="42385"/>
  <c r="CS866" i="42385" s="1"/>
  <c r="AA866" i="42385"/>
  <c r="CQ866" i="42385" s="1"/>
  <c r="G866" i="42385"/>
  <c r="CM866" i="42385" s="1"/>
  <c r="Q835" i="42385"/>
  <c r="CO835" i="42385" s="1"/>
  <c r="L835" i="42385"/>
  <c r="CN835" i="42385" s="1"/>
  <c r="AY668" i="42385"/>
  <c r="AJ699" i="42385"/>
  <c r="AK626" i="42385"/>
  <c r="CS626" i="42385" s="1"/>
  <c r="BO510" i="42385"/>
  <c r="BJ510" i="42385"/>
  <c r="G486" i="42385"/>
  <c r="M305" i="42385"/>
  <c r="AH165" i="42385"/>
  <c r="AH166" i="42385" s="1"/>
  <c r="AH134" i="42385" s="1"/>
  <c r="AZ85" i="42385"/>
  <c r="CV85" i="42385" s="1"/>
  <c r="IS902" i="42464"/>
  <c r="IT902" i="42464" s="1"/>
  <c r="IU902" i="42464" s="1"/>
  <c r="AH172" i="42470"/>
  <c r="AH173" i="42470" s="1"/>
  <c r="AB43" i="42417"/>
  <c r="G1025" i="42385"/>
  <c r="CM1025" i="42385" s="1"/>
  <c r="I194" i="42400"/>
  <c r="I1019" i="42385" s="1"/>
  <c r="N141" i="42400"/>
  <c r="E141" i="42400"/>
  <c r="E144" i="42400" s="1"/>
  <c r="T140" i="42400"/>
  <c r="N140" i="42400"/>
  <c r="S134" i="42400"/>
  <c r="I134" i="42400"/>
  <c r="I137" i="42400" s="1"/>
  <c r="F65" i="42400"/>
  <c r="D64" i="42400"/>
  <c r="V45" i="42400"/>
  <c r="T45" i="42400" s="1"/>
  <c r="U40" i="42400"/>
  <c r="M38" i="42400"/>
  <c r="I16" i="42410"/>
  <c r="AB45" i="42417"/>
  <c r="BQ1233" i="42385"/>
  <c r="BQ1234" i="42385" s="1"/>
  <c r="U95" i="42400"/>
  <c r="U101" i="42400" s="1"/>
  <c r="U833" i="42385" s="1"/>
  <c r="U830" i="42385" s="1"/>
  <c r="U831" i="42385" s="1"/>
  <c r="Y1577" i="42385"/>
  <c r="H1554" i="42385"/>
  <c r="AF1541" i="42385"/>
  <c r="CR1541" i="42385" s="1"/>
  <c r="L1541" i="42385"/>
  <c r="CN1541" i="42385" s="1"/>
  <c r="AK1538" i="42385"/>
  <c r="CS1538" i="42385" s="1"/>
  <c r="U1366" i="42385"/>
  <c r="U201" i="42385" s="1"/>
  <c r="G1096" i="42385"/>
  <c r="CM1096" i="42385" s="1"/>
  <c r="AF928" i="42385"/>
  <c r="CR928" i="42385" s="1"/>
  <c r="AA928" i="42385"/>
  <c r="CQ928" i="42385" s="1"/>
  <c r="L928" i="42385"/>
  <c r="CN928" i="42385" s="1"/>
  <c r="AK713" i="42385"/>
  <c r="BO559" i="42385"/>
  <c r="BO560" i="42385" s="1"/>
  <c r="BO465" i="42385"/>
  <c r="AS462" i="42385"/>
  <c r="AX464" i="42385" s="1"/>
  <c r="BE458" i="42385"/>
  <c r="BE436" i="42385"/>
  <c r="CR327" i="42385"/>
  <c r="Q21" i="42470"/>
  <c r="BV197" i="42417"/>
  <c r="BJ295" i="42400"/>
  <c r="AP295" i="42400"/>
  <c r="V295" i="42400"/>
  <c r="Z231" i="42400"/>
  <c r="T229" i="42400"/>
  <c r="O229" i="42400"/>
  <c r="T224" i="42400"/>
  <c r="O222" i="42400"/>
  <c r="L194" i="42400"/>
  <c r="L1019" i="42385" s="1"/>
  <c r="M140" i="42400"/>
  <c r="Z93" i="42400"/>
  <c r="E93" i="42400"/>
  <c r="X92" i="42400"/>
  <c r="O91" i="42400"/>
  <c r="D91" i="42400"/>
  <c r="T90" i="42400"/>
  <c r="K89" i="42400"/>
  <c r="W88" i="42400"/>
  <c r="O88" i="42400"/>
  <c r="E88" i="42400"/>
  <c r="F69" i="42400"/>
  <c r="P68" i="42400"/>
  <c r="E67" i="42400"/>
  <c r="S66" i="42400"/>
  <c r="W65" i="42400"/>
  <c r="Q47" i="42400"/>
  <c r="S43" i="42400"/>
  <c r="E42" i="42400"/>
  <c r="Y40" i="42400"/>
  <c r="Y45" i="42400" s="1"/>
  <c r="Y51" i="42400" s="1"/>
  <c r="Y802" i="42385" s="1"/>
  <c r="S40" i="42400"/>
  <c r="W39" i="42400"/>
  <c r="R38" i="42400"/>
  <c r="S37" i="42400"/>
  <c r="J45" i="42400"/>
  <c r="J51" i="42400" s="1"/>
  <c r="J802" i="42385" s="1"/>
  <c r="M57" i="42446"/>
  <c r="M61" i="42446" s="1"/>
  <c r="CA1460" i="42385"/>
  <c r="K233" i="42400"/>
  <c r="J226" i="42400"/>
  <c r="E1623" i="42385"/>
  <c r="AI1554" i="42385"/>
  <c r="T1554" i="42385"/>
  <c r="O1554" i="42385"/>
  <c r="BK1491" i="42385"/>
  <c r="BO1491" i="42385" s="1"/>
  <c r="AA807" i="42385"/>
  <c r="CQ807" i="42385" s="1"/>
  <c r="L770" i="42385"/>
  <c r="L772" i="42385" s="1"/>
  <c r="CN772" i="42385" s="1"/>
  <c r="AF749" i="42385"/>
  <c r="CR749" i="42385" s="1"/>
  <c r="L749" i="42385"/>
  <c r="CN749" i="42385" s="1"/>
  <c r="BI546" i="42385"/>
  <c r="BI535" i="42385"/>
  <c r="AM23" i="42385"/>
  <c r="AK286" i="42385"/>
  <c r="L284" i="42385"/>
  <c r="CN284" i="42385" s="1"/>
  <c r="AA274" i="42385"/>
  <c r="CQ274" i="42385" s="1"/>
  <c r="G274" i="42385"/>
  <c r="CM274" i="42385" s="1"/>
  <c r="L270" i="42385"/>
  <c r="CN270" i="42385" s="1"/>
  <c r="Z277" i="42385"/>
  <c r="AM277" i="42385"/>
  <c r="GL531" i="42417" s="1"/>
  <c r="X277" i="42385"/>
  <c r="G265" i="42385"/>
  <c r="AK245" i="42385"/>
  <c r="AK243" i="42385"/>
  <c r="CS243" i="42385" s="1"/>
  <c r="V242" i="42385"/>
  <c r="GM495" i="42417"/>
  <c r="G234" i="42385"/>
  <c r="CM234" i="42385" s="1"/>
  <c r="AF227" i="42385"/>
  <c r="CR227" i="42385" s="1"/>
  <c r="AK223" i="42385"/>
  <c r="CS223" i="42385" s="1"/>
  <c r="V218" i="42385"/>
  <c r="BB131" i="42385"/>
  <c r="BC24" i="42385"/>
  <c r="BC27" i="42385" s="1"/>
  <c r="W5" i="42385"/>
  <c r="AA5" i="42385" s="1"/>
  <c r="CQ5" i="42385" s="1"/>
  <c r="HG668" i="42464"/>
  <c r="Z38" i="42464"/>
  <c r="Z42" i="42464" s="1"/>
  <c r="Q15" i="42470"/>
  <c r="O231" i="42400"/>
  <c r="Z229" i="42400"/>
  <c r="M229" i="42400"/>
  <c r="N222" i="42400"/>
  <c r="E222" i="42400"/>
  <c r="V194" i="42400"/>
  <c r="V1019" i="42385" s="1"/>
  <c r="I141" i="42400"/>
  <c r="I144" i="42400" s="1"/>
  <c r="U140" i="42400"/>
  <c r="T134" i="42400"/>
  <c r="H134" i="42400"/>
  <c r="H137" i="42400" s="1"/>
  <c r="R101" i="42400"/>
  <c r="R833" i="42385" s="1"/>
  <c r="K87" i="42400"/>
  <c r="E69" i="42400"/>
  <c r="O68" i="42400"/>
  <c r="N65" i="42400"/>
  <c r="S63" i="42400"/>
  <c r="W43" i="42400"/>
  <c r="H45" i="42400"/>
  <c r="R91" i="42446"/>
  <c r="R94" i="42446" s="1"/>
  <c r="N45" i="42412"/>
  <c r="D43" i="42406"/>
  <c r="E45" i="42406"/>
  <c r="E43" i="42406" s="1"/>
  <c r="S8" i="42476"/>
  <c r="S45" i="42476" s="1"/>
  <c r="BL32" i="42385"/>
  <c r="BG27" i="42385"/>
  <c r="BG50" i="42385"/>
  <c r="BG52" i="42385" s="1"/>
  <c r="BL26" i="42385"/>
  <c r="W33" i="42464"/>
  <c r="V41" i="42464"/>
  <c r="BM564" i="42385"/>
  <c r="BM226" i="42385"/>
  <c r="BR564" i="42385"/>
  <c r="BM566" i="42385"/>
  <c r="HF559" i="42417"/>
  <c r="HI559" i="42417" s="1"/>
  <c r="HG559" i="42417"/>
  <c r="DW337" i="42417"/>
  <c r="U45" i="42400"/>
  <c r="BV400" i="42385"/>
  <c r="K165" i="42385"/>
  <c r="K166" i="42385" s="1"/>
  <c r="K134" i="42385" s="1"/>
  <c r="AO873" i="42385"/>
  <c r="CV1284" i="42385"/>
  <c r="Z127" i="42424"/>
  <c r="BL537" i="42385"/>
  <c r="AE1434" i="42385"/>
  <c r="AF1434" i="42385" s="1"/>
  <c r="CR1434" i="42385" s="1"/>
  <c r="BP41" i="42385"/>
  <c r="BD1281" i="42385"/>
  <c r="IC687" i="42417"/>
  <c r="ID687" i="42417" s="1"/>
  <c r="CR1648" i="42385"/>
  <c r="L1536" i="42385"/>
  <c r="CN1536" i="42385" s="1"/>
  <c r="J1554" i="42385"/>
  <c r="Z1554" i="42385"/>
  <c r="AA1533" i="42385"/>
  <c r="CQ1533" i="42385" s="1"/>
  <c r="AH1554" i="42385"/>
  <c r="N1554" i="42385"/>
  <c r="AT1500" i="42385"/>
  <c r="AT118" i="42385"/>
  <c r="CW253" i="42417" s="1"/>
  <c r="E1510" i="42385"/>
  <c r="E1500" i="42385"/>
  <c r="CT1408" i="42385"/>
  <c r="AP1411" i="42385"/>
  <c r="CP1408" i="42385"/>
  <c r="V1411" i="42385"/>
  <c r="BP1326" i="42385"/>
  <c r="AM1093" i="42385"/>
  <c r="AM1092" i="42385"/>
  <c r="AG1092" i="42385"/>
  <c r="AL1093" i="42385"/>
  <c r="AG1093" i="42385"/>
  <c r="AA1091" i="42385"/>
  <c r="W1093" i="42385"/>
  <c r="R1092" i="42385"/>
  <c r="V1091" i="42385"/>
  <c r="AA1093" i="42385" s="1"/>
  <c r="CQ1093" i="42385" s="1"/>
  <c r="R1093" i="42385"/>
  <c r="M1093" i="42385"/>
  <c r="M1092" i="42385"/>
  <c r="C1092" i="42385"/>
  <c r="G1091" i="42385"/>
  <c r="AP1088" i="42385"/>
  <c r="AT1088" i="42385"/>
  <c r="AT254" i="42385" s="1"/>
  <c r="AP187" i="42400"/>
  <c r="AP190" i="42400" s="1"/>
  <c r="AP1011" i="42385"/>
  <c r="CT1011" i="42385" s="1"/>
  <c r="HZ689" i="42417"/>
  <c r="IC689" i="42417" s="1"/>
  <c r="ID689" i="42417" s="1"/>
  <c r="CT1010" i="42385"/>
  <c r="V1011" i="42385"/>
  <c r="CP1011" i="42385" s="1"/>
  <c r="AA1011" i="42385"/>
  <c r="CQ1011" i="42385" s="1"/>
  <c r="CP1010" i="42385"/>
  <c r="V1012" i="42385"/>
  <c r="CP1012" i="42385" s="1"/>
  <c r="AQ903" i="42385"/>
  <c r="AQ1529" i="42385" s="1"/>
  <c r="AO1529" i="42385"/>
  <c r="AP1529" i="42385" s="1"/>
  <c r="CT1529" i="42385" s="1"/>
  <c r="AO904" i="42385"/>
  <c r="CP899" i="42385"/>
  <c r="V902" i="42385"/>
  <c r="CP902" i="42385" s="1"/>
  <c r="V900" i="42385"/>
  <c r="CP900" i="42385" s="1"/>
  <c r="D900" i="42385"/>
  <c r="I902" i="42385"/>
  <c r="D897" i="42385"/>
  <c r="G897" i="42385" s="1"/>
  <c r="CM897" i="42385" s="1"/>
  <c r="CS889" i="42385"/>
  <c r="AK900" i="42385"/>
  <c r="CS900" i="42385" s="1"/>
  <c r="CO889" i="42385"/>
  <c r="Q900" i="42385"/>
  <c r="CO900" i="42385" s="1"/>
  <c r="BR890" i="42385"/>
  <c r="BR243" i="42385"/>
  <c r="BM890" i="42385"/>
  <c r="BM243" i="42385"/>
  <c r="BO243" i="42385" s="1"/>
  <c r="BH243" i="42385"/>
  <c r="BJ889" i="42385"/>
  <c r="BC243" i="42385"/>
  <c r="BE243" i="42385" s="1"/>
  <c r="BE889" i="42385"/>
  <c r="CW889" i="42385" s="1"/>
  <c r="BC8" i="42418"/>
  <c r="AR890" i="42385"/>
  <c r="CO886" i="42385"/>
  <c r="P8" i="42443"/>
  <c r="P10" i="42443" s="1"/>
  <c r="Q275" i="42400"/>
  <c r="Q291" i="42400" s="1"/>
  <c r="M291" i="42400" s="1"/>
  <c r="BP242" i="42385"/>
  <c r="BP859" i="42385"/>
  <c r="BI859" i="42385"/>
  <c r="BI242" i="42385"/>
  <c r="BF92" i="42418"/>
  <c r="BA242" i="42385"/>
  <c r="BA859" i="42385"/>
  <c r="BE858" i="42385"/>
  <c r="BF859" i="42385"/>
  <c r="BH859" i="42385"/>
  <c r="BM859" i="42385"/>
  <c r="AW857" i="42385"/>
  <c r="AW858" i="42385" s="1"/>
  <c r="AR858" i="42385"/>
  <c r="CU855" i="42385"/>
  <c r="HN634" i="42417"/>
  <c r="BO84" i="42400"/>
  <c r="BO99" i="42400" s="1"/>
  <c r="BT822" i="42385"/>
  <c r="CZ822" i="42385" s="1"/>
  <c r="Z25" i="42443"/>
  <c r="AA822" i="42385"/>
  <c r="CQ822" i="42385" s="1"/>
  <c r="CR816" i="42385"/>
  <c r="AF1140" i="42385"/>
  <c r="CR1140" i="42385" s="1"/>
  <c r="Z691" i="42385"/>
  <c r="AN693" i="42385"/>
  <c r="AN695" i="42385" s="1"/>
  <c r="AN696" i="42385" s="1"/>
  <c r="AL677" i="42385"/>
  <c r="AL675" i="42385"/>
  <c r="BM670" i="42385"/>
  <c r="BJ670" i="42385"/>
  <c r="BJ671" i="42385" s="1"/>
  <c r="BQ664" i="42385"/>
  <c r="BO664" i="42385"/>
  <c r="BO665" i="42385" s="1"/>
  <c r="AY665" i="42385"/>
  <c r="AY673" i="42385"/>
  <c r="AY675" i="42385" s="1"/>
  <c r="AY693" i="42385" s="1"/>
  <c r="AY695" i="42385" s="1"/>
  <c r="AY696" i="42385" s="1"/>
  <c r="BD665" i="42385"/>
  <c r="AF700" i="42385"/>
  <c r="AF665" i="42385"/>
  <c r="AK665" i="42385"/>
  <c r="AF673" i="42385"/>
  <c r="AR231" i="42385"/>
  <c r="AW640" i="42385"/>
  <c r="AO631" i="42385"/>
  <c r="AQ631" i="42385" s="1"/>
  <c r="AN1543" i="42385"/>
  <c r="U625" i="42385"/>
  <c r="T624" i="42385"/>
  <c r="T621" i="42385" s="1"/>
  <c r="CS618" i="42385"/>
  <c r="AK629" i="42385"/>
  <c r="CS629" i="42385" s="1"/>
  <c r="AI274" i="42385"/>
  <c r="AI599" i="42385"/>
  <c r="CT588" i="42385"/>
  <c r="AU589" i="42385"/>
  <c r="CU589" i="42385" s="1"/>
  <c r="V402" i="42385"/>
  <c r="CP402" i="42385" s="1"/>
  <c r="CP401" i="42385"/>
  <c r="V417" i="42385"/>
  <c r="CP417" i="42385" s="1"/>
  <c r="CE292" i="42492"/>
  <c r="BJ398" i="42385"/>
  <c r="BF399" i="42385"/>
  <c r="BA399" i="42385"/>
  <c r="BA400" i="42385" s="1"/>
  <c r="BA401" i="42385" s="1"/>
  <c r="AZ398" i="42385"/>
  <c r="AP398" i="42385"/>
  <c r="AG399" i="42385"/>
  <c r="AG400" i="42385"/>
  <c r="AO356" i="42385"/>
  <c r="AN1528" i="42385"/>
  <c r="T354" i="42385"/>
  <c r="T344" i="42385"/>
  <c r="CQ327" i="42385"/>
  <c r="AA1139" i="42385"/>
  <c r="CQ1139" i="42385" s="1"/>
  <c r="CM327" i="42385"/>
  <c r="G1139" i="42385"/>
  <c r="CM1139" i="42385" s="1"/>
  <c r="AI305" i="42385"/>
  <c r="AJ305" i="42385"/>
  <c r="AK293" i="42385"/>
  <c r="AD21" i="42385"/>
  <c r="AF21" i="42385" s="1"/>
  <c r="CR21" i="42385" s="1"/>
  <c r="AD305" i="42385"/>
  <c r="AD314" i="42385" s="1"/>
  <c r="T305" i="42385"/>
  <c r="J305" i="42385"/>
  <c r="CW277" i="42464"/>
  <c r="CW279" i="42464" s="1"/>
  <c r="CX274" i="42464"/>
  <c r="CY274" i="42464" s="1"/>
  <c r="AD38" i="42464"/>
  <c r="AD42" i="42464" s="1"/>
  <c r="Z61" i="42470"/>
  <c r="Y113" i="42470"/>
  <c r="Y63" i="42470"/>
  <c r="Y230" i="42400"/>
  <c r="Y233" i="42400" s="1"/>
  <c r="Z230" i="42400"/>
  <c r="AA233" i="42400"/>
  <c r="X230" i="42400"/>
  <c r="W230" i="42400"/>
  <c r="W233" i="42400" s="1"/>
  <c r="J230" i="42400"/>
  <c r="J233" i="42400" s="1"/>
  <c r="J235" i="42400" s="1"/>
  <c r="J957" i="42385" s="1"/>
  <c r="H230" i="42400"/>
  <c r="H233" i="42400" s="1"/>
  <c r="O142" i="42400"/>
  <c r="O144" i="42400" s="1"/>
  <c r="P142" i="42400"/>
  <c r="P144" i="42400" s="1"/>
  <c r="N142" i="42400"/>
  <c r="M142" i="42400"/>
  <c r="M144" i="42400" s="1"/>
  <c r="Q144" i="42400"/>
  <c r="T64" i="42400"/>
  <c r="U64" i="42400"/>
  <c r="U71" i="42400" s="1"/>
  <c r="U75" i="42400" s="1"/>
  <c r="U864" i="42385" s="1"/>
  <c r="U865" i="42385" s="1"/>
  <c r="S64" i="42400"/>
  <c r="G49" i="42400"/>
  <c r="G51" i="42400" s="1"/>
  <c r="G802" i="42385" s="1"/>
  <c r="M41" i="42400"/>
  <c r="O41" i="42400"/>
  <c r="Q45" i="42400"/>
  <c r="E37" i="42400"/>
  <c r="C37" i="42400"/>
  <c r="F15" i="42410"/>
  <c r="F11" i="42410"/>
  <c r="F17" i="42410" s="1"/>
  <c r="AD1558" i="42385"/>
  <c r="Z136" i="42424"/>
  <c r="AS384" i="42385"/>
  <c r="BP43" i="42385"/>
  <c r="CA1452" i="42385"/>
  <c r="DC1452" i="42385" s="1"/>
  <c r="CA1461" i="42385"/>
  <c r="K1611" i="42385"/>
  <c r="L1611" i="42385" s="1"/>
  <c r="CN1611" i="42385" s="1"/>
  <c r="N1611" i="42385"/>
  <c r="R1554" i="42385"/>
  <c r="C1554" i="42385"/>
  <c r="X1575" i="42385"/>
  <c r="X1577" i="42385" s="1"/>
  <c r="X1504" i="42385"/>
  <c r="CS1409" i="42385"/>
  <c r="AK1411" i="42385"/>
  <c r="BU1342" i="42385"/>
  <c r="BV1342" i="42385" s="1"/>
  <c r="BW1342" i="42385" s="1"/>
  <c r="BX1342" i="42385" s="1"/>
  <c r="BY1342" i="42385" s="1"/>
  <c r="CZ1342" i="42385"/>
  <c r="G24" i="42465"/>
  <c r="CW1342" i="42385"/>
  <c r="CM1340" i="42385"/>
  <c r="CP1339" i="42385"/>
  <c r="W1506" i="42385"/>
  <c r="AA1506" i="42385"/>
  <c r="CQ1506" i="42385" s="1"/>
  <c r="V1346" i="42385"/>
  <c r="CP1346" i="42385" s="1"/>
  <c r="AD1299" i="42385"/>
  <c r="E1293" i="42385"/>
  <c r="C115" i="42385"/>
  <c r="D115" i="42385"/>
  <c r="BH1291" i="42385"/>
  <c r="BH115" i="42385" s="1"/>
  <c r="BG115" i="42385"/>
  <c r="AM115" i="42385"/>
  <c r="BQ115" i="42385"/>
  <c r="AX1289" i="42385"/>
  <c r="AY1289" i="42385" s="1"/>
  <c r="BH1284" i="42385"/>
  <c r="E110" i="42385"/>
  <c r="F1284" i="42385"/>
  <c r="F110" i="42385" s="1"/>
  <c r="BC1283" i="42385"/>
  <c r="O258" i="42385"/>
  <c r="AO1104" i="42385"/>
  <c r="AN1107" i="42385"/>
  <c r="AN1108" i="42385" s="1"/>
  <c r="AT1103" i="42385"/>
  <c r="AP1103" i="42385"/>
  <c r="CT1103" i="42385" s="1"/>
  <c r="CQ1102" i="42385"/>
  <c r="AA1107" i="42385"/>
  <c r="CQ1107" i="42385" s="1"/>
  <c r="AN1542" i="42385"/>
  <c r="AP1542" i="42385" s="1"/>
  <c r="CT1542" i="42385" s="1"/>
  <c r="AN1099" i="42385"/>
  <c r="CP1098" i="42385"/>
  <c r="V1099" i="42385"/>
  <c r="CP1099" i="42385" s="1"/>
  <c r="BP244" i="42385"/>
  <c r="BP921" i="42385"/>
  <c r="BK921" i="42385"/>
  <c r="BK244" i="42385"/>
  <c r="AF115" i="42492" s="1"/>
  <c r="AG115" i="42492" s="1"/>
  <c r="BG921" i="42385"/>
  <c r="BE920" i="42385"/>
  <c r="CN920" i="42385"/>
  <c r="Q921" i="42385"/>
  <c r="CO921" i="42385" s="1"/>
  <c r="HN632" i="42417"/>
  <c r="AZ918" i="42385"/>
  <c r="CV918" i="42385" s="1"/>
  <c r="AU130" i="42400"/>
  <c r="CQ917" i="42385"/>
  <c r="AF918" i="42385"/>
  <c r="CR918" i="42385" s="1"/>
  <c r="CM917" i="42385"/>
  <c r="F32" i="42443"/>
  <c r="AK131" i="42400"/>
  <c r="AK146" i="42400" s="1"/>
  <c r="AK915" i="42385"/>
  <c r="CS915" i="42385" s="1"/>
  <c r="CY824" i="42385"/>
  <c r="BO825" i="42385"/>
  <c r="CY825" i="42385" s="1"/>
  <c r="BO83" i="42400"/>
  <c r="BO92" i="42400" s="1"/>
  <c r="CU824" i="42385"/>
  <c r="AU825" i="42385"/>
  <c r="CU825" i="42385" s="1"/>
  <c r="AU83" i="42400"/>
  <c r="IA691" i="42417"/>
  <c r="IC691" i="42417" s="1"/>
  <c r="ID691" i="42417" s="1"/>
  <c r="GU541" i="42417"/>
  <c r="GV541" i="42417" s="1"/>
  <c r="CQ824" i="42385"/>
  <c r="Z24" i="42443"/>
  <c r="L825" i="42385"/>
  <c r="CN825" i="42385" s="1"/>
  <c r="F24" i="42443"/>
  <c r="CQ785" i="42385"/>
  <c r="AA1140" i="42385"/>
  <c r="CQ1140" i="42385" s="1"/>
  <c r="CM785" i="42385"/>
  <c r="G1140" i="42385"/>
  <c r="CM1140" i="42385" s="1"/>
  <c r="CO720" i="42385"/>
  <c r="Q721" i="42385"/>
  <c r="CO721" i="42385" s="1"/>
  <c r="AB715" i="42385"/>
  <c r="AB714" i="42385"/>
  <c r="W714" i="42385"/>
  <c r="AA713" i="42385"/>
  <c r="M714" i="42385"/>
  <c r="M715" i="42385"/>
  <c r="Q713" i="42385"/>
  <c r="CS710" i="42385"/>
  <c r="AK711" i="42385"/>
  <c r="CS711" i="42385" s="1"/>
  <c r="CO710" i="42385"/>
  <c r="Q711" i="42385"/>
  <c r="CO711" i="42385" s="1"/>
  <c r="BP531" i="42385"/>
  <c r="BO531" i="42385"/>
  <c r="CY531" i="42385" s="1"/>
  <c r="BG507" i="42385"/>
  <c r="BG224" i="42385"/>
  <c r="BJ504" i="42385"/>
  <c r="AH487" i="42385"/>
  <c r="AK486" i="42385"/>
  <c r="BF429" i="42385"/>
  <c r="BE429" i="42385"/>
  <c r="CW429" i="42385" s="1"/>
  <c r="AV221" i="42385"/>
  <c r="AV434" i="42385"/>
  <c r="CD293" i="42492"/>
  <c r="BJ428" i="42385"/>
  <c r="CX428" i="42385" s="1"/>
  <c r="CW422" i="42385"/>
  <c r="BF422" i="42385"/>
  <c r="BG422" i="42385" s="1"/>
  <c r="BH422" i="42385" s="1"/>
  <c r="BI422" i="42385" s="1"/>
  <c r="BJ422" i="42385" s="1"/>
  <c r="CX422" i="42385" s="1"/>
  <c r="CQ416" i="42385"/>
  <c r="AA417" i="42385"/>
  <c r="CQ417" i="42385" s="1"/>
  <c r="CM416" i="42385"/>
  <c r="G417" i="42385"/>
  <c r="CM417" i="42385" s="1"/>
  <c r="AA413" i="42385"/>
  <c r="CQ413" i="42385" s="1"/>
  <c r="CQ412" i="42385"/>
  <c r="G413" i="42385"/>
  <c r="CM413" i="42385" s="1"/>
  <c r="G414" i="42385"/>
  <c r="CM414" i="42385" s="1"/>
  <c r="U406" i="42385"/>
  <c r="U405" i="42385"/>
  <c r="K404" i="42385"/>
  <c r="K406" i="42385" s="1"/>
  <c r="L410" i="42385"/>
  <c r="CN410" i="42385" s="1"/>
  <c r="F405" i="42385"/>
  <c r="G404" i="42385"/>
  <c r="DH334" i="42464"/>
  <c r="DH335" i="42464" s="1"/>
  <c r="AA342" i="42385"/>
  <c r="CQ342" i="42385" s="1"/>
  <c r="AF342" i="42385"/>
  <c r="CQ341" i="42385"/>
  <c r="CM341" i="42385"/>
  <c r="G340" i="42385"/>
  <c r="CM340" i="42385" s="1"/>
  <c r="BK341" i="42385"/>
  <c r="BK339" i="42385"/>
  <c r="BF339" i="42385"/>
  <c r="BJ336" i="42385"/>
  <c r="BA339" i="42385"/>
  <c r="AV339" i="42385"/>
  <c r="AV340" i="42385" s="1"/>
  <c r="AZ336" i="42385"/>
  <c r="IA685" i="42417" s="1"/>
  <c r="AQ341" i="42385"/>
  <c r="AQ342" i="42385" s="1"/>
  <c r="AL340" i="42385"/>
  <c r="AP340" i="42385" s="1"/>
  <c r="CT340" i="42385" s="1"/>
  <c r="AP336" i="42385"/>
  <c r="AG340" i="42385"/>
  <c r="AK340" i="42385" s="1"/>
  <c r="CS340" i="42385" s="1"/>
  <c r="AG339" i="42385"/>
  <c r="V339" i="42385"/>
  <c r="CP339" i="42385" s="1"/>
  <c r="Q339" i="42385"/>
  <c r="CO339" i="42385" s="1"/>
  <c r="BT334" i="42385"/>
  <c r="BT338" i="42385" s="1"/>
  <c r="BS336" i="42385"/>
  <c r="AC347" i="42385"/>
  <c r="AH337" i="42385"/>
  <c r="AC337" i="42385"/>
  <c r="X337" i="42385"/>
  <c r="X347" i="42385"/>
  <c r="V333" i="42385"/>
  <c r="S347" i="42385"/>
  <c r="S354" i="42385" s="1"/>
  <c r="N337" i="42385"/>
  <c r="Q333" i="42385"/>
  <c r="CO333" i="42385" s="1"/>
  <c r="I347" i="42385"/>
  <c r="I337" i="42385"/>
  <c r="D347" i="42385"/>
  <c r="G333" i="42385"/>
  <c r="CM333" i="42385" s="1"/>
  <c r="BG130" i="42385"/>
  <c r="BF133" i="42385"/>
  <c r="AU130" i="42385"/>
  <c r="AR118" i="42385"/>
  <c r="CU253" i="42417" s="1"/>
  <c r="AR133" i="42385"/>
  <c r="AN131" i="42385"/>
  <c r="AN133" i="42385"/>
  <c r="BD113" i="42385"/>
  <c r="BD133" i="42385"/>
  <c r="AK113" i="42385"/>
  <c r="CS113" i="42385" s="1"/>
  <c r="AK1622" i="42385"/>
  <c r="CS1622" i="42385" s="1"/>
  <c r="Q127" i="42385"/>
  <c r="P1622" i="42385"/>
  <c r="Q73" i="42385"/>
  <c r="CO73" i="42385" s="1"/>
  <c r="P85" i="42385"/>
  <c r="AS198" i="42385"/>
  <c r="AR1503" i="42385"/>
  <c r="AU1503" i="42385" s="1"/>
  <c r="CU1503" i="42385" s="1"/>
  <c r="AR1574" i="42385"/>
  <c r="AR1577" i="42385" s="1"/>
  <c r="AT198" i="42385"/>
  <c r="AU198" i="42385" s="1"/>
  <c r="AR198" i="42385"/>
  <c r="BL85" i="42385"/>
  <c r="BF85" i="42385"/>
  <c r="BF86" i="42385" s="1"/>
  <c r="CZ59" i="42385"/>
  <c r="BT109" i="42385"/>
  <c r="CZ109" i="42385" s="1"/>
  <c r="CV59" i="42385"/>
  <c r="AZ109" i="42385"/>
  <c r="CV109" i="42385" s="1"/>
  <c r="AK48" i="42385"/>
  <c r="AG34" i="42385"/>
  <c r="AX30" i="42385"/>
  <c r="AX24" i="42385"/>
  <c r="AX32" i="42385" s="1"/>
  <c r="BM200" i="42385"/>
  <c r="BP200" i="42385"/>
  <c r="BH15" i="42385"/>
  <c r="BL200" i="42385"/>
  <c r="BH200" i="42385"/>
  <c r="BK200" i="42385"/>
  <c r="BG200" i="42385"/>
  <c r="BC200" i="42385"/>
  <c r="BF200" i="42385"/>
  <c r="AX15" i="42385"/>
  <c r="BB200" i="42385"/>
  <c r="AX200" i="42385"/>
  <c r="BA200" i="42385"/>
  <c r="C787" i="42385"/>
  <c r="C911" i="42385"/>
  <c r="C1004" i="42385"/>
  <c r="C849" i="42385"/>
  <c r="C63" i="42420"/>
  <c r="C64" i="42420" s="1"/>
  <c r="CB165" i="42464"/>
  <c r="G41" i="42470"/>
  <c r="N41" i="42470"/>
  <c r="T223" i="42400"/>
  <c r="T226" i="42400" s="1"/>
  <c r="V226" i="42400"/>
  <c r="V235" i="42400" s="1"/>
  <c r="V957" i="42385" s="1"/>
  <c r="R223" i="42400"/>
  <c r="R226" i="42400" s="1"/>
  <c r="X222" i="42400"/>
  <c r="Z222" i="42400"/>
  <c r="Y222" i="42400"/>
  <c r="AA226" i="42400"/>
  <c r="X89" i="42400"/>
  <c r="Z89" i="42400"/>
  <c r="AA95" i="42400"/>
  <c r="AA101" i="42400" s="1"/>
  <c r="AA833" i="42385" s="1"/>
  <c r="Y89" i="42400"/>
  <c r="D87" i="42400"/>
  <c r="F87" i="42400"/>
  <c r="E87" i="42400"/>
  <c r="M64" i="42400"/>
  <c r="P64" i="42400"/>
  <c r="H71" i="42400"/>
  <c r="H7" i="42412"/>
  <c r="AS88" i="42417"/>
  <c r="L26" i="42403"/>
  <c r="L17" i="42403"/>
  <c r="AB38" i="42417"/>
  <c r="AR10" i="42385"/>
  <c r="BT243" i="42385"/>
  <c r="CZ243" i="42385" s="1"/>
  <c r="AA1616" i="42385"/>
  <c r="CQ1616" i="42385" s="1"/>
  <c r="AB1617" i="42385"/>
  <c r="G1616" i="42385"/>
  <c r="CM1616" i="42385" s="1"/>
  <c r="H1617" i="42385"/>
  <c r="AJ1585" i="42385"/>
  <c r="J1567" i="42385"/>
  <c r="J1660" i="42385"/>
  <c r="AD1554" i="42385"/>
  <c r="AF1529" i="42385"/>
  <c r="CR1529" i="42385" s="1"/>
  <c r="AB1525" i="42385"/>
  <c r="CS1522" i="42385"/>
  <c r="AL1525" i="42385"/>
  <c r="AL1499" i="42385" s="1"/>
  <c r="AZ1459" i="42385"/>
  <c r="AY1490" i="42385"/>
  <c r="AZ1490" i="42385" s="1"/>
  <c r="AZ1458" i="42385"/>
  <c r="AY1489" i="42385"/>
  <c r="AZ1489" i="42385" s="1"/>
  <c r="AF1454" i="42385"/>
  <c r="CR1454" i="42385" s="1"/>
  <c r="AC1485" i="42385"/>
  <c r="X1485" i="42385"/>
  <c r="AA1454" i="42385"/>
  <c r="CQ1454" i="42385" s="1"/>
  <c r="AT1484" i="42385"/>
  <c r="AU1453" i="42385"/>
  <c r="CU1453" i="42385" s="1"/>
  <c r="AO1484" i="42385"/>
  <c r="AP1453" i="42385"/>
  <c r="CT1453" i="42385" s="1"/>
  <c r="AF1442" i="42385"/>
  <c r="CR1442" i="42385" s="1"/>
  <c r="AE1524" i="42385"/>
  <c r="BM202" i="42385"/>
  <c r="X42" i="42476"/>
  <c r="BH202" i="42385"/>
  <c r="S42" i="42476"/>
  <c r="V202" i="42385"/>
  <c r="U202" i="42385"/>
  <c r="CN1421" i="42385"/>
  <c r="D18" i="42472"/>
  <c r="M202" i="42385"/>
  <c r="BU1415" i="42385"/>
  <c r="BV1415" i="42385" s="1"/>
  <c r="BW1415" i="42385" s="1"/>
  <c r="BX1415" i="42385" s="1"/>
  <c r="BY1415" i="42385" s="1"/>
  <c r="DA1415" i="42385" s="1"/>
  <c r="CZ1415" i="42385"/>
  <c r="CR1415" i="42385"/>
  <c r="AG1415" i="42385"/>
  <c r="AO1411" i="42385"/>
  <c r="AN1317" i="42385"/>
  <c r="AM1326" i="42385"/>
  <c r="V1326" i="42385"/>
  <c r="CP1326" i="42385" s="1"/>
  <c r="AX111" i="42385"/>
  <c r="AY1313" i="42385"/>
  <c r="E1312" i="42385"/>
  <c r="D1314" i="42385"/>
  <c r="BC1311" i="42385"/>
  <c r="BT1308" i="42385"/>
  <c r="CZ1308" i="42385" s="1"/>
  <c r="BQ1314" i="42385"/>
  <c r="AD1308" i="42385"/>
  <c r="AC1314" i="42385"/>
  <c r="BM1307" i="42385"/>
  <c r="BO1307" i="42385" s="1"/>
  <c r="CY1307" i="42385" s="1"/>
  <c r="E133" i="42385"/>
  <c r="E130" i="42385" s="1"/>
  <c r="F1304" i="42385"/>
  <c r="F133" i="42385" s="1"/>
  <c r="F130" i="42385" s="1"/>
  <c r="AW1300" i="42385"/>
  <c r="AX1300" i="42385" s="1"/>
  <c r="AY1300" i="42385" s="1"/>
  <c r="AV115" i="42385"/>
  <c r="AB115" i="42385"/>
  <c r="AC1300" i="42385"/>
  <c r="CO1122" i="42385"/>
  <c r="Q1124" i="42385"/>
  <c r="CO1124" i="42385" s="1"/>
  <c r="AF1118" i="42385"/>
  <c r="AB1124" i="42385"/>
  <c r="AB1552" i="42385" s="1"/>
  <c r="AE312" i="42385"/>
  <c r="AJ1116" i="42385"/>
  <c r="CP1114" i="42385"/>
  <c r="V1115" i="42385"/>
  <c r="AV1113" i="42385"/>
  <c r="AQ1115" i="42385"/>
  <c r="AQ312" i="42385" s="1"/>
  <c r="CO1111" i="42385"/>
  <c r="Q1115" i="42385"/>
  <c r="CO1115" i="42385" s="1"/>
  <c r="CX979" i="42385"/>
  <c r="CI302" i="42492"/>
  <c r="BJ980" i="42385"/>
  <c r="CX980" i="42385" s="1"/>
  <c r="BJ151" i="42400"/>
  <c r="BW152" i="42400"/>
  <c r="BW167" i="42400" s="1"/>
  <c r="BW977" i="42385"/>
  <c r="AU152" i="42400"/>
  <c r="AU167" i="42400" s="1"/>
  <c r="CU976" i="42385"/>
  <c r="CQ961" i="42385"/>
  <c r="AA962" i="42385"/>
  <c r="CQ962" i="42385" s="1"/>
  <c r="CM961" i="42385"/>
  <c r="G962" i="42385"/>
  <c r="CM962" i="42385" s="1"/>
  <c r="CQ951" i="42385"/>
  <c r="AA952" i="42385"/>
  <c r="CQ952" i="42385" s="1"/>
  <c r="CM951" i="42385"/>
  <c r="G950" i="42385"/>
  <c r="CM950" i="42385" s="1"/>
  <c r="AN950" i="42385"/>
  <c r="AR950" i="42385"/>
  <c r="CS948" i="42385"/>
  <c r="AP949" i="42385"/>
  <c r="CT949" i="42385" s="1"/>
  <c r="AH939" i="42385"/>
  <c r="AG1139" i="42385"/>
  <c r="CS930" i="42385"/>
  <c r="AK933" i="42385"/>
  <c r="CS933" i="42385" s="1"/>
  <c r="V933" i="42385"/>
  <c r="CP933" i="42385" s="1"/>
  <c r="Q931" i="42385"/>
  <c r="CO931" i="42385" s="1"/>
  <c r="CO930" i="42385"/>
  <c r="V1140" i="42385"/>
  <c r="CP1140" i="42385" s="1"/>
  <c r="W878" i="42385"/>
  <c r="X878" i="42385" s="1"/>
  <c r="CP872" i="42385"/>
  <c r="V873" i="42385"/>
  <c r="CP873" i="42385" s="1"/>
  <c r="AF871" i="42385"/>
  <c r="CR871" i="42385" s="1"/>
  <c r="AA871" i="42385"/>
  <c r="CQ871" i="42385" s="1"/>
  <c r="BJ60" i="42400"/>
  <c r="BJ73" i="42400" s="1"/>
  <c r="CX852" i="42385"/>
  <c r="BF29" i="42418"/>
  <c r="BI240" i="42385"/>
  <c r="AV240" i="42385"/>
  <c r="AV797" i="42385"/>
  <c r="AQ240" i="42385"/>
  <c r="AU796" i="42385"/>
  <c r="CM796" i="42385"/>
  <c r="G807" i="42385"/>
  <c r="CM807" i="42385" s="1"/>
  <c r="BH240" i="42385"/>
  <c r="BH797" i="42385"/>
  <c r="BJ794" i="42385"/>
  <c r="CX794" i="42385" s="1"/>
  <c r="BE33" i="42400"/>
  <c r="BE40" i="42400" s="1"/>
  <c r="CW793" i="42385"/>
  <c r="CD297" i="42492"/>
  <c r="HZ693" i="42417"/>
  <c r="AK795" i="42385"/>
  <c r="CS795" i="42385" s="1"/>
  <c r="AP794" i="42385"/>
  <c r="CT794" i="42385" s="1"/>
  <c r="AK33" i="42400"/>
  <c r="AK794" i="42385"/>
  <c r="CS794" i="42385" s="1"/>
  <c r="P16" i="42443"/>
  <c r="Q795" i="42385"/>
  <c r="CO795" i="42385" s="1"/>
  <c r="V794" i="42385"/>
  <c r="CP794" i="42385" s="1"/>
  <c r="Q794" i="42385"/>
  <c r="CO794" i="42385" s="1"/>
  <c r="CW790" i="42385"/>
  <c r="BJ791" i="42385"/>
  <c r="CX791" i="42385" s="1"/>
  <c r="BE34" i="42400"/>
  <c r="BE49" i="42400" s="1"/>
  <c r="CS790" i="42385"/>
  <c r="AK34" i="42400"/>
  <c r="AK49" i="42400" s="1"/>
  <c r="V791" i="42385"/>
  <c r="CP791" i="42385" s="1"/>
  <c r="P17" i="42443"/>
  <c r="AN770" i="42385"/>
  <c r="AK770" i="42385"/>
  <c r="CS770" i="42385" s="1"/>
  <c r="AI772" i="42385"/>
  <c r="AD772" i="42385"/>
  <c r="AD771" i="42385"/>
  <c r="T771" i="42385"/>
  <c r="T772" i="42385"/>
  <c r="V770" i="42385"/>
  <c r="O771" i="42385"/>
  <c r="Q770" i="42385"/>
  <c r="AQ237" i="42385"/>
  <c r="AV767" i="42385"/>
  <c r="AQ771" i="42385"/>
  <c r="AW71" i="42418"/>
  <c r="AF778" i="42385"/>
  <c r="CR778" i="42385" s="1"/>
  <c r="AF768" i="42385"/>
  <c r="CR768" i="42385" s="1"/>
  <c r="CR767" i="42385"/>
  <c r="AF775" i="42385"/>
  <c r="CR775" i="42385" s="1"/>
  <c r="Q768" i="42385"/>
  <c r="CO768" i="42385" s="1"/>
  <c r="L775" i="42385"/>
  <c r="CN775" i="42385" s="1"/>
  <c r="L768" i="42385"/>
  <c r="CN768" i="42385" s="1"/>
  <c r="AK756" i="42385"/>
  <c r="CS756" i="42385" s="1"/>
  <c r="CS755" i="42385"/>
  <c r="CP755" i="42385"/>
  <c r="V757" i="42385"/>
  <c r="CP757" i="42385" s="1"/>
  <c r="AG753" i="42385"/>
  <c r="AK751" i="42385"/>
  <c r="AB752" i="42385"/>
  <c r="AB753" i="42385"/>
  <c r="AF751" i="42385"/>
  <c r="M753" i="42385"/>
  <c r="Q751" i="42385"/>
  <c r="H752" i="42385"/>
  <c r="L751" i="42385"/>
  <c r="BT739" i="42385"/>
  <c r="BT1537" i="42385" s="1"/>
  <c r="BR1537" i="42385"/>
  <c r="BI576" i="42385"/>
  <c r="BJ576" i="42385" s="1"/>
  <c r="BH1551" i="42385"/>
  <c r="CX529" i="42385"/>
  <c r="BO530" i="42385"/>
  <c r="CY530" i="42385" s="1"/>
  <c r="CO489" i="42385"/>
  <c r="Q491" i="42385"/>
  <c r="CO491" i="42385" s="1"/>
  <c r="AY222" i="42385"/>
  <c r="BD460" i="42385"/>
  <c r="AU458" i="42385"/>
  <c r="CU458" i="42385" s="1"/>
  <c r="AT459" i="42385"/>
  <c r="BB438" i="42385"/>
  <c r="BB440" i="42385" s="1"/>
  <c r="BE433" i="42385"/>
  <c r="BB434" i="42385"/>
  <c r="V381" i="42385"/>
  <c r="CP381" i="42385" s="1"/>
  <c r="AA383" i="42385"/>
  <c r="CQ383" i="42385" s="1"/>
  <c r="V383" i="42385"/>
  <c r="CP383" i="42385" s="1"/>
  <c r="CR370" i="42385"/>
  <c r="AF385" i="42385"/>
  <c r="CR385" i="42385" s="1"/>
  <c r="AR369" i="42385"/>
  <c r="AP369" i="42385"/>
  <c r="CT369" i="42385" s="1"/>
  <c r="CQ352" i="42385"/>
  <c r="AA353" i="42385"/>
  <c r="CQ353" i="42385" s="1"/>
  <c r="G353" i="42385"/>
  <c r="CM353" i="42385" s="1"/>
  <c r="AF350" i="42385"/>
  <c r="CR350" i="42385" s="1"/>
  <c r="F344" i="42385"/>
  <c r="F345" i="42385" s="1"/>
  <c r="AH348" i="42385"/>
  <c r="AI348" i="42385" s="1"/>
  <c r="AG347" i="42385"/>
  <c r="BF341" i="42385"/>
  <c r="AQ339" i="42385"/>
  <c r="CR324" i="42385"/>
  <c r="AK300" i="42385"/>
  <c r="CS300" i="42385" s="1"/>
  <c r="AH305" i="42385"/>
  <c r="AH314" i="42385" s="1"/>
  <c r="AH21" i="42385"/>
  <c r="AH30" i="42385" s="1"/>
  <c r="AK296" i="42385"/>
  <c r="CS296" i="42385" s="1"/>
  <c r="AF296" i="42385"/>
  <c r="CR296" i="42385" s="1"/>
  <c r="BN200" i="42385"/>
  <c r="BO200" i="42385" s="1"/>
  <c r="AX83" i="42385"/>
  <c r="AX86" i="42385" s="1"/>
  <c r="AS83" i="42385"/>
  <c r="AS86" i="42385" s="1"/>
  <c r="AS88" i="42385" s="1"/>
  <c r="AS1645" i="42385" s="1"/>
  <c r="HT743" i="42464"/>
  <c r="HT746" i="42464" s="1"/>
  <c r="AX216" i="42470"/>
  <c r="AX217" i="42470" s="1"/>
  <c r="V96" i="42470"/>
  <c r="AJ182" i="42470"/>
  <c r="AW89" i="42417"/>
  <c r="BT295" i="42400"/>
  <c r="BO295" i="42400"/>
  <c r="AZ295" i="42400"/>
  <c r="AU295" i="42400"/>
  <c r="AF295" i="42400"/>
  <c r="F224" i="42400"/>
  <c r="F226" i="42400" s="1"/>
  <c r="E224" i="42400"/>
  <c r="E226" i="42400" s="1"/>
  <c r="N223" i="42400"/>
  <c r="N226" i="42400" s="1"/>
  <c r="Q226" i="42400"/>
  <c r="P223" i="42400"/>
  <c r="P226" i="42400" s="1"/>
  <c r="O223" i="42400"/>
  <c r="O226" i="42400" s="1"/>
  <c r="N144" i="42400"/>
  <c r="N148" i="42400" s="1"/>
  <c r="N926" i="42385" s="1"/>
  <c r="N923" i="42385" s="1"/>
  <c r="N924" i="42385" s="1"/>
  <c r="O87" i="42400"/>
  <c r="P87" i="42400"/>
  <c r="N87" i="42400"/>
  <c r="M87" i="42400"/>
  <c r="Q95" i="42400"/>
  <c r="O63" i="42400"/>
  <c r="P63" i="42400"/>
  <c r="N63" i="42400"/>
  <c r="M63" i="42400"/>
  <c r="C41" i="42400"/>
  <c r="E41" i="42400"/>
  <c r="C16" i="42412"/>
  <c r="C17" i="42412" s="1"/>
  <c r="M7" i="42412"/>
  <c r="M8" i="42412"/>
  <c r="B45" i="42403"/>
  <c r="B7" i="42403"/>
  <c r="B8" i="42403" s="1"/>
  <c r="B10" i="42403" s="1"/>
  <c r="B12" i="42403" s="1"/>
  <c r="B9" i="42403"/>
  <c r="AO242" i="42385"/>
  <c r="GN494" i="42417" s="1"/>
  <c r="AE1585" i="42385"/>
  <c r="L25" i="42424"/>
  <c r="L21" i="42424" s="1"/>
  <c r="N1567" i="42385"/>
  <c r="N1661" i="42385"/>
  <c r="BH1280" i="42385"/>
  <c r="BJ1280" i="42385" s="1"/>
  <c r="CX1280" i="42385" s="1"/>
  <c r="BH1557" i="42385"/>
  <c r="BH107" i="42385"/>
  <c r="BC1557" i="42385"/>
  <c r="BC1280" i="42385"/>
  <c r="AX1557" i="42385"/>
  <c r="AX107" i="42385"/>
  <c r="AX1280" i="42385"/>
  <c r="AZ1280" i="42385" s="1"/>
  <c r="F42" i="42465" s="1"/>
  <c r="AS1557" i="42385"/>
  <c r="AS107" i="42385"/>
  <c r="AS1280" i="42385"/>
  <c r="AG1525" i="42385"/>
  <c r="AG1499" i="42385" s="1"/>
  <c r="AK1524" i="42385"/>
  <c r="CS1524" i="42385" s="1"/>
  <c r="W1406" i="42385"/>
  <c r="W1424" i="42385" s="1"/>
  <c r="W1564" i="42385"/>
  <c r="R1406" i="42385"/>
  <c r="R1424" i="42385" s="1"/>
  <c r="R1564" i="42385"/>
  <c r="R1567" i="42385" s="1"/>
  <c r="S1504" i="42385"/>
  <c r="M1406" i="42385"/>
  <c r="M1424" i="42385" s="1"/>
  <c r="M1426" i="42385" s="1"/>
  <c r="M1564" i="42385"/>
  <c r="H1406" i="42385"/>
  <c r="H1424" i="42385" s="1"/>
  <c r="H1426" i="42385" s="1"/>
  <c r="H1564" i="42385"/>
  <c r="H1660" i="42385" s="1"/>
  <c r="CN1400" i="42385"/>
  <c r="M1498" i="42385"/>
  <c r="Q1498" i="42385" s="1"/>
  <c r="CO1498" i="42385" s="1"/>
  <c r="CR1399" i="42385"/>
  <c r="AG1497" i="42385"/>
  <c r="AK1497" i="42385" s="1"/>
  <c r="CS1497" i="42385" s="1"/>
  <c r="BO1389" i="42385"/>
  <c r="BN1489" i="42385"/>
  <c r="BD1489" i="42385"/>
  <c r="AT1402" i="42385"/>
  <c r="AU1381" i="42385"/>
  <c r="AL1402" i="42385"/>
  <c r="AL1563" i="42385"/>
  <c r="AL1593" i="42385" s="1"/>
  <c r="AW1478" i="42385"/>
  <c r="AX1478" i="42385"/>
  <c r="CR1378" i="42385"/>
  <c r="AF1402" i="42385"/>
  <c r="AF1406" i="42385" s="1"/>
  <c r="CN1378" i="42385"/>
  <c r="BA1377" i="42385"/>
  <c r="BB1377" i="42385" s="1"/>
  <c r="BC1377" i="42385" s="1"/>
  <c r="BD1377" i="42385" s="1"/>
  <c r="BE1377" i="42385" s="1"/>
  <c r="CV1377" i="42385"/>
  <c r="CP1370" i="42385"/>
  <c r="V1375" i="42385"/>
  <c r="CP1375" i="42385" s="1"/>
  <c r="G30" i="42465"/>
  <c r="CW1369" i="42385"/>
  <c r="C30" i="42465"/>
  <c r="CS1369" i="42385"/>
  <c r="AN1324" i="42385"/>
  <c r="AO1324" i="42385" s="1"/>
  <c r="E1326" i="42385"/>
  <c r="F1322" i="42385"/>
  <c r="CS1321" i="42385"/>
  <c r="AK1643" i="42385"/>
  <c r="CS1643" i="42385" s="1"/>
  <c r="CO1321" i="42385"/>
  <c r="Q1643" i="42385"/>
  <c r="CO1643" i="42385" s="1"/>
  <c r="BH1320" i="42385"/>
  <c r="BI1320" i="42385" s="1"/>
  <c r="AW1319" i="42385"/>
  <c r="AW1326" i="42385" s="1"/>
  <c r="AV1326" i="42385"/>
  <c r="AX1318" i="42385"/>
  <c r="AY1318" i="42385" s="1"/>
  <c r="BG1260" i="42385"/>
  <c r="BG1263" i="42385"/>
  <c r="BG1553" i="42385" s="1"/>
  <c r="BG107" i="42385" s="1"/>
  <c r="BG1265" i="42385"/>
  <c r="BL1244" i="42385"/>
  <c r="BN1239" i="42385"/>
  <c r="BJ1239" i="42385"/>
  <c r="DB1191" i="42385"/>
  <c r="DC1191" i="42385"/>
  <c r="BG1171" i="42385"/>
  <c r="BJ1172" i="42385"/>
  <c r="CX1172" i="42385" s="1"/>
  <c r="BE1171" i="42385"/>
  <c r="BB1166" i="42385"/>
  <c r="BH1548" i="42385"/>
  <c r="BH1166" i="42385"/>
  <c r="BC1548" i="42385"/>
  <c r="BC1166" i="42385"/>
  <c r="BB981" i="42385"/>
  <c r="AZ981" i="42385"/>
  <c r="CY883" i="42385"/>
  <c r="BO884" i="42385"/>
  <c r="CY884" i="42385" s="1"/>
  <c r="AA276" i="42400"/>
  <c r="AA296" i="42400" s="1"/>
  <c r="CQ883" i="42385"/>
  <c r="AA884" i="42385"/>
  <c r="CQ884" i="42385" s="1"/>
  <c r="Z9" i="42443"/>
  <c r="Z10" i="42443" s="1"/>
  <c r="CM883" i="42385"/>
  <c r="F9" i="42443"/>
  <c r="F10" i="42443" s="1"/>
  <c r="AG1140" i="42385"/>
  <c r="CR837" i="42385"/>
  <c r="AF838" i="42385"/>
  <c r="CR838" i="42385" s="1"/>
  <c r="AF840" i="42385"/>
  <c r="CR840" i="42385" s="1"/>
  <c r="CN837" i="42385"/>
  <c r="L838" i="42385"/>
  <c r="CN838" i="42385" s="1"/>
  <c r="L840" i="42385"/>
  <c r="CN840" i="42385" s="1"/>
  <c r="BM241" i="42385"/>
  <c r="BR828" i="42385"/>
  <c r="BF241" i="42385"/>
  <c r="BF828" i="42385"/>
  <c r="AZ57" i="42418"/>
  <c r="BA241" i="42385"/>
  <c r="BE827" i="42385"/>
  <c r="BA828" i="42385"/>
  <c r="AQ241" i="42385"/>
  <c r="AU827" i="42385"/>
  <c r="V808" i="42385"/>
  <c r="CP808" i="42385" s="1"/>
  <c r="AA809" i="42385"/>
  <c r="CQ809" i="42385" s="1"/>
  <c r="CP806" i="42385"/>
  <c r="V807" i="42385"/>
  <c r="CP807" i="42385" s="1"/>
  <c r="S799" i="42385"/>
  <c r="S800" i="42385" s="1"/>
  <c r="BP460" i="42385"/>
  <c r="BP222" i="42385"/>
  <c r="BM460" i="42385"/>
  <c r="BH222" i="42385"/>
  <c r="BJ222" i="42385" s="1"/>
  <c r="CX222" i="42385" s="1"/>
  <c r="CY456" i="42385"/>
  <c r="BO457" i="42385"/>
  <c r="CY457" i="42385" s="1"/>
  <c r="U5" i="42443"/>
  <c r="CP324" i="42385"/>
  <c r="BP255" i="42385"/>
  <c r="BR248" i="42385"/>
  <c r="BT248" i="42385" s="1"/>
  <c r="BT302" i="42385"/>
  <c r="AF287" i="42385"/>
  <c r="CR287" i="42385" s="1"/>
  <c r="AF286" i="42385"/>
  <c r="J290" i="42385"/>
  <c r="AL277" i="42385"/>
  <c r="GK531" i="42417" s="1"/>
  <c r="R277" i="42385"/>
  <c r="R314" i="42385" s="1"/>
  <c r="E277" i="42385"/>
  <c r="AC277" i="42385"/>
  <c r="Q265" i="42385"/>
  <c r="CO265" i="42385" s="1"/>
  <c r="N277" i="42385"/>
  <c r="AC13" i="42385"/>
  <c r="AF254" i="42385"/>
  <c r="CR254" i="42385" s="1"/>
  <c r="AF244" i="42385"/>
  <c r="CR244" i="42385" s="1"/>
  <c r="AF243" i="42385"/>
  <c r="AK241" i="42385"/>
  <c r="AJ260" i="42385"/>
  <c r="AF237" i="42385"/>
  <c r="CR237" i="42385" s="1"/>
  <c r="AI258" i="42385"/>
  <c r="T258" i="42385"/>
  <c r="E258" i="42385"/>
  <c r="AM258" i="42385"/>
  <c r="AH260" i="42385"/>
  <c r="AC258" i="42385"/>
  <c r="C258" i="42385"/>
  <c r="BI200" i="42385"/>
  <c r="BJ200" i="42385" s="1"/>
  <c r="CM34" i="42385"/>
  <c r="CM40" i="42385"/>
  <c r="HF690" i="42464"/>
  <c r="HE690" i="42464"/>
  <c r="AV213" i="42470"/>
  <c r="AV216" i="42470" s="1"/>
  <c r="AV217" i="42470" s="1"/>
  <c r="DK305" i="42417"/>
  <c r="DK306" i="42417" s="1"/>
  <c r="DK308" i="42417" s="1"/>
  <c r="D229" i="42400"/>
  <c r="F229" i="42400"/>
  <c r="G233" i="42400"/>
  <c r="C229" i="42400"/>
  <c r="C233" i="42400" s="1"/>
  <c r="C235" i="42400" s="1"/>
  <c r="C957" i="42385" s="1"/>
  <c r="X1025" i="42385"/>
  <c r="X1016" i="42385"/>
  <c r="X1017" i="42385" s="1"/>
  <c r="X1020" i="42385"/>
  <c r="S142" i="42400"/>
  <c r="S144" i="42400" s="1"/>
  <c r="V144" i="42400"/>
  <c r="T142" i="42400"/>
  <c r="T144" i="42400" s="1"/>
  <c r="U142" i="42400"/>
  <c r="U144" i="42400" s="1"/>
  <c r="U137" i="42400"/>
  <c r="X64" i="42400"/>
  <c r="AA71" i="42400"/>
  <c r="AA75" i="42400" s="1"/>
  <c r="AA864" i="42385" s="1"/>
  <c r="CQ864" i="42385" s="1"/>
  <c r="Y64" i="42400"/>
  <c r="W64" i="42400"/>
  <c r="J63" i="42400"/>
  <c r="J71" i="42400" s="1"/>
  <c r="J75" i="42400" s="1"/>
  <c r="J864" i="42385" s="1"/>
  <c r="K63" i="42400"/>
  <c r="S42" i="42400"/>
  <c r="U42" i="42400"/>
  <c r="R42" i="42400"/>
  <c r="E39" i="42400"/>
  <c r="C39" i="42400"/>
  <c r="AU1110" i="42385"/>
  <c r="CU1110" i="42385" s="1"/>
  <c r="AM1554" i="42385"/>
  <c r="AZ1548" i="42385"/>
  <c r="CV1548" i="42385" s="1"/>
  <c r="CP112" i="42385"/>
  <c r="BP1623" i="42385"/>
  <c r="BP1490" i="42385"/>
  <c r="AY1483" i="42385"/>
  <c r="BY1451" i="42385"/>
  <c r="DA1451" i="42385" s="1"/>
  <c r="BY1461" i="42385"/>
  <c r="BS1490" i="42385"/>
  <c r="BR1490" i="42385"/>
  <c r="P1366" i="42385"/>
  <c r="K258" i="42385"/>
  <c r="F258" i="42385"/>
  <c r="BQ859" i="42385"/>
  <c r="G857" i="42385"/>
  <c r="CM857" i="42385" s="1"/>
  <c r="AY700" i="42385"/>
  <c r="CW529" i="42385"/>
  <c r="J373" i="42385"/>
  <c r="BJ368" i="42385"/>
  <c r="CX368" i="42385" s="1"/>
  <c r="G357" i="42385"/>
  <c r="CM357" i="42385" s="1"/>
  <c r="U290" i="42385"/>
  <c r="BH27" i="42385"/>
  <c r="AH178" i="42470"/>
  <c r="AH181" i="42470" s="1"/>
  <c r="V63" i="42470"/>
  <c r="P231" i="42400"/>
  <c r="P230" i="42400"/>
  <c r="E230" i="42400"/>
  <c r="E233" i="42400" s="1"/>
  <c r="E235" i="42400" s="1"/>
  <c r="E957" i="42385" s="1"/>
  <c r="Z141" i="42400"/>
  <c r="Z144" i="42400" s="1"/>
  <c r="Z148" i="42400" s="1"/>
  <c r="Z926" i="42385" s="1"/>
  <c r="J141" i="42400"/>
  <c r="J144" i="42400" s="1"/>
  <c r="F141" i="42400"/>
  <c r="F144" i="42400" s="1"/>
  <c r="F148" i="42400" s="1"/>
  <c r="F926" i="42385" s="1"/>
  <c r="D140" i="42400"/>
  <c r="D144" i="42400" s="1"/>
  <c r="D148" i="42400" s="1"/>
  <c r="D926" i="42385" s="1"/>
  <c r="D932" i="42385" s="1"/>
  <c r="L137" i="42400"/>
  <c r="L148" i="42400" s="1"/>
  <c r="L926" i="42385" s="1"/>
  <c r="L927" i="42385" s="1"/>
  <c r="CN927" i="42385" s="1"/>
  <c r="T135" i="42400"/>
  <c r="T137" i="42400" s="1"/>
  <c r="M135" i="42400"/>
  <c r="M137" i="42400" s="1"/>
  <c r="J134" i="42400"/>
  <c r="J137" i="42400" s="1"/>
  <c r="E134" i="42400"/>
  <c r="E137" i="42400" s="1"/>
  <c r="O93" i="42400"/>
  <c r="D93" i="42400"/>
  <c r="Y92" i="42400"/>
  <c r="T92" i="42400"/>
  <c r="N92" i="42400"/>
  <c r="F92" i="42400"/>
  <c r="D92" i="42400"/>
  <c r="P91" i="42400"/>
  <c r="F91" i="42400"/>
  <c r="Z90" i="42400"/>
  <c r="O89" i="42400"/>
  <c r="D89" i="42400"/>
  <c r="Y88" i="42400"/>
  <c r="T88" i="42400"/>
  <c r="T95" i="42400" s="1"/>
  <c r="T101" i="42400" s="1"/>
  <c r="T833" i="42385" s="1"/>
  <c r="N88" i="42400"/>
  <c r="F88" i="42400"/>
  <c r="M67" i="42400"/>
  <c r="F67" i="42400"/>
  <c r="T66" i="42400"/>
  <c r="P66" i="42400"/>
  <c r="Y65" i="42400"/>
  <c r="E64" i="42400"/>
  <c r="W63" i="42400"/>
  <c r="C63" i="42400"/>
  <c r="S41" i="42400"/>
  <c r="S39" i="42400"/>
  <c r="T38" i="42400"/>
  <c r="G57" i="42405"/>
  <c r="I13" i="42410"/>
  <c r="AZ222" i="42385"/>
  <c r="CV222" i="42385" s="1"/>
  <c r="AS483" i="42385"/>
  <c r="AZ241" i="42385"/>
  <c r="CV241" i="42385" s="1"/>
  <c r="AE700" i="42385"/>
  <c r="AG1611" i="42385"/>
  <c r="Z1611" i="42385"/>
  <c r="AA1611" i="42385" s="1"/>
  <c r="CQ1611" i="42385" s="1"/>
  <c r="W1611" i="42385"/>
  <c r="O1611" i="42385"/>
  <c r="M1611" i="42385"/>
  <c r="I1611" i="42385"/>
  <c r="M1577" i="42385"/>
  <c r="G1540" i="42385"/>
  <c r="CM1540" i="42385" s="1"/>
  <c r="AD136" i="42408"/>
  <c r="AD118" i="42408" s="1"/>
  <c r="AX1483" i="42385"/>
  <c r="CY979" i="42385"/>
  <c r="L935" i="42385"/>
  <c r="CN935" i="42385" s="1"/>
  <c r="AF931" i="42385"/>
  <c r="CR931" i="42385" s="1"/>
  <c r="L931" i="42385"/>
  <c r="CN931" i="42385" s="1"/>
  <c r="Q904" i="42385"/>
  <c r="CO904" i="42385" s="1"/>
  <c r="BO856" i="42385"/>
  <c r="CY856" i="42385" s="1"/>
  <c r="CW821" i="42385"/>
  <c r="BJ796" i="42385"/>
  <c r="AT701" i="42385"/>
  <c r="Z701" i="42385"/>
  <c r="AA626" i="42385"/>
  <c r="CQ626" i="42385" s="1"/>
  <c r="C305" i="42385"/>
  <c r="X231" i="42400"/>
  <c r="M231" i="42400"/>
  <c r="M230" i="42400"/>
  <c r="X224" i="42400"/>
  <c r="M224" i="42400"/>
  <c r="M226" i="42400" s="1"/>
  <c r="Y223" i="42400"/>
  <c r="W141" i="42400"/>
  <c r="W144" i="42400" s="1"/>
  <c r="C141" i="42400"/>
  <c r="C144" i="42400" s="1"/>
  <c r="X140" i="42400"/>
  <c r="X144" i="42400" s="1"/>
  <c r="X148" i="42400" s="1"/>
  <c r="X926" i="42385" s="1"/>
  <c r="X927" i="42385" s="1"/>
  <c r="M91" i="42400"/>
  <c r="W90" i="42400"/>
  <c r="E90" i="42400"/>
  <c r="C88" i="42400"/>
  <c r="C95" i="42400" s="1"/>
  <c r="C101" i="42400" s="1"/>
  <c r="C833" i="42385" s="1"/>
  <c r="X87" i="42400"/>
  <c r="X95" i="42400" s="1"/>
  <c r="X101" i="42400" s="1"/>
  <c r="X833" i="42385" s="1"/>
  <c r="Y69" i="42400"/>
  <c r="C69" i="42400"/>
  <c r="M68" i="42400"/>
  <c r="Y67" i="42400"/>
  <c r="C67" i="42400"/>
  <c r="M66" i="42400"/>
  <c r="E65" i="42400"/>
  <c r="E71" i="42400" s="1"/>
  <c r="E75" i="42400" s="1"/>
  <c r="E864" i="42385" s="1"/>
  <c r="AR115" i="42385"/>
  <c r="CU251" i="42417" s="1"/>
  <c r="AI1623" i="42385"/>
  <c r="BN1617" i="42385"/>
  <c r="BO1617" i="42385" s="1"/>
  <c r="CY1617" i="42385" s="1"/>
  <c r="BJ1616" i="42385"/>
  <c r="CX1616" i="42385" s="1"/>
  <c r="AY1617" i="42385"/>
  <c r="AZ1617" i="42385" s="1"/>
  <c r="CV1617" i="42385" s="1"/>
  <c r="AU1616" i="42385"/>
  <c r="AJ1611" i="42385"/>
  <c r="AK1611" i="42385" s="1"/>
  <c r="CS1611" i="42385" s="1"/>
  <c r="D1611" i="42385"/>
  <c r="BQ1489" i="42385"/>
  <c r="BG1489" i="42385"/>
  <c r="BD1265" i="42385"/>
  <c r="AB1139" i="42385"/>
  <c r="F1003" i="42385"/>
  <c r="F1004" i="42385" s="1"/>
  <c r="BK682" i="42385"/>
  <c r="BL681" i="42385"/>
  <c r="CX456" i="42385"/>
  <c r="AF417" i="42385"/>
  <c r="CR417" i="42385" s="1"/>
  <c r="H305" i="42385"/>
  <c r="M290" i="42385"/>
  <c r="C290" i="42385"/>
  <c r="P130" i="42385"/>
  <c r="AP109" i="42385"/>
  <c r="CT109" i="42385" s="1"/>
  <c r="BE30" i="42385"/>
  <c r="C230" i="42400"/>
  <c r="W223" i="42400"/>
  <c r="W226" i="42400" s="1"/>
  <c r="C90" i="42400"/>
  <c r="W69" i="42400"/>
  <c r="W71" i="42400" s="1"/>
  <c r="W75" i="42400" s="1"/>
  <c r="W864" i="42385" s="1"/>
  <c r="W67" i="42400"/>
  <c r="D65" i="42400"/>
  <c r="D71" i="42400" s="1"/>
  <c r="D75" i="42400" s="1"/>
  <c r="D864" i="42385" s="1"/>
  <c r="M25" i="42403"/>
  <c r="CA1392" i="42385"/>
  <c r="G35" i="42443"/>
  <c r="AX1402" i="42385"/>
  <c r="AX1406" i="42385" s="1"/>
  <c r="AX1424" i="42385" s="1"/>
  <c r="AW1498" i="42385"/>
  <c r="AG1498" i="42385"/>
  <c r="AK1498" i="42385" s="1"/>
  <c r="CS1498" i="42385" s="1"/>
  <c r="BJ1421" i="42385"/>
  <c r="AB1506" i="42385"/>
  <c r="AB1486" i="42385"/>
  <c r="AF1486" i="42385" s="1"/>
  <c r="CR1486" i="42385" s="1"/>
  <c r="AZ1364" i="42385"/>
  <c r="CV1364" i="42385" s="1"/>
  <c r="V1563" i="42385"/>
  <c r="CP1563" i="42385" s="1"/>
  <c r="CO184" i="42385"/>
  <c r="CS1355" i="42385"/>
  <c r="AL1355" i="42385"/>
  <c r="AM1355" i="42385" s="1"/>
  <c r="BZ1354" i="42385"/>
  <c r="DA1354" i="42385"/>
  <c r="AV1147" i="42385"/>
  <c r="AW1147" i="42385" s="1"/>
  <c r="AX1147" i="42385" s="1"/>
  <c r="AY1147" i="42385" s="1"/>
  <c r="AZ1147" i="42385" s="1"/>
  <c r="CU1147" i="42385"/>
  <c r="C51" i="42465"/>
  <c r="AX63" i="42400"/>
  <c r="AW64" i="42400"/>
  <c r="BC140" i="42400"/>
  <c r="CR242" i="42385"/>
  <c r="AP231" i="42400"/>
  <c r="AL231" i="42400" s="1"/>
  <c r="CS1342" i="42385"/>
  <c r="BA1381" i="42385"/>
  <c r="V1402" i="42385"/>
  <c r="CP1402" i="42385" s="1"/>
  <c r="M1497" i="42385"/>
  <c r="AQ1483" i="42385"/>
  <c r="AV1485" i="42385"/>
  <c r="AZ1485" i="42385" s="1"/>
  <c r="CV1485" i="42385" s="1"/>
  <c r="AP1402" i="42385"/>
  <c r="CT1402" i="42385" s="1"/>
  <c r="AV63" i="42400"/>
  <c r="AX64" i="42400"/>
  <c r="BA140" i="42400"/>
  <c r="CY1287" i="42385"/>
  <c r="CV1353" i="42385"/>
  <c r="V1643" i="42385"/>
  <c r="CP1643" i="42385" s="1"/>
  <c r="AA1565" i="42385"/>
  <c r="AA1661" i="42385" s="1"/>
  <c r="H1506" i="42385"/>
  <c r="AW1497" i="42385"/>
  <c r="G1497" i="42385"/>
  <c r="CM1497" i="42385" s="1"/>
  <c r="AP1643" i="42385"/>
  <c r="CT1643" i="42385" s="1"/>
  <c r="AP1563" i="42385"/>
  <c r="CT1563" i="42385" s="1"/>
  <c r="AV1486" i="42385"/>
  <c r="AZ1486" i="42385" s="1"/>
  <c r="CV1486" i="42385" s="1"/>
  <c r="H1486" i="42385"/>
  <c r="CR1354" i="42385"/>
  <c r="AF229" i="42400"/>
  <c r="AF231" i="42400"/>
  <c r="AF230" i="42400"/>
  <c r="CR1386" i="42385"/>
  <c r="AG1486" i="42385"/>
  <c r="CN1386" i="42385"/>
  <c r="M1486" i="42385"/>
  <c r="Q1486" i="42385" s="1"/>
  <c r="CO1486" i="42385" s="1"/>
  <c r="L1402" i="42385"/>
  <c r="CV1356" i="42385"/>
  <c r="CN1356" i="42385"/>
  <c r="L1364" i="42385"/>
  <c r="CN1364" i="42385" s="1"/>
  <c r="CU1355" i="42385"/>
  <c r="AU1364" i="42385"/>
  <c r="CU1364" i="42385" s="1"/>
  <c r="CV1343" i="42385"/>
  <c r="F24" i="42465"/>
  <c r="CU1343" i="42385"/>
  <c r="E24" i="42465"/>
  <c r="CT1342" i="42385"/>
  <c r="D24" i="42465"/>
  <c r="AA1346" i="42385"/>
  <c r="CQ1346" i="42385" s="1"/>
  <c r="CR1339" i="42385"/>
  <c r="B22" i="42465"/>
  <c r="AF1346" i="42385"/>
  <c r="CR1346" i="42385" s="1"/>
  <c r="CN1339" i="42385"/>
  <c r="M1506" i="42385"/>
  <c r="L1346" i="42385"/>
  <c r="CO1325" i="42385"/>
  <c r="Q1326" i="42385"/>
  <c r="CO1326" i="42385" s="1"/>
  <c r="CN1322" i="42385"/>
  <c r="L1326" i="42385"/>
  <c r="CN1326" i="42385" s="1"/>
  <c r="CQ1321" i="42385"/>
  <c r="AA1643" i="42385"/>
  <c r="CQ1643" i="42385" s="1"/>
  <c r="AP111" i="42385"/>
  <c r="CT111" i="42385" s="1"/>
  <c r="CT1313" i="42385"/>
  <c r="CO1312" i="42385"/>
  <c r="AD12" i="42476"/>
  <c r="BR65" i="42385"/>
  <c r="BR75" i="42385" s="1"/>
  <c r="BA1380" i="42385"/>
  <c r="BB1380" i="42385" s="1"/>
  <c r="CV1380" i="42385"/>
  <c r="CS1380" i="42385"/>
  <c r="AL1480" i="42385"/>
  <c r="AP1480" i="42385" s="1"/>
  <c r="CT1480" i="42385" s="1"/>
  <c r="CO1380" i="42385"/>
  <c r="R1480" i="42385"/>
  <c r="CY1379" i="42385"/>
  <c r="BP1379" i="42385"/>
  <c r="BQ1379" i="42385" s="1"/>
  <c r="BR1379" i="42385" s="1"/>
  <c r="BS1379" i="42385" s="1"/>
  <c r="BT1379" i="42385" s="1"/>
  <c r="CZ1379" i="42385" s="1"/>
  <c r="CM1379" i="42385"/>
  <c r="BA1378" i="42385"/>
  <c r="AZ1402" i="42385"/>
  <c r="AZ1563" i="42385"/>
  <c r="CV1563" i="42385" s="1"/>
  <c r="CS1378" i="42385"/>
  <c r="AL1478" i="42385"/>
  <c r="AP1478" i="42385" s="1"/>
  <c r="CT1478" i="42385" s="1"/>
  <c r="CO1378" i="42385"/>
  <c r="Q1402" i="42385"/>
  <c r="Q1563" i="42385"/>
  <c r="CO1563" i="42385" s="1"/>
  <c r="BN1377" i="42385"/>
  <c r="BO1377" i="42385" s="1"/>
  <c r="BM1563" i="42385"/>
  <c r="CP1361" i="42385"/>
  <c r="V1364" i="42385"/>
  <c r="CY1359" i="42385"/>
  <c r="BO1364" i="42385"/>
  <c r="CY1364" i="42385" s="1"/>
  <c r="CU1359" i="42385"/>
  <c r="E27" i="42465"/>
  <c r="CT1359" i="42385"/>
  <c r="D27" i="42465"/>
  <c r="CS1359" i="42385"/>
  <c r="C27" i="42465"/>
  <c r="BB1357" i="42385"/>
  <c r="CQ1357" i="42385"/>
  <c r="AA1364" i="42385"/>
  <c r="G1364" i="42385"/>
  <c r="CM1364" i="42385" s="1"/>
  <c r="BE68" i="42400"/>
  <c r="BE67" i="42400"/>
  <c r="AU90" i="42400"/>
  <c r="CU1400" i="42385"/>
  <c r="AV1498" i="42385"/>
  <c r="CQ1400" i="42385"/>
  <c r="AB1498" i="42385"/>
  <c r="AF1498" i="42385" s="1"/>
  <c r="CR1498" i="42385" s="1"/>
  <c r="CM1400" i="42385"/>
  <c r="H1498" i="42385"/>
  <c r="L1498" i="42385" s="1"/>
  <c r="CN1498" i="42385" s="1"/>
  <c r="CU1399" i="42385"/>
  <c r="AV1497" i="42385"/>
  <c r="CT1384" i="42385"/>
  <c r="AQ1484" i="42385"/>
  <c r="AU1484" i="42385" s="1"/>
  <c r="CU1484" i="42385" s="1"/>
  <c r="CU1382" i="42385"/>
  <c r="AU1563" i="42385"/>
  <c r="CU1563" i="42385" s="1"/>
  <c r="AV1482" i="42385"/>
  <c r="AZ1482" i="42385" s="1"/>
  <c r="CV1482" i="42385" s="1"/>
  <c r="CT1381" i="42385"/>
  <c r="AQ1481" i="42385"/>
  <c r="AF279" i="42400"/>
  <c r="AB279" i="42400" s="1"/>
  <c r="AF290" i="42400"/>
  <c r="AF280" i="42400"/>
  <c r="AE280" i="42400" s="1"/>
  <c r="AF281" i="42400"/>
  <c r="AC281" i="42400" s="1"/>
  <c r="AF292" i="42400"/>
  <c r="AD292" i="42400" s="1"/>
  <c r="AF291" i="42400"/>
  <c r="AF288" i="42400"/>
  <c r="AF289" i="42400"/>
  <c r="AZ283" i="42400"/>
  <c r="AY283" i="42400" s="1"/>
  <c r="AZ280" i="42400"/>
  <c r="AZ288" i="42400"/>
  <c r="AY288" i="42400" s="1"/>
  <c r="AZ291" i="42400"/>
  <c r="AZ281" i="42400"/>
  <c r="AZ292" i="42400"/>
  <c r="AZ289" i="42400"/>
  <c r="AI140" i="42400"/>
  <c r="AJ140" i="42400"/>
  <c r="AH140" i="42400"/>
  <c r="BE134" i="42400"/>
  <c r="BE135" i="42400"/>
  <c r="BE142" i="42400"/>
  <c r="J1501" i="42385"/>
  <c r="BN1385" i="42385"/>
  <c r="BM1485" i="42385"/>
  <c r="CP1309" i="42385"/>
  <c r="V1314" i="42385"/>
  <c r="CP1314" i="42385" s="1"/>
  <c r="IC683" i="42417"/>
  <c r="ID683" i="42417" s="1"/>
  <c r="AX1115" i="42385"/>
  <c r="AX312" i="42385" s="1"/>
  <c r="AX313" i="42385" s="1"/>
  <c r="CS1311" i="42385"/>
  <c r="AE50" i="42443"/>
  <c r="AL1485" i="42385"/>
  <c r="AP1485" i="42385" s="1"/>
  <c r="CT1485" i="42385" s="1"/>
  <c r="B36" i="42408"/>
  <c r="BT69" i="42400"/>
  <c r="BQ69" i="42400" s="1"/>
  <c r="AE43" i="42443"/>
  <c r="X281" i="42400"/>
  <c r="Y281" i="42400"/>
  <c r="W281" i="42400"/>
  <c r="Z282" i="42400"/>
  <c r="W282" i="42400"/>
  <c r="Y282" i="42400"/>
  <c r="BG89" i="42400"/>
  <c r="BF89" i="42400"/>
  <c r="BH89" i="42400"/>
  <c r="BI92" i="42400"/>
  <c r="BH92" i="42400"/>
  <c r="BF92" i="42400"/>
  <c r="V865" i="42385"/>
  <c r="CP865" i="42385" s="1"/>
  <c r="CP864" i="42385"/>
  <c r="V870" i="42385"/>
  <c r="CP870" i="42385" s="1"/>
  <c r="AN230" i="42400"/>
  <c r="AO230" i="42400"/>
  <c r="AM230" i="42400"/>
  <c r="AD59" i="42443"/>
  <c r="AH51" i="42443"/>
  <c r="I861" i="42385"/>
  <c r="I862" i="42385" s="1"/>
  <c r="I865" i="42385"/>
  <c r="G870" i="42385"/>
  <c r="CM870" i="42385" s="1"/>
  <c r="CM864" i="42385"/>
  <c r="G865" i="42385"/>
  <c r="CM865" i="42385" s="1"/>
  <c r="BP229" i="42400"/>
  <c r="BR229" i="42400"/>
  <c r="BS229" i="42400"/>
  <c r="BV224" i="42400"/>
  <c r="BW224" i="42400"/>
  <c r="BU224" i="42400"/>
  <c r="Q865" i="42385"/>
  <c r="CO865" i="42385" s="1"/>
  <c r="Q870" i="42385"/>
  <c r="CO870" i="42385" s="1"/>
  <c r="AF64" i="42400"/>
  <c r="AE64" i="42400" s="1"/>
  <c r="AF63" i="42400"/>
  <c r="BE289" i="42400"/>
  <c r="BD289" i="42400" s="1"/>
  <c r="BE290" i="42400"/>
  <c r="BB290" i="42400" s="1"/>
  <c r="BE279" i="42400"/>
  <c r="BD279" i="42400" s="1"/>
  <c r="AG135" i="42400"/>
  <c r="AZ135" i="42400"/>
  <c r="AP141" i="42400"/>
  <c r="AP135" i="42400"/>
  <c r="AO135" i="42400" s="1"/>
  <c r="AY229" i="42400"/>
  <c r="BA222" i="42400"/>
  <c r="BE93" i="42400"/>
  <c r="AU289" i="42400"/>
  <c r="G66" i="42443"/>
  <c r="AP229" i="42400"/>
  <c r="AN229" i="42400" s="1"/>
  <c r="AF69" i="42400"/>
  <c r="BE282" i="42400"/>
  <c r="BE288" i="42400"/>
  <c r="AJ135" i="42400"/>
  <c r="AZ140" i="42400"/>
  <c r="AZ134" i="42400"/>
  <c r="AP142" i="42400"/>
  <c r="AM142" i="42400" s="1"/>
  <c r="AF40" i="42400"/>
  <c r="AX229" i="42400"/>
  <c r="BD222" i="42400"/>
  <c r="K18" i="42403"/>
  <c r="AZ90" i="42400"/>
  <c r="AZ163" i="42400"/>
  <c r="AY163" i="42400" s="1"/>
  <c r="AF68" i="42400"/>
  <c r="BE280" i="42400"/>
  <c r="BA280" i="42400" s="1"/>
  <c r="AF39" i="42400"/>
  <c r="K13" i="42403"/>
  <c r="BA87" i="42400"/>
  <c r="BC87" i="42400"/>
  <c r="BB87" i="42400"/>
  <c r="BD87" i="42400"/>
  <c r="AX161" i="42400"/>
  <c r="AV161" i="42400"/>
  <c r="AY161" i="42400"/>
  <c r="AW161" i="42400"/>
  <c r="H51" i="42443"/>
  <c r="AC223" i="42400"/>
  <c r="CO864" i="42385"/>
  <c r="AF38" i="42400"/>
  <c r="AC38" i="42400" s="1"/>
  <c r="AF37" i="42400"/>
  <c r="AJ65" i="42400"/>
  <c r="K15" i="42403"/>
  <c r="K17" i="42403"/>
  <c r="BE92" i="42400"/>
  <c r="BE91" i="42400"/>
  <c r="AU292" i="42400"/>
  <c r="AS292" i="42400" s="1"/>
  <c r="AU281" i="42400"/>
  <c r="AU282" i="42400"/>
  <c r="AS282" i="42400" s="1"/>
  <c r="AZ155" i="42400"/>
  <c r="AZ156" i="42400"/>
  <c r="CW1186" i="42385"/>
  <c r="AE223" i="42400"/>
  <c r="BH91" i="42400"/>
  <c r="AF43" i="42400"/>
  <c r="AH65" i="42400"/>
  <c r="N10" i="42403"/>
  <c r="N11" i="42403" s="1"/>
  <c r="K16" i="42403"/>
  <c r="BE90" i="42400"/>
  <c r="BE89" i="42400"/>
  <c r="AU290" i="42400"/>
  <c r="AU279" i="42400"/>
  <c r="AQ279" i="42400" s="1"/>
  <c r="AU280" i="42400"/>
  <c r="AZ162" i="42400"/>
  <c r="C36" i="42410"/>
  <c r="AF49" i="42400"/>
  <c r="AY142" i="42400"/>
  <c r="AF42" i="42400"/>
  <c r="AB42" i="42400" s="1"/>
  <c r="AF142" i="42492"/>
  <c r="AG142" i="42492" s="1"/>
  <c r="K19" i="42403"/>
  <c r="BE88" i="42400"/>
  <c r="AU288" i="42400"/>
  <c r="AD45" i="42476"/>
  <c r="H43" i="42443"/>
  <c r="AG68" i="42400"/>
  <c r="AJ68" i="42400"/>
  <c r="F283" i="42400"/>
  <c r="AB41" i="42400"/>
  <c r="AD41" i="42400"/>
  <c r="AE41" i="42400"/>
  <c r="CR294" i="42385"/>
  <c r="F13" i="42424"/>
  <c r="Y283" i="42400"/>
  <c r="W283" i="42400"/>
  <c r="Z283" i="42400"/>
  <c r="W289" i="42400"/>
  <c r="Y289" i="42400"/>
  <c r="X289" i="42400"/>
  <c r="Z289" i="42400"/>
  <c r="BC67" i="42400"/>
  <c r="M10" i="42472"/>
  <c r="BE1574" i="42385"/>
  <c r="CW1574" i="42385" s="1"/>
  <c r="Q80" i="42476"/>
  <c r="AB1025" i="42385"/>
  <c r="AB1016" i="42385"/>
  <c r="AJ64" i="42400"/>
  <c r="AG64" i="42400"/>
  <c r="AG66" i="42400"/>
  <c r="AJ66" i="42400"/>
  <c r="AY141" i="42400"/>
  <c r="AX141" i="42400"/>
  <c r="AW141" i="42400"/>
  <c r="AC27" i="42443"/>
  <c r="O870" i="42385"/>
  <c r="O865" i="42385"/>
  <c r="BF87" i="42400"/>
  <c r="BH87" i="42400"/>
  <c r="BI87" i="42400"/>
  <c r="BG87" i="42400"/>
  <c r="Z59" i="42443"/>
  <c r="AD11" i="42443"/>
  <c r="AX280" i="42400"/>
  <c r="L963" i="42385"/>
  <c r="CN963" i="42385" s="1"/>
  <c r="L958" i="42385"/>
  <c r="CN958" i="42385" s="1"/>
  <c r="L932" i="42385"/>
  <c r="CN932" i="42385" s="1"/>
  <c r="S27" i="42443"/>
  <c r="AV67" i="42400"/>
  <c r="BB291" i="42400"/>
  <c r="BC291" i="42400"/>
  <c r="BA291" i="42400"/>
  <c r="BD292" i="42400"/>
  <c r="BA292" i="42400"/>
  <c r="BC292" i="42400"/>
  <c r="BD281" i="42400"/>
  <c r="BA281" i="42400"/>
  <c r="BC281" i="42400"/>
  <c r="AO140" i="42400"/>
  <c r="AL140" i="42400"/>
  <c r="AM140" i="42400"/>
  <c r="J958" i="42385"/>
  <c r="AL223" i="42400"/>
  <c r="AM223" i="42400"/>
  <c r="BG289" i="42400"/>
  <c r="BN40" i="42400"/>
  <c r="BL40" i="42400"/>
  <c r="BK40" i="42400"/>
  <c r="BJ63" i="42400"/>
  <c r="BJ69" i="42400"/>
  <c r="AB92" i="42400"/>
  <c r="AD92" i="42400"/>
  <c r="AE92" i="42400"/>
  <c r="BE69" i="42400"/>
  <c r="BA69" i="42400" s="1"/>
  <c r="BE65" i="42400"/>
  <c r="V288" i="42400"/>
  <c r="V290" i="42400"/>
  <c r="V282" i="42400"/>
  <c r="R282" i="42400" s="1"/>
  <c r="BE64" i="42400"/>
  <c r="BE63" i="42400"/>
  <c r="V283" i="42400"/>
  <c r="T283" i="42400" s="1"/>
  <c r="V279" i="42400"/>
  <c r="T279" i="42400" s="1"/>
  <c r="V280" i="42400"/>
  <c r="T280" i="42400" s="1"/>
  <c r="V292" i="42400"/>
  <c r="U10" i="42443"/>
  <c r="H373" i="42385"/>
  <c r="BP222" i="42492"/>
  <c r="BO219" i="42492"/>
  <c r="DE375" i="42492"/>
  <c r="DE377" i="42492" s="1"/>
  <c r="DE360" i="42492"/>
  <c r="DE371" i="42492"/>
  <c r="BP219" i="42492"/>
  <c r="CW244" i="42385"/>
  <c r="EF455" i="42492"/>
  <c r="BO889" i="42385"/>
  <c r="BO888" i="42385" s="1"/>
  <c r="CY888" i="42385" s="1"/>
  <c r="BN890" i="42385"/>
  <c r="AM29" i="42385"/>
  <c r="Z314" i="42385"/>
  <c r="CB1451" i="42385"/>
  <c r="AG1617" i="42385"/>
  <c r="BO1616" i="42385"/>
  <c r="CY1616" i="42385" s="1"/>
  <c r="AT1623" i="42385"/>
  <c r="AU1623" i="42385" s="1"/>
  <c r="CU1623" i="42385" s="1"/>
  <c r="BN1623" i="42385"/>
  <c r="BO1623" i="42385" s="1"/>
  <c r="CY1623" i="42385" s="1"/>
  <c r="AD1611" i="42385"/>
  <c r="BJ1611" i="42385"/>
  <c r="CX1611" i="42385" s="1"/>
  <c r="E1611" i="42385"/>
  <c r="U1611" i="42385"/>
  <c r="V1611" i="42385" s="1"/>
  <c r="CP1611" i="42385" s="1"/>
  <c r="BK1617" i="42385"/>
  <c r="G1642" i="42385"/>
  <c r="CM1642" i="42385" s="1"/>
  <c r="BA1577" i="42385"/>
  <c r="L63" i="42385"/>
  <c r="CN63" i="42385" s="1"/>
  <c r="BY1539" i="42385"/>
  <c r="DA1539" i="42385" s="1"/>
  <c r="AR1524" i="42385"/>
  <c r="Y1504" i="42385"/>
  <c r="R1497" i="42385"/>
  <c r="V1497" i="42385" s="1"/>
  <c r="CP1497" i="42385" s="1"/>
  <c r="H1497" i="42385"/>
  <c r="L1497" i="42385" s="1"/>
  <c r="CN1497" i="42385" s="1"/>
  <c r="BF1489" i="42385"/>
  <c r="AB1485" i="42385"/>
  <c r="M1484" i="42385"/>
  <c r="Q1484" i="42385" s="1"/>
  <c r="CO1484" i="42385" s="1"/>
  <c r="AW1480" i="42385"/>
  <c r="AZ1480" i="42385" s="1"/>
  <c r="CV1480" i="42385" s="1"/>
  <c r="AG1480" i="42385"/>
  <c r="AK1480" i="42385" s="1"/>
  <c r="CS1480" i="42385" s="1"/>
  <c r="BH1490" i="42385"/>
  <c r="AG1484" i="42385"/>
  <c r="AK1484" i="42385" s="1"/>
  <c r="CS1484" i="42385" s="1"/>
  <c r="W1366" i="42385"/>
  <c r="R1366" i="42385"/>
  <c r="H1366" i="42385"/>
  <c r="I201" i="42385" s="1"/>
  <c r="D1138" i="42385"/>
  <c r="G256" i="42385"/>
  <c r="CM256" i="42385" s="1"/>
  <c r="CN930" i="42385"/>
  <c r="CS855" i="42385"/>
  <c r="CO852" i="42385"/>
  <c r="CM810" i="42385"/>
  <c r="G811" i="42385"/>
  <c r="CM811" i="42385" s="1"/>
  <c r="AD715" i="42385"/>
  <c r="AI677" i="42385"/>
  <c r="AI675" i="42385"/>
  <c r="AT662" i="42385"/>
  <c r="BN224" i="42385"/>
  <c r="BN505" i="42385"/>
  <c r="BN507" i="42385"/>
  <c r="BN518" i="42385"/>
  <c r="CX501" i="42385"/>
  <c r="BO502" i="42385"/>
  <c r="CY502" i="42385" s="1"/>
  <c r="AW440" i="42385"/>
  <c r="BB442" i="42385" s="1"/>
  <c r="BI433" i="42385"/>
  <c r="BI438" i="42385" s="1"/>
  <c r="BD438" i="42385"/>
  <c r="BD440" i="42385" s="1"/>
  <c r="CO412" i="42385"/>
  <c r="Q414" i="42385"/>
  <c r="CO414" i="42385" s="1"/>
  <c r="CO341" i="42385"/>
  <c r="DF334" i="42464"/>
  <c r="AK60" i="42400"/>
  <c r="AK73" i="42400" s="1"/>
  <c r="CS852" i="42385"/>
  <c r="BJ826" i="42385"/>
  <c r="CX826" i="42385" s="1"/>
  <c r="BH827" i="42385"/>
  <c r="BJ827" i="42385" s="1"/>
  <c r="AR675" i="42385"/>
  <c r="AR693" i="42385" s="1"/>
  <c r="AR695" i="42385" s="1"/>
  <c r="AR696" i="42385" s="1"/>
  <c r="AR677" i="42385"/>
  <c r="AF701" i="42385"/>
  <c r="BI512" i="42385"/>
  <c r="BI514" i="42385" s="1"/>
  <c r="BI224" i="42385"/>
  <c r="BJ224" i="42385" s="1"/>
  <c r="BI518" i="42385"/>
  <c r="BD224" i="42385"/>
  <c r="BE224" i="42385" s="1"/>
  <c r="BD507" i="42385"/>
  <c r="BE507" i="42385" s="1"/>
  <c r="BR503" i="42385"/>
  <c r="BR504" i="42385" s="1"/>
  <c r="BR518" i="42385" s="1"/>
  <c r="BM504" i="42385"/>
  <c r="BY294" i="42492"/>
  <c r="CV456" i="42385"/>
  <c r="AJ1623" i="42385"/>
  <c r="AK1623" i="42385" s="1"/>
  <c r="CS1623" i="42385" s="1"/>
  <c r="AT1617" i="42385"/>
  <c r="AU1617" i="42385" s="1"/>
  <c r="CU1617" i="42385" s="1"/>
  <c r="AP1610" i="42385"/>
  <c r="CT1610" i="42385" s="1"/>
  <c r="J1611" i="42385"/>
  <c r="AH1611" i="42385"/>
  <c r="CW1608" i="42385"/>
  <c r="BO1459" i="42385"/>
  <c r="AR1452" i="42385"/>
  <c r="AR1483" i="42385" s="1"/>
  <c r="AL1326" i="42385"/>
  <c r="BK1314" i="42385"/>
  <c r="BF1265" i="42385"/>
  <c r="AF1028" i="42385"/>
  <c r="CR1028" i="42385" s="1"/>
  <c r="L1028" i="42385"/>
  <c r="CN1028" i="42385" s="1"/>
  <c r="AA869" i="42385"/>
  <c r="CQ869" i="42385" s="1"/>
  <c r="CQ868" i="42385"/>
  <c r="F25" i="42443"/>
  <c r="CM821" i="42385"/>
  <c r="AN236" i="42385"/>
  <c r="AS748" i="42385"/>
  <c r="BK683" i="42385"/>
  <c r="AE702" i="42385"/>
  <c r="BG546" i="42385"/>
  <c r="BE538" i="42385"/>
  <c r="BD518" i="42385"/>
  <c r="AK484" i="42385"/>
  <c r="CS484" i="42385" s="1"/>
  <c r="D1330" i="42385"/>
  <c r="D1333" i="42385" s="1"/>
  <c r="E1332" i="42385" s="1"/>
  <c r="AH1617" i="42385"/>
  <c r="AE1611" i="42385"/>
  <c r="AF1611" i="42385" s="1"/>
  <c r="CR1611" i="42385" s="1"/>
  <c r="F1611" i="42385"/>
  <c r="G1611" i="42385" s="1"/>
  <c r="CM1611" i="42385" s="1"/>
  <c r="AI1660" i="42385"/>
  <c r="AF1610" i="42385"/>
  <c r="CR1610" i="42385" s="1"/>
  <c r="BR1491" i="42385"/>
  <c r="BI1490" i="42385"/>
  <c r="AQ1486" i="42385"/>
  <c r="W1486" i="42385"/>
  <c r="AA1486" i="42385" s="1"/>
  <c r="CQ1486" i="42385" s="1"/>
  <c r="H1485" i="42385"/>
  <c r="L1485" i="42385" s="1"/>
  <c r="CN1485" i="42385" s="1"/>
  <c r="M1480" i="42385"/>
  <c r="Q1480" i="42385" s="1"/>
  <c r="CO1480" i="42385" s="1"/>
  <c r="N1366" i="42385"/>
  <c r="N201" i="42385" s="1"/>
  <c r="AR1314" i="42385"/>
  <c r="E1138" i="42385"/>
  <c r="Q888" i="42385"/>
  <c r="CO888" i="42385" s="1"/>
  <c r="CY886" i="42385"/>
  <c r="BO275" i="42400"/>
  <c r="BO279" i="42400" s="1"/>
  <c r="CN878" i="42385"/>
  <c r="CQ821" i="42385"/>
  <c r="K772" i="42385"/>
  <c r="AM715" i="42385"/>
  <c r="AR713" i="42385"/>
  <c r="AM714" i="42385"/>
  <c r="AH714" i="42385"/>
  <c r="AH715" i="42385"/>
  <c r="AQ640" i="42385"/>
  <c r="AL650" i="42385"/>
  <c r="CQ370" i="42385"/>
  <c r="AF371" i="42385"/>
  <c r="CR371" i="42385" s="1"/>
  <c r="AP884" i="42385"/>
  <c r="CT884" i="42385"/>
  <c r="V884" i="42385"/>
  <c r="CP884" i="42385" s="1"/>
  <c r="E783" i="42385"/>
  <c r="E786" i="42385" s="1"/>
  <c r="GN498" i="42417"/>
  <c r="D762" i="42385"/>
  <c r="AT699" i="42385"/>
  <c r="Z699" i="42385"/>
  <c r="AG677" i="42385"/>
  <c r="AT668" i="42385"/>
  <c r="AT665" i="42385"/>
  <c r="Q490" i="42385"/>
  <c r="CO490" i="42385" s="1"/>
  <c r="D478" i="42385"/>
  <c r="BC438" i="42385"/>
  <c r="L417" i="42385"/>
  <c r="CN417" i="42385" s="1"/>
  <c r="L414" i="42385"/>
  <c r="CN414" i="42385" s="1"/>
  <c r="E388" i="42385"/>
  <c r="AA385" i="42385"/>
  <c r="CQ385" i="42385" s="1"/>
  <c r="AF383" i="42385"/>
  <c r="CR383" i="42385" s="1"/>
  <c r="L369" i="42385"/>
  <c r="CN369" i="42385" s="1"/>
  <c r="AB344" i="42385"/>
  <c r="D326" i="42385"/>
  <c r="X113" i="42385"/>
  <c r="CR4" i="42385"/>
  <c r="BE127" i="42385"/>
  <c r="BB24" i="42385"/>
  <c r="L340" i="42385"/>
  <c r="CN340" i="42385" s="1"/>
  <c r="C329" i="42385"/>
  <c r="AG290" i="42385"/>
  <c r="AE277" i="42385"/>
  <c r="AA842" i="42385"/>
  <c r="CQ842" i="42385" s="1"/>
  <c r="G842" i="42385"/>
  <c r="CM842" i="42385" s="1"/>
  <c r="F783" i="42385"/>
  <c r="G783" i="42385" s="1"/>
  <c r="E762" i="42385"/>
  <c r="F765" i="42385" s="1"/>
  <c r="D743" i="42385"/>
  <c r="E746" i="42385" s="1"/>
  <c r="D705" i="42385"/>
  <c r="BH681" i="42385"/>
  <c r="AT702" i="42385"/>
  <c r="AJ700" i="42385"/>
  <c r="AK490" i="42385"/>
  <c r="CS490" i="42385" s="1"/>
  <c r="L486" i="42385"/>
  <c r="L487" i="42385" s="1"/>
  <c r="CN487" i="42385" s="1"/>
  <c r="E478" i="42385"/>
  <c r="E481" i="42385" s="1"/>
  <c r="BH341" i="42385"/>
  <c r="AA339" i="42385"/>
  <c r="CQ339" i="42385" s="1"/>
  <c r="AU338" i="42385"/>
  <c r="R337" i="42385"/>
  <c r="E326" i="42385"/>
  <c r="F329" i="42385" s="1"/>
  <c r="F330" i="42385" s="1"/>
  <c r="P290" i="42385"/>
  <c r="AA221" i="42385"/>
  <c r="CQ221" i="42385" s="1"/>
  <c r="AP85" i="42385"/>
  <c r="CT85" i="42385" s="1"/>
  <c r="BO30" i="42385"/>
  <c r="K50" i="42443"/>
  <c r="K51" i="42443" s="1"/>
  <c r="IC693" i="42417"/>
  <c r="ID693" i="42417" s="1"/>
  <c r="H88" i="42400"/>
  <c r="AF47" i="42400"/>
  <c r="AA66" i="42443"/>
  <c r="AE64" i="42443"/>
  <c r="F58" i="42443"/>
  <c r="K34" i="42443"/>
  <c r="U50" i="42443"/>
  <c r="BX230" i="42400"/>
  <c r="BV230" i="42400"/>
  <c r="BW230" i="42400"/>
  <c r="AJ1002" i="42385"/>
  <c r="DA878" i="42385"/>
  <c r="BZ878" i="42385"/>
  <c r="BK1112" i="42385"/>
  <c r="AW1115" i="42385"/>
  <c r="AW312" i="42385" s="1"/>
  <c r="BB1110" i="42385"/>
  <c r="BG1110" i="42385" s="1"/>
  <c r="AZ1110" i="42385"/>
  <c r="CV1110" i="42385" s="1"/>
  <c r="M1025" i="42385"/>
  <c r="M1020" i="42385"/>
  <c r="M1016" i="42385"/>
  <c r="M1017" i="42385" s="1"/>
  <c r="BO156" i="42400"/>
  <c r="BO161" i="42400"/>
  <c r="BO163" i="42400"/>
  <c r="BO162" i="42400"/>
  <c r="BO155" i="42400"/>
  <c r="U65" i="42443"/>
  <c r="N877" i="42385"/>
  <c r="M1139" i="42385"/>
  <c r="BO65" i="42400"/>
  <c r="BO68" i="42400"/>
  <c r="BK68" i="42400" s="1"/>
  <c r="BO67" i="42400"/>
  <c r="BO63" i="42400"/>
  <c r="BO66" i="42400"/>
  <c r="BO69" i="42400"/>
  <c r="BO64" i="42400"/>
  <c r="BF656" i="42385"/>
  <c r="BF657" i="42385" s="1"/>
  <c r="BG656" i="42385"/>
  <c r="BG657" i="42385" s="1"/>
  <c r="H35" i="42443"/>
  <c r="CN178" i="42385"/>
  <c r="M178" i="42385"/>
  <c r="N178" i="42385" s="1"/>
  <c r="O178" i="42385" s="1"/>
  <c r="P178" i="42385" s="1"/>
  <c r="Q178" i="42385" s="1"/>
  <c r="AJ87" i="42400"/>
  <c r="AH87" i="42400"/>
  <c r="AX42" i="42400"/>
  <c r="AV42" i="42400"/>
  <c r="AK71" i="42400"/>
  <c r="AH64" i="42400"/>
  <c r="CV1147" i="42385"/>
  <c r="BA1147" i="42385"/>
  <c r="BB1147" i="42385" s="1"/>
  <c r="BC1147" i="42385" s="1"/>
  <c r="BD1147" i="42385" s="1"/>
  <c r="BE1147" i="42385" s="1"/>
  <c r="BZ389" i="42385"/>
  <c r="DA389" i="42385"/>
  <c r="AA932" i="42385"/>
  <c r="CQ932" i="42385" s="1"/>
  <c r="CQ926" i="42385"/>
  <c r="AQ744" i="42385"/>
  <c r="AR744" i="42385" s="1"/>
  <c r="AS744" i="42385" s="1"/>
  <c r="AT744" i="42385" s="1"/>
  <c r="AU744" i="42385" s="1"/>
  <c r="AV744" i="42385" s="1"/>
  <c r="AW744" i="42385" s="1"/>
  <c r="AX744" i="42385" s="1"/>
  <c r="AY744" i="42385" s="1"/>
  <c r="AZ744" i="42385" s="1"/>
  <c r="CT744" i="42385"/>
  <c r="H27" i="42443"/>
  <c r="AZ39" i="42400"/>
  <c r="AZ41" i="42400"/>
  <c r="BZ846" i="42385"/>
  <c r="AA927" i="42385"/>
  <c r="CQ927" i="42385" s="1"/>
  <c r="AN224" i="42400"/>
  <c r="AL224" i="42400"/>
  <c r="AO224" i="42400"/>
  <c r="AQ281" i="42400"/>
  <c r="AR282" i="42400"/>
  <c r="AY91" i="42400"/>
  <c r="AX91" i="42400"/>
  <c r="AW91" i="42400"/>
  <c r="J43" i="42443"/>
  <c r="M35" i="42443"/>
  <c r="BO1175" i="42385"/>
  <c r="CY1175" i="42385" s="1"/>
  <c r="BT1174" i="42385"/>
  <c r="BK1174" i="42385"/>
  <c r="BK1177" i="42385" s="1"/>
  <c r="AE37" i="42400"/>
  <c r="AJ92" i="42400"/>
  <c r="AH92" i="42400"/>
  <c r="AG92" i="42400"/>
  <c r="BB654" i="42385"/>
  <c r="BA653" i="42385"/>
  <c r="BA656" i="42385" s="1"/>
  <c r="BA657" i="42385" s="1"/>
  <c r="AH654" i="42385"/>
  <c r="AI654" i="42385" s="1"/>
  <c r="AG653" i="42385"/>
  <c r="AG656" i="42385" s="1"/>
  <c r="AG657" i="42385" s="1"/>
  <c r="AL658" i="42385" s="1"/>
  <c r="D923" i="42385"/>
  <c r="D924" i="42385" s="1"/>
  <c r="D927" i="42385"/>
  <c r="M45" i="42476"/>
  <c r="CS245" i="42385"/>
  <c r="FS439" i="42417"/>
  <c r="AU47" i="42400"/>
  <c r="AU42" i="42400"/>
  <c r="BJ68" i="42400"/>
  <c r="BJ64" i="42400"/>
  <c r="BF64" i="42400" s="1"/>
  <c r="BJ67" i="42400"/>
  <c r="BJ66" i="42400"/>
  <c r="BJ65" i="42400"/>
  <c r="BJ280" i="42400"/>
  <c r="BI280" i="42400" s="1"/>
  <c r="BJ283" i="42400"/>
  <c r="BJ281" i="42400"/>
  <c r="BJ282" i="42400"/>
  <c r="BJ288" i="42400"/>
  <c r="BG288" i="42400" s="1"/>
  <c r="BJ292" i="42400"/>
  <c r="BH292" i="42400" s="1"/>
  <c r="BJ291" i="42400"/>
  <c r="BJ290" i="42400"/>
  <c r="BG290" i="42400" s="1"/>
  <c r="AX1103" i="42385"/>
  <c r="BC1103" i="42385" s="1"/>
  <c r="BH1103" i="42385" s="1"/>
  <c r="BM1103" i="42385" s="1"/>
  <c r="BR1103" i="42385" s="1"/>
  <c r="BW1103" i="42385" s="1"/>
  <c r="Q97" i="42400"/>
  <c r="Q101" i="42400" s="1"/>
  <c r="Q833" i="42385" s="1"/>
  <c r="CO833" i="42385" s="1"/>
  <c r="AZ87" i="42400"/>
  <c r="AZ97" i="42400"/>
  <c r="AZ89" i="42400"/>
  <c r="AZ92" i="42400"/>
  <c r="AZ93" i="42400"/>
  <c r="AX93" i="42400" s="1"/>
  <c r="AZ88" i="42400"/>
  <c r="AH69" i="42400"/>
  <c r="AG69" i="42400"/>
  <c r="AI69" i="42400"/>
  <c r="AW230" i="42400"/>
  <c r="AW233" i="42400" s="1"/>
  <c r="AY230" i="42400"/>
  <c r="AZ233" i="42400"/>
  <c r="AV230" i="42400"/>
  <c r="AC25" i="42476"/>
  <c r="AG194" i="42400"/>
  <c r="AG1019" i="42385" s="1"/>
  <c r="AG1016" i="42385" s="1"/>
  <c r="AF18" i="42443"/>
  <c r="AA18" i="42443"/>
  <c r="V18" i="42443"/>
  <c r="V19" i="42443" s="1"/>
  <c r="G18" i="42443"/>
  <c r="G19" i="42443" s="1"/>
  <c r="U34" i="42443"/>
  <c r="Z35" i="42443" s="1"/>
  <c r="AF59" i="42443"/>
  <c r="AC51" i="42443"/>
  <c r="BW681" i="42385"/>
  <c r="AV194" i="42400"/>
  <c r="AV1019" i="42385" s="1"/>
  <c r="BZ793" i="42385"/>
  <c r="CA793" i="42385" s="1"/>
  <c r="CA33" i="42400" s="1"/>
  <c r="CA38" i="42400" s="1"/>
  <c r="DC567" i="42385"/>
  <c r="CV1321" i="42385"/>
  <c r="DC1442" i="42385"/>
  <c r="CA1459" i="42385"/>
  <c r="CA1450" i="42385"/>
  <c r="DC1450" i="42385" s="1"/>
  <c r="BU100" i="42385"/>
  <c r="AG24" i="42476" s="1"/>
  <c r="AG25" i="42476" s="1"/>
  <c r="BU1110" i="42385"/>
  <c r="AS1542" i="42385"/>
  <c r="BP770" i="42385"/>
  <c r="BI713" i="42385"/>
  <c r="BF50" i="42418"/>
  <c r="BI230" i="42385"/>
  <c r="BN618" i="42385"/>
  <c r="BT129" i="42385"/>
  <c r="CA1464" i="42385"/>
  <c r="CA1451" i="42385"/>
  <c r="DC1451" i="42385" s="1"/>
  <c r="AN244" i="42385"/>
  <c r="AN935" i="42385"/>
  <c r="X288" i="42400"/>
  <c r="Z288" i="42400"/>
  <c r="Y288" i="42400"/>
  <c r="X291" i="42400"/>
  <c r="Z291" i="42400"/>
  <c r="W291" i="42400"/>
  <c r="BH63" i="42400"/>
  <c r="BK512" i="42385"/>
  <c r="BK514" i="42385" s="1"/>
  <c r="BK515" i="42385" s="1"/>
  <c r="AK9" i="42385"/>
  <c r="CS9" i="42385" s="1"/>
  <c r="AH28" i="42385"/>
  <c r="AR246" i="42424"/>
  <c r="X136" i="42424"/>
  <c r="AB1558" i="42385"/>
  <c r="J25" i="42424"/>
  <c r="J21" i="42424" s="1"/>
  <c r="X127" i="42424"/>
  <c r="AB128" i="42385"/>
  <c r="AJ28" i="42385"/>
  <c r="G12" i="42424"/>
  <c r="CS267" i="42385"/>
  <c r="FW435" i="42417"/>
  <c r="BV421" i="42385"/>
  <c r="BW421" i="42385" s="1"/>
  <c r="BX421" i="42385" s="1"/>
  <c r="BY421" i="42385" s="1"/>
  <c r="CZ421" i="42385"/>
  <c r="BI226" i="42385"/>
  <c r="BI566" i="42385"/>
  <c r="AW650" i="42385"/>
  <c r="BL41" i="42400"/>
  <c r="BM41" i="42400"/>
  <c r="AL648" i="42385"/>
  <c r="AL643" i="42385"/>
  <c r="AP647" i="42385"/>
  <c r="CT647" i="42385" s="1"/>
  <c r="B40" i="42407"/>
  <c r="CR415" i="42385"/>
  <c r="E43" i="42465"/>
  <c r="AU649" i="42385"/>
  <c r="AS605" i="42385"/>
  <c r="AO1095" i="42385"/>
  <c r="AP1091" i="42385"/>
  <c r="AB99" i="42492"/>
  <c r="BJ1319" i="42385"/>
  <c r="CX1319" i="42385" s="1"/>
  <c r="AC282" i="42400"/>
  <c r="AB282" i="42400"/>
  <c r="AD282" i="42400"/>
  <c r="AE283" i="42400"/>
  <c r="AB283" i="42400"/>
  <c r="BK42" i="42400"/>
  <c r="AY649" i="42385"/>
  <c r="AJ1281" i="42385"/>
  <c r="AX590" i="42385"/>
  <c r="AX591" i="42385" s="1"/>
  <c r="Y291" i="42400"/>
  <c r="AP715" i="42385"/>
  <c r="CT715" i="42385" s="1"/>
  <c r="CT713" i="42385"/>
  <c r="AY117" i="42385"/>
  <c r="AZ1287" i="42385"/>
  <c r="AD117" i="42385"/>
  <c r="AE1287" i="42385"/>
  <c r="BI300" i="42385"/>
  <c r="BN1168" i="42385"/>
  <c r="V1613" i="42385"/>
  <c r="CP1613" i="42385" s="1"/>
  <c r="U1614" i="42385"/>
  <c r="V1614" i="42385" s="1"/>
  <c r="CP1614" i="42385" s="1"/>
  <c r="W1614" i="42385"/>
  <c r="X1614" i="42385"/>
  <c r="BE430" i="42385"/>
  <c r="BG93" i="42400"/>
  <c r="BF93" i="42400"/>
  <c r="BH93" i="42400"/>
  <c r="BI88" i="42400"/>
  <c r="BH88" i="42400"/>
  <c r="BF88" i="42400"/>
  <c r="W288" i="42400"/>
  <c r="AN921" i="42385"/>
  <c r="AS1170" i="42385"/>
  <c r="AX1157" i="42385"/>
  <c r="BH1326" i="42385"/>
  <c r="BI1324" i="42385"/>
  <c r="BJ1324" i="42385" s="1"/>
  <c r="CX1324" i="42385" s="1"/>
  <c r="BE1175" i="42385"/>
  <c r="CW1175" i="42385" s="1"/>
  <c r="BN129" i="42385"/>
  <c r="BJ127" i="42385"/>
  <c r="CU73" i="42385"/>
  <c r="E10" i="42465"/>
  <c r="Q149" i="42385"/>
  <c r="CO149" i="42385" s="1"/>
  <c r="F314" i="42385"/>
  <c r="AC8" i="42476"/>
  <c r="BQ50" i="42385"/>
  <c r="Y128" i="42385"/>
  <c r="AP246" i="42424"/>
  <c r="CR243" i="42385"/>
  <c r="X37" i="42417"/>
  <c r="AP223" i="42385"/>
  <c r="CT483" i="42385"/>
  <c r="BA1174" i="42385"/>
  <c r="BA1177" i="42385" s="1"/>
  <c r="BA1178" i="42385" s="1"/>
  <c r="AL14" i="42385"/>
  <c r="AL28" i="42385"/>
  <c r="I259" i="42385"/>
  <c r="D1558" i="42385"/>
  <c r="AB14" i="42385"/>
  <c r="BZ34" i="42385"/>
  <c r="DB34" i="42385" s="1"/>
  <c r="DA34" i="42385"/>
  <c r="AZ399" i="42385"/>
  <c r="CV399" i="42385" s="1"/>
  <c r="CU398" i="42385"/>
  <c r="CN177" i="42385"/>
  <c r="M177" i="42385"/>
  <c r="N177" i="42385" s="1"/>
  <c r="O177" i="42385" s="1"/>
  <c r="P177" i="42385" s="1"/>
  <c r="Q177" i="42385" s="1"/>
  <c r="CY1349" i="42385"/>
  <c r="BO1351" i="42385"/>
  <c r="CY1351" i="42385" s="1"/>
  <c r="BM40" i="42400"/>
  <c r="AS230" i="42385"/>
  <c r="BL518" i="42385"/>
  <c r="G31" i="42465"/>
  <c r="CW1371" i="42385"/>
  <c r="BU1537" i="42385"/>
  <c r="BV739" i="42385"/>
  <c r="AN10" i="42385"/>
  <c r="AP10" i="42385" s="1"/>
  <c r="CT10" i="42385" s="1"/>
  <c r="GM501" i="42417"/>
  <c r="BH244" i="42385"/>
  <c r="BJ244" i="42385" s="1"/>
  <c r="BM921" i="42385"/>
  <c r="BJ920" i="42385"/>
  <c r="BC890" i="42385"/>
  <c r="AZ889" i="42385"/>
  <c r="AX243" i="42385"/>
  <c r="AZ243" i="42385" s="1"/>
  <c r="CV243" i="42385" s="1"/>
  <c r="AR342" i="42385"/>
  <c r="AV1091" i="42385"/>
  <c r="AQ1092" i="42385"/>
  <c r="AQ1095" i="42385"/>
  <c r="BV670" i="42385"/>
  <c r="BQ683" i="42385"/>
  <c r="AM1623" i="42385"/>
  <c r="AM1577" i="42385"/>
  <c r="BA1467" i="42385"/>
  <c r="BB1467" i="42385" s="1"/>
  <c r="BC1467" i="42385" s="1"/>
  <c r="BD1467" i="42385" s="1"/>
  <c r="BE1467" i="42385" s="1"/>
  <c r="BF1467" i="42385" s="1"/>
  <c r="BG1467" i="42385" s="1"/>
  <c r="BH1467" i="42385" s="1"/>
  <c r="BI1467" i="42385" s="1"/>
  <c r="BJ1467" i="42385" s="1"/>
  <c r="BK1467" i="42385" s="1"/>
  <c r="BL1467" i="42385" s="1"/>
  <c r="BM1467" i="42385" s="1"/>
  <c r="BN1467" i="42385" s="1"/>
  <c r="BO1467" i="42385" s="1"/>
  <c r="BP1467" i="42385" s="1"/>
  <c r="BQ1467" i="42385" s="1"/>
  <c r="BR1467" i="42385" s="1"/>
  <c r="BS1467" i="42385" s="1"/>
  <c r="BT1467" i="42385" s="1"/>
  <c r="BU1467" i="42385" s="1"/>
  <c r="BV1467" i="42385" s="1"/>
  <c r="BW1467" i="42385" s="1"/>
  <c r="BX1467" i="42385" s="1"/>
  <c r="BY1467" i="42385" s="1"/>
  <c r="BZ1467" i="42385" s="1"/>
  <c r="CA1467" i="42385" s="1"/>
  <c r="CB1467" i="42385" s="1"/>
  <c r="CC1467" i="42385" s="1"/>
  <c r="CD1467" i="42385" s="1"/>
  <c r="CE1467" i="42385" s="1"/>
  <c r="CF1467" i="42385" s="1"/>
  <c r="BM1364" i="42385"/>
  <c r="BF1351" i="42385"/>
  <c r="BH1351" i="42385"/>
  <c r="E115" i="42385"/>
  <c r="BQ1266" i="42385"/>
  <c r="BQ1263" i="42385" s="1"/>
  <c r="BQ1553" i="42385" s="1"/>
  <c r="BQ107" i="42385" s="1"/>
  <c r="BD1263" i="42385"/>
  <c r="AR1091" i="42385"/>
  <c r="AW1091" i="42385" s="1"/>
  <c r="CT945" i="42385"/>
  <c r="AK884" i="42385"/>
  <c r="CS884" i="42385" s="1"/>
  <c r="CM777" i="42385"/>
  <c r="AH771" i="42385"/>
  <c r="D746" i="42385"/>
  <c r="AW675" i="42385"/>
  <c r="AW693" i="42385" s="1"/>
  <c r="AW695" i="42385" s="1"/>
  <c r="AW696" i="42385" s="1"/>
  <c r="AO671" i="42385"/>
  <c r="AO665" i="42385"/>
  <c r="Q402" i="42385"/>
  <c r="CO402" i="42385" s="1"/>
  <c r="AS129" i="42385"/>
  <c r="AN129" i="42385"/>
  <c r="L117" i="42385"/>
  <c r="CN117" i="42385" s="1"/>
  <c r="L115" i="42385"/>
  <c r="CN115" i="42385" s="1"/>
  <c r="P1617" i="42385"/>
  <c r="Q1617" i="42385" s="1"/>
  <c r="CO1617" i="42385" s="1"/>
  <c r="AD1577" i="42385"/>
  <c r="Q1531" i="42385"/>
  <c r="CO1531" i="42385" s="1"/>
  <c r="CW1511" i="42385"/>
  <c r="BA1422" i="42385"/>
  <c r="BB1422" i="42385" s="1"/>
  <c r="BC1422" i="42385" s="1"/>
  <c r="BD1422" i="42385" s="1"/>
  <c r="AE1375" i="42385"/>
  <c r="C23" i="42465"/>
  <c r="BN1308" i="42385"/>
  <c r="BO1308" i="42385" s="1"/>
  <c r="CY1308" i="42385" s="1"/>
  <c r="AH117" i="42385"/>
  <c r="D1554" i="42385"/>
  <c r="G1554" i="42385" s="1"/>
  <c r="CM1554" i="42385" s="1"/>
  <c r="BI921" i="42385"/>
  <c r="BI797" i="42385"/>
  <c r="AG643" i="42385"/>
  <c r="AG644" i="42385" s="1"/>
  <c r="AF399" i="42385"/>
  <c r="BW398" i="42385"/>
  <c r="BL1070" i="42385"/>
  <c r="BL1252" i="42385"/>
  <c r="BQ1326" i="42385"/>
  <c r="AL1554" i="42385"/>
  <c r="E1003" i="42385"/>
  <c r="E1004" i="42385" s="1"/>
  <c r="AA839" i="42385"/>
  <c r="CQ839" i="42385" s="1"/>
  <c r="CN810" i="42385"/>
  <c r="BN797" i="42385"/>
  <c r="DA1506" i="42385"/>
  <c r="AA1411" i="42385"/>
  <c r="AQ774" i="42385"/>
  <c r="AC752" i="42385"/>
  <c r="AJ673" i="42385"/>
  <c r="BP503" i="42385"/>
  <c r="Q381" i="42385"/>
  <c r="CO381" i="42385" s="1"/>
  <c r="Y373" i="42385"/>
  <c r="L339" i="42385"/>
  <c r="CN339" i="42385" s="1"/>
  <c r="BO338" i="42385"/>
  <c r="Q280" i="42385"/>
  <c r="CO280" i="42385" s="1"/>
  <c r="AY890" i="42385"/>
  <c r="AT890" i="42385"/>
  <c r="AT243" i="42385"/>
  <c r="AP873" i="42385"/>
  <c r="CT873" i="42385" s="1"/>
  <c r="AP859" i="42385"/>
  <c r="CT859" i="42385" s="1"/>
  <c r="AP242" i="42385"/>
  <c r="CT858" i="42385"/>
  <c r="BR1361" i="42385"/>
  <c r="BS1361" i="42385" s="1"/>
  <c r="BT1361" i="42385" s="1"/>
  <c r="BB441" i="42385"/>
  <c r="BB268" i="42385"/>
  <c r="AZ857" i="42385"/>
  <c r="CV857" i="42385" s="1"/>
  <c r="AZ1281" i="42385"/>
  <c r="AS1314" i="42385"/>
  <c r="AJ30" i="42385"/>
  <c r="AM1593" i="42385"/>
  <c r="AO1590" i="42385"/>
  <c r="BM1375" i="42385"/>
  <c r="BN1373" i="42385"/>
  <c r="CR1359" i="42385"/>
  <c r="B27" i="42465"/>
  <c r="AF1364" i="42385"/>
  <c r="CQ1648" i="42385"/>
  <c r="CS1590" i="42385"/>
  <c r="AL1577" i="42385"/>
  <c r="AC1577" i="42385"/>
  <c r="H1577" i="42385"/>
  <c r="D1577" i="42385"/>
  <c r="D1579" i="42385" s="1"/>
  <c r="X1567" i="42385"/>
  <c r="W1567" i="42385"/>
  <c r="P1567" i="42385"/>
  <c r="BZ1510" i="42385"/>
  <c r="BL1375" i="42385"/>
  <c r="CS1354" i="42385"/>
  <c r="AC1108" i="42385"/>
  <c r="AP1102" i="42385"/>
  <c r="D1623" i="42385"/>
  <c r="CM1608" i="42385"/>
  <c r="BH1577" i="42385"/>
  <c r="BE1550" i="42385"/>
  <c r="V1538" i="42385"/>
  <c r="CP1538" i="42385" s="1"/>
  <c r="G1538" i="42385"/>
  <c r="CM1538" i="42385" s="1"/>
  <c r="AK1536" i="42385"/>
  <c r="CS1536" i="42385" s="1"/>
  <c r="AA1530" i="42385"/>
  <c r="CQ1530" i="42385" s="1"/>
  <c r="BJ1524" i="42385"/>
  <c r="CX1524" i="42385" s="1"/>
  <c r="V1524" i="42385"/>
  <c r="CP1524" i="42385" s="1"/>
  <c r="G1503" i="42385"/>
  <c r="CM1503" i="42385" s="1"/>
  <c r="G1485" i="42385"/>
  <c r="CM1485" i="42385" s="1"/>
  <c r="N202" i="42385"/>
  <c r="AW1375" i="42385"/>
  <c r="AE1116" i="42385"/>
  <c r="M1116" i="42385"/>
  <c r="AL1108" i="42385"/>
  <c r="N1424" i="42385"/>
  <c r="BL1617" i="42385"/>
  <c r="BE1616" i="42385"/>
  <c r="CW1616" i="42385" s="1"/>
  <c r="AK1616" i="42385"/>
  <c r="CS1616" i="42385" s="1"/>
  <c r="BE1510" i="42385"/>
  <c r="CW1510" i="42385" s="1"/>
  <c r="AJ1411" i="42385"/>
  <c r="G1351" i="42385"/>
  <c r="D1366" i="42385"/>
  <c r="D1426" i="42385" s="1"/>
  <c r="CQ1304" i="42385"/>
  <c r="W256" i="42385"/>
  <c r="S1108" i="42385"/>
  <c r="Q1097" i="42385"/>
  <c r="CO1097" i="42385" s="1"/>
  <c r="BV1248" i="42385"/>
  <c r="AZ1008" i="42385"/>
  <c r="CV1008" i="42385" s="1"/>
  <c r="BO980" i="42385"/>
  <c r="CY980" i="42385" s="1"/>
  <c r="AU151" i="42400"/>
  <c r="BJ977" i="42385"/>
  <c r="CX977" i="42385" s="1"/>
  <c r="CS917" i="42385"/>
  <c r="D910" i="42385"/>
  <c r="K902" i="42385"/>
  <c r="BO276" i="42400"/>
  <c r="BO296" i="42400" s="1"/>
  <c r="CM855" i="42385"/>
  <c r="BJ853" i="42385"/>
  <c r="CX853" i="42385" s="1"/>
  <c r="AZ853" i="42385"/>
  <c r="CV853" i="42385" s="1"/>
  <c r="CO841" i="42385"/>
  <c r="CN796" i="42385"/>
  <c r="BP795" i="42385"/>
  <c r="AU794" i="42385"/>
  <c r="CU794" i="42385" s="1"/>
  <c r="AK778" i="42385"/>
  <c r="CS778" i="42385" s="1"/>
  <c r="BA677" i="42385"/>
  <c r="AQ677" i="42385"/>
  <c r="AO598" i="42385"/>
  <c r="AZ589" i="42385"/>
  <c r="CV589" i="42385" s="1"/>
  <c r="AZ465" i="42385"/>
  <c r="BC430" i="42385"/>
  <c r="BG401" i="42385"/>
  <c r="AJ400" i="42385"/>
  <c r="AK381" i="42385"/>
  <c r="CS381" i="42385" s="1"/>
  <c r="BO301" i="42385"/>
  <c r="CY301" i="42385" s="1"/>
  <c r="AK298" i="42385"/>
  <c r="H290" i="42385"/>
  <c r="D290" i="42385"/>
  <c r="AK240" i="42385"/>
  <c r="BQ1248" i="42385"/>
  <c r="BN1249" i="42385"/>
  <c r="BS1249" i="42385"/>
  <c r="BN1250" i="42385"/>
  <c r="BO1250" i="42385" s="1"/>
  <c r="BS1250" i="42385"/>
  <c r="BM1258" i="42385"/>
  <c r="BO1258" i="42385" s="1"/>
  <c r="AG752" i="42385"/>
  <c r="Z673" i="42385"/>
  <c r="BL673" i="42385"/>
  <c r="BW370" i="42385"/>
  <c r="AA237" i="42385"/>
  <c r="CQ237" i="42385" s="1"/>
  <c r="BM1248" i="42385"/>
  <c r="BO1248" i="42385" s="1"/>
  <c r="BR1248" i="42385"/>
  <c r="BP1249" i="42385"/>
  <c r="BU1249" i="42385"/>
  <c r="BU1252" i="42385" s="1"/>
  <c r="BP1250" i="42385"/>
  <c r="CQ1007" i="42385"/>
  <c r="CO903" i="42385"/>
  <c r="AA859" i="42385"/>
  <c r="CQ859" i="42385" s="1"/>
  <c r="D817" i="42385"/>
  <c r="D818" i="42385" s="1"/>
  <c r="J772" i="42385"/>
  <c r="AT767" i="42385"/>
  <c r="Y753" i="42385"/>
  <c r="DA551" i="42385"/>
  <c r="CV451" i="42385"/>
  <c r="AK415" i="42385"/>
  <c r="CS415" i="42385" s="1"/>
  <c r="W404" i="42385"/>
  <c r="L300" i="42385"/>
  <c r="CN300" i="42385" s="1"/>
  <c r="Q223" i="42385"/>
  <c r="CO223" i="42385" s="1"/>
  <c r="AK111" i="42385"/>
  <c r="CS111" i="42385" s="1"/>
  <c r="G111" i="42385"/>
  <c r="CM111" i="42385" s="1"/>
  <c r="Q110" i="42385"/>
  <c r="CO110" i="42385" s="1"/>
  <c r="BQ1249" i="42385"/>
  <c r="BV1249" i="42385"/>
  <c r="BP1256" i="42385"/>
  <c r="Q950" i="42385"/>
  <c r="CO950" i="42385" s="1"/>
  <c r="CS945" i="42385"/>
  <c r="V871" i="42385"/>
  <c r="CP871" i="42385" s="1"/>
  <c r="AA826" i="42385"/>
  <c r="CQ826" i="42385" s="1"/>
  <c r="L822" i="42385"/>
  <c r="CN822" i="42385" s="1"/>
  <c r="AF794" i="42385"/>
  <c r="CR794" i="42385" s="1"/>
  <c r="D786" i="42385"/>
  <c r="D787" i="42385" s="1"/>
  <c r="AO770" i="42385"/>
  <c r="V721" i="42385"/>
  <c r="CP721" i="42385" s="1"/>
  <c r="Y715" i="42385"/>
  <c r="AT710" i="42385"/>
  <c r="AW462" i="42385"/>
  <c r="AZ429" i="42385"/>
  <c r="AZ430" i="42385" s="1"/>
  <c r="L413" i="42385"/>
  <c r="CN413" i="42385" s="1"/>
  <c r="Q298" i="42385"/>
  <c r="CO298" i="42385" s="1"/>
  <c r="V294" i="42385"/>
  <c r="L286" i="42385"/>
  <c r="CN286" i="42385" s="1"/>
  <c r="S290" i="42385"/>
  <c r="BO255" i="42385"/>
  <c r="L240" i="42385"/>
  <c r="BU166" i="42385"/>
  <c r="AF71" i="42385"/>
  <c r="BM1249" i="42385"/>
  <c r="BR1249" i="42385"/>
  <c r="BO1256" i="42385"/>
  <c r="BT1255" i="42385"/>
  <c r="BX1255" i="42385"/>
  <c r="BZ1255" i="42385" s="1"/>
  <c r="BR1102" i="42385"/>
  <c r="BW1102" i="42385" s="1"/>
  <c r="BT66" i="42400"/>
  <c r="W51" i="42443"/>
  <c r="AY242" i="42385"/>
  <c r="AZ858" i="42385"/>
  <c r="AY859" i="42385"/>
  <c r="BD859" i="42385"/>
  <c r="CN5" i="42385"/>
  <c r="L657" i="42385"/>
  <c r="BZ1343" i="42385"/>
  <c r="DB1343" i="42385" s="1"/>
  <c r="DA1343" i="42385"/>
  <c r="BK1514" i="42385"/>
  <c r="BK77" i="42385"/>
  <c r="BR1553" i="42385"/>
  <c r="BR107" i="42385" s="1"/>
  <c r="CW1305" i="42385"/>
  <c r="CR5" i="42385"/>
  <c r="AS890" i="42385"/>
  <c r="AX890" i="42385"/>
  <c r="AS243" i="42385"/>
  <c r="AU889" i="42385"/>
  <c r="AO115" i="42385"/>
  <c r="AP115" i="42385" s="1"/>
  <c r="CT115" i="42385" s="1"/>
  <c r="BN108" i="42385"/>
  <c r="CB1524" i="42385"/>
  <c r="BG273" i="42385"/>
  <c r="BG574" i="42385"/>
  <c r="BN226" i="42385"/>
  <c r="BN566" i="42385"/>
  <c r="BN564" i="42385"/>
  <c r="CY1396" i="42385"/>
  <c r="BP1396" i="42385"/>
  <c r="BQ1396" i="42385" s="1"/>
  <c r="BR1396" i="42385" s="1"/>
  <c r="BS1396" i="42385" s="1"/>
  <c r="BT1396" i="42385" s="1"/>
  <c r="DB1506" i="42385"/>
  <c r="CA1506" i="42385"/>
  <c r="BC283" i="42400"/>
  <c r="BJ243" i="42385"/>
  <c r="EG454" i="42492" s="1"/>
  <c r="AZ1300" i="42385"/>
  <c r="AN1623" i="42385"/>
  <c r="Y1617" i="42385"/>
  <c r="U1617" i="42385"/>
  <c r="V1617" i="42385" s="1"/>
  <c r="CP1617" i="42385" s="1"/>
  <c r="M1617" i="42385"/>
  <c r="L1616" i="42385"/>
  <c r="CN1616" i="42385" s="1"/>
  <c r="CN1608" i="42385"/>
  <c r="AU1610" i="42385"/>
  <c r="CU1610" i="42385" s="1"/>
  <c r="BC1577" i="42385"/>
  <c r="AQ1577" i="42385"/>
  <c r="AA1552" i="42385"/>
  <c r="CQ1552" i="42385" s="1"/>
  <c r="V1552" i="42385"/>
  <c r="CP1552" i="42385" s="1"/>
  <c r="L1552" i="42385"/>
  <c r="CN1552" i="42385" s="1"/>
  <c r="Q1534" i="42385"/>
  <c r="CO1534" i="42385" s="1"/>
  <c r="CM1380" i="42385"/>
  <c r="H1480" i="42385"/>
  <c r="L1480" i="42385" s="1"/>
  <c r="CN1480" i="42385" s="1"/>
  <c r="AA1096" i="42385"/>
  <c r="CQ1096" i="42385" s="1"/>
  <c r="CR1007" i="42385"/>
  <c r="AF1008" i="42385"/>
  <c r="CR1008" i="42385" s="1"/>
  <c r="K41" i="42443"/>
  <c r="K42" i="42443" s="1"/>
  <c r="CN1007" i="42385"/>
  <c r="V904" i="42385"/>
  <c r="CP904" i="42385" s="1"/>
  <c r="CP903" i="42385"/>
  <c r="AH1577" i="42385"/>
  <c r="BN1411" i="42385"/>
  <c r="BN1380" i="42385"/>
  <c r="BM1480" i="42385"/>
  <c r="CT1380" i="42385"/>
  <c r="AQ1480" i="42385"/>
  <c r="AU1480" i="42385" s="1"/>
  <c r="CU1480" i="42385" s="1"/>
  <c r="CP1380" i="42385"/>
  <c r="W1480" i="42385"/>
  <c r="AA1480" i="42385" s="1"/>
  <c r="CQ1480" i="42385" s="1"/>
  <c r="BF1361" i="42385"/>
  <c r="BG1361" i="42385" s="1"/>
  <c r="CW1361" i="42385"/>
  <c r="BF160" i="42385"/>
  <c r="BF1228" i="42385"/>
  <c r="BJ1228" i="42385" s="1"/>
  <c r="CQ1088" i="42385"/>
  <c r="AA1099" i="42385"/>
  <c r="CQ1099" i="42385" s="1"/>
  <c r="CP939" i="42385"/>
  <c r="V1139" i="42385"/>
  <c r="CP1139" i="42385" s="1"/>
  <c r="BO857" i="42385"/>
  <c r="CY857" i="42385" s="1"/>
  <c r="BN858" i="42385"/>
  <c r="BG618" i="42385"/>
  <c r="BB340" i="42385"/>
  <c r="O1617" i="42385"/>
  <c r="S1611" i="42385"/>
  <c r="H1611" i="42385"/>
  <c r="O1567" i="42385"/>
  <c r="AF1543" i="42385"/>
  <c r="CR1543" i="42385" s="1"/>
  <c r="V1543" i="42385"/>
  <c r="CP1543" i="42385" s="1"/>
  <c r="G1543" i="42385"/>
  <c r="CM1543" i="42385" s="1"/>
  <c r="BT1542" i="42385"/>
  <c r="CZ1542" i="42385" s="1"/>
  <c r="BO1542" i="42385"/>
  <c r="CY1542" i="42385" s="1"/>
  <c r="BO1534" i="42385"/>
  <c r="CY1534" i="42385" s="1"/>
  <c r="CO1385" i="42385"/>
  <c r="R1485" i="42385"/>
  <c r="V1485" i="42385" s="1"/>
  <c r="CP1485" i="42385" s="1"/>
  <c r="CU1384" i="42385"/>
  <c r="AV1484" i="42385"/>
  <c r="AZ1484" i="42385" s="1"/>
  <c r="CV1484" i="42385" s="1"/>
  <c r="CQ1384" i="42385"/>
  <c r="AB1484" i="42385"/>
  <c r="AF1484" i="42385" s="1"/>
  <c r="CR1484" i="42385" s="1"/>
  <c r="CM1384" i="42385"/>
  <c r="H1484" i="42385"/>
  <c r="L1484" i="42385" s="1"/>
  <c r="CN1484" i="42385" s="1"/>
  <c r="CU1383" i="42385"/>
  <c r="AV1483" i="42385"/>
  <c r="AN1402" i="42385"/>
  <c r="AN1481" i="42385"/>
  <c r="AO1481" i="42385"/>
  <c r="BD1351" i="42385"/>
  <c r="BE1348" i="42385"/>
  <c r="AH1312" i="42385"/>
  <c r="AG1314" i="42385"/>
  <c r="BP107" i="42385"/>
  <c r="BB1229" i="42385"/>
  <c r="BC1229" i="42385" s="1"/>
  <c r="BD1229" i="42385" s="1"/>
  <c r="BE1229" i="42385" s="1"/>
  <c r="AZ218" i="42400"/>
  <c r="CV948" i="42385"/>
  <c r="AZ949" i="42385"/>
  <c r="CV949" i="42385" s="1"/>
  <c r="K56" i="42443"/>
  <c r="K64" i="42443" s="1"/>
  <c r="CN948" i="42385"/>
  <c r="BO130" i="42400"/>
  <c r="CY917" i="42385"/>
  <c r="BO918" i="42385"/>
  <c r="CY918" i="42385" s="1"/>
  <c r="CV886" i="42385"/>
  <c r="AZ887" i="42385"/>
  <c r="CV887" i="42385" s="1"/>
  <c r="Q887" i="42385"/>
  <c r="CO887" i="42385" s="1"/>
  <c r="CN886" i="42385"/>
  <c r="K10" i="42443"/>
  <c r="Z1617" i="42385"/>
  <c r="AA1617" i="42385" s="1"/>
  <c r="CQ1617" i="42385" s="1"/>
  <c r="F1617" i="42385"/>
  <c r="G1617" i="42385" s="1"/>
  <c r="CM1617" i="42385" s="1"/>
  <c r="BI1577" i="42385"/>
  <c r="AX1577" i="42385"/>
  <c r="BB1577" i="42385"/>
  <c r="BB1579" i="42385" s="1"/>
  <c r="G1552" i="42385"/>
  <c r="CM1552" i="42385" s="1"/>
  <c r="BO1550" i="42385"/>
  <c r="Q1542" i="42385"/>
  <c r="CO1542" i="42385" s="1"/>
  <c r="C1504" i="42385"/>
  <c r="BT1464" i="42385"/>
  <c r="BT1459" i="42385"/>
  <c r="BT1465" i="42385"/>
  <c r="BT1450" i="42385"/>
  <c r="CZ1450" i="42385" s="1"/>
  <c r="BT1460" i="42385"/>
  <c r="CV1383" i="42385"/>
  <c r="BA1383" i="42385"/>
  <c r="BA1155" i="42385"/>
  <c r="AV1156" i="42385"/>
  <c r="CN1110" i="42385"/>
  <c r="L1115" i="42385"/>
  <c r="BZ1105" i="42385"/>
  <c r="DA1105" i="42385"/>
  <c r="BY1450" i="42385"/>
  <c r="DA1450" i="42385" s="1"/>
  <c r="Z202" i="42385"/>
  <c r="O1366" i="42385"/>
  <c r="J1366" i="42385"/>
  <c r="BM1351" i="42385"/>
  <c r="BT1169" i="42385"/>
  <c r="AS1091" i="42385"/>
  <c r="AA1008" i="42385"/>
  <c r="CQ1008" i="42385" s="1"/>
  <c r="L964" i="42385"/>
  <c r="CN964" i="42385" s="1"/>
  <c r="AW22" i="42418"/>
  <c r="CR920" i="42385"/>
  <c r="AM131" i="42400"/>
  <c r="AM146" i="42400" s="1"/>
  <c r="AM915" i="42385"/>
  <c r="CN889" i="42385"/>
  <c r="L890" i="42385"/>
  <c r="CN890" i="42385" s="1"/>
  <c r="CO878" i="42385"/>
  <c r="R878" i="42385"/>
  <c r="CP877" i="42385"/>
  <c r="W877" i="42385"/>
  <c r="W1139" i="42385" s="1"/>
  <c r="AK1455" i="42385"/>
  <c r="CS1455" i="42385" s="1"/>
  <c r="CU1422" i="42385"/>
  <c r="X202" i="42385"/>
  <c r="S202" i="42385"/>
  <c r="BE1237" i="42385"/>
  <c r="D1003" i="42385"/>
  <c r="P32" i="42443"/>
  <c r="CO917" i="42385"/>
  <c r="AZ131" i="42400"/>
  <c r="AZ146" i="42400" s="1"/>
  <c r="CV914" i="42385"/>
  <c r="CQ899" i="42385"/>
  <c r="AA900" i="42385"/>
  <c r="CQ900" i="42385" s="1"/>
  <c r="AU1478" i="42385"/>
  <c r="CU1478" i="42385" s="1"/>
  <c r="AP1454" i="42385"/>
  <c r="CT1454" i="42385" s="1"/>
  <c r="BJ1169" i="42385"/>
  <c r="L1124" i="42385"/>
  <c r="CN1124" i="42385" s="1"/>
  <c r="AR1115" i="42385"/>
  <c r="AR312" i="42385" s="1"/>
  <c r="AG1108" i="42385"/>
  <c r="Q1012" i="42385"/>
  <c r="CO1012" i="42385" s="1"/>
  <c r="AZ1011" i="42385"/>
  <c r="CV1011" i="42385" s="1"/>
  <c r="CS1010" i="42385"/>
  <c r="AK949" i="42385"/>
  <c r="CS949" i="42385" s="1"/>
  <c r="AP946" i="42385"/>
  <c r="CT946" i="42385" s="1"/>
  <c r="CM945" i="42385"/>
  <c r="AU946" i="42385"/>
  <c r="CU946" i="42385" s="1"/>
  <c r="BS915" i="42385"/>
  <c r="F33" i="42443"/>
  <c r="CM914" i="42385"/>
  <c r="AZ276" i="42400"/>
  <c r="AZ296" i="42400" s="1"/>
  <c r="BE884" i="42385"/>
  <c r="CW884" i="42385" s="1"/>
  <c r="CV883" i="42385"/>
  <c r="BJ856" i="42385"/>
  <c r="CX856" i="42385" s="1"/>
  <c r="CX855" i="42385"/>
  <c r="CM858" i="42385"/>
  <c r="CY855" i="42385"/>
  <c r="AZ856" i="42385"/>
  <c r="CV856" i="42385" s="1"/>
  <c r="CS841" i="42385"/>
  <c r="V838" i="42385"/>
  <c r="CP838" i="42385" s="1"/>
  <c r="CV790" i="42385"/>
  <c r="AA933" i="42385"/>
  <c r="CQ933" i="42385" s="1"/>
  <c r="BI890" i="42385"/>
  <c r="AA857" i="42385"/>
  <c r="CQ857" i="42385" s="1"/>
  <c r="BM797" i="42385"/>
  <c r="CT793" i="42385"/>
  <c r="Z16" i="42443"/>
  <c r="BO34" i="42400"/>
  <c r="BO49" i="42400" s="1"/>
  <c r="AC772" i="42385"/>
  <c r="Y772" i="42385"/>
  <c r="AK757" i="42385"/>
  <c r="CS757" i="42385" s="1"/>
  <c r="V756" i="42385"/>
  <c r="CP756" i="42385" s="1"/>
  <c r="L719" i="42385"/>
  <c r="CN719" i="42385" s="1"/>
  <c r="CN717" i="42385"/>
  <c r="AL714" i="42385"/>
  <c r="I715" i="42385"/>
  <c r="V711" i="42385"/>
  <c r="CP711" i="42385" s="1"/>
  <c r="Q691" i="42385"/>
  <c r="Q693" i="42385" s="1"/>
  <c r="Q695" i="42385" s="1"/>
  <c r="Q696" i="42385" s="1"/>
  <c r="BH683" i="42385"/>
  <c r="BH691" i="42385" s="1"/>
  <c r="AO702" i="42385"/>
  <c r="AV675" i="42385"/>
  <c r="AV676" i="42385" s="1"/>
  <c r="AM675" i="42385"/>
  <c r="AM693" i="42385" s="1"/>
  <c r="AM695" i="42385" s="1"/>
  <c r="AM696" i="42385" s="1"/>
  <c r="AL772" i="42385"/>
  <c r="I772" i="42385"/>
  <c r="AF770" i="42385"/>
  <c r="AG772" i="42385"/>
  <c r="CQ758" i="42385"/>
  <c r="AF757" i="42385"/>
  <c r="CR757" i="42385" s="1"/>
  <c r="AL753" i="42385"/>
  <c r="G721" i="42385"/>
  <c r="CM721" i="42385" s="1"/>
  <c r="AT700" i="42385"/>
  <c r="BH673" i="42385"/>
  <c r="BC693" i="42385"/>
  <c r="BC695" i="42385" s="1"/>
  <c r="BC696" i="42385" s="1"/>
  <c r="AT673" i="42385"/>
  <c r="AZ656" i="42385"/>
  <c r="AZ657" i="42385" s="1"/>
  <c r="AL641" i="42385"/>
  <c r="AA904" i="42385"/>
  <c r="CQ904" i="42385" s="1"/>
  <c r="BQ242" i="42385"/>
  <c r="V853" i="42385"/>
  <c r="CP853" i="42385" s="1"/>
  <c r="AO841" i="42385"/>
  <c r="AP841" i="42385" s="1"/>
  <c r="AA840" i="42385"/>
  <c r="CQ840" i="42385" s="1"/>
  <c r="BA797" i="42385"/>
  <c r="Z772" i="42385"/>
  <c r="M772" i="42385"/>
  <c r="V768" i="42385"/>
  <c r="CP768" i="42385" s="1"/>
  <c r="AA757" i="42385"/>
  <c r="CQ757" i="42385" s="1"/>
  <c r="AL752" i="42385"/>
  <c r="I752" i="42385"/>
  <c r="AT748" i="42385"/>
  <c r="J1139" i="42385"/>
  <c r="J1138" i="42385" s="1"/>
  <c r="G718" i="42385"/>
  <c r="CM718" i="42385" s="1"/>
  <c r="BC64" i="42418"/>
  <c r="AC693" i="42385"/>
  <c r="AC695" i="42385" s="1"/>
  <c r="AC696" i="42385" s="1"/>
  <c r="AT671" i="42385"/>
  <c r="AP640" i="42385"/>
  <c r="AP650" i="42385" s="1"/>
  <c r="CT650" i="42385" s="1"/>
  <c r="AK632" i="42385"/>
  <c r="CS632" i="42385" s="1"/>
  <c r="AR399" i="42385"/>
  <c r="AR400" i="42385" s="1"/>
  <c r="AH399" i="42385"/>
  <c r="AK383" i="42385"/>
  <c r="CS383" i="42385" s="1"/>
  <c r="BE368" i="42385"/>
  <c r="CW368" i="42385" s="1"/>
  <c r="Q357" i="42385"/>
  <c r="CO357" i="42385" s="1"/>
  <c r="CP341" i="42385"/>
  <c r="DJ334" i="42464"/>
  <c r="AZ338" i="42385"/>
  <c r="V310" i="42385"/>
  <c r="CP310" i="42385" s="1"/>
  <c r="AK295" i="42385"/>
  <c r="FW436" i="42417" s="1"/>
  <c r="G286" i="42385"/>
  <c r="BY274" i="42385"/>
  <c r="DA274" i="42385" s="1"/>
  <c r="V274" i="42385"/>
  <c r="CP274" i="42385" s="1"/>
  <c r="Q274" i="42385"/>
  <c r="CO274" i="42385" s="1"/>
  <c r="AA270" i="42385"/>
  <c r="CQ270" i="42385" s="1"/>
  <c r="AP268" i="42385"/>
  <c r="CT268" i="42385" s="1"/>
  <c r="AA244" i="42385"/>
  <c r="CQ244" i="42385" s="1"/>
  <c r="BE227" i="42385"/>
  <c r="G227" i="42385"/>
  <c r="CM227" i="42385" s="1"/>
  <c r="G223" i="42385"/>
  <c r="CM223" i="42385" s="1"/>
  <c r="X129" i="42385"/>
  <c r="AY88" i="42385"/>
  <c r="AY1645" i="42385" s="1"/>
  <c r="Y88" i="42385"/>
  <c r="Y1645" i="42385" s="1"/>
  <c r="AD139" i="42400"/>
  <c r="BE532" i="42385"/>
  <c r="CX334" i="42385"/>
  <c r="L227" i="42385"/>
  <c r="CN227" i="42385" s="1"/>
  <c r="AM118" i="42385"/>
  <c r="AP118" i="42385" s="1"/>
  <c r="CT118" i="42385" s="1"/>
  <c r="AU113" i="42385"/>
  <c r="V109" i="42385"/>
  <c r="CP109" i="42385" s="1"/>
  <c r="BI62" i="42385"/>
  <c r="AX53" i="42385"/>
  <c r="BH399" i="42385"/>
  <c r="CS389" i="42385"/>
  <c r="BJ310" i="42385"/>
  <c r="CX310" i="42385" s="1"/>
  <c r="L301" i="42385"/>
  <c r="Q295" i="42385"/>
  <c r="BT247" i="42385"/>
  <c r="CZ247" i="42385" s="1"/>
  <c r="L222" i="42385"/>
  <c r="CN222" i="42385" s="1"/>
  <c r="DA496" i="42385"/>
  <c r="AY399" i="42385"/>
  <c r="AY400" i="42385" s="1"/>
  <c r="AY401" i="42385" s="1"/>
  <c r="BB399" i="42385"/>
  <c r="BE336" i="42385"/>
  <c r="BC339" i="42385"/>
  <c r="BC340" i="42385" s="1"/>
  <c r="BC341" i="42385" s="1"/>
  <c r="AF339" i="42385"/>
  <c r="BE338" i="42385"/>
  <c r="AA301" i="42385"/>
  <c r="BT298" i="42385"/>
  <c r="CZ298" i="42385" s="1"/>
  <c r="Q296" i="42385"/>
  <c r="CO296" i="42385" s="1"/>
  <c r="AA268" i="42385"/>
  <c r="CQ268" i="42385" s="1"/>
  <c r="AA241" i="42385"/>
  <c r="Q234" i="42385"/>
  <c r="CO234" i="42385" s="1"/>
  <c r="AA223" i="42385"/>
  <c r="CQ223" i="42385" s="1"/>
  <c r="AA220" i="42385"/>
  <c r="CQ220" i="42385" s="1"/>
  <c r="G220" i="42385"/>
  <c r="CM220" i="42385" s="1"/>
  <c r="G219" i="42385"/>
  <c r="CM219" i="42385" s="1"/>
  <c r="AW163" i="42385"/>
  <c r="AW165" i="42385" s="1"/>
  <c r="AW166" i="42385" s="1"/>
  <c r="AW134" i="42385" s="1"/>
  <c r="AK156" i="42385"/>
  <c r="AN156" i="42385" s="1"/>
  <c r="AP156" i="42385" s="1"/>
  <c r="CT156" i="42385" s="1"/>
  <c r="AM133" i="42385"/>
  <c r="I130" i="42385"/>
  <c r="AP127" i="42385"/>
  <c r="AP107" i="42385"/>
  <c r="CT107" i="42385" s="1"/>
  <c r="K88" i="42385"/>
  <c r="K1645" i="42385" s="1"/>
  <c r="U44" i="42476"/>
  <c r="CY21" i="42385"/>
  <c r="BE1114" i="42385"/>
  <c r="CW1114" i="42385" s="1"/>
  <c r="BH1114" i="42385"/>
  <c r="CV1148" i="42385"/>
  <c r="BA1148" i="42385"/>
  <c r="BB1148" i="42385" s="1"/>
  <c r="BC1148" i="42385" s="1"/>
  <c r="BD1148" i="42385" s="1"/>
  <c r="BE1148" i="42385" s="1"/>
  <c r="AS654" i="42385"/>
  <c r="AT654" i="42385" s="1"/>
  <c r="AR653" i="42385"/>
  <c r="AR656" i="42385" s="1"/>
  <c r="AR657" i="42385" s="1"/>
  <c r="BR222" i="42400"/>
  <c r="BQ222" i="42400"/>
  <c r="BT226" i="42400"/>
  <c r="BS222" i="42400"/>
  <c r="BP222" i="42400"/>
  <c r="BZ233" i="42400"/>
  <c r="T11" i="42443"/>
  <c r="S59" i="42443"/>
  <c r="N59" i="42443"/>
  <c r="AI1016" i="42385"/>
  <c r="AI1020" i="42385"/>
  <c r="BC224" i="42400"/>
  <c r="BD224" i="42400"/>
  <c r="BB224" i="42400"/>
  <c r="DB422" i="42385"/>
  <c r="CA422" i="42385"/>
  <c r="O27" i="42443"/>
  <c r="T27" i="42443"/>
  <c r="AB35" i="42443"/>
  <c r="AG35" i="42443"/>
  <c r="BG229" i="42400"/>
  <c r="BH229" i="42400"/>
  <c r="BJ233" i="42400"/>
  <c r="BF229" i="42400"/>
  <c r="AW653" i="42385"/>
  <c r="AW656" i="42385" s="1"/>
  <c r="AW657" i="42385" s="1"/>
  <c r="AX654" i="42385"/>
  <c r="BZ877" i="42385"/>
  <c r="CA877" i="42385" s="1"/>
  <c r="DC877" i="42385" s="1"/>
  <c r="DA877" i="42385"/>
  <c r="AB19" i="42443"/>
  <c r="AK480" i="42385"/>
  <c r="AQ706" i="42385"/>
  <c r="BC1115" i="42385"/>
  <c r="BC312" i="42385" s="1"/>
  <c r="BC313" i="42385" s="1"/>
  <c r="BH1113" i="42385"/>
  <c r="F289" i="42400"/>
  <c r="AB230" i="42400"/>
  <c r="AL479" i="42385"/>
  <c r="AM479" i="42385" s="1"/>
  <c r="AK479" i="42385"/>
  <c r="D289" i="42400"/>
  <c r="AO43" i="42400"/>
  <c r="AN43" i="42400"/>
  <c r="AL43" i="42400"/>
  <c r="K803" i="42385"/>
  <c r="K799" i="42385"/>
  <c r="CQ294" i="42385"/>
  <c r="AZ38" i="42400"/>
  <c r="AZ37" i="42400"/>
  <c r="AP38" i="42400"/>
  <c r="AP39" i="42400"/>
  <c r="AP40" i="42400"/>
  <c r="AM40" i="42400" s="1"/>
  <c r="AP41" i="42400"/>
  <c r="AP37" i="42400"/>
  <c r="AP47" i="42400"/>
  <c r="AP42" i="42400"/>
  <c r="AE26" i="42443"/>
  <c r="AI142" i="42400"/>
  <c r="AJ142" i="42400"/>
  <c r="AH142" i="42400"/>
  <c r="AP88" i="42400"/>
  <c r="AO88" i="42400" s="1"/>
  <c r="AP91" i="42400"/>
  <c r="AP90" i="42400"/>
  <c r="AP89" i="42400"/>
  <c r="AM89" i="42400" s="1"/>
  <c r="AP97" i="42400"/>
  <c r="AP92" i="42400"/>
  <c r="AP87" i="42400"/>
  <c r="AP93" i="42400"/>
  <c r="Q283" i="42400"/>
  <c r="Q280" i="42400"/>
  <c r="Q288" i="42400"/>
  <c r="Q282" i="42400"/>
  <c r="Q279" i="42400"/>
  <c r="Q290" i="42400"/>
  <c r="P290" i="42400" s="1"/>
  <c r="Q289" i="42400"/>
  <c r="BJ135" i="42400"/>
  <c r="BJ141" i="42400"/>
  <c r="BJ134" i="42400"/>
  <c r="BI134" i="42400" s="1"/>
  <c r="BJ142" i="42400"/>
  <c r="BJ140" i="42400"/>
  <c r="AF93" i="42400"/>
  <c r="AF87" i="42400"/>
  <c r="AC87" i="42400" s="1"/>
  <c r="AF90" i="42400"/>
  <c r="AF89" i="42400"/>
  <c r="AF91" i="42400"/>
  <c r="AF88" i="42400"/>
  <c r="AC88" i="42400" s="1"/>
  <c r="G291" i="42400"/>
  <c r="G288" i="42400"/>
  <c r="G280" i="42400"/>
  <c r="G279" i="42400"/>
  <c r="G290" i="42400"/>
  <c r="G282" i="42400"/>
  <c r="G281" i="42400"/>
  <c r="G292" i="42400"/>
  <c r="F292" i="42400" s="1"/>
  <c r="AF135" i="42400"/>
  <c r="AF141" i="42400"/>
  <c r="AF140" i="42400"/>
  <c r="AU224" i="42400"/>
  <c r="AU222" i="42400"/>
  <c r="AU223" i="42400"/>
  <c r="AP280" i="42400"/>
  <c r="AP288" i="42400"/>
  <c r="AO288" i="42400" s="1"/>
  <c r="AP292" i="42400"/>
  <c r="AP282" i="42400"/>
  <c r="AP279" i="42400"/>
  <c r="AP283" i="42400"/>
  <c r="AM283" i="42400" s="1"/>
  <c r="AP291" i="42400"/>
  <c r="AP281" i="42400"/>
  <c r="AP289" i="42400"/>
  <c r="AP290" i="42400"/>
  <c r="AN290" i="42400" s="1"/>
  <c r="H188" i="42385"/>
  <c r="I188" i="42385" s="1"/>
  <c r="J188" i="42385" s="1"/>
  <c r="K188" i="42385" s="1"/>
  <c r="L188" i="42385" s="1"/>
  <c r="CM188" i="42385"/>
  <c r="E12" i="42424"/>
  <c r="CQ267" i="42385"/>
  <c r="AU37" i="42400"/>
  <c r="AU43" i="42400"/>
  <c r="AU38" i="42400"/>
  <c r="AU41" i="42400"/>
  <c r="AU39" i="42400"/>
  <c r="AU40" i="42400"/>
  <c r="BL39" i="42400"/>
  <c r="BN39" i="42400"/>
  <c r="BM39" i="42400"/>
  <c r="BK37" i="42400"/>
  <c r="BO45" i="42400"/>
  <c r="BL37" i="42400"/>
  <c r="BM37" i="42400"/>
  <c r="BB1103" i="42385"/>
  <c r="AL1083" i="42385"/>
  <c r="AB11" i="42443"/>
  <c r="BU1197" i="42385"/>
  <c r="BU1200" i="42385" s="1"/>
  <c r="AY702" i="42385"/>
  <c r="DA971" i="42385"/>
  <c r="BZ971" i="42385"/>
  <c r="DB971" i="42385" s="1"/>
  <c r="AW1167" i="42385"/>
  <c r="AW1171" i="42385"/>
  <c r="BB1168" i="42385"/>
  <c r="AW1187" i="42385"/>
  <c r="AW1168" i="42385"/>
  <c r="AW300" i="42385"/>
  <c r="BL236" i="42385"/>
  <c r="BS640" i="42385"/>
  <c r="CY240" i="42385"/>
  <c r="EH451" i="42492"/>
  <c r="BX827" i="42385"/>
  <c r="BY826" i="42385"/>
  <c r="BN647" i="42385"/>
  <c r="AV401" i="42385"/>
  <c r="BU230" i="42400"/>
  <c r="BN224" i="42400"/>
  <c r="AY919" i="42385"/>
  <c r="AY920" i="42385" s="1"/>
  <c r="BT1622" i="42385"/>
  <c r="CZ1622" i="42385" s="1"/>
  <c r="BT101" i="42385"/>
  <c r="AY1164" i="42385"/>
  <c r="AY1166" i="42385" s="1"/>
  <c r="L43" i="42443"/>
  <c r="I59" i="42443"/>
  <c r="AV657" i="42385"/>
  <c r="BT113" i="42385"/>
  <c r="BW827" i="42385"/>
  <c r="CE226" i="42400"/>
  <c r="AZ1120" i="42385"/>
  <c r="CV1120" i="42385" s="1"/>
  <c r="BR166" i="42385"/>
  <c r="BR134" i="42385" s="1"/>
  <c r="BT791" i="42385"/>
  <c r="CZ791" i="42385" s="1"/>
  <c r="G137" i="42385"/>
  <c r="CM137" i="42385" s="1"/>
  <c r="AE1556" i="42385"/>
  <c r="BW243" i="42385"/>
  <c r="BW890" i="42385"/>
  <c r="BU1341" i="42385"/>
  <c r="CZ1341" i="42385"/>
  <c r="AD43" i="42443"/>
  <c r="AQ1406" i="42385"/>
  <c r="AQ1564" i="42385"/>
  <c r="AU1162" i="42385"/>
  <c r="AF1297" i="42385"/>
  <c r="CR1297" i="42385" s="1"/>
  <c r="D1499" i="42385"/>
  <c r="D1501" i="42385" s="1"/>
  <c r="AU483" i="42385"/>
  <c r="AU1306" i="42385"/>
  <c r="BD1577" i="42385"/>
  <c r="T1577" i="42385"/>
  <c r="H1567" i="42385"/>
  <c r="AK1552" i="42385"/>
  <c r="CS1552" i="42385" s="1"/>
  <c r="BT1550" i="42385"/>
  <c r="AA1543" i="42385"/>
  <c r="CQ1543" i="42385" s="1"/>
  <c r="V1535" i="42385"/>
  <c r="CP1535" i="42385" s="1"/>
  <c r="BP1489" i="42385"/>
  <c r="BA1373" i="42385"/>
  <c r="CV1373" i="42385"/>
  <c r="BE1359" i="42385"/>
  <c r="BD1364" i="42385"/>
  <c r="F1366" i="42385"/>
  <c r="AK1351" i="42385"/>
  <c r="CS1349" i="42385"/>
  <c r="CO1349" i="42385"/>
  <c r="Q1351" i="42385"/>
  <c r="CO1351" i="42385" s="1"/>
  <c r="AC1319" i="42385"/>
  <c r="AB1326" i="42385"/>
  <c r="F1287" i="42385"/>
  <c r="E117" i="42385"/>
  <c r="BN1284" i="42385"/>
  <c r="BL110" i="42385"/>
  <c r="AS1284" i="42385"/>
  <c r="AR110" i="42385"/>
  <c r="DB1192" i="42385"/>
  <c r="CO914" i="42385"/>
  <c r="P33" i="42443"/>
  <c r="P34" i="42443" s="1"/>
  <c r="AF1139" i="42385"/>
  <c r="CR1139" i="42385" s="1"/>
  <c r="CR877" i="42385"/>
  <c r="D879" i="42385"/>
  <c r="E879" i="42385"/>
  <c r="E880" i="42385" s="1"/>
  <c r="Q857" i="42385"/>
  <c r="CO857" i="42385" s="1"/>
  <c r="Q869" i="42385"/>
  <c r="CO869" i="42385" s="1"/>
  <c r="CO858" i="42385"/>
  <c r="V859" i="42385"/>
  <c r="CP859" i="42385" s="1"/>
  <c r="BE1235" i="42385"/>
  <c r="AW1623" i="42385"/>
  <c r="AM1617" i="42385"/>
  <c r="W1577" i="42385"/>
  <c r="S1577" i="42385"/>
  <c r="AY1557" i="42385"/>
  <c r="I1554" i="42385"/>
  <c r="L1554" i="42385" s="1"/>
  <c r="CN1554" i="42385" s="1"/>
  <c r="L1542" i="42385"/>
  <c r="CN1542" i="42385" s="1"/>
  <c r="AP1541" i="42385"/>
  <c r="CT1541" i="42385" s="1"/>
  <c r="G1541" i="42385"/>
  <c r="CM1541" i="42385" s="1"/>
  <c r="Q1536" i="42385"/>
  <c r="CO1536" i="42385" s="1"/>
  <c r="AF1533" i="42385"/>
  <c r="CR1533" i="42385" s="1"/>
  <c r="Q1533" i="42385"/>
  <c r="CO1533" i="42385" s="1"/>
  <c r="AK1530" i="42385"/>
  <c r="CS1530" i="42385" s="1"/>
  <c r="L1528" i="42385"/>
  <c r="CN1528" i="42385" s="1"/>
  <c r="AP1503" i="42385"/>
  <c r="CT1503" i="42385" s="1"/>
  <c r="BJ1500" i="42385"/>
  <c r="AZ1468" i="42385"/>
  <c r="V1454" i="42385"/>
  <c r="CP1454" i="42385" s="1"/>
  <c r="CW1442" i="42385"/>
  <c r="AD202" i="42385"/>
  <c r="AD207" i="42385" s="1"/>
  <c r="O202" i="42385"/>
  <c r="K202" i="42385"/>
  <c r="O1424" i="42385"/>
  <c r="J1424" i="42385"/>
  <c r="AY1364" i="42385"/>
  <c r="X1366" i="42385"/>
  <c r="S1366" i="42385"/>
  <c r="T201" i="42385" s="1"/>
  <c r="T206" i="42385" s="1"/>
  <c r="F40" i="42443"/>
  <c r="F42" i="42443" s="1"/>
  <c r="CM1010" i="42385"/>
  <c r="AS995" i="42385"/>
  <c r="AP151" i="42400"/>
  <c r="CT979" i="42385"/>
  <c r="CS951" i="42385"/>
  <c r="AK952" i="42385"/>
  <c r="CS952" i="42385" s="1"/>
  <c r="CN945" i="42385"/>
  <c r="L946" i="42385"/>
  <c r="CN946" i="42385" s="1"/>
  <c r="BT824" i="42385"/>
  <c r="BS83" i="42400"/>
  <c r="BS97" i="42400" s="1"/>
  <c r="BQ1623" i="42385"/>
  <c r="AM1614" i="42385"/>
  <c r="BE1524" i="42385"/>
  <c r="CW1524" i="42385" s="1"/>
  <c r="L1524" i="42385"/>
  <c r="CN1524" i="42385" s="1"/>
  <c r="G1486" i="42385"/>
  <c r="CM1486" i="42385" s="1"/>
  <c r="AA1484" i="42385"/>
  <c r="CQ1484" i="42385" s="1"/>
  <c r="G1479" i="42385"/>
  <c r="CM1479" i="42385" s="1"/>
  <c r="L1473" i="42385"/>
  <c r="CN1473" i="42385" s="1"/>
  <c r="BE1451" i="42385"/>
  <c r="CW1451" i="42385" s="1"/>
  <c r="AE1411" i="42385"/>
  <c r="AE1424" i="42385" s="1"/>
  <c r="BA1398" i="42385"/>
  <c r="BB1398" i="42385" s="1"/>
  <c r="BC1398" i="42385" s="1"/>
  <c r="BD1398" i="42385" s="1"/>
  <c r="BE1398" i="42385" s="1"/>
  <c r="CZ1313" i="42385"/>
  <c r="BT111" i="42385"/>
  <c r="CZ111" i="42385" s="1"/>
  <c r="G1012" i="42385"/>
  <c r="CM1012" i="42385" s="1"/>
  <c r="BD241" i="42385"/>
  <c r="BD828" i="42385"/>
  <c r="BQ1617" i="42385"/>
  <c r="J1617" i="42385"/>
  <c r="AV1577" i="42385"/>
  <c r="D1567" i="42385"/>
  <c r="CS1556" i="42385"/>
  <c r="BQ1557" i="42385"/>
  <c r="BB1557" i="42385"/>
  <c r="BJ1542" i="42385"/>
  <c r="CX1542" i="42385" s="1"/>
  <c r="AK1540" i="42385"/>
  <c r="CS1540" i="42385" s="1"/>
  <c r="Q1538" i="42385"/>
  <c r="CO1538" i="42385" s="1"/>
  <c r="BY1534" i="42385"/>
  <c r="DA1534" i="42385" s="1"/>
  <c r="BE1534" i="42385"/>
  <c r="CW1534" i="42385" s="1"/>
  <c r="AA1534" i="42385"/>
  <c r="CQ1534" i="42385" s="1"/>
  <c r="V1532" i="42385"/>
  <c r="CP1532" i="42385" s="1"/>
  <c r="Q1532" i="42385"/>
  <c r="CO1532" i="42385" s="1"/>
  <c r="AA1531" i="42385"/>
  <c r="CQ1531" i="42385" s="1"/>
  <c r="Q1528" i="42385"/>
  <c r="CO1528" i="42385" s="1"/>
  <c r="G1480" i="42385"/>
  <c r="CM1480" i="42385" s="1"/>
  <c r="G1472" i="42385"/>
  <c r="CM1472" i="42385" s="1"/>
  <c r="BE1464" i="42385"/>
  <c r="BE1459" i="42385"/>
  <c r="AK1453" i="42385"/>
  <c r="CS1453" i="42385" s="1"/>
  <c r="J202" i="42385"/>
  <c r="CS1416" i="42385"/>
  <c r="CV1386" i="42385"/>
  <c r="AG1373" i="42385"/>
  <c r="CR1373" i="42385"/>
  <c r="CQ1348" i="42385"/>
  <c r="AA1351" i="42385"/>
  <c r="Q1346" i="42385"/>
  <c r="AA1314" i="42385"/>
  <c r="CQ1314" i="42385" s="1"/>
  <c r="D48" i="42465"/>
  <c r="CT1311" i="42385"/>
  <c r="BH1308" i="42385"/>
  <c r="BI1308" i="42385" s="1"/>
  <c r="CT855" i="42385"/>
  <c r="AU856" i="42385"/>
  <c r="CU856" i="42385" s="1"/>
  <c r="AP59" i="42400"/>
  <c r="AP856" i="42385"/>
  <c r="CT856" i="42385" s="1"/>
  <c r="L856" i="42385"/>
  <c r="CN856" i="42385" s="1"/>
  <c r="CN855" i="42385"/>
  <c r="P1424" i="42385"/>
  <c r="P1426" i="42385" s="1"/>
  <c r="BA1379" i="42385"/>
  <c r="BI1364" i="42385"/>
  <c r="AT1364" i="42385"/>
  <c r="BI1351" i="42385"/>
  <c r="F1319" i="42385"/>
  <c r="BP1314" i="42385"/>
  <c r="L1314" i="42385"/>
  <c r="CN1314" i="42385" s="1"/>
  <c r="BK1228" i="42385"/>
  <c r="BO1228" i="42385" s="1"/>
  <c r="BK160" i="42385"/>
  <c r="CO1088" i="42385"/>
  <c r="Q1099" i="42385"/>
  <c r="CO1099" i="42385" s="1"/>
  <c r="V966" i="42385"/>
  <c r="CP966" i="42385" s="1"/>
  <c r="G904" i="42385"/>
  <c r="CM904" i="42385" s="1"/>
  <c r="CM903" i="42385"/>
  <c r="Q838" i="42385"/>
  <c r="CO838" i="42385" s="1"/>
  <c r="CO837" i="42385"/>
  <c r="CO790" i="42385"/>
  <c r="Q791" i="42385"/>
  <c r="CO791" i="42385" s="1"/>
  <c r="BI667" i="42385"/>
  <c r="BD701" i="42385"/>
  <c r="BI701" i="42385" s="1"/>
  <c r="CQ631" i="42385"/>
  <c r="AA632" i="42385"/>
  <c r="CQ632" i="42385" s="1"/>
  <c r="AW50" i="42418"/>
  <c r="AF619" i="42385"/>
  <c r="CR619" i="42385" s="1"/>
  <c r="CZ362" i="42385"/>
  <c r="Z1366" i="42385"/>
  <c r="AB1346" i="42385"/>
  <c r="AB1366" i="42385" s="1"/>
  <c r="AC201" i="42385" s="1"/>
  <c r="BB1300" i="42385"/>
  <c r="BA115" i="42385"/>
  <c r="BN1292" i="42385"/>
  <c r="BO1292" i="42385" s="1"/>
  <c r="CY1292" i="42385" s="1"/>
  <c r="BN1291" i="42385"/>
  <c r="BB110" i="42385"/>
  <c r="BC1284" i="42385"/>
  <c r="BP1197" i="42385"/>
  <c r="BP1200" i="42385" s="1"/>
  <c r="BQ1190" i="42385"/>
  <c r="N1116" i="42385"/>
  <c r="N312" i="42385"/>
  <c r="S1116" i="42385"/>
  <c r="AV1114" i="42385"/>
  <c r="AZ1114" i="42385" s="1"/>
  <c r="CV1114" i="42385" s="1"/>
  <c r="AU1114" i="42385"/>
  <c r="CU1114" i="42385" s="1"/>
  <c r="CR1088" i="42385"/>
  <c r="AF1096" i="42385"/>
  <c r="CR1096" i="42385" s="1"/>
  <c r="BD981" i="42385"/>
  <c r="AY982" i="42385"/>
  <c r="AS981" i="42385"/>
  <c r="AR982" i="42385"/>
  <c r="BJ152" i="42400"/>
  <c r="BJ167" i="42400" s="1"/>
  <c r="BO977" i="42385"/>
  <c r="CY977" i="42385" s="1"/>
  <c r="AF935" i="42385"/>
  <c r="CR935" i="42385" s="1"/>
  <c r="CR934" i="42385"/>
  <c r="AU918" i="42385"/>
  <c r="CU918" i="42385" s="1"/>
  <c r="CU917" i="42385"/>
  <c r="CO909" i="42385"/>
  <c r="Q1140" i="42385"/>
  <c r="CO1140" i="42385" s="1"/>
  <c r="CN908" i="42385"/>
  <c r="L1139" i="42385"/>
  <c r="CN1139" i="42385" s="1"/>
  <c r="BV275" i="42400"/>
  <c r="BV888" i="42385"/>
  <c r="BV889" i="42385" s="1"/>
  <c r="CN883" i="42385"/>
  <c r="L884" i="42385"/>
  <c r="CN884" i="42385" s="1"/>
  <c r="BK859" i="42385"/>
  <c r="BO853" i="42385"/>
  <c r="CY853" i="42385" s="1"/>
  <c r="CY852" i="42385"/>
  <c r="BO60" i="42400"/>
  <c r="BO73" i="42400" s="1"/>
  <c r="G826" i="42385"/>
  <c r="CM826" i="42385" s="1"/>
  <c r="CM824" i="42385"/>
  <c r="P25" i="42443"/>
  <c r="P26" i="42443" s="1"/>
  <c r="CO821" i="42385"/>
  <c r="CM793" i="42385"/>
  <c r="L794" i="42385"/>
  <c r="CN794" i="42385" s="1"/>
  <c r="F16" i="42443"/>
  <c r="G762" i="42385"/>
  <c r="AA693" i="42385"/>
  <c r="AA695" i="42385" s="1"/>
  <c r="AA696" i="42385" s="1"/>
  <c r="AP1351" i="42385"/>
  <c r="BO1197" i="42385"/>
  <c r="BN1200" i="42385"/>
  <c r="AG1116" i="42385"/>
  <c r="AG312" i="42385"/>
  <c r="AH256" i="42385"/>
  <c r="AH1108" i="42385"/>
  <c r="AM1108" i="42385"/>
  <c r="CM1088" i="42385"/>
  <c r="G1099" i="42385"/>
  <c r="CM1099" i="42385" s="1"/>
  <c r="CP1023" i="42385"/>
  <c r="V1024" i="42385"/>
  <c r="CP1024" i="42385" s="1"/>
  <c r="AA1026" i="42385"/>
  <c r="CQ1026" i="42385" s="1"/>
  <c r="AP1008" i="42385"/>
  <c r="CT1008" i="42385" s="1"/>
  <c r="AP188" i="42400"/>
  <c r="AP192" i="42400" s="1"/>
  <c r="AK962" i="42385"/>
  <c r="CS962" i="42385" s="1"/>
  <c r="CX917" i="42385"/>
  <c r="BJ918" i="42385"/>
  <c r="CX918" i="42385" s="1"/>
  <c r="BW131" i="42400"/>
  <c r="BW146" i="42400" s="1"/>
  <c r="BW915" i="42385"/>
  <c r="AA897" i="42385"/>
  <c r="CQ897" i="42385" s="1"/>
  <c r="AW8" i="42418"/>
  <c r="AF890" i="42385"/>
  <c r="CR890" i="42385" s="1"/>
  <c r="CQ886" i="42385"/>
  <c r="AF887" i="42385"/>
  <c r="CR887" i="42385" s="1"/>
  <c r="CU883" i="42385"/>
  <c r="AU276" i="42400"/>
  <c r="AU296" i="42400" s="1"/>
  <c r="AF853" i="42385"/>
  <c r="CR853" i="42385" s="1"/>
  <c r="CQ852" i="42385"/>
  <c r="Z49" i="42443"/>
  <c r="AA853" i="42385"/>
  <c r="CQ853" i="42385" s="1"/>
  <c r="V828" i="42385"/>
  <c r="CP828" i="42385" s="1"/>
  <c r="Q826" i="42385"/>
  <c r="CO826" i="42385" s="1"/>
  <c r="AS240" i="42385"/>
  <c r="AS797" i="42385"/>
  <c r="AK797" i="42385"/>
  <c r="CS797" i="42385" s="1"/>
  <c r="CS796" i="42385"/>
  <c r="CN774" i="42385"/>
  <c r="L776" i="42385"/>
  <c r="CN776" i="42385" s="1"/>
  <c r="F746" i="42385"/>
  <c r="S715" i="42385"/>
  <c r="N714" i="42385"/>
  <c r="N715" i="42385"/>
  <c r="AV710" i="42385"/>
  <c r="AQ717" i="42385"/>
  <c r="AQ284" i="42385" s="1"/>
  <c r="AQ1164" i="42385"/>
  <c r="AZ1154" i="42385"/>
  <c r="CV1154" i="42385" s="1"/>
  <c r="U1108" i="42385"/>
  <c r="E1084" i="42385"/>
  <c r="AZ977" i="42385"/>
  <c r="CV977" i="42385" s="1"/>
  <c r="AA950" i="42385"/>
  <c r="CQ950" i="42385" s="1"/>
  <c r="BO920" i="42385"/>
  <c r="V919" i="42385"/>
  <c r="CP919" i="42385" s="1"/>
  <c r="BF921" i="42385"/>
  <c r="F900" i="42385"/>
  <c r="CU852" i="42385"/>
  <c r="F848" i="42385"/>
  <c r="F849" i="42385" s="1"/>
  <c r="E848" i="42385"/>
  <c r="CQ841" i="42385"/>
  <c r="AF826" i="42385"/>
  <c r="CR826" i="42385" s="1"/>
  <c r="AA795" i="42385"/>
  <c r="CQ795" i="42385" s="1"/>
  <c r="CQ796" i="42385"/>
  <c r="L757" i="42385"/>
  <c r="CN757" i="42385" s="1"/>
  <c r="L756" i="42385"/>
  <c r="CN756" i="42385" s="1"/>
  <c r="AL715" i="42385"/>
  <c r="J714" i="42385"/>
  <c r="O715" i="42385"/>
  <c r="AJ701" i="42385"/>
  <c r="BG677" i="42385"/>
  <c r="BH677" i="42385" s="1"/>
  <c r="BG675" i="42385"/>
  <c r="BP664" i="42385"/>
  <c r="BK673" i="42385"/>
  <c r="BD673" i="42385"/>
  <c r="BT1283" i="42385"/>
  <c r="CZ1283" i="42385" s="1"/>
  <c r="BE1228" i="42385"/>
  <c r="BT1215" i="42385"/>
  <c r="O1116" i="42385"/>
  <c r="AR1088" i="42385"/>
  <c r="L1021" i="42385"/>
  <c r="CN1021" i="42385" s="1"/>
  <c r="G1020" i="42385"/>
  <c r="CM1020" i="42385" s="1"/>
  <c r="P40" i="42443"/>
  <c r="P42" i="42443" s="1"/>
  <c r="U43" i="42443" s="1"/>
  <c r="L959" i="42385"/>
  <c r="CN959" i="42385" s="1"/>
  <c r="Q928" i="42385"/>
  <c r="CO928" i="42385" s="1"/>
  <c r="CP914" i="42385"/>
  <c r="AK904" i="42385"/>
  <c r="CS904" i="42385" s="1"/>
  <c r="AF902" i="42385"/>
  <c r="CR902" i="42385" s="1"/>
  <c r="AF900" i="42385"/>
  <c r="CR900" i="42385" s="1"/>
  <c r="L900" i="42385"/>
  <c r="CN900" i="42385" s="1"/>
  <c r="CM841" i="42385"/>
  <c r="AA835" i="42385"/>
  <c r="CQ835" i="42385" s="1"/>
  <c r="CV793" i="42385"/>
  <c r="AZ794" i="42385"/>
  <c r="CV794" i="42385" s="1"/>
  <c r="AN759" i="42385"/>
  <c r="AO758" i="42385"/>
  <c r="AP758" i="42385" s="1"/>
  <c r="CP758" i="42385"/>
  <c r="V759" i="42385"/>
  <c r="CP759" i="42385" s="1"/>
  <c r="G751" i="42385"/>
  <c r="G752" i="42385" s="1"/>
  <c r="CM752" i="42385" s="1"/>
  <c r="D752" i="42385"/>
  <c r="Z715" i="42385"/>
  <c r="Z714" i="42385"/>
  <c r="AZ677" i="42385"/>
  <c r="AZ675" i="42385"/>
  <c r="AU677" i="42385"/>
  <c r="AU675" i="42385"/>
  <c r="AA656" i="42385"/>
  <c r="AA657" i="42385" s="1"/>
  <c r="V656" i="42385"/>
  <c r="V657" i="42385" s="1"/>
  <c r="CP628" i="42385"/>
  <c r="V629" i="42385"/>
  <c r="CP629" i="42385" s="1"/>
  <c r="AA630" i="42385"/>
  <c r="CQ630" i="42385" s="1"/>
  <c r="BY1283" i="42385"/>
  <c r="DA1283" i="42385" s="1"/>
  <c r="AU1169" i="42385"/>
  <c r="AH1116" i="42385"/>
  <c r="AI1108" i="42385"/>
  <c r="U256" i="42385"/>
  <c r="BH921" i="42385"/>
  <c r="L888" i="42385"/>
  <c r="CN888" i="42385" s="1"/>
  <c r="AK873" i="42385"/>
  <c r="CS873" i="42385" s="1"/>
  <c r="L866" i="42385"/>
  <c r="CN866" i="42385" s="1"/>
  <c r="BG240" i="42385"/>
  <c r="BG797" i="42385"/>
  <c r="BU34" i="42400"/>
  <c r="BU49" i="42400" s="1"/>
  <c r="AU34" i="42400"/>
  <c r="AU49" i="42400" s="1"/>
  <c r="AU791" i="42385"/>
  <c r="CU791" i="42385" s="1"/>
  <c r="CP767" i="42385"/>
  <c r="AJ752" i="42385"/>
  <c r="AO751" i="42385"/>
  <c r="AA749" i="42385"/>
  <c r="CQ749" i="42385" s="1"/>
  <c r="AA756" i="42385"/>
  <c r="CQ756" i="42385" s="1"/>
  <c r="G759" i="42385"/>
  <c r="CM759" i="42385" s="1"/>
  <c r="CM748" i="42385"/>
  <c r="G756" i="42385"/>
  <c r="CM756" i="42385" s="1"/>
  <c r="CQ720" i="42385"/>
  <c r="AA721" i="42385"/>
  <c r="CQ721" i="42385" s="1"/>
  <c r="CO717" i="42385"/>
  <c r="Q719" i="42385"/>
  <c r="CO719" i="42385" s="1"/>
  <c r="Q718" i="42385"/>
  <c r="CO718" i="42385" s="1"/>
  <c r="AO662" i="42385"/>
  <c r="AO699" i="42385"/>
  <c r="AM648" i="42385"/>
  <c r="AM643" i="42385"/>
  <c r="CP810" i="42385"/>
  <c r="AX797" i="42385"/>
  <c r="AA768" i="42385"/>
  <c r="CQ768" i="42385" s="1"/>
  <c r="J753" i="42385"/>
  <c r="AE715" i="42385"/>
  <c r="BD700" i="42385"/>
  <c r="BI700" i="42385" s="1"/>
  <c r="AO668" i="42385"/>
  <c r="K25" i="42443"/>
  <c r="K26" i="42443" s="1"/>
  <c r="E817" i="42385"/>
  <c r="G804" i="42385"/>
  <c r="CM804" i="42385" s="1"/>
  <c r="AQ797" i="42385"/>
  <c r="L797" i="42385"/>
  <c r="CN797" i="42385" s="1"/>
  <c r="CN793" i="42385"/>
  <c r="L791" i="42385"/>
  <c r="CN791" i="42385" s="1"/>
  <c r="CP790" i="42385"/>
  <c r="V778" i="42385"/>
  <c r="CP778" i="42385" s="1"/>
  <c r="AF776" i="42385"/>
  <c r="CR776" i="42385" s="1"/>
  <c r="CQ774" i="42385"/>
  <c r="AD753" i="42385"/>
  <c r="AI715" i="42385"/>
  <c r="BL680" i="42385"/>
  <c r="BA693" i="42385"/>
  <c r="BA695" i="42385" s="1"/>
  <c r="BA696" i="42385" s="1"/>
  <c r="AG693" i="42385"/>
  <c r="AG695" i="42385" s="1"/>
  <c r="AG696" i="42385" s="1"/>
  <c r="BW503" i="42385"/>
  <c r="G795" i="42385"/>
  <c r="CM795" i="42385" s="1"/>
  <c r="H715" i="42385"/>
  <c r="AF629" i="42385"/>
  <c r="CR629" i="42385" s="1"/>
  <c r="AA619" i="42385"/>
  <c r="CQ619" i="42385" s="1"/>
  <c r="CP618" i="42385"/>
  <c r="BC540" i="42385"/>
  <c r="V400" i="42385"/>
  <c r="CP400" i="42385" s="1"/>
  <c r="BW401" i="42385"/>
  <c r="L353" i="42385"/>
  <c r="CN353" i="42385" s="1"/>
  <c r="BK342" i="42385"/>
  <c r="AF340" i="42385"/>
  <c r="D344" i="42385"/>
  <c r="BW248" i="42385"/>
  <c r="BU302" i="42385"/>
  <c r="E305" i="42385"/>
  <c r="AA298" i="42385"/>
  <c r="CQ298" i="42385" s="1"/>
  <c r="Q286" i="42385"/>
  <c r="CO286" i="42385" s="1"/>
  <c r="Q266" i="42385"/>
  <c r="L254" i="42385"/>
  <c r="V247" i="42385"/>
  <c r="V245" i="42385"/>
  <c r="AQ590" i="42385"/>
  <c r="BF460" i="42385"/>
  <c r="BH430" i="42385"/>
  <c r="AA395" i="42385"/>
  <c r="CQ395" i="42385" s="1"/>
  <c r="CM356" i="42385"/>
  <c r="AK350" i="42385"/>
  <c r="CS350" i="42385" s="1"/>
  <c r="Y344" i="42385"/>
  <c r="E344" i="42385"/>
  <c r="E345" i="42385" s="1"/>
  <c r="CM336" i="42385"/>
  <c r="AD337" i="42385"/>
  <c r="Z337" i="42385"/>
  <c r="AF301" i="42385"/>
  <c r="CR301" i="42385" s="1"/>
  <c r="X305" i="42385"/>
  <c r="AI290" i="42385"/>
  <c r="D277" i="42385"/>
  <c r="T277" i="42385"/>
  <c r="O277" i="42385"/>
  <c r="Q268" i="42385"/>
  <c r="CO268" i="42385" s="1"/>
  <c r="Y113" i="42385"/>
  <c r="Y130" i="42385"/>
  <c r="BJ436" i="42385"/>
  <c r="Q413" i="42385"/>
  <c r="CO413" i="42385" s="1"/>
  <c r="BP341" i="42385"/>
  <c r="AK336" i="42385"/>
  <c r="I305" i="42385"/>
  <c r="D305" i="42385"/>
  <c r="V286" i="42385"/>
  <c r="CP286" i="42385" s="1"/>
  <c r="AJ290" i="42385"/>
  <c r="AB290" i="42385"/>
  <c r="W290" i="42385"/>
  <c r="P277" i="42385"/>
  <c r="Q254" i="42385"/>
  <c r="CO254" i="42385" s="1"/>
  <c r="Q247" i="42385"/>
  <c r="CO247" i="42385" s="1"/>
  <c r="AF245" i="42385"/>
  <c r="BQ531" i="42385"/>
  <c r="AQ399" i="42385"/>
  <c r="AK398" i="42385"/>
  <c r="BT368" i="42385"/>
  <c r="CZ368" i="42385" s="1"/>
  <c r="AP368" i="42385"/>
  <c r="CT368" i="42385" s="1"/>
  <c r="L355" i="42385"/>
  <c r="CN355" i="42385" s="1"/>
  <c r="K344" i="42385"/>
  <c r="CV334" i="42385"/>
  <c r="BO310" i="42385"/>
  <c r="CY310" i="42385" s="1"/>
  <c r="BO298" i="42385"/>
  <c r="Q297" i="42385"/>
  <c r="CO297" i="42385" s="1"/>
  <c r="AB305" i="42385"/>
  <c r="AF268" i="42385"/>
  <c r="AF277" i="42385" s="1"/>
  <c r="L268" i="42385"/>
  <c r="CN268" i="42385" s="1"/>
  <c r="M277" i="42385"/>
  <c r="BO245" i="42385"/>
  <c r="CY245" i="42385" s="1"/>
  <c r="BJ245" i="42385"/>
  <c r="CX245" i="42385" s="1"/>
  <c r="AP231" i="42385"/>
  <c r="CT231" i="42385" s="1"/>
  <c r="BO227" i="42385"/>
  <c r="CY227" i="42385" s="1"/>
  <c r="S129" i="42385"/>
  <c r="T127" i="42385"/>
  <c r="T130" i="42385" s="1"/>
  <c r="V110" i="42385"/>
  <c r="CP110" i="42385" s="1"/>
  <c r="CV78" i="42385"/>
  <c r="AA71" i="42385"/>
  <c r="CQ71" i="42385" s="1"/>
  <c r="AT53" i="42385"/>
  <c r="AO53" i="42385"/>
  <c r="AZ48" i="42385"/>
  <c r="BJ29" i="42385"/>
  <c r="BJ1069" i="42385"/>
  <c r="BJ1070" i="42385" s="1"/>
  <c r="BT1039" i="42385"/>
  <c r="BT1056" i="42385" s="1"/>
  <c r="V221" i="42385"/>
  <c r="CP221" i="42385" s="1"/>
  <c r="BC131" i="42385"/>
  <c r="AV131" i="42385"/>
  <c r="AF111" i="42385"/>
  <c r="CR111" i="42385" s="1"/>
  <c r="AK109" i="42385"/>
  <c r="CS109" i="42385" s="1"/>
  <c r="L109" i="42385"/>
  <c r="CN109" i="42385" s="1"/>
  <c r="Q107" i="42385"/>
  <c r="CO107" i="42385" s="1"/>
  <c r="CS78" i="42385"/>
  <c r="BJ63" i="42385"/>
  <c r="BT1043" i="42385"/>
  <c r="BT1060" i="42385" s="1"/>
  <c r="V241" i="42385"/>
  <c r="V240" i="42385"/>
  <c r="G240" i="42385"/>
  <c r="G236" i="42385"/>
  <c r="CM236" i="42385" s="1"/>
  <c r="V108" i="42385"/>
  <c r="CP108" i="42385" s="1"/>
  <c r="V107" i="42385"/>
  <c r="CP107" i="42385" s="1"/>
  <c r="L107" i="42385"/>
  <c r="CN107" i="42385" s="1"/>
  <c r="AZ73" i="42385"/>
  <c r="G237" i="42385"/>
  <c r="CM237" i="42385" s="1"/>
  <c r="V234" i="42385"/>
  <c r="Q230" i="42385"/>
  <c r="CO230" i="42385" s="1"/>
  <c r="Q221" i="42385"/>
  <c r="CO221" i="42385" s="1"/>
  <c r="AQ133" i="42385"/>
  <c r="S130" i="42385"/>
  <c r="D130" i="42385"/>
  <c r="I129" i="42385"/>
  <c r="BB27" i="42385"/>
  <c r="BR1070" i="42385"/>
  <c r="BN1070" i="42385"/>
  <c r="AC280" i="42400"/>
  <c r="AB280" i="42400"/>
  <c r="AD280" i="42400"/>
  <c r="E958" i="42385"/>
  <c r="E954" i="42385"/>
  <c r="E963" i="42385"/>
  <c r="CX1186" i="42385"/>
  <c r="BU222" i="42400"/>
  <c r="BW222" i="42400"/>
  <c r="W279" i="42400"/>
  <c r="BP231" i="42400"/>
  <c r="BR231" i="42400"/>
  <c r="BS231" i="42400"/>
  <c r="BQ231" i="42400"/>
  <c r="BQ233" i="42400" s="1"/>
  <c r="BT288" i="42400"/>
  <c r="BT292" i="42400"/>
  <c r="BT282" i="42400"/>
  <c r="M175" i="42385"/>
  <c r="N175" i="42385" s="1"/>
  <c r="O175" i="42385" s="1"/>
  <c r="P175" i="42385" s="1"/>
  <c r="Q175" i="42385" s="1"/>
  <c r="AE1016" i="42385"/>
  <c r="AE1017" i="42385" s="1"/>
  <c r="N43" i="42443"/>
  <c r="I43" i="42443"/>
  <c r="BT289" i="42400"/>
  <c r="BP289" i="42400" s="1"/>
  <c r="BT280" i="42400"/>
  <c r="AE1025" i="42385"/>
  <c r="BT291" i="42400"/>
  <c r="BT279" i="42400"/>
  <c r="AE35" i="42443"/>
  <c r="AD1025" i="42385"/>
  <c r="AD1020" i="42385"/>
  <c r="J51" i="42443"/>
  <c r="BT1186" i="42385"/>
  <c r="BN1186" i="42385"/>
  <c r="CY1186" i="42385"/>
  <c r="BC134" i="42400"/>
  <c r="BD134" i="42400"/>
  <c r="BB134" i="42400"/>
  <c r="BA134" i="42400"/>
  <c r="AB40" i="42400"/>
  <c r="P865" i="42385"/>
  <c r="P861" i="42385"/>
  <c r="P870" i="42385"/>
  <c r="N861" i="42385"/>
  <c r="N865" i="42385"/>
  <c r="N870" i="42385"/>
  <c r="H179" i="42385"/>
  <c r="I179" i="42385" s="1"/>
  <c r="J179" i="42385" s="1"/>
  <c r="K179" i="42385" s="1"/>
  <c r="L179" i="42385" s="1"/>
  <c r="CM179" i="42385"/>
  <c r="BB92" i="42400"/>
  <c r="CM172" i="42385"/>
  <c r="H172" i="42385"/>
  <c r="I172" i="42385" s="1"/>
  <c r="J172" i="42385" s="1"/>
  <c r="K172" i="42385" s="1"/>
  <c r="L172" i="42385" s="1"/>
  <c r="M172" i="42385" s="1"/>
  <c r="N172" i="42385" s="1"/>
  <c r="O172" i="42385" s="1"/>
  <c r="P172" i="42385" s="1"/>
  <c r="Q172" i="42385" s="1"/>
  <c r="BD290" i="42400"/>
  <c r="BA290" i="42400"/>
  <c r="BC290" i="42400"/>
  <c r="I28" i="42412"/>
  <c r="CP187" i="42385"/>
  <c r="W187" i="42385"/>
  <c r="X187" i="42385" s="1"/>
  <c r="Y187" i="42385" s="1"/>
  <c r="Z187" i="42385" s="1"/>
  <c r="AA187" i="42385" s="1"/>
  <c r="AC1020" i="42385"/>
  <c r="AC1016" i="42385"/>
  <c r="AC1025" i="42385"/>
  <c r="AJ1025" i="42385"/>
  <c r="AJ1020" i="42385"/>
  <c r="AJ1016" i="42385"/>
  <c r="AH1025" i="42385"/>
  <c r="AH1016" i="42385"/>
  <c r="AH1020" i="42385"/>
  <c r="AM1020" i="42385"/>
  <c r="AM1025" i="42385"/>
  <c r="AM1016" i="42385"/>
  <c r="Q66" i="42443"/>
  <c r="AD1016" i="42385"/>
  <c r="BT37" i="42400"/>
  <c r="BS37" i="42400" s="1"/>
  <c r="BT41" i="42400"/>
  <c r="BR41" i="42400" s="1"/>
  <c r="BE158" i="42385"/>
  <c r="CN173" i="42385"/>
  <c r="M173" i="42385"/>
  <c r="N173" i="42385" s="1"/>
  <c r="O173" i="42385" s="1"/>
  <c r="P173" i="42385" s="1"/>
  <c r="Q173" i="42385" s="1"/>
  <c r="BW1046" i="42385"/>
  <c r="BW1066" i="42385" s="1"/>
  <c r="BY1039" i="42385"/>
  <c r="BZ1039" i="42385" s="1"/>
  <c r="CA1039" i="42385" s="1"/>
  <c r="BY1043" i="42385"/>
  <c r="BZ1043" i="42385" s="1"/>
  <c r="CA1043" i="42385" s="1"/>
  <c r="BX194" i="42400"/>
  <c r="BP194" i="42400"/>
  <c r="BV1046" i="42385"/>
  <c r="BY1034" i="42385"/>
  <c r="BZ1034" i="42385" s="1"/>
  <c r="CA1034" i="42385" s="1"/>
  <c r="BT1037" i="42385"/>
  <c r="BT1033" i="42385"/>
  <c r="BT1050" i="42385" s="1"/>
  <c r="BT1035" i="42385"/>
  <c r="BT1052" i="42385" s="1"/>
  <c r="BY1042" i="42385"/>
  <c r="BZ1042" i="42385" s="1"/>
  <c r="BT1041" i="42385"/>
  <c r="BT1058" i="42385" s="1"/>
  <c r="DA361" i="42385"/>
  <c r="BR543" i="42385"/>
  <c r="BR272" i="42385"/>
  <c r="CW1292" i="42385"/>
  <c r="G44" i="42465"/>
  <c r="BF1120" i="42385"/>
  <c r="BE1120" i="42385"/>
  <c r="CW1120" i="42385" s="1"/>
  <c r="CN127" i="42385"/>
  <c r="L113" i="42385"/>
  <c r="CN113" i="42385" s="1"/>
  <c r="CT237" i="42385"/>
  <c r="BP56" i="42385"/>
  <c r="N35" i="42443"/>
  <c r="BN222" i="42400"/>
  <c r="BM222" i="42400"/>
  <c r="BM226" i="42400" s="1"/>
  <c r="BR133" i="42385"/>
  <c r="BV341" i="42385"/>
  <c r="AZ1020" i="42385"/>
  <c r="CV1020" i="42385" s="1"/>
  <c r="CV1019" i="42385"/>
  <c r="AG27" i="42443"/>
  <c r="BN223" i="42400"/>
  <c r="BL223" i="42400"/>
  <c r="CM180" i="42385"/>
  <c r="H180" i="42385"/>
  <c r="V139" i="42385"/>
  <c r="AF1324" i="42385"/>
  <c r="CR1324" i="42385" s="1"/>
  <c r="BN401" i="42385"/>
  <c r="AC1563" i="42385"/>
  <c r="AC1593" i="42385" s="1"/>
  <c r="AC1402" i="42385"/>
  <c r="BT34" i="42400"/>
  <c r="BT49" i="42400" s="1"/>
  <c r="BH269" i="42385"/>
  <c r="BH471" i="42385"/>
  <c r="BH470" i="42385"/>
  <c r="BR42" i="42385"/>
  <c r="BR41" i="42385"/>
  <c r="AX470" i="42385"/>
  <c r="AX269" i="42385"/>
  <c r="BT686" i="42385"/>
  <c r="BU686" i="42385"/>
  <c r="BN543" i="42385"/>
  <c r="BN547" i="42385"/>
  <c r="BN272" i="42385"/>
  <c r="AS244" i="42385"/>
  <c r="AS921" i="42385"/>
  <c r="AT223" i="42385"/>
  <c r="AY483" i="42385"/>
  <c r="BR27" i="42385"/>
  <c r="AY1579" i="42385"/>
  <c r="AZ1579" i="42385" s="1"/>
  <c r="CV1579" i="42385" s="1"/>
  <c r="BW241" i="42385"/>
  <c r="DA909" i="42385"/>
  <c r="BZ909" i="42385"/>
  <c r="AV269" i="42385"/>
  <c r="AV470" i="42385"/>
  <c r="CX562" i="42385"/>
  <c r="BJ563" i="42385"/>
  <c r="AP1119" i="42385"/>
  <c r="BA1497" i="42385"/>
  <c r="BB1399" i="42385"/>
  <c r="BB1390" i="42385"/>
  <c r="BB1490" i="42385" s="1"/>
  <c r="BA1490" i="42385"/>
  <c r="BT1388" i="42385"/>
  <c r="BK1590" i="42385"/>
  <c r="CX1590" i="42385"/>
  <c r="AY1497" i="42385"/>
  <c r="AX1497" i="42385"/>
  <c r="AB1402" i="42385"/>
  <c r="AB1563" i="42385"/>
  <c r="AP1319" i="42385"/>
  <c r="AY1498" i="42385"/>
  <c r="AX1498" i="42385"/>
  <c r="BA1491" i="42385"/>
  <c r="BB1391" i="42385"/>
  <c r="BC1491" i="42385" s="1"/>
  <c r="BH1489" i="42385"/>
  <c r="BI1489" i="42385"/>
  <c r="BB1384" i="42385"/>
  <c r="BA1484" i="42385"/>
  <c r="AS1450" i="42385"/>
  <c r="AS1524" i="42385"/>
  <c r="AT1442" i="42385"/>
  <c r="BT1390" i="42385"/>
  <c r="BO1383" i="42385"/>
  <c r="BN1483" i="42385"/>
  <c r="AN1406" i="42385"/>
  <c r="AN1564" i="42385"/>
  <c r="CR1379" i="42385"/>
  <c r="AF1563" i="42385"/>
  <c r="AR1451" i="42385"/>
  <c r="AA1375" i="42385"/>
  <c r="BL1351" i="42385"/>
  <c r="BW857" i="42385"/>
  <c r="BV858" i="42385"/>
  <c r="AL1617" i="42385"/>
  <c r="BF1557" i="42385"/>
  <c r="CM1556" i="42385"/>
  <c r="V63" i="42385"/>
  <c r="CP63" i="42385" s="1"/>
  <c r="T202" i="42385"/>
  <c r="AP1413" i="42385"/>
  <c r="F1511" i="42385"/>
  <c r="AJ1283" i="42385"/>
  <c r="AK1283" i="42385" s="1"/>
  <c r="CS1283" i="42385" s="1"/>
  <c r="BH981" i="42385"/>
  <c r="BC982" i="42385"/>
  <c r="BM1309" i="42385"/>
  <c r="BO1309" i="42385" s="1"/>
  <c r="CY1309" i="42385" s="1"/>
  <c r="BM1306" i="42385"/>
  <c r="AG115" i="42385"/>
  <c r="AT1291" i="42385"/>
  <c r="BN1286" i="42385"/>
  <c r="AI1284" i="42385"/>
  <c r="W1116" i="42385"/>
  <c r="L1107" i="42385"/>
  <c r="CS961" i="42385"/>
  <c r="CV945" i="42385"/>
  <c r="Q873" i="42385"/>
  <c r="CO873" i="42385" s="1"/>
  <c r="BU858" i="42385"/>
  <c r="V857" i="42385"/>
  <c r="CP857" i="42385" s="1"/>
  <c r="BJ857" i="42385"/>
  <c r="CX857" i="42385" s="1"/>
  <c r="CW852" i="42385"/>
  <c r="V842" i="42385"/>
  <c r="CP842" i="42385" s="1"/>
  <c r="V840" i="42385"/>
  <c r="CP840" i="42385" s="1"/>
  <c r="BL828" i="42385"/>
  <c r="BC542" i="42385"/>
  <c r="AX1162" i="42385"/>
  <c r="L1134" i="42385"/>
  <c r="CN1134" i="42385" s="1"/>
  <c r="AC312" i="42385"/>
  <c r="J312" i="42385"/>
  <c r="L312" i="42385" s="1"/>
  <c r="CN312" i="42385" s="1"/>
  <c r="AO1111" i="42385"/>
  <c r="AF1115" i="42385"/>
  <c r="AG256" i="42385"/>
  <c r="AT1093" i="42385"/>
  <c r="AT1091" i="42385" s="1"/>
  <c r="Q964" i="42385"/>
  <c r="CO964" i="42385" s="1"/>
  <c r="CN961" i="42385"/>
  <c r="L949" i="42385"/>
  <c r="CN949" i="42385" s="1"/>
  <c r="CU945" i="42385"/>
  <c r="AU219" i="42400"/>
  <c r="P57" i="42443"/>
  <c r="BL244" i="42385"/>
  <c r="BE915" i="42385"/>
  <c r="CW915" i="42385" s="1"/>
  <c r="CW914" i="42385"/>
  <c r="BU131" i="42400"/>
  <c r="BU146" i="42400" s="1"/>
  <c r="AU822" i="42385"/>
  <c r="CU822" i="42385" s="1"/>
  <c r="AF822" i="42385"/>
  <c r="CR822" i="42385" s="1"/>
  <c r="CU821" i="42385"/>
  <c r="AO240" i="42385"/>
  <c r="AT797" i="42385"/>
  <c r="AO797" i="42385"/>
  <c r="AK276" i="42400"/>
  <c r="AK296" i="42400" s="1"/>
  <c r="CP858" i="42385"/>
  <c r="AO720" i="42385"/>
  <c r="AN721" i="42385"/>
  <c r="CM1319" i="42385"/>
  <c r="AX1159" i="42385"/>
  <c r="BL921" i="42385"/>
  <c r="U772" i="42385"/>
  <c r="E752" i="42385"/>
  <c r="H753" i="42385"/>
  <c r="CQ748" i="42385"/>
  <c r="AA718" i="42385"/>
  <c r="CQ718" i="42385" s="1"/>
  <c r="AG715" i="42385"/>
  <c r="W715" i="42385"/>
  <c r="AQ714" i="42385"/>
  <c r="AG714" i="42385"/>
  <c r="AQ234" i="42385"/>
  <c r="BK563" i="42385"/>
  <c r="BH507" i="42385"/>
  <c r="AK491" i="42385"/>
  <c r="CS491" i="42385" s="1"/>
  <c r="V486" i="42385"/>
  <c r="CP486" i="42385" s="1"/>
  <c r="J406" i="42385"/>
  <c r="E405" i="42385"/>
  <c r="Q797" i="42385"/>
  <c r="CO797" i="42385" s="1"/>
  <c r="BC240" i="42385"/>
  <c r="BE240" i="42385" s="1"/>
  <c r="EF451" i="42492" s="1"/>
  <c r="AX240" i="42385"/>
  <c r="AA794" i="42385"/>
  <c r="CQ794" i="42385" s="1"/>
  <c r="CP793" i="42385"/>
  <c r="BO791" i="42385"/>
  <c r="CY791" i="42385" s="1"/>
  <c r="F786" i="42385"/>
  <c r="AN778" i="42385"/>
  <c r="V775" i="42385"/>
  <c r="CP775" i="42385" s="1"/>
  <c r="X771" i="42385"/>
  <c r="J771" i="42385"/>
  <c r="CQ767" i="42385"/>
  <c r="AH753" i="42385"/>
  <c r="Z753" i="42385"/>
  <c r="AQ755" i="42385"/>
  <c r="AD752" i="42385"/>
  <c r="AK721" i="42385"/>
  <c r="CS721" i="42385" s="1"/>
  <c r="AF719" i="42385"/>
  <c r="CR719" i="42385" s="1"/>
  <c r="CR717" i="42385"/>
  <c r="J715" i="42385"/>
  <c r="T714" i="42385"/>
  <c r="T715" i="42385"/>
  <c r="BO558" i="42385"/>
  <c r="CY558" i="42385" s="1"/>
  <c r="BH535" i="42385"/>
  <c r="BH540" i="42385" s="1"/>
  <c r="BH518" i="42385"/>
  <c r="BI505" i="42385"/>
  <c r="V490" i="42385"/>
  <c r="CP490" i="42385" s="1"/>
  <c r="CS489" i="42385"/>
  <c r="AN486" i="42385"/>
  <c r="CP483" i="42385"/>
  <c r="V484" i="42385"/>
  <c r="CP484" i="42385" s="1"/>
  <c r="Q807" i="42385"/>
  <c r="CO807" i="42385" s="1"/>
  <c r="AZ791" i="42385"/>
  <c r="CV791" i="42385" s="1"/>
  <c r="CU790" i="42385"/>
  <c r="AN648" i="42385"/>
  <c r="BE450" i="42385"/>
  <c r="CV450" i="42385"/>
  <c r="BR429" i="42385"/>
  <c r="BM430" i="42385"/>
  <c r="AV369" i="42385"/>
  <c r="AV370" i="42385" s="1"/>
  <c r="AV219" i="42385" s="1"/>
  <c r="AQ370" i="42385"/>
  <c r="U753" i="42385"/>
  <c r="AK719" i="42385"/>
  <c r="CS719" i="42385" s="1"/>
  <c r="AA711" i="42385"/>
  <c r="CQ711" i="42385" s="1"/>
  <c r="AU465" i="42385"/>
  <c r="CU465" i="42385" s="1"/>
  <c r="BJ465" i="42385"/>
  <c r="BJ466" i="42385" s="1"/>
  <c r="CX466" i="42385" s="1"/>
  <c r="X414" i="42385"/>
  <c r="X404" i="42385"/>
  <c r="U354" i="42385"/>
  <c r="U344" i="42385"/>
  <c r="BC440" i="42385"/>
  <c r="AK417" i="42385"/>
  <c r="CS417" i="42385" s="1"/>
  <c r="CO401" i="42385"/>
  <c r="AN401" i="42385"/>
  <c r="BS398" i="42385"/>
  <c r="AF355" i="42385"/>
  <c r="K354" i="42385"/>
  <c r="W347" i="42385"/>
  <c r="AA347" i="42385" s="1"/>
  <c r="N347" i="42385"/>
  <c r="J347" i="42385"/>
  <c r="AU337" i="42385"/>
  <c r="L333" i="42385"/>
  <c r="P5" i="42443"/>
  <c r="CO324" i="42385"/>
  <c r="AA300" i="42385"/>
  <c r="P305" i="42385"/>
  <c r="AF295" i="42385"/>
  <c r="O290" i="42385"/>
  <c r="V287" i="42385"/>
  <c r="AC290" i="42385"/>
  <c r="Y290" i="42385"/>
  <c r="Y314" i="42385" s="1"/>
  <c r="T290" i="42385"/>
  <c r="AB277" i="42385"/>
  <c r="W277" i="42385"/>
  <c r="H277" i="42385"/>
  <c r="C277" i="42385"/>
  <c r="AJ277" i="42385"/>
  <c r="Q241" i="42385"/>
  <c r="CO241" i="42385" s="1"/>
  <c r="AA240" i="42385"/>
  <c r="CQ240" i="42385" s="1"/>
  <c r="V230" i="42385"/>
  <c r="AA219" i="42385"/>
  <c r="CQ219" i="42385" s="1"/>
  <c r="BA430" i="42385"/>
  <c r="CV427" i="42385"/>
  <c r="AK413" i="42385"/>
  <c r="CS413" i="42385" s="1"/>
  <c r="Q400" i="42385"/>
  <c r="CO400" i="42385" s="1"/>
  <c r="AL400" i="42385"/>
  <c r="AP400" i="42385" s="1"/>
  <c r="CT400" i="42385" s="1"/>
  <c r="B25" i="42407"/>
  <c r="B27" i="42407" s="1"/>
  <c r="C25" i="42407"/>
  <c r="CQ384" i="42385"/>
  <c r="Y382" i="42385"/>
  <c r="CV367" i="42385"/>
  <c r="CT367" i="42385"/>
  <c r="AF353" i="42385"/>
  <c r="CR353" i="42385" s="1"/>
  <c r="Y354" i="42385"/>
  <c r="V342" i="42385"/>
  <c r="CP342" i="42385" s="1"/>
  <c r="AQ218" i="42385"/>
  <c r="AM339" i="42385"/>
  <c r="AP337" i="42385"/>
  <c r="S337" i="42385"/>
  <c r="CT333" i="42385"/>
  <c r="V298" i="42385"/>
  <c r="CP298" i="42385" s="1"/>
  <c r="AA287" i="42385"/>
  <c r="AA290" i="42385" s="1"/>
  <c r="Q287" i="42385"/>
  <c r="L287" i="42385"/>
  <c r="I290" i="42385"/>
  <c r="I314" i="42385" s="1"/>
  <c r="L269" i="42385"/>
  <c r="V266" i="42385"/>
  <c r="S277" i="42385"/>
  <c r="Q245" i="42385"/>
  <c r="AF241" i="42385"/>
  <c r="CR241" i="42385" s="1"/>
  <c r="G230" i="42385"/>
  <c r="BJ227" i="42385"/>
  <c r="CX227" i="42385" s="1"/>
  <c r="AF223" i="42385"/>
  <c r="CR223" i="42385" s="1"/>
  <c r="Q220" i="42385"/>
  <c r="CO220" i="42385" s="1"/>
  <c r="BV166" i="42385"/>
  <c r="BV130" i="42385"/>
  <c r="E290" i="42385"/>
  <c r="AF221" i="42385"/>
  <c r="CR221" i="42385" s="1"/>
  <c r="Q417" i="42385"/>
  <c r="CO417" i="42385" s="1"/>
  <c r="CR398" i="42385"/>
  <c r="AK342" i="42385"/>
  <c r="CS342" i="42385" s="1"/>
  <c r="V293" i="42385"/>
  <c r="CP293" i="42385" s="1"/>
  <c r="AM290" i="42385"/>
  <c r="AM314" i="42385" s="1"/>
  <c r="AE290" i="42385"/>
  <c r="U277" i="42385"/>
  <c r="K277" i="42385"/>
  <c r="BX166" i="42385"/>
  <c r="BX130" i="42385"/>
  <c r="G301" i="42385"/>
  <c r="AP86" i="42385"/>
  <c r="AN88" i="42385"/>
  <c r="AN1645" i="42385" s="1"/>
  <c r="AV163" i="42385"/>
  <c r="CX101" i="42385"/>
  <c r="BS88" i="42385"/>
  <c r="BS1645" i="42385" s="1"/>
  <c r="AT88" i="42385"/>
  <c r="AT1645" i="42385" s="1"/>
  <c r="AF76" i="42385"/>
  <c r="AV53" i="42385"/>
  <c r="CY48" i="42385"/>
  <c r="AA48" i="42385"/>
  <c r="BI23" i="42385"/>
  <c r="CX21" i="42385"/>
  <c r="BJ30" i="42385"/>
  <c r="CX10" i="42385"/>
  <c r="AK5" i="42385"/>
  <c r="Z28" i="42476"/>
  <c r="R28" i="42476"/>
  <c r="C12" i="42465"/>
  <c r="AD53" i="42385"/>
  <c r="BN50" i="42385"/>
  <c r="AV34" i="42385"/>
  <c r="BK193" i="42492"/>
  <c r="BK15" i="42385"/>
  <c r="BF27" i="42385"/>
  <c r="Y50" i="42443"/>
  <c r="AD51" i="42443" s="1"/>
  <c r="CZ78" i="42385"/>
  <c r="CV4" i="42385"/>
  <c r="CN4" i="42385"/>
  <c r="M5" i="42385"/>
  <c r="BY1041" i="42385"/>
  <c r="BZ1041" i="42385" s="1"/>
  <c r="CA1041" i="42385" s="1"/>
  <c r="BY1040" i="42385"/>
  <c r="BZ1040" i="42385" s="1"/>
  <c r="CA1040" i="42385" s="1"/>
  <c r="BY1044" i="42385"/>
  <c r="BZ1044" i="42385" s="1"/>
  <c r="CA1044" i="42385" s="1"/>
  <c r="BD15" i="42385"/>
  <c r="BY1064" i="42385"/>
  <c r="BZ1064" i="42385" s="1"/>
  <c r="CA1064" i="42385" s="1"/>
  <c r="BT1064" i="42385"/>
  <c r="BJ1064" i="42385"/>
  <c r="BS1069" i="42385"/>
  <c r="BT1069" i="42385" s="1"/>
  <c r="BU1046" i="42385"/>
  <c r="BM1070" i="42385"/>
  <c r="BT1034" i="42385"/>
  <c r="BT1051" i="42385" s="1"/>
  <c r="BT1038" i="42385"/>
  <c r="BT1055" i="42385" s="1"/>
  <c r="BT1042" i="42385"/>
  <c r="BT1059" i="42385" s="1"/>
  <c r="BQ1070" i="42385"/>
  <c r="BS1046" i="42385"/>
  <c r="BS1066" i="42385" s="1"/>
  <c r="BT1036" i="42385"/>
  <c r="BT1053" i="42385" s="1"/>
  <c r="BT1040" i="42385"/>
  <c r="BT1057" i="42385" s="1"/>
  <c r="BT1044" i="42385"/>
  <c r="BT1061" i="42385" s="1"/>
  <c r="BO1069" i="42385"/>
  <c r="BO1070" i="42385" s="1"/>
  <c r="BJ1074" i="42385"/>
  <c r="BK1070" i="42385"/>
  <c r="BJ1067" i="42385"/>
  <c r="AY1504" i="42385"/>
  <c r="P1017" i="42385"/>
  <c r="AX1564" i="42385"/>
  <c r="J34" i="42476" s="1"/>
  <c r="O233" i="42400"/>
  <c r="O235" i="42400" s="1"/>
  <c r="O957" i="42385" s="1"/>
  <c r="D942" i="42385"/>
  <c r="BT158" i="42385"/>
  <c r="BT165" i="42385" s="1"/>
  <c r="Y75" i="42492"/>
  <c r="AA1020" i="42385"/>
  <c r="CQ1020" i="42385" s="1"/>
  <c r="CQ1019" i="42385"/>
  <c r="Y808" i="42385"/>
  <c r="J830" i="42385"/>
  <c r="J831" i="42385" s="1"/>
  <c r="J834" i="42385"/>
  <c r="J839" i="42385"/>
  <c r="M233" i="42400"/>
  <c r="H51" i="42400"/>
  <c r="H802" i="42385" s="1"/>
  <c r="M64" i="42446"/>
  <c r="M62" i="42446"/>
  <c r="M67" i="42446"/>
  <c r="W45" i="42400"/>
  <c r="W51" i="42400" s="1"/>
  <c r="W802" i="42385" s="1"/>
  <c r="CX510" i="42385"/>
  <c r="BJ511" i="42385"/>
  <c r="CX511" i="42385" s="1"/>
  <c r="BQ300" i="42385"/>
  <c r="BQ1167" i="42385"/>
  <c r="F1016" i="42385"/>
  <c r="F1025" i="42385"/>
  <c r="F1020" i="42385"/>
  <c r="C1017" i="42385"/>
  <c r="J8" i="42406"/>
  <c r="DW343" i="42417"/>
  <c r="EP387" i="42417" s="1"/>
  <c r="EO387" i="42417"/>
  <c r="J803" i="42385"/>
  <c r="J808" i="42385"/>
  <c r="J799" i="42385"/>
  <c r="J800" i="42385" s="1"/>
  <c r="AS467" i="42385"/>
  <c r="AS469" i="42385" s="1"/>
  <c r="BO511" i="42385"/>
  <c r="CY511" i="42385" s="1"/>
  <c r="CY510" i="42385"/>
  <c r="E60" i="42406"/>
  <c r="E59" i="42406" s="1"/>
  <c r="D59" i="42406"/>
  <c r="AJ172" i="42470"/>
  <c r="AJ173" i="42470" s="1"/>
  <c r="AJ179" i="42470"/>
  <c r="AN179" i="42470" s="1"/>
  <c r="AN170" i="42470"/>
  <c r="D44" i="42410"/>
  <c r="C44" i="42410"/>
  <c r="EA343" i="42417"/>
  <c r="DY343" i="42417"/>
  <c r="EQ387" i="42417" s="1"/>
  <c r="Y95" i="42400"/>
  <c r="Y101" i="42400" s="1"/>
  <c r="Y833" i="42385" s="1"/>
  <c r="T71" i="42400"/>
  <c r="T75" i="42400" s="1"/>
  <c r="T864" i="42385" s="1"/>
  <c r="E46" i="42406"/>
  <c r="E47" i="42406" s="1"/>
  <c r="CS286" i="42385"/>
  <c r="AK290" i="42385"/>
  <c r="FW438" i="42417"/>
  <c r="CW436" i="42385"/>
  <c r="BO466" i="42385"/>
  <c r="CY466" i="42385" s="1"/>
  <c r="CY465" i="42385"/>
  <c r="AK714" i="42385"/>
  <c r="CS714" i="42385" s="1"/>
  <c r="AK715" i="42385"/>
  <c r="CS715" i="42385" s="1"/>
  <c r="CS713" i="42385"/>
  <c r="B27" i="42405"/>
  <c r="B28" i="42405" s="1"/>
  <c r="B29" i="42405" s="1"/>
  <c r="B24" i="42405"/>
  <c r="E24" i="42405"/>
  <c r="E26" i="42405" s="1"/>
  <c r="B23" i="42405"/>
  <c r="AL177" i="42470"/>
  <c r="AN167" i="42470"/>
  <c r="AN187" i="42470" s="1"/>
  <c r="AN189" i="42470" s="1"/>
  <c r="E148" i="42400"/>
  <c r="E926" i="42385" s="1"/>
  <c r="Y71" i="42400"/>
  <c r="Y75" i="42400" s="1"/>
  <c r="Y864" i="42385" s="1"/>
  <c r="BD1311" i="42385"/>
  <c r="BE1311" i="42385" s="1"/>
  <c r="R834" i="42385"/>
  <c r="R830" i="42385"/>
  <c r="R831" i="42385" s="1"/>
  <c r="R839" i="42385"/>
  <c r="CP242" i="42385"/>
  <c r="W49" i="42417"/>
  <c r="Y49" i="42417" s="1"/>
  <c r="AM24" i="42385"/>
  <c r="AM40" i="42385" s="1"/>
  <c r="BE459" i="42385"/>
  <c r="CW458" i="42385"/>
  <c r="CA1522" i="42385"/>
  <c r="DB1522" i="42385"/>
  <c r="Z923" i="42385"/>
  <c r="Z932" i="42385"/>
  <c r="Z927" i="42385"/>
  <c r="GB483" i="42464"/>
  <c r="CX576" i="42385"/>
  <c r="C66" i="42420"/>
  <c r="C70" i="42420" s="1"/>
  <c r="C72" i="42420" s="1"/>
  <c r="P165" i="42385"/>
  <c r="P166" i="42385" s="1"/>
  <c r="P134" i="42385" s="1"/>
  <c r="Q130" i="42385"/>
  <c r="P131" i="42385"/>
  <c r="J148" i="42400"/>
  <c r="J926" i="42385" s="1"/>
  <c r="T1558" i="42385"/>
  <c r="AL246" i="42424"/>
  <c r="Y259" i="42385"/>
  <c r="T259" i="42385"/>
  <c r="BG981" i="42385"/>
  <c r="BB982" i="42385"/>
  <c r="BG1166" i="42385"/>
  <c r="BJ1171" i="42385"/>
  <c r="BO1239" i="42385"/>
  <c r="AK1525" i="42385"/>
  <c r="AW216" i="42470"/>
  <c r="AW217" i="42470" s="1"/>
  <c r="AT462" i="42385"/>
  <c r="CO751" i="42385"/>
  <c r="V753" i="42385"/>
  <c r="CP753" i="42385" s="1"/>
  <c r="Q752" i="42385"/>
  <c r="CO752" i="42385" s="1"/>
  <c r="AV237" i="42385"/>
  <c r="BA767" i="42385"/>
  <c r="AV771" i="42385"/>
  <c r="AV774" i="42385"/>
  <c r="AA772" i="42385"/>
  <c r="CQ772" i="42385" s="1"/>
  <c r="CP770" i="42385"/>
  <c r="V771" i="42385"/>
  <c r="CP771" i="42385" s="1"/>
  <c r="CU796" i="42385"/>
  <c r="AU797" i="42385"/>
  <c r="CU797" i="42385" s="1"/>
  <c r="AU795" i="42385"/>
  <c r="CU795" i="42385" s="1"/>
  <c r="AZ797" i="42385"/>
  <c r="CV797" i="42385" s="1"/>
  <c r="AU240" i="42385"/>
  <c r="W1140" i="42385"/>
  <c r="AW950" i="42385"/>
  <c r="AR951" i="42385"/>
  <c r="AE1308" i="42385"/>
  <c r="AF1308" i="42385" s="1"/>
  <c r="BZ1415" i="42385"/>
  <c r="CA1415" i="42385" s="1"/>
  <c r="DC1415" i="42385" s="1"/>
  <c r="AT88" i="42417"/>
  <c r="AW88" i="42417" s="1"/>
  <c r="AU88" i="42417"/>
  <c r="Y226" i="42400"/>
  <c r="Y235" i="42400" s="1"/>
  <c r="Y957" i="42385" s="1"/>
  <c r="J8" i="42476"/>
  <c r="CS48" i="42385"/>
  <c r="AK53" i="42385"/>
  <c r="CS53" i="42385" s="1"/>
  <c r="CZ334" i="42385"/>
  <c r="CX336" i="42385"/>
  <c r="BO339" i="42385"/>
  <c r="CY339" i="42385" s="1"/>
  <c r="BK429" i="42385"/>
  <c r="BJ429" i="42385"/>
  <c r="BF430" i="42385"/>
  <c r="CO713" i="42385"/>
  <c r="V715" i="42385"/>
  <c r="CP715" i="42385" s="1"/>
  <c r="Q715" i="42385"/>
  <c r="CO715" i="42385" s="1"/>
  <c r="Q714" i="42385"/>
  <c r="CO714" i="42385" s="1"/>
  <c r="BE919" i="42385"/>
  <c r="CW919" i="42385" s="1"/>
  <c r="CW920" i="42385"/>
  <c r="AO1107" i="42385"/>
  <c r="AO1108" i="42385" s="1"/>
  <c r="BH110" i="42385"/>
  <c r="N45" i="42400"/>
  <c r="N51" i="42400" s="1"/>
  <c r="N802" i="42385" s="1"/>
  <c r="Q51" i="42400"/>
  <c r="Q802" i="42385" s="1"/>
  <c r="P45" i="42400"/>
  <c r="P51" i="42400" s="1"/>
  <c r="P802" i="42385" s="1"/>
  <c r="O45" i="42400"/>
  <c r="O51" i="42400" s="1"/>
  <c r="O802" i="42385" s="1"/>
  <c r="M45" i="42400"/>
  <c r="M51" i="42400" s="1"/>
  <c r="M802" i="42385" s="1"/>
  <c r="W235" i="42400"/>
  <c r="W957" i="42385" s="1"/>
  <c r="FI424" i="42417"/>
  <c r="AO632" i="42385"/>
  <c r="AY677" i="42385"/>
  <c r="AW242" i="42385"/>
  <c r="BB859" i="42385"/>
  <c r="CW858" i="42385"/>
  <c r="BJ859" i="42385"/>
  <c r="CX859" i="42385" s="1"/>
  <c r="Q292" i="42400"/>
  <c r="Q281" i="42400"/>
  <c r="CM1091" i="42385"/>
  <c r="G1092" i="42385"/>
  <c r="CM1092" i="42385" s="1"/>
  <c r="CQ1091" i="42385"/>
  <c r="AF1093" i="42385"/>
  <c r="CR1093" i="42385" s="1"/>
  <c r="AA1092" i="42385"/>
  <c r="CQ1092" i="42385" s="1"/>
  <c r="EP382" i="42417"/>
  <c r="BG65" i="42385"/>
  <c r="BG75" i="42385" s="1"/>
  <c r="BJ200" i="42492"/>
  <c r="S12" i="42476"/>
  <c r="BG42" i="42385"/>
  <c r="AX1617" i="42385"/>
  <c r="AW1617" i="42385"/>
  <c r="CU1616" i="42385"/>
  <c r="AV1617" i="42385"/>
  <c r="X834" i="42385"/>
  <c r="AS223" i="42385"/>
  <c r="AX483" i="42385"/>
  <c r="P233" i="42400"/>
  <c r="P235" i="42400" s="1"/>
  <c r="P957" i="42385" s="1"/>
  <c r="J861" i="42385"/>
  <c r="O863" i="42385" s="1"/>
  <c r="P25" i="42424"/>
  <c r="AD127" i="42424"/>
  <c r="AD128" i="42424" s="1"/>
  <c r="Z95" i="42424"/>
  <c r="AI128" i="42385"/>
  <c r="AX246" i="42424"/>
  <c r="AD136" i="42424"/>
  <c r="AI1558" i="42385"/>
  <c r="AI259" i="42385"/>
  <c r="CR286" i="42385"/>
  <c r="AF290" i="42385"/>
  <c r="CW827" i="42385"/>
  <c r="BC300" i="42385"/>
  <c r="CB1191" i="42385"/>
  <c r="CC1191" i="42385" s="1"/>
  <c r="CD1191" i="42385" s="1"/>
  <c r="CE1191" i="42385" s="1"/>
  <c r="CF1191" i="42385" s="1"/>
  <c r="BJ1320" i="42385"/>
  <c r="AP1324" i="42385"/>
  <c r="CT1324" i="42385" s="1"/>
  <c r="AU1402" i="42385"/>
  <c r="CU1381" i="42385"/>
  <c r="AV1481" i="42385"/>
  <c r="W1660" i="42385"/>
  <c r="W1585" i="42385"/>
  <c r="CV1280" i="42385"/>
  <c r="AK21" i="42385"/>
  <c r="AZ15" i="42418"/>
  <c r="BF218" i="42385"/>
  <c r="AU459" i="42385"/>
  <c r="AO950" i="42385"/>
  <c r="AS950" i="42385"/>
  <c r="AN951" i="42385"/>
  <c r="AE23" i="42385"/>
  <c r="AE24" i="42385" s="1"/>
  <c r="G47" i="42412"/>
  <c r="I47" i="42412" s="1"/>
  <c r="O43" i="42412" s="1"/>
  <c r="G48" i="42412"/>
  <c r="I48" i="42412" s="1"/>
  <c r="O44" i="42412" s="1"/>
  <c r="C23" i="42412"/>
  <c r="I7" i="42412"/>
  <c r="E95" i="42400"/>
  <c r="E101" i="42400" s="1"/>
  <c r="E833" i="42385" s="1"/>
  <c r="P41" i="42470"/>
  <c r="Q41" i="42470"/>
  <c r="BH130" i="42385"/>
  <c r="AA337" i="42385"/>
  <c r="K405" i="42385"/>
  <c r="AK487" i="42385"/>
  <c r="CS487" i="42385" s="1"/>
  <c r="CS486" i="42385"/>
  <c r="BG512" i="42385"/>
  <c r="BG514" i="42385" s="1"/>
  <c r="BL509" i="42385"/>
  <c r="AX115" i="42385"/>
  <c r="F1293" i="42385"/>
  <c r="F115" i="42385" s="1"/>
  <c r="E1301" i="42385"/>
  <c r="X233" i="42400"/>
  <c r="Z135" i="42424"/>
  <c r="Z137" i="42424" s="1"/>
  <c r="AD1647" i="42385"/>
  <c r="AT248" i="42424"/>
  <c r="AD316" i="42385"/>
  <c r="AD50" i="42385"/>
  <c r="AD65" i="42385" s="1"/>
  <c r="AD75" i="42385" s="1"/>
  <c r="AD77" i="42385" s="1"/>
  <c r="CV398" i="42385"/>
  <c r="BE399" i="42385"/>
  <c r="CW399" i="42385" s="1"/>
  <c r="BY292" i="42492"/>
  <c r="BM683" i="42385"/>
  <c r="CP1091" i="42385"/>
  <c r="F128" i="42385"/>
  <c r="BD108" i="42385"/>
  <c r="BE1281" i="42385"/>
  <c r="N49" i="42412"/>
  <c r="AC291" i="42400"/>
  <c r="U148" i="42400"/>
  <c r="U926" i="42385" s="1"/>
  <c r="C128" i="42385"/>
  <c r="AM1558" i="42385"/>
  <c r="X39" i="42417"/>
  <c r="Y39" i="42417" s="1"/>
  <c r="AJ248" i="42424"/>
  <c r="AJ250" i="42424" s="1"/>
  <c r="R50" i="42385"/>
  <c r="R65" i="42385" s="1"/>
  <c r="R75" i="42385" s="1"/>
  <c r="R316" i="42385"/>
  <c r="R1647" i="42385"/>
  <c r="AU828" i="42385"/>
  <c r="CU828" i="42385" s="1"/>
  <c r="AT1406" i="42385"/>
  <c r="AT1564" i="42385"/>
  <c r="C33" i="42412"/>
  <c r="D33" i="42412" s="1"/>
  <c r="D16" i="42412"/>
  <c r="O95" i="42400"/>
  <c r="O101" i="42400" s="1"/>
  <c r="O833" i="42385" s="1"/>
  <c r="N95" i="42400"/>
  <c r="N101" i="42400" s="1"/>
  <c r="N833" i="42385" s="1"/>
  <c r="P95" i="42400"/>
  <c r="P101" i="42400" s="1"/>
  <c r="P833" i="42385" s="1"/>
  <c r="M95" i="42400"/>
  <c r="M101" i="42400" s="1"/>
  <c r="M833" i="42385" s="1"/>
  <c r="HT748" i="42464"/>
  <c r="HT749" i="42464"/>
  <c r="AH50" i="42385"/>
  <c r="AH65" i="42385" s="1"/>
  <c r="AH75" i="42385" s="1"/>
  <c r="AC135" i="42424"/>
  <c r="AW248" i="42424"/>
  <c r="Y99" i="42424"/>
  <c r="AG344" i="42385"/>
  <c r="AG354" i="42385"/>
  <c r="CW433" i="42385"/>
  <c r="BE435" i="42385"/>
  <c r="CW435" i="42385" s="1"/>
  <c r="CN751" i="42385"/>
  <c r="Q772" i="42385"/>
  <c r="CO772" i="42385" s="1"/>
  <c r="AK771" i="42385"/>
  <c r="CS771" i="42385" s="1"/>
  <c r="BJ161" i="42400"/>
  <c r="V1116" i="42385"/>
  <c r="CP1116" i="42385" s="1"/>
  <c r="AH24" i="42385"/>
  <c r="AH40" i="42385" s="1"/>
  <c r="AM41" i="42385" s="1"/>
  <c r="H75" i="42400"/>
  <c r="H864" i="42385" s="1"/>
  <c r="F95" i="42400"/>
  <c r="F101" i="42400" s="1"/>
  <c r="F833" i="42385" s="1"/>
  <c r="Z95" i="42400"/>
  <c r="Z101" i="42400" s="1"/>
  <c r="Z833" i="42385" s="1"/>
  <c r="X226" i="42400"/>
  <c r="Q129" i="42385"/>
  <c r="Q1622" i="42385"/>
  <c r="CO1622" i="42385" s="1"/>
  <c r="CO127" i="42385"/>
  <c r="Q113" i="42385"/>
  <c r="CO113" i="42385" s="1"/>
  <c r="X354" i="42385"/>
  <c r="X344" i="42385"/>
  <c r="X345" i="42385" s="1"/>
  <c r="AC354" i="42385"/>
  <c r="AC344" i="42385"/>
  <c r="AC345" i="42385" s="1"/>
  <c r="BO97" i="42400"/>
  <c r="AA1108" i="42385"/>
  <c r="CQ1108" i="42385" s="1"/>
  <c r="O1558" i="42385"/>
  <c r="O128" i="42385"/>
  <c r="O259" i="42385"/>
  <c r="AW115" i="42385"/>
  <c r="CS1411" i="42385"/>
  <c r="C32" i="42465"/>
  <c r="I21" i="42472"/>
  <c r="AU341" i="42385"/>
  <c r="AS1541" i="42385"/>
  <c r="C45" i="42400"/>
  <c r="C51" i="42400" s="1"/>
  <c r="C802" i="42385" s="1"/>
  <c r="AA235" i="42400"/>
  <c r="AA957" i="42385" s="1"/>
  <c r="Z113" i="42470"/>
  <c r="AA61" i="42470"/>
  <c r="Z63" i="42470"/>
  <c r="AO1528" i="42385"/>
  <c r="AP1528" i="42385" s="1"/>
  <c r="CT1528" i="42385" s="1"/>
  <c r="AP356" i="42385"/>
  <c r="AO357" i="42385"/>
  <c r="AQ356" i="42385"/>
  <c r="AU399" i="42385"/>
  <c r="CU399" i="42385" s="1"/>
  <c r="CT398" i="42385"/>
  <c r="CI292" i="42492"/>
  <c r="CX398" i="42385"/>
  <c r="BJ399" i="42385"/>
  <c r="CX399" i="42385" s="1"/>
  <c r="BO399" i="42385"/>
  <c r="CY399" i="42385" s="1"/>
  <c r="AK274" i="42385"/>
  <c r="AI277" i="42385"/>
  <c r="AI19" i="42385"/>
  <c r="W625" i="42385"/>
  <c r="U624" i="42385"/>
  <c r="U621" i="42385" s="1"/>
  <c r="U622" i="42385" s="1"/>
  <c r="V625" i="42385"/>
  <c r="CP625" i="42385" s="1"/>
  <c r="AL693" i="42385"/>
  <c r="AL695" i="42385" s="1"/>
  <c r="AL696" i="42385" s="1"/>
  <c r="AL676" i="42385"/>
  <c r="AQ676" i="42385"/>
  <c r="BE242" i="42385"/>
  <c r="GR611" i="42464"/>
  <c r="GS611" i="42464" s="1"/>
  <c r="CW243" i="42385"/>
  <c r="EF454" i="42492"/>
  <c r="BM568" i="42385"/>
  <c r="BR568" i="42385"/>
  <c r="BM571" i="42385"/>
  <c r="BM573" i="42385" s="1"/>
  <c r="M17" i="42403"/>
  <c r="M26" i="42403"/>
  <c r="CX796" i="42385"/>
  <c r="BO797" i="42385"/>
  <c r="CY797" i="42385" s="1"/>
  <c r="BJ797" i="42385"/>
  <c r="CX797" i="42385" s="1"/>
  <c r="BJ795" i="42385"/>
  <c r="CX795" i="42385" s="1"/>
  <c r="C71" i="42400"/>
  <c r="C75" i="42400" s="1"/>
  <c r="C864" i="42385" s="1"/>
  <c r="AH183" i="42470"/>
  <c r="AH185" i="42470"/>
  <c r="K1558" i="42385"/>
  <c r="K128" i="42385"/>
  <c r="Y127" i="42424"/>
  <c r="AS246" i="42424"/>
  <c r="AC259" i="42385"/>
  <c r="K25" i="42424"/>
  <c r="K21" i="42424" s="1"/>
  <c r="AC128" i="42385"/>
  <c r="Y136" i="42424"/>
  <c r="AC1558" i="42385"/>
  <c r="X46" i="42417"/>
  <c r="Y46" i="42417" s="1"/>
  <c r="CS241" i="42385"/>
  <c r="GO491" i="42417"/>
  <c r="AL314" i="42385"/>
  <c r="CV981" i="42385"/>
  <c r="AZ982" i="42385"/>
  <c r="CV982" i="42385" s="1"/>
  <c r="BM1168" i="42385"/>
  <c r="BH300" i="42385"/>
  <c r="CX1239" i="42385"/>
  <c r="BJ1240" i="42385"/>
  <c r="CX1240" i="42385" s="1"/>
  <c r="BG1266" i="42385"/>
  <c r="BF1377" i="42385"/>
  <c r="BG1377" i="42385" s="1"/>
  <c r="BH1377" i="42385" s="1"/>
  <c r="BI1377" i="42385" s="1"/>
  <c r="BJ1377" i="42385" s="1"/>
  <c r="CX1377" i="42385" s="1"/>
  <c r="CW1377" i="42385"/>
  <c r="R1660" i="42385"/>
  <c r="BC164" i="42417"/>
  <c r="C18" i="42412"/>
  <c r="C32" i="42412"/>
  <c r="H25" i="42412"/>
  <c r="D17" i="42412"/>
  <c r="B9" i="42417"/>
  <c r="AH347" i="42385"/>
  <c r="AW369" i="42385"/>
  <c r="AU369" i="42385"/>
  <c r="CU369" i="42385" s="1"/>
  <c r="AR370" i="42385"/>
  <c r="BK576" i="42385"/>
  <c r="BI1551" i="42385"/>
  <c r="AS770" i="42385"/>
  <c r="AN771" i="42385"/>
  <c r="AN774" i="42385"/>
  <c r="E118" i="42385"/>
  <c r="AY111" i="42385"/>
  <c r="AZ1313" i="42385"/>
  <c r="AN1326" i="42385"/>
  <c r="AO1317" i="42385"/>
  <c r="AO1326" i="42385" s="1"/>
  <c r="AB1499" i="42385"/>
  <c r="L18" i="42403"/>
  <c r="L27" i="42403"/>
  <c r="D95" i="42400"/>
  <c r="D101" i="42400" s="1"/>
  <c r="D833" i="42385" s="1"/>
  <c r="Q85" i="42385"/>
  <c r="CU130" i="42385"/>
  <c r="AU118" i="42385"/>
  <c r="CU118" i="42385" s="1"/>
  <c r="D354" i="42385"/>
  <c r="G347" i="42385"/>
  <c r="CM347" i="42385" s="1"/>
  <c r="BT336" i="42385"/>
  <c r="BT339" i="42385" s="1"/>
  <c r="CZ339" i="42385" s="1"/>
  <c r="BS339" i="42385"/>
  <c r="BS340" i="42385" s="1"/>
  <c r="AU339" i="42385"/>
  <c r="CU339" i="42385" s="1"/>
  <c r="AZ339" i="42385"/>
  <c r="CV339" i="42385" s="1"/>
  <c r="BK218" i="42385"/>
  <c r="BO218" i="42385" s="1"/>
  <c r="BO341" i="42385"/>
  <c r="CR342" i="42385"/>
  <c r="B51" i="42410"/>
  <c r="BJ518" i="42385"/>
  <c r="CX518" i="42385" s="1"/>
  <c r="BP532" i="42385"/>
  <c r="AA714" i="42385"/>
  <c r="CQ714" i="42385" s="1"/>
  <c r="AU140" i="42400"/>
  <c r="AN256" i="42385"/>
  <c r="BI1284" i="42385"/>
  <c r="BI110" i="42385" s="1"/>
  <c r="AE1299" i="42385"/>
  <c r="AC14" i="42385"/>
  <c r="BY1255" i="42385"/>
  <c r="E45" i="42400"/>
  <c r="E51" i="42400" s="1"/>
  <c r="E802" i="42385" s="1"/>
  <c r="T345" i="42385"/>
  <c r="AF677" i="42385"/>
  <c r="AF675" i="42385"/>
  <c r="BV664" i="42385"/>
  <c r="BV681" i="42385" s="1"/>
  <c r="BQ681" i="42385"/>
  <c r="BQ673" i="42385"/>
  <c r="BQ674" i="42385" s="1"/>
  <c r="BC92" i="42418"/>
  <c r="AR242" i="42385"/>
  <c r="AR859" i="42385"/>
  <c r="CX889" i="42385"/>
  <c r="BJ888" i="42385"/>
  <c r="CX888" i="42385" s="1"/>
  <c r="AP1099" i="42385"/>
  <c r="CT1099" i="42385" s="1"/>
  <c r="AP254" i="42385"/>
  <c r="CT1088" i="42385"/>
  <c r="AP1089" i="42385"/>
  <c r="CT1089" i="42385" s="1"/>
  <c r="F21" i="42472"/>
  <c r="CP1411" i="42385"/>
  <c r="E1501" i="42385"/>
  <c r="E1575" i="42385"/>
  <c r="E1577" i="42385" s="1"/>
  <c r="E1579" i="42385" s="1"/>
  <c r="E1504" i="42385"/>
  <c r="AT1575" i="42385"/>
  <c r="AT1577" i="42385" s="1"/>
  <c r="W41" i="42464"/>
  <c r="X33" i="42464"/>
  <c r="N18" i="42472"/>
  <c r="AO231" i="42400"/>
  <c r="AM231" i="42400"/>
  <c r="AN231" i="42400"/>
  <c r="CP184" i="42385"/>
  <c r="W184" i="42385"/>
  <c r="X184" i="42385" s="1"/>
  <c r="Y184" i="42385" s="1"/>
  <c r="Z184" i="42385" s="1"/>
  <c r="AA184" i="42385" s="1"/>
  <c r="CQ1565" i="42385"/>
  <c r="AG1025" i="42385"/>
  <c r="CN172" i="42385"/>
  <c r="BO290" i="42400"/>
  <c r="AG1020" i="42385"/>
  <c r="BO291" i="42400"/>
  <c r="BN291" i="42400" s="1"/>
  <c r="U11" i="42443"/>
  <c r="BA135" i="42400"/>
  <c r="BB135" i="42400"/>
  <c r="AB289" i="42400"/>
  <c r="AC289" i="42400"/>
  <c r="AX289" i="42400"/>
  <c r="AY289" i="42400"/>
  <c r="AV289" i="42400"/>
  <c r="AW289" i="42400"/>
  <c r="AB288" i="42400"/>
  <c r="AC288" i="42400"/>
  <c r="AD288" i="42400"/>
  <c r="AE288" i="42400"/>
  <c r="R1504" i="42385"/>
  <c r="Q1564" i="42385"/>
  <c r="AD229" i="42400"/>
  <c r="AV292" i="42400"/>
  <c r="AS90" i="42400"/>
  <c r="AQ90" i="42400"/>
  <c r="BA1478" i="42385"/>
  <c r="BB1378" i="42385"/>
  <c r="BR655" i="42385"/>
  <c r="AX163" i="42400"/>
  <c r="BG281" i="42400"/>
  <c r="BL281" i="42400"/>
  <c r="AT282" i="42400"/>
  <c r="BO282" i="42400"/>
  <c r="AZ144" i="42400"/>
  <c r="AX140" i="42400"/>
  <c r="AV140" i="42400"/>
  <c r="AW140" i="42400"/>
  <c r="AY140" i="42400"/>
  <c r="BC288" i="42400"/>
  <c r="BA282" i="42400"/>
  <c r="BD282" i="42400"/>
  <c r="AB68" i="42400"/>
  <c r="AE68" i="42400"/>
  <c r="AD68" i="42400"/>
  <c r="AC68" i="42400"/>
  <c r="AC69" i="42400"/>
  <c r="AV135" i="42400"/>
  <c r="AW135" i="42400"/>
  <c r="AY135" i="42400"/>
  <c r="AX135" i="42400"/>
  <c r="AL89" i="42400"/>
  <c r="AW163" i="42400"/>
  <c r="S280" i="42400"/>
  <c r="BC88" i="42400"/>
  <c r="BA88" i="42400"/>
  <c r="AR280" i="42400"/>
  <c r="AT280" i="42400"/>
  <c r="AW156" i="42400"/>
  <c r="AY156" i="42400"/>
  <c r="AY155" i="42400"/>
  <c r="C39" i="42410"/>
  <c r="C35" i="42410"/>
  <c r="D36" i="42410"/>
  <c r="AT290" i="42400"/>
  <c r="AR290" i="42400"/>
  <c r="AS290" i="42400"/>
  <c r="AQ290" i="42400"/>
  <c r="AC43" i="42400"/>
  <c r="AE43" i="42400"/>
  <c r="AB43" i="42400"/>
  <c r="AD43" i="42400"/>
  <c r="T292" i="42400"/>
  <c r="BA65" i="42400"/>
  <c r="BI63" i="42400"/>
  <c r="BG63" i="42400"/>
  <c r="BF63" i="42400"/>
  <c r="R279" i="42400"/>
  <c r="S290" i="42400"/>
  <c r="T288" i="42400"/>
  <c r="BH69" i="42400"/>
  <c r="CM783" i="42385"/>
  <c r="H786" i="42385"/>
  <c r="BO283" i="42400"/>
  <c r="BO281" i="42400"/>
  <c r="BO288" i="42400"/>
  <c r="BO292" i="42400"/>
  <c r="BO280" i="42400"/>
  <c r="BO289" i="42400"/>
  <c r="AW441" i="42385"/>
  <c r="AW268" i="42385"/>
  <c r="BN509" i="42385"/>
  <c r="BN512" i="42385"/>
  <c r="BN514" i="42385" s="1"/>
  <c r="AQ248" i="42424"/>
  <c r="Z1647" i="42385"/>
  <c r="Z50" i="42385"/>
  <c r="Z316" i="42385"/>
  <c r="BH218" i="42385"/>
  <c r="BJ218" i="42385" s="1"/>
  <c r="CX218" i="42385" s="1"/>
  <c r="BJ341" i="42385"/>
  <c r="BM342" i="42385"/>
  <c r="D708" i="42385"/>
  <c r="E708" i="42385"/>
  <c r="BG32" i="42385"/>
  <c r="AB345" i="42385"/>
  <c r="D481" i="42385"/>
  <c r="AS236" i="42385"/>
  <c r="AS752" i="42385"/>
  <c r="AS755" i="42385"/>
  <c r="AX748" i="42385"/>
  <c r="CW507" i="42385"/>
  <c r="BE508" i="42385"/>
  <c r="CW508" i="42385" s="1"/>
  <c r="BI271" i="42385"/>
  <c r="W1426" i="42385"/>
  <c r="C330" i="42385"/>
  <c r="H331" i="42385" s="1"/>
  <c r="C1141" i="42385"/>
  <c r="AQ650" i="42385"/>
  <c r="AV640" i="42385"/>
  <c r="AU640" i="42385"/>
  <c r="AQ231" i="42385"/>
  <c r="GM496" i="42417"/>
  <c r="BI509" i="42385"/>
  <c r="BH241" i="42385"/>
  <c r="BH828" i="42385"/>
  <c r="BM828" i="42385"/>
  <c r="CY889" i="42385"/>
  <c r="BO890" i="42385"/>
  <c r="CY890" i="42385" s="1"/>
  <c r="BT890" i="42385"/>
  <c r="CZ890" i="42385" s="1"/>
  <c r="BG26" i="42385"/>
  <c r="BE1622" i="42385"/>
  <c r="CW1622" i="42385" s="1"/>
  <c r="BE113" i="42385"/>
  <c r="CW127" i="42385"/>
  <c r="AR714" i="42385"/>
  <c r="AR717" i="42385"/>
  <c r="AW713" i="42385"/>
  <c r="AU713" i="42385"/>
  <c r="BN433" i="42385"/>
  <c r="BJ433" i="42385"/>
  <c r="I206" i="42385"/>
  <c r="AF19" i="42443"/>
  <c r="AX92" i="42400"/>
  <c r="AW92" i="42400"/>
  <c r="BI292" i="42400"/>
  <c r="BF292" i="42400"/>
  <c r="BG292" i="42400"/>
  <c r="BG67" i="42400"/>
  <c r="BI67" i="42400"/>
  <c r="BH67" i="42400"/>
  <c r="BF67" i="42400"/>
  <c r="AX41" i="42400"/>
  <c r="BL162" i="42400"/>
  <c r="AL1002" i="42385"/>
  <c r="AM1002" i="42385" s="1"/>
  <c r="AN1002" i="42385" s="1"/>
  <c r="AO1002" i="42385" s="1"/>
  <c r="AP1002" i="42385" s="1"/>
  <c r="AK1002" i="42385"/>
  <c r="CS1002" i="42385" s="1"/>
  <c r="AV89" i="42400"/>
  <c r="AW89" i="42400"/>
  <c r="AX89" i="42400"/>
  <c r="AY89" i="42400"/>
  <c r="AH653" i="42385"/>
  <c r="L19" i="42443"/>
  <c r="AY39" i="42400"/>
  <c r="BK64" i="42400"/>
  <c r="BK67" i="42400"/>
  <c r="BN163" i="42400"/>
  <c r="BM163" i="42400"/>
  <c r="BL163" i="42400"/>
  <c r="BK163" i="42400"/>
  <c r="BP1112" i="42385"/>
  <c r="BB40" i="42400"/>
  <c r="BD40" i="42400"/>
  <c r="BC40" i="42400"/>
  <c r="BA40" i="42400"/>
  <c r="BF282" i="42400"/>
  <c r="BS282" i="42400"/>
  <c r="BH282" i="42400"/>
  <c r="BI68" i="42400"/>
  <c r="AS42" i="42400"/>
  <c r="BL69" i="42400"/>
  <c r="BM68" i="42400"/>
  <c r="BL68" i="42400"/>
  <c r="BN68" i="42400"/>
  <c r="Q839" i="42385"/>
  <c r="CO839" i="42385" s="1"/>
  <c r="Q834" i="42385"/>
  <c r="CO834" i="42385" s="1"/>
  <c r="BG291" i="42400"/>
  <c r="BF291" i="42400"/>
  <c r="BH281" i="42400"/>
  <c r="BG66" i="42400"/>
  <c r="BF66" i="42400"/>
  <c r="BB653" i="42385"/>
  <c r="BC654" i="42385"/>
  <c r="CU744" i="42385"/>
  <c r="BM65" i="42400"/>
  <c r="BK65" i="42400"/>
  <c r="BL65" i="42400"/>
  <c r="BN65" i="42400"/>
  <c r="O877" i="42385"/>
  <c r="N1139" i="42385"/>
  <c r="BL155" i="42400"/>
  <c r="AO292" i="42400"/>
  <c r="AN40" i="42400"/>
  <c r="AG1017" i="42385"/>
  <c r="AQ775" i="42385"/>
  <c r="AQ776" i="42385"/>
  <c r="AQ287" i="42385"/>
  <c r="AV776" i="42385"/>
  <c r="BV683" i="42385"/>
  <c r="BV673" i="42385"/>
  <c r="BV674" i="42385" s="1"/>
  <c r="AC200" i="42385"/>
  <c r="AC206" i="42385" s="1"/>
  <c r="AB200" i="42385"/>
  <c r="AQ15" i="42385"/>
  <c r="AL27" i="42385"/>
  <c r="AQ32" i="42385"/>
  <c r="GO502" i="42417"/>
  <c r="CT223" i="42385"/>
  <c r="F1647" i="42385"/>
  <c r="F50" i="42385"/>
  <c r="F65" i="42385" s="1"/>
  <c r="F75" i="42385" s="1"/>
  <c r="F316" i="42385"/>
  <c r="CW430" i="42385"/>
  <c r="DB312" i="42464"/>
  <c r="DB314" i="42464" s="1"/>
  <c r="CX262" i="42464" s="1"/>
  <c r="BE434" i="42385"/>
  <c r="CW434" i="42385" s="1"/>
  <c r="AX227" i="42385"/>
  <c r="AX592" i="42385"/>
  <c r="BK519" i="42385"/>
  <c r="BK271" i="42385"/>
  <c r="BN713" i="42385"/>
  <c r="BP504" i="42385"/>
  <c r="CQ1411" i="42385"/>
  <c r="G21" i="42472"/>
  <c r="B28" i="42407"/>
  <c r="CR399" i="42385"/>
  <c r="AQ310" i="42385"/>
  <c r="AQ1097" i="42385"/>
  <c r="AQ1096" i="42385"/>
  <c r="AZ888" i="42385"/>
  <c r="CV888" i="42385" s="1"/>
  <c r="CV889" i="42385"/>
  <c r="BE890" i="42385"/>
  <c r="CW890" i="42385" s="1"/>
  <c r="M20" i="42412"/>
  <c r="BV1537" i="42385"/>
  <c r="BW739" i="42385"/>
  <c r="BQ54" i="42385"/>
  <c r="BQ52" i="42385"/>
  <c r="BD649" i="42385"/>
  <c r="AY650" i="42385"/>
  <c r="AP1093" i="42385"/>
  <c r="CT1093" i="42385" s="1"/>
  <c r="AP1092" i="42385"/>
  <c r="CT1092" i="42385" s="1"/>
  <c r="CT1091" i="42385"/>
  <c r="BN230" i="42385"/>
  <c r="BS618" i="42385"/>
  <c r="BP1252" i="42385"/>
  <c r="BN1252" i="42385"/>
  <c r="BD1266" i="42385"/>
  <c r="BD1553" i="42385"/>
  <c r="BE1263" i="42385"/>
  <c r="AC45" i="42476"/>
  <c r="AK1281" i="42385"/>
  <c r="CS1281" i="42385" s="1"/>
  <c r="AJ108" i="42385"/>
  <c r="AK108" i="42385" s="1"/>
  <c r="CS108" i="42385" s="1"/>
  <c r="AO310" i="42385"/>
  <c r="AO1096" i="42385"/>
  <c r="AO1097" i="42385"/>
  <c r="AP1095" i="42385"/>
  <c r="CU649" i="42385"/>
  <c r="AL645" i="42385"/>
  <c r="AL644" i="42385"/>
  <c r="AQ643" i="42385"/>
  <c r="BZ421" i="42385"/>
  <c r="CA421" i="42385" s="1"/>
  <c r="CB421" i="42385" s="1"/>
  <c r="CC421" i="42385" s="1"/>
  <c r="CD421" i="42385" s="1"/>
  <c r="CE421" i="42385" s="1"/>
  <c r="CF421" i="42385" s="1"/>
  <c r="DA421" i="42385"/>
  <c r="GM492" i="42417"/>
  <c r="BU770" i="42385"/>
  <c r="BV100" i="42385"/>
  <c r="BU1321" i="42385"/>
  <c r="BU1643" i="42385" s="1"/>
  <c r="Y374" i="42385"/>
  <c r="AW676" i="42385"/>
  <c r="BB676" i="42385"/>
  <c r="BJ919" i="42385"/>
  <c r="CX919" i="42385" s="1"/>
  <c r="CX920" i="42385"/>
  <c r="BJ921" i="42385"/>
  <c r="CX921" i="42385" s="1"/>
  <c r="CA34" i="42385"/>
  <c r="CB34" i="42385" s="1"/>
  <c r="CC34" i="42385" s="1"/>
  <c r="CD34" i="42385" s="1"/>
  <c r="CE34" i="42385" s="1"/>
  <c r="CF34" i="42385" s="1"/>
  <c r="BQ65" i="42385"/>
  <c r="BQ75" i="42385" s="1"/>
  <c r="BQ1514" i="42385" s="1"/>
  <c r="AC12" i="42476"/>
  <c r="BQ42" i="42385"/>
  <c r="BQ1569" i="42385"/>
  <c r="BQ1572" i="42385" s="1"/>
  <c r="BQ1599" i="42385" s="1"/>
  <c r="BQ197" i="42385"/>
  <c r="BR197" i="42385"/>
  <c r="BR1569" i="42385"/>
  <c r="BR1572" i="42385" s="1"/>
  <c r="BR1599" i="42385" s="1"/>
  <c r="BO129" i="42385"/>
  <c r="BJ1622" i="42385"/>
  <c r="CX1622" i="42385" s="1"/>
  <c r="BJ129" i="42385"/>
  <c r="BJ113" i="42385"/>
  <c r="CX127" i="42385"/>
  <c r="AE117" i="42385"/>
  <c r="AF117" i="42385" s="1"/>
  <c r="CR117" i="42385" s="1"/>
  <c r="AF1287" i="42385"/>
  <c r="CR1287" i="42385" s="1"/>
  <c r="AZ117" i="42385"/>
  <c r="CV117" i="42385" s="1"/>
  <c r="CV1287" i="42385"/>
  <c r="F43" i="42465"/>
  <c r="BI571" i="42385"/>
  <c r="BI573" i="42385" s="1"/>
  <c r="BJ566" i="42385"/>
  <c r="AZ1498" i="42385"/>
  <c r="CV1498" i="42385" s="1"/>
  <c r="CV429" i="42385"/>
  <c r="AT234" i="42385"/>
  <c r="AY710" i="42385"/>
  <c r="AZ710" i="42385" s="1"/>
  <c r="AT717" i="42385"/>
  <c r="AT714" i="42385"/>
  <c r="AU710" i="42385"/>
  <c r="BR1252" i="42385"/>
  <c r="BL674" i="42385"/>
  <c r="BL675" i="42385" s="1"/>
  <c r="BL676" i="42385" s="1"/>
  <c r="BQ1252" i="42385"/>
  <c r="FW439" i="42417"/>
  <c r="CS298" i="42385"/>
  <c r="BG220" i="42385"/>
  <c r="BL402" i="42385"/>
  <c r="AO597" i="42385"/>
  <c r="AQ598" i="42385"/>
  <c r="AA256" i="42385"/>
  <c r="CQ256" i="42385" s="1"/>
  <c r="W258" i="42385"/>
  <c r="CA1510" i="42385"/>
  <c r="DB1510" i="42385"/>
  <c r="Z675" i="42385"/>
  <c r="Z677" i="42385"/>
  <c r="BC221" i="42385"/>
  <c r="BC1233" i="42385" s="1"/>
  <c r="BC1241" i="42385" s="1"/>
  <c r="BC434" i="42385"/>
  <c r="BC431" i="42385"/>
  <c r="BP796" i="42385"/>
  <c r="BQ795" i="42385"/>
  <c r="D911" i="42385"/>
  <c r="AU163" i="42400"/>
  <c r="AS163" i="42400" s="1"/>
  <c r="AU155" i="42400"/>
  <c r="AU162" i="42400"/>
  <c r="AU156" i="42400"/>
  <c r="AU161" i="42400"/>
  <c r="BO1373" i="42385"/>
  <c r="BN1375" i="42385"/>
  <c r="AP1590" i="42385"/>
  <c r="AQ1590" i="42385"/>
  <c r="AO1593" i="42385"/>
  <c r="GO494" i="42417"/>
  <c r="CT242" i="42385"/>
  <c r="AP1481" i="42385"/>
  <c r="CT1481" i="42385" s="1"/>
  <c r="CR71" i="42385"/>
  <c r="B10" i="42465"/>
  <c r="BB462" i="42385"/>
  <c r="AW464" i="42385"/>
  <c r="AW467" i="42385"/>
  <c r="AW469" i="42385" s="1"/>
  <c r="AZ462" i="42385"/>
  <c r="W406" i="42385"/>
  <c r="W405" i="42385"/>
  <c r="CV465" i="42385"/>
  <c r="AZ466" i="42385"/>
  <c r="CV466" i="42385" s="1"/>
  <c r="CV1281" i="42385"/>
  <c r="AZ108" i="42385"/>
  <c r="CV108" i="42385" s="1"/>
  <c r="BN115" i="42385"/>
  <c r="AO771" i="42385"/>
  <c r="AO774" i="42385"/>
  <c r="AP770" i="42385"/>
  <c r="AT770" i="42385"/>
  <c r="AY767" i="42385"/>
  <c r="AT237" i="42385"/>
  <c r="AU767" i="42385"/>
  <c r="BW371" i="42385"/>
  <c r="BW219" i="42385"/>
  <c r="CM1351" i="42385"/>
  <c r="CT1102" i="42385"/>
  <c r="AE1579" i="42385"/>
  <c r="AF1579" i="42385" s="1"/>
  <c r="CR1579" i="42385" s="1"/>
  <c r="CA1255" i="42385"/>
  <c r="BP66" i="42400"/>
  <c r="BS66" i="42400"/>
  <c r="BR66" i="42400"/>
  <c r="BQ66" i="42400"/>
  <c r="CT841" i="42385"/>
  <c r="AP842" i="42385"/>
  <c r="CT842" i="42385" s="1"/>
  <c r="I118" i="42385"/>
  <c r="L118" i="42385" s="1"/>
  <c r="CN118" i="42385" s="1"/>
  <c r="N131" i="42385"/>
  <c r="I165" i="42385"/>
  <c r="I166" i="42385" s="1"/>
  <c r="I134" i="42385" s="1"/>
  <c r="I163" i="42385"/>
  <c r="L130" i="42385"/>
  <c r="BC342" i="42385"/>
  <c r="BH342" i="42385"/>
  <c r="BC218" i="42385"/>
  <c r="AR401" i="42385"/>
  <c r="AU400" i="42385"/>
  <c r="CU400" i="42385" s="1"/>
  <c r="CU113" i="42385"/>
  <c r="G72" i="42476"/>
  <c r="DB296" i="42464"/>
  <c r="DB298" i="42464" s="1"/>
  <c r="CX271" i="42464" s="1"/>
  <c r="BE546" i="42385"/>
  <c r="CW546" i="42385" s="1"/>
  <c r="CW532" i="42385"/>
  <c r="BJ533" i="42385"/>
  <c r="CX533" i="42385" s="1"/>
  <c r="AF771" i="42385"/>
  <c r="CR771" i="42385" s="1"/>
  <c r="AK772" i="42385"/>
  <c r="CS772" i="42385" s="1"/>
  <c r="CR770" i="42385"/>
  <c r="AF772" i="42385"/>
  <c r="CR772" i="42385" s="1"/>
  <c r="AM676" i="42385"/>
  <c r="BT1548" i="42385"/>
  <c r="CZ1548" i="42385" s="1"/>
  <c r="CZ1169" i="42385"/>
  <c r="CN1115" i="42385"/>
  <c r="L1116" i="42385"/>
  <c r="CN1116" i="42385" s="1"/>
  <c r="Q1116" i="42385"/>
  <c r="CO1116" i="42385" s="1"/>
  <c r="BB1383" i="42385"/>
  <c r="BA1483" i="42385"/>
  <c r="K58" i="42443"/>
  <c r="K59" i="42443" s="1"/>
  <c r="CW1348" i="42385"/>
  <c r="BE1351" i="42385"/>
  <c r="AN1504" i="42385"/>
  <c r="BB341" i="42385"/>
  <c r="BG230" i="42385"/>
  <c r="BL618" i="42385"/>
  <c r="AW400" i="42385"/>
  <c r="BC1579" i="42385"/>
  <c r="CV1300" i="42385"/>
  <c r="AZ890" i="42385"/>
  <c r="AU243" i="42385"/>
  <c r="L20" i="42412"/>
  <c r="AU888" i="42385"/>
  <c r="CU888" i="42385" s="1"/>
  <c r="CU889" i="42385"/>
  <c r="CW336" i="42385"/>
  <c r="BJ339" i="42385"/>
  <c r="CX339" i="42385" s="1"/>
  <c r="CN301" i="42385"/>
  <c r="L305" i="42385"/>
  <c r="CM286" i="42385"/>
  <c r="G290" i="42385"/>
  <c r="CT640" i="42385"/>
  <c r="AP648" i="42385"/>
  <c r="CT648" i="42385" s="1"/>
  <c r="AO1532" i="42385"/>
  <c r="AP1532" i="42385" s="1"/>
  <c r="CT1532" i="42385" s="1"/>
  <c r="AO842" i="42385"/>
  <c r="AQ841" i="42385"/>
  <c r="AV693" i="42385"/>
  <c r="AV695" i="42385" s="1"/>
  <c r="AV696" i="42385" s="1"/>
  <c r="BA676" i="42385"/>
  <c r="CX1169" i="42385"/>
  <c r="BJ1548" i="42385"/>
  <c r="CX1548" i="42385" s="1"/>
  <c r="G1003" i="42385"/>
  <c r="D1004" i="42385"/>
  <c r="BJ160" i="42385"/>
  <c r="BO1380" i="42385"/>
  <c r="BN1480" i="42385"/>
  <c r="CA1343" i="42385"/>
  <c r="CS156" i="42385"/>
  <c r="AA277" i="42385"/>
  <c r="BI85" i="42385"/>
  <c r="BJ62" i="42385"/>
  <c r="CS295" i="42385"/>
  <c r="AK305" i="42385"/>
  <c r="CW1237" i="42385"/>
  <c r="AV1157" i="42385"/>
  <c r="AV1170" i="42385"/>
  <c r="BO140" i="42400"/>
  <c r="BL140" i="42400" s="1"/>
  <c r="BO134" i="42400"/>
  <c r="BO141" i="42400"/>
  <c r="BO135" i="42400"/>
  <c r="BO142" i="42400"/>
  <c r="BK142" i="42400" s="1"/>
  <c r="BN859" i="42385"/>
  <c r="BO858" i="42385"/>
  <c r="BS859" i="42385"/>
  <c r="BN242" i="42385"/>
  <c r="BO242" i="42385" s="1"/>
  <c r="EH453" i="42492" s="1"/>
  <c r="CB1506" i="42385"/>
  <c r="CC1506" i="42385" s="1"/>
  <c r="CD1506" i="42385" s="1"/>
  <c r="CE1506" i="42385" s="1"/>
  <c r="CF1506" i="42385" s="1"/>
  <c r="DC1506" i="42385"/>
  <c r="BN568" i="42385"/>
  <c r="BN571" i="42385"/>
  <c r="BN573" i="42385" s="1"/>
  <c r="BN574" i="42385" s="1"/>
  <c r="BJ683" i="42385"/>
  <c r="BJ702" i="42385" s="1"/>
  <c r="BK79" i="42385"/>
  <c r="BK1278" i="42385"/>
  <c r="BE859" i="42385"/>
  <c r="CW859" i="42385" s="1"/>
  <c r="CV858" i="42385"/>
  <c r="AP1622" i="42385"/>
  <c r="AP113" i="42385"/>
  <c r="AP129" i="42385"/>
  <c r="AU129" i="42385"/>
  <c r="CT127" i="42385"/>
  <c r="B48" i="42410"/>
  <c r="CR339" i="42385"/>
  <c r="AY220" i="42385"/>
  <c r="AY402" i="42385"/>
  <c r="AT236" i="42385"/>
  <c r="AY748" i="42385"/>
  <c r="AU748" i="42385"/>
  <c r="AT677" i="42385"/>
  <c r="AT675" i="42385"/>
  <c r="Z18" i="42443"/>
  <c r="Z19" i="42443" s="1"/>
  <c r="Z64" i="42443"/>
  <c r="X877" i="42385"/>
  <c r="AS1092" i="42385"/>
  <c r="AS1095" i="42385"/>
  <c r="CA1105" i="42385"/>
  <c r="DB1105" i="42385"/>
  <c r="BF1155" i="42385"/>
  <c r="BA1156" i="42385"/>
  <c r="K11" i="42443"/>
  <c r="P11" i="42443"/>
  <c r="AZ222" i="42400"/>
  <c r="AZ224" i="42400"/>
  <c r="AY224" i="42400" s="1"/>
  <c r="AZ223" i="42400"/>
  <c r="AH1314" i="42385"/>
  <c r="AI1312" i="42385"/>
  <c r="AH1579" i="42385"/>
  <c r="AI1579" i="42385"/>
  <c r="BF163" i="42385"/>
  <c r="BF165" i="42385" s="1"/>
  <c r="BF166" i="42385" s="1"/>
  <c r="BF134" i="42385" s="1"/>
  <c r="BD400" i="42385"/>
  <c r="BD401" i="42385" s="1"/>
  <c r="AQ39" i="42400"/>
  <c r="BJ1114" i="42385"/>
  <c r="CX1114" i="42385" s="1"/>
  <c r="BM1114" i="42385"/>
  <c r="BO1114" i="42385" s="1"/>
  <c r="CY1114" i="42385" s="1"/>
  <c r="AT223" i="42400"/>
  <c r="AQ223" i="42400"/>
  <c r="AS223" i="42400"/>
  <c r="AR223" i="42400"/>
  <c r="P279" i="42400"/>
  <c r="N279" i="42400"/>
  <c r="M279" i="42400"/>
  <c r="O279" i="42400"/>
  <c r="AY38" i="42400"/>
  <c r="AW38" i="42400"/>
  <c r="AX38" i="42400"/>
  <c r="AV38" i="42400"/>
  <c r="O283" i="42400"/>
  <c r="D292" i="42400"/>
  <c r="AS38" i="42400"/>
  <c r="AT38" i="42400"/>
  <c r="AQ38" i="42400"/>
  <c r="AR38" i="42400"/>
  <c r="AS224" i="42400"/>
  <c r="AD141" i="42400"/>
  <c r="AE141" i="42400"/>
  <c r="AC141" i="42400"/>
  <c r="AB141" i="42400"/>
  <c r="D282" i="42400"/>
  <c r="F282" i="42400"/>
  <c r="E282" i="42400"/>
  <c r="C282" i="42400"/>
  <c r="D288" i="42400"/>
  <c r="F288" i="42400"/>
  <c r="C288" i="42400"/>
  <c r="E288" i="42400"/>
  <c r="AB89" i="42400"/>
  <c r="AD89" i="42400"/>
  <c r="AC89" i="42400"/>
  <c r="AE89" i="42400"/>
  <c r="BG142" i="42400"/>
  <c r="M289" i="42400"/>
  <c r="M288" i="42400"/>
  <c r="AM92" i="42400"/>
  <c r="AM91" i="42400"/>
  <c r="AM37" i="42400"/>
  <c r="AN38" i="42400"/>
  <c r="CS479" i="42385"/>
  <c r="AI1017" i="42385"/>
  <c r="AN1016" i="42385"/>
  <c r="AT37" i="42400"/>
  <c r="AS37" i="42400"/>
  <c r="AO282" i="42400"/>
  <c r="AN282" i="42400"/>
  <c r="AL282" i="42400"/>
  <c r="AM282" i="42400"/>
  <c r="K800" i="42385"/>
  <c r="M283" i="42400"/>
  <c r="AO89" i="42400"/>
  <c r="AO40" i="42400"/>
  <c r="BG1103" i="42385"/>
  <c r="BL1103" i="42385" s="1"/>
  <c r="AT40" i="42400"/>
  <c r="AR40" i="42400"/>
  <c r="AQ40" i="42400"/>
  <c r="AS40" i="42400"/>
  <c r="AR43" i="42400"/>
  <c r="AT43" i="42400"/>
  <c r="AS43" i="42400"/>
  <c r="AQ43" i="42400"/>
  <c r="AM289" i="42400"/>
  <c r="AO289" i="42400"/>
  <c r="AN289" i="42400"/>
  <c r="AL289" i="42400"/>
  <c r="AM279" i="42400"/>
  <c r="AN279" i="42400"/>
  <c r="AL279" i="42400"/>
  <c r="AO279" i="42400"/>
  <c r="AM280" i="42400"/>
  <c r="AN280" i="42400"/>
  <c r="AO280" i="42400"/>
  <c r="AL280" i="42400"/>
  <c r="AE135" i="42400"/>
  <c r="AE137" i="42400" s="1"/>
  <c r="F290" i="42400"/>
  <c r="C291" i="42400"/>
  <c r="AE90" i="42400"/>
  <c r="N280" i="42400"/>
  <c r="AX37" i="42400"/>
  <c r="AM281" i="42400"/>
  <c r="AM285" i="42400" s="1"/>
  <c r="AL281" i="42400"/>
  <c r="AN281" i="42400"/>
  <c r="AO281" i="42400"/>
  <c r="E279" i="42400"/>
  <c r="BI141" i="42400"/>
  <c r="BF141" i="42400"/>
  <c r="BG141" i="42400"/>
  <c r="BH141" i="42400"/>
  <c r="AM93" i="42400"/>
  <c r="AL93" i="42400"/>
  <c r="AN93" i="42400"/>
  <c r="AO93" i="42400"/>
  <c r="AL42" i="42400"/>
  <c r="AN42" i="42400"/>
  <c r="AM42" i="42400"/>
  <c r="AO42" i="42400"/>
  <c r="AN89" i="42400"/>
  <c r="AL40" i="42400"/>
  <c r="AM1083" i="42385"/>
  <c r="AQ41" i="42400"/>
  <c r="AN291" i="42400"/>
  <c r="AT222" i="42400"/>
  <c r="AF144" i="42400"/>
  <c r="AE140" i="42400"/>
  <c r="AC140" i="42400"/>
  <c r="AB140" i="42400"/>
  <c r="AD140" i="42400"/>
  <c r="F281" i="42400"/>
  <c r="D281" i="42400"/>
  <c r="E281" i="42400"/>
  <c r="C281" i="42400"/>
  <c r="C280" i="42400"/>
  <c r="E280" i="42400"/>
  <c r="D280" i="42400"/>
  <c r="F280" i="42400"/>
  <c r="AD91" i="42400"/>
  <c r="AB91" i="42400"/>
  <c r="AC91" i="42400"/>
  <c r="AE91" i="42400"/>
  <c r="AC93" i="42400"/>
  <c r="AE93" i="42400"/>
  <c r="AD93" i="42400"/>
  <c r="AB93" i="42400"/>
  <c r="BI140" i="42400"/>
  <c r="BI135" i="42400"/>
  <c r="BI137" i="42400" s="1"/>
  <c r="BG135" i="42400"/>
  <c r="BF135" i="42400"/>
  <c r="BH135" i="42400"/>
  <c r="N282" i="42400"/>
  <c r="O282" i="42400"/>
  <c r="M282" i="42400"/>
  <c r="P282" i="42400"/>
  <c r="AN87" i="42400"/>
  <c r="AL87" i="42400"/>
  <c r="AM87" i="42400"/>
  <c r="AO87" i="42400"/>
  <c r="AO39" i="42400"/>
  <c r="BM1113" i="42385"/>
  <c r="AR706" i="42385"/>
  <c r="DB877" i="42385"/>
  <c r="AX653" i="42385"/>
  <c r="AX656" i="42385" s="1"/>
  <c r="AX657" i="42385" s="1"/>
  <c r="AY654" i="42385"/>
  <c r="AY653" i="42385" s="1"/>
  <c r="CB422" i="42385"/>
  <c r="CC422" i="42385" s="1"/>
  <c r="CD422" i="42385" s="1"/>
  <c r="CE422" i="42385" s="1"/>
  <c r="CF422" i="42385" s="1"/>
  <c r="DC422" i="42385"/>
  <c r="BJ1489" i="42385"/>
  <c r="T113" i="42385"/>
  <c r="T1622" i="42385"/>
  <c r="T1623" i="42385" s="1"/>
  <c r="T129" i="42385"/>
  <c r="U127" i="42385"/>
  <c r="V127" i="42385" s="1"/>
  <c r="T128" i="42385"/>
  <c r="CR268" i="42385"/>
  <c r="BV531" i="42385"/>
  <c r="BQ532" i="42385"/>
  <c r="BP218" i="42385"/>
  <c r="BP342" i="42385"/>
  <c r="BH221" i="42385"/>
  <c r="BH434" i="42385"/>
  <c r="BH440" i="42385"/>
  <c r="BH442" i="42385" s="1"/>
  <c r="BH431" i="42385"/>
  <c r="BU248" i="42385"/>
  <c r="BY302" i="42385"/>
  <c r="BR224" i="42385"/>
  <c r="BR505" i="42385"/>
  <c r="BR507" i="42385"/>
  <c r="E818" i="42385"/>
  <c r="G817" i="42385"/>
  <c r="AZ676" i="42385"/>
  <c r="AZ693" i="42385"/>
  <c r="AZ695" i="42385" s="1"/>
  <c r="AZ696" i="42385" s="1"/>
  <c r="AQ758" i="42385"/>
  <c r="AO759" i="42385"/>
  <c r="AO1538" i="42385"/>
  <c r="AP1538" i="42385" s="1"/>
  <c r="CT1538" i="42385" s="1"/>
  <c r="BG693" i="42385"/>
  <c r="BG695" i="42385" s="1"/>
  <c r="BG696" i="42385" s="1"/>
  <c r="BG676" i="42385"/>
  <c r="E849" i="42385"/>
  <c r="AQ1166" i="42385"/>
  <c r="BN1203" i="42385"/>
  <c r="BN1214" i="42385"/>
  <c r="BN1206" i="42385"/>
  <c r="BN1220" i="42385"/>
  <c r="BO1220" i="42385" s="1"/>
  <c r="F18" i="42443"/>
  <c r="BI981" i="42385"/>
  <c r="BD982" i="42385"/>
  <c r="BV362" i="42385"/>
  <c r="CQ1351" i="42385"/>
  <c r="AT995" i="42385"/>
  <c r="S1426" i="42385"/>
  <c r="S201" i="42385"/>
  <c r="CW1235" i="42385"/>
  <c r="BN110" i="42385"/>
  <c r="BO1284" i="42385"/>
  <c r="AC1326" i="42385"/>
  <c r="AD1319" i="42385"/>
  <c r="C25" i="42465"/>
  <c r="CS1351" i="42385"/>
  <c r="AQ1660" i="42385"/>
  <c r="C34" i="42476"/>
  <c r="AQ1585" i="42385"/>
  <c r="BT1304" i="42385"/>
  <c r="CZ113" i="42385"/>
  <c r="AF72" i="42476"/>
  <c r="DA826" i="42385"/>
  <c r="BZ826" i="42385"/>
  <c r="BS644" i="42385"/>
  <c r="BS231" i="42385"/>
  <c r="BS647" i="42385"/>
  <c r="BX640" i="42385"/>
  <c r="CA971" i="42385"/>
  <c r="CB971" i="42385" s="1"/>
  <c r="CC971" i="42385" s="1"/>
  <c r="W40" i="42417"/>
  <c r="Y40" i="42417" s="1"/>
  <c r="CP240" i="42385"/>
  <c r="E9" i="42409"/>
  <c r="CX63" i="42385"/>
  <c r="CR245" i="42385"/>
  <c r="X48" i="42417"/>
  <c r="Y129" i="42385"/>
  <c r="W48" i="42417"/>
  <c r="CP245" i="42385"/>
  <c r="AR643" i="42385"/>
  <c r="AM645" i="42385"/>
  <c r="AM644" i="42385"/>
  <c r="AP643" i="42385"/>
  <c r="CT643" i="42385" s="1"/>
  <c r="BD675" i="42385"/>
  <c r="BD677" i="42385"/>
  <c r="BH674" i="42385"/>
  <c r="BI677" i="42385"/>
  <c r="E1085" i="42385"/>
  <c r="G1084" i="42385"/>
  <c r="AQ719" i="42385"/>
  <c r="AQ718" i="42385"/>
  <c r="Z50" i="42443"/>
  <c r="Z51" i="42443" s="1"/>
  <c r="Z65" i="42443"/>
  <c r="AH258" i="42385"/>
  <c r="AH13" i="42385"/>
  <c r="AH14" i="42385" s="1"/>
  <c r="CY1197" i="42385"/>
  <c r="BO1200" i="42385"/>
  <c r="AR985" i="42385"/>
  <c r="AW983" i="42385"/>
  <c r="BO1291" i="42385"/>
  <c r="BO115" i="42385" s="1"/>
  <c r="CY115" i="42385" s="1"/>
  <c r="BC1300" i="42385"/>
  <c r="BB115" i="42385"/>
  <c r="BO160" i="42385"/>
  <c r="BK163" i="42385"/>
  <c r="BB1379" i="42385"/>
  <c r="BC1379" i="42385" s="1"/>
  <c r="BD1379" i="42385" s="1"/>
  <c r="BT83" i="42400"/>
  <c r="BT90" i="42400" s="1"/>
  <c r="BT825" i="42385"/>
  <c r="CZ825" i="42385" s="1"/>
  <c r="CZ824" i="42385"/>
  <c r="AR996" i="42385"/>
  <c r="Y201" i="42385"/>
  <c r="X201" i="42385"/>
  <c r="U35" i="42443"/>
  <c r="P35" i="42443"/>
  <c r="BB1373" i="42385"/>
  <c r="BA1375" i="42385"/>
  <c r="BD1579" i="42385"/>
  <c r="CU1162" i="42385"/>
  <c r="AU1163" i="42385"/>
  <c r="CU1163" i="42385" s="1"/>
  <c r="U1579" i="42385"/>
  <c r="V1579" i="42385" s="1"/>
  <c r="CP1579" i="42385" s="1"/>
  <c r="BA658" i="42385"/>
  <c r="BN281" i="42385"/>
  <c r="BN648" i="42385"/>
  <c r="BX828" i="42385"/>
  <c r="BX241" i="42385"/>
  <c r="I131" i="42385"/>
  <c r="D118" i="42385"/>
  <c r="D163" i="42385"/>
  <c r="D165" i="42385"/>
  <c r="D166" i="42385" s="1"/>
  <c r="D134" i="42385" s="1"/>
  <c r="CV73" i="42385"/>
  <c r="F10" i="42465"/>
  <c r="P346" i="42385"/>
  <c r="K345" i="42385"/>
  <c r="K346" i="42385"/>
  <c r="AP399" i="42385"/>
  <c r="CT399" i="42385" s="1"/>
  <c r="CS398" i="42385"/>
  <c r="AK399" i="42385"/>
  <c r="CS399" i="42385" s="1"/>
  <c r="Y118" i="42385"/>
  <c r="Y165" i="42385"/>
  <c r="Y166" i="42385" s="1"/>
  <c r="Y134" i="42385" s="1"/>
  <c r="Y163" i="42385"/>
  <c r="AQ591" i="42385"/>
  <c r="AV590" i="42385"/>
  <c r="W42" i="42417"/>
  <c r="CP247" i="42385"/>
  <c r="D345" i="42385"/>
  <c r="G344" i="42385"/>
  <c r="CM344" i="42385" s="1"/>
  <c r="BW220" i="42385"/>
  <c r="BW402" i="42385"/>
  <c r="AO752" i="42385"/>
  <c r="AP751" i="42385"/>
  <c r="AO755" i="42385"/>
  <c r="AT751" i="42385"/>
  <c r="BJ240" i="42385"/>
  <c r="AU1548" i="42385"/>
  <c r="CU1548" i="42385" s="1"/>
  <c r="CU1169" i="42385"/>
  <c r="AU693" i="42385"/>
  <c r="AU695" i="42385" s="1"/>
  <c r="AU696" i="42385" s="1"/>
  <c r="AU676" i="42385"/>
  <c r="CT758" i="42385"/>
  <c r="AP759" i="42385"/>
  <c r="CT759" i="42385" s="1"/>
  <c r="AR254" i="42385"/>
  <c r="AR1092" i="42385"/>
  <c r="AR1095" i="42385"/>
  <c r="AU1088" i="42385"/>
  <c r="AR1099" i="42385"/>
  <c r="BK674" i="42385"/>
  <c r="BK675" i="42385" s="1"/>
  <c r="BO919" i="42385"/>
  <c r="CY919" i="42385" s="1"/>
  <c r="CY920" i="42385"/>
  <c r="BO921" i="42385"/>
  <c r="CY921" i="42385" s="1"/>
  <c r="AV717" i="42385"/>
  <c r="AV714" i="42385"/>
  <c r="AV234" i="42385"/>
  <c r="BA710" i="42385"/>
  <c r="AG23" i="42385"/>
  <c r="AG314" i="42385"/>
  <c r="AK312" i="42385"/>
  <c r="AS982" i="42385"/>
  <c r="AS996" i="42385" s="1"/>
  <c r="AT981" i="42385"/>
  <c r="AT982" i="42385" s="1"/>
  <c r="AY983" i="42385" s="1"/>
  <c r="Q312" i="42385"/>
  <c r="CO312" i="42385" s="1"/>
  <c r="N314" i="42385"/>
  <c r="BC110" i="42385"/>
  <c r="BD1284" i="42385"/>
  <c r="BE1284" i="42385" s="1"/>
  <c r="BH1314" i="42385"/>
  <c r="BJ1575" i="42385"/>
  <c r="CX1575" i="42385" s="1"/>
  <c r="CX1500" i="42385"/>
  <c r="D880" i="42385"/>
  <c r="AS110" i="42385"/>
  <c r="AT1284" i="42385"/>
  <c r="AT110" i="42385" s="1"/>
  <c r="CU1306" i="42385"/>
  <c r="E47" i="42465"/>
  <c r="BV1341" i="42385"/>
  <c r="BW1341" i="42385" s="1"/>
  <c r="BU1289" i="42385"/>
  <c r="BU115" i="42385" s="1"/>
  <c r="X1426" i="42385"/>
  <c r="AY300" i="42385"/>
  <c r="AF27" i="42476"/>
  <c r="AF28" i="42476" s="1"/>
  <c r="G47" i="42408"/>
  <c r="CZ101" i="42385"/>
  <c r="AV220" i="42385"/>
  <c r="AV402" i="42385"/>
  <c r="AW1172" i="42385"/>
  <c r="S131" i="42385"/>
  <c r="X131" i="42385"/>
  <c r="S163" i="42385"/>
  <c r="S165" i="42385"/>
  <c r="S166" i="42385" s="1"/>
  <c r="S134" i="42385" s="1"/>
  <c r="S118" i="42385"/>
  <c r="CP234" i="42385"/>
  <c r="W45" i="42417"/>
  <c r="Y45" i="42417" s="1"/>
  <c r="B20" i="42408"/>
  <c r="G20" i="42408" s="1"/>
  <c r="CY298" i="42385"/>
  <c r="AK339" i="42385"/>
  <c r="CS339" i="42385" s="1"/>
  <c r="AP339" i="42385"/>
  <c r="CT339" i="42385" s="1"/>
  <c r="CS336" i="42385"/>
  <c r="BJ438" i="42385"/>
  <c r="CX436" i="42385"/>
  <c r="BJ437" i="42385"/>
  <c r="CX437" i="42385" s="1"/>
  <c r="D314" i="42385"/>
  <c r="Y345" i="42385"/>
  <c r="CN254" i="42385"/>
  <c r="CR340" i="42385"/>
  <c r="B49" i="42410"/>
  <c r="U258" i="42385"/>
  <c r="V256" i="42385"/>
  <c r="CP256" i="42385" s="1"/>
  <c r="BP673" i="42385"/>
  <c r="BP674" i="42385" s="1"/>
  <c r="BU664" i="42385"/>
  <c r="BY664" i="42385" s="1"/>
  <c r="BP681" i="42385"/>
  <c r="BT664" i="42385"/>
  <c r="CT1351" i="42385"/>
  <c r="D25" i="42465"/>
  <c r="CM762" i="42385"/>
  <c r="H765" i="42385"/>
  <c r="AY246" i="42385"/>
  <c r="AZ246" i="42385" s="1"/>
  <c r="CV246" i="42385" s="1"/>
  <c r="AY996" i="42385"/>
  <c r="Z201" i="42385"/>
  <c r="BJ667" i="42385"/>
  <c r="BI673" i="42385"/>
  <c r="BN667" i="42385"/>
  <c r="AH1373" i="42385"/>
  <c r="AG1375" i="42385"/>
  <c r="BS241" i="42385"/>
  <c r="BT241" i="42385" s="1"/>
  <c r="BS828" i="42385"/>
  <c r="BT827" i="42385"/>
  <c r="CZ827" i="42385" s="1"/>
  <c r="Y1579" i="42385"/>
  <c r="W1579" i="42385"/>
  <c r="CB1192" i="42385"/>
  <c r="DC1192" i="42385"/>
  <c r="CW1359" i="42385"/>
  <c r="BE1364" i="42385"/>
  <c r="CW1364" i="42385" s="1"/>
  <c r="G27" i="42465"/>
  <c r="Y346" i="42385"/>
  <c r="AE63" i="42385"/>
  <c r="AE1280" i="42385"/>
  <c r="AF1280" i="42385" s="1"/>
  <c r="B42" i="42465" s="1"/>
  <c r="AJ1557" i="42385"/>
  <c r="AE107" i="42385"/>
  <c r="AF107" i="42385" s="1"/>
  <c r="CR107" i="42385" s="1"/>
  <c r="AF1556" i="42385"/>
  <c r="BW828" i="42385"/>
  <c r="BE981" i="42385"/>
  <c r="BP291" i="42400"/>
  <c r="BR291" i="42400"/>
  <c r="BS291" i="42400"/>
  <c r="BQ291" i="42400"/>
  <c r="BR289" i="42400"/>
  <c r="BM1186" i="42385"/>
  <c r="BN1187" i="42385"/>
  <c r="BP1186" i="42385"/>
  <c r="BP1187" i="42385" s="1"/>
  <c r="BS1186" i="42385"/>
  <c r="BR1186" i="42385"/>
  <c r="BQ1186" i="42385"/>
  <c r="CZ1186" i="42385"/>
  <c r="BY1186" i="42385"/>
  <c r="BU1186" i="42385" s="1"/>
  <c r="BP292" i="42400"/>
  <c r="CN179" i="42385"/>
  <c r="M179" i="42385"/>
  <c r="N179" i="42385" s="1"/>
  <c r="O179" i="42385" s="1"/>
  <c r="P179" i="42385" s="1"/>
  <c r="Q179" i="42385" s="1"/>
  <c r="R179" i="42385" s="1"/>
  <c r="S179" i="42385" s="1"/>
  <c r="T179" i="42385" s="1"/>
  <c r="U179" i="42385" s="1"/>
  <c r="V179" i="42385" s="1"/>
  <c r="CP179" i="42385" s="1"/>
  <c r="N863" i="42385"/>
  <c r="N862" i="42385"/>
  <c r="BR288" i="42400"/>
  <c r="BS288" i="42400"/>
  <c r="BP288" i="42400"/>
  <c r="BQ288" i="42400"/>
  <c r="BQ41" i="42400"/>
  <c r="BR37" i="42400"/>
  <c r="AI1018" i="42385"/>
  <c r="Q67" i="42443"/>
  <c r="AH1017" i="42385"/>
  <c r="AM1018" i="42385"/>
  <c r="AR1016" i="42385"/>
  <c r="AM1017" i="42385"/>
  <c r="BH542" i="42385"/>
  <c r="BN52" i="42385"/>
  <c r="AA83" i="42385"/>
  <c r="CQ83" i="42385" s="1"/>
  <c r="CQ48" i="42385"/>
  <c r="AA53" i="42385"/>
  <c r="B12" i="42465"/>
  <c r="CR76" i="42385"/>
  <c r="AV165" i="42385"/>
  <c r="AV166" i="42385" s="1"/>
  <c r="AV134" i="42385" s="1"/>
  <c r="CM230" i="42385"/>
  <c r="CP266" i="42385"/>
  <c r="V277" i="42385"/>
  <c r="CN287" i="42385"/>
  <c r="L290" i="42385"/>
  <c r="GJ531" i="42417"/>
  <c r="AJ314" i="42385"/>
  <c r="J354" i="42385"/>
  <c r="L347" i="42385"/>
  <c r="J344" i="42385"/>
  <c r="CR355" i="42385"/>
  <c r="B62" i="42410"/>
  <c r="X405" i="42385"/>
  <c r="X406" i="42385"/>
  <c r="BA369" i="42385"/>
  <c r="BO244" i="42385"/>
  <c r="AG258" i="42385"/>
  <c r="AG13" i="42385"/>
  <c r="AC23" i="42385"/>
  <c r="AF312" i="42385"/>
  <c r="CR312" i="42385" s="1"/>
  <c r="BC547" i="42385"/>
  <c r="BC543" i="42385"/>
  <c r="BC272" i="42385"/>
  <c r="BU242" i="42385"/>
  <c r="BU859" i="42385"/>
  <c r="CN1107" i="42385"/>
  <c r="Q1108" i="42385"/>
  <c r="CO1108" i="42385" s="1"/>
  <c r="AU1291" i="42385"/>
  <c r="CU1291" i="42385" s="1"/>
  <c r="BX857" i="42385"/>
  <c r="BX858" i="42385" s="1"/>
  <c r="BX859" i="42385" s="1"/>
  <c r="BW858" i="42385"/>
  <c r="CQ1375" i="42385"/>
  <c r="AT1524" i="42385"/>
  <c r="AT1450" i="42385"/>
  <c r="AU1450" i="42385" s="1"/>
  <c r="CU1450" i="42385" s="1"/>
  <c r="AT1452" i="42385"/>
  <c r="AT1483" i="42385" s="1"/>
  <c r="AT1451" i="42385"/>
  <c r="AT1482" i="42385" s="1"/>
  <c r="AU1442" i="42385"/>
  <c r="BC1384" i="42385"/>
  <c r="BC1484" i="42385" s="1"/>
  <c r="AB1406" i="42385"/>
  <c r="AB1424" i="42385" s="1"/>
  <c r="AB1426" i="42385" s="1"/>
  <c r="AB1564" i="42385"/>
  <c r="AC1504" i="42385"/>
  <c r="AY487" i="42385"/>
  <c r="AY223" i="42385"/>
  <c r="AY489" i="42385"/>
  <c r="AC117" i="42408"/>
  <c r="AC123" i="42408" s="1"/>
  <c r="BV218" i="42385"/>
  <c r="BV342" i="42385"/>
  <c r="BU1047" i="42385"/>
  <c r="BU1066" i="42385"/>
  <c r="BU1067" i="42385" s="1"/>
  <c r="CS5" i="42385"/>
  <c r="CO287" i="42385"/>
  <c r="Q290" i="42385"/>
  <c r="CP230" i="42385"/>
  <c r="W43" i="42417"/>
  <c r="Y43" i="42417" s="1"/>
  <c r="CR295" i="42385"/>
  <c r="AF305" i="42385"/>
  <c r="N354" i="42385"/>
  <c r="N344" i="42385"/>
  <c r="Q347" i="42385"/>
  <c r="BT398" i="42385"/>
  <c r="BS401" i="42385"/>
  <c r="BC442" i="42385"/>
  <c r="BC441" i="42385"/>
  <c r="BC268" i="42385"/>
  <c r="BM221" i="42385"/>
  <c r="BM434" i="42385"/>
  <c r="BM431" i="42385"/>
  <c r="AQ757" i="42385"/>
  <c r="AQ756" i="42385"/>
  <c r="AQ286" i="42385"/>
  <c r="F787" i="42385"/>
  <c r="AZ240" i="42385"/>
  <c r="CV240" i="42385" s="1"/>
  <c r="BK566" i="42385"/>
  <c r="BK226" i="42385"/>
  <c r="BP564" i="42385"/>
  <c r="GN490" i="42417"/>
  <c r="P58" i="42443"/>
  <c r="CR1115" i="42385"/>
  <c r="AF1116" i="42385"/>
  <c r="CR1116" i="42385" s="1"/>
  <c r="AK1116" i="42385"/>
  <c r="CS1116" i="42385" s="1"/>
  <c r="AQ1413" i="42385"/>
  <c r="CT1413" i="42385"/>
  <c r="AP1421" i="42385"/>
  <c r="AR1482" i="42385"/>
  <c r="BB1491" i="42385"/>
  <c r="BU1388" i="42385"/>
  <c r="BC1490" i="42385"/>
  <c r="BB1389" i="42385"/>
  <c r="CT1119" i="42385"/>
  <c r="BN402" i="42385"/>
  <c r="BN220" i="42385"/>
  <c r="I180" i="42385"/>
  <c r="BI24" i="42385"/>
  <c r="BI40" i="42385" s="1"/>
  <c r="BJ23" i="42385"/>
  <c r="AM316" i="42385"/>
  <c r="BA248" i="42424"/>
  <c r="CQ287" i="42385"/>
  <c r="CP287" i="42385"/>
  <c r="V290" i="42385"/>
  <c r="Q337" i="42385"/>
  <c r="BW429" i="42385"/>
  <c r="BR430" i="42385"/>
  <c r="AX1161" i="42385"/>
  <c r="AO721" i="42385"/>
  <c r="AO1536" i="42385"/>
  <c r="AQ720" i="42385"/>
  <c r="AP720" i="42385"/>
  <c r="AU229" i="42400"/>
  <c r="AR229" i="42400" s="1"/>
  <c r="AU230" i="42400"/>
  <c r="AU231" i="42400"/>
  <c r="AO1115" i="42385"/>
  <c r="AP1111" i="42385"/>
  <c r="AT1111" i="42385"/>
  <c r="AX1164" i="42385"/>
  <c r="AX1166" i="42385" s="1"/>
  <c r="AI110" i="42385"/>
  <c r="AJ1284" i="42385"/>
  <c r="AJ110" i="42385" s="1"/>
  <c r="BM1314" i="42385"/>
  <c r="BC246" i="42385"/>
  <c r="BC983" i="42385"/>
  <c r="BO1286" i="42385"/>
  <c r="CY1286" i="42385" s="1"/>
  <c r="BO1306" i="42385"/>
  <c r="CR1563" i="42385"/>
  <c r="AF1593" i="42385"/>
  <c r="CR1593" i="42385" s="1"/>
  <c r="AN1660" i="42385"/>
  <c r="AN1585" i="42385"/>
  <c r="AS1481" i="42385"/>
  <c r="BB1484" i="42385"/>
  <c r="BK1593" i="42385"/>
  <c r="BL1590" i="42385"/>
  <c r="BC1399" i="42385"/>
  <c r="J314" i="42385"/>
  <c r="DC793" i="42385"/>
  <c r="BX400" i="42385"/>
  <c r="BG1120" i="42385"/>
  <c r="Q5" i="42385"/>
  <c r="CM301" i="42385"/>
  <c r="G305" i="42385"/>
  <c r="I50" i="42385"/>
  <c r="I65" i="42385" s="1"/>
  <c r="I75" i="42385" s="1"/>
  <c r="I1514" i="42385" s="1"/>
  <c r="BA431" i="42385"/>
  <c r="Y1647" i="42385"/>
  <c r="Y50" i="42385"/>
  <c r="Y54" i="42385" s="1"/>
  <c r="Y1663" i="42385" s="1"/>
  <c r="AD315" i="42385"/>
  <c r="AP248" i="42424"/>
  <c r="Y316" i="42385"/>
  <c r="CQ300" i="42385"/>
  <c r="AQ371" i="42385"/>
  <c r="AQ219" i="42385"/>
  <c r="AQ385" i="42385"/>
  <c r="AN487" i="42385"/>
  <c r="AN489" i="42385"/>
  <c r="AO486" i="42385"/>
  <c r="AP486" i="42385" s="1"/>
  <c r="BH537" i="42385"/>
  <c r="BJ535" i="42385"/>
  <c r="BH512" i="42385"/>
  <c r="BH509" i="42385"/>
  <c r="AT1095" i="42385"/>
  <c r="AT1092" i="42385"/>
  <c r="AU1091" i="42385"/>
  <c r="BH982" i="42385"/>
  <c r="BM981" i="42385"/>
  <c r="F1510" i="42385"/>
  <c r="G1511" i="42385"/>
  <c r="F1500" i="42385"/>
  <c r="CM112" i="42385"/>
  <c r="BV859" i="42385"/>
  <c r="BV242" i="42385"/>
  <c r="BU1390" i="42385"/>
  <c r="BU1490" i="42385" s="1"/>
  <c r="AB1593" i="42385"/>
  <c r="BB1497" i="42385"/>
  <c r="BJ567" i="42385"/>
  <c r="CX567" i="42385" s="1"/>
  <c r="GB477" i="42464"/>
  <c r="BJ226" i="42385"/>
  <c r="GB533" i="42464"/>
  <c r="GB536" i="42464" s="1"/>
  <c r="BJ577" i="42385"/>
  <c r="CX577" i="42385" s="1"/>
  <c r="CX563" i="42385"/>
  <c r="GB505" i="42464"/>
  <c r="GB515" i="42464" s="1"/>
  <c r="AK657" i="42385"/>
  <c r="CA909" i="42385"/>
  <c r="DC909" i="42385" s="1"/>
  <c r="DB909" i="42385"/>
  <c r="BB1603" i="42385"/>
  <c r="BB1600" i="42385"/>
  <c r="BV686" i="42385"/>
  <c r="AC1564" i="42385"/>
  <c r="AC1406" i="42385"/>
  <c r="AC1424" i="42385" s="1"/>
  <c r="AC1426" i="42385" s="1"/>
  <c r="CP139" i="42385"/>
  <c r="BL290" i="42400"/>
  <c r="E923" i="42385"/>
  <c r="E927" i="42385"/>
  <c r="E932" i="42385"/>
  <c r="H808" i="42385"/>
  <c r="H799" i="42385"/>
  <c r="H803" i="42385"/>
  <c r="CB1522" i="42385"/>
  <c r="CC1522" i="42385" s="1"/>
  <c r="CD1522" i="42385" s="1"/>
  <c r="CE1522" i="42385" s="1"/>
  <c r="CF1522" i="42385" s="1"/>
  <c r="DC1522" i="42385"/>
  <c r="C56" i="42410"/>
  <c r="AS269" i="42385"/>
  <c r="AS470" i="42385"/>
  <c r="AJ181" i="42470"/>
  <c r="AJ183" i="42470" s="1"/>
  <c r="F1017" i="42385"/>
  <c r="DB304" i="42464"/>
  <c r="DB306" i="42464" s="1"/>
  <c r="CX261" i="42464" s="1"/>
  <c r="CW459" i="42385"/>
  <c r="AR26" i="42385"/>
  <c r="D56" i="42410"/>
  <c r="AN184" i="42470"/>
  <c r="AN169" i="42470"/>
  <c r="AN172" i="42470" s="1"/>
  <c r="AN173" i="42470" s="1"/>
  <c r="AN193" i="42470"/>
  <c r="AL169" i="42470" s="1"/>
  <c r="AL178" i="42470" s="1"/>
  <c r="AL184" i="42470"/>
  <c r="BS1356" i="42385"/>
  <c r="BT1356" i="42385" s="1"/>
  <c r="Y963" i="42385"/>
  <c r="BL291" i="42400"/>
  <c r="CT254" i="42385"/>
  <c r="GO500" i="42417"/>
  <c r="AF676" i="42385"/>
  <c r="AF693" i="42385"/>
  <c r="AF695" i="42385" s="1"/>
  <c r="AF696" i="42385" s="1"/>
  <c r="AS140" i="42400"/>
  <c r="BP546" i="42385"/>
  <c r="AX770" i="42385"/>
  <c r="AS771" i="42385"/>
  <c r="AS774" i="42385"/>
  <c r="AH344" i="42385"/>
  <c r="AH354" i="42385"/>
  <c r="BD164" i="42417"/>
  <c r="AL316" i="42385"/>
  <c r="AL1647" i="42385"/>
  <c r="AZ248" i="42424"/>
  <c r="AZ250" i="42424" s="1"/>
  <c r="AB99" i="42424"/>
  <c r="AB101" i="42424" s="1"/>
  <c r="AL50" i="42385"/>
  <c r="AL65" i="42385" s="1"/>
  <c r="AL75" i="42385" s="1"/>
  <c r="AQ1528" i="42385"/>
  <c r="AR356" i="42385"/>
  <c r="AQ357" i="42385"/>
  <c r="AU218" i="42385"/>
  <c r="CU341" i="42385"/>
  <c r="DL334" i="42464"/>
  <c r="P834" i="42385"/>
  <c r="AD1514" i="42385"/>
  <c r="O45" i="42412"/>
  <c r="CU1402" i="42385"/>
  <c r="AU1406" i="42385"/>
  <c r="CU1406" i="42385" s="1"/>
  <c r="AU1564" i="42385"/>
  <c r="J862" i="42385"/>
  <c r="E861" i="42385"/>
  <c r="E862" i="42385" s="1"/>
  <c r="E870" i="42385"/>
  <c r="E865" i="42385"/>
  <c r="AX487" i="42385"/>
  <c r="AX223" i="42385"/>
  <c r="AX489" i="42385"/>
  <c r="M292" i="42400"/>
  <c r="O292" i="42400"/>
  <c r="N292" i="42400"/>
  <c r="P292" i="42400"/>
  <c r="M808" i="42385"/>
  <c r="M799" i="42385"/>
  <c r="M803" i="42385"/>
  <c r="BK430" i="42385"/>
  <c r="BP429" i="42385"/>
  <c r="BA774" i="42385"/>
  <c r="BA771" i="42385"/>
  <c r="BF767" i="42385"/>
  <c r="BA237" i="42385"/>
  <c r="AT467" i="42385"/>
  <c r="AU462" i="42385"/>
  <c r="AZ464" i="42385" s="1"/>
  <c r="CV464" i="42385" s="1"/>
  <c r="AY464" i="42385"/>
  <c r="AK1499" i="42385"/>
  <c r="CS1499" i="42385" s="1"/>
  <c r="CS1525" i="42385"/>
  <c r="BM291" i="42400"/>
  <c r="AP1317" i="42385"/>
  <c r="BC99" i="42418"/>
  <c r="C865" i="42385"/>
  <c r="M18" i="42403"/>
  <c r="M27" i="42403"/>
  <c r="EF453" i="42492"/>
  <c r="CW242" i="42385"/>
  <c r="CS274" i="42385"/>
  <c r="AK277" i="42385"/>
  <c r="F839" i="42385"/>
  <c r="F830" i="42385"/>
  <c r="F834" i="42385"/>
  <c r="AM26" i="42385"/>
  <c r="AX88" i="42385"/>
  <c r="AX1645" i="42385" s="1"/>
  <c r="N834" i="42385"/>
  <c r="F34" i="42476"/>
  <c r="BG519" i="42385"/>
  <c r="BG271" i="42385"/>
  <c r="BG515" i="42385"/>
  <c r="BL516" i="42385"/>
  <c r="BH133" i="42385"/>
  <c r="AA97" i="42492" s="1"/>
  <c r="AN952" i="42385"/>
  <c r="AN966" i="42385"/>
  <c r="AN245" i="42385"/>
  <c r="P21" i="42424"/>
  <c r="P26" i="42424"/>
  <c r="J9" i="42476"/>
  <c r="J45" i="42476"/>
  <c r="BC85" i="42418"/>
  <c r="AR245" i="42385"/>
  <c r="AR11" i="42385" s="1"/>
  <c r="AR952" i="42385"/>
  <c r="GP490" i="42417"/>
  <c r="CU240" i="42385"/>
  <c r="AV287" i="42385"/>
  <c r="AV775" i="42385"/>
  <c r="BG1168" i="42385"/>
  <c r="BG1159" i="42385"/>
  <c r="BG1167" i="42385"/>
  <c r="BG300" i="42385"/>
  <c r="BJ300" i="42385" s="1"/>
  <c r="CX300" i="42385" s="1"/>
  <c r="BL1168" i="42385"/>
  <c r="J923" i="42385"/>
  <c r="AF1299" i="42385"/>
  <c r="C839" i="42385"/>
  <c r="C834" i="42385"/>
  <c r="C830" i="42385"/>
  <c r="C831" i="42385" s="1"/>
  <c r="AN287" i="42385"/>
  <c r="AN775" i="42385"/>
  <c r="AN776" i="42385"/>
  <c r="BK1551" i="42385"/>
  <c r="BL576" i="42385"/>
  <c r="AZ472" i="42385"/>
  <c r="AS472" i="42385"/>
  <c r="AR472" i="42385" s="1"/>
  <c r="AR474" i="42385" s="1"/>
  <c r="AR475" i="42385" s="1"/>
  <c r="CT356" i="42385"/>
  <c r="C799" i="42385"/>
  <c r="C808" i="42385"/>
  <c r="C803" i="42385"/>
  <c r="AC346" i="42385"/>
  <c r="BI161" i="42400"/>
  <c r="CW1281" i="42385"/>
  <c r="BE108" i="42385"/>
  <c r="CW108" i="42385" s="1"/>
  <c r="V624" i="42385"/>
  <c r="CP624" i="42385" s="1"/>
  <c r="C26" i="42412"/>
  <c r="C24" i="42412"/>
  <c r="D23" i="42412"/>
  <c r="D22" i="42412" s="1"/>
  <c r="C28" i="42412"/>
  <c r="AX950" i="42385"/>
  <c r="AS951" i="42385"/>
  <c r="CU459" i="42385"/>
  <c r="Z100" i="42424"/>
  <c r="P958" i="42385"/>
  <c r="P963" i="42385"/>
  <c r="P954" i="42385"/>
  <c r="P955" i="42385" s="1"/>
  <c r="AO256" i="42385"/>
  <c r="BF221" i="42385"/>
  <c r="BF1233" i="42385" s="1"/>
  <c r="BF1241" i="42385" s="1"/>
  <c r="AW951" i="42385"/>
  <c r="BB950" i="42385"/>
  <c r="BB996" i="42385"/>
  <c r="BB983" i="42385"/>
  <c r="BB246" i="42385"/>
  <c r="W870" i="42385"/>
  <c r="W865" i="42385"/>
  <c r="W861" i="42385"/>
  <c r="W862" i="42385" s="1"/>
  <c r="Z924" i="42385"/>
  <c r="G95" i="42400"/>
  <c r="G101" i="42400" s="1"/>
  <c r="G833" i="42385" s="1"/>
  <c r="G839" i="42385" s="1"/>
  <c r="CM839" i="42385" s="1"/>
  <c r="AY158" i="42400"/>
  <c r="Y33" i="42464"/>
  <c r="X41" i="42464"/>
  <c r="DP334" i="42464"/>
  <c r="CY341" i="42385"/>
  <c r="CZ336" i="42385"/>
  <c r="E29" i="42472"/>
  <c r="E31" i="42472" s="1"/>
  <c r="F31" i="42472" s="1"/>
  <c r="CO85" i="42385"/>
  <c r="Q88" i="42385"/>
  <c r="Q1645" i="42385" s="1"/>
  <c r="L28" i="42403"/>
  <c r="L19" i="42403"/>
  <c r="AW370" i="42385"/>
  <c r="BB369" i="42385"/>
  <c r="C9" i="42417"/>
  <c r="IQ768" i="42417"/>
  <c r="W624" i="42385"/>
  <c r="X625" i="42385"/>
  <c r="AA113" i="42470"/>
  <c r="AA63" i="42470"/>
  <c r="AG345" i="42385"/>
  <c r="M830" i="42385"/>
  <c r="M839" i="42385"/>
  <c r="M834" i="42385"/>
  <c r="U923" i="42385"/>
  <c r="Z925" i="42385" s="1"/>
  <c r="U932" i="42385"/>
  <c r="U927" i="42385"/>
  <c r="T622" i="42385"/>
  <c r="V621" i="42385"/>
  <c r="X235" i="42400"/>
  <c r="X957" i="42385" s="1"/>
  <c r="X954" i="42385" s="1"/>
  <c r="X955" i="42385" s="1"/>
  <c r="AZ1289" i="42385"/>
  <c r="AT950" i="42385"/>
  <c r="CS21" i="42385"/>
  <c r="T839" i="42385"/>
  <c r="T834" i="42385"/>
  <c r="T830" i="42385"/>
  <c r="BG77" i="42385"/>
  <c r="BG79" i="42385" s="1"/>
  <c r="BG90" i="42385" s="1"/>
  <c r="BG1514" i="42385"/>
  <c r="O281" i="42400"/>
  <c r="AR631" i="42385"/>
  <c r="AR1543" i="42385" s="1"/>
  <c r="CO802" i="42385"/>
  <c r="Q808" i="42385"/>
  <c r="CO808" i="42385" s="1"/>
  <c r="Q803" i="42385"/>
  <c r="CO803" i="42385" s="1"/>
  <c r="BJ430" i="42385"/>
  <c r="CX430" i="42385" s="1"/>
  <c r="CX429" i="42385"/>
  <c r="BO1240" i="42385"/>
  <c r="CY1240" i="42385" s="1"/>
  <c r="CY1239" i="42385"/>
  <c r="BL981" i="42385"/>
  <c r="BQ981" i="42385" s="1"/>
  <c r="BG982" i="42385"/>
  <c r="BG246" i="42385" s="1"/>
  <c r="CO130" i="42385"/>
  <c r="Q165" i="42385"/>
  <c r="Q166" i="42385" s="1"/>
  <c r="AN1355" i="42385"/>
  <c r="BC1380" i="42385"/>
  <c r="BB1480" i="42385"/>
  <c r="BS655" i="42385"/>
  <c r="Q1660" i="42385"/>
  <c r="CO1564" i="42385"/>
  <c r="D35" i="42410"/>
  <c r="D39" i="42410" s="1"/>
  <c r="BO285" i="42400"/>
  <c r="BS433" i="42385"/>
  <c r="BN438" i="42385"/>
  <c r="BO433" i="42385"/>
  <c r="AQ10" i="42385"/>
  <c r="BN289" i="42400"/>
  <c r="BK289" i="42400"/>
  <c r="BM289" i="42400"/>
  <c r="BL289" i="42400"/>
  <c r="AU715" i="42385"/>
  <c r="CU715" i="42385" s="1"/>
  <c r="CU713" i="42385"/>
  <c r="CW113" i="42385"/>
  <c r="EG442" i="42492"/>
  <c r="AZ713" i="42385"/>
  <c r="AV650" i="42385"/>
  <c r="AZ640" i="42385"/>
  <c r="AV231" i="42385"/>
  <c r="BA640" i="42385"/>
  <c r="BA650" i="42385" s="1"/>
  <c r="AX755" i="42385"/>
  <c r="AX752" i="42385"/>
  <c r="AX236" i="42385"/>
  <c r="BC748" i="42385"/>
  <c r="BC236" i="42385" s="1"/>
  <c r="BN515" i="42385"/>
  <c r="BN519" i="42385"/>
  <c r="BK292" i="42400"/>
  <c r="BL292" i="42400"/>
  <c r="BN292" i="42400"/>
  <c r="BM292" i="42400"/>
  <c r="BJ435" i="42385"/>
  <c r="CX435" i="42385" s="1"/>
  <c r="CX433" i="42385"/>
  <c r="AR719" i="42385"/>
  <c r="AR284" i="42385"/>
  <c r="AR718" i="42385"/>
  <c r="AS756" i="42385"/>
  <c r="BK288" i="42400"/>
  <c r="BL288" i="42400"/>
  <c r="BN288" i="42400"/>
  <c r="BM288" i="42400"/>
  <c r="H787" i="42385"/>
  <c r="BL1110" i="42385"/>
  <c r="BL1115" i="42385" s="1"/>
  <c r="BL312" i="42385" s="1"/>
  <c r="BL313" i="42385" s="1"/>
  <c r="BG1115" i="42385"/>
  <c r="BG312" i="42385" s="1"/>
  <c r="BG313" i="42385" s="1"/>
  <c r="BJ1110" i="42385"/>
  <c r="CX1110" i="42385" s="1"/>
  <c r="AQ1002" i="42385"/>
  <c r="AR1002" i="42385" s="1"/>
  <c r="AS1002" i="42385" s="1"/>
  <c r="AT1002" i="42385" s="1"/>
  <c r="AU1002" i="42385" s="1"/>
  <c r="CT1002" i="42385"/>
  <c r="O1139" i="42385"/>
  <c r="BA1180" i="42385"/>
  <c r="BC653" i="42385"/>
  <c r="BD654" i="42385"/>
  <c r="BD653" i="42385" s="1"/>
  <c r="AI653" i="42385"/>
  <c r="AJ654" i="42385"/>
  <c r="AJ653" i="42385" s="1"/>
  <c r="BB656" i="42385"/>
  <c r="BB657" i="42385" s="1"/>
  <c r="N20" i="42412"/>
  <c r="B43" i="42465"/>
  <c r="GB478" i="42464"/>
  <c r="CX566" i="42385"/>
  <c r="AP310" i="42385"/>
  <c r="GN527" i="42417"/>
  <c r="BX618" i="42385"/>
  <c r="BX230" i="42385" s="1"/>
  <c r="BS230" i="42385"/>
  <c r="BX739" i="42385"/>
  <c r="BW1537" i="42385"/>
  <c r="BI273" i="42385"/>
  <c r="BI574" i="42385"/>
  <c r="BQ77" i="42385"/>
  <c r="BQ79" i="42385" s="1"/>
  <c r="BQ90" i="42385" s="1"/>
  <c r="AH24" i="42476"/>
  <c r="AH25" i="42476" s="1"/>
  <c r="BV1321" i="42385"/>
  <c r="BV1643" i="42385" s="1"/>
  <c r="AP1096" i="42385"/>
  <c r="CT1096" i="42385" s="1"/>
  <c r="BD107" i="42385"/>
  <c r="BQ1663" i="42385"/>
  <c r="BQ56" i="42385"/>
  <c r="BP224" i="42385"/>
  <c r="BS713" i="42385"/>
  <c r="V72" i="42476"/>
  <c r="CX113" i="42385"/>
  <c r="AQ647" i="42385"/>
  <c r="BL233" i="42385"/>
  <c r="BD767" i="42385"/>
  <c r="AY237" i="42385"/>
  <c r="CV462" i="42385"/>
  <c r="CT1590" i="42385"/>
  <c r="AP1593" i="42385"/>
  <c r="CT1593" i="42385" s="1"/>
  <c r="AR1590" i="42385"/>
  <c r="AT1590" i="42385" s="1"/>
  <c r="BP797" i="42385"/>
  <c r="BP240" i="42385"/>
  <c r="CV430" i="42385"/>
  <c r="BE431" i="42385"/>
  <c r="CW431" i="42385" s="1"/>
  <c r="AZ440" i="42385"/>
  <c r="AZ434" i="42385"/>
  <c r="CV434" i="42385" s="1"/>
  <c r="HN638" i="42417"/>
  <c r="CU767" i="42385"/>
  <c r="AU237" i="42385"/>
  <c r="CU237" i="42385" s="1"/>
  <c r="AU768" i="42385"/>
  <c r="CU768" i="42385" s="1"/>
  <c r="AU770" i="42385"/>
  <c r="CU770" i="42385" s="1"/>
  <c r="AZ467" i="42385"/>
  <c r="CV467" i="42385" s="1"/>
  <c r="AW470" i="42385"/>
  <c r="AW269" i="42385"/>
  <c r="AS156" i="42400"/>
  <c r="AQ156" i="42400"/>
  <c r="AR156" i="42400"/>
  <c r="AT156" i="42400"/>
  <c r="AQ597" i="42385"/>
  <c r="AR598" i="42385"/>
  <c r="AT719" i="42385"/>
  <c r="AT284" i="42385"/>
  <c r="AT718" i="42385"/>
  <c r="CT770" i="42385"/>
  <c r="AP772" i="42385"/>
  <c r="CT772" i="42385" s="1"/>
  <c r="AP771" i="42385"/>
  <c r="CT771" i="42385" s="1"/>
  <c r="AT162" i="42400"/>
  <c r="AR162" i="42400"/>
  <c r="AQ162" i="42400"/>
  <c r="AS162" i="42400"/>
  <c r="CB1510" i="42385"/>
  <c r="CC1510" i="42385" s="1"/>
  <c r="CD1510" i="42385" s="1"/>
  <c r="CE1510" i="42385" s="1"/>
  <c r="CF1510" i="42385" s="1"/>
  <c r="DC1510" i="42385"/>
  <c r="AP597" i="42385"/>
  <c r="CT597" i="42385" s="1"/>
  <c r="AY234" i="42385"/>
  <c r="BD710" i="42385"/>
  <c r="AY717" i="42385"/>
  <c r="AY718" i="42385" s="1"/>
  <c r="AY714" i="42385"/>
  <c r="AO287" i="42385"/>
  <c r="AO775" i="42385"/>
  <c r="AO776" i="42385"/>
  <c r="AP774" i="42385"/>
  <c r="BB463" i="42385"/>
  <c r="BB467" i="42385"/>
  <c r="BB469" i="42385" s="1"/>
  <c r="BG462" i="42385"/>
  <c r="BL462" i="42385" s="1"/>
  <c r="BE462" i="42385"/>
  <c r="AS1590" i="42385"/>
  <c r="AQ1593" i="42385"/>
  <c r="BP1373" i="42385"/>
  <c r="BQ1373" i="42385" s="1"/>
  <c r="BQ1375" i="42385" s="1"/>
  <c r="CY1373" i="42385"/>
  <c r="BO1375" i="42385"/>
  <c r="CY1375" i="42385" s="1"/>
  <c r="AT155" i="42400"/>
  <c r="AR155" i="42400"/>
  <c r="AQ155" i="42400"/>
  <c r="AS155" i="42400"/>
  <c r="AU158" i="42400"/>
  <c r="BQ796" i="42385"/>
  <c r="BR795" i="42385"/>
  <c r="BU795" i="42385" s="1"/>
  <c r="BU796" i="42385" s="1"/>
  <c r="BU240" i="42385" s="1"/>
  <c r="Z693" i="42385"/>
  <c r="Z695" i="42385" s="1"/>
  <c r="Z696" i="42385" s="1"/>
  <c r="W1558" i="42385"/>
  <c r="AB259" i="42385"/>
  <c r="AN246" i="42424"/>
  <c r="W259" i="42385"/>
  <c r="W128" i="42385"/>
  <c r="AU714" i="42385"/>
  <c r="CU714" i="42385" s="1"/>
  <c r="AU234" i="42385"/>
  <c r="CU234" i="42385" s="1"/>
  <c r="AU711" i="42385"/>
  <c r="CU711" i="42385" s="1"/>
  <c r="CU710" i="42385"/>
  <c r="HN635" i="42417"/>
  <c r="AU1451" i="42385"/>
  <c r="CU1451" i="42385" s="1"/>
  <c r="BK165" i="42385"/>
  <c r="BK1509" i="42385" s="1"/>
  <c r="AS310" i="42385"/>
  <c r="AS1096" i="42385"/>
  <c r="AS1097" i="42385"/>
  <c r="BK1648" i="42385"/>
  <c r="BK1641" i="42385" s="1"/>
  <c r="BK90" i="42385"/>
  <c r="BK93" i="42385" s="1"/>
  <c r="BK1658" i="42385" s="1"/>
  <c r="BK92" i="42385"/>
  <c r="BT859" i="42385"/>
  <c r="CZ859" i="42385" s="1"/>
  <c r="CY858" i="42385"/>
  <c r="BO859" i="42385"/>
  <c r="CY859" i="42385" s="1"/>
  <c r="BM141" i="42400"/>
  <c r="BN141" i="42400"/>
  <c r="BK141" i="42400"/>
  <c r="BL141" i="42400"/>
  <c r="G25" i="42465"/>
  <c r="CW1351" i="42385"/>
  <c r="BC36" i="42418"/>
  <c r="AR402" i="42385"/>
  <c r="AR220" i="42385"/>
  <c r="BD402" i="42385"/>
  <c r="BD220" i="42385"/>
  <c r="BI402" i="42385"/>
  <c r="AW223" i="42400"/>
  <c r="AV223" i="42400"/>
  <c r="AX223" i="42400"/>
  <c r="AY223" i="42400"/>
  <c r="DC1105" i="42385"/>
  <c r="CB1105" i="42385"/>
  <c r="CC1105" i="42385" s="1"/>
  <c r="CD1105" i="42385" s="1"/>
  <c r="CE1105" i="42385" s="1"/>
  <c r="CF1105" i="42385" s="1"/>
  <c r="AU236" i="42385"/>
  <c r="CU748" i="42385"/>
  <c r="AU749" i="42385"/>
  <c r="CU749" i="42385" s="1"/>
  <c r="B72" i="42476"/>
  <c r="CT113" i="42385"/>
  <c r="BK134" i="42400"/>
  <c r="BL134" i="42400"/>
  <c r="BM134" i="42400"/>
  <c r="BO137" i="42400"/>
  <c r="BN134" i="42400"/>
  <c r="BJ85" i="42385"/>
  <c r="BI86" i="42385"/>
  <c r="BB218" i="42385"/>
  <c r="BG342" i="42385"/>
  <c r="BB342" i="42385"/>
  <c r="AJ1312" i="42385"/>
  <c r="AJ1314" i="42385" s="1"/>
  <c r="AI1314" i="42385"/>
  <c r="AV224" i="42400"/>
  <c r="BA1170" i="42385"/>
  <c r="BA1157" i="42385"/>
  <c r="BA1162" i="42385"/>
  <c r="BA1167" i="42385"/>
  <c r="AY676" i="42385"/>
  <c r="AT676" i="42385"/>
  <c r="AT693" i="42385"/>
  <c r="AT695" i="42385" s="1"/>
  <c r="AT696" i="42385" s="1"/>
  <c r="BD748" i="42385"/>
  <c r="AY236" i="42385"/>
  <c r="AZ748" i="42385"/>
  <c r="AQ1623" i="42385"/>
  <c r="CT1622" i="42385"/>
  <c r="AR1623" i="42385"/>
  <c r="AS1623" i="42385"/>
  <c r="BN273" i="42385"/>
  <c r="CY242" i="42385"/>
  <c r="BM142" i="42400"/>
  <c r="BM140" i="42400"/>
  <c r="AR841" i="42385"/>
  <c r="AQ842" i="42385"/>
  <c r="AQ1532" i="42385"/>
  <c r="CU243" i="42385"/>
  <c r="BC1600" i="42385"/>
  <c r="BC1603" i="42385"/>
  <c r="BL230" i="42385"/>
  <c r="BQ618" i="42385"/>
  <c r="L165" i="42385"/>
  <c r="Q131" i="42385"/>
  <c r="CN130" i="42385"/>
  <c r="AY222" i="42400"/>
  <c r="BF1156" i="42385"/>
  <c r="BF1157" i="42385" s="1"/>
  <c r="BK1155" i="42385"/>
  <c r="X1139" i="42385"/>
  <c r="Y877" i="42385"/>
  <c r="Y1139" i="42385" s="1"/>
  <c r="BK1642" i="42385"/>
  <c r="BK1301" i="42385"/>
  <c r="BK1330" i="42385" s="1"/>
  <c r="BL135" i="42400"/>
  <c r="CB1343" i="42385"/>
  <c r="CC1343" i="42385" s="1"/>
  <c r="CD1343" i="42385" s="1"/>
  <c r="CE1343" i="42385" s="1"/>
  <c r="CF1343" i="42385" s="1"/>
  <c r="DC1343" i="42385"/>
  <c r="BP1380" i="42385"/>
  <c r="CY1380" i="42385"/>
  <c r="CM1003" i="42385"/>
  <c r="G1004" i="42385"/>
  <c r="CM1004" i="42385" s="1"/>
  <c r="M21" i="42412"/>
  <c r="CV890" i="42385"/>
  <c r="BB400" i="42385"/>
  <c r="BB401" i="42385" s="1"/>
  <c r="AW401" i="42385"/>
  <c r="AW220" i="42385" s="1"/>
  <c r="CB877" i="42385"/>
  <c r="CC877" i="42385" s="1"/>
  <c r="CD877" i="42385" s="1"/>
  <c r="CE877" i="42385" s="1"/>
  <c r="CF877" i="42385" s="1"/>
  <c r="AS706" i="42385"/>
  <c r="AT706" i="42385" s="1"/>
  <c r="AU706" i="42385" s="1"/>
  <c r="AN1021" i="42385"/>
  <c r="AS1016" i="42385"/>
  <c r="AY656" i="42385"/>
  <c r="AY657" i="42385" s="1"/>
  <c r="AN1083" i="42385"/>
  <c r="AO1083" i="42385" s="1"/>
  <c r="BR1113" i="42385"/>
  <c r="BW1113" i="42385" s="1"/>
  <c r="AN479" i="42385"/>
  <c r="AO479" i="42385" s="1"/>
  <c r="AP479" i="42385" s="1"/>
  <c r="AW658" i="42385"/>
  <c r="BK233" i="42385"/>
  <c r="BK676" i="42385"/>
  <c r="CC1192" i="42385"/>
  <c r="BJ668" i="42385"/>
  <c r="BU681" i="42385"/>
  <c r="BY681" i="42385" s="1"/>
  <c r="BD110" i="42385"/>
  <c r="AU981" i="42385"/>
  <c r="CU981" i="42385" s="1"/>
  <c r="AB135" i="42424"/>
  <c r="AL315" i="42385"/>
  <c r="CV710" i="42385"/>
  <c r="AZ711" i="42385"/>
  <c r="CV711" i="42385" s="1"/>
  <c r="AV284" i="42385"/>
  <c r="AV718" i="42385"/>
  <c r="AV719" i="42385"/>
  <c r="AO756" i="42385"/>
  <c r="AO757" i="42385"/>
  <c r="AO286" i="42385"/>
  <c r="AQ605" i="42385"/>
  <c r="AQ592" i="42385"/>
  <c r="AQ595" i="42385"/>
  <c r="AQ227" i="42385"/>
  <c r="BC1373" i="42385"/>
  <c r="BD1373" i="42385" s="1"/>
  <c r="BE1373" i="42385" s="1"/>
  <c r="BE1375" i="42385" s="1"/>
  <c r="CW1375" i="42385" s="1"/>
  <c r="BB1375" i="42385"/>
  <c r="BT88" i="42400"/>
  <c r="AW985" i="42385"/>
  <c r="AW986" i="42385" s="1"/>
  <c r="DC971" i="42385"/>
  <c r="BO1206" i="42385"/>
  <c r="BN1208" i="42385"/>
  <c r="BR512" i="42385"/>
  <c r="BR514" i="42385" s="1"/>
  <c r="BR519" i="42385" s="1"/>
  <c r="BH1233" i="42385"/>
  <c r="BE982" i="42385"/>
  <c r="DB328" i="42464" s="1"/>
  <c r="DB330" i="42464" s="1"/>
  <c r="CW981" i="42385"/>
  <c r="BP675" i="42385"/>
  <c r="BP233" i="42385" s="1"/>
  <c r="AT985" i="42385"/>
  <c r="AY985" i="42385" s="1"/>
  <c r="AT246" i="42385"/>
  <c r="AG24" i="42385"/>
  <c r="BA714" i="42385"/>
  <c r="BA717" i="42385"/>
  <c r="BA718" i="42385" s="1"/>
  <c r="BF710" i="42385"/>
  <c r="BA234" i="42385"/>
  <c r="CT751" i="42385"/>
  <c r="G345" i="42385"/>
  <c r="CM345" i="42385" s="1"/>
  <c r="BP1214" i="42385"/>
  <c r="BP1206" i="42385"/>
  <c r="BP1220" i="42385"/>
  <c r="BP1203" i="42385"/>
  <c r="AH15" i="42385"/>
  <c r="BD676" i="42385"/>
  <c r="BD693" i="42385"/>
  <c r="BD695" i="42385" s="1"/>
  <c r="BD696" i="42385" s="1"/>
  <c r="BX231" i="42385"/>
  <c r="BX647" i="42385"/>
  <c r="BX644" i="42385"/>
  <c r="CA826" i="42385"/>
  <c r="DB826" i="42385"/>
  <c r="BT1348" i="42385"/>
  <c r="CZ1348" i="42385" s="1"/>
  <c r="BR1351" i="42385"/>
  <c r="CY1284" i="42385"/>
  <c r="BO110" i="42385"/>
  <c r="CY110" i="42385" s="1"/>
  <c r="S207" i="42385"/>
  <c r="S206" i="42385"/>
  <c r="AU995" i="42385"/>
  <c r="AZ995" i="42385" s="1"/>
  <c r="AT1549" i="42385"/>
  <c r="AU1549" i="42385" s="1"/>
  <c r="CU1549" i="42385" s="1"/>
  <c r="AT996" i="42385"/>
  <c r="BW362" i="42385"/>
  <c r="AQ1538" i="42385"/>
  <c r="AR758" i="42385"/>
  <c r="AR1538" i="42385" s="1"/>
  <c r="AQ759" i="42385"/>
  <c r="CM817" i="42385"/>
  <c r="G818" i="42385"/>
  <c r="B31" i="42408"/>
  <c r="G31" i="42408" s="1"/>
  <c r="BZ302" i="42385"/>
  <c r="U130" i="42385"/>
  <c r="U1622" i="42385"/>
  <c r="X1623" i="42385" s="1"/>
  <c r="U113" i="42385"/>
  <c r="U128" i="42385"/>
  <c r="U129" i="42385"/>
  <c r="Z129" i="42385"/>
  <c r="AF1557" i="42385"/>
  <c r="CR1557" i="42385" s="1"/>
  <c r="AK1557" i="42385"/>
  <c r="CS1557" i="42385" s="1"/>
  <c r="AF63" i="42385"/>
  <c r="B7" i="42465" s="1"/>
  <c r="CR1556" i="42385"/>
  <c r="BO667" i="42385"/>
  <c r="BS667" i="42385"/>
  <c r="BT667" i="42385" s="1"/>
  <c r="Z206" i="42385"/>
  <c r="Z207" i="42385"/>
  <c r="BT665" i="42385"/>
  <c r="CX438" i="42385"/>
  <c r="N50" i="42385"/>
  <c r="N1647" i="42385"/>
  <c r="N316" i="42385"/>
  <c r="AS985" i="42385"/>
  <c r="AX983" i="42385"/>
  <c r="HN640" i="42417"/>
  <c r="AU254" i="42385"/>
  <c r="FT441" i="42417" s="1"/>
  <c r="FU441" i="42417" s="1"/>
  <c r="CU1088" i="42385"/>
  <c r="AU1089" i="42385"/>
  <c r="EG451" i="42492"/>
  <c r="CX240" i="42385"/>
  <c r="BD1600" i="42385"/>
  <c r="X207" i="42385"/>
  <c r="X206" i="42385"/>
  <c r="Y73" i="42492"/>
  <c r="AU982" i="42385"/>
  <c r="Y95" i="42424"/>
  <c r="AH259" i="42385"/>
  <c r="AM259" i="42385"/>
  <c r="AC136" i="42424"/>
  <c r="AC137" i="42424" s="1"/>
  <c r="AH128" i="42385"/>
  <c r="AW246" i="42424"/>
  <c r="AW250" i="42424" s="1"/>
  <c r="AC127" i="42424"/>
  <c r="AH1558" i="42385"/>
  <c r="O25" i="42424"/>
  <c r="O26" i="42424" s="1"/>
  <c r="AH1647" i="42385"/>
  <c r="AH316" i="42385"/>
  <c r="BI674" i="42385"/>
  <c r="BJ674" i="42385" s="1"/>
  <c r="BS648" i="42385"/>
  <c r="BS281" i="42385"/>
  <c r="BD246" i="42385"/>
  <c r="BD983" i="42385"/>
  <c r="BO1203" i="42385"/>
  <c r="BN1224" i="42385"/>
  <c r="BO1224" i="42385" s="1"/>
  <c r="AQ300" i="42385"/>
  <c r="AQ1171" i="42385"/>
  <c r="AQ1172" i="42385" s="1"/>
  <c r="AQ1167" i="42385"/>
  <c r="BH268" i="42385"/>
  <c r="BH441" i="42385"/>
  <c r="AI1373" i="42385"/>
  <c r="AH1375" i="42385"/>
  <c r="BT681" i="42385"/>
  <c r="BT700" i="42385" s="1"/>
  <c r="Z259" i="42385"/>
  <c r="AM246" i="42424"/>
  <c r="U1558" i="42385"/>
  <c r="D50" i="42385"/>
  <c r="D1647" i="42385"/>
  <c r="D316" i="42385"/>
  <c r="AB131" i="42408"/>
  <c r="BV1289" i="42385"/>
  <c r="BV115" i="42385" s="1"/>
  <c r="BE110" i="42385"/>
  <c r="CW110" i="42385" s="1"/>
  <c r="CW1284" i="42385"/>
  <c r="CS312" i="42385"/>
  <c r="AR1097" i="42385"/>
  <c r="AT755" i="42385"/>
  <c r="AY751" i="42385"/>
  <c r="AT752" i="42385"/>
  <c r="AV591" i="42385"/>
  <c r="AV592" i="42385" s="1"/>
  <c r="Y207" i="42385"/>
  <c r="Y206" i="42385"/>
  <c r="CY1291" i="42385"/>
  <c r="BH675" i="42385"/>
  <c r="AW643" i="42385"/>
  <c r="AW644" i="42385" s="1"/>
  <c r="AR647" i="42385"/>
  <c r="AR281" i="42385" s="1"/>
  <c r="AR644" i="42385"/>
  <c r="AU643" i="42385"/>
  <c r="CZ1304" i="42385"/>
  <c r="AE1319" i="42385"/>
  <c r="AE1326" i="42385" s="1"/>
  <c r="AD1326" i="42385"/>
  <c r="BN981" i="42385"/>
  <c r="BI982" i="42385"/>
  <c r="BI246" i="42385" s="1"/>
  <c r="BQ533" i="42385"/>
  <c r="BQ546" i="42385"/>
  <c r="BQ225" i="42385"/>
  <c r="BQ535" i="42385"/>
  <c r="BQ537" i="42385" s="1"/>
  <c r="CP127" i="42385"/>
  <c r="BQ1187" i="42385"/>
  <c r="BR1187" i="42385"/>
  <c r="BM1187" i="42385"/>
  <c r="BL1186" i="42385"/>
  <c r="BK1186" i="42385" s="1"/>
  <c r="BZ1186" i="42385"/>
  <c r="CA1186" i="42385" s="1"/>
  <c r="AR1021" i="42385"/>
  <c r="AR1017" i="42385"/>
  <c r="AW1016" i="42385"/>
  <c r="AW1017" i="42385" s="1"/>
  <c r="CT486" i="42385"/>
  <c r="AP487" i="42385"/>
  <c r="CT487" i="42385" s="1"/>
  <c r="BW686" i="42385"/>
  <c r="BX686" i="42385" s="1"/>
  <c r="BY686" i="42385" s="1"/>
  <c r="AD117" i="42408" s="1"/>
  <c r="AD123" i="42408" s="1"/>
  <c r="GB508" i="42464"/>
  <c r="F1575" i="42385"/>
  <c r="F1577" i="42385" s="1"/>
  <c r="I1579" i="42385" s="1"/>
  <c r="F1504" i="42385"/>
  <c r="BR981" i="42385"/>
  <c r="BM982" i="42385"/>
  <c r="BM983" i="42385" s="1"/>
  <c r="BH514" i="42385"/>
  <c r="BH519" i="42385" s="1"/>
  <c r="BJ536" i="42385"/>
  <c r="CX536" i="42385" s="1"/>
  <c r="CX535" i="42385"/>
  <c r="CY1306" i="42385"/>
  <c r="AO1116" i="42385"/>
  <c r="AO312" i="42385"/>
  <c r="AP312" i="42385" s="1"/>
  <c r="CT312" i="42385" s="1"/>
  <c r="CT720" i="42385"/>
  <c r="AP721" i="42385"/>
  <c r="CT721" i="42385" s="1"/>
  <c r="CW240" i="42385"/>
  <c r="BJ24" i="42385"/>
  <c r="CX23" i="42385"/>
  <c r="AQ1421" i="42385"/>
  <c r="AR1413" i="42385"/>
  <c r="AR1421" i="42385" s="1"/>
  <c r="D42" i="42476" s="1"/>
  <c r="BM1233" i="42385"/>
  <c r="CZ398" i="42385"/>
  <c r="BT399" i="42385"/>
  <c r="CZ399" i="42385" s="1"/>
  <c r="AY270" i="42385"/>
  <c r="AY490" i="42385"/>
  <c r="AG14" i="42385"/>
  <c r="AG15" i="42385" s="1"/>
  <c r="J345" i="42385"/>
  <c r="J346" i="42385"/>
  <c r="AA88" i="42385"/>
  <c r="CQ88" i="42385" s="1"/>
  <c r="AC1660" i="42385"/>
  <c r="AC1585" i="42385"/>
  <c r="AC1567" i="42385"/>
  <c r="GB487" i="42464"/>
  <c r="CM1511" i="42385"/>
  <c r="G1500" i="42385"/>
  <c r="G1510" i="42385"/>
  <c r="CM1510" i="42385" s="1"/>
  <c r="BH246" i="42385"/>
  <c r="BH983" i="42385"/>
  <c r="AU1092" i="42385"/>
  <c r="CU1092" i="42385" s="1"/>
  <c r="AU1093" i="42385"/>
  <c r="CU1093" i="42385" s="1"/>
  <c r="CU1091" i="42385"/>
  <c r="AK1284" i="42385"/>
  <c r="CS1284" i="42385" s="1"/>
  <c r="AX1171" i="42385"/>
  <c r="AX300" i="42385"/>
  <c r="AX1167" i="42385"/>
  <c r="BC1168" i="42385"/>
  <c r="AX1187" i="42385"/>
  <c r="AQ231" i="42400"/>
  <c r="AR231" i="42400"/>
  <c r="AS231" i="42400"/>
  <c r="AT231" i="42400"/>
  <c r="AR720" i="42385"/>
  <c r="AQ1536" i="42385"/>
  <c r="AQ721" i="42385"/>
  <c r="BV1388" i="42385"/>
  <c r="CO347" i="42385"/>
  <c r="Q354" i="42385"/>
  <c r="CO354" i="42385" s="1"/>
  <c r="AC24" i="42385"/>
  <c r="AH26" i="42385" s="1"/>
  <c r="AF23" i="42385"/>
  <c r="CR23" i="42385" s="1"/>
  <c r="CN347" i="42385"/>
  <c r="L354" i="42385"/>
  <c r="CN354" i="42385" s="1"/>
  <c r="AY248" i="42424"/>
  <c r="AA99" i="42424"/>
  <c r="AE135" i="42424"/>
  <c r="AJ50" i="42385"/>
  <c r="BV1390" i="42385"/>
  <c r="BW1390" i="42385" s="1"/>
  <c r="AO489" i="42385"/>
  <c r="AP489" i="42385" s="1"/>
  <c r="AP490" i="42385" s="1"/>
  <c r="AO487" i="42385"/>
  <c r="AQ486" i="42385"/>
  <c r="CO5" i="42385"/>
  <c r="Q657" i="42385"/>
  <c r="V658" i="42385" s="1"/>
  <c r="J50" i="42385"/>
  <c r="J65" i="42385" s="1"/>
  <c r="J316" i="42385"/>
  <c r="J1647" i="42385"/>
  <c r="BM1590" i="42385"/>
  <c r="BL1593" i="42385"/>
  <c r="AY1111" i="42385"/>
  <c r="AT1115" i="42385"/>
  <c r="AT312" i="42385" s="1"/>
  <c r="AU312" i="42385" s="1"/>
  <c r="CU312" i="42385" s="1"/>
  <c r="AU1111" i="42385"/>
  <c r="AR230" i="42400"/>
  <c r="AS230" i="42400"/>
  <c r="AQ230" i="42400"/>
  <c r="AT230" i="42400"/>
  <c r="AP1536" i="42385"/>
  <c r="CT1536" i="42385" s="1"/>
  <c r="BR434" i="42385"/>
  <c r="BR431" i="42385"/>
  <c r="BR221" i="42385"/>
  <c r="BR1233" i="42385" s="1"/>
  <c r="BN32" i="42385"/>
  <c r="BN26" i="42385"/>
  <c r="U8" i="42476"/>
  <c r="U45" i="42476" s="1"/>
  <c r="BI27" i="42385"/>
  <c r="BC1489" i="42385"/>
  <c r="BB1489" i="42385"/>
  <c r="J18" i="42472"/>
  <c r="D34" i="42465"/>
  <c r="CT1421" i="42385"/>
  <c r="B42" i="42476"/>
  <c r="P59" i="42443"/>
  <c r="U59" i="42443"/>
  <c r="BK571" i="42385"/>
  <c r="BK573" i="42385" s="1"/>
  <c r="BP568" i="42385"/>
  <c r="N345" i="42385"/>
  <c r="BU1072" i="42385"/>
  <c r="BU1073" i="42385" s="1"/>
  <c r="CQ53" i="42385"/>
  <c r="BH543" i="42385"/>
  <c r="BH547" i="42385"/>
  <c r="BH272" i="42385"/>
  <c r="AP658" i="42385"/>
  <c r="AT1096" i="42385"/>
  <c r="AT1097" i="42385"/>
  <c r="AT310" i="42385"/>
  <c r="AN490" i="42385"/>
  <c r="AN270" i="42385"/>
  <c r="AN491" i="42385"/>
  <c r="CA42" i="42400"/>
  <c r="CA47" i="42400"/>
  <c r="CT1111" i="42385"/>
  <c r="AP1115" i="42385"/>
  <c r="BS220" i="42385"/>
  <c r="BS228" i="42385" s="1"/>
  <c r="BS402" i="42385"/>
  <c r="AB1585" i="42385"/>
  <c r="AB1567" i="42385"/>
  <c r="AB1660" i="42385"/>
  <c r="BD1384" i="42385"/>
  <c r="BD1484" i="42385" s="1"/>
  <c r="BE1484" i="42385" s="1"/>
  <c r="CW1484" i="42385" s="1"/>
  <c r="CU1442" i="42385"/>
  <c r="AU1452" i="42385"/>
  <c r="CU1452" i="42385" s="1"/>
  <c r="BW242" i="42385"/>
  <c r="BW859" i="42385"/>
  <c r="AB136" i="42424"/>
  <c r="AV246" i="42424"/>
  <c r="AL259" i="42385"/>
  <c r="AG259" i="42385"/>
  <c r="N25" i="42424"/>
  <c r="AB127" i="42424"/>
  <c r="AB128" i="42424" s="1"/>
  <c r="AB132" i="42424" s="1"/>
  <c r="AG128" i="42385"/>
  <c r="X95" i="42424"/>
  <c r="AG1558" i="42385"/>
  <c r="AL172" i="42470"/>
  <c r="AL173" i="42470" s="1"/>
  <c r="BA1159" i="42385"/>
  <c r="BA1160" i="42385" s="1"/>
  <c r="AR41" i="42385"/>
  <c r="E924" i="42385"/>
  <c r="AQ9" i="42385"/>
  <c r="CZ1356" i="42385"/>
  <c r="BU1356" i="42385"/>
  <c r="BV1356" i="42385" s="1"/>
  <c r="BW1356" i="42385" s="1"/>
  <c r="BX1356" i="42385" s="1"/>
  <c r="BY1356" i="42385" s="1"/>
  <c r="D26" i="42412"/>
  <c r="BG983" i="42385"/>
  <c r="BJ431" i="42385"/>
  <c r="CX431" i="42385" s="1"/>
  <c r="AS631" i="42385"/>
  <c r="AS632" i="42385" s="1"/>
  <c r="AR632" i="42385"/>
  <c r="X958" i="42385"/>
  <c r="X963" i="42385"/>
  <c r="Y41" i="42464"/>
  <c r="Z33" i="42464"/>
  <c r="AA33" i="42464" s="1"/>
  <c r="C25" i="42412"/>
  <c r="AZ458" i="42385"/>
  <c r="C800" i="42385"/>
  <c r="CV472" i="42385"/>
  <c r="AV472" i="42385"/>
  <c r="AV474" i="42385" s="1"/>
  <c r="AV475" i="42385" s="1"/>
  <c r="CT1317" i="42385"/>
  <c r="AP1326" i="42385"/>
  <c r="CU218" i="42385"/>
  <c r="AH345" i="42385"/>
  <c r="AH346" i="42385"/>
  <c r="V622" i="42385"/>
  <c r="CP622" i="42385" s="1"/>
  <c r="CP621" i="42385"/>
  <c r="GM525" i="42417"/>
  <c r="BF237" i="42385"/>
  <c r="BK767" i="42385"/>
  <c r="BP767" i="42385" s="1"/>
  <c r="BP237" i="42385" s="1"/>
  <c r="AZ71" i="42418"/>
  <c r="BF774" i="42385"/>
  <c r="BK776" i="42385" s="1"/>
  <c r="BF771" i="42385"/>
  <c r="BP430" i="42385"/>
  <c r="AS776" i="42385"/>
  <c r="AS287" i="42385"/>
  <c r="AS775" i="42385"/>
  <c r="BL982" i="42385"/>
  <c r="BL983" i="42385" s="1"/>
  <c r="BM576" i="42385"/>
  <c r="BM1551" i="42385" s="1"/>
  <c r="BL1551" i="42385"/>
  <c r="AH42" i="42385"/>
  <c r="T831" i="42385"/>
  <c r="AU950" i="42385"/>
  <c r="CU950" i="42385" s="1"/>
  <c r="AT951" i="42385"/>
  <c r="AU951" i="42385" s="1"/>
  <c r="AU245" i="42385" s="1"/>
  <c r="FT439" i="42417" s="1"/>
  <c r="FU439" i="42417" s="1"/>
  <c r="AY950" i="42385"/>
  <c r="U924" i="42385"/>
  <c r="BB370" i="42385"/>
  <c r="BB371" i="42385" s="1"/>
  <c r="BG369" i="42385"/>
  <c r="CM833" i="42385"/>
  <c r="G834" i="42385"/>
  <c r="CM834" i="42385" s="1"/>
  <c r="CB1415" i="42385"/>
  <c r="CC1415" i="42385" s="1"/>
  <c r="CD1415" i="42385" s="1"/>
  <c r="CE1415" i="42385" s="1"/>
  <c r="CF1415" i="42385" s="1"/>
  <c r="AS245" i="42385"/>
  <c r="AS952" i="42385"/>
  <c r="GM497" i="42417"/>
  <c r="M19" i="42403"/>
  <c r="M28" i="42403"/>
  <c r="CU462" i="42385"/>
  <c r="AU463" i="42385"/>
  <c r="CU463" i="42385" s="1"/>
  <c r="BK221" i="42385"/>
  <c r="BK431" i="42385"/>
  <c r="BK434" i="42385"/>
  <c r="BK440" i="42385"/>
  <c r="BK441" i="42385" s="1"/>
  <c r="M800" i="42385"/>
  <c r="R801" i="42385"/>
  <c r="AX270" i="42385"/>
  <c r="AX490" i="42385"/>
  <c r="G34" i="42476"/>
  <c r="O47" i="42412"/>
  <c r="O48" i="42412" s="1"/>
  <c r="O49" i="42412"/>
  <c r="P49" i="42412" s="1"/>
  <c r="P45" i="42412"/>
  <c r="CV1289" i="42385"/>
  <c r="W621" i="42385"/>
  <c r="AW952" i="42385"/>
  <c r="AW245" i="42385"/>
  <c r="R832" i="42385"/>
  <c r="M831" i="42385"/>
  <c r="AW219" i="42385"/>
  <c r="AW371" i="42385"/>
  <c r="BB951" i="42385"/>
  <c r="BB245" i="42385" s="1"/>
  <c r="BC950" i="42385"/>
  <c r="BC951" i="42385" s="1"/>
  <c r="BE951" i="42385" s="1"/>
  <c r="AX951" i="42385"/>
  <c r="AX245" i="42385" s="1"/>
  <c r="CR1299" i="42385"/>
  <c r="BG1164" i="42385"/>
  <c r="BG1160" i="42385"/>
  <c r="F831" i="42385"/>
  <c r="AU467" i="42385"/>
  <c r="AU469" i="42385" s="1"/>
  <c r="AU470" i="42385" s="1"/>
  <c r="CU470" i="42385" s="1"/>
  <c r="AT469" i="42385"/>
  <c r="AT470" i="42385" s="1"/>
  <c r="BA287" i="42385"/>
  <c r="BA775" i="42385"/>
  <c r="BA776" i="42385"/>
  <c r="CR1308" i="42385"/>
  <c r="J863" i="42385"/>
  <c r="E29" i="42465"/>
  <c r="E33" i="42465" s="1"/>
  <c r="BC770" i="42385"/>
  <c r="BH770" i="42385" s="1"/>
  <c r="AO1355" i="42385"/>
  <c r="AP1355" i="42385" s="1"/>
  <c r="BT655" i="42385"/>
  <c r="BC752" i="42385"/>
  <c r="BC755" i="42385"/>
  <c r="BC756" i="42385" s="1"/>
  <c r="BH748" i="42385"/>
  <c r="BH755" i="42385" s="1"/>
  <c r="BO438" i="42385"/>
  <c r="CY438" i="42385" s="1"/>
  <c r="CY433" i="42385"/>
  <c r="BO435" i="42385"/>
  <c r="CY435" i="42385" s="1"/>
  <c r="BA231" i="42385"/>
  <c r="AV238" i="42385"/>
  <c r="H788" i="42385"/>
  <c r="AZ641" i="42385"/>
  <c r="CV641" i="42385" s="1"/>
  <c r="AI656" i="42385"/>
  <c r="AI657" i="42385" s="1"/>
  <c r="BQ1110" i="42385"/>
  <c r="BI675" i="42385"/>
  <c r="BX713" i="42385"/>
  <c r="DC421" i="42385"/>
  <c r="BR796" i="42385"/>
  <c r="BR240" i="42385" s="1"/>
  <c r="CW462" i="42385"/>
  <c r="BE463" i="42385"/>
  <c r="CW463" i="42385" s="1"/>
  <c r="AP598" i="42385"/>
  <c r="CT598" i="42385" s="1"/>
  <c r="FT440" i="42417"/>
  <c r="FU440" i="42417" s="1"/>
  <c r="CV440" i="42385"/>
  <c r="AZ441" i="42385"/>
  <c r="CV441" i="42385" s="1"/>
  <c r="BG463" i="42385"/>
  <c r="BG467" i="42385"/>
  <c r="BG469" i="42385" s="1"/>
  <c r="BG470" i="42385" s="1"/>
  <c r="BD234" i="42385"/>
  <c r="BD714" i="42385"/>
  <c r="BI710" i="42385"/>
  <c r="BI717" i="42385" s="1"/>
  <c r="BD717" i="42385"/>
  <c r="BD719" i="42385" s="1"/>
  <c r="AQ599" i="42385"/>
  <c r="AQ601" i="42385" s="1"/>
  <c r="FT437" i="42417"/>
  <c r="GN525" i="42417"/>
  <c r="AP287" i="42385"/>
  <c r="CT287" i="42385" s="1"/>
  <c r="AU771" i="42385"/>
  <c r="CU771" i="42385" s="1"/>
  <c r="AU772" i="42385"/>
  <c r="CU772" i="42385" s="1"/>
  <c r="AW402" i="42385"/>
  <c r="CN165" i="42385"/>
  <c r="L166" i="42385"/>
  <c r="CN166" i="42385" s="1"/>
  <c r="AR1532" i="42385"/>
  <c r="AR842" i="42385"/>
  <c r="AS841" i="42385"/>
  <c r="AS1532" i="42385" s="1"/>
  <c r="BI88" i="42385"/>
  <c r="BJ86" i="42385"/>
  <c r="CX86" i="42385" s="1"/>
  <c r="BQ230" i="42385"/>
  <c r="BV618" i="42385"/>
  <c r="BV230" i="42385" s="1"/>
  <c r="CX85" i="42385"/>
  <c r="BQ1380" i="42385"/>
  <c r="BP1480" i="42385"/>
  <c r="AZ749" i="42385"/>
  <c r="CV749" i="42385" s="1"/>
  <c r="FT438" i="42417"/>
  <c r="CU236" i="42385"/>
  <c r="GP496" i="42417"/>
  <c r="BK106" i="42385"/>
  <c r="BK1620" i="42385"/>
  <c r="AK1312" i="42385"/>
  <c r="AK1314" i="42385" s="1"/>
  <c r="BR1364" i="42385"/>
  <c r="BI983" i="42385"/>
  <c r="AF1319" i="42385"/>
  <c r="CR1319" i="42385" s="1"/>
  <c r="AC128" i="42424"/>
  <c r="CU982" i="42385"/>
  <c r="AZ983" i="42385"/>
  <c r="CV983" i="42385" s="1"/>
  <c r="BX667" i="42385"/>
  <c r="BS682" i="42385"/>
  <c r="C31" i="42408"/>
  <c r="H31" i="42408" s="1"/>
  <c r="BX362" i="42385"/>
  <c r="BY362" i="42385" s="1"/>
  <c r="BZ362" i="42385" s="1"/>
  <c r="DB362" i="42385" s="1"/>
  <c r="CW982" i="42385"/>
  <c r="BE983" i="42385"/>
  <c r="CW983" i="42385" s="1"/>
  <c r="BB985" i="42385"/>
  <c r="BG985" i="42385" s="1"/>
  <c r="BS981" i="42385"/>
  <c r="BX981" i="42385" s="1"/>
  <c r="AR648" i="42385"/>
  <c r="BO668" i="42385"/>
  <c r="DC826" i="42385"/>
  <c r="BK710" i="42385"/>
  <c r="AZ64" i="42418"/>
  <c r="BF717" i="42385"/>
  <c r="BF284" i="42385" s="1"/>
  <c r="BP676" i="42385"/>
  <c r="BK1511" i="42385"/>
  <c r="CD1192" i="42385"/>
  <c r="CE1192" i="42385" s="1"/>
  <c r="CF1192" i="42385" s="1"/>
  <c r="BQ540" i="42385"/>
  <c r="BQ542" i="42385" s="1"/>
  <c r="AW647" i="42385"/>
  <c r="AW648" i="42385" s="1"/>
  <c r="BB643" i="42385"/>
  <c r="BG643" i="42385" s="1"/>
  <c r="BL643" i="42385" s="1"/>
  <c r="CY1203" i="42385"/>
  <c r="CR63" i="42385"/>
  <c r="Y1623" i="42385"/>
  <c r="U1623" i="42385"/>
  <c r="V1623" i="42385" s="1"/>
  <c r="CP1623" i="42385" s="1"/>
  <c r="W1623" i="42385"/>
  <c r="CM818" i="42385"/>
  <c r="AL26" i="42385"/>
  <c r="BO1208" i="42385"/>
  <c r="CY1208" i="42385" s="1"/>
  <c r="BN1210" i="42385"/>
  <c r="BN1217" i="42385" s="1"/>
  <c r="BH676" i="42385"/>
  <c r="AV595" i="42385"/>
  <c r="AV227" i="42385"/>
  <c r="AT286" i="42385"/>
  <c r="AT757" i="42385"/>
  <c r="AT756" i="42385"/>
  <c r="CU1089" i="42385"/>
  <c r="AV1089" i="42385"/>
  <c r="U165" i="42385"/>
  <c r="U166" i="42385" s="1"/>
  <c r="U134" i="42385" s="1"/>
  <c r="U118" i="42385"/>
  <c r="U131" i="42385"/>
  <c r="U163" i="42385"/>
  <c r="V130" i="42385"/>
  <c r="CU995" i="42385"/>
  <c r="AU996" i="42385"/>
  <c r="CU996" i="42385" s="1"/>
  <c r="AU246" i="42385"/>
  <c r="CU246" i="42385" s="1"/>
  <c r="CY1206" i="42385"/>
  <c r="GN523" i="42417"/>
  <c r="BL1187" i="42385"/>
  <c r="W179" i="42385"/>
  <c r="X179" i="42385" s="1"/>
  <c r="Y179" i="42385" s="1"/>
  <c r="Z179" i="42385" s="1"/>
  <c r="AA179" i="42385" s="1"/>
  <c r="AR1023" i="42385"/>
  <c r="AR1025" i="42385" s="1"/>
  <c r="C42" i="42476"/>
  <c r="AB154" i="42424"/>
  <c r="GM529" i="42417"/>
  <c r="Z9" i="42476"/>
  <c r="BM1593" i="42385"/>
  <c r="BN1590" i="42385"/>
  <c r="AX1172" i="42385"/>
  <c r="BH249" i="42385"/>
  <c r="CX24" i="42385"/>
  <c r="V8" i="42476"/>
  <c r="V45" i="42476" s="1"/>
  <c r="BJ27" i="42385"/>
  <c r="CX27" i="42385" s="1"/>
  <c r="AQ489" i="42385"/>
  <c r="AQ491" i="42385" s="1"/>
  <c r="AQ487" i="42385"/>
  <c r="AR486" i="42385"/>
  <c r="AR489" i="42385" s="1"/>
  <c r="AR270" i="42385" s="1"/>
  <c r="CU1111" i="42385"/>
  <c r="AU1115" i="42385"/>
  <c r="CU1115" i="42385" s="1"/>
  <c r="AO491" i="42385"/>
  <c r="AO490" i="42385"/>
  <c r="AO270" i="42385"/>
  <c r="GN529" i="42417" s="1"/>
  <c r="BR982" i="42385"/>
  <c r="BR983" i="42385" s="1"/>
  <c r="BW981" i="42385"/>
  <c r="AZ1111" i="42385"/>
  <c r="AP491" i="42385"/>
  <c r="CT491" i="42385" s="1"/>
  <c r="CT489" i="42385"/>
  <c r="CT490" i="42385"/>
  <c r="BL200" i="42492"/>
  <c r="BL202" i="42492" s="1"/>
  <c r="BL205" i="42492" s="1"/>
  <c r="BR221" i="42492" s="1"/>
  <c r="BI65" i="42385"/>
  <c r="BI75" i="42385" s="1"/>
  <c r="BI77" i="42385" s="1"/>
  <c r="BI79" i="42385" s="1"/>
  <c r="U12" i="42476"/>
  <c r="Z13" i="42476" s="1"/>
  <c r="BI42" i="42385"/>
  <c r="BN41" i="42385"/>
  <c r="BN43" i="42385"/>
  <c r="BK197" i="42385"/>
  <c r="BK1569" i="42385"/>
  <c r="BK1572" i="42385" s="1"/>
  <c r="BK1594" i="42385" s="1"/>
  <c r="BK1595" i="42385" s="1"/>
  <c r="AJ65" i="42385"/>
  <c r="AJ75" i="42385" s="1"/>
  <c r="AJ77" i="42385" s="1"/>
  <c r="G1504" i="42385"/>
  <c r="CM1504" i="42385" s="1"/>
  <c r="AL15" i="42385"/>
  <c r="AG27" i="42385"/>
  <c r="AL32" i="42385"/>
  <c r="AL181" i="42470"/>
  <c r="AL185" i="42470" s="1"/>
  <c r="AN178" i="42470"/>
  <c r="AN181" i="42470" s="1"/>
  <c r="CU951" i="42385"/>
  <c r="AY951" i="42385"/>
  <c r="AY245" i="42385" s="1"/>
  <c r="AZ950" i="42385"/>
  <c r="CV950" i="42385" s="1"/>
  <c r="BK237" i="42385"/>
  <c r="AF122" i="42492" s="1"/>
  <c r="BK774" i="42385"/>
  <c r="BK287" i="42385" s="1"/>
  <c r="BK771" i="42385"/>
  <c r="CT1326" i="42385"/>
  <c r="D53" i="42465"/>
  <c r="AX952" i="42385"/>
  <c r="CO166" i="42385"/>
  <c r="Q134" i="42385"/>
  <c r="CO134" i="42385" s="1"/>
  <c r="AS1543" i="42385"/>
  <c r="BC245" i="42385"/>
  <c r="BC249" i="42385" s="1"/>
  <c r="BB952" i="42385"/>
  <c r="W622" i="42385"/>
  <c r="BG92" i="42385"/>
  <c r="BG1648" i="42385"/>
  <c r="BG1641" i="42385" s="1"/>
  <c r="BN576" i="42385"/>
  <c r="BN1551" i="42385" s="1"/>
  <c r="BO1551" i="42385" s="1"/>
  <c r="BF775" i="42385"/>
  <c r="CV458" i="42385"/>
  <c r="AZ459" i="42385"/>
  <c r="AZ473" i="42385" s="1"/>
  <c r="CV473" i="42385" s="1"/>
  <c r="C27" i="42412"/>
  <c r="AR473" i="42385"/>
  <c r="BB219" i="42385"/>
  <c r="BV981" i="42385"/>
  <c r="BQ982" i="42385"/>
  <c r="BP434" i="42385"/>
  <c r="BP221" i="42385"/>
  <c r="BP1233" i="42385" s="1"/>
  <c r="BP431" i="42385"/>
  <c r="BU655" i="42385"/>
  <c r="BV655" i="42385" s="1"/>
  <c r="BW655" i="42385" s="1"/>
  <c r="BX655" i="42385" s="1"/>
  <c r="BY655" i="42385" s="1"/>
  <c r="BZ655" i="42385" s="1"/>
  <c r="CA655" i="42385" s="1"/>
  <c r="CB655" i="42385" s="1"/>
  <c r="CC655" i="42385" s="1"/>
  <c r="CD655" i="42385" s="1"/>
  <c r="CE655" i="42385" s="1"/>
  <c r="CF655" i="42385" s="1"/>
  <c r="BH236" i="42385"/>
  <c r="BC286" i="42385"/>
  <c r="BL463" i="42385"/>
  <c r="BL467" i="42385"/>
  <c r="BL469" i="42385" s="1"/>
  <c r="BQ462" i="42385"/>
  <c r="BQ463" i="42385" s="1"/>
  <c r="W20" i="42476"/>
  <c r="BI1645" i="42385"/>
  <c r="BG402" i="42385"/>
  <c r="BB220" i="42385"/>
  <c r="L134" i="42385"/>
  <c r="CN134" i="42385" s="1"/>
  <c r="AP1083" i="42385"/>
  <c r="CT1083" i="42385" s="1"/>
  <c r="CD971" i="42385"/>
  <c r="CE971" i="42385" s="1"/>
  <c r="CF971" i="42385" s="1"/>
  <c r="BQ272" i="42385"/>
  <c r="BF719" i="42385"/>
  <c r="BK234" i="42385"/>
  <c r="AF120" i="42492" s="1"/>
  <c r="AG120" i="42492" s="1"/>
  <c r="BK717" i="42385"/>
  <c r="BS982" i="42385"/>
  <c r="BS246" i="42385" s="1"/>
  <c r="BX682" i="42385"/>
  <c r="AZ996" i="42385"/>
  <c r="CV996" i="42385" s="1"/>
  <c r="BN1211" i="42385"/>
  <c r="AW281" i="42385"/>
  <c r="BK118" i="42385"/>
  <c r="BK1500" i="42385"/>
  <c r="BK1575" i="42385" s="1"/>
  <c r="BK1577" i="42385" s="1"/>
  <c r="BK1579" i="42385" s="1"/>
  <c r="V163" i="42385"/>
  <c r="CP163" i="42385" s="1"/>
  <c r="BE1379" i="42385"/>
  <c r="BF1379" i="42385" s="1"/>
  <c r="BG1379" i="42385" s="1"/>
  <c r="BH1379" i="42385" s="1"/>
  <c r="BI1379" i="42385" s="1"/>
  <c r="BJ1379" i="42385" s="1"/>
  <c r="CX1379" i="42385" s="1"/>
  <c r="AS486" i="42385"/>
  <c r="AR487" i="42385"/>
  <c r="BW982" i="42385"/>
  <c r="BW246" i="42385" s="1"/>
  <c r="BK1599" i="42385"/>
  <c r="BK1591" i="42385"/>
  <c r="BK1592" i="42385" s="1"/>
  <c r="CV1111" i="42385"/>
  <c r="BO1590" i="42385"/>
  <c r="BR1234" i="42385"/>
  <c r="BB249" i="42385"/>
  <c r="BU767" i="42385"/>
  <c r="BP774" i="42385"/>
  <c r="BP775" i="42385" s="1"/>
  <c r="BP771" i="42385"/>
  <c r="BQ246" i="42385"/>
  <c r="BG1620" i="42385"/>
  <c r="BM770" i="42385"/>
  <c r="BR770" i="42385" s="1"/>
  <c r="CU469" i="42385"/>
  <c r="BK775" i="42385"/>
  <c r="BI284" i="42385"/>
  <c r="BV795" i="42385"/>
  <c r="BQ467" i="42385"/>
  <c r="BQ469" i="42385" s="1"/>
  <c r="BO1217" i="42385"/>
  <c r="CY1217" i="42385" s="1"/>
  <c r="BN1218" i="42385"/>
  <c r="DA362" i="42385"/>
  <c r="BZ686" i="42385"/>
  <c r="AR491" i="42385"/>
  <c r="AR490" i="42385"/>
  <c r="BP287" i="42385"/>
  <c r="BP776" i="42385"/>
  <c r="BK1634" i="42385"/>
  <c r="CA362" i="42385"/>
  <c r="DC362" i="42385" s="1"/>
  <c r="BW770" i="42385"/>
  <c r="BY1056" i="42385"/>
  <c r="BY1057" i="42385"/>
  <c r="BY1058" i="42385"/>
  <c r="BY1061" i="42385"/>
  <c r="BT1239" i="42385"/>
  <c r="DC34" i="42385" l="1"/>
  <c r="BV828" i="42385"/>
  <c r="BV791" i="42385"/>
  <c r="BV982" i="42385"/>
  <c r="BV246" i="42385" s="1"/>
  <c r="BY979" i="42385"/>
  <c r="BZ979" i="42385" s="1"/>
  <c r="BZ151" i="42400" s="1"/>
  <c r="BV977" i="42385"/>
  <c r="BY59" i="42400"/>
  <c r="BY1060" i="42385"/>
  <c r="BY1059" i="42385"/>
  <c r="CZ816" i="42385"/>
  <c r="BU816" i="42385"/>
  <c r="BV816" i="42385" s="1"/>
  <c r="BW816" i="42385" s="1"/>
  <c r="BX816" i="42385" s="1"/>
  <c r="BY816" i="42385" s="1"/>
  <c r="DB421" i="42385"/>
  <c r="L16" i="42492"/>
  <c r="M16" i="42492" s="1"/>
  <c r="BY64" i="42400"/>
  <c r="BU64" i="42400" s="1"/>
  <c r="BY827" i="42385"/>
  <c r="BJ203" i="42492"/>
  <c r="CC304" i="42492"/>
  <c r="CB304" i="42492"/>
  <c r="AE145" i="42492"/>
  <c r="AE146" i="42492" s="1"/>
  <c r="AE136" i="42492"/>
  <c r="AE137" i="42492" s="1"/>
  <c r="BK196" i="42492"/>
  <c r="BI196" i="42492"/>
  <c r="H5" i="42492"/>
  <c r="G10" i="42492"/>
  <c r="H10" i="42492" s="1"/>
  <c r="BQ222" i="42492"/>
  <c r="BL203" i="42492"/>
  <c r="BQ219" i="42492"/>
  <c r="BR222" i="42492"/>
  <c r="BW341" i="42385"/>
  <c r="BY248" i="42385"/>
  <c r="BY63" i="42400"/>
  <c r="BX63" i="42400" s="1"/>
  <c r="BY68" i="42400"/>
  <c r="BY67" i="42400"/>
  <c r="BY69" i="42400"/>
  <c r="BV69" i="42400" s="1"/>
  <c r="BU797" i="42385"/>
  <c r="BU341" i="42385"/>
  <c r="BY858" i="42385"/>
  <c r="BY242" i="42385"/>
  <c r="BY857" i="42385"/>
  <c r="BZ857" i="42385" s="1"/>
  <c r="BX242" i="42385"/>
  <c r="BX1046" i="42385"/>
  <c r="BS1067" i="42385"/>
  <c r="BT1066" i="42385"/>
  <c r="BT1067" i="42385" s="1"/>
  <c r="BS1047" i="42385"/>
  <c r="BY1051" i="42385"/>
  <c r="BY1033" i="42385"/>
  <c r="CZ914" i="42385"/>
  <c r="BY884" i="42385"/>
  <c r="DA884" i="42385" s="1"/>
  <c r="BY790" i="42385"/>
  <c r="BZ396" i="42385"/>
  <c r="CA396" i="42385" s="1"/>
  <c r="CB396" i="42385" s="1"/>
  <c r="DA396" i="42385"/>
  <c r="CA333" i="42385"/>
  <c r="DB333" i="42385"/>
  <c r="BY337" i="42385"/>
  <c r="BR246" i="42385"/>
  <c r="BR249" i="42385" s="1"/>
  <c r="BR797" i="42385"/>
  <c r="BV462" i="42385"/>
  <c r="AQ490" i="42385"/>
  <c r="AR1026" i="42385"/>
  <c r="BC952" i="42385"/>
  <c r="AT269" i="42385"/>
  <c r="AU269" i="42385" s="1"/>
  <c r="CU269" i="42385" s="1"/>
  <c r="BC757" i="42385"/>
  <c r="CX1421" i="42385"/>
  <c r="V42" i="42476"/>
  <c r="BK202" i="42385"/>
  <c r="AY460" i="42385"/>
  <c r="AT222" i="42385"/>
  <c r="AU222" i="42385" s="1"/>
  <c r="CU222" i="42385" s="1"/>
  <c r="CS751" i="42385"/>
  <c r="AK752" i="42385"/>
  <c r="CS752" i="42385" s="1"/>
  <c r="BJ155" i="42400"/>
  <c r="BJ162" i="42400"/>
  <c r="AA1116" i="42385"/>
  <c r="CQ1116" i="42385" s="1"/>
  <c r="CP1115" i="42385"/>
  <c r="AB1554" i="42385"/>
  <c r="AF1552" i="42385"/>
  <c r="CR1552" i="42385" s="1"/>
  <c r="AC115" i="42385"/>
  <c r="AD1300" i="42385"/>
  <c r="BM1234" i="42385"/>
  <c r="BH283" i="42400"/>
  <c r="BF283" i="42400"/>
  <c r="BW244" i="42385"/>
  <c r="BW921" i="42385"/>
  <c r="AN1023" i="42385"/>
  <c r="AN1026" i="42385" s="1"/>
  <c r="BB40" i="42385"/>
  <c r="BB50" i="42385"/>
  <c r="N8" i="42476"/>
  <c r="N45" i="42476" s="1"/>
  <c r="D329" i="42385"/>
  <c r="D330" i="42385" s="1"/>
  <c r="E329" i="42385"/>
  <c r="E330" i="42385" s="1"/>
  <c r="D765" i="42385"/>
  <c r="E765" i="42385"/>
  <c r="G765" i="42385" s="1"/>
  <c r="CM765" i="42385" s="1"/>
  <c r="BD288" i="42400"/>
  <c r="BA288" i="42400"/>
  <c r="BB288" i="42400"/>
  <c r="L1366" i="42385"/>
  <c r="CN1346" i="42385"/>
  <c r="BL234" i="42385"/>
  <c r="BQ710" i="42385"/>
  <c r="AX371" i="42385"/>
  <c r="AX219" i="42385"/>
  <c r="AR1533" i="42385"/>
  <c r="AR935" i="42385"/>
  <c r="AS934" i="42385"/>
  <c r="AS1533" i="42385" s="1"/>
  <c r="AA1577" i="42385"/>
  <c r="CQ1577" i="42385" s="1"/>
  <c r="CQ1575" i="42385"/>
  <c r="CV1304" i="42385"/>
  <c r="F47" i="42465"/>
  <c r="BW983" i="42385"/>
  <c r="AT245" i="42385"/>
  <c r="AC27" i="42385"/>
  <c r="AY952" i="42385"/>
  <c r="BD284" i="42385"/>
  <c r="BV1490" i="42385"/>
  <c r="AG26" i="42385"/>
  <c r="AS158" i="42400"/>
  <c r="S288" i="42400"/>
  <c r="R288" i="42400"/>
  <c r="U288" i="42400"/>
  <c r="X830" i="42385"/>
  <c r="X831" i="42385" s="1"/>
  <c r="X839" i="42385"/>
  <c r="F932" i="42385"/>
  <c r="F927" i="42385"/>
  <c r="S25" i="42424"/>
  <c r="S21" i="42424" s="1"/>
  <c r="AC95" i="42424"/>
  <c r="AM128" i="42385"/>
  <c r="BA246" i="42424"/>
  <c r="GW543" i="42417"/>
  <c r="GW542" i="42417" s="1"/>
  <c r="GX542" i="42417" s="1"/>
  <c r="BE828" i="42385"/>
  <c r="CW828" i="42385" s="1"/>
  <c r="BC1167" i="42385"/>
  <c r="BH1168" i="42385"/>
  <c r="BB300" i="42385"/>
  <c r="BB1159" i="42385"/>
  <c r="BB1167" i="42385"/>
  <c r="AT1098" i="42385"/>
  <c r="AS1099" i="42385"/>
  <c r="AU1098" i="42385"/>
  <c r="BJ241" i="42385"/>
  <c r="P406" i="42385"/>
  <c r="L404" i="42385"/>
  <c r="AP631" i="42385"/>
  <c r="AX27" i="42385"/>
  <c r="BL300" i="42385"/>
  <c r="BT1070" i="42385"/>
  <c r="C314" i="42385"/>
  <c r="F1326" i="42385"/>
  <c r="BE339" i="42385"/>
  <c r="CW339" i="42385" s="1"/>
  <c r="S344" i="42385"/>
  <c r="AK400" i="42385"/>
  <c r="AU1486" i="42385"/>
  <c r="CU1486" i="42385" s="1"/>
  <c r="I814" i="42385"/>
  <c r="I817" i="42385" s="1"/>
  <c r="I818" i="42385" s="1"/>
  <c r="BG234" i="42385"/>
  <c r="BC369" i="42385"/>
  <c r="BC370" i="42385" s="1"/>
  <c r="BC371" i="42385" s="1"/>
  <c r="BK202" i="42492"/>
  <c r="AQ935" i="42385"/>
  <c r="AF1281" i="42385"/>
  <c r="CR1281" i="42385" s="1"/>
  <c r="CQ1500" i="42385"/>
  <c r="BX919" i="42385"/>
  <c r="BY919" i="42385" s="1"/>
  <c r="BF462" i="42385"/>
  <c r="BZ165" i="42385"/>
  <c r="DC1608" i="42385"/>
  <c r="CA1611" i="42385"/>
  <c r="DC1611" i="42385" s="1"/>
  <c r="C1498" i="42385"/>
  <c r="G1473" i="42385"/>
  <c r="CM1473" i="42385" s="1"/>
  <c r="AY1487" i="42385"/>
  <c r="AZ1487" i="42385" s="1"/>
  <c r="BA1456" i="42385"/>
  <c r="CY1442" i="42385"/>
  <c r="BO1460" i="42385"/>
  <c r="BO1465" i="42385"/>
  <c r="BO1464" i="42385"/>
  <c r="U42" i="42476"/>
  <c r="BI202" i="42385"/>
  <c r="CP1421" i="42385"/>
  <c r="F18" i="42472"/>
  <c r="W202" i="42385"/>
  <c r="AP110" i="42385"/>
  <c r="CT110" i="42385" s="1"/>
  <c r="I1558" i="42385"/>
  <c r="I128" i="42385"/>
  <c r="AP341" i="42385"/>
  <c r="AN218" i="42385"/>
  <c r="GM487" i="42417" s="1"/>
  <c r="AN755" i="42385"/>
  <c r="AS757" i="42385" s="1"/>
  <c r="AN752" i="42385"/>
  <c r="BU921" i="42385"/>
  <c r="BU244" i="42385"/>
  <c r="AN1013" i="42385"/>
  <c r="AS1012" i="42385"/>
  <c r="BL1643" i="42385"/>
  <c r="BO1321" i="42385"/>
  <c r="CV336" i="42385"/>
  <c r="BO87" i="42400"/>
  <c r="AO1543" i="42385"/>
  <c r="AX26" i="42385"/>
  <c r="BO561" i="42385"/>
  <c r="BO563" i="42385" s="1"/>
  <c r="AP88" i="42385"/>
  <c r="D14" i="42465" s="1"/>
  <c r="AS1579" i="42385"/>
  <c r="AD24" i="42385"/>
  <c r="AD40" i="42385" s="1"/>
  <c r="BO90" i="42400"/>
  <c r="CA1492" i="42385"/>
  <c r="BT1490" i="42385"/>
  <c r="R1426" i="42385"/>
  <c r="BF400" i="42385"/>
  <c r="I326" i="42385"/>
  <c r="I329" i="42385" s="1"/>
  <c r="AK1108" i="42385"/>
  <c r="CS1108" i="42385" s="1"/>
  <c r="AB24" i="42385"/>
  <c r="Q1524" i="42385"/>
  <c r="CO1524" i="42385" s="1"/>
  <c r="N1525" i="42385"/>
  <c r="CZ249" i="42417"/>
  <c r="CW112" i="42385"/>
  <c r="AK1511" i="42385"/>
  <c r="AJ1510" i="42385"/>
  <c r="AJ1500" i="42385"/>
  <c r="AJ118" i="42385"/>
  <c r="N1500" i="42385"/>
  <c r="O1511" i="42385"/>
  <c r="N118" i="42385"/>
  <c r="AS1402" i="42385"/>
  <c r="AS1563" i="42385"/>
  <c r="AS1593" i="42385" s="1"/>
  <c r="CQ1380" i="42385"/>
  <c r="AB1480" i="42385"/>
  <c r="BO88" i="42400"/>
  <c r="BN88" i="42400" s="1"/>
  <c r="AE1426" i="42385"/>
  <c r="BI1291" i="42385"/>
  <c r="BJ1291" i="42385" s="1"/>
  <c r="CX1291" i="42385" s="1"/>
  <c r="I938" i="42385"/>
  <c r="AG19" i="42443"/>
  <c r="BR52" i="42385"/>
  <c r="AY1292" i="42385"/>
  <c r="AZ1292" i="42385"/>
  <c r="CV1292" i="42385" s="1"/>
  <c r="AP1027" i="42385"/>
  <c r="CT1027" i="42385" s="1"/>
  <c r="AQ1027" i="42385"/>
  <c r="CS63" i="42385"/>
  <c r="C7" i="42465"/>
  <c r="AY1406" i="42385"/>
  <c r="AY1564" i="42385"/>
  <c r="Z1406" i="42385"/>
  <c r="Z1424" i="42385" s="1"/>
  <c r="Z1426" i="42385" s="1"/>
  <c r="Z1564" i="42385"/>
  <c r="U1406" i="42385"/>
  <c r="U1424" i="42385" s="1"/>
  <c r="U1564" i="42385"/>
  <c r="U1504" i="42385"/>
  <c r="K1406" i="42385"/>
  <c r="K1424" i="42385" s="1"/>
  <c r="K1426" i="42385" s="1"/>
  <c r="K1564" i="42385"/>
  <c r="F1406" i="42385"/>
  <c r="F1424" i="42385" s="1"/>
  <c r="F1426" i="42385" s="1"/>
  <c r="F1564" i="42385"/>
  <c r="CQ1399" i="42385"/>
  <c r="AB1497" i="42385"/>
  <c r="AF1497" i="42385" s="1"/>
  <c r="CR1497" i="42385" s="1"/>
  <c r="D30" i="42465"/>
  <c r="BI1296" i="42385"/>
  <c r="BJ1296" i="42385" s="1"/>
  <c r="CX1296" i="42385" s="1"/>
  <c r="BN1322" i="42385"/>
  <c r="BO1322" i="42385" s="1"/>
  <c r="CY1322" i="42385" s="1"/>
  <c r="AH115" i="42385"/>
  <c r="L1091" i="42385"/>
  <c r="AN110" i="42385"/>
  <c r="P256" i="42385"/>
  <c r="AU1122" i="42385"/>
  <c r="CU1122" i="42385" s="1"/>
  <c r="AE1346" i="42385"/>
  <c r="AE1366" i="42385" s="1"/>
  <c r="AE201" i="42385" s="1"/>
  <c r="AE207" i="42385" s="1"/>
  <c r="AF1107" i="42385"/>
  <c r="BB1304" i="42385"/>
  <c r="AT1375" i="42385"/>
  <c r="AT1424" i="42385" s="1"/>
  <c r="AF1565" i="42385"/>
  <c r="AZ1510" i="42385"/>
  <c r="CV1510" i="42385" s="1"/>
  <c r="BF115" i="42385"/>
  <c r="G1301" i="42385"/>
  <c r="G1326" i="42385"/>
  <c r="CM1326" i="42385" s="1"/>
  <c r="AJ1563" i="42385"/>
  <c r="AJ1593" i="42385" s="1"/>
  <c r="BC1553" i="42385"/>
  <c r="BC107" i="42385" s="1"/>
  <c r="BJ1460" i="42385"/>
  <c r="BF1491" i="42385"/>
  <c r="BJ1491" i="42385" s="1"/>
  <c r="BM1489" i="42385"/>
  <c r="BM1482" i="42385"/>
  <c r="BK1166" i="42385"/>
  <c r="AA873" i="42385"/>
  <c r="CQ873" i="42385" s="1"/>
  <c r="L795" i="42385"/>
  <c r="CN795" i="42385" s="1"/>
  <c r="BF198" i="42385"/>
  <c r="AT1290" i="42385"/>
  <c r="AU1290" i="42385" s="1"/>
  <c r="CU1290" i="42385" s="1"/>
  <c r="F1282" i="42385"/>
  <c r="AT1298" i="42385"/>
  <c r="AU1298" i="42385" s="1"/>
  <c r="CU1298" i="42385" s="1"/>
  <c r="CS1371" i="42385"/>
  <c r="BN1320" i="42385"/>
  <c r="BO1320" i="42385" s="1"/>
  <c r="V826" i="42385"/>
  <c r="CP826" i="42385" s="1"/>
  <c r="BK681" i="42385"/>
  <c r="BK691" i="42385" s="1"/>
  <c r="BK693" i="42385" s="1"/>
  <c r="BK695" i="42385" s="1"/>
  <c r="BH198" i="42385"/>
  <c r="C163" i="42385"/>
  <c r="C191" i="42385" s="1"/>
  <c r="C193" i="42385" s="1"/>
  <c r="AF194" i="42400"/>
  <c r="AF1019" i="42385" s="1"/>
  <c r="AF1020" i="42385" s="1"/>
  <c r="CR1020" i="42385" s="1"/>
  <c r="BO1313" i="42385"/>
  <c r="BO1193" i="42385"/>
  <c r="CY1193" i="42385" s="1"/>
  <c r="AY1283" i="42385"/>
  <c r="AZ1283" i="42385" s="1"/>
  <c r="CV1283" i="42385" s="1"/>
  <c r="AU1313" i="42385"/>
  <c r="AU111" i="42385" s="1"/>
  <c r="CU111" i="42385" s="1"/>
  <c r="F1281" i="42385"/>
  <c r="F108" i="42385" s="1"/>
  <c r="G108" i="42385" s="1"/>
  <c r="CM108" i="42385" s="1"/>
  <c r="L1375" i="42385"/>
  <c r="CN1375" i="42385" s="1"/>
  <c r="AZ1122" i="42385"/>
  <c r="CV1122" i="42385" s="1"/>
  <c r="AZ1169" i="42385"/>
  <c r="CV1169" i="42385" s="1"/>
  <c r="BD1317" i="42385"/>
  <c r="BE1317" i="42385" s="1"/>
  <c r="CW1317" i="42385" s="1"/>
  <c r="BI1493" i="42385"/>
  <c r="AQ1485" i="42385"/>
  <c r="AU1485" i="42385" s="1"/>
  <c r="CU1485" i="42385" s="1"/>
  <c r="W1485" i="42385"/>
  <c r="AA1485" i="42385" s="1"/>
  <c r="CQ1485" i="42385" s="1"/>
  <c r="AQ1482" i="42385"/>
  <c r="AQ1170" i="42385"/>
  <c r="AA759" i="42385"/>
  <c r="CQ759" i="42385" s="1"/>
  <c r="Z700" i="42385"/>
  <c r="AC677" i="42385"/>
  <c r="AD344" i="42385"/>
  <c r="O344" i="42385"/>
  <c r="BG198" i="42385"/>
  <c r="C165" i="42385"/>
  <c r="C166" i="42385" s="1"/>
  <c r="C134" i="42385" s="1"/>
  <c r="BQ643" i="42385"/>
  <c r="AT1593" i="42385"/>
  <c r="AU1590" i="42385"/>
  <c r="BV796" i="42385"/>
  <c r="BW795" i="42385"/>
  <c r="BU237" i="42385"/>
  <c r="BU774" i="42385"/>
  <c r="BU771" i="42385"/>
  <c r="BK1603" i="42385"/>
  <c r="BK1604" i="42385" s="1"/>
  <c r="BK1605" i="42385" s="1"/>
  <c r="BK1600" i="42385"/>
  <c r="BK1601" i="42385" s="1"/>
  <c r="BK1602" i="42385" s="1"/>
  <c r="BL985" i="42385"/>
  <c r="BG986" i="42385"/>
  <c r="BO1218" i="42385"/>
  <c r="CY1218" i="42385" s="1"/>
  <c r="BN1222" i="42385"/>
  <c r="BO1222" i="42385" s="1"/>
  <c r="AS487" i="42385"/>
  <c r="AS489" i="42385"/>
  <c r="BD1375" i="42385"/>
  <c r="BB402" i="42385"/>
  <c r="BD718" i="42385"/>
  <c r="CW951" i="42385"/>
  <c r="AT631" i="42385"/>
  <c r="BK268" i="42385"/>
  <c r="BA719" i="42385"/>
  <c r="GP500" i="42417"/>
  <c r="BA1164" i="42385"/>
  <c r="AQ274" i="42385"/>
  <c r="AQ603" i="42385"/>
  <c r="AX985" i="42385"/>
  <c r="AU985" i="42385"/>
  <c r="BT668" i="42385"/>
  <c r="BX281" i="42385"/>
  <c r="BX648" i="42385"/>
  <c r="BK1156" i="42385"/>
  <c r="BP1155" i="42385"/>
  <c r="BQ797" i="42385"/>
  <c r="BQ240" i="42385"/>
  <c r="BQ249" i="42385" s="1"/>
  <c r="AC40" i="42385"/>
  <c r="AH32" i="42385"/>
  <c r="AS720" i="42385"/>
  <c r="BX1537" i="42385"/>
  <c r="BY739" i="42385"/>
  <c r="CB362" i="42385"/>
  <c r="CC362" i="42385" s="1"/>
  <c r="CD362" i="42385" s="1"/>
  <c r="CE362" i="42385" s="1"/>
  <c r="CF362" i="42385" s="1"/>
  <c r="CW1373" i="42385"/>
  <c r="AQ270" i="42385"/>
  <c r="BI1514" i="42385"/>
  <c r="AF1326" i="42385"/>
  <c r="BB986" i="42385"/>
  <c r="BO1210" i="42385"/>
  <c r="BF718" i="42385"/>
  <c r="AT841" i="42385"/>
  <c r="E17" i="42464"/>
  <c r="AZ951" i="42385"/>
  <c r="BE952" i="42385" s="1"/>
  <c r="CW952" i="42385" s="1"/>
  <c r="AS202" i="42385"/>
  <c r="AR1536" i="42385"/>
  <c r="BH271" i="42385"/>
  <c r="CU254" i="42385"/>
  <c r="BQ1278" i="42385"/>
  <c r="BQ1301" i="42385" s="1"/>
  <c r="BQ1330" i="42385" s="1"/>
  <c r="BD1111" i="42385"/>
  <c r="AY1115" i="42385"/>
  <c r="AY312" i="42385" s="1"/>
  <c r="AR202" i="42385"/>
  <c r="X624" i="42385"/>
  <c r="X621" i="42385" s="1"/>
  <c r="Y625" i="42385"/>
  <c r="EJ453" i="42492"/>
  <c r="DA242" i="42385"/>
  <c r="BD236" i="42385"/>
  <c r="BI748" i="42385"/>
  <c r="CT310" i="42385"/>
  <c r="E19" i="42464"/>
  <c r="AX286" i="42385"/>
  <c r="AX757" i="42385"/>
  <c r="AT486" i="42385"/>
  <c r="B51" i="42465"/>
  <c r="AS842" i="42385"/>
  <c r="GO525" i="42417"/>
  <c r="CU467" i="42385"/>
  <c r="AR721" i="42385"/>
  <c r="BH515" i="42385"/>
  <c r="BA284" i="42385"/>
  <c r="BC1375" i="42385"/>
  <c r="AX756" i="42385"/>
  <c r="AQ158" i="42400"/>
  <c r="BE467" i="42385"/>
  <c r="BE464" i="42385"/>
  <c r="CW464" i="42385" s="1"/>
  <c r="AQ202" i="42385"/>
  <c r="BM246" i="42385"/>
  <c r="BM249" i="42385" s="1"/>
  <c r="BF640" i="42385"/>
  <c r="CO165" i="42385"/>
  <c r="AR676" i="42385"/>
  <c r="BU1379" i="42385"/>
  <c r="BV1379" i="42385" s="1"/>
  <c r="BW1379" i="42385" s="1"/>
  <c r="BX1379" i="42385" s="1"/>
  <c r="BY1379" i="42385" s="1"/>
  <c r="BT1248" i="42385"/>
  <c r="BL66" i="42400"/>
  <c r="BN66" i="42400"/>
  <c r="AK110" i="42385"/>
  <c r="CS110" i="42385" s="1"/>
  <c r="BE888" i="42385"/>
  <c r="CW888" i="42385" s="1"/>
  <c r="BJ890" i="42385"/>
  <c r="CX890" i="42385" s="1"/>
  <c r="EH454" i="42492"/>
  <c r="CY243" i="42385"/>
  <c r="AQ904" i="42385"/>
  <c r="AR903" i="42385"/>
  <c r="V1093" i="42385"/>
  <c r="CP1093" i="42385" s="1"/>
  <c r="V1092" i="42385"/>
  <c r="CP1092" i="42385" s="1"/>
  <c r="J21" i="42472"/>
  <c r="CT1411" i="42385"/>
  <c r="D32" i="42465"/>
  <c r="BC40" i="42385"/>
  <c r="BC32" i="42385"/>
  <c r="BC50" i="42385"/>
  <c r="BC52" i="42385" s="1"/>
  <c r="BH26" i="42385"/>
  <c r="BH32" i="42385"/>
  <c r="O8" i="42476"/>
  <c r="BC26" i="42385"/>
  <c r="BN537" i="42385"/>
  <c r="BI540" i="42385"/>
  <c r="CN770" i="42385"/>
  <c r="L771" i="42385"/>
  <c r="CN771" i="42385" s="1"/>
  <c r="Y799" i="42385"/>
  <c r="Y801" i="42385" s="1"/>
  <c r="Y803" i="42385"/>
  <c r="L1025" i="42385"/>
  <c r="CN1025" i="42385" s="1"/>
  <c r="CN1019" i="42385"/>
  <c r="L1020" i="42385"/>
  <c r="CN1020" i="42385" s="1"/>
  <c r="BE438" i="42385"/>
  <c r="CW438" i="42385" s="1"/>
  <c r="BE437" i="42385"/>
  <c r="CW437" i="42385" s="1"/>
  <c r="I1020" i="42385"/>
  <c r="I1025" i="42385"/>
  <c r="CM486" i="42385"/>
  <c r="G487" i="42385"/>
  <c r="CM487" i="42385" s="1"/>
  <c r="BA1617" i="42385"/>
  <c r="BC1617" i="42385"/>
  <c r="BB1617" i="42385"/>
  <c r="CV1616" i="42385"/>
  <c r="CC1442" i="42385"/>
  <c r="CB1459" i="42385"/>
  <c r="CB1464" i="42385"/>
  <c r="CB1452" i="42385"/>
  <c r="CB1458" i="42385"/>
  <c r="CB1465" i="42385"/>
  <c r="CB1450" i="42385"/>
  <c r="CB1460" i="42385"/>
  <c r="BM224" i="42385"/>
  <c r="BM518" i="42385"/>
  <c r="BB88" i="42400"/>
  <c r="BD88" i="42400"/>
  <c r="AS280" i="42400"/>
  <c r="AQ280" i="42400"/>
  <c r="BD90" i="42400"/>
  <c r="BA90" i="42400"/>
  <c r="BC90" i="42400"/>
  <c r="AX156" i="42400"/>
  <c r="AV156" i="42400"/>
  <c r="AT292" i="42400"/>
  <c r="AQ292" i="42400"/>
  <c r="AR292" i="42400"/>
  <c r="BM90" i="42400"/>
  <c r="BK90" i="42400"/>
  <c r="BC282" i="42400"/>
  <c r="BB282" i="42400"/>
  <c r="BE137" i="42400"/>
  <c r="BE148" i="42400" s="1"/>
  <c r="BE926" i="42385" s="1"/>
  <c r="BC135" i="42400"/>
  <c r="BC137" i="42400" s="1"/>
  <c r="BD135" i="42400"/>
  <c r="AE289" i="42400"/>
  <c r="AD289" i="42400"/>
  <c r="AR90" i="42400"/>
  <c r="AT90" i="42400"/>
  <c r="Q1406" i="42385"/>
  <c r="CO1402" i="42385"/>
  <c r="V1504" i="42385"/>
  <c r="CP1504" i="42385" s="1"/>
  <c r="AE230" i="42400"/>
  <c r="AD230" i="42400"/>
  <c r="F1558" i="42385"/>
  <c r="K259" i="42385"/>
  <c r="J870" i="42385"/>
  <c r="J865" i="42385"/>
  <c r="H259" i="42385"/>
  <c r="C1558" i="42385"/>
  <c r="E128" i="42385"/>
  <c r="E1558" i="42385"/>
  <c r="J259" i="42385"/>
  <c r="AU241" i="42385"/>
  <c r="AZ828" i="42385"/>
  <c r="CV828" i="42385" s="1"/>
  <c r="CU827" i="42385"/>
  <c r="BE1177" i="42385"/>
  <c r="BE1180" i="42385" s="1"/>
  <c r="CW1171" i="42385"/>
  <c r="BE1166" i="42385"/>
  <c r="AL1564" i="42385"/>
  <c r="AL1406" i="42385"/>
  <c r="M1660" i="42385"/>
  <c r="M1567" i="42385"/>
  <c r="Q753" i="42385"/>
  <c r="CO753" i="42385" s="1"/>
  <c r="L752" i="42385"/>
  <c r="CN752" i="42385" s="1"/>
  <c r="AK753" i="42385"/>
  <c r="CS753" i="42385" s="1"/>
  <c r="AF753" i="42385"/>
  <c r="CR753" i="42385" s="1"/>
  <c r="AF752" i="42385"/>
  <c r="CR752" i="42385" s="1"/>
  <c r="CR751" i="42385"/>
  <c r="Q771" i="42385"/>
  <c r="CO771" i="42385" s="1"/>
  <c r="V772" i="42385"/>
  <c r="CP772" i="42385" s="1"/>
  <c r="CO770" i="42385"/>
  <c r="CR1118" i="42385"/>
  <c r="AF1124" i="42385"/>
  <c r="CR1124" i="42385" s="1"/>
  <c r="E163" i="42385"/>
  <c r="J131" i="42385"/>
  <c r="E165" i="42385"/>
  <c r="E166" i="42385" s="1"/>
  <c r="E134" i="42385" s="1"/>
  <c r="E1314" i="42385"/>
  <c r="E1330" i="42385" s="1"/>
  <c r="E1333" i="42385" s="1"/>
  <c r="F1332" i="42385" s="1"/>
  <c r="F1312" i="42385"/>
  <c r="F1314" i="42385" s="1"/>
  <c r="AE1525" i="42385"/>
  <c r="AE1499" i="42385" s="1"/>
  <c r="AF1524" i="42385"/>
  <c r="CR1524" i="42385" s="1"/>
  <c r="CQ833" i="42385"/>
  <c r="AA834" i="42385"/>
  <c r="CQ834" i="42385" s="1"/>
  <c r="V958" i="42385"/>
  <c r="CP958" i="42385" s="1"/>
  <c r="V963" i="42385"/>
  <c r="CP963" i="42385" s="1"/>
  <c r="CP957" i="42385"/>
  <c r="BO85" i="42385"/>
  <c r="BL86" i="42385"/>
  <c r="P1623" i="42385"/>
  <c r="Q1623" i="42385" s="1"/>
  <c r="CO1623" i="42385" s="1"/>
  <c r="R1623" i="42385"/>
  <c r="BG131" i="42385"/>
  <c r="BL131" i="42385"/>
  <c r="BG133" i="42385"/>
  <c r="BG118" i="42385"/>
  <c r="I344" i="42385"/>
  <c r="I354" i="42385"/>
  <c r="CP333" i="42385"/>
  <c r="V337" i="42385"/>
  <c r="HZ685" i="42417"/>
  <c r="IC685" i="42417" s="1"/>
  <c r="ID685" i="42417" s="1"/>
  <c r="CT336" i="42385"/>
  <c r="IB685" i="42417"/>
  <c r="IB695" i="42417" s="1"/>
  <c r="AZ340" i="42385"/>
  <c r="CV340" i="42385" s="1"/>
  <c r="AV341" i="42385"/>
  <c r="BA340" i="42385"/>
  <c r="CM404" i="42385"/>
  <c r="G405" i="42385"/>
  <c r="CM405" i="42385" s="1"/>
  <c r="CX504" i="42385"/>
  <c r="BJ505" i="42385"/>
  <c r="CX505" i="42385" s="1"/>
  <c r="DC289" i="42464"/>
  <c r="DC291" i="42464" s="1"/>
  <c r="CY270" i="42464" s="1"/>
  <c r="CQ713" i="42385"/>
  <c r="AA715" i="42385"/>
  <c r="CQ715" i="42385" s="1"/>
  <c r="AF715" i="42385"/>
  <c r="CR715" i="42385" s="1"/>
  <c r="AU93" i="42400"/>
  <c r="AT93" i="42400" s="1"/>
  <c r="AU97" i="42400"/>
  <c r="AU87" i="42400"/>
  <c r="AU142" i="42400"/>
  <c r="AU135" i="42400"/>
  <c r="AR135" i="42400" s="1"/>
  <c r="AP1104" i="42385"/>
  <c r="AQ1104" i="42385"/>
  <c r="AS385" i="42385"/>
  <c r="AT384" i="42385"/>
  <c r="J954" i="42385"/>
  <c r="J955" i="42385" s="1"/>
  <c r="J963" i="42385"/>
  <c r="CS293" i="42385"/>
  <c r="FK424" i="42417"/>
  <c r="BB640" i="42385"/>
  <c r="AW231" i="42385"/>
  <c r="BO670" i="42385"/>
  <c r="BO671" i="42385" s="1"/>
  <c r="BR670" i="42385"/>
  <c r="BM673" i="42385"/>
  <c r="BM674" i="42385" s="1"/>
  <c r="BM675" i="42385" s="1"/>
  <c r="BM233" i="42385" s="1"/>
  <c r="AY144" i="42400"/>
  <c r="AU133" i="42385"/>
  <c r="F64" i="42443"/>
  <c r="Q35" i="42443"/>
  <c r="CA226" i="42400"/>
  <c r="CA235" i="42400" s="1"/>
  <c r="X88" i="42385"/>
  <c r="X1645" i="42385" s="1"/>
  <c r="H88" i="42385"/>
  <c r="H1645" i="42385" s="1"/>
  <c r="K181" i="42385"/>
  <c r="L181" i="42385" s="1"/>
  <c r="BQ691" i="42385"/>
  <c r="AI314" i="42385"/>
  <c r="G115" i="42385"/>
  <c r="CM115" i="42385" s="1"/>
  <c r="W314" i="42385"/>
  <c r="W315" i="42385" s="1"/>
  <c r="AC314" i="42385"/>
  <c r="AC316" i="42385" s="1"/>
  <c r="P314" i="42385"/>
  <c r="P50" i="42385" s="1"/>
  <c r="BP233" i="42400"/>
  <c r="AP194" i="42400"/>
  <c r="AP1019" i="42385" s="1"/>
  <c r="BE241" i="42385"/>
  <c r="BT1250" i="42385"/>
  <c r="BV691" i="42385"/>
  <c r="BJ1551" i="42385"/>
  <c r="AG346" i="42385"/>
  <c r="U314" i="42385"/>
  <c r="AM248" i="42424" s="1"/>
  <c r="AM250" i="42424" s="1"/>
  <c r="AP1616" i="42385"/>
  <c r="CT1616" i="42385" s="1"/>
  <c r="AS675" i="42385"/>
  <c r="BE39" i="42400"/>
  <c r="BA39" i="42400" s="1"/>
  <c r="BE43" i="42400"/>
  <c r="BD43" i="42400" s="1"/>
  <c r="R27" i="42443"/>
  <c r="V59" i="42443"/>
  <c r="AG59" i="42443"/>
  <c r="S35" i="42443"/>
  <c r="X27" i="42443"/>
  <c r="J27" i="42443"/>
  <c r="CV459" i="42385"/>
  <c r="AW1021" i="42385"/>
  <c r="AW1023" i="42385" s="1"/>
  <c r="AW301" i="42385" s="1"/>
  <c r="AR1024" i="42385"/>
  <c r="AB131" i="42424"/>
  <c r="AB155" i="42424" s="1"/>
  <c r="AR301" i="42385"/>
  <c r="AU88" i="42400"/>
  <c r="W66" i="42443"/>
  <c r="AB67" i="42443" s="1"/>
  <c r="CU706" i="42385"/>
  <c r="AV706" i="42385"/>
  <c r="AW706" i="42385" s="1"/>
  <c r="AX706" i="42385" s="1"/>
  <c r="AY706" i="42385" s="1"/>
  <c r="AZ706" i="42385" s="1"/>
  <c r="C50" i="42465"/>
  <c r="CS1314" i="42385"/>
  <c r="CS1312" i="42385"/>
  <c r="BR1373" i="42385"/>
  <c r="BE1384" i="42385"/>
  <c r="K19" i="42472"/>
  <c r="AE51" i="42443"/>
  <c r="BR1114" i="42385"/>
  <c r="BO144" i="42400"/>
  <c r="BN140" i="42400"/>
  <c r="BN142" i="42400"/>
  <c r="AX224" i="42400"/>
  <c r="AN165" i="42385"/>
  <c r="AN166" i="42385" s="1"/>
  <c r="AN134" i="42385" s="1"/>
  <c r="BA137" i="42400"/>
  <c r="BO51" i="42400"/>
  <c r="BO802" i="42385" s="1"/>
  <c r="R932" i="42385"/>
  <c r="BA279" i="42400"/>
  <c r="BA285" i="42400" s="1"/>
  <c r="AA870" i="42385"/>
  <c r="CQ870" i="42385" s="1"/>
  <c r="H95" i="42400"/>
  <c r="H101" i="42400" s="1"/>
  <c r="H833" i="42385" s="1"/>
  <c r="CP244" i="42385"/>
  <c r="B47" i="42410"/>
  <c r="B50" i="42410" s="1"/>
  <c r="B66" i="42443"/>
  <c r="G67" i="42443" s="1"/>
  <c r="G59" i="42443"/>
  <c r="E66" i="42443"/>
  <c r="BS230" i="42400"/>
  <c r="BH656" i="42385"/>
  <c r="BH657" i="42385" s="1"/>
  <c r="CF233" i="42400"/>
  <c r="CF235" i="42400" s="1"/>
  <c r="V43" i="42443"/>
  <c r="C66" i="42443"/>
  <c r="H67" i="42443" s="1"/>
  <c r="AF314" i="42385"/>
  <c r="C7" i="42418" s="1"/>
  <c r="V37" i="42417" s="1"/>
  <c r="BA1355" i="42385"/>
  <c r="G1565" i="42385"/>
  <c r="AL1498" i="42385"/>
  <c r="AP1498" i="42385" s="1"/>
  <c r="CT1498" i="42385" s="1"/>
  <c r="CB909" i="42385"/>
  <c r="CC909" i="42385" s="1"/>
  <c r="CD909" i="42385" s="1"/>
  <c r="CE909" i="42385" s="1"/>
  <c r="CF909" i="42385" s="1"/>
  <c r="AZ226" i="42400"/>
  <c r="AZ235" i="42400" s="1"/>
  <c r="BK140" i="42400"/>
  <c r="BL142" i="42400"/>
  <c r="BL144" i="42400" s="1"/>
  <c r="AW224" i="42400"/>
  <c r="AE19" i="42443"/>
  <c r="L377" i="42385"/>
  <c r="CN377" i="42385" s="1"/>
  <c r="L59" i="42443"/>
  <c r="AZ282" i="42400"/>
  <c r="AG1361" i="42385"/>
  <c r="AH1361" i="42385" s="1"/>
  <c r="AI1361" i="42385" s="1"/>
  <c r="AJ1361" i="42385" s="1"/>
  <c r="AK1361" i="42385" s="1"/>
  <c r="AL1497" i="42385"/>
  <c r="AP1497" i="42385" s="1"/>
  <c r="CT1497" i="42385" s="1"/>
  <c r="Y48" i="42417"/>
  <c r="R923" i="42385"/>
  <c r="R924" i="42385" s="1"/>
  <c r="AA865" i="42385"/>
  <c r="CQ865" i="42385" s="1"/>
  <c r="BR230" i="42400"/>
  <c r="J19" i="42443"/>
  <c r="CB226" i="42400"/>
  <c r="CA233" i="42400"/>
  <c r="O43" i="42443"/>
  <c r="N27" i="42443"/>
  <c r="J35" i="42443"/>
  <c r="AC35" i="42443"/>
  <c r="AK613" i="42385"/>
  <c r="AZ279" i="42400"/>
  <c r="S51" i="42443"/>
  <c r="AF1480" i="42385"/>
  <c r="CR1480" i="42385" s="1"/>
  <c r="G1484" i="42385"/>
  <c r="CM1484" i="42385" s="1"/>
  <c r="L1563" i="42385"/>
  <c r="CN1563" i="42385" s="1"/>
  <c r="BR90" i="42400"/>
  <c r="BS90" i="42400"/>
  <c r="BQ88" i="42400"/>
  <c r="BR88" i="42400"/>
  <c r="D37" i="42409"/>
  <c r="AU1585" i="42385"/>
  <c r="CU1585" i="42385" s="1"/>
  <c r="AU1660" i="42385"/>
  <c r="CU1564" i="42385"/>
  <c r="AT163" i="42400"/>
  <c r="AQ163" i="42400"/>
  <c r="AR163" i="42400"/>
  <c r="AR165" i="42400" s="1"/>
  <c r="BN701" i="42385"/>
  <c r="BN682" i="42385" s="1"/>
  <c r="BO682" i="42385" s="1"/>
  <c r="BO701" i="42385" s="1"/>
  <c r="BI682" i="42385"/>
  <c r="BJ682" i="42385" s="1"/>
  <c r="BJ701" i="42385" s="1"/>
  <c r="AV281" i="42400"/>
  <c r="AX281" i="42400"/>
  <c r="AY281" i="42400"/>
  <c r="AZ1406" i="42385"/>
  <c r="AZ1564" i="42385"/>
  <c r="AB231" i="42400"/>
  <c r="AD231" i="42400"/>
  <c r="AE231" i="42400"/>
  <c r="AC231" i="42400"/>
  <c r="L19" i="42492"/>
  <c r="M19" i="42492" s="1"/>
  <c r="H11" i="42492"/>
  <c r="P65" i="42443"/>
  <c r="AK41" i="42400"/>
  <c r="AK37" i="42400"/>
  <c r="AG37" i="42400" s="1"/>
  <c r="AK47" i="42400"/>
  <c r="AK38" i="42400"/>
  <c r="AK42" i="42400"/>
  <c r="AK39" i="42400"/>
  <c r="AG39" i="42400" s="1"/>
  <c r="AK40" i="42400"/>
  <c r="AK43" i="42400"/>
  <c r="AH1139" i="42385"/>
  <c r="AI939" i="42385"/>
  <c r="BA1113" i="42385"/>
  <c r="BE1113" i="42385" s="1"/>
  <c r="CW1113" i="42385" s="1"/>
  <c r="AZ1113" i="42385"/>
  <c r="AV1115" i="42385"/>
  <c r="AV312" i="42385" s="1"/>
  <c r="AZ312" i="42385" s="1"/>
  <c r="GC471" i="42417" s="1"/>
  <c r="GG471" i="42417" s="1"/>
  <c r="AU1103" i="42385"/>
  <c r="CU1103" i="42385" s="1"/>
  <c r="AY1103" i="42385"/>
  <c r="BD1103" i="42385" s="1"/>
  <c r="BI1103" i="42385" s="1"/>
  <c r="V1020" i="42385"/>
  <c r="CP1020" i="42385" s="1"/>
  <c r="CP1019" i="42385"/>
  <c r="V1025" i="42385"/>
  <c r="CP1025" i="42385" s="1"/>
  <c r="CP218" i="42385"/>
  <c r="W38" i="42417"/>
  <c r="Y38" i="42417" s="1"/>
  <c r="V258" i="42385"/>
  <c r="G277" i="42385"/>
  <c r="CM265" i="42385"/>
  <c r="H800" i="42385"/>
  <c r="H801" i="42385"/>
  <c r="FQ465" i="42464"/>
  <c r="B81" i="42420"/>
  <c r="C81" i="42420" s="1"/>
  <c r="CQ252" i="42464"/>
  <c r="CQ254" i="42464" s="1"/>
  <c r="CS252" i="42464"/>
  <c r="CS254" i="42464" s="1"/>
  <c r="X102" i="42408"/>
  <c r="Y102" i="42408" s="1"/>
  <c r="Z102" i="42408" s="1"/>
  <c r="CR252" i="42464"/>
  <c r="CR254" i="42464" s="1"/>
  <c r="EA411" i="42464"/>
  <c r="HD617" i="42417"/>
  <c r="HD618" i="42417" s="1"/>
  <c r="AQ161" i="42400"/>
  <c r="AQ165" i="42400" s="1"/>
  <c r="AQ169" i="42400" s="1"/>
  <c r="AQ988" i="42385" s="1"/>
  <c r="AQ989" i="42385" s="1"/>
  <c r="AT161" i="42400"/>
  <c r="AR161" i="42400"/>
  <c r="BU1112" i="42385"/>
  <c r="W44" i="42417"/>
  <c r="CP241" i="42385"/>
  <c r="BR1190" i="42385"/>
  <c r="BQ1197" i="42385"/>
  <c r="BQ1200" i="42385" s="1"/>
  <c r="AB1017" i="42385"/>
  <c r="AG1018" i="42385"/>
  <c r="AD63" i="42400"/>
  <c r="AE63" i="42400"/>
  <c r="AC63" i="42400"/>
  <c r="AF71" i="42400"/>
  <c r="AF75" i="42400" s="1"/>
  <c r="AF864" i="42385" s="1"/>
  <c r="AF865" i="42385" s="1"/>
  <c r="CR865" i="42385" s="1"/>
  <c r="AB63" i="42400"/>
  <c r="BE144" i="42400"/>
  <c r="BD142" i="42400"/>
  <c r="BC142" i="42400"/>
  <c r="BC144" i="42400" s="1"/>
  <c r="BC148" i="42400" s="1"/>
  <c r="BC926" i="42385" s="1"/>
  <c r="BB68" i="42400"/>
  <c r="BC68" i="42400"/>
  <c r="L1406" i="42385"/>
  <c r="L1564" i="42385"/>
  <c r="CN1564" i="42385" s="1"/>
  <c r="CN1402" i="42385"/>
  <c r="M1504" i="42385"/>
  <c r="AW1025" i="42385"/>
  <c r="DB1186" i="42385"/>
  <c r="M801" i="42385"/>
  <c r="U87" i="42408"/>
  <c r="CR1280" i="42385"/>
  <c r="CO1346" i="42385"/>
  <c r="P64" i="42443"/>
  <c r="P66" i="42443" s="1"/>
  <c r="AD39" i="42400"/>
  <c r="AC39" i="42400"/>
  <c r="AB39" i="42400"/>
  <c r="AE39" i="42400"/>
  <c r="J924" i="42385"/>
  <c r="J925" i="42385"/>
  <c r="AQ229" i="42400"/>
  <c r="AQ233" i="42400" s="1"/>
  <c r="AU233" i="42400"/>
  <c r="AT229" i="42400"/>
  <c r="AT233" i="42400" s="1"/>
  <c r="AS229" i="42400"/>
  <c r="AS233" i="42400" s="1"/>
  <c r="BX1186" i="42385"/>
  <c r="DA1186" i="42385"/>
  <c r="BV1186" i="42385"/>
  <c r="BW1186" i="42385"/>
  <c r="CZ241" i="42385"/>
  <c r="EI452" i="42492"/>
  <c r="BT97" i="42400"/>
  <c r="BT92" i="42400"/>
  <c r="BS92" i="42400" s="1"/>
  <c r="BT89" i="42400"/>
  <c r="BT91" i="42400"/>
  <c r="BT87" i="42400"/>
  <c r="BR87" i="42400" s="1"/>
  <c r="BT93" i="42400"/>
  <c r="BQ93" i="42400" s="1"/>
  <c r="AE65" i="42443"/>
  <c r="AE10" i="42443"/>
  <c r="AE11" i="42443" s="1"/>
  <c r="L283" i="42400"/>
  <c r="I283" i="42400" s="1"/>
  <c r="L292" i="42400"/>
  <c r="L281" i="42400"/>
  <c r="H281" i="42400" s="1"/>
  <c r="L282" i="42400"/>
  <c r="AH141" i="42400"/>
  <c r="AG141" i="42400"/>
  <c r="AG144" i="42400" s="1"/>
  <c r="AK144" i="42400"/>
  <c r="AI134" i="42400"/>
  <c r="AG134" i="42400"/>
  <c r="BO111" i="42385"/>
  <c r="CY111" i="42385" s="1"/>
  <c r="CY1313" i="42385"/>
  <c r="DA816" i="42385"/>
  <c r="BZ816" i="42385"/>
  <c r="BM1112" i="42385"/>
  <c r="BR1112" i="42385" s="1"/>
  <c r="BW1112" i="42385" s="1"/>
  <c r="BJ1112" i="42385"/>
  <c r="CX1112" i="42385" s="1"/>
  <c r="BF1413" i="42385"/>
  <c r="CW1413" i="42385"/>
  <c r="AF139" i="42492"/>
  <c r="AG139" i="42492" s="1"/>
  <c r="AV473" i="42385"/>
  <c r="AV1547" i="42385"/>
  <c r="AW472" i="42385"/>
  <c r="DE378" i="42492"/>
  <c r="DE380" i="42492" s="1"/>
  <c r="DE382" i="42492" s="1"/>
  <c r="BJ1577" i="42385"/>
  <c r="CX1577" i="42385" s="1"/>
  <c r="AS161" i="42400"/>
  <c r="AS165" i="42400" s="1"/>
  <c r="DB1415" i="42385"/>
  <c r="AS1547" i="42385"/>
  <c r="AS474" i="42385"/>
  <c r="AS475" i="42385" s="1"/>
  <c r="AT472" i="42385"/>
  <c r="AS473" i="42385"/>
  <c r="BH1120" i="42385"/>
  <c r="BI1120" i="42385" s="1"/>
  <c r="BC1497" i="42385"/>
  <c r="BD1399" i="42385"/>
  <c r="BE1399" i="42385" s="1"/>
  <c r="CY244" i="42385"/>
  <c r="EH455" i="42492"/>
  <c r="AW222" i="42400"/>
  <c r="AX222" i="42400"/>
  <c r="AV222" i="42400"/>
  <c r="AV226" i="42400" s="1"/>
  <c r="BN135" i="42400"/>
  <c r="BN137" i="42400" s="1"/>
  <c r="BK135" i="42400"/>
  <c r="BK137" i="42400" s="1"/>
  <c r="BM135" i="42400"/>
  <c r="BC1383" i="42385"/>
  <c r="BB1483" i="42385"/>
  <c r="AW281" i="42400"/>
  <c r="CV1402" i="42385"/>
  <c r="CS240" i="42385"/>
  <c r="GO490" i="42417"/>
  <c r="W19" i="42443"/>
  <c r="R19" i="42443"/>
  <c r="O11" i="42443"/>
  <c r="J11" i="42443"/>
  <c r="N19" i="42443"/>
  <c r="S19" i="42443"/>
  <c r="T877" i="42385"/>
  <c r="T1139" i="42385" s="1"/>
  <c r="S1139" i="42385"/>
  <c r="AG89" i="42400"/>
  <c r="AY43" i="42400"/>
  <c r="AX43" i="42400"/>
  <c r="T59" i="42443"/>
  <c r="Y59" i="42443"/>
  <c r="BX336" i="42385"/>
  <c r="BY334" i="42385"/>
  <c r="DA334" i="42385" s="1"/>
  <c r="AK222" i="42400"/>
  <c r="AK224" i="42400"/>
  <c r="AG224" i="42400" s="1"/>
  <c r="AK223" i="42400"/>
  <c r="AI223" i="42400" s="1"/>
  <c r="AT158" i="42400"/>
  <c r="AU165" i="42400"/>
  <c r="AU169" i="42400" s="1"/>
  <c r="CI304" i="42492"/>
  <c r="CI308" i="42492" s="1"/>
  <c r="R292" i="42400"/>
  <c r="U292" i="42400"/>
  <c r="S292" i="42400"/>
  <c r="O291" i="42400"/>
  <c r="N291" i="42400"/>
  <c r="P291" i="42400"/>
  <c r="BC65" i="42400"/>
  <c r="BD65" i="42400"/>
  <c r="BB65" i="42400"/>
  <c r="AE69" i="42400"/>
  <c r="AD69" i="42400"/>
  <c r="AB69" i="42400"/>
  <c r="BC93" i="42400"/>
  <c r="BA93" i="42400"/>
  <c r="AM141" i="42400"/>
  <c r="AM144" i="42400" s="1"/>
  <c r="AP144" i="42400"/>
  <c r="AO141" i="42400"/>
  <c r="AN141" i="42400"/>
  <c r="AL141" i="42400"/>
  <c r="BS69" i="42400"/>
  <c r="BR69" i="42400"/>
  <c r="BP69" i="42400"/>
  <c r="BO1385" i="42385"/>
  <c r="BN1485" i="42385"/>
  <c r="AW226" i="42400"/>
  <c r="AW235" i="42400" s="1"/>
  <c r="AW957" i="42385" s="1"/>
  <c r="AW958" i="42385" s="1"/>
  <c r="BM144" i="42400"/>
  <c r="AX39" i="42400"/>
  <c r="AW39" i="42400"/>
  <c r="AV39" i="42400"/>
  <c r="BN69" i="42400"/>
  <c r="BK69" i="42400"/>
  <c r="BM69" i="42400"/>
  <c r="BN162" i="42400"/>
  <c r="BK162" i="42400"/>
  <c r="BM162" i="42400"/>
  <c r="C18" i="42472"/>
  <c r="CM1421" i="42385"/>
  <c r="BB1385" i="42385"/>
  <c r="BC1385" i="42385" s="1"/>
  <c r="BD1385" i="42385" s="1"/>
  <c r="BA1485" i="42385"/>
  <c r="BZ1395" i="42385"/>
  <c r="DA1395" i="42385"/>
  <c r="P22" i="42424"/>
  <c r="AL90" i="42400"/>
  <c r="AM90" i="42400"/>
  <c r="BV63" i="42400"/>
  <c r="BU63" i="42400"/>
  <c r="BW63" i="42400"/>
  <c r="AQ288" i="42400"/>
  <c r="AR288" i="42400"/>
  <c r="CR1406" i="42385"/>
  <c r="B29" i="42465"/>
  <c r="H19" i="42472"/>
  <c r="AN222" i="42400"/>
  <c r="AP226" i="42400"/>
  <c r="BF91" i="42400"/>
  <c r="BG91" i="42400"/>
  <c r="BG95" i="42400" s="1"/>
  <c r="BG101" i="42400" s="1"/>
  <c r="BG833" i="42385" s="1"/>
  <c r="BG834" i="42385" s="1"/>
  <c r="BI91" i="42400"/>
  <c r="BH90" i="42400"/>
  <c r="BI90" i="42400"/>
  <c r="BF90" i="42400"/>
  <c r="BJ95" i="42400"/>
  <c r="BJ101" i="42400" s="1"/>
  <c r="BJ833" i="42385" s="1"/>
  <c r="BG90" i="42400"/>
  <c r="AT250" i="42424"/>
  <c r="CR1402" i="42385"/>
  <c r="BK224" i="42400"/>
  <c r="BL224" i="42400"/>
  <c r="BL226" i="42400" s="1"/>
  <c r="M183" i="42385"/>
  <c r="N183" i="42385" s="1"/>
  <c r="O183" i="42385" s="1"/>
  <c r="P183" i="42385" s="1"/>
  <c r="Q183" i="42385" s="1"/>
  <c r="CN183" i="42385"/>
  <c r="CX1313" i="42385"/>
  <c r="BJ111" i="42385"/>
  <c r="CX111" i="42385" s="1"/>
  <c r="BX222" i="42400"/>
  <c r="BV222" i="42400"/>
  <c r="BV226" i="42400" s="1"/>
  <c r="BY226" i="42400"/>
  <c r="BC141" i="42400"/>
  <c r="BA141" i="42400"/>
  <c r="AD223" i="42400"/>
  <c r="AD226" i="42400" s="1"/>
  <c r="AB223" i="42400"/>
  <c r="AU67" i="42400"/>
  <c r="AU63" i="42400"/>
  <c r="AU68" i="42400"/>
  <c r="AU65" i="42400"/>
  <c r="AU66" i="42400"/>
  <c r="AU291" i="42400"/>
  <c r="AU283" i="42400"/>
  <c r="AT283" i="42400" s="1"/>
  <c r="AW142" i="42400"/>
  <c r="AW144" i="42400" s="1"/>
  <c r="AX142" i="42400"/>
  <c r="AX144" i="42400" s="1"/>
  <c r="AV142" i="42400"/>
  <c r="AV144" i="42400" s="1"/>
  <c r="V291" i="42400"/>
  <c r="V289" i="42400"/>
  <c r="V281" i="42400"/>
  <c r="BE162" i="42400"/>
  <c r="BE155" i="42400"/>
  <c r="BA155" i="42400" s="1"/>
  <c r="BC1122" i="42385"/>
  <c r="BD1122" i="42385" s="1"/>
  <c r="BF1122" i="42385" s="1"/>
  <c r="BG1122" i="42385" s="1"/>
  <c r="BH1122" i="42385" s="1"/>
  <c r="BO1490" i="42385"/>
  <c r="AX288" i="42400"/>
  <c r="AG51" i="42443"/>
  <c r="CS220" i="42385"/>
  <c r="FS435" i="42417"/>
  <c r="G1478" i="42385"/>
  <c r="CM1478" i="42385" s="1"/>
  <c r="BC1421" i="42385"/>
  <c r="BD1414" i="42385"/>
  <c r="BD1421" i="42385" s="1"/>
  <c r="P42" i="42476" s="1"/>
  <c r="AG1504" i="42385"/>
  <c r="AF1564" i="42385"/>
  <c r="D12" i="42424"/>
  <c r="CP267" i="42385"/>
  <c r="AR64" i="42400"/>
  <c r="AS64" i="42400"/>
  <c r="CU1418" i="42385"/>
  <c r="AU1421" i="42385"/>
  <c r="AL1415" i="42385"/>
  <c r="AM1415" i="42385" s="1"/>
  <c r="AK1421" i="42385"/>
  <c r="BP1414" i="42385"/>
  <c r="CY1414" i="42385"/>
  <c r="BO1421" i="42385"/>
  <c r="CR1414" i="42385"/>
  <c r="AF1421" i="42385"/>
  <c r="CT1399" i="42385"/>
  <c r="AQ1497" i="42385"/>
  <c r="AU1497" i="42385" s="1"/>
  <c r="CU1497" i="42385" s="1"/>
  <c r="BN1386" i="42385"/>
  <c r="BM1486" i="42385"/>
  <c r="AA1563" i="42385"/>
  <c r="AA1593" i="42385" s="1"/>
  <c r="CQ1593" i="42385" s="1"/>
  <c r="AA1402" i="42385"/>
  <c r="CQ1379" i="42385"/>
  <c r="H1479" i="42385"/>
  <c r="G1402" i="42385"/>
  <c r="G1564" i="42385" s="1"/>
  <c r="G1660" i="42385" s="1"/>
  <c r="G1563" i="42385"/>
  <c r="CM1563" i="42385" s="1"/>
  <c r="AK1478" i="42385"/>
  <c r="CS1478" i="42385" s="1"/>
  <c r="BK1361" i="42385"/>
  <c r="BK1364" i="42385" s="1"/>
  <c r="CX1361" i="42385"/>
  <c r="CV1359" i="42385"/>
  <c r="F27" i="42465"/>
  <c r="CO1357" i="42385"/>
  <c r="Q1364" i="42385"/>
  <c r="CO1364" i="42385" s="1"/>
  <c r="E26" i="42465"/>
  <c r="CU1354" i="42385"/>
  <c r="CR1344" i="42385"/>
  <c r="B24" i="42465"/>
  <c r="CV1342" i="42385"/>
  <c r="BA1342" i="42385"/>
  <c r="D23" i="42465"/>
  <c r="CT1341" i="42385"/>
  <c r="CM1341" i="42385"/>
  <c r="G1346" i="42385"/>
  <c r="Q1506" i="42385"/>
  <c r="CO1506" i="42385" s="1"/>
  <c r="L1565" i="42385"/>
  <c r="CQ1322" i="42385"/>
  <c r="AA1326" i="42385"/>
  <c r="CQ1326" i="42385" s="1"/>
  <c r="CO1309" i="42385"/>
  <c r="Q1314" i="42385"/>
  <c r="CO1314" i="42385" s="1"/>
  <c r="AA51" i="42443"/>
  <c r="AG66" i="42443"/>
  <c r="AG67" i="42443" s="1"/>
  <c r="M66" i="42443"/>
  <c r="R67" i="42443" s="1"/>
  <c r="T51" i="42443"/>
  <c r="Q43" i="42443"/>
  <c r="I51" i="42443"/>
  <c r="M59" i="42443"/>
  <c r="AB27" i="42443"/>
  <c r="D66" i="42443"/>
  <c r="T66" i="42443"/>
  <c r="T67" i="42443" s="1"/>
  <c r="V35" i="42443"/>
  <c r="W11" i="42443"/>
  <c r="AZ69" i="42400"/>
  <c r="BL38" i="42400"/>
  <c r="CJ304" i="42492"/>
  <c r="AD28" i="42476"/>
  <c r="V1480" i="42385"/>
  <c r="CP1480" i="42385" s="1"/>
  <c r="AK1486" i="42385"/>
  <c r="CS1486" i="42385" s="1"/>
  <c r="L1486" i="42385"/>
  <c r="CN1486" i="42385" s="1"/>
  <c r="Q1497" i="42385"/>
  <c r="CO1497" i="42385" s="1"/>
  <c r="Z26" i="42443"/>
  <c r="AE27" i="42443" s="1"/>
  <c r="BT290" i="42400"/>
  <c r="BQ290" i="42400" s="1"/>
  <c r="AB51" i="42443"/>
  <c r="N66" i="42443"/>
  <c r="S67" i="42443" s="1"/>
  <c r="AA35" i="42443"/>
  <c r="I19" i="42443"/>
  <c r="AN223" i="42400"/>
  <c r="AN226" i="42400" s="1"/>
  <c r="AZ66" i="42400"/>
  <c r="BJ279" i="42400"/>
  <c r="BL43" i="42400"/>
  <c r="AK91" i="42400"/>
  <c r="AF1643" i="42385"/>
  <c r="CR1643" i="42385" s="1"/>
  <c r="BG370" i="42385"/>
  <c r="BL369" i="42385"/>
  <c r="BL370" i="42385" s="1"/>
  <c r="X100" i="42424"/>
  <c r="X131" i="42424"/>
  <c r="X155" i="42424" s="1"/>
  <c r="G1575" i="42385"/>
  <c r="CM1500" i="42385"/>
  <c r="AY752" i="42385"/>
  <c r="BD751" i="42385"/>
  <c r="AR357" i="42385"/>
  <c r="AS356" i="42385"/>
  <c r="AR1528" i="42385"/>
  <c r="BA370" i="42385"/>
  <c r="BF369" i="42385"/>
  <c r="BW1289" i="42385"/>
  <c r="BW115" i="42385" s="1"/>
  <c r="BX1341" i="42385"/>
  <c r="AV248" i="42424"/>
  <c r="AV250" i="42424" s="1"/>
  <c r="X99" i="42424"/>
  <c r="AG316" i="42385"/>
  <c r="AG50" i="42385"/>
  <c r="AG52" i="42385" s="1"/>
  <c r="AG1647" i="42385"/>
  <c r="AR1096" i="42385"/>
  <c r="AR310" i="42385"/>
  <c r="AU310" i="42385" s="1"/>
  <c r="AU1095" i="42385"/>
  <c r="AP752" i="42385"/>
  <c r="CT752" i="42385" s="1"/>
  <c r="AP753" i="42385"/>
  <c r="CT753" i="42385" s="1"/>
  <c r="BD1603" i="42385"/>
  <c r="BE1579" i="42385"/>
  <c r="BC115" i="42385"/>
  <c r="BD1300" i="42385"/>
  <c r="BD115" i="42385" s="1"/>
  <c r="BO1194" i="42385"/>
  <c r="CY1194" i="42385" s="1"/>
  <c r="BO1207" i="42385"/>
  <c r="CY1207" i="42385" s="1"/>
  <c r="CY1200" i="42385"/>
  <c r="BO1214" i="42385"/>
  <c r="CY1214" i="42385" s="1"/>
  <c r="BO1204" i="42385"/>
  <c r="CY1204" i="42385" s="1"/>
  <c r="CM1084" i="42385"/>
  <c r="G1085" i="42385"/>
  <c r="CM1085" i="42385" s="1"/>
  <c r="AS491" i="42385"/>
  <c r="BM748" i="42385"/>
  <c r="BH752" i="42385"/>
  <c r="AR1547" i="42385"/>
  <c r="AU472" i="42385"/>
  <c r="AF111" i="42492"/>
  <c r="BK1233" i="42385"/>
  <c r="BF287" i="42385"/>
  <c r="BF776" i="42385"/>
  <c r="CU643" i="42385"/>
  <c r="AU645" i="42385"/>
  <c r="CU645" i="42385" s="1"/>
  <c r="BH693" i="42385"/>
  <c r="BH695" i="42385" s="1"/>
  <c r="BH283" i="42385" s="1"/>
  <c r="BH233" i="42385"/>
  <c r="AR759" i="42385"/>
  <c r="AS758" i="42385"/>
  <c r="AS759" i="42385" s="1"/>
  <c r="BP1224" i="42385"/>
  <c r="BP1208" i="42385"/>
  <c r="BP1210" i="42385" s="1"/>
  <c r="BP1211" i="42385" s="1"/>
  <c r="AS1021" i="42385"/>
  <c r="AX1016" i="42385"/>
  <c r="AP776" i="42385"/>
  <c r="CT776" i="42385" s="1"/>
  <c r="CT774" i="42385"/>
  <c r="AP775" i="42385"/>
  <c r="CT775" i="42385" s="1"/>
  <c r="AS598" i="42385"/>
  <c r="AR597" i="42385"/>
  <c r="AR599" i="42385" s="1"/>
  <c r="AR601" i="42385" s="1"/>
  <c r="AQ648" i="42385"/>
  <c r="AQ281" i="42385"/>
  <c r="AU281" i="42385" s="1"/>
  <c r="CU281" i="42385" s="1"/>
  <c r="AU647" i="42385"/>
  <c r="AZ714" i="42385"/>
  <c r="CV714" i="42385" s="1"/>
  <c r="AZ715" i="42385"/>
  <c r="CV715" i="42385" s="1"/>
  <c r="CV713" i="42385"/>
  <c r="AA354" i="42385"/>
  <c r="CQ354" i="42385" s="1"/>
  <c r="CQ347" i="42385"/>
  <c r="AI1375" i="42385"/>
  <c r="AI1424" i="42385" s="1"/>
  <c r="AJ1373" i="42385"/>
  <c r="Y100" i="42424"/>
  <c r="Y101" i="42424" s="1"/>
  <c r="Y131" i="42424"/>
  <c r="Y155" i="42424" s="1"/>
  <c r="C49" i="42418"/>
  <c r="V43" i="42417" s="1"/>
  <c r="N26" i="42424"/>
  <c r="R26" i="42424"/>
  <c r="AV371" i="42385"/>
  <c r="CT86" i="42385"/>
  <c r="CQ184" i="42385"/>
  <c r="AB184" i="42385"/>
  <c r="AC184" i="42385" s="1"/>
  <c r="AD184" i="42385" s="1"/>
  <c r="AE184" i="42385" s="1"/>
  <c r="AF184" i="42385" s="1"/>
  <c r="AX1660" i="42385"/>
  <c r="AQ140" i="42400"/>
  <c r="AR140" i="42400"/>
  <c r="AT140" i="42400"/>
  <c r="BP533" i="42385"/>
  <c r="BP225" i="42385"/>
  <c r="IA695" i="42417"/>
  <c r="CV1313" i="42385"/>
  <c r="AZ111" i="42385"/>
  <c r="CV111" i="42385" s="1"/>
  <c r="DA451" i="42385"/>
  <c r="BZ451" i="42385"/>
  <c r="F1499" i="42385"/>
  <c r="F1501" i="42385" s="1"/>
  <c r="G1525" i="42385"/>
  <c r="AI764" i="42385"/>
  <c r="AI1140" i="42385" s="1"/>
  <c r="AH1140" i="42385"/>
  <c r="BN283" i="42400"/>
  <c r="BM283" i="42400"/>
  <c r="BK283" i="42400"/>
  <c r="L277" i="42385"/>
  <c r="L314" i="42385" s="1"/>
  <c r="L50" i="42385" s="1"/>
  <c r="CN269" i="42385"/>
  <c r="BA434" i="42385"/>
  <c r="BA440" i="42385"/>
  <c r="BA221" i="42385"/>
  <c r="AH315" i="42385"/>
  <c r="CN333" i="42385"/>
  <c r="L337" i="42385"/>
  <c r="W354" i="42385"/>
  <c r="W344" i="42385"/>
  <c r="AN402" i="42385"/>
  <c r="AN417" i="42385"/>
  <c r="AP401" i="42385"/>
  <c r="U345" i="42385"/>
  <c r="U346" i="42385"/>
  <c r="BJ450" i="42385"/>
  <c r="CW450" i="42385"/>
  <c r="BL283" i="42400"/>
  <c r="CX465" i="42385"/>
  <c r="BD650" i="42385"/>
  <c r="BI649" i="42385"/>
  <c r="BP518" i="42385"/>
  <c r="BP505" i="42385"/>
  <c r="BP507" i="42385"/>
  <c r="BG294" i="42400"/>
  <c r="BB713" i="42385"/>
  <c r="BB717" i="42385" s="1"/>
  <c r="BB718" i="42385" s="1"/>
  <c r="AW714" i="42385"/>
  <c r="AW717" i="42385"/>
  <c r="BB719" i="42385" s="1"/>
  <c r="CZ250" i="42417"/>
  <c r="Q72" i="42476"/>
  <c r="CU640" i="42385"/>
  <c r="HN644" i="42417"/>
  <c r="AS286" i="42385"/>
  <c r="S9" i="42476"/>
  <c r="BO342" i="42385"/>
  <c r="CY342" i="42385" s="1"/>
  <c r="DC320" i="42464"/>
  <c r="DC322" i="42464" s="1"/>
  <c r="DO334" i="42464" s="1"/>
  <c r="CX341" i="42385"/>
  <c r="Z131" i="42424"/>
  <c r="Z155" i="42424" s="1"/>
  <c r="Z154" i="42424"/>
  <c r="P281" i="42400"/>
  <c r="N281" i="42400"/>
  <c r="M281" i="42400"/>
  <c r="AQ632" i="42385"/>
  <c r="AQ1543" i="42385"/>
  <c r="BA220" i="42385"/>
  <c r="BA402" i="42385"/>
  <c r="P803" i="42385"/>
  <c r="P808" i="42385"/>
  <c r="P799" i="42385"/>
  <c r="BF434" i="42385"/>
  <c r="BF431" i="42385"/>
  <c r="BF440" i="42385"/>
  <c r="X1140" i="42385"/>
  <c r="Y878" i="42385"/>
  <c r="Y1140" i="42385" s="1"/>
  <c r="BJ1177" i="42385"/>
  <c r="BJ1166" i="42385"/>
  <c r="CX1171" i="42385"/>
  <c r="J932" i="42385"/>
  <c r="J927" i="42385"/>
  <c r="AS595" i="42385"/>
  <c r="AX594" i="42385"/>
  <c r="AX595" i="42385" s="1"/>
  <c r="G48" i="42465"/>
  <c r="CW1311" i="42385"/>
  <c r="D47" i="42410"/>
  <c r="D57" i="42410" s="1"/>
  <c r="D40" i="42410"/>
  <c r="Y800" i="42385"/>
  <c r="BT166" i="42385"/>
  <c r="CZ165" i="42385"/>
  <c r="BT130" i="42385"/>
  <c r="BS1072" i="42385"/>
  <c r="AN220" i="42385"/>
  <c r="GM489" i="42417" s="1"/>
  <c r="X44" i="42417"/>
  <c r="AY770" i="42385"/>
  <c r="AZ770" i="42385" s="1"/>
  <c r="AT774" i="42385"/>
  <c r="AT771" i="42385"/>
  <c r="AQ644" i="42385"/>
  <c r="AV643" i="42385"/>
  <c r="CT1095" i="42385"/>
  <c r="AP1097" i="42385"/>
  <c r="CT1097" i="42385" s="1"/>
  <c r="AR371" i="42385"/>
  <c r="AR385" i="42385"/>
  <c r="AR219" i="42385"/>
  <c r="AJ348" i="42385"/>
  <c r="AI347" i="42385"/>
  <c r="C861" i="42385"/>
  <c r="C862" i="42385" s="1"/>
  <c r="C870" i="42385"/>
  <c r="AK19" i="42385"/>
  <c r="AI24" i="42385"/>
  <c r="AI28" i="42385"/>
  <c r="AA963" i="42385"/>
  <c r="CQ963" i="42385" s="1"/>
  <c r="CQ957" i="42385"/>
  <c r="AA958" i="42385"/>
  <c r="CQ958" i="42385" s="1"/>
  <c r="BL88" i="42400"/>
  <c r="BM88" i="42400"/>
  <c r="BK88" i="42400"/>
  <c r="N839" i="42385"/>
  <c r="N830" i="42385"/>
  <c r="N831" i="42385" s="1"/>
  <c r="AT1585" i="42385"/>
  <c r="AT1660" i="42385"/>
  <c r="BM691" i="42385"/>
  <c r="BM693" i="42385" s="1"/>
  <c r="BM695" i="42385" s="1"/>
  <c r="BO683" i="42385"/>
  <c r="BO702" i="42385" s="1"/>
  <c r="BI130" i="42385"/>
  <c r="BH118" i="42385"/>
  <c r="BH131" i="42385"/>
  <c r="E834" i="42385"/>
  <c r="E839" i="42385"/>
  <c r="E830" i="42385"/>
  <c r="AP950" i="42385"/>
  <c r="CT950" i="42385" s="1"/>
  <c r="AO951" i="42385"/>
  <c r="V487" i="42385"/>
  <c r="CP487" i="42385" s="1"/>
  <c r="W316" i="42385"/>
  <c r="H879" i="42385"/>
  <c r="H880" i="42385" s="1"/>
  <c r="H881" i="42385" s="1"/>
  <c r="AF11" i="42443"/>
  <c r="G373" i="42385"/>
  <c r="CM373" i="42385" s="1"/>
  <c r="BT1325" i="42385"/>
  <c r="CZ1325" i="42385" s="1"/>
  <c r="BR1325" i="42385"/>
  <c r="BQ116" i="42385"/>
  <c r="BR1323" i="42385"/>
  <c r="BT1297" i="42385"/>
  <c r="CZ1297" i="42385" s="1"/>
  <c r="BR1297" i="42385"/>
  <c r="BR1296" i="42385"/>
  <c r="BT1296" i="42385" s="1"/>
  <c r="CZ1296" i="42385" s="1"/>
  <c r="BR1294" i="42385"/>
  <c r="BT1294" i="42385" s="1"/>
  <c r="CZ1294" i="42385" s="1"/>
  <c r="BQ110" i="42385"/>
  <c r="BR1284" i="42385"/>
  <c r="BR110" i="42385" s="1"/>
  <c r="D848" i="42385"/>
  <c r="BF676" i="42385"/>
  <c r="BG129" i="42385"/>
  <c r="CY34" i="42385"/>
  <c r="BO38" i="42385"/>
  <c r="AS42" i="42385"/>
  <c r="AS38" i="42385"/>
  <c r="AS40" i="42385" s="1"/>
  <c r="BR1317" i="42385"/>
  <c r="BT1317" i="42385" s="1"/>
  <c r="CZ1317" i="42385" s="1"/>
  <c r="BN35" i="42385"/>
  <c r="BS35" i="42385" s="1"/>
  <c r="BX35" i="42385" s="1"/>
  <c r="BX38" i="42385" s="1"/>
  <c r="BS1076" i="42385"/>
  <c r="BX1076" i="42385" s="1"/>
  <c r="D42" i="42410"/>
  <c r="GO496" i="42417"/>
  <c r="AX921" i="42385"/>
  <c r="BR1298" i="42385"/>
  <c r="BT1298" i="42385" s="1"/>
  <c r="CZ1298" i="42385" s="1"/>
  <c r="BT1292" i="42385"/>
  <c r="CZ1292" i="42385" s="1"/>
  <c r="BR1292" i="42385"/>
  <c r="BQ117" i="42385"/>
  <c r="BR1287" i="42385"/>
  <c r="BT1285" i="42385"/>
  <c r="CZ1285" i="42385" s="1"/>
  <c r="BR1285" i="42385"/>
  <c r="BQ108" i="42385"/>
  <c r="BR1281" i="42385"/>
  <c r="AQ86" i="42385"/>
  <c r="AQ88" i="42385" s="1"/>
  <c r="AL88" i="42385"/>
  <c r="AL1645" i="42385" s="1"/>
  <c r="CX34" i="42385"/>
  <c r="BJ38" i="42385"/>
  <c r="BJ40" i="42385" s="1"/>
  <c r="CT34" i="42385"/>
  <c r="AP38" i="42385"/>
  <c r="BP35" i="42385"/>
  <c r="BU1076" i="42385"/>
  <c r="BU1077" i="42385" s="1"/>
  <c r="BI1187" i="42385"/>
  <c r="E169" i="42385"/>
  <c r="F169" i="42385" s="1"/>
  <c r="G169" i="42385" s="1"/>
  <c r="P174" i="42385"/>
  <c r="Q174" i="42385" s="1"/>
  <c r="CO174" i="42385" s="1"/>
  <c r="G1534" i="42385"/>
  <c r="CM1534" i="42385" s="1"/>
  <c r="BR1306" i="42385"/>
  <c r="BR1314" i="42385" s="1"/>
  <c r="BR1295" i="42385"/>
  <c r="BT1295" i="42385" s="1"/>
  <c r="CZ1295" i="42385" s="1"/>
  <c r="AD693" i="42385"/>
  <c r="AD695" i="42385" s="1"/>
  <c r="AD696" i="42385" s="1"/>
  <c r="AO88" i="42385"/>
  <c r="AO1645" i="42385" s="1"/>
  <c r="U88" i="42385"/>
  <c r="U1645" i="42385" s="1"/>
  <c r="M88" i="42385"/>
  <c r="M1645" i="42385" s="1"/>
  <c r="E88" i="42385"/>
  <c r="E1645" i="42385" s="1"/>
  <c r="CW34" i="42385"/>
  <c r="BE38" i="42385"/>
  <c r="CN34" i="42385"/>
  <c r="L38" i="42385"/>
  <c r="L40" i="42385" s="1"/>
  <c r="CN40" i="42385" s="1"/>
  <c r="BQ35" i="42385"/>
  <c r="BV35" i="42385" s="1"/>
  <c r="BV1076" i="42385"/>
  <c r="BA250" i="42424"/>
  <c r="BY828" i="42385"/>
  <c r="DA828" i="42385" s="1"/>
  <c r="BO1280" i="42385"/>
  <c r="CY1280" i="42385" s="1"/>
  <c r="BT1299" i="42385"/>
  <c r="CZ1299" i="42385" s="1"/>
  <c r="BR1299" i="42385"/>
  <c r="BR1291" i="42385"/>
  <c r="BT1291" i="42385" s="1"/>
  <c r="CZ1291" i="42385" s="1"/>
  <c r="BR1286" i="42385"/>
  <c r="BT1286" i="42385" s="1"/>
  <c r="CZ1286" i="42385" s="1"/>
  <c r="E941" i="42385"/>
  <c r="V675" i="42385"/>
  <c r="T88" i="42385"/>
  <c r="T1645" i="42385" s="1"/>
  <c r="P88" i="42385"/>
  <c r="P1645" i="42385" s="1"/>
  <c r="D88" i="42385"/>
  <c r="D1645" i="42385" s="1"/>
  <c r="AX40" i="42385"/>
  <c r="CZ34" i="42385"/>
  <c r="BT38" i="42385"/>
  <c r="AA34" i="42385"/>
  <c r="Z38" i="42385"/>
  <c r="Z40" i="42385" s="1"/>
  <c r="BR35" i="42385"/>
  <c r="BW35" i="42385" s="1"/>
  <c r="BY35" i="42385" s="1"/>
  <c r="BY38" i="42385" s="1"/>
  <c r="BW1076" i="42385"/>
  <c r="AI289" i="42400"/>
  <c r="AJ289" i="42400"/>
  <c r="BF155" i="42400"/>
  <c r="BH155" i="42400"/>
  <c r="BN92" i="42400"/>
  <c r="BK92" i="42400"/>
  <c r="BM92" i="42400"/>
  <c r="BL92" i="42400"/>
  <c r="BM66" i="42400"/>
  <c r="U283" i="42400"/>
  <c r="AZ95" i="42400"/>
  <c r="AZ101" i="42400" s="1"/>
  <c r="AZ833" i="42385" s="1"/>
  <c r="I1016" i="42385"/>
  <c r="BJ156" i="42400"/>
  <c r="BJ158" i="42400" s="1"/>
  <c r="BJ163" i="42400"/>
  <c r="X43" i="42443"/>
  <c r="BO93" i="42400"/>
  <c r="BM93" i="42400" s="1"/>
  <c r="CT1314" i="42385"/>
  <c r="BS685" i="42385"/>
  <c r="AI88" i="42400"/>
  <c r="L202" i="42385"/>
  <c r="AC66" i="42443"/>
  <c r="W59" i="42443"/>
  <c r="M43" i="42443"/>
  <c r="BM196" i="42492"/>
  <c r="R1498" i="42385"/>
  <c r="V1498" i="42385" s="1"/>
  <c r="CP1498" i="42385" s="1"/>
  <c r="AV1478" i="42385"/>
  <c r="AZ1478" i="42385" s="1"/>
  <c r="CV1478" i="42385" s="1"/>
  <c r="AG1485" i="42385"/>
  <c r="AK1485" i="42385" s="1"/>
  <c r="CS1485" i="42385" s="1"/>
  <c r="M1485" i="42385"/>
  <c r="Q1485" i="42385" s="1"/>
  <c r="CO1485" i="42385" s="1"/>
  <c r="Z66" i="42443"/>
  <c r="AZ1497" i="42385"/>
  <c r="CV1497" i="42385" s="1"/>
  <c r="AE66" i="42443"/>
  <c r="R283" i="42400"/>
  <c r="U834" i="42385"/>
  <c r="BB90" i="42400"/>
  <c r="Y1025" i="42385"/>
  <c r="BD68" i="42400"/>
  <c r="CN926" i="42385"/>
  <c r="BO91" i="42400"/>
  <c r="BM91" i="42400" s="1"/>
  <c r="AN233" i="42400"/>
  <c r="CN171" i="42385"/>
  <c r="CB327" i="42385"/>
  <c r="CC327" i="42385" s="1"/>
  <c r="CD327" i="42385" s="1"/>
  <c r="CE327" i="42385" s="1"/>
  <c r="CF327" i="42385" s="1"/>
  <c r="CR1311" i="42385"/>
  <c r="BT283" i="42400"/>
  <c r="BT285" i="42400" s="1"/>
  <c r="R59" i="42443"/>
  <c r="BK230" i="42400"/>
  <c r="BK233" i="42400" s="1"/>
  <c r="M11" i="42443"/>
  <c r="AJ88" i="42400"/>
  <c r="BM230" i="42400"/>
  <c r="BM233" i="42400" s="1"/>
  <c r="H202" i="42385"/>
  <c r="AK283" i="42400"/>
  <c r="AH283" i="42400" s="1"/>
  <c r="G51" i="42443"/>
  <c r="R51" i="42443"/>
  <c r="AH43" i="42443"/>
  <c r="M27" i="42443"/>
  <c r="V51" i="42443"/>
  <c r="Y292" i="42400"/>
  <c r="AB59" i="42443"/>
  <c r="AI135" i="42400"/>
  <c r="CU1313" i="42385"/>
  <c r="BO294" i="42400"/>
  <c r="BD137" i="42400"/>
  <c r="BK66" i="42400"/>
  <c r="S283" i="42400"/>
  <c r="U839" i="42385"/>
  <c r="Y1020" i="42385"/>
  <c r="AG112" i="42492"/>
  <c r="Z11" i="42443"/>
  <c r="BA68" i="42400"/>
  <c r="BB93" i="42400"/>
  <c r="BO89" i="42400"/>
  <c r="W27" i="42443"/>
  <c r="BL230" i="42400"/>
  <c r="AH35" i="42443"/>
  <c r="AA59" i="42443"/>
  <c r="X292" i="42400"/>
  <c r="W35" i="42443"/>
  <c r="S5" i="42410"/>
  <c r="T5" i="42410" s="1"/>
  <c r="H38" i="42410" s="1"/>
  <c r="B4" i="42417" s="1"/>
  <c r="CE233" i="42400"/>
  <c r="T19" i="42443"/>
  <c r="I35" i="42443"/>
  <c r="AC283" i="42400"/>
  <c r="H1478" i="42385"/>
  <c r="AQ135" i="42400"/>
  <c r="AT135" i="42400"/>
  <c r="AS135" i="42400"/>
  <c r="BL87" i="42400"/>
  <c r="BM87" i="42400"/>
  <c r="BG161" i="42400"/>
  <c r="BF161" i="42400"/>
  <c r="BH161" i="42400"/>
  <c r="P839" i="42385"/>
  <c r="P830" i="42385"/>
  <c r="Y954" i="42385"/>
  <c r="Y958" i="42385"/>
  <c r="AH43" i="42400"/>
  <c r="AJ43" i="42400"/>
  <c r="GB511" i="42464"/>
  <c r="GB491" i="42464"/>
  <c r="C40" i="42410"/>
  <c r="D46" i="42410"/>
  <c r="C47" i="42410"/>
  <c r="BV1047" i="42385"/>
  <c r="BV1066" i="42385"/>
  <c r="AC1018" i="42385"/>
  <c r="AH1018" i="42385"/>
  <c r="AF1016" i="42385"/>
  <c r="AC1017" i="42385"/>
  <c r="BS292" i="42400"/>
  <c r="BR292" i="42400"/>
  <c r="BQ292" i="42400"/>
  <c r="BE1178" i="42385"/>
  <c r="CW1178" i="42385" s="1"/>
  <c r="CW1177" i="42385"/>
  <c r="AX292" i="42400"/>
  <c r="AY292" i="42400"/>
  <c r="AW292" i="42400"/>
  <c r="AV280" i="42400"/>
  <c r="AY280" i="42400"/>
  <c r="AE291" i="42400"/>
  <c r="AB291" i="42400"/>
  <c r="AD291" i="42400"/>
  <c r="AD290" i="42400"/>
  <c r="AC290" i="42400"/>
  <c r="AE290" i="42400"/>
  <c r="BB67" i="42400"/>
  <c r="BD67" i="42400"/>
  <c r="BA67" i="42400"/>
  <c r="AP155" i="42400"/>
  <c r="AP162" i="42400"/>
  <c r="AL39" i="42400"/>
  <c r="AM39" i="42400"/>
  <c r="AN39" i="42400"/>
  <c r="S878" i="42385"/>
  <c r="R1140" i="42385"/>
  <c r="AJ224" i="42400"/>
  <c r="AC229" i="42400"/>
  <c r="AB229" i="42400"/>
  <c r="AE229" i="42400"/>
  <c r="AE233" i="42400" s="1"/>
  <c r="AF233" i="42400"/>
  <c r="BA1481" i="42385"/>
  <c r="BB1381" i="42385"/>
  <c r="CA1354" i="42385"/>
  <c r="DB1354" i="42385"/>
  <c r="BF289" i="42400"/>
  <c r="BH289" i="42400"/>
  <c r="BI289" i="42400"/>
  <c r="BQ1357" i="42385"/>
  <c r="BP1364" i="42385"/>
  <c r="BC1378" i="42385"/>
  <c r="BB1478" i="42385"/>
  <c r="CT1319" i="42385"/>
  <c r="D51" i="42465"/>
  <c r="D52" i="42465" s="1"/>
  <c r="CS480" i="42385"/>
  <c r="AK1140" i="42385"/>
  <c r="CS1140" i="42385" s="1"/>
  <c r="DB389" i="42385"/>
  <c r="CA389" i="42385"/>
  <c r="AR279" i="42400"/>
  <c r="AS279" i="42400"/>
  <c r="AT279" i="42400"/>
  <c r="AC37" i="42400"/>
  <c r="AB37" i="42400"/>
  <c r="AD37" i="42400"/>
  <c r="AZ137" i="42400"/>
  <c r="AZ148" i="42400" s="1"/>
  <c r="AZ926" i="42385" s="1"/>
  <c r="CV926" i="42385" s="1"/>
  <c r="AY134" i="42400"/>
  <c r="AY137" i="42400" s="1"/>
  <c r="CW1379" i="42385"/>
  <c r="L1660" i="42385"/>
  <c r="W799" i="42385"/>
  <c r="W808" i="42385"/>
  <c r="W803" i="42385"/>
  <c r="BX1066" i="42385"/>
  <c r="BX1047" i="42385"/>
  <c r="E955" i="42385"/>
  <c r="J956" i="42385"/>
  <c r="CM240" i="42385"/>
  <c r="G258" i="42385"/>
  <c r="AP1020" i="42385"/>
  <c r="CT1020" i="42385" s="1"/>
  <c r="CT1019" i="42385"/>
  <c r="AP65" i="42400"/>
  <c r="AP64" i="42400"/>
  <c r="BS1174" i="42385"/>
  <c r="BS1175" i="42385" s="1"/>
  <c r="BT60" i="42385" s="1"/>
  <c r="CZ1174" i="42385"/>
  <c r="AY41" i="42400"/>
  <c r="AV41" i="42400"/>
  <c r="AW41" i="42400"/>
  <c r="CQ1364" i="42385"/>
  <c r="AA1366" i="42385"/>
  <c r="CP1364" i="42385"/>
  <c r="V1366" i="42385"/>
  <c r="BU1413" i="42385"/>
  <c r="BV1413" i="42385" s="1"/>
  <c r="BW1413" i="42385" s="1"/>
  <c r="BX1413" i="42385" s="1"/>
  <c r="BY1413" i="42385" s="1"/>
  <c r="CZ1413" i="42385"/>
  <c r="BS233" i="42400"/>
  <c r="AN653" i="42385"/>
  <c r="AO656" i="42385" s="1"/>
  <c r="AO657" i="42385" s="1"/>
  <c r="AM653" i="42385"/>
  <c r="AN656" i="42385" s="1"/>
  <c r="AN657" i="42385" s="1"/>
  <c r="AN658" i="42385" s="1"/>
  <c r="Y27" i="42443"/>
  <c r="L27" i="42443"/>
  <c r="AY65" i="42400"/>
  <c r="BN38" i="42400"/>
  <c r="BN43" i="42400"/>
  <c r="CX1355" i="42385"/>
  <c r="AG1360" i="42385"/>
  <c r="AH1360" i="42385" s="1"/>
  <c r="AI1360" i="42385" s="1"/>
  <c r="AJ1360" i="42385" s="1"/>
  <c r="AK1360" i="42385" s="1"/>
  <c r="Q1565" i="42385"/>
  <c r="W1498" i="42385"/>
  <c r="AA1498" i="42385" s="1"/>
  <c r="CQ1498" i="42385" s="1"/>
  <c r="R1486" i="42385"/>
  <c r="V1486" i="42385" s="1"/>
  <c r="CP1486" i="42385" s="1"/>
  <c r="H19" i="42443"/>
  <c r="BZ226" i="42400"/>
  <c r="BZ235" i="42400" s="1"/>
  <c r="P51" i="42443"/>
  <c r="AH656" i="42385"/>
  <c r="AH657" i="42385" s="1"/>
  <c r="BM235" i="42400"/>
  <c r="CA847" i="42385"/>
  <c r="AF35" i="42443"/>
  <c r="Q11" i="42443"/>
  <c r="BD141" i="42400"/>
  <c r="AL1082" i="42385"/>
  <c r="AM1082" i="42385" s="1"/>
  <c r="AN1082" i="42385" s="1"/>
  <c r="AO1082" i="42385" s="1"/>
  <c r="AP1082" i="42385" s="1"/>
  <c r="BE97" i="42400"/>
  <c r="BT233" i="42400"/>
  <c r="CC226" i="42400"/>
  <c r="V66" i="42443"/>
  <c r="V67" i="42443" s="1"/>
  <c r="O66" i="42443"/>
  <c r="O67" i="42443" s="1"/>
  <c r="AH27" i="42443"/>
  <c r="CZ1354" i="42385"/>
  <c r="BB1421" i="42385"/>
  <c r="AQ1498" i="42385"/>
  <c r="AU1498" i="42385" s="1"/>
  <c r="CU1498" i="42385" s="1"/>
  <c r="BM1481" i="42385"/>
  <c r="AP250" i="42424"/>
  <c r="AT252" i="42424" s="1"/>
  <c r="AU1483" i="42385"/>
  <c r="CU1483" i="42385" s="1"/>
  <c r="BN226" i="42400"/>
  <c r="AH144" i="42400"/>
  <c r="BC1485" i="42385"/>
  <c r="V1506" i="42385"/>
  <c r="CP1506" i="42385" s="1"/>
  <c r="R1506" i="42385"/>
  <c r="BF1490" i="42385"/>
  <c r="BJ1490" i="42385" s="1"/>
  <c r="R1484" i="42385"/>
  <c r="V1484" i="42385" s="1"/>
  <c r="CP1484" i="42385" s="1"/>
  <c r="BP1217" i="42385"/>
  <c r="BP1218" i="42385" s="1"/>
  <c r="BP1222" i="42385" s="1"/>
  <c r="BP282" i="42385" s="1"/>
  <c r="R175" i="42385"/>
  <c r="S175" i="42385" s="1"/>
  <c r="T175" i="42385" s="1"/>
  <c r="U175" i="42385" s="1"/>
  <c r="V175" i="42385" s="1"/>
  <c r="CO175" i="42385"/>
  <c r="AV88" i="42400"/>
  <c r="AW88" i="42400"/>
  <c r="BF288" i="42400"/>
  <c r="BH288" i="42400"/>
  <c r="BI288" i="42400"/>
  <c r="BP280" i="42400"/>
  <c r="BF280" i="42400"/>
  <c r="BM280" i="42400"/>
  <c r="BH280" i="42400"/>
  <c r="BQ280" i="42400"/>
  <c r="BR280" i="42400"/>
  <c r="BG280" i="42400"/>
  <c r="BK280" i="42400"/>
  <c r="BH64" i="42400"/>
  <c r="BI64" i="42400"/>
  <c r="BG64" i="42400"/>
  <c r="BQ1174" i="42385"/>
  <c r="BY1174" i="42385"/>
  <c r="BR1174" i="42385"/>
  <c r="BP1174" i="42385"/>
  <c r="BT1175" i="42385"/>
  <c r="CZ1175" i="42385" s="1"/>
  <c r="M185" i="42385"/>
  <c r="N185" i="42385" s="1"/>
  <c r="O185" i="42385" s="1"/>
  <c r="P185" i="42385" s="1"/>
  <c r="Q185" i="42385" s="1"/>
  <c r="CN185" i="42385"/>
  <c r="AL480" i="42385"/>
  <c r="AM480" i="42385" s="1"/>
  <c r="AJ1140" i="42385"/>
  <c r="BV229" i="42400"/>
  <c r="BV233" i="42400" s="1"/>
  <c r="BU229" i="42400"/>
  <c r="BU233" i="42400" s="1"/>
  <c r="BW229" i="42400"/>
  <c r="BW233" i="42400" s="1"/>
  <c r="BY233" i="42400"/>
  <c r="BX229" i="42400"/>
  <c r="BX233" i="42400" s="1"/>
  <c r="AC19" i="42443"/>
  <c r="AH19" i="42443"/>
  <c r="M186" i="42385"/>
  <c r="N186" i="42385" s="1"/>
  <c r="O186" i="42385" s="1"/>
  <c r="P186" i="42385" s="1"/>
  <c r="Q186" i="42385" s="1"/>
  <c r="CN186" i="42385"/>
  <c r="AJ90" i="42400"/>
  <c r="AH90" i="42400"/>
  <c r="AI90" i="42400"/>
  <c r="AG90" i="42400"/>
  <c r="AB45" i="42476"/>
  <c r="AB9" i="42476"/>
  <c r="AK1402" i="42385"/>
  <c r="AK1563" i="42385"/>
  <c r="CS1563" i="42385" s="1"/>
  <c r="CS1379" i="42385"/>
  <c r="AZ1421" i="42385"/>
  <c r="CV1418" i="42385"/>
  <c r="AH1357" i="42385"/>
  <c r="AH1364" i="42385" s="1"/>
  <c r="AG1364" i="42385"/>
  <c r="AL37" i="42400"/>
  <c r="AO37" i="42400"/>
  <c r="AN37" i="42400"/>
  <c r="AL38" i="42400"/>
  <c r="AM38" i="42400"/>
  <c r="AO38" i="42400"/>
  <c r="CZ1396" i="42385"/>
  <c r="BU1396" i="42385"/>
  <c r="BV1396" i="42385" s="1"/>
  <c r="BW1396" i="42385" s="1"/>
  <c r="BX1396" i="42385" s="1"/>
  <c r="BY1396" i="42385" s="1"/>
  <c r="BX64" i="42400"/>
  <c r="BV64" i="42400"/>
  <c r="BW64" i="42400"/>
  <c r="BL64" i="42400"/>
  <c r="BN64" i="42400"/>
  <c r="BM64" i="42400"/>
  <c r="BM67" i="42400"/>
  <c r="BN67" i="42400"/>
  <c r="BL67" i="42400"/>
  <c r="BK155" i="42400"/>
  <c r="BN155" i="42400"/>
  <c r="BO158" i="42400"/>
  <c r="BM155" i="42400"/>
  <c r="BN156" i="42400"/>
  <c r="BK156" i="42400"/>
  <c r="BC43" i="42400"/>
  <c r="CA878" i="42385"/>
  <c r="DB878" i="42385"/>
  <c r="BE71" i="42400"/>
  <c r="BE75" i="42400" s="1"/>
  <c r="BE864" i="42385" s="1"/>
  <c r="BD64" i="42400"/>
  <c r="BA64" i="42400"/>
  <c r="U290" i="42400"/>
  <c r="R290" i="42400"/>
  <c r="T290" i="42400"/>
  <c r="BI155" i="42400"/>
  <c r="BG155" i="42400"/>
  <c r="BG69" i="42400"/>
  <c r="BF69" i="42400"/>
  <c r="BI69" i="42400"/>
  <c r="BF223" i="42400"/>
  <c r="V27" i="42443"/>
  <c r="AA27" i="42443"/>
  <c r="W43" i="42443"/>
  <c r="AB43" i="42443"/>
  <c r="BM1110" i="42385"/>
  <c r="BH1115" i="42385"/>
  <c r="BH312" i="42385" s="1"/>
  <c r="BH313" i="42385" s="1"/>
  <c r="AX68" i="42400"/>
  <c r="AV68" i="42400"/>
  <c r="AW68" i="42400"/>
  <c r="AY68" i="42400"/>
  <c r="AY67" i="42400"/>
  <c r="AX67" i="42400"/>
  <c r="AZ71" i="42400"/>
  <c r="AZ75" i="42400" s="1"/>
  <c r="AZ864" i="42385" s="1"/>
  <c r="AW67" i="42400"/>
  <c r="AC65" i="42400"/>
  <c r="AE65" i="42400"/>
  <c r="AB65" i="42400"/>
  <c r="E283" i="42400"/>
  <c r="E285" i="42400" s="1"/>
  <c r="C283" i="42400"/>
  <c r="D283" i="42400"/>
  <c r="I281" i="42400"/>
  <c r="X290" i="42400"/>
  <c r="Y290" i="42400"/>
  <c r="AA294" i="42400"/>
  <c r="Z279" i="42400"/>
  <c r="Z285" i="42400" s="1"/>
  <c r="Z298" i="42400" s="1"/>
  <c r="Z895" i="42385" s="1"/>
  <c r="Z896" i="42385" s="1"/>
  <c r="Y279" i="42400"/>
  <c r="AA285" i="42400"/>
  <c r="X279" i="42400"/>
  <c r="X280" i="42400"/>
  <c r="Z280" i="42400"/>
  <c r="AY290" i="42400"/>
  <c r="AW290" i="42400"/>
  <c r="AZ294" i="42400"/>
  <c r="AX290" i="42400"/>
  <c r="AV290" i="42400"/>
  <c r="GR620" i="42464"/>
  <c r="GS620" i="42464" s="1"/>
  <c r="CW222" i="42385"/>
  <c r="BK45" i="42400"/>
  <c r="BK51" i="42400" s="1"/>
  <c r="BK802" i="42385" s="1"/>
  <c r="BK803" i="42385" s="1"/>
  <c r="AT39" i="42400"/>
  <c r="AR39" i="42400"/>
  <c r="AS39" i="42400"/>
  <c r="AQ37" i="42400"/>
  <c r="AU45" i="42400"/>
  <c r="AU51" i="42400" s="1"/>
  <c r="AU802" i="42385" s="1"/>
  <c r="AR37" i="42400"/>
  <c r="AO291" i="42400"/>
  <c r="AL291" i="42400"/>
  <c r="AM291" i="42400"/>
  <c r="AN292" i="42400"/>
  <c r="AM292" i="42400"/>
  <c r="AL292" i="42400"/>
  <c r="AR222" i="42400"/>
  <c r="AS222" i="42400"/>
  <c r="AS226" i="42400" s="1"/>
  <c r="AQ222" i="42400"/>
  <c r="AD135" i="42400"/>
  <c r="AD137" i="42400" s="1"/>
  <c r="AF137" i="42400"/>
  <c r="AF148" i="42400" s="1"/>
  <c r="AF926" i="42385" s="1"/>
  <c r="AF932" i="42385" s="1"/>
  <c r="CR932" i="42385" s="1"/>
  <c r="AB135" i="42400"/>
  <c r="AB137" i="42400" s="1"/>
  <c r="AC135" i="42400"/>
  <c r="AC137" i="42400" s="1"/>
  <c r="AC148" i="42400" s="1"/>
  <c r="AC926" i="42385" s="1"/>
  <c r="E290" i="42400"/>
  <c r="D290" i="42400"/>
  <c r="C290" i="42400"/>
  <c r="F291" i="42400"/>
  <c r="F294" i="42400" s="1"/>
  <c r="E291" i="42400"/>
  <c r="D291" i="42400"/>
  <c r="AB90" i="42400"/>
  <c r="AD90" i="42400"/>
  <c r="AC90" i="42400"/>
  <c r="AC95" i="42400" s="1"/>
  <c r="AC101" i="42400" s="1"/>
  <c r="AC833" i="42385" s="1"/>
  <c r="BF142" i="42400"/>
  <c r="BH142" i="42400"/>
  <c r="BJ144" i="42400"/>
  <c r="BI142" i="42400"/>
  <c r="BI144" i="42400" s="1"/>
  <c r="P289" i="42400"/>
  <c r="O289" i="42400"/>
  <c r="N289" i="42400"/>
  <c r="N288" i="42400"/>
  <c r="O288" i="42400"/>
  <c r="P288" i="42400"/>
  <c r="AO92" i="42400"/>
  <c r="AL92" i="42400"/>
  <c r="AN92" i="42400"/>
  <c r="AO91" i="42400"/>
  <c r="AL91" i="42400"/>
  <c r="AN91" i="42400"/>
  <c r="DB846" i="42385"/>
  <c r="CA846" i="42385"/>
  <c r="AS88" i="42400"/>
  <c r="AQ88" i="42400"/>
  <c r="D49" i="42465"/>
  <c r="BT235" i="42400"/>
  <c r="AG289" i="42400"/>
  <c r="AH289" i="42400"/>
  <c r="AK281" i="42400"/>
  <c r="AK280" i="42400"/>
  <c r="AI280" i="42400" s="1"/>
  <c r="AK279" i="42400"/>
  <c r="AK292" i="42400"/>
  <c r="AK288" i="42400"/>
  <c r="AK290" i="42400"/>
  <c r="AK291" i="42400"/>
  <c r="AK282" i="42400"/>
  <c r="CW1500" i="42385"/>
  <c r="BE1575" i="42385"/>
  <c r="M181" i="42385"/>
  <c r="N181" i="42385" s="1"/>
  <c r="O181" i="42385" s="1"/>
  <c r="P181" i="42385" s="1"/>
  <c r="Q181" i="42385" s="1"/>
  <c r="CN181" i="42385"/>
  <c r="AI68" i="42400"/>
  <c r="AI71" i="42400" s="1"/>
  <c r="AI75" i="42400" s="1"/>
  <c r="AI864" i="42385" s="1"/>
  <c r="AH68" i="42400"/>
  <c r="AS69" i="42400"/>
  <c r="AT69" i="42400"/>
  <c r="Y51" i="42443"/>
  <c r="P43" i="42443"/>
  <c r="AY233" i="42400"/>
  <c r="U51" i="42443"/>
  <c r="AE224" i="42400"/>
  <c r="AC224" i="42400"/>
  <c r="AB224" i="42400"/>
  <c r="AY42" i="42400"/>
  <c r="AW42" i="42400"/>
  <c r="BT68" i="42400"/>
  <c r="BT63" i="42400"/>
  <c r="BT64" i="42400"/>
  <c r="BR64" i="42400" s="1"/>
  <c r="BT67" i="42400"/>
  <c r="BR67" i="42400" s="1"/>
  <c r="BT65" i="42400"/>
  <c r="M865" i="42385"/>
  <c r="M870" i="42385"/>
  <c r="BB151" i="42385"/>
  <c r="BA163" i="42385"/>
  <c r="K283" i="42400"/>
  <c r="J283" i="42400"/>
  <c r="H283" i="42400"/>
  <c r="E289" i="42400"/>
  <c r="C289" i="42400"/>
  <c r="BU1369" i="42385"/>
  <c r="BV1369" i="42385" s="1"/>
  <c r="BW1369" i="42385" s="1"/>
  <c r="BX1369" i="42385" s="1"/>
  <c r="BY1369" i="42385" s="1"/>
  <c r="CZ1369" i="42385"/>
  <c r="BB137" i="42400"/>
  <c r="AA19" i="42443"/>
  <c r="AG283" i="42400"/>
  <c r="BB155" i="42400"/>
  <c r="F12" i="42424"/>
  <c r="S861" i="42385"/>
  <c r="N51" i="42443"/>
  <c r="M67" i="42443"/>
  <c r="S43" i="42443"/>
  <c r="AU1574" i="42385"/>
  <c r="CU1574" i="42385" s="1"/>
  <c r="E9" i="42465"/>
  <c r="BX223" i="42400"/>
  <c r="AD27" i="42443"/>
  <c r="CN187" i="42385"/>
  <c r="AU1120" i="42385"/>
  <c r="CU1120" i="42385" s="1"/>
  <c r="BL42" i="42400"/>
  <c r="BL45" i="42400" s="1"/>
  <c r="BL51" i="42400" s="1"/>
  <c r="BL802" i="42385" s="1"/>
  <c r="BL803" i="42385" s="1"/>
  <c r="BE163" i="42400"/>
  <c r="BE161" i="42400"/>
  <c r="AP134" i="42400"/>
  <c r="AP137" i="42400" s="1"/>
  <c r="AP148" i="42400" s="1"/>
  <c r="AP926" i="42385" s="1"/>
  <c r="L291" i="42400"/>
  <c r="L290" i="42400"/>
  <c r="L279" i="42400"/>
  <c r="BN1478" i="42385"/>
  <c r="AX231" i="42400"/>
  <c r="AX233" i="42400" s="1"/>
  <c r="AH134" i="42400"/>
  <c r="AH137" i="42400" s="1"/>
  <c r="AH148" i="42400" s="1"/>
  <c r="AH926" i="42385" s="1"/>
  <c r="AJ141" i="42400"/>
  <c r="BH1186" i="42385"/>
  <c r="BH1187" i="42385" s="1"/>
  <c r="L67" i="42443"/>
  <c r="AG137" i="42400"/>
  <c r="S865" i="42385"/>
  <c r="I66" i="42443"/>
  <c r="Q27" i="42443"/>
  <c r="G44" i="42476"/>
  <c r="BP223" i="42400"/>
  <c r="BS223" i="42400"/>
  <c r="BQ223" i="42400"/>
  <c r="BQ226" i="42400" s="1"/>
  <c r="BQ235" i="42400" s="1"/>
  <c r="CV151" i="42385"/>
  <c r="BN41" i="42400"/>
  <c r="BM42" i="42400"/>
  <c r="BM45" i="42400" s="1"/>
  <c r="BM51" i="42400" s="1"/>
  <c r="BM802" i="42385" s="1"/>
  <c r="BM803" i="42385" s="1"/>
  <c r="BE156" i="42400"/>
  <c r="L280" i="42400"/>
  <c r="L288" i="42400"/>
  <c r="AG65" i="42400"/>
  <c r="AV231" i="42400"/>
  <c r="AV233" i="42400" s="1"/>
  <c r="AJ134" i="42400"/>
  <c r="AJ137" i="42400" s="1"/>
  <c r="AI141" i="42400"/>
  <c r="AI144" i="42400" s="1"/>
  <c r="BJ653" i="42385"/>
  <c r="BJ656" i="42385" s="1"/>
  <c r="J66" i="42443"/>
  <c r="J67" i="42443" s="1"/>
  <c r="AH66" i="42443"/>
  <c r="CU68" i="42385"/>
  <c r="BW223" i="42400"/>
  <c r="BW226" i="42400" s="1"/>
  <c r="BW235" i="42400" s="1"/>
  <c r="BU223" i="42400"/>
  <c r="AK137" i="42400"/>
  <c r="L289" i="42400"/>
  <c r="CB233" i="42400"/>
  <c r="CB235" i="42400" s="1"/>
  <c r="CO245" i="42385"/>
  <c r="CY1383" i="42385"/>
  <c r="BP1383" i="42385"/>
  <c r="Q861" i="42385"/>
  <c r="P862" i="42385"/>
  <c r="CW1147" i="42385"/>
  <c r="BF1147" i="42385"/>
  <c r="BG1147" i="42385" s="1"/>
  <c r="BH1147" i="42385" s="1"/>
  <c r="BI1147" i="42385" s="1"/>
  <c r="BJ1147" i="42385" s="1"/>
  <c r="DA1193" i="42385"/>
  <c r="BU69" i="42400"/>
  <c r="BW69" i="42400"/>
  <c r="BX69" i="42400"/>
  <c r="BN63" i="42400"/>
  <c r="BO71" i="42400"/>
  <c r="BO75" i="42400" s="1"/>
  <c r="BO864" i="42385" s="1"/>
  <c r="BM161" i="42400"/>
  <c r="BM165" i="42400" s="1"/>
  <c r="BO165" i="42400"/>
  <c r="BO169" i="42400" s="1"/>
  <c r="BO988" i="42385" s="1"/>
  <c r="BB1115" i="42385"/>
  <c r="BB312" i="42385" s="1"/>
  <c r="BB313" i="42385" s="1"/>
  <c r="BE1110" i="42385"/>
  <c r="CW1110" i="42385" s="1"/>
  <c r="BB39" i="42400"/>
  <c r="AF67" i="42443"/>
  <c r="F26" i="42443"/>
  <c r="K27" i="42443" s="1"/>
  <c r="F65" i="42443"/>
  <c r="BC63" i="42400"/>
  <c r="BA63" i="42400"/>
  <c r="S282" i="42400"/>
  <c r="U282" i="42400"/>
  <c r="T282" i="42400"/>
  <c r="BD69" i="42400"/>
  <c r="BC69" i="42400"/>
  <c r="BB69" i="42400"/>
  <c r="CO266" i="42385"/>
  <c r="Q277" i="42385"/>
  <c r="BI681" i="42385"/>
  <c r="BJ681" i="42385" s="1"/>
  <c r="BJ700" i="42385" s="1"/>
  <c r="BN700" i="42385"/>
  <c r="BN681" i="42385" s="1"/>
  <c r="BO681" i="42385" s="1"/>
  <c r="BO700" i="42385" s="1"/>
  <c r="AP69" i="42400"/>
  <c r="AP63" i="42400"/>
  <c r="AP67" i="42400"/>
  <c r="AP66" i="42400"/>
  <c r="AP68" i="42400"/>
  <c r="AP161" i="42400"/>
  <c r="AP163" i="42400"/>
  <c r="AP156" i="42400"/>
  <c r="F117" i="42385"/>
  <c r="G117" i="42385" s="1"/>
  <c r="CM117" i="42385" s="1"/>
  <c r="F1301" i="42385"/>
  <c r="F1330" i="42385" s="1"/>
  <c r="AR41" i="42400"/>
  <c r="AT41" i="42400"/>
  <c r="AS41" i="42400"/>
  <c r="AO290" i="42400"/>
  <c r="AM290" i="42400"/>
  <c r="AL290" i="42400"/>
  <c r="AL283" i="42400"/>
  <c r="AL285" i="42400" s="1"/>
  <c r="AN283" i="42400"/>
  <c r="AN285" i="42400" s="1"/>
  <c r="AP285" i="42400"/>
  <c r="AO283" i="42400"/>
  <c r="AO285" i="42400" s="1"/>
  <c r="AN288" i="42400"/>
  <c r="AN294" i="42400" s="1"/>
  <c r="AM288" i="42400"/>
  <c r="AL288" i="42400"/>
  <c r="AP294" i="42400"/>
  <c r="AR224" i="42400"/>
  <c r="AU226" i="42400"/>
  <c r="AT224" i="42400"/>
  <c r="AT226" i="42400" s="1"/>
  <c r="AT235" i="42400" s="1"/>
  <c r="AT957" i="42385" s="1"/>
  <c r="AT958" i="42385" s="1"/>
  <c r="AQ224" i="42400"/>
  <c r="C292" i="42400"/>
  <c r="E292" i="42400"/>
  <c r="G294" i="42400"/>
  <c r="F279" i="42400"/>
  <c r="F285" i="42400" s="1"/>
  <c r="D279" i="42400"/>
  <c r="C279" i="42400"/>
  <c r="G285" i="42400"/>
  <c r="G298" i="42400" s="1"/>
  <c r="G895" i="42385" s="1"/>
  <c r="G896" i="42385" s="1"/>
  <c r="CM896" i="42385" s="1"/>
  <c r="AB88" i="42400"/>
  <c r="AE88" i="42400"/>
  <c r="AD88" i="42400"/>
  <c r="AF95" i="42400"/>
  <c r="AF101" i="42400" s="1"/>
  <c r="AF833" i="42385" s="1"/>
  <c r="AD87" i="42400"/>
  <c r="AB87" i="42400"/>
  <c r="AE87" i="42400"/>
  <c r="BH134" i="42400"/>
  <c r="BH137" i="42400" s="1"/>
  <c r="BJ137" i="42400"/>
  <c r="BG134" i="42400"/>
  <c r="BG137" i="42400" s="1"/>
  <c r="BF134" i="42400"/>
  <c r="BF137" i="42400" s="1"/>
  <c r="M290" i="42400"/>
  <c r="M294" i="42400" s="1"/>
  <c r="O290" i="42400"/>
  <c r="Q294" i="42400"/>
  <c r="N290" i="42400"/>
  <c r="O280" i="42400"/>
  <c r="O285" i="42400" s="1"/>
  <c r="P280" i="42400"/>
  <c r="Q285" i="42400"/>
  <c r="Q298" i="42400" s="1"/>
  <c r="Q895" i="42385" s="1"/>
  <c r="Q896" i="42385" s="1"/>
  <c r="CO896" i="42385" s="1"/>
  <c r="M280" i="42400"/>
  <c r="AN88" i="42400"/>
  <c r="AL88" i="42400"/>
  <c r="AM88" i="42400"/>
  <c r="AP95" i="42400"/>
  <c r="AP101" i="42400" s="1"/>
  <c r="AP833" i="42385" s="1"/>
  <c r="AO41" i="42400"/>
  <c r="AP45" i="42400"/>
  <c r="AP51" i="42400" s="1"/>
  <c r="AP802" i="42385" s="1"/>
  <c r="AW37" i="42400"/>
  <c r="AY37" i="42400"/>
  <c r="AV37" i="42400"/>
  <c r="AX155" i="42400"/>
  <c r="AW155" i="42400"/>
  <c r="AW158" i="42400" s="1"/>
  <c r="AV155" i="42400"/>
  <c r="AV158" i="42400" s="1"/>
  <c r="AZ158" i="42400"/>
  <c r="BC91" i="42400"/>
  <c r="BD91" i="42400"/>
  <c r="BA91" i="42400"/>
  <c r="AX90" i="42400"/>
  <c r="AY90" i="42400"/>
  <c r="AV90" i="42400"/>
  <c r="AW90" i="42400"/>
  <c r="AV134" i="42400"/>
  <c r="AV137" i="42400" s="1"/>
  <c r="AX134" i="42400"/>
  <c r="AX137" i="42400" s="1"/>
  <c r="AW134" i="42400"/>
  <c r="AW137" i="42400" s="1"/>
  <c r="AP233" i="42400"/>
  <c r="AP235" i="42400" s="1"/>
  <c r="AL229" i="42400"/>
  <c r="AL233" i="42400" s="1"/>
  <c r="AM229" i="42400"/>
  <c r="AM233" i="42400" s="1"/>
  <c r="AO229" i="42400"/>
  <c r="AN135" i="42400"/>
  <c r="AM135" i="42400"/>
  <c r="AL135" i="42400"/>
  <c r="BC289" i="42400"/>
  <c r="BC294" i="42400" s="1"/>
  <c r="BA289" i="42400"/>
  <c r="BB289" i="42400"/>
  <c r="BE294" i="42400"/>
  <c r="BQ65" i="42400"/>
  <c r="BR65" i="42400"/>
  <c r="CV312" i="42385"/>
  <c r="BU1074" i="42385"/>
  <c r="AY87" i="42400"/>
  <c r="AV87" i="42400"/>
  <c r="AX87" i="42400"/>
  <c r="AW87" i="42400"/>
  <c r="BF290" i="42400"/>
  <c r="BJ294" i="42400"/>
  <c r="BI290" i="42400"/>
  <c r="BH290" i="42400"/>
  <c r="BK282" i="42400"/>
  <c r="BL282" i="42400"/>
  <c r="BR282" i="42400"/>
  <c r="BQ282" i="42400"/>
  <c r="BG282" i="42400"/>
  <c r="BI282" i="42400"/>
  <c r="BN282" i="42400"/>
  <c r="BM282" i="42400"/>
  <c r="BP282" i="42400"/>
  <c r="BJ71" i="42400"/>
  <c r="BJ75" i="42400" s="1"/>
  <c r="BJ864" i="42385" s="1"/>
  <c r="BH65" i="42400"/>
  <c r="BG68" i="42400"/>
  <c r="BF68" i="42400"/>
  <c r="BH68" i="42400"/>
  <c r="AQ42" i="42400"/>
  <c r="AQ45" i="42400" s="1"/>
  <c r="AQ51" i="42400" s="1"/>
  <c r="AQ802" i="42385" s="1"/>
  <c r="AQ803" i="42385" s="1"/>
  <c r="AR42" i="42400"/>
  <c r="AT42" i="42400"/>
  <c r="AE42" i="42400"/>
  <c r="AC42" i="42400"/>
  <c r="AF45" i="42400"/>
  <c r="AF51" i="42400" s="1"/>
  <c r="AF802" i="42385" s="1"/>
  <c r="AY162" i="42400"/>
  <c r="AY165" i="42400" s="1"/>
  <c r="AY169" i="42400" s="1"/>
  <c r="AY988" i="42385" s="1"/>
  <c r="AW162" i="42400"/>
  <c r="AV162" i="42400"/>
  <c r="BB89" i="42400"/>
  <c r="BD89" i="42400"/>
  <c r="DA1413" i="42385"/>
  <c r="BZ1413" i="42385"/>
  <c r="BT1054" i="42385"/>
  <c r="BT1046" i="42385"/>
  <c r="BT1047" i="42385" s="1"/>
  <c r="AF1025" i="42385"/>
  <c r="CR1025" i="42385" s="1"/>
  <c r="CR1019" i="42385"/>
  <c r="AD1017" i="42385"/>
  <c r="AD1018" i="42385"/>
  <c r="AK1016" i="42385"/>
  <c r="AJ1018" i="42385"/>
  <c r="AJ1017" i="42385"/>
  <c r="AO1016" i="42385"/>
  <c r="CQ187" i="42385"/>
  <c r="AB187" i="42385"/>
  <c r="AC187" i="42385" s="1"/>
  <c r="AD187" i="42385" s="1"/>
  <c r="AE187" i="42385" s="1"/>
  <c r="AF187" i="42385" s="1"/>
  <c r="CO172" i="42385"/>
  <c r="R172" i="42385"/>
  <c r="S172" i="42385" s="1"/>
  <c r="T172" i="42385" s="1"/>
  <c r="U172" i="42385" s="1"/>
  <c r="V172" i="42385" s="1"/>
  <c r="BF1148" i="42385"/>
  <c r="BG1148" i="42385" s="1"/>
  <c r="BH1148" i="42385" s="1"/>
  <c r="BI1148" i="42385" s="1"/>
  <c r="BJ1148" i="42385" s="1"/>
  <c r="CW1148" i="42385"/>
  <c r="CO295" i="42385"/>
  <c r="Q305" i="42385"/>
  <c r="BH1361" i="42385"/>
  <c r="BH1364" i="42385" s="1"/>
  <c r="BG1364" i="42385"/>
  <c r="CN240" i="42385"/>
  <c r="L258" i="42385"/>
  <c r="CP294" i="42385"/>
  <c r="D13" i="42424"/>
  <c r="V305" i="42385"/>
  <c r="V314" i="42385" s="1"/>
  <c r="CR1364" i="42385"/>
  <c r="AF1366" i="42385"/>
  <c r="BD63" i="42400"/>
  <c r="BE1491" i="42385"/>
  <c r="AW165" i="42400"/>
  <c r="O35" i="42443"/>
  <c r="M19" i="42443"/>
  <c r="R35" i="42443"/>
  <c r="T35" i="42443"/>
  <c r="Y11" i="42443"/>
  <c r="J32" i="42470"/>
  <c r="J34" i="42470" s="1"/>
  <c r="BD294" i="42400"/>
  <c r="K43" i="42443"/>
  <c r="I1501" i="42385"/>
  <c r="AF294" i="42400"/>
  <c r="P18" i="42443"/>
  <c r="U19" i="42443" s="1"/>
  <c r="I27" i="42443"/>
  <c r="G11" i="42443"/>
  <c r="Z43" i="42443"/>
  <c r="BT1289" i="42385"/>
  <c r="CZ1289" i="42385" s="1"/>
  <c r="BW1416" i="42385"/>
  <c r="BX1416" i="42385" s="1"/>
  <c r="BY1416" i="42385" s="1"/>
  <c r="AV23" i="42385"/>
  <c r="AV24" i="42385" s="1"/>
  <c r="AV38" i="42385"/>
  <c r="AK34" i="42385"/>
  <c r="AG38" i="42385"/>
  <c r="AG40" i="42385" s="1"/>
  <c r="AW23" i="42385"/>
  <c r="AW24" i="42385" s="1"/>
  <c r="BB26" i="42385" s="1"/>
  <c r="AW38" i="42385"/>
  <c r="AU34" i="42385"/>
  <c r="AT38" i="42385"/>
  <c r="AT40" i="42385" s="1"/>
  <c r="AY23" i="42385"/>
  <c r="AY38" i="42385"/>
  <c r="BS156" i="42400"/>
  <c r="BP156" i="42400"/>
  <c r="BR156" i="42400"/>
  <c r="BQ156" i="42400"/>
  <c r="BX976" i="42385"/>
  <c r="BS920" i="42385"/>
  <c r="BX917" i="42385"/>
  <c r="BT917" i="42385"/>
  <c r="CZ917" i="42385" s="1"/>
  <c r="BY276" i="42400"/>
  <c r="BY296" i="42400" s="1"/>
  <c r="EI454" i="42492"/>
  <c r="DA883" i="42385"/>
  <c r="BP90" i="42400"/>
  <c r="BS88" i="42400"/>
  <c r="DA827" i="42385"/>
  <c r="BQ90" i="42400"/>
  <c r="BP88" i="42400"/>
  <c r="CA43" i="42400"/>
  <c r="CA40" i="42400"/>
  <c r="BP37" i="42400"/>
  <c r="BP41" i="42400"/>
  <c r="DB793" i="42385"/>
  <c r="BT39" i="42400"/>
  <c r="BT43" i="42400"/>
  <c r="BY791" i="42385"/>
  <c r="DA791" i="42385" s="1"/>
  <c r="CA39" i="42400"/>
  <c r="CA37" i="42400"/>
  <c r="BQ37" i="42400"/>
  <c r="BS41" i="42400"/>
  <c r="BT42" i="42400"/>
  <c r="BT38" i="42400"/>
  <c r="BS33" i="42400"/>
  <c r="BS47" i="42400" s="1"/>
  <c r="BS796" i="42385"/>
  <c r="BT796" i="42385" s="1"/>
  <c r="BT797" i="42385" s="1"/>
  <c r="CZ797" i="42385" s="1"/>
  <c r="CA41" i="42400"/>
  <c r="CB793" i="42385"/>
  <c r="BZ790" i="42385"/>
  <c r="BZ33" i="42400"/>
  <c r="BT40" i="42400"/>
  <c r="BR40" i="42400" s="1"/>
  <c r="BX33" i="42400"/>
  <c r="BX47" i="42400" s="1"/>
  <c r="BT794" i="42385"/>
  <c r="CZ794" i="42385" s="1"/>
  <c r="N51" i="42385"/>
  <c r="BR54" i="42385"/>
  <c r="BR1663" i="42385" s="1"/>
  <c r="BC54" i="42385"/>
  <c r="BC1663" i="42385" s="1"/>
  <c r="BA88" i="42385"/>
  <c r="BA1645" i="42385" s="1"/>
  <c r="AX42" i="42385"/>
  <c r="AX43" i="42385"/>
  <c r="AX41" i="42385"/>
  <c r="BC41" i="42385"/>
  <c r="BC43" i="42385"/>
  <c r="AD79" i="42385"/>
  <c r="AD92" i="42385" s="1"/>
  <c r="AD1278" i="42385"/>
  <c r="AD1642" i="42385" s="1"/>
  <c r="AH54" i="42385"/>
  <c r="AH1663" i="42385" s="1"/>
  <c r="BE83" i="42385"/>
  <c r="CW83" i="42385" s="1"/>
  <c r="BN54" i="42385"/>
  <c r="BN1663" i="42385" s="1"/>
  <c r="AL54" i="42385"/>
  <c r="AL1663" i="42385" s="1"/>
  <c r="I54" i="42385"/>
  <c r="I1663" i="42385" s="1"/>
  <c r="AJ54" i="42385"/>
  <c r="AJ1663" i="42385" s="1"/>
  <c r="AA1645" i="42385"/>
  <c r="AL52" i="42385"/>
  <c r="AP1645" i="42385"/>
  <c r="AX50" i="42385"/>
  <c r="BC51" i="42385" s="1"/>
  <c r="BT53" i="42385"/>
  <c r="CZ53" i="42385" s="1"/>
  <c r="BH54" i="42385"/>
  <c r="CK304" i="42492"/>
  <c r="CF304" i="42492"/>
  <c r="CA304" i="42492"/>
  <c r="BZ304" i="42492"/>
  <c r="CH304" i="42492"/>
  <c r="CH305" i="42492" s="1"/>
  <c r="CL304" i="42492"/>
  <c r="CG304" i="42492"/>
  <c r="BJ196" i="42492"/>
  <c r="BJ202" i="42492"/>
  <c r="BJ195" i="42492"/>
  <c r="L18" i="42492"/>
  <c r="M18" i="42492" s="1"/>
  <c r="AF133" i="42492"/>
  <c r="AG133" i="42492" s="1"/>
  <c r="G13" i="42492"/>
  <c r="BK195" i="42492"/>
  <c r="BY304" i="42492"/>
  <c r="AF131" i="42492"/>
  <c r="AG131" i="42492" s="1"/>
  <c r="CE304" i="42492"/>
  <c r="CE305" i="42492" s="1"/>
  <c r="DI335" i="42464"/>
  <c r="DJ335" i="42464"/>
  <c r="AZ23" i="42385"/>
  <c r="AZ34" i="42385"/>
  <c r="BG54" i="42385"/>
  <c r="BG56" i="42385" s="1"/>
  <c r="BB88" i="42385"/>
  <c r="BB1645" i="42385" s="1"/>
  <c r="AZ1650" i="42385"/>
  <c r="I88" i="42385"/>
  <c r="I1645" i="42385" s="1"/>
  <c r="BG51" i="42385"/>
  <c r="I77" i="42385"/>
  <c r="Z54" i="42385"/>
  <c r="Z1663" i="42385" s="1"/>
  <c r="BA54" i="42385"/>
  <c r="BA1663" i="42385" s="1"/>
  <c r="R54" i="42385"/>
  <c r="R1663" i="42385" s="1"/>
  <c r="J54" i="42385"/>
  <c r="J1663" i="42385" s="1"/>
  <c r="F54" i="42385"/>
  <c r="F1663" i="42385" s="1"/>
  <c r="HS748" i="42464"/>
  <c r="HS749" i="42464"/>
  <c r="CB163" i="42464"/>
  <c r="CB168" i="42464" s="1"/>
  <c r="AA41" i="42464"/>
  <c r="AB33" i="42464"/>
  <c r="GB539" i="42464"/>
  <c r="GB547" i="42464" s="1"/>
  <c r="GB519" i="42464"/>
  <c r="Z41" i="42464"/>
  <c r="DG335" i="42464"/>
  <c r="CA171" i="42464"/>
  <c r="CA173" i="42464" s="1"/>
  <c r="CA175" i="42464" s="1"/>
  <c r="CA177" i="42464" s="1"/>
  <c r="CA178" i="42464" s="1"/>
  <c r="CA179" i="42464" s="1"/>
  <c r="HV814" i="42464"/>
  <c r="HW814" i="42464" s="1"/>
  <c r="GB543" i="42464"/>
  <c r="HV838" i="42464"/>
  <c r="HY818" i="42464"/>
  <c r="HY825" i="42464" s="1"/>
  <c r="HY827" i="42464" s="1"/>
  <c r="IL904" i="42464"/>
  <c r="HW825" i="42464"/>
  <c r="GM574" i="42464"/>
  <c r="AJ1278" i="42385"/>
  <c r="AJ1642" i="42385" s="1"/>
  <c r="AJ79" i="42385"/>
  <c r="AH1514" i="42385"/>
  <c r="AH77" i="42385"/>
  <c r="F77" i="42385"/>
  <c r="F79" i="42385" s="1"/>
  <c r="F92" i="42385" s="1"/>
  <c r="F1514" i="42385"/>
  <c r="AJ1514" i="42385"/>
  <c r="BJ88" i="42385"/>
  <c r="AL51" i="42385"/>
  <c r="CO88" i="42385"/>
  <c r="AD51" i="42385"/>
  <c r="BG1663" i="42385"/>
  <c r="BF88" i="42385"/>
  <c r="BF1645" i="42385" s="1"/>
  <c r="BF1260" i="42385"/>
  <c r="BR56" i="42385"/>
  <c r="CT88" i="42385"/>
  <c r="Y65" i="42385"/>
  <c r="Y75" i="42385" s="1"/>
  <c r="Z65" i="42385"/>
  <c r="Z75" i="42385" s="1"/>
  <c r="Z77" i="42385" s="1"/>
  <c r="BH51" i="42385"/>
  <c r="CX48" i="42385"/>
  <c r="V88" i="42385"/>
  <c r="CP88" i="42385" s="1"/>
  <c r="BI1245" i="42385"/>
  <c r="DA48" i="42385"/>
  <c r="BZ88" i="42385"/>
  <c r="AV88" i="42385"/>
  <c r="AV1645" i="42385" s="1"/>
  <c r="EM507" i="42492"/>
  <c r="EM510" i="42492" s="1"/>
  <c r="BW100" i="42385"/>
  <c r="BX100" i="42385" s="1"/>
  <c r="BF30" i="42418"/>
  <c r="EM472" i="42492"/>
  <c r="BW1323" i="42385" s="1"/>
  <c r="AB72" i="42418"/>
  <c r="AH65" i="42418"/>
  <c r="AW30" i="42418"/>
  <c r="AZ65" i="42418"/>
  <c r="BC65" i="42418"/>
  <c r="AZ30" i="42418"/>
  <c r="P44" i="42418"/>
  <c r="P16" i="42418"/>
  <c r="BC30" i="42418"/>
  <c r="AZ93" i="42418"/>
  <c r="AW65" i="42418"/>
  <c r="BC93" i="42418"/>
  <c r="AK16" i="42418"/>
  <c r="BP232" i="42385"/>
  <c r="AZ463" i="42385"/>
  <c r="CV463" i="42385" s="1"/>
  <c r="BE460" i="42385"/>
  <c r="CW460" i="42385" s="1"/>
  <c r="AZ469" i="42385"/>
  <c r="AZ460" i="42385"/>
  <c r="CV460" i="42385" s="1"/>
  <c r="BK718" i="42385"/>
  <c r="BK737" i="42385" s="1"/>
  <c r="BK719" i="42385"/>
  <c r="BK284" i="42385"/>
  <c r="BW1490" i="42385"/>
  <c r="BX1390" i="42385"/>
  <c r="AE117" i="42408"/>
  <c r="AE123" i="42408" s="1"/>
  <c r="CA686" i="42385"/>
  <c r="CZ796" i="42385"/>
  <c r="BH756" i="42385"/>
  <c r="BE995" i="42385"/>
  <c r="CV995" i="42385"/>
  <c r="BM273" i="42385"/>
  <c r="BM574" i="42385"/>
  <c r="BK714" i="42385"/>
  <c r="BP710" i="42385"/>
  <c r="AT758" i="42385"/>
  <c r="AV758" i="42385" s="1"/>
  <c r="AS1538" i="42385"/>
  <c r="CB1186" i="42385"/>
  <c r="CC1186" i="42385" s="1"/>
  <c r="CD1186" i="42385" s="1"/>
  <c r="CE1186" i="42385" s="1"/>
  <c r="CF1186" i="42385" s="1"/>
  <c r="DC1186" i="42385"/>
  <c r="AU484" i="42385"/>
  <c r="CU484" i="42385" s="1"/>
  <c r="AU223" i="42385"/>
  <c r="CU483" i="42385"/>
  <c r="AR281" i="42400"/>
  <c r="AT281" i="42400"/>
  <c r="AT285" i="42400" s="1"/>
  <c r="AS281" i="42400"/>
  <c r="AB38" i="42400"/>
  <c r="AB45" i="42400" s="1"/>
  <c r="AB51" i="42400" s="1"/>
  <c r="AB802" i="42385" s="1"/>
  <c r="AD38" i="42400"/>
  <c r="AE38" i="42400"/>
  <c r="BK166" i="42385"/>
  <c r="BK134" i="42385" s="1"/>
  <c r="BN144" i="42400"/>
  <c r="BN148" i="42400" s="1"/>
  <c r="BN926" i="42385" s="1"/>
  <c r="BN927" i="42385" s="1"/>
  <c r="AU717" i="42385"/>
  <c r="BK291" i="42400"/>
  <c r="AX88" i="42400"/>
  <c r="AY88" i="42400"/>
  <c r="AZ1103" i="42385"/>
  <c r="CV1103" i="42385" s="1"/>
  <c r="BS280" i="42400"/>
  <c r="BN280" i="42400"/>
  <c r="BL280" i="42400"/>
  <c r="N13" i="42403"/>
  <c r="AH223" i="42400"/>
  <c r="BK93" i="42400"/>
  <c r="BN93" i="42400"/>
  <c r="BH140" i="42400"/>
  <c r="BF140" i="42400"/>
  <c r="BG140" i="42400"/>
  <c r="BG144" i="42400" s="1"/>
  <c r="BC64" i="42400"/>
  <c r="BB64" i="42400"/>
  <c r="AO142" i="42400"/>
  <c r="AL142" i="42400"/>
  <c r="AL144" i="42400" s="1"/>
  <c r="AN142" i="42400"/>
  <c r="AN144" i="42400" s="1"/>
  <c r="AR93" i="42400"/>
  <c r="AQ93" i="42400"/>
  <c r="AS93" i="42400"/>
  <c r="BA764" i="42385"/>
  <c r="BB764" i="42385" s="1"/>
  <c r="BC764" i="42385" s="1"/>
  <c r="BD764" i="42385" s="1"/>
  <c r="BE764" i="42385" s="1"/>
  <c r="CV764" i="42385"/>
  <c r="AU1575" i="42385"/>
  <c r="CU1500" i="42385"/>
  <c r="AG42" i="42385"/>
  <c r="AO233" i="42400"/>
  <c r="S279" i="42400"/>
  <c r="U279" i="42400"/>
  <c r="N932" i="42385"/>
  <c r="F923" i="42385"/>
  <c r="F924" i="42385" s="1"/>
  <c r="S314" i="42385"/>
  <c r="F34" i="42443"/>
  <c r="K35" i="42443" s="1"/>
  <c r="AX1319" i="42385"/>
  <c r="BE38" i="42400"/>
  <c r="BE41" i="42400"/>
  <c r="S1623" i="42385"/>
  <c r="BB63" i="42400"/>
  <c r="AU141" i="42400"/>
  <c r="AU134" i="42400"/>
  <c r="AU137" i="42400" s="1"/>
  <c r="AU92" i="42400"/>
  <c r="BV1491" i="42385"/>
  <c r="R45" i="42400"/>
  <c r="K1622" i="42385"/>
  <c r="N1623" i="42385" s="1"/>
  <c r="BR225" i="42385"/>
  <c r="CA1169" i="42385"/>
  <c r="BZ1548" i="42385"/>
  <c r="DB1548" i="42385" s="1"/>
  <c r="AN242" i="42385"/>
  <c r="AN873" i="42385"/>
  <c r="AA771" i="42385"/>
  <c r="CQ771" i="42385" s="1"/>
  <c r="AH59" i="42443"/>
  <c r="CA816" i="42385"/>
  <c r="DB816" i="42385"/>
  <c r="BF224" i="42400"/>
  <c r="BI224" i="42400"/>
  <c r="BG224" i="42400"/>
  <c r="AJ89" i="42400"/>
  <c r="AI89" i="42400"/>
  <c r="AH89" i="42400"/>
  <c r="AH93" i="42400"/>
  <c r="AG93" i="42400"/>
  <c r="AI93" i="42400"/>
  <c r="L714" i="42385"/>
  <c r="CN714" i="42385" s="1"/>
  <c r="L715" i="42385"/>
  <c r="CN715" i="42385" s="1"/>
  <c r="AP714" i="42385"/>
  <c r="CT714" i="42385" s="1"/>
  <c r="AP234" i="42385"/>
  <c r="CR486" i="42385"/>
  <c r="AF487" i="42385"/>
  <c r="CR487" i="42385" s="1"/>
  <c r="BA748" i="42385"/>
  <c r="AV755" i="42385"/>
  <c r="AV236" i="42385"/>
  <c r="AZ236" i="42385" s="1"/>
  <c r="CV236" i="42385" s="1"/>
  <c r="N927" i="42385"/>
  <c r="H314" i="42385"/>
  <c r="BL691" i="42385"/>
  <c r="BL693" i="42385" s="1"/>
  <c r="BL695" i="42385" s="1"/>
  <c r="O1426" i="42385"/>
  <c r="AZ1483" i="42385"/>
  <c r="CV1483" i="42385" s="1"/>
  <c r="BM1252" i="42385"/>
  <c r="BO1249" i="42385"/>
  <c r="BE42" i="42400"/>
  <c r="BE37" i="42400"/>
  <c r="AU89" i="42400"/>
  <c r="AU91" i="42400"/>
  <c r="V1554" i="42385"/>
  <c r="CP1554" i="42385" s="1"/>
  <c r="S45" i="42400"/>
  <c r="BH369" i="42385"/>
  <c r="BR290" i="42400"/>
  <c r="BR294" i="42400" s="1"/>
  <c r="K129" i="42385"/>
  <c r="S1558" i="42385"/>
  <c r="S128" i="42385"/>
  <c r="S259" i="42385"/>
  <c r="CV1156" i="42385"/>
  <c r="AZ1170" i="42385"/>
  <c r="CV1170" i="42385" s="1"/>
  <c r="AR1326" i="42385"/>
  <c r="AT1319" i="42385"/>
  <c r="X8" i="42412"/>
  <c r="BQ1170" i="42385"/>
  <c r="BQ1162" i="42385"/>
  <c r="L35" i="42443"/>
  <c r="BN1305" i="42385"/>
  <c r="BN1314" i="42385" s="1"/>
  <c r="CU112" i="42385"/>
  <c r="CU1511" i="42385"/>
  <c r="AY1157" i="42385"/>
  <c r="AT1159" i="42385"/>
  <c r="AU1156" i="42385"/>
  <c r="CP243" i="42385"/>
  <c r="W37" i="42417"/>
  <c r="Y37" i="42417" s="1"/>
  <c r="G13" i="42424"/>
  <c r="FI421" i="42417"/>
  <c r="FS438" i="42417"/>
  <c r="FU438" i="42417" s="1"/>
  <c r="CS236" i="42385"/>
  <c r="BN429" i="42385"/>
  <c r="BI430" i="42385"/>
  <c r="CD292" i="42492"/>
  <c r="CD304" i="42492" s="1"/>
  <c r="CI305" i="42492" s="1"/>
  <c r="CW398" i="42385"/>
  <c r="H1623" i="42385"/>
  <c r="I1623" i="42385"/>
  <c r="F19" i="42406"/>
  <c r="G13" i="42406"/>
  <c r="I95" i="42400"/>
  <c r="I101" i="42400" s="1"/>
  <c r="I833" i="42385" s="1"/>
  <c r="BD24" i="42385"/>
  <c r="BD40" i="42385" s="1"/>
  <c r="BE23" i="42385"/>
  <c r="BM130" i="42385"/>
  <c r="BN130" i="42385" s="1"/>
  <c r="AG30" i="42385"/>
  <c r="AK11" i="42385"/>
  <c r="Z1558" i="42385"/>
  <c r="AQ246" i="42424"/>
  <c r="AQ250" i="42424" s="1"/>
  <c r="Z128" i="42385"/>
  <c r="CU336" i="42385"/>
  <c r="HN627" i="42417"/>
  <c r="AQ11" i="42385"/>
  <c r="AQ13" i="42385" s="1"/>
  <c r="V799" i="42385"/>
  <c r="BE47" i="42400"/>
  <c r="AF1485" i="42385"/>
  <c r="CR1485" i="42385" s="1"/>
  <c r="AK1554" i="42385"/>
  <c r="CS1554" i="42385" s="1"/>
  <c r="AE1567" i="42385"/>
  <c r="AE1660" i="42385"/>
  <c r="AK1593" i="42385"/>
  <c r="CS1593" i="42385" s="1"/>
  <c r="BI222" i="42400"/>
  <c r="BJ226" i="42400"/>
  <c r="BJ235" i="42400" s="1"/>
  <c r="BF222" i="42400"/>
  <c r="BH222" i="42400"/>
  <c r="BN231" i="42400"/>
  <c r="BN233" i="42400" s="1"/>
  <c r="BL231" i="42400"/>
  <c r="BL233" i="42400" s="1"/>
  <c r="BL235" i="42400" s="1"/>
  <c r="BO233" i="42400"/>
  <c r="AL1025" i="42385"/>
  <c r="AL1016" i="42385"/>
  <c r="Y19" i="42443"/>
  <c r="AD19" i="42443"/>
  <c r="AF53" i="42385"/>
  <c r="CR53" i="42385" s="1"/>
  <c r="CR48" i="42385"/>
  <c r="Y9" i="42476"/>
  <c r="T45" i="42476"/>
  <c r="BM54" i="42385"/>
  <c r="BM51" i="42385"/>
  <c r="BR51" i="42385"/>
  <c r="U64" i="42443"/>
  <c r="U66" i="42443" s="1"/>
  <c r="U26" i="42443"/>
  <c r="U27" i="42443" s="1"/>
  <c r="AU1102" i="42385"/>
  <c r="CU1102" i="42385" s="1"/>
  <c r="AY1102" i="42385"/>
  <c r="AJ256" i="42385"/>
  <c r="AJ258" i="42385" s="1"/>
  <c r="AJ1108" i="42385"/>
  <c r="AQ1121" i="42385"/>
  <c r="AP1121" i="42385"/>
  <c r="CT1121" i="42385" s="1"/>
  <c r="AS108" i="42385"/>
  <c r="CV248" i="42417" s="1"/>
  <c r="AT1281" i="42385"/>
  <c r="CY1281" i="42385"/>
  <c r="BO108" i="42385"/>
  <c r="CY108" i="42385" s="1"/>
  <c r="BP1382" i="42385"/>
  <c r="BP1482" i="42385" s="1"/>
  <c r="CY1382" i="42385"/>
  <c r="CU1626" i="42385"/>
  <c r="AV1626" i="42385"/>
  <c r="AW1626" i="42385" s="1"/>
  <c r="AX1626" i="42385" s="1"/>
  <c r="AY1626" i="42385" s="1"/>
  <c r="AZ1626" i="42385" s="1"/>
  <c r="CD84" i="42385"/>
  <c r="CC88" i="42385"/>
  <c r="F1623" i="42385"/>
  <c r="G1623" i="42385" s="1"/>
  <c r="CM1623" i="42385" s="1"/>
  <c r="BC43" i="42418"/>
  <c r="BI44" i="42418" s="1"/>
  <c r="AW1014" i="42385"/>
  <c r="AR1014" i="42385"/>
  <c r="BB162" i="42400"/>
  <c r="BD162" i="42400"/>
  <c r="AQ873" i="42385"/>
  <c r="AR872" i="42385"/>
  <c r="AQ1535" i="42385"/>
  <c r="AW69" i="42400"/>
  <c r="AY69" i="42400"/>
  <c r="AD66" i="42400"/>
  <c r="AB66" i="42400"/>
  <c r="AC66" i="42400"/>
  <c r="AR778" i="42385"/>
  <c r="AR1540" i="42385"/>
  <c r="AS777" i="42385"/>
  <c r="AS1540" i="42385" s="1"/>
  <c r="BU1213" i="42385"/>
  <c r="BT1213" i="42385"/>
  <c r="CZ1213" i="42385" s="1"/>
  <c r="AB142" i="42400"/>
  <c r="AD142" i="42400"/>
  <c r="AD144" i="42400" s="1"/>
  <c r="AC142" i="42400"/>
  <c r="AC144" i="42400" s="1"/>
  <c r="AW342" i="42385"/>
  <c r="AW218" i="42385"/>
  <c r="P6" i="42412"/>
  <c r="U6" i="42412"/>
  <c r="S6" i="42412"/>
  <c r="BC163" i="42417"/>
  <c r="T6" i="42412"/>
  <c r="Y6" i="42412"/>
  <c r="Y8" i="42412" s="1"/>
  <c r="G25" i="42412"/>
  <c r="I25" i="42412" s="1"/>
  <c r="Q6" i="42412"/>
  <c r="B18" i="42412"/>
  <c r="B10" i="42417"/>
  <c r="V6" i="42412"/>
  <c r="B32" i="42412"/>
  <c r="AG131" i="42385"/>
  <c r="AL131" i="42385"/>
  <c r="BI117" i="42385"/>
  <c r="BJ1287" i="42385"/>
  <c r="J1623" i="42385"/>
  <c r="Q19" i="42443"/>
  <c r="X19" i="42443"/>
  <c r="AX644" i="42385"/>
  <c r="DS336" i="42417"/>
  <c r="G43" i="42443"/>
  <c r="O59" i="42443"/>
  <c r="CC163" i="42385"/>
  <c r="CC165" i="42385" s="1"/>
  <c r="CB165" i="42385"/>
  <c r="CB166" i="42385" s="1"/>
  <c r="AN1525" i="42385"/>
  <c r="AO1523" i="42385"/>
  <c r="AR69" i="42400"/>
  <c r="AQ69" i="42400"/>
  <c r="AQ64" i="42400"/>
  <c r="AT64" i="42400"/>
  <c r="BW661" i="42385"/>
  <c r="BR680" i="42385"/>
  <c r="AH86" i="42385"/>
  <c r="AK85" i="42385"/>
  <c r="BI129" i="42385"/>
  <c r="BI113" i="42385"/>
  <c r="P139" i="42385"/>
  <c r="P171" i="42385" s="1"/>
  <c r="Q171" i="42385" s="1"/>
  <c r="O163" i="42385"/>
  <c r="X66" i="42443"/>
  <c r="CD233" i="42400"/>
  <c r="AB657" i="42385"/>
  <c r="AG658" i="42385" s="1"/>
  <c r="AA72" i="42476"/>
  <c r="CY113" i="42385"/>
  <c r="AD130" i="42385"/>
  <c r="AI131" i="42385" s="1"/>
  <c r="AR227" i="42385"/>
  <c r="AW592" i="42385"/>
  <c r="AR592" i="42385"/>
  <c r="BL434" i="42385"/>
  <c r="BQ433" i="42385"/>
  <c r="DC517" i="42385"/>
  <c r="CA1550" i="42385"/>
  <c r="AS1617" i="42385"/>
  <c r="AR1617" i="42385"/>
  <c r="AQ1617" i="42385"/>
  <c r="R8" i="42476"/>
  <c r="BF26" i="42385"/>
  <c r="BF32" i="42385"/>
  <c r="BG440" i="42385"/>
  <c r="AQ1640" i="42385"/>
  <c r="AR107" i="42385"/>
  <c r="CU248" i="42417" s="1"/>
  <c r="BZ1611" i="42385"/>
  <c r="DB1611" i="42385" s="1"/>
  <c r="BG1557" i="42385"/>
  <c r="BE1458" i="42385"/>
  <c r="E1424" i="42385"/>
  <c r="E1426" i="42385" s="1"/>
  <c r="BF1326" i="42385"/>
  <c r="M10" i="42412"/>
  <c r="B19" i="42406"/>
  <c r="AK194" i="42400"/>
  <c r="AK1019" i="42385" s="1"/>
  <c r="AK1025" i="42385" s="1"/>
  <c r="CS1025" i="42385" s="1"/>
  <c r="G778" i="42385"/>
  <c r="CM778" i="42385" s="1"/>
  <c r="AG676" i="42385"/>
  <c r="AE83" i="42385"/>
  <c r="BN27" i="42385"/>
  <c r="BU133" i="42464"/>
  <c r="AY216" i="42470"/>
  <c r="AY217" i="42470" s="1"/>
  <c r="H144" i="42400"/>
  <c r="H148" i="42400" s="1"/>
  <c r="H926" i="42385" s="1"/>
  <c r="AY1491" i="42385"/>
  <c r="AZ1491" i="42385" s="1"/>
  <c r="BY1459" i="42385"/>
  <c r="AO1402" i="42385"/>
  <c r="AD1402" i="42385"/>
  <c r="AW83" i="42385"/>
  <c r="Z194" i="42400"/>
  <c r="Z1019" i="42385" s="1"/>
  <c r="L12" i="42412"/>
  <c r="M12" i="42412" s="1"/>
  <c r="F8" i="42405"/>
  <c r="B17" i="42410"/>
  <c r="J8" i="42410"/>
  <c r="J17" i="42410" s="1"/>
  <c r="I226" i="42400"/>
  <c r="I233" i="42400"/>
  <c r="U233" i="42400"/>
  <c r="BP1351" i="42385"/>
  <c r="AA888" i="42385"/>
  <c r="CQ888" i="42385" s="1"/>
  <c r="G888" i="42385"/>
  <c r="CM888" i="42385" s="1"/>
  <c r="F879" i="42385"/>
  <c r="AA775" i="42385"/>
  <c r="CQ775" i="42385" s="1"/>
  <c r="K715" i="42385"/>
  <c r="AR83" i="42385"/>
  <c r="AR86" i="42385" s="1"/>
  <c r="AH10" i="42443"/>
  <c r="AC10" i="42443"/>
  <c r="X10" i="42443"/>
  <c r="S10" i="42443"/>
  <c r="N10" i="42443"/>
  <c r="I10" i="42443"/>
  <c r="I11" i="42443" s="1"/>
  <c r="C15" i="42410"/>
  <c r="H15" i="42410"/>
  <c r="BF93" i="42418"/>
  <c r="AH100" i="42418"/>
  <c r="P100" i="42418"/>
  <c r="AH93" i="42418"/>
  <c r="P93" i="42418"/>
  <c r="BX86" i="42418"/>
  <c r="AQ86" i="42418"/>
  <c r="AE86" i="42418"/>
  <c r="P86" i="42418"/>
  <c r="AQ79" i="42418"/>
  <c r="AN79" i="42418"/>
  <c r="AB79" i="42418"/>
  <c r="AN72" i="42418"/>
  <c r="AT65" i="42418"/>
  <c r="V65" i="42418"/>
  <c r="AT58" i="42418"/>
  <c r="AK58" i="42418"/>
  <c r="V58" i="42418"/>
  <c r="AK51" i="42418"/>
  <c r="S51" i="42418"/>
  <c r="AN44" i="42418"/>
  <c r="Y44" i="42418"/>
  <c r="AQ37" i="42418"/>
  <c r="S37" i="42418"/>
  <c r="AB30" i="42418"/>
  <c r="V30" i="42418"/>
  <c r="AH23" i="42418"/>
  <c r="V23" i="42418"/>
  <c r="AT16" i="42418"/>
  <c r="Y16" i="42418"/>
  <c r="AK9" i="42418"/>
  <c r="BC86" i="42418"/>
  <c r="AZ9" i="42418"/>
  <c r="BF16" i="42418"/>
  <c r="AE30" i="42418"/>
  <c r="BI86" i="42418"/>
  <c r="V86" i="42418"/>
  <c r="BF58" i="42418"/>
  <c r="BF23" i="42418"/>
  <c r="BF86" i="42418"/>
  <c r="AW93" i="42418"/>
  <c r="AZ72" i="42418"/>
  <c r="AW51" i="42418"/>
  <c r="AW23" i="42418"/>
  <c r="AW9" i="42418"/>
  <c r="BC9" i="42418"/>
  <c r="AZ23" i="42418"/>
  <c r="S16" i="42418"/>
  <c r="AT37" i="42418"/>
  <c r="P65" i="42418"/>
  <c r="AT93" i="42418"/>
  <c r="AH37" i="42418"/>
  <c r="BC23" i="42418"/>
  <c r="BC72" i="42418"/>
  <c r="AQ93" i="42418"/>
  <c r="BF9" i="42418"/>
  <c r="AW72" i="42418"/>
  <c r="BA252" i="42424"/>
  <c r="I316" i="42385"/>
  <c r="I1647" i="42385"/>
  <c r="CX827" i="42385"/>
  <c r="BJ828" i="42385"/>
  <c r="CX828" i="42385" s="1"/>
  <c r="AL1660" i="42385"/>
  <c r="AL1585" i="42385"/>
  <c r="BK1178" i="42385"/>
  <c r="BK1180" i="42385"/>
  <c r="E787" i="42385"/>
  <c r="G786" i="42385"/>
  <c r="AY226" i="42400"/>
  <c r="P23" i="42424"/>
  <c r="H316" i="42385"/>
  <c r="H1647" i="42385"/>
  <c r="H50" i="42385"/>
  <c r="T131" i="42385"/>
  <c r="T165" i="42385"/>
  <c r="T166" i="42385" s="1"/>
  <c r="T134" i="42385" s="1"/>
  <c r="T118" i="42385"/>
  <c r="V118" i="42385" s="1"/>
  <c r="CP118" i="42385" s="1"/>
  <c r="T163" i="42385"/>
  <c r="Y131" i="42385"/>
  <c r="BK144" i="42400"/>
  <c r="B11" i="42409"/>
  <c r="CU133" i="42385"/>
  <c r="BE1103" i="42385"/>
  <c r="CW1103" i="42385" s="1"/>
  <c r="W1647" i="42385"/>
  <c r="AB144" i="42400"/>
  <c r="T314" i="42385"/>
  <c r="BO224" i="42385"/>
  <c r="CN486" i="42385"/>
  <c r="BB91" i="42400"/>
  <c r="M314" i="42385"/>
  <c r="BM156" i="42400"/>
  <c r="U280" i="42400"/>
  <c r="BG283" i="42400"/>
  <c r="AC230" i="42400"/>
  <c r="BA1579" i="42385"/>
  <c r="N1426" i="42385"/>
  <c r="BD512" i="42385"/>
  <c r="L373" i="42385"/>
  <c r="AD42" i="42400"/>
  <c r="AW291" i="42400"/>
  <c r="AX291" i="42400"/>
  <c r="AV291" i="42400"/>
  <c r="AY291" i="42400"/>
  <c r="AE281" i="42400"/>
  <c r="AB281" i="42400"/>
  <c r="AB285" i="42400" s="1"/>
  <c r="AD281" i="42400"/>
  <c r="AR88" i="42400"/>
  <c r="AT88" i="42400"/>
  <c r="AE314" i="42385"/>
  <c r="CX243" i="42385"/>
  <c r="BL156" i="42400"/>
  <c r="BL158" i="42400" s="1"/>
  <c r="R280" i="42400"/>
  <c r="BI283" i="42400"/>
  <c r="AS653" i="42385"/>
  <c r="AS656" i="42385" s="1"/>
  <c r="AS657" i="42385" s="1"/>
  <c r="BF1229" i="42385"/>
  <c r="BG1229" i="42385" s="1"/>
  <c r="BH1229" i="42385" s="1"/>
  <c r="BI1229" i="42385" s="1"/>
  <c r="BJ1229" i="42385" s="1"/>
  <c r="BK1229" i="42385" s="1"/>
  <c r="BL1229" i="42385" s="1"/>
  <c r="BM1229" i="42385" s="1"/>
  <c r="BT1249" i="42385"/>
  <c r="BT1252" i="42385" s="1"/>
  <c r="AM1504" i="42385"/>
  <c r="AP1564" i="42385"/>
  <c r="AP1406" i="42385"/>
  <c r="CT1406" i="42385" s="1"/>
  <c r="J783" i="42385"/>
  <c r="K320" i="42385"/>
  <c r="J478" i="42385"/>
  <c r="J388" i="42385"/>
  <c r="J1128" i="42385"/>
  <c r="J938" i="42385"/>
  <c r="J326" i="42385"/>
  <c r="J329" i="42385" s="1"/>
  <c r="J330" i="42385" s="1"/>
  <c r="J331" i="42385" s="1"/>
  <c r="J814" i="42385"/>
  <c r="J907" i="42385"/>
  <c r="J1081" i="42385"/>
  <c r="J705" i="42385"/>
  <c r="J845" i="42385"/>
  <c r="J762" i="42385"/>
  <c r="J765" i="42385" s="1"/>
  <c r="L765" i="42385" s="1"/>
  <c r="CN765" i="42385" s="1"/>
  <c r="J743" i="42385"/>
  <c r="J876" i="42385"/>
  <c r="J1000" i="42385"/>
  <c r="I315" i="42385"/>
  <c r="CX281" i="42464"/>
  <c r="BF1364" i="42385"/>
  <c r="BI644" i="42385"/>
  <c r="K95" i="42400"/>
  <c r="AF202" i="42385"/>
  <c r="I876" i="42385"/>
  <c r="I879" i="42385" s="1"/>
  <c r="I1000" i="42385"/>
  <c r="I845" i="42385"/>
  <c r="I705" i="42385"/>
  <c r="AS242" i="42385"/>
  <c r="V406" i="42385"/>
  <c r="CP406" i="42385" s="1"/>
  <c r="BK52" i="42385"/>
  <c r="BB1400" i="42385"/>
  <c r="AS719" i="42385"/>
  <c r="AS718" i="42385"/>
  <c r="BD230" i="42400"/>
  <c r="BA230" i="42400"/>
  <c r="BB230" i="42400"/>
  <c r="AH66" i="42400"/>
  <c r="CO190" i="42385"/>
  <c r="R190" i="42385"/>
  <c r="S190" i="42385" s="1"/>
  <c r="T190" i="42385" s="1"/>
  <c r="U190" i="42385" s="1"/>
  <c r="V190" i="42385" s="1"/>
  <c r="BO226" i="42400"/>
  <c r="BK222" i="42400"/>
  <c r="BK226" i="42400" s="1"/>
  <c r="BK235" i="42400" s="1"/>
  <c r="BI230" i="42400"/>
  <c r="BG230" i="42400"/>
  <c r="BG233" i="42400" s="1"/>
  <c r="BH230" i="42400"/>
  <c r="CA1283" i="42385"/>
  <c r="DC1283" i="42385" s="1"/>
  <c r="CB59" i="42385"/>
  <c r="CA1645" i="42385"/>
  <c r="CA109" i="42385"/>
  <c r="DC109" i="42385" s="1"/>
  <c r="BE231" i="42400"/>
  <c r="BE229" i="42400"/>
  <c r="BF981" i="42385"/>
  <c r="BA982" i="42385"/>
  <c r="BE1155" i="42385"/>
  <c r="CV1155" i="42385"/>
  <c r="D42" i="42465"/>
  <c r="CT1280" i="42385"/>
  <c r="G1406" i="42385"/>
  <c r="G1424" i="42385" s="1"/>
  <c r="AS237" i="42385"/>
  <c r="AX767" i="42385"/>
  <c r="BX915" i="42385"/>
  <c r="BY914" i="42385"/>
  <c r="BX131" i="42400"/>
  <c r="BX146" i="42400" s="1"/>
  <c r="BJ1281" i="42385"/>
  <c r="BJ108" i="42385" s="1"/>
  <c r="CX108" i="42385" s="1"/>
  <c r="BI108" i="42385"/>
  <c r="AG1416" i="42385"/>
  <c r="AH1416" i="42385" s="1"/>
  <c r="CR1416" i="42385"/>
  <c r="G657" i="42385"/>
  <c r="CM5" i="42385"/>
  <c r="CX76" i="42385"/>
  <c r="E8" i="42409"/>
  <c r="CS218" i="42385"/>
  <c r="X50" i="42417"/>
  <c r="CR219" i="42385"/>
  <c r="BU241" i="42385"/>
  <c r="BY241" i="42385" s="1"/>
  <c r="BU828" i="42385"/>
  <c r="AG67" i="42400"/>
  <c r="AG71" i="42400" s="1"/>
  <c r="AG75" i="42400" s="1"/>
  <c r="AG864" i="42385" s="1"/>
  <c r="AG870" i="42385" s="1"/>
  <c r="AJ67" i="42400"/>
  <c r="AJ71" i="42400" s="1"/>
  <c r="AJ75" i="42400" s="1"/>
  <c r="AJ864" i="42385" s="1"/>
  <c r="AH67" i="42400"/>
  <c r="BQ63" i="42400"/>
  <c r="BR63" i="42400"/>
  <c r="AQ612" i="42385"/>
  <c r="AS612" i="42385" s="1"/>
  <c r="AP612" i="42385"/>
  <c r="BR117" i="42385"/>
  <c r="CU763" i="42385"/>
  <c r="AV763" i="42385"/>
  <c r="AW763" i="42385" s="1"/>
  <c r="AX763" i="42385" s="1"/>
  <c r="AY763" i="42385" s="1"/>
  <c r="AZ763" i="42385" s="1"/>
  <c r="BI1623" i="42385"/>
  <c r="BJ1623" i="42385" s="1"/>
  <c r="CX1623" i="42385" s="1"/>
  <c r="BM1623" i="42385"/>
  <c r="BL1623" i="42385"/>
  <c r="BK1623" i="42385"/>
  <c r="BK1627" i="42385" s="1"/>
  <c r="EO381" i="42417"/>
  <c r="DW336" i="42417"/>
  <c r="O1614" i="42385"/>
  <c r="M1614" i="42385"/>
  <c r="BG1235" i="42385"/>
  <c r="BH1235" i="42385" s="1"/>
  <c r="BI1235" i="42385" s="1"/>
  <c r="BK1235" i="42385" s="1"/>
  <c r="AO1013" i="42385"/>
  <c r="AP1012" i="42385"/>
  <c r="CT1012" i="42385" s="1"/>
  <c r="AT1012" i="42385"/>
  <c r="AY1012" i="42385" s="1"/>
  <c r="BD117" i="42385"/>
  <c r="BE1287" i="42385"/>
  <c r="AE13" i="42385"/>
  <c r="AE14" i="42385" s="1"/>
  <c r="AE27" i="42385" s="1"/>
  <c r="AE258" i="42385"/>
  <c r="AU246" i="42424" s="1"/>
  <c r="AR287" i="42385"/>
  <c r="AR776" i="42385"/>
  <c r="AR775" i="42385"/>
  <c r="BX852" i="42385"/>
  <c r="BT852" i="42385"/>
  <c r="BT853" i="42385" s="1"/>
  <c r="CZ853" i="42385" s="1"/>
  <c r="BU667" i="42385"/>
  <c r="BP682" i="42385"/>
  <c r="CM176" i="42385"/>
  <c r="H176" i="42385"/>
  <c r="I176" i="42385" s="1"/>
  <c r="J176" i="42385" s="1"/>
  <c r="K176" i="42385" s="1"/>
  <c r="L176" i="42385" s="1"/>
  <c r="Z233" i="42400"/>
  <c r="BI231" i="42385"/>
  <c r="BO222" i="42385"/>
  <c r="CY222" i="42385" s="1"/>
  <c r="AT242" i="42385"/>
  <c r="BI647" i="42385"/>
  <c r="I1081" i="42385"/>
  <c r="I478" i="42385"/>
  <c r="I388" i="42385"/>
  <c r="I391" i="42385" s="1"/>
  <c r="I783" i="42385"/>
  <c r="I743" i="42385"/>
  <c r="I746" i="42385" s="1"/>
  <c r="AS778" i="42385"/>
  <c r="AH280" i="42400"/>
  <c r="BB1186" i="42385"/>
  <c r="BA1187" i="42385"/>
  <c r="Q51" i="42443"/>
  <c r="L51" i="42443"/>
  <c r="BR224" i="42400"/>
  <c r="BR226" i="42400" s="1"/>
  <c r="BS224" i="42400"/>
  <c r="BS226" i="42400" s="1"/>
  <c r="BS235" i="42400" s="1"/>
  <c r="BP224" i="42400"/>
  <c r="BP226" i="42400" s="1"/>
  <c r="BP235" i="42400" s="1"/>
  <c r="BK654" i="42385"/>
  <c r="BK653" i="42385" s="1"/>
  <c r="BI653" i="42385"/>
  <c r="AI87" i="42400"/>
  <c r="AG87" i="42400"/>
  <c r="CY23" i="42385"/>
  <c r="BO24" i="42385"/>
  <c r="AA8" i="42476" s="1"/>
  <c r="Q44" i="42476"/>
  <c r="CW68" i="42385"/>
  <c r="AI129" i="42385"/>
  <c r="AF127" i="42385"/>
  <c r="AS155" i="42385"/>
  <c r="AU155" i="42385" s="1"/>
  <c r="CU155" i="42385" s="1"/>
  <c r="CS155" i="42385"/>
  <c r="AN385" i="42385"/>
  <c r="AP370" i="42385"/>
  <c r="M406" i="42385"/>
  <c r="R406" i="42385"/>
  <c r="M405" i="42385"/>
  <c r="BJ459" i="42385"/>
  <c r="CX459" i="42385" s="1"/>
  <c r="CX458" i="42385"/>
  <c r="BB767" i="42385"/>
  <c r="AW774" i="42385"/>
  <c r="AW237" i="42385"/>
  <c r="AW249" i="42385" s="1"/>
  <c r="BY821" i="42385"/>
  <c r="BX84" i="42400"/>
  <c r="BX99" i="42400" s="1"/>
  <c r="B29" i="42407"/>
  <c r="B30" i="42407" s="1"/>
  <c r="CR400" i="42385"/>
  <c r="CQ751" i="42385"/>
  <c r="AA752" i="42385"/>
  <c r="CQ752" i="42385" s="1"/>
  <c r="AV489" i="42385"/>
  <c r="AV491" i="42385" s="1"/>
  <c r="AV487" i="42385"/>
  <c r="AV223" i="42385"/>
  <c r="HR658" i="42417"/>
  <c r="HR656" i="42417"/>
  <c r="HR655" i="42417" s="1"/>
  <c r="BJ546" i="42385"/>
  <c r="CX546" i="42385" s="1"/>
  <c r="DC296" i="42464"/>
  <c r="DC298" i="42464" s="1"/>
  <c r="CY271" i="42464" s="1"/>
  <c r="CX532" i="42385"/>
  <c r="BT130" i="42400"/>
  <c r="BT918" i="42385"/>
  <c r="CZ918" i="42385" s="1"/>
  <c r="BF618" i="42385"/>
  <c r="BF230" i="42385" s="1"/>
  <c r="BQ130" i="42385"/>
  <c r="BQ166" i="42385"/>
  <c r="BQ134" i="42385" s="1"/>
  <c r="DA785" i="42385"/>
  <c r="DB396" i="42385"/>
  <c r="I907" i="42385"/>
  <c r="I910" i="42385" s="1"/>
  <c r="I911" i="42385" s="1"/>
  <c r="I912" i="42385" s="1"/>
  <c r="I1138" i="42385"/>
  <c r="I1128" i="42385"/>
  <c r="BR533" i="42385"/>
  <c r="BK54" i="42385"/>
  <c r="BB1485" i="42385"/>
  <c r="BC230" i="42400"/>
  <c r="C47" i="42465"/>
  <c r="C49" i="42465" s="1"/>
  <c r="G29" i="42472"/>
  <c r="G31" i="42472" s="1"/>
  <c r="AK310" i="42385"/>
  <c r="AK314" i="42385" s="1"/>
  <c r="AK315" i="42385" s="1"/>
  <c r="CS315" i="42385" s="1"/>
  <c r="AJ23" i="42385"/>
  <c r="GJ527" i="42417"/>
  <c r="AF256" i="42385"/>
  <c r="CR256" i="42385" s="1"/>
  <c r="AD13" i="42385"/>
  <c r="AD14" i="42385" s="1"/>
  <c r="AP1118" i="42385"/>
  <c r="AO1124" i="42385"/>
  <c r="AO1552" i="42385" s="1"/>
  <c r="AQ1118" i="42385"/>
  <c r="AR1118" i="42385" s="1"/>
  <c r="AS1118" i="42385" s="1"/>
  <c r="AT1118" i="42385" s="1"/>
  <c r="BH1156" i="42385"/>
  <c r="BM1155" i="42385"/>
  <c r="M373" i="42385"/>
  <c r="M374" i="42385" s="1"/>
  <c r="M382" i="42385"/>
  <c r="BR200" i="42385"/>
  <c r="BR32" i="42385"/>
  <c r="AY1643" i="42385"/>
  <c r="CD163" i="42385"/>
  <c r="P8" i="42412"/>
  <c r="B24" i="42412"/>
  <c r="B28" i="42412"/>
  <c r="N47" i="42412" s="1"/>
  <c r="N48" i="42412" s="1"/>
  <c r="CC233" i="42400"/>
  <c r="AO284" i="42385"/>
  <c r="AO719" i="42385"/>
  <c r="AU604" i="42385"/>
  <c r="AV604" i="42385"/>
  <c r="CS1091" i="42385"/>
  <c r="AK1092" i="42385"/>
  <c r="CS1092" i="42385" s="1"/>
  <c r="AB373" i="42385"/>
  <c r="AB374" i="42385" s="1"/>
  <c r="AB382" i="42385"/>
  <c r="BC1326" i="42385"/>
  <c r="BS130" i="42385"/>
  <c r="CY1378" i="42385"/>
  <c r="BP1378" i="42385"/>
  <c r="BG1157" i="42385"/>
  <c r="BG1170" i="42385"/>
  <c r="AS650" i="42385"/>
  <c r="AX649" i="42385"/>
  <c r="W290" i="42400"/>
  <c r="W294" i="42400" s="1"/>
  <c r="Z290" i="42400"/>
  <c r="Z294" i="42400" s="1"/>
  <c r="W280" i="42400"/>
  <c r="W285" i="42400" s="1"/>
  <c r="Y280" i="42400"/>
  <c r="Y285" i="42400" s="1"/>
  <c r="CX1422" i="42385"/>
  <c r="BK1422" i="42385"/>
  <c r="BL1422" i="42385" s="1"/>
  <c r="BM1422" i="42385" s="1"/>
  <c r="BN1422" i="42385" s="1"/>
  <c r="AO117" i="42385"/>
  <c r="AP117" i="42385" s="1"/>
  <c r="CT117" i="42385" s="1"/>
  <c r="AP1287" i="42385"/>
  <c r="BP1344" i="42385"/>
  <c r="BQ1344" i="42385" s="1"/>
  <c r="BS1344" i="42385" s="1"/>
  <c r="BT1344" i="42385" s="1"/>
  <c r="CY1344" i="42385"/>
  <c r="AF11" i="42385"/>
  <c r="CR11" i="42385" s="1"/>
  <c r="AK1533" i="42385"/>
  <c r="CS1533" i="42385" s="1"/>
  <c r="E910" i="42385"/>
  <c r="E911" i="42385" s="1"/>
  <c r="BV398" i="42385"/>
  <c r="BV401" i="42385" s="1"/>
  <c r="O337" i="42385"/>
  <c r="U226" i="42400"/>
  <c r="U235" i="42400" s="1"/>
  <c r="U957" i="42385" s="1"/>
  <c r="S233" i="42400"/>
  <c r="S235" i="42400" s="1"/>
  <c r="S957" i="42385" s="1"/>
  <c r="AG28" i="42385"/>
  <c r="BY1036" i="42385"/>
  <c r="BY1038" i="42385"/>
  <c r="AF20" i="42385"/>
  <c r="CR20" i="42385" s="1"/>
  <c r="AF1011" i="42385"/>
  <c r="CR1011" i="42385" s="1"/>
  <c r="V811" i="42385"/>
  <c r="CP811" i="42385" s="1"/>
  <c r="BE510" i="42385"/>
  <c r="AS1164" i="42385"/>
  <c r="Y137" i="42400"/>
  <c r="AK10" i="42385"/>
  <c r="CS10" i="42385" s="1"/>
  <c r="AK1503" i="42385"/>
  <c r="AA1503" i="42385"/>
  <c r="CQ1503" i="42385" s="1"/>
  <c r="D1504" i="42385"/>
  <c r="AY1424" i="42385"/>
  <c r="BF1266" i="42385"/>
  <c r="AX1170" i="42385"/>
  <c r="V1008" i="42385"/>
  <c r="CP1008" i="42385" s="1"/>
  <c r="L966" i="42385"/>
  <c r="CN966" i="42385" s="1"/>
  <c r="BD702" i="42385"/>
  <c r="AJ702" i="42385"/>
  <c r="CR389" i="42385"/>
  <c r="D388" i="42385"/>
  <c r="AK357" i="42385"/>
  <c r="CS357" i="42385" s="1"/>
  <c r="CN324" i="42385"/>
  <c r="AB88" i="42385"/>
  <c r="AB1645" i="42385" s="1"/>
  <c r="W88" i="42385"/>
  <c r="Z66" i="42470"/>
  <c r="AG71" i="42417"/>
  <c r="AB48" i="42417"/>
  <c r="AB41" i="42417"/>
  <c r="HN636" i="42417"/>
  <c r="CV748" i="42385"/>
  <c r="V113" i="42385"/>
  <c r="CP113" i="42385" s="1"/>
  <c r="V1622" i="42385"/>
  <c r="CP1622" i="42385" s="1"/>
  <c r="V129" i="42385"/>
  <c r="AA129" i="42385"/>
  <c r="I51" i="42385"/>
  <c r="D65" i="42385"/>
  <c r="D75" i="42385" s="1"/>
  <c r="D77" i="42385" s="1"/>
  <c r="D54" i="42385"/>
  <c r="BQ1103" i="42385"/>
  <c r="BF234" i="42385"/>
  <c r="BF714" i="42385"/>
  <c r="BY700" i="42385"/>
  <c r="BZ700" i="42385" s="1"/>
  <c r="CA700" i="42385" s="1"/>
  <c r="CB700" i="42385" s="1"/>
  <c r="CC700" i="42385" s="1"/>
  <c r="CD700" i="42385" s="1"/>
  <c r="CE700" i="42385" s="1"/>
  <c r="CF700" i="42385" s="1"/>
  <c r="CR926" i="42385"/>
  <c r="AF927" i="42385"/>
  <c r="CR927" i="42385" s="1"/>
  <c r="BW251" i="42385"/>
  <c r="BW1067" i="42385"/>
  <c r="BZ248" i="42385"/>
  <c r="CA302" i="42385"/>
  <c r="BF1162" i="42385"/>
  <c r="BF1159" i="42385" s="1"/>
  <c r="BF1170" i="42385"/>
  <c r="BF1167" i="42385"/>
  <c r="BM137" i="42400"/>
  <c r="BM148" i="42400" s="1"/>
  <c r="BM926" i="42385" s="1"/>
  <c r="BM927" i="42385" s="1"/>
  <c r="BP1375" i="42385"/>
  <c r="AY719" i="42385"/>
  <c r="CN314" i="42385"/>
  <c r="BP535" i="42385"/>
  <c r="AU144" i="42400"/>
  <c r="U316" i="42385"/>
  <c r="AT1481" i="42385"/>
  <c r="BQ236" i="42385"/>
  <c r="BV748" i="42385"/>
  <c r="BV236" i="42385" s="1"/>
  <c r="GP498" i="42417"/>
  <c r="L1647" i="42385"/>
  <c r="CN1647" i="42385" s="1"/>
  <c r="BL294" i="42400"/>
  <c r="AE144" i="42400"/>
  <c r="AE148" i="42400" s="1"/>
  <c r="AE926" i="42385" s="1"/>
  <c r="BW1047" i="42385"/>
  <c r="AY284" i="42385"/>
  <c r="BX433" i="42385"/>
  <c r="CV640" i="42385"/>
  <c r="BG1278" i="42385"/>
  <c r="BG1301" i="42385" s="1"/>
  <c r="BG1330" i="42385" s="1"/>
  <c r="L316" i="42385"/>
  <c r="CN316" i="42385" s="1"/>
  <c r="BI148" i="42400"/>
  <c r="BI926" i="42385" s="1"/>
  <c r="BI927" i="42385" s="1"/>
  <c r="BL137" i="42400"/>
  <c r="AX226" i="42400"/>
  <c r="AJ656" i="42385"/>
  <c r="AJ657" i="42385" s="1"/>
  <c r="AO658" i="42385" s="1"/>
  <c r="AU1284" i="42385"/>
  <c r="BJ1284" i="42385"/>
  <c r="U1426" i="42385"/>
  <c r="CD226" i="42400"/>
  <c r="CA1524" i="42385"/>
  <c r="DC1524" i="42385" s="1"/>
  <c r="BS1321" i="42385"/>
  <c r="BT100" i="42385"/>
  <c r="U11" i="42403"/>
  <c r="V10" i="42403"/>
  <c r="V11" i="42403" s="1"/>
  <c r="M51" i="42443"/>
  <c r="DA784" i="42385"/>
  <c r="BZ784" i="42385"/>
  <c r="CW1319" i="42385"/>
  <c r="G51" i="42465"/>
  <c r="CC130" i="42385"/>
  <c r="CC166" i="42385"/>
  <c r="BT311" i="42385"/>
  <c r="BW275" i="42492" s="1"/>
  <c r="BW277" i="42492" s="1"/>
  <c r="BS255" i="42385"/>
  <c r="CC517" i="42385"/>
  <c r="CB1550" i="42385"/>
  <c r="BM467" i="42385"/>
  <c r="BM469" i="42385" s="1"/>
  <c r="BR462" i="42385"/>
  <c r="N259" i="42385"/>
  <c r="N128" i="42385"/>
  <c r="N1558" i="42385"/>
  <c r="AW483" i="42385"/>
  <c r="AR223" i="42385"/>
  <c r="AR9" i="42385" s="1"/>
  <c r="AR13" i="42385" s="1"/>
  <c r="BN661" i="42385"/>
  <c r="BJ661" i="42385"/>
  <c r="AZ47" i="42400"/>
  <c r="AZ40" i="42400"/>
  <c r="AY369" i="42385"/>
  <c r="AT370" i="42385"/>
  <c r="AX268" i="42385"/>
  <c r="AX441" i="42385"/>
  <c r="CQ486" i="42385"/>
  <c r="AA487" i="42385"/>
  <c r="CQ487" i="42385" s="1"/>
  <c r="BK546" i="42385"/>
  <c r="BK225" i="42385"/>
  <c r="AF114" i="42492" s="1"/>
  <c r="BK533" i="42385"/>
  <c r="BK535" i="42385"/>
  <c r="BJ40" i="42400"/>
  <c r="BJ41" i="42400"/>
  <c r="BI41" i="42400" s="1"/>
  <c r="BJ42" i="42400"/>
  <c r="BJ43" i="42400"/>
  <c r="BJ38" i="42400"/>
  <c r="BJ39" i="42400"/>
  <c r="BJ37" i="42400"/>
  <c r="AP416" i="42385"/>
  <c r="AQ416" i="42385"/>
  <c r="AO417" i="42385"/>
  <c r="DB545" i="42385"/>
  <c r="CA545" i="42385"/>
  <c r="AE671" i="42385"/>
  <c r="AE673" i="42385"/>
  <c r="AJ671" i="42385"/>
  <c r="H189" i="42385"/>
  <c r="I189" i="42385" s="1"/>
  <c r="J189" i="42385" s="1"/>
  <c r="K189" i="42385" s="1"/>
  <c r="L189" i="42385" s="1"/>
  <c r="CM189" i="42385"/>
  <c r="W163" i="42385"/>
  <c r="W131" i="42385"/>
  <c r="W165" i="42385"/>
  <c r="W166" i="42385" s="1"/>
  <c r="W134" i="42385" s="1"/>
  <c r="AU85" i="42385"/>
  <c r="CU85" i="42385" s="1"/>
  <c r="BP86" i="42385"/>
  <c r="BT86" i="42385" s="1"/>
  <c r="CZ86" i="42385" s="1"/>
  <c r="BT85" i="42385"/>
  <c r="BH95" i="42400"/>
  <c r="BH101" i="42400" s="1"/>
  <c r="BH833" i="42385" s="1"/>
  <c r="AZ221" i="42385"/>
  <c r="Z71" i="42400"/>
  <c r="Z75" i="42400" s="1"/>
  <c r="Z864" i="42385" s="1"/>
  <c r="Z861" i="42385" s="1"/>
  <c r="Z862" i="42385" s="1"/>
  <c r="S137" i="42400"/>
  <c r="S148" i="42400" s="1"/>
  <c r="S926" i="42385" s="1"/>
  <c r="J59" i="42443"/>
  <c r="AK1001" i="42385"/>
  <c r="AL1001" i="42385"/>
  <c r="AF9" i="42385"/>
  <c r="CR9" i="42385" s="1"/>
  <c r="BA65" i="42385"/>
  <c r="BA75" i="42385" s="1"/>
  <c r="BA42" i="42385"/>
  <c r="BE62" i="42385"/>
  <c r="BD85" i="42385"/>
  <c r="BO1252" i="42385"/>
  <c r="AZ285" i="42400"/>
  <c r="M235" i="42400"/>
  <c r="M957" i="42385" s="1"/>
  <c r="CX253" i="42417"/>
  <c r="BI226" i="42400"/>
  <c r="M25" i="42424"/>
  <c r="M21" i="42424" s="1"/>
  <c r="BD165" i="42417"/>
  <c r="BM187" i="42417" s="1"/>
  <c r="BM198" i="42417" s="1"/>
  <c r="C8" i="42417"/>
  <c r="E36" i="42406"/>
  <c r="T8" i="42412"/>
  <c r="T7" i="42412"/>
  <c r="AX342" i="42385"/>
  <c r="AX218" i="42385"/>
  <c r="AU433" i="42385"/>
  <c r="AT438" i="42385"/>
  <c r="AA1613" i="42385"/>
  <c r="CQ1613" i="42385" s="1"/>
  <c r="Z1614" i="42385"/>
  <c r="AA1614" i="42385" s="1"/>
  <c r="CQ1614" i="42385" s="1"/>
  <c r="AY64" i="42400"/>
  <c r="AV64" i="42400"/>
  <c r="AW63" i="42400"/>
  <c r="AY63" i="42400"/>
  <c r="CX1373" i="42385"/>
  <c r="BJ1375" i="42385"/>
  <c r="CX1375" i="42385" s="1"/>
  <c r="CA165" i="42385"/>
  <c r="DC163" i="42385"/>
  <c r="AG29" i="42385"/>
  <c r="AK20" i="42385"/>
  <c r="Y12" i="42476"/>
  <c r="AD13" i="42476" s="1"/>
  <c r="BM65" i="42385"/>
  <c r="BM75" i="42385" s="1"/>
  <c r="BM42" i="42385"/>
  <c r="L11" i="42443"/>
  <c r="AD110" i="42385"/>
  <c r="AF110" i="42385" s="1"/>
  <c r="CR110" i="42385" s="1"/>
  <c r="BL1156" i="42385"/>
  <c r="AP1575" i="42385"/>
  <c r="CT1500" i="42385"/>
  <c r="AM222" i="42400"/>
  <c r="AM226" i="42400" s="1"/>
  <c r="AM235" i="42400" s="1"/>
  <c r="AM957" i="42385" s="1"/>
  <c r="AL222" i="42400"/>
  <c r="AL226" i="42400" s="1"/>
  <c r="AO222" i="42400"/>
  <c r="AO226" i="42400" s="1"/>
  <c r="BQ507" i="42385"/>
  <c r="BQ505" i="42385"/>
  <c r="BQ224" i="42385"/>
  <c r="BC165" i="42417"/>
  <c r="B35" i="42406"/>
  <c r="B66" i="42406" s="1"/>
  <c r="C66" i="42406" s="1"/>
  <c r="D66" i="42406" s="1"/>
  <c r="E66" i="42406" s="1"/>
  <c r="AR1174" i="42385"/>
  <c r="AZ1174" i="42385"/>
  <c r="AQ1174" i="42385"/>
  <c r="FW440" i="42417"/>
  <c r="CS287" i="42385"/>
  <c r="O19" i="42443"/>
  <c r="BD140" i="42400"/>
  <c r="BB140" i="42400"/>
  <c r="AC376" i="42385"/>
  <c r="AD377" i="42385"/>
  <c r="G11" i="42406"/>
  <c r="G10" i="42406" s="1"/>
  <c r="H13" i="42406"/>
  <c r="AG118" i="42385"/>
  <c r="AK118" i="42385" s="1"/>
  <c r="CS118" i="42385" s="1"/>
  <c r="AK130" i="42385"/>
  <c r="AG165" i="42385"/>
  <c r="CY249" i="42417"/>
  <c r="CV112" i="42385"/>
  <c r="K1614" i="42385"/>
  <c r="L1614" i="42385" s="1"/>
  <c r="CN1614" i="42385" s="1"/>
  <c r="L1613" i="42385"/>
  <c r="CN1613" i="42385" s="1"/>
  <c r="N1614" i="42385"/>
  <c r="AV952" i="42385"/>
  <c r="AV245" i="42385"/>
  <c r="AZ245" i="42385" s="1"/>
  <c r="CV245" i="42385" s="1"/>
  <c r="BL133" i="42385"/>
  <c r="BL163" i="42385"/>
  <c r="BL165" i="42385" s="1"/>
  <c r="M128" i="42385"/>
  <c r="M1558" i="42385"/>
  <c r="R259" i="42385"/>
  <c r="M259" i="42385"/>
  <c r="CS242" i="42385"/>
  <c r="FS436" i="42417"/>
  <c r="BY368" i="42385"/>
  <c r="DA368" i="42385" s="1"/>
  <c r="BZ367" i="42385"/>
  <c r="DA367" i="42385"/>
  <c r="BQ27" i="42385"/>
  <c r="BQ26" i="42385"/>
  <c r="F113" i="42385"/>
  <c r="G127" i="42385"/>
  <c r="AX618" i="42385"/>
  <c r="AU618" i="42385"/>
  <c r="X47" i="42417"/>
  <c r="Y47" i="42417" s="1"/>
  <c r="CR236" i="42385"/>
  <c r="O376" i="42385"/>
  <c r="P377" i="42385"/>
  <c r="BS1623" i="42385"/>
  <c r="BT1623" i="42385" s="1"/>
  <c r="CZ1623" i="42385" s="1"/>
  <c r="AV247" i="42385"/>
  <c r="AV1014" i="42385"/>
  <c r="BP166" i="42385"/>
  <c r="BP134" i="42385" s="1"/>
  <c r="BP130" i="42385"/>
  <c r="AO920" i="42385"/>
  <c r="AO921" i="42385" s="1"/>
  <c r="AT919" i="42385"/>
  <c r="AT920" i="42385" s="1"/>
  <c r="AY921" i="42385" s="1"/>
  <c r="AO591" i="42385"/>
  <c r="AP590" i="42385"/>
  <c r="CT590" i="42385" s="1"/>
  <c r="AT590" i="42385"/>
  <c r="E41" i="42405"/>
  <c r="F35" i="42405"/>
  <c r="I235" i="42400"/>
  <c r="I957" i="42385" s="1"/>
  <c r="AT50" i="42385"/>
  <c r="AT54" i="42385" s="1"/>
  <c r="AN78" i="42385"/>
  <c r="Z45" i="42400"/>
  <c r="Z51" i="42400" s="1"/>
  <c r="Z802" i="42385" s="1"/>
  <c r="X45" i="42400"/>
  <c r="X51" i="42400" s="1"/>
  <c r="X802" i="42385" s="1"/>
  <c r="K226" i="42400"/>
  <c r="K235" i="42400" s="1"/>
  <c r="K957" i="42385" s="1"/>
  <c r="AF19" i="42385"/>
  <c r="CR19" i="42385" s="1"/>
  <c r="BG1237" i="42385"/>
  <c r="BH1237" i="42385" s="1"/>
  <c r="BL1326" i="42385"/>
  <c r="BM1324" i="42385"/>
  <c r="BA952" i="42385"/>
  <c r="P137" i="42400"/>
  <c r="P148" i="42400" s="1"/>
  <c r="P926" i="42385" s="1"/>
  <c r="AK230" i="42400"/>
  <c r="AK229" i="42400"/>
  <c r="AK231" i="42400"/>
  <c r="BG242" i="42385"/>
  <c r="BG249" i="42385" s="1"/>
  <c r="BL859" i="42385"/>
  <c r="P1554" i="42385"/>
  <c r="Q1554" i="42385" s="1"/>
  <c r="CO1554" i="42385" s="1"/>
  <c r="X1554" i="42385"/>
  <c r="BP1491" i="42385"/>
  <c r="BT1491" i="42385" s="1"/>
  <c r="AK935" i="42385"/>
  <c r="CS935" i="42385" s="1"/>
  <c r="BY109" i="42385"/>
  <c r="DA109" i="42385" s="1"/>
  <c r="AC88" i="42385"/>
  <c r="CW59" i="42385"/>
  <c r="DW322" i="42417"/>
  <c r="AT87" i="42417"/>
  <c r="AW87" i="42417" s="1"/>
  <c r="BE1611" i="42385"/>
  <c r="CW1611" i="42385" s="1"/>
  <c r="L1543" i="42385"/>
  <c r="CN1543" i="42385" s="1"/>
  <c r="Y1554" i="42385"/>
  <c r="AM721" i="42385"/>
  <c r="AE347" i="42385"/>
  <c r="BJ247" i="42385"/>
  <c r="CX247" i="42385" s="1"/>
  <c r="BY53" i="42385"/>
  <c r="DA53" i="42385" s="1"/>
  <c r="J194" i="42400"/>
  <c r="J1019" i="42385" s="1"/>
  <c r="AF1613" i="42385"/>
  <c r="CR1613" i="42385" s="1"/>
  <c r="AT131" i="42385"/>
  <c r="AE85" i="42385"/>
  <c r="AJ73" i="42417"/>
  <c r="H194" i="42400"/>
  <c r="H1019" i="42385" s="1"/>
  <c r="D194" i="42400"/>
  <c r="D1019" i="42385" s="1"/>
  <c r="U194" i="42400"/>
  <c r="U1019" i="42385" s="1"/>
  <c r="M93" i="42400"/>
  <c r="BP1590" i="42385"/>
  <c r="BQ1590" i="42385" s="1"/>
  <c r="BR1590" i="42385" s="1"/>
  <c r="BS1590" i="42385" s="1"/>
  <c r="BT1590" i="42385" s="1"/>
  <c r="CY1590" i="42385"/>
  <c r="BX982" i="42385"/>
  <c r="CT479" i="42385"/>
  <c r="AQ479" i="42385"/>
  <c r="AR479" i="42385" s="1"/>
  <c r="AS479" i="42385" s="1"/>
  <c r="AT479" i="42385" s="1"/>
  <c r="AU479" i="42385" s="1"/>
  <c r="AQ1083" i="42385"/>
  <c r="BH757" i="42385"/>
  <c r="BH286" i="42385"/>
  <c r="C30" i="42412"/>
  <c r="BP576" i="42385"/>
  <c r="BO576" i="42385"/>
  <c r="BE1111" i="42385"/>
  <c r="BD1115" i="42385"/>
  <c r="BD312" i="42385" s="1"/>
  <c r="BD313" i="42385" s="1"/>
  <c r="BI1111" i="42385"/>
  <c r="BH696" i="42385"/>
  <c r="BM697" i="42385"/>
  <c r="BQ543" i="42385"/>
  <c r="BQ547" i="42385"/>
  <c r="BC985" i="42385"/>
  <c r="AZ985" i="42385"/>
  <c r="AX986" i="42385"/>
  <c r="AY986" i="42385"/>
  <c r="BD985" i="42385"/>
  <c r="BI249" i="42385"/>
  <c r="BR1380" i="42385"/>
  <c r="BQ1480" i="42385"/>
  <c r="BI676" i="42385"/>
  <c r="BI233" i="42385"/>
  <c r="BQ1115" i="42385"/>
  <c r="BQ312" i="42385" s="1"/>
  <c r="BQ313" i="42385" s="1"/>
  <c r="BV1110" i="42385"/>
  <c r="AT1538" i="42385"/>
  <c r="AU1538" i="42385" s="1"/>
  <c r="CU1538" i="42385" s="1"/>
  <c r="CP130" i="42385"/>
  <c r="V131" i="42385"/>
  <c r="V165" i="42385"/>
  <c r="BY667" i="42385"/>
  <c r="BI767" i="42385"/>
  <c r="BD237" i="42385"/>
  <c r="BD238" i="42385" s="1"/>
  <c r="R77" i="42385"/>
  <c r="R1514" i="42385"/>
  <c r="BI719" i="42385"/>
  <c r="BI718" i="42385"/>
  <c r="CT1355" i="42385"/>
  <c r="AQ1355" i="42385"/>
  <c r="AR1355" i="42385" s="1"/>
  <c r="J75" i="42385"/>
  <c r="AW1089" i="42385"/>
  <c r="AW1088" i="42385" s="1"/>
  <c r="AV1088" i="42385"/>
  <c r="BB647" i="42385"/>
  <c r="BB644" i="42385"/>
  <c r="BG471" i="42385"/>
  <c r="BG269" i="42385"/>
  <c r="BQ1648" i="42385"/>
  <c r="BQ1641" i="42385" s="1"/>
  <c r="BQ92" i="42385"/>
  <c r="BQ983" i="42385"/>
  <c r="BL246" i="42385"/>
  <c r="BL249" i="42385" s="1"/>
  <c r="BW1388" i="42385"/>
  <c r="CW1399" i="42385"/>
  <c r="BF1399" i="42385"/>
  <c r="BZ664" i="42385"/>
  <c r="BY665" i="42385"/>
  <c r="BQ106" i="42385"/>
  <c r="BQ1620" i="42385"/>
  <c r="BQ93" i="42385"/>
  <c r="BG106" i="42385"/>
  <c r="BG114" i="42385" s="1"/>
  <c r="BG120" i="42385" s="1"/>
  <c r="BG93" i="42385"/>
  <c r="CU245" i="42385"/>
  <c r="CU647" i="42385"/>
  <c r="AU648" i="42385"/>
  <c r="CU648" i="42385" s="1"/>
  <c r="BI714" i="42385"/>
  <c r="BF64" i="42418"/>
  <c r="BF65" i="42418" s="1"/>
  <c r="BN710" i="42385"/>
  <c r="BI234" i="42385"/>
  <c r="BB284" i="42385"/>
  <c r="CT1115" i="42385"/>
  <c r="AP1116" i="42385"/>
  <c r="CT1116" i="42385" s="1"/>
  <c r="AU1116" i="42385"/>
  <c r="CU1116" i="42385" s="1"/>
  <c r="AP270" i="42385"/>
  <c r="BR93" i="42400"/>
  <c r="BP93" i="42400"/>
  <c r="BQ87" i="42400"/>
  <c r="BS87" i="42400"/>
  <c r="BP87" i="42400"/>
  <c r="BB714" i="42385"/>
  <c r="BE713" i="42385"/>
  <c r="BG713" i="42385"/>
  <c r="BS289" i="42400"/>
  <c r="BT294" i="42400"/>
  <c r="BQ289" i="42400"/>
  <c r="BU1361" i="42385"/>
  <c r="BV1361" i="42385" s="1"/>
  <c r="BW1361" i="42385" s="1"/>
  <c r="BX1361" i="42385" s="1"/>
  <c r="BY1361" i="42385" s="1"/>
  <c r="CZ1361" i="42385"/>
  <c r="BB1174" i="42385"/>
  <c r="BA1175" i="42385"/>
  <c r="BL89" i="42400"/>
  <c r="BK89" i="42400"/>
  <c r="BN89" i="42400"/>
  <c r="BM89" i="42400"/>
  <c r="BD280" i="42400"/>
  <c r="BD285" i="42400" s="1"/>
  <c r="BC280" i="42400"/>
  <c r="BB280" i="42400"/>
  <c r="AT289" i="42400"/>
  <c r="AQ289" i="42400"/>
  <c r="AS289" i="42400"/>
  <c r="AU294" i="42400"/>
  <c r="AR289" i="42400"/>
  <c r="AS134" i="42400"/>
  <c r="AS137" i="42400" s="1"/>
  <c r="AR134" i="42400"/>
  <c r="AR137" i="42400" s="1"/>
  <c r="AQ134" i="42400"/>
  <c r="AQ137" i="42400" s="1"/>
  <c r="AT134" i="42400"/>
  <c r="AT137" i="42400" s="1"/>
  <c r="J19" i="42472"/>
  <c r="J22" i="42472" s="1"/>
  <c r="BA1480" i="42385"/>
  <c r="BA1563" i="42385"/>
  <c r="BA1402" i="42385"/>
  <c r="BR77" i="42385"/>
  <c r="BR1514" i="42385"/>
  <c r="AE1300" i="42385"/>
  <c r="AF1300" i="42385" s="1"/>
  <c r="CR1300" i="42385" s="1"/>
  <c r="AD115" i="42385"/>
  <c r="CQ241" i="42385"/>
  <c r="AA258" i="42385"/>
  <c r="CQ301" i="42385"/>
  <c r="AA305" i="42385"/>
  <c r="AA314" i="42385" s="1"/>
  <c r="AF315" i="42385" s="1"/>
  <c r="CR315" i="42385" s="1"/>
  <c r="L5" i="42470"/>
  <c r="CW227" i="42385"/>
  <c r="J201" i="42385"/>
  <c r="K201" i="42385"/>
  <c r="K206" i="42385" s="1"/>
  <c r="AV1162" i="42385"/>
  <c r="AV1159" i="42385"/>
  <c r="DB883" i="42385"/>
  <c r="CA883" i="42385"/>
  <c r="BZ884" i="42385"/>
  <c r="DB884" i="42385" s="1"/>
  <c r="BZ276" i="42400"/>
  <c r="BZ296" i="42400" s="1"/>
  <c r="DC312" i="42464"/>
  <c r="DC314" i="42464" s="1"/>
  <c r="CY262" i="42464" s="1"/>
  <c r="G354" i="42385"/>
  <c r="CM354" i="42385" s="1"/>
  <c r="BA294" i="42400"/>
  <c r="BA298" i="42400" s="1"/>
  <c r="BA895" i="42385" s="1"/>
  <c r="AD294" i="42400"/>
  <c r="W201" i="42385"/>
  <c r="W207" i="42385" s="1"/>
  <c r="AX248" i="42424"/>
  <c r="AX250" i="42424" s="1"/>
  <c r="AX252" i="42424" s="1"/>
  <c r="AI315" i="42385"/>
  <c r="AI316" i="42385"/>
  <c r="BE539" i="42385"/>
  <c r="CW539" i="42385" s="1"/>
  <c r="CW538" i="42385"/>
  <c r="BB771" i="42385"/>
  <c r="BB774" i="42385"/>
  <c r="BB237" i="42385"/>
  <c r="BG767" i="42385"/>
  <c r="BO460" i="42385"/>
  <c r="CY460" i="42385" s="1"/>
  <c r="BJ460" i="42385"/>
  <c r="CX460" i="42385" s="1"/>
  <c r="CV130" i="42385"/>
  <c r="AZ118" i="42385"/>
  <c r="AZ131" i="42385"/>
  <c r="BO27" i="42385"/>
  <c r="CY27" i="42385" s="1"/>
  <c r="CY24" i="42385"/>
  <c r="BC710" i="42385"/>
  <c r="BE710" i="42385" s="1"/>
  <c r="AX717" i="42385"/>
  <c r="AX234" i="42385"/>
  <c r="AZ234" i="42385" s="1"/>
  <c r="AX714" i="42385"/>
  <c r="AP718" i="42385"/>
  <c r="CT718" i="42385" s="1"/>
  <c r="CT717" i="42385"/>
  <c r="AP719" i="42385"/>
  <c r="CT719" i="42385" s="1"/>
  <c r="BJ434" i="42385"/>
  <c r="CX434" i="42385" s="1"/>
  <c r="BI131" i="42385"/>
  <c r="T207" i="42385"/>
  <c r="AU650" i="42385"/>
  <c r="CU650" i="42385" s="1"/>
  <c r="AU641" i="42385"/>
  <c r="CU641" i="42385" s="1"/>
  <c r="BM290" i="42400"/>
  <c r="BM294" i="42400" s="1"/>
  <c r="BK290" i="42400"/>
  <c r="AY92" i="42400"/>
  <c r="AV92" i="42400"/>
  <c r="BI291" i="42400"/>
  <c r="BH291" i="42400"/>
  <c r="BH294" i="42400" s="1"/>
  <c r="BQ281" i="42400"/>
  <c r="BK281" i="42400"/>
  <c r="BP281" i="42400"/>
  <c r="BI281" i="42400"/>
  <c r="BJ285" i="42400"/>
  <c r="BJ298" i="42400" s="1"/>
  <c r="BJ895" i="42385" s="1"/>
  <c r="BS281" i="42400"/>
  <c r="BF281" i="42400"/>
  <c r="BR281" i="42400"/>
  <c r="BM281" i="42400"/>
  <c r="BN281" i="42400"/>
  <c r="BH66" i="42400"/>
  <c r="BI66" i="42400"/>
  <c r="G746" i="42385"/>
  <c r="CM746" i="42385" s="1"/>
  <c r="BM507" i="42385"/>
  <c r="BR509" i="42385" s="1"/>
  <c r="BO504" i="42385"/>
  <c r="BM505" i="42385"/>
  <c r="AI676" i="42385"/>
  <c r="AI693" i="42385"/>
  <c r="AI695" i="42385" s="1"/>
  <c r="AI696" i="42385" s="1"/>
  <c r="AN676" i="42385"/>
  <c r="AT288" i="42400"/>
  <c r="AS288" i="42400"/>
  <c r="BC89" i="42400"/>
  <c r="BA89" i="42400"/>
  <c r="BE95" i="42400"/>
  <c r="BE101" i="42400" s="1"/>
  <c r="BE833" i="42385" s="1"/>
  <c r="CW833" i="42385" s="1"/>
  <c r="BA92" i="42400"/>
  <c r="BD92" i="42400"/>
  <c r="BC92" i="42400"/>
  <c r="AV163" i="42400"/>
  <c r="AZ165" i="42400"/>
  <c r="AJ39" i="42400"/>
  <c r="AI39" i="42400"/>
  <c r="AH39" i="42400"/>
  <c r="BB279" i="42400"/>
  <c r="BE285" i="42400"/>
  <c r="BE298" i="42400" s="1"/>
  <c r="BE895" i="42385" s="1"/>
  <c r="BC279" i="42400"/>
  <c r="AB64" i="42400"/>
  <c r="AD64" i="42400"/>
  <c r="AD71" i="42400" s="1"/>
  <c r="AD75" i="42400" s="1"/>
  <c r="AD864" i="42385" s="1"/>
  <c r="AD870" i="42385" s="1"/>
  <c r="AC64" i="42400"/>
  <c r="BS67" i="42400"/>
  <c r="AU858" i="42385"/>
  <c r="AW859" i="42385"/>
  <c r="CX273" i="42464"/>
  <c r="CX277" i="42464" s="1"/>
  <c r="CX279" i="42464" s="1"/>
  <c r="AH52" i="42385"/>
  <c r="BB294" i="42400"/>
  <c r="BJ165" i="42400"/>
  <c r="CV48" i="42385"/>
  <c r="AZ53" i="42385"/>
  <c r="N283" i="42400"/>
  <c r="N285" i="42400" s="1"/>
  <c r="P283" i="42400"/>
  <c r="P285" i="42400" s="1"/>
  <c r="X932" i="42385"/>
  <c r="X923" i="42385"/>
  <c r="X924" i="42385" s="1"/>
  <c r="AN599" i="42385"/>
  <c r="AR1579" i="42385"/>
  <c r="AQ1579" i="42385"/>
  <c r="AO1579" i="42385"/>
  <c r="AP1579" i="42385" s="1"/>
  <c r="CT1579" i="42385" s="1"/>
  <c r="DC396" i="42385"/>
  <c r="F66" i="42443"/>
  <c r="L753" i="42385"/>
  <c r="CN753" i="42385" s="1"/>
  <c r="CM751" i="42385"/>
  <c r="CE235" i="42400"/>
  <c r="AD40" i="42400"/>
  <c r="AC40" i="42400"/>
  <c r="AE40" i="42400"/>
  <c r="BB142" i="42400"/>
  <c r="BA142" i="42400"/>
  <c r="BA144" i="42400" s="1"/>
  <c r="BA148" i="42400" s="1"/>
  <c r="BA926" i="42385" s="1"/>
  <c r="BA927" i="42385" s="1"/>
  <c r="AX283" i="42400"/>
  <c r="AW283" i="42400"/>
  <c r="AV283" i="42400"/>
  <c r="AC292" i="42400"/>
  <c r="AB292" i="42400"/>
  <c r="AE292" i="42400"/>
  <c r="AE279" i="42400"/>
  <c r="AD279" i="42400"/>
  <c r="AD285" i="42400" s="1"/>
  <c r="AF285" i="42400"/>
  <c r="AC279" i="42400"/>
  <c r="AC285" i="42400" s="1"/>
  <c r="E314" i="42385"/>
  <c r="J315" i="42385" s="1"/>
  <c r="AA298" i="42400"/>
  <c r="AA895" i="42385" s="1"/>
  <c r="BU226" i="42400"/>
  <c r="J1426" i="42385"/>
  <c r="BT242" i="42385"/>
  <c r="AQ282" i="42400"/>
  <c r="AW280" i="42400"/>
  <c r="AX162" i="42400"/>
  <c r="AX165" i="42400" s="1"/>
  <c r="BA226" i="42400"/>
  <c r="M148" i="42400"/>
  <c r="M926" i="42385" s="1"/>
  <c r="B20" i="42405"/>
  <c r="B21" i="42405" s="1"/>
  <c r="J817" i="42385"/>
  <c r="AR1613" i="42385"/>
  <c r="K1623" i="42385"/>
  <c r="L1623" i="42385" s="1"/>
  <c r="CN1623" i="42385" s="1"/>
  <c r="BM203" i="42492"/>
  <c r="BM202" i="42492"/>
  <c r="GM494" i="42417"/>
  <c r="BR643" i="42385"/>
  <c r="BV1206" i="42385"/>
  <c r="BV1203" i="42385"/>
  <c r="BV1224" i="42385" s="1"/>
  <c r="BO437" i="42385"/>
  <c r="CY436" i="42385"/>
  <c r="AB314" i="42385"/>
  <c r="AR248" i="42424" s="1"/>
  <c r="AR250" i="42424" s="1"/>
  <c r="O314" i="42385"/>
  <c r="AJ144" i="42400"/>
  <c r="AH1415" i="42385"/>
  <c r="AG1421" i="42385"/>
  <c r="AG1424" i="42385" s="1"/>
  <c r="CA785" i="42385"/>
  <c r="DB785" i="42385"/>
  <c r="AS935" i="42385"/>
  <c r="AT934" i="42385"/>
  <c r="BG547" i="42385"/>
  <c r="BG272" i="42385"/>
  <c r="H848" i="42385"/>
  <c r="I848" i="42385"/>
  <c r="I849" i="42385" s="1"/>
  <c r="H941" i="42385"/>
  <c r="I941" i="42385"/>
  <c r="I942" i="42385" s="1"/>
  <c r="I943" i="42385" s="1"/>
  <c r="BD467" i="42385"/>
  <c r="BD469" i="42385" s="1"/>
  <c r="BD463" i="42385"/>
  <c r="BI462" i="42385"/>
  <c r="AA43" i="42443"/>
  <c r="AF43" i="42443"/>
  <c r="AD654" i="42385"/>
  <c r="AC653" i="42385"/>
  <c r="BH231" i="42400"/>
  <c r="BH233" i="42400" s="1"/>
  <c r="BF231" i="42400"/>
  <c r="BF233" i="42400" s="1"/>
  <c r="BI231" i="42400"/>
  <c r="BI233" i="42400" s="1"/>
  <c r="BI235" i="42400" s="1"/>
  <c r="BD223" i="42400"/>
  <c r="BD226" i="42400" s="1"/>
  <c r="BB223" i="42400"/>
  <c r="BB226" i="42400" s="1"/>
  <c r="BC223" i="42400"/>
  <c r="BC226" i="42400" s="1"/>
  <c r="BE226" i="42400"/>
  <c r="AC222" i="42400"/>
  <c r="AC226" i="42400" s="1"/>
  <c r="AF226" i="42400"/>
  <c r="AE222" i="42400"/>
  <c r="AB222" i="42400"/>
  <c r="AB226" i="42400" s="1"/>
  <c r="AV43" i="42400"/>
  <c r="AW43" i="42400"/>
  <c r="AP1543" i="42385"/>
  <c r="CT1543" i="42385" s="1"/>
  <c r="BR233" i="42400"/>
  <c r="AK75" i="42400"/>
  <c r="AK864" i="42385" s="1"/>
  <c r="AK870" i="42385" s="1"/>
  <c r="CS870" i="42385" s="1"/>
  <c r="AB290" i="42400"/>
  <c r="W1504" i="42385"/>
  <c r="BV1240" i="42385"/>
  <c r="BW1239" i="42385"/>
  <c r="BS1489" i="42385"/>
  <c r="BT1489" i="42385" s="1"/>
  <c r="BT1389" i="42385"/>
  <c r="BT161" i="42400"/>
  <c r="BT163" i="42400"/>
  <c r="BT162" i="42400"/>
  <c r="BT155" i="42400"/>
  <c r="BC1486" i="42385"/>
  <c r="BD1386" i="42385"/>
  <c r="BE1386" i="42385" s="1"/>
  <c r="X59" i="42443"/>
  <c r="AC59" i="42443"/>
  <c r="Y43" i="42443"/>
  <c r="T43" i="42443"/>
  <c r="Q1092" i="42385"/>
  <c r="CO1092" i="42385" s="1"/>
  <c r="CO1091" i="42385"/>
  <c r="Q1093" i="42385"/>
  <c r="CO1093" i="42385" s="1"/>
  <c r="C21" i="42472"/>
  <c r="CM1411" i="42385"/>
  <c r="BC1162" i="42385"/>
  <c r="BE1162" i="42385" s="1"/>
  <c r="CW1162" i="42385" s="1"/>
  <c r="BC1157" i="42385"/>
  <c r="BC1170" i="42385"/>
  <c r="BH1157" i="42385"/>
  <c r="BI1156" i="42385"/>
  <c r="BN1155" i="42385"/>
  <c r="AJ117" i="42385"/>
  <c r="AK117" i="42385" s="1"/>
  <c r="CS117" i="42385" s="1"/>
  <c r="AK1287" i="42385"/>
  <c r="AY1308" i="42385"/>
  <c r="AZ1308" i="42385" s="1"/>
  <c r="AX1314" i="42385"/>
  <c r="BN1325" i="42385"/>
  <c r="E25" i="42465"/>
  <c r="CU1351" i="42385"/>
  <c r="F31" i="42465"/>
  <c r="CV1371" i="42385"/>
  <c r="AZ1375" i="42385"/>
  <c r="BA1482" i="42385"/>
  <c r="BB1382" i="42385"/>
  <c r="CV1409" i="42385"/>
  <c r="AZ1411" i="42385"/>
  <c r="CR1411" i="42385"/>
  <c r="B32" i="42465"/>
  <c r="H21" i="42472"/>
  <c r="BG159" i="42385"/>
  <c r="CW5" i="42385"/>
  <c r="BE657" i="42385"/>
  <c r="G88" i="42385"/>
  <c r="CM85" i="42385"/>
  <c r="AM14" i="42385"/>
  <c r="AM43" i="42385" s="1"/>
  <c r="AM30" i="42385"/>
  <c r="BX275" i="42400"/>
  <c r="BY886" i="42385"/>
  <c r="BX888" i="42385"/>
  <c r="BX889" i="42385" s="1"/>
  <c r="BY889" i="42385" s="1"/>
  <c r="CU1019" i="42385"/>
  <c r="AU1020" i="42385"/>
  <c r="CU1020" i="42385" s="1"/>
  <c r="Q235" i="42400"/>
  <c r="Q957" i="42385" s="1"/>
  <c r="R235" i="42400"/>
  <c r="R957" i="42385" s="1"/>
  <c r="T233" i="42400"/>
  <c r="T235" i="42400" s="1"/>
  <c r="T957" i="42385" s="1"/>
  <c r="J910" i="42385"/>
  <c r="I1003" i="42385"/>
  <c r="BH223" i="42400"/>
  <c r="BH226" i="42400" s="1"/>
  <c r="BG223" i="42400"/>
  <c r="BL225" i="42385"/>
  <c r="BO225" i="42385" s="1"/>
  <c r="BO532" i="42385"/>
  <c r="BL533" i="42385"/>
  <c r="BA986" i="42385"/>
  <c r="BA996" i="42385"/>
  <c r="CN85" i="42385"/>
  <c r="L88" i="42385"/>
  <c r="FS437" i="42417"/>
  <c r="CS234" i="42385"/>
  <c r="BE797" i="42385"/>
  <c r="CW797" i="42385" s="1"/>
  <c r="AZ795" i="42385"/>
  <c r="CV795" i="42385" s="1"/>
  <c r="AV996" i="42385"/>
  <c r="AV983" i="42385"/>
  <c r="AI1324" i="42385"/>
  <c r="AH1326" i="42385"/>
  <c r="AQ1504" i="42385"/>
  <c r="W95" i="42400"/>
  <c r="W101" i="42400" s="1"/>
  <c r="W833" i="42385" s="1"/>
  <c r="K845" i="42385"/>
  <c r="AD35" i="42443"/>
  <c r="Y35" i="42443"/>
  <c r="V80" i="42476"/>
  <c r="CX68" i="42385"/>
  <c r="N10" i="42472"/>
  <c r="AU83" i="42385"/>
  <c r="CU48" i="42385"/>
  <c r="BP65" i="42385"/>
  <c r="BP75" i="42385" s="1"/>
  <c r="AB12" i="42476"/>
  <c r="AB13" i="42476" s="1"/>
  <c r="Z1622" i="42385"/>
  <c r="Z130" i="42385"/>
  <c r="Z113" i="42385"/>
  <c r="AY127" i="42385"/>
  <c r="AY118" i="42385"/>
  <c r="AV268" i="42385"/>
  <c r="AZ268" i="42385" s="1"/>
  <c r="AV441" i="42385"/>
  <c r="CT710" i="42385"/>
  <c r="AP711" i="42385"/>
  <c r="CT711" i="42385" s="1"/>
  <c r="AP768" i="42385"/>
  <c r="CT768" i="42385" s="1"/>
  <c r="CT767" i="42385"/>
  <c r="AP778" i="42385"/>
  <c r="CT778" i="42385" s="1"/>
  <c r="BX83" i="42400"/>
  <c r="BX97" i="42400" s="1"/>
  <c r="BY824" i="42385"/>
  <c r="BN241" i="42385"/>
  <c r="BO241" i="42385" s="1"/>
  <c r="BO827" i="42385"/>
  <c r="BM533" i="42385"/>
  <c r="BM535" i="42385"/>
  <c r="AP889" i="42385"/>
  <c r="AN904" i="42385"/>
  <c r="BT980" i="42385"/>
  <c r="CZ980" i="42385" s="1"/>
  <c r="CZ979" i="42385"/>
  <c r="AP130" i="42385"/>
  <c r="AL133" i="42385"/>
  <c r="AP133" i="42385" s="1"/>
  <c r="CT133" i="42385" s="1"/>
  <c r="CR333" i="42385"/>
  <c r="AK337" i="42385"/>
  <c r="F71" i="42400"/>
  <c r="F75" i="42400" s="1"/>
  <c r="F864" i="42385" s="1"/>
  <c r="Z226" i="42400"/>
  <c r="Z235" i="42400" s="1"/>
  <c r="Z957" i="42385" s="1"/>
  <c r="BI656" i="42385"/>
  <c r="BI657" i="42385" s="1"/>
  <c r="AA11" i="42443"/>
  <c r="V11" i="42443"/>
  <c r="BJ15" i="42385"/>
  <c r="CX15" i="42385" s="1"/>
  <c r="CX14" i="42385"/>
  <c r="V25" i="42476"/>
  <c r="AA25" i="42476"/>
  <c r="X41" i="42417"/>
  <c r="Y41" i="42417" s="1"/>
  <c r="CR220" i="42385"/>
  <c r="AD1622" i="42385"/>
  <c r="AD129" i="42385"/>
  <c r="AD113" i="42385"/>
  <c r="AO165" i="42385"/>
  <c r="AP137" i="42385"/>
  <c r="CT137" i="42385" s="1"/>
  <c r="AN219" i="42385"/>
  <c r="AN371" i="42385"/>
  <c r="BC640" i="42385"/>
  <c r="AX647" i="42385"/>
  <c r="BY395" i="42385"/>
  <c r="BX398" i="42385"/>
  <c r="BX401" i="42385" s="1"/>
  <c r="Z408" i="42385"/>
  <c r="Y407" i="42385"/>
  <c r="Z1575" i="42385"/>
  <c r="Z1577" i="42385" s="1"/>
  <c r="Z1504" i="42385"/>
  <c r="W50" i="42417"/>
  <c r="Y50" i="42417" s="1"/>
  <c r="CP219" i="42385"/>
  <c r="DA793" i="42385"/>
  <c r="BY33" i="42400"/>
  <c r="IK743" i="42417"/>
  <c r="IK745" i="42417" s="1"/>
  <c r="AL1436" i="42385"/>
  <c r="AM1436" i="42385" s="1"/>
  <c r="AN1436" i="42385" s="1"/>
  <c r="AO1436" i="42385" s="1"/>
  <c r="AP1436" i="42385" s="1"/>
  <c r="CS1436" i="42385"/>
  <c r="CZ1422" i="42385"/>
  <c r="BU1422" i="42385"/>
  <c r="BV1422" i="42385" s="1"/>
  <c r="BW1422" i="42385" s="1"/>
  <c r="BX1422" i="42385" s="1"/>
  <c r="BY1422" i="42385"/>
  <c r="DC1271" i="42385"/>
  <c r="CB1271" i="42385"/>
  <c r="CC1271" i="42385" s="1"/>
  <c r="CD1271" i="42385" s="1"/>
  <c r="CE1271" i="42385" s="1"/>
  <c r="CF1271" i="42385" s="1"/>
  <c r="Y66" i="42443"/>
  <c r="BX226" i="42400"/>
  <c r="E43" i="42405"/>
  <c r="E44" i="42405" s="1"/>
  <c r="E54" i="42405" s="1"/>
  <c r="E52" i="42405" s="1"/>
  <c r="E50" i="42405"/>
  <c r="BR342" i="42385"/>
  <c r="BR218" i="42385"/>
  <c r="BX791" i="42385"/>
  <c r="W10" i="42403"/>
  <c r="AF1284" i="42385"/>
  <c r="CR1284" i="42385" s="1"/>
  <c r="AP920" i="42385"/>
  <c r="DB1271" i="42385"/>
  <c r="BA245" i="42385"/>
  <c r="BP1422" i="42385"/>
  <c r="BQ1422" i="42385" s="1"/>
  <c r="BR1422" i="42385" s="1"/>
  <c r="BS1422" i="42385" s="1"/>
  <c r="W6" i="42412"/>
  <c r="AZ50" i="42418"/>
  <c r="BF51" i="42418" s="1"/>
  <c r="Y7" i="42412"/>
  <c r="BF547" i="42385"/>
  <c r="V1577" i="42385"/>
  <c r="CP1577" i="42385" s="1"/>
  <c r="CU1411" i="42385"/>
  <c r="BD156" i="42400"/>
  <c r="AX65" i="42400"/>
  <c r="AB1614" i="42385"/>
  <c r="BE1414" i="42385"/>
  <c r="AK1093" i="42385"/>
  <c r="CS1093" i="42385" s="1"/>
  <c r="F18" i="42406"/>
  <c r="E34" i="42405"/>
  <c r="E37" i="42405" s="1"/>
  <c r="B8" i="42417"/>
  <c r="N382" i="42385"/>
  <c r="BA1280" i="42385"/>
  <c r="BF107" i="42385"/>
  <c r="T1504" i="42385"/>
  <c r="AV107" i="42385"/>
  <c r="Z42" i="42476"/>
  <c r="BN202" i="42385"/>
  <c r="BL1489" i="42385"/>
  <c r="BO1489" i="42385" s="1"/>
  <c r="BB1553" i="42385"/>
  <c r="BB1266" i="42385"/>
  <c r="BE1262" i="42385"/>
  <c r="BD1493" i="42385"/>
  <c r="CM1565" i="42385"/>
  <c r="G1661" i="42385"/>
  <c r="BN1384" i="42385"/>
  <c r="BM1484" i="42385"/>
  <c r="CS1384" i="42385"/>
  <c r="AL1484" i="42385"/>
  <c r="AP1484" i="42385" s="1"/>
  <c r="CT1484" i="42385" s="1"/>
  <c r="AR1402" i="42385"/>
  <c r="AR1563" i="42385"/>
  <c r="AR1593" i="42385" s="1"/>
  <c r="BC995" i="42385"/>
  <c r="BB1549" i="42385"/>
  <c r="AO810" i="42385"/>
  <c r="AN1531" i="42385"/>
  <c r="Q775" i="42385"/>
  <c r="CO775" i="42385" s="1"/>
  <c r="AG27" i="42476"/>
  <c r="AG28" i="42476" s="1"/>
  <c r="CY1422" i="42385"/>
  <c r="BK618" i="42385"/>
  <c r="AO1028" i="42385"/>
  <c r="AT777" i="42385"/>
  <c r="AD1614" i="42385"/>
  <c r="DC552" i="42385"/>
  <c r="AW65" i="42400"/>
  <c r="AC1614" i="42385"/>
  <c r="GM491" i="42417"/>
  <c r="AQ1280" i="42385"/>
  <c r="AU1280" i="42385" s="1"/>
  <c r="AZ1500" i="42385"/>
  <c r="AZ1575" i="42385" s="1"/>
  <c r="AV1557" i="42385"/>
  <c r="W1497" i="42385"/>
  <c r="AA1497" i="42385" s="1"/>
  <c r="CQ1497" i="42385" s="1"/>
  <c r="CP1399" i="42385"/>
  <c r="CP1565" i="42385"/>
  <c r="V1661" i="42385"/>
  <c r="CZ852" i="42385"/>
  <c r="AF10" i="42385"/>
  <c r="CR10" i="42385" s="1"/>
  <c r="AQ107" i="42385"/>
  <c r="CT248" i="42417" s="1"/>
  <c r="AC1554" i="42385"/>
  <c r="AF1554" i="42385" s="1"/>
  <c r="CR1554" i="42385" s="1"/>
  <c r="BR1457" i="42385"/>
  <c r="BQ1488" i="42385"/>
  <c r="CM1377" i="42385"/>
  <c r="H1476" i="42385"/>
  <c r="BJ1321" i="42385"/>
  <c r="BI1643" i="42385"/>
  <c r="AU1321" i="42385"/>
  <c r="AT1643" i="42385"/>
  <c r="AO965" i="42385"/>
  <c r="AN1539" i="42385"/>
  <c r="BM1483" i="42385"/>
  <c r="AO202" i="42385"/>
  <c r="Q1026" i="42385"/>
  <c r="CO1026" i="42385" s="1"/>
  <c r="AF804" i="42385"/>
  <c r="CR804" i="42385" s="1"/>
  <c r="CT790" i="42385"/>
  <c r="AF1536" i="42385"/>
  <c r="CR1536" i="42385" s="1"/>
  <c r="AK1534" i="42385"/>
  <c r="CS1534" i="42385" s="1"/>
  <c r="L759" i="42385"/>
  <c r="CN759" i="42385" s="1"/>
  <c r="G36" i="42405"/>
  <c r="AN583" i="42385"/>
  <c r="K290" i="42385"/>
  <c r="K314" i="42385" s="1"/>
  <c r="X290" i="42385"/>
  <c r="X314" i="42385" s="1"/>
  <c r="BE53" i="42385"/>
  <c r="HG669" i="42464"/>
  <c r="DT368" i="42464"/>
  <c r="DO342" i="42464" s="1"/>
  <c r="BK194" i="42400"/>
  <c r="M28" i="42476"/>
  <c r="K65" i="42400"/>
  <c r="K71" i="42400" s="1"/>
  <c r="D57" i="42405"/>
  <c r="H57" i="42405" s="1"/>
  <c r="B57" i="42405" s="1"/>
  <c r="I8" i="42410"/>
  <c r="AY701" i="42385"/>
  <c r="F88" i="42385"/>
  <c r="DA59" i="42385"/>
  <c r="CC145" i="42464"/>
  <c r="CC147" i="42464" s="1"/>
  <c r="AH73" i="42417"/>
  <c r="S101" i="42400"/>
  <c r="S833" i="42385" s="1"/>
  <c r="Z88" i="42385"/>
  <c r="Z1645" i="42385" s="1"/>
  <c r="AT216" i="42470"/>
  <c r="AB37" i="42417"/>
  <c r="D231" i="42400"/>
  <c r="D233" i="42400" s="1"/>
  <c r="W194" i="42400"/>
  <c r="W1019" i="42385" s="1"/>
  <c r="S194" i="42400"/>
  <c r="S1019" i="42385" s="1"/>
  <c r="X68" i="42400"/>
  <c r="X71" i="42400" s="1"/>
  <c r="X75" i="42400" s="1"/>
  <c r="X864" i="42385" s="1"/>
  <c r="G17" i="42410"/>
  <c r="BA706" i="42385"/>
  <c r="BB706" i="42385" s="1"/>
  <c r="BC706" i="42385" s="1"/>
  <c r="BD706" i="42385" s="1"/>
  <c r="BE706" i="42385" s="1"/>
  <c r="CV706" i="42385"/>
  <c r="AL1514" i="42385"/>
  <c r="AL77" i="42385"/>
  <c r="BC1480" i="42385"/>
  <c r="BD1380" i="42385"/>
  <c r="H870" i="42385"/>
  <c r="H861" i="42385"/>
  <c r="H865" i="42385"/>
  <c r="C958" i="42385"/>
  <c r="C954" i="42385"/>
  <c r="C955" i="42385" s="1"/>
  <c r="C963" i="42385"/>
  <c r="W958" i="42385"/>
  <c r="W963" i="42385"/>
  <c r="W954" i="42385"/>
  <c r="BA1181" i="42385"/>
  <c r="BA1183" i="42385"/>
  <c r="BA1184" i="42385" s="1"/>
  <c r="EH442" i="42492"/>
  <c r="CY218" i="42385"/>
  <c r="Z830" i="42385"/>
  <c r="Z839" i="42385"/>
  <c r="Z834" i="42385"/>
  <c r="O830" i="42385"/>
  <c r="T832" i="42385" s="1"/>
  <c r="O834" i="42385"/>
  <c r="O839" i="42385"/>
  <c r="CV744" i="42385"/>
  <c r="BA744" i="42385"/>
  <c r="F163" i="42385"/>
  <c r="F165" i="42385"/>
  <c r="F166" i="42385" s="1"/>
  <c r="F134" i="42385" s="1"/>
  <c r="K131" i="42385"/>
  <c r="G130" i="42385"/>
  <c r="F118" i="42385"/>
  <c r="G118" i="42385" s="1"/>
  <c r="CM118" i="42385" s="1"/>
  <c r="N799" i="42385"/>
  <c r="N803" i="42385"/>
  <c r="N808" i="42385"/>
  <c r="BD249" i="42385"/>
  <c r="C91" i="42418"/>
  <c r="V49" i="42417" s="1"/>
  <c r="F11" i="42424"/>
  <c r="F15" i="42424" s="1"/>
  <c r="B13" i="42404"/>
  <c r="B31" i="42404"/>
  <c r="C77" i="42418"/>
  <c r="V47" i="42417" s="1"/>
  <c r="B16" i="42404"/>
  <c r="BC656" i="42385"/>
  <c r="BC657" i="42385" s="1"/>
  <c r="BD656" i="42385"/>
  <c r="BD657" i="42385" s="1"/>
  <c r="CU1002" i="42385"/>
  <c r="AV1002" i="42385"/>
  <c r="AW1002" i="42385" s="1"/>
  <c r="AX1002" i="42385" s="1"/>
  <c r="AY1002" i="42385" s="1"/>
  <c r="AZ1002" i="42385" s="1"/>
  <c r="CV1002" i="42385" s="1"/>
  <c r="O808" i="42385"/>
  <c r="O799" i="42385"/>
  <c r="O803" i="42385"/>
  <c r="AU284" i="42385"/>
  <c r="CU284" i="42385" s="1"/>
  <c r="BJ440" i="42385"/>
  <c r="N315" i="42385"/>
  <c r="AU1481" i="42385"/>
  <c r="CU1481" i="42385" s="1"/>
  <c r="AU1482" i="42385"/>
  <c r="CU1482" i="42385" s="1"/>
  <c r="AD54" i="42385"/>
  <c r="AJ677" i="42385"/>
  <c r="AJ675" i="42385"/>
  <c r="BV68" i="42400"/>
  <c r="BX68" i="42400"/>
  <c r="BW68" i="42400"/>
  <c r="BU68" i="42400"/>
  <c r="BK63" i="42400"/>
  <c r="BK71" i="42400" s="1"/>
  <c r="BK75" i="42400" s="1"/>
  <c r="BK864" i="42385" s="1"/>
  <c r="BM63" i="42400"/>
  <c r="BL63" i="42400"/>
  <c r="BL71" i="42400" s="1"/>
  <c r="BL75" i="42400" s="1"/>
  <c r="BL864" i="42385" s="1"/>
  <c r="BL865" i="42385" s="1"/>
  <c r="BL161" i="42400"/>
  <c r="BL165" i="42400" s="1"/>
  <c r="BK161" i="42400"/>
  <c r="BN161" i="42400"/>
  <c r="BN165" i="42400" s="1"/>
  <c r="R1016" i="42385"/>
  <c r="R1020" i="42385"/>
  <c r="R1025" i="42385"/>
  <c r="BQ1256" i="42385"/>
  <c r="BQ1258" i="42385" s="1"/>
  <c r="BP1258" i="42385"/>
  <c r="EG455" i="42492"/>
  <c r="CX244" i="42385"/>
  <c r="BK1175" i="42385"/>
  <c r="BL1174" i="42385"/>
  <c r="BV67" i="42400"/>
  <c r="BX67" i="42400"/>
  <c r="U861" i="42385"/>
  <c r="U870" i="42385"/>
  <c r="S958" i="42385"/>
  <c r="S954" i="42385"/>
  <c r="S963" i="42385"/>
  <c r="J911" i="42385"/>
  <c r="J912" i="42385" s="1"/>
  <c r="CU1575" i="42385"/>
  <c r="AU1577" i="42385"/>
  <c r="CU1577" i="42385" s="1"/>
  <c r="BK486" i="42385"/>
  <c r="CX486" i="42385"/>
  <c r="BZ815" i="42385"/>
  <c r="DA815" i="42385"/>
  <c r="BL1235" i="42385"/>
  <c r="BK1236" i="42385"/>
  <c r="F1333" i="42385"/>
  <c r="AN90" i="42400"/>
  <c r="AO90" i="42400"/>
  <c r="O201" i="42385"/>
  <c r="P201" i="42385"/>
  <c r="P206" i="42385" s="1"/>
  <c r="M63" i="42446"/>
  <c r="M65" i="42446" s="1"/>
  <c r="C13" i="42446"/>
  <c r="C16" i="42446" s="1"/>
  <c r="C18" i="42446" s="1"/>
  <c r="I330" i="42385"/>
  <c r="I331" i="42385" s="1"/>
  <c r="DA328" i="42385"/>
  <c r="BZ328" i="42385"/>
  <c r="BI1122" i="42385"/>
  <c r="BJ1122" i="42385" s="1"/>
  <c r="BN699" i="42385"/>
  <c r="BN680" i="42385" s="1"/>
  <c r="BI680" i="42385"/>
  <c r="BH574" i="42385"/>
  <c r="BH273" i="42385"/>
  <c r="BE1489" i="42385"/>
  <c r="BO148" i="42400"/>
  <c r="BO926" i="42385" s="1"/>
  <c r="G314" i="42385"/>
  <c r="AM41" i="42400"/>
  <c r="AL41" i="42400"/>
  <c r="AN41" i="42400"/>
  <c r="AV93" i="42400"/>
  <c r="AY93" i="42400"/>
  <c r="AW93" i="42400"/>
  <c r="BF65" i="42400"/>
  <c r="BG65" i="42400"/>
  <c r="BG71" i="42400" s="1"/>
  <c r="BG75" i="42400" s="1"/>
  <c r="BG864" i="42385" s="1"/>
  <c r="BG865" i="42385" s="1"/>
  <c r="BI65" i="42400"/>
  <c r="BQ402" i="42385"/>
  <c r="BQ220" i="42385"/>
  <c r="AG1579" i="42385"/>
  <c r="AW288" i="42400"/>
  <c r="AA1504" i="42385"/>
  <c r="CQ1504" i="42385" s="1"/>
  <c r="V1564" i="42385"/>
  <c r="G110" i="42385"/>
  <c r="CM110" i="42385" s="1"/>
  <c r="B27" i="42410"/>
  <c r="K326" i="42385"/>
  <c r="BC219" i="42385"/>
  <c r="BM438" i="42385"/>
  <c r="BM440" i="42385" s="1"/>
  <c r="CA1465" i="42385"/>
  <c r="BX920" i="42385"/>
  <c r="BR43" i="42385"/>
  <c r="CZ1370" i="42385"/>
  <c r="BU1370" i="42385"/>
  <c r="BV1370" i="42385" s="1"/>
  <c r="BW1370" i="42385" s="1"/>
  <c r="BX1370" i="42385" s="1"/>
  <c r="BY1370" i="42385" s="1"/>
  <c r="AK148" i="42400"/>
  <c r="AK926" i="42385" s="1"/>
  <c r="I819" i="42385"/>
  <c r="BD93" i="42400"/>
  <c r="BD95" i="42400" s="1"/>
  <c r="BD101" i="42400" s="1"/>
  <c r="BD833" i="42385" s="1"/>
  <c r="BD834" i="42385" s="1"/>
  <c r="AV288" i="42400"/>
  <c r="AV294" i="42400" s="1"/>
  <c r="V1406" i="42385"/>
  <c r="B25" i="42410"/>
  <c r="AP591" i="42385"/>
  <c r="AO605" i="42385"/>
  <c r="AO227" i="42385"/>
  <c r="L1575" i="42385"/>
  <c r="L1577" i="42385" s="1"/>
  <c r="CN1577" i="42385" s="1"/>
  <c r="CN1500" i="42385"/>
  <c r="CU604" i="42385"/>
  <c r="AU1545" i="42385"/>
  <c r="CU1545" i="42385" s="1"/>
  <c r="D50" i="42405"/>
  <c r="D43" i="42405"/>
  <c r="CZ1403" i="42385"/>
  <c r="BU1403" i="42385"/>
  <c r="BV1403" i="42385" s="1"/>
  <c r="BW1403" i="42385" s="1"/>
  <c r="BX1403" i="42385" s="1"/>
  <c r="BY1403" i="42385" s="1"/>
  <c r="DA1403" i="42385" s="1"/>
  <c r="H912" i="42385"/>
  <c r="H1005" i="42385"/>
  <c r="CR1371" i="42385"/>
  <c r="AF1375" i="42385"/>
  <c r="B31" i="42465"/>
  <c r="BE1490" i="42385"/>
  <c r="X1579" i="42385"/>
  <c r="BV1252" i="42385"/>
  <c r="B29" i="42410"/>
  <c r="L320" i="42385"/>
  <c r="BT684" i="42385"/>
  <c r="BY794" i="42385"/>
  <c r="DA794" i="42385" s="1"/>
  <c r="BC202" i="42385"/>
  <c r="AT1545" i="42385"/>
  <c r="BZ855" i="42385"/>
  <c r="J1575" i="42385"/>
  <c r="J1577" i="42385" s="1"/>
  <c r="J1579" i="42385" s="1"/>
  <c r="R71" i="42400"/>
  <c r="R75" i="42400" s="1"/>
  <c r="R864" i="42385" s="1"/>
  <c r="D45" i="42400"/>
  <c r="D51" i="42400" s="1"/>
  <c r="D802" i="42385" s="1"/>
  <c r="W137" i="42400"/>
  <c r="W148" i="42400" s="1"/>
  <c r="W926" i="42385" s="1"/>
  <c r="BM1557" i="42385"/>
  <c r="CT1442" i="42385"/>
  <c r="BY856" i="42385"/>
  <c r="DA856" i="42385" s="1"/>
  <c r="C43" i="42406"/>
  <c r="Q1610" i="42385"/>
  <c r="CO1610" i="42385" s="1"/>
  <c r="L1503" i="42385"/>
  <c r="V1453" i="42385"/>
  <c r="CP1453" i="42385" s="1"/>
  <c r="I202" i="42385"/>
  <c r="I207" i="42385" s="1"/>
  <c r="AJ1325" i="42385"/>
  <c r="BK1557" i="42385"/>
  <c r="W1525" i="42385"/>
  <c r="AA202" i="42385"/>
  <c r="AK1011" i="42385"/>
  <c r="CS1011" i="42385" s="1"/>
  <c r="AK921" i="42385"/>
  <c r="CS921" i="42385" s="1"/>
  <c r="CM852" i="42385"/>
  <c r="AK842" i="42385"/>
  <c r="CS842" i="42385" s="1"/>
  <c r="Q842" i="42385"/>
  <c r="CO842" i="42385" s="1"/>
  <c r="BD225" i="42385"/>
  <c r="BD535" i="42385"/>
  <c r="BD546" i="42385"/>
  <c r="BD1166" i="42385"/>
  <c r="AK1099" i="42385"/>
  <c r="CS1099" i="42385" s="1"/>
  <c r="G869" i="42385"/>
  <c r="CM869" i="42385" s="1"/>
  <c r="N772" i="42385"/>
  <c r="BC677" i="42385"/>
  <c r="BT1404" i="42385"/>
  <c r="BU1404" i="42385" s="1"/>
  <c r="BV1404" i="42385" s="1"/>
  <c r="BW1404" i="42385" s="1"/>
  <c r="BX1404" i="42385" s="1"/>
  <c r="BY1404" i="42385" s="1"/>
  <c r="BZ1404" i="42385" s="1"/>
  <c r="CA1404" i="42385" s="1"/>
  <c r="CB1404" i="42385" s="1"/>
  <c r="CC1404" i="42385" s="1"/>
  <c r="CD1404" i="42385" s="1"/>
  <c r="CE1404" i="42385" s="1"/>
  <c r="CF1404" i="42385" s="1"/>
  <c r="V931" i="42385"/>
  <c r="CP931" i="42385" s="1"/>
  <c r="AF835" i="42385"/>
  <c r="CR835" i="42385" s="1"/>
  <c r="AR828" i="42385"/>
  <c r="AR751" i="42385"/>
  <c r="AQ752" i="42385"/>
  <c r="AA677" i="42385"/>
  <c r="BD662" i="42385"/>
  <c r="AF656" i="42385"/>
  <c r="AF657" i="42385" s="1"/>
  <c r="AK658" i="42385" s="1"/>
  <c r="B19" i="42407"/>
  <c r="C9" i="42409"/>
  <c r="V491" i="42385"/>
  <c r="CP491" i="42385" s="1"/>
  <c r="BT254" i="42385"/>
  <c r="CZ254" i="42385" s="1"/>
  <c r="AK247" i="42385"/>
  <c r="BF507" i="42385"/>
  <c r="Z344" i="42385"/>
  <c r="L350" i="42385"/>
  <c r="CN350" i="42385" s="1"/>
  <c r="B57" i="42409"/>
  <c r="AA44" i="42417"/>
  <c r="AB44" i="42417" s="1"/>
  <c r="BU86" i="42418"/>
  <c r="BY1035" i="42385"/>
  <c r="BY1037" i="42385"/>
  <c r="BF90" i="42464"/>
  <c r="BF67" i="42464" s="1"/>
  <c r="BF68" i="42464" s="1"/>
  <c r="N36" i="42470"/>
  <c r="AI73" i="42417"/>
  <c r="AA49" i="42400"/>
  <c r="AA51" i="42400" s="1"/>
  <c r="AA802" i="42385" s="1"/>
  <c r="BV133" i="42464"/>
  <c r="O90" i="42400"/>
  <c r="I9" i="42410"/>
  <c r="AN183" i="42470"/>
  <c r="AN185" i="42470"/>
  <c r="BL470" i="42385"/>
  <c r="BL269" i="42385"/>
  <c r="BL471" i="42385"/>
  <c r="G901" i="42385"/>
  <c r="CM901" i="42385" s="1"/>
  <c r="CM895" i="42385"/>
  <c r="T316" i="42385"/>
  <c r="T50" i="42385"/>
  <c r="T1647" i="42385"/>
  <c r="CA1042" i="42385"/>
  <c r="CW1398" i="42385"/>
  <c r="BF1398" i="42385"/>
  <c r="BG1398" i="42385" s="1"/>
  <c r="BH1398" i="42385" s="1"/>
  <c r="BI1398" i="42385" s="1"/>
  <c r="BJ1398" i="42385" s="1"/>
  <c r="N206" i="42385"/>
  <c r="N207" i="42385"/>
  <c r="BI519" i="42385"/>
  <c r="BI515" i="42385"/>
  <c r="AR233" i="42400"/>
  <c r="AR158" i="42400"/>
  <c r="AM315" i="42385"/>
  <c r="AM1647" i="42385"/>
  <c r="AM50" i="42385"/>
  <c r="AC99" i="42424"/>
  <c r="BV243" i="42385"/>
  <c r="BV890" i="42385"/>
  <c r="AY1171" i="42385"/>
  <c r="AY1167" i="42385"/>
  <c r="BD1168" i="42385"/>
  <c r="AY1187" i="42385"/>
  <c r="CN188" i="42385"/>
  <c r="M188" i="42385"/>
  <c r="N188" i="42385" s="1"/>
  <c r="O188" i="42385" s="1"/>
  <c r="P188" i="42385" s="1"/>
  <c r="Q188" i="42385" s="1"/>
  <c r="AV1020" i="42385"/>
  <c r="BD268" i="42385"/>
  <c r="BD442" i="42385"/>
  <c r="BD441" i="42385"/>
  <c r="U315" i="42385"/>
  <c r="U50" i="42385"/>
  <c r="Z315" i="42385"/>
  <c r="X135" i="42424"/>
  <c r="X137" i="42424" s="1"/>
  <c r="BA1603" i="42385"/>
  <c r="BA1600" i="42385"/>
  <c r="BO507" i="42385"/>
  <c r="BM512" i="42385"/>
  <c r="CN373" i="42385"/>
  <c r="CO173" i="42385"/>
  <c r="R173" i="42385"/>
  <c r="S173" i="42385" s="1"/>
  <c r="T173" i="42385" s="1"/>
  <c r="U173" i="42385" s="1"/>
  <c r="V173" i="42385" s="1"/>
  <c r="AA658" i="42385"/>
  <c r="BI1314" i="42385"/>
  <c r="BJ1308" i="42385"/>
  <c r="AY244" i="42385"/>
  <c r="AZ920" i="42385"/>
  <c r="BD921" i="42385"/>
  <c r="BU1203" i="42385"/>
  <c r="BU1214" i="42385"/>
  <c r="BU1220" i="42385"/>
  <c r="BU1206" i="42385"/>
  <c r="CY1377" i="42385"/>
  <c r="BP1377" i="42385"/>
  <c r="BS1252" i="42385"/>
  <c r="B26" i="42410"/>
  <c r="B30" i="42410"/>
  <c r="BU1360" i="42385"/>
  <c r="BV1360" i="42385" s="1"/>
  <c r="BW1360" i="42385" s="1"/>
  <c r="BX1360" i="42385" s="1"/>
  <c r="BY1360" i="42385" s="1"/>
  <c r="CZ1360" i="42385"/>
  <c r="BQ675" i="42385"/>
  <c r="BQ676" i="42385" s="1"/>
  <c r="BM509" i="42385"/>
  <c r="AT653" i="42385"/>
  <c r="AT656" i="42385" s="1"/>
  <c r="AT657" i="42385" s="1"/>
  <c r="AT658" i="42385" s="1"/>
  <c r="BA1115" i="42385"/>
  <c r="BA312" i="42385" s="1"/>
  <c r="BA313" i="42385" s="1"/>
  <c r="BF1113" i="42385"/>
  <c r="AV1582" i="42385"/>
  <c r="AW1582" i="42385" s="1"/>
  <c r="AX1582" i="42385" s="1"/>
  <c r="CU1582" i="42385"/>
  <c r="CU745" i="42385"/>
  <c r="AV745" i="42385"/>
  <c r="AW745" i="42385" s="1"/>
  <c r="AX745" i="42385" s="1"/>
  <c r="AY745" i="42385" s="1"/>
  <c r="AZ745" i="42385" s="1"/>
  <c r="H182" i="42385"/>
  <c r="CM182" i="42385"/>
  <c r="AR1121" i="42385"/>
  <c r="AQ1124" i="42385"/>
  <c r="AQ1552" i="42385" s="1"/>
  <c r="AY342" i="42385"/>
  <c r="AY218" i="42385"/>
  <c r="BD342" i="42385"/>
  <c r="G708" i="42385"/>
  <c r="CM708" i="42385" s="1"/>
  <c r="BN644" i="42385"/>
  <c r="BN231" i="42385"/>
  <c r="BF1386" i="42385"/>
  <c r="BF1486" i="42385" s="1"/>
  <c r="CW1386" i="42385"/>
  <c r="BN77" i="42385"/>
  <c r="BN79" i="42385" s="1"/>
  <c r="BN1514" i="42385"/>
  <c r="BH1514" i="42385"/>
  <c r="BH77" i="42385"/>
  <c r="BD1283" i="42385"/>
  <c r="Y144" i="42400"/>
  <c r="Y148" i="42400" s="1"/>
  <c r="Y926" i="42385" s="1"/>
  <c r="BR273" i="42385"/>
  <c r="BR574" i="42385"/>
  <c r="BL1234" i="42385"/>
  <c r="BG1241" i="42385"/>
  <c r="BL442" i="42385"/>
  <c r="BL441" i="42385"/>
  <c r="BL268" i="42385"/>
  <c r="GL579" i="42464"/>
  <c r="BJ1175" i="42385"/>
  <c r="CX1175" i="42385" s="1"/>
  <c r="CX1174" i="42385"/>
  <c r="BF1174" i="42385"/>
  <c r="T148" i="42400"/>
  <c r="T926" i="42385" s="1"/>
  <c r="H235" i="42400"/>
  <c r="H957" i="42385" s="1"/>
  <c r="I148" i="42400"/>
  <c r="I926" i="42385" s="1"/>
  <c r="AP1552" i="42385"/>
  <c r="CT1552" i="42385" s="1"/>
  <c r="BA470" i="42385"/>
  <c r="BA269" i="42385"/>
  <c r="BA471" i="42385"/>
  <c r="BQ226" i="42385"/>
  <c r="BQ566" i="42385"/>
  <c r="BT60" i="42400"/>
  <c r="BT73" i="42400" s="1"/>
  <c r="AG1437" i="42385"/>
  <c r="CR1437" i="42385"/>
  <c r="CY1409" i="42385"/>
  <c r="BO1411" i="42385"/>
  <c r="BU1371" i="42385"/>
  <c r="CZ1371" i="42385"/>
  <c r="D31" i="42465"/>
  <c r="CT1371" i="42385"/>
  <c r="BU1359" i="42385"/>
  <c r="BV1359" i="42385" s="1"/>
  <c r="BW1359" i="42385" s="1"/>
  <c r="BX1359" i="42385" s="1"/>
  <c r="BY1359" i="42385" s="1"/>
  <c r="CZ1359" i="42385"/>
  <c r="BD111" i="42385"/>
  <c r="BE1313" i="42385"/>
  <c r="E48" i="42465"/>
  <c r="CU1311" i="42385"/>
  <c r="AT1308" i="42385"/>
  <c r="AU1308" i="42385" s="1"/>
  <c r="CU1308" i="42385" s="1"/>
  <c r="L137" i="42385"/>
  <c r="CN137" i="42385" s="1"/>
  <c r="AL1422" i="42385"/>
  <c r="AM1422" i="42385" s="1"/>
  <c r="AN1422" i="42385" s="1"/>
  <c r="AO1422" i="42385" s="1"/>
  <c r="AP1422" i="42385" s="1"/>
  <c r="CS1422" i="42385"/>
  <c r="BI1286" i="42385"/>
  <c r="BJ1286" i="42385" s="1"/>
  <c r="CX1286" i="42385" s="1"/>
  <c r="BM471" i="42385"/>
  <c r="F45" i="42400"/>
  <c r="F51" i="42400" s="1"/>
  <c r="F802" i="42385" s="1"/>
  <c r="BO1381" i="42385"/>
  <c r="BN1481" i="42385"/>
  <c r="CS1343" i="42385"/>
  <c r="C24" i="42465"/>
  <c r="AY1290" i="42385"/>
  <c r="AY115" i="42385" s="1"/>
  <c r="BC471" i="42385"/>
  <c r="AV1563" i="42385"/>
  <c r="AW1381" i="42385"/>
  <c r="AV1402" i="42385"/>
  <c r="AX1324" i="42385"/>
  <c r="AX1326" i="42385" s="1"/>
  <c r="AE1294" i="42385"/>
  <c r="AE115" i="42385" s="1"/>
  <c r="BI1557" i="42385"/>
  <c r="AF1503" i="42385"/>
  <c r="BI1325" i="42385"/>
  <c r="BN1285" i="42385"/>
  <c r="BO1285" i="42385" s="1"/>
  <c r="CY1285" i="42385" s="1"/>
  <c r="AL1486" i="42385"/>
  <c r="AP1486" i="42385" s="1"/>
  <c r="CT1486" i="42385" s="1"/>
  <c r="P202" i="42385"/>
  <c r="AF1292" i="42385"/>
  <c r="BN1557" i="42385"/>
  <c r="AA1536" i="42385"/>
  <c r="CQ1536" i="42385" s="1"/>
  <c r="Q1503" i="42385"/>
  <c r="AC202" i="42385"/>
  <c r="AC207" i="42385" s="1"/>
  <c r="BJ1154" i="42385"/>
  <c r="CX1154" i="42385" s="1"/>
  <c r="T1108" i="42385"/>
  <c r="BJ569" i="42385"/>
  <c r="AN399" i="42385"/>
  <c r="AN339" i="42385"/>
  <c r="CX250" i="42417"/>
  <c r="AH772" i="42385"/>
  <c r="BL563" i="42385"/>
  <c r="AK378" i="42385"/>
  <c r="CS378" i="42385" s="1"/>
  <c r="AA378" i="42385"/>
  <c r="CQ378" i="42385" s="1"/>
  <c r="Q378" i="42385"/>
  <c r="CO378" i="42385" s="1"/>
  <c r="L378" i="42385"/>
  <c r="CN378" i="42385" s="1"/>
  <c r="AR339" i="42385"/>
  <c r="BG339" i="42385"/>
  <c r="AK835" i="42385"/>
  <c r="CS835" i="42385" s="1"/>
  <c r="N771" i="42385"/>
  <c r="W337" i="42385"/>
  <c r="J1116" i="42385"/>
  <c r="AK1021" i="42385"/>
  <c r="CS1021" i="42385" s="1"/>
  <c r="F910" i="42385"/>
  <c r="AQ693" i="42385"/>
  <c r="AQ695" i="42385" s="1"/>
  <c r="AQ696" i="42385" s="1"/>
  <c r="AS644" i="42385"/>
  <c r="CP489" i="42385"/>
  <c r="AA484" i="42385"/>
  <c r="CQ484" i="42385" s="1"/>
  <c r="AM399" i="42385"/>
  <c r="AK385" i="42385"/>
  <c r="CS385" i="42385" s="1"/>
  <c r="G378" i="42385"/>
  <c r="CM378" i="42385" s="1"/>
  <c r="V350" i="42385"/>
  <c r="CP350" i="42385" s="1"/>
  <c r="AX157" i="42385"/>
  <c r="AM88" i="42385"/>
  <c r="AC38" i="42464"/>
  <c r="AC42" i="42464" s="1"/>
  <c r="BE247" i="42385"/>
  <c r="AK138" i="42385"/>
  <c r="CS138" i="42385" s="1"/>
  <c r="BW88" i="42385"/>
  <c r="BW1645" i="42385" s="1"/>
  <c r="C88" i="42385"/>
  <c r="GL585" i="42464"/>
  <c r="U66" i="42470"/>
  <c r="V66" i="42470"/>
  <c r="AF247" i="42385"/>
  <c r="R88" i="42385"/>
  <c r="N88" i="42385"/>
  <c r="N1645" i="42385" s="1"/>
  <c r="J88" i="42385"/>
  <c r="B64" i="42420"/>
  <c r="B66" i="42420" s="1"/>
  <c r="B70" i="42420" s="1"/>
  <c r="B72" i="42420" s="1"/>
  <c r="GN569" i="42464"/>
  <c r="BT133" i="42464"/>
  <c r="AC113" i="42385"/>
  <c r="AD88" i="42385"/>
  <c r="AE34" i="42385"/>
  <c r="AE38" i="42385" s="1"/>
  <c r="AE40" i="42385" s="1"/>
  <c r="HV789" i="42464"/>
  <c r="Y25" i="42476"/>
  <c r="O194" i="42400"/>
  <c r="O1019" i="42385" s="1"/>
  <c r="F230" i="42400"/>
  <c r="F233" i="42400" s="1"/>
  <c r="F235" i="42400" s="1"/>
  <c r="F957" i="42385" s="1"/>
  <c r="D222" i="42400"/>
  <c r="D226" i="42400" s="1"/>
  <c r="K194" i="42400"/>
  <c r="K1019" i="42385" s="1"/>
  <c r="K137" i="42400"/>
  <c r="K148" i="42400" s="1"/>
  <c r="K926" i="42385" s="1"/>
  <c r="Q194" i="42400"/>
  <c r="Q1019" i="42385" s="1"/>
  <c r="BE90" i="42464"/>
  <c r="BE67" i="42464" s="1"/>
  <c r="BE68" i="42464" s="1"/>
  <c r="AT217" i="42470"/>
  <c r="DW325" i="42417"/>
  <c r="AB39" i="42417"/>
  <c r="T194" i="42400"/>
  <c r="T1019" i="42385" s="1"/>
  <c r="E194" i="42400"/>
  <c r="E1019" i="42385" s="1"/>
  <c r="V97" i="42400"/>
  <c r="V101" i="42400" s="1"/>
  <c r="V833" i="42385" s="1"/>
  <c r="V834" i="42385" s="1"/>
  <c r="CP834" i="42385" s="1"/>
  <c r="P92" i="42446"/>
  <c r="P94" i="42446" s="1"/>
  <c r="BW38" i="42385"/>
  <c r="AX194" i="42400"/>
  <c r="AX1019" i="42385" s="1"/>
  <c r="I45" i="42400"/>
  <c r="C17" i="42410"/>
  <c r="BX1492" i="42385"/>
  <c r="BY1492" i="42385" s="1"/>
  <c r="BT1240" i="42385"/>
  <c r="CZ1240" i="42385" s="1"/>
  <c r="CZ1239" i="42385"/>
  <c r="AG122" i="42492"/>
  <c r="AF141" i="42492"/>
  <c r="BQ470" i="42385"/>
  <c r="BQ471" i="42385"/>
  <c r="BQ269" i="42385"/>
  <c r="BX246" i="42385"/>
  <c r="BX983" i="42385"/>
  <c r="BV983" i="42385"/>
  <c r="DA1356" i="42385"/>
  <c r="BZ1356" i="42385"/>
  <c r="BI1648" i="42385"/>
  <c r="BI1641" i="42385" s="1"/>
  <c r="BI90" i="42385"/>
  <c r="BI92" i="42385"/>
  <c r="AB179" i="42385"/>
  <c r="AC179" i="42385" s="1"/>
  <c r="AD179" i="42385" s="1"/>
  <c r="AE179" i="42385" s="1"/>
  <c r="AF179" i="42385" s="1"/>
  <c r="CQ179" i="42385"/>
  <c r="BR271" i="42385"/>
  <c r="BR515" i="42385"/>
  <c r="BG658" i="42385"/>
  <c r="BB658" i="42385"/>
  <c r="BC658" i="42385"/>
  <c r="BH658" i="42385"/>
  <c r="BK273" i="42385"/>
  <c r="BK574" i="42385"/>
  <c r="H1579" i="42385"/>
  <c r="F1579" i="42385"/>
  <c r="AN1024" i="42385"/>
  <c r="AN1025" i="42385"/>
  <c r="AN301" i="42385"/>
  <c r="CO895" i="42385"/>
  <c r="BB470" i="42385"/>
  <c r="BB471" i="42385"/>
  <c r="BB269" i="42385"/>
  <c r="BE950" i="42385"/>
  <c r="CW950" i="42385" s="1"/>
  <c r="DP335" i="42464"/>
  <c r="DP351" i="42464"/>
  <c r="N21" i="42424"/>
  <c r="AZ643" i="42385"/>
  <c r="O21" i="42424"/>
  <c r="O22" i="42424" s="1"/>
  <c r="O23" i="42424" s="1"/>
  <c r="AY755" i="42385"/>
  <c r="BN982" i="42385"/>
  <c r="N65" i="42385"/>
  <c r="AB137" i="42424"/>
  <c r="AB139" i="42424" s="1"/>
  <c r="B11" i="42404"/>
  <c r="B28" i="42404"/>
  <c r="C42" i="42418"/>
  <c r="V42" i="42417" s="1"/>
  <c r="B6" i="42404"/>
  <c r="B29" i="42404"/>
  <c r="C21" i="42418"/>
  <c r="V39" i="42417" s="1"/>
  <c r="B18" i="42404"/>
  <c r="C63" i="42418"/>
  <c r="V45" i="42417" s="1"/>
  <c r="C28" i="42418"/>
  <c r="V40" i="42417" s="1"/>
  <c r="AZ927" i="42385"/>
  <c r="CV927" i="42385" s="1"/>
  <c r="C70" i="42418"/>
  <c r="V46" i="42417" s="1"/>
  <c r="BQ1220" i="42385"/>
  <c r="AH27" i="42385"/>
  <c r="BO298" i="42400"/>
  <c r="BO895" i="42385" s="1"/>
  <c r="BN271" i="42385"/>
  <c r="BN516" i="42385"/>
  <c r="CR864" i="42385"/>
  <c r="AF870" i="42385"/>
  <c r="CR870" i="42385" s="1"/>
  <c r="BQ693" i="42385"/>
  <c r="BQ695" i="42385" s="1"/>
  <c r="CB166" i="42464"/>
  <c r="CB171" i="42464"/>
  <c r="CB173" i="42464" s="1"/>
  <c r="CB175" i="42464" s="1"/>
  <c r="CB177" i="42464" s="1"/>
  <c r="CB178" i="42464" s="1"/>
  <c r="CB179" i="42464" s="1"/>
  <c r="GB479" i="42464"/>
  <c r="CO179" i="42385"/>
  <c r="BQ1206" i="42385"/>
  <c r="AK865" i="42385"/>
  <c r="CS865" i="42385" s="1"/>
  <c r="AF808" i="42385"/>
  <c r="CR808" i="42385" s="1"/>
  <c r="CR802" i="42385"/>
  <c r="AF803" i="42385"/>
  <c r="CR803" i="42385" s="1"/>
  <c r="BJ865" i="42385"/>
  <c r="CX865" i="42385" s="1"/>
  <c r="CX864" i="42385"/>
  <c r="CX1147" i="42385"/>
  <c r="BK1147" i="42385"/>
  <c r="CY802" i="42385"/>
  <c r="BO803" i="42385"/>
  <c r="CY803" i="42385" s="1"/>
  <c r="E799" i="42385"/>
  <c r="E803" i="42385"/>
  <c r="E808" i="42385"/>
  <c r="D839" i="42385"/>
  <c r="D834" i="42385"/>
  <c r="D830" i="42385"/>
  <c r="N54" i="42385"/>
  <c r="B3" i="42404"/>
  <c r="B26" i="42404"/>
  <c r="C98" i="42418"/>
  <c r="V50" i="42417" s="1"/>
  <c r="C14" i="42418"/>
  <c r="V38" i="42417" s="1"/>
  <c r="C84" i="42418"/>
  <c r="V48" i="42417" s="1"/>
  <c r="B25" i="42404"/>
  <c r="DA857" i="42385"/>
  <c r="B23" i="42404"/>
  <c r="C56" i="42418"/>
  <c r="V44" i="42417" s="1"/>
  <c r="AM15" i="42385"/>
  <c r="CS864" i="42385"/>
  <c r="EG452" i="42492"/>
  <c r="CX241" i="42385"/>
  <c r="BO989" i="42385"/>
  <c r="CY989" i="42385" s="1"/>
  <c r="CY988" i="42385"/>
  <c r="AV1579" i="42385"/>
  <c r="AW1579" i="42385"/>
  <c r="AT1579" i="42385"/>
  <c r="AU1579" i="42385" s="1"/>
  <c r="CU1579" i="42385" s="1"/>
  <c r="AX1579" i="42385"/>
  <c r="BT340" i="42385"/>
  <c r="CZ340" i="42385" s="1"/>
  <c r="BS341" i="42385"/>
  <c r="Y834" i="42385"/>
  <c r="Y839" i="42385"/>
  <c r="Y830" i="42385"/>
  <c r="R178" i="42385"/>
  <c r="S178" i="42385" s="1"/>
  <c r="T178" i="42385" s="1"/>
  <c r="U178" i="42385" s="1"/>
  <c r="V178" i="42385" s="1"/>
  <c r="CO178" i="42385"/>
  <c r="AU1524" i="42385"/>
  <c r="CU1524" i="42385" s="1"/>
  <c r="Y861" i="42385"/>
  <c r="Y870" i="42385"/>
  <c r="Y865" i="42385"/>
  <c r="O963" i="42385"/>
  <c r="O958" i="42385"/>
  <c r="O954" i="42385"/>
  <c r="BF658" i="42385"/>
  <c r="P27" i="42443"/>
  <c r="BV675" i="42385"/>
  <c r="BN290" i="42400"/>
  <c r="BN294" i="42400" s="1"/>
  <c r="G329" i="42385"/>
  <c r="T865" i="42385"/>
  <c r="T870" i="42385"/>
  <c r="T861" i="42385"/>
  <c r="CO177" i="42385"/>
  <c r="R177" i="42385"/>
  <c r="S177" i="42385" s="1"/>
  <c r="T177" i="42385" s="1"/>
  <c r="U177" i="42385" s="1"/>
  <c r="V177" i="42385" s="1"/>
  <c r="AL1140" i="42385"/>
  <c r="AZ865" i="42385"/>
  <c r="CV865" i="42385" s="1"/>
  <c r="CV864" i="42385"/>
  <c r="CM802" i="42385"/>
  <c r="G803" i="42385"/>
  <c r="CM803" i="42385" s="1"/>
  <c r="G808" i="42385"/>
  <c r="CM808" i="42385" s="1"/>
  <c r="U207" i="42385"/>
  <c r="U206" i="42385"/>
  <c r="CU707" i="42385"/>
  <c r="AV707" i="42385"/>
  <c r="AY269" i="42385"/>
  <c r="AZ269" i="42385" s="1"/>
  <c r="AY470" i="42385"/>
  <c r="CA361" i="42385"/>
  <c r="DB361" i="42385"/>
  <c r="BZ1342" i="42385"/>
  <c r="DA1342" i="42385"/>
  <c r="CF205" i="42464"/>
  <c r="CF207" i="42464" s="1"/>
  <c r="CF208" i="42464" s="1"/>
  <c r="CF209" i="42464" s="1"/>
  <c r="CF199" i="42464"/>
  <c r="BX1391" i="42385"/>
  <c r="BY1391" i="42385" s="1"/>
  <c r="BW1491" i="42385"/>
  <c r="AX242" i="42385"/>
  <c r="AZ242" i="42385" s="1"/>
  <c r="CV242" i="42385" s="1"/>
  <c r="AX859" i="42385"/>
  <c r="BC859" i="42385"/>
  <c r="DA970" i="42385"/>
  <c r="BZ970" i="42385"/>
  <c r="CU409" i="42385"/>
  <c r="AV409" i="42385"/>
  <c r="DA390" i="42385"/>
  <c r="BZ390" i="42385"/>
  <c r="D861" i="42385"/>
  <c r="D870" i="42385"/>
  <c r="D865" i="42385"/>
  <c r="AU1118" i="42385"/>
  <c r="AV1118" i="42385"/>
  <c r="R170" i="42385"/>
  <c r="S170" i="42385" s="1"/>
  <c r="T170" i="42385" s="1"/>
  <c r="U170" i="42385" s="1"/>
  <c r="V170" i="42385" s="1"/>
  <c r="CO170" i="42385"/>
  <c r="GL581" i="42464"/>
  <c r="GL583" i="42464" s="1"/>
  <c r="GL588" i="42464" s="1"/>
  <c r="DA523" i="42385"/>
  <c r="BZ523" i="42385"/>
  <c r="BL542" i="42385"/>
  <c r="AQ26" i="42385"/>
  <c r="AT244" i="42385"/>
  <c r="AU920" i="42385"/>
  <c r="AT921" i="42385"/>
  <c r="BP273" i="42385"/>
  <c r="BP574" i="42385"/>
  <c r="AT1106" i="42385"/>
  <c r="AU1106" i="42385" s="1"/>
  <c r="AZ1318" i="42385"/>
  <c r="CZ1355" i="42385"/>
  <c r="BU1355" i="42385"/>
  <c r="BV1355" i="42385" s="1"/>
  <c r="BW1355" i="42385" s="1"/>
  <c r="BX1355" i="42385" s="1"/>
  <c r="BY1355" i="42385" s="1"/>
  <c r="BC515" i="42385"/>
  <c r="BC519" i="42385"/>
  <c r="BC271" i="42385"/>
  <c r="AR1167" i="42385"/>
  <c r="AR300" i="42385"/>
  <c r="AR1171" i="42385"/>
  <c r="AT1506" i="42385"/>
  <c r="AU1506" i="42385" s="1"/>
  <c r="AT1119" i="42385"/>
  <c r="AU1119" i="42385" s="1"/>
  <c r="CU1119" i="42385" s="1"/>
  <c r="DA908" i="42385"/>
  <c r="BZ908" i="42385"/>
  <c r="BZ495" i="42385"/>
  <c r="DA495" i="42385"/>
  <c r="AQ1645" i="42385"/>
  <c r="AP1291" i="42385"/>
  <c r="AX400" i="42385"/>
  <c r="AS401" i="42385"/>
  <c r="CZ1344" i="42385"/>
  <c r="BU1344" i="42385"/>
  <c r="CS1361" i="42385"/>
  <c r="AL1361" i="42385"/>
  <c r="K1510" i="42385"/>
  <c r="K1500" i="42385"/>
  <c r="BZ1403" i="42385"/>
  <c r="AK1297" i="42385"/>
  <c r="CS1297" i="42385" s="1"/>
  <c r="BF1577" i="42385"/>
  <c r="W1617" i="42385"/>
  <c r="V1616" i="42385"/>
  <c r="CP1616" i="42385" s="1"/>
  <c r="C1406" i="42385"/>
  <c r="C1564" i="42385"/>
  <c r="BY1465" i="42385"/>
  <c r="BY1464" i="42385"/>
  <c r="BY1460" i="42385"/>
  <c r="BO1451" i="42385"/>
  <c r="CY1451" i="42385" s="1"/>
  <c r="BE1450" i="42385"/>
  <c r="CW1450" i="42385" s="1"/>
  <c r="AL1413" i="42385"/>
  <c r="CS1386" i="42385"/>
  <c r="BD1320" i="42385"/>
  <c r="BD1326" i="42385" s="1"/>
  <c r="AT1312" i="42385"/>
  <c r="AT1314" i="42385" s="1"/>
  <c r="AD1312" i="42385"/>
  <c r="AJ1296" i="42385"/>
  <c r="AK1296" i="42385" s="1"/>
  <c r="CS1296" i="42385" s="1"/>
  <c r="AU1455" i="42385"/>
  <c r="CU1455" i="42385" s="1"/>
  <c r="BE1465" i="42385"/>
  <c r="BE1460" i="42385"/>
  <c r="BY1452" i="42385"/>
  <c r="DA1452" i="42385" s="1"/>
  <c r="BO1450" i="42385"/>
  <c r="CY1450" i="42385" s="1"/>
  <c r="BO1458" i="42385"/>
  <c r="AB135" i="42408" s="1"/>
  <c r="AB136" i="42408" s="1"/>
  <c r="AB118" i="42408" s="1"/>
  <c r="AJ1290" i="42385"/>
  <c r="AK1290" i="42385" s="1"/>
  <c r="BI1295" i="42385"/>
  <c r="AP1294" i="42385"/>
  <c r="CT1294" i="42385" s="1"/>
  <c r="BE1285" i="42385"/>
  <c r="AT1285" i="42385"/>
  <c r="AX1282" i="42385"/>
  <c r="AD1282" i="42385"/>
  <c r="K17" i="42443"/>
  <c r="AC771" i="42385"/>
  <c r="AK675" i="42385"/>
  <c r="AS1292" i="42385"/>
  <c r="AS115" i="42385" s="1"/>
  <c r="CV251" i="42417" s="1"/>
  <c r="BE675" i="42385"/>
  <c r="AN677" i="42385"/>
  <c r="AS231" i="42385"/>
  <c r="F388" i="42385"/>
  <c r="F478" i="42385"/>
  <c r="Z382" i="42385"/>
  <c r="Z373" i="42385"/>
  <c r="AP154" i="42385"/>
  <c r="BU86" i="42385"/>
  <c r="BY86" i="42385" s="1"/>
  <c r="L490" i="42385"/>
  <c r="CN490" i="42385" s="1"/>
  <c r="CS356" i="42385"/>
  <c r="AE337" i="42385"/>
  <c r="R347" i="42385"/>
  <c r="J148" i="42385"/>
  <c r="X8" i="42476"/>
  <c r="BL50" i="42385"/>
  <c r="BL27" i="42385"/>
  <c r="AJ339" i="42385"/>
  <c r="BH88" i="42385"/>
  <c r="BH1645" i="42385" s="1"/>
  <c r="BV88" i="42385"/>
  <c r="BV1645" i="42385" s="1"/>
  <c r="AJ86" i="42385"/>
  <c r="AK86" i="42385" s="1"/>
  <c r="CS86" i="42385" s="1"/>
  <c r="BO109" i="42385"/>
  <c r="CY109" i="42385" s="1"/>
  <c r="BF50" i="42385"/>
  <c r="CX19" i="42385"/>
  <c r="BG15" i="42385"/>
  <c r="AQ5" i="42385"/>
  <c r="AU5" i="42385" s="1"/>
  <c r="CH186" i="42464"/>
  <c r="CH188" i="42464" s="1"/>
  <c r="CG188" i="42464"/>
  <c r="V38" i="42464"/>
  <c r="V42" i="42464" s="1"/>
  <c r="T25" i="42476"/>
  <c r="N13" i="42470"/>
  <c r="AJ76" i="42417"/>
  <c r="Q13" i="42470"/>
  <c r="P13" i="42470"/>
  <c r="AV92" i="42417"/>
  <c r="AU92" i="42417"/>
  <c r="BC90" i="42464"/>
  <c r="BC67" i="42464" s="1"/>
  <c r="BC68" i="42464" s="1"/>
  <c r="W38" i="42464"/>
  <c r="W42" i="42464" s="1"/>
  <c r="DU336" i="42417"/>
  <c r="DU354" i="42417"/>
  <c r="DT381" i="42464"/>
  <c r="DO338" i="42464" s="1"/>
  <c r="O13" i="42470"/>
  <c r="L295" i="42400"/>
  <c r="J9" i="42450"/>
  <c r="J12" i="42450"/>
  <c r="O135" i="42400"/>
  <c r="O137" i="42400" s="1"/>
  <c r="O148" i="42400" s="1"/>
  <c r="O926" i="42385" s="1"/>
  <c r="Q137" i="42400"/>
  <c r="Q148" i="42400" s="1"/>
  <c r="Q926" i="42385" s="1"/>
  <c r="N233" i="42400"/>
  <c r="N235" i="42400" s="1"/>
  <c r="N957" i="42385" s="1"/>
  <c r="E7" i="42403"/>
  <c r="E8" i="42403" s="1"/>
  <c r="E10" i="42403" s="1"/>
  <c r="E44" i="42403"/>
  <c r="E45" i="42403"/>
  <c r="G226" i="42400"/>
  <c r="G235" i="42400" s="1"/>
  <c r="G957" i="42385" s="1"/>
  <c r="D8" i="42407"/>
  <c r="G17" i="42407"/>
  <c r="V137" i="42400"/>
  <c r="V148" i="42400" s="1"/>
  <c r="V926" i="42385" s="1"/>
  <c r="C134" i="42400"/>
  <c r="C137" i="42400" s="1"/>
  <c r="C148" i="42400" s="1"/>
  <c r="C926" i="42385" s="1"/>
  <c r="G137" i="42400"/>
  <c r="G148" i="42400" s="1"/>
  <c r="G926" i="42385" s="1"/>
  <c r="H11" i="42410"/>
  <c r="I12" i="42406"/>
  <c r="J15" i="42410"/>
  <c r="H8" i="42410"/>
  <c r="AQ65" i="42418"/>
  <c r="BT35" i="42385"/>
  <c r="BU35" i="42385"/>
  <c r="BZ35" i="42385" s="1"/>
  <c r="AZ44" i="42418"/>
  <c r="AW44" i="42418"/>
  <c r="AT100" i="42418"/>
  <c r="AN100" i="42418"/>
  <c r="AQ100" i="42418"/>
  <c r="AW100" i="42418"/>
  <c r="AE100" i="42418"/>
  <c r="AB100" i="42418"/>
  <c r="AK100" i="42418"/>
  <c r="S100" i="42418"/>
  <c r="Y100" i="42418"/>
  <c r="V100" i="42418"/>
  <c r="AN93" i="42418"/>
  <c r="AK93" i="42418"/>
  <c r="AE93" i="42418"/>
  <c r="AB93" i="42418"/>
  <c r="V93" i="42418"/>
  <c r="S93" i="42418"/>
  <c r="Y93" i="42418"/>
  <c r="BR86" i="42418"/>
  <c r="BL86" i="42418"/>
  <c r="BO86" i="42418"/>
  <c r="AZ86" i="42418"/>
  <c r="AW86" i="42418"/>
  <c r="AT86" i="42418"/>
  <c r="AH86" i="42418"/>
  <c r="AN86" i="42418"/>
  <c r="AK86" i="42418"/>
  <c r="Y86" i="42418"/>
  <c r="AB86" i="42418"/>
  <c r="S86" i="42418"/>
  <c r="AT79" i="42418"/>
  <c r="AW79" i="42418"/>
  <c r="AK79" i="42418"/>
  <c r="AH79" i="42418"/>
  <c r="AE79" i="42418"/>
  <c r="V79" i="42418"/>
  <c r="Y79" i="42418"/>
  <c r="P79" i="42418"/>
  <c r="S79" i="42418"/>
  <c r="AK72" i="42418"/>
  <c r="AT72" i="42418"/>
  <c r="AQ72" i="42418"/>
  <c r="AH72" i="42418"/>
  <c r="AE72" i="42418"/>
  <c r="Y72" i="42418"/>
  <c r="P72" i="42418"/>
  <c r="V72" i="42418"/>
  <c r="S72" i="42418"/>
  <c r="AN65" i="42418"/>
  <c r="AK65" i="42418"/>
  <c r="AE65" i="42418"/>
  <c r="AB65" i="42418"/>
  <c r="Y65" i="42418"/>
  <c r="S65" i="42418"/>
  <c r="AZ58" i="42418"/>
  <c r="BC58" i="42418"/>
  <c r="AW58" i="42418"/>
  <c r="AQ58" i="42418"/>
  <c r="AH58" i="42418"/>
  <c r="AN58" i="42418"/>
  <c r="Y58" i="42418"/>
  <c r="AB58" i="42418"/>
  <c r="AE58" i="42418"/>
  <c r="S58" i="42418"/>
  <c r="P58" i="42418"/>
  <c r="AQ51" i="42418"/>
  <c r="AT51" i="42418"/>
  <c r="AN51" i="42418"/>
  <c r="Y51" i="42418"/>
  <c r="AE51" i="42418"/>
  <c r="AH51" i="42418"/>
  <c r="AB51" i="42418"/>
  <c r="P51" i="42418"/>
  <c r="V51" i="42418"/>
  <c r="BR44" i="42418"/>
  <c r="BX44" i="42418"/>
  <c r="BO44" i="42418"/>
  <c r="BU44" i="42418"/>
  <c r="AQ44" i="42418"/>
  <c r="AT44" i="42418"/>
  <c r="AK44" i="42418"/>
  <c r="AH44" i="42418"/>
  <c r="AE44" i="42418"/>
  <c r="AB44" i="42418"/>
  <c r="S44" i="42418"/>
  <c r="V44" i="42418"/>
  <c r="AW37" i="42418"/>
  <c r="AN37" i="42418"/>
  <c r="AE37" i="42418"/>
  <c r="AB37" i="42418"/>
  <c r="AK37" i="42418"/>
  <c r="V37" i="42418"/>
  <c r="Y37" i="42418"/>
  <c r="P37" i="42418"/>
  <c r="AT30" i="42418"/>
  <c r="AN30" i="42418"/>
  <c r="AQ30" i="42418"/>
  <c r="AK30" i="42418"/>
  <c r="AH30" i="42418"/>
  <c r="Y30" i="42418"/>
  <c r="S30" i="42418"/>
  <c r="P30" i="42418"/>
  <c r="AQ23" i="42418"/>
  <c r="AN23" i="42418"/>
  <c r="AT23" i="42418"/>
  <c r="AB23" i="42418"/>
  <c r="AK23" i="42418"/>
  <c r="AE23" i="42418"/>
  <c r="P23" i="42418"/>
  <c r="S23" i="42418"/>
  <c r="Y23" i="42418"/>
  <c r="BC16" i="42418"/>
  <c r="AZ16" i="42418"/>
  <c r="AW16" i="42418"/>
  <c r="AQ16" i="42418"/>
  <c r="AH16" i="42418"/>
  <c r="AN16" i="42418"/>
  <c r="AE16" i="42418"/>
  <c r="AB16" i="42418"/>
  <c r="V16" i="42418"/>
  <c r="AN9" i="42418"/>
  <c r="AQ9" i="42418"/>
  <c r="AT9" i="42418"/>
  <c r="Y9" i="42418"/>
  <c r="AE9" i="42418"/>
  <c r="AH9" i="42418"/>
  <c r="AB9" i="42418"/>
  <c r="V9" i="42418"/>
  <c r="S9" i="42418"/>
  <c r="P9" i="42418"/>
  <c r="DA979" i="42385" l="1"/>
  <c r="BY151" i="42400"/>
  <c r="BY980" i="42385"/>
  <c r="DA980" i="42385" s="1"/>
  <c r="BY65" i="42400"/>
  <c r="BY66" i="42400"/>
  <c r="CG305" i="42492"/>
  <c r="BZ334" i="42385"/>
  <c r="DB334" i="42385" s="1"/>
  <c r="BY338" i="42385"/>
  <c r="BW218" i="42385"/>
  <c r="BW342" i="42385"/>
  <c r="BT255" i="42385"/>
  <c r="BS257" i="42385"/>
  <c r="BX257" i="42385" s="1"/>
  <c r="BU67" i="42400"/>
  <c r="BW67" i="42400"/>
  <c r="BU218" i="42385"/>
  <c r="BU342" i="42385"/>
  <c r="DB857" i="42385"/>
  <c r="CA857" i="42385"/>
  <c r="DA858" i="42385"/>
  <c r="BY859" i="42385"/>
  <c r="DA859" i="42385" s="1"/>
  <c r="BZ1033" i="42385"/>
  <c r="BY1050" i="42385"/>
  <c r="CA979" i="42385"/>
  <c r="CA151" i="42400" s="1"/>
  <c r="DA790" i="42385"/>
  <c r="BY34" i="42400"/>
  <c r="BY49" i="42400" s="1"/>
  <c r="DC333" i="42385"/>
  <c r="CB333" i="42385"/>
  <c r="CC333" i="42385" s="1"/>
  <c r="CD333" i="42385" s="1"/>
  <c r="CE333" i="42385" s="1"/>
  <c r="CF333" i="42385" s="1"/>
  <c r="AC923" i="42385"/>
  <c r="AC932" i="42385"/>
  <c r="AC927" i="42385"/>
  <c r="P65" i="42385"/>
  <c r="P75" i="42385" s="1"/>
  <c r="P54" i="42385"/>
  <c r="P1663" i="42385" s="1"/>
  <c r="BK697" i="42385"/>
  <c r="BK696" i="42385"/>
  <c r="BK283" i="42385"/>
  <c r="AZ772" i="42385"/>
  <c r="CV772" i="42385" s="1"/>
  <c r="CV770" i="42385"/>
  <c r="BE927" i="42385"/>
  <c r="CW927" i="42385" s="1"/>
  <c r="CW926" i="42385"/>
  <c r="BN1278" i="42385"/>
  <c r="K207" i="42385"/>
  <c r="DB979" i="42385"/>
  <c r="AG315" i="42385"/>
  <c r="AB1647" i="42385"/>
  <c r="AR169" i="42400"/>
  <c r="AR988" i="42385" s="1"/>
  <c r="HR660" i="42417"/>
  <c r="HR663" i="42417" s="1"/>
  <c r="HR665" i="42417" s="1"/>
  <c r="HR671" i="42417" s="1"/>
  <c r="HR673" i="42417" s="1"/>
  <c r="HR675" i="42417" s="1"/>
  <c r="AW95" i="42400"/>
  <c r="AW101" i="42400" s="1"/>
  <c r="AW833" i="42385" s="1"/>
  <c r="AW834" i="42385" s="1"/>
  <c r="AN95" i="42400"/>
  <c r="AN101" i="42400" s="1"/>
  <c r="AN833" i="42385" s="1"/>
  <c r="AN834" i="42385" s="1"/>
  <c r="E50" i="42385"/>
  <c r="AF235" i="42400"/>
  <c r="CS1019" i="42385"/>
  <c r="AI1357" i="42385"/>
  <c r="BL654" i="42385"/>
  <c r="AC294" i="42400"/>
  <c r="AD45" i="42400"/>
  <c r="AD51" i="42400" s="1"/>
  <c r="AD802" i="42385" s="1"/>
  <c r="AD803" i="42385" s="1"/>
  <c r="AC71" i="42400"/>
  <c r="AC75" i="42400" s="1"/>
  <c r="AC864" i="42385" s="1"/>
  <c r="AV270" i="42385"/>
  <c r="DC304" i="42464"/>
  <c r="DC306" i="42464" s="1"/>
  <c r="CY261" i="42464" s="1"/>
  <c r="BQ294" i="42400"/>
  <c r="BS93" i="42400"/>
  <c r="BQ369" i="42385"/>
  <c r="BQ92" i="42400"/>
  <c r="BJ1235" i="42385"/>
  <c r="BN235" i="42400"/>
  <c r="BS64" i="42400"/>
  <c r="BO1305" i="42385"/>
  <c r="BN56" i="42385"/>
  <c r="BF294" i="42400"/>
  <c r="AM95" i="42400"/>
  <c r="AM101" i="42400" s="1"/>
  <c r="AM833" i="42385" s="1"/>
  <c r="D285" i="42400"/>
  <c r="C294" i="42400"/>
  <c r="BD39" i="42400"/>
  <c r="HZ695" i="42417"/>
  <c r="IC695" i="42417" s="1"/>
  <c r="K281" i="42400"/>
  <c r="BA43" i="42400"/>
  <c r="BR283" i="42400"/>
  <c r="BQ283" i="42400"/>
  <c r="AB233" i="42400"/>
  <c r="AC1647" i="42385"/>
  <c r="AS169" i="42400"/>
  <c r="AS988" i="42385" s="1"/>
  <c r="AF1525" i="42385"/>
  <c r="AF24" i="42385"/>
  <c r="AF1108" i="42385"/>
  <c r="CR1108" i="42385" s="1"/>
  <c r="CR1107" i="42385"/>
  <c r="F1660" i="42385"/>
  <c r="F1567" i="42385"/>
  <c r="AB40" i="42385"/>
  <c r="AB27" i="42385"/>
  <c r="AG32" i="42385"/>
  <c r="BK400" i="42385"/>
  <c r="BF401" i="42385"/>
  <c r="BL90" i="42400"/>
  <c r="BN90" i="42400"/>
  <c r="BO564" i="42385"/>
  <c r="CY564" i="42385" s="1"/>
  <c r="GC533" i="42464"/>
  <c r="GC505" i="42464"/>
  <c r="BO226" i="42385"/>
  <c r="GC477" i="42464"/>
  <c r="GC487" i="42464" s="1"/>
  <c r="CY563" i="42385"/>
  <c r="BN87" i="42400"/>
  <c r="BK87" i="42400"/>
  <c r="AX1012" i="42385"/>
  <c r="AX1013" i="42385" s="1"/>
  <c r="AS1013" i="42385"/>
  <c r="BB1456" i="42385"/>
  <c r="BA1487" i="42385"/>
  <c r="DA919" i="42385"/>
  <c r="BZ919" i="42385"/>
  <c r="AT1542" i="42385"/>
  <c r="AU1542" i="42385" s="1"/>
  <c r="CU1542" i="42385" s="1"/>
  <c r="AV1098" i="42385"/>
  <c r="AT1099" i="42385"/>
  <c r="BB42" i="42385"/>
  <c r="BG43" i="42385"/>
  <c r="BG41" i="42385"/>
  <c r="N12" i="42476"/>
  <c r="S13" i="42476" s="1"/>
  <c r="BB65" i="42385"/>
  <c r="BB75" i="42385" s="1"/>
  <c r="BG162" i="42400"/>
  <c r="BI162" i="42400"/>
  <c r="BF162" i="42400"/>
  <c r="BH162" i="42400"/>
  <c r="W206" i="42385"/>
  <c r="AB316" i="42385"/>
  <c r="M1623" i="42385"/>
  <c r="AX169" i="42400"/>
  <c r="AX988" i="42385" s="1"/>
  <c r="BB144" i="42400"/>
  <c r="BB148" i="42400" s="1"/>
  <c r="BB926" i="42385" s="1"/>
  <c r="BB927" i="42385" s="1"/>
  <c r="AZ169" i="42400"/>
  <c r="AZ988" i="42385" s="1"/>
  <c r="AV490" i="42385"/>
  <c r="BT298" i="42400"/>
  <c r="BT895" i="42385" s="1"/>
  <c r="CZ895" i="42385" s="1"/>
  <c r="AL235" i="42400"/>
  <c r="AL957" i="42385" s="1"/>
  <c r="AZ298" i="42400"/>
  <c r="AZ895" i="42385" s="1"/>
  <c r="AX235" i="42400"/>
  <c r="AX957" i="42385" s="1"/>
  <c r="BD770" i="42385"/>
  <c r="BO40" i="42385"/>
  <c r="AD163" i="42385"/>
  <c r="AE163" i="42385" s="1"/>
  <c r="AX158" i="42400"/>
  <c r="BC39" i="42400"/>
  <c r="AY148" i="42400"/>
  <c r="AY926" i="42385" s="1"/>
  <c r="AY927" i="42385" s="1"/>
  <c r="AC50" i="42385"/>
  <c r="AD233" i="42400"/>
  <c r="AD235" i="42400" s="1"/>
  <c r="AD957" i="42385" s="1"/>
  <c r="BE440" i="42385"/>
  <c r="CR1565" i="42385"/>
  <c r="AF1661" i="42385"/>
  <c r="CN1091" i="42385"/>
  <c r="L1092" i="42385"/>
  <c r="CN1092" i="42385" s="1"/>
  <c r="L1093" i="42385"/>
  <c r="CN1093" i="42385" s="1"/>
  <c r="U1660" i="42385"/>
  <c r="U1567" i="42385"/>
  <c r="AY1660" i="42385"/>
  <c r="K34" i="42476"/>
  <c r="AQ1028" i="42385"/>
  <c r="AR1027" i="42385"/>
  <c r="AQ1534" i="42385"/>
  <c r="AJ1575" i="42385"/>
  <c r="AJ1577" i="42385" s="1"/>
  <c r="AJ1504" i="42385"/>
  <c r="AN1014" i="42385"/>
  <c r="AN247" i="42385"/>
  <c r="GM493" i="42417" s="1"/>
  <c r="AN1028" i="42385"/>
  <c r="AN1017" i="42385"/>
  <c r="AN756" i="42385"/>
  <c r="AN757" i="42385"/>
  <c r="AN286" i="42385"/>
  <c r="AP755" i="42385"/>
  <c r="AB235" i="42400"/>
  <c r="AB957" i="42385" s="1"/>
  <c r="AN11" i="42385"/>
  <c r="O345" i="42385"/>
  <c r="T346" i="42385"/>
  <c r="Q344" i="42385"/>
  <c r="O346" i="42385"/>
  <c r="BK300" i="42385"/>
  <c r="BO300" i="42385" s="1"/>
  <c r="CY300" i="42385" s="1"/>
  <c r="BK1168" i="42385"/>
  <c r="BP1168" i="42385"/>
  <c r="G1330" i="42385"/>
  <c r="CM1301" i="42385"/>
  <c r="K1660" i="42385"/>
  <c r="K1567" i="42385"/>
  <c r="O118" i="42385"/>
  <c r="O1500" i="42385"/>
  <c r="O1510" i="42385"/>
  <c r="P1511" i="42385"/>
  <c r="Q1525" i="42385"/>
  <c r="N1499" i="42385"/>
  <c r="CY1321" i="42385"/>
  <c r="BO1643" i="42385"/>
  <c r="CY1643" i="42385" s="1"/>
  <c r="BZ130" i="42385"/>
  <c r="BZ166" i="42385"/>
  <c r="DB166" i="42385" s="1"/>
  <c r="DB165" i="42385"/>
  <c r="C29" i="42407"/>
  <c r="CS400" i="42385"/>
  <c r="C1647" i="42385"/>
  <c r="C50" i="42385"/>
  <c r="C316" i="42385"/>
  <c r="CT631" i="42385"/>
  <c r="AP632" i="42385"/>
  <c r="CT632" i="42385" s="1"/>
  <c r="CU1098" i="42385"/>
  <c r="AU1099" i="42385"/>
  <c r="CU1099" i="42385" s="1"/>
  <c r="BB1160" i="42385"/>
  <c r="BB1164" i="42385"/>
  <c r="BG1161" i="42385"/>
  <c r="BB1161" i="42385"/>
  <c r="AC100" i="42424"/>
  <c r="AC101" i="42424" s="1"/>
  <c r="AC139" i="42424" s="1"/>
  <c r="AC131" i="42424"/>
  <c r="AC155" i="42424" s="1"/>
  <c r="AC96" i="42424"/>
  <c r="AC132" i="42424" s="1"/>
  <c r="AC154" i="42424"/>
  <c r="AC156" i="42424" s="1"/>
  <c r="M201" i="42385"/>
  <c r="CN1366" i="42385"/>
  <c r="FS444" i="42417"/>
  <c r="BG226" i="42400"/>
  <c r="CX1281" i="42385"/>
  <c r="AK1020" i="42385"/>
  <c r="CS1020" i="42385" s="1"/>
  <c r="O1623" i="42385"/>
  <c r="AF298" i="42400"/>
  <c r="AF895" i="42385" s="1"/>
  <c r="AC45" i="42400"/>
  <c r="AC51" i="42400" s="1"/>
  <c r="AC802" i="42385" s="1"/>
  <c r="BH71" i="42400"/>
  <c r="BH75" i="42400" s="1"/>
  <c r="BH864" i="42385" s="1"/>
  <c r="BH865" i="42385" s="1"/>
  <c r="BO50" i="42385"/>
  <c r="D29" i="42465"/>
  <c r="BD144" i="42400"/>
  <c r="BD148" i="42400" s="1"/>
  <c r="BD926" i="42385" s="1"/>
  <c r="AW32" i="42385"/>
  <c r="CB130" i="42385"/>
  <c r="Z27" i="42443"/>
  <c r="H315" i="42385"/>
  <c r="AD148" i="42400"/>
  <c r="AD926" i="42385" s="1"/>
  <c r="BP290" i="42400"/>
  <c r="BP294" i="42400" s="1"/>
  <c r="AO144" i="42400"/>
  <c r="BL93" i="42400"/>
  <c r="BA56" i="42385"/>
  <c r="AW26" i="42385"/>
  <c r="BS290" i="42400"/>
  <c r="BS294" i="42400" s="1"/>
  <c r="AG43" i="42385"/>
  <c r="R174" i="42385"/>
  <c r="S174" i="42385" s="1"/>
  <c r="T174" i="42385" s="1"/>
  <c r="U174" i="42385" s="1"/>
  <c r="V174" i="42385" s="1"/>
  <c r="J281" i="42400"/>
  <c r="BB43" i="42400"/>
  <c r="BY235" i="42400"/>
  <c r="AK45" i="42400"/>
  <c r="AK51" i="42400" s="1"/>
  <c r="AK802" i="42385" s="1"/>
  <c r="AK803" i="42385" s="1"/>
  <c r="CS803" i="42385" s="1"/>
  <c r="AI224" i="42400"/>
  <c r="AS248" i="42424"/>
  <c r="AS250" i="42424" s="1"/>
  <c r="AW252" i="42424" s="1"/>
  <c r="Y135" i="42424"/>
  <c r="Y137" i="42424" s="1"/>
  <c r="BO1112" i="42385"/>
  <c r="CY1112" i="42385" s="1"/>
  <c r="U1647" i="42385"/>
  <c r="AD345" i="42385"/>
  <c r="AD346" i="42385"/>
  <c r="BB1314" i="42385"/>
  <c r="BC1304" i="42385"/>
  <c r="Q256" i="42385"/>
  <c r="P258" i="42385"/>
  <c r="Z1660" i="42385"/>
  <c r="Z1567" i="42385"/>
  <c r="Z1585" i="42385"/>
  <c r="AS1564" i="42385"/>
  <c r="AT1504" i="42385"/>
  <c r="AS1406" i="42385"/>
  <c r="AD144" i="42470"/>
  <c r="N1504" i="42385"/>
  <c r="N1575" i="42385"/>
  <c r="N1577" i="42385" s="1"/>
  <c r="AK1500" i="42385"/>
  <c r="AK1510" i="42385"/>
  <c r="CS1510" i="42385" s="1"/>
  <c r="CS1511" i="42385"/>
  <c r="CT341" i="42385"/>
  <c r="AP342" i="42385"/>
  <c r="CT342" i="42385" s="1"/>
  <c r="DK334" i="42464"/>
  <c r="DO336" i="42464" s="1"/>
  <c r="AP218" i="42385"/>
  <c r="AU342" i="42385"/>
  <c r="CU342" i="42385" s="1"/>
  <c r="AP357" i="42385"/>
  <c r="CT357" i="42385" s="1"/>
  <c r="G1498" i="42385"/>
  <c r="CM1498" i="42385" s="1"/>
  <c r="C1501" i="42385"/>
  <c r="G1501" i="42385" s="1"/>
  <c r="CM1501" i="42385" s="1"/>
  <c r="BF463" i="42385"/>
  <c r="BF467" i="42385"/>
  <c r="BF469" i="42385" s="1"/>
  <c r="BK462" i="42385"/>
  <c r="S345" i="42385"/>
  <c r="X346" i="42385"/>
  <c r="S346" i="42385"/>
  <c r="L405" i="42385"/>
  <c r="CN405" i="42385" s="1"/>
  <c r="CN404" i="42385"/>
  <c r="L406" i="42385"/>
  <c r="CN406" i="42385" s="1"/>
  <c r="Q406" i="42385"/>
  <c r="CO406" i="42385" s="1"/>
  <c r="GY542" i="42417"/>
  <c r="GX543" i="42417"/>
  <c r="D191" i="42385"/>
  <c r="BV710" i="42385"/>
  <c r="BV234" i="42385" s="1"/>
  <c r="BQ234" i="42385"/>
  <c r="BB54" i="42385"/>
  <c r="BB52" i="42385"/>
  <c r="BK1187" i="42385"/>
  <c r="BF1160" i="42385"/>
  <c r="BF1164" i="42385"/>
  <c r="BF1161" i="42385"/>
  <c r="AI861" i="42385"/>
  <c r="AI865" i="42385"/>
  <c r="AI870" i="42385"/>
  <c r="Z870" i="42385"/>
  <c r="BC56" i="42385"/>
  <c r="AM656" i="42385"/>
  <c r="AM657" i="42385" s="1"/>
  <c r="AM658" i="42385" s="1"/>
  <c r="BT1076" i="42385"/>
  <c r="AN248" i="42424"/>
  <c r="AN250" i="42424" s="1"/>
  <c r="AN252" i="42424" s="1"/>
  <c r="B21" i="42404"/>
  <c r="B30" i="42404"/>
  <c r="BI95" i="42400"/>
  <c r="BI101" i="42400" s="1"/>
  <c r="BI833" i="42385" s="1"/>
  <c r="BI834" i="42385" s="1"/>
  <c r="CW241" i="42385"/>
  <c r="EF452" i="42492"/>
  <c r="AW238" i="42385"/>
  <c r="AZ231" i="42385"/>
  <c r="CV231" i="42385" s="1"/>
  <c r="AQ1107" i="42385"/>
  <c r="AQ256" i="42385" s="1"/>
  <c r="AR1104" i="42385"/>
  <c r="AV1104" i="42385"/>
  <c r="AW1104" i="42385" s="1"/>
  <c r="AX1104" i="42385" s="1"/>
  <c r="AY1104" i="42385" s="1"/>
  <c r="AR87" i="42400"/>
  <c r="AT87" i="42400"/>
  <c r="AS87" i="42400"/>
  <c r="AQ87" i="42400"/>
  <c r="AV342" i="42385"/>
  <c r="AV218" i="42385"/>
  <c r="AZ341" i="42385"/>
  <c r="I345" i="42385"/>
  <c r="L344" i="42385"/>
  <c r="N346" i="42385"/>
  <c r="I346" i="42385"/>
  <c r="CY85" i="42385"/>
  <c r="Q1424" i="42385"/>
  <c r="CO1424" i="42385" s="1"/>
  <c r="E19" i="42472"/>
  <c r="E22" i="42472" s="1"/>
  <c r="CO1406" i="42385"/>
  <c r="BF650" i="42385"/>
  <c r="BF231" i="42385"/>
  <c r="BK640" i="42385"/>
  <c r="X623" i="42385"/>
  <c r="X622" i="42385"/>
  <c r="AH41" i="42385"/>
  <c r="AC42" i="42385"/>
  <c r="AH43" i="42385"/>
  <c r="BN282" i="42385"/>
  <c r="BO282" i="42385" s="1"/>
  <c r="CY282" i="42385" s="1"/>
  <c r="BN232" i="42385"/>
  <c r="BO232" i="42385" s="1"/>
  <c r="CY232" i="42385" s="1"/>
  <c r="AV1590" i="42385"/>
  <c r="AW1590" i="42385" s="1"/>
  <c r="CU1590" i="42385"/>
  <c r="AU1593" i="42385"/>
  <c r="CU1593" i="42385" s="1"/>
  <c r="AQ257" i="42385"/>
  <c r="AQ258" i="42385" s="1"/>
  <c r="AQ1558" i="42385" s="1"/>
  <c r="AQ252" i="42424"/>
  <c r="AX676" i="42385"/>
  <c r="AS676" i="42385"/>
  <c r="AS693" i="42385"/>
  <c r="AS695" i="42385" s="1"/>
  <c r="AS696" i="42385" s="1"/>
  <c r="BG640" i="42385"/>
  <c r="BB650" i="42385"/>
  <c r="BB231" i="42385"/>
  <c r="BB238" i="42385" s="1"/>
  <c r="CT1104" i="42385"/>
  <c r="AP1107" i="42385"/>
  <c r="CW1166" i="42385"/>
  <c r="BE1187" i="42385"/>
  <c r="CW1187" i="42385" s="1"/>
  <c r="CC1465" i="42385"/>
  <c r="CC1459" i="42385"/>
  <c r="CC1524" i="42385"/>
  <c r="CC1452" i="42385"/>
  <c r="CD1442" i="42385"/>
  <c r="CC1464" i="42385"/>
  <c r="CC1460" i="42385"/>
  <c r="CC1450" i="42385"/>
  <c r="CC1458" i="42385"/>
  <c r="CC1451" i="42385"/>
  <c r="AR904" i="42385"/>
  <c r="AS903" i="42385"/>
  <c r="AR1529" i="42385"/>
  <c r="BE469" i="42385"/>
  <c r="CW467" i="42385"/>
  <c r="AU486" i="42385"/>
  <c r="AT487" i="42385"/>
  <c r="AT489" i="42385"/>
  <c r="AT842" i="42385"/>
  <c r="AV841" i="42385"/>
  <c r="AT1532" i="42385"/>
  <c r="AU1532" i="42385" s="1"/>
  <c r="CU1532" i="42385" s="1"/>
  <c r="CR1326" i="42385"/>
  <c r="B53" i="42465"/>
  <c r="B52" i="42465" s="1"/>
  <c r="BE441" i="42385"/>
  <c r="CW441" i="42385" s="1"/>
  <c r="CW440" i="42385"/>
  <c r="BE442" i="42385"/>
  <c r="CW442" i="42385" s="1"/>
  <c r="AS490" i="42385"/>
  <c r="AX491" i="42385"/>
  <c r="AS270" i="42385"/>
  <c r="BW796" i="42385"/>
  <c r="BX795" i="42385"/>
  <c r="BX796" i="42385" s="1"/>
  <c r="Z865" i="42385"/>
  <c r="BK148" i="42400"/>
  <c r="BK926" i="42385" s="1"/>
  <c r="BK927" i="42385" s="1"/>
  <c r="BB71" i="42400"/>
  <c r="BB75" i="42400" s="1"/>
  <c r="BB864" i="42385" s="1"/>
  <c r="BB865" i="42385" s="1"/>
  <c r="BG1186" i="42385"/>
  <c r="C285" i="42400"/>
  <c r="X285" i="42400"/>
  <c r="B19" i="42404"/>
  <c r="BM676" i="42385"/>
  <c r="CR314" i="42385"/>
  <c r="W67" i="42443"/>
  <c r="BR683" i="42385"/>
  <c r="BT683" i="42385" s="1"/>
  <c r="BT702" i="42385" s="1"/>
  <c r="BW670" i="42385"/>
  <c r="BR673" i="42385"/>
  <c r="BT670" i="42385"/>
  <c r="BT671" i="42385" s="1"/>
  <c r="AT1541" i="42385"/>
  <c r="AU1541" i="42385" s="1"/>
  <c r="CU1541" i="42385" s="1"/>
  <c r="AV384" i="42385"/>
  <c r="AU384" i="42385"/>
  <c r="CU384" i="42385" s="1"/>
  <c r="AF1499" i="42385"/>
  <c r="CR1499" i="42385" s="1"/>
  <c r="CR1525" i="42385"/>
  <c r="GP491" i="42417"/>
  <c r="CU241" i="42385"/>
  <c r="O45" i="42476"/>
  <c r="T9" i="42476"/>
  <c r="O9" i="42476"/>
  <c r="AS1536" i="42385"/>
  <c r="AT720" i="42385"/>
  <c r="AS721" i="42385"/>
  <c r="BP1156" i="42385"/>
  <c r="BU1155" i="42385"/>
  <c r="BV240" i="42385"/>
  <c r="BV797" i="42385"/>
  <c r="BV643" i="42385"/>
  <c r="AV228" i="42385"/>
  <c r="BR691" i="42385"/>
  <c r="BF226" i="42400"/>
  <c r="BF235" i="42400" s="1"/>
  <c r="BD71" i="42400"/>
  <c r="BD75" i="42400" s="1"/>
  <c r="BD864" i="42385" s="1"/>
  <c r="BD865" i="42385" s="1"/>
  <c r="AS45" i="42400"/>
  <c r="AS51" i="42400" s="1"/>
  <c r="AS802" i="42385" s="1"/>
  <c r="AS803" i="42385" s="1"/>
  <c r="Y294" i="42400"/>
  <c r="Y298" i="42400" s="1"/>
  <c r="Y895" i="42385" s="1"/>
  <c r="AH224" i="42400"/>
  <c r="BO95" i="42400"/>
  <c r="BO101" i="42400" s="1"/>
  <c r="BO833" i="42385" s="1"/>
  <c r="BT1306" i="42385"/>
  <c r="W50" i="42385"/>
  <c r="W51" i="42385" s="1"/>
  <c r="C35" i="42418"/>
  <c r="V41" i="42417" s="1"/>
  <c r="B8" i="42404"/>
  <c r="BE1300" i="42385"/>
  <c r="V294" i="42400"/>
  <c r="AI50" i="42385"/>
  <c r="AI1647" i="42385"/>
  <c r="Z99" i="42424"/>
  <c r="Z101" i="42424" s="1"/>
  <c r="Z139" i="42424" s="1"/>
  <c r="AD135" i="42424"/>
  <c r="AD137" i="42424" s="1"/>
  <c r="AQ142" i="42400"/>
  <c r="AT142" i="42400"/>
  <c r="AS142" i="42400"/>
  <c r="AR142" i="42400"/>
  <c r="BA341" i="42385"/>
  <c r="BE340" i="42385"/>
  <c r="CW340" i="42385" s="1"/>
  <c r="BO86" i="42385"/>
  <c r="CY86" i="42385" s="1"/>
  <c r="BL88" i="42385"/>
  <c r="BL1645" i="42385" s="1"/>
  <c r="BI542" i="42385"/>
  <c r="BJ540" i="42385"/>
  <c r="CX540" i="42385" s="1"/>
  <c r="BH41" i="42385"/>
  <c r="O12" i="42476"/>
  <c r="T13" i="42476" s="1"/>
  <c r="BC42" i="42385"/>
  <c r="BH43" i="42385"/>
  <c r="BC65" i="42385"/>
  <c r="BC75" i="42385" s="1"/>
  <c r="BZ1379" i="42385"/>
  <c r="DA1379" i="42385"/>
  <c r="BN748" i="42385"/>
  <c r="BI236" i="42385"/>
  <c r="BF78" i="42418"/>
  <c r="Z625" i="42385"/>
  <c r="Y624" i="42385"/>
  <c r="CR24" i="42385"/>
  <c r="B6" i="42465"/>
  <c r="AF26" i="42385"/>
  <c r="CR26" i="42385" s="1"/>
  <c r="AZ952" i="42385"/>
  <c r="CV952" i="42385" s="1"/>
  <c r="CV951" i="42385"/>
  <c r="BO1211" i="42385"/>
  <c r="CY1211" i="42385" s="1"/>
  <c r="CY1210" i="42385"/>
  <c r="BY1537" i="42385"/>
  <c r="BZ739" i="42385"/>
  <c r="BK1162" i="42385"/>
  <c r="BK1167" i="42385"/>
  <c r="BK1170" i="42385"/>
  <c r="BK1157" i="42385"/>
  <c r="AU986" i="42385"/>
  <c r="CU986" i="42385" s="1"/>
  <c r="CU985" i="42385"/>
  <c r="AU631" i="42385"/>
  <c r="AV631" i="42385"/>
  <c r="AT632" i="42385"/>
  <c r="AT1543" i="42385"/>
  <c r="AU1543" i="42385" s="1"/>
  <c r="CU1543" i="42385" s="1"/>
  <c r="AU841" i="42385"/>
  <c r="BL986" i="42385"/>
  <c r="BQ985" i="42385"/>
  <c r="BU776" i="42385"/>
  <c r="BU775" i="42385"/>
  <c r="BU287" i="42385"/>
  <c r="W298" i="42400"/>
  <c r="W895" i="42385" s="1"/>
  <c r="BO235" i="42400"/>
  <c r="BL91" i="42400"/>
  <c r="BL95" i="42400" s="1"/>
  <c r="BL101" i="42400" s="1"/>
  <c r="BL833" i="42385" s="1"/>
  <c r="BL834" i="42385" s="1"/>
  <c r="AR226" i="42400"/>
  <c r="BC155" i="42400"/>
  <c r="AR283" i="42400"/>
  <c r="AE67" i="42443"/>
  <c r="AJ37" i="42400"/>
  <c r="AV148" i="42400"/>
  <c r="AV926" i="42385" s="1"/>
  <c r="AV927" i="42385" s="1"/>
  <c r="AW1024" i="42385"/>
  <c r="AW1026" i="42385"/>
  <c r="AR235" i="42400"/>
  <c r="AR957" i="42385" s="1"/>
  <c r="AR958" i="42385" s="1"/>
  <c r="CD235" i="42400"/>
  <c r="BF144" i="42400"/>
  <c r="BF148" i="42400" s="1"/>
  <c r="BF926" i="42385" s="1"/>
  <c r="BF927" i="42385" s="1"/>
  <c r="AR285" i="42400"/>
  <c r="BN91" i="42400"/>
  <c r="BN95" i="42400" s="1"/>
  <c r="BN101" i="42400" s="1"/>
  <c r="BN833" i="42385" s="1"/>
  <c r="BN834" i="42385" s="1"/>
  <c r="AA67" i="42443"/>
  <c r="AG148" i="42400"/>
  <c r="AG926" i="42385" s="1"/>
  <c r="AS283" i="42400"/>
  <c r="AU285" i="42400"/>
  <c r="AU298" i="42400" s="1"/>
  <c r="AU895" i="42385" s="1"/>
  <c r="Y44" i="42417"/>
  <c r="AH37" i="42400"/>
  <c r="BK91" i="42400"/>
  <c r="BK95" i="42400" s="1"/>
  <c r="BK101" i="42400" s="1"/>
  <c r="BK833" i="42385" s="1"/>
  <c r="BK834" i="42385" s="1"/>
  <c r="AO45" i="42400"/>
  <c r="AO51" i="42400" s="1"/>
  <c r="AO802" i="42385" s="1"/>
  <c r="AO803" i="42385" s="1"/>
  <c r="BD155" i="42400"/>
  <c r="BD158" i="42400" s="1"/>
  <c r="AQ283" i="42400"/>
  <c r="AQ285" i="42400" s="1"/>
  <c r="AS235" i="42400"/>
  <c r="AS957" i="42385" s="1"/>
  <c r="AS958" i="42385" s="1"/>
  <c r="AI37" i="42400"/>
  <c r="BL148" i="42400"/>
  <c r="BL926" i="42385" s="1"/>
  <c r="BL927" i="42385" s="1"/>
  <c r="AB156" i="42424"/>
  <c r="AV40" i="42385"/>
  <c r="AV50" i="42385"/>
  <c r="AV54" i="42385" s="1"/>
  <c r="AV26" i="42385"/>
  <c r="BA32" i="42385"/>
  <c r="AV27" i="42385"/>
  <c r="AV32" i="42385"/>
  <c r="H8" i="42476"/>
  <c r="M9" i="42476" s="1"/>
  <c r="BG122" i="42385"/>
  <c r="Z1514" i="42385"/>
  <c r="D1514" i="42385"/>
  <c r="AW50" i="42385"/>
  <c r="AW65" i="42385" s="1"/>
  <c r="AW75" i="42385" s="1"/>
  <c r="AW27" i="42385"/>
  <c r="V1645" i="42385"/>
  <c r="BB32" i="42385"/>
  <c r="I8" i="42476"/>
  <c r="I45" i="42476" s="1"/>
  <c r="AG65" i="42385"/>
  <c r="BG55" i="42385"/>
  <c r="AG54" i="42385"/>
  <c r="AL55" i="42385" s="1"/>
  <c r="AZ252" i="42424"/>
  <c r="AV252" i="42424"/>
  <c r="BC71" i="42400"/>
  <c r="BC75" i="42400" s="1"/>
  <c r="BC864" i="42385" s="1"/>
  <c r="BC865" i="42385" s="1"/>
  <c r="BM158" i="42400"/>
  <c r="BN45" i="42400"/>
  <c r="BN51" i="42400" s="1"/>
  <c r="BN802" i="42385" s="1"/>
  <c r="BN803" i="42385" s="1"/>
  <c r="BJ1120" i="42385"/>
  <c r="CX1120" i="42385" s="1"/>
  <c r="AY279" i="42400"/>
  <c r="AV279" i="42400"/>
  <c r="AX279" i="42400"/>
  <c r="AW279" i="42400"/>
  <c r="AY95" i="42400"/>
  <c r="AY101" i="42400" s="1"/>
  <c r="AY833" i="42385" s="1"/>
  <c r="BE1122" i="42385"/>
  <c r="CW1122" i="42385" s="1"/>
  <c r="BF95" i="42400"/>
  <c r="BF101" i="42400" s="1"/>
  <c r="BF833" i="42385" s="1"/>
  <c r="BF834" i="42385" s="1"/>
  <c r="CS613" i="42385"/>
  <c r="AM613" i="42385"/>
  <c r="AO613" i="42385" s="1"/>
  <c r="AB148" i="42400"/>
  <c r="AB926" i="42385" s="1"/>
  <c r="AB923" i="42385" s="1"/>
  <c r="AB924" i="42385" s="1"/>
  <c r="AX294" i="42400"/>
  <c r="BB1355" i="42385"/>
  <c r="BB1364" i="42385" s="1"/>
  <c r="BA1364" i="42385"/>
  <c r="CW1384" i="42385"/>
  <c r="BF1384" i="42385"/>
  <c r="C298" i="42400"/>
  <c r="C895" i="42385" s="1"/>
  <c r="C892" i="42385" s="1"/>
  <c r="AA201" i="42385"/>
  <c r="AA206" i="42385" s="1"/>
  <c r="CJ305" i="42492"/>
  <c r="AI137" i="42400"/>
  <c r="AU235" i="42400"/>
  <c r="BT1112" i="42385"/>
  <c r="CZ1112" i="42385" s="1"/>
  <c r="AW282" i="42400"/>
  <c r="AY282" i="42400"/>
  <c r="AV282" i="42400"/>
  <c r="AX282" i="42400"/>
  <c r="H834" i="42385"/>
  <c r="H839" i="42385"/>
  <c r="H830" i="42385"/>
  <c r="BT1114" i="42385"/>
  <c r="CZ1114" i="42385" s="1"/>
  <c r="BW1114" i="42385"/>
  <c r="BY1114" i="42385" s="1"/>
  <c r="BR1375" i="42385"/>
  <c r="BS1373" i="42385"/>
  <c r="T281" i="42400"/>
  <c r="T285" i="42400" s="1"/>
  <c r="S281" i="42400"/>
  <c r="U281" i="42400"/>
  <c r="U285" i="42400" s="1"/>
  <c r="R281" i="42400"/>
  <c r="BD1383" i="42385"/>
  <c r="BE1383" i="42385" s="1"/>
  <c r="BC1483" i="42385"/>
  <c r="BK1120" i="42385"/>
  <c r="BS1190" i="42385"/>
  <c r="BR1197" i="42385"/>
  <c r="CP258" i="42385"/>
  <c r="V128" i="42385"/>
  <c r="CP128" i="42385" s="1"/>
  <c r="V1558" i="42385"/>
  <c r="CP1558" i="42385" s="1"/>
  <c r="AJ42" i="42400"/>
  <c r="AI42" i="42400"/>
  <c r="AH42" i="42400"/>
  <c r="AG42" i="42400"/>
  <c r="L34" i="42476"/>
  <c r="E37" i="42409"/>
  <c r="CV1500" i="42385"/>
  <c r="AK808" i="42385"/>
  <c r="AM834" i="42385"/>
  <c r="AD865" i="42385"/>
  <c r="AQ990" i="42385"/>
  <c r="AQ992" i="42385" s="1"/>
  <c r="AQ997" i="42385" s="1"/>
  <c r="AW294" i="42400"/>
  <c r="AL45" i="42400"/>
  <c r="AL51" i="42400" s="1"/>
  <c r="AL802" i="42385" s="1"/>
  <c r="AL799" i="42385" s="1"/>
  <c r="AQ799" i="42385" s="1"/>
  <c r="AO95" i="42400"/>
  <c r="AO101" i="42400" s="1"/>
  <c r="AO833" i="42385" s="1"/>
  <c r="AO834" i="42385" s="1"/>
  <c r="BK165" i="42400"/>
  <c r="BP40" i="42400"/>
  <c r="BK656" i="42385"/>
  <c r="BK657" i="42385" s="1"/>
  <c r="BK658" i="42385" s="1"/>
  <c r="AE294" i="42400"/>
  <c r="AE45" i="42400"/>
  <c r="AE51" i="42400" s="1"/>
  <c r="AE802" i="42385" s="1"/>
  <c r="AE799" i="42385" s="1"/>
  <c r="BP67" i="42400"/>
  <c r="BI294" i="42400"/>
  <c r="BD298" i="42400"/>
  <c r="BD895" i="42385" s="1"/>
  <c r="H1504" i="42385"/>
  <c r="CM1564" i="42385"/>
  <c r="AG223" i="42400"/>
  <c r="BT71" i="42400"/>
  <c r="AX148" i="42400"/>
  <c r="AX926" i="42385" s="1"/>
  <c r="AX927" i="42385" s="1"/>
  <c r="AH67" i="42443"/>
  <c r="CQ1563" i="42385"/>
  <c r="X294" i="42400"/>
  <c r="X298" i="42400" s="1"/>
  <c r="X895" i="42385" s="1"/>
  <c r="AE71" i="42400"/>
  <c r="AE75" i="42400" s="1"/>
  <c r="AE864" i="42385" s="1"/>
  <c r="CV1564" i="42385"/>
  <c r="AN235" i="42400"/>
  <c r="AN957" i="42385" s="1"/>
  <c r="AN958" i="42385" s="1"/>
  <c r="BF279" i="42400"/>
  <c r="BF285" i="42400" s="1"/>
  <c r="BF298" i="42400" s="1"/>
  <c r="BF895" i="42385" s="1"/>
  <c r="BF896" i="42385" s="1"/>
  <c r="BN279" i="42400"/>
  <c r="BN285" i="42400" s="1"/>
  <c r="BN298" i="42400" s="1"/>
  <c r="BN895" i="42385" s="1"/>
  <c r="BN896" i="42385" s="1"/>
  <c r="BI279" i="42400"/>
  <c r="BM279" i="42400"/>
  <c r="BG279" i="42400"/>
  <c r="BS279" i="42400"/>
  <c r="BP279" i="42400"/>
  <c r="BK279" i="42400"/>
  <c r="BR279" i="42400"/>
  <c r="BR285" i="42400" s="1"/>
  <c r="BL279" i="42400"/>
  <c r="BL285" i="42400" s="1"/>
  <c r="BL298" i="42400" s="1"/>
  <c r="BL895" i="42385" s="1"/>
  <c r="BL896" i="42385" s="1"/>
  <c r="BH279" i="42400"/>
  <c r="BH285" i="42400" s="1"/>
  <c r="BH298" i="42400" s="1"/>
  <c r="BH895" i="42385" s="1"/>
  <c r="BH896" i="42385" s="1"/>
  <c r="BQ279" i="42400"/>
  <c r="AX69" i="42400"/>
  <c r="AV69" i="42400"/>
  <c r="CM1346" i="42385"/>
  <c r="G1366" i="42385"/>
  <c r="BN1486" i="42385"/>
  <c r="BO1386" i="42385"/>
  <c r="BN1563" i="42385"/>
  <c r="BN1593" i="42385" s="1"/>
  <c r="CS1421" i="42385"/>
  <c r="I18" i="42472"/>
  <c r="C34" i="42465"/>
  <c r="AF1660" i="42385"/>
  <c r="AF1585" i="42385"/>
  <c r="CR1585" i="42385" s="1"/>
  <c r="AF1567" i="42385"/>
  <c r="CR1567" i="42385" s="1"/>
  <c r="CR1564" i="42385"/>
  <c r="BT185" i="42417"/>
  <c r="BT187" i="42417" s="1"/>
  <c r="BT197" i="42417" s="1"/>
  <c r="T291" i="42400"/>
  <c r="S291" i="42400"/>
  <c r="U291" i="42400"/>
  <c r="R291" i="42400"/>
  <c r="AR68" i="42400"/>
  <c r="AT68" i="42400"/>
  <c r="AQ68" i="42400"/>
  <c r="AS68" i="42400"/>
  <c r="BJ834" i="42385"/>
  <c r="CX834" i="42385" s="1"/>
  <c r="CX833" i="42385"/>
  <c r="AH222" i="42400"/>
  <c r="AH226" i="42400" s="1"/>
  <c r="AI222" i="42400"/>
  <c r="AI226" i="42400" s="1"/>
  <c r="AJ222" i="42400"/>
  <c r="AG222" i="42400"/>
  <c r="BD1497" i="42385"/>
  <c r="BE1497" i="42385" s="1"/>
  <c r="CW1497" i="42385" s="1"/>
  <c r="AW474" i="42385"/>
  <c r="AW475" i="42385" s="1"/>
  <c r="AX472" i="42385"/>
  <c r="AW473" i="42385"/>
  <c r="AW1547" i="42385"/>
  <c r="J292" i="42400"/>
  <c r="I292" i="42400"/>
  <c r="K292" i="42400"/>
  <c r="H292" i="42400"/>
  <c r="BP92" i="42400"/>
  <c r="BR92" i="42400"/>
  <c r="L1424" i="42385"/>
  <c r="D19" i="42472"/>
  <c r="D22" i="42472" s="1"/>
  <c r="CN1406" i="42385"/>
  <c r="AT165" i="42400"/>
  <c r="AT169" i="42400" s="1"/>
  <c r="AT988" i="42385" s="1"/>
  <c r="AU988" i="42385" s="1"/>
  <c r="BN1103" i="42385"/>
  <c r="BJ1103" i="42385"/>
  <c r="CX1103" i="42385" s="1"/>
  <c r="AH40" i="42400"/>
  <c r="AI40" i="42400"/>
  <c r="AG40" i="42400"/>
  <c r="AJ40" i="42400"/>
  <c r="BM285" i="42400"/>
  <c r="BM298" i="42400" s="1"/>
  <c r="BM895" i="42385" s="1"/>
  <c r="BM896" i="42385" s="1"/>
  <c r="AG91" i="42400"/>
  <c r="AJ91" i="42400"/>
  <c r="AJ95" i="42400" s="1"/>
  <c r="AJ101" i="42400" s="1"/>
  <c r="AJ833" i="42385" s="1"/>
  <c r="AI91" i="42400"/>
  <c r="AI95" i="42400" s="1"/>
  <c r="AI101" i="42400" s="1"/>
  <c r="AI833" i="42385" s="1"/>
  <c r="AH91" i="42400"/>
  <c r="AH95" i="42400" s="1"/>
  <c r="AH101" i="42400" s="1"/>
  <c r="AH833" i="42385" s="1"/>
  <c r="CU1421" i="42385"/>
  <c r="G42" i="42476"/>
  <c r="E34" i="42465"/>
  <c r="E35" i="42465" s="1"/>
  <c r="AV202" i="42385"/>
  <c r="K18" i="42472"/>
  <c r="K22" i="42472" s="1"/>
  <c r="AU1424" i="42385"/>
  <c r="CU1424" i="42385" s="1"/>
  <c r="AU202" i="42385"/>
  <c r="AR66" i="42400"/>
  <c r="AS66" i="42400"/>
  <c r="AQ66" i="42400"/>
  <c r="AT66" i="42400"/>
  <c r="CS802" i="42385"/>
  <c r="Q901" i="42385"/>
  <c r="CO901" i="42385" s="1"/>
  <c r="BT75" i="42400"/>
  <c r="BT864" i="42385" s="1"/>
  <c r="BT865" i="42385" s="1"/>
  <c r="CZ865" i="42385" s="1"/>
  <c r="AD861" i="42385"/>
  <c r="AD862" i="42385" s="1"/>
  <c r="BI71" i="42400"/>
  <c r="BI75" i="42400" s="1"/>
  <c r="BI864" i="42385" s="1"/>
  <c r="AM45" i="42400"/>
  <c r="AM51" i="42400" s="1"/>
  <c r="AM802" i="42385" s="1"/>
  <c r="BL169" i="42400"/>
  <c r="BL988" i="42385" s="1"/>
  <c r="BL989" i="42385" s="1"/>
  <c r="BX235" i="42400"/>
  <c r="BK285" i="42400"/>
  <c r="BM95" i="42400"/>
  <c r="BM101" i="42400" s="1"/>
  <c r="BM833" i="42385" s="1"/>
  <c r="CM1402" i="42385"/>
  <c r="R285" i="42400"/>
  <c r="AC233" i="42400"/>
  <c r="AC235" i="42400" s="1"/>
  <c r="AC957" i="42385" s="1"/>
  <c r="S285" i="42400"/>
  <c r="AJ223" i="42400"/>
  <c r="AJ226" i="42400" s="1"/>
  <c r="M285" i="42400"/>
  <c r="BA71" i="42400"/>
  <c r="BA75" i="42400" s="1"/>
  <c r="BA864" i="42385" s="1"/>
  <c r="BA865" i="42385" s="1"/>
  <c r="Z156" i="42424"/>
  <c r="AV66" i="42400"/>
  <c r="AW66" i="42400"/>
  <c r="AW71" i="42400" s="1"/>
  <c r="AW75" i="42400" s="1"/>
  <c r="AW864" i="42385" s="1"/>
  <c r="AW865" i="42385" s="1"/>
  <c r="AY66" i="42400"/>
  <c r="AY71" i="42400" s="1"/>
  <c r="AY75" i="42400" s="1"/>
  <c r="AY864" i="42385" s="1"/>
  <c r="AY865" i="42385" s="1"/>
  <c r="AX66" i="42400"/>
  <c r="AX71" i="42400" s="1"/>
  <c r="AX75" i="42400" s="1"/>
  <c r="AX864" i="42385" s="1"/>
  <c r="AX865" i="42385" s="1"/>
  <c r="AA1564" i="42385"/>
  <c r="CQ1402" i="42385"/>
  <c r="AA1406" i="42385"/>
  <c r="AB1504" i="42385"/>
  <c r="AA42" i="42476"/>
  <c r="CY1421" i="42385"/>
  <c r="O18" i="42472"/>
  <c r="BO202" i="42385"/>
  <c r="O42" i="42476"/>
  <c r="BD202" i="42385"/>
  <c r="BA162" i="42400"/>
  <c r="BC162" i="42400"/>
  <c r="AS291" i="42400"/>
  <c r="AQ291" i="42400"/>
  <c r="AQ294" i="42400" s="1"/>
  <c r="AT291" i="42400"/>
  <c r="AR291" i="42400"/>
  <c r="AR294" i="42400" s="1"/>
  <c r="AR63" i="42400"/>
  <c r="AU71" i="42400"/>
  <c r="AU75" i="42400" s="1"/>
  <c r="AU864" i="42385" s="1"/>
  <c r="AS63" i="42400"/>
  <c r="AT63" i="42400"/>
  <c r="AQ63" i="42400"/>
  <c r="CO183" i="42385"/>
  <c r="R183" i="42385"/>
  <c r="S183" i="42385" s="1"/>
  <c r="T183" i="42385" s="1"/>
  <c r="U183" i="42385" s="1"/>
  <c r="V183" i="42385" s="1"/>
  <c r="BD1485" i="42385"/>
  <c r="BE1485" i="42385" s="1"/>
  <c r="CW1485" i="42385" s="1"/>
  <c r="BE1385" i="42385"/>
  <c r="BP1385" i="42385"/>
  <c r="BP1485" i="42385" s="1"/>
  <c r="CY1385" i="42385"/>
  <c r="AT1547" i="42385"/>
  <c r="AT474" i="42385"/>
  <c r="AT475" i="42385" s="1"/>
  <c r="AU475" i="42385" s="1"/>
  <c r="CU475" i="42385" s="1"/>
  <c r="AT473" i="42385"/>
  <c r="BQ1203" i="42385"/>
  <c r="BQ1224" i="42385" s="1"/>
  <c r="BQ1214" i="42385"/>
  <c r="BY1112" i="42385"/>
  <c r="DA1112" i="42385" s="1"/>
  <c r="AI1139" i="42385"/>
  <c r="AJ939" i="42385"/>
  <c r="AS294" i="42400"/>
  <c r="BQ285" i="42400"/>
  <c r="BQ298" i="42400" s="1"/>
  <c r="BQ895" i="42385" s="1"/>
  <c r="BQ896" i="42385" s="1"/>
  <c r="BG285" i="42400"/>
  <c r="BG298" i="42400" s="1"/>
  <c r="BG895" i="42385" s="1"/>
  <c r="BG896" i="42385" s="1"/>
  <c r="CN1565" i="42385"/>
  <c r="L1661" i="42385"/>
  <c r="AT67" i="42400"/>
  <c r="AR67" i="42400"/>
  <c r="AS67" i="42400"/>
  <c r="AQ67" i="42400"/>
  <c r="BX339" i="42385"/>
  <c r="BX340" i="42385" s="1"/>
  <c r="BX341" i="42385" s="1"/>
  <c r="BY336" i="42385"/>
  <c r="H282" i="42400"/>
  <c r="K282" i="42400"/>
  <c r="I282" i="42400"/>
  <c r="J282" i="42400"/>
  <c r="BP91" i="42400"/>
  <c r="BS91" i="42400"/>
  <c r="BR91" i="42400"/>
  <c r="BQ91" i="42400"/>
  <c r="AG41" i="42400"/>
  <c r="AH41" i="42400"/>
  <c r="AI41" i="42400"/>
  <c r="AJ41" i="42400"/>
  <c r="AR252" i="42424"/>
  <c r="BF71" i="42400"/>
  <c r="BF75" i="42400" s="1"/>
  <c r="BF864" i="42385" s="1"/>
  <c r="AN45" i="42400"/>
  <c r="AN51" i="42400" s="1"/>
  <c r="AN802" i="42385" s="1"/>
  <c r="AN803" i="42385" s="1"/>
  <c r="BM71" i="42400"/>
  <c r="BM75" i="42400" s="1"/>
  <c r="BM864" i="42385" s="1"/>
  <c r="BM865" i="42385" s="1"/>
  <c r="AE226" i="42400"/>
  <c r="AE235" i="42400" s="1"/>
  <c r="AE957" i="42385" s="1"/>
  <c r="AE963" i="42385" s="1"/>
  <c r="AE285" i="42400"/>
  <c r="AV285" i="42400"/>
  <c r="BJ169" i="42400"/>
  <c r="BJ988" i="42385" s="1"/>
  <c r="BJ989" i="42385" s="1"/>
  <c r="CX989" i="42385" s="1"/>
  <c r="BQ67" i="42400"/>
  <c r="AB71" i="42400"/>
  <c r="AB75" i="42400" s="1"/>
  <c r="AB864" i="42385" s="1"/>
  <c r="AV165" i="42400"/>
  <c r="AV169" i="42400" s="1"/>
  <c r="AV988" i="42385" s="1"/>
  <c r="BI285" i="42400"/>
  <c r="BI298" i="42400" s="1"/>
  <c r="BI895" i="42385" s="1"/>
  <c r="BI896" i="42385" s="1"/>
  <c r="BK294" i="42400"/>
  <c r="AO235" i="42400"/>
  <c r="AO957" i="42385" s="1"/>
  <c r="AO958" i="42385" s="1"/>
  <c r="BT95" i="42400"/>
  <c r="BT101" i="42400" s="1"/>
  <c r="BT833" i="42385" s="1"/>
  <c r="CC235" i="42400"/>
  <c r="G1567" i="42385"/>
  <c r="CM1567" i="42385" s="1"/>
  <c r="AY294" i="42400"/>
  <c r="AY235" i="42400"/>
  <c r="AY957" i="42385" s="1"/>
  <c r="AY958" i="42385" s="1"/>
  <c r="BH144" i="42400"/>
  <c r="BH148" i="42400" s="1"/>
  <c r="BH926" i="42385" s="1"/>
  <c r="BH927" i="42385" s="1"/>
  <c r="AK226" i="42400"/>
  <c r="AW148" i="42400"/>
  <c r="AW926" i="42385" s="1"/>
  <c r="AW927" i="42385" s="1"/>
  <c r="O294" i="42400"/>
  <c r="V285" i="42400"/>
  <c r="BN71" i="42400"/>
  <c r="BN75" i="42400" s="1"/>
  <c r="BN864" i="42385" s="1"/>
  <c r="BN865" i="42385" s="1"/>
  <c r="AZ1660" i="42385"/>
  <c r="H18" i="42472"/>
  <c r="H22" i="42472" s="1"/>
  <c r="B34" i="42465"/>
  <c r="CR1421" i="42385"/>
  <c r="BQ1414" i="42385"/>
  <c r="BP1421" i="42385"/>
  <c r="R289" i="42400"/>
  <c r="R294" i="42400" s="1"/>
  <c r="U289" i="42400"/>
  <c r="U294" i="42400" s="1"/>
  <c r="S289" i="42400"/>
  <c r="S294" i="42400" s="1"/>
  <c r="T289" i="42400"/>
  <c r="T294" i="42400" s="1"/>
  <c r="AR65" i="42400"/>
  <c r="AR71" i="42400" s="1"/>
  <c r="AR75" i="42400" s="1"/>
  <c r="AR864" i="42385" s="1"/>
  <c r="AR865" i="42385" s="1"/>
  <c r="AT65" i="42400"/>
  <c r="AS65" i="42400"/>
  <c r="AQ65" i="42400"/>
  <c r="DB1395" i="42385"/>
  <c r="CA1395" i="42385"/>
  <c r="AK95" i="42400"/>
  <c r="AK101" i="42400" s="1"/>
  <c r="AK833" i="42385" s="1"/>
  <c r="BS89" i="42400"/>
  <c r="BP89" i="42400"/>
  <c r="BQ89" i="42400"/>
  <c r="BQ95" i="42400" s="1"/>
  <c r="BQ101" i="42400" s="1"/>
  <c r="BQ833" i="42385" s="1"/>
  <c r="BQ834" i="42385" s="1"/>
  <c r="BR89" i="42400"/>
  <c r="BR95" i="42400" s="1"/>
  <c r="BR101" i="42400" s="1"/>
  <c r="BR833" i="42385" s="1"/>
  <c r="BR834" i="42385" s="1"/>
  <c r="L1567" i="42385"/>
  <c r="CN1567" i="42385" s="1"/>
  <c r="CV1113" i="42385"/>
  <c r="AZ1115" i="42385"/>
  <c r="AG43" i="42400"/>
  <c r="AI43" i="42400"/>
  <c r="AJ38" i="42400"/>
  <c r="AG38" i="42400"/>
  <c r="AH38" i="42400"/>
  <c r="AH45" i="42400" s="1"/>
  <c r="AH51" i="42400" s="1"/>
  <c r="AH802" i="42385" s="1"/>
  <c r="AI38" i="42400"/>
  <c r="AI45" i="42400" s="1"/>
  <c r="AI51" i="42400" s="1"/>
  <c r="AI802" i="42385" s="1"/>
  <c r="CV1406" i="42385"/>
  <c r="L19" i="42472"/>
  <c r="F29" i="42465"/>
  <c r="Q1366" i="42385"/>
  <c r="CX40" i="42385"/>
  <c r="BJ42" i="42385"/>
  <c r="CX42" i="42385" s="1"/>
  <c r="BJ1569" i="42385"/>
  <c r="V12" i="42476"/>
  <c r="V71" i="42476" s="1"/>
  <c r="V74" i="42476" s="1"/>
  <c r="BJ65" i="42385"/>
  <c r="AA1554" i="42385"/>
  <c r="CQ1554" i="42385" s="1"/>
  <c r="AA38" i="42385"/>
  <c r="AA40" i="42385" s="1"/>
  <c r="CQ40" i="42385" s="1"/>
  <c r="CQ34" i="42385"/>
  <c r="E942" i="42385"/>
  <c r="G941" i="42385"/>
  <c r="AD958" i="42385"/>
  <c r="AD954" i="42385"/>
  <c r="AD955" i="42385" s="1"/>
  <c r="AD963" i="42385"/>
  <c r="CM169" i="42385"/>
  <c r="H169" i="42385"/>
  <c r="I169" i="42385" s="1"/>
  <c r="J169" i="42385" s="1"/>
  <c r="K169" i="42385" s="1"/>
  <c r="L169" i="42385" s="1"/>
  <c r="AS41" i="42385"/>
  <c r="AS43" i="42385"/>
  <c r="BI118" i="42385"/>
  <c r="BI133" i="42385"/>
  <c r="AB97" i="42492" s="1"/>
  <c r="AU774" i="42385"/>
  <c r="AT287" i="42385"/>
  <c r="AU287" i="42385" s="1"/>
  <c r="AT776" i="42385"/>
  <c r="AT775" i="42385"/>
  <c r="BT134" i="42385"/>
  <c r="CZ134" i="42385" s="1"/>
  <c r="CZ166" i="42385"/>
  <c r="CX1166" i="42385"/>
  <c r="BJ1187" i="42385"/>
  <c r="CX1187" i="42385" s="1"/>
  <c r="BJ1168" i="42385"/>
  <c r="CX1168" i="42385" s="1"/>
  <c r="BI650" i="42385"/>
  <c r="BN649" i="42385"/>
  <c r="BO450" i="42385"/>
  <c r="CX450" i="42385"/>
  <c r="BA268" i="42385"/>
  <c r="BE268" i="42385" s="1"/>
  <c r="CW268" i="42385" s="1"/>
  <c r="BA442" i="42385"/>
  <c r="BA441" i="42385"/>
  <c r="Y139" i="42424"/>
  <c r="AR603" i="42385"/>
  <c r="AR274" i="42385"/>
  <c r="CU310" i="42385"/>
  <c r="F19" i="42464"/>
  <c r="GP527" i="42417"/>
  <c r="FX441" i="42417"/>
  <c r="AS357" i="42385"/>
  <c r="AS1528" i="42385"/>
  <c r="AU356" i="42385"/>
  <c r="AT356" i="42385"/>
  <c r="BL371" i="42385"/>
  <c r="BL219" i="42385"/>
  <c r="CZ1306" i="42385"/>
  <c r="BT1314" i="42385"/>
  <c r="CZ1314" i="42385" s="1"/>
  <c r="AO245" i="42385"/>
  <c r="GN497" i="42417" s="1"/>
  <c r="AO952" i="42385"/>
  <c r="AT952" i="42385"/>
  <c r="AP951" i="42385"/>
  <c r="AV644" i="42385"/>
  <c r="AV647" i="42385"/>
  <c r="BA643" i="42385"/>
  <c r="AY774" i="42385"/>
  <c r="AY771" i="42385"/>
  <c r="BS1077" i="42385"/>
  <c r="BS1073" i="42385"/>
  <c r="BT1072" i="42385"/>
  <c r="BS1074" i="42385"/>
  <c r="BJ1180" i="42385"/>
  <c r="CX1177" i="42385"/>
  <c r="BJ1178" i="42385"/>
  <c r="CX1178" i="42385" s="1"/>
  <c r="AW284" i="42385"/>
  <c r="AW719" i="42385"/>
  <c r="AW718" i="42385"/>
  <c r="BP509" i="42385"/>
  <c r="BP512" i="42385"/>
  <c r="BP514" i="42385" s="1"/>
  <c r="G1499" i="42385"/>
  <c r="CM1499" i="42385" s="1"/>
  <c r="CM1525" i="42385"/>
  <c r="AJ1375" i="42385"/>
  <c r="AJ1424" i="42385" s="1"/>
  <c r="AK1373" i="42385"/>
  <c r="AT598" i="42385"/>
  <c r="AT597" i="42385" s="1"/>
  <c r="AS597" i="42385"/>
  <c r="BP1234" i="42385"/>
  <c r="BK1234" i="42385"/>
  <c r="CW1300" i="42385"/>
  <c r="BE115" i="42385"/>
  <c r="BF370" i="42385"/>
  <c r="BK369" i="42385"/>
  <c r="CM1575" i="42385"/>
  <c r="G1577" i="42385"/>
  <c r="CM1577" i="42385" s="1"/>
  <c r="BG371" i="42385"/>
  <c r="BG219" i="42385"/>
  <c r="BQ233" i="42385"/>
  <c r="AF113" i="42385"/>
  <c r="CR113" i="42385" s="1"/>
  <c r="AD808" i="42385"/>
  <c r="AY1314" i="42385"/>
  <c r="AT294" i="42400"/>
  <c r="AT298" i="42400" s="1"/>
  <c r="AT895" i="42385" s="1"/>
  <c r="AT896" i="42385" s="1"/>
  <c r="AW40" i="42385"/>
  <c r="AW41" i="42385" s="1"/>
  <c r="D849" i="42385"/>
  <c r="I850" i="42385" s="1"/>
  <c r="G848" i="42385"/>
  <c r="BM283" i="42385"/>
  <c r="BM696" i="42385"/>
  <c r="AI40" i="42385"/>
  <c r="AN26" i="42385"/>
  <c r="AI27" i="42385"/>
  <c r="AI26" i="42385"/>
  <c r="AN32" i="42385"/>
  <c r="AI344" i="42385"/>
  <c r="AI354" i="42385"/>
  <c r="BY131" i="42385"/>
  <c r="CZ130" i="42385"/>
  <c r="BT133" i="42385"/>
  <c r="CZ133" i="42385" s="1"/>
  <c r="P801" i="42385"/>
  <c r="U801" i="42385"/>
  <c r="P800" i="42385"/>
  <c r="AB346" i="42385"/>
  <c r="W345" i="42385"/>
  <c r="AF129" i="42492"/>
  <c r="AG129" i="42492" s="1"/>
  <c r="AG111" i="42492"/>
  <c r="BR748" i="42385"/>
  <c r="BM236" i="42385"/>
  <c r="BM752" i="42385"/>
  <c r="BM755" i="42385"/>
  <c r="BA371" i="42385"/>
  <c r="BA219" i="42385"/>
  <c r="BD755" i="42385"/>
  <c r="BI751" i="42385"/>
  <c r="BD752" i="42385"/>
  <c r="V693" i="42385"/>
  <c r="V695" i="42385" s="1"/>
  <c r="V696" i="42385" s="1"/>
  <c r="V676" i="42385"/>
  <c r="AA676" i="42385"/>
  <c r="BY1076" i="42385"/>
  <c r="BZ1076" i="42385" s="1"/>
  <c r="CA1076" i="42385" s="1"/>
  <c r="BR108" i="42385"/>
  <c r="BT1281" i="42385"/>
  <c r="BT1323" i="42385"/>
  <c r="BR116" i="42385"/>
  <c r="BT116" i="42385" s="1"/>
  <c r="E831" i="42385"/>
  <c r="J832" i="42385"/>
  <c r="CS19" i="42385"/>
  <c r="AK28" i="42385"/>
  <c r="AK348" i="42385"/>
  <c r="AJ347" i="42385"/>
  <c r="BF268" i="42385"/>
  <c r="BF441" i="42385"/>
  <c r="BK442" i="42385"/>
  <c r="BF442" i="42385"/>
  <c r="CT401" i="42385"/>
  <c r="AP402" i="42385"/>
  <c r="CT402" i="42385" s="1"/>
  <c r="AP220" i="42385"/>
  <c r="BE221" i="42385"/>
  <c r="BA1233" i="42385"/>
  <c r="CN50" i="42385"/>
  <c r="L54" i="42385"/>
  <c r="CA451" i="42385"/>
  <c r="DB451" i="42385"/>
  <c r="CR184" i="42385"/>
  <c r="AG184" i="42385"/>
  <c r="AH184" i="42385" s="1"/>
  <c r="AI184" i="42385" s="1"/>
  <c r="AJ184" i="42385" s="1"/>
  <c r="AK184" i="42385" s="1"/>
  <c r="AU473" i="42385"/>
  <c r="CU473" i="42385" s="1"/>
  <c r="AU1547" i="42385"/>
  <c r="CU1547" i="42385" s="1"/>
  <c r="CU472" i="42385"/>
  <c r="BE1600" i="42385"/>
  <c r="CW1579" i="42385"/>
  <c r="BE1603" i="42385"/>
  <c r="CW1603" i="42385" s="1"/>
  <c r="AU1096" i="42385"/>
  <c r="CU1096" i="42385" s="1"/>
  <c r="AU1097" i="42385"/>
  <c r="CU1097" i="42385" s="1"/>
  <c r="CU1095" i="42385"/>
  <c r="BY1341" i="42385"/>
  <c r="BX1289" i="42385"/>
  <c r="X101" i="42424"/>
  <c r="X139" i="42424" s="1"/>
  <c r="C4" i="42417"/>
  <c r="B5" i="42417"/>
  <c r="C5" i="42417" s="1"/>
  <c r="BS283" i="42400"/>
  <c r="BP283" i="42400"/>
  <c r="BP285" i="42400" s="1"/>
  <c r="BP298" i="42400" s="1"/>
  <c r="BP895" i="42385" s="1"/>
  <c r="BP896" i="42385" s="1"/>
  <c r="I1017" i="42385"/>
  <c r="N1018" i="42385"/>
  <c r="AR658" i="42385"/>
  <c r="AJ283" i="42400"/>
  <c r="AI283" i="42400"/>
  <c r="AZ834" i="42385"/>
  <c r="CV834" i="42385" s="1"/>
  <c r="CV833" i="42385"/>
  <c r="BX685" i="42385"/>
  <c r="BY685" i="42385" s="1"/>
  <c r="BZ685" i="42385" s="1"/>
  <c r="CA685" i="42385" s="1"/>
  <c r="CB685" i="42385" s="1"/>
  <c r="CC685" i="42385" s="1"/>
  <c r="CD685" i="42385" s="1"/>
  <c r="CE685" i="42385" s="1"/>
  <c r="CF685" i="42385" s="1"/>
  <c r="BT685" i="42385"/>
  <c r="BG163" i="42400"/>
  <c r="BG165" i="42400" s="1"/>
  <c r="BI163" i="42400"/>
  <c r="BI165" i="42400" s="1"/>
  <c r="BH163" i="42400"/>
  <c r="BH165" i="42400" s="1"/>
  <c r="BF163" i="42400"/>
  <c r="BF165" i="42400" s="1"/>
  <c r="AC11" i="42443"/>
  <c r="M298" i="42400"/>
  <c r="M895" i="42385" s="1"/>
  <c r="M901" i="42385" s="1"/>
  <c r="AI148" i="42400"/>
  <c r="AI926" i="42385" s="1"/>
  <c r="AI927" i="42385" s="1"/>
  <c r="BG156" i="42400"/>
  <c r="BG158" i="42400" s="1"/>
  <c r="BH156" i="42400"/>
  <c r="BH158" i="42400" s="1"/>
  <c r="BF156" i="42400"/>
  <c r="BF158" i="42400" s="1"/>
  <c r="BI156" i="42400"/>
  <c r="BI158" i="42400" s="1"/>
  <c r="IG701" i="42417"/>
  <c r="IH701" i="42417" s="1"/>
  <c r="ID695" i="42417"/>
  <c r="BB95" i="42400"/>
  <c r="BB101" i="42400" s="1"/>
  <c r="BB833" i="42385" s="1"/>
  <c r="BB834" i="42385" s="1"/>
  <c r="CY833" i="42385"/>
  <c r="BO834" i="42385"/>
  <c r="CY834" i="42385" s="1"/>
  <c r="AL1360" i="42385"/>
  <c r="AM1360" i="42385" s="1"/>
  <c r="AN1360" i="42385" s="1"/>
  <c r="AO1360" i="42385" s="1"/>
  <c r="AP1360" i="42385" s="1"/>
  <c r="CS1360" i="42385"/>
  <c r="AN64" i="42400"/>
  <c r="AO64" i="42400"/>
  <c r="AM64" i="42400"/>
  <c r="AL64" i="42400"/>
  <c r="CM258" i="42385"/>
  <c r="G1558" i="42385"/>
  <c r="CM1558" i="42385" s="1"/>
  <c r="W800" i="42385"/>
  <c r="W801" i="42385"/>
  <c r="AT990" i="42385"/>
  <c r="AT992" i="42385" s="1"/>
  <c r="AT989" i="42385"/>
  <c r="CB389" i="42385"/>
  <c r="CC389" i="42385" s="1"/>
  <c r="CD389" i="42385" s="1"/>
  <c r="CE389" i="42385" s="1"/>
  <c r="CF389" i="42385" s="1"/>
  <c r="DC389" i="42385"/>
  <c r="AM162" i="42400"/>
  <c r="AL162" i="42400"/>
  <c r="AN162" i="42400"/>
  <c r="AO162" i="42400"/>
  <c r="BE1183" i="42385"/>
  <c r="CW1180" i="42385"/>
  <c r="BE1181" i="42385"/>
  <c r="CW1181" i="42385" s="1"/>
  <c r="C48" i="42410"/>
  <c r="D48" i="42410"/>
  <c r="C42" i="42410"/>
  <c r="C57" i="42410"/>
  <c r="Y955" i="42385"/>
  <c r="AD956" i="42385"/>
  <c r="BV235" i="42400"/>
  <c r="BK158" i="42400"/>
  <c r="BK169" i="42400" s="1"/>
  <c r="BK988" i="42385" s="1"/>
  <c r="AB201" i="42385"/>
  <c r="CQ1366" i="42385"/>
  <c r="AL65" i="42400"/>
  <c r="AN65" i="42400"/>
  <c r="AO65" i="42400"/>
  <c r="AM65" i="42400"/>
  <c r="BX251" i="42385"/>
  <c r="BX12" i="42385" s="1"/>
  <c r="BX1067" i="42385"/>
  <c r="BX1069" i="42385" s="1"/>
  <c r="BX1072" i="42385" s="1"/>
  <c r="BX1077" i="42385" s="1"/>
  <c r="BD1378" i="42385"/>
  <c r="BE1378" i="42385" s="1"/>
  <c r="BC1478" i="42385"/>
  <c r="BT1357" i="42385"/>
  <c r="BQ1364" i="42385"/>
  <c r="T878" i="42385"/>
  <c r="T1140" i="42385" s="1"/>
  <c r="S1140" i="42385"/>
  <c r="AN155" i="42400"/>
  <c r="AL155" i="42400"/>
  <c r="AM155" i="42400"/>
  <c r="AO155" i="42400"/>
  <c r="P831" i="42385"/>
  <c r="U832" i="42385"/>
  <c r="BB202" i="42385"/>
  <c r="N42" i="42476"/>
  <c r="CT1082" i="42385"/>
  <c r="AQ1082" i="42385"/>
  <c r="AR1082" i="42385" s="1"/>
  <c r="AS1082" i="42385" s="1"/>
  <c r="AT1082" i="42385" s="1"/>
  <c r="AU1082" i="42385" s="1"/>
  <c r="CB847" i="42385"/>
  <c r="CC847" i="42385" s="1"/>
  <c r="CD847" i="42385" s="1"/>
  <c r="CE847" i="42385" s="1"/>
  <c r="CF847" i="42385" s="1"/>
  <c r="DC847" i="42385"/>
  <c r="CB1354" i="42385"/>
  <c r="CC1354" i="42385" s="1"/>
  <c r="CD1354" i="42385" s="1"/>
  <c r="CE1354" i="42385" s="1"/>
  <c r="CF1354" i="42385" s="1"/>
  <c r="DC1354" i="42385"/>
  <c r="BV1072" i="42385"/>
  <c r="BV1067" i="42385"/>
  <c r="CO1565" i="42385"/>
  <c r="Q1661" i="42385"/>
  <c r="CP1366" i="42385"/>
  <c r="Q1567" i="42385"/>
  <c r="CO1567" i="42385" s="1"/>
  <c r="BB1481" i="42385"/>
  <c r="BC1381" i="42385"/>
  <c r="CR1016" i="42385"/>
  <c r="AF1017" i="42385"/>
  <c r="CR1017" i="42385" s="1"/>
  <c r="AI923" i="42385"/>
  <c r="AH923" i="42385"/>
  <c r="AH924" i="42385" s="1"/>
  <c r="AH927" i="42385"/>
  <c r="AH932" i="42385"/>
  <c r="AJ148" i="42400"/>
  <c r="AJ926" i="42385" s="1"/>
  <c r="J289" i="42400"/>
  <c r="H289" i="42400"/>
  <c r="K289" i="42400"/>
  <c r="I289" i="42400"/>
  <c r="I280" i="42400"/>
  <c r="K280" i="42400"/>
  <c r="H280" i="42400"/>
  <c r="J280" i="42400"/>
  <c r="AG932" i="42385"/>
  <c r="AG923" i="42385"/>
  <c r="AG924" i="42385" s="1"/>
  <c r="AG927" i="42385"/>
  <c r="K290" i="42400"/>
  <c r="I290" i="42400"/>
  <c r="J290" i="42400"/>
  <c r="H290" i="42400"/>
  <c r="BA163" i="42400"/>
  <c r="BB163" i="42400"/>
  <c r="BC163" i="42400"/>
  <c r="BD163" i="42400"/>
  <c r="W174" i="42385"/>
  <c r="X174" i="42385" s="1"/>
  <c r="Y174" i="42385" s="1"/>
  <c r="Z174" i="42385" s="1"/>
  <c r="AA174" i="42385" s="1"/>
  <c r="CP174" i="42385"/>
  <c r="CW1575" i="42385"/>
  <c r="BE1577" i="42385"/>
  <c r="CW1577" i="42385" s="1"/>
  <c r="AJ290" i="42400"/>
  <c r="AI290" i="42400"/>
  <c r="AH290" i="42400"/>
  <c r="AG290" i="42400"/>
  <c r="AG280" i="42400"/>
  <c r="AJ280" i="42400"/>
  <c r="BR1110" i="42385"/>
  <c r="BM1115" i="42385"/>
  <c r="BM312" i="42385" s="1"/>
  <c r="BM313" i="42385" s="1"/>
  <c r="BO1110" i="42385"/>
  <c r="CY1110" i="42385" s="1"/>
  <c r="BE865" i="42385"/>
  <c r="CW865" i="42385" s="1"/>
  <c r="CW864" i="42385"/>
  <c r="BQ1175" i="42385"/>
  <c r="BQ1177" i="42385"/>
  <c r="BQ1178" i="42385" s="1"/>
  <c r="BE312" i="42385"/>
  <c r="CW312" i="42385" s="1"/>
  <c r="BU235" i="42400"/>
  <c r="AV235" i="42400"/>
  <c r="AV957" i="42385" s="1"/>
  <c r="AV958" i="42385" s="1"/>
  <c r="AL95" i="42400"/>
  <c r="AL101" i="42400" s="1"/>
  <c r="AL833" i="42385" s="1"/>
  <c r="BJ148" i="42400"/>
  <c r="BJ926" i="42385" s="1"/>
  <c r="F298" i="42400"/>
  <c r="F895" i="42385" s="1"/>
  <c r="AQ226" i="42400"/>
  <c r="AQ235" i="42400" s="1"/>
  <c r="AQ957" i="42385" s="1"/>
  <c r="AQ958" i="42385" s="1"/>
  <c r="BA156" i="42400"/>
  <c r="BA158" i="42400" s="1"/>
  <c r="BB156" i="42400"/>
  <c r="BB158" i="42400" s="1"/>
  <c r="BC156" i="42400"/>
  <c r="BC158" i="42400" s="1"/>
  <c r="I291" i="42400"/>
  <c r="J291" i="42400"/>
  <c r="H291" i="42400"/>
  <c r="K291" i="42400"/>
  <c r="BP63" i="42400"/>
  <c r="BS63" i="42400"/>
  <c r="AI288" i="42400"/>
  <c r="AK294" i="42400"/>
  <c r="AJ288" i="42400"/>
  <c r="AH288" i="42400"/>
  <c r="AG288" i="42400"/>
  <c r="AH281" i="42400"/>
  <c r="AI281" i="42400"/>
  <c r="AJ281" i="42400"/>
  <c r="AG281" i="42400"/>
  <c r="CB846" i="42385"/>
  <c r="CC846" i="42385" s="1"/>
  <c r="CD846" i="42385" s="1"/>
  <c r="CE846" i="42385" s="1"/>
  <c r="CF846" i="42385" s="1"/>
  <c r="DC846" i="42385"/>
  <c r="P294" i="42400"/>
  <c r="P298" i="42400" s="1"/>
  <c r="P895" i="42385" s="1"/>
  <c r="AD138" i="42400"/>
  <c r="DA1396" i="42385"/>
  <c r="BZ1396" i="42385"/>
  <c r="CO185" i="42385"/>
  <c r="R185" i="42385"/>
  <c r="S185" i="42385" s="1"/>
  <c r="T185" i="42385" s="1"/>
  <c r="U185" i="42385" s="1"/>
  <c r="V185" i="42385" s="1"/>
  <c r="BP1175" i="42385"/>
  <c r="BP1177" i="42385"/>
  <c r="BP1178" i="42385" s="1"/>
  <c r="BE313" i="42385"/>
  <c r="BP64" i="42400"/>
  <c r="N67" i="42443"/>
  <c r="I67" i="42443"/>
  <c r="AO134" i="42400"/>
  <c r="AO137" i="42400" s="1"/>
  <c r="AO148" i="42400" s="1"/>
  <c r="AO926" i="42385" s="1"/>
  <c r="AO927" i="42385" s="1"/>
  <c r="AN134" i="42400"/>
  <c r="AN137" i="42400" s="1"/>
  <c r="AN148" i="42400" s="1"/>
  <c r="AN926" i="42385" s="1"/>
  <c r="AN927" i="42385" s="1"/>
  <c r="AM134" i="42400"/>
  <c r="AM137" i="42400" s="1"/>
  <c r="AM148" i="42400" s="1"/>
  <c r="AM926" i="42385" s="1"/>
  <c r="AL134" i="42400"/>
  <c r="BE158" i="42400"/>
  <c r="DA1369" i="42385"/>
  <c r="BZ1369" i="42385"/>
  <c r="BA165" i="42385"/>
  <c r="BA166" i="42385" s="1"/>
  <c r="BA134" i="42385" s="1"/>
  <c r="BS65" i="42400"/>
  <c r="BP65" i="42400"/>
  <c r="BS68" i="42400"/>
  <c r="BP68" i="42400"/>
  <c r="BR68" i="42400"/>
  <c r="BR71" i="42400" s="1"/>
  <c r="BR75" i="42400" s="1"/>
  <c r="BR864" i="42385" s="1"/>
  <c r="BR865" i="42385" s="1"/>
  <c r="BQ68" i="42400"/>
  <c r="AH282" i="42400"/>
  <c r="AG282" i="42400"/>
  <c r="AJ282" i="42400"/>
  <c r="AI282" i="42400"/>
  <c r="AJ292" i="42400"/>
  <c r="AG292" i="42400"/>
  <c r="AI292" i="42400"/>
  <c r="AH292" i="42400"/>
  <c r="D294" i="42400"/>
  <c r="D298" i="42400" s="1"/>
  <c r="D895" i="42385" s="1"/>
  <c r="CU802" i="42385"/>
  <c r="AU803" i="42385"/>
  <c r="CU803" i="42385" s="1"/>
  <c r="CB878" i="42385"/>
  <c r="CC878" i="42385" s="1"/>
  <c r="CD878" i="42385" s="1"/>
  <c r="CE878" i="42385" s="1"/>
  <c r="CF878" i="42385" s="1"/>
  <c r="DC878" i="42385"/>
  <c r="BN158" i="42400"/>
  <c r="B56" i="42409"/>
  <c r="B59" i="42409" s="1"/>
  <c r="CS1402" i="42385"/>
  <c r="AK1406" i="42385"/>
  <c r="AK1564" i="42385"/>
  <c r="AL1504" i="42385"/>
  <c r="R186" i="42385"/>
  <c r="S186" i="42385" s="1"/>
  <c r="T186" i="42385" s="1"/>
  <c r="U186" i="42385" s="1"/>
  <c r="V186" i="42385" s="1"/>
  <c r="CO186" i="42385"/>
  <c r="BR1175" i="42385"/>
  <c r="BR1177" i="42385"/>
  <c r="BR1178" i="42385" s="1"/>
  <c r="CP175" i="42385"/>
  <c r="W175" i="42385"/>
  <c r="X175" i="42385" s="1"/>
  <c r="Y175" i="42385" s="1"/>
  <c r="Z175" i="42385" s="1"/>
  <c r="AA175" i="42385" s="1"/>
  <c r="BN169" i="42400"/>
  <c r="BN988" i="42385" s="1"/>
  <c r="BN989" i="42385" s="1"/>
  <c r="AC298" i="42400"/>
  <c r="AC895" i="42385" s="1"/>
  <c r="AG95" i="42400"/>
  <c r="AG101" i="42400" s="1"/>
  <c r="AG833" i="42385" s="1"/>
  <c r="AG839" i="42385" s="1"/>
  <c r="BM169" i="42400"/>
  <c r="BM988" i="42385" s="1"/>
  <c r="BM989" i="42385" s="1"/>
  <c r="BQ64" i="42400"/>
  <c r="BG148" i="42400"/>
  <c r="BG926" i="42385" s="1"/>
  <c r="BG927" i="42385" s="1"/>
  <c r="AX95" i="42400"/>
  <c r="AX101" i="42400" s="1"/>
  <c r="AX833" i="42385" s="1"/>
  <c r="AX834" i="42385" s="1"/>
  <c r="AS285" i="42400"/>
  <c r="AS298" i="42400" s="1"/>
  <c r="AS895" i="42385" s="1"/>
  <c r="AS896" i="42385" s="1"/>
  <c r="AL137" i="42400"/>
  <c r="AL148" i="42400" s="1"/>
  <c r="AL926" i="42385" s="1"/>
  <c r="N294" i="42400"/>
  <c r="N298" i="42400" s="1"/>
  <c r="N895" i="42385" s="1"/>
  <c r="AE95" i="42400"/>
  <c r="AE101" i="42400" s="1"/>
  <c r="AE833" i="42385" s="1"/>
  <c r="E294" i="42400"/>
  <c r="E298" i="42400" s="1"/>
  <c r="E895" i="42385" s="1"/>
  <c r="AM294" i="42400"/>
  <c r="AM298" i="42400" s="1"/>
  <c r="AM895" i="42385" s="1"/>
  <c r="AN298" i="42400"/>
  <c r="AN895" i="42385" s="1"/>
  <c r="AN896" i="42385" s="1"/>
  <c r="AO294" i="42400"/>
  <c r="AO298" i="42400" s="1"/>
  <c r="AO895" i="42385" s="1"/>
  <c r="I288" i="42400"/>
  <c r="K288" i="42400"/>
  <c r="J288" i="42400"/>
  <c r="H288" i="42400"/>
  <c r="L294" i="42400"/>
  <c r="K279" i="42400"/>
  <c r="I279" i="42400"/>
  <c r="I285" i="42400" s="1"/>
  <c r="H279" i="42400"/>
  <c r="J279" i="42400"/>
  <c r="J285" i="42400" s="1"/>
  <c r="L285" i="42400"/>
  <c r="BC161" i="42400"/>
  <c r="BA161" i="42400"/>
  <c r="BB161" i="42400"/>
  <c r="BB165" i="42400" s="1"/>
  <c r="BB169" i="42400" s="1"/>
  <c r="BB988" i="42385" s="1"/>
  <c r="BE165" i="42400"/>
  <c r="BE169" i="42400" s="1"/>
  <c r="BE988" i="42385" s="1"/>
  <c r="BD161" i="42400"/>
  <c r="S862" i="42385"/>
  <c r="S863" i="42385"/>
  <c r="BB163" i="42385"/>
  <c r="BB165" i="42385" s="1"/>
  <c r="BB166" i="42385" s="1"/>
  <c r="BB134" i="42385" s="1"/>
  <c r="BC151" i="42385"/>
  <c r="BC163" i="42385" s="1"/>
  <c r="BC165" i="42385" s="1"/>
  <c r="BC166" i="42385" s="1"/>
  <c r="BC134" i="42385" s="1"/>
  <c r="R181" i="42385"/>
  <c r="S181" i="42385" s="1"/>
  <c r="T181" i="42385" s="1"/>
  <c r="U181" i="42385" s="1"/>
  <c r="V181" i="42385" s="1"/>
  <c r="CO181" i="42385"/>
  <c r="AH291" i="42400"/>
  <c r="AI291" i="42400"/>
  <c r="AJ291" i="42400"/>
  <c r="AG291" i="42400"/>
  <c r="AI279" i="42400"/>
  <c r="AJ279" i="42400"/>
  <c r="AH279" i="42400"/>
  <c r="AK285" i="42400"/>
  <c r="AK298" i="42400" s="1"/>
  <c r="AK895" i="42385" s="1"/>
  <c r="AG279" i="42400"/>
  <c r="AG285" i="42400" s="1"/>
  <c r="AC834" i="42385"/>
  <c r="AC830" i="42385"/>
  <c r="AZ202" i="42385"/>
  <c r="CV1421" i="42385"/>
  <c r="BA202" i="42385"/>
  <c r="F34" i="42465"/>
  <c r="L42" i="42476"/>
  <c r="L18" i="42472"/>
  <c r="AN480" i="42385"/>
  <c r="BX1174" i="42385"/>
  <c r="BX1175" i="42385" s="1"/>
  <c r="BV1174" i="42385"/>
  <c r="BV1175" i="42385" s="1"/>
  <c r="BY1175" i="42385"/>
  <c r="BU1174" i="42385"/>
  <c r="BU1175" i="42385" s="1"/>
  <c r="BZ1174" i="42385"/>
  <c r="DA1174" i="42385"/>
  <c r="BW1174" i="42385"/>
  <c r="BW1175" i="42385" s="1"/>
  <c r="AY990" i="42385"/>
  <c r="AY992" i="42385" s="1"/>
  <c r="AY989" i="42385"/>
  <c r="AP927" i="42385"/>
  <c r="CT927" i="42385" s="1"/>
  <c r="CT926" i="42385"/>
  <c r="CR187" i="42385"/>
  <c r="AG187" i="42385"/>
  <c r="AH187" i="42385" s="1"/>
  <c r="AI187" i="42385" s="1"/>
  <c r="AJ187" i="42385" s="1"/>
  <c r="AK187" i="42385" s="1"/>
  <c r="DB1413" i="42385"/>
  <c r="CA1413" i="42385"/>
  <c r="CT802" i="42385"/>
  <c r="AP803" i="42385"/>
  <c r="CT803" i="42385" s="1"/>
  <c r="CT833" i="42385"/>
  <c r="AP834" i="42385"/>
  <c r="CT834" i="42385" s="1"/>
  <c r="AL161" i="42400"/>
  <c r="AN161" i="42400"/>
  <c r="AM161" i="42400"/>
  <c r="AO161" i="42400"/>
  <c r="AP165" i="42400"/>
  <c r="AO63" i="42400"/>
  <c r="AM63" i="42400"/>
  <c r="AL63" i="42400"/>
  <c r="AP71" i="42400"/>
  <c r="AP75" i="42400" s="1"/>
  <c r="AP864" i="42385" s="1"/>
  <c r="AN63" i="42400"/>
  <c r="Q314" i="42385"/>
  <c r="V315" i="42385" s="1"/>
  <c r="CP315" i="42385" s="1"/>
  <c r="BW1069" i="42385"/>
  <c r="CR1366" i="42385"/>
  <c r="B28" i="42465"/>
  <c r="AF201" i="42385"/>
  <c r="AF207" i="42385" s="1"/>
  <c r="BK1148" i="42385"/>
  <c r="BL1148" i="42385" s="1"/>
  <c r="BM1148" i="42385" s="1"/>
  <c r="BN1148" i="42385" s="1"/>
  <c r="BO1148" i="42385" s="1"/>
  <c r="CX1148" i="42385"/>
  <c r="CS1016" i="42385"/>
  <c r="AK1017" i="42385"/>
  <c r="CS1017" i="42385" s="1"/>
  <c r="AK1018" i="42385"/>
  <c r="CS1018" i="42385" s="1"/>
  <c r="AB95" i="42400"/>
  <c r="AB101" i="42400" s="1"/>
  <c r="AB833" i="42385" s="1"/>
  <c r="AM68" i="42400"/>
  <c r="AL68" i="42400"/>
  <c r="AO68" i="42400"/>
  <c r="AN68" i="42400"/>
  <c r="AM69" i="42400"/>
  <c r="AL69" i="42400"/>
  <c r="AO69" i="42400"/>
  <c r="AN69" i="42400"/>
  <c r="X11" i="42443"/>
  <c r="BT45" i="42400"/>
  <c r="BT51" i="42400" s="1"/>
  <c r="BT802" i="42385" s="1"/>
  <c r="BT803" i="42385" s="1"/>
  <c r="CZ803" i="42385" s="1"/>
  <c r="CN258" i="42385"/>
  <c r="L128" i="42385"/>
  <c r="CN128" i="42385" s="1"/>
  <c r="L259" i="42385"/>
  <c r="CN259" i="42385" s="1"/>
  <c r="L1558" i="42385"/>
  <c r="CN1558" i="42385" s="1"/>
  <c r="CP172" i="42385"/>
  <c r="W172" i="42385"/>
  <c r="X172" i="42385" s="1"/>
  <c r="Y172" i="42385" s="1"/>
  <c r="Z172" i="42385" s="1"/>
  <c r="AA172" i="42385" s="1"/>
  <c r="AT1016" i="42385"/>
  <c r="AO1021" i="42385"/>
  <c r="AP1021" i="42385" s="1"/>
  <c r="CT1021" i="42385" s="1"/>
  <c r="BJ927" i="42385"/>
  <c r="CX927" i="42385" s="1"/>
  <c r="CX926" i="42385"/>
  <c r="AD95" i="42400"/>
  <c r="AD101" i="42400" s="1"/>
  <c r="AD833" i="42385" s="1"/>
  <c r="AT45" i="42400"/>
  <c r="AT51" i="42400" s="1"/>
  <c r="AT802" i="42385" s="1"/>
  <c r="AT803" i="42385" s="1"/>
  <c r="AL156" i="42400"/>
  <c r="AL158" i="42400" s="1"/>
  <c r="AN156" i="42400"/>
  <c r="AO156" i="42400"/>
  <c r="AO158" i="42400" s="1"/>
  <c r="AM156" i="42400"/>
  <c r="AP158" i="42400"/>
  <c r="AN66" i="42400"/>
  <c r="AM66" i="42400"/>
  <c r="AL66" i="42400"/>
  <c r="AO66" i="42400"/>
  <c r="BO865" i="42385"/>
  <c r="CY865" i="42385" s="1"/>
  <c r="CY864" i="42385"/>
  <c r="CO861" i="42385"/>
  <c r="Q862" i="42385"/>
  <c r="CO862" i="42385" s="1"/>
  <c r="CF305" i="42492"/>
  <c r="V50" i="42385"/>
  <c r="V1647" i="42385"/>
  <c r="CP1647" i="42385" s="1"/>
  <c r="D11" i="42424"/>
  <c r="D15" i="42424" s="1"/>
  <c r="F16" i="42424" s="1"/>
  <c r="CP314" i="42385"/>
  <c r="V316" i="42385"/>
  <c r="CP316" i="42385" s="1"/>
  <c r="AW169" i="42400"/>
  <c r="AW988" i="42385" s="1"/>
  <c r="O298" i="42400"/>
  <c r="O895" i="42385" s="1"/>
  <c r="AF834" i="42385"/>
  <c r="CR834" i="42385" s="1"/>
  <c r="CR833" i="42385"/>
  <c r="AF839" i="42385"/>
  <c r="CR839" i="42385" s="1"/>
  <c r="AL294" i="42400"/>
  <c r="AL298" i="42400" s="1"/>
  <c r="AL895" i="42385" s="1"/>
  <c r="AP298" i="42400"/>
  <c r="AP895" i="42385" s="1"/>
  <c r="AR45" i="42400"/>
  <c r="AR51" i="42400" s="1"/>
  <c r="AR802" i="42385" s="1"/>
  <c r="AR803" i="42385" s="1"/>
  <c r="AL163" i="42400"/>
  <c r="AM163" i="42400"/>
  <c r="AN163" i="42400"/>
  <c r="AO163" i="42400"/>
  <c r="AL67" i="42400"/>
  <c r="AO67" i="42400"/>
  <c r="AN67" i="42400"/>
  <c r="AM67" i="42400"/>
  <c r="BP1483" i="42385"/>
  <c r="BQ1383" i="42385"/>
  <c r="DA1416" i="42385"/>
  <c r="BZ1416" i="42385"/>
  <c r="CU34" i="42385"/>
  <c r="AU38" i="42385"/>
  <c r="CS34" i="42385"/>
  <c r="AK38" i="42385"/>
  <c r="CV34" i="42385"/>
  <c r="AZ38" i="42385"/>
  <c r="AY24" i="42385"/>
  <c r="AY313" i="42385"/>
  <c r="BY976" i="42385"/>
  <c r="BX152" i="42400"/>
  <c r="BX167" i="42400" s="1"/>
  <c r="BX977" i="42385"/>
  <c r="BY917" i="42385"/>
  <c r="BX130" i="42400"/>
  <c r="BS921" i="42385"/>
  <c r="BT920" i="42385"/>
  <c r="BS244" i="42385"/>
  <c r="BT244" i="42385" s="1"/>
  <c r="BR298" i="42400"/>
  <c r="BR895" i="42385" s="1"/>
  <c r="BR896" i="42385" s="1"/>
  <c r="BX797" i="42385"/>
  <c r="BS40" i="42400"/>
  <c r="BQ40" i="42400"/>
  <c r="BQ42" i="42400"/>
  <c r="BP42" i="42400"/>
  <c r="BS42" i="42400"/>
  <c r="BR42" i="42400"/>
  <c r="BQ39" i="42400"/>
  <c r="BS39" i="42400"/>
  <c r="BP39" i="42400"/>
  <c r="BR39" i="42400"/>
  <c r="BS240" i="42385"/>
  <c r="BX240" i="42385"/>
  <c r="BT795" i="42385"/>
  <c r="CZ795" i="42385" s="1"/>
  <c r="BZ34" i="42400"/>
  <c r="BZ49" i="42400" s="1"/>
  <c r="CA790" i="42385"/>
  <c r="DB790" i="42385"/>
  <c r="BZ39" i="42400"/>
  <c r="BZ43" i="42400"/>
  <c r="BZ42" i="42400"/>
  <c r="BZ47" i="42400"/>
  <c r="BZ40" i="42400"/>
  <c r="BZ38" i="42400"/>
  <c r="BZ37" i="42400"/>
  <c r="BZ41" i="42400"/>
  <c r="BS797" i="42385"/>
  <c r="CB33" i="42400"/>
  <c r="CC793" i="42385"/>
  <c r="BR38" i="42400"/>
  <c r="BQ38" i="42400"/>
  <c r="BS38" i="42400"/>
  <c r="BP38" i="42400"/>
  <c r="CA45" i="42400"/>
  <c r="BR43" i="42400"/>
  <c r="BP43" i="42400"/>
  <c r="BQ43" i="42400"/>
  <c r="BS43" i="42400"/>
  <c r="AL56" i="42385"/>
  <c r="AH56" i="42385"/>
  <c r="AG56" i="42385"/>
  <c r="BH1663" i="42385"/>
  <c r="BH56" i="42385"/>
  <c r="AA94" i="42492"/>
  <c r="AX65" i="42385"/>
  <c r="AX75" i="42385" s="1"/>
  <c r="AX54" i="42385"/>
  <c r="AX52" i="42385"/>
  <c r="BH55" i="42385"/>
  <c r="CL305" i="42492"/>
  <c r="CK305" i="42492"/>
  <c r="L20" i="42492"/>
  <c r="M20" i="42492" s="1"/>
  <c r="H13" i="42492"/>
  <c r="AZ24" i="42385"/>
  <c r="CV23" i="42385"/>
  <c r="I79" i="42385"/>
  <c r="I92" i="42385" s="1"/>
  <c r="I1278" i="42385"/>
  <c r="I90" i="42385"/>
  <c r="BA26" i="42385"/>
  <c r="HV831" i="42464"/>
  <c r="GM585" i="42464"/>
  <c r="GM576" i="42464"/>
  <c r="HY831" i="42464"/>
  <c r="HY838" i="42464"/>
  <c r="HX838" i="42464" s="1"/>
  <c r="HY835" i="42464"/>
  <c r="HY836" i="42464" s="1"/>
  <c r="AB41" i="42464"/>
  <c r="AC33" i="42464"/>
  <c r="HV827" i="42464"/>
  <c r="HX827" i="42464" s="1"/>
  <c r="Y77" i="42385"/>
  <c r="Y1514" i="42385"/>
  <c r="BJ1645" i="42385"/>
  <c r="CX88" i="42385"/>
  <c r="AH79" i="42385"/>
  <c r="AH1278" i="42385"/>
  <c r="AH1301" i="42385" s="1"/>
  <c r="AH1330" i="42385" s="1"/>
  <c r="AJ1648" i="42385"/>
  <c r="AJ1641" i="42385" s="1"/>
  <c r="AJ92" i="42385"/>
  <c r="DB88" i="42385"/>
  <c r="BZ1645" i="42385"/>
  <c r="AJ24" i="42476"/>
  <c r="AJ25" i="42476" s="1"/>
  <c r="BZ100" i="42385"/>
  <c r="CA100" i="42385" s="1"/>
  <c r="BX1321" i="42385"/>
  <c r="BY100" i="42385"/>
  <c r="AK24" i="42476" s="1"/>
  <c r="BW1321" i="42385"/>
  <c r="BW1643" i="42385" s="1"/>
  <c r="AI24" i="42476"/>
  <c r="AI25" i="42476" s="1"/>
  <c r="BY1323" i="42385"/>
  <c r="BW116" i="42385"/>
  <c r="BY116" i="42385" s="1"/>
  <c r="BL44" i="42418"/>
  <c r="BZ1321" i="42385"/>
  <c r="BZ1643" i="42385" s="1"/>
  <c r="DB1643" i="42385" s="1"/>
  <c r="BY1324" i="42385"/>
  <c r="DA1324" i="42385" s="1"/>
  <c r="EM474" i="42492"/>
  <c r="BR1256" i="42385"/>
  <c r="BC44" i="42418"/>
  <c r="BF44" i="42418"/>
  <c r="U67" i="42443"/>
  <c r="Z67" i="42443"/>
  <c r="BN133" i="42385"/>
  <c r="BN163" i="42385"/>
  <c r="BN165" i="42385" s="1"/>
  <c r="BN166" i="42385" s="1"/>
  <c r="BN134" i="42385" s="1"/>
  <c r="BN131" i="42385"/>
  <c r="H932" i="42385"/>
  <c r="H927" i="42385"/>
  <c r="H923" i="42385"/>
  <c r="H924" i="42385" s="1"/>
  <c r="CO171" i="42385"/>
  <c r="R171" i="42385"/>
  <c r="S171" i="42385" s="1"/>
  <c r="T171" i="42385" s="1"/>
  <c r="U171" i="42385" s="1"/>
  <c r="V171" i="42385" s="1"/>
  <c r="CP171" i="42385" s="1"/>
  <c r="FX437" i="42417"/>
  <c r="FY437" i="42417" s="1"/>
  <c r="BH235" i="42400"/>
  <c r="BC95" i="42400"/>
  <c r="BC101" i="42400" s="1"/>
  <c r="BC833" i="42385" s="1"/>
  <c r="AF13" i="42385"/>
  <c r="CR13" i="42385" s="1"/>
  <c r="AW86" i="42385"/>
  <c r="AZ86" i="42385" s="1"/>
  <c r="CV86" i="42385" s="1"/>
  <c r="AZ83" i="42385"/>
  <c r="AD118" i="42385"/>
  <c r="AD165" i="42385"/>
  <c r="AD166" i="42385" s="1"/>
  <c r="AD134" i="42385" s="1"/>
  <c r="AD131" i="42385"/>
  <c r="CX1287" i="42385"/>
  <c r="BJ117" i="42385"/>
  <c r="CX117" i="42385" s="1"/>
  <c r="AZ443" i="42385"/>
  <c r="D32" i="42412"/>
  <c r="Q7" i="42412"/>
  <c r="Q8" i="42412"/>
  <c r="R8" i="42412" s="1"/>
  <c r="BD163" i="42417"/>
  <c r="BC180" i="42417"/>
  <c r="AR1535" i="42385"/>
  <c r="AS872" i="42385"/>
  <c r="AR873" i="42385"/>
  <c r="AZ1102" i="42385"/>
  <c r="CV1102" i="42385" s="1"/>
  <c r="BD1102" i="42385"/>
  <c r="CP799" i="42385"/>
  <c r="V800" i="42385"/>
  <c r="CP800" i="42385" s="1"/>
  <c r="G19" i="42406"/>
  <c r="G18" i="42406"/>
  <c r="AT1326" i="42385"/>
  <c r="AU1319" i="42385"/>
  <c r="AU1326" i="42385" s="1"/>
  <c r="BH370" i="42385"/>
  <c r="BM369" i="42385"/>
  <c r="BM370" i="42385" s="1"/>
  <c r="AS91" i="42400"/>
  <c r="AR91" i="42400"/>
  <c r="AQ91" i="42400"/>
  <c r="AT91" i="42400"/>
  <c r="BC42" i="42400"/>
  <c r="BD42" i="42400"/>
  <c r="BB42" i="42400"/>
  <c r="BA42" i="42400"/>
  <c r="CB816" i="42385"/>
  <c r="CC816" i="42385" s="1"/>
  <c r="CD816" i="42385" s="1"/>
  <c r="CE816" i="42385" s="1"/>
  <c r="CF816" i="42385" s="1"/>
  <c r="DC816" i="42385"/>
  <c r="BC38" i="42400"/>
  <c r="BD38" i="42400"/>
  <c r="BB38" i="42400"/>
  <c r="BA38" i="42400"/>
  <c r="S50" i="42385"/>
  <c r="AK248" i="42424"/>
  <c r="AK250" i="42424" s="1"/>
  <c r="S316" i="42385"/>
  <c r="S1647" i="42385"/>
  <c r="S315" i="42385"/>
  <c r="BP717" i="42385"/>
  <c r="BP234" i="42385"/>
  <c r="BP714" i="42385"/>
  <c r="BU710" i="42385"/>
  <c r="CB686" i="42385"/>
  <c r="CC686" i="42385" s="1"/>
  <c r="CD686" i="42385" s="1"/>
  <c r="CE686" i="42385" s="1"/>
  <c r="CF686" i="42385" s="1"/>
  <c r="AF117" i="42408"/>
  <c r="AF123" i="42408" s="1"/>
  <c r="CV469" i="42385"/>
  <c r="AZ470" i="42385"/>
  <c r="CV470" i="42385" s="1"/>
  <c r="AZ474" i="42385"/>
  <c r="CV474" i="42385" s="1"/>
  <c r="N11" i="42443"/>
  <c r="AH11" i="42443"/>
  <c r="AE1504" i="42385"/>
  <c r="AD1406" i="42385"/>
  <c r="AD1424" i="42385" s="1"/>
  <c r="AD1426" i="42385" s="1"/>
  <c r="AD1564" i="42385"/>
  <c r="AD1504" i="42385"/>
  <c r="R45" i="42476"/>
  <c r="W9" i="42476"/>
  <c r="R9" i="42476"/>
  <c r="AC67" i="42443"/>
  <c r="X67" i="42443"/>
  <c r="BW680" i="42385"/>
  <c r="V7" i="42412"/>
  <c r="V8" i="42412"/>
  <c r="S7" i="42412"/>
  <c r="S8" i="42412"/>
  <c r="W8" i="42412" s="1"/>
  <c r="AQ1016" i="42385"/>
  <c r="AL1017" i="42385"/>
  <c r="AL1018" i="42385"/>
  <c r="AP1016" i="42385"/>
  <c r="CS11" i="42385"/>
  <c r="AK30" i="42385"/>
  <c r="BE24" i="42385"/>
  <c r="BE40" i="42385" s="1"/>
  <c r="CW23" i="42385"/>
  <c r="BI221" i="42385"/>
  <c r="BI431" i="42385"/>
  <c r="BI434" i="42385"/>
  <c r="CU1156" i="42385"/>
  <c r="AZ1157" i="42385"/>
  <c r="CV1157" i="42385" s="1"/>
  <c r="AU1170" i="42385"/>
  <c r="CU1170" i="42385" s="1"/>
  <c r="BQ1159" i="42385"/>
  <c r="BQ1160" i="42385" s="1"/>
  <c r="BV1160" i="42385" s="1"/>
  <c r="AS89" i="42400"/>
  <c r="AT89" i="42400"/>
  <c r="AR89" i="42400"/>
  <c r="AQ89" i="42400"/>
  <c r="AT92" i="42400"/>
  <c r="AR92" i="42400"/>
  <c r="AQ92" i="42400"/>
  <c r="AS92" i="42400"/>
  <c r="BI440" i="42385"/>
  <c r="CD305" i="42492"/>
  <c r="BF764" i="42385"/>
  <c r="BG764" i="42385" s="1"/>
  <c r="BH764" i="42385" s="1"/>
  <c r="BI764" i="42385" s="1"/>
  <c r="BJ764" i="42385" s="1"/>
  <c r="CW764" i="42385"/>
  <c r="AU719" i="42385"/>
  <c r="CU719" i="42385" s="1"/>
  <c r="CU717" i="42385"/>
  <c r="AU718" i="42385"/>
  <c r="CU718" i="42385" s="1"/>
  <c r="BJ995" i="42385"/>
  <c r="CW995" i="42385"/>
  <c r="BE996" i="42385"/>
  <c r="CW996" i="42385" s="1"/>
  <c r="BY1390" i="42385"/>
  <c r="BZ1390" i="42385" s="1"/>
  <c r="CA1390" i="42385" s="1"/>
  <c r="CB1390" i="42385" s="1"/>
  <c r="CC1390" i="42385" s="1"/>
  <c r="BX1490" i="42385"/>
  <c r="BY1490" i="42385" s="1"/>
  <c r="AB927" i="42385"/>
  <c r="B33" i="42465"/>
  <c r="B35" i="42465" s="1"/>
  <c r="AV249" i="42385"/>
  <c r="S11" i="42443"/>
  <c r="F880" i="42385"/>
  <c r="G879" i="42385"/>
  <c r="AO1406" i="42385"/>
  <c r="AO1564" i="42385"/>
  <c r="AO1504" i="42385"/>
  <c r="AP1504" i="42385"/>
  <c r="CT1504" i="42385" s="1"/>
  <c r="X10" i="42412"/>
  <c r="S10" i="42412"/>
  <c r="Y10" i="42412"/>
  <c r="P10" i="42412"/>
  <c r="T10" i="42412"/>
  <c r="Q10" i="42412"/>
  <c r="U10" i="42412"/>
  <c r="V10" i="42412"/>
  <c r="BG441" i="42385"/>
  <c r="BG268" i="42385"/>
  <c r="BG442" i="42385"/>
  <c r="CS85" i="42385"/>
  <c r="I29" i="42472"/>
  <c r="AP1523" i="42385"/>
  <c r="AO1525" i="42385"/>
  <c r="AO1499" i="42385" s="1"/>
  <c r="U7" i="42412"/>
  <c r="U8" i="42412"/>
  <c r="CD88" i="42385"/>
  <c r="CE84" i="42385"/>
  <c r="CE88" i="42385" s="1"/>
  <c r="AU1281" i="42385"/>
  <c r="AT108" i="42385"/>
  <c r="CW248" i="42417" s="1"/>
  <c r="CX248" i="42417" s="1"/>
  <c r="BM56" i="42385"/>
  <c r="BR55" i="42385"/>
  <c r="BM55" i="42385"/>
  <c r="BM1663" i="42385"/>
  <c r="BD27" i="42385"/>
  <c r="BD50" i="42385"/>
  <c r="P8" i="42476"/>
  <c r="BI32" i="42385"/>
  <c r="BI26" i="42385"/>
  <c r="BN430" i="42385"/>
  <c r="BS429" i="42385"/>
  <c r="BO429" i="42385"/>
  <c r="AU1159" i="42385"/>
  <c r="AT1164" i="42385"/>
  <c r="AT1166" i="42385" s="1"/>
  <c r="AY1161" i="42385"/>
  <c r="CY1305" i="42385"/>
  <c r="BO1314" i="42385"/>
  <c r="CY1314" i="42385" s="1"/>
  <c r="BL697" i="42385"/>
  <c r="BL283" i="42385"/>
  <c r="BL696" i="42385"/>
  <c r="AV286" i="42385"/>
  <c r="AV756" i="42385"/>
  <c r="AV757" i="42385"/>
  <c r="CT234" i="42385"/>
  <c r="GO495" i="42417"/>
  <c r="GP495" i="42417"/>
  <c r="DC1169" i="42385"/>
  <c r="CB1169" i="42385"/>
  <c r="CA1548" i="42385"/>
  <c r="DC1548" i="42385" s="1"/>
  <c r="AY1319" i="42385"/>
  <c r="AZ1319" i="42385" s="1"/>
  <c r="AU95" i="42400"/>
  <c r="AU101" i="42400" s="1"/>
  <c r="AU833" i="42385" s="1"/>
  <c r="CU833" i="42385" s="1"/>
  <c r="AB932" i="42385"/>
  <c r="AF658" i="42385"/>
  <c r="AB6" i="42412"/>
  <c r="BC285" i="42400"/>
  <c r="BC298" i="42400" s="1"/>
  <c r="BC895" i="42385" s="1"/>
  <c r="BC896" i="42385" s="1"/>
  <c r="AU148" i="42400"/>
  <c r="AU926" i="42385" s="1"/>
  <c r="Z1020" i="42385"/>
  <c r="Z1025" i="42385"/>
  <c r="Z1016" i="42385"/>
  <c r="BV433" i="42385"/>
  <c r="BY433" i="42385" s="1"/>
  <c r="BQ434" i="42385"/>
  <c r="Q139" i="42385"/>
  <c r="P163" i="42385"/>
  <c r="AN1499" i="42385"/>
  <c r="AP1525" i="42385"/>
  <c r="IQ770" i="42417"/>
  <c r="IQ772" i="42417" s="1"/>
  <c r="C10" i="42417"/>
  <c r="D18" i="42412"/>
  <c r="P7" i="42412"/>
  <c r="R7" i="42412" s="1"/>
  <c r="R6" i="42412"/>
  <c r="CV1626" i="42385"/>
  <c r="BA1626" i="42385"/>
  <c r="BB1626" i="42385" s="1"/>
  <c r="BC1626" i="42385" s="1"/>
  <c r="BD1626" i="42385" s="1"/>
  <c r="BQ1382" i="42385"/>
  <c r="BQ1482" i="42385" s="1"/>
  <c r="AJ13" i="42385"/>
  <c r="AK256" i="42385"/>
  <c r="CS256" i="42385" s="1"/>
  <c r="AQ259" i="42385"/>
  <c r="BM133" i="42385"/>
  <c r="BM163" i="42385"/>
  <c r="BM165" i="42385" s="1"/>
  <c r="BM166" i="42385" s="1"/>
  <c r="BM134" i="42385" s="1"/>
  <c r="BM131" i="42385"/>
  <c r="BR131" i="42385"/>
  <c r="I839" i="42385"/>
  <c r="I830" i="42385"/>
  <c r="I832" i="42385" s="1"/>
  <c r="I834" i="42385"/>
  <c r="BB37" i="42400"/>
  <c r="BE45" i="42400"/>
  <c r="BE51" i="42400" s="1"/>
  <c r="BE802" i="42385" s="1"/>
  <c r="GW544" i="42417" s="1"/>
  <c r="GW545" i="42417" s="1"/>
  <c r="GX545" i="42417" s="1"/>
  <c r="BC37" i="42400"/>
  <c r="BD37" i="42400"/>
  <c r="BA37" i="42400"/>
  <c r="BA755" i="42385"/>
  <c r="BA236" i="42385"/>
  <c r="BF748" i="42385"/>
  <c r="BA752" i="42385"/>
  <c r="BE748" i="42385"/>
  <c r="AR141" i="42400"/>
  <c r="AR144" i="42400" s="1"/>
  <c r="AR148" i="42400" s="1"/>
  <c r="AR926" i="42385" s="1"/>
  <c r="AR927" i="42385" s="1"/>
  <c r="AS141" i="42400"/>
  <c r="AS144" i="42400" s="1"/>
  <c r="AS148" i="42400" s="1"/>
  <c r="AS926" i="42385" s="1"/>
  <c r="AT141" i="42400"/>
  <c r="AT144" i="42400" s="1"/>
  <c r="AT148" i="42400" s="1"/>
  <c r="AT926" i="42385" s="1"/>
  <c r="AT927" i="42385" s="1"/>
  <c r="AQ141" i="42400"/>
  <c r="AQ144" i="42400" s="1"/>
  <c r="AQ148" i="42400" s="1"/>
  <c r="AQ926" i="42385" s="1"/>
  <c r="AQ927" i="42385" s="1"/>
  <c r="BD41" i="42400"/>
  <c r="BB41" i="42400"/>
  <c r="BA41" i="42400"/>
  <c r="BC41" i="42400"/>
  <c r="GP502" i="42417"/>
  <c r="CU223" i="42385"/>
  <c r="BT433" i="42385"/>
  <c r="AU758" i="42385"/>
  <c r="AT759" i="42385"/>
  <c r="BV220" i="42385"/>
  <c r="BV402" i="42385"/>
  <c r="U958" i="42385"/>
  <c r="U963" i="42385"/>
  <c r="U954" i="42385"/>
  <c r="AL803" i="42385"/>
  <c r="AC808" i="42385"/>
  <c r="C896" i="42385"/>
  <c r="E47" i="42405"/>
  <c r="BG235" i="42400"/>
  <c r="CS1503" i="42385"/>
  <c r="AK1504" i="42385"/>
  <c r="CS1504" i="42385" s="1"/>
  <c r="BE511" i="42385"/>
  <c r="CW511" i="42385" s="1"/>
  <c r="CW510" i="42385"/>
  <c r="BS133" i="42385"/>
  <c r="BS131" i="42385"/>
  <c r="BX131" i="42385"/>
  <c r="CE163" i="42385"/>
  <c r="CD165" i="42385"/>
  <c r="BT140" i="42400"/>
  <c r="BT135" i="42400"/>
  <c r="BT142" i="42400"/>
  <c r="BT134" i="42400"/>
  <c r="BT141" i="42400"/>
  <c r="AW775" i="42385"/>
  <c r="AW776" i="42385"/>
  <c r="AW287" i="42385"/>
  <c r="I1084" i="42385"/>
  <c r="J1084" i="42385"/>
  <c r="J1085" i="42385" s="1"/>
  <c r="J1086" i="42385" s="1"/>
  <c r="BU682" i="42385"/>
  <c r="BU673" i="42385"/>
  <c r="BU674" i="42385" s="1"/>
  <c r="BU675" i="42385" s="1"/>
  <c r="CW1287" i="42385"/>
  <c r="BE117" i="42385"/>
  <c r="CW117" i="42385" s="1"/>
  <c r="G43" i="42465"/>
  <c r="AO1014" i="42385"/>
  <c r="AO247" i="42385"/>
  <c r="GN493" i="42417" s="1"/>
  <c r="AP1013" i="42385"/>
  <c r="AO1017" i="42385"/>
  <c r="AJ861" i="42385"/>
  <c r="AJ865" i="42385"/>
  <c r="AJ870" i="42385"/>
  <c r="BK981" i="42385"/>
  <c r="BF982" i="42385"/>
  <c r="CP190" i="42385"/>
  <c r="W190" i="42385"/>
  <c r="X190" i="42385" s="1"/>
  <c r="Y190" i="42385" s="1"/>
  <c r="Z190" i="42385" s="1"/>
  <c r="AA190" i="42385" s="1"/>
  <c r="BC1400" i="42385"/>
  <c r="BB1498" i="42385"/>
  <c r="I880" i="42385"/>
  <c r="I881" i="42385" s="1"/>
  <c r="EJ452" i="42492"/>
  <c r="DA241" i="42385"/>
  <c r="AG861" i="42385"/>
  <c r="AG862" i="42385" s="1"/>
  <c r="AG865" i="42385"/>
  <c r="J1003" i="42385"/>
  <c r="J1004" i="42385" s="1"/>
  <c r="J1005" i="42385" s="1"/>
  <c r="J391" i="42385"/>
  <c r="AE315" i="42385"/>
  <c r="AU248" i="42424"/>
  <c r="AU250" i="42424" s="1"/>
  <c r="AU252" i="42424" s="1"/>
  <c r="AE316" i="42385"/>
  <c r="AA135" i="42424"/>
  <c r="AJ315" i="42385"/>
  <c r="AL248" i="42424"/>
  <c r="AL250" i="42424" s="1"/>
  <c r="AP252" i="42424" s="1"/>
  <c r="Y315" i="42385"/>
  <c r="H65" i="42385"/>
  <c r="H75" i="42385" s="1"/>
  <c r="H54" i="42385"/>
  <c r="H51" i="42385"/>
  <c r="CS314" i="42385"/>
  <c r="AK50" i="42385"/>
  <c r="G11" i="42424"/>
  <c r="G15" i="42424" s="1"/>
  <c r="G16" i="42424" s="1"/>
  <c r="BR235" i="42400"/>
  <c r="Z892" i="42385"/>
  <c r="AL808" i="42385"/>
  <c r="C901" i="42385"/>
  <c r="AQ993" i="42385"/>
  <c r="BB285" i="42400"/>
  <c r="W1645" i="42385"/>
  <c r="D391" i="42385"/>
  <c r="D1141" i="42385" s="1"/>
  <c r="E391" i="42385"/>
  <c r="E1141" i="42385" s="1"/>
  <c r="CT1287" i="42385"/>
  <c r="D43" i="42465"/>
  <c r="AX650" i="42385"/>
  <c r="BC649" i="42385"/>
  <c r="BC650" i="42385" s="1"/>
  <c r="AZ649" i="42385"/>
  <c r="BP1478" i="42385"/>
  <c r="BQ1378" i="42385"/>
  <c r="GN522" i="42417"/>
  <c r="AP284" i="42385"/>
  <c r="B25" i="42412"/>
  <c r="D24" i="42412"/>
  <c r="BK56" i="42385"/>
  <c r="BK1663" i="42385"/>
  <c r="BP55" i="42385"/>
  <c r="BQ131" i="42385"/>
  <c r="BQ133" i="42385"/>
  <c r="BV131" i="42385"/>
  <c r="AG834" i="42385"/>
  <c r="I786" i="42385"/>
  <c r="J786" i="42385"/>
  <c r="CN176" i="42385"/>
  <c r="M176" i="42385"/>
  <c r="N176" i="42385" s="1"/>
  <c r="O176" i="42385" s="1"/>
  <c r="P176" i="42385" s="1"/>
  <c r="Q176" i="42385" s="1"/>
  <c r="CX1235" i="42385"/>
  <c r="BJ1236" i="42385"/>
  <c r="CX1236" i="42385" s="1"/>
  <c r="BY915" i="42385"/>
  <c r="DA915" i="42385" s="1"/>
  <c r="BY131" i="42400"/>
  <c r="BY146" i="42400" s="1"/>
  <c r="BZ914" i="42385"/>
  <c r="DA914" i="42385"/>
  <c r="BC229" i="42400"/>
  <c r="BD229" i="42400"/>
  <c r="BE233" i="42400"/>
  <c r="BA229" i="42400"/>
  <c r="BB229" i="42400"/>
  <c r="CB1645" i="42385"/>
  <c r="CB109" i="42385"/>
  <c r="CC59" i="42385"/>
  <c r="CB1283" i="42385"/>
  <c r="I708" i="42385"/>
  <c r="J708" i="42385"/>
  <c r="K101" i="42400"/>
  <c r="K833" i="42385" s="1"/>
  <c r="L95" i="42400"/>
  <c r="L101" i="42400" s="1"/>
  <c r="L833" i="42385" s="1"/>
  <c r="J879" i="42385"/>
  <c r="J880" i="42385" s="1"/>
  <c r="J881" i="42385" s="1"/>
  <c r="C37" i="42409"/>
  <c r="B34" i="42476"/>
  <c r="CT1564" i="42385"/>
  <c r="AP1660" i="42385"/>
  <c r="AP1585" i="42385"/>
  <c r="CT1585" i="42385" s="1"/>
  <c r="BD514" i="42385"/>
  <c r="BE512" i="42385"/>
  <c r="CW512" i="42385" s="1"/>
  <c r="BK1181" i="42385"/>
  <c r="BK1183" i="42385"/>
  <c r="BK1184" i="42385" s="1"/>
  <c r="AV1545" i="42385"/>
  <c r="AW604" i="42385"/>
  <c r="AV605" i="42385"/>
  <c r="BM1156" i="42385"/>
  <c r="BR1155" i="42385"/>
  <c r="CT1118" i="42385"/>
  <c r="AP1124" i="42385"/>
  <c r="CT1124" i="42385" s="1"/>
  <c r="AJ24" i="42385"/>
  <c r="AJ40" i="42385" s="1"/>
  <c r="AK23" i="42385"/>
  <c r="CS23" i="42385" s="1"/>
  <c r="BZ821" i="42385"/>
  <c r="BY822" i="42385"/>
  <c r="DA822" i="42385" s="1"/>
  <c r="DA821" i="42385"/>
  <c r="BY84" i="42400"/>
  <c r="BY99" i="42400" s="1"/>
  <c r="BI281" i="42385"/>
  <c r="BI648" i="42385"/>
  <c r="BX60" i="42400"/>
  <c r="BX73" i="42400" s="1"/>
  <c r="BY852" i="42385"/>
  <c r="AE259" i="42385"/>
  <c r="AE128" i="42385"/>
  <c r="AA136" i="42424"/>
  <c r="AA127" i="42424"/>
  <c r="AE1558" i="42385"/>
  <c r="AE1647" i="42385"/>
  <c r="AU1012" i="42385"/>
  <c r="CU1012" i="42385" s="1"/>
  <c r="AT1013" i="42385"/>
  <c r="C19" i="42472"/>
  <c r="CM1406" i="42385"/>
  <c r="CW1155" i="42385"/>
  <c r="BE1156" i="42385"/>
  <c r="BE1163" i="42385" s="1"/>
  <c r="CW1163" i="42385" s="1"/>
  <c r="BJ1155" i="42385"/>
  <c r="BA231" i="42400"/>
  <c r="BB231" i="42400"/>
  <c r="BD231" i="42400"/>
  <c r="BC231" i="42400"/>
  <c r="AH71" i="42400"/>
  <c r="AH75" i="42400" s="1"/>
  <c r="AH864" i="42385" s="1"/>
  <c r="J848" i="42385"/>
  <c r="J849" i="42385" s="1"/>
  <c r="J850" i="42385" s="1"/>
  <c r="AD923" i="42385"/>
  <c r="AD927" i="42385"/>
  <c r="AD932" i="42385"/>
  <c r="J746" i="42385"/>
  <c r="L746" i="42385" s="1"/>
  <c r="CN746" i="42385" s="1"/>
  <c r="J941" i="42385"/>
  <c r="J942" i="42385" s="1"/>
  <c r="J943" i="42385" s="1"/>
  <c r="K783" i="42385"/>
  <c r="K762" i="42385"/>
  <c r="L762" i="42385" s="1"/>
  <c r="CN762" i="42385" s="1"/>
  <c r="K743" i="42385"/>
  <c r="L743" i="42385" s="1"/>
  <c r="CN743" i="42385" s="1"/>
  <c r="K876" i="42385"/>
  <c r="L876" i="42385" s="1"/>
  <c r="CN876" i="42385" s="1"/>
  <c r="K938" i="42385"/>
  <c r="L938" i="42385" s="1"/>
  <c r="CN938" i="42385" s="1"/>
  <c r="K1081" i="42385"/>
  <c r="L1081" i="42385" s="1"/>
  <c r="CN1081" i="42385" s="1"/>
  <c r="K705" i="42385"/>
  <c r="K478" i="42385"/>
  <c r="L478" i="42385" s="1"/>
  <c r="CN478" i="42385" s="1"/>
  <c r="K814" i="42385"/>
  <c r="L814" i="42385" s="1"/>
  <c r="CN814" i="42385" s="1"/>
  <c r="K388" i="42385"/>
  <c r="L388" i="42385" s="1"/>
  <c r="CN388" i="42385" s="1"/>
  <c r="K907" i="42385"/>
  <c r="L907" i="42385" s="1"/>
  <c r="CN907" i="42385" s="1"/>
  <c r="K1000" i="42385"/>
  <c r="L1000" i="42385" s="1"/>
  <c r="CN1000" i="42385" s="1"/>
  <c r="K360" i="42385"/>
  <c r="K1138" i="42385"/>
  <c r="L1138" i="42385" s="1"/>
  <c r="CN1138" i="42385" s="1"/>
  <c r="AS658" i="42385"/>
  <c r="AX658" i="42385"/>
  <c r="BE235" i="42400"/>
  <c r="C22" i="42472"/>
  <c r="AB294" i="42400"/>
  <c r="AB298" i="42400" s="1"/>
  <c r="AB895" i="42385" s="1"/>
  <c r="AB896" i="42385" s="1"/>
  <c r="BP88" i="42385"/>
  <c r="BP1645" i="42385" s="1"/>
  <c r="AH75" i="42417"/>
  <c r="AG73" i="42417"/>
  <c r="AS1166" i="42385"/>
  <c r="AU1164" i="42385"/>
  <c r="CU1164" i="42385" s="1"/>
  <c r="BH1170" i="42385"/>
  <c r="BH1162" i="42385"/>
  <c r="BH1159" i="42385" s="1"/>
  <c r="BH1160" i="42385" s="1"/>
  <c r="BH1167" i="42385"/>
  <c r="AI15" i="42385"/>
  <c r="AD42" i="42385"/>
  <c r="AD200" i="42385"/>
  <c r="AD206" i="42385" s="1"/>
  <c r="AD27" i="42385"/>
  <c r="AI43" i="42385"/>
  <c r="AI32" i="42385"/>
  <c r="FW441" i="42417"/>
  <c r="CS310" i="42385"/>
  <c r="GO527" i="42417"/>
  <c r="AP385" i="42385"/>
  <c r="CT385" i="42385" s="1"/>
  <c r="CT370" i="42385"/>
  <c r="AP371" i="42385"/>
  <c r="CT371" i="42385" s="1"/>
  <c r="AP219" i="42385"/>
  <c r="AF129" i="42385"/>
  <c r="AK129" i="42385"/>
  <c r="CR127" i="42385"/>
  <c r="AF1622" i="42385"/>
  <c r="CR1622" i="42385" s="1"/>
  <c r="BO26" i="42385"/>
  <c r="CY26" i="42385" s="1"/>
  <c r="BO32" i="42385"/>
  <c r="BC1186" i="42385"/>
  <c r="BC1187" i="42385" s="1"/>
  <c r="BB1187" i="42385"/>
  <c r="AF163" i="42385"/>
  <c r="CR163" i="42385" s="1"/>
  <c r="AE165" i="42385"/>
  <c r="I481" i="42385"/>
  <c r="J481" i="42385"/>
  <c r="BT682" i="42385"/>
  <c r="BT701" i="42385" s="1"/>
  <c r="BP691" i="42385"/>
  <c r="BP693" i="42385" s="1"/>
  <c r="BP695" i="42385" s="1"/>
  <c r="EP381" i="42417"/>
  <c r="DW356" i="42417"/>
  <c r="BA763" i="42385"/>
  <c r="BB763" i="42385" s="1"/>
  <c r="BC763" i="42385" s="1"/>
  <c r="BD763" i="42385" s="1"/>
  <c r="BE763" i="42385" s="1"/>
  <c r="CV763" i="42385"/>
  <c r="AR612" i="42385"/>
  <c r="AT612" i="42385" s="1"/>
  <c r="CT612" i="42385"/>
  <c r="AX237" i="42385"/>
  <c r="AZ237" i="42385" s="1"/>
  <c r="CV237" i="42385" s="1"/>
  <c r="BC767" i="42385"/>
  <c r="AZ767" i="42385"/>
  <c r="AX774" i="42385"/>
  <c r="AX771" i="42385"/>
  <c r="BA246" i="42385"/>
  <c r="BE246" i="42385" s="1"/>
  <c r="BA983" i="42385"/>
  <c r="BJ981" i="42385"/>
  <c r="K910" i="42385"/>
  <c r="M50" i="42385"/>
  <c r="R315" i="42385"/>
  <c r="M1647" i="42385"/>
  <c r="M315" i="42385"/>
  <c r="M316" i="42385"/>
  <c r="D28" i="42412"/>
  <c r="G787" i="42385"/>
  <c r="CM787" i="42385" s="1"/>
  <c r="CM786" i="42385"/>
  <c r="AZ896" i="42385"/>
  <c r="CV896" i="42385" s="1"/>
  <c r="CV895" i="42385"/>
  <c r="AT56" i="42385"/>
  <c r="F16" i="42476"/>
  <c r="CW256" i="42417"/>
  <c r="AT1663" i="42385"/>
  <c r="F12" i="42476"/>
  <c r="AL963" i="42385"/>
  <c r="AL954" i="42385"/>
  <c r="AQ954" i="42385" s="1"/>
  <c r="P923" i="42385"/>
  <c r="P932" i="42385"/>
  <c r="P927" i="42385"/>
  <c r="K963" i="42385"/>
  <c r="K954" i="42385"/>
  <c r="K955" i="42385" s="1"/>
  <c r="K958" i="42385"/>
  <c r="AM958" i="42385"/>
  <c r="AM954" i="42385"/>
  <c r="AM955" i="42385" s="1"/>
  <c r="AM963" i="42385"/>
  <c r="H1025" i="42385"/>
  <c r="H1020" i="42385"/>
  <c r="H1016" i="42385"/>
  <c r="AC1645" i="42385"/>
  <c r="AJ231" i="42400"/>
  <c r="AI231" i="42400"/>
  <c r="AG231" i="42400"/>
  <c r="AH231" i="42400"/>
  <c r="AO78" i="42385"/>
  <c r="AP78" i="42385" s="1"/>
  <c r="P376" i="42385"/>
  <c r="R377" i="42385"/>
  <c r="AU230" i="42385"/>
  <c r="AU619" i="42385"/>
  <c r="CU619" i="42385" s="1"/>
  <c r="HN641" i="42417"/>
  <c r="HN645" i="42417" s="1"/>
  <c r="HN647" i="42417" s="1"/>
  <c r="HN648" i="42417" s="1"/>
  <c r="CU618" i="42385"/>
  <c r="G1622" i="42385"/>
  <c r="CM1622" i="42385" s="1"/>
  <c r="CM127" i="42385"/>
  <c r="G113" i="42385"/>
  <c r="CM113" i="42385" s="1"/>
  <c r="L129" i="42385"/>
  <c r="G128" i="42385"/>
  <c r="CM128" i="42385" s="1"/>
  <c r="AC382" i="42385"/>
  <c r="AC373" i="42385"/>
  <c r="AR1175" i="42385"/>
  <c r="AS1174" i="42385"/>
  <c r="BM77" i="42385"/>
  <c r="BM1514" i="42385"/>
  <c r="AM1001" i="42385"/>
  <c r="AL1139" i="42385"/>
  <c r="AR88" i="42385"/>
  <c r="AR1645" i="42385" s="1"/>
  <c r="AU86" i="42385"/>
  <c r="CU86" i="42385" s="1"/>
  <c r="BH37" i="42400"/>
  <c r="BF37" i="42400"/>
  <c r="BI37" i="42400"/>
  <c r="BG37" i="42400"/>
  <c r="BJ45" i="42400"/>
  <c r="BJ51" i="42400" s="1"/>
  <c r="BJ802" i="42385" s="1"/>
  <c r="BH42" i="42400"/>
  <c r="BI42" i="42400"/>
  <c r="BG42" i="42400"/>
  <c r="BF42" i="42400"/>
  <c r="BD369" i="42385"/>
  <c r="AY370" i="42385"/>
  <c r="BS661" i="42385"/>
  <c r="BO661" i="42385"/>
  <c r="BN673" i="42385"/>
  <c r="CC1550" i="42385"/>
  <c r="CD517" i="42385"/>
  <c r="CA784" i="42385"/>
  <c r="DB784" i="42385"/>
  <c r="Y13" i="42476"/>
  <c r="CZ100" i="42385"/>
  <c r="AF24" i="42476"/>
  <c r="AF25" i="42476" s="1"/>
  <c r="BP540" i="42385"/>
  <c r="BP542" i="42385" s="1"/>
  <c r="BP537" i="42385"/>
  <c r="FU437" i="42417"/>
  <c r="AE354" i="42385"/>
  <c r="AE344" i="42385"/>
  <c r="AF347" i="42385"/>
  <c r="AG229" i="42400"/>
  <c r="AJ229" i="42400"/>
  <c r="AI229" i="42400"/>
  <c r="AH229" i="42400"/>
  <c r="AK233" i="42400"/>
  <c r="BN1324" i="42385"/>
  <c r="BO1324" i="42385" s="1"/>
  <c r="CY1324" i="42385" s="1"/>
  <c r="BM1326" i="42385"/>
  <c r="X803" i="42385"/>
  <c r="X799" i="42385"/>
  <c r="X808" i="42385"/>
  <c r="AY590" i="42385"/>
  <c r="AT591" i="42385"/>
  <c r="AU590" i="42385"/>
  <c r="CU590" i="42385" s="1"/>
  <c r="AO244" i="42385"/>
  <c r="AO935" i="42385"/>
  <c r="O373" i="42385"/>
  <c r="O382" i="42385"/>
  <c r="Q376" i="42385"/>
  <c r="BC618" i="42385"/>
  <c r="AX230" i="42385"/>
  <c r="AZ618" i="42385"/>
  <c r="CA367" i="42385"/>
  <c r="DB367" i="42385"/>
  <c r="BL166" i="42385"/>
  <c r="BL134" i="42385" s="1"/>
  <c r="BL1509" i="42385"/>
  <c r="AY1013" i="42385"/>
  <c r="AZ1012" i="42385"/>
  <c r="CV1012" i="42385" s="1"/>
  <c r="BQ509" i="42385"/>
  <c r="BQ512" i="42385"/>
  <c r="BQ514" i="42385" s="1"/>
  <c r="CA130" i="42385"/>
  <c r="CA166" i="42385"/>
  <c r="DC166" i="42385" s="1"/>
  <c r="DC165" i="42385"/>
  <c r="M954" i="42385"/>
  <c r="M955" i="42385" s="1"/>
  <c r="M958" i="42385"/>
  <c r="M963" i="42385"/>
  <c r="BA1514" i="42385"/>
  <c r="BA77" i="42385"/>
  <c r="CS1001" i="42385"/>
  <c r="CV221" i="42385"/>
  <c r="J38" i="42470"/>
  <c r="CZ85" i="42385"/>
  <c r="BT88" i="42385"/>
  <c r="AE675" i="42385"/>
  <c r="AE677" i="42385"/>
  <c r="BI39" i="42400"/>
  <c r="BG39" i="42400"/>
  <c r="BH39" i="42400"/>
  <c r="BF39" i="42400"/>
  <c r="BG41" i="42400"/>
  <c r="BH41" i="42400"/>
  <c r="BF41" i="42400"/>
  <c r="AG114" i="42492"/>
  <c r="AF132" i="42492"/>
  <c r="AG132" i="42492" s="1"/>
  <c r="AY40" i="42400"/>
  <c r="AY45" i="42400" s="1"/>
  <c r="AY51" i="42400" s="1"/>
  <c r="AY802" i="42385" s="1"/>
  <c r="AY803" i="42385" s="1"/>
  <c r="AX40" i="42400"/>
  <c r="AX45" i="42400" s="1"/>
  <c r="AX51" i="42400" s="1"/>
  <c r="AX802" i="42385" s="1"/>
  <c r="AX803" i="42385" s="1"/>
  <c r="AV40" i="42400"/>
  <c r="AV45" i="42400" s="1"/>
  <c r="AV51" i="42400" s="1"/>
  <c r="AV802" i="42385" s="1"/>
  <c r="AV803" i="42385" s="1"/>
  <c r="AW40" i="42400"/>
  <c r="AW45" i="42400" s="1"/>
  <c r="AW51" i="42400" s="1"/>
  <c r="AW802" i="42385" s="1"/>
  <c r="AW803" i="42385" s="1"/>
  <c r="AZ45" i="42400"/>
  <c r="AZ51" i="42400" s="1"/>
  <c r="AZ802" i="42385" s="1"/>
  <c r="BR467" i="42385"/>
  <c r="BR469" i="42385" s="1"/>
  <c r="BR463" i="42385"/>
  <c r="BW462" i="42385"/>
  <c r="CC131" i="42385"/>
  <c r="BT1321" i="42385"/>
  <c r="BS1643" i="42385"/>
  <c r="AB803" i="42385"/>
  <c r="AB799" i="42385"/>
  <c r="AB808" i="42385"/>
  <c r="BJ110" i="42385"/>
  <c r="CX110" i="42385" s="1"/>
  <c r="CX1284" i="42385"/>
  <c r="CB302" i="42385"/>
  <c r="CA248" i="42385"/>
  <c r="BW12" i="42385"/>
  <c r="AZ369" i="42385"/>
  <c r="CV369" i="42385" s="1"/>
  <c r="BV1208" i="42385"/>
  <c r="BV1210" i="42385" s="1"/>
  <c r="U1020" i="42385"/>
  <c r="U1025" i="42385"/>
  <c r="U1016" i="42385"/>
  <c r="AJ230" i="42400"/>
  <c r="AH230" i="42400"/>
  <c r="AI230" i="42400"/>
  <c r="AG230" i="42400"/>
  <c r="BI1237" i="42385"/>
  <c r="BH1241" i="42385"/>
  <c r="BJ1241" i="42385" s="1"/>
  <c r="Z799" i="42385"/>
  <c r="AE801" i="42385" s="1"/>
  <c r="Z808" i="42385"/>
  <c r="Z803" i="42385"/>
  <c r="AT43" i="42385"/>
  <c r="AT42" i="42385"/>
  <c r="AT41" i="42385"/>
  <c r="I954" i="42385"/>
  <c r="I955" i="42385" s="1"/>
  <c r="I958" i="42385"/>
  <c r="I963" i="42385"/>
  <c r="BP131" i="42385"/>
  <c r="BU131" i="42385"/>
  <c r="BP133" i="42385"/>
  <c r="AG163" i="42385"/>
  <c r="AG166" i="42385"/>
  <c r="AQ1175" i="42385"/>
  <c r="AQ1177" i="42385"/>
  <c r="AQ1178" i="42385" s="1"/>
  <c r="AP1577" i="42385"/>
  <c r="CT1577" i="42385" s="1"/>
  <c r="CT1575" i="42385"/>
  <c r="AK29" i="42385"/>
  <c r="CS20" i="42385"/>
  <c r="AU438" i="42385"/>
  <c r="CU438" i="42385" s="1"/>
  <c r="AT440" i="42385"/>
  <c r="BJ242" i="42385"/>
  <c r="BD86" i="42385"/>
  <c r="BE86" i="42385" s="1"/>
  <c r="CW86" i="42385" s="1"/>
  <c r="BE85" i="42385"/>
  <c r="BH834" i="42385"/>
  <c r="M189" i="42385"/>
  <c r="N189" i="42385" s="1"/>
  <c r="O189" i="42385" s="1"/>
  <c r="P189" i="42385" s="1"/>
  <c r="Q189" i="42385" s="1"/>
  <c r="CN189" i="42385"/>
  <c r="AQ417" i="42385"/>
  <c r="AR416" i="42385"/>
  <c r="AQ1530" i="42385"/>
  <c r="BH38" i="42400"/>
  <c r="BI38" i="42400"/>
  <c r="BF38" i="42400"/>
  <c r="BG38" i="42400"/>
  <c r="BH40" i="42400"/>
  <c r="BF40" i="42400"/>
  <c r="BG40" i="42400"/>
  <c r="BI40" i="42400"/>
  <c r="AW489" i="42385"/>
  <c r="AW487" i="42385"/>
  <c r="AW223" i="42385"/>
  <c r="AZ483" i="42385"/>
  <c r="BM269" i="42385"/>
  <c r="BM470" i="42385"/>
  <c r="AU110" i="42385"/>
  <c r="CU110" i="42385" s="1"/>
  <c r="CU1284" i="42385"/>
  <c r="AX958" i="42385"/>
  <c r="AE932" i="42385"/>
  <c r="AE927" i="42385"/>
  <c r="AE923" i="42385"/>
  <c r="BV1103" i="42385"/>
  <c r="D1016" i="42385"/>
  <c r="D1025" i="42385"/>
  <c r="D1020" i="42385"/>
  <c r="AF85" i="42385"/>
  <c r="AE86" i="42385"/>
  <c r="J1025" i="42385"/>
  <c r="J1020" i="42385"/>
  <c r="J1016" i="42385"/>
  <c r="J1017" i="42385" s="1"/>
  <c r="AT65" i="42385"/>
  <c r="AT75" i="42385" s="1"/>
  <c r="AT52" i="42385"/>
  <c r="F41" i="42405"/>
  <c r="G35" i="42405"/>
  <c r="F34" i="42405"/>
  <c r="F37" i="42405" s="1"/>
  <c r="AN582" i="42385"/>
  <c r="CS130" i="42385"/>
  <c r="AD376" i="42385"/>
  <c r="AE377" i="42385"/>
  <c r="CV1174" i="42385"/>
  <c r="AV1174" i="42385"/>
  <c r="AZ1175" i="42385"/>
  <c r="CV1175" i="42385" s="1"/>
  <c r="BL1170" i="42385"/>
  <c r="BL1162" i="42385"/>
  <c r="BL1159" i="42385" s="1"/>
  <c r="BL1157" i="42385"/>
  <c r="BQ1157" i="42385"/>
  <c r="BL1167" i="42385"/>
  <c r="AU434" i="42385"/>
  <c r="CU434" i="42385" s="1"/>
  <c r="CU433" i="42385"/>
  <c r="AO594" i="42385"/>
  <c r="AF14" i="42385"/>
  <c r="AF15" i="42385" s="1"/>
  <c r="CR15" i="42385" s="1"/>
  <c r="AH200" i="42385"/>
  <c r="AG200" i="42385"/>
  <c r="AI200" i="42385"/>
  <c r="S923" i="42385"/>
  <c r="S927" i="42385"/>
  <c r="S932" i="42385"/>
  <c r="CB545" i="42385"/>
  <c r="CC545" i="42385" s="1"/>
  <c r="CD545" i="42385" s="1"/>
  <c r="CE545" i="42385" s="1"/>
  <c r="CF545" i="42385" s="1"/>
  <c r="DC545" i="42385"/>
  <c r="CT416" i="42385"/>
  <c r="AP417" i="42385"/>
  <c r="CT417" i="42385" s="1"/>
  <c r="BG43" i="42400"/>
  <c r="BI43" i="42400"/>
  <c r="BF43" i="42400"/>
  <c r="BH43" i="42400"/>
  <c r="BK540" i="42385"/>
  <c r="BK542" i="42385" s="1"/>
  <c r="BK537" i="42385"/>
  <c r="AT219" i="42385"/>
  <c r="AT371" i="42385"/>
  <c r="AT385" i="42385"/>
  <c r="AU370" i="42385"/>
  <c r="BJ662" i="42385"/>
  <c r="BJ673" i="42385"/>
  <c r="BY311" i="42385"/>
  <c r="BY255" i="42385"/>
  <c r="BJ657" i="42385"/>
  <c r="BJ658" i="42385" s="1"/>
  <c r="BE770" i="42385"/>
  <c r="BI770" i="42385"/>
  <c r="AE200" i="42385"/>
  <c r="D1663" i="42385"/>
  <c r="X865" i="42385"/>
  <c r="X861" i="42385"/>
  <c r="X870" i="42385"/>
  <c r="X316" i="42385"/>
  <c r="X315" i="42385"/>
  <c r="X1647" i="42385"/>
  <c r="AO248" i="42424"/>
  <c r="AO250" i="42424" s="1"/>
  <c r="X50" i="42385"/>
  <c r="AC315" i="42385"/>
  <c r="E42" i="42465"/>
  <c r="CU1280" i="42385"/>
  <c r="CV268" i="42385"/>
  <c r="GC468" i="42417"/>
  <c r="GG468" i="42417" s="1"/>
  <c r="AB954" i="42385"/>
  <c r="AB956" i="42385" s="1"/>
  <c r="AB963" i="42385"/>
  <c r="AB958" i="42385"/>
  <c r="AF901" i="42385"/>
  <c r="CR901" i="42385" s="1"/>
  <c r="AF896" i="42385"/>
  <c r="CR896" i="42385" s="1"/>
  <c r="CR895" i="42385"/>
  <c r="CW895" i="42385"/>
  <c r="BE896" i="42385"/>
  <c r="CW896" i="42385" s="1"/>
  <c r="BA896" i="42385"/>
  <c r="K50" i="42385"/>
  <c r="P315" i="42385"/>
  <c r="K316" i="42385"/>
  <c r="K1647" i="42385"/>
  <c r="K315" i="42385"/>
  <c r="K75" i="42400"/>
  <c r="K864" i="42385" s="1"/>
  <c r="L71" i="42400"/>
  <c r="L75" i="42400" s="1"/>
  <c r="L864" i="42385" s="1"/>
  <c r="W896" i="42385"/>
  <c r="W892" i="42385"/>
  <c r="W893" i="42385" s="1"/>
  <c r="W901" i="42385"/>
  <c r="AB870" i="42385"/>
  <c r="AB865" i="42385"/>
  <c r="AB861" i="42385"/>
  <c r="AG863" i="42385" s="1"/>
  <c r="AV990" i="42385"/>
  <c r="AV992" i="42385" s="1"/>
  <c r="AV989" i="42385"/>
  <c r="S830" i="42385"/>
  <c r="S834" i="42385"/>
  <c r="S839" i="42385"/>
  <c r="CS1287" i="42385"/>
  <c r="C43" i="42465"/>
  <c r="BY398" i="42385"/>
  <c r="AN601" i="42385"/>
  <c r="AE800" i="42385"/>
  <c r="AV1161" i="42385"/>
  <c r="BA1161" i="42385"/>
  <c r="DA1361" i="42385"/>
  <c r="BZ1361" i="42385"/>
  <c r="BE715" i="42385"/>
  <c r="CW715" i="42385" s="1"/>
  <c r="BE714" i="42385"/>
  <c r="CW714" i="42385" s="1"/>
  <c r="CW713" i="42385"/>
  <c r="BH985" i="42385"/>
  <c r="BE985" i="42385"/>
  <c r="BC986" i="42385"/>
  <c r="BQ576" i="42385"/>
  <c r="BP1551" i="42385"/>
  <c r="BU1590" i="42385"/>
  <c r="BV1590" i="42385" s="1"/>
  <c r="BW1590" i="42385" s="1"/>
  <c r="BX1590" i="42385" s="1"/>
  <c r="BY1590" i="42385" s="1"/>
  <c r="CZ1590" i="42385"/>
  <c r="V839" i="42385"/>
  <c r="CP839" i="42385" s="1"/>
  <c r="BW643" i="42385"/>
  <c r="F14" i="42464"/>
  <c r="P207" i="42385"/>
  <c r="AC901" i="42385"/>
  <c r="AV298" i="42400"/>
  <c r="AV895" i="42385" s="1"/>
  <c r="AV896" i="42385" s="1"/>
  <c r="E316" i="42385"/>
  <c r="CX988" i="42385"/>
  <c r="CW53" i="42385"/>
  <c r="AO583" i="42385"/>
  <c r="H36" i="42405"/>
  <c r="AU1643" i="42385"/>
  <c r="CU1643" i="42385" s="1"/>
  <c r="CU1321" i="42385"/>
  <c r="BB43" i="42385"/>
  <c r="BC1549" i="42385"/>
  <c r="BD995" i="42385"/>
  <c r="BE1280" i="42385"/>
  <c r="Y67" i="42443"/>
  <c r="AD67" i="42443"/>
  <c r="Z407" i="42385"/>
  <c r="AA408" i="42385"/>
  <c r="BC231" i="42385"/>
  <c r="BH640" i="42385"/>
  <c r="BC647" i="42385"/>
  <c r="BC644" i="42385"/>
  <c r="BE640" i="42385"/>
  <c r="AO166" i="42385"/>
  <c r="AO134" i="42385" s="1"/>
  <c r="AP165" i="42385"/>
  <c r="F870" i="42385"/>
  <c r="F861" i="42385"/>
  <c r="F862" i="42385" s="1"/>
  <c r="F865" i="42385"/>
  <c r="CT130" i="42385"/>
  <c r="AP131" i="42385"/>
  <c r="AU131" i="42385"/>
  <c r="AP243" i="42385"/>
  <c r="AP888" i="42385"/>
  <c r="CT888" i="42385" s="1"/>
  <c r="CT889" i="42385"/>
  <c r="AP890" i="42385"/>
  <c r="CT890" i="42385" s="1"/>
  <c r="AP904" i="42385"/>
  <c r="CT904" i="42385" s="1"/>
  <c r="AU890" i="42385"/>
  <c r="BP1514" i="42385"/>
  <c r="BP77" i="42385"/>
  <c r="G1645" i="42385"/>
  <c r="CM88" i="42385"/>
  <c r="L21" i="42472"/>
  <c r="CV1411" i="42385"/>
  <c r="F32" i="42465"/>
  <c r="F33" i="42465" s="1"/>
  <c r="F35" i="42465" s="1"/>
  <c r="CV1375" i="42385"/>
  <c r="AZ1424" i="42385"/>
  <c r="CV1424" i="42385" s="1"/>
  <c r="CV1308" i="42385"/>
  <c r="AZ1314" i="42385"/>
  <c r="BD1486" i="42385"/>
  <c r="BE1486" i="42385" s="1"/>
  <c r="CW1486" i="42385" s="1"/>
  <c r="BT165" i="42400"/>
  <c r="BQ163" i="42400"/>
  <c r="BR163" i="42400"/>
  <c r="BS163" i="42400"/>
  <c r="BP163" i="42400"/>
  <c r="AJ1357" i="42385"/>
  <c r="AI1364" i="42385"/>
  <c r="AH1421" i="42385"/>
  <c r="AK202" i="42385" s="1"/>
  <c r="J818" i="42385"/>
  <c r="J819" i="42385" s="1"/>
  <c r="BC996" i="42385"/>
  <c r="CV988" i="42385"/>
  <c r="AZ989" i="42385"/>
  <c r="CV989" i="42385" s="1"/>
  <c r="AZ990" i="42385"/>
  <c r="BB298" i="42400"/>
  <c r="BB895" i="42385" s="1"/>
  <c r="BB896" i="42385" s="1"/>
  <c r="BE711" i="42385"/>
  <c r="CW711" i="42385" s="1"/>
  <c r="CW710" i="42385"/>
  <c r="BO65" i="42385"/>
  <c r="Y89" i="42492"/>
  <c r="AT167" i="42492"/>
  <c r="BO1569" i="42385"/>
  <c r="BO42" i="42385"/>
  <c r="CY42" i="42385" s="1"/>
  <c r="AA12" i="42476"/>
  <c r="CY40" i="42385"/>
  <c r="BO41" i="42385"/>
  <c r="CY41" i="42385" s="1"/>
  <c r="BO43" i="42385"/>
  <c r="CY43" i="42385" s="1"/>
  <c r="BG237" i="42385"/>
  <c r="BG774" i="42385"/>
  <c r="BG771" i="42385"/>
  <c r="BL767" i="42385"/>
  <c r="BC927" i="42385"/>
  <c r="AD298" i="42400"/>
  <c r="AD895" i="42385" s="1"/>
  <c r="J206" i="42385"/>
  <c r="J207" i="42385"/>
  <c r="BR79" i="42385"/>
  <c r="BR1278" i="42385"/>
  <c r="BJ713" i="42385"/>
  <c r="BG714" i="42385"/>
  <c r="BG717" i="42385"/>
  <c r="BL713" i="42385"/>
  <c r="CT270" i="42385"/>
  <c r="GO529" i="42417"/>
  <c r="E21" i="42464"/>
  <c r="S20" i="42476"/>
  <c r="BG1658" i="42385"/>
  <c r="AC20" i="42476"/>
  <c r="BQ1658" i="42385"/>
  <c r="J77" i="42385"/>
  <c r="J90" i="42385" s="1"/>
  <c r="J1514" i="42385"/>
  <c r="R1278" i="42385"/>
  <c r="R79" i="42385"/>
  <c r="R92" i="42385" s="1"/>
  <c r="BN767" i="42385"/>
  <c r="BI237" i="42385"/>
  <c r="BI238" i="42385" s="1"/>
  <c r="BI771" i="42385"/>
  <c r="BF71" i="42418"/>
  <c r="BF72" i="42418" s="1"/>
  <c r="BV1115" i="42385"/>
  <c r="BV312" i="42385" s="1"/>
  <c r="BV23" i="42385" s="1"/>
  <c r="BJ233" i="42385"/>
  <c r="CV985" i="42385"/>
  <c r="AZ986" i="42385"/>
  <c r="CV986" i="42385" s="1"/>
  <c r="AZ987" i="42385"/>
  <c r="CV987" i="42385" s="1"/>
  <c r="CW1111" i="42385"/>
  <c r="BE1115" i="42385"/>
  <c r="BO577" i="42385"/>
  <c r="CY577" i="42385" s="1"/>
  <c r="CY576" i="42385"/>
  <c r="GC483" i="42464"/>
  <c r="H20" i="42412"/>
  <c r="AZ155" i="42417"/>
  <c r="C34" i="42412"/>
  <c r="BF164" i="42417"/>
  <c r="C29" i="42412"/>
  <c r="BT240" i="42385"/>
  <c r="CC153" i="42464"/>
  <c r="CC165" i="42464"/>
  <c r="AN1554" i="42385"/>
  <c r="BB107" i="42385"/>
  <c r="BE1553" i="42385"/>
  <c r="BY43" i="42400"/>
  <c r="BY42" i="42400"/>
  <c r="BY40" i="42400"/>
  <c r="BY38" i="42400"/>
  <c r="BY37" i="42400"/>
  <c r="BY47" i="42400"/>
  <c r="BY41" i="42400"/>
  <c r="BY39" i="42400"/>
  <c r="DA824" i="42385"/>
  <c r="BZ824" i="42385"/>
  <c r="BY83" i="42400"/>
  <c r="BY825" i="42385"/>
  <c r="DA825" i="42385" s="1"/>
  <c r="BP161" i="42400"/>
  <c r="BR161" i="42400"/>
  <c r="BS161" i="42400"/>
  <c r="BQ161" i="42400"/>
  <c r="BI467" i="42385"/>
  <c r="BI469" i="42385" s="1"/>
  <c r="BI463" i="42385"/>
  <c r="BN462" i="42385"/>
  <c r="BJ462" i="42385"/>
  <c r="AA896" i="42385"/>
  <c r="CQ896" i="42385" s="1"/>
  <c r="AA901" i="42385"/>
  <c r="CQ901" i="42385" s="1"/>
  <c r="CQ895" i="42385"/>
  <c r="IP896" i="42464"/>
  <c r="CV234" i="42385"/>
  <c r="AA259" i="42385"/>
  <c r="CQ259" i="42385" s="1"/>
  <c r="AA128" i="42385"/>
  <c r="CQ128" i="42385" s="1"/>
  <c r="AA1558" i="42385"/>
  <c r="CQ1558" i="42385" s="1"/>
  <c r="CQ258" i="42385"/>
  <c r="BY668" i="42385"/>
  <c r="BZ667" i="42385"/>
  <c r="CA667" i="42385" s="1"/>
  <c r="CB667" i="42385" s="1"/>
  <c r="CC667" i="42385" s="1"/>
  <c r="CD667" i="42385" s="1"/>
  <c r="CE667" i="42385" s="1"/>
  <c r="CF667" i="42385" s="1"/>
  <c r="BQ370" i="42385"/>
  <c r="BV369" i="42385"/>
  <c r="W171" i="42385"/>
  <c r="X171" i="42385" s="1"/>
  <c r="Y171" i="42385" s="1"/>
  <c r="Z171" i="42385" s="1"/>
  <c r="AA171" i="42385" s="1"/>
  <c r="CQ171" i="42385" s="1"/>
  <c r="Z901" i="42385"/>
  <c r="AE803" i="42385"/>
  <c r="AL958" i="42385"/>
  <c r="AD799" i="42385"/>
  <c r="AD800" i="42385" s="1"/>
  <c r="GP522" i="42417"/>
  <c r="D235" i="42400"/>
  <c r="D957" i="42385" s="1"/>
  <c r="D958" i="42385" s="1"/>
  <c r="CN1575" i="42385"/>
  <c r="BE834" i="42385"/>
  <c r="CW834" i="42385" s="1"/>
  <c r="W1025" i="42385"/>
  <c r="W1020" i="42385"/>
  <c r="W1016" i="42385"/>
  <c r="DN342" i="42464"/>
  <c r="DN338" i="42464" s="1"/>
  <c r="DP342" i="42464"/>
  <c r="AQ965" i="42385"/>
  <c r="AO1539" i="42385"/>
  <c r="AP965" i="42385"/>
  <c r="AO966" i="42385"/>
  <c r="CX1321" i="42385"/>
  <c r="BJ1643" i="42385"/>
  <c r="CX1643" i="42385" s="1"/>
  <c r="BR1488" i="42385"/>
  <c r="BS1457" i="42385"/>
  <c r="BP618" i="42385"/>
  <c r="BK230" i="42385"/>
  <c r="AO1531" i="42385"/>
  <c r="AO1554" i="42385" s="1"/>
  <c r="AP1554" i="42385" s="1"/>
  <c r="CT1554" i="42385" s="1"/>
  <c r="AO811" i="42385"/>
  <c r="AQ810" i="42385"/>
  <c r="AP810" i="42385"/>
  <c r="AR1406" i="42385"/>
  <c r="AR1564" i="42385"/>
  <c r="AS1504" i="42385"/>
  <c r="AR1504" i="42385"/>
  <c r="AU1504" i="42385"/>
  <c r="CU1504" i="42385" s="1"/>
  <c r="BN1484" i="42385"/>
  <c r="BO1384" i="42385"/>
  <c r="BC51" i="42418"/>
  <c r="AZ51" i="42418"/>
  <c r="AP919" i="42385"/>
  <c r="CT919" i="42385" s="1"/>
  <c r="AP244" i="42385"/>
  <c r="CT920" i="42385"/>
  <c r="AP921" i="42385"/>
  <c r="CT921" i="42385" s="1"/>
  <c r="AP935" i="42385"/>
  <c r="CT935" i="42385" s="1"/>
  <c r="AD1579" i="42385"/>
  <c r="AB1579" i="42385"/>
  <c r="Z1579" i="42385"/>
  <c r="AA1579" i="42385" s="1"/>
  <c r="CQ1579" i="42385" s="1"/>
  <c r="AC1579" i="42385"/>
  <c r="DA395" i="42385"/>
  <c r="BZ395" i="42385"/>
  <c r="GM499" i="42417"/>
  <c r="AN9" i="42385"/>
  <c r="AN13" i="42385" s="1"/>
  <c r="AN257" i="42385" s="1"/>
  <c r="AN258" i="42385" s="1"/>
  <c r="GM504" i="42417"/>
  <c r="Z954" i="42385"/>
  <c r="Z958" i="42385"/>
  <c r="Z963" i="42385"/>
  <c r="Z1623" i="42385"/>
  <c r="AA1623" i="42385" s="1"/>
  <c r="CQ1623" i="42385" s="1"/>
  <c r="AC1623" i="42385"/>
  <c r="AB1623" i="42385"/>
  <c r="CU83" i="42385"/>
  <c r="AJ1324" i="42385"/>
  <c r="AJ1326" i="42385" s="1"/>
  <c r="AI1326" i="42385"/>
  <c r="BO533" i="42385"/>
  <c r="CY533" i="42385" s="1"/>
  <c r="BO546" i="42385"/>
  <c r="CY546" i="42385" s="1"/>
  <c r="CY532" i="42385"/>
  <c r="I1004" i="42385"/>
  <c r="I1005" i="42385" s="1"/>
  <c r="Q963" i="42385"/>
  <c r="CO963" i="42385" s="1"/>
  <c r="Q958" i="42385"/>
  <c r="CO958" i="42385" s="1"/>
  <c r="CO957" i="42385"/>
  <c r="BX243" i="42385"/>
  <c r="BY243" i="42385" s="1"/>
  <c r="BX890" i="42385"/>
  <c r="AR15" i="42385"/>
  <c r="AQ200" i="42385"/>
  <c r="AO200" i="42385"/>
  <c r="AP200" i="42385" s="1"/>
  <c r="AM27" i="42385"/>
  <c r="AR43" i="42385"/>
  <c r="AR32" i="42385"/>
  <c r="AM32" i="42385"/>
  <c r="AM42" i="42385"/>
  <c r="BC1382" i="42385"/>
  <c r="BB1402" i="42385"/>
  <c r="BB1482" i="42385"/>
  <c r="BB1563" i="42385"/>
  <c r="BO1325" i="42385"/>
  <c r="BI1170" i="42385"/>
  <c r="BI1162" i="42385"/>
  <c r="BI1167" i="42385"/>
  <c r="BI1157" i="42385"/>
  <c r="BC1159" i="42385"/>
  <c r="AJ128" i="42385"/>
  <c r="Q25" i="42424"/>
  <c r="AJ259" i="42385"/>
  <c r="AJ1558" i="42385"/>
  <c r="AE127" i="42424"/>
  <c r="AE128" i="42424" s="1"/>
  <c r="AY246" i="42424"/>
  <c r="AY250" i="42424" s="1"/>
  <c r="AE136" i="42424"/>
  <c r="AA95" i="42424"/>
  <c r="AJ316" i="42385"/>
  <c r="AJ1647" i="42385"/>
  <c r="BP155" i="42400"/>
  <c r="BP158" i="42400" s="1"/>
  <c r="BQ155" i="42400"/>
  <c r="BQ158" i="42400" s="1"/>
  <c r="BS155" i="42400"/>
  <c r="BS158" i="42400" s="1"/>
  <c r="BT158" i="42400"/>
  <c r="BT169" i="42400" s="1"/>
  <c r="BT988" i="42385" s="1"/>
  <c r="BR155" i="42400"/>
  <c r="BR158" i="42400" s="1"/>
  <c r="BU1389" i="42385"/>
  <c r="BV1389" i="42385" s="1"/>
  <c r="BW1389" i="42385" s="1"/>
  <c r="BW1489" i="42385" s="1"/>
  <c r="AB901" i="42385"/>
  <c r="BE658" i="42385"/>
  <c r="AD653" i="42385"/>
  <c r="AE654" i="42385"/>
  <c r="AE653" i="42385" s="1"/>
  <c r="AV934" i="42385"/>
  <c r="AT1533" i="42385"/>
  <c r="AU1533" i="42385" s="1"/>
  <c r="CU1533" i="42385" s="1"/>
  <c r="AT935" i="42385"/>
  <c r="DC785" i="42385"/>
  <c r="CB785" i="42385"/>
  <c r="CC785" i="42385" s="1"/>
  <c r="CD785" i="42385" s="1"/>
  <c r="CE785" i="42385" s="1"/>
  <c r="CF785" i="42385" s="1"/>
  <c r="AJ932" i="42385"/>
  <c r="AJ927" i="42385"/>
  <c r="AJ923" i="42385"/>
  <c r="AB50" i="42385"/>
  <c r="AB315" i="42385"/>
  <c r="CY437" i="42385"/>
  <c r="BP437" i="42385"/>
  <c r="M932" i="42385"/>
  <c r="M927" i="42385"/>
  <c r="M923" i="42385"/>
  <c r="CZ242" i="42385"/>
  <c r="EI453" i="42492"/>
  <c r="AE298" i="42400"/>
  <c r="AE895" i="42385" s="1"/>
  <c r="BA95" i="42400"/>
  <c r="BA101" i="42400" s="1"/>
  <c r="BA833" i="42385" s="1"/>
  <c r="BA834" i="42385" s="1"/>
  <c r="BJ896" i="42385"/>
  <c r="CX896" i="42385" s="1"/>
  <c r="CX895" i="42385"/>
  <c r="X925" i="42385"/>
  <c r="AX718" i="42385"/>
  <c r="AX719" i="42385"/>
  <c r="AX284" i="42385"/>
  <c r="AZ284" i="42385" s="1"/>
  <c r="AZ717" i="42385"/>
  <c r="BO54" i="42385"/>
  <c r="CY50" i="42385"/>
  <c r="BO52" i="42385"/>
  <c r="CY52" i="42385" s="1"/>
  <c r="CY253" i="42417"/>
  <c r="CV118" i="42385"/>
  <c r="BB775" i="42385"/>
  <c r="BB776" i="42385"/>
  <c r="BB287" i="42385"/>
  <c r="AZ1162" i="42385"/>
  <c r="AV1164" i="42385"/>
  <c r="AV1166" i="42385" s="1"/>
  <c r="BM834" i="42385"/>
  <c r="BF1497" i="42385"/>
  <c r="BG1399" i="42385"/>
  <c r="BA51" i="42385"/>
  <c r="BX1388" i="42385"/>
  <c r="BY1388" i="42385" s="1"/>
  <c r="AW1095" i="42385"/>
  <c r="AW1092" i="42385"/>
  <c r="AW254" i="42385"/>
  <c r="AW758" i="42385"/>
  <c r="AV1538" i="42385"/>
  <c r="AV759" i="42385"/>
  <c r="BN1111" i="42385"/>
  <c r="BI1115" i="42385"/>
  <c r="BI312" i="42385" s="1"/>
  <c r="BI313" i="42385" s="1"/>
  <c r="BJ1111" i="42385"/>
  <c r="CX1111" i="42385" s="1"/>
  <c r="AR1083" i="42385"/>
  <c r="S1020" i="42385"/>
  <c r="S1016" i="42385"/>
  <c r="S1025" i="42385"/>
  <c r="AP1539" i="42385"/>
  <c r="CT1539" i="42385" s="1"/>
  <c r="BX402" i="42385"/>
  <c r="BX220" i="42385"/>
  <c r="BM540" i="42385"/>
  <c r="BR537" i="42385"/>
  <c r="BO535" i="42385"/>
  <c r="BM537" i="42385"/>
  <c r="Z118" i="42385"/>
  <c r="AA118" i="42385" s="1"/>
  <c r="CQ118" i="42385" s="1"/>
  <c r="Z165" i="42385"/>
  <c r="Z166" i="42385" s="1"/>
  <c r="Z134" i="42385" s="1"/>
  <c r="Z163" i="42385"/>
  <c r="AA130" i="42385"/>
  <c r="Z131" i="42385"/>
  <c r="CN88" i="42385"/>
  <c r="L1645" i="42385"/>
  <c r="R958" i="42385"/>
  <c r="R963" i="42385"/>
  <c r="R954" i="42385"/>
  <c r="BN1156" i="42385"/>
  <c r="BS1155" i="42385"/>
  <c r="BX1155" i="42385" s="1"/>
  <c r="AD656" i="42385"/>
  <c r="AD657" i="42385" s="1"/>
  <c r="AI658" i="42385" s="1"/>
  <c r="AC656" i="42385"/>
  <c r="AC657" i="42385" s="1"/>
  <c r="AH658" i="42385" s="1"/>
  <c r="H942" i="42385"/>
  <c r="H943" i="42385" s="1"/>
  <c r="O1647" i="42385"/>
  <c r="O316" i="42385"/>
  <c r="O50" i="42385"/>
  <c r="T51" i="42385" s="1"/>
  <c r="O315" i="42385"/>
  <c r="AR1614" i="42385"/>
  <c r="AS1613" i="42385"/>
  <c r="BA1504" i="42385"/>
  <c r="BA1564" i="42385"/>
  <c r="BB1504" i="42385"/>
  <c r="BA1406" i="42385"/>
  <c r="BA1424" i="42385" s="1"/>
  <c r="CA664" i="42385"/>
  <c r="BZ681" i="42385"/>
  <c r="AV1092" i="42385"/>
  <c r="AV1099" i="42385"/>
  <c r="AV254" i="42385"/>
  <c r="AV1095" i="42385"/>
  <c r="CP833" i="42385"/>
  <c r="AZ1159" i="42385"/>
  <c r="CV1159" i="42385" s="1"/>
  <c r="AE808" i="42385"/>
  <c r="AF115" i="42385"/>
  <c r="CR115" i="42385" s="1"/>
  <c r="D33" i="42465"/>
  <c r="D35" i="42465" s="1"/>
  <c r="T315" i="42385"/>
  <c r="AV95" i="42400"/>
  <c r="AV101" i="42400" s="1"/>
  <c r="AV833" i="42385" s="1"/>
  <c r="AV834" i="42385" s="1"/>
  <c r="E1647" i="42385"/>
  <c r="F1645" i="42385"/>
  <c r="F90" i="42385"/>
  <c r="H1501" i="42385"/>
  <c r="AW54" i="42385"/>
  <c r="AU777" i="42385"/>
  <c r="AT1540" i="42385"/>
  <c r="AU1540" i="42385" s="1"/>
  <c r="CU1540" i="42385" s="1"/>
  <c r="AV777" i="42385"/>
  <c r="AT778" i="42385"/>
  <c r="BV101" i="42385"/>
  <c r="BW101" i="42385" s="1"/>
  <c r="BE1493" i="42385"/>
  <c r="CW1414" i="42385"/>
  <c r="BF1414" i="42385"/>
  <c r="BE1421" i="42385"/>
  <c r="BE245" i="42385"/>
  <c r="CW245" i="42385" s="1"/>
  <c r="W11" i="42403"/>
  <c r="X10" i="42403"/>
  <c r="BZ1422" i="42385"/>
  <c r="DA1422" i="42385"/>
  <c r="AQ1436" i="42385"/>
  <c r="AR1436" i="42385" s="1"/>
  <c r="AS1436" i="42385" s="1"/>
  <c r="AT1436" i="42385" s="1"/>
  <c r="AU1436" i="42385" s="1"/>
  <c r="CT1436" i="42385"/>
  <c r="Y414" i="42385"/>
  <c r="Y404" i="42385"/>
  <c r="AX648" i="42385"/>
  <c r="AX281" i="42385"/>
  <c r="AD1623" i="42385"/>
  <c r="AE1623" i="42385"/>
  <c r="AF1623" i="42385" s="1"/>
  <c r="CR1623" i="42385" s="1"/>
  <c r="AG1623" i="42385"/>
  <c r="AH1623" i="42385"/>
  <c r="EH452" i="42492"/>
  <c r="CY241" i="42385"/>
  <c r="CY827" i="42385"/>
  <c r="BO828" i="42385"/>
  <c r="CY828" i="42385" s="1"/>
  <c r="BT828" i="42385"/>
  <c r="CZ828" i="42385" s="1"/>
  <c r="AY133" i="42385"/>
  <c r="AZ133" i="42385" s="1"/>
  <c r="AY113" i="42385"/>
  <c r="BD129" i="42385"/>
  <c r="AY1622" i="42385"/>
  <c r="AZ127" i="42385"/>
  <c r="AY129" i="42385"/>
  <c r="L845" i="42385"/>
  <c r="CN845" i="42385" s="1"/>
  <c r="K848" i="42385"/>
  <c r="K849" i="42385" s="1"/>
  <c r="K850" i="42385" s="1"/>
  <c r="W830" i="42385"/>
  <c r="AA830" i="42385" s="1"/>
  <c r="W834" i="42385"/>
  <c r="W839" i="42385"/>
  <c r="BY887" i="42385"/>
  <c r="DA887" i="42385" s="1"/>
  <c r="DA886" i="42385"/>
  <c r="BZ886" i="42385"/>
  <c r="BY275" i="42400"/>
  <c r="BH159" i="42385"/>
  <c r="BG163" i="42385"/>
  <c r="CM1424" i="42385"/>
  <c r="G1426" i="42385"/>
  <c r="CM1426" i="42385" s="1"/>
  <c r="BR162" i="42400"/>
  <c r="BS162" i="42400"/>
  <c r="BQ162" i="42400"/>
  <c r="BP162" i="42400"/>
  <c r="BW1240" i="42385"/>
  <c r="BX1239" i="42385"/>
  <c r="BD471" i="42385"/>
  <c r="BD470" i="42385"/>
  <c r="BD269" i="42385"/>
  <c r="BE269" i="42385" s="1"/>
  <c r="CW269" i="42385" s="1"/>
  <c r="H849" i="42385"/>
  <c r="H850" i="42385" s="1"/>
  <c r="AU934" i="42385"/>
  <c r="CU934" i="42385" s="1"/>
  <c r="AG202" i="42385"/>
  <c r="CC396" i="42385"/>
  <c r="CV53" i="42385"/>
  <c r="BC834" i="42385"/>
  <c r="AU242" i="42385"/>
  <c r="CU858" i="42385"/>
  <c r="AU859" i="42385"/>
  <c r="CU859" i="42385" s="1"/>
  <c r="GU543" i="42417"/>
  <c r="AZ859" i="42385"/>
  <c r="CV859" i="42385" s="1"/>
  <c r="BO505" i="42385"/>
  <c r="CY505" i="42385" s="1"/>
  <c r="CY504" i="42385"/>
  <c r="BO518" i="42385"/>
  <c r="CY518" i="42385" s="1"/>
  <c r="BH710" i="42385"/>
  <c r="BC717" i="42385"/>
  <c r="BC714" i="42385"/>
  <c r="BC234" i="42385"/>
  <c r="BE234" i="42385" s="1"/>
  <c r="AA45" i="42476"/>
  <c r="AA9" i="42476"/>
  <c r="CY281" i="42464"/>
  <c r="CY273" i="42464"/>
  <c r="CY277" i="42464" s="1"/>
  <c r="CY279" i="42464" s="1"/>
  <c r="DC883" i="42385"/>
  <c r="CA884" i="42385"/>
  <c r="DC884" i="42385" s="1"/>
  <c r="CB883" i="42385"/>
  <c r="CA276" i="42400"/>
  <c r="CA296" i="42400" s="1"/>
  <c r="AA1647" i="42385"/>
  <c r="CQ1647" i="42385" s="1"/>
  <c r="AA316" i="42385"/>
  <c r="CQ316" i="42385" s="1"/>
  <c r="E11" i="42424"/>
  <c r="E15" i="42424" s="1"/>
  <c r="E16" i="42424" s="1"/>
  <c r="AA50" i="42385"/>
  <c r="CQ314" i="42385"/>
  <c r="AA315" i="42385"/>
  <c r="CQ315" i="42385" s="1"/>
  <c r="BB1177" i="42385"/>
  <c r="BB1178" i="42385" s="1"/>
  <c r="BC1174" i="42385"/>
  <c r="BB1175" i="42385"/>
  <c r="BT896" i="42385"/>
  <c r="CZ896" i="42385" s="1"/>
  <c r="BN717" i="42385"/>
  <c r="BN714" i="42385"/>
  <c r="BS710" i="42385"/>
  <c r="BN234" i="42385"/>
  <c r="BB648" i="42385"/>
  <c r="BB281" i="42385"/>
  <c r="AZ647" i="42385"/>
  <c r="CP165" i="42385"/>
  <c r="V166" i="42385"/>
  <c r="BR1480" i="42385"/>
  <c r="BS1380" i="42385"/>
  <c r="BT1380" i="42385" s="1"/>
  <c r="BI985" i="42385"/>
  <c r="BD986" i="42385"/>
  <c r="CU479" i="42385"/>
  <c r="AV479" i="42385"/>
  <c r="AW479" i="42385" s="1"/>
  <c r="AX479" i="42385" s="1"/>
  <c r="AY479" i="42385" s="1"/>
  <c r="AZ479" i="42385" s="1"/>
  <c r="W927" i="42385"/>
  <c r="W932" i="42385"/>
  <c r="W923" i="42385"/>
  <c r="I11" i="42410"/>
  <c r="I17" i="42410" s="1"/>
  <c r="I15" i="42410"/>
  <c r="BF512" i="42385"/>
  <c r="BK509" i="42385"/>
  <c r="BJ507" i="42385"/>
  <c r="BO509" i="42385" s="1"/>
  <c r="CY509" i="42385" s="1"/>
  <c r="BD300" i="42385"/>
  <c r="BE300" i="42385" s="1"/>
  <c r="CW300" i="42385" s="1"/>
  <c r="BD1167" i="42385"/>
  <c r="BI1168" i="42385"/>
  <c r="BD1187" i="42385"/>
  <c r="CN1503" i="42385"/>
  <c r="L1504" i="42385"/>
  <c r="CN1504" i="42385" s="1"/>
  <c r="BD1159" i="42385"/>
  <c r="BM268" i="42385"/>
  <c r="BM441" i="42385"/>
  <c r="BM442" i="42385"/>
  <c r="L326" i="42385"/>
  <c r="CN326" i="42385" s="1"/>
  <c r="K329" i="42385"/>
  <c r="BF865" i="42385"/>
  <c r="BO927" i="42385"/>
  <c r="CY927" i="42385" s="1"/>
  <c r="CY926" i="42385"/>
  <c r="BO680" i="42385"/>
  <c r="BN691" i="42385"/>
  <c r="BM1235" i="42385"/>
  <c r="BL1236" i="42385"/>
  <c r="BL486" i="42385"/>
  <c r="BM486" i="42385" s="1"/>
  <c r="BN486" i="42385" s="1"/>
  <c r="BP486" i="42385" s="1"/>
  <c r="AH925" i="42385"/>
  <c r="AC925" i="42385"/>
  <c r="AC924" i="42385"/>
  <c r="E65" i="42385"/>
  <c r="J51" i="42385"/>
  <c r="E54" i="42385"/>
  <c r="G165" i="42385"/>
  <c r="L131" i="42385"/>
  <c r="CM130" i="42385"/>
  <c r="G163" i="42385"/>
  <c r="CM163" i="42385" s="1"/>
  <c r="W955" i="42385"/>
  <c r="W956" i="42385"/>
  <c r="BU88" i="42385"/>
  <c r="BU1645" i="42385" s="1"/>
  <c r="CS247" i="42385"/>
  <c r="AK258" i="42385"/>
  <c r="BZ59" i="42400"/>
  <c r="CA855" i="42385"/>
  <c r="DB855" i="42385"/>
  <c r="BZ858" i="42385"/>
  <c r="M320" i="42385"/>
  <c r="CN320" i="42385"/>
  <c r="BW1250" i="42385"/>
  <c r="BW1249" i="42385"/>
  <c r="BW1248" i="42385"/>
  <c r="AP227" i="42385"/>
  <c r="GN503" i="42417"/>
  <c r="GN504" i="42417"/>
  <c r="AO9" i="42385"/>
  <c r="BX244" i="42385"/>
  <c r="BY244" i="42385" s="1"/>
  <c r="BY920" i="42385"/>
  <c r="BX921" i="42385"/>
  <c r="BD927" i="42385"/>
  <c r="G316" i="42385"/>
  <c r="CM316" i="42385" s="1"/>
  <c r="L315" i="42385"/>
  <c r="CN315" i="42385" s="1"/>
  <c r="G50" i="42385"/>
  <c r="CM314" i="42385"/>
  <c r="G1647" i="42385"/>
  <c r="CM1647" i="42385" s="1"/>
  <c r="O207" i="42385"/>
  <c r="O206" i="42385"/>
  <c r="BK865" i="42385"/>
  <c r="AO676" i="42385"/>
  <c r="AJ693" i="42385"/>
  <c r="AJ695" i="42385" s="1"/>
  <c r="AJ696" i="42385" s="1"/>
  <c r="AJ676" i="42385"/>
  <c r="AD1663" i="42385"/>
  <c r="BJ441" i="42385"/>
  <c r="CX441" i="42385" s="1"/>
  <c r="CX440" i="42385"/>
  <c r="BJ442" i="42385"/>
  <c r="CX442" i="42385" s="1"/>
  <c r="T801" i="42385"/>
  <c r="O800" i="42385"/>
  <c r="O801" i="42385"/>
  <c r="O832" i="42385"/>
  <c r="Q830" i="42385"/>
  <c r="O831" i="42385"/>
  <c r="BE1380" i="42385"/>
  <c r="BD1480" i="42385"/>
  <c r="BE1480" i="42385" s="1"/>
  <c r="CW1480" i="42385" s="1"/>
  <c r="AF1294" i="42385"/>
  <c r="CR1294" i="42385" s="1"/>
  <c r="B31" i="42410"/>
  <c r="BE535" i="42385"/>
  <c r="BD540" i="42385"/>
  <c r="BI537" i="42385"/>
  <c r="W1499" i="42385"/>
  <c r="AA1525" i="42385"/>
  <c r="C46" i="42406"/>
  <c r="C47" i="42406" s="1"/>
  <c r="D46" i="42406"/>
  <c r="D47" i="42406" s="1"/>
  <c r="D803" i="42385"/>
  <c r="D799" i="42385"/>
  <c r="D800" i="42385" s="1"/>
  <c r="D808" i="42385"/>
  <c r="C49" i="42410"/>
  <c r="C50" i="42410" s="1"/>
  <c r="C51" i="42410" s="1"/>
  <c r="D49" i="42410"/>
  <c r="D50" i="42410" s="1"/>
  <c r="CS926" i="42385"/>
  <c r="AK932" i="42385"/>
  <c r="AK927" i="42385"/>
  <c r="CS927" i="42385" s="1"/>
  <c r="BI865" i="42385"/>
  <c r="BK1122" i="42385"/>
  <c r="BL1122" i="42385" s="1"/>
  <c r="BM1122" i="42385" s="1"/>
  <c r="BN1122" i="42385" s="1"/>
  <c r="BP1122" i="42385" s="1"/>
  <c r="BQ1122" i="42385" s="1"/>
  <c r="BR1122" i="42385" s="1"/>
  <c r="BS1122" i="42385" s="1"/>
  <c r="BU1122" i="42385" s="1"/>
  <c r="CX1122" i="42385"/>
  <c r="C24" i="42446"/>
  <c r="C25" i="42446" s="1"/>
  <c r="C27" i="42446" s="1"/>
  <c r="C19" i="42446"/>
  <c r="C37" i="42446"/>
  <c r="C39" i="42446" s="1"/>
  <c r="C40" i="42446" s="1"/>
  <c r="C31" i="42446"/>
  <c r="C33" i="42446" s="1"/>
  <c r="C35" i="42446" s="1"/>
  <c r="Q94" i="42446" s="1"/>
  <c r="M68" i="42446"/>
  <c r="M69" i="42446" s="1"/>
  <c r="CA815" i="42385"/>
  <c r="DB815" i="42385"/>
  <c r="U862" i="42385"/>
  <c r="Z863" i="42385"/>
  <c r="U863" i="42385"/>
  <c r="AU834" i="42385"/>
  <c r="CU834" i="42385" s="1"/>
  <c r="Z831" i="42385"/>
  <c r="Z832" i="42385"/>
  <c r="BR1411" i="42385"/>
  <c r="AA808" i="42385"/>
  <c r="CQ808" i="42385" s="1"/>
  <c r="CQ802" i="42385"/>
  <c r="AA803" i="42385"/>
  <c r="CQ803" i="42385" s="1"/>
  <c r="BY1046" i="42385"/>
  <c r="Z345" i="42385"/>
  <c r="AA344" i="42385"/>
  <c r="AE346" i="42385"/>
  <c r="Z346" i="42385"/>
  <c r="AR755" i="42385"/>
  <c r="AW751" i="42385"/>
  <c r="AR752" i="42385"/>
  <c r="AU751" i="42385"/>
  <c r="BE225" i="42385"/>
  <c r="AK1325" i="42385"/>
  <c r="R870" i="42385"/>
  <c r="R861" i="42385"/>
  <c r="V861" i="42385" s="1"/>
  <c r="R865" i="42385"/>
  <c r="CR1375" i="42385"/>
  <c r="AF1424" i="42385"/>
  <c r="D44" i="42405"/>
  <c r="CT591" i="42385"/>
  <c r="AP605" i="42385"/>
  <c r="CT605" i="42385" s="1"/>
  <c r="F19" i="42472"/>
  <c r="F22" i="42472" s="1"/>
  <c r="V1424" i="42385"/>
  <c r="CP1406" i="42385"/>
  <c r="BZ1370" i="42385"/>
  <c r="DA1370" i="42385"/>
  <c r="V1660" i="42385"/>
  <c r="V1567" i="42385"/>
  <c r="CP1567" i="42385" s="1"/>
  <c r="CP1564" i="42385"/>
  <c r="AB925" i="42385"/>
  <c r="AG925" i="42385"/>
  <c r="BJ680" i="42385"/>
  <c r="BI691" i="42385"/>
  <c r="BI693" i="42385" s="1"/>
  <c r="BI695" i="42385" s="1"/>
  <c r="CA328" i="42385"/>
  <c r="DB328" i="42385"/>
  <c r="S955" i="42385"/>
  <c r="X956" i="42385"/>
  <c r="BL1177" i="42385"/>
  <c r="BL1178" i="42385" s="1"/>
  <c r="BM1174" i="42385"/>
  <c r="BL1175" i="42385"/>
  <c r="R1017" i="42385"/>
  <c r="W1018" i="42385"/>
  <c r="R1018" i="42385"/>
  <c r="BI658" i="42385"/>
  <c r="BD658" i="42385"/>
  <c r="Q799" i="42385"/>
  <c r="S801" i="42385"/>
  <c r="N800" i="42385"/>
  <c r="BB744" i="42385"/>
  <c r="AA954" i="42385"/>
  <c r="H862" i="42385"/>
  <c r="M863" i="42385"/>
  <c r="H863" i="42385"/>
  <c r="AL79" i="42385"/>
  <c r="AL1278" i="42385"/>
  <c r="K927" i="42385"/>
  <c r="K932" i="42385"/>
  <c r="K923" i="42385"/>
  <c r="D954" i="42385"/>
  <c r="I51" i="42400"/>
  <c r="I802" i="42385" s="1"/>
  <c r="L45" i="42400"/>
  <c r="L51" i="42400" s="1"/>
  <c r="L802" i="42385" s="1"/>
  <c r="AF34" i="42385"/>
  <c r="AF38" i="42385" s="1"/>
  <c r="AF40" i="42385" s="1"/>
  <c r="AE50" i="42385"/>
  <c r="AN195" i="42470"/>
  <c r="R68" i="42470"/>
  <c r="AX163" i="42385"/>
  <c r="AY157" i="42385"/>
  <c r="AZ157" i="42385" s="1"/>
  <c r="F799" i="42385"/>
  <c r="F808" i="42385"/>
  <c r="F803" i="42385"/>
  <c r="CT1422" i="42385"/>
  <c r="AQ1422" i="42385"/>
  <c r="CW1313" i="42385"/>
  <c r="BE111" i="42385"/>
  <c r="CY1411" i="42385"/>
  <c r="O21" i="42472"/>
  <c r="H954" i="42385"/>
  <c r="H958" i="42385"/>
  <c r="H963" i="42385"/>
  <c r="AS1121" i="42385"/>
  <c r="BZ163" i="42400"/>
  <c r="BZ156" i="42400"/>
  <c r="BZ162" i="42400"/>
  <c r="BZ155" i="42400"/>
  <c r="BZ161" i="42400"/>
  <c r="BK1113" i="42385"/>
  <c r="BF1115" i="42385"/>
  <c r="BF312" i="42385" s="1"/>
  <c r="BJ1113" i="42385"/>
  <c r="B32" i="42410"/>
  <c r="H35" i="42410"/>
  <c r="H37" i="42410" s="1"/>
  <c r="H39" i="42410" s="1"/>
  <c r="H40" i="42410" s="1"/>
  <c r="H42" i="42410" s="1"/>
  <c r="BU1208" i="42385"/>
  <c r="BO508" i="42385"/>
  <c r="CY508" i="42385" s="1"/>
  <c r="CY507" i="42385"/>
  <c r="AX989" i="42385"/>
  <c r="AX990" i="42385"/>
  <c r="AX992" i="42385" s="1"/>
  <c r="AY1172" i="42385"/>
  <c r="AM52" i="42385"/>
  <c r="AM54" i="42385"/>
  <c r="AM65" i="42385"/>
  <c r="AM75" i="42385" s="1"/>
  <c r="AM51" i="42385"/>
  <c r="CX1398" i="42385"/>
  <c r="BK1398" i="42385"/>
  <c r="BL1398" i="42385" s="1"/>
  <c r="BM1398" i="42385" s="1"/>
  <c r="BN1398" i="42385" s="1"/>
  <c r="BO1398" i="42385" s="1"/>
  <c r="BF706" i="42385"/>
  <c r="BG706" i="42385" s="1"/>
  <c r="BH706" i="42385" s="1"/>
  <c r="BI706" i="42385" s="1"/>
  <c r="BJ706" i="42385" s="1"/>
  <c r="CW706" i="42385"/>
  <c r="AX1020" i="42385"/>
  <c r="AX1021" i="42385"/>
  <c r="AX1023" i="42385" s="1"/>
  <c r="Q1020" i="42385"/>
  <c r="CO1020" i="42385" s="1"/>
  <c r="Q1025" i="42385"/>
  <c r="CO1025" i="42385" s="1"/>
  <c r="CO1019" i="42385"/>
  <c r="K1020" i="42385"/>
  <c r="K1025" i="42385"/>
  <c r="K1016" i="42385"/>
  <c r="AD1645" i="42385"/>
  <c r="AD90" i="42385"/>
  <c r="GN585" i="42464"/>
  <c r="GN576" i="42464"/>
  <c r="R1645" i="42385"/>
  <c r="R90" i="42385"/>
  <c r="L6" i="42470"/>
  <c r="G6" i="42470" s="1"/>
  <c r="CW247" i="42385"/>
  <c r="F911" i="42385"/>
  <c r="G910" i="42385"/>
  <c r="BL226" i="42385"/>
  <c r="BL566" i="42385"/>
  <c r="BQ568" i="42385" s="1"/>
  <c r="CR1292" i="42385"/>
  <c r="BJ1325" i="42385"/>
  <c r="BI1326" i="42385"/>
  <c r="AV1406" i="42385"/>
  <c r="AV1424" i="42385" s="1"/>
  <c r="AV1564" i="42385"/>
  <c r="AV1504" i="42385"/>
  <c r="AR1124" i="42385"/>
  <c r="AR1552" i="42385" s="1"/>
  <c r="BQ571" i="42385"/>
  <c r="BQ573" i="42385" s="1"/>
  <c r="T923" i="42385"/>
  <c r="T927" i="42385"/>
  <c r="T932" i="42385"/>
  <c r="Y923" i="42385"/>
  <c r="Y927" i="42385"/>
  <c r="Y932" i="42385"/>
  <c r="BH79" i="42385"/>
  <c r="BH1278" i="42385"/>
  <c r="BD896" i="42385"/>
  <c r="AY834" i="42385"/>
  <c r="BQ1377" i="42385"/>
  <c r="AZ919" i="42385"/>
  <c r="CV919" i="42385" s="1"/>
  <c r="CV920" i="42385"/>
  <c r="BE921" i="42385"/>
  <c r="CW921" i="42385" s="1"/>
  <c r="AN861" i="42385"/>
  <c r="AI862" i="42385"/>
  <c r="AI863" i="42385"/>
  <c r="D90" i="42385"/>
  <c r="D79" i="42385"/>
  <c r="D92" i="42385" s="1"/>
  <c r="BX1491" i="42385"/>
  <c r="BY1491" i="42385" s="1"/>
  <c r="E1025" i="42385"/>
  <c r="E1016" i="42385"/>
  <c r="E1020" i="42385"/>
  <c r="O1025" i="42385"/>
  <c r="O1016" i="42385"/>
  <c r="O1020" i="42385"/>
  <c r="CR247" i="42385"/>
  <c r="X42" i="42417"/>
  <c r="Y42" i="42417" s="1"/>
  <c r="AF258" i="42385"/>
  <c r="C1645" i="42385"/>
  <c r="CX569" i="42385"/>
  <c r="GB480" i="42464"/>
  <c r="GB482" i="42464" s="1"/>
  <c r="GB485" i="42464" s="1"/>
  <c r="BJ570" i="42385"/>
  <c r="CX570" i="42385" s="1"/>
  <c r="BJ571" i="42385"/>
  <c r="CO1503" i="42385"/>
  <c r="AX1481" i="42385"/>
  <c r="AW1563" i="42385"/>
  <c r="AW1593" i="42385" s="1"/>
  <c r="AW1481" i="42385"/>
  <c r="AW1402" i="42385"/>
  <c r="AZ1290" i="42385"/>
  <c r="BG1174" i="42385"/>
  <c r="BF1177" i="42385"/>
  <c r="BF1178" i="42385" s="1"/>
  <c r="BF1175" i="42385"/>
  <c r="I182" i="42385"/>
  <c r="BA745" i="42385"/>
  <c r="BB745" i="42385" s="1"/>
  <c r="BC745" i="42385" s="1"/>
  <c r="BD745" i="42385" s="1"/>
  <c r="BE745" i="42385" s="1"/>
  <c r="CV745" i="42385"/>
  <c r="DA1360" i="42385"/>
  <c r="BZ1360" i="42385"/>
  <c r="AZ244" i="42385"/>
  <c r="U51" i="42385"/>
  <c r="U54" i="42385"/>
  <c r="U65" i="42385"/>
  <c r="U75" i="42385" s="1"/>
  <c r="Z51" i="42385"/>
  <c r="CO188" i="42385"/>
  <c r="R188" i="42385"/>
  <c r="S188" i="42385" s="1"/>
  <c r="T188" i="42385" s="1"/>
  <c r="U188" i="42385" s="1"/>
  <c r="V188" i="42385" s="1"/>
  <c r="AO896" i="42385"/>
  <c r="Z79" i="42385"/>
  <c r="Z92" i="42385" s="1"/>
  <c r="Z90" i="42385"/>
  <c r="Z1278" i="42385"/>
  <c r="T1025" i="42385"/>
  <c r="T1016" i="42385"/>
  <c r="T1020" i="42385"/>
  <c r="F958" i="42385"/>
  <c r="F963" i="42385"/>
  <c r="F954" i="42385"/>
  <c r="F955" i="42385" s="1"/>
  <c r="J1645" i="42385"/>
  <c r="AM1645" i="42385"/>
  <c r="CR1503" i="42385"/>
  <c r="AF1504" i="42385"/>
  <c r="CR1504" i="42385" s="1"/>
  <c r="AY1324" i="42385"/>
  <c r="BP1381" i="42385"/>
  <c r="BQ1381" i="42385" s="1"/>
  <c r="CY1381" i="42385"/>
  <c r="BZ1359" i="42385"/>
  <c r="DA1359" i="42385"/>
  <c r="BV1371" i="42385"/>
  <c r="AH1437" i="42385"/>
  <c r="AG1439" i="42385"/>
  <c r="BQ564" i="42385"/>
  <c r="I923" i="42385"/>
  <c r="I932" i="42385"/>
  <c r="I927" i="42385"/>
  <c r="T963" i="42385"/>
  <c r="T954" i="42385"/>
  <c r="T956" i="42385" s="1"/>
  <c r="T958" i="42385"/>
  <c r="BG1386" i="42385"/>
  <c r="BE1283" i="42385"/>
  <c r="CW1283" i="42385" s="1"/>
  <c r="AY1582" i="42385"/>
  <c r="AX1585" i="42385"/>
  <c r="BO1563" i="42385"/>
  <c r="BU1224" i="42385"/>
  <c r="BJ1314" i="42385"/>
  <c r="CX1314" i="42385" s="1"/>
  <c r="CX1308" i="42385"/>
  <c r="CP173" i="42385"/>
  <c r="W173" i="42385"/>
  <c r="X173" i="42385" s="1"/>
  <c r="Y173" i="42385" s="1"/>
  <c r="Z173" i="42385" s="1"/>
  <c r="AA173" i="42385" s="1"/>
  <c r="AZ218" i="42385"/>
  <c r="CV218" i="42385" s="1"/>
  <c r="BM514" i="42385"/>
  <c r="BO512" i="42385"/>
  <c r="CY512" i="42385" s="1"/>
  <c r="IQ896" i="42464"/>
  <c r="GC458" i="42417"/>
  <c r="GG458" i="42417" s="1"/>
  <c r="G14" i="42464"/>
  <c r="CV284" i="42385"/>
  <c r="BY888" i="42385"/>
  <c r="DA888" i="42385" s="1"/>
  <c r="BY890" i="42385"/>
  <c r="DA890" i="42385" s="1"/>
  <c r="DA889" i="42385"/>
  <c r="T54" i="42385"/>
  <c r="T65" i="42385"/>
  <c r="Y51" i="42385"/>
  <c r="AY658" i="42385"/>
  <c r="GL593" i="42464"/>
  <c r="GL596" i="42464" s="1"/>
  <c r="GL598" i="42464" s="1"/>
  <c r="GL599" i="42464" s="1"/>
  <c r="GL600" i="42464" s="1"/>
  <c r="GL586" i="42464"/>
  <c r="GC469" i="42417"/>
  <c r="GG469" i="42417" s="1"/>
  <c r="CV269" i="42385"/>
  <c r="CU1106" i="42385"/>
  <c r="E12" i="42403"/>
  <c r="E15" i="42403"/>
  <c r="CA35" i="42385"/>
  <c r="CA38" i="42385" s="1"/>
  <c r="BZ38" i="42385"/>
  <c r="C36" i="42408" s="1"/>
  <c r="CM926" i="42385"/>
  <c r="G932" i="42385"/>
  <c r="CM932" i="42385" s="1"/>
  <c r="G927" i="42385"/>
  <c r="CM927" i="42385" s="1"/>
  <c r="G18" i="42407"/>
  <c r="D25" i="42407"/>
  <c r="D22" i="42407" s="1"/>
  <c r="DY354" i="42417"/>
  <c r="EA354" i="42417"/>
  <c r="AU657" i="42385"/>
  <c r="CU5" i="42385"/>
  <c r="BF52" i="42385"/>
  <c r="BF54" i="42385"/>
  <c r="BF51" i="42385"/>
  <c r="BK51" i="42385"/>
  <c r="BL52" i="42385"/>
  <c r="BL51" i="42385"/>
  <c r="BL54" i="42385"/>
  <c r="BQ51" i="42385"/>
  <c r="R354" i="42385"/>
  <c r="V347" i="42385"/>
  <c r="R344" i="42385"/>
  <c r="DA86" i="42385"/>
  <c r="BY88" i="42385"/>
  <c r="AS10" i="42385"/>
  <c r="AU10" i="42385" s="1"/>
  <c r="CU10" i="42385" s="1"/>
  <c r="AU231" i="42385"/>
  <c r="CU231" i="42385" s="1"/>
  <c r="AK693" i="42385"/>
  <c r="AK695" i="42385" s="1"/>
  <c r="AK696" i="42385" s="1"/>
  <c r="AP676" i="42385"/>
  <c r="AK676" i="42385"/>
  <c r="AE1312" i="42385"/>
  <c r="AE1314" i="42385" s="1"/>
  <c r="AD1314" i="42385"/>
  <c r="AM1413" i="42385"/>
  <c r="AM1421" i="42385" s="1"/>
  <c r="AL1421" i="42385"/>
  <c r="BE1320" i="42385"/>
  <c r="BE1326" i="42385" s="1"/>
  <c r="AU1312" i="42385"/>
  <c r="CN112" i="42385"/>
  <c r="AS220" i="42385"/>
  <c r="AS402" i="42385"/>
  <c r="AU401" i="42385"/>
  <c r="AV1119" i="42385"/>
  <c r="AR1172" i="42385"/>
  <c r="AR1177" i="42385"/>
  <c r="AR1178" i="42385" s="1"/>
  <c r="BN1642" i="42385"/>
  <c r="BN1301" i="42385"/>
  <c r="BR1258" i="42385"/>
  <c r="BS1256" i="42385"/>
  <c r="BT1256" i="42385" s="1"/>
  <c r="BV233" i="42385"/>
  <c r="BV693" i="42385"/>
  <c r="BV695" i="42385" s="1"/>
  <c r="BV676" i="42385"/>
  <c r="Y862" i="42385"/>
  <c r="Y863" i="42385"/>
  <c r="AD863" i="42385"/>
  <c r="CS808" i="42385"/>
  <c r="AZ148" i="42417"/>
  <c r="BL1147" i="42385"/>
  <c r="N75" i="42385"/>
  <c r="C893" i="42385"/>
  <c r="DB1356" i="42385"/>
  <c r="CA1356" i="42385"/>
  <c r="AG141" i="42492"/>
  <c r="C927" i="42385"/>
  <c r="C923" i="42385"/>
  <c r="C932" i="42385"/>
  <c r="CM957" i="42385"/>
  <c r="G958" i="42385"/>
  <c r="CM958" i="42385" s="1"/>
  <c r="G963" i="42385"/>
  <c r="CM963" i="42385" s="1"/>
  <c r="Q932" i="42385"/>
  <c r="CO932" i="42385" s="1"/>
  <c r="Q927" i="42385"/>
  <c r="CO927" i="42385" s="1"/>
  <c r="CO926" i="42385"/>
  <c r="EA336" i="42417"/>
  <c r="DU337" i="42417"/>
  <c r="DY336" i="42417"/>
  <c r="EQ381" i="42417" s="1"/>
  <c r="X45" i="42476"/>
  <c r="X9" i="42476"/>
  <c r="AC9" i="42476"/>
  <c r="BJ1295" i="42385"/>
  <c r="BI115" i="42385"/>
  <c r="BI1579" i="42385"/>
  <c r="BF1579" i="42385"/>
  <c r="BG1579" i="42385"/>
  <c r="BH1579" i="42385"/>
  <c r="CV1575" i="42385"/>
  <c r="AZ1577" i="42385"/>
  <c r="CV1577" i="42385" s="1"/>
  <c r="AX401" i="42385"/>
  <c r="BC400" i="42385"/>
  <c r="AZ400" i="42385"/>
  <c r="CV400" i="42385" s="1"/>
  <c r="CU1506" i="42385"/>
  <c r="AV1506" i="42385"/>
  <c r="CV1318" i="42385"/>
  <c r="AV1106" i="42385"/>
  <c r="BL543" i="42385"/>
  <c r="BL272" i="42385"/>
  <c r="BL544" i="42385"/>
  <c r="BL547" i="42385"/>
  <c r="BQ544" i="42385"/>
  <c r="CP170" i="42385"/>
  <c r="W170" i="42385"/>
  <c r="X170" i="42385" s="1"/>
  <c r="Y170" i="42385" s="1"/>
  <c r="Z170" i="42385" s="1"/>
  <c r="AA170" i="42385" s="1"/>
  <c r="AW1118" i="42385"/>
  <c r="AW409" i="42385"/>
  <c r="CA970" i="42385"/>
  <c r="DB970" i="42385"/>
  <c r="AZ1164" i="42385"/>
  <c r="W178" i="42385"/>
  <c r="X178" i="42385" s="1"/>
  <c r="Y178" i="42385" s="1"/>
  <c r="Z178" i="42385" s="1"/>
  <c r="AA178" i="42385" s="1"/>
  <c r="CP178" i="42385"/>
  <c r="BS342" i="42385"/>
  <c r="BS218" i="42385"/>
  <c r="BT341" i="42385"/>
  <c r="BQ696" i="42385"/>
  <c r="BQ283" i="42385"/>
  <c r="BQ697" i="42385"/>
  <c r="BN246" i="42385"/>
  <c r="BN249" i="42385" s="1"/>
  <c r="BN983" i="42385"/>
  <c r="BS983" i="42385"/>
  <c r="AZ645" i="42385"/>
  <c r="CV645" i="42385" s="1"/>
  <c r="CV643" i="42385"/>
  <c r="G1579" i="42385"/>
  <c r="BI93" i="42385"/>
  <c r="BI1620" i="42385"/>
  <c r="BI106" i="42385"/>
  <c r="AU989" i="42385"/>
  <c r="CU989" i="42385" s="1"/>
  <c r="CU988" i="42385"/>
  <c r="S48" i="42476"/>
  <c r="S50" i="42476" s="1"/>
  <c r="BG121" i="42385"/>
  <c r="BG1656" i="42385"/>
  <c r="BV11" i="42385"/>
  <c r="H12" i="42406"/>
  <c r="I15" i="42406"/>
  <c r="E30" i="42406"/>
  <c r="B22" i="42406" s="1"/>
  <c r="V927" i="42385"/>
  <c r="CP927" i="42385" s="1"/>
  <c r="CP926" i="42385"/>
  <c r="V932" i="42385"/>
  <c r="CP932" i="42385" s="1"/>
  <c r="O923" i="42385"/>
  <c r="O932" i="42385"/>
  <c r="O927" i="42385"/>
  <c r="CG198" i="42464"/>
  <c r="CG190" i="42464"/>
  <c r="AJ88" i="42385"/>
  <c r="X12" i="42476"/>
  <c r="BL42" i="42385"/>
  <c r="BP197" i="42385"/>
  <c r="BP1569" i="42385"/>
  <c r="BP1572" i="42385" s="1"/>
  <c r="BN1569" i="42385"/>
  <c r="BN1572" i="42385" s="1"/>
  <c r="BN197" i="42385"/>
  <c r="BL65" i="42385"/>
  <c r="BL75" i="42385" s="1"/>
  <c r="BL41" i="42385"/>
  <c r="BL43" i="42385"/>
  <c r="BQ41" i="42385"/>
  <c r="BQ43" i="42385"/>
  <c r="BL1569" i="42385"/>
  <c r="BL1572" i="42385" s="1"/>
  <c r="BM197" i="42385"/>
  <c r="BM1569" i="42385"/>
  <c r="BM1572" i="42385" s="1"/>
  <c r="BL197" i="42385"/>
  <c r="CT154" i="42385"/>
  <c r="AS154" i="42385"/>
  <c r="G478" i="42385"/>
  <c r="F481" i="42385"/>
  <c r="G481" i="42385" s="1"/>
  <c r="CM481" i="42385" s="1"/>
  <c r="BE693" i="42385"/>
  <c r="BE695" i="42385" s="1"/>
  <c r="BE696" i="42385" s="1"/>
  <c r="V61" i="42492"/>
  <c r="BE676" i="42385"/>
  <c r="K18" i="42443"/>
  <c r="K65" i="42443"/>
  <c r="K66" i="42443" s="1"/>
  <c r="CW1285" i="42385"/>
  <c r="CS1290" i="42385"/>
  <c r="C44" i="42465"/>
  <c r="AY1282" i="42385"/>
  <c r="AZ1282" i="42385" s="1"/>
  <c r="CV1282" i="42385" s="1"/>
  <c r="C1660" i="42385"/>
  <c r="C1567" i="42385"/>
  <c r="AM1361" i="42385"/>
  <c r="BU1287" i="42385"/>
  <c r="BV1344" i="42385"/>
  <c r="D44" i="42465"/>
  <c r="CT1291" i="42385"/>
  <c r="DB495" i="42385"/>
  <c r="CA495" i="42385"/>
  <c r="BZ1355" i="42385"/>
  <c r="DA1355" i="42385"/>
  <c r="AQ41" i="42385"/>
  <c r="AL42" i="42385"/>
  <c r="AQ43" i="42385"/>
  <c r="AL43" i="42385"/>
  <c r="AL41" i="42385"/>
  <c r="DB523" i="42385"/>
  <c r="CA523" i="42385"/>
  <c r="CU1118" i="42385"/>
  <c r="D862" i="42385"/>
  <c r="I863" i="42385"/>
  <c r="BZ1391" i="42385"/>
  <c r="BZ1491" i="42385" s="1"/>
  <c r="CB361" i="42385"/>
  <c r="DC361" i="42385"/>
  <c r="W177" i="42385"/>
  <c r="X177" i="42385" s="1"/>
  <c r="Y177" i="42385" s="1"/>
  <c r="Z177" i="42385" s="1"/>
  <c r="AA177" i="42385" s="1"/>
  <c r="CP177" i="42385"/>
  <c r="G330" i="42385"/>
  <c r="CM329" i="42385"/>
  <c r="Y832" i="42385"/>
  <c r="Y831" i="42385"/>
  <c r="BY340" i="42385"/>
  <c r="D831" i="42385"/>
  <c r="G830" i="42385"/>
  <c r="AY757" i="42385"/>
  <c r="BD757" i="42385"/>
  <c r="AY756" i="42385"/>
  <c r="AY286" i="42385"/>
  <c r="N22" i="42424"/>
  <c r="N23" i="42424" s="1"/>
  <c r="R22" i="42424"/>
  <c r="R23" i="42424" s="1"/>
  <c r="GM520" i="42417"/>
  <c r="H17" i="42410"/>
  <c r="C26" i="42407"/>
  <c r="G24" i="42407"/>
  <c r="D26" i="42407"/>
  <c r="G22" i="42407"/>
  <c r="N963" i="42385"/>
  <c r="N958" i="42385"/>
  <c r="N954" i="42385"/>
  <c r="DP338" i="42464"/>
  <c r="DO348" i="42464"/>
  <c r="DO340" i="42464"/>
  <c r="CH190" i="42464"/>
  <c r="CH198" i="42464"/>
  <c r="BI200" i="42492"/>
  <c r="BF41" i="42385"/>
  <c r="BF43" i="42385"/>
  <c r="BK41" i="42385"/>
  <c r="BF65" i="42385"/>
  <c r="BF75" i="42385" s="1"/>
  <c r="BK43" i="42385"/>
  <c r="BF42" i="42385"/>
  <c r="BG197" i="42385"/>
  <c r="BG1569" i="42385"/>
  <c r="BG1572" i="42385" s="1"/>
  <c r="BH197" i="42385"/>
  <c r="BH1569" i="42385"/>
  <c r="BH1572" i="42385" s="1"/>
  <c r="R12" i="42476"/>
  <c r="BF1569" i="42385"/>
  <c r="BF1572" i="42385" s="1"/>
  <c r="BF197" i="42385"/>
  <c r="BI1569" i="42385"/>
  <c r="BI1572" i="42385" s="1"/>
  <c r="BI197" i="42385"/>
  <c r="K148" i="42385"/>
  <c r="J163" i="42385"/>
  <c r="J180" i="42385"/>
  <c r="Z374" i="42385"/>
  <c r="G388" i="42385"/>
  <c r="F391" i="42385"/>
  <c r="AE1282" i="42385"/>
  <c r="AD1301" i="42385"/>
  <c r="AT1292" i="42385"/>
  <c r="AT115" i="42385" s="1"/>
  <c r="AJ115" i="42385"/>
  <c r="AK115" i="42385" s="1"/>
  <c r="CS115" i="42385" s="1"/>
  <c r="AJ1301" i="42385"/>
  <c r="AU1285" i="42385"/>
  <c r="CU1285" i="42385" s="1"/>
  <c r="AF1312" i="42385"/>
  <c r="CA1403" i="42385"/>
  <c r="DB1403" i="42385"/>
  <c r="K1575" i="42385"/>
  <c r="K1577" i="42385" s="1"/>
  <c r="K1504" i="42385"/>
  <c r="CA908" i="42385"/>
  <c r="DB908" i="42385"/>
  <c r="AQ657" i="42385"/>
  <c r="CU920" i="42385"/>
  <c r="AU919" i="42385"/>
  <c r="CU919" i="42385" s="1"/>
  <c r="AU935" i="42385"/>
  <c r="CU935" i="42385" s="1"/>
  <c r="AU921" i="42385"/>
  <c r="CU921" i="42385" s="1"/>
  <c r="AU244" i="42385"/>
  <c r="AZ921" i="42385"/>
  <c r="CV921" i="42385" s="1"/>
  <c r="BN90" i="42385"/>
  <c r="BN92" i="42385"/>
  <c r="BN1648" i="42385"/>
  <c r="BN1641" i="42385" s="1"/>
  <c r="BH90" i="42385"/>
  <c r="CA390" i="42385"/>
  <c r="DB390" i="42385"/>
  <c r="DB1342" i="42385"/>
  <c r="CA1342" i="42385"/>
  <c r="AW707" i="42385"/>
  <c r="BX1074" i="42385"/>
  <c r="T862" i="42385"/>
  <c r="T863" i="42385"/>
  <c r="O955" i="42385"/>
  <c r="O956" i="42385"/>
  <c r="N1663" i="42385"/>
  <c r="J801" i="42385"/>
  <c r="E800" i="42385"/>
  <c r="GB535" i="42464"/>
  <c r="GB534" i="42464" s="1"/>
  <c r="GB538" i="42464" s="1"/>
  <c r="GB541" i="42464" s="1"/>
  <c r="GB507" i="42464"/>
  <c r="GB506" i="42464" s="1"/>
  <c r="GB510" i="42464" s="1"/>
  <c r="GB513" i="42464" s="1"/>
  <c r="AB863" i="42385"/>
  <c r="CY895" i="42385"/>
  <c r="BO896" i="42385"/>
  <c r="CY896" i="42385" s="1"/>
  <c r="F17" i="42464"/>
  <c r="GP525" i="42417"/>
  <c r="CU287" i="42385"/>
  <c r="FX440" i="42417"/>
  <c r="FY440" i="42417" s="1"/>
  <c r="CR179" i="42385"/>
  <c r="AG179" i="42385"/>
  <c r="AH179" i="42385" s="1"/>
  <c r="AI179" i="42385" s="1"/>
  <c r="AJ179" i="42385" s="1"/>
  <c r="AK179" i="42385" s="1"/>
  <c r="CB979" i="42385" l="1"/>
  <c r="BY163" i="42400"/>
  <c r="BY155" i="42400"/>
  <c r="BY156" i="42400"/>
  <c r="BY162" i="42400"/>
  <c r="BY161" i="42400"/>
  <c r="BX66" i="42400"/>
  <c r="BW66" i="42400"/>
  <c r="BU66" i="42400"/>
  <c r="BV66" i="42400"/>
  <c r="BX65" i="42400"/>
  <c r="BX71" i="42400" s="1"/>
  <c r="BX75" i="42400" s="1"/>
  <c r="BX864" i="42385" s="1"/>
  <c r="BX865" i="42385" s="1"/>
  <c r="BV65" i="42400"/>
  <c r="BY71" i="42400"/>
  <c r="BW65" i="42400"/>
  <c r="BW71" i="42400" s="1"/>
  <c r="BW75" i="42400" s="1"/>
  <c r="BW864" i="42385" s="1"/>
  <c r="BW865" i="42385" s="1"/>
  <c r="BU65" i="42400"/>
  <c r="DC979" i="42385"/>
  <c r="CA334" i="42385"/>
  <c r="CB334" i="42385" s="1"/>
  <c r="BZ336" i="42385"/>
  <c r="DB336" i="42385" s="1"/>
  <c r="DB1321" i="42385"/>
  <c r="BS249" i="42385"/>
  <c r="DC857" i="42385"/>
  <c r="CB857" i="42385"/>
  <c r="CC857" i="42385" s="1"/>
  <c r="CD857" i="42385" s="1"/>
  <c r="CE857" i="42385" s="1"/>
  <c r="CF857" i="42385" s="1"/>
  <c r="BY796" i="42385"/>
  <c r="BY1321" i="42385"/>
  <c r="BY12" i="42385"/>
  <c r="BY251" i="42385"/>
  <c r="CA1033" i="42385"/>
  <c r="CA1046" i="42385" s="1"/>
  <c r="BZ1046" i="42385"/>
  <c r="BZ1066" i="42385" s="1"/>
  <c r="BR165" i="42400"/>
  <c r="BR169" i="42400" s="1"/>
  <c r="BR988" i="42385" s="1"/>
  <c r="CZ802" i="42385"/>
  <c r="AV65" i="42385"/>
  <c r="AV75" i="42385" s="1"/>
  <c r="BB41" i="42385"/>
  <c r="AW43" i="42385"/>
  <c r="AV52" i="42385"/>
  <c r="AW42" i="42385"/>
  <c r="AU896" i="42385"/>
  <c r="CU896" i="42385" s="1"/>
  <c r="CU895" i="42385"/>
  <c r="BS95" i="42400"/>
  <c r="BS101" i="42400" s="1"/>
  <c r="BS833" i="42385" s="1"/>
  <c r="BS834" i="42385" s="1"/>
  <c r="AQ71" i="42400"/>
  <c r="AQ75" i="42400" s="1"/>
  <c r="AQ864" i="42385" s="1"/>
  <c r="AQ865" i="42385" s="1"/>
  <c r="E191" i="42385"/>
  <c r="D193" i="42385"/>
  <c r="M207" i="42385"/>
  <c r="M206" i="42385"/>
  <c r="DB130" i="42385"/>
  <c r="BZ131" i="42385"/>
  <c r="Q1499" i="42385"/>
  <c r="CO1499" i="42385" s="1"/>
  <c r="CO1525" i="42385"/>
  <c r="O1504" i="42385"/>
  <c r="O1575" i="42385"/>
  <c r="O1577" i="42385" s="1"/>
  <c r="CT755" i="42385"/>
  <c r="AP756" i="42385"/>
  <c r="CT756" i="42385" s="1"/>
  <c r="AP757" i="42385"/>
  <c r="CT757" i="42385" s="1"/>
  <c r="AC65" i="42385"/>
  <c r="AC75" i="42385" s="1"/>
  <c r="AC54" i="42385"/>
  <c r="AH51" i="42385"/>
  <c r="AW1098" i="42385"/>
  <c r="AV1542" i="42385"/>
  <c r="AX247" i="42385"/>
  <c r="AX249" i="42385" s="1"/>
  <c r="AX1014" i="42385"/>
  <c r="BK401" i="42385"/>
  <c r="BP400" i="42385"/>
  <c r="AM839" i="42385"/>
  <c r="AM830" i="42385"/>
  <c r="BL653" i="42385"/>
  <c r="BL656" i="42385" s="1"/>
  <c r="BL657" i="42385" s="1"/>
  <c r="BL658" i="42385" s="1"/>
  <c r="BM654" i="42385"/>
  <c r="P77" i="42385"/>
  <c r="P1514" i="42385"/>
  <c r="BO88" i="42385"/>
  <c r="BB1663" i="42385"/>
  <c r="BB56" i="42385"/>
  <c r="CT218" i="42385"/>
  <c r="GP487" i="42417"/>
  <c r="GO487" i="42417"/>
  <c r="AS1585" i="42385"/>
  <c r="AS1660" i="42385"/>
  <c r="E34" i="42476"/>
  <c r="P259" i="42385"/>
  <c r="P1558" i="42385"/>
  <c r="P128" i="42385"/>
  <c r="U259" i="42385"/>
  <c r="P1647" i="42385"/>
  <c r="P316" i="42385"/>
  <c r="P1500" i="42385"/>
  <c r="CO112" i="42385"/>
  <c r="P118" i="42385"/>
  <c r="Q118" i="42385" s="1"/>
  <c r="CO118" i="42385" s="1"/>
  <c r="P1510" i="42385"/>
  <c r="GM523" i="42417"/>
  <c r="AP286" i="42385"/>
  <c r="AL1579" i="42385"/>
  <c r="AJ1579" i="42385"/>
  <c r="AK1579" i="42385" s="1"/>
  <c r="CS1579" i="42385" s="1"/>
  <c r="AM1579" i="42385"/>
  <c r="AN1579" i="42385"/>
  <c r="AC861" i="42385"/>
  <c r="AC862" i="42385" s="1"/>
  <c r="AC870" i="42385"/>
  <c r="AC865" i="42385"/>
  <c r="AR989" i="42385"/>
  <c r="AR990" i="42385"/>
  <c r="AR992" i="42385" s="1"/>
  <c r="BD776" i="42385"/>
  <c r="GY543" i="42417"/>
  <c r="GZ542" i="42417"/>
  <c r="GZ543" i="42417" s="1"/>
  <c r="BK463" i="42385"/>
  <c r="BP462" i="42385"/>
  <c r="BK467" i="42385"/>
  <c r="BK469" i="42385" s="1"/>
  <c r="DL351" i="42464"/>
  <c r="DL352" i="42464" s="1"/>
  <c r="DK335" i="42464"/>
  <c r="DL336" i="42464"/>
  <c r="DL335" i="42464"/>
  <c r="DP336" i="42464"/>
  <c r="CO256" i="42385"/>
  <c r="Q258" i="42385"/>
  <c r="C54" i="42385"/>
  <c r="C65" i="42385"/>
  <c r="C75" i="42385" s="1"/>
  <c r="Q1511" i="42385"/>
  <c r="CM1330" i="42385"/>
  <c r="G1333" i="42385"/>
  <c r="BD771" i="42385"/>
  <c r="BD774" i="42385"/>
  <c r="BB77" i="42385"/>
  <c r="BB1514" i="42385"/>
  <c r="BB1487" i="42385"/>
  <c r="BC1456" i="42385"/>
  <c r="GC515" i="42464"/>
  <c r="GC508" i="42464"/>
  <c r="AS989" i="42385"/>
  <c r="AS990" i="42385"/>
  <c r="AS992" i="42385" s="1"/>
  <c r="AF923" i="42385"/>
  <c r="BF471" i="42385"/>
  <c r="BF470" i="42385"/>
  <c r="BF269" i="42385"/>
  <c r="CS1500" i="42385"/>
  <c r="AK1575" i="42385"/>
  <c r="BD1304" i="42385"/>
  <c r="BC1314" i="42385"/>
  <c r="AC799" i="42385"/>
  <c r="AC803" i="42385"/>
  <c r="Q345" i="42385"/>
  <c r="CO345" i="42385" s="1"/>
  <c r="CO344" i="42385"/>
  <c r="AR1534" i="42385"/>
  <c r="AS1027" i="42385"/>
  <c r="AR1028" i="42385"/>
  <c r="CA919" i="42385"/>
  <c r="DB919" i="42385"/>
  <c r="AS1014" i="42385"/>
  <c r="AS247" i="42385"/>
  <c r="AS11" i="42385" s="1"/>
  <c r="AS1017" i="42385"/>
  <c r="AS1023" i="42385"/>
  <c r="GC543" i="42464"/>
  <c r="GC536" i="42464"/>
  <c r="BF402" i="42385"/>
  <c r="BF220" i="42385"/>
  <c r="AZ36" i="42418"/>
  <c r="AB42" i="42385"/>
  <c r="AG41" i="42385"/>
  <c r="AX1017" i="42385"/>
  <c r="Y892" i="42385"/>
  <c r="Y901" i="42385"/>
  <c r="Y896" i="42385"/>
  <c r="AD1330" i="42385"/>
  <c r="GU544" i="42417"/>
  <c r="GU545" i="42417" s="1"/>
  <c r="GV545" i="42417" s="1"/>
  <c r="GV544" i="42417" s="1"/>
  <c r="AQ128" i="42385"/>
  <c r="AI285" i="42400"/>
  <c r="K285" i="42400"/>
  <c r="AI932" i="42385"/>
  <c r="AS71" i="42400"/>
  <c r="AS75" i="42400" s="1"/>
  <c r="AS864" i="42385" s="1"/>
  <c r="AS865" i="42385" s="1"/>
  <c r="AR298" i="42400"/>
  <c r="AR895" i="42385" s="1"/>
  <c r="AR896" i="42385" s="1"/>
  <c r="BV985" i="42385"/>
  <c r="BV986" i="42385" s="1"/>
  <c r="BQ986" i="42385"/>
  <c r="AB625" i="42385"/>
  <c r="AA625" i="42385"/>
  <c r="CQ625" i="42385" s="1"/>
  <c r="Z624" i="42385"/>
  <c r="Z621" i="42385" s="1"/>
  <c r="BN544" i="42385"/>
  <c r="BJ542" i="42385"/>
  <c r="BI547" i="42385"/>
  <c r="BI272" i="42385"/>
  <c r="BJ272" i="42385" s="1"/>
  <c r="BI543" i="42385"/>
  <c r="BE341" i="42385"/>
  <c r="BA218" i="42385"/>
  <c r="BE218" i="42385" s="1"/>
  <c r="BF342" i="42385"/>
  <c r="BA342" i="42385"/>
  <c r="AI65" i="42385"/>
  <c r="AI75" i="42385" s="1"/>
  <c r="AI51" i="42385"/>
  <c r="AI52" i="42385"/>
  <c r="AI54" i="42385"/>
  <c r="BR674" i="42385"/>
  <c r="BR675" i="42385"/>
  <c r="BW240" i="42385"/>
  <c r="BW11" i="42385" s="1"/>
  <c r="BW797" i="42385"/>
  <c r="AT490" i="42385"/>
  <c r="AY491" i="42385"/>
  <c r="AT270" i="42385"/>
  <c r="AT491" i="42385"/>
  <c r="AU489" i="42385"/>
  <c r="CW469" i="42385"/>
  <c r="BE470" i="42385"/>
  <c r="CW470" i="42385" s="1"/>
  <c r="BE471" i="42385"/>
  <c r="CW471" i="42385" s="1"/>
  <c r="AP1108" i="42385"/>
  <c r="CT1108" i="42385" s="1"/>
  <c r="AP256" i="42385"/>
  <c r="CT256" i="42385" s="1"/>
  <c r="CT1107" i="42385"/>
  <c r="BG650" i="42385"/>
  <c r="BL640" i="42385"/>
  <c r="BG231" i="42385"/>
  <c r="BG647" i="42385"/>
  <c r="BG644" i="42385"/>
  <c r="AS1104" i="42385"/>
  <c r="AR1107" i="42385"/>
  <c r="AR256" i="42385" s="1"/>
  <c r="AR257" i="42385" s="1"/>
  <c r="AR258" i="42385" s="1"/>
  <c r="AW631" i="42385"/>
  <c r="AV632" i="42385"/>
  <c r="AV1543" i="42385"/>
  <c r="CA1379" i="42385"/>
  <c r="DB1379" i="42385"/>
  <c r="AT1536" i="42385"/>
  <c r="AU1536" i="42385" s="1"/>
  <c r="CU1536" i="42385" s="1"/>
  <c r="AT721" i="42385"/>
  <c r="AU720" i="42385"/>
  <c r="AV720" i="42385"/>
  <c r="AW384" i="42385"/>
  <c r="AV1541" i="42385"/>
  <c r="AV385" i="42385"/>
  <c r="BW683" i="42385"/>
  <c r="BY683" i="42385" s="1"/>
  <c r="BY670" i="42385"/>
  <c r="BG1187" i="42385"/>
  <c r="BF1186" i="42385"/>
  <c r="BF1187" i="42385" s="1"/>
  <c r="AU270" i="42385"/>
  <c r="CD1458" i="42385"/>
  <c r="CD1524" i="42385"/>
  <c r="CD1465" i="42385"/>
  <c r="CD1451" i="42385"/>
  <c r="CD1460" i="42385"/>
  <c r="CE1442" i="42385"/>
  <c r="CD1459" i="42385"/>
  <c r="CD1464" i="42385"/>
  <c r="CD1450" i="42385"/>
  <c r="CD1452" i="42385"/>
  <c r="AX1590" i="42385"/>
  <c r="AX1593" i="42385" s="1"/>
  <c r="AY1590" i="42385"/>
  <c r="CY88" i="42385"/>
  <c r="BO1645" i="42385"/>
  <c r="L345" i="42385"/>
  <c r="CN345" i="42385" s="1"/>
  <c r="CN344" i="42385"/>
  <c r="Q346" i="42385"/>
  <c r="CO346" i="42385" s="1"/>
  <c r="L346" i="42385"/>
  <c r="CN346" i="42385" s="1"/>
  <c r="BT11" i="42385"/>
  <c r="CZ11" i="42385" s="1"/>
  <c r="BG238" i="42385"/>
  <c r="BQ1164" i="42385"/>
  <c r="BW673" i="42385"/>
  <c r="BW674" i="42385" s="1"/>
  <c r="BW675" i="42385" s="1"/>
  <c r="BW676" i="42385" s="1"/>
  <c r="AZ40" i="42385"/>
  <c r="BY240" i="42385"/>
  <c r="AN158" i="42400"/>
  <c r="AM1140" i="42385"/>
  <c r="AH285" i="42400"/>
  <c r="BA165" i="42400"/>
  <c r="BA169" i="42400" s="1"/>
  <c r="BA988" i="42385" s="1"/>
  <c r="BS285" i="42400"/>
  <c r="BS298" i="42400" s="1"/>
  <c r="BS895" i="42385" s="1"/>
  <c r="BS896" i="42385" s="1"/>
  <c r="W54" i="42385"/>
  <c r="W1663" i="42385" s="1"/>
  <c r="AJ45" i="42400"/>
  <c r="AJ51" i="42400" s="1"/>
  <c r="AJ802" i="42385" s="1"/>
  <c r="BP95" i="42400"/>
  <c r="BP101" i="42400" s="1"/>
  <c r="BP833" i="42385" s="1"/>
  <c r="BP834" i="42385" s="1"/>
  <c r="V298" i="42400"/>
  <c r="V895" i="42385" s="1"/>
  <c r="AQ298" i="42400"/>
  <c r="AQ895" i="42385" s="1"/>
  <c r="AU842" i="42385"/>
  <c r="CU842" i="42385" s="1"/>
  <c r="CU841" i="42385"/>
  <c r="AU632" i="42385"/>
  <c r="CU632" i="42385" s="1"/>
  <c r="CU631" i="42385"/>
  <c r="BZ1537" i="42385"/>
  <c r="CA739" i="42385"/>
  <c r="CA1537" i="42385" s="1"/>
  <c r="BC1514" i="42385"/>
  <c r="BC77" i="42385"/>
  <c r="AV1593" i="42385"/>
  <c r="AV1532" i="42385"/>
  <c r="AV842" i="42385"/>
  <c r="AW841" i="42385"/>
  <c r="CU486" i="42385"/>
  <c r="AU487" i="42385"/>
  <c r="CU487" i="42385" s="1"/>
  <c r="AT903" i="42385"/>
  <c r="AS1529" i="42385"/>
  <c r="AS904" i="42385"/>
  <c r="AD801" i="42385"/>
  <c r="AH202" i="42385"/>
  <c r="AE954" i="42385"/>
  <c r="AZ957" i="42385"/>
  <c r="BO163" i="42385"/>
  <c r="AA207" i="42385"/>
  <c r="W65" i="42385"/>
  <c r="W75" i="42385" s="1"/>
  <c r="W77" i="42385" s="1"/>
  <c r="AV71" i="42400"/>
  <c r="AV75" i="42400" s="1"/>
  <c r="AV864" i="42385" s="1"/>
  <c r="AV865" i="42385" s="1"/>
  <c r="BK1159" i="42385"/>
  <c r="Y621" i="42385"/>
  <c r="BS748" i="42385"/>
  <c r="BN236" i="42385"/>
  <c r="BP1170" i="42385"/>
  <c r="BP1167" i="42385"/>
  <c r="BP1162" i="42385"/>
  <c r="BP1157" i="42385"/>
  <c r="BP640" i="42385"/>
  <c r="BK650" i="42385"/>
  <c r="BK231" i="42385"/>
  <c r="CV341" i="42385"/>
  <c r="DM334" i="42464"/>
  <c r="AZ342" i="42385"/>
  <c r="CV342" i="42385" s="1"/>
  <c r="AZ1104" i="42385"/>
  <c r="CV1104" i="42385" s="1"/>
  <c r="BA1104" i="42385"/>
  <c r="AR95" i="42400"/>
  <c r="AR101" i="42400" s="1"/>
  <c r="AR833" i="42385" s="1"/>
  <c r="AR834" i="42385" s="1"/>
  <c r="AG226" i="42400"/>
  <c r="AX285" i="42400"/>
  <c r="AX298" i="42400" s="1"/>
  <c r="AX895" i="42385" s="1"/>
  <c r="AX896" i="42385" s="1"/>
  <c r="G799" i="42385"/>
  <c r="AQ1180" i="42385"/>
  <c r="AW285" i="42400"/>
  <c r="AW298" i="42400" s="1"/>
  <c r="AW895" i="42385" s="1"/>
  <c r="AW896" i="42385" s="1"/>
  <c r="BB51" i="42385"/>
  <c r="H9" i="42476"/>
  <c r="I9" i="42476"/>
  <c r="AW52" i="42385"/>
  <c r="H45" i="42476"/>
  <c r="N9" i="42476"/>
  <c r="AU88" i="42385"/>
  <c r="AG1663" i="42385"/>
  <c r="AJ1569" i="42385"/>
  <c r="AK65" i="42385"/>
  <c r="AG75" i="42385"/>
  <c r="AC954" i="42385"/>
  <c r="AC963" i="42385"/>
  <c r="AF957" i="42385"/>
  <c r="X896" i="42385"/>
  <c r="X892" i="42385"/>
  <c r="X893" i="42385" s="1"/>
  <c r="AF799" i="42385"/>
  <c r="AT71" i="42400"/>
  <c r="AT75" i="42400" s="1"/>
  <c r="AT864" i="42385" s="1"/>
  <c r="AT865" i="42385" s="1"/>
  <c r="BS1375" i="42385"/>
  <c r="BT1373" i="42385"/>
  <c r="M832" i="42385"/>
  <c r="H832" i="42385"/>
  <c r="H831" i="42385"/>
  <c r="AY285" i="42400"/>
  <c r="AY298" i="42400" s="1"/>
  <c r="AY895" i="42385" s="1"/>
  <c r="AY896" i="42385" s="1"/>
  <c r="AU474" i="42385"/>
  <c r="CU474" i="42385" s="1"/>
  <c r="BF1484" i="42385"/>
  <c r="BG1384" i="42385"/>
  <c r="BG1484" i="42385" s="1"/>
  <c r="BK298" i="42400"/>
  <c r="BK895" i="42385" s="1"/>
  <c r="BZ1114" i="42385"/>
  <c r="DA1114" i="42385"/>
  <c r="AQ613" i="42385"/>
  <c r="AS613" i="42385" s="1"/>
  <c r="AP613" i="42385"/>
  <c r="AI830" i="42385"/>
  <c r="AI834" i="42385"/>
  <c r="AI839" i="42385"/>
  <c r="AJ839" i="42385"/>
  <c r="AJ830" i="42385"/>
  <c r="AJ834" i="42385"/>
  <c r="AH799" i="42385"/>
  <c r="AH800" i="42385" s="1"/>
  <c r="AH808" i="42385"/>
  <c r="AH803" i="42385"/>
  <c r="AJ803" i="42385"/>
  <c r="AJ808" i="42385"/>
  <c r="AJ799" i="42385"/>
  <c r="AI799" i="42385"/>
  <c r="AI801" i="42385" s="1"/>
  <c r="AI808" i="42385"/>
  <c r="AI803" i="42385"/>
  <c r="Q201" i="42385"/>
  <c r="R201" i="42385"/>
  <c r="CO1366" i="42385"/>
  <c r="Q1426" i="42385"/>
  <c r="CO1426" i="42385" s="1"/>
  <c r="R298" i="42400"/>
  <c r="R895" i="42385" s="1"/>
  <c r="BR1200" i="42385"/>
  <c r="U298" i="42400"/>
  <c r="U895" i="42385" s="1"/>
  <c r="BQ1208" i="42385"/>
  <c r="BQ1210" i="42385" s="1"/>
  <c r="AA861" i="42385"/>
  <c r="P956" i="42385"/>
  <c r="AL800" i="42385"/>
  <c r="BL990" i="42385"/>
  <c r="BL992" i="42385" s="1"/>
  <c r="AB892" i="42385"/>
  <c r="AB894" i="42385" s="1"/>
  <c r="AP957" i="42385"/>
  <c r="AE958" i="42385"/>
  <c r="AC958" i="42385"/>
  <c r="AK834" i="42385"/>
  <c r="CS834" i="42385" s="1"/>
  <c r="AK839" i="42385"/>
  <c r="CS839" i="42385" s="1"/>
  <c r="CS833" i="42385"/>
  <c r="BR1414" i="42385"/>
  <c r="BT1414" i="42385" s="1"/>
  <c r="BQ1421" i="42385"/>
  <c r="AC42" i="42476" s="1"/>
  <c r="BQ1642" i="42385"/>
  <c r="V901" i="42385"/>
  <c r="CP901" i="42385" s="1"/>
  <c r="V896" i="42385"/>
  <c r="CP896" i="42385" s="1"/>
  <c r="CP895" i="42385"/>
  <c r="BY339" i="42385"/>
  <c r="DA339" i="42385" s="1"/>
  <c r="DA336" i="42385"/>
  <c r="W183" i="42385"/>
  <c r="X183" i="42385" s="1"/>
  <c r="Y183" i="42385" s="1"/>
  <c r="Z183" i="42385" s="1"/>
  <c r="AA183" i="42385" s="1"/>
  <c r="CP183" i="42385"/>
  <c r="CQ1406" i="42385"/>
  <c r="AA1424" i="42385"/>
  <c r="G19" i="42472"/>
  <c r="G22" i="42472" s="1"/>
  <c r="AM808" i="42385"/>
  <c r="AM799" i="42385"/>
  <c r="AM801" i="42385" s="1"/>
  <c r="AM803" i="42385"/>
  <c r="CY1386" i="42385"/>
  <c r="BP1386" i="42385"/>
  <c r="BS1197" i="42385"/>
  <c r="BS1200" i="42385" s="1"/>
  <c r="BT1193" i="42385"/>
  <c r="CZ1193" i="42385" s="1"/>
  <c r="CW1383" i="42385"/>
  <c r="BF1383" i="42385"/>
  <c r="BP202" i="42385"/>
  <c r="AB42" i="42476"/>
  <c r="AK939" i="42385"/>
  <c r="AJ1139" i="42385"/>
  <c r="AB862" i="42385"/>
  <c r="CZ864" i="42385"/>
  <c r="DA100" i="42385"/>
  <c r="FY441" i="42417"/>
  <c r="X901" i="42385"/>
  <c r="AG45" i="42400"/>
  <c r="AG51" i="42400" s="1"/>
  <c r="AG802" i="42385" s="1"/>
  <c r="CV1115" i="42385"/>
  <c r="AZ1116" i="42385"/>
  <c r="CV1116" i="42385" s="1"/>
  <c r="DC1395" i="42385"/>
  <c r="CB1395" i="42385"/>
  <c r="CC1395" i="42385" s="1"/>
  <c r="CD1395" i="42385" s="1"/>
  <c r="CE1395" i="42385" s="1"/>
  <c r="CF1395" i="42385" s="1"/>
  <c r="BQ1385" i="42385"/>
  <c r="BQ1485" i="42385" s="1"/>
  <c r="AU865" i="42385"/>
  <c r="CU865" i="42385" s="1"/>
  <c r="CU864" i="42385"/>
  <c r="S298" i="42400"/>
  <c r="S895" i="42385" s="1"/>
  <c r="AH834" i="42385"/>
  <c r="AH839" i="42385"/>
  <c r="AH830" i="42385"/>
  <c r="BS1103" i="42385"/>
  <c r="BO1103" i="42385"/>
  <c r="CY1103" i="42385" s="1"/>
  <c r="CN1424" i="42385"/>
  <c r="L1426" i="42385"/>
  <c r="CN1426" i="42385" s="1"/>
  <c r="AE870" i="42385"/>
  <c r="AE865" i="42385"/>
  <c r="AE861" i="42385"/>
  <c r="BL1120" i="42385"/>
  <c r="BM1120" i="42385" s="1"/>
  <c r="BN1120" i="42385" s="1"/>
  <c r="BP1120" i="42385" s="1"/>
  <c r="BQ1120" i="42385" s="1"/>
  <c r="BR1120" i="42385" s="1"/>
  <c r="BS1120" i="42385" s="1"/>
  <c r="BU1120" i="42385" s="1"/>
  <c r="BV1120" i="42385" s="1"/>
  <c r="BW1120" i="42385" s="1"/>
  <c r="BX1120" i="42385" s="1"/>
  <c r="BD1483" i="42385"/>
  <c r="BE1483" i="42385" s="1"/>
  <c r="CW1483" i="42385" s="1"/>
  <c r="AK235" i="42400"/>
  <c r="BD165" i="42400"/>
  <c r="BD169" i="42400" s="1"/>
  <c r="BD988" i="42385" s="1"/>
  <c r="BD989" i="42385" s="1"/>
  <c r="BC165" i="42400"/>
  <c r="BC169" i="42400" s="1"/>
  <c r="BC988" i="42385" s="1"/>
  <c r="J294" i="42400"/>
  <c r="J298" i="42400" s="1"/>
  <c r="J895" i="42385" s="1"/>
  <c r="V201" i="42385"/>
  <c r="V207" i="42385" s="1"/>
  <c r="CZ833" i="42385"/>
  <c r="BT834" i="42385"/>
  <c r="CZ834" i="42385" s="1"/>
  <c r="CW1385" i="42385"/>
  <c r="BF1385" i="42385"/>
  <c r="AA1660" i="42385"/>
  <c r="CQ1564" i="42385"/>
  <c r="AA1567" i="42385"/>
  <c r="CQ1567" i="42385" s="1"/>
  <c r="AA1585" i="42385"/>
  <c r="CQ1585" i="42385" s="1"/>
  <c r="T298" i="42400"/>
  <c r="T895" i="42385" s="1"/>
  <c r="AX474" i="42385"/>
  <c r="AX475" i="42385" s="1"/>
  <c r="AX1547" i="42385"/>
  <c r="AY472" i="42385"/>
  <c r="AX473" i="42385"/>
  <c r="CM1366" i="42385"/>
  <c r="L201" i="42385"/>
  <c r="H201" i="42385"/>
  <c r="BZ1341" i="42385"/>
  <c r="DA1341" i="42385"/>
  <c r="BD756" i="42385"/>
  <c r="BD286" i="42385"/>
  <c r="CW115" i="42385"/>
  <c r="D12" i="42409"/>
  <c r="AS599" i="42385"/>
  <c r="AS601" i="42385" s="1"/>
  <c r="AU597" i="42385"/>
  <c r="BP271" i="42385"/>
  <c r="BP516" i="42385"/>
  <c r="BP515" i="42385"/>
  <c r="BP519" i="42385"/>
  <c r="BN650" i="42385"/>
  <c r="BS649" i="42385"/>
  <c r="M169" i="42385"/>
  <c r="N169" i="42385" s="1"/>
  <c r="O169" i="42385" s="1"/>
  <c r="P169" i="42385" s="1"/>
  <c r="Q169" i="42385" s="1"/>
  <c r="CN169" i="42385"/>
  <c r="CX65" i="42385"/>
  <c r="BJ75" i="42385"/>
  <c r="E7" i="42409"/>
  <c r="BG169" i="42400"/>
  <c r="BG988" i="42385" s="1"/>
  <c r="BG989" i="42385" s="1"/>
  <c r="BA1241" i="42385"/>
  <c r="BE1241" i="42385" s="1"/>
  <c r="BE1233" i="42385"/>
  <c r="BR755" i="42385"/>
  <c r="BR236" i="42385"/>
  <c r="BW748" i="42385"/>
  <c r="BR752" i="42385"/>
  <c r="AI345" i="42385"/>
  <c r="AN344" i="42385"/>
  <c r="AI346" i="42385"/>
  <c r="G849" i="42385"/>
  <c r="CM849" i="42385" s="1"/>
  <c r="CM848" i="42385"/>
  <c r="BT1077" i="42385"/>
  <c r="BT1073" i="42385"/>
  <c r="BT1074" i="42385"/>
  <c r="AY287" i="42385"/>
  <c r="AY775" i="42385"/>
  <c r="AY776" i="42385"/>
  <c r="AU952" i="42385"/>
  <c r="CU952" i="42385" s="1"/>
  <c r="AP245" i="42385"/>
  <c r="CT951" i="42385"/>
  <c r="AP952" i="42385"/>
  <c r="CT952" i="42385" s="1"/>
  <c r="AT357" i="42385"/>
  <c r="AT1528" i="42385"/>
  <c r="AU1528" i="42385" s="1"/>
  <c r="CU1528" i="42385" s="1"/>
  <c r="AV356" i="42385"/>
  <c r="G942" i="42385"/>
  <c r="CM942" i="42385" s="1"/>
  <c r="CM941" i="42385"/>
  <c r="CB451" i="42385"/>
  <c r="CC451" i="42385" s="1"/>
  <c r="CD451" i="42385" s="1"/>
  <c r="CE451" i="42385" s="1"/>
  <c r="CF451" i="42385" s="1"/>
  <c r="DC451" i="42385"/>
  <c r="CW221" i="42385"/>
  <c r="K38" i="42470"/>
  <c r="GR617" i="42464"/>
  <c r="GS617" i="42464" s="1"/>
  <c r="AK347" i="42385"/>
  <c r="AJ354" i="42385"/>
  <c r="AJ344" i="42385"/>
  <c r="CZ1281" i="42385"/>
  <c r="BT108" i="42385"/>
  <c r="CZ108" i="42385" s="1"/>
  <c r="BM286" i="42385"/>
  <c r="BM756" i="42385"/>
  <c r="BM757" i="42385"/>
  <c r="AI42" i="42385"/>
  <c r="AN41" i="42385"/>
  <c r="AN43" i="42385"/>
  <c r="AI41" i="42385"/>
  <c r="BK370" i="42385"/>
  <c r="BP369" i="42385"/>
  <c r="CS1373" i="42385"/>
  <c r="AK1375" i="42385"/>
  <c r="CS1375" i="42385" s="1"/>
  <c r="AL1373" i="42385"/>
  <c r="BF643" i="42385"/>
  <c r="BA644" i="42385"/>
  <c r="BA647" i="42385"/>
  <c r="BE643" i="42385"/>
  <c r="AU357" i="42385"/>
  <c r="CU357" i="42385" s="1"/>
  <c r="CU356" i="42385"/>
  <c r="AU775" i="42385"/>
  <c r="CU775" i="42385" s="1"/>
  <c r="CU774" i="42385"/>
  <c r="AU776" i="42385"/>
  <c r="CU776" i="42385" s="1"/>
  <c r="CX1569" i="42385"/>
  <c r="BJ1572" i="42385"/>
  <c r="BX115" i="42385"/>
  <c r="BY1289" i="42385"/>
  <c r="AL184" i="42385"/>
  <c r="AM184" i="42385" s="1"/>
  <c r="AN184" i="42385" s="1"/>
  <c r="AO184" i="42385" s="1"/>
  <c r="AP184" i="42385" s="1"/>
  <c r="CS184" i="42385"/>
  <c r="L1663" i="42385"/>
  <c r="CN54" i="42385"/>
  <c r="CT220" i="42385"/>
  <c r="GO489" i="42417"/>
  <c r="CS348" i="42385"/>
  <c r="AL348" i="42385"/>
  <c r="BN751" i="42385"/>
  <c r="BI755" i="42385"/>
  <c r="BI752" i="42385"/>
  <c r="BF371" i="42385"/>
  <c r="AZ99" i="42418"/>
  <c r="BF219" i="42385"/>
  <c r="W1514" i="42385"/>
  <c r="BJ1181" i="42385"/>
  <c r="CX1181" i="42385" s="1"/>
  <c r="CX1180" i="42385"/>
  <c r="BJ1183" i="42385"/>
  <c r="AV648" i="42385"/>
  <c r="AV281" i="42385"/>
  <c r="AZ281" i="42385" s="1"/>
  <c r="CY450" i="42385"/>
  <c r="BT450" i="42385"/>
  <c r="BK990" i="42385"/>
  <c r="BK989" i="42385"/>
  <c r="BH169" i="42400"/>
  <c r="BH988" i="42385" s="1"/>
  <c r="BH989" i="42385" s="1"/>
  <c r="BG990" i="42385"/>
  <c r="BG992" i="42385" s="1"/>
  <c r="BG299" i="42385" s="1"/>
  <c r="AU990" i="42385"/>
  <c r="CU990" i="42385" s="1"/>
  <c r="BX1073" i="42385"/>
  <c r="Z893" i="42385"/>
  <c r="AR954" i="42385"/>
  <c r="K956" i="42385"/>
  <c r="AU957" i="42385"/>
  <c r="BX1643" i="42385"/>
  <c r="AY252" i="42424"/>
  <c r="AG830" i="42385"/>
  <c r="AO1023" i="42385"/>
  <c r="AO301" i="42385" s="1"/>
  <c r="BR45" i="42400"/>
  <c r="BR51" i="42400" s="1"/>
  <c r="BR802" i="42385" s="1"/>
  <c r="BR803" i="42385" s="1"/>
  <c r="H285" i="42400"/>
  <c r="H294" i="42400"/>
  <c r="AB171" i="42385"/>
  <c r="AC171" i="42385" s="1"/>
  <c r="AD171" i="42385" s="1"/>
  <c r="AE171" i="42385" s="1"/>
  <c r="AF171" i="42385" s="1"/>
  <c r="AL955" i="42385"/>
  <c r="AA892" i="42385"/>
  <c r="AA893" i="42385" s="1"/>
  <c r="CQ893" i="42385" s="1"/>
  <c r="CA1490" i="42385"/>
  <c r="L22" i="42472"/>
  <c r="AP169" i="42400"/>
  <c r="M892" i="42385"/>
  <c r="M893" i="42385" s="1"/>
  <c r="K294" i="42400"/>
  <c r="BQ71" i="42400"/>
  <c r="BQ75" i="42400" s="1"/>
  <c r="BQ864" i="42385" s="1"/>
  <c r="BQ865" i="42385" s="1"/>
  <c r="BI169" i="42400"/>
  <c r="BI988" i="42385" s="1"/>
  <c r="BI989" i="42385" s="1"/>
  <c r="BX307" i="42385"/>
  <c r="IR896" i="42464"/>
  <c r="AM158" i="42400"/>
  <c r="M896" i="42385"/>
  <c r="L298" i="42400"/>
  <c r="L895" i="42385" s="1"/>
  <c r="L896" i="42385" s="1"/>
  <c r="CN896" i="42385" s="1"/>
  <c r="I294" i="42400"/>
  <c r="BF169" i="42400"/>
  <c r="BF988" i="42385" s="1"/>
  <c r="BP71" i="42400"/>
  <c r="BP75" i="42400" s="1"/>
  <c r="BP864" i="42385" s="1"/>
  <c r="BP865" i="42385" s="1"/>
  <c r="CT1360" i="42385"/>
  <c r="AQ1360" i="42385"/>
  <c r="AR1360" i="42385" s="1"/>
  <c r="BC1481" i="42385"/>
  <c r="BD1381" i="42385"/>
  <c r="BE1381" i="42385" s="1"/>
  <c r="BV1077" i="42385"/>
  <c r="BV1074" i="42385"/>
  <c r="BV1073" i="42385"/>
  <c r="CW1378" i="42385"/>
  <c r="BF1378" i="42385"/>
  <c r="BF1478" i="42385" s="1"/>
  <c r="BQ1180" i="42385"/>
  <c r="BQ1181" i="42385" s="1"/>
  <c r="AV1082" i="42385"/>
  <c r="AW1082" i="42385" s="1"/>
  <c r="CU1082" i="42385"/>
  <c r="CZ1357" i="42385"/>
  <c r="BU1357" i="42385"/>
  <c r="BV1357" i="42385" s="1"/>
  <c r="BW1357" i="42385" s="1"/>
  <c r="BX1357" i="42385" s="1"/>
  <c r="BY1357" i="42385" s="1"/>
  <c r="AB207" i="42385"/>
  <c r="AB206" i="42385"/>
  <c r="BE1184" i="42385"/>
  <c r="CW1184" i="42385" s="1"/>
  <c r="CW1183" i="42385"/>
  <c r="AT993" i="42385"/>
  <c r="AT299" i="42385"/>
  <c r="AU299" i="42385" s="1"/>
  <c r="CU299" i="42385" s="1"/>
  <c r="AT997" i="42385"/>
  <c r="BP1180" i="42385"/>
  <c r="BP1183" i="42385" s="1"/>
  <c r="BP1184" i="42385" s="1"/>
  <c r="BS71" i="42400"/>
  <c r="BS75" i="42400" s="1"/>
  <c r="BS864" i="42385" s="1"/>
  <c r="BS865" i="42385" s="1"/>
  <c r="BD1478" i="42385"/>
  <c r="BE1478" i="42385" s="1"/>
  <c r="CW1478" i="42385" s="1"/>
  <c r="AL927" i="42385"/>
  <c r="AL932" i="42385"/>
  <c r="AL923" i="42385"/>
  <c r="N896" i="42385"/>
  <c r="N901" i="42385"/>
  <c r="N892" i="42385"/>
  <c r="P892" i="42385"/>
  <c r="P896" i="42385"/>
  <c r="P901" i="42385"/>
  <c r="BB990" i="42385"/>
  <c r="BB992" i="42385" s="1"/>
  <c r="BB989" i="42385"/>
  <c r="BW1072" i="42385"/>
  <c r="BW1074" i="42385" s="1"/>
  <c r="BY1069" i="42385"/>
  <c r="BY1070" i="42385" s="1"/>
  <c r="D901" i="42385"/>
  <c r="D892" i="42385"/>
  <c r="D896" i="42385"/>
  <c r="AM932" i="42385"/>
  <c r="AM923" i="42385"/>
  <c r="AM927" i="42385"/>
  <c r="AQ95" i="42400"/>
  <c r="AQ101" i="42400" s="1"/>
  <c r="AQ833" i="42385" s="1"/>
  <c r="AQ834" i="42385" s="1"/>
  <c r="BW60" i="42385"/>
  <c r="DA1175" i="42385"/>
  <c r="BV60" i="42385"/>
  <c r="BU60" i="42385"/>
  <c r="BX60" i="42385"/>
  <c r="AO480" i="42385"/>
  <c r="AN1140" i="42385"/>
  <c r="AJ285" i="42400"/>
  <c r="BD151" i="42385"/>
  <c r="BE989" i="42385"/>
  <c r="CW989" i="42385" s="1"/>
  <c r="CW988" i="42385"/>
  <c r="AM896" i="42385"/>
  <c r="AM901" i="42385"/>
  <c r="AM892" i="42385"/>
  <c r="AC892" i="42385"/>
  <c r="AC896" i="42385"/>
  <c r="C29" i="42465"/>
  <c r="C33" i="42465" s="1"/>
  <c r="C35" i="42465" s="1"/>
  <c r="I19" i="42472"/>
  <c r="I22" i="42472" s="1"/>
  <c r="CS1406" i="42385"/>
  <c r="AK1424" i="42385"/>
  <c r="CS1424" i="42385" s="1"/>
  <c r="F896" i="42385"/>
  <c r="F892" i="42385"/>
  <c r="F901" i="42385"/>
  <c r="E896" i="42385"/>
  <c r="E892" i="42385"/>
  <c r="E893" i="42385" s="1"/>
  <c r="E901" i="42385"/>
  <c r="BR1180" i="42385"/>
  <c r="W186" i="42385"/>
  <c r="X186" i="42385" s="1"/>
  <c r="Y186" i="42385" s="1"/>
  <c r="Z186" i="42385" s="1"/>
  <c r="AA186" i="42385" s="1"/>
  <c r="CP186" i="42385"/>
  <c r="CA1369" i="42385"/>
  <c r="DB1369" i="42385"/>
  <c r="CP185" i="42385"/>
  <c r="W185" i="42385"/>
  <c r="X185" i="42385" s="1"/>
  <c r="Y185" i="42385" s="1"/>
  <c r="Z185" i="42385" s="1"/>
  <c r="AA185" i="42385" s="1"/>
  <c r="AG294" i="42400"/>
  <c r="AG298" i="42400" s="1"/>
  <c r="AG895" i="42385" s="1"/>
  <c r="AI294" i="42400"/>
  <c r="AI298" i="42400" s="1"/>
  <c r="AI895" i="42385" s="1"/>
  <c r="BQ1183" i="42385"/>
  <c r="BQ1184" i="42385" s="1"/>
  <c r="BW1110" i="42385"/>
  <c r="BR1115" i="42385"/>
  <c r="BR312" i="42385" s="1"/>
  <c r="BR313" i="42385" s="1"/>
  <c r="BT1110" i="42385"/>
  <c r="CZ1110" i="42385" s="1"/>
  <c r="BZ1175" i="42385"/>
  <c r="CA1174" i="42385"/>
  <c r="DB1174" i="42385"/>
  <c r="CS895" i="42385"/>
  <c r="AK901" i="42385"/>
  <c r="AK896" i="42385"/>
  <c r="CS896" i="42385" s="1"/>
  <c r="AE834" i="42385"/>
  <c r="AE830" i="42385"/>
  <c r="AE839" i="42385"/>
  <c r="BP1181" i="42385"/>
  <c r="AH294" i="42400"/>
  <c r="AH298" i="42400" s="1"/>
  <c r="AH895" i="42385" s="1"/>
  <c r="AL834" i="42385"/>
  <c r="AL830" i="42385"/>
  <c r="AL839" i="42385"/>
  <c r="AS95" i="42400"/>
  <c r="AS101" i="42400" s="1"/>
  <c r="AS833" i="42385" s="1"/>
  <c r="AS834" i="42385" s="1"/>
  <c r="BP45" i="42400"/>
  <c r="BP51" i="42400" s="1"/>
  <c r="BP802" i="42385" s="1"/>
  <c r="BP803" i="42385" s="1"/>
  <c r="AC832" i="42385"/>
  <c r="AC831" i="42385"/>
  <c r="CP181" i="42385"/>
  <c r="W181" i="42385"/>
  <c r="X181" i="42385" s="1"/>
  <c r="Y181" i="42385" s="1"/>
  <c r="Z181" i="42385" s="1"/>
  <c r="AA181" i="42385" s="1"/>
  <c r="I298" i="42400"/>
  <c r="I895" i="42385" s="1"/>
  <c r="CQ175" i="42385"/>
  <c r="AB175" i="42385"/>
  <c r="AC175" i="42385" s="1"/>
  <c r="AD175" i="42385" s="1"/>
  <c r="AE175" i="42385" s="1"/>
  <c r="AF175" i="42385" s="1"/>
  <c r="B37" i="42409"/>
  <c r="CS1564" i="42385"/>
  <c r="AK1585" i="42385"/>
  <c r="CS1585" i="42385" s="1"/>
  <c r="AK1660" i="42385"/>
  <c r="DB1396" i="42385"/>
  <c r="CA1396" i="42385"/>
  <c r="AJ294" i="42400"/>
  <c r="AB174" i="42385"/>
  <c r="AC174" i="42385" s="1"/>
  <c r="AD174" i="42385" s="1"/>
  <c r="AE174" i="42385" s="1"/>
  <c r="AF174" i="42385" s="1"/>
  <c r="CQ174" i="42385"/>
  <c r="AI924" i="42385"/>
  <c r="AN923" i="42385"/>
  <c r="AL896" i="42385"/>
  <c r="AL892" i="42385"/>
  <c r="AL901" i="42385"/>
  <c r="BQ1483" i="42385"/>
  <c r="BR1383" i="42385"/>
  <c r="O892" i="42385"/>
  <c r="O901" i="42385"/>
  <c r="O896" i="42385"/>
  <c r="AY1016" i="42385"/>
  <c r="AY1021" i="42385" s="1"/>
  <c r="AT1021" i="42385"/>
  <c r="DA1200" i="42385"/>
  <c r="DA1197" i="42385"/>
  <c r="AP865" i="42385"/>
  <c r="CT865" i="42385" s="1"/>
  <c r="CT864" i="42385"/>
  <c r="AL165" i="42400"/>
  <c r="AL169" i="42400" s="1"/>
  <c r="BQ45" i="42400"/>
  <c r="BQ51" i="42400" s="1"/>
  <c r="BQ802" i="42385" s="1"/>
  <c r="BQ803" i="42385" s="1"/>
  <c r="AW989" i="42385"/>
  <c r="AW990" i="42385"/>
  <c r="AW992" i="42385" s="1"/>
  <c r="BB994" i="42385" s="1"/>
  <c r="AB172" i="42385"/>
  <c r="AC172" i="42385" s="1"/>
  <c r="AD172" i="42385" s="1"/>
  <c r="AE172" i="42385" s="1"/>
  <c r="AF172" i="42385" s="1"/>
  <c r="CQ172" i="42385"/>
  <c r="CY1148" i="42385"/>
  <c r="BP1148" i="42385"/>
  <c r="BQ1148" i="42385" s="1"/>
  <c r="BR1148" i="42385" s="1"/>
  <c r="BS1148" i="42385" s="1"/>
  <c r="BT1148" i="42385" s="1"/>
  <c r="AL71" i="42400"/>
  <c r="AL75" i="42400" s="1"/>
  <c r="AL864" i="42385" s="1"/>
  <c r="AO165" i="42400"/>
  <c r="CS187" i="42385"/>
  <c r="AL187" i="42385"/>
  <c r="AM187" i="42385" s="1"/>
  <c r="AN187" i="42385" s="1"/>
  <c r="AO187" i="42385" s="1"/>
  <c r="AP187" i="42385" s="1"/>
  <c r="AT95" i="42400"/>
  <c r="AT101" i="42400" s="1"/>
  <c r="AT833" i="42385" s="1"/>
  <c r="AT834" i="42385" s="1"/>
  <c r="AO169" i="42400"/>
  <c r="AD830" i="42385"/>
  <c r="AD839" i="42385"/>
  <c r="AD834" i="42385"/>
  <c r="AB839" i="42385"/>
  <c r="AB834" i="42385"/>
  <c r="AB830" i="42385"/>
  <c r="Q1647" i="42385"/>
  <c r="CO1647" i="42385" s="1"/>
  <c r="Q316" i="42385"/>
  <c r="CO316" i="42385" s="1"/>
  <c r="Q315" i="42385"/>
  <c r="CO315" i="42385" s="1"/>
  <c r="CO314" i="42385"/>
  <c r="Q50" i="42385"/>
  <c r="AM71" i="42400"/>
  <c r="AM75" i="42400" s="1"/>
  <c r="AM864" i="42385" s="1"/>
  <c r="AM165" i="42400"/>
  <c r="AM169" i="42400" s="1"/>
  <c r="BD45" i="42400"/>
  <c r="BD51" i="42400" s="1"/>
  <c r="BD802" i="42385" s="1"/>
  <c r="BD803" i="42385" s="1"/>
  <c r="AP896" i="42385"/>
  <c r="CT896" i="42385" s="1"/>
  <c r="CT895" i="42385"/>
  <c r="V54" i="42385"/>
  <c r="CP50" i="42385"/>
  <c r="AN71" i="42400"/>
  <c r="AN75" i="42400" s="1"/>
  <c r="AN864" i="42385" s="1"/>
  <c r="AN865" i="42385" s="1"/>
  <c r="AO71" i="42400"/>
  <c r="AO75" i="42400" s="1"/>
  <c r="AO864" i="42385" s="1"/>
  <c r="AO865" i="42385" s="1"/>
  <c r="AN165" i="42400"/>
  <c r="AN169" i="42400" s="1"/>
  <c r="DC1413" i="42385"/>
  <c r="CB1413" i="42385"/>
  <c r="CC1413" i="42385" s="1"/>
  <c r="CD1413" i="42385" s="1"/>
  <c r="CE1413" i="42385" s="1"/>
  <c r="CF1413" i="42385" s="1"/>
  <c r="AY997" i="42385"/>
  <c r="AY299" i="42385"/>
  <c r="AY993" i="42385"/>
  <c r="AY994" i="42385"/>
  <c r="BV1489" i="42385"/>
  <c r="BZ1490" i="42385"/>
  <c r="DB1416" i="42385"/>
  <c r="CA1416" i="42385"/>
  <c r="AY40" i="42385"/>
  <c r="AY50" i="42385"/>
  <c r="AY27" i="42385"/>
  <c r="AY26" i="42385"/>
  <c r="BD26" i="42385"/>
  <c r="K8" i="42476"/>
  <c r="BD32" i="42385"/>
  <c r="AY32" i="42385"/>
  <c r="BY152" i="42400"/>
  <c r="BY167" i="42400" s="1"/>
  <c r="BY977" i="42385"/>
  <c r="DA977" i="42385" s="1"/>
  <c r="DA976" i="42385"/>
  <c r="BZ976" i="42385"/>
  <c r="BQ165" i="42400"/>
  <c r="BQ169" i="42400" s="1"/>
  <c r="BQ988" i="42385" s="1"/>
  <c r="EI455" i="42492"/>
  <c r="CZ244" i="42385"/>
  <c r="BT921" i="42385"/>
  <c r="CZ921" i="42385" s="1"/>
  <c r="CZ920" i="42385"/>
  <c r="BZ917" i="42385"/>
  <c r="BY130" i="42400"/>
  <c r="DA917" i="42385"/>
  <c r="BY918" i="42385"/>
  <c r="DA918" i="42385" s="1"/>
  <c r="BS45" i="42400"/>
  <c r="BS51" i="42400" s="1"/>
  <c r="BS802" i="42385" s="1"/>
  <c r="BS803" i="42385" s="1"/>
  <c r="CB38" i="42400"/>
  <c r="CB39" i="42400"/>
  <c r="CB37" i="42400"/>
  <c r="CB41" i="42400"/>
  <c r="CB40" i="42400"/>
  <c r="CB47" i="42400"/>
  <c r="CB43" i="42400"/>
  <c r="CB42" i="42400"/>
  <c r="CA34" i="42400"/>
  <c r="CA49" i="42400" s="1"/>
  <c r="CA51" i="42400" s="1"/>
  <c r="CA802" i="42385" s="1"/>
  <c r="DC790" i="42385"/>
  <c r="CB790" i="42385"/>
  <c r="CC33" i="42400"/>
  <c r="CD793" i="42385"/>
  <c r="BZ45" i="42400"/>
  <c r="BZ51" i="42400" s="1"/>
  <c r="BZ802" i="42385" s="1"/>
  <c r="AK25" i="42476"/>
  <c r="AX1663" i="42385"/>
  <c r="AX56" i="42385"/>
  <c r="J16" i="42476"/>
  <c r="J12" i="42476"/>
  <c r="O13" i="42476" s="1"/>
  <c r="BC55" i="42385"/>
  <c r="AH1642" i="42385"/>
  <c r="AX77" i="42385"/>
  <c r="AX1514" i="42385"/>
  <c r="I1642" i="42385"/>
  <c r="I1301" i="42385"/>
  <c r="I1330" i="42385" s="1"/>
  <c r="BA43" i="42385"/>
  <c r="BA41" i="42385"/>
  <c r="AV41" i="42385"/>
  <c r="AV43" i="42385"/>
  <c r="AV42" i="42385"/>
  <c r="I93" i="42385"/>
  <c r="I1658" i="42385" s="1"/>
  <c r="I1619" i="42385"/>
  <c r="I106" i="42385"/>
  <c r="I114" i="42385" s="1"/>
  <c r="I120" i="42385" s="1"/>
  <c r="I1656" i="42385" s="1"/>
  <c r="AZ27" i="42385"/>
  <c r="CV27" i="42385" s="1"/>
  <c r="F6" i="42465"/>
  <c r="AZ50" i="42385"/>
  <c r="CV24" i="42385"/>
  <c r="L8" i="42476"/>
  <c r="HX831" i="42464"/>
  <c r="GM577" i="42464"/>
  <c r="GM579" i="42464"/>
  <c r="AC41" i="42464"/>
  <c r="AD33" i="42464"/>
  <c r="AH90" i="42385"/>
  <c r="AH92" i="42385"/>
  <c r="AH1648" i="42385"/>
  <c r="AH1641" i="42385" s="1"/>
  <c r="Y1278" i="42385"/>
  <c r="Y90" i="42385"/>
  <c r="Y79" i="42385"/>
  <c r="Y92" i="42385" s="1"/>
  <c r="AW88" i="42385"/>
  <c r="AW1645" i="42385" s="1"/>
  <c r="CA1321" i="42385"/>
  <c r="DC1321" i="42385" s="1"/>
  <c r="AM24" i="42476"/>
  <c r="CB100" i="42385"/>
  <c r="CC100" i="42385" s="1"/>
  <c r="DC100" i="42385"/>
  <c r="DB100" i="42385"/>
  <c r="AL24" i="42476"/>
  <c r="AL25" i="42476" s="1"/>
  <c r="EM477" i="42492"/>
  <c r="DA433" i="42385"/>
  <c r="BZ433" i="42385"/>
  <c r="DB433" i="42385" s="1"/>
  <c r="BY435" i="42385"/>
  <c r="DA435" i="42385" s="1"/>
  <c r="AS927" i="42385"/>
  <c r="AZ1161" i="42385"/>
  <c r="CV1161" i="42385" s="1"/>
  <c r="BO1122" i="42385"/>
  <c r="CY1122" i="42385" s="1"/>
  <c r="B44" i="42465"/>
  <c r="D963" i="42385"/>
  <c r="AE656" i="42385"/>
  <c r="AE657" i="42385" s="1"/>
  <c r="AJ658" i="42385" s="1"/>
  <c r="BH1164" i="42385"/>
  <c r="BN1326" i="42385"/>
  <c r="BA238" i="42385"/>
  <c r="BE236" i="42385"/>
  <c r="BC45" i="42400"/>
  <c r="BC51" i="42400" s="1"/>
  <c r="BC802" i="42385" s="1"/>
  <c r="BC803" i="42385" s="1"/>
  <c r="N832" i="42385"/>
  <c r="I831" i="42385"/>
  <c r="BR1382" i="42385"/>
  <c r="BR1482" i="42385" s="1"/>
  <c r="Z1017" i="42385"/>
  <c r="AE1018" i="42385"/>
  <c r="CU1159" i="42385"/>
  <c r="AU1160" i="42385"/>
  <c r="CU1160" i="42385" s="1"/>
  <c r="BD54" i="42385"/>
  <c r="BD52" i="42385"/>
  <c r="BD51" i="42385"/>
  <c r="CF84" i="42385"/>
  <c r="CF88" i="42385" s="1"/>
  <c r="BV1214" i="42385"/>
  <c r="CT1523" i="42385"/>
  <c r="AQ1523" i="42385"/>
  <c r="U12" i="42412"/>
  <c r="U11" i="42412"/>
  <c r="Y12" i="42412"/>
  <c r="Y11" i="42412"/>
  <c r="AQ1017" i="42385"/>
  <c r="AQ1021" i="42385"/>
  <c r="AV1016" i="42385"/>
  <c r="AU1016" i="42385"/>
  <c r="BP284" i="42385"/>
  <c r="BP719" i="42385"/>
  <c r="BP718" i="42385"/>
  <c r="BP737" i="42385" s="1"/>
  <c r="CV443" i="42385"/>
  <c r="AV443" i="42385"/>
  <c r="AT443" i="42385"/>
  <c r="AZ444" i="42385"/>
  <c r="CV444" i="42385" s="1"/>
  <c r="AZ445" i="42385"/>
  <c r="CV445" i="42385" s="1"/>
  <c r="BB997" i="42385"/>
  <c r="BB993" i="42385"/>
  <c r="BB299" i="42385"/>
  <c r="AU759" i="42385"/>
  <c r="CU759" i="42385" s="1"/>
  <c r="CU758" i="42385"/>
  <c r="BE749" i="42385"/>
  <c r="CW749" i="42385" s="1"/>
  <c r="CW748" i="42385"/>
  <c r="BA286" i="42385"/>
  <c r="BA756" i="42385"/>
  <c r="BA757" i="42385"/>
  <c r="BE803" i="42385"/>
  <c r="CW803" i="42385" s="1"/>
  <c r="CW802" i="42385"/>
  <c r="BZ1626" i="42385"/>
  <c r="DB1626" i="42385" s="1"/>
  <c r="BE1626" i="42385"/>
  <c r="AP1499" i="42385"/>
  <c r="CT1499" i="42385" s="1"/>
  <c r="CT1525" i="42385"/>
  <c r="CO139" i="42385"/>
  <c r="Q163" i="42385"/>
  <c r="CO163" i="42385" s="1"/>
  <c r="CB71" i="42385"/>
  <c r="CC1169" i="42385"/>
  <c r="CB1548" i="42385"/>
  <c r="BO430" i="42385"/>
  <c r="CY429" i="42385"/>
  <c r="Q11" i="42412"/>
  <c r="Q12" i="42412"/>
  <c r="W10" i="42412"/>
  <c r="S11" i="42412"/>
  <c r="S12" i="42412"/>
  <c r="AO1585" i="42385"/>
  <c r="AO1660" i="42385"/>
  <c r="BI441" i="42385"/>
  <c r="BI268" i="42385"/>
  <c r="BJ268" i="42385" s="1"/>
  <c r="CX268" i="42385" s="1"/>
  <c r="BI442" i="42385"/>
  <c r="BI1233" i="42385"/>
  <c r="BJ1233" i="42385" s="1"/>
  <c r="BJ221" i="42385"/>
  <c r="CX221" i="42385" s="1"/>
  <c r="AP1018" i="42385"/>
  <c r="CT1018" i="42385" s="1"/>
  <c r="CT1016" i="42385"/>
  <c r="BW233" i="42385"/>
  <c r="AD1660" i="42385"/>
  <c r="AD1585" i="42385"/>
  <c r="AD1567" i="42385"/>
  <c r="BU234" i="42385"/>
  <c r="BU717" i="42385"/>
  <c r="BU714" i="42385"/>
  <c r="BR371" i="42385"/>
  <c r="BM371" i="42385"/>
  <c r="BM219" i="42385"/>
  <c r="BE1102" i="42385"/>
  <c r="CW1102" i="42385" s="1"/>
  <c r="BI1102" i="42385"/>
  <c r="AS1535" i="42385"/>
  <c r="AT872" i="42385"/>
  <c r="AS873" i="42385"/>
  <c r="G861" i="42385"/>
  <c r="AZ1160" i="42385"/>
  <c r="CV1160" i="42385" s="1"/>
  <c r="BA249" i="42385"/>
  <c r="BE249" i="42385" s="1"/>
  <c r="AZ254" i="42385"/>
  <c r="CV254" i="42385" s="1"/>
  <c r="BH1161" i="42385"/>
  <c r="BT435" i="42385"/>
  <c r="CZ435" i="42385" s="1"/>
  <c r="CZ433" i="42385"/>
  <c r="BA45" i="42400"/>
  <c r="BA51" i="42400" s="1"/>
  <c r="BA802" i="42385" s="1"/>
  <c r="BA803" i="42385" s="1"/>
  <c r="BB45" i="42400"/>
  <c r="BB51" i="42400" s="1"/>
  <c r="BB802" i="42385" s="1"/>
  <c r="BB803" i="42385" s="1"/>
  <c r="AJ14" i="42385"/>
  <c r="AJ32" i="42385" s="1"/>
  <c r="AK13" i="42385"/>
  <c r="CS13" i="42385" s="1"/>
  <c r="CV1319" i="42385"/>
  <c r="F51" i="42465"/>
  <c r="BX429" i="42385"/>
  <c r="BY429" i="42385" s="1"/>
  <c r="BT429" i="42385"/>
  <c r="CZ429" i="42385" s="1"/>
  <c r="P12" i="42476"/>
  <c r="BD43" i="42385"/>
  <c r="BD65" i="42385"/>
  <c r="BD75" i="42385" s="1"/>
  <c r="BD41" i="42385"/>
  <c r="BD42" i="42385"/>
  <c r="BI43" i="42385"/>
  <c r="BD197" i="42385"/>
  <c r="BE197" i="42385" s="1"/>
  <c r="CV197" i="42385" s="1"/>
  <c r="BD1569" i="42385"/>
  <c r="BD1572" i="42385" s="1"/>
  <c r="BI41" i="42385"/>
  <c r="T11" i="42412"/>
  <c r="T12" i="42412"/>
  <c r="X11" i="42412"/>
  <c r="X12" i="42412"/>
  <c r="BO995" i="42385"/>
  <c r="CX995" i="42385"/>
  <c r="BK995" i="42385"/>
  <c r="W7" i="42412"/>
  <c r="BH219" i="42385"/>
  <c r="BH371" i="42385"/>
  <c r="CV83" i="42385"/>
  <c r="AZ88" i="42385"/>
  <c r="BN1330" i="42385"/>
  <c r="L954" i="42385"/>
  <c r="AZ78" i="42418"/>
  <c r="BK748" i="42385"/>
  <c r="BJ748" i="42385"/>
  <c r="BF755" i="42385"/>
  <c r="BF752" i="42385"/>
  <c r="BF236" i="42385"/>
  <c r="AU927" i="42385"/>
  <c r="CU927" i="42385" s="1"/>
  <c r="CU926" i="42385"/>
  <c r="AT1171" i="42385"/>
  <c r="AT1172" i="42385" s="1"/>
  <c r="AY1168" i="42385"/>
  <c r="AT300" i="42385"/>
  <c r="AT1167" i="42385"/>
  <c r="BN221" i="42385"/>
  <c r="BN431" i="42385"/>
  <c r="BN434" i="42385"/>
  <c r="BN440" i="42385"/>
  <c r="P45" i="42476"/>
  <c r="U9" i="42476"/>
  <c r="CU1281" i="42385"/>
  <c r="AU108" i="42385"/>
  <c r="CU108" i="42385" s="1"/>
  <c r="V11" i="42412"/>
  <c r="V12" i="42412"/>
  <c r="R10" i="42412"/>
  <c r="P12" i="42412"/>
  <c r="R12" i="42412" s="1"/>
  <c r="P11" i="42412"/>
  <c r="R11" i="42412" s="1"/>
  <c r="CM879" i="42385"/>
  <c r="G880" i="42385"/>
  <c r="CM880" i="42385" s="1"/>
  <c r="BK764" i="42385"/>
  <c r="BL764" i="42385" s="1"/>
  <c r="BM764" i="42385" s="1"/>
  <c r="BN764" i="42385" s="1"/>
  <c r="BO764" i="42385" s="1"/>
  <c r="CX764" i="42385"/>
  <c r="Q8" i="42476"/>
  <c r="BE27" i="42385"/>
  <c r="CW27" i="42385" s="1"/>
  <c r="BE1269" i="42385"/>
  <c r="BE26" i="42385"/>
  <c r="CW26" i="42385" s="1"/>
  <c r="BJ26" i="42385"/>
  <c r="CX26" i="42385" s="1"/>
  <c r="BJ32" i="42385"/>
  <c r="BE32" i="42385"/>
  <c r="G6" i="42465"/>
  <c r="BE50" i="42385"/>
  <c r="CW24" i="42385"/>
  <c r="S65" i="42385"/>
  <c r="S75" i="42385" s="1"/>
  <c r="S54" i="42385"/>
  <c r="S1663" i="42385" s="1"/>
  <c r="S51" i="42385"/>
  <c r="E51" i="42465"/>
  <c r="CU1319" i="42385"/>
  <c r="AK1324" i="42385"/>
  <c r="CS1324" i="42385" s="1"/>
  <c r="CW246" i="42385"/>
  <c r="EF456" i="42492"/>
  <c r="GR614" i="42464"/>
  <c r="GS614" i="42464" s="1"/>
  <c r="BC237" i="42385"/>
  <c r="BE237" i="42385" s="1"/>
  <c r="BH767" i="42385"/>
  <c r="BC774" i="42385"/>
  <c r="BC771" i="42385"/>
  <c r="BE767" i="42385"/>
  <c r="GO499" i="42417"/>
  <c r="CT219" i="42385"/>
  <c r="AS300" i="42385"/>
  <c r="AS1167" i="42385"/>
  <c r="AS1171" i="42385"/>
  <c r="AX1168" i="42385"/>
  <c r="AU1166" i="42385"/>
  <c r="K1084" i="42385"/>
  <c r="K1085" i="42385" s="1"/>
  <c r="K1086" i="42385" s="1"/>
  <c r="AD924" i="42385"/>
  <c r="AI925" i="42385"/>
  <c r="AH865" i="42385"/>
  <c r="AH870" i="42385"/>
  <c r="AH861" i="42385"/>
  <c r="K481" i="42385"/>
  <c r="K830" i="42385"/>
  <c r="K839" i="42385"/>
  <c r="K834" i="42385"/>
  <c r="CC109" i="42385"/>
  <c r="CC1283" i="42385"/>
  <c r="CD59" i="42385"/>
  <c r="CC1645" i="42385"/>
  <c r="BA233" i="42400"/>
  <c r="BA235" i="42400" s="1"/>
  <c r="BA957" i="42385" s="1"/>
  <c r="J787" i="42385"/>
  <c r="J788" i="42385" s="1"/>
  <c r="J1141" i="42385"/>
  <c r="B27" i="42412"/>
  <c r="D25" i="42412"/>
  <c r="CS50" i="42385"/>
  <c r="AK54" i="42385"/>
  <c r="H77" i="42385"/>
  <c r="H1514" i="42385"/>
  <c r="AA137" i="42424"/>
  <c r="K391" i="42385"/>
  <c r="BF986" i="42385"/>
  <c r="BF246" i="42385"/>
  <c r="BF983" i="42385"/>
  <c r="AJ862" i="42385"/>
  <c r="AO861" i="42385"/>
  <c r="I1085" i="42385"/>
  <c r="I1086" i="42385" s="1"/>
  <c r="BS142" i="42400"/>
  <c r="BQ142" i="42400"/>
  <c r="BR142" i="42400"/>
  <c r="BP142" i="42400"/>
  <c r="CF163" i="42385"/>
  <c r="CF165" i="42385" s="1"/>
  <c r="CE165" i="42385"/>
  <c r="Y893" i="42385"/>
  <c r="AN830" i="42385"/>
  <c r="M54" i="42385"/>
  <c r="M1663" i="42385" s="1"/>
  <c r="M65" i="42385"/>
  <c r="M75" i="42385" s="1"/>
  <c r="M51" i="42385"/>
  <c r="R51" i="42385"/>
  <c r="CW763" i="42385"/>
  <c r="BF763" i="42385"/>
  <c r="BG763" i="42385" s="1"/>
  <c r="BH763" i="42385" s="1"/>
  <c r="BI763" i="42385" s="1"/>
  <c r="BJ763" i="42385" s="1"/>
  <c r="BP696" i="42385"/>
  <c r="BP283" i="42385"/>
  <c r="BP697" i="42385"/>
  <c r="AE166" i="42385"/>
  <c r="AE134" i="42385" s="1"/>
  <c r="AF165" i="42385"/>
  <c r="AE130" i="42385"/>
  <c r="L360" i="42385"/>
  <c r="CN360" i="42385" s="1"/>
  <c r="K363" i="42385"/>
  <c r="L783" i="42385"/>
  <c r="CN783" i="42385" s="1"/>
  <c r="K786" i="42385"/>
  <c r="CX1155" i="42385"/>
  <c r="BJ1156" i="42385"/>
  <c r="BO1155" i="42385"/>
  <c r="CA821" i="42385"/>
  <c r="DB821" i="42385"/>
  <c r="BZ84" i="42400"/>
  <c r="BZ99" i="42400" s="1"/>
  <c r="K879" i="42385"/>
  <c r="BZ131" i="42400"/>
  <c r="BZ146" i="42400" s="1"/>
  <c r="CA914" i="42385"/>
  <c r="BZ915" i="42385"/>
  <c r="DB915" i="42385" s="1"/>
  <c r="DB914" i="42385"/>
  <c r="I787" i="42385"/>
  <c r="I788" i="42385" s="1"/>
  <c r="I1141" i="42385"/>
  <c r="CT284" i="42385"/>
  <c r="E14" i="42464"/>
  <c r="GO522" i="42417"/>
  <c r="CV649" i="42385"/>
  <c r="AZ650" i="42385"/>
  <c r="CV650" i="42385" s="1"/>
  <c r="L879" i="42385"/>
  <c r="BD1400" i="42385"/>
  <c r="BE1400" i="42385" s="1"/>
  <c r="BK982" i="42385"/>
  <c r="BP981" i="42385"/>
  <c r="BO981" i="42385"/>
  <c r="AP1023" i="42385"/>
  <c r="BU676" i="42385"/>
  <c r="BU233" i="42385"/>
  <c r="BQ135" i="42400"/>
  <c r="BP135" i="42400"/>
  <c r="BR135" i="42400"/>
  <c r="BS135" i="42400"/>
  <c r="U955" i="42385"/>
  <c r="U956" i="42385"/>
  <c r="BH45" i="42400"/>
  <c r="BH51" i="42400" s="1"/>
  <c r="BH802" i="42385" s="1"/>
  <c r="BH803" i="42385" s="1"/>
  <c r="K911" i="42385"/>
  <c r="K912" i="42385" s="1"/>
  <c r="L910" i="42385"/>
  <c r="AX287" i="42385"/>
  <c r="AX776" i="42385"/>
  <c r="AX775" i="42385"/>
  <c r="K941" i="42385"/>
  <c r="CW1156" i="42385"/>
  <c r="BE1157" i="42385"/>
  <c r="CW1157" i="42385" s="1"/>
  <c r="BE1170" i="42385"/>
  <c r="CW1170" i="42385" s="1"/>
  <c r="BE1167" i="42385"/>
  <c r="CW1167" i="42385" s="1"/>
  <c r="AT247" i="42385"/>
  <c r="AT11" i="42385" s="1"/>
  <c r="AT1017" i="42385"/>
  <c r="AT1014" i="42385"/>
  <c r="AT1023" i="42385"/>
  <c r="AU1013" i="42385"/>
  <c r="BY60" i="42400"/>
  <c r="BY73" i="42400" s="1"/>
  <c r="BY853" i="42385"/>
  <c r="DA853" i="42385" s="1"/>
  <c r="DA852" i="42385"/>
  <c r="BZ852" i="42385"/>
  <c r="BR1156" i="42385"/>
  <c r="BW1155" i="42385"/>
  <c r="AX604" i="42385"/>
  <c r="AW605" i="42385"/>
  <c r="AW1545" i="42385"/>
  <c r="BD515" i="42385"/>
  <c r="BE514" i="42385"/>
  <c r="BD519" i="42385"/>
  <c r="BD271" i="42385"/>
  <c r="BE271" i="42385" s="1"/>
  <c r="BI516" i="42385"/>
  <c r="BD233" i="42400"/>
  <c r="BD235" i="42400" s="1"/>
  <c r="CO176" i="42385"/>
  <c r="R176" i="42385"/>
  <c r="S176" i="42385" s="1"/>
  <c r="T176" i="42385" s="1"/>
  <c r="U176" i="42385" s="1"/>
  <c r="V176" i="42385" s="1"/>
  <c r="BH649" i="42385"/>
  <c r="BE649" i="42385"/>
  <c r="CW649" i="42385" s="1"/>
  <c r="FW444" i="42417"/>
  <c r="K817" i="42385"/>
  <c r="CQ190" i="42385"/>
  <c r="AB190" i="42385"/>
  <c r="AC190" i="42385" s="1"/>
  <c r="AD190" i="42385" s="1"/>
  <c r="AE190" i="42385" s="1"/>
  <c r="AF190" i="42385" s="1"/>
  <c r="BU691" i="42385"/>
  <c r="BU693" i="42385" s="1"/>
  <c r="BU695" i="42385" s="1"/>
  <c r="BY682" i="42385"/>
  <c r="BY701" i="42385" s="1"/>
  <c r="BZ701" i="42385" s="1"/>
  <c r="AZ774" i="42385"/>
  <c r="BP141" i="42400"/>
  <c r="BR141" i="42400"/>
  <c r="BS141" i="42400"/>
  <c r="BQ141" i="42400"/>
  <c r="BP140" i="42400"/>
  <c r="BS140" i="42400"/>
  <c r="BQ140" i="42400"/>
  <c r="BR140" i="42400"/>
  <c r="BT144" i="42400"/>
  <c r="L848" i="42385"/>
  <c r="BI45" i="42400"/>
  <c r="BI51" i="42400" s="1"/>
  <c r="BI802" i="42385" s="1"/>
  <c r="BI803" i="42385" s="1"/>
  <c r="CX981" i="42385"/>
  <c r="BJ982" i="42385"/>
  <c r="CV767" i="42385"/>
  <c r="AZ768" i="42385"/>
  <c r="CV768" i="42385" s="1"/>
  <c r="AZ771" i="42385"/>
  <c r="CV771" i="42385" s="1"/>
  <c r="AU612" i="42385"/>
  <c r="AV612" i="42385"/>
  <c r="AX612" i="42385" s="1"/>
  <c r="L705" i="42385"/>
  <c r="CN705" i="42385" s="1"/>
  <c r="K708" i="42385"/>
  <c r="L708" i="42385" s="1"/>
  <c r="CN708" i="42385" s="1"/>
  <c r="AO26" i="42385"/>
  <c r="AK24" i="42385"/>
  <c r="AK40" i="42385" s="1"/>
  <c r="AO32" i="42385"/>
  <c r="AJ26" i="42385"/>
  <c r="BM1162" i="42385"/>
  <c r="BM1159" i="42385" s="1"/>
  <c r="BM1170" i="42385"/>
  <c r="BM1157" i="42385"/>
  <c r="BM1167" i="42385"/>
  <c r="CN833" i="42385"/>
  <c r="L834" i="42385"/>
  <c r="CN834" i="42385" s="1"/>
  <c r="L839" i="42385"/>
  <c r="CN839" i="42385" s="1"/>
  <c r="BB233" i="42400"/>
  <c r="BB235" i="42400" s="1"/>
  <c r="BB957" i="42385" s="1"/>
  <c r="BB958" i="42385" s="1"/>
  <c r="BC233" i="42400"/>
  <c r="BC235" i="42400" s="1"/>
  <c r="BC957" i="42385" s="1"/>
  <c r="BC958" i="42385" s="1"/>
  <c r="BR1378" i="42385"/>
  <c r="BS1378" i="42385" s="1"/>
  <c r="BQ1478" i="42385"/>
  <c r="J197" i="42385"/>
  <c r="J212" i="42385" s="1"/>
  <c r="H1663" i="42385"/>
  <c r="J1569" i="42385"/>
  <c r="J1572" i="42385" s="1"/>
  <c r="K1003" i="42385"/>
  <c r="BC1498" i="42385"/>
  <c r="AP1014" i="42385"/>
  <c r="CT1014" i="42385" s="1"/>
  <c r="AP1028" i="42385"/>
  <c r="CT1028" i="42385" s="1"/>
  <c r="AP247" i="42385"/>
  <c r="CT1013" i="42385"/>
  <c r="AP1017" i="42385"/>
  <c r="CT1017" i="42385" s="1"/>
  <c r="AZ287" i="42385"/>
  <c r="BS134" i="42400"/>
  <c r="BQ134" i="42400"/>
  <c r="BR134" i="42400"/>
  <c r="BR137" i="42400" s="1"/>
  <c r="BP134" i="42400"/>
  <c r="BT137" i="42400"/>
  <c r="CD130" i="42385"/>
  <c r="CD131" i="42385" s="1"/>
  <c r="CD166" i="42385"/>
  <c r="J9" i="42472"/>
  <c r="CT78" i="42385"/>
  <c r="D10" i="42465"/>
  <c r="BE772" i="42385"/>
  <c r="CW772" i="42385" s="1"/>
  <c r="CW770" i="42385"/>
  <c r="BK547" i="42385"/>
  <c r="BK272" i="42385"/>
  <c r="BK543" i="42385"/>
  <c r="BK544" i="42385"/>
  <c r="AO599" i="42385"/>
  <c r="AT594" i="42385"/>
  <c r="AP594" i="42385"/>
  <c r="BL1160" i="42385"/>
  <c r="BQ1161" i="42385"/>
  <c r="BL1161" i="42385"/>
  <c r="AE376" i="42385"/>
  <c r="AG377" i="42385"/>
  <c r="G41" i="42405"/>
  <c r="H35" i="42405"/>
  <c r="AO582" i="42385"/>
  <c r="AQ582" i="42385" s="1"/>
  <c r="AR582" i="42385" s="1"/>
  <c r="AS582" i="42385" s="1"/>
  <c r="AT582" i="42385" s="1"/>
  <c r="AU582" i="42385" s="1"/>
  <c r="AT1514" i="42385"/>
  <c r="AT77" i="42385"/>
  <c r="AZ223" i="42385"/>
  <c r="CV223" i="42385" s="1"/>
  <c r="AW228" i="42385"/>
  <c r="AR1530" i="42385"/>
  <c r="AS416" i="42385"/>
  <c r="AR417" i="42385"/>
  <c r="AQ1181" i="42385"/>
  <c r="AQ1183" i="42385"/>
  <c r="AQ1184" i="42385" s="1"/>
  <c r="U1017" i="42385"/>
  <c r="U1018" i="42385"/>
  <c r="Z1018" i="42385"/>
  <c r="BV1217" i="42385"/>
  <c r="BV1218" i="42385" s="1"/>
  <c r="BV1211" i="42385"/>
  <c r="CC302" i="42385"/>
  <c r="CB248" i="42385"/>
  <c r="AB800" i="42385"/>
  <c r="AB801" i="42385"/>
  <c r="BR269" i="42385"/>
  <c r="BR470" i="42385"/>
  <c r="BR471" i="42385"/>
  <c r="AE676" i="42385"/>
  <c r="AE693" i="42385"/>
  <c r="AE695" i="42385" s="1"/>
  <c r="AE696" i="42385" s="1"/>
  <c r="AZ230" i="42385"/>
  <c r="CV230" i="42385" s="1"/>
  <c r="AX238" i="42385"/>
  <c r="AZ238" i="42385" s="1"/>
  <c r="CV238" i="42385" s="1"/>
  <c r="O374" i="42385"/>
  <c r="AT605" i="42385"/>
  <c r="AT227" i="42385"/>
  <c r="AU227" i="42385" s="1"/>
  <c r="AU591" i="42385"/>
  <c r="CR347" i="42385"/>
  <c r="AF354" i="42385"/>
  <c r="CR354" i="42385" s="1"/>
  <c r="B56" i="42410"/>
  <c r="CE517" i="42385"/>
  <c r="CD1550" i="42385"/>
  <c r="BX661" i="42385"/>
  <c r="BS680" i="42385"/>
  <c r="BT661" i="42385"/>
  <c r="BS673" i="42385"/>
  <c r="BG45" i="42400"/>
  <c r="BG51" i="42400" s="1"/>
  <c r="BG802" i="42385" s="1"/>
  <c r="BG803" i="42385" s="1"/>
  <c r="R376" i="42385"/>
  <c r="S377" i="42385"/>
  <c r="H1017" i="42385"/>
  <c r="M1018" i="42385"/>
  <c r="H1018" i="42385"/>
  <c r="BO486" i="42385"/>
  <c r="CY486" i="42385" s="1"/>
  <c r="BZ311" i="42385"/>
  <c r="BZ255" i="42385" s="1"/>
  <c r="BW279" i="42492"/>
  <c r="B32" i="42408"/>
  <c r="G32" i="42408" s="1"/>
  <c r="BJ677" i="42385"/>
  <c r="BJ675" i="42385"/>
  <c r="BJ676" i="42385" s="1"/>
  <c r="AD373" i="42385"/>
  <c r="AD382" i="42385"/>
  <c r="AT592" i="42385"/>
  <c r="F43" i="42405"/>
  <c r="F50" i="42405"/>
  <c r="CX242" i="42385"/>
  <c r="EG453" i="42492"/>
  <c r="Z800" i="42385"/>
  <c r="Z801" i="42385"/>
  <c r="AZ803" i="42385"/>
  <c r="CV803" i="42385" s="1"/>
  <c r="CV802" i="42385"/>
  <c r="BT1645" i="42385"/>
  <c r="CZ88" i="42385"/>
  <c r="DC130" i="42385"/>
  <c r="CA131" i="42385"/>
  <c r="CB131" i="42385"/>
  <c r="AZ1013" i="42385"/>
  <c r="AY247" i="42385"/>
  <c r="AY1014" i="42385"/>
  <c r="AY1023" i="42385"/>
  <c r="DC367" i="42385"/>
  <c r="CB367" i="42385"/>
  <c r="CC367" i="42385" s="1"/>
  <c r="CD367" i="42385" s="1"/>
  <c r="CE367" i="42385" s="1"/>
  <c r="CF367" i="42385" s="1"/>
  <c r="BH618" i="42385"/>
  <c r="BC230" i="42385"/>
  <c r="BE230" i="42385" s="1"/>
  <c r="BE618" i="42385"/>
  <c r="AY591" i="42385"/>
  <c r="AZ590" i="42385"/>
  <c r="CV590" i="42385" s="1"/>
  <c r="AA799" i="42385"/>
  <c r="AF801" i="42385" s="1"/>
  <c r="CR801" i="42385" s="1"/>
  <c r="X800" i="42385"/>
  <c r="X801" i="42385"/>
  <c r="AF344" i="42385"/>
  <c r="AE345" i="42385"/>
  <c r="AY219" i="42385"/>
  <c r="AY371" i="42385"/>
  <c r="AZ370" i="42385"/>
  <c r="BM79" i="42385"/>
  <c r="BM1278" i="42385"/>
  <c r="AC374" i="42385"/>
  <c r="P373" i="42385"/>
  <c r="Q373" i="42385" s="1"/>
  <c r="P382" i="42385"/>
  <c r="AH233" i="42400"/>
  <c r="AH235" i="42400" s="1"/>
  <c r="AH957" i="42385" s="1"/>
  <c r="BC1164" i="42385"/>
  <c r="G34" i="42405"/>
  <c r="G37" i="42405" s="1"/>
  <c r="AE206" i="42385"/>
  <c r="AF200" i="42385"/>
  <c r="AF206" i="42385" s="1"/>
  <c r="AT9" i="42385"/>
  <c r="AW1174" i="42385"/>
  <c r="AV1175" i="42385"/>
  <c r="AE88" i="42385"/>
  <c r="AF86" i="42385"/>
  <c r="CR86" i="42385" s="1"/>
  <c r="D1017" i="42385"/>
  <c r="I1018" i="42385"/>
  <c r="AZ958" i="42385"/>
  <c r="CV958" i="42385" s="1"/>
  <c r="CV957" i="42385"/>
  <c r="Y77" i="42492"/>
  <c r="BO165" i="42385"/>
  <c r="CY163" i="42385"/>
  <c r="AW270" i="42385"/>
  <c r="AZ270" i="42385" s="1"/>
  <c r="AW490" i="42385"/>
  <c r="AZ489" i="42385"/>
  <c r="AW491" i="42385"/>
  <c r="BD88" i="42385"/>
  <c r="AT441" i="42385"/>
  <c r="AT268" i="42385"/>
  <c r="AU268" i="42385" s="1"/>
  <c r="CU268" i="42385" s="1"/>
  <c r="AU440" i="42385"/>
  <c r="AT445" i="42385"/>
  <c r="AJ163" i="42385"/>
  <c r="AJ165" i="42385" s="1"/>
  <c r="BQ515" i="42385"/>
  <c r="BQ519" i="42385"/>
  <c r="BQ271" i="42385"/>
  <c r="BQ516" i="42385"/>
  <c r="BM1509" i="42385"/>
  <c r="BN1509" i="42385" s="1"/>
  <c r="BL1511" i="42385"/>
  <c r="Q377" i="42385"/>
  <c r="CO377" i="42385" s="1"/>
  <c r="Q382" i="42385"/>
  <c r="CO382" i="42385" s="1"/>
  <c r="CO376" i="42385"/>
  <c r="GN492" i="42417"/>
  <c r="AO11" i="42385"/>
  <c r="AP11" i="42385" s="1"/>
  <c r="CT11" i="42385" s="1"/>
  <c r="AJ233" i="42400"/>
  <c r="AJ235" i="42400" s="1"/>
  <c r="AJ957" i="42385" s="1"/>
  <c r="BN674" i="42385"/>
  <c r="BO674" i="42385" s="1"/>
  <c r="BD370" i="42385"/>
  <c r="BI369" i="42385"/>
  <c r="BE369" i="42385"/>
  <c r="CW369" i="42385" s="1"/>
  <c r="BF45" i="42400"/>
  <c r="BF51" i="42400" s="1"/>
  <c r="BF802" i="42385" s="1"/>
  <c r="BF803" i="42385" s="1"/>
  <c r="AS1175" i="42385"/>
  <c r="AT1174" i="42385"/>
  <c r="AS1177" i="42385"/>
  <c r="AS1178" i="42385" s="1"/>
  <c r="H41" i="42405"/>
  <c r="B41" i="42405" s="1"/>
  <c r="B50" i="42405" s="1"/>
  <c r="AJ597" i="42385" s="1"/>
  <c r="BJ770" i="42385"/>
  <c r="BN770" i="42385"/>
  <c r="BN774" i="42385" s="1"/>
  <c r="BI774" i="42385"/>
  <c r="AU371" i="42385"/>
  <c r="CU371" i="42385" s="1"/>
  <c r="AU219" i="42385"/>
  <c r="AU385" i="42385"/>
  <c r="CU385" i="42385" s="1"/>
  <c r="CU370" i="42385"/>
  <c r="S924" i="42385"/>
  <c r="S925" i="42385"/>
  <c r="CR14" i="42385"/>
  <c r="B4" i="42465"/>
  <c r="AF27" i="42385"/>
  <c r="CR27" i="42385" s="1"/>
  <c r="BL1164" i="42385"/>
  <c r="H29" i="42472"/>
  <c r="H31" i="42472" s="1"/>
  <c r="I31" i="42472" s="1"/>
  <c r="CR85" i="42385"/>
  <c r="AE925" i="42385"/>
  <c r="AE924" i="42385"/>
  <c r="CV483" i="42385"/>
  <c r="AZ484" i="42385"/>
  <c r="AZ487" i="42385"/>
  <c r="CV487" i="42385" s="1"/>
  <c r="CO189" i="42385"/>
  <c r="R189" i="42385"/>
  <c r="S189" i="42385" s="1"/>
  <c r="T189" i="42385" s="1"/>
  <c r="U189" i="42385" s="1"/>
  <c r="V189" i="42385" s="1"/>
  <c r="BE88" i="42385"/>
  <c r="CW85" i="42385"/>
  <c r="BK1237" i="42385"/>
  <c r="BI1243" i="42385"/>
  <c r="BT1643" i="42385"/>
  <c r="CZ1643" i="42385" s="1"/>
  <c r="CZ1321" i="42385"/>
  <c r="O45" i="42470"/>
  <c r="O46" i="42470" s="1"/>
  <c r="N45" i="42470"/>
  <c r="N46" i="42470" s="1"/>
  <c r="J39" i="42470"/>
  <c r="BA79" i="42385"/>
  <c r="BA1278" i="42385"/>
  <c r="AZ619" i="42385"/>
  <c r="CV619" i="42385" s="1"/>
  <c r="CV618" i="42385"/>
  <c r="BJ1237" i="42385"/>
  <c r="AG233" i="42400"/>
  <c r="AG235" i="42400" s="1"/>
  <c r="AG957" i="42385" s="1"/>
  <c r="BP272" i="42385"/>
  <c r="BP543" i="42385"/>
  <c r="BP547" i="42385"/>
  <c r="BP544" i="42385"/>
  <c r="DC784" i="42385"/>
  <c r="CB784" i="42385"/>
  <c r="CC784" i="42385" s="1"/>
  <c r="CD784" i="42385" s="1"/>
  <c r="CE784" i="42385" s="1"/>
  <c r="CF784" i="42385" s="1"/>
  <c r="BO662" i="42385"/>
  <c r="BO673" i="42385"/>
  <c r="BO675" i="42385" s="1"/>
  <c r="BJ803" i="42385"/>
  <c r="CX803" i="42385" s="1"/>
  <c r="CX802" i="42385"/>
  <c r="AN1001" i="42385"/>
  <c r="AM1139" i="42385"/>
  <c r="FT442" i="42417"/>
  <c r="FU442" i="42417" s="1"/>
  <c r="CU230" i="42385"/>
  <c r="GP501" i="42417"/>
  <c r="AI233" i="42400"/>
  <c r="AI235" i="42400" s="1"/>
  <c r="AI957" i="42385" s="1"/>
  <c r="P924" i="42385"/>
  <c r="U925" i="42385"/>
  <c r="DA243" i="42385"/>
  <c r="EJ454" i="42492"/>
  <c r="CZ1380" i="42385"/>
  <c r="BU1380" i="42385"/>
  <c r="CV647" i="42385"/>
  <c r="AZ648" i="42385"/>
  <c r="CV648" i="42385" s="1"/>
  <c r="BS714" i="42385"/>
  <c r="BS717" i="42385"/>
  <c r="BS234" i="42385"/>
  <c r="BX710" i="42385"/>
  <c r="BD1174" i="42385"/>
  <c r="BC1177" i="42385"/>
  <c r="BC1178" i="42385" s="1"/>
  <c r="BC1175" i="42385"/>
  <c r="CQ50" i="42385"/>
  <c r="AA51" i="42385"/>
  <c r="CQ51" i="42385" s="1"/>
  <c r="AA54" i="42385"/>
  <c r="BC718" i="42385"/>
  <c r="BC719" i="42385"/>
  <c r="BC284" i="42385"/>
  <c r="BE284" i="42385" s="1"/>
  <c r="CW284" i="42385" s="1"/>
  <c r="BE717" i="42385"/>
  <c r="CD396" i="42385"/>
  <c r="BR989" i="42385"/>
  <c r="BI159" i="42385"/>
  <c r="BI163" i="42385" s="1"/>
  <c r="BI165" i="42385" s="1"/>
  <c r="BI166" i="42385" s="1"/>
  <c r="BI134" i="42385" s="1"/>
  <c r="BH163" i="42385"/>
  <c r="BH165" i="42385" s="1"/>
  <c r="BH166" i="42385" s="1"/>
  <c r="BH134" i="42385" s="1"/>
  <c r="BD1622" i="42385"/>
  <c r="AY1623" i="42385"/>
  <c r="AZ1623" i="42385" s="1"/>
  <c r="CV1623" i="42385" s="1"/>
  <c r="CA1422" i="42385"/>
  <c r="DB1422" i="42385"/>
  <c r="BF1421" i="42385"/>
  <c r="BF202" i="42385" s="1"/>
  <c r="BG1642" i="42385"/>
  <c r="F106" i="42385"/>
  <c r="F114" i="42385" s="1"/>
  <c r="F120" i="42385" s="1"/>
  <c r="F1656" i="42385" s="1"/>
  <c r="F1619" i="42385"/>
  <c r="F93" i="42385"/>
  <c r="F1658" i="42385" s="1"/>
  <c r="BA1660" i="42385"/>
  <c r="M34" i="42476"/>
  <c r="DA1321" i="42385"/>
  <c r="BY1643" i="42385"/>
  <c r="DA1643" i="42385" s="1"/>
  <c r="BZ1388" i="42385"/>
  <c r="CA1388" i="42385" s="1"/>
  <c r="BO56" i="42385"/>
  <c r="CY56" i="42385" s="1"/>
  <c r="BO1663" i="42385"/>
  <c r="CY54" i="42385"/>
  <c r="BQ437" i="42385"/>
  <c r="BP436" i="42385"/>
  <c r="BP438" i="42385" s="1"/>
  <c r="BP440" i="42385" s="1"/>
  <c r="AO923" i="42385"/>
  <c r="AK923" i="42385"/>
  <c r="AK925" i="42385" s="1"/>
  <c r="CS925" i="42385" s="1"/>
  <c r="AJ925" i="42385"/>
  <c r="AJ924" i="42385"/>
  <c r="AE137" i="42424"/>
  <c r="AE138" i="42424"/>
  <c r="DB395" i="42385"/>
  <c r="CA395" i="42385"/>
  <c r="BZ398" i="42385"/>
  <c r="DN340" i="42464"/>
  <c r="DN348" i="42464"/>
  <c r="DN349" i="42464" s="1"/>
  <c r="BQ371" i="42385"/>
  <c r="BQ219" i="42385"/>
  <c r="BN467" i="42385"/>
  <c r="BN469" i="42385" s="1"/>
  <c r="BS462" i="42385"/>
  <c r="BN463" i="42385"/>
  <c r="BO462" i="42385"/>
  <c r="BS165" i="42400"/>
  <c r="BS169" i="42400" s="1"/>
  <c r="BS988" i="42385" s="1"/>
  <c r="BY89" i="42400"/>
  <c r="BY93" i="42400"/>
  <c r="BY88" i="42400"/>
  <c r="BY87" i="42400"/>
  <c r="BY90" i="42400"/>
  <c r="BY97" i="42400"/>
  <c r="BY91" i="42400"/>
  <c r="BY92" i="42400"/>
  <c r="BW41" i="42400"/>
  <c r="BV41" i="42400"/>
  <c r="BX41" i="42400"/>
  <c r="BU41" i="42400"/>
  <c r="BW40" i="42400"/>
  <c r="BV40" i="42400"/>
  <c r="BX40" i="42400"/>
  <c r="BU40" i="42400"/>
  <c r="CC154" i="42464"/>
  <c r="CC155" i="42464" s="1"/>
  <c r="CC163" i="42464" s="1"/>
  <c r="CC168" i="42464" s="1"/>
  <c r="EI451" i="42492"/>
  <c r="CZ240" i="42385"/>
  <c r="C35" i="42412"/>
  <c r="R1301" i="42385"/>
  <c r="R1330" i="42385" s="1"/>
  <c r="R1642" i="42385"/>
  <c r="CX713" i="42385"/>
  <c r="BJ715" i="42385"/>
  <c r="CX715" i="42385" s="1"/>
  <c r="BL774" i="42385"/>
  <c r="BL771" i="42385"/>
  <c r="BQ767" i="42385"/>
  <c r="BL237" i="42385"/>
  <c r="BO75" i="42385"/>
  <c r="CY65" i="42385"/>
  <c r="F50" i="42465"/>
  <c r="F49" i="42465" s="1"/>
  <c r="CV1314" i="42385"/>
  <c r="CT243" i="42385"/>
  <c r="GO488" i="42417"/>
  <c r="GP488" i="42417"/>
  <c r="BH650" i="42385"/>
  <c r="BH231" i="42385"/>
  <c r="BH647" i="42385"/>
  <c r="BM640" i="42385"/>
  <c r="BH644" i="42385"/>
  <c r="BJ640" i="42385"/>
  <c r="Z404" i="42385"/>
  <c r="Z414" i="42385"/>
  <c r="CW1280" i="42385"/>
  <c r="G42" i="42465"/>
  <c r="BQ1551" i="42385"/>
  <c r="BR576" i="42385"/>
  <c r="DB1361" i="42385"/>
  <c r="CA1361" i="42385"/>
  <c r="AN274" i="42385"/>
  <c r="CN864" i="42385"/>
  <c r="L865" i="42385"/>
  <c r="CN865" i="42385" s="1"/>
  <c r="L870" i="42385"/>
  <c r="CN870" i="42385" s="1"/>
  <c r="AB955" i="42385"/>
  <c r="AF954" i="42385"/>
  <c r="AF956" i="42385" s="1"/>
  <c r="CR956" i="42385" s="1"/>
  <c r="AS252" i="42424"/>
  <c r="AO252" i="42424"/>
  <c r="AJ1330" i="42385"/>
  <c r="D51" i="42410"/>
  <c r="CB276" i="42400"/>
  <c r="CB296" i="42400" s="1"/>
  <c r="CC883" i="42385"/>
  <c r="CB884" i="42385"/>
  <c r="BH714" i="42385"/>
  <c r="BJ710" i="42385"/>
  <c r="BH234" i="42385"/>
  <c r="BJ234" i="42385" s="1"/>
  <c r="BH717" i="42385"/>
  <c r="BM710" i="42385"/>
  <c r="L849" i="42385"/>
  <c r="CN848" i="42385"/>
  <c r="BY289" i="42400"/>
  <c r="BY283" i="42400"/>
  <c r="BY281" i="42400"/>
  <c r="BY280" i="42400"/>
  <c r="BY279" i="42400"/>
  <c r="BY292" i="42400"/>
  <c r="BY288" i="42400"/>
  <c r="BY282" i="42400"/>
  <c r="BY290" i="42400"/>
  <c r="BY291" i="42400"/>
  <c r="Y10" i="42403"/>
  <c r="Y11" i="42403" s="1"/>
  <c r="Z10" i="42403"/>
  <c r="X11" i="42403"/>
  <c r="AH27" i="42476"/>
  <c r="AH28" i="42476" s="1"/>
  <c r="CU777" i="42385"/>
  <c r="AU778" i="42385"/>
  <c r="CU778" i="42385" s="1"/>
  <c r="AW1514" i="42385"/>
  <c r="AW77" i="42385"/>
  <c r="BM542" i="42385"/>
  <c r="BO540" i="42385"/>
  <c r="CY540" i="42385" s="1"/>
  <c r="AS1083" i="42385"/>
  <c r="H12" i="42476"/>
  <c r="M13" i="42476" s="1"/>
  <c r="BA55" i="42385"/>
  <c r="AV56" i="42385"/>
  <c r="H16" i="42476"/>
  <c r="AV1663" i="42385"/>
  <c r="CV717" i="42385"/>
  <c r="AZ719" i="42385"/>
  <c r="CV719" i="42385" s="1"/>
  <c r="AZ718" i="42385"/>
  <c r="CV718" i="42385" s="1"/>
  <c r="AE892" i="42385"/>
  <c r="AE901" i="42385"/>
  <c r="AE896" i="42385"/>
  <c r="M925" i="42385"/>
  <c r="R925" i="42385"/>
  <c r="M924" i="42385"/>
  <c r="AB893" i="42385"/>
  <c r="CZ988" i="42385"/>
  <c r="BT989" i="42385"/>
  <c r="CZ989" i="42385" s="1"/>
  <c r="BI1159" i="42385"/>
  <c r="BI1164" i="42385" s="1"/>
  <c r="BJ1162" i="42385"/>
  <c r="CT244" i="42385"/>
  <c r="GO492" i="42417"/>
  <c r="AP811" i="42385"/>
  <c r="CT811" i="42385" s="1"/>
  <c r="CT810" i="42385"/>
  <c r="AR965" i="42385"/>
  <c r="AQ1539" i="42385"/>
  <c r="AQ966" i="42385"/>
  <c r="W1017" i="42385"/>
  <c r="AB1018" i="42385"/>
  <c r="AA1016" i="42385"/>
  <c r="DB824" i="42385"/>
  <c r="CA824" i="42385"/>
  <c r="BZ83" i="42400"/>
  <c r="BZ827" i="42385"/>
  <c r="BX42" i="42400"/>
  <c r="BU42" i="42400"/>
  <c r="BW42" i="42400"/>
  <c r="BV42" i="42400"/>
  <c r="BQ713" i="42385"/>
  <c r="BL717" i="42385"/>
  <c r="BO713" i="42385"/>
  <c r="BL714" i="42385"/>
  <c r="AD892" i="42385"/>
  <c r="AD901" i="42385"/>
  <c r="AD896" i="42385"/>
  <c r="BO1572" i="42385"/>
  <c r="CY1569" i="42385"/>
  <c r="AI202" i="42385"/>
  <c r="AH1424" i="42385"/>
  <c r="BP79" i="42385"/>
  <c r="BP1278" i="42385"/>
  <c r="BE650" i="42385"/>
  <c r="CW650" i="42385" s="1"/>
  <c r="CW640" i="42385"/>
  <c r="BE641" i="42385"/>
  <c r="CW641" i="42385" s="1"/>
  <c r="BF995" i="42385"/>
  <c r="BD1549" i="42385"/>
  <c r="BE1549" i="42385" s="1"/>
  <c r="CW1549" i="42385" s="1"/>
  <c r="BD996" i="42385"/>
  <c r="BZ1590" i="42385"/>
  <c r="DA1590" i="42385"/>
  <c r="AV997" i="42385"/>
  <c r="AV299" i="42385"/>
  <c r="AV993" i="42385"/>
  <c r="AV994" i="42385"/>
  <c r="K865" i="42385"/>
  <c r="K861" i="42385"/>
  <c r="K870" i="42385"/>
  <c r="AR1180" i="42385"/>
  <c r="AR1181" i="42385" s="1"/>
  <c r="BA479" i="42385"/>
  <c r="CV479" i="42385"/>
  <c r="BN985" i="42385"/>
  <c r="BI986" i="42385"/>
  <c r="CP166" i="42385"/>
  <c r="V134" i="42385"/>
  <c r="CP134" i="42385" s="1"/>
  <c r="BN284" i="42385"/>
  <c r="BN718" i="42385"/>
  <c r="BN737" i="42385" s="1"/>
  <c r="BN719" i="42385"/>
  <c r="BB1180" i="42385"/>
  <c r="EF447" i="42492"/>
  <c r="CW234" i="42385"/>
  <c r="GV543" i="42417"/>
  <c r="GU542" i="42417"/>
  <c r="GV542" i="42417" s="1"/>
  <c r="GP494" i="42417"/>
  <c r="FT436" i="42417"/>
  <c r="FU436" i="42417" s="1"/>
  <c r="CU242" i="42385"/>
  <c r="BZ888" i="42385"/>
  <c r="DB888" i="42385" s="1"/>
  <c r="BZ275" i="42400"/>
  <c r="DB886" i="42385"/>
  <c r="CA886" i="42385"/>
  <c r="BZ889" i="42385"/>
  <c r="AV1436" i="42385"/>
  <c r="AW1436" i="42385" s="1"/>
  <c r="AX1436" i="42385" s="1"/>
  <c r="AY1436" i="42385" s="1"/>
  <c r="AZ1436" i="42385" s="1"/>
  <c r="CU1436" i="42385"/>
  <c r="GR608" i="42464"/>
  <c r="GS608" i="42464" s="1"/>
  <c r="GS622" i="42464" s="1"/>
  <c r="CW218" i="42385"/>
  <c r="EF442" i="42492"/>
  <c r="AV1097" i="42385"/>
  <c r="AV310" i="42385"/>
  <c r="AV1096" i="42385"/>
  <c r="AS1614" i="42385"/>
  <c r="AT1613" i="42385"/>
  <c r="O65" i="42385"/>
  <c r="O54" i="42385"/>
  <c r="O51" i="42385"/>
  <c r="BN1170" i="42385"/>
  <c r="BN1167" i="42385"/>
  <c r="BN1162" i="42385"/>
  <c r="BN1157" i="42385"/>
  <c r="AA165" i="42385"/>
  <c r="AA163" i="42385"/>
  <c r="CQ163" i="42385" s="1"/>
  <c r="CQ130" i="42385"/>
  <c r="AA131" i="42385"/>
  <c r="S1017" i="42385"/>
  <c r="X1018" i="42385"/>
  <c r="S1018" i="42385"/>
  <c r="AV1514" i="42385"/>
  <c r="AV77" i="42385"/>
  <c r="BG1497" i="42385"/>
  <c r="BH1399" i="42385"/>
  <c r="AV1167" i="42385"/>
  <c r="AV300" i="42385"/>
  <c r="AZ300" i="42385" s="1"/>
  <c r="AV1168" i="42385"/>
  <c r="AV1171" i="42385"/>
  <c r="AV1187" i="42385"/>
  <c r="BA1168" i="42385"/>
  <c r="BK896" i="42385"/>
  <c r="BU1489" i="42385"/>
  <c r="BC1161" i="42385"/>
  <c r="BC1160" i="42385"/>
  <c r="BB1564" i="42385"/>
  <c r="BB1406" i="42385"/>
  <c r="BB1424" i="42385" s="1"/>
  <c r="Z955" i="42385"/>
  <c r="Z956" i="42385"/>
  <c r="BP1384" i="42385"/>
  <c r="CY1384" i="42385"/>
  <c r="AQ811" i="42385"/>
  <c r="AQ1531" i="42385"/>
  <c r="AR810" i="42385"/>
  <c r="AF124" i="42492"/>
  <c r="BT1457" i="42385"/>
  <c r="BU1457" i="42385" s="1"/>
  <c r="BS1488" i="42385"/>
  <c r="BT1488" i="42385" s="1"/>
  <c r="DO343" i="42464"/>
  <c r="BV370" i="42385"/>
  <c r="AQ896" i="42385"/>
  <c r="BI471" i="42385"/>
  <c r="BI470" i="42385"/>
  <c r="BI269" i="42385"/>
  <c r="BJ269" i="42385" s="1"/>
  <c r="CX269" i="42385" s="1"/>
  <c r="BP165" i="42400"/>
  <c r="BP169" i="42400" s="1"/>
  <c r="BP988" i="42385" s="1"/>
  <c r="BY45" i="42400"/>
  <c r="BY51" i="42400" s="1"/>
  <c r="BY802" i="42385" s="1"/>
  <c r="BU37" i="42400"/>
  <c r="BV37" i="42400"/>
  <c r="BW37" i="42400"/>
  <c r="BX37" i="42400"/>
  <c r="BV43" i="42400"/>
  <c r="BU43" i="42400"/>
  <c r="BW43" i="42400"/>
  <c r="BX43" i="42400"/>
  <c r="AP1531" i="42385"/>
  <c r="CT1531" i="42385" s="1"/>
  <c r="H22" i="42412"/>
  <c r="IP768" i="42417"/>
  <c r="BE1116" i="42385"/>
  <c r="CW1116" i="42385" s="1"/>
  <c r="CW1115" i="42385"/>
  <c r="BS767" i="42385"/>
  <c r="BN771" i="42385"/>
  <c r="BN237" i="42385"/>
  <c r="J79" i="42385"/>
  <c r="J92" i="42385" s="1"/>
  <c r="J1278" i="42385"/>
  <c r="BG284" i="42385"/>
  <c r="BG718" i="42385"/>
  <c r="BG719" i="42385"/>
  <c r="BR92" i="42385"/>
  <c r="BR1648" i="42385"/>
  <c r="BR1641" i="42385" s="1"/>
  <c r="BR90" i="42385"/>
  <c r="BG776" i="42385"/>
  <c r="BG775" i="42385"/>
  <c r="BG287" i="42385"/>
  <c r="AZ992" i="42385"/>
  <c r="CV990" i="42385"/>
  <c r="BE231" i="42385"/>
  <c r="BC238" i="42385"/>
  <c r="BE238" i="42385" s="1"/>
  <c r="CW238" i="42385" s="1"/>
  <c r="E53" i="42465"/>
  <c r="CU1326" i="42385"/>
  <c r="BE990" i="42385"/>
  <c r="BE986" i="42385"/>
  <c r="CW986" i="42385" s="1"/>
  <c r="CW985" i="42385"/>
  <c r="BE987" i="42385"/>
  <c r="CW987" i="42385" s="1"/>
  <c r="S831" i="42385"/>
  <c r="V830" i="42385"/>
  <c r="S832" i="42385"/>
  <c r="X832" i="42385"/>
  <c r="P51" i="42385"/>
  <c r="K54" i="42385"/>
  <c r="K65" i="42385"/>
  <c r="K51" i="42385"/>
  <c r="X862" i="42385"/>
  <c r="X863" i="42385"/>
  <c r="BL1180" i="42385"/>
  <c r="BL1183" i="42385" s="1"/>
  <c r="BL1184" i="42385" s="1"/>
  <c r="BX11" i="42385"/>
  <c r="BS1480" i="42385"/>
  <c r="BT1480" i="42385" s="1"/>
  <c r="CZ1480" i="42385" s="1"/>
  <c r="BY1239" i="42385"/>
  <c r="BG165" i="42385"/>
  <c r="BG166" i="42385" s="1"/>
  <c r="BG134" i="42385" s="1"/>
  <c r="W831" i="42385"/>
  <c r="W832" i="42385"/>
  <c r="CV127" i="42385"/>
  <c r="AZ113" i="42385"/>
  <c r="AZ129" i="42385"/>
  <c r="BE129" i="42385"/>
  <c r="AZ1622" i="42385"/>
  <c r="CV133" i="42385"/>
  <c r="C11" i="42409"/>
  <c r="Y405" i="42385"/>
  <c r="Y406" i="42385"/>
  <c r="BE202" i="42385"/>
  <c r="Q42" i="42476"/>
  <c r="G34" i="42465"/>
  <c r="BJ202" i="42385"/>
  <c r="CW1421" i="42385"/>
  <c r="M18" i="42472"/>
  <c r="AW777" i="42385"/>
  <c r="AV1540" i="42385"/>
  <c r="AV778" i="42385"/>
  <c r="AW56" i="42385"/>
  <c r="AW1663" i="42385"/>
  <c r="I12" i="42476"/>
  <c r="N13" i="42476" s="1"/>
  <c r="I16" i="42476"/>
  <c r="BB55" i="42385"/>
  <c r="AX1569" i="42385"/>
  <c r="AX1572" i="42385" s="1"/>
  <c r="AX1586" i="42385" s="1"/>
  <c r="AX1587" i="42385" s="1"/>
  <c r="AX197" i="42385"/>
  <c r="CB664" i="42385"/>
  <c r="CA681" i="42385"/>
  <c r="R956" i="42385"/>
  <c r="R955" i="42385"/>
  <c r="CY535" i="42385"/>
  <c r="BO536" i="42385"/>
  <c r="CY536" i="42385" s="1"/>
  <c r="BO537" i="42385"/>
  <c r="CY537" i="42385" s="1"/>
  <c r="BO1111" i="42385"/>
  <c r="CY1111" i="42385" s="1"/>
  <c r="BS1111" i="42385"/>
  <c r="BN1115" i="42385"/>
  <c r="BN312" i="42385" s="1"/>
  <c r="BN313" i="42385" s="1"/>
  <c r="AW759" i="42385"/>
  <c r="AX758" i="42385"/>
  <c r="AW1538" i="42385"/>
  <c r="AW1096" i="42385"/>
  <c r="AW310" i="42385"/>
  <c r="AW313" i="42385" s="1"/>
  <c r="AW1097" i="42385"/>
  <c r="AZ1163" i="42385"/>
  <c r="CV1163" i="42385" s="1"/>
  <c r="CV1162" i="42385"/>
  <c r="AB54" i="42385"/>
  <c r="AB51" i="42385"/>
  <c r="AB65" i="42385"/>
  <c r="AB75" i="42385" s="1"/>
  <c r="AG51" i="42385"/>
  <c r="AV1533" i="42385"/>
  <c r="AV935" i="42385"/>
  <c r="AW934" i="42385"/>
  <c r="AA100" i="42424"/>
  <c r="AA101" i="42424" s="1"/>
  <c r="AA131" i="42424"/>
  <c r="AA154" i="42424"/>
  <c r="Q21" i="42424"/>
  <c r="Q22" i="42424" s="1"/>
  <c r="Q26" i="42424"/>
  <c r="BO1326" i="42385"/>
  <c r="CY1326" i="42385" s="1"/>
  <c r="CY1325" i="42385"/>
  <c r="BC1482" i="42385"/>
  <c r="BD1382" i="42385"/>
  <c r="BC1563" i="42385"/>
  <c r="BC1402" i="42385"/>
  <c r="BC1504" i="42385" s="1"/>
  <c r="CU88" i="42385"/>
  <c r="AU1645" i="42385"/>
  <c r="E14" i="42465"/>
  <c r="BB246" i="42424"/>
  <c r="AN1558" i="42385"/>
  <c r="AN128" i="42385"/>
  <c r="T25" i="42424"/>
  <c r="T21" i="42424" s="1"/>
  <c r="AD95" i="42424"/>
  <c r="AN259" i="42385"/>
  <c r="D34" i="42476"/>
  <c r="AR1660" i="42385"/>
  <c r="AR1585" i="42385"/>
  <c r="BU618" i="42385"/>
  <c r="BP230" i="42385"/>
  <c r="CT965" i="42385"/>
  <c r="AP966" i="42385"/>
  <c r="CT966" i="42385" s="1"/>
  <c r="DP343" i="42464"/>
  <c r="DQ342" i="42464"/>
  <c r="CW237" i="42385"/>
  <c r="EF450" i="42492"/>
  <c r="BJ463" i="42385"/>
  <c r="CX463" i="42385" s="1"/>
  <c r="CX462" i="42385"/>
  <c r="BJ467" i="42385"/>
  <c r="BJ464" i="42385"/>
  <c r="CX464" i="42385" s="1"/>
  <c r="BX39" i="42400"/>
  <c r="BV39" i="42400"/>
  <c r="BU39" i="42400"/>
  <c r="BW39" i="42400"/>
  <c r="BU38" i="42400"/>
  <c r="BV38" i="42400"/>
  <c r="BX38" i="42400"/>
  <c r="BW38" i="42400"/>
  <c r="BI164" i="42417"/>
  <c r="BG164" i="42417"/>
  <c r="BN186" i="42417" s="1"/>
  <c r="GC491" i="42464"/>
  <c r="GC511" i="42464"/>
  <c r="AA71" i="42476"/>
  <c r="AA74" i="42476" s="1"/>
  <c r="AA13" i="42476"/>
  <c r="AK1357" i="42385"/>
  <c r="AJ1364" i="42385"/>
  <c r="L21" i="42412"/>
  <c r="CU890" i="42385"/>
  <c r="AP166" i="42385"/>
  <c r="CT165" i="42385"/>
  <c r="F17" i="42417"/>
  <c r="BC648" i="42385"/>
  <c r="BC281" i="42385"/>
  <c r="CQ408" i="42385"/>
  <c r="AA407" i="42385"/>
  <c r="AB408" i="42385"/>
  <c r="AP583" i="42385"/>
  <c r="CT583" i="42385" s="1"/>
  <c r="H34" i="42405"/>
  <c r="H37" i="42405" s="1"/>
  <c r="H38" i="42405" s="1"/>
  <c r="AP585" i="42385" s="1"/>
  <c r="CT585" i="42385" s="1"/>
  <c r="I36" i="42405"/>
  <c r="BM985" i="42385"/>
  <c r="BH986" i="42385"/>
  <c r="BJ985" i="42385"/>
  <c r="DA398" i="42385"/>
  <c r="BY399" i="42385"/>
  <c r="DA399" i="42385" s="1"/>
  <c r="AE955" i="42385"/>
  <c r="AE956" i="42385"/>
  <c r="AJ800" i="42385"/>
  <c r="AJ801" i="42385"/>
  <c r="AO799" i="42385"/>
  <c r="CR957" i="42385"/>
  <c r="AF963" i="42385"/>
  <c r="CR963" i="42385" s="1"/>
  <c r="AF958" i="42385"/>
  <c r="CR958" i="42385" s="1"/>
  <c r="X65" i="42385"/>
  <c r="X54" i="42385"/>
  <c r="Y1569" i="42385" s="1"/>
  <c r="Y1572" i="42385" s="1"/>
  <c r="X51" i="42385"/>
  <c r="AC51" i="42385"/>
  <c r="AC955" i="42385"/>
  <c r="AC956" i="42385"/>
  <c r="BP1481" i="42385"/>
  <c r="BZ165" i="42400"/>
  <c r="BL1181" i="42385"/>
  <c r="CP1424" i="42385"/>
  <c r="V1426" i="42385"/>
  <c r="CP1426" i="42385" s="1"/>
  <c r="D54" i="42405"/>
  <c r="CR1424" i="42385"/>
  <c r="AF1426" i="42385"/>
  <c r="CR1426" i="42385" s="1"/>
  <c r="AU752" i="42385"/>
  <c r="CU752" i="42385" s="1"/>
  <c r="AU753" i="42385"/>
  <c r="CU753" i="42385" s="1"/>
  <c r="CU751" i="42385"/>
  <c r="BY1066" i="42385"/>
  <c r="BY1067" i="42385" s="1"/>
  <c r="BY1047" i="42385"/>
  <c r="DC815" i="42385"/>
  <c r="CB815" i="42385"/>
  <c r="CC815" i="42385" s="1"/>
  <c r="CD815" i="42385" s="1"/>
  <c r="CE815" i="42385" s="1"/>
  <c r="CF815" i="42385" s="1"/>
  <c r="DA920" i="42385"/>
  <c r="BY921" i="42385"/>
  <c r="DA921" i="42385" s="1"/>
  <c r="BX1249" i="42385"/>
  <c r="BZ1249" i="42385" s="1"/>
  <c r="CA1249" i="42385" s="1"/>
  <c r="BZ242" i="42385"/>
  <c r="DB242" i="42385" s="1"/>
  <c r="BZ859" i="42385"/>
  <c r="DB859" i="42385" s="1"/>
  <c r="DB858" i="42385"/>
  <c r="CM239" i="42417"/>
  <c r="CM236" i="42417" s="1"/>
  <c r="AK316" i="42385"/>
  <c r="CS316" i="42385" s="1"/>
  <c r="CS258" i="42385"/>
  <c r="BI321" i="42424"/>
  <c r="AK1558" i="42385"/>
  <c r="CS1558" i="42385" s="1"/>
  <c r="AK1647" i="42385"/>
  <c r="CS1647" i="42385" s="1"/>
  <c r="AK128" i="42385"/>
  <c r="CS128" i="42385" s="1"/>
  <c r="CM165" i="42385"/>
  <c r="G166" i="42385"/>
  <c r="BF514" i="42385"/>
  <c r="BJ512" i="42385"/>
  <c r="CX512" i="42385" s="1"/>
  <c r="W924" i="42385"/>
  <c r="W925" i="42385"/>
  <c r="BZ158" i="42400"/>
  <c r="AL1642" i="42385"/>
  <c r="AL1301" i="42385"/>
  <c r="AL1330" i="42385" s="1"/>
  <c r="BC744" i="42385"/>
  <c r="CB328" i="42385"/>
  <c r="CC328" i="42385" s="1"/>
  <c r="CD328" i="42385" s="1"/>
  <c r="CE328" i="42385" s="1"/>
  <c r="CF328" i="42385" s="1"/>
  <c r="DC328" i="42385"/>
  <c r="R863" i="42385"/>
  <c r="R862" i="42385"/>
  <c r="W863" i="42385"/>
  <c r="M71" i="42446"/>
  <c r="BG994" i="42385"/>
  <c r="BD542" i="42385"/>
  <c r="BE540" i="42385"/>
  <c r="CW540" i="42385" s="1"/>
  <c r="CO830" i="42385"/>
  <c r="V832" i="42385"/>
  <c r="CP832" i="42385" s="1"/>
  <c r="Q831" i="42385"/>
  <c r="CO831" i="42385" s="1"/>
  <c r="DA244" i="42385"/>
  <c r="EJ455" i="42492"/>
  <c r="BX1250" i="42385"/>
  <c r="BZ1250" i="42385" s="1"/>
  <c r="CA1250" i="42385" s="1"/>
  <c r="F1569" i="42385"/>
  <c r="I197" i="42385"/>
  <c r="I212" i="42385" s="1"/>
  <c r="H1569" i="42385"/>
  <c r="H1572" i="42385" s="1"/>
  <c r="I1569" i="42385"/>
  <c r="I1572" i="42385" s="1"/>
  <c r="E1569" i="42385"/>
  <c r="E1572" i="42385" s="1"/>
  <c r="H197" i="42385"/>
  <c r="H212" i="42385" s="1"/>
  <c r="E1663" i="42385"/>
  <c r="BO699" i="42385"/>
  <c r="BO691" i="42385"/>
  <c r="BO693" i="42385" s="1"/>
  <c r="BO695" i="42385" s="1"/>
  <c r="AL1648" i="42385"/>
  <c r="AL1641" i="42385" s="1"/>
  <c r="AL90" i="42385"/>
  <c r="AL92" i="42385"/>
  <c r="Q800" i="42385"/>
  <c r="CO800" i="42385" s="1"/>
  <c r="CO799" i="42385"/>
  <c r="V801" i="42385"/>
  <c r="CP801" i="42385" s="1"/>
  <c r="BI696" i="42385"/>
  <c r="BI283" i="42385"/>
  <c r="BJ283" i="42385" s="1"/>
  <c r="AF924" i="42385"/>
  <c r="CR924" i="42385" s="1"/>
  <c r="CR923" i="42385"/>
  <c r="DB1370" i="42385"/>
  <c r="CA1370" i="42385"/>
  <c r="BB751" i="42385"/>
  <c r="AW755" i="42385"/>
  <c r="AW752" i="42385"/>
  <c r="AZ751" i="42385"/>
  <c r="AF346" i="42385"/>
  <c r="CQ344" i="42385"/>
  <c r="AA345" i="42385"/>
  <c r="CQ345" i="42385" s="1"/>
  <c r="CS932" i="42385"/>
  <c r="AZ149" i="42417"/>
  <c r="CQ1525" i="42385"/>
  <c r="AA1499" i="42385"/>
  <c r="CQ1499" i="42385" s="1"/>
  <c r="CW535" i="42385"/>
  <c r="BE536" i="42385"/>
  <c r="CW536" i="42385" s="1"/>
  <c r="BJ537" i="42385"/>
  <c r="CX537" i="42385" s="1"/>
  <c r="CT227" i="42385"/>
  <c r="GO504" i="42417"/>
  <c r="GP503" i="42417"/>
  <c r="DC855" i="42385"/>
  <c r="CB855" i="42385"/>
  <c r="CA59" i="42400"/>
  <c r="CA858" i="42385"/>
  <c r="L329" i="42385"/>
  <c r="K330" i="42385"/>
  <c r="K331" i="42385" s="1"/>
  <c r="BJ508" i="42385"/>
  <c r="CX508" i="42385" s="1"/>
  <c r="BJ509" i="42385"/>
  <c r="CX509" i="42385" s="1"/>
  <c r="CX507" i="42385"/>
  <c r="CQ954" i="42385"/>
  <c r="AA955" i="42385"/>
  <c r="CQ955" i="42385" s="1"/>
  <c r="BM1177" i="42385"/>
  <c r="BM1178" i="42385" s="1"/>
  <c r="BM1175" i="42385"/>
  <c r="BN1174" i="42385"/>
  <c r="BJ699" i="42385"/>
  <c r="BJ691" i="42385"/>
  <c r="BJ693" i="42385" s="1"/>
  <c r="BJ695" i="42385" s="1"/>
  <c r="BJ696" i="42385" s="1"/>
  <c r="AQ800" i="42385"/>
  <c r="AQ804" i="42385"/>
  <c r="AQ806" i="42385" s="1"/>
  <c r="AV799" i="42385"/>
  <c r="CS1325" i="42385"/>
  <c r="AK1326" i="42385"/>
  <c r="AR286" i="42385"/>
  <c r="AU286" i="42385" s="1"/>
  <c r="AR756" i="42385"/>
  <c r="AR757" i="42385"/>
  <c r="AU755" i="42385"/>
  <c r="CW1380" i="42385"/>
  <c r="BF1380" i="42385"/>
  <c r="G54" i="42385"/>
  <c r="CM50" i="42385"/>
  <c r="L51" i="42385"/>
  <c r="CN51" i="42385" s="1"/>
  <c r="AP9" i="42385"/>
  <c r="AO13" i="42385"/>
  <c r="BW1252" i="42385"/>
  <c r="BX1248" i="42385"/>
  <c r="M762" i="42385"/>
  <c r="M765" i="42385" s="1"/>
  <c r="M814" i="42385"/>
  <c r="M817" i="42385" s="1"/>
  <c r="M938" i="42385"/>
  <c r="M941" i="42385" s="1"/>
  <c r="M743" i="42385"/>
  <c r="M746" i="42385" s="1"/>
  <c r="M845" i="42385"/>
  <c r="M1000" i="42385"/>
  <c r="M876" i="42385"/>
  <c r="M1081" i="42385"/>
  <c r="M907" i="42385"/>
  <c r="M388" i="42385"/>
  <c r="M360" i="42385"/>
  <c r="M478" i="42385"/>
  <c r="M1138" i="42385"/>
  <c r="M1141" i="42385" s="1"/>
  <c r="N320" i="42385"/>
  <c r="M705" i="42385"/>
  <c r="M708" i="42385" s="1"/>
  <c r="M326" i="42385"/>
  <c r="M329" i="42385" s="1"/>
  <c r="M783" i="42385"/>
  <c r="M786" i="42385" s="1"/>
  <c r="BZ68" i="42400"/>
  <c r="BZ69" i="42400"/>
  <c r="BZ64" i="42400"/>
  <c r="BZ63" i="42400"/>
  <c r="BZ66" i="42400"/>
  <c r="BZ65" i="42400"/>
  <c r="BZ67" i="42400"/>
  <c r="E75" i="42385"/>
  <c r="G65" i="42385"/>
  <c r="BQ486" i="42385"/>
  <c r="BR486" i="42385" s="1"/>
  <c r="BS486" i="42385" s="1"/>
  <c r="BU486" i="42385" s="1"/>
  <c r="BM1236" i="42385"/>
  <c r="BN1235" i="42385"/>
  <c r="BE1159" i="42385"/>
  <c r="BI1161" i="42385"/>
  <c r="BD1164" i="42385"/>
  <c r="BD1160" i="42385"/>
  <c r="BD1161" i="42385"/>
  <c r="DX387" i="42464"/>
  <c r="BM519" i="42385"/>
  <c r="BM515" i="42385"/>
  <c r="BM271" i="42385"/>
  <c r="BO271" i="42385" s="1"/>
  <c r="BR516" i="42385"/>
  <c r="BM516" i="42385"/>
  <c r="BO514" i="42385"/>
  <c r="CQ173" i="42385"/>
  <c r="AB173" i="42385"/>
  <c r="AC173" i="42385" s="1"/>
  <c r="AD173" i="42385" s="1"/>
  <c r="AE173" i="42385" s="1"/>
  <c r="AF173" i="42385" s="1"/>
  <c r="V954" i="42385"/>
  <c r="T955" i="42385"/>
  <c r="Y956" i="42385"/>
  <c r="AG1432" i="42385"/>
  <c r="AG1431" i="42385"/>
  <c r="BQ1481" i="42385"/>
  <c r="BR1381" i="42385"/>
  <c r="J93" i="42385"/>
  <c r="J106" i="42385"/>
  <c r="J1619" i="42385"/>
  <c r="CC1490" i="42385"/>
  <c r="CD1390" i="42385"/>
  <c r="BZ251" i="42385"/>
  <c r="BZ12" i="42385" s="1"/>
  <c r="AZ1481" i="42385"/>
  <c r="CV1481" i="42385" s="1"/>
  <c r="G1016" i="42385"/>
  <c r="J1018" i="42385"/>
  <c r="E1017" i="42385"/>
  <c r="CA156" i="42400"/>
  <c r="CA161" i="42400"/>
  <c r="CA163" i="42400"/>
  <c r="CA155" i="42400"/>
  <c r="CA162" i="42400"/>
  <c r="BH1648" i="42385"/>
  <c r="BH1641" i="42385" s="1"/>
  <c r="BH92" i="42385"/>
  <c r="BQ574" i="42385"/>
  <c r="BQ273" i="42385"/>
  <c r="H34" i="42476"/>
  <c r="AV1660" i="42385"/>
  <c r="AV1585" i="42385"/>
  <c r="P6" i="42470"/>
  <c r="G31" i="42470"/>
  <c r="Q6" i="42470"/>
  <c r="K1017" i="42385"/>
  <c r="P1018" i="42385"/>
  <c r="L1016" i="42385"/>
  <c r="K1018" i="42385"/>
  <c r="BP1398" i="42385"/>
  <c r="BQ1398" i="42385" s="1"/>
  <c r="BR1398" i="42385" s="1"/>
  <c r="BS1398" i="42385" s="1"/>
  <c r="BT1398" i="42385" s="1"/>
  <c r="CY1398" i="42385"/>
  <c r="AM55" i="42385"/>
  <c r="AM56" i="42385"/>
  <c r="AM1663" i="42385"/>
  <c r="AM197" i="42385"/>
  <c r="AM1569" i="42385"/>
  <c r="AM1572" i="42385" s="1"/>
  <c r="BU1210" i="42385"/>
  <c r="BF313" i="42385"/>
  <c r="BJ313" i="42385" s="1"/>
  <c r="BJ312" i="42385"/>
  <c r="CX312" i="42385" s="1"/>
  <c r="AX165" i="42385"/>
  <c r="AX166" i="42385" s="1"/>
  <c r="AX134" i="42385" s="1"/>
  <c r="AE42" i="42385"/>
  <c r="AJ43" i="42385"/>
  <c r="AJ41" i="42385"/>
  <c r="L808" i="42385"/>
  <c r="CN808" i="42385" s="1"/>
  <c r="L803" i="42385"/>
  <c r="CN803" i="42385" s="1"/>
  <c r="CN802" i="42385"/>
  <c r="CA1643" i="42385"/>
  <c r="DC1643" i="42385" s="1"/>
  <c r="I924" i="42385"/>
  <c r="I925" i="42385"/>
  <c r="N925" i="42385"/>
  <c r="L923" i="42385"/>
  <c r="AI1437" i="42385"/>
  <c r="AH1439" i="42385"/>
  <c r="AH1431" i="42385" s="1"/>
  <c r="DB1359" i="42385"/>
  <c r="CA1359" i="42385"/>
  <c r="AZ1324" i="42385"/>
  <c r="AY1326" i="42385"/>
  <c r="Z1301" i="42385"/>
  <c r="Z1330" i="42385" s="1"/>
  <c r="Z1642" i="42385"/>
  <c r="U77" i="42385"/>
  <c r="U1514" i="42385"/>
  <c r="BF745" i="42385"/>
  <c r="BG745" i="42385" s="1"/>
  <c r="CW745" i="42385"/>
  <c r="BG1175" i="42385"/>
  <c r="BG1177" i="42385"/>
  <c r="BG1178" i="42385" s="1"/>
  <c r="BH1174" i="42385"/>
  <c r="GB486" i="42464"/>
  <c r="GB494" i="42464" s="1"/>
  <c r="AF259" i="42385"/>
  <c r="CR259" i="42385" s="1"/>
  <c r="AF1558" i="42385"/>
  <c r="CR1558" i="42385" s="1"/>
  <c r="CR258" i="42385"/>
  <c r="CL239" i="42417"/>
  <c r="AF128" i="42385"/>
  <c r="CR128" i="42385" s="1"/>
  <c r="AK259" i="42385"/>
  <c r="CS259" i="42385" s="1"/>
  <c r="AF316" i="42385"/>
  <c r="CR316" i="42385" s="1"/>
  <c r="AF1647" i="42385"/>
  <c r="CR1647" i="42385" s="1"/>
  <c r="O1017" i="42385"/>
  <c r="O1018" i="42385"/>
  <c r="Q1016" i="42385"/>
  <c r="AS861" i="42385"/>
  <c r="AN862" i="42385"/>
  <c r="AN866" i="42385"/>
  <c r="CB151" i="42400"/>
  <c r="CC979" i="42385"/>
  <c r="CM910" i="42385"/>
  <c r="G911" i="42385"/>
  <c r="R93" i="42385"/>
  <c r="R1619" i="42385"/>
  <c r="R106" i="42385"/>
  <c r="AD106" i="42385"/>
  <c r="AD93" i="42385"/>
  <c r="AD1619" i="42385"/>
  <c r="BK706" i="42385"/>
  <c r="BL706" i="42385" s="1"/>
  <c r="BM706" i="42385" s="1"/>
  <c r="BN706" i="42385" s="1"/>
  <c r="BO706" i="42385" s="1"/>
  <c r="CX706" i="42385"/>
  <c r="BP1113" i="42385"/>
  <c r="BK1115" i="42385"/>
  <c r="BK312" i="42385" s="1"/>
  <c r="BO1113" i="42385"/>
  <c r="AE51" i="42385"/>
  <c r="AE54" i="42385"/>
  <c r="AE65" i="42385"/>
  <c r="AJ51" i="42385"/>
  <c r="I808" i="42385"/>
  <c r="I799" i="42385"/>
  <c r="I803" i="42385"/>
  <c r="T75" i="42385"/>
  <c r="V65" i="42385"/>
  <c r="IS896" i="42464"/>
  <c r="IT896" i="42464" s="1"/>
  <c r="IU896" i="42464" s="1"/>
  <c r="IS897" i="42464"/>
  <c r="IT897" i="42464" s="1"/>
  <c r="IU897" i="42464" s="1"/>
  <c r="CY1563" i="42385"/>
  <c r="BO1591" i="42385"/>
  <c r="BO1593" i="42385"/>
  <c r="BG1486" i="42385"/>
  <c r="BH1386" i="42385"/>
  <c r="BH1486" i="42385" s="1"/>
  <c r="V1016" i="42385"/>
  <c r="T1017" i="42385"/>
  <c r="Y1018" i="42385"/>
  <c r="T1018" i="42385"/>
  <c r="Z93" i="42385"/>
  <c r="Z1619" i="42385"/>
  <c r="Z106" i="42385"/>
  <c r="CP188" i="42385"/>
  <c r="W188" i="42385"/>
  <c r="X188" i="42385" s="1"/>
  <c r="Y188" i="42385" s="1"/>
  <c r="Z188" i="42385" s="1"/>
  <c r="AA188" i="42385" s="1"/>
  <c r="W1569" i="42385"/>
  <c r="W1572" i="42385" s="1"/>
  <c r="X1569" i="42385"/>
  <c r="X1572" i="42385" s="1"/>
  <c r="X197" i="42385"/>
  <c r="Y197" i="42385"/>
  <c r="Y212" i="42385" s="1"/>
  <c r="U1663" i="42385"/>
  <c r="CA1360" i="42385"/>
  <c r="DB1360" i="42385"/>
  <c r="AQ923" i="42385"/>
  <c r="AL924" i="42385"/>
  <c r="AL925" i="42385"/>
  <c r="CV1290" i="42385"/>
  <c r="F44" i="42465"/>
  <c r="AZ115" i="42385"/>
  <c r="BP1563" i="42385"/>
  <c r="BP1593" i="42385" s="1"/>
  <c r="BP1594" i="42385" s="1"/>
  <c r="BP1595" i="42385" s="1"/>
  <c r="T924" i="42385"/>
  <c r="V923" i="42385"/>
  <c r="AX1026" i="42385"/>
  <c r="AX301" i="42385"/>
  <c r="AX1024" i="42385"/>
  <c r="AX1025" i="42385"/>
  <c r="AM77" i="42385"/>
  <c r="AM1514" i="42385"/>
  <c r="AX299" i="42385"/>
  <c r="AX994" i="42385"/>
  <c r="AX993" i="42385"/>
  <c r="AX997" i="42385"/>
  <c r="M956" i="42385"/>
  <c r="H955" i="42385"/>
  <c r="H956" i="42385"/>
  <c r="AR1422" i="42385"/>
  <c r="F800" i="42385"/>
  <c r="K801" i="42385"/>
  <c r="CR34" i="42385"/>
  <c r="AF50" i="42385"/>
  <c r="D955" i="42385"/>
  <c r="I956" i="42385"/>
  <c r="G954" i="42385"/>
  <c r="K924" i="42385"/>
  <c r="P925" i="42385"/>
  <c r="K925" i="42385"/>
  <c r="CB1321" i="42385"/>
  <c r="CB1643" i="42385" s="1"/>
  <c r="U1569" i="42385"/>
  <c r="T1663" i="42385"/>
  <c r="AZ1582" i="42385"/>
  <c r="AY1585" i="42385"/>
  <c r="BW1371" i="42385"/>
  <c r="CB1490" i="42385"/>
  <c r="AU958" i="42385"/>
  <c r="CU958" i="42385" s="1"/>
  <c r="CU957" i="42385"/>
  <c r="CV244" i="42385"/>
  <c r="IP900" i="42464"/>
  <c r="J182" i="42385"/>
  <c r="K182" i="42385" s="1"/>
  <c r="L182" i="42385" s="1"/>
  <c r="BF1180" i="42385"/>
  <c r="AX1504" i="42385"/>
  <c r="AW1406" i="42385"/>
  <c r="AW1424" i="42385" s="1"/>
  <c r="AW1564" i="42385"/>
  <c r="BJ573" i="42385"/>
  <c r="CX571" i="42385"/>
  <c r="D1619" i="42385"/>
  <c r="D106" i="42385"/>
  <c r="D114" i="42385" s="1"/>
  <c r="D120" i="42385" s="1"/>
  <c r="D1656" i="42385" s="1"/>
  <c r="D93" i="42385"/>
  <c r="BR1377" i="42385"/>
  <c r="BH1642" i="42385"/>
  <c r="BH1301" i="42385"/>
  <c r="BH1330" i="42385" s="1"/>
  <c r="Y924" i="42385"/>
  <c r="AA923" i="42385"/>
  <c r="Y925" i="42385"/>
  <c r="AD925" i="42385"/>
  <c r="AW1504" i="42385"/>
  <c r="CX1325" i="42385"/>
  <c r="BJ1326" i="42385"/>
  <c r="CX1326" i="42385" s="1"/>
  <c r="BL571" i="42385"/>
  <c r="BL573" i="42385" s="1"/>
  <c r="BO566" i="42385"/>
  <c r="GN577" i="42464"/>
  <c r="GN579" i="42464" s="1"/>
  <c r="CX1113" i="42385"/>
  <c r="BJ1115" i="42385"/>
  <c r="AS1124" i="42385"/>
  <c r="AS1552" i="42385" s="1"/>
  <c r="AT1121" i="42385"/>
  <c r="CW111" i="42385"/>
  <c r="CZ251" i="42417"/>
  <c r="AY163" i="42385"/>
  <c r="AZ163" i="42385" s="1"/>
  <c r="BV1122" i="42385"/>
  <c r="BW1122" i="42385" s="1"/>
  <c r="BX1122" i="42385" s="1"/>
  <c r="GB514" i="42464"/>
  <c r="GB522" i="42464" s="1"/>
  <c r="CM799" i="42385"/>
  <c r="G800" i="42385"/>
  <c r="CM800" i="42385" s="1"/>
  <c r="CB390" i="42385"/>
  <c r="DC390" i="42385"/>
  <c r="BN106" i="42385"/>
  <c r="BN93" i="42385"/>
  <c r="BN1620" i="42385"/>
  <c r="GP492" i="42417"/>
  <c r="CU244" i="42385"/>
  <c r="CR1312" i="42385"/>
  <c r="AF1314" i="42385"/>
  <c r="CW251" i="42417"/>
  <c r="G391" i="42385"/>
  <c r="CM391" i="42385" s="1"/>
  <c r="F1141" i="42385"/>
  <c r="G1141" i="42385" s="1"/>
  <c r="CM1141" i="42385" s="1"/>
  <c r="K163" i="42385"/>
  <c r="L148" i="42385"/>
  <c r="BF1599" i="42385"/>
  <c r="BF1634" i="42385"/>
  <c r="BG1599" i="42385"/>
  <c r="BG1634" i="42385"/>
  <c r="BF77" i="42385"/>
  <c r="BF1514" i="42385"/>
  <c r="BI203" i="42492"/>
  <c r="BI202" i="42492"/>
  <c r="CM330" i="42385"/>
  <c r="CC361" i="42385"/>
  <c r="DC495" i="42385"/>
  <c r="CB495" i="42385"/>
  <c r="BW1344" i="42385"/>
  <c r="BV1287" i="42385"/>
  <c r="BV117" i="42385" s="1"/>
  <c r="AT154" i="42385"/>
  <c r="AU154" i="42385" s="1"/>
  <c r="AS163" i="42385"/>
  <c r="AS165" i="42385" s="1"/>
  <c r="BN1599" i="42385"/>
  <c r="BN1594" i="42385"/>
  <c r="BN1595" i="42385" s="1"/>
  <c r="BN1591" i="42385"/>
  <c r="BN1592" i="42385" s="1"/>
  <c r="X13" i="42476"/>
  <c r="AC13" i="42476"/>
  <c r="O924" i="42385"/>
  <c r="Q923" i="42385"/>
  <c r="T925" i="42385"/>
  <c r="O925" i="42385"/>
  <c r="B23" i="42406"/>
  <c r="B26" i="42406"/>
  <c r="B24" i="42406"/>
  <c r="CM1579" i="42385"/>
  <c r="GX544" i="42417"/>
  <c r="GY545" i="42417"/>
  <c r="AW1106" i="42385"/>
  <c r="AV1107" i="42385"/>
  <c r="AV256" i="42385" s="1"/>
  <c r="AW1506" i="42385"/>
  <c r="BA1506" i="42385"/>
  <c r="AX220" i="42385"/>
  <c r="AX402" i="42385"/>
  <c r="AZ401" i="42385"/>
  <c r="BJ1579" i="42385"/>
  <c r="BI1600" i="42385"/>
  <c r="BI1603" i="42385"/>
  <c r="DY337" i="42417"/>
  <c r="EA337" i="42417"/>
  <c r="H925" i="42385"/>
  <c r="C924" i="42385"/>
  <c r="G923" i="42385"/>
  <c r="CQ892" i="42385"/>
  <c r="BM1147" i="42385"/>
  <c r="AU11" i="42385"/>
  <c r="CU11" i="42385" s="1"/>
  <c r="AT13" i="42385"/>
  <c r="CW1326" i="42385"/>
  <c r="G53" i="42465"/>
  <c r="G52" i="42465" s="1"/>
  <c r="CP347" i="42385"/>
  <c r="V354" i="42385"/>
  <c r="CP354" i="42385" s="1"/>
  <c r="BF56" i="42385"/>
  <c r="BF1663" i="42385"/>
  <c r="BF55" i="42385"/>
  <c r="BK55" i="42385"/>
  <c r="AL179" i="42385"/>
  <c r="AM179" i="42385" s="1"/>
  <c r="AN179" i="42385" s="1"/>
  <c r="AO179" i="42385" s="1"/>
  <c r="AP179" i="42385" s="1"/>
  <c r="CS179" i="42385"/>
  <c r="GB542" i="42464"/>
  <c r="GB550" i="42464" s="1"/>
  <c r="BX22" i="42385"/>
  <c r="AG171" i="42385"/>
  <c r="AH171" i="42385" s="1"/>
  <c r="AI171" i="42385" s="1"/>
  <c r="AJ171" i="42385" s="1"/>
  <c r="AK171" i="42385" s="1"/>
  <c r="CR171" i="42385"/>
  <c r="BV1222" i="42385"/>
  <c r="AQ658" i="42385"/>
  <c r="AV658" i="42385"/>
  <c r="M1579" i="42385"/>
  <c r="K1579" i="42385"/>
  <c r="N1579" i="42385"/>
  <c r="O1579" i="42385"/>
  <c r="CM388" i="42385"/>
  <c r="H391" i="42385"/>
  <c r="BJ197" i="42385"/>
  <c r="R13" i="42476"/>
  <c r="W13" i="42476"/>
  <c r="DQ338" i="42464"/>
  <c r="DP348" i="42464"/>
  <c r="DP349" i="42464" s="1"/>
  <c r="DP352" i="42464" s="1"/>
  <c r="DP340" i="42464"/>
  <c r="C23" i="42407"/>
  <c r="C27" i="42407"/>
  <c r="DA340" i="42385"/>
  <c r="CQ830" i="42385"/>
  <c r="AA832" i="42385"/>
  <c r="CQ832" i="42385" s="1"/>
  <c r="AA831" i="42385"/>
  <c r="CQ831" i="42385" s="1"/>
  <c r="BH745" i="42385"/>
  <c r="CA1391" i="42385"/>
  <c r="CA1491" i="42385" s="1"/>
  <c r="BU117" i="42385"/>
  <c r="P67" i="42443"/>
  <c r="K67" i="42443"/>
  <c r="BL1594" i="42385"/>
  <c r="BL1595" i="42385" s="1"/>
  <c r="BL1591" i="42385"/>
  <c r="BL1592" i="42385" s="1"/>
  <c r="BL1599" i="42385"/>
  <c r="BP1599" i="42385"/>
  <c r="AK88" i="42385"/>
  <c r="AJ1645" i="42385"/>
  <c r="AJ90" i="42385"/>
  <c r="M330" i="42385"/>
  <c r="M331" i="42385" s="1"/>
  <c r="CB970" i="42385"/>
  <c r="DC970" i="42385"/>
  <c r="AX1118" i="42385"/>
  <c r="BH1603" i="42385"/>
  <c r="BH1600" i="42385"/>
  <c r="DC1356" i="42385"/>
  <c r="CB1356" i="42385"/>
  <c r="CC1356" i="42385" s="1"/>
  <c r="CD1356" i="42385" s="1"/>
  <c r="CE1356" i="42385" s="1"/>
  <c r="CF1356" i="42385" s="1"/>
  <c r="N1514" i="42385"/>
  <c r="N77" i="42385"/>
  <c r="AQ955" i="42385"/>
  <c r="AV954" i="42385"/>
  <c r="AQ959" i="42385"/>
  <c r="AR955" i="42385"/>
  <c r="AR959" i="42385"/>
  <c r="AR961" i="42385" s="1"/>
  <c r="AW954" i="42385"/>
  <c r="L955" i="42385"/>
  <c r="CN955" i="42385" s="1"/>
  <c r="AU402" i="42385"/>
  <c r="CU402" i="42385" s="1"/>
  <c r="AU220" i="42385"/>
  <c r="CU401" i="42385"/>
  <c r="AL202" i="42385"/>
  <c r="AM202" i="42385"/>
  <c r="AP202" i="42385"/>
  <c r="AU1292" i="42385"/>
  <c r="DA88" i="42385"/>
  <c r="BY1645" i="42385"/>
  <c r="BH1620" i="42385"/>
  <c r="BH106" i="42385"/>
  <c r="BH114" i="42385" s="1"/>
  <c r="BH93" i="42385"/>
  <c r="CB908" i="42385"/>
  <c r="DC908" i="42385"/>
  <c r="AF1282" i="42385"/>
  <c r="K180" i="42385"/>
  <c r="BI1634" i="42385"/>
  <c r="BI1599" i="42385"/>
  <c r="BI1627" i="42385"/>
  <c r="BH1599" i="42385"/>
  <c r="BH1634" i="42385"/>
  <c r="CH191" i="42464"/>
  <c r="CH192" i="42464" s="1"/>
  <c r="N955" i="42385"/>
  <c r="S956" i="42385"/>
  <c r="N956" i="42385"/>
  <c r="Q954" i="42385"/>
  <c r="BX218" i="42385"/>
  <c r="BY341" i="42385"/>
  <c r="BX342" i="42385"/>
  <c r="G862" i="42385"/>
  <c r="CM862" i="42385" s="1"/>
  <c r="CM861" i="42385"/>
  <c r="CA1355" i="42385"/>
  <c r="DB1355" i="42385"/>
  <c r="P19" i="42443"/>
  <c r="K19" i="42443"/>
  <c r="BL77" i="42385"/>
  <c r="BL1514" i="42385"/>
  <c r="CG191" i="42464"/>
  <c r="CG192" i="42464" s="1"/>
  <c r="H11" i="42406"/>
  <c r="J13" i="42406" s="1"/>
  <c r="H7" i="42406"/>
  <c r="H15" i="42406" s="1"/>
  <c r="H16" i="42406" s="1"/>
  <c r="H14" i="42406"/>
  <c r="H18" i="42406"/>
  <c r="H19" i="42406"/>
  <c r="CZ341" i="42385"/>
  <c r="BT342" i="42385"/>
  <c r="CZ342" i="42385" s="1"/>
  <c r="DQ334" i="42464"/>
  <c r="CQ178" i="42385"/>
  <c r="AB178" i="42385"/>
  <c r="AC178" i="42385" s="1"/>
  <c r="AD178" i="42385" s="1"/>
  <c r="AE178" i="42385" s="1"/>
  <c r="AF178" i="42385" s="1"/>
  <c r="AB170" i="42385"/>
  <c r="AC170" i="42385" s="1"/>
  <c r="AD170" i="42385" s="1"/>
  <c r="AE170" i="42385" s="1"/>
  <c r="AF170" i="42385" s="1"/>
  <c r="CQ170" i="42385"/>
  <c r="BG1603" i="42385"/>
  <c r="BG1600" i="42385"/>
  <c r="CX1295" i="42385"/>
  <c r="BJ115" i="42385"/>
  <c r="AF800" i="42385"/>
  <c r="CR800" i="42385" s="1"/>
  <c r="CR799" i="42385"/>
  <c r="BU1256" i="42385"/>
  <c r="BS1258" i="42385"/>
  <c r="BT1258" i="42385" s="1"/>
  <c r="BX1389" i="42385"/>
  <c r="BY1389" i="42385" s="1"/>
  <c r="M942" i="42385"/>
  <c r="M943" i="42385" s="1"/>
  <c r="AW1119" i="42385"/>
  <c r="AX1119" i="42385" s="1"/>
  <c r="AY1119" i="42385" s="1"/>
  <c r="BA1119" i="42385" s="1"/>
  <c r="AN202" i="42385"/>
  <c r="G19" i="42407"/>
  <c r="G20" i="42407"/>
  <c r="D10" i="42407" s="1"/>
  <c r="B14" i="42403"/>
  <c r="B18" i="42403" s="1"/>
  <c r="E25" i="42403"/>
  <c r="E27" i="42403" s="1"/>
  <c r="AR993" i="42385"/>
  <c r="AR997" i="42385"/>
  <c r="AW994" i="42385"/>
  <c r="AU992" i="42385"/>
  <c r="BT1122" i="42385"/>
  <c r="CZ1122" i="42385" s="1"/>
  <c r="V862" i="42385"/>
  <c r="CP862" i="42385" s="1"/>
  <c r="CP861" i="42385"/>
  <c r="V863" i="42385"/>
  <c r="CP863" i="42385" s="1"/>
  <c r="M787" i="42385"/>
  <c r="M788" i="42385" s="1"/>
  <c r="AX707" i="42385"/>
  <c r="DC1342" i="42385"/>
  <c r="CB1342" i="42385"/>
  <c r="CC1342" i="42385" s="1"/>
  <c r="CD1342" i="42385" s="1"/>
  <c r="CE1342" i="42385" s="1"/>
  <c r="CF1342" i="42385" s="1"/>
  <c r="DC1403" i="42385"/>
  <c r="CB1403" i="42385"/>
  <c r="CC1403" i="42385" s="1"/>
  <c r="CD1403" i="42385" s="1"/>
  <c r="CE1403" i="42385" s="1"/>
  <c r="CF1403" i="42385" s="1"/>
  <c r="D23" i="42407"/>
  <c r="D27" i="42407"/>
  <c r="CM830" i="42385"/>
  <c r="G831" i="42385"/>
  <c r="CM831" i="42385" s="1"/>
  <c r="CQ177" i="42385"/>
  <c r="AB177" i="42385"/>
  <c r="AC177" i="42385" s="1"/>
  <c r="AD177" i="42385" s="1"/>
  <c r="AE177" i="42385" s="1"/>
  <c r="AF177" i="42385" s="1"/>
  <c r="DC523" i="42385"/>
  <c r="CB523" i="42385"/>
  <c r="AN1361" i="42385"/>
  <c r="CM478" i="42385"/>
  <c r="H481" i="42385"/>
  <c r="L481" i="42385" s="1"/>
  <c r="CN481" i="42385" s="1"/>
  <c r="BM1599" i="42385"/>
  <c r="BM1591" i="42385"/>
  <c r="BM1592" i="42385" s="1"/>
  <c r="BM1594" i="42385"/>
  <c r="BM1595" i="42385" s="1"/>
  <c r="BO197" i="42385"/>
  <c r="BK199" i="42385"/>
  <c r="BK205" i="42385" s="1"/>
  <c r="BI1658" i="42385"/>
  <c r="U20" i="42476"/>
  <c r="BT218" i="42385"/>
  <c r="CV1164" i="42385"/>
  <c r="AZ1166" i="42385"/>
  <c r="CX234" i="42385"/>
  <c r="EG447" i="42492"/>
  <c r="AX409" i="42385"/>
  <c r="BC401" i="42385"/>
  <c r="BH400" i="42385"/>
  <c r="BE400" i="42385"/>
  <c r="CW400" i="42385" s="1"/>
  <c r="BF1600" i="42385"/>
  <c r="BF1603" i="42385"/>
  <c r="AA862" i="42385"/>
  <c r="CQ862" i="42385" s="1"/>
  <c r="AA863" i="42385"/>
  <c r="CQ863" i="42385" s="1"/>
  <c r="CQ861" i="42385"/>
  <c r="BV283" i="42385"/>
  <c r="BV696" i="42385"/>
  <c r="BV697" i="42385"/>
  <c r="M818" i="42385"/>
  <c r="M819" i="42385" s="1"/>
  <c r="AS9" i="42385"/>
  <c r="CU1312" i="42385"/>
  <c r="AU1314" i="42385"/>
  <c r="V344" i="42385"/>
  <c r="R346" i="42385"/>
  <c r="R345" i="42385"/>
  <c r="W346" i="42385"/>
  <c r="BL55" i="42385"/>
  <c r="BL1663" i="42385"/>
  <c r="BL56" i="42385"/>
  <c r="BQ55" i="42385"/>
  <c r="AZ658" i="42385"/>
  <c r="AU658" i="42385"/>
  <c r="BU162" i="42400" l="1"/>
  <c r="BW162" i="42400"/>
  <c r="BX162" i="42400"/>
  <c r="BV162" i="42400"/>
  <c r="BU156" i="42400"/>
  <c r="BW156" i="42400"/>
  <c r="BV156" i="42400"/>
  <c r="BX156" i="42400"/>
  <c r="BY158" i="42400"/>
  <c r="BX155" i="42400"/>
  <c r="BU155" i="42400"/>
  <c r="BV155" i="42400"/>
  <c r="BW155" i="42400"/>
  <c r="BU161" i="42400"/>
  <c r="BV161" i="42400"/>
  <c r="BX161" i="42400"/>
  <c r="BY165" i="42400"/>
  <c r="BW161" i="42400"/>
  <c r="BW163" i="42400"/>
  <c r="BX163" i="42400"/>
  <c r="BU163" i="42400"/>
  <c r="BV163" i="42400"/>
  <c r="DC334" i="42385"/>
  <c r="CA336" i="42385"/>
  <c r="BZ339" i="42385"/>
  <c r="DB339" i="42385" s="1"/>
  <c r="BY75" i="42400"/>
  <c r="BY864" i="42385" s="1"/>
  <c r="BV71" i="42400"/>
  <c r="BV75" i="42400" s="1"/>
  <c r="BV864" i="42385" s="1"/>
  <c r="BV865" i="42385" s="1"/>
  <c r="BU71" i="42400"/>
  <c r="BU75" i="42400" s="1"/>
  <c r="BU864" i="42385" s="1"/>
  <c r="BU865" i="42385" s="1"/>
  <c r="BW307" i="42385"/>
  <c r="BW22" i="42385" s="1"/>
  <c r="BW31" i="42385" s="1"/>
  <c r="CA433" i="42385"/>
  <c r="BY797" i="42385"/>
  <c r="DA797" i="42385" s="1"/>
  <c r="DA796" i="42385"/>
  <c r="BY795" i="42385"/>
  <c r="CA1047" i="42385"/>
  <c r="CA1066" i="42385"/>
  <c r="BZ1047" i="42385"/>
  <c r="U197" i="42385"/>
  <c r="T1569" i="42385"/>
  <c r="T1572" i="42385" s="1"/>
  <c r="T197" i="42385"/>
  <c r="W197" i="42385"/>
  <c r="W212" i="42385" s="1"/>
  <c r="BA989" i="42385"/>
  <c r="BA990" i="42385"/>
  <c r="BA992" i="42385" s="1"/>
  <c r="J896" i="42385"/>
  <c r="J901" i="42385"/>
  <c r="J892" i="42385"/>
  <c r="AS1026" i="42385"/>
  <c r="AS1024" i="42385"/>
  <c r="AS1025" i="42385"/>
  <c r="AS301" i="42385"/>
  <c r="AC800" i="42385"/>
  <c r="AC801" i="42385"/>
  <c r="H1332" i="42385"/>
  <c r="L1332" i="42385"/>
  <c r="CN1332" i="42385" s="1"/>
  <c r="CM1333" i="42385"/>
  <c r="C1569" i="42385"/>
  <c r="C1572" i="42385" s="1"/>
  <c r="C1663" i="42385"/>
  <c r="D1569" i="42385"/>
  <c r="D1572" i="42385" s="1"/>
  <c r="BK269" i="42385"/>
  <c r="BK470" i="42385"/>
  <c r="BK471" i="42385"/>
  <c r="CT286" i="42385"/>
  <c r="E15" i="42464"/>
  <c r="GO523" i="42417"/>
  <c r="P90" i="42385"/>
  <c r="P79" i="42385"/>
  <c r="P92" i="42385" s="1"/>
  <c r="P1278" i="42385"/>
  <c r="AC1663" i="42385"/>
  <c r="AH55" i="42385"/>
  <c r="AJ27" i="42385"/>
  <c r="AH801" i="42385"/>
  <c r="BH990" i="42385"/>
  <c r="BH992" i="42385" s="1"/>
  <c r="CB919" i="42385"/>
  <c r="CC919" i="42385" s="1"/>
  <c r="CD919" i="42385" s="1"/>
  <c r="DC919" i="42385"/>
  <c r="BB79" i="42385"/>
  <c r="BB1278" i="42385"/>
  <c r="Q128" i="42385"/>
  <c r="CO128" i="42385" s="1"/>
  <c r="CO258" i="42385"/>
  <c r="Q259" i="42385"/>
  <c r="CO259" i="42385" s="1"/>
  <c r="V259" i="42385"/>
  <c r="CP259" i="42385" s="1"/>
  <c r="Q1558" i="42385"/>
  <c r="CO1558" i="42385" s="1"/>
  <c r="BP463" i="42385"/>
  <c r="BU462" i="42385"/>
  <c r="BP467" i="42385"/>
  <c r="BP469" i="42385" s="1"/>
  <c r="BM653" i="42385"/>
  <c r="BM656" i="42385" s="1"/>
  <c r="BM657" i="42385" s="1"/>
  <c r="BM658" i="42385" s="1"/>
  <c r="BN654" i="42385"/>
  <c r="BT400" i="42385"/>
  <c r="CZ400" i="42385" s="1"/>
  <c r="BP401" i="42385"/>
  <c r="AC77" i="42385"/>
  <c r="AC1514" i="42385"/>
  <c r="AC863" i="42385"/>
  <c r="AF88" i="42385"/>
  <c r="V206" i="42385"/>
  <c r="K298" i="42400"/>
  <c r="K895" i="42385" s="1"/>
  <c r="BQ202" i="42385"/>
  <c r="AA624" i="42385"/>
  <c r="CQ624" i="42385" s="1"/>
  <c r="BD1314" i="42385"/>
  <c r="BE1304" i="42385"/>
  <c r="AS993" i="42385"/>
  <c r="AS997" i="42385"/>
  <c r="BC1487" i="42385"/>
  <c r="BD1456" i="42385"/>
  <c r="BD775" i="42385"/>
  <c r="BD287" i="42385"/>
  <c r="Q1510" i="42385"/>
  <c r="CO1510" i="42385" s="1"/>
  <c r="Q1500" i="42385"/>
  <c r="CO1511" i="42385"/>
  <c r="P1575" i="42385"/>
  <c r="P1577" i="42385" s="1"/>
  <c r="P1504" i="42385"/>
  <c r="BK220" i="42385"/>
  <c r="BK402" i="42385"/>
  <c r="AW1542" i="42385"/>
  <c r="AZ1542" i="42385" s="1"/>
  <c r="CV1542" i="42385" s="1"/>
  <c r="AW1099" i="42385"/>
  <c r="E193" i="42385"/>
  <c r="F191" i="42385"/>
  <c r="AU997" i="42385"/>
  <c r="CU997" i="42385" s="1"/>
  <c r="BW691" i="42385"/>
  <c r="BW693" i="42385" s="1"/>
  <c r="BW695" i="42385" s="1"/>
  <c r="BC37" i="42418"/>
  <c r="AZ37" i="42418"/>
  <c r="BF37" i="42418"/>
  <c r="AS1028" i="42385"/>
  <c r="AS1534" i="42385"/>
  <c r="AT1027" i="42385"/>
  <c r="AK1577" i="42385"/>
  <c r="CS1577" i="42385" s="1"/>
  <c r="CS1575" i="42385"/>
  <c r="C77" i="42385"/>
  <c r="C1514" i="42385"/>
  <c r="AR830" i="42385"/>
  <c r="AM831" i="42385"/>
  <c r="BS236" i="42385"/>
  <c r="BX748" i="42385"/>
  <c r="BX236" i="42385" s="1"/>
  <c r="EJ451" i="42492"/>
  <c r="DA240" i="42385"/>
  <c r="BZ670" i="42385"/>
  <c r="BY671" i="42385"/>
  <c r="BY702" i="42385"/>
  <c r="BZ702" i="42385" s="1"/>
  <c r="CA702" i="42385" s="1"/>
  <c r="CB702" i="42385" s="1"/>
  <c r="CC702" i="42385" s="1"/>
  <c r="CD702" i="42385" s="1"/>
  <c r="CE702" i="42385" s="1"/>
  <c r="AW1541" i="42385"/>
  <c r="AX384" i="42385"/>
  <c r="AW385" i="42385"/>
  <c r="AT1104" i="42385"/>
  <c r="AT1107" i="42385" s="1"/>
  <c r="AT256" i="42385" s="1"/>
  <c r="AS1107" i="42385"/>
  <c r="AS256" i="42385" s="1"/>
  <c r="BL650" i="42385"/>
  <c r="BL231" i="42385"/>
  <c r="BL238" i="42385" s="1"/>
  <c r="BL647" i="42385"/>
  <c r="BQ640" i="42385"/>
  <c r="BL644" i="42385"/>
  <c r="AU490" i="42385"/>
  <c r="CU490" i="42385" s="1"/>
  <c r="AU491" i="42385"/>
  <c r="CU491" i="42385" s="1"/>
  <c r="CU489" i="42385"/>
  <c r="AI1514" i="42385"/>
  <c r="AI77" i="42385"/>
  <c r="BJ342" i="42385"/>
  <c r="CX342" i="42385" s="1"/>
  <c r="BE342" i="42385"/>
  <c r="CW342" i="42385" s="1"/>
  <c r="CW341" i="42385"/>
  <c r="DB320" i="42464"/>
  <c r="DB322" i="42464" s="1"/>
  <c r="DN334" i="42464" s="1"/>
  <c r="BJ547" i="42385"/>
  <c r="CX547" i="42385" s="1"/>
  <c r="CX542" i="42385"/>
  <c r="BJ543" i="42385"/>
  <c r="CX543" i="42385" s="1"/>
  <c r="AB624" i="42385"/>
  <c r="AB621" i="42385" s="1"/>
  <c r="AC625" i="42385"/>
  <c r="DM336" i="42464"/>
  <c r="DN351" i="42464"/>
  <c r="DN352" i="42464" s="1"/>
  <c r="DM351" i="42464"/>
  <c r="DM352" i="42464" s="1"/>
  <c r="DM335" i="42464"/>
  <c r="BU640" i="42385"/>
  <c r="BP231" i="42385"/>
  <c r="BP650" i="42385"/>
  <c r="Y623" i="42385"/>
  <c r="AA621" i="42385"/>
  <c r="Y622" i="42385"/>
  <c r="AZ1590" i="42385"/>
  <c r="AY1593" i="42385"/>
  <c r="F21" i="42464"/>
  <c r="CU270" i="42385"/>
  <c r="GP529" i="42417"/>
  <c r="AW720" i="42385"/>
  <c r="AV721" i="42385"/>
  <c r="AV1536" i="42385"/>
  <c r="AI1663" i="42385"/>
  <c r="AI56" i="42385"/>
  <c r="AL197" i="42385"/>
  <c r="AI55" i="42385"/>
  <c r="AL1569" i="42385"/>
  <c r="AL1572" i="42385" s="1"/>
  <c r="AJ197" i="42385"/>
  <c r="AK197" i="42385" s="1"/>
  <c r="CR197" i="42385" s="1"/>
  <c r="CN895" i="42385"/>
  <c r="BF1104" i="42385"/>
  <c r="BK1104" i="42385" s="1"/>
  <c r="BP1104" i="42385" s="1"/>
  <c r="BU1104" i="42385" s="1"/>
  <c r="BB1104" i="42385"/>
  <c r="AW1532" i="42385"/>
  <c r="AW842" i="42385"/>
  <c r="AX841" i="42385"/>
  <c r="BC79" i="42385"/>
  <c r="BC1278" i="42385"/>
  <c r="CU720" i="42385"/>
  <c r="AU721" i="42385"/>
  <c r="CU721" i="42385" s="1"/>
  <c r="DC1379" i="42385"/>
  <c r="CB1379" i="42385"/>
  <c r="CC1379" i="42385" s="1"/>
  <c r="CD1379" i="42385" s="1"/>
  <c r="CE1379" i="42385" s="1"/>
  <c r="CF1379" i="42385" s="1"/>
  <c r="AX631" i="42385"/>
  <c r="AW1543" i="42385"/>
  <c r="AW632" i="42385"/>
  <c r="BG648" i="42385"/>
  <c r="BG281" i="42385"/>
  <c r="Z623" i="42385"/>
  <c r="Z622" i="42385"/>
  <c r="L1084" i="42385"/>
  <c r="AU300" i="42385"/>
  <c r="CU300" i="42385" s="1"/>
  <c r="BP1159" i="42385"/>
  <c r="BP1164" i="42385"/>
  <c r="BK1160" i="42385"/>
  <c r="BK1161" i="42385"/>
  <c r="AT1529" i="42385"/>
  <c r="AU1529" i="42385" s="1"/>
  <c r="CU1529" i="42385" s="1"/>
  <c r="AT904" i="42385"/>
  <c r="AV903" i="42385"/>
  <c r="CE1465" i="42385"/>
  <c r="CE1451" i="42385"/>
  <c r="CE1450" i="42385"/>
  <c r="CE1464" i="42385"/>
  <c r="CE1459" i="42385"/>
  <c r="CE1452" i="42385"/>
  <c r="CE1458" i="42385"/>
  <c r="CE1524" i="42385"/>
  <c r="CE1460" i="42385"/>
  <c r="CF1442" i="42385"/>
  <c r="BK1164" i="42385"/>
  <c r="AR259" i="42385"/>
  <c r="AR128" i="42385"/>
  <c r="AR1558" i="42385"/>
  <c r="BR676" i="42385"/>
  <c r="BR693" i="42385"/>
  <c r="BR695" i="42385" s="1"/>
  <c r="BR233" i="42385"/>
  <c r="AU903" i="42385"/>
  <c r="L901" i="42385"/>
  <c r="CN901" i="42385" s="1"/>
  <c r="AG77" i="42385"/>
  <c r="AG1514" i="42385"/>
  <c r="AK75" i="42385"/>
  <c r="CS65" i="42385"/>
  <c r="C8" i="42465"/>
  <c r="AJ1572" i="42385"/>
  <c r="AK1569" i="42385"/>
  <c r="AI832" i="42385"/>
  <c r="CT613" i="42385"/>
  <c r="AR613" i="42385"/>
  <c r="AT613" i="42385" s="1"/>
  <c r="DB1114" i="42385"/>
  <c r="CA1114" i="42385"/>
  <c r="AP923" i="42385"/>
  <c r="BL994" i="42385"/>
  <c r="L956" i="42385"/>
  <c r="CN956" i="42385" s="1"/>
  <c r="BH1384" i="42385"/>
  <c r="BH1484" i="42385" s="1"/>
  <c r="CZ1373" i="42385"/>
  <c r="BU1373" i="42385"/>
  <c r="BT1375" i="42385"/>
  <c r="CZ1375" i="42385" s="1"/>
  <c r="CN954" i="42385"/>
  <c r="AR1183" i="42385"/>
  <c r="BL993" i="42385"/>
  <c r="AO1024" i="42385"/>
  <c r="AI831" i="42385"/>
  <c r="BD990" i="42385"/>
  <c r="BD992" i="42385" s="1"/>
  <c r="H206" i="42385"/>
  <c r="H207" i="42385"/>
  <c r="AY473" i="42385"/>
  <c r="BA472" i="42385"/>
  <c r="AY1547" i="42385"/>
  <c r="AZ1547" i="42385" s="1"/>
  <c r="CV1547" i="42385" s="1"/>
  <c r="AY474" i="42385"/>
  <c r="AY475" i="42385" s="1"/>
  <c r="AZ475" i="42385" s="1"/>
  <c r="CV475" i="42385" s="1"/>
  <c r="BF1485" i="42385"/>
  <c r="BG1385" i="42385"/>
  <c r="AJ863" i="42385"/>
  <c r="AE862" i="42385"/>
  <c r="AE863" i="42385"/>
  <c r="BS1206" i="42385"/>
  <c r="BS1220" i="42385"/>
  <c r="BS1203" i="42385"/>
  <c r="BS1224" i="42385" s="1"/>
  <c r="BS1214" i="42385"/>
  <c r="AM800" i="42385"/>
  <c r="AR799" i="42385"/>
  <c r="AF861" i="42385"/>
  <c r="R896" i="42385"/>
  <c r="R901" i="42385"/>
  <c r="R892" i="42385"/>
  <c r="Q207" i="42385"/>
  <c r="Q206" i="42385"/>
  <c r="T892" i="42385"/>
  <c r="T901" i="42385"/>
  <c r="T896" i="42385"/>
  <c r="AH831" i="42385"/>
  <c r="AM832" i="42385"/>
  <c r="AG808" i="42385"/>
  <c r="AG803" i="42385"/>
  <c r="AG799" i="42385"/>
  <c r="CQ1424" i="42385"/>
  <c r="AA1426" i="42385"/>
  <c r="CQ1426" i="42385" s="1"/>
  <c r="BG993" i="42385"/>
  <c r="BL299" i="42385"/>
  <c r="AA139" i="42424"/>
  <c r="BI990" i="42385"/>
  <c r="BI992" i="42385" s="1"/>
  <c r="AO1025" i="42385"/>
  <c r="BK992" i="42385"/>
  <c r="L206" i="42385"/>
  <c r="L207" i="42385"/>
  <c r="CS939" i="42385"/>
  <c r="AK1139" i="42385"/>
  <c r="CS1139" i="42385" s="1"/>
  <c r="BF1483" i="42385"/>
  <c r="BG1383" i="42385"/>
  <c r="BP1486" i="42385"/>
  <c r="BQ1386" i="42385"/>
  <c r="AP958" i="42385"/>
  <c r="CT958" i="42385" s="1"/>
  <c r="CT957" i="42385"/>
  <c r="U892" i="42385"/>
  <c r="U896" i="42385"/>
  <c r="U901" i="42385"/>
  <c r="BR1220" i="42385"/>
  <c r="BT1220" i="42385" s="1"/>
  <c r="BR1206" i="42385"/>
  <c r="BR1203" i="42385"/>
  <c r="BR1214" i="42385"/>
  <c r="R206" i="42385"/>
  <c r="R207" i="42385"/>
  <c r="AI800" i="42385"/>
  <c r="AN799" i="42385"/>
  <c r="AJ831" i="42385"/>
  <c r="AO830" i="42385"/>
  <c r="BT1120" i="42385"/>
  <c r="CZ1120" i="42385" s="1"/>
  <c r="AO1026" i="42385"/>
  <c r="BC989" i="42385"/>
  <c r="BC990" i="42385"/>
  <c r="BC992" i="42385" s="1"/>
  <c r="BO1120" i="42385"/>
  <c r="CY1120" i="42385" s="1"/>
  <c r="BX1103" i="42385"/>
  <c r="BY1103" i="42385" s="1"/>
  <c r="BT1103" i="42385"/>
  <c r="CZ1103" i="42385" s="1"/>
  <c r="S892" i="42385"/>
  <c r="S894" i="42385" s="1"/>
  <c r="S896" i="42385"/>
  <c r="S901" i="42385"/>
  <c r="BR1385" i="42385"/>
  <c r="BR1485" i="42385" s="1"/>
  <c r="CQ183" i="42385"/>
  <c r="AB183" i="42385"/>
  <c r="AC183" i="42385" s="1"/>
  <c r="AD183" i="42385" s="1"/>
  <c r="AE183" i="42385" s="1"/>
  <c r="AF183" i="42385" s="1"/>
  <c r="CZ1414" i="42385"/>
  <c r="BU1414" i="42385"/>
  <c r="BV1414" i="42385" s="1"/>
  <c r="BW1414" i="42385" s="1"/>
  <c r="BX1414" i="42385" s="1"/>
  <c r="BY1414" i="42385" s="1"/>
  <c r="BT1197" i="42385"/>
  <c r="CV281" i="42385"/>
  <c r="GC467" i="42417"/>
  <c r="GG467" i="42417" s="1"/>
  <c r="BD1481" i="42385"/>
  <c r="BE1481" i="42385" s="1"/>
  <c r="CW1481" i="42385" s="1"/>
  <c r="AM348" i="42385"/>
  <c r="AL347" i="42385"/>
  <c r="DA1289" i="42385"/>
  <c r="BY115" i="42385"/>
  <c r="DA115" i="42385" s="1"/>
  <c r="CW643" i="42385"/>
  <c r="BE645" i="42385"/>
  <c r="CW645" i="42385" s="1"/>
  <c r="AL1375" i="42385"/>
  <c r="AL1424" i="42385" s="1"/>
  <c r="AM1373" i="42385"/>
  <c r="BK371" i="42385"/>
  <c r="BK219" i="42385"/>
  <c r="AK354" i="42385"/>
  <c r="CS347" i="42385"/>
  <c r="BW755" i="42385"/>
  <c r="BW236" i="42385"/>
  <c r="BW752" i="42385"/>
  <c r="BJ77" i="42385"/>
  <c r="CX75" i="42385"/>
  <c r="BJ1514" i="42385"/>
  <c r="V76" i="42476" s="1"/>
  <c r="V75" i="42476" s="1"/>
  <c r="V78" i="42476" s="1"/>
  <c r="V81" i="42476" s="1"/>
  <c r="BX649" i="42385"/>
  <c r="BX650" i="42385" s="1"/>
  <c r="BS650" i="42385"/>
  <c r="CZ450" i="42385"/>
  <c r="BY450" i="42385"/>
  <c r="CX1183" i="42385"/>
  <c r="BJ1184" i="42385"/>
  <c r="CX1184" i="42385" s="1"/>
  <c r="W1278" i="42385"/>
  <c r="W79" i="42385"/>
  <c r="W92" i="42385" s="1"/>
  <c r="W90" i="42385"/>
  <c r="BA281" i="42385"/>
  <c r="BE281" i="42385" s="1"/>
  <c r="CW281" i="42385" s="1"/>
  <c r="BA648" i="42385"/>
  <c r="BE647" i="42385"/>
  <c r="AW356" i="42385"/>
  <c r="AV1528" i="42385"/>
  <c r="AV357" i="42385"/>
  <c r="AN345" i="42385"/>
  <c r="AS344" i="42385"/>
  <c r="BI757" i="42385"/>
  <c r="BI286" i="42385"/>
  <c r="BI756" i="42385"/>
  <c r="CX1572" i="42385"/>
  <c r="BJ1599" i="42385"/>
  <c r="AO344" i="42385"/>
  <c r="AJ346" i="42385"/>
  <c r="AK344" i="42385"/>
  <c r="AJ345" i="42385"/>
  <c r="K39" i="42470"/>
  <c r="Q45" i="42470"/>
  <c r="Q46" i="42470" s="1"/>
  <c r="P45" i="42470"/>
  <c r="P46" i="42470" s="1"/>
  <c r="GO497" i="42417"/>
  <c r="CT245" i="42385"/>
  <c r="GP497" i="42417"/>
  <c r="BR286" i="42385"/>
  <c r="BR757" i="42385"/>
  <c r="BR756" i="42385"/>
  <c r="AU598" i="42385"/>
  <c r="CU597" i="42385"/>
  <c r="BZ1289" i="42385"/>
  <c r="CA1341" i="42385"/>
  <c r="DB1341" i="42385"/>
  <c r="BC100" i="42418"/>
  <c r="AZ100" i="42418"/>
  <c r="BS751" i="42385"/>
  <c r="BN752" i="42385"/>
  <c r="BN755" i="42385"/>
  <c r="AQ184" i="42385"/>
  <c r="AR184" i="42385" s="1"/>
  <c r="AS184" i="42385" s="1"/>
  <c r="AT184" i="42385" s="1"/>
  <c r="CT184" i="42385"/>
  <c r="AU184" i="42385"/>
  <c r="BK643" i="42385"/>
  <c r="BF644" i="42385"/>
  <c r="BF647" i="42385"/>
  <c r="BJ643" i="42385"/>
  <c r="BU370" i="42385"/>
  <c r="BP370" i="42385"/>
  <c r="BE1243" i="42385"/>
  <c r="CW1233" i="42385"/>
  <c r="R169" i="42385"/>
  <c r="S169" i="42385" s="1"/>
  <c r="T169" i="42385" s="1"/>
  <c r="CO169" i="42385"/>
  <c r="AS274" i="42385"/>
  <c r="AS603" i="42385"/>
  <c r="K901" i="42385"/>
  <c r="K892" i="42385"/>
  <c r="K893" i="42385" s="1"/>
  <c r="K896" i="42385"/>
  <c r="BF990" i="42385"/>
  <c r="BF992" i="42385" s="1"/>
  <c r="BF994" i="42385" s="1"/>
  <c r="BF989" i="42385"/>
  <c r="AG831" i="42385"/>
  <c r="AK830" i="42385"/>
  <c r="H298" i="42400"/>
  <c r="H895" i="42385" s="1"/>
  <c r="CB336" i="42385"/>
  <c r="CC334" i="42385"/>
  <c r="AJ298" i="42400"/>
  <c r="AJ895" i="42385" s="1"/>
  <c r="AJ901" i="42385" s="1"/>
  <c r="BY60" i="42385"/>
  <c r="BG1378" i="42385"/>
  <c r="BH1378" i="42385" s="1"/>
  <c r="CW1381" i="42385"/>
  <c r="BF1381" i="42385"/>
  <c r="BF1481" i="42385" s="1"/>
  <c r="DA1357" i="42385"/>
  <c r="BZ1357" i="42385"/>
  <c r="CA339" i="42385"/>
  <c r="DC339" i="42385" s="1"/>
  <c r="DC336" i="42385"/>
  <c r="AI901" i="42385"/>
  <c r="AI892" i="42385"/>
  <c r="AI896" i="42385"/>
  <c r="AH896" i="42385"/>
  <c r="AH901" i="42385"/>
  <c r="AH892" i="42385"/>
  <c r="AM894" i="42385" s="1"/>
  <c r="BA997" i="42385"/>
  <c r="BA994" i="42385"/>
  <c r="BA993" i="42385"/>
  <c r="BA299" i="42385"/>
  <c r="BP1591" i="42385"/>
  <c r="BP1592" i="42385" s="1"/>
  <c r="BO697" i="42385"/>
  <c r="BD1498" i="42385"/>
  <c r="BE1498" i="42385" s="1"/>
  <c r="CW1498" i="42385" s="1"/>
  <c r="AN924" i="42385"/>
  <c r="AS923" i="42385"/>
  <c r="AN928" i="42385"/>
  <c r="AN930" i="42385" s="1"/>
  <c r="AZ146" i="42417"/>
  <c r="CS901" i="42385"/>
  <c r="BZ60" i="42385"/>
  <c r="DB1175" i="42385"/>
  <c r="AB185" i="42385"/>
  <c r="AC185" i="42385" s="1"/>
  <c r="AD185" i="42385" s="1"/>
  <c r="AE185" i="42385" s="1"/>
  <c r="AF185" i="42385" s="1"/>
  <c r="CQ185" i="42385"/>
  <c r="BD163" i="42385"/>
  <c r="BE151" i="42385"/>
  <c r="AM924" i="42385"/>
  <c r="AM925" i="42385"/>
  <c r="AR923" i="42385"/>
  <c r="N893" i="42385"/>
  <c r="I896" i="42385"/>
  <c r="I901" i="42385"/>
  <c r="I892" i="42385"/>
  <c r="AB186" i="42385"/>
  <c r="AC186" i="42385" s="1"/>
  <c r="AD186" i="42385" s="1"/>
  <c r="AE186" i="42385" s="1"/>
  <c r="AF186" i="42385" s="1"/>
  <c r="CQ186" i="42385"/>
  <c r="BY307" i="42385"/>
  <c r="CQ181" i="42385"/>
  <c r="AB181" i="42385"/>
  <c r="AC181" i="42385" s="1"/>
  <c r="AD181" i="42385" s="1"/>
  <c r="AE181" i="42385" s="1"/>
  <c r="AF181" i="42385" s="1"/>
  <c r="BR1183" i="42385"/>
  <c r="BR1184" i="42385" s="1"/>
  <c r="BR1181" i="42385"/>
  <c r="AC893" i="42385"/>
  <c r="AC894" i="42385"/>
  <c r="BW1077" i="42385"/>
  <c r="BY1072" i="42385"/>
  <c r="BW1073" i="42385"/>
  <c r="DC1396" i="42385"/>
  <c r="CB1396" i="42385"/>
  <c r="CC1396" i="42385" s="1"/>
  <c r="CD1396" i="42385" s="1"/>
  <c r="CE1396" i="42385" s="1"/>
  <c r="CF1396" i="42385" s="1"/>
  <c r="AL832" i="42385"/>
  <c r="AL831" i="42385"/>
  <c r="AQ830" i="42385"/>
  <c r="AY1017" i="42385"/>
  <c r="CR174" i="42385"/>
  <c r="AG174" i="42385"/>
  <c r="AH174" i="42385" s="1"/>
  <c r="AI174" i="42385" s="1"/>
  <c r="AJ174" i="42385" s="1"/>
  <c r="AK174" i="42385" s="1"/>
  <c r="CR175" i="42385"/>
  <c r="AG175" i="42385"/>
  <c r="AH175" i="42385" s="1"/>
  <c r="AI175" i="42385" s="1"/>
  <c r="AJ175" i="42385" s="1"/>
  <c r="AK175" i="42385" s="1"/>
  <c r="AE831" i="42385"/>
  <c r="AJ832" i="42385"/>
  <c r="AE832" i="42385"/>
  <c r="DC1174" i="42385"/>
  <c r="CA1175" i="42385"/>
  <c r="CB1174" i="42385"/>
  <c r="BW1115" i="42385"/>
  <c r="BW312" i="42385" s="1"/>
  <c r="BW23" i="42385" s="1"/>
  <c r="BY1110" i="42385"/>
  <c r="AG896" i="42385"/>
  <c r="AG892" i="42385"/>
  <c r="AG901" i="42385"/>
  <c r="DC1369" i="42385"/>
  <c r="CB1369" i="42385"/>
  <c r="CC1369" i="42385" s="1"/>
  <c r="CD1369" i="42385" s="1"/>
  <c r="CE1369" i="42385" s="1"/>
  <c r="CF1369" i="42385" s="1"/>
  <c r="F893" i="42385"/>
  <c r="AR892" i="42385"/>
  <c r="AM893" i="42385"/>
  <c r="AP480" i="42385"/>
  <c r="AO1140" i="42385"/>
  <c r="G892" i="42385"/>
  <c r="D893" i="42385"/>
  <c r="P893" i="42385"/>
  <c r="U894" i="42385"/>
  <c r="DA1194" i="42385"/>
  <c r="CP54" i="42385"/>
  <c r="V1663" i="42385"/>
  <c r="CO50" i="42385"/>
  <c r="Q54" i="42385"/>
  <c r="V51" i="42385"/>
  <c r="CP51" i="42385" s="1"/>
  <c r="Q51" i="42385"/>
  <c r="CO51" i="42385" s="1"/>
  <c r="AD831" i="42385"/>
  <c r="AD832" i="42385"/>
  <c r="O893" i="42385"/>
  <c r="Q892" i="42385"/>
  <c r="BR1483" i="42385"/>
  <c r="BS1383" i="42385"/>
  <c r="BT1383" i="42385" s="1"/>
  <c r="E52" i="42465"/>
  <c r="AL865" i="42385"/>
  <c r="AL861" i="42385"/>
  <c r="AL870" i="42385"/>
  <c r="BU1148" i="42385"/>
  <c r="BV1148" i="42385" s="1"/>
  <c r="BW1148" i="42385" s="1"/>
  <c r="BX1148" i="42385" s="1"/>
  <c r="BY1148" i="42385" s="1"/>
  <c r="CZ1148" i="42385"/>
  <c r="T894" i="42385"/>
  <c r="AQ892" i="42385"/>
  <c r="AL893" i="42385"/>
  <c r="AG172" i="42385"/>
  <c r="AH172" i="42385" s="1"/>
  <c r="AI172" i="42385" s="1"/>
  <c r="AJ172" i="42385" s="1"/>
  <c r="AK172" i="42385" s="1"/>
  <c r="CR172" i="42385"/>
  <c r="BZ1067" i="42385"/>
  <c r="BJ163" i="42385"/>
  <c r="CX163" i="42385" s="1"/>
  <c r="AM865" i="42385"/>
  <c r="AM861" i="42385"/>
  <c r="AM870" i="42385"/>
  <c r="AB832" i="42385"/>
  <c r="AF830" i="42385"/>
  <c r="AG832" i="42385"/>
  <c r="AB831" i="42385"/>
  <c r="CT187" i="42385"/>
  <c r="AQ187" i="42385"/>
  <c r="AR187" i="42385" s="1"/>
  <c r="AS187" i="42385" s="1"/>
  <c r="AT187" i="42385" s="1"/>
  <c r="AU187" i="42385"/>
  <c r="AW997" i="42385"/>
  <c r="AW299" i="42385"/>
  <c r="AZ299" i="42385" s="1"/>
  <c r="AW993" i="42385"/>
  <c r="CB1416" i="42385"/>
  <c r="CC1416" i="42385" s="1"/>
  <c r="CD1416" i="42385" s="1"/>
  <c r="CE1416" i="42385" s="1"/>
  <c r="CF1416" i="42385" s="1"/>
  <c r="DC1416" i="42385"/>
  <c r="K45" i="42476"/>
  <c r="P9" i="42476"/>
  <c r="K9" i="42476"/>
  <c r="AY52" i="42385"/>
  <c r="AY54" i="42385"/>
  <c r="AY65" i="42385"/>
  <c r="AY75" i="42385" s="1"/>
  <c r="AY51" i="42385"/>
  <c r="BC197" i="42385"/>
  <c r="AY42" i="42385"/>
  <c r="BB197" i="42385"/>
  <c r="AY43" i="42385"/>
  <c r="BA197" i="42385"/>
  <c r="AY41" i="42385"/>
  <c r="CA976" i="42385"/>
  <c r="DB976" i="42385"/>
  <c r="BZ977" i="42385"/>
  <c r="DB977" i="42385" s="1"/>
  <c r="BZ152" i="42400"/>
  <c r="BZ167" i="42400" s="1"/>
  <c r="BZ169" i="42400" s="1"/>
  <c r="BZ988" i="42385" s="1"/>
  <c r="BS137" i="42400"/>
  <c r="BY134" i="42400"/>
  <c r="BY140" i="42400"/>
  <c r="BY141" i="42400"/>
  <c r="BY135" i="42400"/>
  <c r="BY142" i="42400"/>
  <c r="BZ920" i="42385"/>
  <c r="CA917" i="42385"/>
  <c r="BZ130" i="42400"/>
  <c r="DB917" i="42385"/>
  <c r="DC802" i="42385"/>
  <c r="CA803" i="42385"/>
  <c r="DC803" i="42385" s="1"/>
  <c r="DB802" i="42385"/>
  <c r="BZ803" i="42385"/>
  <c r="DB803" i="42385" s="1"/>
  <c r="CB34" i="42400"/>
  <c r="CB49" i="42400" s="1"/>
  <c r="CC790" i="42385"/>
  <c r="CB45" i="42400"/>
  <c r="CC41" i="42400"/>
  <c r="CC40" i="42400"/>
  <c r="CC38" i="42400"/>
  <c r="CC43" i="42400"/>
  <c r="CC42" i="42400"/>
  <c r="CC37" i="42400"/>
  <c r="CC39" i="42400"/>
  <c r="CC47" i="42400"/>
  <c r="CD33" i="42400"/>
  <c r="CE793" i="42385"/>
  <c r="AX79" i="42385"/>
  <c r="AX1278" i="42385"/>
  <c r="BW1311" i="42385"/>
  <c r="AZ65" i="42385"/>
  <c r="J33" i="42470"/>
  <c r="J35" i="42470" s="1"/>
  <c r="F33" i="42470" s="1"/>
  <c r="CV50" i="42385"/>
  <c r="AZ52" i="42385"/>
  <c r="CV52" i="42385" s="1"/>
  <c r="AZ54" i="42385"/>
  <c r="AZ42" i="42385"/>
  <c r="CV42" i="42385" s="1"/>
  <c r="CV40" i="42385"/>
  <c r="L45" i="42476"/>
  <c r="AA10" i="42476"/>
  <c r="GM581" i="42464"/>
  <c r="GM583" i="42464" s="1"/>
  <c r="GM588" i="42464" s="1"/>
  <c r="AD41" i="42464"/>
  <c r="AE33" i="42464"/>
  <c r="Y106" i="42385"/>
  <c r="Y114" i="42385" s="1"/>
  <c r="Y120" i="42385" s="1"/>
  <c r="Y1656" i="42385" s="1"/>
  <c r="Y1619" i="42385"/>
  <c r="Y93" i="42385"/>
  <c r="Y1658" i="42385" s="1"/>
  <c r="AH93" i="42385"/>
  <c r="AH1658" i="42385" s="1"/>
  <c r="AH106" i="42385"/>
  <c r="AH114" i="42385" s="1"/>
  <c r="AH120" i="42385" s="1"/>
  <c r="AH1619" i="42385"/>
  <c r="Y1301" i="42385"/>
  <c r="Y1330" i="42385" s="1"/>
  <c r="Y1642" i="42385"/>
  <c r="AM25" i="42476"/>
  <c r="EM483" i="42492"/>
  <c r="AA156" i="42424"/>
  <c r="BS144" i="42400"/>
  <c r="BE1569" i="42385"/>
  <c r="BJ41" i="42385"/>
  <c r="CX41" i="42385" s="1"/>
  <c r="CW40" i="42385"/>
  <c r="BJ43" i="42385"/>
  <c r="CX43" i="42385" s="1"/>
  <c r="BE42" i="42385"/>
  <c r="CW42" i="42385" s="1"/>
  <c r="BE43" i="42385"/>
  <c r="CW43" i="42385" s="1"/>
  <c r="Q12" i="42476"/>
  <c r="BE41" i="42385"/>
  <c r="CW41" i="42385" s="1"/>
  <c r="BN1233" i="42385"/>
  <c r="BO221" i="42385"/>
  <c r="CY221" i="42385" s="1"/>
  <c r="BF286" i="42385"/>
  <c r="BF756" i="42385"/>
  <c r="BF757" i="42385"/>
  <c r="U13" i="42476"/>
  <c r="AT1535" i="42385"/>
  <c r="AU1535" i="42385" s="1"/>
  <c r="CU1535" i="42385" s="1"/>
  <c r="AV872" i="42385"/>
  <c r="AT873" i="42385"/>
  <c r="BU718" i="42385"/>
  <c r="BU719" i="42385"/>
  <c r="BU284" i="42385"/>
  <c r="W12" i="42412"/>
  <c r="BF1626" i="42385"/>
  <c r="CA1626" i="42385"/>
  <c r="DC1626" i="42385" s="1"/>
  <c r="CW1626" i="42385"/>
  <c r="AV445" i="42385"/>
  <c r="AV446" i="42385" s="1"/>
  <c r="BA443" i="42385"/>
  <c r="AV1546" i="42385"/>
  <c r="AW443" i="42385"/>
  <c r="AV444" i="42385"/>
  <c r="AQ1525" i="42385"/>
  <c r="AR1523" i="42385"/>
  <c r="BE51" i="42385"/>
  <c r="CW51" i="42385" s="1"/>
  <c r="BE52" i="42385"/>
  <c r="CW52" i="42385" s="1"/>
  <c r="BE54" i="42385"/>
  <c r="CW50" i="42385"/>
  <c r="V9" i="42476"/>
  <c r="Q9" i="42476"/>
  <c r="Q45" i="42476"/>
  <c r="BN268" i="42385"/>
  <c r="BO268" i="42385" s="1"/>
  <c r="CY268" i="42385" s="1"/>
  <c r="BN441" i="42385"/>
  <c r="BN442" i="42385"/>
  <c r="BJ749" i="42385"/>
  <c r="CX749" i="42385" s="1"/>
  <c r="CX748" i="42385"/>
  <c r="CV88" i="42385"/>
  <c r="F14" i="42465"/>
  <c r="AZ1645" i="42385"/>
  <c r="BK1549" i="42385"/>
  <c r="BL995" i="42385"/>
  <c r="BD1634" i="42385"/>
  <c r="BD1599" i="42385"/>
  <c r="BW283" i="42385"/>
  <c r="BW696" i="42385"/>
  <c r="CX1233" i="42385"/>
  <c r="BJ1234" i="42385"/>
  <c r="CX1234" i="42385" s="1"/>
  <c r="W11" i="42412"/>
  <c r="CC71" i="42385"/>
  <c r="CD1169" i="42385"/>
  <c r="CC1548" i="42385"/>
  <c r="AU1018" i="42385"/>
  <c r="CU1018" i="42385" s="1"/>
  <c r="CU1016" i="42385"/>
  <c r="S77" i="42385"/>
  <c r="S1514" i="42385"/>
  <c r="BJ236" i="42385"/>
  <c r="BF238" i="42385"/>
  <c r="BK236" i="42385"/>
  <c r="BO748" i="42385"/>
  <c r="BK752" i="42385"/>
  <c r="BP748" i="42385"/>
  <c r="BK755" i="42385"/>
  <c r="BD1514" i="42385"/>
  <c r="BD77" i="42385"/>
  <c r="BZ429" i="42385"/>
  <c r="DA429" i="42385"/>
  <c r="AJ52" i="42385"/>
  <c r="AK14" i="42385"/>
  <c r="AJ200" i="42385"/>
  <c r="AK200" i="42385" s="1"/>
  <c r="AJ56" i="42385"/>
  <c r="AO15" i="42385"/>
  <c r="AL200" i="42385"/>
  <c r="AJ15" i="42385"/>
  <c r="AN200" i="42385"/>
  <c r="AM200" i="42385"/>
  <c r="BN1102" i="42385"/>
  <c r="BJ1102" i="42385"/>
  <c r="CX1102" i="42385" s="1"/>
  <c r="AB10" i="42412"/>
  <c r="AV1017" i="42385"/>
  <c r="AZ1016" i="42385"/>
  <c r="AV1021" i="42385"/>
  <c r="AU872" i="42385"/>
  <c r="CW1269" i="42385"/>
  <c r="BE1270" i="42385"/>
  <c r="BP764" i="42385"/>
  <c r="BQ764" i="42385" s="1"/>
  <c r="BR764" i="42385" s="1"/>
  <c r="BS764" i="42385" s="1"/>
  <c r="BT764" i="42385" s="1"/>
  <c r="CY764" i="42385"/>
  <c r="BC79" i="42418"/>
  <c r="AZ79" i="42418"/>
  <c r="BF79" i="42418"/>
  <c r="BT995" i="42385"/>
  <c r="CY995" i="42385"/>
  <c r="BO434" i="42385"/>
  <c r="CY434" i="42385" s="1"/>
  <c r="CY430" i="42385"/>
  <c r="BO431" i="42385"/>
  <c r="CY431" i="42385" s="1"/>
  <c r="BO440" i="42385"/>
  <c r="AU443" i="42385"/>
  <c r="AT1546" i="42385"/>
  <c r="AQ1023" i="42385"/>
  <c r="AU1023" i="42385" s="1"/>
  <c r="AU1021" i="42385"/>
  <c r="CU1021" i="42385" s="1"/>
  <c r="BD55" i="42385"/>
  <c r="BD56" i="42385"/>
  <c r="BD1663" i="42385"/>
  <c r="BS1382" i="42385"/>
  <c r="BT1382" i="42385" s="1"/>
  <c r="CW236" i="42385"/>
  <c r="EF449" i="42492"/>
  <c r="BU696" i="42385"/>
  <c r="BU697" i="42385"/>
  <c r="BU283" i="42385"/>
  <c r="BK997" i="42385"/>
  <c r="BK994" i="42385"/>
  <c r="BK993" i="42385"/>
  <c r="BK299" i="42385"/>
  <c r="CT247" i="42385"/>
  <c r="GO493" i="42417"/>
  <c r="K1004" i="42385"/>
  <c r="K1005" i="42385" s="1"/>
  <c r="L1003" i="42385"/>
  <c r="BR1478" i="42385"/>
  <c r="BM1164" i="42385"/>
  <c r="CA701" i="42385"/>
  <c r="BZ682" i="42385"/>
  <c r="K818" i="42385"/>
  <c r="K819" i="42385" s="1"/>
  <c r="L817" i="42385"/>
  <c r="K942" i="42385"/>
  <c r="K943" i="42385" s="1"/>
  <c r="L941" i="42385"/>
  <c r="AP1025" i="42385"/>
  <c r="CT1025" i="42385" s="1"/>
  <c r="CT1023" i="42385"/>
  <c r="AP1026" i="42385"/>
  <c r="CT1026" i="42385" s="1"/>
  <c r="AP1024" i="42385"/>
  <c r="CT1024" i="42385" s="1"/>
  <c r="CY981" i="42385"/>
  <c r="BO982" i="42385"/>
  <c r="CW1400" i="42385"/>
  <c r="BF1400" i="42385"/>
  <c r="DC821" i="42385"/>
  <c r="CA84" i="42400"/>
  <c r="CA99" i="42400" s="1"/>
  <c r="CB821" i="42385"/>
  <c r="L786" i="42385"/>
  <c r="K787" i="42385"/>
  <c r="K788" i="42385" s="1"/>
  <c r="AJ131" i="42385"/>
  <c r="AE118" i="42385"/>
  <c r="AF118" i="42385" s="1"/>
  <c r="CR118" i="42385" s="1"/>
  <c r="AE133" i="42385"/>
  <c r="AF133" i="42385" s="1"/>
  <c r="CR133" i="42385" s="1"/>
  <c r="AF130" i="42385"/>
  <c r="AE131" i="42385"/>
  <c r="CF166" i="42385"/>
  <c r="CF130" i="42385"/>
  <c r="BT181" i="42417"/>
  <c r="BT183" i="42417" s="1"/>
  <c r="BT200" i="42417" s="1"/>
  <c r="BY200" i="42417" s="1"/>
  <c r="DH290" i="42417"/>
  <c r="AK1663" i="42385"/>
  <c r="CS54" i="42385"/>
  <c r="CE59" i="42385"/>
  <c r="CD1283" i="42385"/>
  <c r="CD109" i="42385"/>
  <c r="CD1645" i="42385"/>
  <c r="AS1172" i="42385"/>
  <c r="AU1172" i="42385" s="1"/>
  <c r="CU1172" i="42385" s="1"/>
  <c r="AU1171" i="42385"/>
  <c r="CU1171" i="42385" s="1"/>
  <c r="BJ159" i="42385"/>
  <c r="BJ165" i="42385" s="1"/>
  <c r="CV287" i="42385"/>
  <c r="GC461" i="42417"/>
  <c r="GG461" i="42417" s="1"/>
  <c r="G17" i="42464"/>
  <c r="J1591" i="42385"/>
  <c r="J1592" i="42385" s="1"/>
  <c r="J1631" i="42385"/>
  <c r="J1583" i="42385"/>
  <c r="J1584" i="42385" s="1"/>
  <c r="J1634" i="42385"/>
  <c r="BS1478" i="42385"/>
  <c r="BT1378" i="42385"/>
  <c r="C6" i="42465"/>
  <c r="AK26" i="42385"/>
  <c r="CS26" i="42385" s="1"/>
  <c r="CS24" i="42385"/>
  <c r="AK43" i="42385"/>
  <c r="CS43" i="42385" s="1"/>
  <c r="BR1170" i="42385"/>
  <c r="BR1167" i="42385"/>
  <c r="BR1157" i="42385"/>
  <c r="BR1162" i="42385"/>
  <c r="BR1159" i="42385" s="1"/>
  <c r="BY865" i="42385"/>
  <c r="DA865" i="42385" s="1"/>
  <c r="DA864" i="42385"/>
  <c r="BP982" i="42385"/>
  <c r="BU981" i="42385"/>
  <c r="BT981" i="42385"/>
  <c r="L880" i="42385"/>
  <c r="CN879" i="42385"/>
  <c r="K880" i="42385"/>
  <c r="K881" i="42385" s="1"/>
  <c r="K1141" i="42385"/>
  <c r="CY1155" i="42385"/>
  <c r="BO1156" i="42385"/>
  <c r="BT1155" i="42385"/>
  <c r="AF166" i="42385"/>
  <c r="CR165" i="42385"/>
  <c r="AN831" i="42385"/>
  <c r="AS830" i="42385"/>
  <c r="AN835" i="42385"/>
  <c r="AN837" i="42385" s="1"/>
  <c r="AP830" i="42385"/>
  <c r="BP144" i="42400"/>
  <c r="CN1084" i="42385"/>
  <c r="L1085" i="42385"/>
  <c r="K831" i="42385"/>
  <c r="L830" i="42385"/>
  <c r="P832" i="42385"/>
  <c r="K832" i="42385"/>
  <c r="BC776" i="42385"/>
  <c r="BC775" i="42385"/>
  <c r="BC287" i="42385"/>
  <c r="BE287" i="42385" s="1"/>
  <c r="CW287" i="42385" s="1"/>
  <c r="BE774" i="42385"/>
  <c r="BT148" i="42400"/>
  <c r="BT926" i="42385" s="1"/>
  <c r="CR190" i="42385"/>
  <c r="AG190" i="42385"/>
  <c r="AH190" i="42385" s="1"/>
  <c r="AI190" i="42385" s="1"/>
  <c r="AJ190" i="42385" s="1"/>
  <c r="AK190" i="42385" s="1"/>
  <c r="BM649" i="42385"/>
  <c r="BJ649" i="42385"/>
  <c r="CX649" i="42385" s="1"/>
  <c r="CA852" i="42385"/>
  <c r="DB852" i="42385"/>
  <c r="BZ60" i="42400"/>
  <c r="BZ73" i="42400" s="1"/>
  <c r="AU247" i="42385"/>
  <c r="CU1013" i="42385"/>
  <c r="AU1014" i="42385"/>
  <c r="CU1014" i="42385" s="1"/>
  <c r="AU1017" i="42385"/>
  <c r="CU1017" i="42385" s="1"/>
  <c r="BP137" i="42400"/>
  <c r="BK996" i="42385"/>
  <c r="BK986" i="42385"/>
  <c r="BK983" i="42385"/>
  <c r="BK246" i="42385"/>
  <c r="BJ1157" i="42385"/>
  <c r="CX1157" i="42385" s="1"/>
  <c r="CX1156" i="42385"/>
  <c r="BJ1170" i="42385"/>
  <c r="CX1170" i="42385" s="1"/>
  <c r="BJ1167" i="42385"/>
  <c r="CX1167" i="42385" s="1"/>
  <c r="K364" i="42385"/>
  <c r="L363" i="42385"/>
  <c r="BK763" i="42385"/>
  <c r="BL763" i="42385" s="1"/>
  <c r="BM763" i="42385" s="1"/>
  <c r="BN763" i="42385" s="1"/>
  <c r="BO763" i="42385" s="1"/>
  <c r="CX763" i="42385"/>
  <c r="M1514" i="42385"/>
  <c r="M77" i="42385"/>
  <c r="BR144" i="42400"/>
  <c r="BR148" i="42400" s="1"/>
  <c r="BR926" i="42385" s="1"/>
  <c r="BR927" i="42385" s="1"/>
  <c r="BF249" i="42385"/>
  <c r="BJ249" i="42385" s="1"/>
  <c r="BJ246" i="42385"/>
  <c r="BA958" i="42385"/>
  <c r="BE957" i="42385"/>
  <c r="AU1187" i="42385"/>
  <c r="CU1187" i="42385" s="1"/>
  <c r="CU1166" i="42385"/>
  <c r="AU1167" i="42385"/>
  <c r="CU1167" i="42385" s="1"/>
  <c r="BM767" i="42385"/>
  <c r="BH237" i="42385"/>
  <c r="BJ237" i="42385" s="1"/>
  <c r="BH774" i="42385"/>
  <c r="BH771" i="42385"/>
  <c r="BJ767" i="42385"/>
  <c r="BM1160" i="42385"/>
  <c r="BM1161" i="42385"/>
  <c r="AO41" i="42385"/>
  <c r="AJ42" i="42385"/>
  <c r="AO43" i="42385"/>
  <c r="AW612" i="42385"/>
  <c r="AY612" i="42385" s="1"/>
  <c r="CU612" i="42385"/>
  <c r="DC328" i="42464"/>
  <c r="DC330" i="42464" s="1"/>
  <c r="CX982" i="42385"/>
  <c r="BJ996" i="42385"/>
  <c r="CX996" i="42385" s="1"/>
  <c r="BJ983" i="42385"/>
  <c r="CX983" i="42385" s="1"/>
  <c r="AZ776" i="42385"/>
  <c r="CV776" i="42385" s="1"/>
  <c r="CV774" i="42385"/>
  <c r="AZ775" i="42385"/>
  <c r="CV775" i="42385" s="1"/>
  <c r="CP176" i="42385"/>
  <c r="W176" i="42385"/>
  <c r="X176" i="42385" s="1"/>
  <c r="Y176" i="42385" s="1"/>
  <c r="Z176" i="42385" s="1"/>
  <c r="AA176" i="42385" s="1"/>
  <c r="BE515" i="42385"/>
  <c r="CW515" i="42385" s="1"/>
  <c r="CW514" i="42385"/>
  <c r="BE519" i="42385"/>
  <c r="CW519" i="42385" s="1"/>
  <c r="AX1545" i="42385"/>
  <c r="AX605" i="42385"/>
  <c r="AY604" i="42385"/>
  <c r="AY1545" i="42385" s="1"/>
  <c r="AT1024" i="42385"/>
  <c r="AT1026" i="42385"/>
  <c r="AT1025" i="42385"/>
  <c r="AT301" i="42385"/>
  <c r="CN910" i="42385"/>
  <c r="L911" i="42385"/>
  <c r="CN911" i="42385" s="1"/>
  <c r="BQ137" i="42400"/>
  <c r="GN520" i="42417"/>
  <c r="AP301" i="42385"/>
  <c r="CA915" i="42385"/>
  <c r="DC915" i="42385" s="1"/>
  <c r="CB914" i="42385"/>
  <c r="CA131" i="42400"/>
  <c r="CA146" i="42400" s="1"/>
  <c r="DC914" i="42385"/>
  <c r="CE130" i="42385"/>
  <c r="CE131" i="42385" s="1"/>
  <c r="CE166" i="42385"/>
  <c r="BQ144" i="42400"/>
  <c r="AT861" i="42385"/>
  <c r="AO862" i="42385"/>
  <c r="AO866" i="42385"/>
  <c r="AO868" i="42385" s="1"/>
  <c r="AP861" i="42385"/>
  <c r="H1278" i="42385"/>
  <c r="H90" i="42385"/>
  <c r="H79" i="42385"/>
  <c r="H92" i="42385" s="1"/>
  <c r="B30" i="42412"/>
  <c r="D27" i="42412"/>
  <c r="B29" i="42412"/>
  <c r="D29" i="42412" s="1"/>
  <c r="AH862" i="42385"/>
  <c r="AM863" i="42385"/>
  <c r="AK861" i="42385"/>
  <c r="AH863" i="42385"/>
  <c r="CW767" i="42385"/>
  <c r="BE771" i="42385"/>
  <c r="CW771" i="42385" s="1"/>
  <c r="BE768" i="42385"/>
  <c r="CW768" i="42385" s="1"/>
  <c r="BY1250" i="42385"/>
  <c r="X92" i="42408"/>
  <c r="X108" i="42408" s="1"/>
  <c r="AB113" i="42408"/>
  <c r="AB122" i="42408" s="1"/>
  <c r="BO676" i="42385"/>
  <c r="BL1237" i="42385"/>
  <c r="BK1238" i="42385"/>
  <c r="BK1241" i="42385"/>
  <c r="AJ594" i="42385"/>
  <c r="AK597" i="42385"/>
  <c r="CS597" i="42385" s="1"/>
  <c r="BO677" i="42385"/>
  <c r="BM1511" i="42385"/>
  <c r="BD1645" i="42385"/>
  <c r="GC465" i="42417"/>
  <c r="GG465" i="42417" s="1"/>
  <c r="G21" i="42464"/>
  <c r="CV270" i="42385"/>
  <c r="AH963" i="42385"/>
  <c r="AH954" i="42385"/>
  <c r="AH958" i="42385"/>
  <c r="CV370" i="42385"/>
  <c r="AZ371" i="42385"/>
  <c r="CV371" i="42385" s="1"/>
  <c r="AA800" i="42385"/>
  <c r="CQ800" i="42385" s="1"/>
  <c r="CQ799" i="42385"/>
  <c r="AA801" i="42385"/>
  <c r="CQ801" i="42385" s="1"/>
  <c r="BE619" i="42385"/>
  <c r="CW619" i="42385" s="1"/>
  <c r="CW618" i="42385"/>
  <c r="BS674" i="42385"/>
  <c r="BT674" i="42385" s="1"/>
  <c r="Q375" i="42385"/>
  <c r="CO375" i="42385" s="1"/>
  <c r="Q374" i="42385"/>
  <c r="CO374" i="42385" s="1"/>
  <c r="CO373" i="42385"/>
  <c r="CD302" i="42385"/>
  <c r="CC248" i="42385"/>
  <c r="AH377" i="42385"/>
  <c r="AG376" i="42385"/>
  <c r="AO1001" i="42385"/>
  <c r="AN1139" i="42385"/>
  <c r="AG958" i="42385"/>
  <c r="AG963" i="42385"/>
  <c r="AG954" i="42385"/>
  <c r="AK957" i="42385"/>
  <c r="BI775" i="42385"/>
  <c r="BI776" i="42385"/>
  <c r="BI287" i="42385"/>
  <c r="BN369" i="42385"/>
  <c r="BI370" i="42385"/>
  <c r="BJ369" i="42385"/>
  <c r="CX369" i="42385" s="1"/>
  <c r="AJ954" i="42385"/>
  <c r="AJ958" i="42385"/>
  <c r="AJ963" i="42385"/>
  <c r="BN1511" i="42385"/>
  <c r="BO1511" i="42385" s="1"/>
  <c r="BO1509" i="42385"/>
  <c r="CU440" i="42385"/>
  <c r="AU445" i="42385"/>
  <c r="CU445" i="42385" s="1"/>
  <c r="AU441" i="42385"/>
  <c r="CU441" i="42385" s="1"/>
  <c r="AX1174" i="42385"/>
  <c r="AW1175" i="42385"/>
  <c r="AW1177" i="42385"/>
  <c r="AW1178" i="42385" s="1"/>
  <c r="B53" i="42410"/>
  <c r="B58" i="42410" s="1"/>
  <c r="B60" i="42410" s="1"/>
  <c r="B61" i="42410" s="1"/>
  <c r="AF345" i="42385"/>
  <c r="CR345" i="42385" s="1"/>
  <c r="CR344" i="42385"/>
  <c r="EF445" i="42492"/>
  <c r="CW230" i="42385"/>
  <c r="AY1025" i="42385"/>
  <c r="AY1024" i="42385"/>
  <c r="AY1026" i="42385"/>
  <c r="AY301" i="42385"/>
  <c r="AY249" i="42385"/>
  <c r="AZ249" i="42385" s="1"/>
  <c r="AZ247" i="42385"/>
  <c r="T377" i="42385"/>
  <c r="S376" i="42385"/>
  <c r="BT673" i="42385"/>
  <c r="CF517" i="42385"/>
  <c r="CF1550" i="42385" s="1"/>
  <c r="CE1550" i="42385"/>
  <c r="CU591" i="42385"/>
  <c r="AU605" i="42385"/>
  <c r="CU605" i="42385" s="1"/>
  <c r="AU592" i="42385"/>
  <c r="CU592" i="42385" s="1"/>
  <c r="AT416" i="42385"/>
  <c r="AS1530" i="42385"/>
  <c r="AS417" i="42385"/>
  <c r="AV582" i="42385"/>
  <c r="AW582" i="42385" s="1"/>
  <c r="AX582" i="42385" s="1"/>
  <c r="AY582" i="42385" s="1"/>
  <c r="CU582" i="42385"/>
  <c r="AE373" i="42385"/>
  <c r="AE382" i="42385"/>
  <c r="AF376" i="42385"/>
  <c r="CT594" i="42385"/>
  <c r="AP595" i="42385"/>
  <c r="CT595" i="42385" s="1"/>
  <c r="DO349" i="42464"/>
  <c r="AI958" i="42385"/>
  <c r="AI954" i="42385"/>
  <c r="AI963" i="42385"/>
  <c r="BT662" i="42385"/>
  <c r="CX1237" i="42385"/>
  <c r="BJ1238" i="42385"/>
  <c r="CX1238" i="42385" s="1"/>
  <c r="BA1642" i="42385"/>
  <c r="BA1301" i="42385"/>
  <c r="BA1330" i="42385" s="1"/>
  <c r="CW88" i="42385"/>
  <c r="BE1645" i="42385"/>
  <c r="G14" i="42465"/>
  <c r="BA484" i="42385"/>
  <c r="CV484" i="42385"/>
  <c r="AF1645" i="42385"/>
  <c r="B14" i="42465"/>
  <c r="CR88" i="42385"/>
  <c r="BS770" i="42385"/>
  <c r="BS771" i="42385" s="1"/>
  <c r="BO770" i="42385"/>
  <c r="AT1175" i="42385"/>
  <c r="AU1175" i="42385" s="1"/>
  <c r="CU1175" i="42385" s="1"/>
  <c r="AU1174" i="42385"/>
  <c r="AT1177" i="42385"/>
  <c r="BD219" i="42385"/>
  <c r="BD371" i="42385"/>
  <c r="BE370" i="42385"/>
  <c r="AK163" i="42385"/>
  <c r="CS163" i="42385" s="1"/>
  <c r="AZ490" i="42385"/>
  <c r="CV490" i="42385" s="1"/>
  <c r="CV489" i="42385"/>
  <c r="AZ491" i="42385"/>
  <c r="CV491" i="42385" s="1"/>
  <c r="BO166" i="42385"/>
  <c r="BO130" i="42385"/>
  <c r="CY165" i="42385"/>
  <c r="P374" i="42385"/>
  <c r="P375" i="42385"/>
  <c r="BM1642" i="42385"/>
  <c r="BM1301" i="42385"/>
  <c r="BM1330" i="42385" s="1"/>
  <c r="AZ219" i="42385"/>
  <c r="CV219" i="42385" s="1"/>
  <c r="AY227" i="42385"/>
  <c r="AZ227" i="42385" s="1"/>
  <c r="AY592" i="42385"/>
  <c r="AY605" i="42385"/>
  <c r="AZ591" i="42385"/>
  <c r="BM618" i="42385"/>
  <c r="BH230" i="42385"/>
  <c r="BJ230" i="42385" s="1"/>
  <c r="BJ618" i="42385"/>
  <c r="AZ1017" i="42385"/>
  <c r="CV1017" i="42385" s="1"/>
  <c r="CV1013" i="42385"/>
  <c r="AZ1014" i="42385"/>
  <c r="CV1014" i="42385" s="1"/>
  <c r="AD374" i="42385"/>
  <c r="AD375" i="42385"/>
  <c r="BW283" i="42492"/>
  <c r="BW281" i="42492"/>
  <c r="BW286" i="42492"/>
  <c r="R382" i="42385"/>
  <c r="R373" i="42385"/>
  <c r="BT680" i="42385"/>
  <c r="BT691" i="42385" s="1"/>
  <c r="BS691" i="42385"/>
  <c r="B57" i="42410"/>
  <c r="J5" i="42470"/>
  <c r="CU227" i="42385"/>
  <c r="AP582" i="42385"/>
  <c r="CT582" i="42385" s="1"/>
  <c r="I35" i="42405"/>
  <c r="AT595" i="42385"/>
  <c r="AY594" i="42385"/>
  <c r="AU594" i="42385"/>
  <c r="AU595" i="42385" s="1"/>
  <c r="CU595" i="42385" s="1"/>
  <c r="AT599" i="42385"/>
  <c r="BM1180" i="42385"/>
  <c r="BM1181" i="42385" s="1"/>
  <c r="AQ1554" i="42385"/>
  <c r="BC1180" i="42385"/>
  <c r="BC1181" i="42385" s="1"/>
  <c r="BA90" i="42385"/>
  <c r="BA1648" i="42385"/>
  <c r="BA1641" i="42385" s="1"/>
  <c r="BA92" i="42385"/>
  <c r="BI1263" i="42385"/>
  <c r="BI1265" i="42385"/>
  <c r="BK1265" i="42385" s="1"/>
  <c r="BN1244" i="42385"/>
  <c r="BI1260" i="42385"/>
  <c r="BI47" i="42385"/>
  <c r="CP189" i="42385"/>
  <c r="W189" i="42385"/>
  <c r="X189" i="42385" s="1"/>
  <c r="Y189" i="42385" s="1"/>
  <c r="Z189" i="42385" s="1"/>
  <c r="AA189" i="42385" s="1"/>
  <c r="CU219" i="42385"/>
  <c r="GP499" i="42417"/>
  <c r="CX770" i="42385"/>
  <c r="BJ772" i="42385"/>
  <c r="CX772" i="42385" s="1"/>
  <c r="AS1180" i="42385"/>
  <c r="BN675" i="42385"/>
  <c r="BL1500" i="42385"/>
  <c r="BL118" i="42385"/>
  <c r="AJ166" i="42385"/>
  <c r="AJ134" i="42385" s="1"/>
  <c r="AK165" i="42385"/>
  <c r="AE1645" i="42385"/>
  <c r="BM1648" i="42385"/>
  <c r="BM1641" i="42385" s="1"/>
  <c r="BM92" i="42385"/>
  <c r="BM90" i="42385"/>
  <c r="DC433" i="42385"/>
  <c r="CB433" i="42385"/>
  <c r="CC433" i="42385" s="1"/>
  <c r="CD433" i="42385" s="1"/>
  <c r="CE433" i="42385" s="1"/>
  <c r="CF433" i="42385" s="1"/>
  <c r="F44" i="42405"/>
  <c r="CA311" i="42385"/>
  <c r="CA255" i="42385" s="1"/>
  <c r="C32" i="42408"/>
  <c r="H32" i="42408" s="1"/>
  <c r="BX673" i="42385"/>
  <c r="BX680" i="42385"/>
  <c r="BY661" i="42385"/>
  <c r="AU416" i="42385"/>
  <c r="AT1278" i="42385"/>
  <c r="AT79" i="42385"/>
  <c r="G43" i="42405"/>
  <c r="H43" i="42405" s="1"/>
  <c r="B43" i="42405" s="1"/>
  <c r="B44" i="42405" s="1"/>
  <c r="B54" i="42405" s="1"/>
  <c r="B52" i="42405" s="1"/>
  <c r="B47" i="42405" s="1"/>
  <c r="G44" i="42405"/>
  <c r="G54" i="42405" s="1"/>
  <c r="G52" i="42405" s="1"/>
  <c r="G50" i="42405"/>
  <c r="H50" i="42405" s="1"/>
  <c r="AP599" i="42385"/>
  <c r="CT599" i="42385" s="1"/>
  <c r="AO601" i="42385"/>
  <c r="BJ1243" i="42385"/>
  <c r="BP989" i="42385"/>
  <c r="BP990" i="42385"/>
  <c r="BP992" i="42385" s="1"/>
  <c r="CC171" i="42464"/>
  <c r="CC173" i="42464" s="1"/>
  <c r="CC175" i="42464" s="1"/>
  <c r="CC177" i="42464" s="1"/>
  <c r="CC178" i="42464" s="1"/>
  <c r="CC179" i="42464" s="1"/>
  <c r="CC166" i="42464"/>
  <c r="X75" i="42385"/>
  <c r="AA65" i="42385"/>
  <c r="AO804" i="42385"/>
  <c r="AO806" i="42385" s="1"/>
  <c r="AO800" i="42385"/>
  <c r="AT799" i="42385"/>
  <c r="AP799" i="42385"/>
  <c r="BO985" i="42385"/>
  <c r="BM986" i="42385"/>
  <c r="BR985" i="42385"/>
  <c r="BM990" i="42385"/>
  <c r="BM992" i="42385" s="1"/>
  <c r="J36" i="42405"/>
  <c r="I34" i="42405"/>
  <c r="I37" i="42405" s="1"/>
  <c r="CT166" i="42385"/>
  <c r="AP134" i="42385"/>
  <c r="CT134" i="42385" s="1"/>
  <c r="AL1357" i="42385"/>
  <c r="AK1364" i="42385"/>
  <c r="CS1364" i="42385" s="1"/>
  <c r="CS1357" i="42385"/>
  <c r="BD1482" i="42385"/>
  <c r="BE1482" i="42385" s="1"/>
  <c r="CW1482" i="42385" s="1"/>
  <c r="BE1382" i="42385"/>
  <c r="BD1402" i="42385"/>
  <c r="BD1563" i="42385"/>
  <c r="AC197" i="42385"/>
  <c r="AC212" i="42385" s="1"/>
  <c r="AB197" i="42385"/>
  <c r="AC1569" i="42385"/>
  <c r="AC1572" i="42385" s="1"/>
  <c r="AB1569" i="42385"/>
  <c r="AB1572" i="42385" s="1"/>
  <c r="AB1663" i="42385"/>
  <c r="AG55" i="42385"/>
  <c r="AD1569" i="42385"/>
  <c r="AD1572" i="42385" s="1"/>
  <c r="AD197" i="42385"/>
  <c r="AD212" i="42385" s="1"/>
  <c r="BZ1239" i="42385"/>
  <c r="DA1239" i="42385"/>
  <c r="BY1240" i="42385"/>
  <c r="DA1240" i="42385" s="1"/>
  <c r="V831" i="42385"/>
  <c r="CP831" i="42385" s="1"/>
  <c r="CP830" i="42385"/>
  <c r="CW231" i="42385"/>
  <c r="EF446" i="42492"/>
  <c r="BS237" i="42385"/>
  <c r="BX767" i="42385"/>
  <c r="BS774" i="42385"/>
  <c r="BV45" i="42400"/>
  <c r="BV51" i="42400" s="1"/>
  <c r="BV802" i="42385" s="1"/>
  <c r="BV803" i="42385" s="1"/>
  <c r="AF143" i="42492"/>
  <c r="AG124" i="42492"/>
  <c r="BS989" i="42385"/>
  <c r="GC470" i="42417"/>
  <c r="GG470" i="42417" s="1"/>
  <c r="CV300" i="42385"/>
  <c r="AV79" i="42385"/>
  <c r="AV1278" i="42385"/>
  <c r="O75" i="42385"/>
  <c r="Q65" i="42385"/>
  <c r="AZ310" i="42385"/>
  <c r="AV313" i="42385"/>
  <c r="AZ313" i="42385" s="1"/>
  <c r="CB886" i="42385"/>
  <c r="DC886" i="42385"/>
  <c r="CA888" i="42385"/>
  <c r="DC888" i="42385" s="1"/>
  <c r="CA275" i="42400"/>
  <c r="BB1183" i="42385"/>
  <c r="BB1184" i="42385" s="1"/>
  <c r="BB1181" i="42385"/>
  <c r="CA1590" i="42385"/>
  <c r="DB1590" i="42385"/>
  <c r="BP92" i="42385"/>
  <c r="BP1648" i="42385"/>
  <c r="BP1641" i="42385" s="1"/>
  <c r="BP90" i="42385"/>
  <c r="AD893" i="42385"/>
  <c r="AD894" i="42385"/>
  <c r="AI894" i="42385"/>
  <c r="DB827" i="42385"/>
  <c r="BZ241" i="42385"/>
  <c r="BZ828" i="42385"/>
  <c r="DB828" i="42385" s="1"/>
  <c r="CQ1016" i="42385"/>
  <c r="AA1017" i="42385"/>
  <c r="CQ1017" i="42385" s="1"/>
  <c r="AF1018" i="42385"/>
  <c r="CR1018" i="42385" s="1"/>
  <c r="AT1083" i="42385"/>
  <c r="AW79" i="42385"/>
  <c r="AW1278" i="42385"/>
  <c r="BU288" i="42400"/>
  <c r="BY294" i="42400"/>
  <c r="BW288" i="42400"/>
  <c r="BV288" i="42400"/>
  <c r="BX288" i="42400"/>
  <c r="BW281" i="42400"/>
  <c r="BX281" i="42400"/>
  <c r="BV281" i="42400"/>
  <c r="BU281" i="42400"/>
  <c r="BH718" i="42385"/>
  <c r="BH719" i="42385"/>
  <c r="BH284" i="42385"/>
  <c r="BJ284" i="42385" s="1"/>
  <c r="CX284" i="42385" s="1"/>
  <c r="BJ717" i="42385"/>
  <c r="CR954" i="42385"/>
  <c r="AF955" i="42385"/>
  <c r="CR955" i="42385" s="1"/>
  <c r="Z405" i="42385"/>
  <c r="AA404" i="42385"/>
  <c r="Z406" i="42385"/>
  <c r="BH648" i="42385"/>
  <c r="BH281" i="42385"/>
  <c r="BJ647" i="42385"/>
  <c r="BL776" i="42385"/>
  <c r="BL775" i="42385"/>
  <c r="BL287" i="42385"/>
  <c r="H13" i="42412"/>
  <c r="BV91" i="42400"/>
  <c r="BU91" i="42400"/>
  <c r="BX91" i="42400"/>
  <c r="BW91" i="42400"/>
  <c r="BU88" i="42400"/>
  <c r="BX88" i="42400"/>
  <c r="BW88" i="42400"/>
  <c r="BV88" i="42400"/>
  <c r="BO467" i="42385"/>
  <c r="CY462" i="42385"/>
  <c r="BO463" i="42385"/>
  <c r="CY463" i="42385" s="1"/>
  <c r="BO464" i="42385"/>
  <c r="CY464" i="42385" s="1"/>
  <c r="CS923" i="42385"/>
  <c r="AK924" i="42385"/>
  <c r="CS924" i="42385" s="1"/>
  <c r="CB1422" i="42385"/>
  <c r="CC1422" i="42385" s="1"/>
  <c r="CD1422" i="42385" s="1"/>
  <c r="CE1422" i="42385" s="1"/>
  <c r="CF1422" i="42385" s="1"/>
  <c r="DC1422" i="42385"/>
  <c r="CW717" i="42385"/>
  <c r="BE719" i="42385"/>
  <c r="CW719" i="42385" s="1"/>
  <c r="BE718" i="42385"/>
  <c r="CW718" i="42385" s="1"/>
  <c r="CQ54" i="42385"/>
  <c r="AA1663" i="42385"/>
  <c r="BG1180" i="42385"/>
  <c r="BG1183" i="42385" s="1"/>
  <c r="BG1184" i="42385" s="1"/>
  <c r="BY1249" i="42385"/>
  <c r="AC408" i="42385"/>
  <c r="AB407" i="42385"/>
  <c r="BO186" i="42417"/>
  <c r="BX45" i="42400"/>
  <c r="BX51" i="42400" s="1"/>
  <c r="BX802" i="42385" s="1"/>
  <c r="BX803" i="42385" s="1"/>
  <c r="BU230" i="42385"/>
  <c r="Q23" i="42424"/>
  <c r="BQ989" i="42385"/>
  <c r="BQ990" i="42385"/>
  <c r="BQ992" i="42385" s="1"/>
  <c r="BX1111" i="42385"/>
  <c r="BT1111" i="42385"/>
  <c r="CZ1111" i="42385" s="1"/>
  <c r="BS1115" i="42385"/>
  <c r="BS312" i="42385" s="1"/>
  <c r="BT23" i="42385" s="1"/>
  <c r="CZ23" i="42385" s="1"/>
  <c r="BI993" i="42385"/>
  <c r="BI994" i="42385"/>
  <c r="BI299" i="42385"/>
  <c r="AZ993" i="42385"/>
  <c r="CV993" i="42385" s="1"/>
  <c r="CV992" i="42385"/>
  <c r="AZ997" i="42385"/>
  <c r="CV997" i="42385" s="1"/>
  <c r="DX389" i="42464"/>
  <c r="DX390" i="42464" s="1"/>
  <c r="IU768" i="42417"/>
  <c r="IR768" i="42417"/>
  <c r="BU45" i="42400"/>
  <c r="BU51" i="42400" s="1"/>
  <c r="BU802" i="42385" s="1"/>
  <c r="BU803" i="42385" s="1"/>
  <c r="BV1457" i="42385"/>
  <c r="BU1488" i="42385"/>
  <c r="N34" i="42476"/>
  <c r="BB1660" i="42385"/>
  <c r="B16" i="42409"/>
  <c r="CQ165" i="42385"/>
  <c r="AA166" i="42385"/>
  <c r="AT1614" i="42385"/>
  <c r="AU1614" i="42385" s="1"/>
  <c r="CU1614" i="42385" s="1"/>
  <c r="AU1613" i="42385"/>
  <c r="BS985" i="42385"/>
  <c r="BN986" i="42385"/>
  <c r="BN990" i="42385"/>
  <c r="BN992" i="42385" s="1"/>
  <c r="L861" i="42385"/>
  <c r="K862" i="42385"/>
  <c r="K863" i="42385"/>
  <c r="P863" i="42385"/>
  <c r="CY1572" i="42385"/>
  <c r="BO1599" i="42385"/>
  <c r="CY713" i="42385"/>
  <c r="BO715" i="42385"/>
  <c r="CY715" i="42385" s="1"/>
  <c r="BZ91" i="42400"/>
  <c r="BZ97" i="42400"/>
  <c r="BZ93" i="42400"/>
  <c r="BZ92" i="42400"/>
  <c r="BZ89" i="42400"/>
  <c r="BZ87" i="42400"/>
  <c r="BZ88" i="42400"/>
  <c r="BZ90" i="42400"/>
  <c r="AR1539" i="42385"/>
  <c r="AS965" i="42385"/>
  <c r="AR966" i="42385"/>
  <c r="BM272" i="42385"/>
  <c r="BO272" i="42385" s="1"/>
  <c r="BM547" i="42385"/>
  <c r="BR544" i="42385"/>
  <c r="BM543" i="42385"/>
  <c r="BM544" i="42385"/>
  <c r="BO542" i="42385"/>
  <c r="AI27" i="42476"/>
  <c r="AI28" i="42476" s="1"/>
  <c r="BX101" i="42385"/>
  <c r="BY101" i="42385" s="1"/>
  <c r="BU291" i="42400"/>
  <c r="BX291" i="42400"/>
  <c r="BV291" i="42400"/>
  <c r="BW291" i="42400"/>
  <c r="BU292" i="42400"/>
  <c r="BW292" i="42400"/>
  <c r="BV292" i="42400"/>
  <c r="BX292" i="42400"/>
  <c r="BW283" i="42400"/>
  <c r="BU283" i="42400"/>
  <c r="BX283" i="42400"/>
  <c r="BV283" i="42400"/>
  <c r="L850" i="42385"/>
  <c r="CN850" i="42385" s="1"/>
  <c r="CN849" i="42385"/>
  <c r="CD883" i="42385"/>
  <c r="CC276" i="42400"/>
  <c r="CC296" i="42400" s="1"/>
  <c r="CC884" i="42385"/>
  <c r="CX640" i="42385"/>
  <c r="BJ650" i="42385"/>
  <c r="CX650" i="42385" s="1"/>
  <c r="BJ641" i="42385"/>
  <c r="CX641" i="42385" s="1"/>
  <c r="BJ231" i="42385"/>
  <c r="BX93" i="42400"/>
  <c r="BV93" i="42400"/>
  <c r="BW93" i="42400"/>
  <c r="BU93" i="42400"/>
  <c r="DB398" i="42385"/>
  <c r="AT923" i="42385"/>
  <c r="AU923" i="42385" s="1"/>
  <c r="AO924" i="42385"/>
  <c r="AO928" i="42385"/>
  <c r="CE396" i="42385"/>
  <c r="BS719" i="42385"/>
  <c r="BS718" i="42385"/>
  <c r="BS284" i="42385"/>
  <c r="BV1380" i="42385"/>
  <c r="BU1480" i="42385"/>
  <c r="AH1432" i="42385"/>
  <c r="CX985" i="42385"/>
  <c r="BJ987" i="42385"/>
  <c r="CX987" i="42385" s="1"/>
  <c r="BJ986" i="42385"/>
  <c r="CX986" i="42385" s="1"/>
  <c r="BJ990" i="42385"/>
  <c r="CQ407" i="42385"/>
  <c r="AA414" i="42385"/>
  <c r="CQ414" i="42385" s="1"/>
  <c r="GC519" i="42464"/>
  <c r="GC539" i="42464"/>
  <c r="GC547" i="42464" s="1"/>
  <c r="AD131" i="42424"/>
  <c r="AD155" i="42424" s="1"/>
  <c r="AD96" i="42424"/>
  <c r="AD132" i="42424" s="1"/>
  <c r="AD100" i="42424"/>
  <c r="AD154" i="42424"/>
  <c r="BC1564" i="42385"/>
  <c r="BC1406" i="42385"/>
  <c r="BC1424" i="42385" s="1"/>
  <c r="AX934" i="42385"/>
  <c r="AW935" i="42385"/>
  <c r="AW1533" i="42385"/>
  <c r="AB1514" i="42385"/>
  <c r="AB77" i="42385"/>
  <c r="AX759" i="42385"/>
  <c r="AY758" i="42385"/>
  <c r="AX1538" i="42385"/>
  <c r="CV113" i="42385"/>
  <c r="CY250" i="42417"/>
  <c r="L72" i="42476"/>
  <c r="K75" i="42385"/>
  <c r="L65" i="42385"/>
  <c r="CW990" i="42385"/>
  <c r="BE992" i="42385"/>
  <c r="BR106" i="42385"/>
  <c r="BR1620" i="42385"/>
  <c r="BR93" i="42385"/>
  <c r="J1301" i="42385"/>
  <c r="J1330" i="42385" s="1"/>
  <c r="J1642" i="42385"/>
  <c r="H24" i="42412"/>
  <c r="DA802" i="42385"/>
  <c r="BY803" i="42385"/>
  <c r="DA803" i="42385" s="1"/>
  <c r="BV371" i="42385"/>
  <c r="BV219" i="42385"/>
  <c r="AS810" i="42385"/>
  <c r="AR811" i="42385"/>
  <c r="AR1531" i="42385"/>
  <c r="AR1554" i="42385" s="1"/>
  <c r="BP1484" i="42385"/>
  <c r="BQ1384" i="42385"/>
  <c r="AV1177" i="42385"/>
  <c r="AV1172" i="42385"/>
  <c r="AZ1172" i="42385" s="1"/>
  <c r="CV1172" i="42385" s="1"/>
  <c r="BH1497" i="42385"/>
  <c r="BI1399" i="42385"/>
  <c r="BJ1399" i="42385" s="1"/>
  <c r="CV1436" i="42385"/>
  <c r="BA1436" i="42385"/>
  <c r="BB1436" i="42385" s="1"/>
  <c r="BC1436" i="42385" s="1"/>
  <c r="BD1436" i="42385" s="1"/>
  <c r="BE1436" i="42385" s="1"/>
  <c r="BZ279" i="42400"/>
  <c r="BZ292" i="42400"/>
  <c r="BZ291" i="42400"/>
  <c r="BZ288" i="42400"/>
  <c r="BZ282" i="42400"/>
  <c r="BZ283" i="42400"/>
  <c r="BZ281" i="42400"/>
  <c r="BZ280" i="42400"/>
  <c r="BZ290" i="42400"/>
  <c r="BZ289" i="42400"/>
  <c r="BL718" i="42385"/>
  <c r="BL737" i="42385" s="1"/>
  <c r="BL284" i="42385"/>
  <c r="BL719" i="42385"/>
  <c r="DC824" i="42385"/>
  <c r="CB824" i="42385"/>
  <c r="CA83" i="42400"/>
  <c r="CA827" i="42385"/>
  <c r="BJ1163" i="42385"/>
  <c r="CX1163" i="42385" s="1"/>
  <c r="CX1162" i="42385"/>
  <c r="AE893" i="42385"/>
  <c r="AE894" i="42385"/>
  <c r="BW290" i="42400"/>
  <c r="BV290" i="42400"/>
  <c r="BX290" i="42400"/>
  <c r="BU290" i="42400"/>
  <c r="BU279" i="42400"/>
  <c r="BW279" i="42400"/>
  <c r="BX279" i="42400"/>
  <c r="BY285" i="42400"/>
  <c r="BV279" i="42400"/>
  <c r="BV289" i="42400"/>
  <c r="BW289" i="42400"/>
  <c r="BU289" i="42400"/>
  <c r="BX289" i="42400"/>
  <c r="CX710" i="42385"/>
  <c r="BJ711" i="42385"/>
  <c r="CX711" i="42385" s="1"/>
  <c r="BJ714" i="42385"/>
  <c r="CX714" i="42385" s="1"/>
  <c r="CB1361" i="42385"/>
  <c r="CC1361" i="42385" s="1"/>
  <c r="CD1361" i="42385" s="1"/>
  <c r="CE1361" i="42385" s="1"/>
  <c r="CF1361" i="42385" s="1"/>
  <c r="DC1361" i="42385"/>
  <c r="BV767" i="42385"/>
  <c r="BQ774" i="42385"/>
  <c r="BQ237" i="42385"/>
  <c r="BQ771" i="42385"/>
  <c r="BU90" i="42400"/>
  <c r="BX90" i="42400"/>
  <c r="BW90" i="42400"/>
  <c r="BV90" i="42400"/>
  <c r="BW89" i="42400"/>
  <c r="BX89" i="42400"/>
  <c r="BU89" i="42400"/>
  <c r="BV89" i="42400"/>
  <c r="BX462" i="42385"/>
  <c r="BT462" i="42385"/>
  <c r="CA398" i="42385"/>
  <c r="DC395" i="42385"/>
  <c r="CB395" i="42385"/>
  <c r="BP268" i="42385"/>
  <c r="BP442" i="42385"/>
  <c r="BP441" i="42385"/>
  <c r="R42" i="42476"/>
  <c r="BG202" i="42385"/>
  <c r="BF1623" i="42385"/>
  <c r="BH1623" i="42385"/>
  <c r="BH1627" i="42385" s="1"/>
  <c r="BD1623" i="42385"/>
  <c r="BE1623" i="42385" s="1"/>
  <c r="CW1623" i="42385" s="1"/>
  <c r="BG1623" i="42385"/>
  <c r="BG1627" i="42385" s="1"/>
  <c r="BD1177" i="42385"/>
  <c r="BD1178" i="42385" s="1"/>
  <c r="BD1175" i="42385"/>
  <c r="X1663" i="42385"/>
  <c r="Z197" i="42385"/>
  <c r="Z1569" i="42385"/>
  <c r="BJ469" i="42385"/>
  <c r="CX467" i="42385"/>
  <c r="DR345" i="42464"/>
  <c r="DR347" i="42464" s="1"/>
  <c r="DQ343" i="42464"/>
  <c r="AA155" i="42424"/>
  <c r="AA132" i="42424"/>
  <c r="CB681" i="42385"/>
  <c r="CC664" i="42385"/>
  <c r="AX1583" i="42385"/>
  <c r="AX1591" i="42385"/>
  <c r="AX1592" i="42385" s="1"/>
  <c r="AX1594" i="42385"/>
  <c r="AX1595" i="42385" s="1"/>
  <c r="AX1634" i="42385"/>
  <c r="AW1540" i="42385"/>
  <c r="AX777" i="42385"/>
  <c r="AW778" i="42385"/>
  <c r="BC1623" i="42385"/>
  <c r="BB1623" i="42385"/>
  <c r="CV1622" i="42385"/>
  <c r="BA1623" i="42385"/>
  <c r="K1663" i="42385"/>
  <c r="K1569" i="42385"/>
  <c r="M1569" i="42385"/>
  <c r="M1572" i="42385" s="1"/>
  <c r="M1634" i="42385" s="1"/>
  <c r="K197" i="42385"/>
  <c r="M197" i="42385"/>
  <c r="M212" i="42385" s="1"/>
  <c r="N1569" i="42385"/>
  <c r="N1572" i="42385" s="1"/>
  <c r="N197" i="42385"/>
  <c r="N212" i="42385" s="1"/>
  <c r="BN776" i="42385"/>
  <c r="BN287" i="42385"/>
  <c r="BN775" i="42385"/>
  <c r="BW45" i="42400"/>
  <c r="BW51" i="42400" s="1"/>
  <c r="BW802" i="42385" s="1"/>
  <c r="BW803" i="42385" s="1"/>
  <c r="J893" i="42385"/>
  <c r="O894" i="42385"/>
  <c r="J894" i="42385"/>
  <c r="BN1159" i="42385"/>
  <c r="BN1164" i="42385" s="1"/>
  <c r="BO1162" i="42385"/>
  <c r="O1663" i="42385"/>
  <c r="S1569" i="42385"/>
  <c r="S1572" i="42385" s="1"/>
  <c r="S197" i="42385"/>
  <c r="S212" i="42385" s="1"/>
  <c r="R1569" i="42385"/>
  <c r="R1572" i="42385" s="1"/>
  <c r="O197" i="42385"/>
  <c r="O1569" i="42385"/>
  <c r="O1572" i="42385" s="1"/>
  <c r="P197" i="42385"/>
  <c r="R197" i="42385"/>
  <c r="R212" i="42385" s="1"/>
  <c r="P1569" i="42385"/>
  <c r="DB889" i="42385"/>
  <c r="BZ243" i="42385"/>
  <c r="DB243" i="42385" s="1"/>
  <c r="BZ890" i="42385"/>
  <c r="DB890" i="42385" s="1"/>
  <c r="BB479" i="42385"/>
  <c r="BG995" i="42385"/>
  <c r="BF996" i="42385"/>
  <c r="BF1549" i="42385"/>
  <c r="BF997" i="42385"/>
  <c r="BP1301" i="42385"/>
  <c r="BP1330" i="42385" s="1"/>
  <c r="BP1642" i="42385"/>
  <c r="BV713" i="42385"/>
  <c r="BQ717" i="42385"/>
  <c r="BQ714" i="42385"/>
  <c r="BT713" i="42385"/>
  <c r="BI1160" i="42385"/>
  <c r="BJ1159" i="42385"/>
  <c r="BJ1161" i="42385" s="1"/>
  <c r="CX1161" i="42385" s="1"/>
  <c r="AF892" i="42385"/>
  <c r="AA10" i="42403"/>
  <c r="Z11" i="42403"/>
  <c r="P13" i="42403" s="1"/>
  <c r="B20" i="42403" s="1"/>
  <c r="BW282" i="42400"/>
  <c r="BU282" i="42400"/>
  <c r="BX282" i="42400"/>
  <c r="BV282" i="42400"/>
  <c r="BX280" i="42400"/>
  <c r="BU280" i="42400"/>
  <c r="BV280" i="42400"/>
  <c r="BW280" i="42400"/>
  <c r="BM714" i="42385"/>
  <c r="BM234" i="42385"/>
  <c r="BO234" i="42385" s="1"/>
  <c r="CY234" i="42385" s="1"/>
  <c r="BR710" i="42385"/>
  <c r="BM717" i="42385"/>
  <c r="BO710" i="42385"/>
  <c r="BR1551" i="42385"/>
  <c r="BS576" i="42385"/>
  <c r="BM231" i="42385"/>
  <c r="BM647" i="42385"/>
  <c r="BR640" i="42385"/>
  <c r="BO640" i="42385"/>
  <c r="BM644" i="42385"/>
  <c r="BO1514" i="42385"/>
  <c r="AA76" i="42476" s="1"/>
  <c r="AA75" i="42476" s="1"/>
  <c r="AA78" i="42476" s="1"/>
  <c r="AA81" i="42476" s="1"/>
  <c r="CY75" i="42385"/>
  <c r="BO77" i="42385"/>
  <c r="BU92" i="42400"/>
  <c r="BX92" i="42400"/>
  <c r="BW92" i="42400"/>
  <c r="BV92" i="42400"/>
  <c r="BX87" i="42400"/>
  <c r="BU87" i="42400"/>
  <c r="BV87" i="42400"/>
  <c r="BY95" i="42400"/>
  <c r="BY101" i="42400" s="1"/>
  <c r="BY833" i="42385" s="1"/>
  <c r="BW87" i="42400"/>
  <c r="BN470" i="42385"/>
  <c r="BN471" i="42385"/>
  <c r="BN269" i="42385"/>
  <c r="BO269" i="42385" s="1"/>
  <c r="CY269" i="42385" s="1"/>
  <c r="BR437" i="42385"/>
  <c r="BQ436" i="42385"/>
  <c r="BQ438" i="42385" s="1"/>
  <c r="BQ440" i="42385" s="1"/>
  <c r="BC1183" i="42385"/>
  <c r="BC1184" i="42385" s="1"/>
  <c r="BX234" i="42385"/>
  <c r="BX717" i="42385"/>
  <c r="BX714" i="42385"/>
  <c r="G75" i="42385"/>
  <c r="CM65" i="42385"/>
  <c r="M481" i="42385"/>
  <c r="M1084" i="42385"/>
  <c r="M1085" i="42385" s="1"/>
  <c r="M1086" i="42385" s="1"/>
  <c r="BY1248" i="42385"/>
  <c r="BZ1248" i="42385"/>
  <c r="BX1252" i="42385"/>
  <c r="BY1252" i="42385" s="1"/>
  <c r="AU757" i="42385"/>
  <c r="CU757" i="42385" s="1"/>
  <c r="CU755" i="42385"/>
  <c r="AU756" i="42385"/>
  <c r="CU756" i="42385" s="1"/>
  <c r="CS1326" i="42385"/>
  <c r="C53" i="42465"/>
  <c r="C52" i="42465" s="1"/>
  <c r="AW286" i="42385"/>
  <c r="AZ286" i="42385" s="1"/>
  <c r="AW756" i="42385"/>
  <c r="AW757" i="42385"/>
  <c r="AZ755" i="42385"/>
  <c r="H1591" i="42385"/>
  <c r="H1592" i="42385" s="1"/>
  <c r="H1631" i="42385"/>
  <c r="H1583" i="42385"/>
  <c r="H1584" i="42385" s="1"/>
  <c r="H1634" i="42385"/>
  <c r="M77" i="42446"/>
  <c r="M78" i="42446" s="1"/>
  <c r="M80" i="42446" s="1"/>
  <c r="M81" i="42446"/>
  <c r="M72" i="42446"/>
  <c r="Q86" i="42446"/>
  <c r="Q88" i="42446" s="1"/>
  <c r="Q91" i="42446" s="1"/>
  <c r="BF515" i="42385"/>
  <c r="BF519" i="42385"/>
  <c r="BF271" i="42385"/>
  <c r="BJ271" i="42385" s="1"/>
  <c r="BK516" i="42385"/>
  <c r="BJ514" i="42385"/>
  <c r="BE1160" i="42385"/>
  <c r="CW1160" i="42385" s="1"/>
  <c r="CW1159" i="42385"/>
  <c r="BE1164" i="42385"/>
  <c r="CW1164" i="42385" s="1"/>
  <c r="BE1161" i="42385"/>
  <c r="CW1161" i="42385" s="1"/>
  <c r="BT486" i="42385"/>
  <c r="CZ486" i="42385" s="1"/>
  <c r="E1514" i="42385"/>
  <c r="E77" i="42385"/>
  <c r="M363" i="42385"/>
  <c r="M364" i="42385" s="1"/>
  <c r="M879" i="42385"/>
  <c r="M880" i="42385" s="1"/>
  <c r="M881" i="42385" s="1"/>
  <c r="BG1380" i="42385"/>
  <c r="BG1480" i="42385" s="1"/>
  <c r="BA799" i="42385"/>
  <c r="AV800" i="42385"/>
  <c r="AV804" i="42385"/>
  <c r="AV806" i="42385" s="1"/>
  <c r="CA859" i="42385"/>
  <c r="DC859" i="42385" s="1"/>
  <c r="CA242" i="42385"/>
  <c r="DC242" i="42385" s="1"/>
  <c r="DC858" i="42385"/>
  <c r="B55" i="42410"/>
  <c r="CR346" i="42385"/>
  <c r="BG751" i="42385"/>
  <c r="BB752" i="42385"/>
  <c r="BB755" i="42385"/>
  <c r="BE751" i="42385"/>
  <c r="X95" i="42408"/>
  <c r="AB116" i="42408"/>
  <c r="BO696" i="42385"/>
  <c r="G134" i="42385"/>
  <c r="CM134" i="42385" s="1"/>
  <c r="CM166" i="42385"/>
  <c r="BV486" i="42385"/>
  <c r="N388" i="42385"/>
  <c r="N391" i="42385" s="1"/>
  <c r="N814" i="42385"/>
  <c r="N817" i="42385" s="1"/>
  <c r="N818" i="42385" s="1"/>
  <c r="N819" i="42385" s="1"/>
  <c r="N783" i="42385"/>
  <c r="N786" i="42385" s="1"/>
  <c r="N787" i="42385" s="1"/>
  <c r="N788" i="42385" s="1"/>
  <c r="N478" i="42385"/>
  <c r="N481" i="42385" s="1"/>
  <c r="N1138" i="42385"/>
  <c r="N1141" i="42385" s="1"/>
  <c r="N743" i="42385"/>
  <c r="N746" i="42385" s="1"/>
  <c r="N705" i="42385"/>
  <c r="N708" i="42385" s="1"/>
  <c r="N762" i="42385"/>
  <c r="N765" i="42385" s="1"/>
  <c r="N845" i="42385"/>
  <c r="N848" i="42385" s="1"/>
  <c r="N849" i="42385" s="1"/>
  <c r="N850" i="42385" s="1"/>
  <c r="N326" i="42385"/>
  <c r="N876" i="42385"/>
  <c r="N879" i="42385" s="1"/>
  <c r="N1000" i="42385"/>
  <c r="N1003" i="42385" s="1"/>
  <c r="N1004" i="42385" s="1"/>
  <c r="N1005" i="42385" s="1"/>
  <c r="N938" i="42385"/>
  <c r="N1081" i="42385"/>
  <c r="N1084" i="42385" s="1"/>
  <c r="N1085" i="42385" s="1"/>
  <c r="N1086" i="42385" s="1"/>
  <c r="N360" i="42385"/>
  <c r="N363" i="42385" s="1"/>
  <c r="N364" i="42385" s="1"/>
  <c r="O320" i="42385"/>
  <c r="N907" i="42385"/>
  <c r="N910" i="42385" s="1"/>
  <c r="N911" i="42385" s="1"/>
  <c r="N912" i="42385" s="1"/>
  <c r="M391" i="42385"/>
  <c r="M1003" i="42385"/>
  <c r="M1004" i="42385" s="1"/>
  <c r="M1005" i="42385" s="1"/>
  <c r="AO257" i="42385"/>
  <c r="AP13" i="42385"/>
  <c r="CT13" i="42385" s="1"/>
  <c r="CM54" i="42385"/>
  <c r="G1663" i="42385"/>
  <c r="AQ293" i="42385"/>
  <c r="AQ807" i="42385"/>
  <c r="AQ809" i="42385"/>
  <c r="AQ808" i="42385"/>
  <c r="BN1177" i="42385"/>
  <c r="BN1178" i="42385" s="1"/>
  <c r="BN1175" i="42385"/>
  <c r="CA63" i="42400"/>
  <c r="CA67" i="42400"/>
  <c r="CA68" i="42400"/>
  <c r="CA64" i="42400"/>
  <c r="CA65" i="42400"/>
  <c r="CA69" i="42400"/>
  <c r="CA66" i="42400"/>
  <c r="CV751" i="42385"/>
  <c r="AZ753" i="42385"/>
  <c r="CV753" i="42385" s="1"/>
  <c r="AZ752" i="42385"/>
  <c r="CV752" i="42385" s="1"/>
  <c r="CB1370" i="42385"/>
  <c r="CC1370" i="42385" s="1"/>
  <c r="CD1370" i="42385" s="1"/>
  <c r="CE1370" i="42385" s="1"/>
  <c r="CF1370" i="42385" s="1"/>
  <c r="DC1370" i="42385"/>
  <c r="AL93" i="42385"/>
  <c r="AL106" i="42385"/>
  <c r="AL114" i="42385" s="1"/>
  <c r="AL120" i="42385" s="1"/>
  <c r="AL1619" i="42385"/>
  <c r="E1583" i="42385"/>
  <c r="E1584" i="42385" s="1"/>
  <c r="E1631" i="42385"/>
  <c r="E1591" i="42385"/>
  <c r="E1592" i="42385" s="1"/>
  <c r="E1634" i="42385"/>
  <c r="E1627" i="42385"/>
  <c r="E1628" i="42385" s="1"/>
  <c r="E1632" i="42385"/>
  <c r="F1572" i="42385"/>
  <c r="G1569" i="42385"/>
  <c r="BY1122" i="42385"/>
  <c r="DA1122" i="42385" s="1"/>
  <c r="BP1235" i="42385"/>
  <c r="BN1236" i="42385"/>
  <c r="BO1235" i="42385"/>
  <c r="BZ71" i="42400"/>
  <c r="M910" i="42385"/>
  <c r="M911" i="42385" s="1"/>
  <c r="M912" i="42385" s="1"/>
  <c r="M848" i="42385"/>
  <c r="M849" i="42385" s="1"/>
  <c r="M850" i="42385" s="1"/>
  <c r="CT9" i="42385"/>
  <c r="AP14" i="42385"/>
  <c r="BF1480" i="42385"/>
  <c r="CU286" i="42385"/>
  <c r="F15" i="42464"/>
  <c r="FX438" i="42417"/>
  <c r="FY438" i="42417" s="1"/>
  <c r="GP523" i="42417"/>
  <c r="CN329" i="42385"/>
  <c r="L330" i="42385"/>
  <c r="CB59" i="42400"/>
  <c r="CC855" i="42385"/>
  <c r="CB858" i="42385"/>
  <c r="I1631" i="42385"/>
  <c r="I1634" i="42385"/>
  <c r="I1583" i="42385"/>
  <c r="I1584" i="42385" s="1"/>
  <c r="I1591" i="42385"/>
  <c r="I1592" i="42385" s="1"/>
  <c r="BD272" i="42385"/>
  <c r="BE272" i="42385" s="1"/>
  <c r="BD543" i="42385"/>
  <c r="BD547" i="42385"/>
  <c r="BE542" i="42385"/>
  <c r="BI544" i="42385"/>
  <c r="BD744" i="42385"/>
  <c r="BI364" i="42424"/>
  <c r="BI353" i="42424"/>
  <c r="D52" i="42405"/>
  <c r="GN581" i="42464"/>
  <c r="GN583" i="42464" s="1"/>
  <c r="GN588" i="42464" s="1"/>
  <c r="CV163" i="42385"/>
  <c r="AZ165" i="42385"/>
  <c r="B52" i="42406"/>
  <c r="GC478" i="42464"/>
  <c r="BO571" i="42385"/>
  <c r="BO568" i="42385"/>
  <c r="CY568" i="42385" s="1"/>
  <c r="CY566" i="42385"/>
  <c r="BO567" i="42385"/>
  <c r="CY567" i="42385" s="1"/>
  <c r="M182" i="42385"/>
  <c r="N182" i="42385" s="1"/>
  <c r="O182" i="42385" s="1"/>
  <c r="P182" i="42385" s="1"/>
  <c r="Q182" i="42385" s="1"/>
  <c r="CN182" i="42385"/>
  <c r="CV1582" i="42385"/>
  <c r="BA1582" i="42385"/>
  <c r="AZ1585" i="42385"/>
  <c r="CC1321" i="42385"/>
  <c r="CC1643" i="42385" s="1"/>
  <c r="CD100" i="42385"/>
  <c r="CR50" i="42385"/>
  <c r="AF51" i="42385"/>
  <c r="CR51" i="42385" s="1"/>
  <c r="AF54" i="42385"/>
  <c r="AF52" i="42385"/>
  <c r="CR52" i="42385" s="1"/>
  <c r="AK51" i="42385"/>
  <c r="CS51" i="42385" s="1"/>
  <c r="AM1278" i="42385"/>
  <c r="AM79" i="42385"/>
  <c r="AB188" i="42385"/>
  <c r="AC188" i="42385" s="1"/>
  <c r="AD188" i="42385" s="1"/>
  <c r="AE188" i="42385" s="1"/>
  <c r="AF188" i="42385" s="1"/>
  <c r="CQ188" i="42385"/>
  <c r="Z1658" i="42385"/>
  <c r="BI1386" i="42385"/>
  <c r="BI1486" i="42385" s="1"/>
  <c r="BJ1486" i="42385" s="1"/>
  <c r="CX1486" i="42385" s="1"/>
  <c r="CY1591" i="42385"/>
  <c r="BO1592" i="42385"/>
  <c r="CY1592" i="42385" s="1"/>
  <c r="CP65" i="42385"/>
  <c r="V75" i="42385"/>
  <c r="AD114" i="42385"/>
  <c r="R1658" i="42385"/>
  <c r="CL236" i="42417"/>
  <c r="CN923" i="42385"/>
  <c r="L924" i="42385"/>
  <c r="CN924" i="42385" s="1"/>
  <c r="CA158" i="42400"/>
  <c r="CD1490" i="42385"/>
  <c r="CE1390" i="42385"/>
  <c r="CE1490" i="42385" s="1"/>
  <c r="CY514" i="42385"/>
  <c r="BO519" i="42385"/>
  <c r="CY519" i="42385" s="1"/>
  <c r="BO516" i="42385"/>
  <c r="CY516" i="42385" s="1"/>
  <c r="BO515" i="42385"/>
  <c r="CY515" i="42385" s="1"/>
  <c r="AY165" i="42385"/>
  <c r="AY166" i="42385" s="1"/>
  <c r="AY134" i="42385" s="1"/>
  <c r="AV1121" i="42385"/>
  <c r="AU1121" i="42385"/>
  <c r="AT1124" i="42385"/>
  <c r="AT1552" i="42385" s="1"/>
  <c r="CX1115" i="42385"/>
  <c r="BJ1116" i="42385"/>
  <c r="CX1116" i="42385" s="1"/>
  <c r="BL574" i="42385"/>
  <c r="BL273" i="42385"/>
  <c r="BO273" i="42385" s="1"/>
  <c r="D1658" i="42385"/>
  <c r="I94" i="42385"/>
  <c r="BX1371" i="42385"/>
  <c r="G955" i="42385"/>
  <c r="CM955" i="42385" s="1"/>
  <c r="CM954" i="42385"/>
  <c r="CR40" i="42385"/>
  <c r="AF42" i="42385"/>
  <c r="CR42" i="42385" s="1"/>
  <c r="AF41" i="42385"/>
  <c r="CR41" i="42385" s="1"/>
  <c r="AQ924" i="42385"/>
  <c r="AV923" i="42385"/>
  <c r="AQ928" i="42385"/>
  <c r="V197" i="42385"/>
  <c r="U212" i="42385"/>
  <c r="X1586" i="42385"/>
  <c r="X1587" i="42385" s="1"/>
  <c r="X1591" i="42385"/>
  <c r="X1592" i="42385" s="1"/>
  <c r="X1583" i="42385"/>
  <c r="X1632" i="42385"/>
  <c r="X1631" i="42385"/>
  <c r="X1634" i="42385"/>
  <c r="X1594" i="42385"/>
  <c r="X1595" i="42385" s="1"/>
  <c r="T77" i="42385"/>
  <c r="T1514" i="42385"/>
  <c r="CY1113" i="42385"/>
  <c r="BO1115" i="42385"/>
  <c r="L912" i="42385"/>
  <c r="CN912" i="42385" s="1"/>
  <c r="CM911" i="42385"/>
  <c r="CD979" i="42385"/>
  <c r="CC151" i="42400"/>
  <c r="AX861" i="42385"/>
  <c r="AS866" i="42385"/>
  <c r="AS868" i="42385" s="1"/>
  <c r="AS862" i="42385"/>
  <c r="Q1018" i="42385"/>
  <c r="CO1018" i="42385" s="1"/>
  <c r="CO1016" i="42385"/>
  <c r="Q1017" i="42385"/>
  <c r="CO1017" i="42385" s="1"/>
  <c r="U90" i="42385"/>
  <c r="U79" i="42385"/>
  <c r="U92" i="42385" s="1"/>
  <c r="U1278" i="42385"/>
  <c r="BU1398" i="42385"/>
  <c r="BV1398" i="42385" s="1"/>
  <c r="BW1398" i="42385" s="1"/>
  <c r="BX1398" i="42385" s="1"/>
  <c r="BY1398" i="42385" s="1"/>
  <c r="CZ1398" i="42385"/>
  <c r="J114" i="42385"/>
  <c r="BS1381" i="42385"/>
  <c r="BT1381" i="42385" s="1"/>
  <c r="BS1377" i="42385"/>
  <c r="BJ574" i="42385"/>
  <c r="CX574" i="42385" s="1"/>
  <c r="CX573" i="42385"/>
  <c r="BJ273" i="42385"/>
  <c r="BJ1269" i="42385" s="1"/>
  <c r="BJ578" i="42385"/>
  <c r="CX578" i="42385" s="1"/>
  <c r="BF1181" i="42385"/>
  <c r="BF1183" i="42385"/>
  <c r="BF1184" i="42385" s="1"/>
  <c r="U1572" i="42385"/>
  <c r="V1569" i="42385"/>
  <c r="AS1422" i="42385"/>
  <c r="AS1424" i="42385" s="1"/>
  <c r="Y1586" i="42385"/>
  <c r="Y1587" i="42385" s="1"/>
  <c r="Y1594" i="42385"/>
  <c r="Y1595" i="42385" s="1"/>
  <c r="Y1583" i="42385"/>
  <c r="Y1631" i="42385"/>
  <c r="Y1634" i="42385"/>
  <c r="Y1591" i="42385"/>
  <c r="Y1592" i="42385" s="1"/>
  <c r="Y1632" i="42385"/>
  <c r="Z114" i="42385"/>
  <c r="V1018" i="42385"/>
  <c r="CP1018" i="42385" s="1"/>
  <c r="CP1016" i="42385"/>
  <c r="AA1018" i="42385"/>
  <c r="CQ1018" i="42385" s="1"/>
  <c r="V1017" i="42385"/>
  <c r="CP1017" i="42385" s="1"/>
  <c r="AE75" i="42385"/>
  <c r="AF65" i="42385"/>
  <c r="BK313" i="42385"/>
  <c r="BO313" i="42385" s="1"/>
  <c r="BO312" i="42385"/>
  <c r="CY312" i="42385" s="1"/>
  <c r="R114" i="42385"/>
  <c r="CB162" i="42400"/>
  <c r="CB155" i="42400"/>
  <c r="CB163" i="42400"/>
  <c r="CB161" i="42400"/>
  <c r="CB156" i="42400"/>
  <c r="CV1324" i="42385"/>
  <c r="AZ1326" i="42385"/>
  <c r="AH1434" i="42385"/>
  <c r="BU1211" i="42385"/>
  <c r="BU1217" i="42385"/>
  <c r="L1017" i="42385"/>
  <c r="CN1017" i="42385" s="1"/>
  <c r="CN1016" i="42385"/>
  <c r="Q31" i="42470"/>
  <c r="P31" i="42470"/>
  <c r="CA165" i="42400"/>
  <c r="L1018" i="42385"/>
  <c r="CN1018" i="42385" s="1"/>
  <c r="CM1016" i="42385"/>
  <c r="G1017" i="42385"/>
  <c r="CM1017" i="42385" s="1"/>
  <c r="J1658" i="42385"/>
  <c r="BR1481" i="42385"/>
  <c r="AG173" i="42385"/>
  <c r="AH173" i="42385" s="1"/>
  <c r="AI173" i="42385" s="1"/>
  <c r="AJ173" i="42385" s="1"/>
  <c r="AK173" i="42385" s="1"/>
  <c r="CR173" i="42385"/>
  <c r="H10" i="42406"/>
  <c r="AA924" i="42385"/>
  <c r="CQ924" i="42385" s="1"/>
  <c r="CQ923" i="42385"/>
  <c r="AF925" i="42385"/>
  <c r="CR925" i="42385" s="1"/>
  <c r="AA925" i="42385"/>
  <c r="CQ925" i="42385" s="1"/>
  <c r="AW1585" i="42385"/>
  <c r="AW1660" i="42385"/>
  <c r="I34" i="42476"/>
  <c r="T1632" i="42385"/>
  <c r="T1591" i="42385"/>
  <c r="T1592" i="42385" s="1"/>
  <c r="T1631" i="42385"/>
  <c r="T1583" i="42385"/>
  <c r="V924" i="42385"/>
  <c r="CP924" i="42385" s="1"/>
  <c r="CP923" i="42385"/>
  <c r="CV115" i="42385"/>
  <c r="CY251" i="42417"/>
  <c r="C12" i="42409"/>
  <c r="CT923" i="42385"/>
  <c r="AP924" i="42385"/>
  <c r="CT924" i="42385" s="1"/>
  <c r="AP925" i="42385"/>
  <c r="CT925" i="42385" s="1"/>
  <c r="DC1360" i="42385"/>
  <c r="CB1360" i="42385"/>
  <c r="CC1360" i="42385" s="1"/>
  <c r="CD1360" i="42385" s="1"/>
  <c r="CE1360" i="42385" s="1"/>
  <c r="CF1360" i="42385" s="1"/>
  <c r="W1632" i="42385"/>
  <c r="W1631" i="42385"/>
  <c r="W1594" i="42385"/>
  <c r="W1595" i="42385" s="1"/>
  <c r="W1583" i="42385"/>
  <c r="W1634" i="42385"/>
  <c r="W1591" i="42385"/>
  <c r="W1592" i="42385" s="1"/>
  <c r="W1586" i="42385"/>
  <c r="W1587" i="42385" s="1"/>
  <c r="CY1593" i="42385"/>
  <c r="BO1594" i="42385"/>
  <c r="I800" i="42385"/>
  <c r="I801" i="42385"/>
  <c r="L799" i="42385"/>
  <c r="N801" i="42385"/>
  <c r="AI197" i="42385"/>
  <c r="AI1569" i="42385"/>
  <c r="AI1572" i="42385" s="1"/>
  <c r="AE1663" i="42385"/>
  <c r="AE1569" i="42385"/>
  <c r="AG1569" i="42385"/>
  <c r="AG1572" i="42385" s="1"/>
  <c r="AH1569" i="42385"/>
  <c r="AH1572" i="42385" s="1"/>
  <c r="AG197" i="42385"/>
  <c r="AJ55" i="42385"/>
  <c r="AH197" i="42385"/>
  <c r="AE197" i="42385"/>
  <c r="BU1113" i="42385"/>
  <c r="BP1115" i="42385"/>
  <c r="BP312" i="42385" s="1"/>
  <c r="BT1113" i="42385"/>
  <c r="BP706" i="42385"/>
  <c r="BQ706" i="42385" s="1"/>
  <c r="BR706" i="42385" s="1"/>
  <c r="BS706" i="42385" s="1"/>
  <c r="BT706" i="42385" s="1"/>
  <c r="CY706" i="42385"/>
  <c r="AD1658" i="42385"/>
  <c r="AN868" i="42385"/>
  <c r="AP866" i="42385"/>
  <c r="CT866" i="42385" s="1"/>
  <c r="BI1174" i="42385"/>
  <c r="BH1175" i="42385"/>
  <c r="BH1177" i="42385"/>
  <c r="BH1178" i="42385" s="1"/>
  <c r="CB1359" i="42385"/>
  <c r="CC1359" i="42385" s="1"/>
  <c r="CD1359" i="42385" s="1"/>
  <c r="CE1359" i="42385" s="1"/>
  <c r="CF1359" i="42385" s="1"/>
  <c r="DC1359" i="42385"/>
  <c r="AJ1437" i="42385"/>
  <c r="AI1439" i="42385"/>
  <c r="AI1431" i="42385" s="1"/>
  <c r="AM1634" i="42385"/>
  <c r="AM1586" i="42385"/>
  <c r="AM1587" i="42385" s="1"/>
  <c r="AM1594" i="42385"/>
  <c r="AM1595" i="42385" s="1"/>
  <c r="AM1583" i="42385"/>
  <c r="AM1591" i="42385"/>
  <c r="AM1592" i="42385" s="1"/>
  <c r="AG1434" i="42385"/>
  <c r="V955" i="42385"/>
  <c r="CP955" i="42385" s="1"/>
  <c r="CP954" i="42385"/>
  <c r="AA956" i="42385"/>
  <c r="CQ956" i="42385" s="1"/>
  <c r="AS166" i="42385"/>
  <c r="AS134" i="42385" s="1"/>
  <c r="CG194" i="42464"/>
  <c r="CG196" i="42464" s="1"/>
  <c r="CG201" i="42464" s="1"/>
  <c r="CX197" i="42385"/>
  <c r="CC523" i="42385"/>
  <c r="AY707" i="42385"/>
  <c r="B25" i="42403"/>
  <c r="B27" i="42403" s="1"/>
  <c r="D29" i="42407"/>
  <c r="D30" i="42407" s="1"/>
  <c r="D9" i="42407"/>
  <c r="D11" i="42407" s="1"/>
  <c r="G25" i="42407"/>
  <c r="G21" i="42407"/>
  <c r="AZ1119" i="42385"/>
  <c r="CV1119" i="42385" s="1"/>
  <c r="BX1489" i="42385"/>
  <c r="BY1489" i="42385" s="1"/>
  <c r="CR170" i="42385"/>
  <c r="AG170" i="42385"/>
  <c r="AH170" i="42385" s="1"/>
  <c r="AI170" i="42385" s="1"/>
  <c r="AJ170" i="42385" s="1"/>
  <c r="AK170" i="42385" s="1"/>
  <c r="AG178" i="42385"/>
  <c r="AH178" i="42385" s="1"/>
  <c r="AI178" i="42385" s="1"/>
  <c r="AJ178" i="42385" s="1"/>
  <c r="AK178" i="42385" s="1"/>
  <c r="CR178" i="42385"/>
  <c r="DC1355" i="42385"/>
  <c r="CB1355" i="42385"/>
  <c r="CC1355" i="42385" s="1"/>
  <c r="CD1355" i="42385" s="1"/>
  <c r="CE1355" i="42385" s="1"/>
  <c r="CF1355" i="42385" s="1"/>
  <c r="GC459" i="42417"/>
  <c r="GG459" i="42417" s="1"/>
  <c r="G15" i="42464"/>
  <c r="CV286" i="42385"/>
  <c r="BH1604" i="42385"/>
  <c r="BH1605" i="42385" s="1"/>
  <c r="BH1601" i="42385"/>
  <c r="BH1602" i="42385" s="1"/>
  <c r="BI1604" i="42385"/>
  <c r="BI1605" i="42385" s="1"/>
  <c r="BI1601" i="42385"/>
  <c r="BI1602" i="42385" s="1"/>
  <c r="CR1282" i="42385"/>
  <c r="T20" i="42476"/>
  <c r="BH1658" i="42385"/>
  <c r="GP504" i="42417"/>
  <c r="GP489" i="42417"/>
  <c r="FT435" i="42417"/>
  <c r="CU220" i="42385"/>
  <c r="AR962" i="42385"/>
  <c r="AR963" i="42385"/>
  <c r="AR298" i="42385"/>
  <c r="AR964" i="42385"/>
  <c r="N79" i="42385"/>
  <c r="N92" i="42385" s="1"/>
  <c r="N90" i="42385"/>
  <c r="N1278" i="42385"/>
  <c r="CC970" i="42385"/>
  <c r="C14" i="42465"/>
  <c r="AK1645" i="42385"/>
  <c r="CS88" i="42385"/>
  <c r="BI745" i="42385"/>
  <c r="CW197" i="42385"/>
  <c r="BX31" i="42385"/>
  <c r="BY22" i="42385"/>
  <c r="BY31" i="42385" s="1"/>
  <c r="AT257" i="42385"/>
  <c r="AT258" i="42385" s="1"/>
  <c r="AZ402" i="42385"/>
  <c r="CV402" i="42385" s="1"/>
  <c r="CV401" i="42385"/>
  <c r="BF1506" i="42385"/>
  <c r="BX1344" i="42385"/>
  <c r="BW1287" i="42385"/>
  <c r="B50" i="42465"/>
  <c r="B49" i="42465" s="1"/>
  <c r="CR1314" i="42385"/>
  <c r="BJ400" i="42385"/>
  <c r="CX400" i="42385" s="1"/>
  <c r="BH401" i="42385"/>
  <c r="BM400" i="42385"/>
  <c r="AO1361" i="42385"/>
  <c r="BQ1211" i="42385"/>
  <c r="BQ1217" i="42385"/>
  <c r="BB1119" i="42385"/>
  <c r="BC1119" i="42385" s="1"/>
  <c r="BD1119" i="42385" s="1"/>
  <c r="BF1119" i="42385" s="1"/>
  <c r="BZ1389" i="42385"/>
  <c r="BZ1489" i="42385" s="1"/>
  <c r="DA341" i="42385"/>
  <c r="BY342" i="42385"/>
  <c r="DA342" i="42385" s="1"/>
  <c r="BH120" i="42385"/>
  <c r="BH122" i="42385"/>
  <c r="AQ961" i="42385"/>
  <c r="L391" i="42385"/>
  <c r="CN391" i="42385" s="1"/>
  <c r="H1141" i="42385"/>
  <c r="BV232" i="42385"/>
  <c r="BV282" i="42385"/>
  <c r="BJ1600" i="42385"/>
  <c r="BJ1601" i="42385" s="1"/>
  <c r="BJ1602" i="42385" s="1"/>
  <c r="CX1579" i="42385"/>
  <c r="BJ1603" i="42385"/>
  <c r="BJ1634" i="42385"/>
  <c r="CX1634" i="42385" s="1"/>
  <c r="AX1506" i="42385"/>
  <c r="BB1506" i="42385"/>
  <c r="BG1506" i="42385" s="1"/>
  <c r="BL1506" i="42385" s="1"/>
  <c r="AV257" i="42385"/>
  <c r="Q924" i="42385"/>
  <c r="CO924" i="42385" s="1"/>
  <c r="CO923" i="42385"/>
  <c r="Q925" i="42385"/>
  <c r="CO925" i="42385" s="1"/>
  <c r="V925" i="42385"/>
  <c r="CP925" i="42385" s="1"/>
  <c r="BF1604" i="42385"/>
  <c r="BF1605" i="42385" s="1"/>
  <c r="BF1601" i="42385"/>
  <c r="BF1602" i="42385" s="1"/>
  <c r="BN1658" i="42385"/>
  <c r="Z20" i="42476"/>
  <c r="Z21" i="42476" s="1"/>
  <c r="BN94" i="42385"/>
  <c r="AS13" i="42385"/>
  <c r="AU9" i="42385"/>
  <c r="BC220" i="42385"/>
  <c r="BC402" i="42385"/>
  <c r="BE401" i="42385"/>
  <c r="J18" i="42406"/>
  <c r="J11" i="42406"/>
  <c r="J10" i="42406" s="1"/>
  <c r="J19" i="42406"/>
  <c r="BY218" i="42385"/>
  <c r="Q956" i="42385"/>
  <c r="CO956" i="42385" s="1"/>
  <c r="CO954" i="42385"/>
  <c r="Q955" i="42385"/>
  <c r="CO955" i="42385" s="1"/>
  <c r="V956" i="42385"/>
  <c r="CP956" i="42385" s="1"/>
  <c r="CH194" i="42464"/>
  <c r="CH196" i="42464" s="1"/>
  <c r="CH201" i="42464" s="1"/>
  <c r="CC908" i="42385"/>
  <c r="CU1292" i="42385"/>
  <c r="AU115" i="42385"/>
  <c r="E44" i="42465"/>
  <c r="AV955" i="42385"/>
  <c r="BA954" i="42385"/>
  <c r="AV959" i="42385"/>
  <c r="AY1118" i="42385"/>
  <c r="AZ1118" i="42385" s="1"/>
  <c r="J15" i="42406"/>
  <c r="J16" i="42406" s="1"/>
  <c r="CB1391" i="42385"/>
  <c r="CB1491" i="42385" s="1"/>
  <c r="L1579" i="42385"/>
  <c r="CS171" i="42385"/>
  <c r="AL171" i="42385"/>
  <c r="AM171" i="42385" s="1"/>
  <c r="AN171" i="42385" s="1"/>
  <c r="AO171" i="42385" s="1"/>
  <c r="AP171" i="42385" s="1"/>
  <c r="AQ179" i="42385"/>
  <c r="AR179" i="42385" s="1"/>
  <c r="AS179" i="42385" s="1"/>
  <c r="AT179" i="42385" s="1"/>
  <c r="AU179" i="42385"/>
  <c r="CT179" i="42385"/>
  <c r="AR1184" i="42385"/>
  <c r="BN1147" i="42385"/>
  <c r="G924" i="42385"/>
  <c r="CM924" i="42385" s="1"/>
  <c r="CM923" i="42385"/>
  <c r="L925" i="42385"/>
  <c r="CN925" i="42385" s="1"/>
  <c r="DY356" i="42417"/>
  <c r="EQ382" i="42417"/>
  <c r="AX228" i="42385"/>
  <c r="AZ220" i="42385"/>
  <c r="GZ545" i="42417"/>
  <c r="GZ544" i="42417" s="1"/>
  <c r="GY544" i="42417"/>
  <c r="C52" i="42406"/>
  <c r="B53" i="42406"/>
  <c r="CU154" i="42385"/>
  <c r="CC495" i="42385"/>
  <c r="BG1604" i="42385"/>
  <c r="BG1605" i="42385" s="1"/>
  <c r="BG1601" i="42385"/>
  <c r="BG1602" i="42385" s="1"/>
  <c r="CN148" i="42385"/>
  <c r="L163" i="42385"/>
  <c r="CN163" i="42385" s="1"/>
  <c r="CC390" i="42385"/>
  <c r="BZ1122" i="42385"/>
  <c r="V345" i="42385"/>
  <c r="CP345" i="42385" s="1"/>
  <c r="AA346" i="42385"/>
  <c r="CQ346" i="42385" s="1"/>
  <c r="CP344" i="42385"/>
  <c r="V346" i="42385"/>
  <c r="CP346" i="42385" s="1"/>
  <c r="AY409" i="42385"/>
  <c r="AZ1171" i="42385"/>
  <c r="BF165" i="42417"/>
  <c r="AZ1168" i="42385"/>
  <c r="CV1168" i="42385" s="1"/>
  <c r="CV1166" i="42385"/>
  <c r="AZ1187" i="42385"/>
  <c r="CV1187" i="42385" s="1"/>
  <c r="AZ1167" i="42385"/>
  <c r="CV1167" i="42385" s="1"/>
  <c r="BE1168" i="42385"/>
  <c r="CW1168" i="42385" s="1"/>
  <c r="CU1314" i="42385"/>
  <c r="E50" i="42465"/>
  <c r="E49" i="42465" s="1"/>
  <c r="EI442" i="42492"/>
  <c r="CZ218" i="42385"/>
  <c r="AG177" i="42385"/>
  <c r="AH177" i="42385" s="1"/>
  <c r="AI177" i="42385" s="1"/>
  <c r="AJ177" i="42385" s="1"/>
  <c r="AK177" i="42385" s="1"/>
  <c r="CR177" i="42385"/>
  <c r="D28" i="42407"/>
  <c r="D24" i="42407"/>
  <c r="AU993" i="42385"/>
  <c r="CU993" i="42385" s="1"/>
  <c r="CU992" i="42385"/>
  <c r="AZ994" i="42385"/>
  <c r="CV994" i="42385" s="1"/>
  <c r="BV1256" i="42385"/>
  <c r="BU1258" i="42385"/>
  <c r="BY1120" i="42385"/>
  <c r="E12" i="42409"/>
  <c r="CX115" i="42385"/>
  <c r="DQ351" i="42464"/>
  <c r="DQ335" i="42464"/>
  <c r="DQ336" i="42464"/>
  <c r="BL79" i="42385"/>
  <c r="BL1278" i="42385"/>
  <c r="L180" i="42385"/>
  <c r="EH447" i="42492"/>
  <c r="AW955" i="42385"/>
  <c r="BB954" i="42385"/>
  <c r="AW959" i="42385"/>
  <c r="AW961" i="42385" s="1"/>
  <c r="AJ93" i="42385"/>
  <c r="AJ1619" i="42385"/>
  <c r="AJ106" i="42385"/>
  <c r="C30" i="42407"/>
  <c r="C28" i="42407"/>
  <c r="DQ340" i="42464"/>
  <c r="DQ348" i="42464"/>
  <c r="DQ349" i="42464" s="1"/>
  <c r="U169" i="42385"/>
  <c r="AX1106" i="42385"/>
  <c r="AW1107" i="42385"/>
  <c r="AW256" i="42385" s="1"/>
  <c r="B25" i="42406"/>
  <c r="AT163" i="42385"/>
  <c r="AU163" i="42385" s="1"/>
  <c r="CU163" i="42385" s="1"/>
  <c r="CD361" i="42385"/>
  <c r="BF79" i="42385"/>
  <c r="BF1278" i="42385"/>
  <c r="CX251" i="42417"/>
  <c r="BV158" i="42400" l="1"/>
  <c r="BU165" i="42400"/>
  <c r="BV165" i="42400"/>
  <c r="BW158" i="42400"/>
  <c r="BY169" i="42400"/>
  <c r="BY988" i="42385" s="1"/>
  <c r="DA988" i="42385" s="1"/>
  <c r="BW165" i="42400"/>
  <c r="BU158" i="42400"/>
  <c r="BX158" i="42400"/>
  <c r="BX165" i="42400"/>
  <c r="CB339" i="42385"/>
  <c r="BZ340" i="42385"/>
  <c r="BZ341" i="42385" s="1"/>
  <c r="BZ1070" i="42385"/>
  <c r="BZ1069" i="42385" s="1"/>
  <c r="BY462" i="42385"/>
  <c r="BY464" i="42385" s="1"/>
  <c r="DA464" i="42385" s="1"/>
  <c r="BZ795" i="42385"/>
  <c r="DA795" i="42385"/>
  <c r="CA1067" i="42385"/>
  <c r="CA251" i="42385"/>
  <c r="CA12" i="42385" s="1"/>
  <c r="T212" i="42385"/>
  <c r="AU1027" i="42385"/>
  <c r="AV1027" i="42385"/>
  <c r="AT1534" i="42385"/>
  <c r="AU1534" i="42385" s="1"/>
  <c r="CU1534" i="42385" s="1"/>
  <c r="AT1028" i="42385"/>
  <c r="F193" i="42385"/>
  <c r="G191" i="42385"/>
  <c r="BP402" i="42385"/>
  <c r="BP220" i="42385"/>
  <c r="BT220" i="42385" s="1"/>
  <c r="BT401" i="42385"/>
  <c r="CZ401" i="42385" s="1"/>
  <c r="P106" i="42385"/>
  <c r="P114" i="42385" s="1"/>
  <c r="P120" i="42385" s="1"/>
  <c r="P1656" i="42385" s="1"/>
  <c r="P1619" i="42385"/>
  <c r="P93" i="42385"/>
  <c r="P1658" i="42385" s="1"/>
  <c r="AU1104" i="42385"/>
  <c r="AU1107" i="42385" s="1"/>
  <c r="C79" i="42385"/>
  <c r="C92" i="42385" s="1"/>
  <c r="C90" i="42385"/>
  <c r="CO1500" i="42385"/>
  <c r="Q1575" i="42385"/>
  <c r="Q1504" i="42385"/>
  <c r="CO1504" i="42385" s="1"/>
  <c r="BE1456" i="42385"/>
  <c r="BF1456" i="42385" s="1"/>
  <c r="BD1487" i="42385"/>
  <c r="BE1487" i="42385" s="1"/>
  <c r="BE1314" i="42385"/>
  <c r="CW1304" i="42385"/>
  <c r="G47" i="42465"/>
  <c r="BP470" i="42385"/>
  <c r="BP269" i="42385"/>
  <c r="BP471" i="42385"/>
  <c r="BB1301" i="42385"/>
  <c r="BB1330" i="42385" s="1"/>
  <c r="BB1642" i="42385"/>
  <c r="BH993" i="42385"/>
  <c r="BH299" i="42385"/>
  <c r="C1632" i="42385"/>
  <c r="C1591" i="42385"/>
  <c r="C1592" i="42385" s="1"/>
  <c r="C1634" i="42385"/>
  <c r="C1627" i="42385"/>
  <c r="C1628" i="42385" s="1"/>
  <c r="C1583" i="42385"/>
  <c r="C1584" i="42385" s="1"/>
  <c r="C1631" i="42385"/>
  <c r="AC1278" i="42385"/>
  <c r="AC79" i="42385"/>
  <c r="AC92" i="42385" s="1"/>
  <c r="AC90" i="42385"/>
  <c r="BU401" i="42385"/>
  <c r="BY400" i="42385"/>
  <c r="BB92" i="42385"/>
  <c r="BB90" i="42385"/>
  <c r="BB1648" i="42385"/>
  <c r="BB1641" i="42385" s="1"/>
  <c r="P1642" i="42385"/>
  <c r="P1301" i="42385"/>
  <c r="P1330" i="42385" s="1"/>
  <c r="AW830" i="42385"/>
  <c r="AR831" i="42385"/>
  <c r="AR835" i="42385"/>
  <c r="AR837" i="42385" s="1"/>
  <c r="T1579" i="42385"/>
  <c r="T1634" i="42385" s="1"/>
  <c r="P1579" i="42385"/>
  <c r="Q1579" i="42385" s="1"/>
  <c r="CO1579" i="42385" s="1"/>
  <c r="S1579" i="42385"/>
  <c r="R1579" i="42385"/>
  <c r="BO654" i="42385"/>
  <c r="BN653" i="42385"/>
  <c r="BN656" i="42385" s="1"/>
  <c r="BN657" i="42385" s="1"/>
  <c r="BN658" i="42385" s="1"/>
  <c r="D1627" i="42385"/>
  <c r="D1628" i="42385" s="1"/>
  <c r="D1632" i="42385"/>
  <c r="D1583" i="42385"/>
  <c r="D1584" i="42385" s="1"/>
  <c r="D1634" i="42385"/>
  <c r="D1631" i="42385"/>
  <c r="D1591" i="42385"/>
  <c r="D1592" i="42385" s="1"/>
  <c r="AU904" i="42385"/>
  <c r="CU904" i="42385" s="1"/>
  <c r="CU903" i="42385"/>
  <c r="CF1464" i="42385"/>
  <c r="CF1465" i="42385"/>
  <c r="CF1458" i="42385"/>
  <c r="CF1451" i="42385"/>
  <c r="CF1452" i="42385"/>
  <c r="CF1524" i="42385"/>
  <c r="CF1459" i="42385"/>
  <c r="CF1460" i="42385"/>
  <c r="CF1450" i="42385"/>
  <c r="BP1160" i="42385"/>
  <c r="BU1160" i="42385" s="1"/>
  <c r="BP1161" i="42385"/>
  <c r="AY631" i="42385"/>
  <c r="AX632" i="42385"/>
  <c r="AX1543" i="42385"/>
  <c r="AZ631" i="42385"/>
  <c r="AA623" i="42385"/>
  <c r="CQ623" i="42385" s="1"/>
  <c r="AA622" i="42385"/>
  <c r="CQ622" i="42385" s="1"/>
  <c r="CQ621" i="42385"/>
  <c r="BU231" i="42385"/>
  <c r="BU650" i="42385"/>
  <c r="BC1301" i="42385"/>
  <c r="BC1330" i="42385" s="1"/>
  <c r="BC1642" i="42385"/>
  <c r="AW721" i="42385"/>
  <c r="AX720" i="42385"/>
  <c r="AW1536" i="42385"/>
  <c r="BV640" i="42385"/>
  <c r="BQ231" i="42385"/>
  <c r="BQ650" i="42385"/>
  <c r="BQ647" i="42385"/>
  <c r="BQ644" i="42385"/>
  <c r="CU1104" i="42385"/>
  <c r="BR283" i="42385"/>
  <c r="BR697" i="42385"/>
  <c r="BR696" i="42385"/>
  <c r="AV904" i="42385"/>
  <c r="AW903" i="42385"/>
  <c r="AV1529" i="42385"/>
  <c r="BC92" i="42385"/>
  <c r="BC1648" i="42385"/>
  <c r="BC1641" i="42385" s="1"/>
  <c r="BC90" i="42385"/>
  <c r="BG1104" i="42385"/>
  <c r="BL1104" i="42385" s="1"/>
  <c r="BQ1104" i="42385" s="1"/>
  <c r="BV1104" i="42385" s="1"/>
  <c r="BC1104" i="42385"/>
  <c r="AL1591" i="42385"/>
  <c r="AL1592" i="42385" s="1"/>
  <c r="AL1586" i="42385"/>
  <c r="AL1587" i="42385" s="1"/>
  <c r="AL1594" i="42385"/>
  <c r="AL1595" i="42385" s="1"/>
  <c r="AL1634" i="42385"/>
  <c r="AL1583" i="42385"/>
  <c r="CV1590" i="42385"/>
  <c r="AZ1593" i="42385"/>
  <c r="CV1593" i="42385" s="1"/>
  <c r="BA1590" i="42385"/>
  <c r="AC624" i="42385"/>
  <c r="AD625" i="42385"/>
  <c r="BL281" i="42385"/>
  <c r="BL648" i="42385"/>
  <c r="AX385" i="42385"/>
  <c r="AX1541" i="42385"/>
  <c r="AY384" i="42385"/>
  <c r="AZ384" i="42385" s="1"/>
  <c r="BZ683" i="42385"/>
  <c r="CA670" i="42385"/>
  <c r="AY841" i="42385"/>
  <c r="AZ841" i="42385" s="1"/>
  <c r="AX1532" i="42385"/>
  <c r="AX842" i="42385"/>
  <c r="AB622" i="42385"/>
  <c r="AB623" i="42385"/>
  <c r="DN336" i="42464"/>
  <c r="DN335" i="42464"/>
  <c r="DO335" i="42464"/>
  <c r="DO351" i="42464"/>
  <c r="DO352" i="42464" s="1"/>
  <c r="AI79" i="42385"/>
  <c r="AI1278" i="42385"/>
  <c r="BW697" i="42385"/>
  <c r="AK1572" i="42385"/>
  <c r="CS1569" i="42385"/>
  <c r="AK1514" i="42385"/>
  <c r="CS75" i="42385"/>
  <c r="C11" i="42465"/>
  <c r="AK77" i="42385"/>
  <c r="AJ1591" i="42385"/>
  <c r="AJ1592" i="42385" s="1"/>
  <c r="AJ1583" i="42385"/>
  <c r="AJ1586" i="42385"/>
  <c r="AJ1587" i="42385" s="1"/>
  <c r="AJ1594" i="42385"/>
  <c r="AJ1595" i="42385" s="1"/>
  <c r="AJ1634" i="42385"/>
  <c r="AG79" i="42385"/>
  <c r="AG1278" i="42385"/>
  <c r="K894" i="42385"/>
  <c r="BV1373" i="42385"/>
  <c r="BU1375" i="42385"/>
  <c r="AV613" i="42385"/>
  <c r="AX613" i="42385" s="1"/>
  <c r="AU613" i="42385"/>
  <c r="P894" i="42385"/>
  <c r="BI1384" i="42385"/>
  <c r="BJ1384" i="42385" s="1"/>
  <c r="DC1114" i="42385"/>
  <c r="CB1114" i="42385"/>
  <c r="CC1114" i="42385" s="1"/>
  <c r="CD1114" i="42385" s="1"/>
  <c r="CE1114" i="42385" s="1"/>
  <c r="CF1114" i="42385" s="1"/>
  <c r="CR183" i="42385"/>
  <c r="AG183" i="42385"/>
  <c r="AH183" i="42385" s="1"/>
  <c r="AI183" i="42385" s="1"/>
  <c r="AJ183" i="42385" s="1"/>
  <c r="AK183" i="42385" s="1"/>
  <c r="BZ1103" i="42385"/>
  <c r="DA1103" i="42385"/>
  <c r="AS799" i="42385"/>
  <c r="AU799" i="42385" s="1"/>
  <c r="AN800" i="42385"/>
  <c r="AN804" i="42385"/>
  <c r="BH1383" i="42385"/>
  <c r="CR861" i="42385"/>
  <c r="AF863" i="42385"/>
  <c r="CR863" i="42385" s="1"/>
  <c r="AF862" i="42385"/>
  <c r="CR862" i="42385" s="1"/>
  <c r="BT1200" i="42385"/>
  <c r="BT1194" i="42385"/>
  <c r="CZ1197" i="42385"/>
  <c r="DA1198" i="42385"/>
  <c r="BR1224" i="42385"/>
  <c r="BT1224" i="42385" s="1"/>
  <c r="BT1203" i="42385"/>
  <c r="BQ1486" i="42385"/>
  <c r="BR1386" i="42385"/>
  <c r="BQ1563" i="42385"/>
  <c r="V892" i="42385"/>
  <c r="W894" i="42385"/>
  <c r="R893" i="42385"/>
  <c r="R894" i="42385"/>
  <c r="AR800" i="42385"/>
  <c r="AR804" i="42385"/>
  <c r="AR806" i="42385" s="1"/>
  <c r="AR293" i="42385" s="1"/>
  <c r="AW799" i="42385"/>
  <c r="BZ1414" i="42385"/>
  <c r="DA1414" i="42385"/>
  <c r="BS1385" i="42385"/>
  <c r="BT1385" i="42385" s="1"/>
  <c r="S893" i="42385"/>
  <c r="X894" i="42385"/>
  <c r="BC993" i="42385"/>
  <c r="BC997" i="42385"/>
  <c r="BC994" i="42385"/>
  <c r="BC299" i="42385"/>
  <c r="BH994" i="42385"/>
  <c r="AT830" i="42385"/>
  <c r="AO831" i="42385"/>
  <c r="AO835" i="42385"/>
  <c r="AO837" i="42385" s="1"/>
  <c r="AO839" i="42385" s="1"/>
  <c r="BT1206" i="42385"/>
  <c r="BR1208" i="42385"/>
  <c r="U893" i="42385"/>
  <c r="Z894" i="42385"/>
  <c r="T893" i="42385"/>
  <c r="Y894" i="42385"/>
  <c r="BS1208" i="42385"/>
  <c r="BS1210" i="42385" s="1"/>
  <c r="BG1485" i="42385"/>
  <c r="BH1385" i="42385"/>
  <c r="BH1485" i="42385" s="1"/>
  <c r="BA474" i="42385"/>
  <c r="BA475" i="42385" s="1"/>
  <c r="BA473" i="42385"/>
  <c r="BA1547" i="42385"/>
  <c r="BB472" i="42385"/>
  <c r="BD994" i="42385"/>
  <c r="BD997" i="42385"/>
  <c r="BD993" i="42385"/>
  <c r="BD299" i="42385"/>
  <c r="BG1483" i="42385"/>
  <c r="AG800" i="42385"/>
  <c r="AG801" i="42385"/>
  <c r="AL801" i="42385"/>
  <c r="AK799" i="42385"/>
  <c r="AZ1545" i="42385"/>
  <c r="CV1545" i="42385" s="1"/>
  <c r="CB51" i="42400"/>
  <c r="CB802" i="42385" s="1"/>
  <c r="CB803" i="42385" s="1"/>
  <c r="BP219" i="42385"/>
  <c r="BP371" i="42385"/>
  <c r="AV598" i="42385"/>
  <c r="CU598" i="42385"/>
  <c r="CW647" i="42385"/>
  <c r="BE648" i="42385"/>
  <c r="CW648" i="42385" s="1"/>
  <c r="BZ450" i="42385"/>
  <c r="DA450" i="42385"/>
  <c r="AM347" i="42385"/>
  <c r="AN348" i="42385"/>
  <c r="AZ604" i="42385"/>
  <c r="CV604" i="42385" s="1"/>
  <c r="BU219" i="42385"/>
  <c r="BU371" i="42385"/>
  <c r="BP643" i="42385"/>
  <c r="BO643" i="42385"/>
  <c r="BK644" i="42385"/>
  <c r="BK647" i="42385"/>
  <c r="BN286" i="42385"/>
  <c r="BN756" i="42385"/>
  <c r="BN757" i="42385"/>
  <c r="DC1341" i="42385"/>
  <c r="CA1289" i="42385"/>
  <c r="AK346" i="42385"/>
  <c r="CS346" i="42385" s="1"/>
  <c r="CS344" i="42385"/>
  <c r="AK345" i="42385"/>
  <c r="CS345" i="42385" s="1"/>
  <c r="AS345" i="42385"/>
  <c r="AX344" i="42385"/>
  <c r="W1301" i="42385"/>
  <c r="W1330" i="42385" s="1"/>
  <c r="W1642" i="42385"/>
  <c r="BW286" i="42385"/>
  <c r="BW756" i="42385"/>
  <c r="BW757" i="42385"/>
  <c r="BJ645" i="42385"/>
  <c r="CX645" i="42385" s="1"/>
  <c r="CX643" i="42385"/>
  <c r="AV184" i="42385"/>
  <c r="AW184" i="42385" s="1"/>
  <c r="AX184" i="42385" s="1"/>
  <c r="AY184" i="42385" s="1"/>
  <c r="AZ184" i="42385"/>
  <c r="CU184" i="42385"/>
  <c r="BZ115" i="42385"/>
  <c r="DB115" i="42385" s="1"/>
  <c r="DB1289" i="42385"/>
  <c r="BJ79" i="42385"/>
  <c r="CX77" i="42385"/>
  <c r="AN1373" i="42385"/>
  <c r="AM1375" i="42385"/>
  <c r="AM1424" i="42385" s="1"/>
  <c r="BE1260" i="42385"/>
  <c r="CW1243" i="42385"/>
  <c r="BE1266" i="42385"/>
  <c r="BE1265" i="42385"/>
  <c r="BF281" i="42385"/>
  <c r="BJ281" i="42385" s="1"/>
  <c r="CX281" i="42385" s="1"/>
  <c r="BF648" i="42385"/>
  <c r="BX751" i="42385"/>
  <c r="BS755" i="42385"/>
  <c r="BS752" i="42385"/>
  <c r="AO345" i="42385"/>
  <c r="AT344" i="42385"/>
  <c r="AX356" i="42385"/>
  <c r="AW1528" i="42385"/>
  <c r="AW357" i="42385"/>
  <c r="W106" i="42385"/>
  <c r="W114" i="42385" s="1"/>
  <c r="W120" i="42385" s="1"/>
  <c r="W1656" i="42385" s="1"/>
  <c r="W93" i="42385"/>
  <c r="W1619" i="42385"/>
  <c r="AZ145" i="42417"/>
  <c r="CS354" i="42385"/>
  <c r="AL354" i="42385"/>
  <c r="AL344" i="42385"/>
  <c r="AJ892" i="42385"/>
  <c r="AJ893" i="42385" s="1"/>
  <c r="BG1478" i="42385"/>
  <c r="AK831" i="42385"/>
  <c r="CS831" i="42385" s="1"/>
  <c r="CS830" i="42385"/>
  <c r="AJ896" i="42385"/>
  <c r="H896" i="42385"/>
  <c r="H901" i="42385"/>
  <c r="H892" i="42385"/>
  <c r="BF299" i="42385"/>
  <c r="BJ299" i="42385" s="1"/>
  <c r="CX299" i="42385" s="1"/>
  <c r="BF993" i="42385"/>
  <c r="BS1483" i="42385"/>
  <c r="BT1483" i="42385" s="1"/>
  <c r="CZ1483" i="42385" s="1"/>
  <c r="DB1357" i="42385"/>
  <c r="CA1357" i="42385"/>
  <c r="BH1478" i="42385"/>
  <c r="BI1378" i="42385"/>
  <c r="BJ1378" i="42385" s="1"/>
  <c r="CC336" i="42385"/>
  <c r="CC339" i="42385" s="1"/>
  <c r="CD334" i="42385"/>
  <c r="BG1381" i="42385"/>
  <c r="BG1481" i="42385" s="1"/>
  <c r="AW923" i="42385"/>
  <c r="AR928" i="42385"/>
  <c r="AR930" i="42385" s="1"/>
  <c r="AR924" i="42385"/>
  <c r="AG894" i="42385"/>
  <c r="AL894" i="42385"/>
  <c r="AG893" i="42385"/>
  <c r="AQ835" i="42385"/>
  <c r="AQ837" i="42385" s="1"/>
  <c r="AQ840" i="42385" s="1"/>
  <c r="AQ831" i="42385"/>
  <c r="AV830" i="42385"/>
  <c r="BM1183" i="42385"/>
  <c r="BM1184" i="42385" s="1"/>
  <c r="G893" i="42385"/>
  <c r="CM893" i="42385" s="1"/>
  <c r="CM892" i="42385"/>
  <c r="AW892" i="42385"/>
  <c r="AR893" i="42385"/>
  <c r="AR897" i="42385"/>
  <c r="AR899" i="42385" s="1"/>
  <c r="DC1175" i="42385"/>
  <c r="CA60" i="42385"/>
  <c r="AO892" i="42385"/>
  <c r="AJ894" i="42385"/>
  <c r="CR181" i="42385"/>
  <c r="AG181" i="42385"/>
  <c r="AH181" i="42385" s="1"/>
  <c r="AI181" i="42385" s="1"/>
  <c r="AJ181" i="42385" s="1"/>
  <c r="AK181" i="42385" s="1"/>
  <c r="AG186" i="42385"/>
  <c r="AH186" i="42385" s="1"/>
  <c r="AI186" i="42385" s="1"/>
  <c r="AJ186" i="42385" s="1"/>
  <c r="AK186" i="42385" s="1"/>
  <c r="CR186" i="42385"/>
  <c r="CR185" i="42385"/>
  <c r="AG185" i="42385"/>
  <c r="AH185" i="42385" s="1"/>
  <c r="AI185" i="42385" s="1"/>
  <c r="AJ185" i="42385" s="1"/>
  <c r="AK185" i="42385" s="1"/>
  <c r="AH893" i="42385"/>
  <c r="AH894" i="42385"/>
  <c r="AN892" i="42385"/>
  <c r="AI893" i="42385"/>
  <c r="CT480" i="42385"/>
  <c r="AQ480" i="42385"/>
  <c r="AP1140" i="42385"/>
  <c r="CT1140" i="42385" s="1"/>
  <c r="BD165" i="42385"/>
  <c r="BD166" i="42385" s="1"/>
  <c r="BD134" i="42385" s="1"/>
  <c r="BE163" i="42385"/>
  <c r="CW163" i="42385" s="1"/>
  <c r="AX923" i="42385"/>
  <c r="AS924" i="42385"/>
  <c r="AS928" i="42385"/>
  <c r="AS930" i="42385" s="1"/>
  <c r="CC1174" i="42385"/>
  <c r="CB1175" i="42385"/>
  <c r="CB69" i="42385" s="1"/>
  <c r="CS174" i="42385"/>
  <c r="AL174" i="42385"/>
  <c r="AM174" i="42385" s="1"/>
  <c r="AN174" i="42385" s="1"/>
  <c r="AO174" i="42385" s="1"/>
  <c r="AP174" i="42385" s="1"/>
  <c r="BZ1110" i="42385"/>
  <c r="DA1110" i="42385"/>
  <c r="CS175" i="42385"/>
  <c r="AL175" i="42385"/>
  <c r="AM175" i="42385" s="1"/>
  <c r="AN175" i="42385" s="1"/>
  <c r="AO175" i="42385" s="1"/>
  <c r="AP175" i="42385" s="1"/>
  <c r="BY1077" i="42385"/>
  <c r="BY1074" i="42385"/>
  <c r="BY1073" i="42385"/>
  <c r="I893" i="42385"/>
  <c r="I894" i="42385"/>
  <c r="N894" i="42385"/>
  <c r="CW151" i="42385"/>
  <c r="AN297" i="42385"/>
  <c r="GM519" i="42417" s="1"/>
  <c r="AN932" i="42385"/>
  <c r="AN931" i="42385"/>
  <c r="AN933" i="42385"/>
  <c r="AW51" i="42464"/>
  <c r="AW53" i="42464" s="1"/>
  <c r="CV299" i="42385"/>
  <c r="DA1206" i="42385"/>
  <c r="CS172" i="42385"/>
  <c r="AL172" i="42385"/>
  <c r="AM172" i="42385" s="1"/>
  <c r="AN172" i="42385" s="1"/>
  <c r="AO172" i="42385" s="1"/>
  <c r="AP172" i="42385" s="1"/>
  <c r="CZ1383" i="42385"/>
  <c r="BU1383" i="42385"/>
  <c r="BU1483" i="42385" s="1"/>
  <c r="DA1203" i="42385"/>
  <c r="DA1205" i="42385"/>
  <c r="DA1208" i="42385"/>
  <c r="BZ1148" i="42385"/>
  <c r="DA1148" i="42385"/>
  <c r="CU187" i="42385"/>
  <c r="AV187" i="42385"/>
  <c r="AW187" i="42385" s="1"/>
  <c r="AX187" i="42385" s="1"/>
  <c r="AY187" i="42385" s="1"/>
  <c r="AZ187" i="42385"/>
  <c r="AM862" i="42385"/>
  <c r="AR861" i="42385"/>
  <c r="AV892" i="42385"/>
  <c r="AQ893" i="42385"/>
  <c r="AQ897" i="42385"/>
  <c r="AQ899" i="42385" s="1"/>
  <c r="CO892" i="42385"/>
  <c r="Q893" i="42385"/>
  <c r="CO893" i="42385" s="1"/>
  <c r="Q1663" i="42385"/>
  <c r="CO54" i="42385"/>
  <c r="BS1482" i="42385"/>
  <c r="BT1482" i="42385" s="1"/>
  <c r="CZ1482" i="42385" s="1"/>
  <c r="AF832" i="42385"/>
  <c r="CR832" i="42385" s="1"/>
  <c r="AK832" i="42385"/>
  <c r="CS832" i="42385" s="1"/>
  <c r="AF831" i="42385"/>
  <c r="CR831" i="42385" s="1"/>
  <c r="CR830" i="42385"/>
  <c r="AL862" i="42385"/>
  <c r="AQ861" i="42385"/>
  <c r="AL863" i="42385"/>
  <c r="DB1194" i="42385"/>
  <c r="AY77" i="42385"/>
  <c r="AY1514" i="42385"/>
  <c r="K16" i="42476"/>
  <c r="BC1569" i="42385"/>
  <c r="BC1572" i="42385" s="1"/>
  <c r="AY1663" i="42385"/>
  <c r="AY56" i="42385"/>
  <c r="K12" i="42476"/>
  <c r="AY55" i="42385"/>
  <c r="BA1569" i="42385"/>
  <c r="BA1572" i="42385" s="1"/>
  <c r="AY1569" i="42385"/>
  <c r="BB1569" i="42385"/>
  <c r="BB1572" i="42385" s="1"/>
  <c r="AY197" i="42385"/>
  <c r="AZ197" i="42385" s="1"/>
  <c r="CU197" i="42385" s="1"/>
  <c r="DB988" i="42385"/>
  <c r="BZ989" i="42385"/>
  <c r="DB989" i="42385" s="1"/>
  <c r="CA152" i="42400"/>
  <c r="CA167" i="42400" s="1"/>
  <c r="CA169" i="42400" s="1"/>
  <c r="CA988" i="42385" s="1"/>
  <c r="CA977" i="42385"/>
  <c r="DC977" i="42385" s="1"/>
  <c r="DC976" i="42385"/>
  <c r="CB976" i="42385"/>
  <c r="BS148" i="42400"/>
  <c r="BS926" i="42385" s="1"/>
  <c r="BS927" i="42385" s="1"/>
  <c r="CA130" i="42400"/>
  <c r="CB917" i="42385"/>
  <c r="DC917" i="42385"/>
  <c r="CA920" i="42385"/>
  <c r="BW135" i="42400"/>
  <c r="BX135" i="42400"/>
  <c r="BU135" i="42400"/>
  <c r="BV135" i="42400"/>
  <c r="BZ244" i="42385"/>
  <c r="DB244" i="42385" s="1"/>
  <c r="DB920" i="42385"/>
  <c r="BZ921" i="42385"/>
  <c r="DB921" i="42385" s="1"/>
  <c r="BX141" i="42400"/>
  <c r="BW141" i="42400"/>
  <c r="BU141" i="42400"/>
  <c r="BV141" i="42400"/>
  <c r="BV140" i="42400"/>
  <c r="BU140" i="42400"/>
  <c r="BW140" i="42400"/>
  <c r="BY144" i="42400"/>
  <c r="BX140" i="42400"/>
  <c r="BZ134" i="42400"/>
  <c r="BZ141" i="42400"/>
  <c r="BZ135" i="42400"/>
  <c r="BZ140" i="42400"/>
  <c r="BZ142" i="42400"/>
  <c r="BX142" i="42400"/>
  <c r="BV142" i="42400"/>
  <c r="BW142" i="42400"/>
  <c r="BU142" i="42400"/>
  <c r="BX134" i="42400"/>
  <c r="BX137" i="42400" s="1"/>
  <c r="BU134" i="42400"/>
  <c r="BV134" i="42400"/>
  <c r="BV137" i="42400" s="1"/>
  <c r="BY137" i="42400"/>
  <c r="BW134" i="42400"/>
  <c r="CD790" i="42385"/>
  <c r="CC34" i="42400"/>
  <c r="CC49" i="42400" s="1"/>
  <c r="CD41" i="42400"/>
  <c r="CD42" i="42400"/>
  <c r="CD38" i="42400"/>
  <c r="CD37" i="42400"/>
  <c r="CD39" i="42400"/>
  <c r="CD40" i="42400"/>
  <c r="CD47" i="42400"/>
  <c r="CD43" i="42400"/>
  <c r="CE33" i="42400"/>
  <c r="CF793" i="42385"/>
  <c r="CF33" i="42400" s="1"/>
  <c r="CC45" i="42400"/>
  <c r="AK41" i="42385"/>
  <c r="CS41" i="42385" s="1"/>
  <c r="AX1642" i="42385"/>
  <c r="AX1301" i="42385"/>
  <c r="AX1330" i="42385" s="1"/>
  <c r="AX90" i="42385"/>
  <c r="AX1648" i="42385"/>
  <c r="AX1641" i="42385" s="1"/>
  <c r="AX92" i="42385"/>
  <c r="L12" i="42476"/>
  <c r="AZ56" i="42385"/>
  <c r="CV56" i="42385" s="1"/>
  <c r="AZ1663" i="42385"/>
  <c r="L16" i="42476"/>
  <c r="CV54" i="42385"/>
  <c r="CY256" i="42417"/>
  <c r="CV65" i="42385"/>
  <c r="F8" i="42465"/>
  <c r="C7" i="42409"/>
  <c r="C13" i="42409" s="1"/>
  <c r="AZ75" i="42385"/>
  <c r="GM593" i="42464"/>
  <c r="GM596" i="42464" s="1"/>
  <c r="GM598" i="42464" s="1"/>
  <c r="GM599" i="42464" s="1"/>
  <c r="GM600" i="42464" s="1"/>
  <c r="GM586" i="42464"/>
  <c r="AF33" i="42464"/>
  <c r="AE41" i="42464"/>
  <c r="AD94" i="42385"/>
  <c r="AH1656" i="42385"/>
  <c r="AH121" i="42385"/>
  <c r="BY1311" i="42385"/>
  <c r="DA1311" i="42385" s="1"/>
  <c r="BW282" i="42385"/>
  <c r="BW232" i="42385"/>
  <c r="CZ995" i="42385"/>
  <c r="BY995" i="42385"/>
  <c r="BE1272" i="42385"/>
  <c r="CW1272" i="42385" s="1"/>
  <c r="CW1270" i="42385"/>
  <c r="CU872" i="42385"/>
  <c r="AU873" i="42385"/>
  <c r="CU873" i="42385" s="1"/>
  <c r="CV1016" i="42385"/>
  <c r="AZ1018" i="42385"/>
  <c r="CV1018" i="42385" s="1"/>
  <c r="BS1102" i="42385"/>
  <c r="BO1102" i="42385"/>
  <c r="CY1102" i="42385" s="1"/>
  <c r="CS14" i="42385"/>
  <c r="C4" i="42465"/>
  <c r="AK32" i="42385"/>
  <c r="AK52" i="42385"/>
  <c r="CS52" i="42385" s="1"/>
  <c r="AK15" i="42385"/>
  <c r="CS15" i="42385" s="1"/>
  <c r="BD79" i="42385"/>
  <c r="BD1278" i="42385"/>
  <c r="EG449" i="42492"/>
  <c r="CX236" i="42385"/>
  <c r="BA444" i="42385"/>
  <c r="BA1546" i="42385"/>
  <c r="BF443" i="42385"/>
  <c r="BA445" i="42385"/>
  <c r="BA446" i="42385" s="1"/>
  <c r="AV1535" i="42385"/>
  <c r="AW872" i="42385"/>
  <c r="AV873" i="42385"/>
  <c r="BW285" i="42492"/>
  <c r="BW287" i="42492" s="1"/>
  <c r="BT675" i="42385"/>
  <c r="BT676" i="42385" s="1"/>
  <c r="CZ1382" i="42385"/>
  <c r="BU1382" i="42385"/>
  <c r="BU1482" i="42385" s="1"/>
  <c r="CU443" i="42385"/>
  <c r="AU1546" i="42385"/>
  <c r="CU1546" i="42385" s="1"/>
  <c r="AU444" i="42385"/>
  <c r="CU444" i="42385" s="1"/>
  <c r="BO441" i="42385"/>
  <c r="CY441" i="42385" s="1"/>
  <c r="CY440" i="42385"/>
  <c r="BO442" i="42385"/>
  <c r="CY442" i="42385" s="1"/>
  <c r="BO749" i="42385"/>
  <c r="CY749" i="42385" s="1"/>
  <c r="CY748" i="42385"/>
  <c r="BD1604" i="42385"/>
  <c r="BD1605" i="42385" s="1"/>
  <c r="BD1601" i="42385"/>
  <c r="BD1602" i="42385" s="1"/>
  <c r="AS1523" i="42385"/>
  <c r="AR1525" i="42385"/>
  <c r="AR1499" i="42385" s="1"/>
  <c r="Q71" i="42476"/>
  <c r="Q74" i="42476" s="1"/>
  <c r="V13" i="42476"/>
  <c r="BX95" i="42400"/>
  <c r="BX101" i="42400" s="1"/>
  <c r="BX833" i="42385" s="1"/>
  <c r="BX834" i="42385" s="1"/>
  <c r="AK27" i="42385"/>
  <c r="CS27" i="42385" s="1"/>
  <c r="AK56" i="42385"/>
  <c r="CS56" i="42385" s="1"/>
  <c r="CF131" i="42385"/>
  <c r="DA1213" i="42385"/>
  <c r="DA1214" i="42385"/>
  <c r="BK757" i="42385"/>
  <c r="BK756" i="42385"/>
  <c r="BK286" i="42385"/>
  <c r="AF121" i="42492"/>
  <c r="BO236" i="42385"/>
  <c r="BK238" i="42385"/>
  <c r="S79" i="42385"/>
  <c r="S92" i="42385" s="1"/>
  <c r="S90" i="42385"/>
  <c r="S1278" i="42385"/>
  <c r="AQ1499" i="42385"/>
  <c r="AW1546" i="42385"/>
  <c r="BB443" i="42385"/>
  <c r="AW444" i="42385"/>
  <c r="AW445" i="42385"/>
  <c r="AW446" i="42385" s="1"/>
  <c r="AX443" i="42385"/>
  <c r="BG1626" i="42385"/>
  <c r="CB1626" i="42385"/>
  <c r="BT1478" i="42385"/>
  <c r="CZ1478" i="42385" s="1"/>
  <c r="AQ1026" i="42385"/>
  <c r="AQ301" i="42385"/>
  <c r="AU301" i="42385" s="1"/>
  <c r="AQ1024" i="42385"/>
  <c r="AQ1025" i="42385"/>
  <c r="CZ764" i="42385"/>
  <c r="BU764" i="42385"/>
  <c r="BV764" i="42385" s="1"/>
  <c r="BW764" i="42385" s="1"/>
  <c r="BX764" i="42385" s="1"/>
  <c r="BY764" i="42385" s="1"/>
  <c r="CE919" i="42385"/>
  <c r="AV1023" i="42385"/>
  <c r="AZ1021" i="42385"/>
  <c r="CV1021" i="42385" s="1"/>
  <c r="DB429" i="42385"/>
  <c r="CA429" i="42385"/>
  <c r="BT748" i="42385"/>
  <c r="BP752" i="42385"/>
  <c r="BP755" i="42385"/>
  <c r="BP236" i="42385"/>
  <c r="BU748" i="42385"/>
  <c r="CD71" i="42385"/>
  <c r="CE1169" i="42385"/>
  <c r="CD1548" i="42385"/>
  <c r="BL996" i="42385"/>
  <c r="BL1549" i="42385"/>
  <c r="BM995" i="42385"/>
  <c r="BM997" i="42385" s="1"/>
  <c r="BL997" i="42385"/>
  <c r="CZ256" i="42417"/>
  <c r="BE1663" i="42385"/>
  <c r="BE56" i="42385"/>
  <c r="CW56" i="42385" s="1"/>
  <c r="BE55" i="42385"/>
  <c r="CW55" i="42385" s="1"/>
  <c r="CW54" i="42385"/>
  <c r="G33" i="42470"/>
  <c r="U33" i="42470" s="1"/>
  <c r="Q33" i="42470" s="1"/>
  <c r="BO1233" i="42385"/>
  <c r="BN1234" i="42385"/>
  <c r="CW1569" i="42385"/>
  <c r="BE1572" i="42385"/>
  <c r="BR1164" i="42385"/>
  <c r="BR1160" i="42385"/>
  <c r="BW1160" i="42385" s="1"/>
  <c r="BR1161" i="42385"/>
  <c r="CC914" i="42385"/>
  <c r="CB915" i="42385"/>
  <c r="CB131" i="42400"/>
  <c r="CB146" i="42400" s="1"/>
  <c r="BR767" i="42385"/>
  <c r="BM237" i="42385"/>
  <c r="BO237" i="42385" s="1"/>
  <c r="BM771" i="42385"/>
  <c r="BM774" i="42385"/>
  <c r="BO767" i="42385"/>
  <c r="BP763" i="42385"/>
  <c r="BQ763" i="42385" s="1"/>
  <c r="BR763" i="42385" s="1"/>
  <c r="BS763" i="42385" s="1"/>
  <c r="BT763" i="42385" s="1"/>
  <c r="CY763" i="42385"/>
  <c r="BR649" i="42385"/>
  <c r="BO649" i="42385"/>
  <c r="CY649" i="42385" s="1"/>
  <c r="AP832" i="42385"/>
  <c r="CT832" i="42385" s="1"/>
  <c r="AP831" i="42385"/>
  <c r="CT831" i="42385" s="1"/>
  <c r="CT830" i="42385"/>
  <c r="CY982" i="42385"/>
  <c r="BO996" i="42385"/>
  <c r="CY996" i="42385" s="1"/>
  <c r="BO983" i="42385"/>
  <c r="CY983" i="42385" s="1"/>
  <c r="CN817" i="42385"/>
  <c r="L818" i="42385"/>
  <c r="BY298" i="42400"/>
  <c r="BY895" i="42385" s="1"/>
  <c r="DA895" i="42385" s="1"/>
  <c r="BG1181" i="42385"/>
  <c r="BS675" i="42385"/>
  <c r="BS233" i="42385" s="1"/>
  <c r="G20" i="42412"/>
  <c r="BF163" i="42417"/>
  <c r="B34" i="42412"/>
  <c r="AZ154" i="42417"/>
  <c r="D30" i="42412"/>
  <c r="D31" i="42412" s="1"/>
  <c r="CT861" i="42385"/>
  <c r="AP862" i="42385"/>
  <c r="CT862" i="42385" s="1"/>
  <c r="AP863" i="42385"/>
  <c r="CT863" i="42385" s="1"/>
  <c r="BQ148" i="42400"/>
  <c r="BQ926" i="42385" s="1"/>
  <c r="BQ927" i="42385" s="1"/>
  <c r="FI419" i="42417"/>
  <c r="GO520" i="42417"/>
  <c r="CT301" i="42385"/>
  <c r="E12" i="42464"/>
  <c r="FK419" i="42417"/>
  <c r="CX237" i="42385"/>
  <c r="EG450" i="42492"/>
  <c r="BK249" i="42385"/>
  <c r="BO249" i="42385" s="1"/>
  <c r="AF116" i="42492"/>
  <c r="BO246" i="42385"/>
  <c r="J6" i="42470"/>
  <c r="GP493" i="42417"/>
  <c r="CU247" i="42385"/>
  <c r="CZ926" i="42385"/>
  <c r="BT927" i="42385"/>
  <c r="CZ927" i="42385" s="1"/>
  <c r="L831" i="42385"/>
  <c r="CN831" i="42385" s="1"/>
  <c r="CN830" i="42385"/>
  <c r="L832" i="42385"/>
  <c r="CN832" i="42385" s="1"/>
  <c r="Q832" i="42385"/>
  <c r="CO832" i="42385" s="1"/>
  <c r="BP148" i="42400"/>
  <c r="BP926" i="42385" s="1"/>
  <c r="BP927" i="42385" s="1"/>
  <c r="BO1157" i="42385"/>
  <c r="CY1157" i="42385" s="1"/>
  <c r="BO1170" i="42385"/>
  <c r="CY1170" i="42385" s="1"/>
  <c r="CY1156" i="42385"/>
  <c r="BP246" i="42385"/>
  <c r="BP983" i="42385"/>
  <c r="BP986" i="42385"/>
  <c r="CR130" i="42385"/>
  <c r="AK131" i="42385"/>
  <c r="AF131" i="42385"/>
  <c r="CB701" i="42385"/>
  <c r="CA682" i="42385"/>
  <c r="AO869" i="42385"/>
  <c r="AO870" i="42385"/>
  <c r="AO871" i="42385"/>
  <c r="AO295" i="42385"/>
  <c r="GN521" i="42417" s="1"/>
  <c r="AU1024" i="42385"/>
  <c r="CU1024" i="42385" s="1"/>
  <c r="AU1025" i="42385"/>
  <c r="CU1025" i="42385" s="1"/>
  <c r="CU1023" i="42385"/>
  <c r="AU1026" i="42385"/>
  <c r="CU1026" i="42385" s="1"/>
  <c r="CX767" i="42385"/>
  <c r="BJ768" i="42385"/>
  <c r="CX768" i="42385" s="1"/>
  <c r="BJ771" i="42385"/>
  <c r="CX771" i="42385" s="1"/>
  <c r="CW957" i="42385"/>
  <c r="BE958" i="42385"/>
  <c r="CW958" i="42385" s="1"/>
  <c r="CN880" i="42385"/>
  <c r="L881" i="42385"/>
  <c r="CN881" i="42385" s="1"/>
  <c r="CN786" i="42385"/>
  <c r="L787" i="42385"/>
  <c r="BZ75" i="42400"/>
  <c r="BZ864" i="42385" s="1"/>
  <c r="DB864" i="42385" s="1"/>
  <c r="G47" i="42405"/>
  <c r="BT699" i="42385"/>
  <c r="H106" i="42385"/>
  <c r="H114" i="42385" s="1"/>
  <c r="H120" i="42385" s="1"/>
  <c r="H1656" i="42385" s="1"/>
  <c r="H1619" i="42385"/>
  <c r="J1620" i="42385" s="1"/>
  <c r="J1627" i="42385" s="1"/>
  <c r="J1628" i="42385" s="1"/>
  <c r="H93" i="42385"/>
  <c r="J199" i="42385"/>
  <c r="J205" i="42385" s="1"/>
  <c r="BA612" i="42385"/>
  <c r="AZ612" i="42385"/>
  <c r="M1278" i="42385"/>
  <c r="M90" i="42385"/>
  <c r="M79" i="42385"/>
  <c r="M92" i="42385" s="1"/>
  <c r="L364" i="42385"/>
  <c r="CN364" i="42385" s="1"/>
  <c r="CN363" i="42385"/>
  <c r="CS190" i="42385"/>
  <c r="AL190" i="42385"/>
  <c r="AM190" i="42385" s="1"/>
  <c r="AN190" i="42385" s="1"/>
  <c r="AO190" i="42385" s="1"/>
  <c r="AP190" i="42385" s="1"/>
  <c r="CW774" i="42385"/>
  <c r="BE776" i="42385"/>
  <c r="CW776" i="42385" s="1"/>
  <c r="BE775" i="42385"/>
  <c r="CW775" i="42385" s="1"/>
  <c r="L1086" i="42385"/>
  <c r="CN1086" i="42385" s="1"/>
  <c r="CN1085" i="42385"/>
  <c r="AN838" i="42385"/>
  <c r="AN840" i="42385"/>
  <c r="AN294" i="42385"/>
  <c r="GM518" i="42417" s="1"/>
  <c r="AN839" i="42385"/>
  <c r="CR166" i="42385"/>
  <c r="AF134" i="42385"/>
  <c r="CR134" i="42385" s="1"/>
  <c r="BT982" i="42385"/>
  <c r="CZ981" i="42385"/>
  <c r="CS40" i="42385"/>
  <c r="AK42" i="42385"/>
  <c r="CS42" i="42385" s="1"/>
  <c r="CC821" i="42385"/>
  <c r="CB84" i="42400"/>
  <c r="CB99" i="42400" s="1"/>
  <c r="CQ176" i="42385"/>
  <c r="AB176" i="42385"/>
  <c r="AC176" i="42385" s="1"/>
  <c r="AD176" i="42385" s="1"/>
  <c r="AE176" i="42385" s="1"/>
  <c r="AF176" i="42385" s="1"/>
  <c r="CN1003" i="42385"/>
  <c r="L1004" i="42385"/>
  <c r="BM650" i="42385"/>
  <c r="L1141" i="42385"/>
  <c r="CN1141" i="42385" s="1"/>
  <c r="AD156" i="42424"/>
  <c r="CS861" i="42385"/>
  <c r="AK863" i="42385"/>
  <c r="CS863" i="42385" s="1"/>
  <c r="AK862" i="42385"/>
  <c r="CS862" i="42385" s="1"/>
  <c r="H1642" i="42385"/>
  <c r="H1301" i="42385"/>
  <c r="H1330" i="42385" s="1"/>
  <c r="H1333" i="42385" s="1"/>
  <c r="I1332" i="42385" s="1"/>
  <c r="I1333" i="42385" s="1"/>
  <c r="J1332" i="42385" s="1"/>
  <c r="J1333" i="42385" s="1"/>
  <c r="K1332" i="42385" s="1"/>
  <c r="AT862" i="42385"/>
  <c r="AY861" i="42385"/>
  <c r="AT866" i="42385"/>
  <c r="AT868" i="42385" s="1"/>
  <c r="BH287" i="42385"/>
  <c r="BJ287" i="42385" s="1"/>
  <c r="CX287" i="42385" s="1"/>
  <c r="BH775" i="42385"/>
  <c r="BH776" i="42385"/>
  <c r="BJ774" i="42385"/>
  <c r="CX246" i="42385"/>
  <c r="EG456" i="42492"/>
  <c r="DC852" i="42385"/>
  <c r="CB852" i="42385"/>
  <c r="CA60" i="42400"/>
  <c r="CA73" i="42400" s="1"/>
  <c r="AS831" i="42385"/>
  <c r="AX830" i="42385"/>
  <c r="AS835" i="42385"/>
  <c r="AU830" i="42385"/>
  <c r="BY1155" i="42385"/>
  <c r="CZ1155" i="42385"/>
  <c r="BU982" i="42385"/>
  <c r="BY981" i="42385"/>
  <c r="BU1378" i="42385"/>
  <c r="CZ1378" i="42385"/>
  <c r="CE109" i="42385"/>
  <c r="CE1283" i="42385"/>
  <c r="CE1645" i="42385"/>
  <c r="CF59" i="42385"/>
  <c r="BF1498" i="42385"/>
  <c r="BG1400" i="42385"/>
  <c r="BG1498" i="42385" s="1"/>
  <c r="CN941" i="42385"/>
  <c r="L942" i="42385"/>
  <c r="CX1243" i="42385"/>
  <c r="BJ1260" i="42385"/>
  <c r="BJ1265" i="42385"/>
  <c r="BJ1244" i="42385"/>
  <c r="CX1244" i="42385" s="1"/>
  <c r="F54" i="42405"/>
  <c r="H44" i="42405"/>
  <c r="CQ189" i="42385"/>
  <c r="AB189" i="42385"/>
  <c r="AC189" i="42385" s="1"/>
  <c r="AD189" i="42385" s="1"/>
  <c r="AE189" i="42385" s="1"/>
  <c r="AF189" i="42385" s="1"/>
  <c r="AZ594" i="42385"/>
  <c r="AY595" i="42385"/>
  <c r="EG445" i="42492"/>
  <c r="CX230" i="42385"/>
  <c r="CY130" i="42385"/>
  <c r="BO118" i="42385"/>
  <c r="CY118" i="42385" s="1"/>
  <c r="BO133" i="42385"/>
  <c r="CY133" i="42385" s="1"/>
  <c r="BT131" i="42385"/>
  <c r="AT417" i="42385"/>
  <c r="AV416" i="42385"/>
  <c r="AT1530" i="42385"/>
  <c r="AU1530" i="42385" s="1"/>
  <c r="CU1530" i="42385" s="1"/>
  <c r="AY1174" i="42385"/>
  <c r="AX1175" i="42385"/>
  <c r="AX1177" i="42385"/>
  <c r="AX1178" i="42385" s="1"/>
  <c r="AP1001" i="42385"/>
  <c r="AO1139" i="42385"/>
  <c r="BV294" i="42400"/>
  <c r="CA889" i="42385"/>
  <c r="CA243" i="42385" s="1"/>
  <c r="DC243" i="42385" s="1"/>
  <c r="AT1642" i="42385"/>
  <c r="AT1301" i="42385"/>
  <c r="AT1330" i="42385" s="1"/>
  <c r="BX674" i="42385"/>
  <c r="BY674" i="42385" s="1"/>
  <c r="BM93" i="42385"/>
  <c r="BR94" i="42385" s="1"/>
  <c r="BM106" i="42385"/>
  <c r="BM1620" i="42385"/>
  <c r="BL1575" i="42385"/>
  <c r="BL1577" i="42385" s="1"/>
  <c r="BL1579" i="42385" s="1"/>
  <c r="AS1181" i="42385"/>
  <c r="AS1183" i="42385"/>
  <c r="CU594" i="42385"/>
  <c r="AU596" i="42385"/>
  <c r="CU596" i="42385" s="1"/>
  <c r="R374" i="42385"/>
  <c r="R375" i="42385"/>
  <c r="BJ619" i="42385"/>
  <c r="CX619" i="42385" s="1"/>
  <c r="CX618" i="42385"/>
  <c r="AI956" i="42385"/>
  <c r="AI955" i="42385"/>
  <c r="AF382" i="42385"/>
  <c r="CR382" i="42385" s="1"/>
  <c r="CR376" i="42385"/>
  <c r="AF377" i="42385"/>
  <c r="CR377" i="42385" s="1"/>
  <c r="AC113" i="42408"/>
  <c r="CV247" i="42385"/>
  <c r="K6" i="42470"/>
  <c r="BI219" i="42385"/>
  <c r="BJ219" i="42385" s="1"/>
  <c r="BI371" i="42385"/>
  <c r="BF99" i="42418"/>
  <c r="BF100" i="42418" s="1"/>
  <c r="BJ370" i="42385"/>
  <c r="CS957" i="42385"/>
  <c r="AK963" i="42385"/>
  <c r="CS963" i="42385" s="1"/>
  <c r="AK958" i="42385"/>
  <c r="CS958" i="42385" s="1"/>
  <c r="BM1500" i="42385"/>
  <c r="BM1575" i="42385" s="1"/>
  <c r="BM1577" i="42385" s="1"/>
  <c r="BM118" i="42385"/>
  <c r="CS165" i="42385"/>
  <c r="AK166" i="42385"/>
  <c r="F16" i="42417"/>
  <c r="CY770" i="42385"/>
  <c r="BO772" i="42385"/>
  <c r="CY772" i="42385" s="1"/>
  <c r="AK954" i="42385"/>
  <c r="AG955" i="42385"/>
  <c r="AL956" i="42385"/>
  <c r="AG956" i="42385"/>
  <c r="CE302" i="42385"/>
  <c r="CD248" i="42385"/>
  <c r="BS676" i="42385"/>
  <c r="AH955" i="42385"/>
  <c r="AH956" i="42385"/>
  <c r="AM956" i="42385"/>
  <c r="AN956" i="42385" s="1"/>
  <c r="AO956" i="42385" s="1"/>
  <c r="AO954" i="42385" s="1"/>
  <c r="BO771" i="42385"/>
  <c r="CY771" i="42385" s="1"/>
  <c r="AO274" i="42385"/>
  <c r="AP601" i="42385"/>
  <c r="BY673" i="42385"/>
  <c r="BZ661" i="42385"/>
  <c r="BY662" i="42385"/>
  <c r="BK1262" i="42385"/>
  <c r="BK1493" i="42385" s="1"/>
  <c r="BL1265" i="42385"/>
  <c r="BK1266" i="42385"/>
  <c r="BK1263" i="42385" s="1"/>
  <c r="BK1553" i="42385" s="1"/>
  <c r="BA93" i="42385"/>
  <c r="BA106" i="42385"/>
  <c r="BA114" i="42385" s="1"/>
  <c r="BA1619" i="42385"/>
  <c r="BR618" i="42385"/>
  <c r="BM230" i="42385"/>
  <c r="BO230" i="42385" s="1"/>
  <c r="BO618" i="42385"/>
  <c r="K5" i="42470"/>
  <c r="CV227" i="42385"/>
  <c r="AY228" i="42385"/>
  <c r="BO134" i="42385"/>
  <c r="CY134" i="42385" s="1"/>
  <c r="CY166" i="42385"/>
  <c r="AT1178" i="42385"/>
  <c r="AT1180" i="42385"/>
  <c r="AU1180" i="42385" s="1"/>
  <c r="CU1180" i="42385" s="1"/>
  <c r="BX770" i="42385"/>
  <c r="BY770" i="42385" s="1"/>
  <c r="BT770" i="42385"/>
  <c r="AE374" i="42385"/>
  <c r="AE375" i="42385"/>
  <c r="AF373" i="42385"/>
  <c r="S382" i="42385"/>
  <c r="S373" i="42385"/>
  <c r="B54" i="42410"/>
  <c r="C53" i="42410"/>
  <c r="D53" i="42410"/>
  <c r="AW1180" i="42385"/>
  <c r="CY1509" i="42385"/>
  <c r="BP1509" i="42385"/>
  <c r="AJ956" i="42385"/>
  <c r="AJ955" i="42385"/>
  <c r="AG382" i="42385"/>
  <c r="AG373" i="42385"/>
  <c r="BT677" i="42385"/>
  <c r="BM1237" i="42385"/>
  <c r="BL1238" i="42385"/>
  <c r="BL1241" i="42385"/>
  <c r="CU416" i="42385"/>
  <c r="AU417" i="42385"/>
  <c r="CU417" i="42385" s="1"/>
  <c r="CY112" i="42385"/>
  <c r="CY1511" i="42385"/>
  <c r="BE219" i="42385"/>
  <c r="BN370" i="42385"/>
  <c r="BS369" i="42385"/>
  <c r="BO369" i="42385"/>
  <c r="CY369" i="42385" s="1"/>
  <c r="AZ228" i="42385"/>
  <c r="CV228" i="42385" s="1"/>
  <c r="BH238" i="42385"/>
  <c r="BJ238" i="42385" s="1"/>
  <c r="CX238" i="42385" s="1"/>
  <c r="AT90" i="42385"/>
  <c r="AT92" i="42385"/>
  <c r="AT1648" i="42385"/>
  <c r="AT1641" i="42385" s="1"/>
  <c r="BY680" i="42385"/>
  <c r="BY691" i="42385" s="1"/>
  <c r="BX691" i="42385"/>
  <c r="BN676" i="42385"/>
  <c r="BN693" i="42385"/>
  <c r="BN695" i="42385" s="1"/>
  <c r="BN233" i="42385"/>
  <c r="BJ47" i="42385"/>
  <c r="BI50" i="42385"/>
  <c r="BI1266" i="42385"/>
  <c r="BJ1263" i="42385"/>
  <c r="BJ1266" i="42385" s="1"/>
  <c r="BI1553" i="42385"/>
  <c r="AT601" i="42385"/>
  <c r="AU599" i="42385"/>
  <c r="CU599" i="42385" s="1"/>
  <c r="I41" i="42405"/>
  <c r="J35" i="42405"/>
  <c r="CV591" i="42385"/>
  <c r="AZ592" i="42385"/>
  <c r="CV592" i="42385" s="1"/>
  <c r="BE371" i="42385"/>
  <c r="CW371" i="42385" s="1"/>
  <c r="CW370" i="42385"/>
  <c r="CU1174" i="42385"/>
  <c r="AU1177" i="42385"/>
  <c r="BB484" i="42385"/>
  <c r="BA483" i="42385"/>
  <c r="T376" i="42385"/>
  <c r="U377" i="42385"/>
  <c r="BN1500" i="42385"/>
  <c r="BN1575" i="42385" s="1"/>
  <c r="BN1577" i="42385" s="1"/>
  <c r="BN1579" i="42385" s="1"/>
  <c r="BN118" i="42385"/>
  <c r="AI377" i="42385"/>
  <c r="AH376" i="42385"/>
  <c r="AK594" i="42385"/>
  <c r="CS594" i="42385" s="1"/>
  <c r="AJ595" i="42385"/>
  <c r="AK595" i="42385" s="1"/>
  <c r="CS595" i="42385" s="1"/>
  <c r="G26" i="42407"/>
  <c r="BW95" i="42400"/>
  <c r="BW101" i="42400" s="1"/>
  <c r="BW833" i="42385" s="1"/>
  <c r="BO79" i="42385"/>
  <c r="CY77" i="42385"/>
  <c r="BO650" i="42385"/>
  <c r="CY650" i="42385" s="1"/>
  <c r="CY640" i="42385"/>
  <c r="BO641" i="42385"/>
  <c r="CY641" i="42385" s="1"/>
  <c r="BO231" i="42385"/>
  <c r="BM238" i="42385"/>
  <c r="BR234" i="42385"/>
  <c r="BT234" i="42385" s="1"/>
  <c r="CZ234" i="42385" s="1"/>
  <c r="BR717" i="42385"/>
  <c r="BT710" i="42385"/>
  <c r="BW710" i="42385"/>
  <c r="BR714" i="42385"/>
  <c r="BQ718" i="42385"/>
  <c r="BQ719" i="42385"/>
  <c r="BQ284" i="42385"/>
  <c r="O1631" i="42385"/>
  <c r="O1632" i="42385"/>
  <c r="O1583" i="42385"/>
  <c r="O1591" i="42385"/>
  <c r="O1592" i="42385" s="1"/>
  <c r="S1583" i="42385"/>
  <c r="S1591" i="42385"/>
  <c r="S1592" i="42385" s="1"/>
  <c r="S1631" i="42385"/>
  <c r="S1632" i="42385"/>
  <c r="S1634" i="42385"/>
  <c r="BN1160" i="42385"/>
  <c r="BO1159" i="42385"/>
  <c r="BO1164" i="42385" s="1"/>
  <c r="BN1161" i="42385"/>
  <c r="N1634" i="42385"/>
  <c r="N1632" i="42385"/>
  <c r="N1591" i="42385"/>
  <c r="N1592" i="42385" s="1"/>
  <c r="N1631" i="42385"/>
  <c r="N1583" i="42385"/>
  <c r="L1569" i="42385"/>
  <c r="K1572" i="42385"/>
  <c r="AX1540" i="42385"/>
  <c r="AX778" i="42385"/>
  <c r="AY777" i="42385"/>
  <c r="CX469" i="42385"/>
  <c r="BJ470" i="42385"/>
  <c r="CX470" i="42385" s="1"/>
  <c r="BJ471" i="42385"/>
  <c r="CX471" i="42385" s="1"/>
  <c r="AA197" i="42385"/>
  <c r="CP197" i="42385" s="1"/>
  <c r="Z212" i="42385"/>
  <c r="DC398" i="42385"/>
  <c r="BW285" i="42400"/>
  <c r="DC827" i="42385"/>
  <c r="CA828" i="42385"/>
  <c r="DC828" i="42385" s="1"/>
  <c r="CA241" i="42385"/>
  <c r="BK1399" i="42385"/>
  <c r="CX1399" i="42385"/>
  <c r="AV1178" i="42385"/>
  <c r="AV1180" i="42385"/>
  <c r="AZ758" i="42385"/>
  <c r="AY1538" i="42385"/>
  <c r="AZ1538" i="42385" s="1"/>
  <c r="CV1538" i="42385" s="1"/>
  <c r="AY759" i="42385"/>
  <c r="BA758" i="42385"/>
  <c r="O34" i="42476"/>
  <c r="BC1660" i="42385"/>
  <c r="BC1583" i="42385"/>
  <c r="CF396" i="42385"/>
  <c r="CD276" i="42400"/>
  <c r="CD296" i="42400" s="1"/>
  <c r="CD884" i="42385"/>
  <c r="CE883" i="42385"/>
  <c r="DA101" i="42385"/>
  <c r="AK27" i="42476"/>
  <c r="AK28" i="42476" s="1"/>
  <c r="AA134" i="42385"/>
  <c r="CQ134" i="42385" s="1"/>
  <c r="CQ166" i="42385"/>
  <c r="AB414" i="42385"/>
  <c r="AB404" i="42385"/>
  <c r="BO469" i="42385"/>
  <c r="CY467" i="42385"/>
  <c r="CO65" i="42385"/>
  <c r="Q75" i="42385"/>
  <c r="BS775" i="42385"/>
  <c r="BS287" i="42385"/>
  <c r="BS776" i="42385"/>
  <c r="CA1239" i="42385"/>
  <c r="DB1239" i="42385"/>
  <c r="AB212" i="42385"/>
  <c r="CW1382" i="42385"/>
  <c r="BF1382" i="42385"/>
  <c r="BF1482" i="42385" s="1"/>
  <c r="BE1402" i="42385"/>
  <c r="BE1563" i="42385"/>
  <c r="BP299" i="42385"/>
  <c r="BP993" i="42385"/>
  <c r="BP994" i="42385"/>
  <c r="BQ442" i="42385"/>
  <c r="BQ441" i="42385"/>
  <c r="BQ268" i="42385"/>
  <c r="BY834" i="42385"/>
  <c r="DA834" i="42385" s="1"/>
  <c r="DA833" i="42385"/>
  <c r="BS1551" i="42385"/>
  <c r="BT1551" i="42385" s="1"/>
  <c r="BU576" i="42385"/>
  <c r="BT576" i="42385"/>
  <c r="P14" i="42403"/>
  <c r="B21" i="42403" s="1"/>
  <c r="B22" i="42403"/>
  <c r="B28" i="42403"/>
  <c r="E28" i="42403" s="1"/>
  <c r="E29" i="42403" s="1"/>
  <c r="E30" i="42403" s="1"/>
  <c r="E31" i="42403" s="1"/>
  <c r="AF894" i="42385"/>
  <c r="CR894" i="42385" s="1"/>
  <c r="CR892" i="42385"/>
  <c r="AF893" i="42385"/>
  <c r="CR893" i="42385" s="1"/>
  <c r="BV717" i="42385"/>
  <c r="BV714" i="42385"/>
  <c r="BY713" i="42385"/>
  <c r="Q1569" i="42385"/>
  <c r="P1572" i="42385"/>
  <c r="AX1446" i="42385"/>
  <c r="AX1448" i="42385"/>
  <c r="AX1479" i="42385" s="1"/>
  <c r="AX1445" i="42385"/>
  <c r="AX1584" i="42385"/>
  <c r="BT464" i="42385"/>
  <c r="CZ464" i="42385" s="1"/>
  <c r="CZ462" i="42385"/>
  <c r="BV285" i="42400"/>
  <c r="BU285" i="42400"/>
  <c r="CA91" i="42400"/>
  <c r="CA97" i="42400"/>
  <c r="CA89" i="42400"/>
  <c r="CA87" i="42400"/>
  <c r="CA92" i="42400"/>
  <c r="CA90" i="42400"/>
  <c r="CA93" i="42400"/>
  <c r="CA88" i="42400"/>
  <c r="BI1497" i="42385"/>
  <c r="BJ1497" i="42385" s="1"/>
  <c r="CX1497" i="42385" s="1"/>
  <c r="BQ1484" i="42385"/>
  <c r="BR1384" i="42385"/>
  <c r="AS811" i="42385"/>
  <c r="AT810" i="42385"/>
  <c r="AU810" i="42385" s="1"/>
  <c r="AS1531" i="42385"/>
  <c r="CW992" i="42385"/>
  <c r="DX392" i="42464"/>
  <c r="DX394" i="42464" s="1"/>
  <c r="DX395" i="42464" s="1"/>
  <c r="DX397" i="42464" s="1"/>
  <c r="DX399" i="42464" s="1"/>
  <c r="BE997" i="42385"/>
  <c r="CW997" i="42385" s="1"/>
  <c r="BE994" i="42385"/>
  <c r="CW994" i="42385" s="1"/>
  <c r="BE993" i="42385"/>
  <c r="CW993" i="42385" s="1"/>
  <c r="CX990" i="42385"/>
  <c r="BJ992" i="42385"/>
  <c r="AO930" i="42385"/>
  <c r="AP928" i="42385"/>
  <c r="CT928" i="42385" s="1"/>
  <c r="BZ101" i="42385"/>
  <c r="H47" i="42408"/>
  <c r="AJ27" i="42476"/>
  <c r="AJ28" i="42476" s="1"/>
  <c r="BZ95" i="42400"/>
  <c r="BZ101" i="42400" s="1"/>
  <c r="BZ833" i="42385" s="1"/>
  <c r="BS986" i="42385"/>
  <c r="BX985" i="42385"/>
  <c r="BW1457" i="42385"/>
  <c r="BV1488" i="42385"/>
  <c r="AC407" i="42385"/>
  <c r="AD408" i="42385"/>
  <c r="BJ719" i="42385"/>
  <c r="CX719" i="42385" s="1"/>
  <c r="BJ718" i="42385"/>
  <c r="CX718" i="42385" s="1"/>
  <c r="CX717" i="42385"/>
  <c r="BX294" i="42400"/>
  <c r="BU294" i="42400"/>
  <c r="AU1083" i="42385"/>
  <c r="CB1590" i="42385"/>
  <c r="CC1590" i="42385" s="1"/>
  <c r="CD1590" i="42385" s="1"/>
  <c r="CE1590" i="42385" s="1"/>
  <c r="CF1590" i="42385" s="1"/>
  <c r="DC1590" i="42385"/>
  <c r="CA292" i="42400"/>
  <c r="CA282" i="42400"/>
  <c r="CA291" i="42400"/>
  <c r="CA288" i="42400"/>
  <c r="CA283" i="42400"/>
  <c r="CA290" i="42400"/>
  <c r="CA280" i="42400"/>
  <c r="CA279" i="42400"/>
  <c r="CA289" i="42400"/>
  <c r="CA281" i="42400"/>
  <c r="CC886" i="42385"/>
  <c r="CB275" i="42400"/>
  <c r="CB888" i="42385"/>
  <c r="CB889" i="42385" s="1"/>
  <c r="O77" i="42385"/>
  <c r="O1514" i="42385"/>
  <c r="O212" i="42385" s="1"/>
  <c r="BX237" i="42385"/>
  <c r="BX774" i="42385"/>
  <c r="AM1357" i="42385"/>
  <c r="AL1364" i="42385"/>
  <c r="K36" i="42405"/>
  <c r="J34" i="42405"/>
  <c r="J37" i="42405" s="1"/>
  <c r="BO990" i="42385"/>
  <c r="CY985" i="42385"/>
  <c r="BO986" i="42385"/>
  <c r="CY986" i="42385" s="1"/>
  <c r="BO987" i="42385"/>
  <c r="CY987" i="42385" s="1"/>
  <c r="AO808" i="42385"/>
  <c r="AO809" i="42385"/>
  <c r="AO293" i="42385"/>
  <c r="GN517" i="42417" s="1"/>
  <c r="AO807" i="42385"/>
  <c r="AT165" i="42385"/>
  <c r="AT166" i="42385" s="1"/>
  <c r="AT134" i="42385" s="1"/>
  <c r="BN1180" i="42385"/>
  <c r="BN1181" i="42385" s="1"/>
  <c r="BX718" i="42385"/>
  <c r="BX284" i="42385"/>
  <c r="BX719" i="42385"/>
  <c r="F21" i="42417"/>
  <c r="CX165" i="42385"/>
  <c r="BJ130" i="42385"/>
  <c r="BJ166" i="42385"/>
  <c r="BS437" i="42385"/>
  <c r="BR436" i="42385"/>
  <c r="BR438" i="42385" s="1"/>
  <c r="BR440" i="42385" s="1"/>
  <c r="BW640" i="42385"/>
  <c r="BR231" i="42385"/>
  <c r="BT231" i="42385" s="1"/>
  <c r="BR650" i="42385"/>
  <c r="BT640" i="42385"/>
  <c r="BR647" i="42385"/>
  <c r="BR644" i="42385"/>
  <c r="BO714" i="42385"/>
  <c r="CY714" i="42385" s="1"/>
  <c r="BO711" i="42385"/>
  <c r="CY711" i="42385" s="1"/>
  <c r="CY710" i="42385"/>
  <c r="AB10" i="42403"/>
  <c r="AB11" i="42403" s="1"/>
  <c r="AA11" i="42403"/>
  <c r="BJ1160" i="42385"/>
  <c r="CX1160" i="42385" s="1"/>
  <c r="CX1159" i="42385"/>
  <c r="CZ713" i="42385"/>
  <c r="BT715" i="42385"/>
  <c r="CZ715" i="42385" s="1"/>
  <c r="BC479" i="42385"/>
  <c r="R1583" i="42385"/>
  <c r="R1591" i="42385"/>
  <c r="R1592" i="42385" s="1"/>
  <c r="R1632" i="42385"/>
  <c r="R1631" i="42385"/>
  <c r="R1634" i="42385"/>
  <c r="L197" i="42385"/>
  <c r="CD664" i="42385"/>
  <c r="CC681" i="42385"/>
  <c r="CC395" i="42385"/>
  <c r="CB398" i="42385"/>
  <c r="BU95" i="42400"/>
  <c r="BU101" i="42400" s="1"/>
  <c r="BU833" i="42385" s="1"/>
  <c r="BU834" i="42385" s="1"/>
  <c r="BQ287" i="42385"/>
  <c r="BQ775" i="42385"/>
  <c r="BQ776" i="42385"/>
  <c r="BJ1164" i="42385"/>
  <c r="CX1164" i="42385" s="1"/>
  <c r="CB827" i="42385"/>
  <c r="CB83" i="42400"/>
  <c r="CC824" i="42385"/>
  <c r="BZ285" i="42400"/>
  <c r="CN65" i="42385"/>
  <c r="L75" i="42385"/>
  <c r="AB79" i="42385"/>
  <c r="AB92" i="42385" s="1"/>
  <c r="AB1278" i="42385"/>
  <c r="AB90" i="42385"/>
  <c r="AX1533" i="42385"/>
  <c r="AX935" i="42385"/>
  <c r="AY934" i="42385"/>
  <c r="AT965" i="42385"/>
  <c r="AS1539" i="42385"/>
  <c r="AS966" i="42385"/>
  <c r="L863" i="42385"/>
  <c r="CN863" i="42385" s="1"/>
  <c r="L862" i="42385"/>
  <c r="CN862" i="42385" s="1"/>
  <c r="Q863" i="42385"/>
  <c r="CO863" i="42385" s="1"/>
  <c r="CN861" i="42385"/>
  <c r="CU1613" i="42385"/>
  <c r="AV1613" i="42385"/>
  <c r="BY1111" i="42385"/>
  <c r="BX1115" i="42385"/>
  <c r="BX312" i="42385" s="1"/>
  <c r="BX23" i="42385" s="1"/>
  <c r="H14" i="42412"/>
  <c r="AW1301" i="42385"/>
  <c r="AW1330" i="42385" s="1"/>
  <c r="AW1642" i="42385"/>
  <c r="DB241" i="42385"/>
  <c r="AV1301" i="42385"/>
  <c r="AV1330" i="42385" s="1"/>
  <c r="AV1642" i="42385"/>
  <c r="BS990" i="42385"/>
  <c r="BS992" i="42385" s="1"/>
  <c r="AG143" i="42492"/>
  <c r="AB1634" i="42385"/>
  <c r="AB1591" i="42385"/>
  <c r="AB1592" i="42385" s="1"/>
  <c r="AB1586" i="42385"/>
  <c r="AB1587" i="42385" s="1"/>
  <c r="AB1583" i="42385"/>
  <c r="AB1631" i="42385"/>
  <c r="AB1594" i="42385"/>
  <c r="AB1595" i="42385" s="1"/>
  <c r="AB1632" i="42385"/>
  <c r="BD1591" i="42385"/>
  <c r="BM299" i="42385"/>
  <c r="BM993" i="42385"/>
  <c r="BM994" i="42385"/>
  <c r="AP800" i="42385"/>
  <c r="CT800" i="42385" s="1"/>
  <c r="CT799" i="42385"/>
  <c r="CQ65" i="42385"/>
  <c r="AA75" i="42385"/>
  <c r="DA486" i="42385"/>
  <c r="BM281" i="42385"/>
  <c r="BM648" i="42385"/>
  <c r="BO647" i="42385"/>
  <c r="BO717" i="42385"/>
  <c r="BM284" i="42385"/>
  <c r="BO284" i="42385" s="1"/>
  <c r="CY284" i="42385" s="1"/>
  <c r="BM719" i="42385"/>
  <c r="BM718" i="42385"/>
  <c r="BM737" i="42385" s="1"/>
  <c r="BH995" i="42385"/>
  <c r="BG1549" i="42385"/>
  <c r="BG996" i="42385"/>
  <c r="BG997" i="42385"/>
  <c r="Q197" i="42385"/>
  <c r="P212" i="42385"/>
  <c r="BO1163" i="42385"/>
  <c r="CY1163" i="42385" s="1"/>
  <c r="CY1162" i="42385"/>
  <c r="M1591" i="42385"/>
  <c r="M1592" i="42385" s="1"/>
  <c r="M1631" i="42385"/>
  <c r="M1632" i="42385"/>
  <c r="M1583" i="42385"/>
  <c r="AA1569" i="42385"/>
  <c r="Z1572" i="42385"/>
  <c r="BD1180" i="42385"/>
  <c r="BV95" i="42400"/>
  <c r="BV101" i="42400" s="1"/>
  <c r="BV833" i="42385" s="1"/>
  <c r="BV834" i="42385" s="1"/>
  <c r="BV771" i="42385"/>
  <c r="BV774" i="42385"/>
  <c r="BV237" i="42385"/>
  <c r="BZ294" i="42400"/>
  <c r="BF1436" i="42385"/>
  <c r="BG1436" i="42385" s="1"/>
  <c r="BH1436" i="42385" s="1"/>
  <c r="BI1436" i="42385" s="1"/>
  <c r="BJ1436" i="42385" s="1"/>
  <c r="CW1436" i="42385"/>
  <c r="H26" i="42412"/>
  <c r="BR1658" i="42385"/>
  <c r="AD20" i="42476"/>
  <c r="K1514" i="42385"/>
  <c r="K212" i="42385" s="1"/>
  <c r="K77" i="42385"/>
  <c r="O1634" i="42385"/>
  <c r="BV1480" i="42385"/>
  <c r="BW1380" i="42385"/>
  <c r="AT924" i="42385"/>
  <c r="AT928" i="42385"/>
  <c r="AT930" i="42385" s="1"/>
  <c r="AY923" i="42385"/>
  <c r="EG446" i="42492"/>
  <c r="CX231" i="42385"/>
  <c r="BO547" i="42385"/>
  <c r="CY547" i="42385" s="1"/>
  <c r="BO543" i="42385"/>
  <c r="CY543" i="42385" s="1"/>
  <c r="CY542" i="42385"/>
  <c r="BO544" i="42385"/>
  <c r="CY544" i="42385" s="1"/>
  <c r="BN299" i="42385"/>
  <c r="BN993" i="42385"/>
  <c r="BN994" i="42385"/>
  <c r="BQ994" i="42385"/>
  <c r="BQ993" i="42385"/>
  <c r="BQ299" i="42385"/>
  <c r="BJ648" i="42385"/>
  <c r="CX648" i="42385" s="1"/>
  <c r="CX647" i="42385"/>
  <c r="CQ404" i="42385"/>
  <c r="AA406" i="42385"/>
  <c r="CQ406" i="42385" s="1"/>
  <c r="AA405" i="42385"/>
  <c r="CQ405" i="42385" s="1"/>
  <c r="BX285" i="42400"/>
  <c r="BX298" i="42400" s="1"/>
  <c r="BX895" i="42385" s="1"/>
  <c r="BX896" i="42385" s="1"/>
  <c r="BW294" i="42400"/>
  <c r="AW1648" i="42385"/>
  <c r="AW1641" i="42385" s="1"/>
  <c r="AW90" i="42385"/>
  <c r="AW92" i="42385"/>
  <c r="BP1620" i="42385"/>
  <c r="BP106" i="42385"/>
  <c r="BP93" i="42385"/>
  <c r="BR199" i="42385"/>
  <c r="BR205" i="42385" s="1"/>
  <c r="BQ199" i="42385"/>
  <c r="BQ205" i="42385" s="1"/>
  <c r="G19" i="42464"/>
  <c r="CV310" i="42385"/>
  <c r="GC463" i="42417"/>
  <c r="GG463" i="42417" s="1"/>
  <c r="AV1648" i="42385"/>
  <c r="AV1641" i="42385" s="1"/>
  <c r="AV90" i="42385"/>
  <c r="AV92" i="42385"/>
  <c r="AD1634" i="42385"/>
  <c r="AD1631" i="42385"/>
  <c r="AD1632" i="42385"/>
  <c r="AD1594" i="42385"/>
  <c r="AD1595" i="42385" s="1"/>
  <c r="AD1586" i="42385"/>
  <c r="AD1587" i="42385" s="1"/>
  <c r="AD1591" i="42385"/>
  <c r="AD1592" i="42385" s="1"/>
  <c r="AD1583" i="42385"/>
  <c r="AC1586" i="42385"/>
  <c r="AC1587" i="42385" s="1"/>
  <c r="AC1631" i="42385"/>
  <c r="AC1632" i="42385"/>
  <c r="AC1583" i="42385"/>
  <c r="AC1591" i="42385"/>
  <c r="AC1592" i="42385" s="1"/>
  <c r="AC1634" i="42385"/>
  <c r="AC1594" i="42385"/>
  <c r="AC1595" i="42385" s="1"/>
  <c r="BD1406" i="42385"/>
  <c r="BD1424" i="42385" s="1"/>
  <c r="BD1504" i="42385"/>
  <c r="BD1564" i="42385"/>
  <c r="BR986" i="42385"/>
  <c r="BW985" i="42385"/>
  <c r="BT985" i="42385"/>
  <c r="BR990" i="42385"/>
  <c r="BR992" i="42385" s="1"/>
  <c r="AT800" i="42385"/>
  <c r="AT804" i="42385"/>
  <c r="AY799" i="42385"/>
  <c r="X1514" i="42385"/>
  <c r="X212" i="42385" s="1"/>
  <c r="X77" i="42385"/>
  <c r="N880" i="42385"/>
  <c r="N881" i="42385" s="1"/>
  <c r="BE744" i="42385"/>
  <c r="BI92" i="42418"/>
  <c r="BL92" i="42418"/>
  <c r="CB242" i="42385"/>
  <c r="CB859" i="42385"/>
  <c r="CA71" i="42400"/>
  <c r="AP257" i="42385"/>
  <c r="AP258" i="42385" s="1"/>
  <c r="AO258" i="42385"/>
  <c r="AT259" i="42385" s="1"/>
  <c r="N329" i="42385"/>
  <c r="N330" i="42385" s="1"/>
  <c r="N331" i="42385" s="1"/>
  <c r="X93" i="42408"/>
  <c r="X107" i="42408"/>
  <c r="X110" i="42408" s="1"/>
  <c r="X98" i="42408"/>
  <c r="X101" i="42408" s="1"/>
  <c r="X104" i="42408" s="1"/>
  <c r="BG752" i="42385"/>
  <c r="BL751" i="42385"/>
  <c r="BG755" i="42385"/>
  <c r="BJ751" i="42385"/>
  <c r="BH1380" i="42385"/>
  <c r="BH1480" i="42385" s="1"/>
  <c r="BE547" i="42385"/>
  <c r="CW547" i="42385" s="1"/>
  <c r="CW542" i="42385"/>
  <c r="BJ544" i="42385"/>
  <c r="CX544" i="42385" s="1"/>
  <c r="BE543" i="42385"/>
  <c r="CW543" i="42385" s="1"/>
  <c r="CC59" i="42400"/>
  <c r="CD855" i="42385"/>
  <c r="CC858" i="42385"/>
  <c r="AP15" i="42385"/>
  <c r="CT15" i="42385" s="1"/>
  <c r="D4" i="42465"/>
  <c r="CT14" i="42385"/>
  <c r="BQ1235" i="42385"/>
  <c r="BP1236" i="42385"/>
  <c r="G1572" i="42385"/>
  <c r="CM1569" i="42385"/>
  <c r="BN1183" i="42385"/>
  <c r="BN1184" i="42385" s="1"/>
  <c r="N941" i="42385"/>
  <c r="N942" i="42385" s="1"/>
  <c r="N943" i="42385" s="1"/>
  <c r="BE753" i="42385"/>
  <c r="CW753" i="42385" s="1"/>
  <c r="CW751" i="42385"/>
  <c r="BE752" i="42385"/>
  <c r="CW752" i="42385" s="1"/>
  <c r="BA804" i="42385"/>
  <c r="BA806" i="42385" s="1"/>
  <c r="BF799" i="42385"/>
  <c r="BA800" i="42385"/>
  <c r="E90" i="42385"/>
  <c r="E79" i="42385"/>
  <c r="E92" i="42385" s="1"/>
  <c r="BJ515" i="42385"/>
  <c r="CX515" i="42385" s="1"/>
  <c r="BJ516" i="42385"/>
  <c r="CX516" i="42385" s="1"/>
  <c r="CX514" i="42385"/>
  <c r="BJ519" i="42385"/>
  <c r="CX519" i="42385" s="1"/>
  <c r="G1514" i="42385"/>
  <c r="CM75" i="42385"/>
  <c r="G77" i="42385"/>
  <c r="D47" i="42405"/>
  <c r="CB64" i="42400"/>
  <c r="CB66" i="42400"/>
  <c r="CB63" i="42400"/>
  <c r="CB67" i="42400"/>
  <c r="CB68" i="42400"/>
  <c r="CB65" i="42400"/>
  <c r="CB69" i="42400"/>
  <c r="BO1236" i="42385"/>
  <c r="CY1236" i="42385" s="1"/>
  <c r="CY1235" i="42385"/>
  <c r="F1583" i="42385"/>
  <c r="F1584" i="42385" s="1"/>
  <c r="F1631" i="42385"/>
  <c r="F1591" i="42385"/>
  <c r="F1592" i="42385" s="1"/>
  <c r="F1632" i="42385"/>
  <c r="F1634" i="42385"/>
  <c r="AL1656" i="42385"/>
  <c r="AL121" i="42385"/>
  <c r="O326" i="42385"/>
  <c r="O360" i="42385"/>
  <c r="O363" i="42385" s="1"/>
  <c r="O364" i="42385" s="1"/>
  <c r="O762" i="42385"/>
  <c r="O814" i="42385"/>
  <c r="O478" i="42385"/>
  <c r="O705" i="42385"/>
  <c r="O743" i="42385"/>
  <c r="O1138" i="42385"/>
  <c r="O388" i="42385"/>
  <c r="O845" i="42385"/>
  <c r="O907" i="42385"/>
  <c r="O1081" i="42385"/>
  <c r="O876" i="42385"/>
  <c r="O879" i="42385" s="1"/>
  <c r="O880" i="42385" s="1"/>
  <c r="O881" i="42385" s="1"/>
  <c r="O938" i="42385"/>
  <c r="O941" i="42385" s="1"/>
  <c r="O1000" i="42385"/>
  <c r="O1003" i="42385" s="1"/>
  <c r="O1004" i="42385" s="1"/>
  <c r="O1005" i="42385" s="1"/>
  <c r="O783" i="42385"/>
  <c r="O786" i="42385" s="1"/>
  <c r="O787" i="42385" s="1"/>
  <c r="O788" i="42385" s="1"/>
  <c r="P320" i="42385"/>
  <c r="BB757" i="42385"/>
  <c r="BB286" i="42385"/>
  <c r="BE286" i="42385" s="1"/>
  <c r="CW286" i="42385" s="1"/>
  <c r="BB756" i="42385"/>
  <c r="BE755" i="42385"/>
  <c r="AZ967" i="42385"/>
  <c r="AZ756" i="42385"/>
  <c r="CV756" i="42385" s="1"/>
  <c r="AZ757" i="42385"/>
  <c r="CV757" i="42385" s="1"/>
  <c r="CV755" i="42385"/>
  <c r="CA1248" i="42385"/>
  <c r="CA1252" i="42385" s="1"/>
  <c r="BZ1252" i="42385"/>
  <c r="CN330" i="42385"/>
  <c r="L331" i="42385"/>
  <c r="CN331" i="42385" s="1"/>
  <c r="AL1658" i="42385"/>
  <c r="AB120" i="42408"/>
  <c r="AB125" i="42408" s="1"/>
  <c r="AB114" i="42408"/>
  <c r="AV807" i="42385"/>
  <c r="AV809" i="42385"/>
  <c r="AV293" i="42385"/>
  <c r="AV808" i="42385"/>
  <c r="BI1175" i="42385"/>
  <c r="BI1177" i="42385"/>
  <c r="BI1178" i="42385" s="1"/>
  <c r="BU706" i="42385"/>
  <c r="BV706" i="42385" s="1"/>
  <c r="BW706" i="42385" s="1"/>
  <c r="BX706" i="42385" s="1"/>
  <c r="BY706" i="42385" s="1"/>
  <c r="CZ706" i="42385"/>
  <c r="CZ1113" i="42385"/>
  <c r="BT1115" i="42385"/>
  <c r="AG1591" i="42385"/>
  <c r="AG1592" i="42385" s="1"/>
  <c r="AG1634" i="42385"/>
  <c r="AG1586" i="42385"/>
  <c r="AG1587" i="42385" s="1"/>
  <c r="AG1583" i="42385"/>
  <c r="AG1594" i="42385"/>
  <c r="AG1595" i="42385" s="1"/>
  <c r="W1447" i="42385"/>
  <c r="W1448" i="42385"/>
  <c r="W1584" i="42385"/>
  <c r="W1445" i="42385"/>
  <c r="CS173" i="42385"/>
  <c r="AL173" i="42385"/>
  <c r="AM173" i="42385" s="1"/>
  <c r="AN173" i="42385" s="1"/>
  <c r="AO173" i="42385" s="1"/>
  <c r="AP173" i="42385" s="1"/>
  <c r="F53" i="42465"/>
  <c r="F52" i="42465" s="1"/>
  <c r="CV1326" i="42385"/>
  <c r="CB165" i="42400"/>
  <c r="AE77" i="42385"/>
  <c r="AE1514" i="42385"/>
  <c r="AE212" i="42385" s="1"/>
  <c r="Z120" i="42385"/>
  <c r="Z1656" i="42385" s="1"/>
  <c r="Y1447" i="42385"/>
  <c r="Y1478" i="42385" s="1"/>
  <c r="Y1448" i="42385"/>
  <c r="Y1479" i="42385" s="1"/>
  <c r="Y1584" i="42385"/>
  <c r="Y1445" i="42385"/>
  <c r="Y1476" i="42385" s="1"/>
  <c r="CP1569" i="42385"/>
  <c r="V1572" i="42385"/>
  <c r="CX1269" i="42385"/>
  <c r="BJ1270" i="42385"/>
  <c r="J120" i="42385"/>
  <c r="J1656" i="42385" s="1"/>
  <c r="BZ1398" i="42385"/>
  <c r="DA1398" i="42385"/>
  <c r="U93" i="42385"/>
  <c r="U106" i="42385"/>
  <c r="U114" i="42385" s="1"/>
  <c r="U120" i="42385" s="1"/>
  <c r="U1656" i="42385" s="1"/>
  <c r="U1619" i="42385"/>
  <c r="CC162" i="42400"/>
  <c r="CC161" i="42400"/>
  <c r="CC163" i="42400"/>
  <c r="CC155" i="42400"/>
  <c r="CC156" i="42400"/>
  <c r="AQ930" i="42385"/>
  <c r="V77" i="42385"/>
  <c r="CP75" i="42385"/>
  <c r="V1514" i="42385"/>
  <c r="V212" i="42385" s="1"/>
  <c r="AW57" i="42464"/>
  <c r="BB1582" i="42385"/>
  <c r="BA1585" i="42385"/>
  <c r="F19" i="42417"/>
  <c r="AZ166" i="42385"/>
  <c r="CV165" i="42385"/>
  <c r="GN586" i="42464"/>
  <c r="GN593" i="42464"/>
  <c r="GN596" i="42464" s="1"/>
  <c r="GN598" i="42464" s="1"/>
  <c r="GN599" i="42464" s="1"/>
  <c r="GN600" i="42464" s="1"/>
  <c r="AK1437" i="42385"/>
  <c r="AJ1439" i="42385"/>
  <c r="AJ1432" i="42385" s="1"/>
  <c r="BP313" i="42385"/>
  <c r="BT312" i="42385"/>
  <c r="CZ312" i="42385" s="1"/>
  <c r="AE1572" i="42385"/>
  <c r="AF1569" i="42385"/>
  <c r="T1447" i="42385"/>
  <c r="T1478" i="42385" s="1"/>
  <c r="T1445" i="42385"/>
  <c r="T1476" i="42385" s="1"/>
  <c r="T1448" i="42385"/>
  <c r="T1479" i="42385" s="1"/>
  <c r="T1584" i="42385"/>
  <c r="R120" i="42385"/>
  <c r="R1656" i="42385" s="1"/>
  <c r="U1631" i="42385"/>
  <c r="U1632" i="42385"/>
  <c r="U1634" i="42385"/>
  <c r="U1583" i="42385"/>
  <c r="U1591" i="42385"/>
  <c r="U1592" i="42385" s="1"/>
  <c r="AS869" i="42385"/>
  <c r="AS295" i="42385"/>
  <c r="AS870" i="42385"/>
  <c r="AS871" i="42385"/>
  <c r="CE979" i="42385"/>
  <c r="CD151" i="42400"/>
  <c r="CY1115" i="42385"/>
  <c r="BO1116" i="42385"/>
  <c r="CY1116" i="42385" s="1"/>
  <c r="BA923" i="42385"/>
  <c r="AV928" i="42385"/>
  <c r="AV924" i="42385"/>
  <c r="BY1371" i="42385"/>
  <c r="AU1552" i="42385"/>
  <c r="CU1552" i="42385" s="1"/>
  <c r="BJ1386" i="42385"/>
  <c r="AM90" i="42385"/>
  <c r="AM92" i="42385"/>
  <c r="AM1648" i="42385"/>
  <c r="AM1641" i="42385" s="1"/>
  <c r="CE100" i="42385"/>
  <c r="CD1321" i="42385"/>
  <c r="CD1643" i="42385" s="1"/>
  <c r="CY571" i="42385"/>
  <c r="BO573" i="42385"/>
  <c r="AI1432" i="42385"/>
  <c r="BH1180" i="42385"/>
  <c r="BU1115" i="42385"/>
  <c r="BU312" i="42385" s="1"/>
  <c r="BY1113" i="42385"/>
  <c r="CN799" i="42385"/>
  <c r="L800" i="42385"/>
  <c r="CN800" i="42385" s="1"/>
  <c r="Q801" i="42385"/>
  <c r="CO801" i="42385" s="1"/>
  <c r="L801" i="42385"/>
  <c r="CN801" i="42385" s="1"/>
  <c r="P33" i="42470"/>
  <c r="CB158" i="42400"/>
  <c r="BT1377" i="42385"/>
  <c r="BS1481" i="42385"/>
  <c r="BT1481" i="42385" s="1"/>
  <c r="CZ1481" i="42385" s="1"/>
  <c r="U1301" i="42385"/>
  <c r="U1330" i="42385" s="1"/>
  <c r="U1642" i="42385"/>
  <c r="BC861" i="42385"/>
  <c r="AX866" i="42385"/>
  <c r="AX868" i="42385" s="1"/>
  <c r="AX862" i="42385"/>
  <c r="T90" i="42385"/>
  <c r="T79" i="42385"/>
  <c r="T92" i="42385" s="1"/>
  <c r="T1278" i="42385"/>
  <c r="CU1121" i="42385"/>
  <c r="AU1124" i="42385"/>
  <c r="CU1124" i="42385" s="1"/>
  <c r="CF1390" i="42385"/>
  <c r="CF1490" i="42385" s="1"/>
  <c r="CL240" i="42417"/>
  <c r="CL241" i="42417"/>
  <c r="AM1301" i="42385"/>
  <c r="AM1330" i="42385" s="1"/>
  <c r="AM1642" i="42385"/>
  <c r="GC479" i="42464"/>
  <c r="GC482" i="42464"/>
  <c r="GC485" i="42464" s="1"/>
  <c r="AM1445" i="42385"/>
  <c r="AM1584" i="42385"/>
  <c r="AM1448" i="42385"/>
  <c r="AM1479" i="42385" s="1"/>
  <c r="AM1446" i="42385"/>
  <c r="AN295" i="42385"/>
  <c r="AN869" i="42385"/>
  <c r="AN871" i="42385"/>
  <c r="AP868" i="42385"/>
  <c r="AN870" i="42385"/>
  <c r="AF197" i="42385"/>
  <c r="CQ197" i="42385" s="1"/>
  <c r="AH1591" i="42385"/>
  <c r="AH1592" i="42385" s="1"/>
  <c r="AH1594" i="42385"/>
  <c r="AH1595" i="42385" s="1"/>
  <c r="AH1583" i="42385"/>
  <c r="AH1634" i="42385"/>
  <c r="AH1586" i="42385"/>
  <c r="AH1587" i="42385" s="1"/>
  <c r="AI1583" i="42385"/>
  <c r="AI1634" i="42385"/>
  <c r="AI1591" i="42385"/>
  <c r="AI1592" i="42385" s="1"/>
  <c r="AI1594" i="42385"/>
  <c r="AI1595" i="42385" s="1"/>
  <c r="AI1586" i="42385"/>
  <c r="AI1587" i="42385" s="1"/>
  <c r="CY1594" i="42385"/>
  <c r="BO1595" i="42385"/>
  <c r="CY1595" i="42385" s="1"/>
  <c r="BU1218" i="42385"/>
  <c r="B8" i="42465"/>
  <c r="AF75" i="42385"/>
  <c r="CR65" i="42385"/>
  <c r="CZ1381" i="42385"/>
  <c r="BU1381" i="42385"/>
  <c r="BV1381" i="42385" s="1"/>
  <c r="X1584" i="42385"/>
  <c r="X1447" i="42385"/>
  <c r="X1478" i="42385" s="1"/>
  <c r="X1445" i="42385"/>
  <c r="X1476" i="42385" s="1"/>
  <c r="X1448" i="42385"/>
  <c r="X1479" i="42385" s="1"/>
  <c r="CO197" i="42385"/>
  <c r="CU923" i="42385"/>
  <c r="AU925" i="42385"/>
  <c r="CU925" i="42385" s="1"/>
  <c r="AU924" i="42385"/>
  <c r="CU924" i="42385" s="1"/>
  <c r="AW1121" i="42385"/>
  <c r="AV1124" i="42385"/>
  <c r="AV1552" i="42385" s="1"/>
  <c r="AD120" i="42385"/>
  <c r="AD1656" i="42385" s="1"/>
  <c r="AG188" i="42385"/>
  <c r="AH188" i="42385" s="1"/>
  <c r="AI188" i="42385" s="1"/>
  <c r="AJ188" i="42385" s="1"/>
  <c r="AK188" i="42385" s="1"/>
  <c r="CR188" i="42385"/>
  <c r="AK55" i="42385"/>
  <c r="CS55" i="42385" s="1"/>
  <c r="AF56" i="42385"/>
  <c r="CR56" i="42385" s="1"/>
  <c r="AF55" i="42385"/>
  <c r="CR55" i="42385" s="1"/>
  <c r="AF1663" i="42385"/>
  <c r="D10" i="42433"/>
  <c r="CR54" i="42385"/>
  <c r="CV1585" i="42385"/>
  <c r="R182" i="42385"/>
  <c r="S182" i="42385" s="1"/>
  <c r="T182" i="42385" s="1"/>
  <c r="U182" i="42385" s="1"/>
  <c r="V182" i="42385" s="1"/>
  <c r="CO182" i="42385"/>
  <c r="CH205" i="42464"/>
  <c r="CH207" i="42464" s="1"/>
  <c r="CH208" i="42464" s="1"/>
  <c r="CH209" i="42464" s="1"/>
  <c r="CH199" i="42464"/>
  <c r="CG205" i="42464"/>
  <c r="CG207" i="42464" s="1"/>
  <c r="CG208" i="42464" s="1"/>
  <c r="CG209" i="42464" s="1"/>
  <c r="CG199" i="42464"/>
  <c r="CV1118" i="42385"/>
  <c r="AY1106" i="42385"/>
  <c r="AZ1106" i="42385" s="1"/>
  <c r="AX1107" i="42385"/>
  <c r="AX256" i="42385" s="1"/>
  <c r="AX257" i="42385" s="1"/>
  <c r="AJ1658" i="42385"/>
  <c r="BZ1120" i="42385"/>
  <c r="DA1120" i="42385"/>
  <c r="AZ409" i="42385"/>
  <c r="CD495" i="42385"/>
  <c r="BK107" i="42385"/>
  <c r="BK114" i="42385" s="1"/>
  <c r="AY1506" i="42385"/>
  <c r="BC1506" i="42385"/>
  <c r="BH1506" i="42385" s="1"/>
  <c r="BM1506" i="42385" s="1"/>
  <c r="AQ962" i="42385"/>
  <c r="AQ963" i="42385"/>
  <c r="AQ298" i="42385"/>
  <c r="AQ964" i="42385"/>
  <c r="BH402" i="42385"/>
  <c r="BH220" i="42385"/>
  <c r="BJ401" i="42385"/>
  <c r="BK1506" i="42385"/>
  <c r="BJ745" i="42385"/>
  <c r="N93" i="42385"/>
  <c r="N106" i="42385"/>
  <c r="N1619" i="42385"/>
  <c r="FU435" i="42417"/>
  <c r="FT444" i="42417"/>
  <c r="FU444" i="42417" s="1"/>
  <c r="G31" i="42407"/>
  <c r="G33" i="42407" s="1"/>
  <c r="G35" i="42407" s="1"/>
  <c r="G36" i="42407" s="1"/>
  <c r="G38" i="42407" s="1"/>
  <c r="G27" i="42407"/>
  <c r="D14" i="42407"/>
  <c r="D13" i="42407" s="1"/>
  <c r="B28" i="42406"/>
  <c r="V169" i="42385"/>
  <c r="AJ114" i="42385"/>
  <c r="AW964" i="42385"/>
  <c r="AW963" i="42385"/>
  <c r="AW962" i="42385"/>
  <c r="AW298" i="42385"/>
  <c r="DQ352" i="42464"/>
  <c r="BW1256" i="42385"/>
  <c r="BV1258" i="42385"/>
  <c r="BI165" i="42417"/>
  <c r="BG165" i="42417"/>
  <c r="CA1122" i="42385"/>
  <c r="DB1122" i="42385"/>
  <c r="CD390" i="42385"/>
  <c r="B63" i="42406"/>
  <c r="B68" i="42406" s="1"/>
  <c r="BO1147" i="42385"/>
  <c r="AR809" i="42385"/>
  <c r="AQ171" i="42385"/>
  <c r="AR171" i="42385" s="1"/>
  <c r="AS171" i="42385" s="1"/>
  <c r="AT171" i="42385" s="1"/>
  <c r="CT171" i="42385"/>
  <c r="AU171" i="42385"/>
  <c r="CC1391" i="42385"/>
  <c r="CC1491" i="42385" s="1"/>
  <c r="CD908" i="42385"/>
  <c r="DA218" i="42385"/>
  <c r="EJ442" i="42492"/>
  <c r="CW401" i="42385"/>
  <c r="BE402" i="42385"/>
  <c r="CW402" i="42385" s="1"/>
  <c r="CU9" i="42385"/>
  <c r="AV258" i="42385"/>
  <c r="BZ218" i="42385"/>
  <c r="BZ342" i="42385"/>
  <c r="DB342" i="42385" s="1"/>
  <c r="DB341" i="42385"/>
  <c r="CF702" i="42385"/>
  <c r="BH1656" i="42385"/>
  <c r="T48" i="42476"/>
  <c r="T50" i="42476" s="1"/>
  <c r="BH121" i="42385"/>
  <c r="CA1389" i="42385"/>
  <c r="CA1489" i="42385" s="1"/>
  <c r="AP1361" i="42385"/>
  <c r="BW117" i="42385"/>
  <c r="AZ582" i="42385"/>
  <c r="CV582" i="42385" s="1"/>
  <c r="AL178" i="42385"/>
  <c r="AM178" i="42385" s="1"/>
  <c r="AN178" i="42385" s="1"/>
  <c r="AO178" i="42385" s="1"/>
  <c r="AP178" i="42385" s="1"/>
  <c r="CS178" i="42385"/>
  <c r="CS170" i="42385"/>
  <c r="AL170" i="42385"/>
  <c r="AM170" i="42385" s="1"/>
  <c r="AN170" i="42385" s="1"/>
  <c r="AO170" i="42385" s="1"/>
  <c r="AP170" i="42385" s="1"/>
  <c r="AZ707" i="42385"/>
  <c r="BF1301" i="42385"/>
  <c r="BF1330" i="42385" s="1"/>
  <c r="BI1278" i="42385"/>
  <c r="BJ1278" i="42385" s="1"/>
  <c r="BF1642" i="42385"/>
  <c r="CE361" i="42385"/>
  <c r="EI447" i="42492"/>
  <c r="C31" i="42407"/>
  <c r="BB959" i="42385"/>
  <c r="BB961" i="42385" s="1"/>
  <c r="BB955" i="42385"/>
  <c r="M180" i="42385"/>
  <c r="CN180" i="42385"/>
  <c r="BL1642" i="42385"/>
  <c r="BO1278" i="42385"/>
  <c r="BL1301" i="42385"/>
  <c r="BL1330" i="42385" s="1"/>
  <c r="AL177" i="42385"/>
  <c r="AM177" i="42385" s="1"/>
  <c r="AN177" i="42385" s="1"/>
  <c r="AO177" i="42385" s="1"/>
  <c r="AP177" i="42385" s="1"/>
  <c r="CS177" i="42385"/>
  <c r="CV1171" i="42385"/>
  <c r="AZ1177" i="42385"/>
  <c r="AZ1180" i="42385" s="1"/>
  <c r="D52" i="42406"/>
  <c r="C53" i="42406"/>
  <c r="CV220" i="42385"/>
  <c r="AV179" i="42385"/>
  <c r="AW179" i="42385" s="1"/>
  <c r="AX179" i="42385" s="1"/>
  <c r="AY179" i="42385" s="1"/>
  <c r="AZ179" i="42385"/>
  <c r="CU179" i="42385"/>
  <c r="AV961" i="42385"/>
  <c r="AS257" i="42385"/>
  <c r="AU13" i="42385"/>
  <c r="CU13" i="42385" s="1"/>
  <c r="BE1119" i="42385"/>
  <c r="CW1119" i="42385" s="1"/>
  <c r="BX1287" i="42385"/>
  <c r="BX117" i="42385" s="1"/>
  <c r="BY1344" i="42385"/>
  <c r="AT128" i="42385"/>
  <c r="AT1558" i="42385"/>
  <c r="CD523" i="42385"/>
  <c r="BF90" i="42385"/>
  <c r="BF92" i="42385"/>
  <c r="BF1648" i="42385"/>
  <c r="BF1641" i="42385" s="1"/>
  <c r="AW257" i="42385"/>
  <c r="BL90" i="42385"/>
  <c r="BL1648" i="42385"/>
  <c r="BL1641" i="42385" s="1"/>
  <c r="BL92" i="42385"/>
  <c r="CN1579" i="42385"/>
  <c r="BA1118" i="42385"/>
  <c r="BA955" i="42385"/>
  <c r="BA959" i="42385"/>
  <c r="B12" i="42409"/>
  <c r="CU115" i="42385"/>
  <c r="BE220" i="42385"/>
  <c r="AQ839" i="42385"/>
  <c r="AQ294" i="42385"/>
  <c r="CX1603" i="42385"/>
  <c r="BJ1604" i="42385"/>
  <c r="BG1119" i="42385"/>
  <c r="BH1119" i="42385" s="1"/>
  <c r="BI1119" i="42385" s="1"/>
  <c r="BQ1218" i="42385"/>
  <c r="BM401" i="42385"/>
  <c r="BO400" i="42385"/>
  <c r="CY400" i="42385" s="1"/>
  <c r="CD970" i="42385"/>
  <c r="N1642" i="42385"/>
  <c r="N1301" i="42385"/>
  <c r="N1330" i="42385" s="1"/>
  <c r="D31" i="42407"/>
  <c r="BV169" i="42400" l="1"/>
  <c r="BV988" i="42385" s="1"/>
  <c r="BV989" i="42385" s="1"/>
  <c r="BW169" i="42400"/>
  <c r="BW988" i="42385" s="1"/>
  <c r="BW989" i="42385" s="1"/>
  <c r="BU169" i="42400"/>
  <c r="BU988" i="42385" s="1"/>
  <c r="BY989" i="42385"/>
  <c r="DA989" i="42385" s="1"/>
  <c r="BX169" i="42400"/>
  <c r="BX988" i="42385" s="1"/>
  <c r="BX989" i="42385" s="1"/>
  <c r="CA340" i="42385"/>
  <c r="CA341" i="42385" s="1"/>
  <c r="DB340" i="42385"/>
  <c r="CA1069" i="42385"/>
  <c r="CA1072" i="42385" s="1"/>
  <c r="BZ1072" i="42385"/>
  <c r="BZ1077" i="42385" s="1"/>
  <c r="BZ462" i="42385"/>
  <c r="DA462" i="42385"/>
  <c r="GB556" i="42464"/>
  <c r="GB528" i="42464"/>
  <c r="GB500" i="42464"/>
  <c r="DB795" i="42385"/>
  <c r="CA795" i="42385"/>
  <c r="BZ796" i="42385"/>
  <c r="BT233" i="42385"/>
  <c r="BS693" i="42385"/>
  <c r="BS695" i="42385" s="1"/>
  <c r="AR808" i="42385"/>
  <c r="AK892" i="42385"/>
  <c r="BU220" i="42385"/>
  <c r="BY220" i="42385" s="1"/>
  <c r="BU402" i="42385"/>
  <c r="BY401" i="42385"/>
  <c r="EI444" i="42492"/>
  <c r="CZ220" i="42385"/>
  <c r="AR807" i="42385"/>
  <c r="BS1485" i="42385"/>
  <c r="BT1485" i="42385" s="1"/>
  <c r="CZ1485" i="42385" s="1"/>
  <c r="BB830" i="42385"/>
  <c r="AW835" i="42385"/>
  <c r="AW837" i="42385" s="1"/>
  <c r="AW831" i="42385"/>
  <c r="BB93" i="42385"/>
  <c r="BB106" i="42385"/>
  <c r="BB114" i="42385" s="1"/>
  <c r="BB1619" i="42385"/>
  <c r="AC93" i="42385"/>
  <c r="AC1619" i="42385"/>
  <c r="AC106" i="42385"/>
  <c r="AC114" i="42385" s="1"/>
  <c r="AC120" i="42385" s="1"/>
  <c r="AC1656" i="42385" s="1"/>
  <c r="BG1456" i="42385"/>
  <c r="BF1487" i="42385"/>
  <c r="C93" i="42385"/>
  <c r="C1658" i="42385" s="1"/>
  <c r="C106" i="42385"/>
  <c r="C114" i="42385" s="1"/>
  <c r="C120" i="42385" s="1"/>
  <c r="C1656" i="42385" s="1"/>
  <c r="C1619" i="42385"/>
  <c r="BO653" i="42385"/>
  <c r="BO656" i="42385" s="1"/>
  <c r="BO657" i="42385" s="1"/>
  <c r="BO658" i="42385" s="1"/>
  <c r="BP654" i="42385"/>
  <c r="G193" i="42385"/>
  <c r="CM193" i="42385" s="1"/>
  <c r="CM191" i="42385"/>
  <c r="H191" i="42385"/>
  <c r="AV1028" i="42385"/>
  <c r="AV1534" i="42385"/>
  <c r="AW1027" i="42385"/>
  <c r="AR838" i="42385"/>
  <c r="AR294" i="42385"/>
  <c r="AR840" i="42385"/>
  <c r="AR839" i="42385"/>
  <c r="BZ400" i="42385"/>
  <c r="DA400" i="42385"/>
  <c r="AC1301" i="42385"/>
  <c r="AC1330" i="42385" s="1"/>
  <c r="AC1642" i="42385"/>
  <c r="G50" i="42465"/>
  <c r="G49" i="42465" s="1"/>
  <c r="CW1314" i="42385"/>
  <c r="Q1577" i="42385"/>
  <c r="CO1577" i="42385" s="1"/>
  <c r="CO1575" i="42385"/>
  <c r="CU1027" i="42385"/>
  <c r="AU1028" i="42385"/>
  <c r="CU1028" i="42385" s="1"/>
  <c r="CA989" i="42385"/>
  <c r="DC989" i="42385" s="1"/>
  <c r="DC988" i="42385"/>
  <c r="AO294" i="42385"/>
  <c r="CA890" i="42385"/>
  <c r="DC890" i="42385" s="1"/>
  <c r="AZ605" i="42385"/>
  <c r="CV605" i="42385" s="1"/>
  <c r="BT693" i="42385"/>
  <c r="BT695" i="42385" s="1"/>
  <c r="BT696" i="42385" s="1"/>
  <c r="BI1484" i="42385"/>
  <c r="BJ1484" i="42385" s="1"/>
  <c r="CX1484" i="42385" s="1"/>
  <c r="BA384" i="42385"/>
  <c r="AY1541" i="42385"/>
  <c r="AZ1541" i="42385" s="1"/>
  <c r="CV1541" i="42385" s="1"/>
  <c r="AY385" i="42385"/>
  <c r="AU1108" i="42385"/>
  <c r="CU1108" i="42385" s="1"/>
  <c r="AU322" i="42385"/>
  <c r="CU1107" i="42385"/>
  <c r="AU256" i="42385"/>
  <c r="CU256" i="42385" s="1"/>
  <c r="AY720" i="42385"/>
  <c r="AX1536" i="42385"/>
  <c r="AX721" i="42385"/>
  <c r="AY1532" i="42385"/>
  <c r="AZ1532" i="42385" s="1"/>
  <c r="CV1532" i="42385" s="1"/>
  <c r="BA841" i="42385"/>
  <c r="AY842" i="42385"/>
  <c r="AD624" i="42385"/>
  <c r="AD621" i="42385" s="1"/>
  <c r="AE625" i="42385"/>
  <c r="BC1619" i="42385"/>
  <c r="BC106" i="42385"/>
  <c r="BC114" i="42385" s="1"/>
  <c r="BC93" i="42385"/>
  <c r="AW904" i="42385"/>
  <c r="AX903" i="42385"/>
  <c r="AW1529" i="42385"/>
  <c r="BA631" i="42385"/>
  <c r="AY1543" i="42385"/>
  <c r="AZ1543" i="42385" s="1"/>
  <c r="CV1543" i="42385" s="1"/>
  <c r="AY632" i="42385"/>
  <c r="BA1586" i="42385"/>
  <c r="BA1587" i="42385" s="1"/>
  <c r="AP837" i="42385"/>
  <c r="Y92" i="42408"/>
  <c r="AI1301" i="42385"/>
  <c r="AI1330" i="42385" s="1"/>
  <c r="AI1642" i="42385"/>
  <c r="CV841" i="42385"/>
  <c r="AZ842" i="42385"/>
  <c r="CV842" i="42385" s="1"/>
  <c r="CB670" i="42385"/>
  <c r="CA683" i="42385"/>
  <c r="AC621" i="42385"/>
  <c r="AL1584" i="42385"/>
  <c r="AL1448" i="42385"/>
  <c r="AL1479" i="42385" s="1"/>
  <c r="AL1446" i="42385"/>
  <c r="AL1445" i="42385"/>
  <c r="BV650" i="42385"/>
  <c r="BV231" i="42385"/>
  <c r="BV647" i="42385"/>
  <c r="BV644" i="42385"/>
  <c r="CV631" i="42385"/>
  <c r="AZ632" i="42385"/>
  <c r="CV632" i="42385" s="1"/>
  <c r="AO840" i="42385"/>
  <c r="AP835" i="42385"/>
  <c r="CT835" i="42385" s="1"/>
  <c r="BE299" i="42385"/>
  <c r="CW299" i="42385" s="1"/>
  <c r="AI90" i="42385"/>
  <c r="AI92" i="42385"/>
  <c r="AI1648" i="42385"/>
  <c r="AI1641" i="42385" s="1"/>
  <c r="BB1590" i="42385"/>
  <c r="BA1593" i="42385"/>
  <c r="BD1104" i="42385"/>
  <c r="BI1104" i="42385" s="1"/>
  <c r="BN1104" i="42385" s="1"/>
  <c r="BH1104" i="42385"/>
  <c r="BQ648" i="42385"/>
  <c r="BQ281" i="42385"/>
  <c r="CV384" i="42385"/>
  <c r="AZ385" i="42385"/>
  <c r="CV385" i="42385" s="1"/>
  <c r="AQ838" i="42385"/>
  <c r="AO838" i="42385"/>
  <c r="AG1648" i="42385"/>
  <c r="AG1641" i="42385" s="1"/>
  <c r="AG92" i="42385"/>
  <c r="AG90" i="42385"/>
  <c r="AJ1584" i="42385"/>
  <c r="AJ1446" i="42385"/>
  <c r="AJ1477" i="42385" s="1"/>
  <c r="AJ1448" i="42385"/>
  <c r="AJ1479" i="42385" s="1"/>
  <c r="AJ1445" i="42385"/>
  <c r="AK79" i="42385"/>
  <c r="C13" i="42465"/>
  <c r="CS77" i="42385"/>
  <c r="AG1642" i="42385"/>
  <c r="AK1278" i="42385"/>
  <c r="AG1301" i="42385"/>
  <c r="AG1330" i="42385" s="1"/>
  <c r="CS1572" i="42385"/>
  <c r="AK1594" i="42385"/>
  <c r="AK1583" i="42385"/>
  <c r="AK1591" i="42385"/>
  <c r="AK1634" i="42385"/>
  <c r="CS1634" i="42385" s="1"/>
  <c r="AK1586" i="42385"/>
  <c r="BK1484" i="42385"/>
  <c r="BO1484" i="42385" s="1"/>
  <c r="CY1484" i="42385" s="1"/>
  <c r="CX1384" i="42385"/>
  <c r="BW1373" i="42385"/>
  <c r="BV1375" i="42385"/>
  <c r="BE165" i="42385"/>
  <c r="BE166" i="42385" s="1"/>
  <c r="AW613" i="42385"/>
  <c r="AY613" i="42385" s="1"/>
  <c r="CU613" i="42385"/>
  <c r="CS799" i="42385"/>
  <c r="AK801" i="42385"/>
  <c r="CS801" i="42385" s="1"/>
  <c r="AK800" i="42385"/>
  <c r="CS800" i="42385" s="1"/>
  <c r="BS1211" i="42385"/>
  <c r="BS1217" i="42385"/>
  <c r="BS1218" i="42385" s="1"/>
  <c r="BS1222" i="42385" s="1"/>
  <c r="CA1103" i="42385"/>
  <c r="DB1103" i="42385"/>
  <c r="BZ865" i="42385"/>
  <c r="DB865" i="42385" s="1"/>
  <c r="AP801" i="42385"/>
  <c r="CT801" i="42385" s="1"/>
  <c r="BI1478" i="42385"/>
  <c r="BS1386" i="42385"/>
  <c r="BR1563" i="42385"/>
  <c r="BI1383" i="42385"/>
  <c r="BJ1383" i="42385" s="1"/>
  <c r="CP892" i="42385"/>
  <c r="V893" i="42385"/>
  <c r="CP893" i="42385" s="1"/>
  <c r="AA894" i="42385"/>
  <c r="CQ894" i="42385" s="1"/>
  <c r="BZ1074" i="42385"/>
  <c r="V894" i="42385"/>
  <c r="CP894" i="42385" s="1"/>
  <c r="BB473" i="42385"/>
  <c r="BC472" i="42385"/>
  <c r="BB474" i="42385"/>
  <c r="BB475" i="42385" s="1"/>
  <c r="BB1547" i="42385"/>
  <c r="BR1210" i="42385"/>
  <c r="BT1208" i="42385"/>
  <c r="CZ1208" i="42385" s="1"/>
  <c r="AT835" i="42385"/>
  <c r="AT837" i="42385" s="1"/>
  <c r="AY830" i="42385"/>
  <c r="AT831" i="42385"/>
  <c r="BQ1591" i="42385"/>
  <c r="BQ1592" i="42385" s="1"/>
  <c r="BQ1593" i="42385"/>
  <c r="BQ1594" i="42385" s="1"/>
  <c r="BQ1595" i="42385" s="1"/>
  <c r="CZ1203" i="42385"/>
  <c r="BT1204" i="42385"/>
  <c r="CZ1204" i="42385" s="1"/>
  <c r="CZ1194" i="42385"/>
  <c r="BT1195" i="42385"/>
  <c r="CZ1195" i="42385" s="1"/>
  <c r="DA1195" i="42385"/>
  <c r="AL183" i="42385"/>
  <c r="AM183" i="42385" s="1"/>
  <c r="AN183" i="42385" s="1"/>
  <c r="AO183" i="42385" s="1"/>
  <c r="AP183" i="42385" s="1"/>
  <c r="CS183" i="42385"/>
  <c r="CA1414" i="42385"/>
  <c r="DB1414" i="42385"/>
  <c r="AP804" i="42385"/>
  <c r="CT804" i="42385" s="1"/>
  <c r="AN806" i="42385"/>
  <c r="BZ307" i="42385"/>
  <c r="BZ22" i="42385" s="1"/>
  <c r="AU165" i="42385"/>
  <c r="BI1385" i="42385"/>
  <c r="BJ1385" i="42385" s="1"/>
  <c r="CZ1206" i="42385"/>
  <c r="BT1207" i="42385"/>
  <c r="CZ1207" i="42385" s="1"/>
  <c r="BU1385" i="42385"/>
  <c r="CZ1385" i="42385"/>
  <c r="BB799" i="42385"/>
  <c r="AW804" i="42385"/>
  <c r="AW806" i="42385" s="1"/>
  <c r="AW807" i="42385" s="1"/>
  <c r="AW800" i="42385"/>
  <c r="BR1486" i="42385"/>
  <c r="CZ1200" i="42385"/>
  <c r="BT1214" i="42385"/>
  <c r="CZ1214" i="42385" s="1"/>
  <c r="DA1201" i="42385"/>
  <c r="BH1483" i="42385"/>
  <c r="AS804" i="42385"/>
  <c r="AS806" i="42385" s="1"/>
  <c r="AS800" i="42385"/>
  <c r="AX799" i="42385"/>
  <c r="AN1375" i="42385"/>
  <c r="AN1424" i="42385" s="1"/>
  <c r="AO1373" i="42385"/>
  <c r="BO281" i="42385"/>
  <c r="CY281" i="42385" s="1"/>
  <c r="W1658" i="42385"/>
  <c r="W94" i="42385"/>
  <c r="AY356" i="42385"/>
  <c r="AZ356" i="42385" s="1"/>
  <c r="AX1528" i="42385"/>
  <c r="AX357" i="42385"/>
  <c r="AX345" i="42385"/>
  <c r="BC344" i="42385"/>
  <c r="CY643" i="42385"/>
  <c r="BO645" i="42385"/>
  <c r="CY645" i="42385" s="1"/>
  <c r="DB450" i="42385"/>
  <c r="CA450" i="42385"/>
  <c r="AV597" i="42385"/>
  <c r="AV599" i="42385" s="1"/>
  <c r="AW598" i="42385"/>
  <c r="AU861" i="42385"/>
  <c r="AU862" i="42385" s="1"/>
  <c r="CU862" i="42385" s="1"/>
  <c r="AT345" i="42385"/>
  <c r="AY344" i="42385"/>
  <c r="BS286" i="42385"/>
  <c r="BS757" i="42385"/>
  <c r="BS756" i="42385"/>
  <c r="BJ90" i="42385"/>
  <c r="BJ1648" i="42385"/>
  <c r="CX79" i="42385"/>
  <c r="BJ92" i="42385"/>
  <c r="CX92" i="42385" s="1"/>
  <c r="CA115" i="42385"/>
  <c r="DC115" i="42385" s="1"/>
  <c r="DC1289" i="42385"/>
  <c r="BU643" i="42385"/>
  <c r="BT643" i="42385"/>
  <c r="BP647" i="42385"/>
  <c r="BP644" i="42385"/>
  <c r="AN347" i="42385"/>
  <c r="AO348" i="42385"/>
  <c r="AQ344" i="42385"/>
  <c r="AL345" i="42385"/>
  <c r="AL346" i="42385"/>
  <c r="BX755" i="42385"/>
  <c r="BX752" i="42385"/>
  <c r="BA184" i="42385"/>
  <c r="BB184" i="42385" s="1"/>
  <c r="BC184" i="42385" s="1"/>
  <c r="BD184" i="42385" s="1"/>
  <c r="CV184" i="42385"/>
  <c r="BE184" i="42385"/>
  <c r="BK648" i="42385"/>
  <c r="BK281" i="42385"/>
  <c r="AM354" i="42385"/>
  <c r="AM344" i="42385"/>
  <c r="BY896" i="42385"/>
  <c r="DA896" i="42385" s="1"/>
  <c r="H894" i="42385"/>
  <c r="M894" i="42385"/>
  <c r="H893" i="42385"/>
  <c r="CA75" i="42400"/>
  <c r="CA864" i="42385" s="1"/>
  <c r="CA865" i="42385" s="1"/>
  <c r="DC865" i="42385" s="1"/>
  <c r="L892" i="42385"/>
  <c r="BJ1478" i="42385"/>
  <c r="CX1478" i="42385" s="1"/>
  <c r="CD336" i="42385"/>
  <c r="CD339" i="42385" s="1"/>
  <c r="CE334" i="42385"/>
  <c r="AZ923" i="42385"/>
  <c r="AZ925" i="42385" s="1"/>
  <c r="CV925" i="42385" s="1"/>
  <c r="CB1357" i="42385"/>
  <c r="CC1357" i="42385" s="1"/>
  <c r="CD1357" i="42385" s="1"/>
  <c r="CE1357" i="42385" s="1"/>
  <c r="CF1357" i="42385" s="1"/>
  <c r="DC1357" i="42385"/>
  <c r="BH1381" i="42385"/>
  <c r="BH1481" i="42385" s="1"/>
  <c r="CX1378" i="42385"/>
  <c r="BK1478" i="42385"/>
  <c r="BO1478" i="42385" s="1"/>
  <c r="CY1478" i="42385" s="1"/>
  <c r="F20" i="42417"/>
  <c r="CW165" i="42385"/>
  <c r="BE130" i="42385"/>
  <c r="BJ131" i="42385" s="1"/>
  <c r="AT892" i="42385"/>
  <c r="AO893" i="42385"/>
  <c r="AO897" i="42385"/>
  <c r="AO899" i="42385" s="1"/>
  <c r="AO902" i="42385" s="1"/>
  <c r="DA1217" i="42385"/>
  <c r="AS892" i="42385"/>
  <c r="AN893" i="42385"/>
  <c r="AN897" i="42385"/>
  <c r="AP892" i="42385"/>
  <c r="AW893" i="42385"/>
  <c r="BB892" i="42385"/>
  <c r="AW897" i="42385"/>
  <c r="AW899" i="42385" s="1"/>
  <c r="AK893" i="42385"/>
  <c r="CS893" i="42385" s="1"/>
  <c r="CS892" i="42385"/>
  <c r="AK894" i="42385"/>
  <c r="CS894" i="42385" s="1"/>
  <c r="AU174" i="42385"/>
  <c r="AQ174" i="42385"/>
  <c r="AR174" i="42385" s="1"/>
  <c r="AS174" i="42385" s="1"/>
  <c r="AT174" i="42385" s="1"/>
  <c r="CT174" i="42385"/>
  <c r="AL185" i="42385"/>
  <c r="AM185" i="42385" s="1"/>
  <c r="AN185" i="42385" s="1"/>
  <c r="AO185" i="42385" s="1"/>
  <c r="AP185" i="42385" s="1"/>
  <c r="CS185" i="42385"/>
  <c r="BB923" i="42385"/>
  <c r="AW928" i="42385"/>
  <c r="AW930" i="42385" s="1"/>
  <c r="AW924" i="42385"/>
  <c r="BC923" i="42385"/>
  <c r="AX928" i="42385"/>
  <c r="AX930" i="42385" s="1"/>
  <c r="AX924" i="42385"/>
  <c r="AR480" i="42385"/>
  <c r="AQ1140" i="42385"/>
  <c r="CT175" i="42385"/>
  <c r="AQ175" i="42385"/>
  <c r="AR175" i="42385" s="1"/>
  <c r="AS175" i="42385" s="1"/>
  <c r="AT175" i="42385" s="1"/>
  <c r="AU175" i="42385"/>
  <c r="AS297" i="42385"/>
  <c r="AS931" i="42385"/>
  <c r="AS932" i="42385"/>
  <c r="AS933" i="42385"/>
  <c r="CS181" i="42385"/>
  <c r="AL181" i="42385"/>
  <c r="AM181" i="42385" s="1"/>
  <c r="AN181" i="42385" s="1"/>
  <c r="AO181" i="42385" s="1"/>
  <c r="AP181" i="42385" s="1"/>
  <c r="DB1110" i="42385"/>
  <c r="CA1110" i="42385"/>
  <c r="CC1175" i="42385"/>
  <c r="CC69" i="42385" s="1"/>
  <c r="CD1174" i="42385"/>
  <c r="CS186" i="42385"/>
  <c r="AL186" i="42385"/>
  <c r="AM186" i="42385" s="1"/>
  <c r="AN186" i="42385" s="1"/>
  <c r="AO186" i="42385" s="1"/>
  <c r="AP186" i="42385" s="1"/>
  <c r="AR902" i="42385"/>
  <c r="AR900" i="42385"/>
  <c r="AR901" i="42385"/>
  <c r="AR296" i="42385"/>
  <c r="BA830" i="42385"/>
  <c r="AV831" i="42385"/>
  <c r="AV835" i="42385"/>
  <c r="AV837" i="42385" s="1"/>
  <c r="AV840" i="42385" s="1"/>
  <c r="AR297" i="42385"/>
  <c r="AR932" i="42385"/>
  <c r="AR931" i="42385"/>
  <c r="AR933" i="42385"/>
  <c r="AQ900" i="42385"/>
  <c r="AQ901" i="42385"/>
  <c r="AQ296" i="42385"/>
  <c r="AQ902" i="42385"/>
  <c r="BV1383" i="42385"/>
  <c r="BV1483" i="42385" s="1"/>
  <c r="DA1207" i="42385"/>
  <c r="CC51" i="42400"/>
  <c r="CC802" i="42385" s="1"/>
  <c r="CC803" i="42385" s="1"/>
  <c r="CB1194" i="42385"/>
  <c r="DC1195" i="42385"/>
  <c r="DC1194" i="42385"/>
  <c r="BE187" i="42385"/>
  <c r="CV187" i="42385"/>
  <c r="BA187" i="42385"/>
  <c r="BB187" i="42385" s="1"/>
  <c r="BC187" i="42385" s="1"/>
  <c r="BD187" i="42385" s="1"/>
  <c r="DB1148" i="42385"/>
  <c r="CA1148" i="42385"/>
  <c r="DA1204" i="42385"/>
  <c r="BA892" i="42385"/>
  <c r="AV893" i="42385"/>
  <c r="AV897" i="42385"/>
  <c r="AV899" i="42385" s="1"/>
  <c r="CT172" i="42385"/>
  <c r="AQ172" i="42385"/>
  <c r="AR172" i="42385" s="1"/>
  <c r="AS172" i="42385" s="1"/>
  <c r="AT172" i="42385" s="1"/>
  <c r="AU172" i="42385"/>
  <c r="DB1195" i="42385"/>
  <c r="AQ862" i="42385"/>
  <c r="AQ866" i="42385"/>
  <c r="AV861" i="42385"/>
  <c r="AR862" i="42385"/>
  <c r="AR866" i="42385"/>
  <c r="AR868" i="42385" s="1"/>
  <c r="AW861" i="42385"/>
  <c r="AY1572" i="42385"/>
  <c r="AZ1569" i="42385"/>
  <c r="BA1634" i="42385"/>
  <c r="BA1583" i="42385"/>
  <c r="BA1594" i="42385"/>
  <c r="BA1595" i="42385" s="1"/>
  <c r="BA1599" i="42385"/>
  <c r="BA1591" i="42385"/>
  <c r="BA1592" i="42385" s="1"/>
  <c r="BC1599" i="42385"/>
  <c r="BC1634" i="42385"/>
  <c r="BC1591" i="42385"/>
  <c r="BB1583" i="42385"/>
  <c r="BB1584" i="42385" s="1"/>
  <c r="BB1634" i="42385"/>
  <c r="BB1591" i="42385"/>
  <c r="BB1592" i="42385" s="1"/>
  <c r="BB1599" i="42385"/>
  <c r="K13" i="42476"/>
  <c r="P13" i="42476"/>
  <c r="AY79" i="42385"/>
  <c r="AY1278" i="42385"/>
  <c r="CB152" i="42400"/>
  <c r="CB167" i="42400" s="1"/>
  <c r="CB169" i="42400" s="1"/>
  <c r="CB988" i="42385" s="1"/>
  <c r="CB989" i="42385" s="1"/>
  <c r="CC976" i="42385"/>
  <c r="CB977" i="42385"/>
  <c r="BW137" i="42400"/>
  <c r="BV144" i="42400"/>
  <c r="BV148" i="42400" s="1"/>
  <c r="BV926" i="42385" s="1"/>
  <c r="BV927" i="42385" s="1"/>
  <c r="BY148" i="42400"/>
  <c r="BY926" i="42385" s="1"/>
  <c r="DA926" i="42385" s="1"/>
  <c r="BZ137" i="42400"/>
  <c r="BU137" i="42400"/>
  <c r="DC920" i="42385"/>
  <c r="CA244" i="42385"/>
  <c r="DC244" i="42385" s="1"/>
  <c r="CA921" i="42385"/>
  <c r="DC921" i="42385" s="1"/>
  <c r="BW144" i="42400"/>
  <c r="BW148" i="42400" s="1"/>
  <c r="BW926" i="42385" s="1"/>
  <c r="BW927" i="42385" s="1"/>
  <c r="BU144" i="42400"/>
  <c r="CB130" i="42400"/>
  <c r="CC917" i="42385"/>
  <c r="CB920" i="42385"/>
  <c r="BZ144" i="42400"/>
  <c r="BX144" i="42400"/>
  <c r="BX148" i="42400" s="1"/>
  <c r="BX926" i="42385" s="1"/>
  <c r="BX927" i="42385" s="1"/>
  <c r="CA141" i="42400"/>
  <c r="CA140" i="42400"/>
  <c r="CA135" i="42400"/>
  <c r="CA142" i="42400"/>
  <c r="CA134" i="42400"/>
  <c r="DC889" i="42385"/>
  <c r="CE38" i="42400"/>
  <c r="CE40" i="42400"/>
  <c r="CE47" i="42400"/>
  <c r="CE42" i="42400"/>
  <c r="CE37" i="42400"/>
  <c r="CE39" i="42400"/>
  <c r="CE41" i="42400"/>
  <c r="CE43" i="42400"/>
  <c r="CF37" i="42400"/>
  <c r="CF47" i="42400"/>
  <c r="CF41" i="42400"/>
  <c r="CF38" i="42400"/>
  <c r="CF42" i="42400"/>
  <c r="CF43" i="42400"/>
  <c r="CF40" i="42400"/>
  <c r="CF39" i="42400"/>
  <c r="CD45" i="42400"/>
  <c r="CE790" i="42385"/>
  <c r="CD34" i="42400"/>
  <c r="CD49" i="42400" s="1"/>
  <c r="C33" i="42409"/>
  <c r="B33" i="42409" s="1"/>
  <c r="C15" i="42409"/>
  <c r="AX106" i="42385"/>
  <c r="AX114" i="42385" s="1"/>
  <c r="AX120" i="42385" s="1"/>
  <c r="AX1619" i="42385"/>
  <c r="AX93" i="42385"/>
  <c r="W199" i="42385"/>
  <c r="W205" i="42385" s="1"/>
  <c r="W211" i="42385" s="1"/>
  <c r="CV75" i="42385"/>
  <c r="AZ1514" i="42385"/>
  <c r="L76" i="42476" s="1"/>
  <c r="AZ77" i="42385"/>
  <c r="F11" i="42465"/>
  <c r="AA14" i="42476"/>
  <c r="Q13" i="42476"/>
  <c r="L71" i="42476"/>
  <c r="L74" i="42476" s="1"/>
  <c r="AF41" i="42464"/>
  <c r="AG33" i="42464"/>
  <c r="F12" i="42464"/>
  <c r="GP520" i="42417"/>
  <c r="CU301" i="42385"/>
  <c r="BY675" i="42385"/>
  <c r="Z92" i="42408" s="1"/>
  <c r="CW1572" i="42385"/>
  <c r="BE1599" i="42385"/>
  <c r="BE1634" i="42385"/>
  <c r="CW1634" i="42385" s="1"/>
  <c r="BT236" i="42385"/>
  <c r="BP238" i="42385"/>
  <c r="CB429" i="42385"/>
  <c r="CC429" i="42385" s="1"/>
  <c r="CD429" i="42385" s="1"/>
  <c r="CE429" i="42385" s="1"/>
  <c r="CF429" i="42385" s="1"/>
  <c r="DC429" i="42385"/>
  <c r="CF919" i="42385"/>
  <c r="BS1104" i="42385"/>
  <c r="BX282" i="42385"/>
  <c r="BX232" i="42385"/>
  <c r="BD1642" i="42385"/>
  <c r="BD1301" i="42385"/>
  <c r="BD1330" i="42385" s="1"/>
  <c r="BE1278" i="42385"/>
  <c r="BX1102" i="42385"/>
  <c r="BY1102" i="42385" s="1"/>
  <c r="BT1102" i="42385"/>
  <c r="CZ1102" i="42385" s="1"/>
  <c r="AX258" i="42385"/>
  <c r="AX128" i="42385" s="1"/>
  <c r="BN995" i="42385"/>
  <c r="BM1549" i="42385"/>
  <c r="BM996" i="42385"/>
  <c r="CF1169" i="42385"/>
  <c r="CE1548" i="42385"/>
  <c r="CE71" i="42385"/>
  <c r="BP286" i="42385"/>
  <c r="BP757" i="42385"/>
  <c r="BP756" i="42385"/>
  <c r="BZ764" i="42385"/>
  <c r="DA764" i="42385"/>
  <c r="AT1523" i="42385"/>
  <c r="AT1525" i="42385" s="1"/>
  <c r="AT1499" i="42385" s="1"/>
  <c r="AS1525" i="42385"/>
  <c r="AW1535" i="42385"/>
  <c r="AX872" i="42385"/>
  <c r="AW873" i="42385"/>
  <c r="BK443" i="42385"/>
  <c r="BF444" i="42385"/>
  <c r="BF1546" i="42385"/>
  <c r="BF445" i="42385"/>
  <c r="BF446" i="42385" s="1"/>
  <c r="BD1648" i="42385"/>
  <c r="BD1641" i="42385" s="1"/>
  <c r="BD92" i="42385"/>
  <c r="BD90" i="42385"/>
  <c r="BG199" i="42385" s="1"/>
  <c r="BG205" i="42385" s="1"/>
  <c r="AV1024" i="42385"/>
  <c r="AV1026" i="42385"/>
  <c r="AZ1023" i="42385"/>
  <c r="AV1025" i="42385"/>
  <c r="AV301" i="42385"/>
  <c r="AZ301" i="42385" s="1"/>
  <c r="CC1626" i="42385"/>
  <c r="BH1626" i="42385"/>
  <c r="BB1546" i="42385"/>
  <c r="BB445" i="42385"/>
  <c r="BB446" i="42385" s="1"/>
  <c r="BB444" i="42385"/>
  <c r="BG443" i="42385"/>
  <c r="S1642" i="42385"/>
  <c r="S1301" i="42385"/>
  <c r="S1330" i="42385" s="1"/>
  <c r="EH449" i="42492"/>
  <c r="CY236" i="42385"/>
  <c r="BG1628" i="42385"/>
  <c r="CY1233" i="42385"/>
  <c r="BO1234" i="42385"/>
  <c r="CY1234" i="42385" s="1"/>
  <c r="BU752" i="42385"/>
  <c r="BU755" i="42385"/>
  <c r="BY748" i="42385"/>
  <c r="BU236" i="42385"/>
  <c r="BY236" i="42385" s="1"/>
  <c r="CZ748" i="42385"/>
  <c r="BT749" i="42385"/>
  <c r="CZ749" i="42385" s="1"/>
  <c r="AX445" i="42385"/>
  <c r="AX446" i="42385" s="1"/>
  <c r="AY443" i="42385"/>
  <c r="AX444" i="42385"/>
  <c r="BC443" i="42385"/>
  <c r="AX1546" i="42385"/>
  <c r="S106" i="42385"/>
  <c r="S114" i="42385" s="1"/>
  <c r="S120" i="42385" s="1"/>
  <c r="S1656" i="42385" s="1"/>
  <c r="S1619" i="42385"/>
  <c r="S93" i="42385"/>
  <c r="S1658" i="42385" s="1"/>
  <c r="AF140" i="42492"/>
  <c r="AG121" i="42492"/>
  <c r="AG126" i="42492" s="1"/>
  <c r="AF126" i="42492"/>
  <c r="DB1213" i="42385"/>
  <c r="BV1382" i="42385"/>
  <c r="BV1482" i="42385" s="1"/>
  <c r="DA995" i="42385"/>
  <c r="BZ995" i="42385"/>
  <c r="DA981" i="42385"/>
  <c r="BZ981" i="42385"/>
  <c r="BY982" i="42385"/>
  <c r="AU831" i="42385"/>
  <c r="CU831" i="42385" s="1"/>
  <c r="CU830" i="42385"/>
  <c r="AU832" i="42385"/>
  <c r="CU832" i="42385" s="1"/>
  <c r="AT870" i="42385"/>
  <c r="AT295" i="42385"/>
  <c r="AT869" i="42385"/>
  <c r="AT871" i="42385"/>
  <c r="CR176" i="42385"/>
  <c r="AG176" i="42385"/>
  <c r="AH176" i="42385" s="1"/>
  <c r="AI176" i="42385" s="1"/>
  <c r="AJ176" i="42385" s="1"/>
  <c r="AK176" i="42385" s="1"/>
  <c r="M93" i="42385"/>
  <c r="M106" i="42385"/>
  <c r="M114" i="42385" s="1"/>
  <c r="M120" i="42385" s="1"/>
  <c r="M1656" i="42385" s="1"/>
  <c r="M1619" i="42385"/>
  <c r="H1658" i="42385"/>
  <c r="H94" i="42385"/>
  <c r="CB682" i="42385"/>
  <c r="CC701" i="42385"/>
  <c r="CZ763" i="42385"/>
  <c r="BU763" i="42385"/>
  <c r="BV763" i="42385" s="1"/>
  <c r="BW763" i="42385" s="1"/>
  <c r="BX763" i="42385" s="1"/>
  <c r="BY763" i="42385" s="1"/>
  <c r="CY237" i="42385"/>
  <c r="EH450" i="42492"/>
  <c r="CC131" i="42400"/>
  <c r="CC146" i="42400" s="1"/>
  <c r="CC915" i="42385"/>
  <c r="CD914" i="42385"/>
  <c r="CN942" i="42385"/>
  <c r="L943" i="42385"/>
  <c r="CN943" i="42385" s="1"/>
  <c r="BU983" i="42385"/>
  <c r="BU246" i="42385"/>
  <c r="BU986" i="42385"/>
  <c r="AS837" i="42385"/>
  <c r="CC852" i="42385"/>
  <c r="CB60" i="42400"/>
  <c r="CB73" i="42400" s="1"/>
  <c r="BD861" i="42385"/>
  <c r="AY862" i="42385"/>
  <c r="AY866" i="42385"/>
  <c r="AY868" i="42385" s="1"/>
  <c r="M1301" i="42385"/>
  <c r="M1330" i="42385" s="1"/>
  <c r="M1642" i="42385"/>
  <c r="CY246" i="42385"/>
  <c r="EH456" i="42492"/>
  <c r="B35" i="42412"/>
  <c r="D34" i="42412"/>
  <c r="L819" i="42385"/>
  <c r="CN819" i="42385" s="1"/>
  <c r="CN818" i="42385"/>
  <c r="CY767" i="42385"/>
  <c r="BO768" i="42385"/>
  <c r="CY768" i="42385" s="1"/>
  <c r="BR237" i="42385"/>
  <c r="BT237" i="42385" s="1"/>
  <c r="CZ237" i="42385" s="1"/>
  <c r="BW767" i="42385"/>
  <c r="BR771" i="42385"/>
  <c r="BR774" i="42385"/>
  <c r="BT767" i="42385"/>
  <c r="CF1645" i="42385"/>
  <c r="CF109" i="42385"/>
  <c r="CF1283" i="42385"/>
  <c r="BC830" i="42385"/>
  <c r="AX835" i="42385"/>
  <c r="AX831" i="42385"/>
  <c r="AZ830" i="42385"/>
  <c r="L1005" i="42385"/>
  <c r="CN1005" i="42385" s="1"/>
  <c r="CN1004" i="42385"/>
  <c r="BB612" i="42385"/>
  <c r="CV612" i="42385"/>
  <c r="CN787" i="42385"/>
  <c r="L788" i="42385"/>
  <c r="CN788" i="42385" s="1"/>
  <c r="AG116" i="42492"/>
  <c r="AG118" i="42492" s="1"/>
  <c r="AF134" i="42492"/>
  <c r="AF118" i="42492"/>
  <c r="BG163" i="42417"/>
  <c r="BN185" i="42417" s="1"/>
  <c r="BI163" i="42417"/>
  <c r="BF180" i="42417"/>
  <c r="BT649" i="42385"/>
  <c r="CZ649" i="42385" s="1"/>
  <c r="BW649" i="42385"/>
  <c r="BY649" i="42385" s="1"/>
  <c r="BM776" i="42385"/>
  <c r="BM287" i="42385"/>
  <c r="BO287" i="42385" s="1"/>
  <c r="CY287" i="42385" s="1"/>
  <c r="BM775" i="42385"/>
  <c r="BO774" i="42385"/>
  <c r="AU928" i="42385"/>
  <c r="CU928" i="42385" s="1"/>
  <c r="AN954" i="42385"/>
  <c r="AS954" i="42385" s="1"/>
  <c r="BH1400" i="42385"/>
  <c r="BH1498" i="42385" s="1"/>
  <c r="BU1478" i="42385"/>
  <c r="BV1378" i="42385"/>
  <c r="DA1155" i="42385"/>
  <c r="BZ1155" i="42385"/>
  <c r="CX774" i="42385"/>
  <c r="BJ775" i="42385"/>
  <c r="CX775" i="42385" s="1"/>
  <c r="BJ776" i="42385"/>
  <c r="CX776" i="42385" s="1"/>
  <c r="AU863" i="42385"/>
  <c r="CU863" i="42385" s="1"/>
  <c r="CC84" i="42400"/>
  <c r="CC99" i="42400" s="1"/>
  <c r="CD821" i="42385"/>
  <c r="CZ982" i="42385"/>
  <c r="BT996" i="42385"/>
  <c r="CZ996" i="42385" s="1"/>
  <c r="BT983" i="42385"/>
  <c r="CZ983" i="42385" s="1"/>
  <c r="AQ190" i="42385"/>
  <c r="AR190" i="42385" s="1"/>
  <c r="AS190" i="42385" s="1"/>
  <c r="AT190" i="42385" s="1"/>
  <c r="AU190" i="42385"/>
  <c r="CT190" i="42385"/>
  <c r="BC612" i="42385"/>
  <c r="BA1139" i="42385"/>
  <c r="J211" i="42385"/>
  <c r="J209" i="42385"/>
  <c r="BP249" i="42385"/>
  <c r="BT249" i="42385" s="1"/>
  <c r="BT246" i="42385"/>
  <c r="IP770" i="42417"/>
  <c r="G22" i="42412"/>
  <c r="I20" i="42412"/>
  <c r="CZ770" i="42385"/>
  <c r="BT772" i="42385"/>
  <c r="CZ772" i="42385" s="1"/>
  <c r="BL1266" i="42385"/>
  <c r="BL1263" i="42385" s="1"/>
  <c r="BL1553" i="42385" s="1"/>
  <c r="BL107" i="42385" s="1"/>
  <c r="BL1262" i="42385"/>
  <c r="BL1493" i="42385" s="1"/>
  <c r="BM1265" i="42385"/>
  <c r="AP1139" i="42385"/>
  <c r="CT1139" i="42385" s="1"/>
  <c r="AQ1001" i="42385"/>
  <c r="CT1001" i="42385"/>
  <c r="CW219" i="42385"/>
  <c r="EF443" i="42492"/>
  <c r="BN1237" i="42385"/>
  <c r="BM1238" i="42385"/>
  <c r="BM1241" i="42385"/>
  <c r="S374" i="42385"/>
  <c r="S375" i="42385"/>
  <c r="CR373" i="42385"/>
  <c r="AF374" i="42385"/>
  <c r="CR374" i="42385" s="1"/>
  <c r="BZ770" i="42385"/>
  <c r="BY772" i="42385"/>
  <c r="DA772" i="42385" s="1"/>
  <c r="DA770" i="42385"/>
  <c r="BO619" i="42385"/>
  <c r="CY619" i="42385" s="1"/>
  <c r="CY618" i="42385"/>
  <c r="BM1579" i="42385"/>
  <c r="Y108" i="42408"/>
  <c r="BX771" i="42385"/>
  <c r="AJ377" i="42385"/>
  <c r="AI376" i="42385"/>
  <c r="BC484" i="42385"/>
  <c r="BB483" i="42385"/>
  <c r="K35" i="42405"/>
  <c r="J41" i="42405"/>
  <c r="BI107" i="42385"/>
  <c r="BI114" i="42385" s="1"/>
  <c r="BJ1553" i="42385"/>
  <c r="CX47" i="42385"/>
  <c r="BJ50" i="42385"/>
  <c r="AT93" i="42385"/>
  <c r="AT1619" i="42385"/>
  <c r="AT106" i="42385"/>
  <c r="BN371" i="42385"/>
  <c r="BO370" i="42385"/>
  <c r="BN219" i="42385"/>
  <c r="BO219" i="42385" s="1"/>
  <c r="BQ1509" i="42385"/>
  <c r="BP1511" i="42385"/>
  <c r="C55" i="42410"/>
  <c r="C58" i="42410"/>
  <c r="C60" i="42410" s="1"/>
  <c r="C54" i="42410"/>
  <c r="BW618" i="42385"/>
  <c r="BR230" i="42385"/>
  <c r="BT230" i="42385" s="1"/>
  <c r="BT618" i="42385"/>
  <c r="BY699" i="42385"/>
  <c r="BZ699" i="42385" s="1"/>
  <c r="CA699" i="42385" s="1"/>
  <c r="CB699" i="42385" s="1"/>
  <c r="CC699" i="42385" s="1"/>
  <c r="CD699" i="42385" s="1"/>
  <c r="CE699" i="42385" s="1"/>
  <c r="CF699" i="42385" s="1"/>
  <c r="GN530" i="42417"/>
  <c r="AP274" i="42385"/>
  <c r="CX370" i="42385"/>
  <c r="BJ371" i="42385"/>
  <c r="CX371" i="42385" s="1"/>
  <c r="BT697" i="42385"/>
  <c r="Y95" i="42408"/>
  <c r="AC116" i="42408"/>
  <c r="AC120" i="42408" s="1"/>
  <c r="BO1500" i="42385"/>
  <c r="BY677" i="42385"/>
  <c r="BZ677" i="42385" s="1"/>
  <c r="AG189" i="42385"/>
  <c r="AH189" i="42385" s="1"/>
  <c r="AI189" i="42385" s="1"/>
  <c r="AJ189" i="42385" s="1"/>
  <c r="AK189" i="42385" s="1"/>
  <c r="CR189" i="42385"/>
  <c r="F6" i="42470"/>
  <c r="F31" i="42470"/>
  <c r="K8" i="42470"/>
  <c r="BN1603" i="42385"/>
  <c r="BN1604" i="42385" s="1"/>
  <c r="BN1605" i="42385" s="1"/>
  <c r="BO1579" i="42385"/>
  <c r="BN1600" i="42385"/>
  <c r="BN1601" i="42385" s="1"/>
  <c r="BN1602" i="42385" s="1"/>
  <c r="BN1634" i="42385"/>
  <c r="BN1627" i="42385"/>
  <c r="AU1178" i="42385"/>
  <c r="CU1178" i="42385" s="1"/>
  <c r="CU1177" i="42385"/>
  <c r="I43" i="42405"/>
  <c r="I44" i="42405" s="1"/>
  <c r="I50" i="42405"/>
  <c r="BO233" i="42385"/>
  <c r="BN238" i="42385"/>
  <c r="BO238" i="42385" s="1"/>
  <c r="CY238" i="42385" s="1"/>
  <c r="BZ673" i="42385"/>
  <c r="CA661" i="42385"/>
  <c r="AC122" i="42408"/>
  <c r="BL1603" i="42385"/>
  <c r="BL1604" i="42385" s="1"/>
  <c r="BL1605" i="42385" s="1"/>
  <c r="BL1600" i="42385"/>
  <c r="BL1601" i="42385" s="1"/>
  <c r="BL1602" i="42385" s="1"/>
  <c r="BL1634" i="42385"/>
  <c r="AY1175" i="42385"/>
  <c r="AY1177" i="42385"/>
  <c r="AY1178" i="42385" s="1"/>
  <c r="CC165" i="42400"/>
  <c r="W377" i="42385"/>
  <c r="U376" i="42385"/>
  <c r="BN697" i="42385"/>
  <c r="BN283" i="42385"/>
  <c r="BO283" i="42385" s="1"/>
  <c r="BO1269" i="42385" s="1"/>
  <c r="BN696" i="42385"/>
  <c r="AW1181" i="42385"/>
  <c r="AW1183" i="42385"/>
  <c r="AW1184" i="42385" s="1"/>
  <c r="BA120" i="42385"/>
  <c r="BA122" i="42385"/>
  <c r="CF302" i="42385"/>
  <c r="CF248" i="42385" s="1"/>
  <c r="CE248" i="42385"/>
  <c r="AK956" i="42385"/>
  <c r="CS956" i="42385" s="1"/>
  <c r="CS954" i="42385"/>
  <c r="AK955" i="42385"/>
  <c r="CS955" i="42385" s="1"/>
  <c r="CS166" i="42385"/>
  <c r="AK134" i="42385"/>
  <c r="CS134" i="42385" s="1"/>
  <c r="AS1184" i="42385"/>
  <c r="Y20" i="42476"/>
  <c r="Y21" i="42476" s="1"/>
  <c r="BM1658" i="42385"/>
  <c r="BM94" i="42385"/>
  <c r="BV298" i="42400"/>
  <c r="BV895" i="42385" s="1"/>
  <c r="BV896" i="42385" s="1"/>
  <c r="AH373" i="42385"/>
  <c r="AH382" i="42385"/>
  <c r="T382" i="42385"/>
  <c r="T373" i="42385"/>
  <c r="V376" i="42385"/>
  <c r="BA487" i="42385"/>
  <c r="BA223" i="42385"/>
  <c r="BA489" i="42385"/>
  <c r="AT603" i="42385"/>
  <c r="AT274" i="42385"/>
  <c r="AU274" i="42385" s="1"/>
  <c r="AU601" i="42385"/>
  <c r="BI52" i="42385"/>
  <c r="BI51" i="42385"/>
  <c r="BI54" i="42385"/>
  <c r="BN51" i="42385"/>
  <c r="BX369" i="42385"/>
  <c r="BS370" i="42385"/>
  <c r="BT369" i="42385"/>
  <c r="CZ369" i="42385" s="1"/>
  <c r="AG375" i="42385"/>
  <c r="AG374" i="42385"/>
  <c r="D55" i="42410"/>
  <c r="D58" i="42410"/>
  <c r="D60" i="42410" s="1"/>
  <c r="D54" i="42410"/>
  <c r="AT1183" i="42385"/>
  <c r="AT1184" i="42385" s="1"/>
  <c r="AT1181" i="42385"/>
  <c r="AU1181" i="42385" s="1"/>
  <c r="CU1181" i="42385" s="1"/>
  <c r="EH445" i="42492"/>
  <c r="CY230" i="42385"/>
  <c r="BA1658" i="42385"/>
  <c r="M20" i="42476"/>
  <c r="AP602" i="42385"/>
  <c r="CT602" i="42385" s="1"/>
  <c r="CT601" i="42385"/>
  <c r="AT954" i="42385"/>
  <c r="AO955" i="42385"/>
  <c r="AO959" i="42385"/>
  <c r="AO961" i="42385" s="1"/>
  <c r="BS696" i="42385"/>
  <c r="BS283" i="42385"/>
  <c r="BT283" i="42385" s="1"/>
  <c r="BS697" i="42385"/>
  <c r="EG443" i="42492"/>
  <c r="CX219" i="42385"/>
  <c r="BX675" i="42385"/>
  <c r="AX1180" i="42385"/>
  <c r="AW416" i="42385"/>
  <c r="AV417" i="42385"/>
  <c r="AV1530" i="42385"/>
  <c r="AZ596" i="42385"/>
  <c r="CV596" i="42385" s="1"/>
  <c r="CV594" i="42385"/>
  <c r="AZ595" i="42385"/>
  <c r="CV595" i="42385" s="1"/>
  <c r="F52" i="42405"/>
  <c r="H54" i="42405"/>
  <c r="H55" i="42405" s="1"/>
  <c r="I55" i="42405" s="1"/>
  <c r="BP94" i="42385"/>
  <c r="BP1658" i="42385"/>
  <c r="AB20" i="42476"/>
  <c r="AB21" i="42476" s="1"/>
  <c r="AW93" i="42385"/>
  <c r="AW106" i="42385"/>
  <c r="AW114" i="42385" s="1"/>
  <c r="AW120" i="42385" s="1"/>
  <c r="AW1619" i="42385"/>
  <c r="AX199" i="42385"/>
  <c r="AX205" i="42385" s="1"/>
  <c r="BD923" i="42385"/>
  <c r="AY924" i="42385"/>
  <c r="AY928" i="42385"/>
  <c r="AY930" i="42385" s="1"/>
  <c r="H27" i="42412"/>
  <c r="M1447" i="42385"/>
  <c r="M1478" i="42385" s="1"/>
  <c r="M1448" i="42385"/>
  <c r="M1479" i="42385" s="1"/>
  <c r="M1584" i="42385"/>
  <c r="M1445" i="42385"/>
  <c r="M1476" i="42385" s="1"/>
  <c r="AA77" i="42385"/>
  <c r="AA1514" i="42385"/>
  <c r="AA212" i="42385" s="1"/>
  <c r="CQ75" i="42385"/>
  <c r="AB1447" i="42385"/>
  <c r="AB1448" i="42385"/>
  <c r="AB1479" i="42385" s="1"/>
  <c r="AB1584" i="42385"/>
  <c r="AB1445" i="42385"/>
  <c r="AB1476" i="42385" s="1"/>
  <c r="BZ1111" i="42385"/>
  <c r="DA1111" i="42385"/>
  <c r="BI57" i="42418"/>
  <c r="BI58" i="42418" s="1"/>
  <c r="CB241" i="42385"/>
  <c r="CB828" i="42385"/>
  <c r="BL57" i="42418"/>
  <c r="CM197" i="42385"/>
  <c r="BD479" i="42385"/>
  <c r="BC1139" i="42385"/>
  <c r="CX166" i="42385"/>
  <c r="BJ134" i="42385"/>
  <c r="CX134" i="42385" s="1"/>
  <c r="BX1457" i="42385"/>
  <c r="BW1488" i="42385"/>
  <c r="AL27" i="42476"/>
  <c r="AL28" i="42476" s="1"/>
  <c r="DB101" i="42385"/>
  <c r="CA101" i="42385"/>
  <c r="AO933" i="42385"/>
  <c r="AO931" i="42385"/>
  <c r="AO932" i="42385"/>
  <c r="AO297" i="42385"/>
  <c r="AP930" i="42385"/>
  <c r="AT1531" i="42385"/>
  <c r="AT811" i="42385"/>
  <c r="AV810" i="42385"/>
  <c r="CA95" i="42400"/>
  <c r="CA101" i="42400" s="1"/>
  <c r="CA833" i="42385" s="1"/>
  <c r="BU298" i="42400"/>
  <c r="BU895" i="42385" s="1"/>
  <c r="P1591" i="42385"/>
  <c r="P1592" i="42385" s="1"/>
  <c r="P1583" i="42385"/>
  <c r="P1631" i="42385"/>
  <c r="P1634" i="42385"/>
  <c r="P1632" i="42385"/>
  <c r="BV284" i="42385"/>
  <c r="BV718" i="42385"/>
  <c r="BV719" i="42385"/>
  <c r="CW1563" i="42385"/>
  <c r="BE1591" i="42385"/>
  <c r="CO75" i="42385"/>
  <c r="Q77" i="42385"/>
  <c r="Q1514" i="42385"/>
  <c r="Q212" i="42385" s="1"/>
  <c r="CF883" i="42385"/>
  <c r="CE276" i="42400"/>
  <c r="CE296" i="42400" s="1"/>
  <c r="CE884" i="42385"/>
  <c r="BW298" i="42400"/>
  <c r="BW895" i="42385" s="1"/>
  <c r="BW896" i="42385" s="1"/>
  <c r="BA777" i="42385"/>
  <c r="AY1540" i="42385"/>
  <c r="AZ1540" i="42385" s="1"/>
  <c r="CV1540" i="42385" s="1"/>
  <c r="AY778" i="42385"/>
  <c r="AZ777" i="42385"/>
  <c r="CN1569" i="42385"/>
  <c r="L1572" i="42385"/>
  <c r="BW834" i="42385"/>
  <c r="AU801" i="42385"/>
  <c r="CU801" i="42385" s="1"/>
  <c r="CU799" i="42385"/>
  <c r="AU800" i="42385"/>
  <c r="CU800" i="42385" s="1"/>
  <c r="BR299" i="42385"/>
  <c r="BR994" i="42385"/>
  <c r="BR993" i="42385"/>
  <c r="BD1660" i="42385"/>
  <c r="P34" i="42476"/>
  <c r="BD1583" i="42385"/>
  <c r="AV93" i="42385"/>
  <c r="AV106" i="42385"/>
  <c r="AV114" i="42385" s="1"/>
  <c r="AV120" i="42385" s="1"/>
  <c r="AV1619" i="42385"/>
  <c r="AT932" i="42385"/>
  <c r="AT297" i="42385"/>
  <c r="AT931" i="42385"/>
  <c r="AT933" i="42385"/>
  <c r="BD1181" i="42385"/>
  <c r="BD1183" i="42385"/>
  <c r="BD1184" i="42385" s="1"/>
  <c r="CY1164" i="42385"/>
  <c r="BO1166" i="42385"/>
  <c r="AV1614" i="42385"/>
  <c r="AW1613" i="42385"/>
  <c r="AU965" i="42385"/>
  <c r="AV965" i="42385"/>
  <c r="AT1539" i="42385"/>
  <c r="AU1539" i="42385" s="1"/>
  <c r="CU1539" i="42385" s="1"/>
  <c r="AT966" i="42385"/>
  <c r="CN75" i="42385"/>
  <c r="L77" i="42385"/>
  <c r="L1514" i="42385"/>
  <c r="L212" i="42385" s="1"/>
  <c r="BZ298" i="42400"/>
  <c r="BZ895" i="42385" s="1"/>
  <c r="DB462" i="42385"/>
  <c r="CA462" i="42385"/>
  <c r="CD395" i="42385"/>
  <c r="CC398" i="42385"/>
  <c r="CZ231" i="42385"/>
  <c r="EI446" i="42492"/>
  <c r="CX130" i="42385"/>
  <c r="BO131" i="42385"/>
  <c r="BJ118" i="42385"/>
  <c r="CX118" i="42385" s="1"/>
  <c r="BJ133" i="42385"/>
  <c r="CY990" i="42385"/>
  <c r="BO992" i="42385"/>
  <c r="AN1357" i="42385"/>
  <c r="AM1364" i="42385"/>
  <c r="CB291" i="42400"/>
  <c r="CB292" i="42400"/>
  <c r="CB289" i="42400"/>
  <c r="CB279" i="42400"/>
  <c r="CB288" i="42400"/>
  <c r="CB290" i="42400"/>
  <c r="CB281" i="42400"/>
  <c r="CB283" i="42400"/>
  <c r="CB280" i="42400"/>
  <c r="CB282" i="42400"/>
  <c r="CU1083" i="42385"/>
  <c r="AV1083" i="42385"/>
  <c r="BJ994" i="42385"/>
  <c r="CX994" i="42385" s="1"/>
  <c r="BJ997" i="42385"/>
  <c r="CX997" i="42385" s="1"/>
  <c r="BJ993" i="42385"/>
  <c r="CX993" i="42385" s="1"/>
  <c r="CX992" i="42385"/>
  <c r="Q1572" i="42385"/>
  <c r="CO1569" i="42385"/>
  <c r="CZ576" i="42385"/>
  <c r="GD483" i="42464"/>
  <c r="BE1406" i="42385"/>
  <c r="CW1402" i="42385"/>
  <c r="BE1564" i="42385"/>
  <c r="CY469" i="42385"/>
  <c r="BO471" i="42385"/>
  <c r="CY471" i="42385" s="1"/>
  <c r="BO470" i="42385"/>
  <c r="CY470" i="42385" s="1"/>
  <c r="AB405" i="42385"/>
  <c r="AB406" i="42385"/>
  <c r="AZ759" i="42385"/>
  <c r="CV759" i="42385" s="1"/>
  <c r="CV758" i="42385"/>
  <c r="BK1497" i="42385"/>
  <c r="BL1399" i="42385"/>
  <c r="BL1497" i="42385" s="1"/>
  <c r="DC241" i="42385"/>
  <c r="N1584" i="42385"/>
  <c r="N1447" i="42385"/>
  <c r="N1478" i="42385" s="1"/>
  <c r="N1448" i="42385"/>
  <c r="N1479" i="42385" s="1"/>
  <c r="N1445" i="42385"/>
  <c r="N1476" i="42385" s="1"/>
  <c r="S1445" i="42385"/>
  <c r="S1476" i="42385" s="1"/>
  <c r="S1448" i="42385"/>
  <c r="S1479" i="42385" s="1"/>
  <c r="S1584" i="42385"/>
  <c r="S1447" i="42385"/>
  <c r="S1478" i="42385" s="1"/>
  <c r="BW714" i="42385"/>
  <c r="BY710" i="42385"/>
  <c r="BW234" i="42385"/>
  <c r="BY234" i="42385" s="1"/>
  <c r="DA234" i="42385" s="1"/>
  <c r="BW717" i="42385"/>
  <c r="AU811" i="42385"/>
  <c r="CU811" i="42385" s="1"/>
  <c r="CU810" i="42385"/>
  <c r="AY800" i="42385"/>
  <c r="BD799" i="42385"/>
  <c r="AY804" i="42385"/>
  <c r="AZ799" i="42385"/>
  <c r="BT986" i="42385"/>
  <c r="CZ986" i="42385" s="1"/>
  <c r="CZ985" i="42385"/>
  <c r="BT987" i="42385"/>
  <c r="CZ987" i="42385" s="1"/>
  <c r="BT990" i="42385"/>
  <c r="K1278" i="42385"/>
  <c r="K79" i="42385"/>
  <c r="K92" i="42385" s="1"/>
  <c r="K90" i="42385"/>
  <c r="CX1436" i="42385"/>
  <c r="BK1436" i="42385"/>
  <c r="BL1436" i="42385" s="1"/>
  <c r="BM1436" i="42385" s="1"/>
  <c r="BN1436" i="42385" s="1"/>
  <c r="BO1436" i="42385" s="1"/>
  <c r="Z1632" i="42385"/>
  <c r="Z1583" i="42385"/>
  <c r="Z1594" i="42385"/>
  <c r="Z1595" i="42385" s="1"/>
  <c r="Z1631" i="42385"/>
  <c r="Z1591" i="42385"/>
  <c r="Z1592" i="42385" s="1"/>
  <c r="Z1634" i="42385"/>
  <c r="Z1586" i="42385"/>
  <c r="Z1587" i="42385" s="1"/>
  <c r="BM736" i="42385"/>
  <c r="BN736" i="42385"/>
  <c r="BO718" i="42385"/>
  <c r="BK736" i="42385"/>
  <c r="BL736" i="42385"/>
  <c r="CY717" i="42385"/>
  <c r="BO719" i="42385"/>
  <c r="CY719" i="42385" s="1"/>
  <c r="CY647" i="42385"/>
  <c r="BO648" i="42385"/>
  <c r="CY648" i="42385" s="1"/>
  <c r="AB93" i="42385"/>
  <c r="AB106" i="42385"/>
  <c r="AB114" i="42385" s="1"/>
  <c r="AB120" i="42385" s="1"/>
  <c r="AB1656" i="42385" s="1"/>
  <c r="AB1619" i="42385"/>
  <c r="AC199" i="42385"/>
  <c r="AC205" i="42385" s="1"/>
  <c r="AD199" i="42385"/>
  <c r="AD205" i="42385" s="1"/>
  <c r="CC827" i="42385"/>
  <c r="CC83" i="42400"/>
  <c r="CD824" i="42385"/>
  <c r="R1445" i="42385"/>
  <c r="R1476" i="42385" s="1"/>
  <c r="R1447" i="42385"/>
  <c r="R1478" i="42385" s="1"/>
  <c r="R1584" i="42385"/>
  <c r="R1448" i="42385"/>
  <c r="R1479" i="42385" s="1"/>
  <c r="BR281" i="42385"/>
  <c r="BT647" i="42385"/>
  <c r="BR648" i="42385"/>
  <c r="BW231" i="42385"/>
  <c r="BY231" i="42385" s="1"/>
  <c r="BY640" i="42385"/>
  <c r="BW647" i="42385"/>
  <c r="BW644" i="42385"/>
  <c r="BR441" i="42385"/>
  <c r="BR268" i="42385"/>
  <c r="BR442" i="42385"/>
  <c r="BX775" i="42385"/>
  <c r="BX776" i="42385"/>
  <c r="BX287" i="42385"/>
  <c r="CC888" i="42385"/>
  <c r="CC889" i="42385" s="1"/>
  <c r="CD886" i="42385"/>
  <c r="CC275" i="42400"/>
  <c r="CA285" i="42400"/>
  <c r="CA294" i="42400"/>
  <c r="AE408" i="42385"/>
  <c r="AF408" i="42385" s="1"/>
  <c r="CR408" i="42385" s="1"/>
  <c r="AD407" i="42385"/>
  <c r="AO900" i="42385"/>
  <c r="BR1484" i="42385"/>
  <c r="BS1384" i="42385"/>
  <c r="BT1384" i="42385" s="1"/>
  <c r="BY715" i="42385"/>
  <c r="DA715" i="42385" s="1"/>
  <c r="DA713" i="42385"/>
  <c r="BZ713" i="42385"/>
  <c r="B34" i="42403"/>
  <c r="BU1551" i="42385"/>
  <c r="BV576" i="42385"/>
  <c r="BA1538" i="42385"/>
  <c r="BB758" i="42385"/>
  <c r="BA759" i="42385"/>
  <c r="AV1183" i="42385"/>
  <c r="AV1184" i="42385" s="1"/>
  <c r="AV1181" i="42385"/>
  <c r="BT711" i="42385"/>
  <c r="CZ711" i="42385" s="1"/>
  <c r="CZ710" i="42385"/>
  <c r="BT714" i="42385"/>
  <c r="CZ714" i="42385" s="1"/>
  <c r="CY231" i="42385"/>
  <c r="EH446" i="42492"/>
  <c r="B29" i="42403"/>
  <c r="B30" i="42403" s="1"/>
  <c r="B31" i="42403" s="1"/>
  <c r="BU1481" i="42385"/>
  <c r="X90" i="42385"/>
  <c r="AB199" i="42385" s="1"/>
  <c r="AB205" i="42385" s="1"/>
  <c r="X1278" i="42385"/>
  <c r="X79" i="42385"/>
  <c r="X92" i="42385" s="1"/>
  <c r="AT806" i="42385"/>
  <c r="BY985" i="42385"/>
  <c r="BW986" i="42385"/>
  <c r="BW990" i="42385"/>
  <c r="BW992" i="42385" s="1"/>
  <c r="AC1448" i="42385"/>
  <c r="AC1479" i="42385" s="1"/>
  <c r="AC1445" i="42385"/>
  <c r="AC1476" i="42385" s="1"/>
  <c r="AC1447" i="42385"/>
  <c r="AC1478" i="42385" s="1"/>
  <c r="AC1584" i="42385"/>
  <c r="AD1447" i="42385"/>
  <c r="AD1478" i="42385" s="1"/>
  <c r="AD1445" i="42385"/>
  <c r="AD1476" i="42385" s="1"/>
  <c r="AD1584" i="42385"/>
  <c r="AD1446" i="42385"/>
  <c r="AD1477" i="42385" s="1"/>
  <c r="AD1448" i="42385"/>
  <c r="AD1479" i="42385" s="1"/>
  <c r="BW1480" i="42385"/>
  <c r="BX1380" i="42385"/>
  <c r="BY1380" i="42385" s="1"/>
  <c r="BV287" i="42385"/>
  <c r="BV776" i="42385"/>
  <c r="BV775" i="42385"/>
  <c r="CQ1569" i="42385"/>
  <c r="AA1572" i="42385"/>
  <c r="CN197" i="42385"/>
  <c r="BH996" i="42385"/>
  <c r="BH1549" i="42385"/>
  <c r="BI995" i="42385"/>
  <c r="BH997" i="42385"/>
  <c r="BS993" i="42385"/>
  <c r="BS994" i="42385"/>
  <c r="BS299" i="42385"/>
  <c r="H16" i="42412"/>
  <c r="BA934" i="42385"/>
  <c r="AZ934" i="42385"/>
  <c r="AY935" i="42385"/>
  <c r="AY1533" i="42385"/>
  <c r="AZ1533" i="42385" s="1"/>
  <c r="CV1533" i="42385" s="1"/>
  <c r="AB1642" i="42385"/>
  <c r="AB1301" i="42385"/>
  <c r="AB1330" i="42385" s="1"/>
  <c r="CB92" i="42400"/>
  <c r="CB91" i="42400"/>
  <c r="CB97" i="42400"/>
  <c r="CB90" i="42400"/>
  <c r="CB88" i="42400"/>
  <c r="CB93" i="42400"/>
  <c r="CB87" i="42400"/>
  <c r="CB89" i="42400"/>
  <c r="CE664" i="42385"/>
  <c r="CD681" i="42385"/>
  <c r="BT641" i="42385"/>
  <c r="CZ641" i="42385" s="1"/>
  <c r="CZ640" i="42385"/>
  <c r="L36" i="42405"/>
  <c r="K34" i="42405"/>
  <c r="K37" i="42405" s="1"/>
  <c r="O1278" i="42385"/>
  <c r="O79" i="42385"/>
  <c r="O92" i="42385" s="1"/>
  <c r="O90" i="42385"/>
  <c r="CB243" i="42385"/>
  <c r="CB890" i="42385"/>
  <c r="BI8" i="42418"/>
  <c r="BL8" i="42418"/>
  <c r="AC414" i="42385"/>
  <c r="AC404" i="42385"/>
  <c r="BX986" i="42385"/>
  <c r="DB833" i="42385"/>
  <c r="BZ834" i="42385"/>
  <c r="DB834" i="42385" s="1"/>
  <c r="AS1554" i="42385"/>
  <c r="BG1382" i="42385"/>
  <c r="BG1482" i="42385" s="1"/>
  <c r="BF1563" i="42385"/>
  <c r="BF1402" i="42385"/>
  <c r="DC1239" i="42385"/>
  <c r="CB1239" i="42385"/>
  <c r="CC1239" i="42385" s="1"/>
  <c r="CD1239" i="42385" s="1"/>
  <c r="CE1239" i="42385" s="1"/>
  <c r="CF1239" i="42385" s="1"/>
  <c r="BC1445" i="42385"/>
  <c r="BC1448" i="42385"/>
  <c r="BC1479" i="42385" s="1"/>
  <c r="BC1446" i="42385"/>
  <c r="K1583" i="42385"/>
  <c r="K1631" i="42385"/>
  <c r="K1591" i="42385"/>
  <c r="K1592" i="42385" s="1"/>
  <c r="K1632" i="42385"/>
  <c r="K1634" i="42385"/>
  <c r="BO1160" i="42385"/>
  <c r="CY1160" i="42385" s="1"/>
  <c r="CY1159" i="42385"/>
  <c r="BO1161" i="42385"/>
  <c r="CY1161" i="42385" s="1"/>
  <c r="O1584" i="42385"/>
  <c r="O1448" i="42385"/>
  <c r="O1479" i="42385" s="1"/>
  <c r="O1447" i="42385"/>
  <c r="O1478" i="42385" s="1"/>
  <c r="O1445" i="42385"/>
  <c r="O1476" i="42385" s="1"/>
  <c r="BR719" i="42385"/>
  <c r="BT717" i="42385"/>
  <c r="BR718" i="42385"/>
  <c r="BR284" i="42385"/>
  <c r="BT284" i="42385" s="1"/>
  <c r="CZ284" i="42385" s="1"/>
  <c r="CY79" i="42385"/>
  <c r="BO92" i="42385"/>
  <c r="CY92" i="42385" s="1"/>
  <c r="BO90" i="42385"/>
  <c r="BO1648" i="42385"/>
  <c r="O942" i="42385"/>
  <c r="O943" i="42385" s="1"/>
  <c r="CC158" i="42400"/>
  <c r="O910" i="42385"/>
  <c r="O765" i="42385"/>
  <c r="E93" i="42385"/>
  <c r="E1619" i="42385"/>
  <c r="E106" i="42385"/>
  <c r="I199" i="42385"/>
  <c r="I205" i="42385" s="1"/>
  <c r="H199" i="42385"/>
  <c r="H205" i="42385" s="1"/>
  <c r="CC859" i="42385"/>
  <c r="CC242" i="42385"/>
  <c r="BI1380" i="42385"/>
  <c r="BG286" i="42385"/>
  <c r="BJ286" i="42385" s="1"/>
  <c r="CX286" i="42385" s="1"/>
  <c r="BG757" i="42385"/>
  <c r="BG756" i="42385"/>
  <c r="BJ755" i="42385"/>
  <c r="AO128" i="42385"/>
  <c r="AO1558" i="42385"/>
  <c r="AO259" i="42385"/>
  <c r="BC246" i="42424"/>
  <c r="AE95" i="42424"/>
  <c r="CW755" i="42385"/>
  <c r="BE756" i="42385"/>
  <c r="CW756" i="42385" s="1"/>
  <c r="BE757" i="42385"/>
  <c r="CW757" i="42385" s="1"/>
  <c r="O848" i="42385"/>
  <c r="O708" i="42385"/>
  <c r="CB71" i="42400"/>
  <c r="CM77" i="42385"/>
  <c r="G79" i="42385"/>
  <c r="G90" i="42385"/>
  <c r="BF800" i="42385"/>
  <c r="BK799" i="42385"/>
  <c r="BF804" i="42385"/>
  <c r="BF806" i="42385" s="1"/>
  <c r="AP839" i="42385"/>
  <c r="CT839" i="42385" s="1"/>
  <c r="AP838" i="42385"/>
  <c r="CT838" i="42385" s="1"/>
  <c r="CT837" i="42385"/>
  <c r="AP840" i="42385"/>
  <c r="CT840" i="42385" s="1"/>
  <c r="GN518" i="42417"/>
  <c r="AP294" i="42385"/>
  <c r="G1583" i="42385"/>
  <c r="G1632" i="42385"/>
  <c r="CM1632" i="42385" s="1"/>
  <c r="CM1572" i="42385"/>
  <c r="G1591" i="42385"/>
  <c r="G1631" i="42385"/>
  <c r="CM1631" i="42385" s="1"/>
  <c r="G1634" i="42385"/>
  <c r="CM1634" i="42385" s="1"/>
  <c r="CE855" i="42385"/>
  <c r="CD59" i="42400"/>
  <c r="CD858" i="42385"/>
  <c r="I54" i="42405"/>
  <c r="AQ602" i="42385"/>
  <c r="BQ751" i="42385"/>
  <c r="BL755" i="42385"/>
  <c r="BL752" i="42385"/>
  <c r="BO751" i="42385"/>
  <c r="BD246" i="42424"/>
  <c r="CN239" i="42417"/>
  <c r="AP128" i="42385"/>
  <c r="CT128" i="42385" s="1"/>
  <c r="AP259" i="42385"/>
  <c r="CT259" i="42385" s="1"/>
  <c r="AF136" i="42424"/>
  <c r="CT258" i="42385"/>
  <c r="BK321" i="42424"/>
  <c r="AF127" i="42424"/>
  <c r="AF128" i="42424" s="1"/>
  <c r="AP1558" i="42385"/>
  <c r="CT1558" i="42385" s="1"/>
  <c r="P783" i="42385"/>
  <c r="P326" i="42385"/>
  <c r="Q326" i="42385" s="1"/>
  <c r="CO326" i="42385" s="1"/>
  <c r="P388" i="42385"/>
  <c r="Q388" i="42385" s="1"/>
  <c r="CO388" i="42385" s="1"/>
  <c r="P360" i="42385"/>
  <c r="Q360" i="42385" s="1"/>
  <c r="CO360" i="42385" s="1"/>
  <c r="P705" i="42385"/>
  <c r="Q705" i="42385" s="1"/>
  <c r="CO705" i="42385" s="1"/>
  <c r="P907" i="42385"/>
  <c r="Q907" i="42385" s="1"/>
  <c r="CO907" i="42385" s="1"/>
  <c r="Q320" i="42385"/>
  <c r="P1081" i="42385"/>
  <c r="Q1081" i="42385" s="1"/>
  <c r="CO1081" i="42385" s="1"/>
  <c r="P1000" i="42385"/>
  <c r="Q1000" i="42385" s="1"/>
  <c r="CO1000" i="42385" s="1"/>
  <c r="P876" i="42385"/>
  <c r="Q876" i="42385" s="1"/>
  <c r="CO876" i="42385" s="1"/>
  <c r="P743" i="42385"/>
  <c r="Q743" i="42385" s="1"/>
  <c r="CO743" i="42385" s="1"/>
  <c r="P1138" i="42385"/>
  <c r="Q1138" i="42385" s="1"/>
  <c r="CO1138" i="42385" s="1"/>
  <c r="P762" i="42385"/>
  <c r="Q762" i="42385" s="1"/>
  <c r="CO762" i="42385" s="1"/>
  <c r="P814" i="42385"/>
  <c r="Q814" i="42385" s="1"/>
  <c r="CO814" i="42385" s="1"/>
  <c r="P845" i="42385"/>
  <c r="Q845" i="42385" s="1"/>
  <c r="CO845" i="42385" s="1"/>
  <c r="P938" i="42385"/>
  <c r="Q938" i="42385" s="1"/>
  <c r="CO938" i="42385" s="1"/>
  <c r="P478" i="42385"/>
  <c r="Q478" i="42385" s="1"/>
  <c r="CO478" i="42385" s="1"/>
  <c r="P879" i="42385"/>
  <c r="P880" i="42385" s="1"/>
  <c r="P881" i="42385" s="1"/>
  <c r="P391" i="42385"/>
  <c r="O391" i="42385"/>
  <c r="P481" i="42385"/>
  <c r="O481" i="42385"/>
  <c r="BA808" i="42385"/>
  <c r="BA807" i="42385"/>
  <c r="BA293" i="42385"/>
  <c r="BA809" i="42385"/>
  <c r="CC66" i="42400"/>
  <c r="CC64" i="42400"/>
  <c r="CC67" i="42400"/>
  <c r="CC69" i="42400"/>
  <c r="CC63" i="42400"/>
  <c r="CC65" i="42400"/>
  <c r="CC68" i="42400"/>
  <c r="O329" i="42385"/>
  <c r="CW744" i="42385"/>
  <c r="BF744" i="42385"/>
  <c r="O1084" i="42385"/>
  <c r="P1084" i="42385"/>
  <c r="P1085" i="42385" s="1"/>
  <c r="P1086" i="42385" s="1"/>
  <c r="O1141" i="42385"/>
  <c r="O817" i="42385"/>
  <c r="BR1235" i="42385"/>
  <c r="BQ1236" i="42385"/>
  <c r="BJ752" i="42385"/>
  <c r="CX752" i="42385" s="1"/>
  <c r="BJ753" i="42385"/>
  <c r="CX753" i="42385" s="1"/>
  <c r="CX751" i="42385"/>
  <c r="BL93" i="42418"/>
  <c r="BI93" i="42418"/>
  <c r="H11" i="42433"/>
  <c r="H13" i="42433" s="1"/>
  <c r="H14" i="42433"/>
  <c r="D14" i="42433"/>
  <c r="H15" i="42433" s="1"/>
  <c r="BU1222" i="42385"/>
  <c r="DA1218" i="42385"/>
  <c r="GC535" i="42464"/>
  <c r="GC534" i="42464" s="1"/>
  <c r="GC538" i="42464" s="1"/>
  <c r="GC541" i="42464" s="1"/>
  <c r="GC507" i="42464"/>
  <c r="GC506" i="42464" s="1"/>
  <c r="GC510" i="42464" s="1"/>
  <c r="GC513" i="42464" s="1"/>
  <c r="T1301" i="42385"/>
  <c r="T1330" i="42385" s="1"/>
  <c r="T1642" i="42385"/>
  <c r="V1278" i="42385"/>
  <c r="AX295" i="42385"/>
  <c r="AX871" i="42385"/>
  <c r="AX870" i="42385"/>
  <c r="AX869" i="42385"/>
  <c r="BY312" i="42385"/>
  <c r="BZ1371" i="42385"/>
  <c r="DA1371" i="42385"/>
  <c r="U1445" i="42385"/>
  <c r="U1448" i="42385"/>
  <c r="U1447" i="42385"/>
  <c r="U1584" i="42385"/>
  <c r="AE1632" i="42385"/>
  <c r="AE1583" i="42385"/>
  <c r="AE1594" i="42385"/>
  <c r="AE1595" i="42385" s="1"/>
  <c r="AE1634" i="42385"/>
  <c r="AE1631" i="42385"/>
  <c r="AE1591" i="42385"/>
  <c r="AE1592" i="42385" s="1"/>
  <c r="AE1586" i="42385"/>
  <c r="AE1587" i="42385" s="1"/>
  <c r="AL1437" i="42385"/>
  <c r="CS1437" i="42385"/>
  <c r="AZ134" i="42385"/>
  <c r="CV134" i="42385" s="1"/>
  <c r="CV166" i="42385"/>
  <c r="U199" i="42385"/>
  <c r="U1658" i="42385"/>
  <c r="Z94" i="42385"/>
  <c r="BJ1272" i="42385"/>
  <c r="CX1272" i="42385" s="1"/>
  <c r="CX1270" i="42385"/>
  <c r="AU173" i="42385"/>
  <c r="CT173" i="42385"/>
  <c r="AQ173" i="42385"/>
  <c r="AR173" i="42385" s="1"/>
  <c r="AS173" i="42385" s="1"/>
  <c r="AT173" i="42385" s="1"/>
  <c r="W1476" i="42385"/>
  <c r="BC862" i="42385"/>
  <c r="BH861" i="42385"/>
  <c r="BC866" i="42385"/>
  <c r="BC868" i="42385" s="1"/>
  <c r="BH1181" i="42385"/>
  <c r="BH1183" i="42385"/>
  <c r="BH1184" i="42385" s="1"/>
  <c r="BO574" i="42385"/>
  <c r="CY574" i="42385" s="1"/>
  <c r="CY573" i="42385"/>
  <c r="BO578" i="42385"/>
  <c r="CY578" i="42385" s="1"/>
  <c r="AM93" i="42385"/>
  <c r="AM106" i="42385"/>
  <c r="AM114" i="42385" s="1"/>
  <c r="AM120" i="42385" s="1"/>
  <c r="AM1619" i="42385"/>
  <c r="AM199" i="42385"/>
  <c r="AM205" i="42385" s="1"/>
  <c r="AV930" i="42385"/>
  <c r="CD161" i="42400"/>
  <c r="CD155" i="42400"/>
  <c r="CD163" i="42400"/>
  <c r="CD162" i="42400"/>
  <c r="CD156" i="42400"/>
  <c r="V90" i="42385"/>
  <c r="CP77" i="42385"/>
  <c r="V79" i="42385"/>
  <c r="AE79" i="42385"/>
  <c r="AE1278" i="42385"/>
  <c r="CS188" i="42385"/>
  <c r="AL188" i="42385"/>
  <c r="AM188" i="42385" s="1"/>
  <c r="AN188" i="42385" s="1"/>
  <c r="AO188" i="42385" s="1"/>
  <c r="AP188" i="42385" s="1"/>
  <c r="AX1121" i="42385"/>
  <c r="AW1124" i="42385"/>
  <c r="AW1552" i="42385" s="1"/>
  <c r="BV1481" i="42385"/>
  <c r="BW1381" i="42385"/>
  <c r="AI1584" i="42385"/>
  <c r="AI1445" i="42385"/>
  <c r="AI1476" i="42385" s="1"/>
  <c r="AI1446" i="42385"/>
  <c r="AI1477" i="42385" s="1"/>
  <c r="AI1448" i="42385"/>
  <c r="AI1479" i="42385" s="1"/>
  <c r="AH1445" i="42385"/>
  <c r="AH1476" i="42385" s="1"/>
  <c r="AH1446" i="42385"/>
  <c r="AH1477" i="42385" s="1"/>
  <c r="AH1448" i="42385"/>
  <c r="AH1479" i="42385" s="1"/>
  <c r="AH1584" i="42385"/>
  <c r="GM521" i="42417"/>
  <c r="AP295" i="42385"/>
  <c r="T93" i="42385"/>
  <c r="T1619" i="42385"/>
  <c r="W1620" i="42385" s="1"/>
  <c r="W1627" i="42385" s="1"/>
  <c r="W1628" i="42385" s="1"/>
  <c r="T106" i="42385"/>
  <c r="T199" i="42385"/>
  <c r="T205" i="42385" s="1"/>
  <c r="BU1377" i="42385"/>
  <c r="CZ1377" i="42385"/>
  <c r="CF100" i="42385"/>
  <c r="CF1321" i="42385" s="1"/>
  <c r="CF1643" i="42385" s="1"/>
  <c r="CE1321" i="42385"/>
  <c r="CE1643" i="42385" s="1"/>
  <c r="BF923" i="42385"/>
  <c r="BA928" i="42385"/>
  <c r="BA924" i="42385"/>
  <c r="CF979" i="42385"/>
  <c r="CE151" i="42400"/>
  <c r="BY313" i="42385"/>
  <c r="BZ313" i="42385" s="1"/>
  <c r="CA313" i="42385" s="1"/>
  <c r="CB313" i="42385" s="1"/>
  <c r="CC313" i="42385" s="1"/>
  <c r="CD313" i="42385" s="1"/>
  <c r="CE313" i="42385" s="1"/>
  <c r="CF313" i="42385" s="1"/>
  <c r="BT313" i="42385"/>
  <c r="AK1432" i="42385"/>
  <c r="CS1432" i="42385" s="1"/>
  <c r="BB1585" i="42385"/>
  <c r="BB1586" i="42385" s="1"/>
  <c r="BB1587" i="42385" s="1"/>
  <c r="BC1582" i="42385"/>
  <c r="CA1398" i="42385"/>
  <c r="DB1398" i="42385"/>
  <c r="Y1501" i="42385"/>
  <c r="W1479" i="42385"/>
  <c r="DA706" i="42385"/>
  <c r="BZ706" i="42385"/>
  <c r="B61" i="42406"/>
  <c r="B56" i="42406" s="1"/>
  <c r="CP182" i="42385"/>
  <c r="W182" i="42385"/>
  <c r="X182" i="42385" s="1"/>
  <c r="Y182" i="42385" s="1"/>
  <c r="Z182" i="42385" s="1"/>
  <c r="AA182" i="42385" s="1"/>
  <c r="X1501" i="42385"/>
  <c r="CR75" i="42385"/>
  <c r="B11" i="42465"/>
  <c r="AF77" i="42385"/>
  <c r="AF1514" i="42385"/>
  <c r="AF212" i="42385" s="1"/>
  <c r="CT868" i="42385"/>
  <c r="AP869" i="42385"/>
  <c r="CT869" i="42385" s="1"/>
  <c r="AP870" i="42385"/>
  <c r="CT870" i="42385" s="1"/>
  <c r="AP871" i="42385"/>
  <c r="CT871" i="42385" s="1"/>
  <c r="GC486" i="42464"/>
  <c r="GC494" i="42464" s="1"/>
  <c r="DA1113" i="42385"/>
  <c r="BZ1113" i="42385"/>
  <c r="BY1115" i="42385"/>
  <c r="BK1486" i="42385"/>
  <c r="BO1486" i="42385" s="1"/>
  <c r="CY1486" i="42385" s="1"/>
  <c r="CX1386" i="42385"/>
  <c r="T1501" i="42385"/>
  <c r="AF1572" i="42385"/>
  <c r="CR1569" i="42385"/>
  <c r="AJ1431" i="42385"/>
  <c r="AK1439" i="42385"/>
  <c r="CS1439" i="42385" s="1"/>
  <c r="AQ933" i="42385"/>
  <c r="AQ932" i="42385"/>
  <c r="AU930" i="42385"/>
  <c r="AQ931" i="42385"/>
  <c r="AQ297" i="42385"/>
  <c r="V1631" i="42385"/>
  <c r="CP1631" i="42385" s="1"/>
  <c r="V1583" i="42385"/>
  <c r="V1634" i="42385"/>
  <c r="CP1634" i="42385" s="1"/>
  <c r="V1632" i="42385"/>
  <c r="CP1632" i="42385" s="1"/>
  <c r="V1591" i="42385"/>
  <c r="CP1572" i="42385"/>
  <c r="W1478" i="42385"/>
  <c r="AG1446" i="42385"/>
  <c r="AG1448" i="42385"/>
  <c r="AG1445" i="42385"/>
  <c r="AG1584" i="42385"/>
  <c r="CZ1115" i="42385"/>
  <c r="BT1116" i="42385"/>
  <c r="CZ1116" i="42385" s="1"/>
  <c r="BI1180" i="42385"/>
  <c r="AI1434" i="42385"/>
  <c r="BJ1301" i="42385"/>
  <c r="CX1278" i="42385"/>
  <c r="BJ1642" i="42385"/>
  <c r="CX1642" i="42385" s="1"/>
  <c r="BQ1222" i="42385"/>
  <c r="BJ1119" i="42385"/>
  <c r="AW258" i="42385"/>
  <c r="AU257" i="42385"/>
  <c r="AU258" i="42385" s="1"/>
  <c r="AS258" i="42385"/>
  <c r="C63" i="42406"/>
  <c r="CV1177" i="42385"/>
  <c r="AZ1178" i="42385"/>
  <c r="CV1178" i="42385" s="1"/>
  <c r="CV707" i="42385"/>
  <c r="BA707" i="42385"/>
  <c r="BY117" i="42385"/>
  <c r="DA117" i="42385" s="1"/>
  <c r="CE908" i="42385"/>
  <c r="AV171" i="42385"/>
  <c r="AW171" i="42385" s="1"/>
  <c r="AX171" i="42385" s="1"/>
  <c r="AY171" i="42385" s="1"/>
  <c r="AZ171" i="42385"/>
  <c r="CU171" i="42385"/>
  <c r="CB1122" i="42385"/>
  <c r="CC1122" i="42385" s="1"/>
  <c r="CD1122" i="42385" s="1"/>
  <c r="CE1122" i="42385" s="1"/>
  <c r="CF1122" i="42385" s="1"/>
  <c r="DC1122" i="42385"/>
  <c r="CV1106" i="42385"/>
  <c r="AZ1107" i="42385"/>
  <c r="E52" i="42406"/>
  <c r="E53" i="42406" s="1"/>
  <c r="D53" i="42406"/>
  <c r="AQ177" i="42385"/>
  <c r="AR177" i="42385" s="1"/>
  <c r="AS177" i="42385" s="1"/>
  <c r="AT177" i="42385" s="1"/>
  <c r="AU177" i="42385"/>
  <c r="CT177" i="42385"/>
  <c r="BB964" i="42385"/>
  <c r="BB962" i="42385"/>
  <c r="BB298" i="42385"/>
  <c r="BB963" i="42385"/>
  <c r="CT1361" i="42385"/>
  <c r="AQ1361" i="42385"/>
  <c r="CB1389" i="42385"/>
  <c r="AV1558" i="42385"/>
  <c r="AV259" i="42385"/>
  <c r="AV128" i="42385"/>
  <c r="CY1147" i="42385"/>
  <c r="BP1147" i="42385"/>
  <c r="AX1558" i="42385"/>
  <c r="B70" i="42406"/>
  <c r="B71" i="42406" s="1"/>
  <c r="B72" i="42406" s="1"/>
  <c r="AV601" i="42385"/>
  <c r="CP169" i="42385"/>
  <c r="W169" i="42385"/>
  <c r="B30" i="42406"/>
  <c r="B34" i="42406"/>
  <c r="B29" i="42406"/>
  <c r="BH165" i="42417" s="1"/>
  <c r="B31" i="42406"/>
  <c r="E33" i="42406" s="1"/>
  <c r="E35" i="42406" s="1"/>
  <c r="E38" i="42406" s="1"/>
  <c r="E39" i="42406" s="1"/>
  <c r="E40" i="42406" s="1"/>
  <c r="BJ165" i="42417" s="1"/>
  <c r="F18" i="42417"/>
  <c r="CU165" i="42385"/>
  <c r="AU166" i="42385"/>
  <c r="N94" i="42385"/>
  <c r="N1658" i="42385"/>
  <c r="S94" i="42385"/>
  <c r="BK122" i="42385"/>
  <c r="BK120" i="42385"/>
  <c r="BA409" i="42385"/>
  <c r="CV409" i="42385"/>
  <c r="CE970" i="42385"/>
  <c r="BB1118" i="42385"/>
  <c r="BL93" i="42385"/>
  <c r="BL1620" i="42385"/>
  <c r="BL1627" i="42385" s="1"/>
  <c r="BL106" i="42385"/>
  <c r="BL114" i="42385" s="1"/>
  <c r="BM199" i="42385"/>
  <c r="BM205" i="42385" s="1"/>
  <c r="BL199" i="42385"/>
  <c r="BL205" i="42385" s="1"/>
  <c r="BP199" i="42385"/>
  <c r="BP205" i="42385" s="1"/>
  <c r="BN199" i="42385"/>
  <c r="BF93" i="42385"/>
  <c r="BF106" i="42385"/>
  <c r="BF114" i="42385" s="1"/>
  <c r="BF1620" i="42385"/>
  <c r="BF1627" i="42385" s="1"/>
  <c r="BF1628" i="42385" s="1"/>
  <c r="BI199" i="42385"/>
  <c r="CE523" i="42385"/>
  <c r="BA179" i="42385"/>
  <c r="BB179" i="42385" s="1"/>
  <c r="BC179" i="42385" s="1"/>
  <c r="BD179" i="42385" s="1"/>
  <c r="BE179" i="42385"/>
  <c r="CV179" i="42385"/>
  <c r="CY1278" i="42385"/>
  <c r="BO1642" i="42385"/>
  <c r="CY1642" i="42385" s="1"/>
  <c r="BO1301" i="42385"/>
  <c r="N180" i="42385"/>
  <c r="CF361" i="42385"/>
  <c r="AQ170" i="42385"/>
  <c r="AR170" i="42385" s="1"/>
  <c r="AS170" i="42385" s="1"/>
  <c r="AT170" i="42385" s="1"/>
  <c r="CT170" i="42385"/>
  <c r="AU170" i="42385"/>
  <c r="AU178" i="42385"/>
  <c r="AQ178" i="42385"/>
  <c r="AR178" i="42385" s="1"/>
  <c r="AS178" i="42385" s="1"/>
  <c r="AT178" i="42385" s="1"/>
  <c r="CT178" i="42385"/>
  <c r="CD1391" i="42385"/>
  <c r="CD1491" i="42385" s="1"/>
  <c r="CE390" i="42385"/>
  <c r="AJ120" i="42385"/>
  <c r="B27" i="42406"/>
  <c r="N114" i="42385"/>
  <c r="CX401" i="42385"/>
  <c r="BJ402" i="42385"/>
  <c r="CX402" i="42385" s="1"/>
  <c r="CE495" i="42385"/>
  <c r="DB1120" i="42385"/>
  <c r="CA1120" i="42385"/>
  <c r="BA1106" i="42385"/>
  <c r="AY1107" i="42385"/>
  <c r="AY256" i="42385" s="1"/>
  <c r="AZ256" i="42385" s="1"/>
  <c r="BR402" i="42385"/>
  <c r="BO401" i="42385"/>
  <c r="BM220" i="42385"/>
  <c r="BM402" i="42385"/>
  <c r="CX1604" i="42385"/>
  <c r="BJ1605" i="42385"/>
  <c r="CX1605" i="42385" s="1"/>
  <c r="EF444" i="42492"/>
  <c r="CW220" i="42385"/>
  <c r="BA961" i="42385"/>
  <c r="BZ1344" i="42385"/>
  <c r="DA1344" i="42385"/>
  <c r="AV962" i="42385"/>
  <c r="AV298" i="42385"/>
  <c r="AV964" i="42385"/>
  <c r="AV963" i="42385"/>
  <c r="CV1180" i="42385"/>
  <c r="AZ1181" i="42385"/>
  <c r="CV1181" i="42385" s="1"/>
  <c r="AZ1183" i="42385"/>
  <c r="AW809" i="42385"/>
  <c r="AW808" i="42385"/>
  <c r="BI1301" i="42385"/>
  <c r="BI1330" i="42385" s="1"/>
  <c r="BI1642" i="42385"/>
  <c r="BY1287" i="42385"/>
  <c r="DA1287" i="42385" s="1"/>
  <c r="DB218" i="42385"/>
  <c r="AU14" i="42385"/>
  <c r="BN187" i="42417"/>
  <c r="BO187" i="42417" s="1"/>
  <c r="BX1256" i="42385"/>
  <c r="BW1258" i="42385"/>
  <c r="BK745" i="42385"/>
  <c r="CX745" i="42385"/>
  <c r="BJ220" i="42385"/>
  <c r="BD1506" i="42385"/>
  <c r="AZ1506" i="42385"/>
  <c r="CV1506" i="42385" s="1"/>
  <c r="BV990" i="42385" l="1"/>
  <c r="BV992" i="42385" s="1"/>
  <c r="BV299" i="42385" s="1"/>
  <c r="BX990" i="42385"/>
  <c r="BX992" i="42385" s="1"/>
  <c r="BU989" i="42385"/>
  <c r="BU990" i="42385"/>
  <c r="BU992" i="42385" s="1"/>
  <c r="BU993" i="42385" s="1"/>
  <c r="BV994" i="42385"/>
  <c r="DC341" i="42385"/>
  <c r="CA218" i="42385"/>
  <c r="CA342" i="42385"/>
  <c r="DC342" i="42385" s="1"/>
  <c r="DC340" i="42385"/>
  <c r="CB340" i="42385"/>
  <c r="CA1073" i="42385"/>
  <c r="BZ1073" i="42385"/>
  <c r="C33" i="42408"/>
  <c r="EO517" i="42492"/>
  <c r="CA1077" i="42385"/>
  <c r="CA1074" i="42385"/>
  <c r="CA307" i="42385"/>
  <c r="CA22" i="42385" s="1"/>
  <c r="CA31" i="42385" s="1"/>
  <c r="DC795" i="42385"/>
  <c r="CB795" i="42385"/>
  <c r="CA796" i="42385"/>
  <c r="DB796" i="42385"/>
  <c r="BZ797" i="42385"/>
  <c r="DB797" i="42385" s="1"/>
  <c r="BZ240" i="42385"/>
  <c r="DB240" i="42385" s="1"/>
  <c r="V62" i="42492"/>
  <c r="V64" i="42492" s="1"/>
  <c r="V65" i="42492" s="1"/>
  <c r="BY693" i="42385"/>
  <c r="BY695" i="42385" s="1"/>
  <c r="BY696" i="42385" s="1"/>
  <c r="BY676" i="42385"/>
  <c r="AD113" i="42408"/>
  <c r="AD122" i="42408" s="1"/>
  <c r="CB75" i="42400"/>
  <c r="CB864" i="42385" s="1"/>
  <c r="CB865" i="42385" s="1"/>
  <c r="AV294" i="42385"/>
  <c r="BW650" i="42385"/>
  <c r="CU861" i="42385"/>
  <c r="AW1534" i="42385"/>
  <c r="AW1028" i="42385"/>
  <c r="AX1027" i="42385"/>
  <c r="BH1456" i="42385"/>
  <c r="BG1487" i="42385"/>
  <c r="AW838" i="42385"/>
  <c r="AW840" i="42385"/>
  <c r="AW839" i="42385"/>
  <c r="AW294" i="42385"/>
  <c r="BB122" i="42385"/>
  <c r="BB120" i="42385"/>
  <c r="BG830" i="42385"/>
  <c r="BB831" i="42385"/>
  <c r="BB835" i="42385"/>
  <c r="BB837" i="42385" s="1"/>
  <c r="EJ444" i="42492"/>
  <c r="DA220" i="42385"/>
  <c r="DB400" i="42385"/>
  <c r="CA400" i="42385"/>
  <c r="BZ401" i="42385"/>
  <c r="BP653" i="42385"/>
  <c r="BP656" i="42385" s="1"/>
  <c r="BP657" i="42385" s="1"/>
  <c r="BP658" i="42385" s="1"/>
  <c r="BQ654" i="42385"/>
  <c r="BG94" i="42385"/>
  <c r="N20" i="42476"/>
  <c r="S21" i="42476" s="1"/>
  <c r="BB1658" i="42385"/>
  <c r="H193" i="42385"/>
  <c r="I191" i="42385"/>
  <c r="AH94" i="42385"/>
  <c r="AC1658" i="42385"/>
  <c r="BY402" i="42385"/>
  <c r="DA402" i="42385" s="1"/>
  <c r="DA401" i="42385"/>
  <c r="BF199" i="42385"/>
  <c r="BF205" i="42385" s="1"/>
  <c r="AZ861" i="42385"/>
  <c r="CV861" i="42385" s="1"/>
  <c r="BE1104" i="42385"/>
  <c r="CW1104" i="42385" s="1"/>
  <c r="BC1590" i="42385"/>
  <c r="BC1592" i="42385" s="1"/>
  <c r="BB1593" i="42385"/>
  <c r="BB1594" i="42385" s="1"/>
  <c r="BB1595" i="42385" s="1"/>
  <c r="AC623" i="42385"/>
  <c r="AC622" i="42385"/>
  <c r="AX1529" i="42385"/>
  <c r="AY903" i="42385"/>
  <c r="AX904" i="42385"/>
  <c r="BA842" i="42385"/>
  <c r="BB841" i="42385"/>
  <c r="BA1532" i="42385"/>
  <c r="BA720" i="42385"/>
  <c r="AY1536" i="42385"/>
  <c r="AZ1536" i="42385" s="1"/>
  <c r="CV1536" i="42385" s="1"/>
  <c r="AZ720" i="42385"/>
  <c r="AY721" i="42385"/>
  <c r="BA1541" i="42385"/>
  <c r="BB384" i="42385"/>
  <c r="BA385" i="42385"/>
  <c r="BT650" i="42385"/>
  <c r="CZ650" i="42385" s="1"/>
  <c r="BM1104" i="42385"/>
  <c r="BJ1104" i="42385"/>
  <c r="CX1104" i="42385" s="1"/>
  <c r="AE624" i="42385"/>
  <c r="AG625" i="42385"/>
  <c r="AF625" i="42385"/>
  <c r="CR625" i="42385" s="1"/>
  <c r="CC670" i="42385"/>
  <c r="CB683" i="42385"/>
  <c r="BA632" i="42385"/>
  <c r="BB631" i="42385"/>
  <c r="BA1543" i="42385"/>
  <c r="BC1658" i="42385"/>
  <c r="O20" i="42476"/>
  <c r="T21" i="42476" s="1"/>
  <c r="BH94" i="42385"/>
  <c r="AD622" i="42385"/>
  <c r="AD623" i="42385"/>
  <c r="AI93" i="42385"/>
  <c r="AI106" i="42385"/>
  <c r="AI114" i="42385" s="1"/>
  <c r="AI120" i="42385" s="1"/>
  <c r="AI1619" i="42385"/>
  <c r="AL1620" i="42385" s="1"/>
  <c r="AL1627" i="42385" s="1"/>
  <c r="AL1628" i="42385" s="1"/>
  <c r="AL199" i="42385"/>
  <c r="AL205" i="42385" s="1"/>
  <c r="BV281" i="42385"/>
  <c r="BV648" i="42385"/>
  <c r="BC122" i="42385"/>
  <c r="BC120" i="42385"/>
  <c r="AW293" i="42385"/>
  <c r="U1620" i="42385"/>
  <c r="CS1583" i="42385"/>
  <c r="AK1584" i="42385"/>
  <c r="CS1584" i="42385" s="1"/>
  <c r="CS1278" i="42385"/>
  <c r="C41" i="42465"/>
  <c r="AK1301" i="42385"/>
  <c r="AK1642" i="42385"/>
  <c r="CS1642" i="42385" s="1"/>
  <c r="AK90" i="42385"/>
  <c r="AK1648" i="42385"/>
  <c r="CS79" i="42385"/>
  <c r="AK92" i="42385"/>
  <c r="CS92" i="42385" s="1"/>
  <c r="CS1586" i="42385"/>
  <c r="AK1587" i="42385"/>
  <c r="CS1587" i="42385" s="1"/>
  <c r="AK1595" i="42385"/>
  <c r="CS1595" i="42385" s="1"/>
  <c r="CS1594" i="42385"/>
  <c r="AJ199" i="42385"/>
  <c r="AG106" i="42385"/>
  <c r="AG1619" i="42385"/>
  <c r="AG93" i="42385"/>
  <c r="AG94" i="42385" s="1"/>
  <c r="CS1591" i="42385"/>
  <c r="AK1592" i="42385"/>
  <c r="CS1592" i="42385" s="1"/>
  <c r="AZ862" i="42385"/>
  <c r="CV862" i="42385" s="1"/>
  <c r="AZ863" i="42385"/>
  <c r="CV863" i="42385" s="1"/>
  <c r="BX1373" i="42385"/>
  <c r="BW1375" i="42385"/>
  <c r="AX259" i="42385"/>
  <c r="DC864" i="42385"/>
  <c r="AZ613" i="42385"/>
  <c r="BA613" i="42385"/>
  <c r="BC613" i="42385" s="1"/>
  <c r="EJ447" i="42492"/>
  <c r="BI1483" i="42385"/>
  <c r="BJ1483" i="42385" s="1"/>
  <c r="CX1483" i="42385" s="1"/>
  <c r="AS809" i="42385"/>
  <c r="AS293" i="42385"/>
  <c r="AS808" i="42385"/>
  <c r="AS807" i="42385"/>
  <c r="BB804" i="42385"/>
  <c r="BB806" i="42385" s="1"/>
  <c r="BB808" i="42385" s="1"/>
  <c r="BG799" i="42385"/>
  <c r="BB800" i="42385"/>
  <c r="AT294" i="42385"/>
  <c r="AT839" i="42385"/>
  <c r="AT840" i="42385"/>
  <c r="AT838" i="42385"/>
  <c r="BT1386" i="42385"/>
  <c r="BS1563" i="42385"/>
  <c r="BS1593" i="42385" s="1"/>
  <c r="BZ31" i="42385"/>
  <c r="AU804" i="42385"/>
  <c r="CU804" i="42385" s="1"/>
  <c r="AO296" i="42385"/>
  <c r="AY835" i="42385"/>
  <c r="AY837" i="42385" s="1"/>
  <c r="BD830" i="42385"/>
  <c r="AY831" i="42385"/>
  <c r="BS1486" i="42385"/>
  <c r="BT1486" i="42385" s="1"/>
  <c r="CZ1486" i="42385" s="1"/>
  <c r="AO901" i="42385"/>
  <c r="BE830" i="42385"/>
  <c r="AU835" i="42385"/>
  <c r="CU835" i="42385" s="1"/>
  <c r="BI1485" i="42385"/>
  <c r="BJ1485" i="42385" s="1"/>
  <c r="CX1485" i="42385" s="1"/>
  <c r="AN293" i="42385"/>
  <c r="AN807" i="42385"/>
  <c r="AP806" i="42385"/>
  <c r="AN808" i="42385"/>
  <c r="AN809" i="42385"/>
  <c r="BD472" i="42385"/>
  <c r="BC473" i="42385"/>
  <c r="BC474" i="42385"/>
  <c r="BC475" i="42385" s="1"/>
  <c r="BC1547" i="42385"/>
  <c r="CX1383" i="42385"/>
  <c r="BK1483" i="42385"/>
  <c r="BO1483" i="42385" s="1"/>
  <c r="CY1483" i="42385" s="1"/>
  <c r="DC1103" i="42385"/>
  <c r="CB1103" i="42385"/>
  <c r="CC1103" i="42385" s="1"/>
  <c r="CD1103" i="42385" s="1"/>
  <c r="CE1103" i="42385" s="1"/>
  <c r="CF1103" i="42385" s="1"/>
  <c r="CB1414" i="42385"/>
  <c r="CC1414" i="42385" s="1"/>
  <c r="CD1414" i="42385" s="1"/>
  <c r="CE1414" i="42385" s="1"/>
  <c r="CF1414" i="42385" s="1"/>
  <c r="DC1414" i="42385"/>
  <c r="AX800" i="42385"/>
  <c r="AX804" i="42385"/>
  <c r="AX806" i="42385" s="1"/>
  <c r="BC799" i="42385"/>
  <c r="BU1485" i="42385"/>
  <c r="BV1385" i="42385"/>
  <c r="CX1385" i="42385"/>
  <c r="BK1485" i="42385"/>
  <c r="BO1485" i="42385" s="1"/>
  <c r="CY1485" i="42385" s="1"/>
  <c r="CT183" i="42385"/>
  <c r="AU183" i="42385"/>
  <c r="AQ183" i="42385"/>
  <c r="AR183" i="42385" s="1"/>
  <c r="AS183" i="42385" s="1"/>
  <c r="AT183" i="42385" s="1"/>
  <c r="BR1217" i="42385"/>
  <c r="BR1211" i="42385"/>
  <c r="BT1210" i="42385"/>
  <c r="BR1593" i="42385"/>
  <c r="BR1594" i="42385" s="1"/>
  <c r="BR1595" i="42385" s="1"/>
  <c r="BR1591" i="42385"/>
  <c r="BR1592" i="42385" s="1"/>
  <c r="BS282" i="42385"/>
  <c r="BS232" i="42385"/>
  <c r="P1141" i="42385"/>
  <c r="Q1141" i="42385" s="1"/>
  <c r="CO1141" i="42385" s="1"/>
  <c r="AU1523" i="42385"/>
  <c r="BJ1641" i="42385"/>
  <c r="CX1641" i="42385" s="1"/>
  <c r="CX1648" i="42385"/>
  <c r="BP648" i="42385"/>
  <c r="BP281" i="42385"/>
  <c r="BT281" i="42385" s="1"/>
  <c r="CZ281" i="42385" s="1"/>
  <c r="BJ106" i="42385"/>
  <c r="CX106" i="42385" s="1"/>
  <c r="CX90" i="42385"/>
  <c r="BJ1620" i="42385"/>
  <c r="N8" i="42472"/>
  <c r="N15" i="42472" s="1"/>
  <c r="BJ93" i="42385"/>
  <c r="AX598" i="42385"/>
  <c r="AW597" i="42385"/>
  <c r="AW599" i="42385" s="1"/>
  <c r="AW601" i="42385" s="1"/>
  <c r="Q391" i="42385"/>
  <c r="CO391" i="42385" s="1"/>
  <c r="AM345" i="42385"/>
  <c r="AR344" i="42385"/>
  <c r="AM346" i="42385"/>
  <c r="CW184" i="42385"/>
  <c r="BF184" i="42385"/>
  <c r="BG184" i="42385" s="1"/>
  <c r="BH184" i="42385" s="1"/>
  <c r="BI184" i="42385" s="1"/>
  <c r="BJ184" i="42385"/>
  <c r="BX286" i="42385"/>
  <c r="BX756" i="42385"/>
  <c r="BX757" i="42385"/>
  <c r="AV344" i="42385"/>
  <c r="AQ345" i="42385"/>
  <c r="AO347" i="42385"/>
  <c r="AO350" i="42385" s="1"/>
  <c r="AO352" i="42385" s="1"/>
  <c r="AP348" i="42385"/>
  <c r="CT348" i="42385" s="1"/>
  <c r="AQ348" i="42385"/>
  <c r="BT645" i="42385"/>
  <c r="CZ645" i="42385" s="1"/>
  <c r="CZ643" i="42385"/>
  <c r="BD344" i="42385"/>
  <c r="AY345" i="42385"/>
  <c r="BH344" i="42385"/>
  <c r="BC345" i="42385"/>
  <c r="BA356" i="42385"/>
  <c r="AY357" i="42385"/>
  <c r="AY1528" i="42385"/>
  <c r="AZ1528" i="42385" s="1"/>
  <c r="CV1528" i="42385" s="1"/>
  <c r="AO1375" i="42385"/>
  <c r="AO1424" i="42385" s="1"/>
  <c r="AP1373" i="42385"/>
  <c r="AP344" i="42385"/>
  <c r="CV356" i="42385"/>
  <c r="AZ357" i="42385"/>
  <c r="CV357" i="42385" s="1"/>
  <c r="AN350" i="42385"/>
  <c r="BY643" i="42385"/>
  <c r="BU647" i="42385"/>
  <c r="BU644" i="42385"/>
  <c r="CB450" i="42385"/>
  <c r="CC450" i="42385" s="1"/>
  <c r="CD450" i="42385" s="1"/>
  <c r="CE450" i="42385" s="1"/>
  <c r="CF450" i="42385" s="1"/>
  <c r="DC450" i="42385"/>
  <c r="AN959" i="42385"/>
  <c r="L894" i="42385"/>
  <c r="CN894" i="42385" s="1"/>
  <c r="L893" i="42385"/>
  <c r="CN893" i="42385" s="1"/>
  <c r="CN892" i="42385"/>
  <c r="Q894" i="42385"/>
  <c r="CO894" i="42385" s="1"/>
  <c r="AV839" i="42385"/>
  <c r="F22" i="42417"/>
  <c r="CV923" i="42385"/>
  <c r="W209" i="42385"/>
  <c r="AP954" i="42385"/>
  <c r="AP956" i="42385" s="1"/>
  <c r="CT956" i="42385" s="1"/>
  <c r="AV838" i="42385"/>
  <c r="AZ924" i="42385"/>
  <c r="CV924" i="42385" s="1"/>
  <c r="AZ928" i="42385"/>
  <c r="CV928" i="42385" s="1"/>
  <c r="BY927" i="42385"/>
  <c r="DA927" i="42385" s="1"/>
  <c r="CF334" i="42385"/>
  <c r="CF336" i="42385" s="1"/>
  <c r="CE336" i="42385"/>
  <c r="CE339" i="42385" s="1"/>
  <c r="BI1381" i="42385"/>
  <c r="BJ1381" i="42385" s="1"/>
  <c r="AU297" i="42385"/>
  <c r="FJ417" i="42417" s="1"/>
  <c r="AN955" i="42385"/>
  <c r="CW830" i="42385"/>
  <c r="BE832" i="42385"/>
  <c r="CW832" i="42385" s="1"/>
  <c r="BE831" i="42385"/>
  <c r="CW831" i="42385" s="1"/>
  <c r="CD1175" i="42385"/>
  <c r="CD69" i="42385" s="1"/>
  <c r="CE1174" i="42385"/>
  <c r="AX933" i="42385"/>
  <c r="AX297" i="42385"/>
  <c r="AX931" i="42385"/>
  <c r="AX932" i="42385"/>
  <c r="BE118" i="42385"/>
  <c r="CW130" i="42385"/>
  <c r="BE131" i="42385"/>
  <c r="BE133" i="42385"/>
  <c r="BA835" i="42385"/>
  <c r="BA837" i="42385" s="1"/>
  <c r="BA831" i="42385"/>
  <c r="BF830" i="42385"/>
  <c r="BC924" i="42385"/>
  <c r="BC928" i="42385"/>
  <c r="BC930" i="42385" s="1"/>
  <c r="BH923" i="42385"/>
  <c r="CU174" i="42385"/>
  <c r="AZ174" i="42385"/>
  <c r="AV174" i="42385"/>
  <c r="AW174" i="42385" s="1"/>
  <c r="AX174" i="42385" s="1"/>
  <c r="AY174" i="42385" s="1"/>
  <c r="AW902" i="42385"/>
  <c r="AW296" i="42385"/>
  <c r="AW901" i="42385"/>
  <c r="AW900" i="42385"/>
  <c r="AN899" i="42385"/>
  <c r="AP897" i="42385"/>
  <c r="CT897" i="42385" s="1"/>
  <c r="BE134" i="42385"/>
  <c r="CW134" i="42385" s="1"/>
  <c r="CW166" i="42385"/>
  <c r="CT181" i="42385"/>
  <c r="AU181" i="42385"/>
  <c r="AQ181" i="42385"/>
  <c r="AR181" i="42385" s="1"/>
  <c r="AS181" i="42385" s="1"/>
  <c r="AT181" i="42385" s="1"/>
  <c r="BB928" i="42385"/>
  <c r="BB930" i="42385" s="1"/>
  <c r="BG923" i="42385"/>
  <c r="BB924" i="42385"/>
  <c r="AP893" i="42385"/>
  <c r="CT893" i="42385" s="1"/>
  <c r="AP894" i="42385"/>
  <c r="CT894" i="42385" s="1"/>
  <c r="CT892" i="42385"/>
  <c r="BE923" i="42385"/>
  <c r="EI450" i="42492"/>
  <c r="CT186" i="42385"/>
  <c r="AQ186" i="42385"/>
  <c r="AR186" i="42385" s="1"/>
  <c r="AS186" i="42385" s="1"/>
  <c r="AT186" i="42385" s="1"/>
  <c r="AU186" i="42385"/>
  <c r="CB1110" i="42385"/>
  <c r="CC1110" i="42385" s="1"/>
  <c r="CD1110" i="42385" s="1"/>
  <c r="CE1110" i="42385" s="1"/>
  <c r="CF1110" i="42385" s="1"/>
  <c r="DC1110" i="42385"/>
  <c r="AZ175" i="42385"/>
  <c r="AV175" i="42385"/>
  <c r="AW175" i="42385" s="1"/>
  <c r="AX175" i="42385" s="1"/>
  <c r="AY175" i="42385" s="1"/>
  <c r="CU175" i="42385"/>
  <c r="AS480" i="42385"/>
  <c r="AR1140" i="42385"/>
  <c r="AU185" i="42385"/>
  <c r="CT185" i="42385"/>
  <c r="AQ185" i="42385"/>
  <c r="AR185" i="42385" s="1"/>
  <c r="AS185" i="42385" s="1"/>
  <c r="AT185" i="42385" s="1"/>
  <c r="BB897" i="42385"/>
  <c r="BB899" i="42385" s="1"/>
  <c r="BB893" i="42385"/>
  <c r="BG892" i="42385"/>
  <c r="AW932" i="42385"/>
  <c r="AW931" i="42385"/>
  <c r="AW933" i="42385"/>
  <c r="AW297" i="42385"/>
  <c r="AS893" i="42385"/>
  <c r="AX892" i="42385"/>
  <c r="AS897" i="42385"/>
  <c r="AU892" i="42385"/>
  <c r="AT897" i="42385"/>
  <c r="AT899" i="42385" s="1"/>
  <c r="AY892" i="42385"/>
  <c r="AT893" i="42385"/>
  <c r="CE45" i="42400"/>
  <c r="BZ148" i="42400"/>
  <c r="BZ926" i="42385" s="1"/>
  <c r="BZ927" i="42385" s="1"/>
  <c r="DB927" i="42385" s="1"/>
  <c r="AR870" i="42385"/>
  <c r="AR295" i="42385"/>
  <c r="AR869" i="42385"/>
  <c r="AR871" i="42385"/>
  <c r="BF892" i="42385"/>
  <c r="BA893" i="42385"/>
  <c r="BA897" i="42385"/>
  <c r="BA899" i="42385" s="1"/>
  <c r="BZ680" i="42385"/>
  <c r="BZ691" i="42385" s="1"/>
  <c r="DA1210" i="42385"/>
  <c r="DA1212" i="42385"/>
  <c r="DA1211" i="42385"/>
  <c r="DC1204" i="42385"/>
  <c r="DB1204" i="42385"/>
  <c r="DB1207" i="42385"/>
  <c r="AV862" i="42385"/>
  <c r="AV866" i="42385"/>
  <c r="BA861" i="42385"/>
  <c r="DB1199" i="42385"/>
  <c r="AV900" i="42385"/>
  <c r="AV296" i="42385"/>
  <c r="AV902" i="42385"/>
  <c r="AV901" i="42385"/>
  <c r="CC1194" i="42385"/>
  <c r="CB1195" i="42385"/>
  <c r="BB861" i="42385"/>
  <c r="AW866" i="42385"/>
  <c r="AW868" i="42385" s="1"/>
  <c r="AW862" i="42385"/>
  <c r="AQ868" i="42385"/>
  <c r="AU866" i="42385"/>
  <c r="CU866" i="42385" s="1"/>
  <c r="CU172" i="42385"/>
  <c r="AZ172" i="42385"/>
  <c r="AV172" i="42385"/>
  <c r="AW172" i="42385" s="1"/>
  <c r="AX172" i="42385" s="1"/>
  <c r="AY172" i="42385" s="1"/>
  <c r="DC1148" i="42385"/>
  <c r="CB1148" i="42385"/>
  <c r="CC1148" i="42385" s="1"/>
  <c r="CD1148" i="42385" s="1"/>
  <c r="CE1148" i="42385" s="1"/>
  <c r="CF1148" i="42385" s="1"/>
  <c r="CW187" i="42385"/>
  <c r="BF187" i="42385"/>
  <c r="BG187" i="42385" s="1"/>
  <c r="BH187" i="42385" s="1"/>
  <c r="BI187" i="42385" s="1"/>
  <c r="BJ187" i="42385"/>
  <c r="BW1383" i="42385"/>
  <c r="BB1445" i="42385"/>
  <c r="BB1446" i="42385"/>
  <c r="BB1448" i="42385"/>
  <c r="BB1479" i="42385" s="1"/>
  <c r="BC1601" i="42385"/>
  <c r="BC1602" i="42385" s="1"/>
  <c r="BC1604" i="42385"/>
  <c r="BC1605" i="42385" s="1"/>
  <c r="BA1448" i="42385"/>
  <c r="BA1479" i="42385" s="1"/>
  <c r="BA1446" i="42385"/>
  <c r="BA1445" i="42385"/>
  <c r="BA1584" i="42385"/>
  <c r="L75" i="42476"/>
  <c r="L78" i="42476" s="1"/>
  <c r="L81" i="42476" s="1"/>
  <c r="AY1642" i="42385"/>
  <c r="AY1301" i="42385"/>
  <c r="AY1330" i="42385" s="1"/>
  <c r="AZ1278" i="42385"/>
  <c r="BB1601" i="42385"/>
  <c r="BB1602" i="42385" s="1"/>
  <c r="BB1604" i="42385"/>
  <c r="BB1605" i="42385" s="1"/>
  <c r="AY1648" i="42385"/>
  <c r="AY1641" i="42385" s="1"/>
  <c r="AY90" i="42385"/>
  <c r="AY92" i="42385"/>
  <c r="BA1604" i="42385"/>
  <c r="BA1605" i="42385" s="1"/>
  <c r="BA1601" i="42385"/>
  <c r="BA1602" i="42385" s="1"/>
  <c r="AZ1572" i="42385"/>
  <c r="CV1569" i="42385"/>
  <c r="AY1586" i="42385"/>
  <c r="AY1587" i="42385" s="1"/>
  <c r="AY1594" i="42385"/>
  <c r="AY1595" i="42385" s="1"/>
  <c r="AY1591" i="42385"/>
  <c r="AY1592" i="42385" s="1"/>
  <c r="AY1634" i="42385"/>
  <c r="AY1583" i="42385"/>
  <c r="CC977" i="42385"/>
  <c r="CC152" i="42400"/>
  <c r="CC167" i="42400" s="1"/>
  <c r="CC169" i="42400" s="1"/>
  <c r="CC988" i="42385" s="1"/>
  <c r="CC989" i="42385" s="1"/>
  <c r="CD976" i="42385"/>
  <c r="CA137" i="42400"/>
  <c r="CA144" i="42400"/>
  <c r="BU148" i="42400"/>
  <c r="BU926" i="42385" s="1"/>
  <c r="BU927" i="42385" s="1"/>
  <c r="CB244" i="42385"/>
  <c r="CB921" i="42385"/>
  <c r="BI22" i="42418"/>
  <c r="BL22" i="42418"/>
  <c r="CD917" i="42385"/>
  <c r="CC130" i="42400"/>
  <c r="CC920" i="42385"/>
  <c r="CB134" i="42400"/>
  <c r="CB135" i="42400"/>
  <c r="CB141" i="42400"/>
  <c r="CB140" i="42400"/>
  <c r="CB142" i="42400"/>
  <c r="CD51" i="42400"/>
  <c r="CD802" i="42385" s="1"/>
  <c r="CD803" i="42385" s="1"/>
  <c r="CF790" i="42385"/>
  <c r="CF34" i="42400" s="1"/>
  <c r="CF49" i="42400" s="1"/>
  <c r="CE34" i="42400"/>
  <c r="CE49" i="42400" s="1"/>
  <c r="CF45" i="42400"/>
  <c r="BH199" i="42385"/>
  <c r="BH205" i="42385" s="1"/>
  <c r="R1501" i="42385"/>
  <c r="N1501" i="42385"/>
  <c r="AX1656" i="42385"/>
  <c r="AX121" i="42385"/>
  <c r="J48" i="42476"/>
  <c r="J50" i="42476" s="1"/>
  <c r="J20" i="42476"/>
  <c r="O21" i="42476" s="1"/>
  <c r="AX1658" i="42385"/>
  <c r="BC94" i="42385"/>
  <c r="CV77" i="42385"/>
  <c r="AZ79" i="42385"/>
  <c r="F13" i="42465"/>
  <c r="AH33" i="42464"/>
  <c r="AG41" i="42464"/>
  <c r="AD1501" i="42385"/>
  <c r="X199" i="42385"/>
  <c r="X205" i="42385" s="1"/>
  <c r="X211" i="42385" s="1"/>
  <c r="AD21" i="42476"/>
  <c r="AC114" i="42408"/>
  <c r="DB995" i="42385"/>
  <c r="BZ1549" i="42385"/>
  <c r="DB1549" i="42385" s="1"/>
  <c r="CA995" i="42385"/>
  <c r="BW1382" i="42385"/>
  <c r="BW1482" i="42385" s="1"/>
  <c r="AY445" i="42385"/>
  <c r="AY446" i="42385" s="1"/>
  <c r="AZ446" i="42385" s="1"/>
  <c r="CV446" i="42385" s="1"/>
  <c r="AY444" i="42385"/>
  <c r="AY1546" i="42385"/>
  <c r="AZ1546" i="42385" s="1"/>
  <c r="CV1546" i="42385" s="1"/>
  <c r="BD443" i="42385"/>
  <c r="BY749" i="42385"/>
  <c r="DA749" i="42385" s="1"/>
  <c r="BZ748" i="42385"/>
  <c r="DA748" i="42385"/>
  <c r="CV301" i="42385"/>
  <c r="FJ419" i="42417"/>
  <c r="G12" i="42464"/>
  <c r="GC456" i="42417"/>
  <c r="GG456" i="42417" s="1"/>
  <c r="BD199" i="42385"/>
  <c r="BD93" i="42385"/>
  <c r="BD106" i="42385"/>
  <c r="BD114" i="42385" s="1"/>
  <c r="BD1619" i="42385"/>
  <c r="BK445" i="42385"/>
  <c r="BK446" i="42385" s="1"/>
  <c r="BK444" i="42385"/>
  <c r="BP443" i="42385"/>
  <c r="BK1546" i="42385"/>
  <c r="BP995" i="42385"/>
  <c r="BN1549" i="42385"/>
  <c r="BO1549" i="42385" s="1"/>
  <c r="CY1549" i="42385" s="1"/>
  <c r="BN996" i="42385"/>
  <c r="BN997" i="42385"/>
  <c r="DC1213" i="42385"/>
  <c r="CB1213" i="42385"/>
  <c r="CC1213" i="42385" s="1"/>
  <c r="CD1213" i="42385" s="1"/>
  <c r="CE1213" i="42385" s="1"/>
  <c r="CF1213" i="42385" s="1"/>
  <c r="AG140" i="42492"/>
  <c r="AG145" i="42492" s="1"/>
  <c r="AH145" i="42492" s="1"/>
  <c r="AF145" i="42492"/>
  <c r="AF146" i="42492" s="1"/>
  <c r="BU757" i="42385"/>
  <c r="BU286" i="42385"/>
  <c r="BU756" i="42385"/>
  <c r="CF71" i="42385"/>
  <c r="CF1548" i="42385"/>
  <c r="BZ1102" i="42385"/>
  <c r="DA1102" i="42385"/>
  <c r="CZ236" i="42385"/>
  <c r="EI449" i="42492"/>
  <c r="AY1180" i="42385"/>
  <c r="BC444" i="42385"/>
  <c r="BC1546" i="42385"/>
  <c r="BC445" i="42385"/>
  <c r="BC446" i="42385" s="1"/>
  <c r="BH443" i="42385"/>
  <c r="BG444" i="42385"/>
  <c r="BL443" i="42385"/>
  <c r="BG1546" i="42385"/>
  <c r="BG445" i="42385"/>
  <c r="BG446" i="42385" s="1"/>
  <c r="CD1626" i="42385"/>
  <c r="BI1626" i="42385"/>
  <c r="BH1628" i="42385"/>
  <c r="CV1023" i="42385"/>
  <c r="AZ1024" i="42385"/>
  <c r="CV1024" i="42385" s="1"/>
  <c r="AZ1025" i="42385"/>
  <c r="CV1025" i="42385" s="1"/>
  <c r="AZ1026" i="42385"/>
  <c r="CV1026" i="42385" s="1"/>
  <c r="AX873" i="42385"/>
  <c r="AY872" i="42385"/>
  <c r="AX1535" i="42385"/>
  <c r="AV1523" i="42385"/>
  <c r="CU1523" i="42385"/>
  <c r="BE1301" i="42385"/>
  <c r="BE1642" i="42385"/>
  <c r="CW1642" i="42385" s="1"/>
  <c r="G41" i="42465"/>
  <c r="CW1278" i="42385"/>
  <c r="EJ449" i="42492"/>
  <c r="DA236" i="42385"/>
  <c r="AS1499" i="42385"/>
  <c r="AU1525" i="42385"/>
  <c r="CA764" i="42385"/>
  <c r="DB764" i="42385"/>
  <c r="BX1104" i="42385"/>
  <c r="BE1604" i="42385"/>
  <c r="BE1601" i="42385"/>
  <c r="BE1602" i="42385" s="1"/>
  <c r="BX1480" i="42385"/>
  <c r="BY1480" i="42385" s="1"/>
  <c r="DA1480" i="42385" s="1"/>
  <c r="IU770" i="42417"/>
  <c r="IR770" i="42417"/>
  <c r="IP772" i="42417"/>
  <c r="CU190" i="42385"/>
  <c r="AV190" i="42385"/>
  <c r="AW190" i="42385" s="1"/>
  <c r="AX190" i="42385" s="1"/>
  <c r="AY190" i="42385" s="1"/>
  <c r="AZ190" i="42385"/>
  <c r="BD612" i="42385"/>
  <c r="BD1139" i="42385" s="1"/>
  <c r="BB1139" i="42385"/>
  <c r="G13" i="42412"/>
  <c r="D35" i="42412"/>
  <c r="BU994" i="42385"/>
  <c r="M1658" i="42385"/>
  <c r="M94" i="42385"/>
  <c r="R94" i="42385"/>
  <c r="CA298" i="42400"/>
  <c r="CA895" i="42385" s="1"/>
  <c r="DC895" i="42385" s="1"/>
  <c r="EI456" i="42492"/>
  <c r="CZ246" i="42385"/>
  <c r="CE821" i="42385"/>
  <c r="CD84" i="42400"/>
  <c r="CD99" i="42400" s="1"/>
  <c r="DB1155" i="42385"/>
  <c r="CA1155" i="42385"/>
  <c r="CY774" i="42385"/>
  <c r="BO776" i="42385"/>
  <c r="CY776" i="42385" s="1"/>
  <c r="BO775" i="42385"/>
  <c r="CY775" i="42385" s="1"/>
  <c r="DA649" i="42385"/>
  <c r="BZ649" i="42385"/>
  <c r="BO185" i="42417"/>
  <c r="BN201" i="42417"/>
  <c r="BO201" i="42417" s="1"/>
  <c r="AX837" i="42385"/>
  <c r="BW237" i="42385"/>
  <c r="BY237" i="42385" s="1"/>
  <c r="DA237" i="42385" s="1"/>
  <c r="BW771" i="42385"/>
  <c r="BW774" i="42385"/>
  <c r="BY767" i="42385"/>
  <c r="AY870" i="42385"/>
  <c r="AY871" i="42385"/>
  <c r="AY869" i="42385"/>
  <c r="AY295" i="42385"/>
  <c r="CD852" i="42385"/>
  <c r="CC60" i="42400"/>
  <c r="CC73" i="42400" s="1"/>
  <c r="CD915" i="42385"/>
  <c r="CE914" i="42385"/>
  <c r="CD131" i="42400"/>
  <c r="CD146" i="42400" s="1"/>
  <c r="AL176" i="42385"/>
  <c r="AM176" i="42385" s="1"/>
  <c r="AN176" i="42385" s="1"/>
  <c r="AO176" i="42385" s="1"/>
  <c r="AP176" i="42385" s="1"/>
  <c r="CS176" i="42385"/>
  <c r="BI1400" i="42385"/>
  <c r="BJ1400" i="42385" s="1"/>
  <c r="BH830" i="42385"/>
  <c r="BC831" i="42385"/>
  <c r="BC835" i="42385"/>
  <c r="CZ767" i="42385"/>
  <c r="BT768" i="42385"/>
  <c r="CZ768" i="42385" s="1"/>
  <c r="DA763" i="42385"/>
  <c r="BZ763" i="42385"/>
  <c r="CC682" i="42385"/>
  <c r="CD701" i="42385"/>
  <c r="DA982" i="42385"/>
  <c r="BY983" i="42385"/>
  <c r="DA983" i="42385" s="1"/>
  <c r="BY996" i="42385"/>
  <c r="DA996" i="42385" s="1"/>
  <c r="S1501" i="42385"/>
  <c r="G40" i="42412"/>
  <c r="G24" i="42412"/>
  <c r="I22" i="42412"/>
  <c r="BV1478" i="42385"/>
  <c r="BW1378" i="42385"/>
  <c r="AG134" i="42492"/>
  <c r="AG136" i="42492" s="1"/>
  <c r="AH136" i="42492" s="1"/>
  <c r="AF136" i="42492"/>
  <c r="AF137" i="42492" s="1"/>
  <c r="CV830" i="42385"/>
  <c r="AZ832" i="42385"/>
  <c r="CV832" i="42385" s="1"/>
  <c r="AZ831" i="42385"/>
  <c r="CV831" i="42385" s="1"/>
  <c r="BR287" i="42385"/>
  <c r="BT287" i="42385" s="1"/>
  <c r="CZ287" i="42385" s="1"/>
  <c r="BR776" i="42385"/>
  <c r="BR775" i="42385"/>
  <c r="BT774" i="42385"/>
  <c r="BD866" i="42385"/>
  <c r="BD862" i="42385"/>
  <c r="BI861" i="42385"/>
  <c r="AS838" i="42385"/>
  <c r="AS294" i="42385"/>
  <c r="AS839" i="42385"/>
  <c r="AS840" i="42385"/>
  <c r="AU837" i="42385"/>
  <c r="BU11" i="42385"/>
  <c r="BY11" i="42385" s="1"/>
  <c r="DA11" i="42385" s="1"/>
  <c r="BY246" i="42385"/>
  <c r="DB981" i="42385"/>
  <c r="CA981" i="42385"/>
  <c r="BZ982" i="42385"/>
  <c r="BT771" i="42385"/>
  <c r="CZ771" i="42385" s="1"/>
  <c r="F47" i="42405"/>
  <c r="H47" i="42405" s="1"/>
  <c r="H52" i="42405"/>
  <c r="AT955" i="42385"/>
  <c r="AY954" i="42385"/>
  <c r="AT959" i="42385"/>
  <c r="AT961" i="42385" s="1"/>
  <c r="BX370" i="42385"/>
  <c r="BY369" i="42385"/>
  <c r="BA491" i="42385"/>
  <c r="BA490" i="42385"/>
  <c r="BA270" i="42385"/>
  <c r="V377" i="42385"/>
  <c r="CP377" i="42385" s="1"/>
  <c r="V382" i="42385"/>
  <c r="CP382" i="42385" s="1"/>
  <c r="CP376" i="42385"/>
  <c r="AH374" i="42385"/>
  <c r="AH375" i="42385"/>
  <c r="Z108" i="42408"/>
  <c r="BA121" i="42385"/>
  <c r="BA1656" i="42385"/>
  <c r="M48" i="42476"/>
  <c r="M50" i="42476" s="1"/>
  <c r="CY1269" i="42385"/>
  <c r="AE88" i="42470"/>
  <c r="O31" i="42470"/>
  <c r="T33" i="42470"/>
  <c r="N31" i="42470"/>
  <c r="CA677" i="42385"/>
  <c r="BZ674" i="42385"/>
  <c r="BZ675" i="42385" s="1"/>
  <c r="AC125" i="42408"/>
  <c r="CT274" i="42385"/>
  <c r="E22" i="42464"/>
  <c r="CZ230" i="42385"/>
  <c r="EI445" i="42492"/>
  <c r="EH443" i="42492"/>
  <c r="CY219" i="42385"/>
  <c r="BB487" i="42385"/>
  <c r="BB489" i="42385"/>
  <c r="BB223" i="42385"/>
  <c r="BB228" i="42385" s="1"/>
  <c r="CA770" i="42385"/>
  <c r="DB770" i="42385"/>
  <c r="BO1237" i="42385"/>
  <c r="BN1238" i="42385"/>
  <c r="BP1237" i="42385"/>
  <c r="BN1241" i="42385"/>
  <c r="BO1241" i="42385" s="1"/>
  <c r="AP959" i="42385"/>
  <c r="CT959" i="42385" s="1"/>
  <c r="AN961" i="42385"/>
  <c r="BN1265" i="42385"/>
  <c r="BM1262" i="42385"/>
  <c r="BM1493" i="42385" s="1"/>
  <c r="BM1266" i="42385"/>
  <c r="BM1263" i="42385" s="1"/>
  <c r="BM1553" i="42385" s="1"/>
  <c r="BM107" i="42385" s="1"/>
  <c r="BM114" i="42385" s="1"/>
  <c r="AX416" i="42385"/>
  <c r="AW417" i="42385"/>
  <c r="AW1530" i="42385"/>
  <c r="AU603" i="42385"/>
  <c r="CU603" i="42385" s="1"/>
  <c r="AU602" i="42385"/>
  <c r="CU602" i="42385" s="1"/>
  <c r="CU601" i="42385"/>
  <c r="Y375" i="42385"/>
  <c r="T375" i="42385"/>
  <c r="T374" i="42385"/>
  <c r="AY1183" i="42385"/>
  <c r="AY1184" i="42385" s="1"/>
  <c r="AY1181" i="42385"/>
  <c r="BO1603" i="42385"/>
  <c r="BO1600" i="42385"/>
  <c r="BO1601" i="42385" s="1"/>
  <c r="BO1602" i="42385" s="1"/>
  <c r="CY1579" i="42385"/>
  <c r="BO1634" i="42385"/>
  <c r="CY1634" i="42385" s="1"/>
  <c r="N6" i="42470"/>
  <c r="O6" i="42470"/>
  <c r="CY1500" i="42385"/>
  <c r="BO1575" i="42385"/>
  <c r="Y98" i="42408"/>
  <c r="Y101" i="42408" s="1"/>
  <c r="Y104" i="42408" s="1"/>
  <c r="Y107" i="42408"/>
  <c r="Y110" i="42408" s="1"/>
  <c r="BW230" i="42385"/>
  <c r="BY230" i="42385" s="1"/>
  <c r="BY618" i="42385"/>
  <c r="BP1500" i="42385"/>
  <c r="BP114" i="42385"/>
  <c r="BP118" i="42385"/>
  <c r="CY370" i="42385"/>
  <c r="BO371" i="42385"/>
  <c r="CY371" i="42385" s="1"/>
  <c r="AT1658" i="42385"/>
  <c r="F20" i="42476"/>
  <c r="BI122" i="42385"/>
  <c r="BI120" i="42385"/>
  <c r="BD484" i="42385"/>
  <c r="BC483" i="42385"/>
  <c r="Y93" i="42408"/>
  <c r="CB294" i="42400"/>
  <c r="AX1181" i="42385"/>
  <c r="AX1183" i="42385"/>
  <c r="AX1184" i="42385" s="1"/>
  <c r="AO963" i="42385"/>
  <c r="AO962" i="42385"/>
  <c r="AO298" i="42385"/>
  <c r="AO964" i="42385"/>
  <c r="D62" i="42410"/>
  <c r="D61" i="42410"/>
  <c r="BI55" i="42385"/>
  <c r="AB94" i="42492"/>
  <c r="BI56" i="42385"/>
  <c r="BN55" i="42385"/>
  <c r="BI1663" i="42385"/>
  <c r="CU274" i="42385"/>
  <c r="GP530" i="42417"/>
  <c r="F22" i="42464"/>
  <c r="BA228" i="42385"/>
  <c r="AU1183" i="42385"/>
  <c r="CU1183" i="42385" s="1"/>
  <c r="U373" i="42385"/>
  <c r="U382" i="42385"/>
  <c r="CA673" i="42385"/>
  <c r="CB661" i="42385"/>
  <c r="CA680" i="42385"/>
  <c r="CA691" i="42385" s="1"/>
  <c r="BR1509" i="42385"/>
  <c r="BS1509" i="42385" s="1"/>
  <c r="CX50" i="42385"/>
  <c r="BJ51" i="42385"/>
  <c r="CX51" i="42385" s="1"/>
  <c r="BJ54" i="42385"/>
  <c r="BO51" i="42385"/>
  <c r="CY51" i="42385" s="1"/>
  <c r="BJ52" i="42385"/>
  <c r="CX52" i="42385" s="1"/>
  <c r="HJ703" i="42464"/>
  <c r="HJ706" i="42464" s="1"/>
  <c r="HJ708" i="42464" s="1"/>
  <c r="HL715" i="42464" s="1"/>
  <c r="J50" i="42405"/>
  <c r="J43" i="42405"/>
  <c r="J44" i="42405" s="1"/>
  <c r="AI373" i="42385"/>
  <c r="AI382" i="42385"/>
  <c r="AR1001" i="42385"/>
  <c r="AQ1139" i="42385"/>
  <c r="AS955" i="42385"/>
  <c r="AU954" i="42385"/>
  <c r="AX954" i="42385"/>
  <c r="AS959" i="42385"/>
  <c r="CD158" i="42400"/>
  <c r="M1501" i="42385"/>
  <c r="BX233" i="42385"/>
  <c r="BY233" i="42385" s="1"/>
  <c r="BX676" i="42385"/>
  <c r="BX693" i="42385"/>
  <c r="BX695" i="42385" s="1"/>
  <c r="BS371" i="42385"/>
  <c r="BS219" i="42385"/>
  <c r="BT219" i="42385" s="1"/>
  <c r="BT370" i="42385"/>
  <c r="AU1184" i="42385"/>
  <c r="CU1184" i="42385" s="1"/>
  <c r="W376" i="42385"/>
  <c r="X377" i="42385"/>
  <c r="X376" i="42385" s="1"/>
  <c r="AL189" i="42385"/>
  <c r="AM189" i="42385" s="1"/>
  <c r="AN189" i="42385" s="1"/>
  <c r="AO189" i="42385" s="1"/>
  <c r="AP189" i="42385" s="1"/>
  <c r="CS189" i="42385"/>
  <c r="CZ618" i="42385"/>
  <c r="BT619" i="42385"/>
  <c r="CZ619" i="42385" s="1"/>
  <c r="C62" i="42410"/>
  <c r="C61" i="42410"/>
  <c r="BQ1511" i="42385"/>
  <c r="CW247" i="42417"/>
  <c r="CW252" i="42417" s="1"/>
  <c r="AT114" i="42385"/>
  <c r="AT120" i="42385" s="1"/>
  <c r="L35" i="42405"/>
  <c r="L41" i="42405" s="1"/>
  <c r="K41" i="42405"/>
  <c r="AJ376" i="42385"/>
  <c r="AK376" i="42385" s="1"/>
  <c r="AL377" i="42385"/>
  <c r="AL376" i="42385" s="1"/>
  <c r="BM1603" i="42385"/>
  <c r="BM1604" i="42385" s="1"/>
  <c r="BM1605" i="42385" s="1"/>
  <c r="BM1600" i="42385"/>
  <c r="BM1601" i="42385" s="1"/>
  <c r="BM1602" i="42385" s="1"/>
  <c r="BM1634" i="42385"/>
  <c r="BM1627" i="42385"/>
  <c r="CT954" i="42385"/>
  <c r="AB211" i="42385"/>
  <c r="AB209" i="42385"/>
  <c r="P329" i="42385"/>
  <c r="P330" i="42385" s="1"/>
  <c r="P331" i="42385" s="1"/>
  <c r="BO1641" i="42385"/>
  <c r="CY1641" i="42385" s="1"/>
  <c r="CY1648" i="42385"/>
  <c r="O1501" i="42385"/>
  <c r="K1584" i="42385"/>
  <c r="K1445" i="42385"/>
  <c r="K1448" i="42385"/>
  <c r="K1447" i="42385"/>
  <c r="BX299" i="42385"/>
  <c r="BX993" i="42385"/>
  <c r="BX994" i="42385"/>
  <c r="BL9" i="42418"/>
  <c r="BI9" i="42418"/>
  <c r="CV934" i="42385"/>
  <c r="AZ935" i="42385"/>
  <c r="CV935" i="42385" s="1"/>
  <c r="CQ1572" i="42385"/>
  <c r="AA1631" i="42385"/>
  <c r="CQ1631" i="42385" s="1"/>
  <c r="AA1583" i="42385"/>
  <c r="AA1632" i="42385"/>
  <c r="CQ1632" i="42385" s="1"/>
  <c r="AA1586" i="42385"/>
  <c r="AA1594" i="42385"/>
  <c r="AA1591" i="42385"/>
  <c r="AA1634" i="42385"/>
  <c r="CQ1634" i="42385" s="1"/>
  <c r="B35" i="42403"/>
  <c r="E34" i="42403"/>
  <c r="E35" i="42403" s="1"/>
  <c r="BU1384" i="42385"/>
  <c r="CZ1384" i="42385"/>
  <c r="CE886" i="42385"/>
  <c r="CD888" i="42385"/>
  <c r="CD889" i="42385" s="1"/>
  <c r="CD275" i="42400"/>
  <c r="AD209" i="42385"/>
  <c r="AD211" i="42385"/>
  <c r="CY718" i="42385"/>
  <c r="BO737" i="42385"/>
  <c r="BO729" i="42385" s="1"/>
  <c r="AY806" i="42385"/>
  <c r="AZ804" i="42385"/>
  <c r="CV804" i="42385" s="1"/>
  <c r="CW1406" i="42385"/>
  <c r="BE1424" i="42385"/>
  <c r="CW1424" i="42385" s="1"/>
  <c r="G29" i="42465"/>
  <c r="G33" i="42465" s="1"/>
  <c r="G35" i="42465" s="1"/>
  <c r="M19" i="42472"/>
  <c r="M22" i="42472" s="1"/>
  <c r="Q1631" i="42385"/>
  <c r="CO1631" i="42385" s="1"/>
  <c r="Q1591" i="42385"/>
  <c r="Q1632" i="42385"/>
  <c r="CO1632" i="42385" s="1"/>
  <c r="Q1583" i="42385"/>
  <c r="Q1634" i="42385"/>
  <c r="CO1634" i="42385" s="1"/>
  <c r="CO1572" i="42385"/>
  <c r="AW1083" i="42385"/>
  <c r="CB285" i="42400"/>
  <c r="CX133" i="42385"/>
  <c r="E11" i="42409"/>
  <c r="E13" i="42409" s="1"/>
  <c r="BZ896" i="42385"/>
  <c r="DB896" i="42385" s="1"/>
  <c r="DB895" i="42385"/>
  <c r="BD1448" i="42385"/>
  <c r="BD1479" i="42385" s="1"/>
  <c r="BD1445" i="42385"/>
  <c r="BE1583" i="42385"/>
  <c r="BD1446" i="42385"/>
  <c r="CV777" i="42385"/>
  <c r="AZ778" i="42385"/>
  <c r="CV778" i="42385" s="1"/>
  <c r="Q90" i="42385"/>
  <c r="Q79" i="42385"/>
  <c r="CO77" i="42385"/>
  <c r="BE479" i="42385"/>
  <c r="CA1111" i="42385"/>
  <c r="DB1111" i="42385"/>
  <c r="AY297" i="42385"/>
  <c r="AY932" i="42385"/>
  <c r="AY933" i="42385"/>
  <c r="AY931" i="42385"/>
  <c r="BO1620" i="42385"/>
  <c r="O8" i="42472"/>
  <c r="O15" i="42472" s="1"/>
  <c r="BO106" i="42385"/>
  <c r="CY106" i="42385" s="1"/>
  <c r="BO93" i="42385"/>
  <c r="CY90" i="42385"/>
  <c r="BH1382" i="42385"/>
  <c r="BH1482" i="42385" s="1"/>
  <c r="BG1563" i="42385"/>
  <c r="BG1402" i="42385"/>
  <c r="AC405" i="42385"/>
  <c r="AC406" i="42385"/>
  <c r="O1301" i="42385"/>
  <c r="O1330" i="42385" s="1"/>
  <c r="O1642" i="42385"/>
  <c r="Q1278" i="42385"/>
  <c r="CB95" i="42400"/>
  <c r="CB101" i="42400" s="1"/>
  <c r="CB833" i="42385" s="1"/>
  <c r="CB834" i="42385" s="1"/>
  <c r="BB934" i="42385"/>
  <c r="BA1533" i="42385"/>
  <c r="BA935" i="42385"/>
  <c r="AC1501" i="42385"/>
  <c r="BY986" i="42385"/>
  <c r="DA986" i="42385" s="1"/>
  <c r="BY987" i="42385"/>
  <c r="DA987" i="42385" s="1"/>
  <c r="BZ985" i="42385"/>
  <c r="DA985" i="42385"/>
  <c r="BY990" i="42385"/>
  <c r="X1301" i="42385"/>
  <c r="X1330" i="42385" s="1"/>
  <c r="X1642" i="42385"/>
  <c r="AA1278" i="42385"/>
  <c r="BB759" i="42385"/>
  <c r="BC758" i="42385"/>
  <c r="BB1538" i="42385"/>
  <c r="BW576" i="42385"/>
  <c r="BV1551" i="42385"/>
  <c r="CA713" i="42385"/>
  <c r="DB713" i="42385"/>
  <c r="GN515" i="42417"/>
  <c r="AD404" i="42385"/>
  <c r="AD414" i="42385"/>
  <c r="CC243" i="42385"/>
  <c r="CC890" i="42385"/>
  <c r="EJ446" i="42492"/>
  <c r="DA231" i="42385"/>
  <c r="CE824" i="42385"/>
  <c r="CD827" i="42385"/>
  <c r="CD83" i="42400"/>
  <c r="AB1658" i="42385"/>
  <c r="AB94" i="42385"/>
  <c r="Z1584" i="42385"/>
  <c r="Z1447" i="42385"/>
  <c r="Z1448" i="42385"/>
  <c r="Z1445" i="42385"/>
  <c r="K93" i="42385"/>
  <c r="K106" i="42385"/>
  <c r="K1619" i="42385"/>
  <c r="K199" i="42385"/>
  <c r="M199" i="42385"/>
  <c r="M205" i="42385" s="1"/>
  <c r="N199" i="42385"/>
  <c r="N205" i="42385" s="1"/>
  <c r="BD804" i="42385"/>
  <c r="BD800" i="42385"/>
  <c r="BI799" i="42385"/>
  <c r="BE799" i="42385"/>
  <c r="BW284" i="42385"/>
  <c r="BY284" i="42385" s="1"/>
  <c r="BY717" i="42385"/>
  <c r="BW718" i="42385"/>
  <c r="BW719" i="42385"/>
  <c r="GD511" i="42464"/>
  <c r="GD491" i="42464"/>
  <c r="AO1357" i="42385"/>
  <c r="AN1364" i="42385"/>
  <c r="CE395" i="42385"/>
  <c r="CD398" i="42385"/>
  <c r="AW1614" i="42385"/>
  <c r="AX1613" i="42385"/>
  <c r="BU896" i="42385"/>
  <c r="AU1531" i="42385"/>
  <c r="CU1531" i="42385" s="1"/>
  <c r="AT1554" i="42385"/>
  <c r="AU1554" i="42385" s="1"/>
  <c r="CU1554" i="42385" s="1"/>
  <c r="AA90" i="42385"/>
  <c r="AA79" i="42385"/>
  <c r="CQ77" i="42385"/>
  <c r="AW1656" i="42385"/>
  <c r="I48" i="42476"/>
  <c r="I50" i="42476" s="1"/>
  <c r="AW121" i="42385"/>
  <c r="BT719" i="42385"/>
  <c r="CZ719" i="42385" s="1"/>
  <c r="CZ717" i="42385"/>
  <c r="BT718" i="42385"/>
  <c r="CZ718" i="42385" s="1"/>
  <c r="BF1406" i="42385"/>
  <c r="BF1424" i="42385" s="1"/>
  <c r="BF1504" i="42385"/>
  <c r="BF1564" i="42385"/>
  <c r="X106" i="42385"/>
  <c r="X1619" i="42385"/>
  <c r="AB1620" i="42385" s="1"/>
  <c r="AB1627" i="42385" s="1"/>
  <c r="AB1628" i="42385" s="1"/>
  <c r="X93" i="42385"/>
  <c r="Z199" i="42385"/>
  <c r="Y199" i="42385"/>
  <c r="Y205" i="42385" s="1"/>
  <c r="AG408" i="42385"/>
  <c r="AE407" i="42385"/>
  <c r="BW648" i="42385"/>
  <c r="BW281" i="42385"/>
  <c r="BY647" i="42385"/>
  <c r="CC88" i="42400"/>
  <c r="CC90" i="42400"/>
  <c r="CC89" i="42400"/>
  <c r="CC91" i="42400"/>
  <c r="CC92" i="42400"/>
  <c r="CC93" i="42400"/>
  <c r="CC87" i="42400"/>
  <c r="CC97" i="42400"/>
  <c r="AC209" i="42385"/>
  <c r="AC211" i="42385"/>
  <c r="BE1660" i="42385"/>
  <c r="F37" i="42409"/>
  <c r="Q34" i="42476"/>
  <c r="CW1564" i="42385"/>
  <c r="BO997" i="42385"/>
  <c r="CY997" i="42385" s="1"/>
  <c r="BO994" i="42385"/>
  <c r="CY994" i="42385" s="1"/>
  <c r="BO299" i="42385"/>
  <c r="CY299" i="42385" s="1"/>
  <c r="BO993" i="42385"/>
  <c r="CY993" i="42385" s="1"/>
  <c r="CY992" i="42385"/>
  <c r="CB462" i="42385"/>
  <c r="CC462" i="42385" s="1"/>
  <c r="CD462" i="42385" s="1"/>
  <c r="CE462" i="42385" s="1"/>
  <c r="CF462" i="42385" s="1"/>
  <c r="DC462" i="42385"/>
  <c r="L90" i="42385"/>
  <c r="L79" i="42385"/>
  <c r="CN77" i="42385"/>
  <c r="AV966" i="42385"/>
  <c r="AV1539" i="42385"/>
  <c r="AW965" i="42385"/>
  <c r="CY1166" i="42385"/>
  <c r="BO1171" i="42385"/>
  <c r="BO1187" i="42385"/>
  <c r="CY1187" i="42385" s="1"/>
  <c r="BO1168" i="42385"/>
  <c r="CY1168" i="42385" s="1"/>
  <c r="BO1167" i="42385"/>
  <c r="CY1167" i="42385" s="1"/>
  <c r="H48" i="42476"/>
  <c r="H50" i="42476" s="1"/>
  <c r="AV121" i="42385"/>
  <c r="AV1656" i="42385"/>
  <c r="CN1572" i="42385"/>
  <c r="L1631" i="42385"/>
  <c r="CN1631" i="42385" s="1"/>
  <c r="L1632" i="42385"/>
  <c r="CN1632" i="42385" s="1"/>
  <c r="L1583" i="42385"/>
  <c r="L1591" i="42385"/>
  <c r="L1634" i="42385"/>
  <c r="CN1634" i="42385" s="1"/>
  <c r="CF884" i="42385"/>
  <c r="CF276" i="42400"/>
  <c r="CF296" i="42400" s="1"/>
  <c r="CW1591" i="42385"/>
  <c r="CA834" i="42385"/>
  <c r="DC834" i="42385" s="1"/>
  <c r="DC833" i="42385"/>
  <c r="AP933" i="42385"/>
  <c r="CT933" i="42385" s="1"/>
  <c r="AP932" i="42385"/>
  <c r="CT932" i="42385" s="1"/>
  <c r="AP931" i="42385"/>
  <c r="CT931" i="42385" s="1"/>
  <c r="CT930" i="42385"/>
  <c r="BY1457" i="42385"/>
  <c r="BZ1457" i="42385" s="1"/>
  <c r="BX1488" i="42385"/>
  <c r="BY1488" i="42385" s="1"/>
  <c r="AB1478" i="42385"/>
  <c r="AF1478" i="42385" s="1"/>
  <c r="CR1478" i="42385" s="1"/>
  <c r="AF1447" i="42385"/>
  <c r="CR1447" i="42385" s="1"/>
  <c r="BD924" i="42385"/>
  <c r="BI923" i="42385"/>
  <c r="BD928" i="42385"/>
  <c r="BD930" i="42385" s="1"/>
  <c r="AW1658" i="42385"/>
  <c r="I20" i="42476"/>
  <c r="N21" i="42476" s="1"/>
  <c r="BB94" i="42385"/>
  <c r="AF407" i="42385"/>
  <c r="P817" i="42385"/>
  <c r="P818" i="42385" s="1"/>
  <c r="P819" i="42385" s="1"/>
  <c r="BF1593" i="42385"/>
  <c r="BF1594" i="42385" s="1"/>
  <c r="BF1595" i="42385" s="1"/>
  <c r="BF1591" i="42385"/>
  <c r="BF1592" i="42385" s="1"/>
  <c r="O93" i="42385"/>
  <c r="O1619" i="42385"/>
  <c r="O106" i="42385"/>
  <c r="S199" i="42385"/>
  <c r="S205" i="42385" s="1"/>
  <c r="O199" i="42385"/>
  <c r="O205" i="42385" s="1"/>
  <c r="R199" i="42385"/>
  <c r="R205" i="42385" s="1"/>
  <c r="P199" i="42385"/>
  <c r="CE681" i="42385"/>
  <c r="CF664" i="42385"/>
  <c r="CF681" i="42385" s="1"/>
  <c r="BI1549" i="42385"/>
  <c r="BJ1549" i="42385" s="1"/>
  <c r="CX1549" i="42385" s="1"/>
  <c r="BI996" i="42385"/>
  <c r="BI997" i="42385"/>
  <c r="BZ1380" i="42385"/>
  <c r="DA1380" i="42385"/>
  <c r="BW994" i="42385"/>
  <c r="BW299" i="42385"/>
  <c r="BW993" i="42385"/>
  <c r="AT808" i="42385"/>
  <c r="AT807" i="42385"/>
  <c r="AT293" i="42385"/>
  <c r="AU293" i="42385" s="1"/>
  <c r="F9" i="42464" s="1"/>
  <c r="AT809" i="42385"/>
  <c r="AU806" i="42385"/>
  <c r="BS1484" i="42385"/>
  <c r="BT1484" i="42385" s="1"/>
  <c r="CZ1484" i="42385" s="1"/>
  <c r="CC283" i="42400"/>
  <c r="CC288" i="42400"/>
  <c r="CC282" i="42400"/>
  <c r="CC280" i="42400"/>
  <c r="CC289" i="42400"/>
  <c r="CC292" i="42400"/>
  <c r="CC279" i="42400"/>
  <c r="CC290" i="42400"/>
  <c r="CC281" i="42400"/>
  <c r="CC291" i="42400"/>
  <c r="BY650" i="42385"/>
  <c r="DA650" i="42385" s="1"/>
  <c r="DA640" i="42385"/>
  <c r="BZ640" i="42385"/>
  <c r="BY641" i="42385"/>
  <c r="DA641" i="42385" s="1"/>
  <c r="CZ647" i="42385"/>
  <c r="BT648" i="42385"/>
  <c r="CZ648" i="42385" s="1"/>
  <c r="CC241" i="42385"/>
  <c r="CC828" i="42385"/>
  <c r="AC1620" i="42385"/>
  <c r="AC1627" i="42385" s="1"/>
  <c r="AC1628" i="42385" s="1"/>
  <c r="AD1620" i="42385"/>
  <c r="AD1627" i="42385" s="1"/>
  <c r="AD1628" i="42385" s="1"/>
  <c r="BP1436" i="42385"/>
  <c r="BQ1436" i="42385" s="1"/>
  <c r="BR1436" i="42385" s="1"/>
  <c r="BS1436" i="42385" s="1"/>
  <c r="BT1436" i="42385" s="1"/>
  <c r="CY1436" i="42385"/>
  <c r="K1642" i="42385"/>
  <c r="K1301" i="42385"/>
  <c r="K1330" i="42385" s="1"/>
  <c r="K1333" i="42385" s="1"/>
  <c r="L1278" i="42385"/>
  <c r="CZ990" i="42385"/>
  <c r="BT992" i="42385"/>
  <c r="AZ801" i="42385"/>
  <c r="CV801" i="42385" s="1"/>
  <c r="CV799" i="42385"/>
  <c r="AZ800" i="42385"/>
  <c r="CV800" i="42385" s="1"/>
  <c r="DA710" i="42385"/>
  <c r="BY714" i="42385"/>
  <c r="DA714" i="42385" s="1"/>
  <c r="BY711" i="42385"/>
  <c r="DA711" i="42385" s="1"/>
  <c r="BZ710" i="42385"/>
  <c r="BM1399" i="42385"/>
  <c r="BM1497" i="42385" s="1"/>
  <c r="CU965" i="42385"/>
  <c r="AU966" i="42385"/>
  <c r="CU966" i="42385" s="1"/>
  <c r="AT901" i="42385"/>
  <c r="AT296" i="42385"/>
  <c r="AT900" i="42385"/>
  <c r="AT902" i="42385"/>
  <c r="H20" i="42476"/>
  <c r="M21" i="42476" s="1"/>
  <c r="BA94" i="42385"/>
  <c r="AV1658" i="42385"/>
  <c r="BA1540" i="42385"/>
  <c r="BB777" i="42385"/>
  <c r="BA778" i="42385"/>
  <c r="P1445" i="42385"/>
  <c r="P1448" i="42385"/>
  <c r="P1447" i="42385"/>
  <c r="P1584" i="42385"/>
  <c r="AV811" i="42385"/>
  <c r="AW810" i="42385"/>
  <c r="AV1531" i="42385"/>
  <c r="AV1554" i="42385" s="1"/>
  <c r="GN519" i="42417"/>
  <c r="AP297" i="42385"/>
  <c r="GP519" i="42417" s="1"/>
  <c r="DC101" i="42385"/>
  <c r="AM27" i="42476"/>
  <c r="AM28" i="42476" s="1"/>
  <c r="CB101" i="42385"/>
  <c r="CC101" i="42385" s="1"/>
  <c r="CD101" i="42385" s="1"/>
  <c r="CE101" i="42385" s="1"/>
  <c r="CF101" i="42385" s="1"/>
  <c r="BL58" i="42418"/>
  <c r="H29" i="42412"/>
  <c r="CC71" i="42400"/>
  <c r="Q481" i="42385"/>
  <c r="CO481" i="42385" s="1"/>
  <c r="CN236" i="42417"/>
  <c r="CR236" i="42417" s="1"/>
  <c r="CR239" i="42417"/>
  <c r="BO753" i="42385"/>
  <c r="CY753" i="42385" s="1"/>
  <c r="BO752" i="42385"/>
  <c r="CY752" i="42385" s="1"/>
  <c r="CY751" i="42385"/>
  <c r="CD242" i="42385"/>
  <c r="BO92" i="42418"/>
  <c r="CD859" i="42385"/>
  <c r="G1584" i="42385"/>
  <c r="CM1584" i="42385" s="1"/>
  <c r="CM1583" i="42385"/>
  <c r="O849" i="42385"/>
  <c r="O850" i="42385" s="1"/>
  <c r="BI1480" i="42385"/>
  <c r="BJ1480" i="42385" s="1"/>
  <c r="CX1480" i="42385" s="1"/>
  <c r="BJ1380" i="42385"/>
  <c r="I1620" i="42385"/>
  <c r="I1627" i="42385" s="1"/>
  <c r="I1628" i="42385" s="1"/>
  <c r="G1619" i="42385"/>
  <c r="CM1619" i="42385" s="1"/>
  <c r="H1620" i="42385"/>
  <c r="H1627" i="42385" s="1"/>
  <c r="H1628" i="42385" s="1"/>
  <c r="F1620" i="42385"/>
  <c r="P765" i="42385"/>
  <c r="Q765" i="42385" s="1"/>
  <c r="CO765" i="42385" s="1"/>
  <c r="P910" i="42385"/>
  <c r="P911" i="42385" s="1"/>
  <c r="P912" i="42385" s="1"/>
  <c r="BR1236" i="42385"/>
  <c r="BS1235" i="42385"/>
  <c r="O330" i="42385"/>
  <c r="O331" i="42385" s="1"/>
  <c r="Q329" i="42385"/>
  <c r="Q783" i="42385"/>
  <c r="CO783" i="42385" s="1"/>
  <c r="P786" i="42385"/>
  <c r="CD65" i="42400"/>
  <c r="CD67" i="42400"/>
  <c r="CD64" i="42400"/>
  <c r="CD63" i="42400"/>
  <c r="CD66" i="42400"/>
  <c r="CD69" i="42400"/>
  <c r="CD68" i="42400"/>
  <c r="CM1591" i="42385"/>
  <c r="G1592" i="42385"/>
  <c r="CM1592" i="42385" s="1"/>
  <c r="BF808" i="42385"/>
  <c r="BF293" i="42385"/>
  <c r="BF809" i="42385"/>
  <c r="BF807" i="42385"/>
  <c r="P363" i="42385"/>
  <c r="P848" i="42385"/>
  <c r="P849" i="42385" s="1"/>
  <c r="P850" i="42385" s="1"/>
  <c r="H209" i="42385"/>
  <c r="H211" i="42385"/>
  <c r="E1658" i="42385"/>
  <c r="J94" i="42385"/>
  <c r="P1003" i="42385"/>
  <c r="AI1501" i="42385"/>
  <c r="O818" i="42385"/>
  <c r="O819" i="42385" s="1"/>
  <c r="Q817" i="42385"/>
  <c r="Q1084" i="42385"/>
  <c r="O1085" i="42385"/>
  <c r="O1086" i="42385" s="1"/>
  <c r="BG744" i="42385"/>
  <c r="BL321" i="42424"/>
  <c r="BK322" i="42424"/>
  <c r="BL286" i="42385"/>
  <c r="BO286" i="42385" s="1"/>
  <c r="CY286" i="42385" s="1"/>
  <c r="BL756" i="42385"/>
  <c r="BL757" i="42385"/>
  <c r="BO755" i="42385"/>
  <c r="CE858" i="42385"/>
  <c r="CF855" i="42385"/>
  <c r="CE59" i="42400"/>
  <c r="BP799" i="42385"/>
  <c r="BK800" i="42385"/>
  <c r="BK804" i="42385"/>
  <c r="BK806" i="42385" s="1"/>
  <c r="G93" i="42385"/>
  <c r="CM90" i="42385"/>
  <c r="C8" i="42472"/>
  <c r="C15" i="42472" s="1"/>
  <c r="C24" i="42472" s="1"/>
  <c r="P708" i="42385"/>
  <c r="Q708" i="42385" s="1"/>
  <c r="CO708" i="42385" s="1"/>
  <c r="P941" i="42385"/>
  <c r="AE100" i="42424"/>
  <c r="AE131" i="42424"/>
  <c r="AE144" i="42424"/>
  <c r="BK324" i="42424" s="1"/>
  <c r="AE96" i="42424"/>
  <c r="BJ756" i="42385"/>
  <c r="CX756" i="42385" s="1"/>
  <c r="CX755" i="42385"/>
  <c r="BJ757" i="42385"/>
  <c r="CX757" i="42385" s="1"/>
  <c r="I211" i="42385"/>
  <c r="I209" i="42385"/>
  <c r="P746" i="42385"/>
  <c r="Q746" i="42385" s="1"/>
  <c r="CO746" i="42385" s="1"/>
  <c r="CO320" i="42385"/>
  <c r="R320" i="42385"/>
  <c r="BV751" i="42385"/>
  <c r="BQ755" i="42385"/>
  <c r="BQ752" i="42385"/>
  <c r="BT751" i="42385"/>
  <c r="I52" i="42405"/>
  <c r="I47" i="42405" s="1"/>
  <c r="FK421" i="42417"/>
  <c r="GO518" i="42417"/>
  <c r="E10" i="42464"/>
  <c r="CT294" i="42385"/>
  <c r="G92" i="42385"/>
  <c r="CM92" i="42385" s="1"/>
  <c r="CM79" i="42385"/>
  <c r="Q879" i="42385"/>
  <c r="E114" i="42385"/>
  <c r="G106" i="42385"/>
  <c r="CM106" i="42385" s="1"/>
  <c r="O911" i="42385"/>
  <c r="O912" i="42385" s="1"/>
  <c r="AK1445" i="42385"/>
  <c r="CS1445" i="42385" s="1"/>
  <c r="AG1476" i="42385"/>
  <c r="CR77" i="42385"/>
  <c r="B13" i="42465"/>
  <c r="BX1381" i="42385"/>
  <c r="BY1381" i="42385" s="1"/>
  <c r="AE92" i="42385"/>
  <c r="AE90" i="42385"/>
  <c r="AF79" i="42385"/>
  <c r="U1478" i="42385"/>
  <c r="V1478" i="42385" s="1"/>
  <c r="CP1478" i="42385" s="1"/>
  <c r="V1447" i="42385"/>
  <c r="CP1447" i="42385" s="1"/>
  <c r="AK1446" i="42385"/>
  <c r="CS1446" i="42385" s="1"/>
  <c r="AG1477" i="42385"/>
  <c r="F11" i="42464"/>
  <c r="AK1431" i="42385"/>
  <c r="CS1431" i="42385" s="1"/>
  <c r="AJ1434" i="42385"/>
  <c r="AK1434" i="42385" s="1"/>
  <c r="CS1434" i="42385" s="1"/>
  <c r="AJ1476" i="42385"/>
  <c r="AJ1501" i="42385" s="1"/>
  <c r="BY1116" i="42385"/>
  <c r="DA1116" i="42385" s="1"/>
  <c r="DA1115" i="42385"/>
  <c r="AB182" i="42385"/>
  <c r="AC182" i="42385" s="1"/>
  <c r="AD182" i="42385" s="1"/>
  <c r="AE182" i="42385" s="1"/>
  <c r="AF182" i="42385" s="1"/>
  <c r="CQ182" i="42385"/>
  <c r="BD1582" i="42385"/>
  <c r="BC1585" i="42385"/>
  <c r="BC1586" i="42385" s="1"/>
  <c r="BC1587" i="42385" s="1"/>
  <c r="BC1584" i="42385"/>
  <c r="BE924" i="42385"/>
  <c r="CW924" i="42385" s="1"/>
  <c r="CW923" i="42385"/>
  <c r="BE925" i="42385"/>
  <c r="CW925" i="42385" s="1"/>
  <c r="Y94" i="42385"/>
  <c r="T1658" i="42385"/>
  <c r="T94" i="42385"/>
  <c r="AV931" i="42385"/>
  <c r="AV933" i="42385"/>
  <c r="AZ930" i="42385"/>
  <c r="AV297" i="42385"/>
  <c r="AV932" i="42385"/>
  <c r="AM1437" i="42385"/>
  <c r="AL1439" i="42385"/>
  <c r="AL1431" i="42385" s="1"/>
  <c r="U1476" i="42385"/>
  <c r="V1445" i="42385"/>
  <c r="CP1445" i="42385" s="1"/>
  <c r="DB1371" i="42385"/>
  <c r="CA1371" i="42385"/>
  <c r="K16" i="42433"/>
  <c r="M16" i="42433"/>
  <c r="M10" i="42433" s="1"/>
  <c r="N15" i="42433"/>
  <c r="N10" i="42433" s="1"/>
  <c r="L15" i="42433"/>
  <c r="CF151" i="42400"/>
  <c r="AM94" i="42385"/>
  <c r="AM1658" i="42385"/>
  <c r="CP1591" i="42385"/>
  <c r="V1592" i="42385"/>
  <c r="CP1592" i="42385" s="1"/>
  <c r="V1584" i="42385"/>
  <c r="CP1584" i="42385" s="1"/>
  <c r="CP1583" i="42385"/>
  <c r="BZ1115" i="42385"/>
  <c r="DB1113" i="42385"/>
  <c r="CA1113" i="42385"/>
  <c r="CA706" i="42385"/>
  <c r="DB706" i="42385"/>
  <c r="CB1398" i="42385"/>
  <c r="CC1398" i="42385" s="1"/>
  <c r="CD1398" i="42385" s="1"/>
  <c r="CE1398" i="42385" s="1"/>
  <c r="CF1398" i="42385" s="1"/>
  <c r="DC1398" i="42385"/>
  <c r="CE161" i="42400"/>
  <c r="CE162" i="42400"/>
  <c r="CE163" i="42400"/>
  <c r="CE156" i="42400"/>
  <c r="CE155" i="42400"/>
  <c r="BA930" i="42385"/>
  <c r="AK1477" i="42385"/>
  <c r="CS1477" i="42385" s="1"/>
  <c r="T209" i="42385"/>
  <c r="T211" i="42385"/>
  <c r="GO521" i="42417"/>
  <c r="CT295" i="42385"/>
  <c r="E13" i="42464"/>
  <c r="BW1481" i="42385"/>
  <c r="AY1121" i="42385"/>
  <c r="AX1124" i="42385"/>
  <c r="AX1552" i="42385" s="1"/>
  <c r="AE1642" i="42385"/>
  <c r="AF1278" i="42385"/>
  <c r="AE1301" i="42385"/>
  <c r="AE1330" i="42385" s="1"/>
  <c r="CP90" i="42385"/>
  <c r="V93" i="42385"/>
  <c r="F8" i="42472"/>
  <c r="F15" i="42472" s="1"/>
  <c r="F24" i="42472" s="1"/>
  <c r="CD165" i="42400"/>
  <c r="AM121" i="42385"/>
  <c r="AM1656" i="42385"/>
  <c r="AE1448" i="42385"/>
  <c r="AE1446" i="42385"/>
  <c r="AE1584" i="42385"/>
  <c r="AE1445" i="42385"/>
  <c r="V1642" i="42385"/>
  <c r="CP1642" i="42385" s="1"/>
  <c r="CP1278" i="42385"/>
  <c r="V1301" i="42385"/>
  <c r="GC514" i="42464"/>
  <c r="GC522" i="42464" s="1"/>
  <c r="BU232" i="42385"/>
  <c r="BY232" i="42385" s="1"/>
  <c r="BU282" i="42385"/>
  <c r="BY282" i="42385" s="1"/>
  <c r="DA312" i="42385"/>
  <c r="B34" i="42408"/>
  <c r="G34" i="42408" s="1"/>
  <c r="GC542" i="42464"/>
  <c r="GC550" i="42464" s="1"/>
  <c r="BI1181" i="42385"/>
  <c r="BI1183" i="42385"/>
  <c r="BI1184" i="42385" s="1"/>
  <c r="CU930" i="42385"/>
  <c r="AU931" i="42385"/>
  <c r="CU931" i="42385" s="1"/>
  <c r="AU932" i="42385"/>
  <c r="CU932" i="42385" s="1"/>
  <c r="AU933" i="42385"/>
  <c r="CU933" i="42385" s="1"/>
  <c r="CF209" i="42417"/>
  <c r="BK923" i="42385"/>
  <c r="BF924" i="42385"/>
  <c r="BF928" i="42385"/>
  <c r="T114" i="42385"/>
  <c r="V106" i="42385"/>
  <c r="CP106" i="42385" s="1"/>
  <c r="CT188" i="42385"/>
  <c r="AQ188" i="42385"/>
  <c r="AR188" i="42385" s="1"/>
  <c r="AS188" i="42385" s="1"/>
  <c r="AT188" i="42385" s="1"/>
  <c r="AU188" i="42385"/>
  <c r="BC869" i="42385"/>
  <c r="BC870" i="42385"/>
  <c r="BC871" i="42385"/>
  <c r="BC295" i="42385"/>
  <c r="CU173" i="42385"/>
  <c r="AV173" i="42385"/>
  <c r="AW173" i="42385" s="1"/>
  <c r="AX173" i="42385" s="1"/>
  <c r="AY173" i="42385" s="1"/>
  <c r="AZ173" i="42385"/>
  <c r="V199" i="42385"/>
  <c r="V205" i="42385" s="1"/>
  <c r="U205" i="42385"/>
  <c r="AG1479" i="42385"/>
  <c r="AK1479" i="42385" s="1"/>
  <c r="CS1479" i="42385" s="1"/>
  <c r="AK1448" i="42385"/>
  <c r="CS1448" i="42385" s="1"/>
  <c r="AF1583" i="42385"/>
  <c r="AF1632" i="42385"/>
  <c r="CR1632" i="42385" s="1"/>
  <c r="CR1572" i="42385"/>
  <c r="AF1594" i="42385"/>
  <c r="AF1631" i="42385"/>
  <c r="CR1631" i="42385" s="1"/>
  <c r="AF1634" i="42385"/>
  <c r="CR1634" i="42385" s="1"/>
  <c r="AF1591" i="42385"/>
  <c r="AF1586" i="42385"/>
  <c r="V1620" i="42385"/>
  <c r="U1627" i="42385"/>
  <c r="U1628" i="42385" s="1"/>
  <c r="BV1377" i="42385"/>
  <c r="T1620" i="42385"/>
  <c r="T1627" i="42385" s="1"/>
  <c r="T1628" i="42385" s="1"/>
  <c r="V1619" i="42385"/>
  <c r="CP1619" i="42385" s="1"/>
  <c r="AH1501" i="42385"/>
  <c r="V92" i="42385"/>
  <c r="CP92" i="42385" s="1"/>
  <c r="CP79" i="42385"/>
  <c r="BM861" i="42385"/>
  <c r="BH862" i="42385"/>
  <c r="BH866" i="42385"/>
  <c r="BH868" i="42385" s="1"/>
  <c r="W1501" i="42385"/>
  <c r="U1479" i="42385"/>
  <c r="V1479" i="42385" s="1"/>
  <c r="CP1479" i="42385" s="1"/>
  <c r="V1448" i="42385"/>
  <c r="CP1448" i="42385" s="1"/>
  <c r="BU23" i="42385"/>
  <c r="BY23" i="42385" s="1"/>
  <c r="DA23" i="42385" s="1"/>
  <c r="CV256" i="42385"/>
  <c r="CX220" i="42385"/>
  <c r="EG444" i="42492"/>
  <c r="BZ1256" i="42385"/>
  <c r="BX1258" i="42385"/>
  <c r="BY1258" i="42385" s="1"/>
  <c r="CV1183" i="42385"/>
  <c r="AZ1184" i="42385"/>
  <c r="CV1184" i="42385" s="1"/>
  <c r="CY401" i="42385"/>
  <c r="BO402" i="42385"/>
  <c r="CY402" i="42385" s="1"/>
  <c r="BT402" i="42385"/>
  <c r="CZ402" i="42385" s="1"/>
  <c r="CF390" i="42385"/>
  <c r="AV170" i="42385"/>
  <c r="AW170" i="42385" s="1"/>
  <c r="AX170" i="42385" s="1"/>
  <c r="AY170" i="42385" s="1"/>
  <c r="AZ170" i="42385"/>
  <c r="CU170" i="42385"/>
  <c r="O180" i="42385"/>
  <c r="BC1118" i="42385"/>
  <c r="CU166" i="42385"/>
  <c r="AU134" i="42385"/>
  <c r="CU134" i="42385" s="1"/>
  <c r="CC1389" i="42385"/>
  <c r="E63" i="42406"/>
  <c r="E68" i="42406" s="1"/>
  <c r="C68" i="42406"/>
  <c r="AZ156" i="42417"/>
  <c r="AS1558" i="42385"/>
  <c r="AS128" i="42385"/>
  <c r="AS259" i="42385"/>
  <c r="BK1119" i="42385"/>
  <c r="CX1119" i="42385"/>
  <c r="BI1506" i="42385"/>
  <c r="BE1506" i="42385"/>
  <c r="CW1506" i="42385" s="1"/>
  <c r="BA963" i="42385"/>
  <c r="BA964" i="42385"/>
  <c r="BA962" i="42385"/>
  <c r="BA298" i="42385"/>
  <c r="CY1301" i="42385"/>
  <c r="BO1330" i="42385"/>
  <c r="BF179" i="42385"/>
  <c r="BG179" i="42385" s="1"/>
  <c r="BH179" i="42385" s="1"/>
  <c r="BI179" i="42385" s="1"/>
  <c r="BJ179" i="42385"/>
  <c r="CW179" i="42385"/>
  <c r="CF523" i="42385"/>
  <c r="BF1658" i="42385"/>
  <c r="BF94" i="42385"/>
  <c r="R20" i="42476"/>
  <c r="BK94" i="42385"/>
  <c r="BL94" i="42385"/>
  <c r="X20" i="42476"/>
  <c r="BL1658" i="42385"/>
  <c r="BQ94" i="42385"/>
  <c r="BB409" i="42385"/>
  <c r="B37" i="42406"/>
  <c r="B38" i="42406" s="1"/>
  <c r="B39" i="42406" s="1"/>
  <c r="B40" i="42406" s="1"/>
  <c r="X169" i="42385"/>
  <c r="AV274" i="42385"/>
  <c r="AV603" i="42385"/>
  <c r="AV602" i="42385"/>
  <c r="CO239" i="42417"/>
  <c r="BE246" i="42424"/>
  <c r="BN321" i="42424"/>
  <c r="AU259" i="42385"/>
  <c r="CU259" i="42385" s="1"/>
  <c r="AU1558" i="42385"/>
  <c r="CU1558" i="42385" s="1"/>
  <c r="AU128" i="42385"/>
  <c r="CU128" i="42385" s="1"/>
  <c r="AF95" i="42424"/>
  <c r="CU258" i="42385"/>
  <c r="BB807" i="42385"/>
  <c r="BA839" i="42385"/>
  <c r="BA840" i="42385"/>
  <c r="BA294" i="42385"/>
  <c r="BA838" i="42385"/>
  <c r="CX1301" i="42385"/>
  <c r="BJ1330" i="42385"/>
  <c r="E4" i="42465"/>
  <c r="AU15" i="42385"/>
  <c r="CU15" i="42385" s="1"/>
  <c r="CU14" i="42385"/>
  <c r="AZ15" i="42385"/>
  <c r="CV15" i="42385" s="1"/>
  <c r="AY257" i="42385"/>
  <c r="AZ257" i="42385" s="1"/>
  <c r="AZ258" i="42385" s="1"/>
  <c r="CF495" i="42385"/>
  <c r="N120" i="42385"/>
  <c r="N1656" i="42385" s="1"/>
  <c r="CE1391" i="42385"/>
  <c r="BF120" i="42385"/>
  <c r="BF122" i="42385"/>
  <c r="W48" i="42476"/>
  <c r="W50" i="42476" s="1"/>
  <c r="BK121" i="42385"/>
  <c r="BK1656" i="42385"/>
  <c r="BQ1147" i="42385"/>
  <c r="CU293" i="42385"/>
  <c r="AR1361" i="42385"/>
  <c r="CU177" i="42385"/>
  <c r="AV177" i="42385"/>
  <c r="AW177" i="42385" s="1"/>
  <c r="AX177" i="42385" s="1"/>
  <c r="AY177" i="42385" s="1"/>
  <c r="AZ177" i="42385"/>
  <c r="BE171" i="42385"/>
  <c r="BA171" i="42385"/>
  <c r="BB171" i="42385" s="1"/>
  <c r="BC171" i="42385" s="1"/>
  <c r="BD171" i="42385" s="1"/>
  <c r="CV171" i="42385"/>
  <c r="CF908" i="42385"/>
  <c r="AW259" i="42385"/>
  <c r="AW1558" i="42385"/>
  <c r="AW128" i="42385"/>
  <c r="BQ232" i="42385"/>
  <c r="BQ282" i="42385"/>
  <c r="BL745" i="42385"/>
  <c r="BY1256" i="42385"/>
  <c r="DB1344" i="42385"/>
  <c r="CA1344" i="42385"/>
  <c r="BZ1287" i="42385"/>
  <c r="BO220" i="42385"/>
  <c r="BB1106" i="42385"/>
  <c r="BA1107" i="42385"/>
  <c r="BA256" i="42385" s="1"/>
  <c r="CB1120" i="42385"/>
  <c r="CC1120" i="42385" s="1"/>
  <c r="CD1120" i="42385" s="1"/>
  <c r="CE1120" i="42385" s="1"/>
  <c r="CF1120" i="42385" s="1"/>
  <c r="DC1120" i="42385"/>
  <c r="AJ1656" i="42385"/>
  <c r="AJ121" i="42385"/>
  <c r="AV178" i="42385"/>
  <c r="AW178" i="42385" s="1"/>
  <c r="AX178" i="42385" s="1"/>
  <c r="AY178" i="42385" s="1"/>
  <c r="AZ178" i="42385"/>
  <c r="CU178" i="42385"/>
  <c r="BJ199" i="42385"/>
  <c r="BJ205" i="42385" s="1"/>
  <c r="BI205" i="42385"/>
  <c r="BN205" i="42385"/>
  <c r="BO199" i="42385"/>
  <c r="BO205" i="42385" s="1"/>
  <c r="BL122" i="42385"/>
  <c r="BL120" i="42385"/>
  <c r="CF970" i="42385"/>
  <c r="BP187" i="42417"/>
  <c r="CB1489" i="42385"/>
  <c r="D63" i="42406"/>
  <c r="D68" i="42406" s="1"/>
  <c r="CV1107" i="42385"/>
  <c r="AZ1108" i="42385"/>
  <c r="CV1108" i="42385" s="1"/>
  <c r="DC218" i="42385"/>
  <c r="BB707" i="42385"/>
  <c r="C61" i="42406"/>
  <c r="C56" i="42406" s="1"/>
  <c r="BV993" i="42385" l="1"/>
  <c r="BU299" i="42385"/>
  <c r="CC340" i="42385"/>
  <c r="CB341" i="42385"/>
  <c r="CC75" i="42400"/>
  <c r="CC864" i="42385" s="1"/>
  <c r="CC865" i="42385" s="1"/>
  <c r="DA232" i="42385"/>
  <c r="B30" i="42408"/>
  <c r="G30" i="42408" s="1"/>
  <c r="BY697" i="42385"/>
  <c r="Z95" i="42408"/>
  <c r="Z93" i="42408" s="1"/>
  <c r="AD116" i="42408"/>
  <c r="AD120" i="42408" s="1"/>
  <c r="AD125" i="42408" s="1"/>
  <c r="DC796" i="42385"/>
  <c r="CA797" i="42385"/>
  <c r="DC797" i="42385" s="1"/>
  <c r="CA240" i="42385"/>
  <c r="DC240" i="42385" s="1"/>
  <c r="CC795" i="42385"/>
  <c r="CB796" i="42385"/>
  <c r="DB401" i="42385"/>
  <c r="BZ402" i="42385"/>
  <c r="DB402" i="42385" s="1"/>
  <c r="BZ220" i="42385"/>
  <c r="DB220" i="42385" s="1"/>
  <c r="BG835" i="42385"/>
  <c r="BG837" i="42385" s="1"/>
  <c r="BG831" i="42385"/>
  <c r="BL830" i="42385"/>
  <c r="BI1456" i="42385"/>
  <c r="BH1487" i="42385"/>
  <c r="J191" i="42385"/>
  <c r="I193" i="42385"/>
  <c r="CB400" i="42385"/>
  <c r="DC400" i="42385"/>
  <c r="CA401" i="42385"/>
  <c r="N48" i="42476"/>
  <c r="N50" i="42476" s="1"/>
  <c r="BB121" i="42385"/>
  <c r="BB1656" i="42385"/>
  <c r="AX1534" i="42385"/>
  <c r="AY1027" i="42385"/>
  <c r="AZ1027" i="42385" s="1"/>
  <c r="AX1028" i="42385"/>
  <c r="Q910" i="42385"/>
  <c r="BR654" i="42385"/>
  <c r="BQ653" i="42385"/>
  <c r="BQ656" i="42385" s="1"/>
  <c r="BQ657" i="42385" s="1"/>
  <c r="BQ658" i="42385" s="1"/>
  <c r="BB840" i="42385"/>
  <c r="BB838" i="42385"/>
  <c r="BB294" i="42385"/>
  <c r="BB839" i="42385"/>
  <c r="AI1658" i="42385"/>
  <c r="AI94" i="42385"/>
  <c r="AH625" i="42385"/>
  <c r="AG624" i="42385"/>
  <c r="AG621" i="42385" s="1"/>
  <c r="BA1536" i="42385"/>
  <c r="BB720" i="42385"/>
  <c r="BA721" i="42385"/>
  <c r="BC121" i="42385"/>
  <c r="O48" i="42476"/>
  <c r="O50" i="42476" s="1"/>
  <c r="BC1656" i="42385"/>
  <c r="AE621" i="42385"/>
  <c r="AF624" i="42385"/>
  <c r="CR624" i="42385" s="1"/>
  <c r="AY904" i="42385"/>
  <c r="AY1529" i="42385"/>
  <c r="AZ1529" i="42385" s="1"/>
  <c r="CV1529" i="42385" s="1"/>
  <c r="BA903" i="42385"/>
  <c r="AZ903" i="42385"/>
  <c r="CD670" i="42385"/>
  <c r="CC683" i="42385"/>
  <c r="AZ721" i="42385"/>
  <c r="CV721" i="42385" s="1"/>
  <c r="CV720" i="42385"/>
  <c r="BB1532" i="42385"/>
  <c r="BC841" i="42385"/>
  <c r="BB842" i="42385"/>
  <c r="AM1620" i="42385"/>
  <c r="AM1627" i="42385" s="1"/>
  <c r="AM1628" i="42385" s="1"/>
  <c r="AI121" i="42385"/>
  <c r="AI1656" i="42385"/>
  <c r="BB1543" i="42385"/>
  <c r="BB632" i="42385"/>
  <c r="BC631" i="42385"/>
  <c r="BR1104" i="42385"/>
  <c r="BO1104" i="42385"/>
  <c r="CY1104" i="42385" s="1"/>
  <c r="BB385" i="42385"/>
  <c r="BB1541" i="42385"/>
  <c r="BC384" i="42385"/>
  <c r="BD1590" i="42385"/>
  <c r="BC1593" i="42385"/>
  <c r="BC1594" i="42385" s="1"/>
  <c r="BC1595" i="42385" s="1"/>
  <c r="AU294" i="42385"/>
  <c r="AG114" i="42385"/>
  <c r="AK106" i="42385"/>
  <c r="CS106" i="42385" s="1"/>
  <c r="CS1648" i="42385"/>
  <c r="AK1641" i="42385"/>
  <c r="CS1641" i="42385" s="1"/>
  <c r="AJ205" i="42385"/>
  <c r="AK199" i="42385"/>
  <c r="AK205" i="42385" s="1"/>
  <c r="CS90" i="42385"/>
  <c r="AK93" i="42385"/>
  <c r="C15" i="42465"/>
  <c r="I8" i="42472"/>
  <c r="I15" i="42472" s="1"/>
  <c r="I24" i="42472" s="1"/>
  <c r="AL94" i="42385"/>
  <c r="AG1658" i="42385"/>
  <c r="AJ1620" i="42385"/>
  <c r="AK1619" i="42385"/>
  <c r="CS1619" i="42385" s="1"/>
  <c r="AK1330" i="42385"/>
  <c r="C46" i="42465"/>
  <c r="C45" i="42465" s="1"/>
  <c r="CS1301" i="42385"/>
  <c r="BB613" i="42385"/>
  <c r="BD613" i="42385" s="1"/>
  <c r="CV613" i="42385"/>
  <c r="BB293" i="42385"/>
  <c r="BE928" i="42385"/>
  <c r="CW928" i="42385" s="1"/>
  <c r="AZ835" i="42385"/>
  <c r="CV835" i="42385" s="1"/>
  <c r="BY1373" i="42385"/>
  <c r="BX1375" i="42385"/>
  <c r="BB809" i="42385"/>
  <c r="CE51" i="42400"/>
  <c r="CE802" i="42385" s="1"/>
  <c r="CE803" i="42385" s="1"/>
  <c r="FJ424" i="42417"/>
  <c r="CU297" i="42385"/>
  <c r="AP955" i="42385"/>
  <c r="CT955" i="42385" s="1"/>
  <c r="BT1211" i="42385"/>
  <c r="CZ1211" i="42385" s="1"/>
  <c r="CZ1210" i="42385"/>
  <c r="AV183" i="42385"/>
  <c r="AW183" i="42385" s="1"/>
  <c r="AX183" i="42385" s="1"/>
  <c r="AY183" i="42385" s="1"/>
  <c r="AZ183" i="42385"/>
  <c r="CU183" i="42385"/>
  <c r="BV1485" i="42385"/>
  <c r="BW1385" i="42385"/>
  <c r="CZ1386" i="42385"/>
  <c r="BU1386" i="42385"/>
  <c r="BT1563" i="42385"/>
  <c r="BR1218" i="42385"/>
  <c r="BT1217" i="42385"/>
  <c r="CZ1217" i="42385" s="1"/>
  <c r="BC804" i="42385"/>
  <c r="BC806" i="42385" s="1"/>
  <c r="BH799" i="42385"/>
  <c r="BJ799" i="42385" s="1"/>
  <c r="BC800" i="42385"/>
  <c r="BE472" i="42385"/>
  <c r="BF472" i="42385"/>
  <c r="BD473" i="42385"/>
  <c r="BD474" i="42385"/>
  <c r="BD475" i="42385" s="1"/>
  <c r="BE475" i="42385" s="1"/>
  <c r="CW475" i="42385" s="1"/>
  <c r="BD1547" i="42385"/>
  <c r="BD835" i="42385"/>
  <c r="BD837" i="42385" s="1"/>
  <c r="BD831" i="42385"/>
  <c r="BI830" i="42385"/>
  <c r="BJ830" i="42385" s="1"/>
  <c r="BG800" i="42385"/>
  <c r="BL799" i="42385"/>
  <c r="BG804" i="42385"/>
  <c r="BG806" i="42385" s="1"/>
  <c r="BG808" i="42385" s="1"/>
  <c r="AP808" i="42385"/>
  <c r="CT808" i="42385" s="1"/>
  <c r="AP807" i="42385"/>
  <c r="CT807" i="42385" s="1"/>
  <c r="CT806" i="42385"/>
  <c r="AP809" i="42385"/>
  <c r="CT809" i="42385" s="1"/>
  <c r="CF51" i="42400"/>
  <c r="CF802" i="42385" s="1"/>
  <c r="CF803" i="42385" s="1"/>
  <c r="AX808" i="42385"/>
  <c r="AX807" i="42385"/>
  <c r="AX809" i="42385"/>
  <c r="AX293" i="42385"/>
  <c r="GM517" i="42417"/>
  <c r="AP293" i="42385"/>
  <c r="AY838" i="42385"/>
  <c r="AY840" i="42385"/>
  <c r="AY839" i="42385"/>
  <c r="AY294" i="42385"/>
  <c r="CF339" i="42385"/>
  <c r="AN352" i="42385"/>
  <c r="AP350" i="42385"/>
  <c r="CT350" i="42385" s="1"/>
  <c r="AQ347" i="42385"/>
  <c r="AQ350" i="42385" s="1"/>
  <c r="AR348" i="42385"/>
  <c r="AW603" i="42385"/>
  <c r="AW602" i="42385"/>
  <c r="AW274" i="42385"/>
  <c r="CX1620" i="42385"/>
  <c r="BJ1627" i="42385"/>
  <c r="CX1627" i="42385" s="1"/>
  <c r="BI1481" i="42385"/>
  <c r="BJ1481" i="42385" s="1"/>
  <c r="CX1481" i="42385" s="1"/>
  <c r="BU648" i="42385"/>
  <c r="BU281" i="42385"/>
  <c r="AQ1373" i="42385"/>
  <c r="CT1373" i="42385"/>
  <c r="AP1375" i="42385"/>
  <c r="BA357" i="42385"/>
  <c r="BB356" i="42385"/>
  <c r="BA1528" i="42385"/>
  <c r="BD345" i="42385"/>
  <c r="BI344" i="42385"/>
  <c r="AY598" i="42385"/>
  <c r="AY597" i="42385" s="1"/>
  <c r="AY599" i="42385" s="1"/>
  <c r="AY601" i="42385" s="1"/>
  <c r="AX597" i="42385"/>
  <c r="BZ643" i="42385"/>
  <c r="BY645" i="42385"/>
  <c r="DA645" i="42385" s="1"/>
  <c r="DA643" i="42385"/>
  <c r="AO353" i="42385"/>
  <c r="AO265" i="42385"/>
  <c r="GN514" i="42417" s="1"/>
  <c r="AO354" i="42385"/>
  <c r="AO355" i="42385"/>
  <c r="BA344" i="42385"/>
  <c r="AV345" i="42385"/>
  <c r="BK184" i="42385"/>
  <c r="BL184" i="42385" s="1"/>
  <c r="BM184" i="42385" s="1"/>
  <c r="BN184" i="42385" s="1"/>
  <c r="BO184" i="42385"/>
  <c r="CX184" i="42385"/>
  <c r="AW344" i="42385"/>
  <c r="AR345" i="42385"/>
  <c r="BJ1658" i="42385"/>
  <c r="V20" i="42476"/>
  <c r="CX93" i="42385"/>
  <c r="BY281" i="42385"/>
  <c r="B25" i="42408" s="1"/>
  <c r="G25" i="42408" s="1"/>
  <c r="AP347" i="42385"/>
  <c r="CT347" i="42385" s="1"/>
  <c r="CT344" i="42385"/>
  <c r="AP345" i="42385"/>
  <c r="CT345" i="42385" s="1"/>
  <c r="AP346" i="42385"/>
  <c r="CT346" i="42385" s="1"/>
  <c r="BM344" i="42385"/>
  <c r="BH345" i="42385"/>
  <c r="AU344" i="42385"/>
  <c r="DB926" i="42385"/>
  <c r="BK1481" i="42385"/>
  <c r="BO1481" i="42385" s="1"/>
  <c r="CY1481" i="42385" s="1"/>
  <c r="CX1381" i="42385"/>
  <c r="AY893" i="42385"/>
  <c r="AY897" i="42385"/>
  <c r="AY899" i="42385" s="1"/>
  <c r="BD892" i="42385"/>
  <c r="BB296" i="42385"/>
  <c r="BB901" i="42385"/>
  <c r="BB900" i="42385"/>
  <c r="BB902" i="42385"/>
  <c r="BJ923" i="42385"/>
  <c r="AS899" i="42385"/>
  <c r="AU897" i="42385"/>
  <c r="CU897" i="42385" s="1"/>
  <c r="CU185" i="42385"/>
  <c r="AZ185" i="42385"/>
  <c r="AV185" i="42385"/>
  <c r="AW185" i="42385" s="1"/>
  <c r="AX185" i="42385" s="1"/>
  <c r="AY185" i="42385" s="1"/>
  <c r="CU186" i="42385"/>
  <c r="AZ186" i="42385"/>
  <c r="AV186" i="42385"/>
  <c r="AW186" i="42385" s="1"/>
  <c r="AX186" i="42385" s="1"/>
  <c r="AY186" i="42385" s="1"/>
  <c r="AV181" i="42385"/>
  <c r="AW181" i="42385" s="1"/>
  <c r="AX181" i="42385" s="1"/>
  <c r="AY181" i="42385" s="1"/>
  <c r="AZ181" i="42385"/>
  <c r="CU181" i="42385"/>
  <c r="BF831" i="42385"/>
  <c r="BK830" i="42385"/>
  <c r="BF835" i="42385"/>
  <c r="BF837" i="42385" s="1"/>
  <c r="AX897" i="42385"/>
  <c r="BC892" i="42385"/>
  <c r="AX893" i="42385"/>
  <c r="AZ892" i="42385"/>
  <c r="CV175" i="42385"/>
  <c r="BA175" i="42385"/>
  <c r="BB175" i="42385" s="1"/>
  <c r="BC175" i="42385" s="1"/>
  <c r="BD175" i="42385" s="1"/>
  <c r="BE175" i="42385"/>
  <c r="BG928" i="42385"/>
  <c r="BG930" i="42385" s="1"/>
  <c r="BL923" i="42385"/>
  <c r="BG924" i="42385"/>
  <c r="AN901" i="42385"/>
  <c r="AN296" i="42385"/>
  <c r="AN900" i="42385"/>
  <c r="AN902" i="42385"/>
  <c r="AP899" i="42385"/>
  <c r="BM923" i="42385"/>
  <c r="BH928" i="42385"/>
  <c r="BH930" i="42385" s="1"/>
  <c r="BH924" i="42385"/>
  <c r="AZ297" i="42385"/>
  <c r="IQ900" i="42464" s="1"/>
  <c r="IR900" i="42464" s="1"/>
  <c r="IS900" i="42464" s="1"/>
  <c r="IT900" i="42464" s="1"/>
  <c r="IU900" i="42464" s="1"/>
  <c r="IU904" i="42464" s="1"/>
  <c r="IU905" i="42464" s="1"/>
  <c r="CA896" i="42385"/>
  <c r="DC896" i="42385" s="1"/>
  <c r="EJ450" i="42492"/>
  <c r="AT480" i="42385"/>
  <c r="AS1140" i="42385"/>
  <c r="BB297" i="42385"/>
  <c r="BB933" i="42385"/>
  <c r="BB931" i="42385"/>
  <c r="BB932" i="42385"/>
  <c r="BC933" i="42385"/>
  <c r="BC932" i="42385"/>
  <c r="BC297" i="42385"/>
  <c r="BC931" i="42385"/>
  <c r="CZ253" i="42417"/>
  <c r="CW118" i="42385"/>
  <c r="CU892" i="42385"/>
  <c r="AU893" i="42385"/>
  <c r="CU893" i="42385" s="1"/>
  <c r="AU894" i="42385"/>
  <c r="CU894" i="42385" s="1"/>
  <c r="BL892" i="42385"/>
  <c r="BG897" i="42385"/>
  <c r="BG899" i="42385" s="1"/>
  <c r="BG893" i="42385"/>
  <c r="BE174" i="42385"/>
  <c r="BA174" i="42385"/>
  <c r="BB174" i="42385" s="1"/>
  <c r="BC174" i="42385" s="1"/>
  <c r="BD174" i="42385" s="1"/>
  <c r="CV174" i="42385"/>
  <c r="CW133" i="42385"/>
  <c r="D11" i="42409"/>
  <c r="CF1174" i="42385"/>
  <c r="CF1175" i="42385" s="1"/>
  <c r="CF69" i="42385" s="1"/>
  <c r="CE1175" i="42385"/>
  <c r="CE69" i="42385" s="1"/>
  <c r="BX1383" i="42385"/>
  <c r="BY1383" i="42385" s="1"/>
  <c r="AW871" i="42385"/>
  <c r="AW870" i="42385"/>
  <c r="AW295" i="42385"/>
  <c r="AW303" i="42385" s="1"/>
  <c r="AW305" i="42385" s="1"/>
  <c r="AW869" i="42385"/>
  <c r="BK892" i="42385"/>
  <c r="BF893" i="42385"/>
  <c r="BF897" i="42385"/>
  <c r="BF899" i="42385" s="1"/>
  <c r="CX187" i="42385"/>
  <c r="BK187" i="42385"/>
  <c r="BL187" i="42385" s="1"/>
  <c r="BM187" i="42385" s="1"/>
  <c r="BN187" i="42385" s="1"/>
  <c r="BO187" i="42385"/>
  <c r="BB866" i="42385"/>
  <c r="BB868" i="42385" s="1"/>
  <c r="BG861" i="42385"/>
  <c r="BB862" i="42385"/>
  <c r="CB1199" i="42385"/>
  <c r="CC1199" i="42385" s="1"/>
  <c r="CD1199" i="42385" s="1"/>
  <c r="CE1199" i="42385" s="1"/>
  <c r="CF1199" i="42385" s="1"/>
  <c r="DC1199" i="42385"/>
  <c r="AQ295" i="42385"/>
  <c r="AQ871" i="42385"/>
  <c r="AQ869" i="42385"/>
  <c r="AQ870" i="42385"/>
  <c r="AU868" i="42385"/>
  <c r="BA866" i="42385"/>
  <c r="BA868" i="42385" s="1"/>
  <c r="BA862" i="42385"/>
  <c r="BF861" i="42385"/>
  <c r="CB1207" i="42385"/>
  <c r="CC1207" i="42385" s="1"/>
  <c r="CD1207" i="42385" s="1"/>
  <c r="CE1207" i="42385" s="1"/>
  <c r="CF1207" i="42385" s="1"/>
  <c r="DC1207" i="42385"/>
  <c r="BA901" i="42385"/>
  <c r="BA900" i="42385"/>
  <c r="BA902" i="42385"/>
  <c r="BA296" i="42385"/>
  <c r="BE1479" i="42385"/>
  <c r="CW1479" i="42385" s="1"/>
  <c r="BW1483" i="42385"/>
  <c r="BA172" i="42385"/>
  <c r="BB172" i="42385" s="1"/>
  <c r="BC172" i="42385" s="1"/>
  <c r="BD172" i="42385" s="1"/>
  <c r="CV172" i="42385"/>
  <c r="BE172" i="42385"/>
  <c r="CD1194" i="42385"/>
  <c r="CC1195" i="42385"/>
  <c r="AV868" i="42385"/>
  <c r="AZ866" i="42385"/>
  <c r="CV866" i="42385" s="1"/>
  <c r="AR305" i="42385"/>
  <c r="AR21" i="42385"/>
  <c r="AR30" i="42385" s="1"/>
  <c r="BE861" i="42385"/>
  <c r="AY1448" i="42385"/>
  <c r="AY1479" i="42385" s="1"/>
  <c r="AY1445" i="42385"/>
  <c r="AY1446" i="42385"/>
  <c r="AY1584" i="42385"/>
  <c r="AZ1586" i="42385"/>
  <c r="CV1572" i="42385"/>
  <c r="AZ1583" i="42385"/>
  <c r="AZ1591" i="42385"/>
  <c r="AZ1594" i="42385"/>
  <c r="AZ1634" i="42385"/>
  <c r="CV1634" i="42385" s="1"/>
  <c r="AY106" i="42385"/>
  <c r="AY114" i="42385" s="1"/>
  <c r="AY120" i="42385" s="1"/>
  <c r="AY1619" i="42385"/>
  <c r="AY93" i="42385"/>
  <c r="BD94" i="42385" s="1"/>
  <c r="BC199" i="42385"/>
  <c r="BC205" i="42385" s="1"/>
  <c r="BB199" i="42385"/>
  <c r="BB205" i="42385" s="1"/>
  <c r="BA199" i="42385"/>
  <c r="BA205" i="42385" s="1"/>
  <c r="AY199" i="42385"/>
  <c r="AZ1301" i="42385"/>
  <c r="F41" i="42465"/>
  <c r="CV1278" i="42385"/>
  <c r="AZ1642" i="42385"/>
  <c r="CV1642" i="42385" s="1"/>
  <c r="CD977" i="42385"/>
  <c r="CE976" i="42385"/>
  <c r="CD152" i="42400"/>
  <c r="CD167" i="42400" s="1"/>
  <c r="CD169" i="42400" s="1"/>
  <c r="CD988" i="42385" s="1"/>
  <c r="CD989" i="42385" s="1"/>
  <c r="CB137" i="42400"/>
  <c r="CA148" i="42400"/>
  <c r="CA926" i="42385" s="1"/>
  <c r="CC141" i="42400"/>
  <c r="CC142" i="42400"/>
  <c r="CC140" i="42400"/>
  <c r="CC134" i="42400"/>
  <c r="CC135" i="42400"/>
  <c r="CE917" i="42385"/>
  <c r="CD130" i="42400"/>
  <c r="CD920" i="42385"/>
  <c r="CB144" i="42400"/>
  <c r="CC244" i="42385"/>
  <c r="CC921" i="42385"/>
  <c r="BI23" i="42418"/>
  <c r="BL23" i="42418"/>
  <c r="CB298" i="42400"/>
  <c r="CB895" i="42385" s="1"/>
  <c r="CB896" i="42385" s="1"/>
  <c r="N33" i="42470"/>
  <c r="X209" i="42385"/>
  <c r="AZ92" i="42385"/>
  <c r="CV79" i="42385"/>
  <c r="AZ90" i="42385"/>
  <c r="AZ1648" i="42385"/>
  <c r="AH41" i="42464"/>
  <c r="AI33" i="42464"/>
  <c r="AB1501" i="42385"/>
  <c r="AH146" i="42492"/>
  <c r="CE1626" i="42385"/>
  <c r="BJ1626" i="42385"/>
  <c r="BI1628" i="42385"/>
  <c r="BL1546" i="42385"/>
  <c r="BL444" i="42385"/>
  <c r="BL445" i="42385"/>
  <c r="BL446" i="42385" s="1"/>
  <c r="BQ443" i="42385"/>
  <c r="BP1546" i="42385"/>
  <c r="BU443" i="42385"/>
  <c r="BP444" i="42385"/>
  <c r="BP445" i="42385"/>
  <c r="BP446" i="42385" s="1"/>
  <c r="BD205" i="42385"/>
  <c r="BE199" i="42385"/>
  <c r="BE205" i="42385" s="1"/>
  <c r="CA748" i="42385"/>
  <c r="BZ236" i="42385"/>
  <c r="DB236" i="42385" s="1"/>
  <c r="DB748" i="42385"/>
  <c r="DC995" i="42385"/>
  <c r="CB995" i="42385"/>
  <c r="CA1549" i="42385"/>
  <c r="DC1549" i="42385" s="1"/>
  <c r="BI1498" i="42385"/>
  <c r="BJ1498" i="42385" s="1"/>
  <c r="CX1498" i="42385" s="1"/>
  <c r="CW1604" i="42385"/>
  <c r="BE1605" i="42385"/>
  <c r="CW1605" i="42385" s="1"/>
  <c r="DC764" i="42385"/>
  <c r="CB764" i="42385"/>
  <c r="CC764" i="42385" s="1"/>
  <c r="CD764" i="42385" s="1"/>
  <c r="CE764" i="42385" s="1"/>
  <c r="CF764" i="42385" s="1"/>
  <c r="AY873" i="42385"/>
  <c r="BA872" i="42385"/>
  <c r="AY1535" i="42385"/>
  <c r="AZ1535" i="42385" s="1"/>
  <c r="CV1535" i="42385" s="1"/>
  <c r="BH445" i="42385"/>
  <c r="BH446" i="42385" s="1"/>
  <c r="BH444" i="42385"/>
  <c r="BM443" i="42385"/>
  <c r="BH1546" i="42385"/>
  <c r="BD1620" i="42385"/>
  <c r="BE1619" i="42385"/>
  <c r="CW1619" i="42385" s="1"/>
  <c r="AU1499" i="42385"/>
  <c r="CU1499" i="42385" s="1"/>
  <c r="CU1525" i="42385"/>
  <c r="DB1102" i="42385"/>
  <c r="CA1102" i="42385"/>
  <c r="BD122" i="42385"/>
  <c r="BD120" i="42385"/>
  <c r="BI443" i="42385"/>
  <c r="BD1546" i="42385"/>
  <c r="BD445" i="42385"/>
  <c r="BD446" i="42385" s="1"/>
  <c r="BE446" i="42385" s="1"/>
  <c r="CW446" i="42385" s="1"/>
  <c r="BD444" i="42385"/>
  <c r="BE443" i="42385"/>
  <c r="BX1382" i="42385"/>
  <c r="BY1382" i="42385" s="1"/>
  <c r="G46" i="42465"/>
  <c r="G45" i="42465" s="1"/>
  <c r="CW1301" i="42385"/>
  <c r="BE1330" i="42385"/>
  <c r="AV1525" i="42385"/>
  <c r="AW1523" i="42385"/>
  <c r="BQ995" i="42385"/>
  <c r="BP1549" i="42385"/>
  <c r="BP997" i="42385"/>
  <c r="BP996" i="42385"/>
  <c r="BD1658" i="42385"/>
  <c r="BI94" i="42385"/>
  <c r="P20" i="42476"/>
  <c r="FL419" i="42417"/>
  <c r="FN419" i="42417"/>
  <c r="AZ872" i="42385"/>
  <c r="BO1243" i="42385"/>
  <c r="BO1260" i="42385" s="1"/>
  <c r="O33" i="42470"/>
  <c r="EJ456" i="42492"/>
  <c r="DA246" i="42385"/>
  <c r="CE915" i="42385"/>
  <c r="CE131" i="42400"/>
  <c r="CE146" i="42400" s="1"/>
  <c r="CF914" i="42385"/>
  <c r="DA767" i="42385"/>
  <c r="BY768" i="42385"/>
  <c r="DA768" i="42385" s="1"/>
  <c r="BZ767" i="42385"/>
  <c r="BY771" i="42385"/>
  <c r="DA771" i="42385" s="1"/>
  <c r="DB649" i="42385"/>
  <c r="CA649" i="42385"/>
  <c r="CE84" i="42400"/>
  <c r="CE99" i="42400" s="1"/>
  <c r="CF821" i="42385"/>
  <c r="CF84" i="42400" s="1"/>
  <c r="CF99" i="42400" s="1"/>
  <c r="BE612" i="42385"/>
  <c r="CW612" i="42385" s="1"/>
  <c r="BF612" i="42385"/>
  <c r="BG612" i="42385" s="1"/>
  <c r="BH612" i="42385" s="1"/>
  <c r="BI612" i="42385" s="1"/>
  <c r="IR772" i="42417"/>
  <c r="IU772" i="42417"/>
  <c r="BZ983" i="42385"/>
  <c r="DB983" i="42385" s="1"/>
  <c r="BZ996" i="42385"/>
  <c r="DB996" i="42385" s="1"/>
  <c r="BZ246" i="42385"/>
  <c r="DB982" i="42385"/>
  <c r="BD868" i="42385"/>
  <c r="CE701" i="42385"/>
  <c r="CD682" i="42385"/>
  <c r="BH831" i="42385"/>
  <c r="BM830" i="42385"/>
  <c r="BH835" i="42385"/>
  <c r="BW287" i="42385"/>
  <c r="BY287" i="42385" s="1"/>
  <c r="BW776" i="42385"/>
  <c r="BW775" i="42385"/>
  <c r="BY774" i="42385"/>
  <c r="AX838" i="42385"/>
  <c r="AX839" i="42385"/>
  <c r="AX294" i="42385"/>
  <c r="AX840" i="42385"/>
  <c r="AZ837" i="42385"/>
  <c r="DC1155" i="42385"/>
  <c r="CB1155" i="42385"/>
  <c r="CC1155" i="42385" s="1"/>
  <c r="CD1155" i="42385" s="1"/>
  <c r="CE1155" i="42385" s="1"/>
  <c r="CF1155" i="42385" s="1"/>
  <c r="BA190" i="42385"/>
  <c r="BB190" i="42385" s="1"/>
  <c r="BC190" i="42385" s="1"/>
  <c r="BD190" i="42385" s="1"/>
  <c r="BE190" i="42385"/>
  <c r="CV190" i="42385"/>
  <c r="CA982" i="42385"/>
  <c r="DC981" i="42385"/>
  <c r="CB981" i="42385"/>
  <c r="AU840" i="42385"/>
  <c r="AU839" i="42385"/>
  <c r="CU839" i="42385" s="1"/>
  <c r="CU837" i="42385"/>
  <c r="AU838" i="42385"/>
  <c r="CU838" i="42385" s="1"/>
  <c r="BT776" i="42385"/>
  <c r="CZ776" i="42385" s="1"/>
  <c r="CZ774" i="42385"/>
  <c r="BT775" i="42385"/>
  <c r="CZ775" i="42385" s="1"/>
  <c r="G26" i="42412"/>
  <c r="I24" i="42412"/>
  <c r="I23" i="42412" s="1"/>
  <c r="AU176" i="42385"/>
  <c r="AQ176" i="42385"/>
  <c r="AR176" i="42385" s="1"/>
  <c r="AS176" i="42385" s="1"/>
  <c r="AT176" i="42385" s="1"/>
  <c r="CT176" i="42385"/>
  <c r="G14" i="42412"/>
  <c r="I13" i="42412"/>
  <c r="BI862" i="42385"/>
  <c r="BN861" i="42385"/>
  <c r="BI866" i="42385"/>
  <c r="BI868" i="42385" s="1"/>
  <c r="BW1478" i="42385"/>
  <c r="BX1378" i="42385"/>
  <c r="BY1378" i="42385" s="1"/>
  <c r="DB763" i="42385"/>
  <c r="CA763" i="42385"/>
  <c r="BC837" i="42385"/>
  <c r="BE835" i="42385"/>
  <c r="CW835" i="42385" s="1"/>
  <c r="CX1400" i="42385"/>
  <c r="BK1400" i="42385"/>
  <c r="CD60" i="42400"/>
  <c r="CD73" i="42400" s="1"/>
  <c r="CE852" i="42385"/>
  <c r="AK382" i="42385"/>
  <c r="CS382" i="42385" s="1"/>
  <c r="CS376" i="42385"/>
  <c r="AK377" i="42385"/>
  <c r="L50" i="42405"/>
  <c r="L43" i="42405"/>
  <c r="L44" i="42405" s="1"/>
  <c r="L54" i="42405" s="1"/>
  <c r="L52" i="42405" s="1"/>
  <c r="BX696" i="42385"/>
  <c r="BX697" i="42385"/>
  <c r="BX283" i="42385"/>
  <c r="BY283" i="42385" s="1"/>
  <c r="V373" i="42385"/>
  <c r="U375" i="42385"/>
  <c r="U374" i="42385"/>
  <c r="Z375" i="42385"/>
  <c r="L34" i="42405"/>
  <c r="L37" i="42405" s="1"/>
  <c r="BN1266" i="42385"/>
  <c r="BN1263" i="42385" s="1"/>
  <c r="BN1262" i="42385"/>
  <c r="K43" i="42405"/>
  <c r="K44" i="42405" s="1"/>
  <c r="K50" i="42405"/>
  <c r="BQ114" i="42385"/>
  <c r="BQ118" i="42385"/>
  <c r="BQ1500" i="42385"/>
  <c r="BQ1575" i="42385" s="1"/>
  <c r="BQ1577" i="42385" s="1"/>
  <c r="W382" i="42385"/>
  <c r="W373" i="42385"/>
  <c r="AA376" i="42385"/>
  <c r="AU956" i="42385"/>
  <c r="CU956" i="42385" s="1"/>
  <c r="CU954" i="42385"/>
  <c r="AU955" i="42385"/>
  <c r="CU955" i="42385" s="1"/>
  <c r="CX54" i="42385"/>
  <c r="BO55" i="42385"/>
  <c r="CY55" i="42385" s="1"/>
  <c r="BJ56" i="42385"/>
  <c r="CX56" i="42385" s="1"/>
  <c r="BJ55" i="42385"/>
  <c r="CX55" i="42385" s="1"/>
  <c r="BJ1663" i="42385"/>
  <c r="BS1511" i="42385"/>
  <c r="BT1509" i="42385"/>
  <c r="BD483" i="42385"/>
  <c r="BF484" i="42385"/>
  <c r="BZ618" i="42385"/>
  <c r="BY619" i="42385"/>
  <c r="DA619" i="42385" s="1"/>
  <c r="DA618" i="42385"/>
  <c r="CY1575" i="42385"/>
  <c r="BO1577" i="42385"/>
  <c r="CY1577" i="42385" s="1"/>
  <c r="Y84" i="42492"/>
  <c r="BO1244" i="42385"/>
  <c r="CY1244" i="42385" s="1"/>
  <c r="BX371" i="42385"/>
  <c r="BX219" i="42385"/>
  <c r="BY219" i="42385" s="1"/>
  <c r="BY370" i="42385"/>
  <c r="BI121" i="42385"/>
  <c r="BI1656" i="42385"/>
  <c r="U48" i="42476"/>
  <c r="U50" i="42476" s="1"/>
  <c r="AT962" i="42385"/>
  <c r="AT964" i="42385"/>
  <c r="AT963" i="42385"/>
  <c r="AT298" i="42385"/>
  <c r="CE165" i="42400"/>
  <c r="AL382" i="42385"/>
  <c r="AL373" i="42385"/>
  <c r="F48" i="42476"/>
  <c r="F50" i="42476" s="1"/>
  <c r="AT121" i="42385"/>
  <c r="AT1656" i="42385"/>
  <c r="CT189" i="42385"/>
  <c r="AQ189" i="42385"/>
  <c r="AR189" i="42385" s="1"/>
  <c r="AS189" i="42385" s="1"/>
  <c r="AT189" i="42385" s="1"/>
  <c r="AU189" i="42385"/>
  <c r="CZ370" i="42385"/>
  <c r="BT371" i="42385"/>
  <c r="CZ371" i="42385" s="1"/>
  <c r="AS961" i="42385"/>
  <c r="AU959" i="42385"/>
  <c r="CU959" i="42385" s="1"/>
  <c r="AN373" i="42385"/>
  <c r="AI375" i="42385"/>
  <c r="AI374" i="42385"/>
  <c r="CC661" i="42385"/>
  <c r="CB673" i="42385"/>
  <c r="CB680" i="42385"/>
  <c r="CB691" i="42385" s="1"/>
  <c r="BP122" i="42385"/>
  <c r="BP120" i="42385"/>
  <c r="AN298" i="42385"/>
  <c r="AP961" i="42385"/>
  <c r="AN964" i="42385"/>
  <c r="AN963" i="42385"/>
  <c r="AN962" i="42385"/>
  <c r="CA674" i="42385"/>
  <c r="CA675" i="42385" s="1"/>
  <c r="CB677" i="42385"/>
  <c r="AY955" i="42385"/>
  <c r="AY959" i="42385"/>
  <c r="AY961" i="42385" s="1"/>
  <c r="EJ445" i="42492"/>
  <c r="DA230" i="42385"/>
  <c r="BP1238" i="42385"/>
  <c r="BQ1237" i="42385"/>
  <c r="BP1241" i="42385"/>
  <c r="CB770" i="42385"/>
  <c r="CC770" i="42385" s="1"/>
  <c r="CD770" i="42385" s="1"/>
  <c r="CE770" i="42385" s="1"/>
  <c r="CF770" i="42385" s="1"/>
  <c r="DC770" i="42385"/>
  <c r="BZ693" i="42385"/>
  <c r="BZ695" i="42385" s="1"/>
  <c r="BZ676" i="42385"/>
  <c r="BZ233" i="42385"/>
  <c r="AE113" i="42408"/>
  <c r="AJ382" i="42385"/>
  <c r="AJ373" i="42385"/>
  <c r="AK373" i="42385" s="1"/>
  <c r="CW257" i="42417"/>
  <c r="CW254" i="42417"/>
  <c r="X382" i="42385"/>
  <c r="X373" i="42385"/>
  <c r="EI443" i="42492"/>
  <c r="CZ219" i="42385"/>
  <c r="BC954" i="42385"/>
  <c r="AZ954" i="42385"/>
  <c r="AX959" i="42385"/>
  <c r="AX955" i="42385"/>
  <c r="AS1001" i="42385"/>
  <c r="AR1139" i="42385"/>
  <c r="J54" i="42405"/>
  <c r="J52" i="42405" s="1"/>
  <c r="J47" i="42405" s="1"/>
  <c r="BR1511" i="42385"/>
  <c r="Z98" i="42408"/>
  <c r="Z101" i="42408" s="1"/>
  <c r="Z104" i="42408" s="1"/>
  <c r="GN524" i="42417"/>
  <c r="AO21" i="42385"/>
  <c r="AO30" i="42385" s="1"/>
  <c r="AO305" i="42385"/>
  <c r="BC487" i="42385"/>
  <c r="BC223" i="42385"/>
  <c r="BC489" i="42385"/>
  <c r="BP1575" i="42385"/>
  <c r="BP1577" i="42385" s="1"/>
  <c r="BP1579" i="42385" s="1"/>
  <c r="CY1603" i="42385"/>
  <c r="BO1604" i="42385"/>
  <c r="AX417" i="42385"/>
  <c r="AY416" i="42385"/>
  <c r="AX1530" i="42385"/>
  <c r="BM122" i="42385"/>
  <c r="BM120" i="42385"/>
  <c r="CY1237" i="42385"/>
  <c r="BO1238" i="42385"/>
  <c r="CY1238" i="42385" s="1"/>
  <c r="BB491" i="42385"/>
  <c r="BB270" i="42385"/>
  <c r="BB490" i="42385"/>
  <c r="BZ369" i="42385"/>
  <c r="DA369" i="42385"/>
  <c r="P1476" i="42385"/>
  <c r="Q1445" i="42385"/>
  <c r="CO1445" i="42385" s="1"/>
  <c r="L1301" i="42385"/>
  <c r="CN1278" i="42385"/>
  <c r="L1642" i="42385"/>
  <c r="CN1642" i="42385" s="1"/>
  <c r="BU1436" i="42385"/>
  <c r="BV1436" i="42385" s="1"/>
  <c r="BW1436" i="42385" s="1"/>
  <c r="BX1436" i="42385" s="1"/>
  <c r="BY1436" i="42385" s="1"/>
  <c r="CZ1436" i="42385"/>
  <c r="BZ650" i="42385"/>
  <c r="DB650" i="42385" s="1"/>
  <c r="CA640" i="42385"/>
  <c r="BZ231" i="42385"/>
  <c r="DB231" i="42385" s="1"/>
  <c r="DB640" i="42385"/>
  <c r="BZ647" i="42385"/>
  <c r="S209" i="42385"/>
  <c r="S211" i="42385"/>
  <c r="BD933" i="42385"/>
  <c r="BD932" i="42385"/>
  <c r="BD931" i="42385"/>
  <c r="BD297" i="42385"/>
  <c r="CN90" i="42385"/>
  <c r="L93" i="42385"/>
  <c r="L94" i="42385" s="1"/>
  <c r="CN94" i="42385" s="1"/>
  <c r="D8" i="42472"/>
  <c r="D15" i="42472" s="1"/>
  <c r="D24" i="42472" s="1"/>
  <c r="BY648" i="42385"/>
  <c r="DA648" i="42385" s="1"/>
  <c r="DA647" i="42385"/>
  <c r="AG407" i="42385"/>
  <c r="AH408" i="42385"/>
  <c r="AA199" i="42385"/>
  <c r="AA205" i="42385" s="1"/>
  <c r="Z205" i="42385"/>
  <c r="BF1660" i="42385"/>
  <c r="BF1583" i="42385"/>
  <c r="R34" i="42476"/>
  <c r="CQ90" i="42385"/>
  <c r="AA93" i="42385"/>
  <c r="AA94" i="42385" s="1"/>
  <c r="CQ94" i="42385" s="1"/>
  <c r="G8" i="42472"/>
  <c r="G15" i="42472" s="1"/>
  <c r="G24" i="42472" s="1"/>
  <c r="CF395" i="42385"/>
  <c r="CF398" i="42385" s="1"/>
  <c r="CE398" i="42385"/>
  <c r="BE801" i="42385"/>
  <c r="CW801" i="42385" s="1"/>
  <c r="CW799" i="42385"/>
  <c r="BE800" i="42385"/>
  <c r="CW800" i="42385" s="1"/>
  <c r="M209" i="42385"/>
  <c r="M211" i="42385"/>
  <c r="K1658" i="42385"/>
  <c r="P94" i="42385"/>
  <c r="K94" i="42385"/>
  <c r="BO57" i="42418"/>
  <c r="CD241" i="42385"/>
  <c r="CD828" i="42385"/>
  <c r="DB985" i="42385"/>
  <c r="BZ986" i="42385"/>
  <c r="DB986" i="42385" s="1"/>
  <c r="CA985" i="42385"/>
  <c r="BZ990" i="42385"/>
  <c r="CO1278" i="42385"/>
  <c r="Q1642" i="42385"/>
  <c r="CO1642" i="42385" s="1"/>
  <c r="Q1301" i="42385"/>
  <c r="BG1504" i="42385"/>
  <c r="BG1564" i="42385"/>
  <c r="BG1406" i="42385"/>
  <c r="BG1424" i="42385" s="1"/>
  <c r="CY1620" i="42385"/>
  <c r="BO1627" i="42385"/>
  <c r="CB1111" i="42385"/>
  <c r="CC1111" i="42385" s="1"/>
  <c r="CD1111" i="42385" s="1"/>
  <c r="CE1111" i="42385" s="1"/>
  <c r="CF1111" i="42385" s="1"/>
  <c r="DC1111" i="42385"/>
  <c r="CE275" i="42400"/>
  <c r="CF886" i="42385"/>
  <c r="CE888" i="42385"/>
  <c r="CE889" i="42385" s="1"/>
  <c r="AA1587" i="42385"/>
  <c r="CQ1587" i="42385" s="1"/>
  <c r="CQ1586" i="42385"/>
  <c r="AU808" i="42385"/>
  <c r="CU808" i="42385" s="1"/>
  <c r="AU807" i="42385"/>
  <c r="CU807" i="42385" s="1"/>
  <c r="GU547" i="42417"/>
  <c r="GU546" i="42417" s="1"/>
  <c r="GV546" i="42417" s="1"/>
  <c r="GV547" i="42417" s="1"/>
  <c r="GV549" i="42417" s="1"/>
  <c r="AU809" i="42385"/>
  <c r="CU806" i="42385"/>
  <c r="Q199" i="42385"/>
  <c r="Q205" i="42385" s="1"/>
  <c r="P205" i="42385"/>
  <c r="O114" i="42385"/>
  <c r="Q106" i="42385"/>
  <c r="CO106" i="42385" s="1"/>
  <c r="BI924" i="42385"/>
  <c r="BN923" i="42385"/>
  <c r="BI928" i="42385"/>
  <c r="BI930" i="42385" s="1"/>
  <c r="BO1177" i="42385"/>
  <c r="CY1171" i="42385"/>
  <c r="CC95" i="42400"/>
  <c r="CC101" i="42400" s="1"/>
  <c r="CC833" i="42385" s="1"/>
  <c r="CC834" i="42385" s="1"/>
  <c r="DA281" i="42385"/>
  <c r="X1658" i="42385"/>
  <c r="AC94" i="42385"/>
  <c r="X94" i="42385"/>
  <c r="AY1613" i="42385"/>
  <c r="AY1614" i="42385" s="1"/>
  <c r="AZ1614" i="42385" s="1"/>
  <c r="CV1614" i="42385" s="1"/>
  <c r="AX1614" i="42385"/>
  <c r="BN799" i="42385"/>
  <c r="BI804" i="42385"/>
  <c r="BI800" i="42385"/>
  <c r="L199" i="42385"/>
  <c r="L205" i="42385" s="1"/>
  <c r="K205" i="42385"/>
  <c r="Z1476" i="42385"/>
  <c r="AA1445" i="42385"/>
  <c r="CQ1445" i="42385" s="1"/>
  <c r="CE827" i="42385"/>
  <c r="CE83" i="42400"/>
  <c r="CF824" i="42385"/>
  <c r="DC713" i="42385"/>
  <c r="CB713" i="42385"/>
  <c r="CC713" i="42385" s="1"/>
  <c r="CD713" i="42385" s="1"/>
  <c r="CE713" i="42385" s="1"/>
  <c r="CF713" i="42385" s="1"/>
  <c r="BD758" i="42385"/>
  <c r="BC1538" i="42385"/>
  <c r="BC759" i="42385"/>
  <c r="BG1591" i="42385"/>
  <c r="BG1592" i="42385" s="1"/>
  <c r="BG1593" i="42385"/>
  <c r="BG1594" i="42385" s="1"/>
  <c r="BG1595" i="42385" s="1"/>
  <c r="BO94" i="42385"/>
  <c r="CY94" i="42385" s="1"/>
  <c r="BO1658" i="42385"/>
  <c r="AA20" i="42476"/>
  <c r="CY93" i="42385"/>
  <c r="CO1591" i="42385"/>
  <c r="Q1592" i="42385"/>
  <c r="CO1592" i="42385" s="1"/>
  <c r="L1447" i="42385"/>
  <c r="CN1447" i="42385" s="1"/>
  <c r="K1478" i="42385"/>
  <c r="L1478" i="42385" s="1"/>
  <c r="CN1478" i="42385" s="1"/>
  <c r="BJ164" i="42417"/>
  <c r="BP186" i="42417" s="1"/>
  <c r="P1478" i="42385"/>
  <c r="Q1478" i="42385" s="1"/>
  <c r="CO1478" i="42385" s="1"/>
  <c r="Q1447" i="42385"/>
  <c r="CO1447" i="42385" s="1"/>
  <c r="BN1399" i="42385"/>
  <c r="BN1497" i="42385" s="1"/>
  <c r="BO1497" i="42385" s="1"/>
  <c r="CY1497" i="42385" s="1"/>
  <c r="BT997" i="42385"/>
  <c r="CZ997" i="42385" s="1"/>
  <c r="CZ992" i="42385"/>
  <c r="BT299" i="42385"/>
  <c r="CZ299" i="42385" s="1"/>
  <c r="BT993" i="42385"/>
  <c r="CZ993" i="42385" s="1"/>
  <c r="BT994" i="42385"/>
  <c r="CZ994" i="42385" s="1"/>
  <c r="CC285" i="42400"/>
  <c r="R211" i="42385"/>
  <c r="R209" i="42385"/>
  <c r="S1620" i="42385"/>
  <c r="S1627" i="42385" s="1"/>
  <c r="S1628" i="42385" s="1"/>
  <c r="P1620" i="42385"/>
  <c r="O1620" i="42385"/>
  <c r="O1627" i="42385" s="1"/>
  <c r="O1628" i="42385" s="1"/>
  <c r="R1620" i="42385"/>
  <c r="R1627" i="42385" s="1"/>
  <c r="R1628" i="42385" s="1"/>
  <c r="Q1619" i="42385"/>
  <c r="CO1619" i="42385" s="1"/>
  <c r="CR407" i="42385"/>
  <c r="B35" i="42407"/>
  <c r="AF414" i="42385"/>
  <c r="CR414" i="42385" s="1"/>
  <c r="CN1591" i="42385"/>
  <c r="L1592" i="42385"/>
  <c r="CN1592" i="42385" s="1"/>
  <c r="Z1620" i="42385"/>
  <c r="AA1619" i="42385"/>
  <c r="CQ1619" i="42385" s="1"/>
  <c r="Y1620" i="42385"/>
  <c r="Y1627" i="42385" s="1"/>
  <c r="Y1628" i="42385" s="1"/>
  <c r="X1620" i="42385"/>
  <c r="X1627" i="42385" s="1"/>
  <c r="X1628" i="42385" s="1"/>
  <c r="AP1357" i="42385"/>
  <c r="AO1364" i="42385"/>
  <c r="BY718" i="42385"/>
  <c r="DA718" i="42385" s="1"/>
  <c r="BY719" i="42385"/>
  <c r="DA719" i="42385" s="1"/>
  <c r="DA717" i="42385"/>
  <c r="M1620" i="42385"/>
  <c r="M1627" i="42385" s="1"/>
  <c r="M1628" i="42385" s="1"/>
  <c r="K1620" i="42385"/>
  <c r="L1619" i="42385"/>
  <c r="CN1619" i="42385" s="1"/>
  <c r="N1620" i="42385"/>
  <c r="N1627" i="42385" s="1"/>
  <c r="N1628" i="42385" s="1"/>
  <c r="Z1479" i="42385"/>
  <c r="AA1479" i="42385" s="1"/>
  <c r="CQ1479" i="42385" s="1"/>
  <c r="AA1448" i="42385"/>
  <c r="CQ1448" i="42385" s="1"/>
  <c r="BY992" i="42385"/>
  <c r="DA990" i="42385"/>
  <c r="BB935" i="42385"/>
  <c r="BB1533" i="42385"/>
  <c r="BC934" i="42385"/>
  <c r="BF479" i="42385"/>
  <c r="CW479" i="42385"/>
  <c r="Q92" i="42385"/>
  <c r="CO92" i="42385" s="1"/>
  <c r="CO79" i="42385"/>
  <c r="F13" i="42409"/>
  <c r="F15" i="42409" s="1"/>
  <c r="E31" i="42409"/>
  <c r="D31" i="42409" s="1"/>
  <c r="C31" i="42409" s="1"/>
  <c r="B31" i="42409" s="1"/>
  <c r="E15" i="42409"/>
  <c r="G28" i="42409"/>
  <c r="BK729" i="42385"/>
  <c r="BM729" i="42385"/>
  <c r="BL729" i="42385"/>
  <c r="BN729" i="42385"/>
  <c r="BO732" i="42385"/>
  <c r="BO733" i="42385" s="1"/>
  <c r="CD291" i="42400"/>
  <c r="CD282" i="42400"/>
  <c r="CD280" i="42400"/>
  <c r="CD289" i="42400"/>
  <c r="CD281" i="42400"/>
  <c r="CD288" i="42400"/>
  <c r="CD283" i="42400"/>
  <c r="CD292" i="42400"/>
  <c r="CD290" i="42400"/>
  <c r="CD279" i="42400"/>
  <c r="BU1484" i="42385"/>
  <c r="BV1384" i="42385"/>
  <c r="AA1592" i="42385"/>
  <c r="CQ1592" i="42385" s="1"/>
  <c r="CQ1591" i="42385"/>
  <c r="CQ1583" i="42385"/>
  <c r="AA1584" i="42385"/>
  <c r="CQ1584" i="42385" s="1"/>
  <c r="L1448" i="42385"/>
  <c r="CN1448" i="42385" s="1"/>
  <c r="K1479" i="42385"/>
  <c r="L1479" i="42385" s="1"/>
  <c r="CN1479" i="42385" s="1"/>
  <c r="FK417" i="42417"/>
  <c r="E11" i="42464"/>
  <c r="FI417" i="42417"/>
  <c r="CT297" i="42385"/>
  <c r="GO519" i="42417"/>
  <c r="AX810" i="42385"/>
  <c r="AW811" i="42385"/>
  <c r="AW1531" i="42385"/>
  <c r="P1479" i="42385"/>
  <c r="Q1479" i="42385" s="1"/>
  <c r="CO1479" i="42385" s="1"/>
  <c r="Q1448" i="42385"/>
  <c r="CO1448" i="42385" s="1"/>
  <c r="BB1540" i="42385"/>
  <c r="BC777" i="42385"/>
  <c r="BB778" i="42385"/>
  <c r="BZ717" i="42385"/>
  <c r="BZ234" i="42385"/>
  <c r="DB234" i="42385" s="1"/>
  <c r="BZ714" i="42385"/>
  <c r="DB714" i="42385" s="1"/>
  <c r="DB710" i="42385"/>
  <c r="CA710" i="42385"/>
  <c r="CC294" i="42400"/>
  <c r="BZ1480" i="42385"/>
  <c r="DB1480" i="42385" s="1"/>
  <c r="CA1380" i="42385"/>
  <c r="DB1380" i="42385"/>
  <c r="O211" i="42385"/>
  <c r="O209" i="42385"/>
  <c r="O1658" i="42385"/>
  <c r="O94" i="42385"/>
  <c r="AY296" i="42385"/>
  <c r="AY901" i="42385"/>
  <c r="AY900" i="42385"/>
  <c r="AY902" i="42385"/>
  <c r="CA1457" i="42385"/>
  <c r="CA1488" i="42385" s="1"/>
  <c r="BZ1488" i="42385"/>
  <c r="CN1583" i="42385"/>
  <c r="L1584" i="42385"/>
  <c r="CN1584" i="42385" s="1"/>
  <c r="AW966" i="42385"/>
  <c r="AX965" i="42385"/>
  <c r="AW1539" i="42385"/>
  <c r="CN79" i="42385"/>
  <c r="L92" i="42385"/>
  <c r="CN92" i="42385" s="1"/>
  <c r="AE414" i="42385"/>
  <c r="AE404" i="42385"/>
  <c r="Y209" i="42385"/>
  <c r="Y211" i="42385"/>
  <c r="X114" i="42385"/>
  <c r="AA106" i="42385"/>
  <c r="CQ106" i="42385" s="1"/>
  <c r="AA92" i="42385"/>
  <c r="CQ92" i="42385" s="1"/>
  <c r="CQ79" i="42385"/>
  <c r="GD519" i="42464"/>
  <c r="GD539" i="42464"/>
  <c r="GD547" i="42464" s="1"/>
  <c r="DA284" i="42385"/>
  <c r="B17" i="42408"/>
  <c r="G17" i="42408" s="1"/>
  <c r="BD806" i="42385"/>
  <c r="BE804" i="42385"/>
  <c r="CW804" i="42385" s="1"/>
  <c r="N209" i="42385"/>
  <c r="N211" i="42385"/>
  <c r="K114" i="42385"/>
  <c r="L106" i="42385"/>
  <c r="CN106" i="42385" s="1"/>
  <c r="Z1478" i="42385"/>
  <c r="AA1478" i="42385" s="1"/>
  <c r="CQ1478" i="42385" s="1"/>
  <c r="AA1447" i="42385"/>
  <c r="CQ1447" i="42385" s="1"/>
  <c r="CD97" i="42400"/>
  <c r="CD87" i="42400"/>
  <c r="CD93" i="42400"/>
  <c r="CD91" i="42400"/>
  <c r="CD90" i="42400"/>
  <c r="CD88" i="42400"/>
  <c r="CD92" i="42400"/>
  <c r="CD89" i="42400"/>
  <c r="AD405" i="42385"/>
  <c r="AD406" i="42385"/>
  <c r="BW1551" i="42385"/>
  <c r="BX576" i="42385"/>
  <c r="BX1551" i="42385" s="1"/>
  <c r="AA1301" i="42385"/>
  <c r="CQ1278" i="42385"/>
  <c r="AA1642" i="42385"/>
  <c r="CQ1642" i="42385" s="1"/>
  <c r="BI1382" i="42385"/>
  <c r="BI1482" i="42385" s="1"/>
  <c r="BJ1482" i="42385" s="1"/>
  <c r="CX1482" i="42385" s="1"/>
  <c r="BH1563" i="42385"/>
  <c r="BH1402" i="42385"/>
  <c r="E8" i="42472"/>
  <c r="E15" i="42472" s="1"/>
  <c r="E24" i="42472" s="1"/>
  <c r="Q93" i="42385"/>
  <c r="CO90" i="42385"/>
  <c r="BE1446" i="42385"/>
  <c r="CW1446" i="42385" s="1"/>
  <c r="BE1445" i="42385"/>
  <c r="CW1445" i="42385" s="1"/>
  <c r="BE1448" i="42385"/>
  <c r="CW1448" i="42385" s="1"/>
  <c r="CW1583" i="42385"/>
  <c r="Q1584" i="42385"/>
  <c r="CO1584" i="42385" s="1"/>
  <c r="CO1583" i="42385"/>
  <c r="AY809" i="42385"/>
  <c r="AY293" i="42385"/>
  <c r="AY808" i="42385"/>
  <c r="AY807" i="42385"/>
  <c r="AZ806" i="42385"/>
  <c r="CD890" i="42385"/>
  <c r="CD243" i="42385"/>
  <c r="BO8" i="42418"/>
  <c r="CQ1594" i="42385"/>
  <c r="AA1595" i="42385"/>
  <c r="CQ1595" i="42385" s="1"/>
  <c r="L1445" i="42385"/>
  <c r="CN1445" i="42385" s="1"/>
  <c r="K1476" i="42385"/>
  <c r="Q911" i="42385"/>
  <c r="CO910" i="42385"/>
  <c r="AE132" i="42424"/>
  <c r="AE145" i="42424"/>
  <c r="P942" i="42385"/>
  <c r="P943" i="42385" s="1"/>
  <c r="Q941" i="42385"/>
  <c r="CM93" i="42385"/>
  <c r="G1658" i="42385"/>
  <c r="BK293" i="42385"/>
  <c r="BK808" i="42385"/>
  <c r="BK809" i="42385"/>
  <c r="BK807" i="42385"/>
  <c r="CF59" i="42400"/>
  <c r="CF858" i="42385"/>
  <c r="BH744" i="42385"/>
  <c r="CO1084" i="42385"/>
  <c r="Q1085" i="42385"/>
  <c r="CD71" i="42400"/>
  <c r="BU1235" i="42385"/>
  <c r="BS1236" i="42385"/>
  <c r="CX1380" i="42385"/>
  <c r="BK1480" i="42385"/>
  <c r="BO1480" i="42385" s="1"/>
  <c r="CY1480" i="42385" s="1"/>
  <c r="BQ286" i="42385"/>
  <c r="BT286" i="42385" s="1"/>
  <c r="CZ286" i="42385" s="1"/>
  <c r="BQ757" i="42385"/>
  <c r="BQ756" i="42385"/>
  <c r="BT755" i="42385"/>
  <c r="R783" i="42385"/>
  <c r="R845" i="42385"/>
  <c r="R326" i="42385"/>
  <c r="R762" i="42385"/>
  <c r="R705" i="42385"/>
  <c r="R938" i="42385"/>
  <c r="R907" i="42385"/>
  <c r="R876" i="42385"/>
  <c r="S320" i="42385"/>
  <c r="R1000" i="42385"/>
  <c r="R1003" i="42385" s="1"/>
  <c r="R1004" i="42385" s="1"/>
  <c r="R1005" i="42385" s="1"/>
  <c r="R478" i="42385"/>
  <c r="R481" i="42385" s="1"/>
  <c r="R388" i="42385"/>
  <c r="R391" i="42385" s="1"/>
  <c r="R1138" i="42385"/>
  <c r="R1141" i="42385" s="1"/>
  <c r="R1081" i="42385"/>
  <c r="R360" i="42385"/>
  <c r="R743" i="42385"/>
  <c r="R814" i="42385"/>
  <c r="BL324" i="42424"/>
  <c r="BK357" i="42424"/>
  <c r="BL357" i="42424" s="1"/>
  <c r="BL331" i="42424" s="1"/>
  <c r="BK368" i="42424"/>
  <c r="BL368" i="42424" s="1"/>
  <c r="CE242" i="42385"/>
  <c r="CE859" i="42385"/>
  <c r="BR92" i="42418"/>
  <c r="CY755" i="42385"/>
  <c r="BO756" i="42385"/>
  <c r="CY756" i="42385" s="1"/>
  <c r="BO757" i="42385"/>
  <c r="CY757" i="42385" s="1"/>
  <c r="BK354" i="42424"/>
  <c r="BK365" i="42424"/>
  <c r="CO817" i="42385"/>
  <c r="Q818" i="42385"/>
  <c r="BO93" i="42418"/>
  <c r="BV755" i="42385"/>
  <c r="BV752" i="42385"/>
  <c r="BY751" i="42385"/>
  <c r="BU799" i="42385"/>
  <c r="BP804" i="42385"/>
  <c r="BP806" i="42385" s="1"/>
  <c r="BP800" i="42385"/>
  <c r="BK364" i="42424"/>
  <c r="BL364" i="42424" s="1"/>
  <c r="BK353" i="42424"/>
  <c r="BL353" i="42424" s="1"/>
  <c r="BL329" i="42424" s="1"/>
  <c r="P364" i="42385"/>
  <c r="P365" i="42385" s="1"/>
  <c r="Q363" i="42385"/>
  <c r="Q848" i="42385"/>
  <c r="BT1235" i="42385"/>
  <c r="AL1432" i="42385"/>
  <c r="AL1477" i="42385" s="1"/>
  <c r="E120" i="42385"/>
  <c r="E1656" i="42385" s="1"/>
  <c r="G114" i="42385"/>
  <c r="Q880" i="42385"/>
  <c r="CO879" i="42385"/>
  <c r="BT752" i="42385"/>
  <c r="CZ752" i="42385" s="1"/>
  <c r="BT753" i="42385"/>
  <c r="CZ753" i="42385" s="1"/>
  <c r="CZ751" i="42385"/>
  <c r="CE66" i="42400"/>
  <c r="CE63" i="42400"/>
  <c r="CE64" i="42400"/>
  <c r="CE68" i="42400"/>
  <c r="CE67" i="42400"/>
  <c r="CE69" i="42400"/>
  <c r="CE65" i="42400"/>
  <c r="P1004" i="42385"/>
  <c r="P1005" i="42385" s="1"/>
  <c r="Q1003" i="42385"/>
  <c r="P787" i="42385"/>
  <c r="P788" i="42385" s="1"/>
  <c r="Q786" i="42385"/>
  <c r="CO329" i="42385"/>
  <c r="Q330" i="42385"/>
  <c r="F1627" i="42385"/>
  <c r="F1628" i="42385" s="1"/>
  <c r="G1620" i="42385"/>
  <c r="AF1592" i="42385"/>
  <c r="CR1592" i="42385" s="1"/>
  <c r="CR1591" i="42385"/>
  <c r="AE1476" i="42385"/>
  <c r="AF1445" i="42385"/>
  <c r="CR1445" i="42385" s="1"/>
  <c r="V1658" i="42385"/>
  <c r="CP93" i="42385"/>
  <c r="CB706" i="42385"/>
  <c r="CC706" i="42385" s="1"/>
  <c r="CD706" i="42385" s="1"/>
  <c r="CE706" i="42385" s="1"/>
  <c r="CF706" i="42385" s="1"/>
  <c r="DC706" i="42385"/>
  <c r="CB1371" i="42385"/>
  <c r="DC1371" i="42385"/>
  <c r="AZ933" i="42385"/>
  <c r="AZ932" i="42385"/>
  <c r="CV932" i="42385" s="1"/>
  <c r="CV930" i="42385"/>
  <c r="AZ931" i="42385"/>
  <c r="CV931" i="42385" s="1"/>
  <c r="BE1582" i="42385"/>
  <c r="BD1585" i="42385"/>
  <c r="BD1584" i="42385"/>
  <c r="FL417" i="42417"/>
  <c r="CR79" i="42385"/>
  <c r="AF92" i="42385"/>
  <c r="CR92" i="42385" s="1"/>
  <c r="BZ1381" i="42385"/>
  <c r="DA1381" i="42385"/>
  <c r="AG1501" i="42385"/>
  <c r="AK1501" i="42385" s="1"/>
  <c r="CS1501" i="42385" s="1"/>
  <c r="AK1476" i="42385"/>
  <c r="CS1476" i="42385" s="1"/>
  <c r="BH295" i="42385"/>
  <c r="BH869" i="42385"/>
  <c r="BH871" i="42385"/>
  <c r="BH870" i="42385"/>
  <c r="U209" i="42385"/>
  <c r="U211" i="42385"/>
  <c r="BK928" i="42385"/>
  <c r="BP923" i="42385"/>
  <c r="BK924" i="42385"/>
  <c r="CG209" i="42417"/>
  <c r="BG170" i="42417"/>
  <c r="BN192" i="42417" s="1"/>
  <c r="CF219" i="42417"/>
  <c r="CF224" i="42417" s="1"/>
  <c r="CD224" i="42417" s="1"/>
  <c r="AZ1121" i="42385"/>
  <c r="BA1121" i="42385"/>
  <c r="AY1124" i="42385"/>
  <c r="AY1552" i="42385" s="1"/>
  <c r="CB1113" i="42385"/>
  <c r="DC1113" i="42385"/>
  <c r="CA1115" i="42385"/>
  <c r="AL1434" i="42385"/>
  <c r="AL1476" i="42385"/>
  <c r="AE106" i="42385"/>
  <c r="AE1619" i="42385"/>
  <c r="AG199" i="42385"/>
  <c r="AG205" i="42385" s="1"/>
  <c r="AH199" i="42385"/>
  <c r="AH205" i="42385" s="1"/>
  <c r="AE93" i="42385"/>
  <c r="AE199" i="42385"/>
  <c r="AI199" i="42385"/>
  <c r="AI205" i="42385" s="1"/>
  <c r="AF90" i="42385"/>
  <c r="CP1620" i="42385"/>
  <c r="V1627" i="42385"/>
  <c r="CR1583" i="42385"/>
  <c r="AF1584" i="42385"/>
  <c r="CR1584" i="42385" s="1"/>
  <c r="V209" i="42385"/>
  <c r="V211" i="42385"/>
  <c r="T120" i="42385"/>
  <c r="T1656" i="42385" s="1"/>
  <c r="V114" i="42385"/>
  <c r="CX923" i="42385"/>
  <c r="BJ925" i="42385"/>
  <c r="CX925" i="42385" s="1"/>
  <c r="BJ924" i="42385"/>
  <c r="CX924" i="42385" s="1"/>
  <c r="DA282" i="42385"/>
  <c r="B29" i="42408"/>
  <c r="G29" i="42408" s="1"/>
  <c r="V1330" i="42385"/>
  <c r="CP1330" i="42385" s="1"/>
  <c r="CP1301" i="42385"/>
  <c r="AE1477" i="42385"/>
  <c r="AF1477" i="42385" s="1"/>
  <c r="CR1477" i="42385" s="1"/>
  <c r="AF1446" i="42385"/>
  <c r="CR1446" i="42385" s="1"/>
  <c r="BA297" i="42385"/>
  <c r="BE297" i="42385" s="1"/>
  <c r="CW297" i="42385" s="1"/>
  <c r="BE930" i="42385"/>
  <c r="BA932" i="42385"/>
  <c r="BA931" i="42385"/>
  <c r="BA933" i="42385"/>
  <c r="CF162" i="42400"/>
  <c r="CF155" i="42400"/>
  <c r="CF163" i="42400"/>
  <c r="CF161" i="42400"/>
  <c r="CF156" i="42400"/>
  <c r="AN1437" i="42385"/>
  <c r="AM1439" i="42385"/>
  <c r="AM1431" i="42385" s="1"/>
  <c r="AG182" i="42385"/>
  <c r="AH182" i="42385" s="1"/>
  <c r="AI182" i="42385" s="1"/>
  <c r="AJ182" i="42385" s="1"/>
  <c r="AK182" i="42385" s="1"/>
  <c r="CR182" i="42385"/>
  <c r="AY258" i="42385"/>
  <c r="AY1558" i="42385" s="1"/>
  <c r="BM866" i="42385"/>
  <c r="BM868" i="42385" s="1"/>
  <c r="BM862" i="42385"/>
  <c r="BR861" i="42385"/>
  <c r="BW1377" i="42385"/>
  <c r="AF1587" i="42385"/>
  <c r="CR1587" i="42385" s="1"/>
  <c r="CR1586" i="42385"/>
  <c r="CR1594" i="42385"/>
  <c r="AF1595" i="42385"/>
  <c r="CR1595" i="42385" s="1"/>
  <c r="BE173" i="42385"/>
  <c r="BA173" i="42385"/>
  <c r="BB173" i="42385" s="1"/>
  <c r="BC173" i="42385" s="1"/>
  <c r="BD173" i="42385" s="1"/>
  <c r="CV173" i="42385"/>
  <c r="AZ188" i="42385"/>
  <c r="CU188" i="42385"/>
  <c r="AV188" i="42385"/>
  <c r="AW188" i="42385" s="1"/>
  <c r="AX188" i="42385" s="1"/>
  <c r="AY188" i="42385" s="1"/>
  <c r="BF930" i="42385"/>
  <c r="AE1479" i="42385"/>
  <c r="AF1479" i="42385" s="1"/>
  <c r="CR1479" i="42385" s="1"/>
  <c r="AF1448" i="42385"/>
  <c r="CR1448" i="42385" s="1"/>
  <c r="CR1278" i="42385"/>
  <c r="AF1642" i="42385"/>
  <c r="CR1642" i="42385" s="1"/>
  <c r="B41" i="42465"/>
  <c r="AF1301" i="42385"/>
  <c r="CE158" i="42400"/>
  <c r="DB1115" i="42385"/>
  <c r="BZ1116" i="42385"/>
  <c r="DB1116" i="42385" s="1"/>
  <c r="BZ312" i="42385"/>
  <c r="U1501" i="42385"/>
  <c r="V1501" i="42385" s="1"/>
  <c r="CP1501" i="42385" s="1"/>
  <c r="V1476" i="42385"/>
  <c r="CP1476" i="42385" s="1"/>
  <c r="GC455" i="42417"/>
  <c r="GG455" i="42417" s="1"/>
  <c r="BX1481" i="42385"/>
  <c r="BY1481" i="42385" s="1"/>
  <c r="DA1481" i="42385" s="1"/>
  <c r="AZ128" i="42385"/>
  <c r="CV128" i="42385" s="1"/>
  <c r="CV258" i="42385"/>
  <c r="AZ259" i="42385"/>
  <c r="CV259" i="42385" s="1"/>
  <c r="D70" i="42406"/>
  <c r="D71" i="42406"/>
  <c r="D72" i="42406" s="1"/>
  <c r="D61" i="42406"/>
  <c r="D56" i="42406" s="1"/>
  <c r="BL1656" i="42385"/>
  <c r="X48" i="42476"/>
  <c r="X50" i="42476" s="1"/>
  <c r="BL121" i="42385"/>
  <c r="BC1106" i="42385"/>
  <c r="BB1107" i="42385"/>
  <c r="BB256" i="42385" s="1"/>
  <c r="EH444" i="42492"/>
  <c r="CY220" i="42385"/>
  <c r="BM745" i="42385"/>
  <c r="R48" i="42476"/>
  <c r="R50" i="42476" s="1"/>
  <c r="BF121" i="42385"/>
  <c r="BF1656" i="42385"/>
  <c r="CF1391" i="42385"/>
  <c r="CF1491" i="42385" s="1"/>
  <c r="BG809" i="42385"/>
  <c r="C70" i="42406"/>
  <c r="C71" i="42406" s="1"/>
  <c r="C72" i="42406" s="1"/>
  <c r="E70" i="42406"/>
  <c r="E71" i="42406" s="1"/>
  <c r="E72" i="42406" s="1"/>
  <c r="CV170" i="42385"/>
  <c r="BA170" i="42385"/>
  <c r="BB170" i="42385" s="1"/>
  <c r="BC170" i="42385" s="1"/>
  <c r="BD170" i="42385" s="1"/>
  <c r="BE170" i="42385"/>
  <c r="BZ1258" i="42385"/>
  <c r="CA1256" i="42385"/>
  <c r="CA1258" i="42385" s="1"/>
  <c r="J40" i="42470"/>
  <c r="BA178" i="42385"/>
  <c r="BB178" i="42385" s="1"/>
  <c r="BC178" i="42385" s="1"/>
  <c r="BD178" i="42385" s="1"/>
  <c r="BE178" i="42385"/>
  <c r="CV178" i="42385"/>
  <c r="BR1147" i="42385"/>
  <c r="BF838" i="42385"/>
  <c r="BF839" i="42385"/>
  <c r="BF840" i="42385"/>
  <c r="BF294" i="42385"/>
  <c r="AF131" i="42424"/>
  <c r="AF144" i="42424" s="1"/>
  <c r="BN324" i="42424" s="1"/>
  <c r="AF96" i="42424"/>
  <c r="AF132" i="42424" s="1"/>
  <c r="AF145" i="42424" s="1"/>
  <c r="BN326" i="42424" s="1"/>
  <c r="AF100" i="42424"/>
  <c r="BK179" i="42385"/>
  <c r="BL179" i="42385" s="1"/>
  <c r="BM179" i="42385" s="1"/>
  <c r="BN179" i="42385" s="1"/>
  <c r="CX179" i="42385"/>
  <c r="BO179" i="42385"/>
  <c r="CD1389" i="42385"/>
  <c r="CD1489" i="42385" s="1"/>
  <c r="P180" i="42385"/>
  <c r="BA257" i="42385"/>
  <c r="BA258" i="42385" s="1"/>
  <c r="DB1287" i="42385"/>
  <c r="BZ117" i="42385"/>
  <c r="DB117" i="42385" s="1"/>
  <c r="AY128" i="42385"/>
  <c r="AY259" i="42385"/>
  <c r="BN322" i="42424"/>
  <c r="BO321" i="42424"/>
  <c r="Y169" i="42385"/>
  <c r="R21" i="42476"/>
  <c r="W21" i="42476"/>
  <c r="CY1330" i="42385"/>
  <c r="BN1506" i="42385"/>
  <c r="BO1506" i="42385" s="1"/>
  <c r="CY1506" i="42385" s="1"/>
  <c r="BJ1506" i="42385"/>
  <c r="CX1506" i="42385" s="1"/>
  <c r="CC1489" i="42385"/>
  <c r="BD1118" i="42385"/>
  <c r="BC707" i="42385"/>
  <c r="CB1344" i="42385"/>
  <c r="CC1344" i="42385" s="1"/>
  <c r="CD1344" i="42385" s="1"/>
  <c r="CE1344" i="42385" s="1"/>
  <c r="CF1344" i="42385" s="1"/>
  <c r="DC1344" i="42385"/>
  <c r="CA1287" i="42385"/>
  <c r="BF171" i="42385"/>
  <c r="BG171" i="42385" s="1"/>
  <c r="BH171" i="42385" s="1"/>
  <c r="BI171" i="42385" s="1"/>
  <c r="BJ171" i="42385"/>
  <c r="CW171" i="42385"/>
  <c r="CV177" i="42385"/>
  <c r="BA177" i="42385"/>
  <c r="BB177" i="42385" s="1"/>
  <c r="BC177" i="42385" s="1"/>
  <c r="BD177" i="42385" s="1"/>
  <c r="BE177" i="42385"/>
  <c r="FL424" i="42417"/>
  <c r="FN424" i="42417"/>
  <c r="CE1491" i="42385"/>
  <c r="CX1330" i="42385"/>
  <c r="CO236" i="42417"/>
  <c r="CP239" i="42417"/>
  <c r="CQ239" i="42417"/>
  <c r="BC409" i="42385"/>
  <c r="AC21" i="42476"/>
  <c r="X21" i="42476"/>
  <c r="BL1119" i="42385"/>
  <c r="BM1119" i="42385" s="1"/>
  <c r="BN1119" i="42385" s="1"/>
  <c r="BP1119" i="42385" s="1"/>
  <c r="E61" i="42406"/>
  <c r="E56" i="42406" s="1"/>
  <c r="CB342" i="42385" l="1"/>
  <c r="BL15" i="42418"/>
  <c r="BI15" i="42418"/>
  <c r="CB218" i="42385"/>
  <c r="CD340" i="42385"/>
  <c r="CC341" i="42385"/>
  <c r="AD114" i="42408"/>
  <c r="Z107" i="42408"/>
  <c r="Z110" i="42408" s="1"/>
  <c r="CB797" i="42385"/>
  <c r="BL29" i="42418"/>
  <c r="BI29" i="42418"/>
  <c r="CB240" i="42385"/>
  <c r="CC796" i="42385"/>
  <c r="CD795" i="42385"/>
  <c r="CV1027" i="42385"/>
  <c r="AZ1028" i="42385"/>
  <c r="CV1028" i="42385" s="1"/>
  <c r="BG840" i="42385"/>
  <c r="BG838" i="42385"/>
  <c r="BG839" i="42385"/>
  <c r="BG294" i="42385"/>
  <c r="BR653" i="42385"/>
  <c r="BS654" i="42385"/>
  <c r="CC400" i="42385"/>
  <c r="CB401" i="42385"/>
  <c r="BI1487" i="42385"/>
  <c r="BJ1487" i="42385" s="1"/>
  <c r="BJ1456" i="42385"/>
  <c r="BK1456" i="42385" s="1"/>
  <c r="AY1534" i="42385"/>
  <c r="AZ1534" i="42385" s="1"/>
  <c r="CV1534" i="42385" s="1"/>
  <c r="AY1028" i="42385"/>
  <c r="BL831" i="42385"/>
  <c r="BL835" i="42385"/>
  <c r="BL837" i="42385" s="1"/>
  <c r="BQ830" i="42385"/>
  <c r="CA402" i="42385"/>
  <c r="DC402" i="42385" s="1"/>
  <c r="CA220" i="42385"/>
  <c r="DC220" i="42385" s="1"/>
  <c r="DC401" i="42385"/>
  <c r="J193" i="42385"/>
  <c r="K191" i="42385"/>
  <c r="BE1590" i="42385"/>
  <c r="BD1593" i="42385"/>
  <c r="BD1594" i="42385" s="1"/>
  <c r="BD1595" i="42385" s="1"/>
  <c r="BD1592" i="42385"/>
  <c r="BC632" i="42385"/>
  <c r="BD631" i="42385"/>
  <c r="BC1543" i="42385"/>
  <c r="BA1529" i="42385"/>
  <c r="BA904" i="42385"/>
  <c r="BB903" i="42385"/>
  <c r="AE623" i="42385"/>
  <c r="AE622" i="42385"/>
  <c r="AF621" i="42385"/>
  <c r="AI625" i="42385"/>
  <c r="AH624" i="42385"/>
  <c r="BD841" i="42385"/>
  <c r="BC842" i="42385"/>
  <c r="BC1532" i="42385"/>
  <c r="BC720" i="42385"/>
  <c r="BB1536" i="42385"/>
  <c r="BB721" i="42385"/>
  <c r="BD384" i="42385"/>
  <c r="BC1541" i="42385"/>
  <c r="BC385" i="42385"/>
  <c r="BW1104" i="42385"/>
  <c r="BY1104" i="42385" s="1"/>
  <c r="BT1104" i="42385"/>
  <c r="CZ1104" i="42385" s="1"/>
  <c r="CE670" i="42385"/>
  <c r="CD683" i="42385"/>
  <c r="AZ904" i="42385"/>
  <c r="CV904" i="42385" s="1"/>
  <c r="CV903" i="42385"/>
  <c r="AG622" i="42385"/>
  <c r="AG623" i="42385"/>
  <c r="CU294" i="42385"/>
  <c r="FJ421" i="42417"/>
  <c r="F10" i="42464"/>
  <c r="GP518" i="42417"/>
  <c r="FX436" i="42417"/>
  <c r="FY436" i="42417" s="1"/>
  <c r="CS1330" i="42385"/>
  <c r="C54" i="42465"/>
  <c r="C17" i="42465"/>
  <c r="AK1658" i="42385"/>
  <c r="CS93" i="42385"/>
  <c r="AK1620" i="42385"/>
  <c r="AJ1627" i="42385"/>
  <c r="AJ1628" i="42385" s="1"/>
  <c r="AG120" i="42385"/>
  <c r="AK114" i="42385"/>
  <c r="CV297" i="42385"/>
  <c r="G11" i="42464"/>
  <c r="DA1373" i="42385"/>
  <c r="BZ1373" i="42385"/>
  <c r="BY1375" i="42385"/>
  <c r="DA1375" i="42385" s="1"/>
  <c r="AZ293" i="42385"/>
  <c r="CV293" i="42385" s="1"/>
  <c r="BF613" i="42385"/>
  <c r="BG613" i="42385" s="1"/>
  <c r="BH613" i="42385" s="1"/>
  <c r="BI613" i="42385" s="1"/>
  <c r="BE613" i="42385"/>
  <c r="CW613" i="42385" s="1"/>
  <c r="CX799" i="42385"/>
  <c r="BJ801" i="42385"/>
  <c r="CX801" i="42385" s="1"/>
  <c r="BJ800" i="42385"/>
  <c r="CX800" i="42385" s="1"/>
  <c r="CT293" i="42385"/>
  <c r="E9" i="42464"/>
  <c r="GO517" i="42417"/>
  <c r="BG293" i="42385"/>
  <c r="BI835" i="42385"/>
  <c r="BI837" i="42385" s="1"/>
  <c r="BI831" i="42385"/>
  <c r="BN830" i="42385"/>
  <c r="BR1222" i="42385"/>
  <c r="BT1218" i="42385"/>
  <c r="CZ1218" i="42385" s="1"/>
  <c r="BV1386" i="42385"/>
  <c r="BV1486" i="42385" s="1"/>
  <c r="BU1563" i="42385"/>
  <c r="BU1593" i="42385" s="1"/>
  <c r="BH800" i="42385"/>
  <c r="BH804" i="42385"/>
  <c r="BH806" i="42385" s="1"/>
  <c r="BM799" i="42385"/>
  <c r="BA183" i="42385"/>
  <c r="BB183" i="42385" s="1"/>
  <c r="BC183" i="42385" s="1"/>
  <c r="BD183" i="42385" s="1"/>
  <c r="BE183" i="42385"/>
  <c r="CV183" i="42385"/>
  <c r="BG807" i="42385"/>
  <c r="BQ799" i="42385"/>
  <c r="BL800" i="42385"/>
  <c r="BL804" i="42385"/>
  <c r="BL806" i="42385" s="1"/>
  <c r="BD838" i="42385"/>
  <c r="BD840" i="42385"/>
  <c r="BD839" i="42385"/>
  <c r="BD294" i="42385"/>
  <c r="BF474" i="42385"/>
  <c r="BF475" i="42385" s="1"/>
  <c r="BF1547" i="42385"/>
  <c r="BG472" i="42385"/>
  <c r="BF473" i="42385"/>
  <c r="BC809" i="42385"/>
  <c r="BC808" i="42385"/>
  <c r="BC807" i="42385"/>
  <c r="BC293" i="42385"/>
  <c r="CZ1563" i="42385"/>
  <c r="BT1593" i="42385"/>
  <c r="CZ1593" i="42385" s="1"/>
  <c r="BW1485" i="42385"/>
  <c r="BX1385" i="42385"/>
  <c r="BY1385" i="42385" s="1"/>
  <c r="GP517" i="42417"/>
  <c r="AZ294" i="42385"/>
  <c r="CW472" i="42385"/>
  <c r="BE1547" i="42385"/>
  <c r="CW1547" i="42385" s="1"/>
  <c r="BE473" i="42385"/>
  <c r="CW473" i="42385" s="1"/>
  <c r="BE474" i="42385"/>
  <c r="CW474" i="42385" s="1"/>
  <c r="BU1486" i="42385"/>
  <c r="BR344" i="42385"/>
  <c r="BM345" i="42385"/>
  <c r="CA643" i="42385"/>
  <c r="DB643" i="42385"/>
  <c r="AQ352" i="42385"/>
  <c r="H33" i="42408"/>
  <c r="EM489" i="42492"/>
  <c r="EM494" i="42492" s="1"/>
  <c r="BT184" i="42385"/>
  <c r="CY184" i="42385"/>
  <c r="BP184" i="42385"/>
  <c r="BQ184" i="42385" s="1"/>
  <c r="BR184" i="42385" s="1"/>
  <c r="BS184" i="42385" s="1"/>
  <c r="BF344" i="42385"/>
  <c r="BA345" i="42385"/>
  <c r="AX599" i="42385"/>
  <c r="AZ597" i="42385"/>
  <c r="CT1375" i="42385"/>
  <c r="AP1424" i="42385"/>
  <c r="CT1424" i="42385" s="1"/>
  <c r="CU344" i="42385"/>
  <c r="AU345" i="42385"/>
  <c r="CU345" i="42385" s="1"/>
  <c r="AU346" i="42385"/>
  <c r="CU346" i="42385" s="1"/>
  <c r="AY274" i="42385"/>
  <c r="AY603" i="42385"/>
  <c r="AY602" i="42385"/>
  <c r="AN354" i="42385"/>
  <c r="AN355" i="42385"/>
  <c r="AN265" i="42385"/>
  <c r="AN353" i="42385"/>
  <c r="AP352" i="42385"/>
  <c r="BB344" i="42385"/>
  <c r="BE344" i="42385" s="1"/>
  <c r="AW345" i="42385"/>
  <c r="AZ344" i="42385"/>
  <c r="BN344" i="42385"/>
  <c r="BI345" i="42385"/>
  <c r="BC356" i="42385"/>
  <c r="BB357" i="42385"/>
  <c r="BB1528" i="42385"/>
  <c r="AR1373" i="42385"/>
  <c r="AR1375" i="42385" s="1"/>
  <c r="AR1424" i="42385" s="1"/>
  <c r="AQ1375" i="42385"/>
  <c r="AQ1424" i="42385" s="1"/>
  <c r="AS348" i="42385"/>
  <c r="AR347" i="42385"/>
  <c r="AR350" i="42385" s="1"/>
  <c r="AR352" i="42385" s="1"/>
  <c r="BJ861" i="42385"/>
  <c r="CX861" i="42385" s="1"/>
  <c r="BJ174" i="42385"/>
  <c r="CW174" i="42385"/>
  <c r="BF174" i="42385"/>
  <c r="BG174" i="42385" s="1"/>
  <c r="BH174" i="42385" s="1"/>
  <c r="BI174" i="42385" s="1"/>
  <c r="AU480" i="42385"/>
  <c r="AT1140" i="42385"/>
  <c r="BC897" i="42385"/>
  <c r="BC893" i="42385"/>
  <c r="BH892" i="42385"/>
  <c r="BE892" i="42385"/>
  <c r="CV185" i="42385"/>
  <c r="BE185" i="42385"/>
  <c r="BA185" i="42385"/>
  <c r="BB185" i="42385" s="1"/>
  <c r="BC185" i="42385" s="1"/>
  <c r="BD185" i="42385" s="1"/>
  <c r="BH933" i="42385"/>
  <c r="BH932" i="42385"/>
  <c r="BH297" i="42385"/>
  <c r="BH931" i="42385"/>
  <c r="BL924" i="42385"/>
  <c r="BQ923" i="42385"/>
  <c r="BL928" i="42385"/>
  <c r="BL930" i="42385" s="1"/>
  <c r="AX899" i="42385"/>
  <c r="AZ897" i="42385"/>
  <c r="CV897" i="42385" s="1"/>
  <c r="BA186" i="42385"/>
  <c r="BB186" i="42385" s="1"/>
  <c r="BC186" i="42385" s="1"/>
  <c r="BD186" i="42385" s="1"/>
  <c r="CV186" i="42385"/>
  <c r="BE186" i="42385"/>
  <c r="BD893" i="42385"/>
  <c r="BI892" i="42385"/>
  <c r="BD897" i="42385"/>
  <c r="BD899" i="42385" s="1"/>
  <c r="BG296" i="42385"/>
  <c r="BG900" i="42385"/>
  <c r="BG902" i="42385"/>
  <c r="BG901" i="42385"/>
  <c r="BM928" i="42385"/>
  <c r="BM930" i="42385" s="1"/>
  <c r="BR923" i="42385"/>
  <c r="BM924" i="42385"/>
  <c r="GM515" i="42417"/>
  <c r="AP296" i="42385"/>
  <c r="BG931" i="42385"/>
  <c r="BG297" i="42385"/>
  <c r="BG933" i="42385"/>
  <c r="BG932" i="42385"/>
  <c r="AZ894" i="42385"/>
  <c r="CV894" i="42385" s="1"/>
  <c r="AZ893" i="42385"/>
  <c r="CV893" i="42385" s="1"/>
  <c r="CV892" i="42385"/>
  <c r="BE181" i="42385"/>
  <c r="BA181" i="42385"/>
  <c r="BB181" i="42385" s="1"/>
  <c r="BC181" i="42385" s="1"/>
  <c r="BD181" i="42385" s="1"/>
  <c r="CV181" i="42385"/>
  <c r="BL897" i="42385"/>
  <c r="BL899" i="42385" s="1"/>
  <c r="BQ892" i="42385"/>
  <c r="BL893" i="42385"/>
  <c r="AP902" i="42385"/>
  <c r="CT902" i="42385" s="1"/>
  <c r="CT899" i="42385"/>
  <c r="AP901" i="42385"/>
  <c r="CT901" i="42385" s="1"/>
  <c r="AP900" i="42385"/>
  <c r="CT900" i="42385" s="1"/>
  <c r="BJ175" i="42385"/>
  <c r="BF175" i="42385"/>
  <c r="BG175" i="42385" s="1"/>
  <c r="BH175" i="42385" s="1"/>
  <c r="BI175" i="42385" s="1"/>
  <c r="CW175" i="42385"/>
  <c r="BK835" i="42385"/>
  <c r="BK837" i="42385" s="1"/>
  <c r="BK831" i="42385"/>
  <c r="BP830" i="42385"/>
  <c r="AS902" i="42385"/>
  <c r="AS901" i="42385"/>
  <c r="AS900" i="42385"/>
  <c r="AS296" i="42385"/>
  <c r="AU296" i="42385" s="1"/>
  <c r="AU899" i="42385"/>
  <c r="AV869" i="42385"/>
  <c r="AV871" i="42385"/>
  <c r="AV870" i="42385"/>
  <c r="AV295" i="42385"/>
  <c r="AZ868" i="42385"/>
  <c r="BA869" i="42385"/>
  <c r="BA295" i="42385"/>
  <c r="BA870" i="42385"/>
  <c r="BA871" i="42385"/>
  <c r="BE1139" i="42385"/>
  <c r="CW1139" i="42385" s="1"/>
  <c r="BE866" i="42385"/>
  <c r="CW866" i="42385" s="1"/>
  <c r="BJ172" i="42385"/>
  <c r="BF172" i="42385"/>
  <c r="BG172" i="42385" s="1"/>
  <c r="BH172" i="42385" s="1"/>
  <c r="BI172" i="42385" s="1"/>
  <c r="CW172" i="42385"/>
  <c r="CY187" i="42385"/>
  <c r="BP187" i="42385"/>
  <c r="BQ187" i="42385" s="1"/>
  <c r="BR187" i="42385" s="1"/>
  <c r="BS187" i="42385" s="1"/>
  <c r="BT187" i="42385"/>
  <c r="BE863" i="42385"/>
  <c r="CW863" i="42385" s="1"/>
  <c r="BE862" i="42385"/>
  <c r="CW862" i="42385" s="1"/>
  <c r="CW861" i="42385"/>
  <c r="BP892" i="42385"/>
  <c r="BK893" i="42385"/>
  <c r="BK897" i="42385"/>
  <c r="BK899" i="42385" s="1"/>
  <c r="BX1482" i="42385"/>
  <c r="BY1482" i="42385" s="1"/>
  <c r="DA1482" i="42385" s="1"/>
  <c r="CU868" i="42385"/>
  <c r="AU870" i="42385"/>
  <c r="CU870" i="42385" s="1"/>
  <c r="AU871" i="42385"/>
  <c r="CU871" i="42385" s="1"/>
  <c r="AU869" i="42385"/>
  <c r="CU869" i="42385" s="1"/>
  <c r="AQ21" i="42385"/>
  <c r="AQ30" i="42385" s="1"/>
  <c r="AU295" i="42385"/>
  <c r="AQ305" i="42385"/>
  <c r="BG866" i="42385"/>
  <c r="BG868" i="42385" s="1"/>
  <c r="BL861" i="42385"/>
  <c r="BG862" i="42385"/>
  <c r="BX1483" i="42385"/>
  <c r="BY1483" i="42385" s="1"/>
  <c r="DA1483" i="42385" s="1"/>
  <c r="CB148" i="42400"/>
  <c r="CB926" i="42385" s="1"/>
  <c r="CB927" i="42385" s="1"/>
  <c r="CD1195" i="42385"/>
  <c r="CE1194" i="42385"/>
  <c r="BF866" i="42385"/>
  <c r="BF862" i="42385"/>
  <c r="BK861" i="42385"/>
  <c r="BB870" i="42385"/>
  <c r="BB295" i="42385"/>
  <c r="BB303" i="42385" s="1"/>
  <c r="BB305" i="42385" s="1"/>
  <c r="BB869" i="42385"/>
  <c r="BB871" i="42385"/>
  <c r="BF901" i="42385"/>
  <c r="BF902" i="42385"/>
  <c r="BF296" i="42385"/>
  <c r="BF900" i="42385"/>
  <c r="DA1383" i="42385"/>
  <c r="BZ1383" i="42385"/>
  <c r="AY121" i="42385"/>
  <c r="K48" i="42476"/>
  <c r="K50" i="42476" s="1"/>
  <c r="AY1656" i="42385"/>
  <c r="AZ1445" i="42385"/>
  <c r="CV1445" i="42385" s="1"/>
  <c r="AZ1446" i="42385"/>
  <c r="CV1446" i="42385" s="1"/>
  <c r="AZ1584" i="42385"/>
  <c r="CV1584" i="42385" s="1"/>
  <c r="AZ1448" i="42385"/>
  <c r="CV1448" i="42385" s="1"/>
  <c r="CV1583" i="42385"/>
  <c r="AZ1330" i="42385"/>
  <c r="F46" i="42465"/>
  <c r="F45" i="42465" s="1"/>
  <c r="CV1301" i="42385"/>
  <c r="AZ199" i="42385"/>
  <c r="AZ205" i="42385" s="1"/>
  <c r="AY205" i="42385"/>
  <c r="K20" i="42476"/>
  <c r="K21" i="42476" s="1"/>
  <c r="AY1658" i="42385"/>
  <c r="AY94" i="42385"/>
  <c r="CV1594" i="42385"/>
  <c r="AZ1595" i="42385"/>
  <c r="CV1595" i="42385" s="1"/>
  <c r="AZ1587" i="42385"/>
  <c r="CV1587" i="42385" s="1"/>
  <c r="CV1586" i="42385"/>
  <c r="AY1620" i="42385"/>
  <c r="AZ1619" i="42385"/>
  <c r="CV1591" i="42385"/>
  <c r="AZ1592" i="42385"/>
  <c r="CV1592" i="42385" s="1"/>
  <c r="CE977" i="42385"/>
  <c r="CE152" i="42400"/>
  <c r="CE167" i="42400" s="1"/>
  <c r="CE169" i="42400" s="1"/>
  <c r="CE988" i="42385" s="1"/>
  <c r="CE989" i="42385" s="1"/>
  <c r="CF976" i="42385"/>
  <c r="CC137" i="42400"/>
  <c r="DC926" i="42385"/>
  <c r="CA927" i="42385"/>
  <c r="DC927" i="42385" s="1"/>
  <c r="CD141" i="42400"/>
  <c r="CD134" i="42400"/>
  <c r="CD140" i="42400"/>
  <c r="CD142" i="42400"/>
  <c r="CD135" i="42400"/>
  <c r="CC144" i="42400"/>
  <c r="CE130" i="42400"/>
  <c r="CF917" i="42385"/>
  <c r="CE920" i="42385"/>
  <c r="BO22" i="42418"/>
  <c r="CD244" i="42385"/>
  <c r="CD921" i="42385"/>
  <c r="CV1648" i="42385"/>
  <c r="AZ1641" i="42385"/>
  <c r="CV1641" i="42385" s="1"/>
  <c r="AZ106" i="42385"/>
  <c r="AZ93" i="42385"/>
  <c r="CV90" i="42385"/>
  <c r="L8" i="42472"/>
  <c r="L15" i="42472" s="1"/>
  <c r="L24" i="42472" s="1"/>
  <c r="F15" i="42465"/>
  <c r="CV92" i="42385"/>
  <c r="AH174" i="42470"/>
  <c r="AJ174" i="42470"/>
  <c r="AL174" i="42470"/>
  <c r="AN174" i="42470"/>
  <c r="AI41" i="42464"/>
  <c r="AJ33" i="42464"/>
  <c r="CV872" i="42385"/>
  <c r="AZ873" i="42385"/>
  <c r="CV873" i="42385" s="1"/>
  <c r="BZ1382" i="42385"/>
  <c r="BZ1482" i="42385" s="1"/>
  <c r="DB1482" i="42385" s="1"/>
  <c r="DA1382" i="42385"/>
  <c r="CF1626" i="42385"/>
  <c r="BK1626" i="42385"/>
  <c r="CX1626" i="42385"/>
  <c r="BJ1628" i="42385"/>
  <c r="CX1628" i="42385" s="1"/>
  <c r="AW1525" i="42385"/>
  <c r="AW1499" i="42385" s="1"/>
  <c r="AX1523" i="42385"/>
  <c r="BE444" i="42385"/>
  <c r="CW444" i="42385" s="1"/>
  <c r="BE1546" i="42385"/>
  <c r="CW1546" i="42385" s="1"/>
  <c r="BE445" i="42385"/>
  <c r="CW445" i="42385" s="1"/>
  <c r="CW443" i="42385"/>
  <c r="BJ443" i="42385"/>
  <c r="BI1546" i="42385"/>
  <c r="BI444" i="42385"/>
  <c r="BN443" i="42385"/>
  <c r="BI445" i="42385"/>
  <c r="BI446" i="42385" s="1"/>
  <c r="BJ446" i="42385" s="1"/>
  <c r="CX446" i="42385" s="1"/>
  <c r="CB1102" i="42385"/>
  <c r="CC1102" i="42385" s="1"/>
  <c r="CD1102" i="42385" s="1"/>
  <c r="CE1102" i="42385" s="1"/>
  <c r="CF1102" i="42385" s="1"/>
  <c r="DC1102" i="42385"/>
  <c r="BE1620" i="42385"/>
  <c r="BD1627" i="42385"/>
  <c r="BD1628" i="42385" s="1"/>
  <c r="CD285" i="42400"/>
  <c r="AV1499" i="42385"/>
  <c r="BD1656" i="42385"/>
  <c r="BD121" i="42385"/>
  <c r="P48" i="42476"/>
  <c r="P50" i="42476" s="1"/>
  <c r="BR443" i="42385"/>
  <c r="BM1546" i="42385"/>
  <c r="BM444" i="42385"/>
  <c r="BM445" i="42385"/>
  <c r="BM446" i="42385" s="1"/>
  <c r="BA873" i="42385"/>
  <c r="BB872" i="42385"/>
  <c r="BA1535" i="42385"/>
  <c r="U21" i="42476"/>
  <c r="BR995" i="42385"/>
  <c r="BQ996" i="42385"/>
  <c r="BQ1549" i="42385"/>
  <c r="BQ997" i="42385"/>
  <c r="CW1330" i="42385"/>
  <c r="G54" i="42465"/>
  <c r="CB1549" i="42385"/>
  <c r="CC995" i="42385"/>
  <c r="DC748" i="42385"/>
  <c r="CA236" i="42385"/>
  <c r="DC236" i="42385" s="1"/>
  <c r="CB748" i="42385"/>
  <c r="BU1546" i="42385"/>
  <c r="BV443" i="42385"/>
  <c r="BV1546" i="42385" s="1"/>
  <c r="BQ444" i="42385"/>
  <c r="BQ1546" i="42385"/>
  <c r="BQ445" i="42385"/>
  <c r="BQ446" i="42385" s="1"/>
  <c r="BC294" i="42385"/>
  <c r="BE294" i="42385" s="1"/>
  <c r="CW294" i="42385" s="1"/>
  <c r="BC840" i="42385"/>
  <c r="BC838" i="42385"/>
  <c r="BC839" i="42385"/>
  <c r="BE837" i="42385"/>
  <c r="DA1378" i="42385"/>
  <c r="BZ1378" i="42385"/>
  <c r="BS861" i="42385"/>
  <c r="BN862" i="42385"/>
  <c r="BN866" i="42385"/>
  <c r="BN868" i="42385" s="1"/>
  <c r="G27" i="42412"/>
  <c r="I26" i="42412"/>
  <c r="CB982" i="42385"/>
  <c r="CC981" i="42385"/>
  <c r="BF190" i="42385"/>
  <c r="BG190" i="42385" s="1"/>
  <c r="BH190" i="42385" s="1"/>
  <c r="BI190" i="42385" s="1"/>
  <c r="BJ190" i="42385"/>
  <c r="CW190" i="42385"/>
  <c r="AZ839" i="42385"/>
  <c r="CV839" i="42385" s="1"/>
  <c r="AZ840" i="42385"/>
  <c r="CV840" i="42385" s="1"/>
  <c r="AZ838" i="42385"/>
  <c r="CV838" i="42385" s="1"/>
  <c r="CV837" i="42385"/>
  <c r="B21" i="42408"/>
  <c r="G21" i="42408" s="1"/>
  <c r="DA287" i="42385"/>
  <c r="BD295" i="42385"/>
  <c r="BD869" i="42385"/>
  <c r="BD870" i="42385"/>
  <c r="BD871" i="42385"/>
  <c r="BE868" i="42385"/>
  <c r="BJ612" i="42385"/>
  <c r="CX612" i="42385" s="1"/>
  <c r="BK612" i="42385"/>
  <c r="CB649" i="42385"/>
  <c r="CC649" i="42385" s="1"/>
  <c r="CD649" i="42385" s="1"/>
  <c r="CE649" i="42385" s="1"/>
  <c r="CF649" i="42385" s="1"/>
  <c r="DC649" i="42385"/>
  <c r="G10" i="42464"/>
  <c r="BO1270" i="42385"/>
  <c r="CY1270" i="42385" s="1"/>
  <c r="CY1243" i="42385"/>
  <c r="BK1498" i="42385"/>
  <c r="BL1400" i="42385"/>
  <c r="BL1498" i="42385" s="1"/>
  <c r="BK1402" i="42385"/>
  <c r="CB763" i="42385"/>
  <c r="CC763" i="42385" s="1"/>
  <c r="CD763" i="42385" s="1"/>
  <c r="CE763" i="42385" s="1"/>
  <c r="CF763" i="42385" s="1"/>
  <c r="DC763" i="42385"/>
  <c r="BY776" i="42385"/>
  <c r="DA776" i="42385" s="1"/>
  <c r="DA774" i="42385"/>
  <c r="BY775" i="42385"/>
  <c r="DA775" i="42385" s="1"/>
  <c r="CX830" i="42385"/>
  <c r="BJ832" i="42385"/>
  <c r="CX832" i="42385" s="1"/>
  <c r="BJ831" i="42385"/>
  <c r="CX831" i="42385" s="1"/>
  <c r="AW1554" i="42385"/>
  <c r="BJ862" i="42385"/>
  <c r="CX862" i="42385" s="1"/>
  <c r="AZ176" i="42385"/>
  <c r="CU176" i="42385"/>
  <c r="AV176" i="42385"/>
  <c r="AW176" i="42385" s="1"/>
  <c r="AX176" i="42385" s="1"/>
  <c r="AY176" i="42385" s="1"/>
  <c r="CA246" i="42385"/>
  <c r="DC982" i="42385"/>
  <c r="CA983" i="42385"/>
  <c r="DC983" i="42385" s="1"/>
  <c r="CA996" i="42385"/>
  <c r="DC996" i="42385" s="1"/>
  <c r="BH837" i="42385"/>
  <c r="BJ835" i="42385"/>
  <c r="CX835" i="42385" s="1"/>
  <c r="CF701" i="42385"/>
  <c r="CF682" i="42385" s="1"/>
  <c r="CE682" i="42385"/>
  <c r="DB246" i="42385"/>
  <c r="BZ11" i="42385"/>
  <c r="DB11" i="42385" s="1"/>
  <c r="CF131" i="42400"/>
  <c r="CF146" i="42400" s="1"/>
  <c r="CF915" i="42385"/>
  <c r="BA260" i="42385"/>
  <c r="CD75" i="42400"/>
  <c r="CD864" i="42385" s="1"/>
  <c r="CD865" i="42385" s="1"/>
  <c r="CE60" i="42400"/>
  <c r="CE73" i="42400" s="1"/>
  <c r="CF852" i="42385"/>
  <c r="CF60" i="42400" s="1"/>
  <c r="CF73" i="42400" s="1"/>
  <c r="BX1478" i="42385"/>
  <c r="BY1478" i="42385" s="1"/>
  <c r="DA1478" i="42385" s="1"/>
  <c r="BI870" i="42385"/>
  <c r="BI869" i="42385"/>
  <c r="BI295" i="42385"/>
  <c r="BI871" i="42385"/>
  <c r="G16" i="42412"/>
  <c r="I16" i="42412" s="1"/>
  <c r="I14" i="42412"/>
  <c r="CU840" i="42385"/>
  <c r="CD208" i="42417"/>
  <c r="CD227" i="42417" s="1"/>
  <c r="BM831" i="42385"/>
  <c r="BR830" i="42385"/>
  <c r="BM835" i="42385"/>
  <c r="BM837" i="42385" s="1"/>
  <c r="BO830" i="42385"/>
  <c r="DB767" i="42385"/>
  <c r="BZ237" i="42385"/>
  <c r="DB237" i="42385" s="1"/>
  <c r="BZ771" i="42385"/>
  <c r="DB771" i="42385" s="1"/>
  <c r="CA767" i="42385"/>
  <c r="BZ774" i="42385"/>
  <c r="AF113" i="42408"/>
  <c r="CA693" i="42385"/>
  <c r="CA695" i="42385" s="1"/>
  <c r="CA233" i="42385"/>
  <c r="CA676" i="42385"/>
  <c r="BC270" i="42385"/>
  <c r="BC490" i="42385"/>
  <c r="BC491" i="42385"/>
  <c r="BR1500" i="42385"/>
  <c r="BR114" i="42385"/>
  <c r="BR122" i="42385" s="1"/>
  <c r="BR118" i="42385"/>
  <c r="BT1511" i="42385"/>
  <c r="AT1001" i="42385"/>
  <c r="AS1139" i="42385"/>
  <c r="BE954" i="42385"/>
  <c r="BC955" i="42385"/>
  <c r="BC959" i="42385"/>
  <c r="AP962" i="42385"/>
  <c r="CT962" i="42385" s="1"/>
  <c r="CT961" i="42385"/>
  <c r="AP963" i="42385"/>
  <c r="CT963" i="42385" s="1"/>
  <c r="AP964" i="42385"/>
  <c r="CT964" i="42385" s="1"/>
  <c r="BP1656" i="42385"/>
  <c r="AB48" i="42476"/>
  <c r="AB50" i="42476" s="1"/>
  <c r="BP121" i="42385"/>
  <c r="CC680" i="42385"/>
  <c r="CC691" i="42385" s="1"/>
  <c r="CC673" i="42385"/>
  <c r="CD661" i="42385"/>
  <c r="AN374" i="42385"/>
  <c r="AS373" i="42385"/>
  <c r="DA370" i="42385"/>
  <c r="BY371" i="42385"/>
  <c r="DA371" i="42385" s="1"/>
  <c r="BZ230" i="42385"/>
  <c r="DB230" i="42385" s="1"/>
  <c r="DB618" i="42385"/>
  <c r="CA618" i="42385"/>
  <c r="AA382" i="42385"/>
  <c r="CQ382" i="42385" s="1"/>
  <c r="CQ376" i="42385"/>
  <c r="AA377" i="42385"/>
  <c r="CQ377" i="42385" s="1"/>
  <c r="BY1551" i="42385"/>
  <c r="AY417" i="42385"/>
  <c r="AY1530" i="42385"/>
  <c r="AZ1530" i="42385" s="1"/>
  <c r="CV1530" i="42385" s="1"/>
  <c r="BA416" i="42385"/>
  <c r="AZ416" i="42385"/>
  <c r="BP1600" i="42385"/>
  <c r="BP1601" i="42385" s="1"/>
  <c r="BP1602" i="42385" s="1"/>
  <c r="BP1603" i="42385"/>
  <c r="BP1604" i="42385" s="1"/>
  <c r="BP1605" i="42385" s="1"/>
  <c r="BP1634" i="42385"/>
  <c r="BP1627" i="42385"/>
  <c r="BC228" i="42385"/>
  <c r="AY962" i="42385"/>
  <c r="AY964" i="42385"/>
  <c r="AY963" i="42385"/>
  <c r="AY298" i="42385"/>
  <c r="AY303" i="42385" s="1"/>
  <c r="AY305" i="42385" s="1"/>
  <c r="AN21" i="42385"/>
  <c r="AN305" i="42385"/>
  <c r="GM524" i="42417"/>
  <c r="AP298" i="42385"/>
  <c r="CS373" i="42385"/>
  <c r="AK374" i="42385"/>
  <c r="CS374" i="42385" s="1"/>
  <c r="AK375" i="42385"/>
  <c r="CS375" i="42385" s="1"/>
  <c r="AV189" i="42385"/>
  <c r="AW189" i="42385" s="1"/>
  <c r="AX189" i="42385" s="1"/>
  <c r="AY189" i="42385" s="1"/>
  <c r="CU189" i="42385"/>
  <c r="AZ189" i="42385"/>
  <c r="AL374" i="42385"/>
  <c r="AQ373" i="42385"/>
  <c r="AL375" i="42385"/>
  <c r="AT21" i="42385"/>
  <c r="AT30" i="42385" s="1"/>
  <c r="AT305" i="42385"/>
  <c r="DA219" i="42385"/>
  <c r="EJ443" i="42492"/>
  <c r="DI387" i="42492"/>
  <c r="BG484" i="42385"/>
  <c r="BF483" i="42385"/>
  <c r="W375" i="42385"/>
  <c r="W374" i="42385"/>
  <c r="AB375" i="42385"/>
  <c r="AA373" i="42385"/>
  <c r="BQ120" i="42385"/>
  <c r="BQ122" i="42385"/>
  <c r="BN1493" i="42385"/>
  <c r="BO1262" i="42385"/>
  <c r="AM377" i="42385"/>
  <c r="CS377" i="42385"/>
  <c r="CD294" i="42400"/>
  <c r="BM1656" i="42385"/>
  <c r="Y48" i="42476"/>
  <c r="Y50" i="42476" s="1"/>
  <c r="BM121" i="42385"/>
  <c r="AZ153" i="42417"/>
  <c r="BF162" i="42417"/>
  <c r="E27" i="42405"/>
  <c r="AX961" i="42385"/>
  <c r="AZ959" i="42385"/>
  <c r="CV959" i="42385" s="1"/>
  <c r="BZ283" i="42385"/>
  <c r="BZ696" i="42385"/>
  <c r="BZ697" i="42385"/>
  <c r="C30" i="42408"/>
  <c r="H30" i="42408" s="1"/>
  <c r="AE116" i="42408"/>
  <c r="AE120" i="42408" s="1"/>
  <c r="AS962" i="42385"/>
  <c r="AS964" i="42385"/>
  <c r="AS963" i="42385"/>
  <c r="AU961" i="42385"/>
  <c r="AS298" i="42385"/>
  <c r="BE483" i="42385"/>
  <c r="BD223" i="42385"/>
  <c r="BD228" i="42385" s="1"/>
  <c r="BD489" i="42385"/>
  <c r="BD487" i="42385"/>
  <c r="BU1509" i="42385"/>
  <c r="BV1509" i="42385" s="1"/>
  <c r="CZ1509" i="42385"/>
  <c r="BO1263" i="42385"/>
  <c r="BO1266" i="42385" s="1"/>
  <c r="BN1553" i="42385"/>
  <c r="AL1501" i="42385"/>
  <c r="BY576" i="42385"/>
  <c r="GE483" i="42464" s="1"/>
  <c r="DB369" i="42385"/>
  <c r="BZ370" i="42385"/>
  <c r="CA369" i="42385"/>
  <c r="BO1605" i="42385"/>
  <c r="CY1605" i="42385" s="1"/>
  <c r="CY1604" i="42385"/>
  <c r="AZ955" i="42385"/>
  <c r="CV955" i="42385" s="1"/>
  <c r="AZ956" i="42385"/>
  <c r="CV956" i="42385" s="1"/>
  <c r="CV954" i="42385"/>
  <c r="X374" i="42385"/>
  <c r="X375" i="42385"/>
  <c r="AC375" i="42385"/>
  <c r="AJ374" i="42385"/>
  <c r="AO373" i="42385"/>
  <c r="AE122" i="42408"/>
  <c r="BQ1238" i="42385"/>
  <c r="BR1237" i="42385"/>
  <c r="BQ1241" i="42385"/>
  <c r="CB674" i="42385"/>
  <c r="CB675" i="42385" s="1"/>
  <c r="CC677" i="42385"/>
  <c r="BS1500" i="42385"/>
  <c r="BS1575" i="42385" s="1"/>
  <c r="BS118" i="42385"/>
  <c r="BQ1579" i="42385"/>
  <c r="K54" i="42405"/>
  <c r="K52" i="42405" s="1"/>
  <c r="K47" i="42405" s="1"/>
  <c r="CP373" i="42385"/>
  <c r="V374" i="42385"/>
  <c r="CP374" i="42385" s="1"/>
  <c r="V375" i="42385"/>
  <c r="CP375" i="42385" s="1"/>
  <c r="L47" i="42405"/>
  <c r="CE243" i="42385"/>
  <c r="CE890" i="42385"/>
  <c r="BR8" i="42418"/>
  <c r="BR9" i="42418" s="1"/>
  <c r="CQ1301" i="42385"/>
  <c r="AA1330" i="42385"/>
  <c r="CQ1330" i="42385" s="1"/>
  <c r="BD807" i="42385"/>
  <c r="BD808" i="42385"/>
  <c r="BD809" i="42385"/>
  <c r="BD293" i="42385"/>
  <c r="BE806" i="42385"/>
  <c r="AE405" i="42385"/>
  <c r="AE406" i="42385"/>
  <c r="BC1540" i="42385"/>
  <c r="BC778" i="42385"/>
  <c r="BD777" i="42385"/>
  <c r="BE777" i="42385" s="1"/>
  <c r="CY1177" i="42385"/>
  <c r="BO1178" i="42385"/>
  <c r="CY1178" i="42385" s="1"/>
  <c r="BI932" i="42385"/>
  <c r="BI931" i="42385"/>
  <c r="BI297" i="42385"/>
  <c r="BI933" i="42385"/>
  <c r="CU809" i="42385"/>
  <c r="CD207" i="42417"/>
  <c r="CD226" i="42417" s="1"/>
  <c r="AG414" i="42385"/>
  <c r="AG404" i="42385"/>
  <c r="L1330" i="42385"/>
  <c r="CN1301" i="42385"/>
  <c r="P1501" i="42385"/>
  <c r="Q1501" i="42385" s="1"/>
  <c r="CO1501" i="42385" s="1"/>
  <c r="Q1476" i="42385"/>
  <c r="CO1476" i="42385" s="1"/>
  <c r="CV806" i="42385"/>
  <c r="AZ808" i="42385"/>
  <c r="CV808" i="42385" s="1"/>
  <c r="AZ809" i="42385"/>
  <c r="CV809" i="42385" s="1"/>
  <c r="AZ807" i="42385"/>
  <c r="CV807" i="42385" s="1"/>
  <c r="DA576" i="42385"/>
  <c r="X120" i="42385"/>
  <c r="X1656" i="42385" s="1"/>
  <c r="AA114" i="42385"/>
  <c r="BM732" i="42385"/>
  <c r="BR729" i="42385"/>
  <c r="CT1357" i="42385"/>
  <c r="AQ1357" i="42385"/>
  <c r="AP1364" i="42385"/>
  <c r="CT1364" i="42385" s="1"/>
  <c r="AA1620" i="42385"/>
  <c r="Z1627" i="42385"/>
  <c r="Z1628" i="42385" s="1"/>
  <c r="B36" i="42407"/>
  <c r="CF827" i="42385"/>
  <c r="CF83" i="42400"/>
  <c r="Z1501" i="42385"/>
  <c r="AA1501" i="42385" s="1"/>
  <c r="CQ1501" i="42385" s="1"/>
  <c r="AA1476" i="42385"/>
  <c r="CQ1476" i="42385" s="1"/>
  <c r="BI806" i="42385"/>
  <c r="BJ804" i="42385"/>
  <c r="CX804" i="42385" s="1"/>
  <c r="BS923" i="42385"/>
  <c r="BN928" i="42385"/>
  <c r="BN930" i="42385" s="1"/>
  <c r="BN924" i="42385"/>
  <c r="P209" i="42385"/>
  <c r="P211" i="42385"/>
  <c r="CE279" i="42400"/>
  <c r="CE290" i="42400"/>
  <c r="CE288" i="42400"/>
  <c r="CE283" i="42400"/>
  <c r="CE291" i="42400"/>
  <c r="CE292" i="42400"/>
  <c r="CE289" i="42400"/>
  <c r="CE281" i="42400"/>
  <c r="CE280" i="42400"/>
  <c r="CE282" i="42400"/>
  <c r="Q1330" i="42385"/>
  <c r="CO1301" i="42385"/>
  <c r="CB985" i="42385"/>
  <c r="DC985" i="42385"/>
  <c r="CA986" i="42385"/>
  <c r="DC986" i="42385" s="1"/>
  <c r="CA990" i="42385"/>
  <c r="AA209" i="42385"/>
  <c r="AA211" i="42385"/>
  <c r="DA1436" i="42385"/>
  <c r="BZ1436" i="42385"/>
  <c r="GC453" i="42417"/>
  <c r="GG453" i="42417" s="1"/>
  <c r="BJ928" i="42385"/>
  <c r="CX928" i="42385" s="1"/>
  <c r="BO923" i="42385"/>
  <c r="CY923" i="42385" s="1"/>
  <c r="AF404" i="42385"/>
  <c r="BO9" i="42418"/>
  <c r="V94" i="42385"/>
  <c r="CP94" i="42385" s="1"/>
  <c r="Q94" i="42385"/>
  <c r="CO94" i="42385" s="1"/>
  <c r="Q1658" i="42385"/>
  <c r="CO93" i="42385"/>
  <c r="BJ1382" i="42385"/>
  <c r="BI1563" i="42385"/>
  <c r="BI1402" i="42385"/>
  <c r="DC1380" i="42385"/>
  <c r="CB1380" i="42385"/>
  <c r="CA1480" i="42385"/>
  <c r="DC1480" i="42385" s="1"/>
  <c r="CA717" i="42385"/>
  <c r="CA234" i="42385"/>
  <c r="DC234" i="42385" s="1"/>
  <c r="CB710" i="42385"/>
  <c r="DC710" i="42385"/>
  <c r="CA714" i="42385"/>
  <c r="DC714" i="42385" s="1"/>
  <c r="BZ718" i="42385"/>
  <c r="DB718" i="42385" s="1"/>
  <c r="BZ284" i="42385"/>
  <c r="DB717" i="42385"/>
  <c r="BZ719" i="42385"/>
  <c r="DB719" i="42385" s="1"/>
  <c r="AX811" i="42385"/>
  <c r="AX1531" i="42385"/>
  <c r="AY810" i="42385"/>
  <c r="AZ810" i="42385" s="1"/>
  <c r="BV1484" i="42385"/>
  <c r="BW1384" i="42385"/>
  <c r="BP729" i="42385"/>
  <c r="BK732" i="42385"/>
  <c r="BD934" i="42385"/>
  <c r="BC1533" i="42385"/>
  <c r="BC935" i="42385"/>
  <c r="BY299" i="42385"/>
  <c r="BY997" i="42385"/>
  <c r="DA997" i="42385" s="1"/>
  <c r="BY993" i="42385"/>
  <c r="DA993" i="42385" s="1"/>
  <c r="BY994" i="42385"/>
  <c r="DA994" i="42385" s="1"/>
  <c r="DA992" i="42385"/>
  <c r="Q1620" i="42385"/>
  <c r="P1627" i="42385"/>
  <c r="P1628" i="42385" s="1"/>
  <c r="CC298" i="42400"/>
  <c r="CC895" i="42385" s="1"/>
  <c r="CC896" i="42385" s="1"/>
  <c r="BO1399" i="42385"/>
  <c r="AA21" i="42476"/>
  <c r="BD759" i="42385"/>
  <c r="BF758" i="42385"/>
  <c r="BD1538" i="42385"/>
  <c r="BE1538" i="42385" s="1"/>
  <c r="CW1538" i="42385" s="1"/>
  <c r="CE91" i="42400"/>
  <c r="CE90" i="42400"/>
  <c r="CE93" i="42400"/>
  <c r="CE92" i="42400"/>
  <c r="CE97" i="42400"/>
  <c r="CE87" i="42400"/>
  <c r="CE88" i="42400"/>
  <c r="CE89" i="42400"/>
  <c r="K211" i="42385"/>
  <c r="K209" i="42385"/>
  <c r="BN800" i="42385"/>
  <c r="BS799" i="42385"/>
  <c r="BN804" i="42385"/>
  <c r="BN806" i="42385" s="1"/>
  <c r="BO799" i="42385"/>
  <c r="Q211" i="42385"/>
  <c r="Q209" i="42385"/>
  <c r="BO58" i="42418"/>
  <c r="BF1445" i="42385"/>
  <c r="BF1446" i="42385"/>
  <c r="BF1448" i="42385"/>
  <c r="BF1479" i="42385" s="1"/>
  <c r="CB640" i="42385"/>
  <c r="CA231" i="42385"/>
  <c r="DC231" i="42385" s="1"/>
  <c r="CA650" i="42385"/>
  <c r="DC650" i="42385" s="1"/>
  <c r="DC640" i="42385"/>
  <c r="CA647" i="42385"/>
  <c r="BH1591" i="42385"/>
  <c r="BH1592" i="42385" s="1"/>
  <c r="BH1593" i="42385"/>
  <c r="BH1594" i="42385" s="1"/>
  <c r="BH1595" i="42385" s="1"/>
  <c r="K120" i="42385"/>
  <c r="K1656" i="42385" s="1"/>
  <c r="L114" i="42385"/>
  <c r="BQ729" i="42385"/>
  <c r="BL732" i="42385"/>
  <c r="O120" i="42385"/>
  <c r="O1656" i="42385" s="1"/>
  <c r="Q114" i="42385"/>
  <c r="CF888" i="42385"/>
  <c r="CF889" i="42385" s="1"/>
  <c r="CF275" i="42400"/>
  <c r="CY1627" i="42385"/>
  <c r="DB990" i="42385"/>
  <c r="BZ992" i="42385"/>
  <c r="Z209" i="42385"/>
  <c r="Z211" i="42385"/>
  <c r="G9" i="42464"/>
  <c r="FN417" i="42417"/>
  <c r="AZ1552" i="42385"/>
  <c r="CV1552" i="42385" s="1"/>
  <c r="L1476" i="42385"/>
  <c r="CN1476" i="42385" s="1"/>
  <c r="K1501" i="42385"/>
  <c r="L1501" i="42385" s="1"/>
  <c r="CN1501" i="42385" s="1"/>
  <c r="BH1504" i="42385"/>
  <c r="BH1564" i="42385"/>
  <c r="BH1406" i="42385"/>
  <c r="BH1424" i="42385" s="1"/>
  <c r="CD95" i="42400"/>
  <c r="CD101" i="42400" s="1"/>
  <c r="CD833" i="42385" s="1"/>
  <c r="CD834" i="42385" s="1"/>
  <c r="AX1539" i="42385"/>
  <c r="AY965" i="42385"/>
  <c r="AZ965" i="42385" s="1"/>
  <c r="AX966" i="42385"/>
  <c r="BN732" i="42385"/>
  <c r="BS729" i="42385"/>
  <c r="B49" i="42409"/>
  <c r="F28" i="42409"/>
  <c r="G36" i="42409"/>
  <c r="BG479" i="42385"/>
  <c r="BF1139" i="42385"/>
  <c r="L1620" i="42385"/>
  <c r="K1627" i="42385"/>
  <c r="K1628" i="42385" s="1"/>
  <c r="BE758" i="42385"/>
  <c r="CE241" i="42385"/>
  <c r="CE828" i="42385"/>
  <c r="BR57" i="42418"/>
  <c r="BR58" i="42418" s="1"/>
  <c r="L209" i="42385"/>
  <c r="L211" i="42385"/>
  <c r="AZ1613" i="42385"/>
  <c r="BO1180" i="42385"/>
  <c r="BD902" i="42385"/>
  <c r="BD296" i="42385"/>
  <c r="BD901" i="42385"/>
  <c r="BD900" i="42385"/>
  <c r="BG1660" i="42385"/>
  <c r="S34" i="42476"/>
  <c r="BG1583" i="42385"/>
  <c r="AA1658" i="42385"/>
  <c r="CQ93" i="42385"/>
  <c r="AI408" i="42385"/>
  <c r="AH407" i="42385"/>
  <c r="L1658" i="42385"/>
  <c r="CN93" i="42385"/>
  <c r="BZ281" i="42385"/>
  <c r="DB647" i="42385"/>
  <c r="BZ648" i="42385"/>
  <c r="DB648" i="42385" s="1"/>
  <c r="BP809" i="42385"/>
  <c r="BP293" i="42385"/>
  <c r="BP807" i="42385"/>
  <c r="BP808" i="42385"/>
  <c r="R817" i="42385"/>
  <c r="R818" i="42385" s="1"/>
  <c r="R819" i="42385" s="1"/>
  <c r="R708" i="42385"/>
  <c r="R786" i="42385"/>
  <c r="R787" i="42385" s="1"/>
  <c r="R788" i="42385" s="1"/>
  <c r="CF158" i="42400"/>
  <c r="CO786" i="42385"/>
  <c r="Q787" i="42385"/>
  <c r="CM114" i="42385"/>
  <c r="G120" i="42385"/>
  <c r="Q364" i="42385"/>
  <c r="CO363" i="42385"/>
  <c r="BR93" i="42418"/>
  <c r="R1084" i="42385"/>
  <c r="R1085" i="42385" s="1"/>
  <c r="R1086" i="42385" s="1"/>
  <c r="R941" i="42385"/>
  <c r="R942" i="42385" s="1"/>
  <c r="R943" i="42385" s="1"/>
  <c r="R848" i="42385"/>
  <c r="R849" i="42385" s="1"/>
  <c r="R850" i="42385" s="1"/>
  <c r="BI744" i="42385"/>
  <c r="BK370" i="42424"/>
  <c r="BL370" i="42424" s="1"/>
  <c r="BK326" i="42424"/>
  <c r="BY753" i="42385"/>
  <c r="DA753" i="42385" s="1"/>
  <c r="DA751" i="42385"/>
  <c r="BY752" i="42385"/>
  <c r="DA752" i="42385" s="1"/>
  <c r="BZ751" i="42385"/>
  <c r="S478" i="42385"/>
  <c r="S481" i="42385" s="1"/>
  <c r="S814" i="42385"/>
  <c r="S817" i="42385" s="1"/>
  <c r="S818" i="42385" s="1"/>
  <c r="S819" i="42385" s="1"/>
  <c r="S326" i="42385"/>
  <c r="S329" i="42385" s="1"/>
  <c r="S330" i="42385" s="1"/>
  <c r="S331" i="42385" s="1"/>
  <c r="S1000" i="42385"/>
  <c r="S1003" i="42385" s="1"/>
  <c r="S1004" i="42385" s="1"/>
  <c r="S1005" i="42385" s="1"/>
  <c r="S762" i="42385"/>
  <c r="S765" i="42385" s="1"/>
  <c r="S360" i="42385"/>
  <c r="S363" i="42385" s="1"/>
  <c r="S364" i="42385" s="1"/>
  <c r="S365" i="42385" s="1"/>
  <c r="S876" i="42385"/>
  <c r="S879" i="42385" s="1"/>
  <c r="S880" i="42385" s="1"/>
  <c r="S881" i="42385" s="1"/>
  <c r="S743" i="42385"/>
  <c r="S746" i="42385" s="1"/>
  <c r="T320" i="42385"/>
  <c r="S611" i="42385"/>
  <c r="S614" i="42385" s="1"/>
  <c r="S845" i="42385"/>
  <c r="S848" i="42385" s="1"/>
  <c r="S849" i="42385" s="1"/>
  <c r="S850" i="42385" s="1"/>
  <c r="S938" i="42385"/>
  <c r="S941" i="42385" s="1"/>
  <c r="S942" i="42385" s="1"/>
  <c r="S943" i="42385" s="1"/>
  <c r="S1138" i="42385"/>
  <c r="S783" i="42385"/>
  <c r="S786" i="42385" s="1"/>
  <c r="S787" i="42385" s="1"/>
  <c r="S788" i="42385" s="1"/>
  <c r="S705" i="42385"/>
  <c r="S708" i="42385" s="1"/>
  <c r="S388" i="42385"/>
  <c r="S391" i="42385" s="1"/>
  <c r="S1081" i="42385"/>
  <c r="S1084" i="42385" s="1"/>
  <c r="S1085" i="42385" s="1"/>
  <c r="S1086" i="42385" s="1"/>
  <c r="S907" i="42385"/>
  <c r="S910" i="42385" s="1"/>
  <c r="S911" i="42385" s="1"/>
  <c r="S912" i="42385" s="1"/>
  <c r="CF242" i="42385"/>
  <c r="CF859" i="42385"/>
  <c r="BU92" i="42418"/>
  <c r="BX93" i="42418" s="1"/>
  <c r="CM1620" i="42385"/>
  <c r="G1627" i="42385"/>
  <c r="CO330" i="42385"/>
  <c r="Q331" i="42385"/>
  <c r="CO331" i="42385" s="1"/>
  <c r="CE71" i="42400"/>
  <c r="CO848" i="42385"/>
  <c r="Q849" i="42385"/>
  <c r="BU804" i="42385"/>
  <c r="BU806" i="42385" s="1"/>
  <c r="BU800" i="42385"/>
  <c r="CO818" i="42385"/>
  <c r="Q819" i="42385"/>
  <c r="CO819" i="42385" s="1"/>
  <c r="R746" i="42385"/>
  <c r="R879" i="42385"/>
  <c r="R880" i="42385" s="1"/>
  <c r="R881" i="42385" s="1"/>
  <c r="R765" i="42385"/>
  <c r="BT757" i="42385"/>
  <c r="CZ757" i="42385" s="1"/>
  <c r="CZ755" i="42385"/>
  <c r="BT756" i="42385"/>
  <c r="CZ756" i="42385" s="1"/>
  <c r="CO1085" i="42385"/>
  <c r="Q1086" i="42385"/>
  <c r="CO1086" i="42385" s="1"/>
  <c r="CF64" i="42400"/>
  <c r="CF68" i="42400"/>
  <c r="CF67" i="42400"/>
  <c r="CF65" i="42400"/>
  <c r="CF69" i="42400"/>
  <c r="CF66" i="42400"/>
  <c r="CF63" i="42400"/>
  <c r="CO941" i="42385"/>
  <c r="Q942" i="42385"/>
  <c r="Q912" i="42385"/>
  <c r="CO912" i="42385" s="1"/>
  <c r="CO911" i="42385"/>
  <c r="BU1236" i="42385"/>
  <c r="BV1235" i="42385"/>
  <c r="Q1004" i="42385"/>
  <c r="CO1003" i="42385"/>
  <c r="CO880" i="42385"/>
  <c r="Q881" i="42385"/>
  <c r="CO881" i="42385" s="1"/>
  <c r="BT1236" i="42385"/>
  <c r="CZ1236" i="42385" s="1"/>
  <c r="CZ1235" i="42385"/>
  <c r="BV756" i="42385"/>
  <c r="BV757" i="42385"/>
  <c r="BV286" i="42385"/>
  <c r="BY286" i="42385" s="1"/>
  <c r="BY755" i="42385"/>
  <c r="R363" i="42385"/>
  <c r="R364" i="42385" s="1"/>
  <c r="R365" i="42385" s="1"/>
  <c r="R910" i="42385"/>
  <c r="R911" i="42385" s="1"/>
  <c r="R912" i="42385" s="1"/>
  <c r="R329" i="42385"/>
  <c r="R330" i="42385" s="1"/>
  <c r="R331" i="42385" s="1"/>
  <c r="C34" i="42408"/>
  <c r="H34" i="42408" s="1"/>
  <c r="DB312" i="42385"/>
  <c r="BZ23" i="42385"/>
  <c r="DB23" i="42385" s="1"/>
  <c r="AO1437" i="42385"/>
  <c r="AN1439" i="42385"/>
  <c r="CC1113" i="42385"/>
  <c r="CB1115" i="42385"/>
  <c r="BP928" i="42385"/>
  <c r="BU923" i="42385"/>
  <c r="BP924" i="42385"/>
  <c r="DB1381" i="42385"/>
  <c r="CA1381" i="42385"/>
  <c r="CD209" i="42417"/>
  <c r="CD219" i="42417" s="1"/>
  <c r="CV933" i="42385"/>
  <c r="BE1585" i="42385"/>
  <c r="CW1585" i="42385" s="1"/>
  <c r="BD1586" i="42385"/>
  <c r="BA303" i="42385"/>
  <c r="BA305" i="42385" s="1"/>
  <c r="BF931" i="42385"/>
  <c r="BF933" i="42385"/>
  <c r="BF932" i="42385"/>
  <c r="BF297" i="42385"/>
  <c r="BJ297" i="42385" s="1"/>
  <c r="CX297" i="42385" s="1"/>
  <c r="BJ930" i="42385"/>
  <c r="BM870" i="42385"/>
  <c r="BM295" i="42385"/>
  <c r="BM869" i="42385"/>
  <c r="BM871" i="42385"/>
  <c r="AM1432" i="42385"/>
  <c r="AM1477" i="42385" s="1"/>
  <c r="CF165" i="42400"/>
  <c r="AE205" i="42385"/>
  <c r="AF199" i="42385"/>
  <c r="AF205" i="42385" s="1"/>
  <c r="AG1620" i="42385"/>
  <c r="AG1627" i="42385" s="1"/>
  <c r="AG1628" i="42385" s="1"/>
  <c r="AE1620" i="42385"/>
  <c r="AI1620" i="42385"/>
  <c r="AI1627" i="42385" s="1"/>
  <c r="AI1628" i="42385" s="1"/>
  <c r="AH1620" i="42385"/>
  <c r="AH1627" i="42385" s="1"/>
  <c r="AH1628" i="42385" s="1"/>
  <c r="AF1619" i="42385"/>
  <c r="CR1619" i="42385" s="1"/>
  <c r="DC1115" i="42385"/>
  <c r="CA312" i="42385"/>
  <c r="CA1116" i="42385"/>
  <c r="DC1116" i="42385" s="1"/>
  <c r="BF1582" i="42385"/>
  <c r="CW1582" i="42385"/>
  <c r="BE1584" i="42385"/>
  <c r="CW1584" i="42385" s="1"/>
  <c r="CW173" i="42385"/>
  <c r="BF173" i="42385"/>
  <c r="BG173" i="42385" s="1"/>
  <c r="BH173" i="42385" s="1"/>
  <c r="BI173" i="42385" s="1"/>
  <c r="BJ173" i="42385"/>
  <c r="BX1377" i="42385"/>
  <c r="BW861" i="42385"/>
  <c r="BR862" i="42385"/>
  <c r="BR866" i="42385"/>
  <c r="BR868" i="42385" s="1"/>
  <c r="V1628" i="42385"/>
  <c r="CP1628" i="42385" s="1"/>
  <c r="CP1627" i="42385"/>
  <c r="AF93" i="42385"/>
  <c r="B15" i="42465"/>
  <c r="H8" i="42472"/>
  <c r="H15" i="42472" s="1"/>
  <c r="H24" i="42472" s="1"/>
  <c r="CR90" i="42385"/>
  <c r="CV1121" i="42385"/>
  <c r="AZ1124" i="42385"/>
  <c r="CV1124" i="42385" s="1"/>
  <c r="AF1330" i="42385"/>
  <c r="B46" i="42465"/>
  <c r="B45" i="42465" s="1"/>
  <c r="CR1301" i="42385"/>
  <c r="BA188" i="42385"/>
  <c r="BB188" i="42385" s="1"/>
  <c r="BC188" i="42385" s="1"/>
  <c r="BD188" i="42385" s="1"/>
  <c r="BE188" i="42385"/>
  <c r="CV188" i="42385"/>
  <c r="CS182" i="42385"/>
  <c r="AL182" i="42385"/>
  <c r="AM182" i="42385" s="1"/>
  <c r="AN182" i="42385" s="1"/>
  <c r="AO182" i="42385" s="1"/>
  <c r="AP182" i="42385" s="1"/>
  <c r="CP114" i="42385"/>
  <c r="V120" i="42385"/>
  <c r="CH209" i="42417"/>
  <c r="CI209" i="42417"/>
  <c r="BK930" i="42385"/>
  <c r="AM1476" i="42385"/>
  <c r="BE931" i="42385"/>
  <c r="CW931" i="42385" s="1"/>
  <c r="BE932" i="42385"/>
  <c r="CW932" i="42385" s="1"/>
  <c r="BE933" i="42385"/>
  <c r="CW933" i="42385" s="1"/>
  <c r="CW930" i="42385"/>
  <c r="AE1658" i="42385"/>
  <c r="AE94" i="42385"/>
  <c r="AJ94" i="42385"/>
  <c r="AE114" i="42385"/>
  <c r="AF106" i="42385"/>
  <c r="CR106" i="42385" s="1"/>
  <c r="BB1121" i="42385"/>
  <c r="BA1124" i="42385"/>
  <c r="BA1552" i="42385" s="1"/>
  <c r="BZ1481" i="42385"/>
  <c r="DB1481" i="42385" s="1"/>
  <c r="CC1371" i="42385"/>
  <c r="AE1501" i="42385"/>
  <c r="AF1501" i="42385" s="1"/>
  <c r="CR1501" i="42385" s="1"/>
  <c r="AF1476" i="42385"/>
  <c r="CR1476" i="42385" s="1"/>
  <c r="BQ1119" i="42385"/>
  <c r="BR1119" i="42385" s="1"/>
  <c r="BS1119" i="42385" s="1"/>
  <c r="BU1119" i="42385" s="1"/>
  <c r="BD409" i="42385"/>
  <c r="BA1558" i="42385"/>
  <c r="BA128" i="42385"/>
  <c r="BA259" i="42385"/>
  <c r="BO326" i="42424"/>
  <c r="BN370" i="42424"/>
  <c r="BO370" i="42424" s="1"/>
  <c r="BN359" i="42424"/>
  <c r="BO359" i="42424" s="1"/>
  <c r="BO333" i="42424" s="1"/>
  <c r="CW178" i="42385"/>
  <c r="BF178" i="42385"/>
  <c r="BG178" i="42385" s="1"/>
  <c r="BH178" i="42385" s="1"/>
  <c r="BI178" i="42385" s="1"/>
  <c r="BJ178" i="42385"/>
  <c r="BF177" i="42385"/>
  <c r="BG177" i="42385" s="1"/>
  <c r="BH177" i="42385" s="1"/>
  <c r="BI177" i="42385" s="1"/>
  <c r="BJ177" i="42385"/>
  <c r="CW177" i="42385"/>
  <c r="BK294" i="42385"/>
  <c r="BK838" i="42385"/>
  <c r="BK839" i="42385"/>
  <c r="BK840" i="42385"/>
  <c r="Z169" i="42385"/>
  <c r="Q180" i="42385"/>
  <c r="BP179" i="42385"/>
  <c r="BQ179" i="42385" s="1"/>
  <c r="BR179" i="42385" s="1"/>
  <c r="BS179" i="42385" s="1"/>
  <c r="BT179" i="42385"/>
  <c r="CY179" i="42385"/>
  <c r="BN357" i="42424"/>
  <c r="BO357" i="42424" s="1"/>
  <c r="BO331" i="42424" s="1"/>
  <c r="BO324" i="42424"/>
  <c r="BN368" i="42424"/>
  <c r="BO368" i="42424" s="1"/>
  <c r="BS1147" i="42385"/>
  <c r="BB257" i="42385"/>
  <c r="BB261" i="42385" s="1"/>
  <c r="CP236" i="42417"/>
  <c r="CQ236" i="42417"/>
  <c r="CX171" i="42385"/>
  <c r="BO171" i="42385"/>
  <c r="BK171" i="42385"/>
  <c r="BL171" i="42385" s="1"/>
  <c r="BM171" i="42385" s="1"/>
  <c r="BN171" i="42385" s="1"/>
  <c r="DC1287" i="42385"/>
  <c r="CA117" i="42385"/>
  <c r="DC117" i="42385" s="1"/>
  <c r="BD707" i="42385"/>
  <c r="Q47" i="42470"/>
  <c r="Q48" i="42470" s="1"/>
  <c r="Q50" i="42470" s="1"/>
  <c r="Q34" i="42470" s="1"/>
  <c r="O47" i="42470"/>
  <c r="O48" i="42470" s="1"/>
  <c r="O50" i="42470" s="1"/>
  <c r="O34" i="42470" s="1"/>
  <c r="N47" i="42470"/>
  <c r="N48" i="42470" s="1"/>
  <c r="N50" i="42470" s="1"/>
  <c r="N34" i="42470" s="1"/>
  <c r="J41" i="42470"/>
  <c r="P47" i="42470"/>
  <c r="P48" i="42470" s="1"/>
  <c r="P50" i="42470" s="1"/>
  <c r="P34" i="42470" s="1"/>
  <c r="BD1106" i="42385"/>
  <c r="BE1106" i="42385" s="1"/>
  <c r="BC1107" i="42385"/>
  <c r="BC256" i="42385" s="1"/>
  <c r="BO1119" i="42385"/>
  <c r="CY1119" i="42385" s="1"/>
  <c r="BF1118" i="42385"/>
  <c r="BE1118" i="42385"/>
  <c r="BN364" i="42424"/>
  <c r="BO364" i="42424" s="1"/>
  <c r="BN365" i="42424"/>
  <c r="BN354" i="42424"/>
  <c r="BN353" i="42424"/>
  <c r="BO353" i="42424" s="1"/>
  <c r="BO329" i="42424" s="1"/>
  <c r="BA261" i="42385"/>
  <c r="BL809" i="42385"/>
  <c r="BL293" i="42385"/>
  <c r="BL807" i="42385"/>
  <c r="BL808" i="42385"/>
  <c r="CE1389" i="42385"/>
  <c r="CE1489" i="42385" s="1"/>
  <c r="S615" i="42385"/>
  <c r="CW170" i="42385"/>
  <c r="BF170" i="42385"/>
  <c r="BG170" i="42385" s="1"/>
  <c r="BH170" i="42385" s="1"/>
  <c r="BI170" i="42385" s="1"/>
  <c r="BJ170" i="42385"/>
  <c r="BN745" i="42385"/>
  <c r="BL16" i="42418" l="1"/>
  <c r="BI16" i="42418"/>
  <c r="CC218" i="42385"/>
  <c r="CC342" i="42385"/>
  <c r="CD341" i="42385"/>
  <c r="CE340" i="42385"/>
  <c r="AE114" i="42408"/>
  <c r="BI30" i="42418"/>
  <c r="BL30" i="42418"/>
  <c r="CC240" i="42385"/>
  <c r="CC797" i="42385"/>
  <c r="CE795" i="42385"/>
  <c r="CD796" i="42385"/>
  <c r="CD298" i="42400"/>
  <c r="CD895" i="42385" s="1"/>
  <c r="CD896" i="42385" s="1"/>
  <c r="BZ576" i="42385"/>
  <c r="K193" i="42385"/>
  <c r="L191" i="42385"/>
  <c r="BK1487" i="42385"/>
  <c r="BL1456" i="42385"/>
  <c r="BT654" i="42385"/>
  <c r="BS653" i="42385"/>
  <c r="BR656" i="42385"/>
  <c r="BR657" i="42385" s="1"/>
  <c r="BR658" i="42385" s="1"/>
  <c r="BS656" i="42385"/>
  <c r="BS657" i="42385" s="1"/>
  <c r="BS658" i="42385" s="1"/>
  <c r="BV830" i="42385"/>
  <c r="BQ831" i="42385"/>
  <c r="BQ835" i="42385"/>
  <c r="BQ837" i="42385" s="1"/>
  <c r="BL36" i="42418"/>
  <c r="BI36" i="42418"/>
  <c r="CB220" i="42385"/>
  <c r="CB402" i="42385"/>
  <c r="BL838" i="42385"/>
  <c r="BL839" i="42385"/>
  <c r="BL294" i="42385"/>
  <c r="BL840" i="42385"/>
  <c r="CD400" i="42385"/>
  <c r="CC401" i="42385"/>
  <c r="BF841" i="42385"/>
  <c r="BD1532" i="42385"/>
  <c r="BE1532" i="42385" s="1"/>
  <c r="CW1532" i="42385" s="1"/>
  <c r="BD842" i="42385"/>
  <c r="BE841" i="42385"/>
  <c r="CF670" i="42385"/>
  <c r="CF683" i="42385" s="1"/>
  <c r="CE683" i="42385"/>
  <c r="BC721" i="42385"/>
  <c r="BD720" i="42385"/>
  <c r="BC1536" i="42385"/>
  <c r="AH621" i="42385"/>
  <c r="BD385" i="42385"/>
  <c r="BD1541" i="42385"/>
  <c r="BE1541" i="42385" s="1"/>
  <c r="CW1541" i="42385" s="1"/>
  <c r="BF384" i="42385"/>
  <c r="BE384" i="42385"/>
  <c r="AJ625" i="42385"/>
  <c r="AI624" i="42385"/>
  <c r="AI621" i="42385" s="1"/>
  <c r="BZ1104" i="42385"/>
  <c r="DA1104" i="42385"/>
  <c r="CR621" i="42385"/>
  <c r="AF622" i="42385"/>
  <c r="CR622" i="42385" s="1"/>
  <c r="AF623" i="42385"/>
  <c r="CR623" i="42385" s="1"/>
  <c r="BB1529" i="42385"/>
  <c r="BB904" i="42385"/>
  <c r="BC903" i="42385"/>
  <c r="BD1543" i="42385"/>
  <c r="BE1543" i="42385" s="1"/>
  <c r="CW1543" i="42385" s="1"/>
  <c r="BD632" i="42385"/>
  <c r="BF631" i="42385"/>
  <c r="BE631" i="42385"/>
  <c r="CW1590" i="42385"/>
  <c r="BE1593" i="42385"/>
  <c r="BE1592" i="42385"/>
  <c r="CW1592" i="42385" s="1"/>
  <c r="FL421" i="42417"/>
  <c r="FN421" i="42417"/>
  <c r="AG121" i="42385"/>
  <c r="AG1656" i="42385"/>
  <c r="AK1627" i="42385"/>
  <c r="CS1620" i="42385"/>
  <c r="CS114" i="42385"/>
  <c r="AK120" i="42385"/>
  <c r="CA1373" i="42385"/>
  <c r="DB1373" i="42385"/>
  <c r="BZ1375" i="42385"/>
  <c r="DB1375" i="42385" s="1"/>
  <c r="BK613" i="42385"/>
  <c r="BJ613" i="42385"/>
  <c r="CX613" i="42385" s="1"/>
  <c r="BJ863" i="42385"/>
  <c r="CX863" i="42385" s="1"/>
  <c r="BV799" i="42385"/>
  <c r="BQ800" i="42385"/>
  <c r="BQ804" i="42385"/>
  <c r="BQ806" i="42385" s="1"/>
  <c r="CV294" i="42385"/>
  <c r="GC454" i="42417"/>
  <c r="GG454" i="42417" s="1"/>
  <c r="BH472" i="42385"/>
  <c r="BG473" i="42385"/>
  <c r="BG1547" i="42385"/>
  <c r="BG474" i="42385"/>
  <c r="BG475" i="42385" s="1"/>
  <c r="BJ183" i="42385"/>
  <c r="BF183" i="42385"/>
  <c r="BG183" i="42385" s="1"/>
  <c r="BH183" i="42385" s="1"/>
  <c r="BI183" i="42385" s="1"/>
  <c r="CW183" i="42385"/>
  <c r="BI840" i="42385"/>
  <c r="BI294" i="42385"/>
  <c r="BI838" i="42385"/>
  <c r="BI839" i="42385"/>
  <c r="BO1272" i="42385"/>
  <c r="CY1272" i="42385" s="1"/>
  <c r="BX1485" i="42385"/>
  <c r="BY1485" i="42385" s="1"/>
  <c r="DA1485" i="42385" s="1"/>
  <c r="BR799" i="42385"/>
  <c r="BT799" i="42385" s="1"/>
  <c r="BM804" i="42385"/>
  <c r="BM800" i="42385"/>
  <c r="BN831" i="42385"/>
  <c r="BS830" i="42385"/>
  <c r="BN835" i="42385"/>
  <c r="BN837" i="42385" s="1"/>
  <c r="BR282" i="42385"/>
  <c r="BT282" i="42385" s="1"/>
  <c r="CZ282" i="42385" s="1"/>
  <c r="BR232" i="42385"/>
  <c r="BT232" i="42385" s="1"/>
  <c r="CZ232" i="42385" s="1"/>
  <c r="BT1222" i="42385"/>
  <c r="DA1385" i="42385"/>
  <c r="BZ1385" i="42385"/>
  <c r="BZ1485" i="42385" s="1"/>
  <c r="DB1485" i="42385" s="1"/>
  <c r="BH807" i="42385"/>
  <c r="BH808" i="42385"/>
  <c r="BH809" i="42385"/>
  <c r="BH293" i="42385"/>
  <c r="BW1386" i="42385"/>
  <c r="BW1486" i="42385" s="1"/>
  <c r="BV1563" i="42385"/>
  <c r="BV1593" i="42385" s="1"/>
  <c r="BE346" i="42385"/>
  <c r="CW346" i="42385" s="1"/>
  <c r="CW344" i="42385"/>
  <c r="BE345" i="42385"/>
  <c r="CW345" i="42385" s="1"/>
  <c r="AT348" i="42385"/>
  <c r="AS347" i="42385"/>
  <c r="AS350" i="42385" s="1"/>
  <c r="AS352" i="42385" s="1"/>
  <c r="AZ346" i="42385"/>
  <c r="CV346" i="42385" s="1"/>
  <c r="CV344" i="42385"/>
  <c r="AZ345" i="42385"/>
  <c r="CV345" i="42385" s="1"/>
  <c r="BR345" i="42385"/>
  <c r="BW344" i="42385"/>
  <c r="BW345" i="42385" s="1"/>
  <c r="BD356" i="42385"/>
  <c r="BC1528" i="42385"/>
  <c r="BC357" i="42385"/>
  <c r="BE356" i="42385"/>
  <c r="GM514" i="42417"/>
  <c r="AP265" i="42385"/>
  <c r="BY184" i="42385"/>
  <c r="CZ184" i="42385"/>
  <c r="BU184" i="42385"/>
  <c r="BV184" i="42385" s="1"/>
  <c r="BW184" i="42385" s="1"/>
  <c r="BX184" i="42385" s="1"/>
  <c r="AQ265" i="42385"/>
  <c r="AQ355" i="42385"/>
  <c r="AQ354" i="42385"/>
  <c r="AQ353" i="42385"/>
  <c r="BB345" i="42385"/>
  <c r="BG344" i="42385"/>
  <c r="BJ344" i="42385" s="1"/>
  <c r="CV597" i="42385"/>
  <c r="AZ598" i="42385"/>
  <c r="CV598" i="42385" s="1"/>
  <c r="BF345" i="42385"/>
  <c r="BK344" i="42385"/>
  <c r="EM496" i="42492"/>
  <c r="EM497" i="42492"/>
  <c r="EM499" i="42492"/>
  <c r="EM500" i="42492"/>
  <c r="DC643" i="42385"/>
  <c r="CB643" i="42385"/>
  <c r="CC643" i="42385" s="1"/>
  <c r="CD643" i="42385" s="1"/>
  <c r="CE643" i="42385" s="1"/>
  <c r="CF643" i="42385" s="1"/>
  <c r="AR265" i="42385"/>
  <c r="AR354" i="42385"/>
  <c r="AR355" i="42385"/>
  <c r="AR353" i="42385"/>
  <c r="BS344" i="42385"/>
  <c r="BN345" i="42385"/>
  <c r="AP354" i="42385"/>
  <c r="CT354" i="42385" s="1"/>
  <c r="IK747" i="42417"/>
  <c r="IK748" i="42417" s="1"/>
  <c r="IK749" i="42417" s="1"/>
  <c r="AP355" i="42385"/>
  <c r="CT355" i="42385" s="1"/>
  <c r="AP353" i="42385"/>
  <c r="CT353" i="42385" s="1"/>
  <c r="CT352" i="42385"/>
  <c r="AX601" i="42385"/>
  <c r="AZ599" i="42385"/>
  <c r="CV599" i="42385" s="1"/>
  <c r="AE125" i="42408"/>
  <c r="BK175" i="42385"/>
  <c r="BL175" i="42385" s="1"/>
  <c r="BM175" i="42385" s="1"/>
  <c r="BN175" i="42385" s="1"/>
  <c r="BO175" i="42385"/>
  <c r="CX175" i="42385"/>
  <c r="BL932" i="42385"/>
  <c r="BL297" i="42385"/>
  <c r="BL933" i="42385"/>
  <c r="BL931" i="42385"/>
  <c r="CW185" i="42385"/>
  <c r="BF185" i="42385"/>
  <c r="BG185" i="42385" s="1"/>
  <c r="BH185" i="42385" s="1"/>
  <c r="BI185" i="42385" s="1"/>
  <c r="BJ185" i="42385"/>
  <c r="BR928" i="42385"/>
  <c r="BR930" i="42385" s="1"/>
  <c r="BW923" i="42385"/>
  <c r="BR924" i="42385"/>
  <c r="BI897" i="42385"/>
  <c r="BI899" i="42385" s="1"/>
  <c r="BN892" i="42385"/>
  <c r="BI893" i="42385"/>
  <c r="BV923" i="42385"/>
  <c r="BQ928" i="42385"/>
  <c r="BQ930" i="42385" s="1"/>
  <c r="BQ924" i="42385"/>
  <c r="BC899" i="42385"/>
  <c r="BE897" i="42385"/>
  <c r="CW897" i="42385" s="1"/>
  <c r="BE295" i="42385"/>
  <c r="CW295" i="42385" s="1"/>
  <c r="AU901" i="42385"/>
  <c r="CU901" i="42385" s="1"/>
  <c r="CU899" i="42385"/>
  <c r="AU900" i="42385"/>
  <c r="CU900" i="42385" s="1"/>
  <c r="L22" i="42412"/>
  <c r="AU902" i="42385"/>
  <c r="BQ893" i="42385"/>
  <c r="BQ897" i="42385"/>
  <c r="BQ899" i="42385" s="1"/>
  <c r="BV892" i="42385"/>
  <c r="BF181" i="42385"/>
  <c r="BG181" i="42385" s="1"/>
  <c r="BH181" i="42385" s="1"/>
  <c r="BI181" i="42385" s="1"/>
  <c r="CW181" i="42385"/>
  <c r="BJ181" i="42385"/>
  <c r="GO515" i="42417"/>
  <c r="FK413" i="42417"/>
  <c r="CT296" i="42385"/>
  <c r="E7" i="42464"/>
  <c r="BM931" i="42385"/>
  <c r="BM933" i="42385"/>
  <c r="BM297" i="42385"/>
  <c r="BM932" i="42385"/>
  <c r="BE893" i="42385"/>
  <c r="CW893" i="42385" s="1"/>
  <c r="CW892" i="42385"/>
  <c r="BE894" i="42385"/>
  <c r="CW894" i="42385" s="1"/>
  <c r="BK174" i="42385"/>
  <c r="BL174" i="42385" s="1"/>
  <c r="BM174" i="42385" s="1"/>
  <c r="BN174" i="42385" s="1"/>
  <c r="CX174" i="42385"/>
  <c r="BO174" i="42385"/>
  <c r="GP515" i="42417"/>
  <c r="F7" i="42464"/>
  <c r="FI413" i="42417"/>
  <c r="CU296" i="42385"/>
  <c r="BP835" i="42385"/>
  <c r="BP837" i="42385" s="1"/>
  <c r="BP831" i="42385"/>
  <c r="BU830" i="42385"/>
  <c r="BL902" i="42385"/>
  <c r="BL901" i="42385"/>
  <c r="BL296" i="42385"/>
  <c r="BL900" i="42385"/>
  <c r="BF186" i="42385"/>
  <c r="BG186" i="42385" s="1"/>
  <c r="BH186" i="42385" s="1"/>
  <c r="BI186" i="42385" s="1"/>
  <c r="BJ186" i="42385"/>
  <c r="CW186" i="42385"/>
  <c r="AX296" i="42385"/>
  <c r="AZ296" i="42385" s="1"/>
  <c r="AX901" i="42385"/>
  <c r="AX900" i="42385"/>
  <c r="AX902" i="42385"/>
  <c r="AZ899" i="42385"/>
  <c r="BH897" i="42385"/>
  <c r="BH893" i="42385"/>
  <c r="BM892" i="42385"/>
  <c r="BJ892" i="42385"/>
  <c r="AV480" i="42385"/>
  <c r="CU480" i="42385"/>
  <c r="AU1140" i="42385"/>
  <c r="CU1140" i="42385" s="1"/>
  <c r="BG295" i="42385"/>
  <c r="BG303" i="42385" s="1"/>
  <c r="BG305" i="42385" s="1"/>
  <c r="BG870" i="42385"/>
  <c r="BG871" i="42385"/>
  <c r="BG869" i="42385"/>
  <c r="CX172" i="42385"/>
  <c r="BO172" i="42385"/>
  <c r="BK172" i="42385"/>
  <c r="BL172" i="42385" s="1"/>
  <c r="BM172" i="42385" s="1"/>
  <c r="BN172" i="42385" s="1"/>
  <c r="AZ295" i="42385"/>
  <c r="AV303" i="42385"/>
  <c r="AV305" i="42385" s="1"/>
  <c r="BZ1483" i="42385"/>
  <c r="DB1483" i="42385" s="1"/>
  <c r="CA1383" i="42385"/>
  <c r="DB1383" i="42385"/>
  <c r="BF868" i="42385"/>
  <c r="BJ866" i="42385"/>
  <c r="CX866" i="42385" s="1"/>
  <c r="BK901" i="42385"/>
  <c r="BK296" i="42385"/>
  <c r="BK902" i="42385"/>
  <c r="BK900" i="42385"/>
  <c r="CE1195" i="42385"/>
  <c r="CF1194" i="42385"/>
  <c r="CF1195" i="42385" s="1"/>
  <c r="F13" i="42464"/>
  <c r="CU295" i="42385"/>
  <c r="GP521" i="42417"/>
  <c r="BK862" i="42385"/>
  <c r="BK866" i="42385"/>
  <c r="BK868" i="42385" s="1"/>
  <c r="BP861" i="42385"/>
  <c r="BO861" i="42385"/>
  <c r="BQ861" i="42385"/>
  <c r="BL866" i="42385"/>
  <c r="BL868" i="42385" s="1"/>
  <c r="BL862" i="42385"/>
  <c r="BU892" i="42385"/>
  <c r="BP893" i="42385"/>
  <c r="BP897" i="42385"/>
  <c r="BP899" i="42385" s="1"/>
  <c r="CZ187" i="42385"/>
  <c r="BU187" i="42385"/>
  <c r="BV187" i="42385" s="1"/>
  <c r="BW187" i="42385" s="1"/>
  <c r="BX187" i="42385" s="1"/>
  <c r="BY187" i="42385"/>
  <c r="AZ869" i="42385"/>
  <c r="CV869" i="42385" s="1"/>
  <c r="AZ870" i="42385"/>
  <c r="CV870" i="42385" s="1"/>
  <c r="CV868" i="42385"/>
  <c r="AZ871" i="42385"/>
  <c r="CV871" i="42385" s="1"/>
  <c r="P21" i="42476"/>
  <c r="BC1620" i="42385"/>
  <c r="BC1627" i="42385" s="1"/>
  <c r="BC1628" i="42385" s="1"/>
  <c r="BB1620" i="42385"/>
  <c r="BB1627" i="42385" s="1"/>
  <c r="BB1628" i="42385" s="1"/>
  <c r="CV1619" i="42385"/>
  <c r="BA1620" i="42385"/>
  <c r="BA1627" i="42385" s="1"/>
  <c r="BA1628" i="42385" s="1"/>
  <c r="AZ1620" i="42385"/>
  <c r="AY1627" i="42385"/>
  <c r="AY1628" i="42385" s="1"/>
  <c r="CV1330" i="42385"/>
  <c r="F54" i="42465"/>
  <c r="CF977" i="42385"/>
  <c r="CF152" i="42400"/>
  <c r="CF167" i="42400" s="1"/>
  <c r="CF169" i="42400" s="1"/>
  <c r="CF988" i="42385" s="1"/>
  <c r="CF989" i="42385" s="1"/>
  <c r="CD144" i="42400"/>
  <c r="CC148" i="42400"/>
  <c r="CC926" i="42385" s="1"/>
  <c r="CC927" i="42385" s="1"/>
  <c r="CE134" i="42400"/>
  <c r="CE135" i="42400"/>
  <c r="CE141" i="42400"/>
  <c r="CE142" i="42400"/>
  <c r="CE140" i="42400"/>
  <c r="BO23" i="42418"/>
  <c r="CE244" i="42385"/>
  <c r="BR22" i="42418"/>
  <c r="BR23" i="42418" s="1"/>
  <c r="CE921" i="42385"/>
  <c r="CD137" i="42400"/>
  <c r="CF130" i="42400"/>
  <c r="CF920" i="42385"/>
  <c r="AZ1658" i="42385"/>
  <c r="F17" i="42465"/>
  <c r="L20" i="42476"/>
  <c r="AA22" i="42476" s="1"/>
  <c r="CV93" i="42385"/>
  <c r="CY247" i="42417"/>
  <c r="CV106" i="42385"/>
  <c r="AK33" i="42464"/>
  <c r="AJ41" i="42464"/>
  <c r="BR1546" i="42385"/>
  <c r="BW443" i="42385"/>
  <c r="BR444" i="42385"/>
  <c r="BR445" i="42385"/>
  <c r="BR446" i="42385" s="1"/>
  <c r="AX1525" i="42385"/>
  <c r="AY1523" i="42385"/>
  <c r="BL1626" i="42385"/>
  <c r="BK1628" i="42385"/>
  <c r="BJ1546" i="42385"/>
  <c r="CX1546" i="42385" s="1"/>
  <c r="BJ444" i="42385"/>
  <c r="CX444" i="42385" s="1"/>
  <c r="CX443" i="42385"/>
  <c r="BJ445" i="42385"/>
  <c r="CX445" i="42385" s="1"/>
  <c r="CC1549" i="42385"/>
  <c r="CD995" i="42385"/>
  <c r="BE1627" i="42385"/>
  <c r="CW1620" i="42385"/>
  <c r="BN1546" i="42385"/>
  <c r="BS443" i="42385"/>
  <c r="BN444" i="42385"/>
  <c r="BN445" i="42385"/>
  <c r="BN446" i="42385" s="1"/>
  <c r="BO446" i="42385" s="1"/>
  <c r="CY446" i="42385" s="1"/>
  <c r="BO443" i="42385"/>
  <c r="BU1511" i="42385"/>
  <c r="BU118" i="42385" s="1"/>
  <c r="BI78" i="42418"/>
  <c r="BL78" i="42418"/>
  <c r="CB236" i="42385"/>
  <c r="CC748" i="42385"/>
  <c r="BR996" i="42385"/>
  <c r="BR1549" i="42385"/>
  <c r="BS995" i="42385"/>
  <c r="BR997" i="42385"/>
  <c r="BB1535" i="42385"/>
  <c r="BC872" i="42385"/>
  <c r="BB873" i="42385"/>
  <c r="CA1382" i="42385"/>
  <c r="DB1382" i="42385"/>
  <c r="BM838" i="42385"/>
  <c r="BM839" i="42385"/>
  <c r="BM840" i="42385"/>
  <c r="BM294" i="42385"/>
  <c r="BS862" i="42385"/>
  <c r="BX861" i="42385"/>
  <c r="BS866" i="42385"/>
  <c r="BO835" i="42385"/>
  <c r="CY835" i="42385" s="1"/>
  <c r="BK1564" i="42385"/>
  <c r="BK1406" i="42385"/>
  <c r="BK1424" i="42385" s="1"/>
  <c r="G29" i="42412"/>
  <c r="I27" i="42412"/>
  <c r="BZ1478" i="42385"/>
  <c r="DB1478" i="42385" s="1"/>
  <c r="CA1378" i="42385"/>
  <c r="DB1378" i="42385"/>
  <c r="CE75" i="42400"/>
  <c r="CE864" i="42385" s="1"/>
  <c r="CE865" i="42385" s="1"/>
  <c r="BZ776" i="42385"/>
  <c r="DB776" i="42385" s="1"/>
  <c r="BZ287" i="42385"/>
  <c r="DB774" i="42385"/>
  <c r="BZ775" i="42385"/>
  <c r="DB775" i="42385" s="1"/>
  <c r="BE176" i="42385"/>
  <c r="CV176" i="42385"/>
  <c r="BA176" i="42385"/>
  <c r="BB176" i="42385" s="1"/>
  <c r="BC176" i="42385" s="1"/>
  <c r="BD176" i="42385" s="1"/>
  <c r="BM612" i="42385"/>
  <c r="BL612" i="42385"/>
  <c r="BN612" i="42385" s="1"/>
  <c r="CD981" i="42385"/>
  <c r="CC982" i="42385"/>
  <c r="BN870" i="42385"/>
  <c r="BN869" i="42385"/>
  <c r="BN295" i="42385"/>
  <c r="BN871" i="42385"/>
  <c r="CW868" i="42385"/>
  <c r="BE871" i="42385"/>
  <c r="CW871" i="42385" s="1"/>
  <c r="BE870" i="42385"/>
  <c r="CW870" i="42385" s="1"/>
  <c r="BE869" i="42385"/>
  <c r="CW869" i="42385" s="1"/>
  <c r="CX190" i="42385"/>
  <c r="BK190" i="42385"/>
  <c r="BL190" i="42385" s="1"/>
  <c r="BM190" i="42385" s="1"/>
  <c r="BN190" i="42385" s="1"/>
  <c r="BO190" i="42385"/>
  <c r="BW830" i="42385"/>
  <c r="BR831" i="42385"/>
  <c r="BR835" i="42385"/>
  <c r="BR837" i="42385" s="1"/>
  <c r="BT830" i="42385"/>
  <c r="DC767" i="42385"/>
  <c r="CA771" i="42385"/>
  <c r="DC771" i="42385" s="1"/>
  <c r="CA774" i="42385"/>
  <c r="CA237" i="42385"/>
  <c r="DC237" i="42385" s="1"/>
  <c r="CB767" i="42385"/>
  <c r="CY830" i="42385"/>
  <c r="BO831" i="42385"/>
  <c r="CY831" i="42385" s="1"/>
  <c r="BO832" i="42385"/>
  <c r="CY832" i="42385" s="1"/>
  <c r="BH838" i="42385"/>
  <c r="BH839" i="42385"/>
  <c r="BH840" i="42385"/>
  <c r="BH294" i="42385"/>
  <c r="BJ837" i="42385"/>
  <c r="DC246" i="42385"/>
  <c r="CA11" i="42385"/>
  <c r="DC11" i="42385" s="1"/>
  <c r="BM1400" i="42385"/>
  <c r="BM1498" i="42385" s="1"/>
  <c r="BL1402" i="42385"/>
  <c r="CB996" i="42385"/>
  <c r="CB246" i="42385"/>
  <c r="CB983" i="42385"/>
  <c r="BE838" i="42385"/>
  <c r="CW838" i="42385" s="1"/>
  <c r="BE840" i="42385"/>
  <c r="CW840" i="42385" s="1"/>
  <c r="BE839" i="42385"/>
  <c r="CW839" i="42385" s="1"/>
  <c r="CW837" i="42385"/>
  <c r="BZ219" i="42385"/>
  <c r="DB370" i="42385"/>
  <c r="BZ371" i="42385"/>
  <c r="DB371" i="42385" s="1"/>
  <c r="BN107" i="42385"/>
  <c r="BN114" i="42385" s="1"/>
  <c r="BO1553" i="42385"/>
  <c r="AS21" i="42385"/>
  <c r="AU298" i="42385"/>
  <c r="AS305" i="42385"/>
  <c r="BC162" i="42417"/>
  <c r="B7" i="42417"/>
  <c r="E28" i="42405"/>
  <c r="E29" i="42405" s="1"/>
  <c r="E30" i="42405" s="1"/>
  <c r="BJ162" i="42417" s="1"/>
  <c r="AM376" i="42385"/>
  <c r="AN377" i="42385"/>
  <c r="BQ1656" i="42385"/>
  <c r="AC48" i="42476"/>
  <c r="AC50" i="42476" s="1"/>
  <c r="BQ121" i="42385"/>
  <c r="BA189" i="42385"/>
  <c r="BB189" i="42385" s="1"/>
  <c r="BC189" i="42385" s="1"/>
  <c r="BD189" i="42385" s="1"/>
  <c r="CV189" i="42385"/>
  <c r="BE189" i="42385"/>
  <c r="BO925" i="42385"/>
  <c r="CY925" i="42385" s="1"/>
  <c r="BD491" i="42385"/>
  <c r="BD490" i="42385"/>
  <c r="BD270" i="42385"/>
  <c r="BE270" i="42385" s="1"/>
  <c r="CW270" i="42385" s="1"/>
  <c r="BE489" i="42385"/>
  <c r="AU963" i="42385"/>
  <c r="CU963" i="42385" s="1"/>
  <c r="AU964" i="42385"/>
  <c r="CU964" i="42385" s="1"/>
  <c r="CU961" i="42385"/>
  <c r="AU962" i="42385"/>
  <c r="CU962" i="42385" s="1"/>
  <c r="BG162" i="42417"/>
  <c r="BG166" i="42417" s="1"/>
  <c r="BF166" i="42417"/>
  <c r="AA374" i="42385"/>
  <c r="CQ374" i="42385" s="1"/>
  <c r="CQ373" i="42385"/>
  <c r="AA375" i="42385"/>
  <c r="CQ375" i="42385" s="1"/>
  <c r="AF375" i="42385"/>
  <c r="CR375" i="42385" s="1"/>
  <c r="BF223" i="42385"/>
  <c r="BF228" i="42385" s="1"/>
  <c r="BF489" i="42385"/>
  <c r="BF487" i="42385"/>
  <c r="BU1500" i="42385"/>
  <c r="BO924" i="42385"/>
  <c r="CY924" i="42385" s="1"/>
  <c r="BI162" i="42417"/>
  <c r="CE294" i="42400"/>
  <c r="BQ1600" i="42385"/>
  <c r="BQ1601" i="42385" s="1"/>
  <c r="BQ1602" i="42385" s="1"/>
  <c r="BQ1603" i="42385"/>
  <c r="BQ1604" i="42385" s="1"/>
  <c r="BQ1605" i="42385" s="1"/>
  <c r="BQ1627" i="42385"/>
  <c r="BQ1634" i="42385"/>
  <c r="BH484" i="42385"/>
  <c r="DJ387" i="42492"/>
  <c r="BG483" i="42385"/>
  <c r="AQ374" i="42385"/>
  <c r="AV373" i="42385"/>
  <c r="E16" i="42464"/>
  <c r="GO524" i="42417"/>
  <c r="CT298" i="42385"/>
  <c r="AP305" i="42385"/>
  <c r="BE223" i="42385"/>
  <c r="CW223" i="42385" s="1"/>
  <c r="CC674" i="42385"/>
  <c r="CC675" i="42385" s="1"/>
  <c r="CD677" i="42385"/>
  <c r="CV416" i="42385"/>
  <c r="AZ417" i="42385"/>
  <c r="CV417" i="42385" s="1"/>
  <c r="CB618" i="42385"/>
  <c r="CA230" i="42385"/>
  <c r="DC230" i="42385" s="1"/>
  <c r="DC618" i="42385"/>
  <c r="BT118" i="42385"/>
  <c r="CZ118" i="42385" s="1"/>
  <c r="CZ1511" i="42385"/>
  <c r="CA697" i="42385"/>
  <c r="CA696" i="42385"/>
  <c r="AF116" i="42408"/>
  <c r="AF120" i="42408" s="1"/>
  <c r="CA283" i="42385"/>
  <c r="BO928" i="42385"/>
  <c r="CY928" i="42385" s="1"/>
  <c r="CB693" i="42385"/>
  <c r="CB695" i="42385" s="1"/>
  <c r="CB676" i="42385"/>
  <c r="CB233" i="42385"/>
  <c r="BO1493" i="42385"/>
  <c r="BO1265" i="42385"/>
  <c r="AP21" i="42385"/>
  <c r="AN30" i="42385"/>
  <c r="BA1530" i="42385"/>
  <c r="BA417" i="42385"/>
  <c r="BB416" i="42385"/>
  <c r="AS374" i="42385"/>
  <c r="AX373" i="42385"/>
  <c r="CW954" i="42385"/>
  <c r="BE956" i="42385"/>
  <c r="CW956" i="42385" s="1"/>
  <c r="BE955" i="42385"/>
  <c r="CW955" i="42385" s="1"/>
  <c r="AF122" i="42408"/>
  <c r="AX1554" i="42385"/>
  <c r="BS1237" i="42385"/>
  <c r="BT1237" i="42385" s="1"/>
  <c r="BR1238" i="42385"/>
  <c r="BR1241" i="42385"/>
  <c r="BT1241" i="42385" s="1"/>
  <c r="AT373" i="42385"/>
  <c r="AO374" i="42385"/>
  <c r="DC369" i="42385"/>
  <c r="CA370" i="42385"/>
  <c r="CB369" i="42385"/>
  <c r="BV1511" i="42385"/>
  <c r="BW1509" i="42385"/>
  <c r="BE484" i="42385"/>
  <c r="CW484" i="42385" s="1"/>
  <c r="BE487" i="42385"/>
  <c r="CW487" i="42385" s="1"/>
  <c r="CW483" i="42385"/>
  <c r="AX963" i="42385"/>
  <c r="AX962" i="42385"/>
  <c r="AX964" i="42385"/>
  <c r="AX298" i="42385"/>
  <c r="AZ961" i="42385"/>
  <c r="BE228" i="42385"/>
  <c r="CW228" i="42385" s="1"/>
  <c r="CE661" i="42385"/>
  <c r="CD680" i="42385"/>
  <c r="CD691" i="42385" s="1"/>
  <c r="CD673" i="42385"/>
  <c r="BC961" i="42385"/>
  <c r="BE959" i="42385"/>
  <c r="CW959" i="42385" s="1"/>
  <c r="AU1001" i="42385"/>
  <c r="AT1139" i="42385"/>
  <c r="BR1575" i="42385"/>
  <c r="BR1577" i="42385" s="1"/>
  <c r="BR1579" i="42385" s="1"/>
  <c r="BT1500" i="42385"/>
  <c r="CV810" i="42385"/>
  <c r="AZ811" i="42385"/>
  <c r="CV811" i="42385" s="1"/>
  <c r="CW777" i="42385"/>
  <c r="BE778" i="42385"/>
  <c r="CW778" i="42385" s="1"/>
  <c r="AH404" i="42385"/>
  <c r="AH414" i="42385"/>
  <c r="BA1613" i="42385"/>
  <c r="BE1613" i="42385"/>
  <c r="CV1613" i="42385"/>
  <c r="AZ966" i="42385"/>
  <c r="CV966" i="42385" s="1"/>
  <c r="CV965" i="42385"/>
  <c r="BU8" i="42418"/>
  <c r="BU9" i="42418" s="1"/>
  <c r="CF890" i="42385"/>
  <c r="CF243" i="42385"/>
  <c r="BN807" i="42385"/>
  <c r="BN808" i="42385"/>
  <c r="BN293" i="42385"/>
  <c r="BN809" i="42385"/>
  <c r="CA284" i="42385"/>
  <c r="DC284" i="42385" s="1"/>
  <c r="CA719" i="42385"/>
  <c r="DC719" i="42385" s="1"/>
  <c r="CA718" i="42385"/>
  <c r="DC718" i="42385" s="1"/>
  <c r="DC717" i="42385"/>
  <c r="BI1406" i="42385"/>
  <c r="BI1424" i="42385" s="1"/>
  <c r="BI1564" i="42385"/>
  <c r="BI1504" i="42385"/>
  <c r="BS924" i="42385"/>
  <c r="BS928" i="42385"/>
  <c r="BS930" i="42385" s="1"/>
  <c r="BX923" i="42385"/>
  <c r="CF91" i="42400"/>
  <c r="CF88" i="42400"/>
  <c r="CF89" i="42400"/>
  <c r="CF97" i="42400"/>
  <c r="CF90" i="42400"/>
  <c r="CF93" i="42400"/>
  <c r="CF92" i="42400"/>
  <c r="CF87" i="42400"/>
  <c r="BZ1551" i="42385"/>
  <c r="DB576" i="42385"/>
  <c r="CA576" i="42385"/>
  <c r="GF483" i="42464"/>
  <c r="L120" i="42385"/>
  <c r="CN114" i="42385"/>
  <c r="DC647" i="42385"/>
  <c r="CA281" i="42385"/>
  <c r="DC281" i="42385" s="1"/>
  <c r="CA648" i="42385"/>
  <c r="DC648" i="42385" s="1"/>
  <c r="BS800" i="42385"/>
  <c r="BS804" i="42385"/>
  <c r="BX799" i="42385"/>
  <c r="CB1480" i="42385"/>
  <c r="CC1380" i="42385"/>
  <c r="CD1380" i="42385" s="1"/>
  <c r="CD1480" i="42385" s="1"/>
  <c r="CO1330" i="42385"/>
  <c r="BI807" i="42385"/>
  <c r="BI293" i="42385"/>
  <c r="BI809" i="42385"/>
  <c r="BI808" i="42385"/>
  <c r="BJ806" i="42385"/>
  <c r="L1333" i="42385"/>
  <c r="CN1330" i="42385"/>
  <c r="CW806" i="42385"/>
  <c r="GW547" i="42417"/>
  <c r="GW546" i="42417" s="1"/>
  <c r="GX546" i="42417" s="1"/>
  <c r="BE808" i="42385"/>
  <c r="CW808" i="42385" s="1"/>
  <c r="BE809" i="42385"/>
  <c r="CW809" i="42385" s="1"/>
  <c r="BE807" i="42385"/>
  <c r="CW807" i="42385" s="1"/>
  <c r="BO1181" i="42385"/>
  <c r="CY1181" i="42385" s="1"/>
  <c r="CY1180" i="42385"/>
  <c r="BO1183" i="42385"/>
  <c r="CN1620" i="42385"/>
  <c r="L1627" i="42385"/>
  <c r="E28" i="42409"/>
  <c r="F36" i="42409"/>
  <c r="BZ299" i="42385"/>
  <c r="BZ994" i="42385"/>
  <c r="DB994" i="42385" s="1"/>
  <c r="BZ993" i="42385"/>
  <c r="DB993" i="42385" s="1"/>
  <c r="DB992" i="42385"/>
  <c r="BZ997" i="42385"/>
  <c r="DB997" i="42385" s="1"/>
  <c r="CF279" i="42400"/>
  <c r="CF280" i="42400"/>
  <c r="CF283" i="42400"/>
  <c r="CF292" i="42400"/>
  <c r="CF281" i="42400"/>
  <c r="CF291" i="42400"/>
  <c r="CF289" i="42400"/>
  <c r="CF290" i="42400"/>
  <c r="CF282" i="42400"/>
  <c r="CF288" i="42400"/>
  <c r="BQ740" i="42385"/>
  <c r="BV729" i="42385"/>
  <c r="BQ235" i="42385"/>
  <c r="BO801" i="42385"/>
  <c r="CY801" i="42385" s="1"/>
  <c r="CY799" i="42385"/>
  <c r="BO800" i="42385"/>
  <c r="CY800" i="42385" s="1"/>
  <c r="CE95" i="42400"/>
  <c r="CE101" i="42400" s="1"/>
  <c r="CE833" i="42385" s="1"/>
  <c r="CE834" i="42385" s="1"/>
  <c r="BI901" i="42385"/>
  <c r="BI900" i="42385"/>
  <c r="BI902" i="42385"/>
  <c r="BI296" i="42385"/>
  <c r="BP1399" i="42385"/>
  <c r="BP1497" i="42385" s="1"/>
  <c r="CY1399" i="42385"/>
  <c r="DA299" i="42385"/>
  <c r="B26" i="42408"/>
  <c r="G26" i="42408" s="1"/>
  <c r="BP732" i="42385"/>
  <c r="BK733" i="42385"/>
  <c r="CC985" i="42385"/>
  <c r="CB986" i="42385"/>
  <c r="CB990" i="42385"/>
  <c r="CB992" i="42385" s="1"/>
  <c r="CE285" i="42400"/>
  <c r="CE298" i="42400" s="1"/>
  <c r="CE895" i="42385" s="1"/>
  <c r="CE896" i="42385" s="1"/>
  <c r="BN297" i="42385"/>
  <c r="BN931" i="42385"/>
  <c r="BN932" i="42385"/>
  <c r="BN933" i="42385"/>
  <c r="BR732" i="42385"/>
  <c r="BM733" i="42385"/>
  <c r="BT729" i="42385"/>
  <c r="BU729" i="42385"/>
  <c r="AY1531" i="42385"/>
  <c r="BA810" i="42385"/>
  <c r="AY811" i="42385"/>
  <c r="DC990" i="42385"/>
  <c r="CA992" i="42385"/>
  <c r="CQ1620" i="42385"/>
  <c r="AA1627" i="42385"/>
  <c r="CQ114" i="42385"/>
  <c r="AA120" i="42385"/>
  <c r="BF777" i="42385"/>
  <c r="BD778" i="42385"/>
  <c r="BD1540" i="42385"/>
  <c r="BE1540" i="42385" s="1"/>
  <c r="CW1540" i="42385" s="1"/>
  <c r="BT923" i="42385"/>
  <c r="BT924" i="42385" s="1"/>
  <c r="CZ924" i="42385" s="1"/>
  <c r="DB281" i="42385"/>
  <c r="C25" i="42408"/>
  <c r="H25" i="42408" s="1"/>
  <c r="AJ408" i="42385"/>
  <c r="AK408" i="42385" s="1"/>
  <c r="AI407" i="42385"/>
  <c r="BG1446" i="42385"/>
  <c r="BG1448" i="42385"/>
  <c r="BG1479" i="42385" s="1"/>
  <c r="BG1445" i="42385"/>
  <c r="BH479" i="42385"/>
  <c r="BG1139" i="42385"/>
  <c r="BS235" i="42385"/>
  <c r="BS740" i="42385"/>
  <c r="BX729" i="42385"/>
  <c r="Q120" i="42385"/>
  <c r="CO114" i="42385"/>
  <c r="CC640" i="42385"/>
  <c r="CB231" i="42385"/>
  <c r="CB650" i="42385"/>
  <c r="CB647" i="42385"/>
  <c r="BW1484" i="42385"/>
  <c r="BX1384" i="42385"/>
  <c r="BY1384" i="42385" s="1"/>
  <c r="BI1593" i="42385"/>
  <c r="BI1594" i="42385" s="1"/>
  <c r="BI1595" i="42385" s="1"/>
  <c r="BI1591" i="42385"/>
  <c r="BI1592" i="42385" s="1"/>
  <c r="BU57" i="42418"/>
  <c r="BU58" i="42418" s="1"/>
  <c r="CF241" i="42385"/>
  <c r="CF828" i="42385"/>
  <c r="BE759" i="42385"/>
  <c r="CW759" i="42385" s="1"/>
  <c r="CW758" i="42385"/>
  <c r="BS732" i="42385"/>
  <c r="BS736" i="42385" s="1"/>
  <c r="BN733" i="42385"/>
  <c r="BA965" i="42385"/>
  <c r="AY966" i="42385"/>
  <c r="AY1539" i="42385"/>
  <c r="AZ1539" i="42385" s="1"/>
  <c r="CV1539" i="42385" s="1"/>
  <c r="BH1583" i="42385"/>
  <c r="BH1660" i="42385"/>
  <c r="T34" i="42476"/>
  <c r="BQ732" i="42385"/>
  <c r="BL733" i="42385"/>
  <c r="BF759" i="42385"/>
  <c r="BG758" i="42385"/>
  <c r="BF1538" i="42385"/>
  <c r="CO1620" i="42385"/>
  <c r="Q1627" i="42385"/>
  <c r="BD1533" i="42385"/>
  <c r="BE1533" i="42385" s="1"/>
  <c r="CW1533" i="42385" s="1"/>
  <c r="BD935" i="42385"/>
  <c r="BE934" i="42385"/>
  <c r="BF934" i="42385"/>
  <c r="C17" i="42408"/>
  <c r="H17" i="42408" s="1"/>
  <c r="DB284" i="42385"/>
  <c r="CC710" i="42385"/>
  <c r="BL64" i="42418"/>
  <c r="BI64" i="42418"/>
  <c r="CB717" i="42385"/>
  <c r="CB234" i="42385"/>
  <c r="CB714" i="42385"/>
  <c r="BK1482" i="42385"/>
  <c r="BO1482" i="42385" s="1"/>
  <c r="CY1482" i="42385" s="1"/>
  <c r="CX1382" i="42385"/>
  <c r="BJ1563" i="42385"/>
  <c r="BJ1402" i="42385"/>
  <c r="AF405" i="42385"/>
  <c r="CR405" i="42385" s="1"/>
  <c r="CR404" i="42385"/>
  <c r="AF406" i="42385"/>
  <c r="B32" i="42407"/>
  <c r="CA1436" i="42385"/>
  <c r="DB1436" i="42385"/>
  <c r="AR1357" i="42385"/>
  <c r="AR1364" i="42385" s="1"/>
  <c r="AQ1364" i="42385"/>
  <c r="BW729" i="42385"/>
  <c r="BR740" i="42385"/>
  <c r="BR235" i="42385"/>
  <c r="BR238" i="42385" s="1"/>
  <c r="GE491" i="42464"/>
  <c r="GE511" i="42464"/>
  <c r="AG405" i="42385"/>
  <c r="AG406" i="42385"/>
  <c r="BE293" i="42385"/>
  <c r="CW293" i="42385" s="1"/>
  <c r="BD303" i="42385"/>
  <c r="BD305" i="42385" s="1"/>
  <c r="BV1236" i="42385"/>
  <c r="BW1235" i="42385"/>
  <c r="T783" i="42385"/>
  <c r="T786" i="42385" s="1"/>
  <c r="T388" i="42385"/>
  <c r="T391" i="42385" s="1"/>
  <c r="T1000" i="42385"/>
  <c r="T326" i="42385"/>
  <c r="T329" i="42385" s="1"/>
  <c r="T330" i="42385" s="1"/>
  <c r="T331" i="42385" s="1"/>
  <c r="T845" i="42385"/>
  <c r="T848" i="42385" s="1"/>
  <c r="T1138" i="42385"/>
  <c r="T1141" i="42385" s="1"/>
  <c r="T1081" i="42385"/>
  <c r="T938" i="42385"/>
  <c r="T743" i="42385"/>
  <c r="T746" i="42385" s="1"/>
  <c r="U320" i="42385"/>
  <c r="T478" i="42385"/>
  <c r="T481" i="42385" s="1"/>
  <c r="T611" i="42385"/>
  <c r="T614" i="42385" s="1"/>
  <c r="T615" i="42385" s="1"/>
  <c r="T705" i="42385"/>
  <c r="T907" i="42385"/>
  <c r="T910" i="42385" s="1"/>
  <c r="T911" i="42385" s="1"/>
  <c r="T912" i="42385" s="1"/>
  <c r="T762" i="42385"/>
  <c r="T814" i="42385"/>
  <c r="T817" i="42385" s="1"/>
  <c r="T818" i="42385" s="1"/>
  <c r="T819" i="42385" s="1"/>
  <c r="T876" i="42385"/>
  <c r="T879" i="42385" s="1"/>
  <c r="T880" i="42385" s="1"/>
  <c r="T881" i="42385" s="1"/>
  <c r="T360" i="42385"/>
  <c r="T363" i="42385" s="1"/>
  <c r="T364" i="42385" s="1"/>
  <c r="T365" i="42385" s="1"/>
  <c r="T1084" i="42385"/>
  <c r="T1085" i="42385" s="1"/>
  <c r="T1086" i="42385" s="1"/>
  <c r="Q943" i="42385"/>
  <c r="CO943" i="42385" s="1"/>
  <c r="CO942" i="42385"/>
  <c r="BZ755" i="42385"/>
  <c r="BZ752" i="42385"/>
  <c r="DB752" i="42385" s="1"/>
  <c r="DB751" i="42385"/>
  <c r="CA751" i="42385"/>
  <c r="BL326" i="42424"/>
  <c r="BK359" i="42424"/>
  <c r="BL359" i="42424" s="1"/>
  <c r="BL333" i="42424" s="1"/>
  <c r="Q365" i="42385"/>
  <c r="CO365" i="42385" s="1"/>
  <c r="CO364" i="42385"/>
  <c r="AM1501" i="42385"/>
  <c r="Q788" i="42385"/>
  <c r="CO788" i="42385" s="1"/>
  <c r="CO787" i="42385"/>
  <c r="BY756" i="42385"/>
  <c r="DA756" i="42385" s="1"/>
  <c r="DA755" i="42385"/>
  <c r="BY757" i="42385"/>
  <c r="DA757" i="42385" s="1"/>
  <c r="BU293" i="42385"/>
  <c r="BU808" i="42385"/>
  <c r="BU807" i="42385"/>
  <c r="BU809" i="42385"/>
  <c r="G1656" i="42385"/>
  <c r="CM120" i="42385"/>
  <c r="S1141" i="42385"/>
  <c r="DA286" i="42385"/>
  <c r="B19" i="42408"/>
  <c r="G19" i="42408" s="1"/>
  <c r="BU93" i="42418"/>
  <c r="AM1434" i="42385"/>
  <c r="CO1004" i="42385"/>
  <c r="Q1005" i="42385"/>
  <c r="CO1005" i="42385" s="1"/>
  <c r="CF71" i="42400"/>
  <c r="CF75" i="42400" s="1"/>
  <c r="CF864" i="42385" s="1"/>
  <c r="CF865" i="42385" s="1"/>
  <c r="Q850" i="42385"/>
  <c r="CO850" i="42385" s="1"/>
  <c r="CO849" i="42385"/>
  <c r="CM1627" i="42385"/>
  <c r="G1628" i="42385"/>
  <c r="CM1628" i="42385" s="1"/>
  <c r="BJ744" i="42385"/>
  <c r="BJ170" i="42417"/>
  <c r="BP192" i="42417" s="1"/>
  <c r="CG219" i="42417"/>
  <c r="CG224" i="42417" s="1"/>
  <c r="BG1582" i="42385"/>
  <c r="BF1584" i="42385"/>
  <c r="BF1585" i="42385"/>
  <c r="BF1586" i="42385" s="1"/>
  <c r="BF1587" i="42385" s="1"/>
  <c r="AE209" i="42385"/>
  <c r="AE211" i="42385"/>
  <c r="CB312" i="42385"/>
  <c r="CB23" i="42385" s="1"/>
  <c r="CB1116" i="42385"/>
  <c r="AP1437" i="42385"/>
  <c r="AO1439" i="42385"/>
  <c r="AO1432" i="42385" s="1"/>
  <c r="AP1432" i="42385" s="1"/>
  <c r="CT1432" i="42385" s="1"/>
  <c r="CD1113" i="42385"/>
  <c r="CC1115" i="42385"/>
  <c r="BT1119" i="42385"/>
  <c r="CZ1119" i="42385" s="1"/>
  <c r="AE120" i="42385"/>
  <c r="AE1656" i="42385" s="1"/>
  <c r="AF114" i="42385"/>
  <c r="BK931" i="42385"/>
  <c r="BO930" i="42385"/>
  <c r="BK297" i="42385"/>
  <c r="BK933" i="42385"/>
  <c r="BK932" i="42385"/>
  <c r="BK173" i="42385"/>
  <c r="BL173" i="42385" s="1"/>
  <c r="BM173" i="42385" s="1"/>
  <c r="BN173" i="42385" s="1"/>
  <c r="BO173" i="42385"/>
  <c r="CX173" i="42385"/>
  <c r="AF211" i="42385"/>
  <c r="AF209" i="42385"/>
  <c r="AN1432" i="42385"/>
  <c r="AN1431" i="42385"/>
  <c r="CP120" i="42385"/>
  <c r="V1656" i="42385"/>
  <c r="BW862" i="42385"/>
  <c r="BW866" i="42385"/>
  <c r="BW868" i="42385" s="1"/>
  <c r="CA1481" i="42385"/>
  <c r="DC1481" i="42385" s="1"/>
  <c r="CB1381" i="42385"/>
  <c r="CB1481" i="42385" s="1"/>
  <c r="DC1381" i="42385"/>
  <c r="BU924" i="42385"/>
  <c r="BU928" i="42385"/>
  <c r="CR1330" i="42385"/>
  <c r="B54" i="42465"/>
  <c r="BY1377" i="42385"/>
  <c r="DC312" i="42385"/>
  <c r="CA23" i="42385"/>
  <c r="DC23" i="42385" s="1"/>
  <c r="AF1620" i="42385"/>
  <c r="AE1627" i="42385"/>
  <c r="AE1628" i="42385" s="1"/>
  <c r="BP930" i="42385"/>
  <c r="CD1371" i="42385"/>
  <c r="BC1121" i="42385"/>
  <c r="BB1124" i="42385"/>
  <c r="BB1552" i="42385" s="1"/>
  <c r="CT182" i="42385"/>
  <c r="AU182" i="42385"/>
  <c r="AQ182" i="42385"/>
  <c r="AR182" i="42385" s="1"/>
  <c r="AS182" i="42385" s="1"/>
  <c r="AT182" i="42385" s="1"/>
  <c r="BJ188" i="42385"/>
  <c r="CW188" i="42385"/>
  <c r="BF188" i="42385"/>
  <c r="BG188" i="42385" s="1"/>
  <c r="BH188" i="42385" s="1"/>
  <c r="BI188" i="42385" s="1"/>
  <c r="CR93" i="42385"/>
  <c r="AF1658" i="42385"/>
  <c r="AF94" i="42385"/>
  <c r="CR94" i="42385" s="1"/>
  <c r="B17" i="42465"/>
  <c r="AK94" i="42385"/>
  <c r="CS94" i="42385" s="1"/>
  <c r="BR870" i="42385"/>
  <c r="BR871" i="42385"/>
  <c r="BR869" i="42385"/>
  <c r="BR295" i="42385"/>
  <c r="BJ933" i="42385"/>
  <c r="CX933" i="42385" s="1"/>
  <c r="BJ932" i="42385"/>
  <c r="CX932" i="42385" s="1"/>
  <c r="CX930" i="42385"/>
  <c r="BJ931" i="42385"/>
  <c r="CX931" i="42385" s="1"/>
  <c r="BE1586" i="42385"/>
  <c r="BD1587" i="42385"/>
  <c r="CW1106" i="42385"/>
  <c r="BE1107" i="42385"/>
  <c r="BO745" i="42385"/>
  <c r="BK178" i="42385"/>
  <c r="BL178" i="42385" s="1"/>
  <c r="BM178" i="42385" s="1"/>
  <c r="BN178" i="42385" s="1"/>
  <c r="BO178" i="42385"/>
  <c r="CX178" i="42385"/>
  <c r="CX170" i="42385"/>
  <c r="BK170" i="42385"/>
  <c r="BL170" i="42385" s="1"/>
  <c r="BM170" i="42385" s="1"/>
  <c r="BN170" i="42385" s="1"/>
  <c r="BO170" i="42385"/>
  <c r="BG1118" i="42385"/>
  <c r="P5" i="42470"/>
  <c r="P8" i="42470" s="1"/>
  <c r="P10" i="42470" s="1"/>
  <c r="P35" i="42470"/>
  <c r="Q35" i="42470"/>
  <c r="Q5" i="42470"/>
  <c r="Q8" i="42470" s="1"/>
  <c r="Q10" i="42470" s="1"/>
  <c r="BB258" i="42385"/>
  <c r="R180" i="42385"/>
  <c r="CO180" i="42385"/>
  <c r="BO177" i="42385"/>
  <c r="BK177" i="42385"/>
  <c r="BL177" i="42385" s="1"/>
  <c r="BM177" i="42385" s="1"/>
  <c r="BN177" i="42385" s="1"/>
  <c r="CX177" i="42385"/>
  <c r="BP839" i="42385"/>
  <c r="BP838" i="42385"/>
  <c r="BP840" i="42385"/>
  <c r="BP294" i="42385"/>
  <c r="CF1389" i="42385"/>
  <c r="CF1489" i="42385" s="1"/>
  <c r="O5" i="42470"/>
  <c r="O8" i="42470" s="1"/>
  <c r="O10" i="42470" s="1"/>
  <c r="O35" i="42470"/>
  <c r="T849" i="42385"/>
  <c r="T850" i="42385" s="1"/>
  <c r="T787" i="42385"/>
  <c r="T788" i="42385" s="1"/>
  <c r="BC257" i="42385"/>
  <c r="BC261" i="42385" s="1"/>
  <c r="K41" i="42470"/>
  <c r="J43" i="42470"/>
  <c r="F34" i="42470" s="1"/>
  <c r="BE707" i="42385"/>
  <c r="CY171" i="42385"/>
  <c r="BP171" i="42385"/>
  <c r="BQ171" i="42385" s="1"/>
  <c r="BR171" i="42385" s="1"/>
  <c r="BS171" i="42385" s="1"/>
  <c r="BT171" i="42385"/>
  <c r="BB260" i="42385"/>
  <c r="BT1147" i="42385"/>
  <c r="AA169" i="42385"/>
  <c r="BQ808" i="42385"/>
  <c r="BQ293" i="42385"/>
  <c r="BQ809" i="42385"/>
  <c r="BQ807" i="42385"/>
  <c r="CW1118" i="42385"/>
  <c r="BF1106" i="42385"/>
  <c r="BD1107" i="42385"/>
  <c r="BD256" i="42385" s="1"/>
  <c r="N5" i="42470"/>
  <c r="N8" i="42470" s="1"/>
  <c r="N10" i="42470" s="1"/>
  <c r="N35" i="42470"/>
  <c r="CZ179" i="42385"/>
  <c r="BU179" i="42385"/>
  <c r="BV179" i="42385" s="1"/>
  <c r="BW179" i="42385" s="1"/>
  <c r="BX179" i="42385" s="1"/>
  <c r="BY179" i="42385"/>
  <c r="BF409" i="42385"/>
  <c r="BE409" i="42385"/>
  <c r="CW409" i="42385" s="1"/>
  <c r="BV1119" i="42385"/>
  <c r="BW1119" i="42385" s="1"/>
  <c r="BX1119" i="42385" s="1"/>
  <c r="CE341" i="42385" l="1"/>
  <c r="CF340" i="42385"/>
  <c r="CF341" i="42385" s="1"/>
  <c r="BO15" i="42418"/>
  <c r="BO16" i="42418" s="1"/>
  <c r="CD342" i="42385"/>
  <c r="CD218" i="42385"/>
  <c r="DB219" i="42385"/>
  <c r="BY923" i="42385"/>
  <c r="BT928" i="42385"/>
  <c r="CZ928" i="42385" s="1"/>
  <c r="CE796" i="42385"/>
  <c r="CF795" i="42385"/>
  <c r="CF796" i="42385" s="1"/>
  <c r="BO29" i="42418"/>
  <c r="BO30" i="42418" s="1"/>
  <c r="CD240" i="42385"/>
  <c r="CD797" i="42385"/>
  <c r="BT10" i="42385"/>
  <c r="CZ10" i="42385" s="1"/>
  <c r="BS238" i="42385"/>
  <c r="BQ839" i="42385"/>
  <c r="BQ838" i="42385"/>
  <c r="BQ840" i="42385"/>
  <c r="BQ294" i="42385"/>
  <c r="L193" i="42385"/>
  <c r="CN193" i="42385" s="1"/>
  <c r="CN191" i="42385"/>
  <c r="M191" i="42385"/>
  <c r="CC402" i="42385"/>
  <c r="CC220" i="42385"/>
  <c r="BL37" i="42418"/>
  <c r="BI37" i="42418"/>
  <c r="BV831" i="42385"/>
  <c r="BV835" i="42385"/>
  <c r="BV837" i="42385" s="1"/>
  <c r="BT653" i="42385"/>
  <c r="BT656" i="42385" s="1"/>
  <c r="BT657" i="42385" s="1"/>
  <c r="BT658" i="42385" s="1"/>
  <c r="BU654" i="42385"/>
  <c r="CE400" i="42385"/>
  <c r="CD401" i="42385"/>
  <c r="BM1456" i="42385"/>
  <c r="BL1487" i="42385"/>
  <c r="BF632" i="42385"/>
  <c r="BG631" i="42385"/>
  <c r="BF1543" i="42385"/>
  <c r="AL625" i="42385"/>
  <c r="AL624" i="42385" s="1"/>
  <c r="AL621" i="42385" s="1"/>
  <c r="AK625" i="42385"/>
  <c r="AJ624" i="42385"/>
  <c r="AJ621" i="42385" s="1"/>
  <c r="BE720" i="42385"/>
  <c r="BF720" i="42385"/>
  <c r="BD1536" i="42385"/>
  <c r="BE1536" i="42385" s="1"/>
  <c r="CW1536" i="42385" s="1"/>
  <c r="BD721" i="42385"/>
  <c r="BE842" i="42385"/>
  <c r="CW842" i="42385" s="1"/>
  <c r="CW841" i="42385"/>
  <c r="CW1593" i="42385"/>
  <c r="BE1594" i="42385"/>
  <c r="CW384" i="42385"/>
  <c r="BE385" i="42385"/>
  <c r="CW385" i="42385" s="1"/>
  <c r="AK624" i="42385"/>
  <c r="CS624" i="42385" s="1"/>
  <c r="CA1104" i="42385"/>
  <c r="DB1104" i="42385"/>
  <c r="BF385" i="42385"/>
  <c r="BG384" i="42385"/>
  <c r="BF1541" i="42385"/>
  <c r="AH622" i="42385"/>
  <c r="AH623" i="42385"/>
  <c r="AK621" i="42385"/>
  <c r="BE632" i="42385"/>
  <c r="CW632" i="42385" s="1"/>
  <c r="CW631" i="42385"/>
  <c r="BC1529" i="42385"/>
  <c r="BD903" i="42385"/>
  <c r="BE903" i="42385" s="1"/>
  <c r="BC904" i="42385"/>
  <c r="AI622" i="42385"/>
  <c r="AN621" i="42385"/>
  <c r="AI623" i="42385"/>
  <c r="BG841" i="42385"/>
  <c r="BF842" i="42385"/>
  <c r="BF1532" i="42385"/>
  <c r="AK1628" i="42385"/>
  <c r="CS1628" i="42385" s="1"/>
  <c r="CS1627" i="42385"/>
  <c r="CS120" i="42385"/>
  <c r="AK121" i="42385"/>
  <c r="CS121" i="42385" s="1"/>
  <c r="AK1656" i="42385"/>
  <c r="BT801" i="42385"/>
  <c r="CZ801" i="42385" s="1"/>
  <c r="CZ799" i="42385"/>
  <c r="BT800" i="42385"/>
  <c r="CZ800" i="42385" s="1"/>
  <c r="BM613" i="42385"/>
  <c r="BL613" i="42385"/>
  <c r="BN613" i="42385" s="1"/>
  <c r="DC1373" i="42385"/>
  <c r="CB1373" i="42385"/>
  <c r="CA1375" i="42385"/>
  <c r="DC1375" i="42385" s="1"/>
  <c r="DB1385" i="42385"/>
  <c r="CA1385" i="42385"/>
  <c r="CA1485" i="42385" s="1"/>
  <c r="DC1485" i="42385" s="1"/>
  <c r="BO183" i="42385"/>
  <c r="BK183" i="42385"/>
  <c r="BL183" i="42385" s="1"/>
  <c r="BM183" i="42385" s="1"/>
  <c r="BN183" i="42385" s="1"/>
  <c r="CX183" i="42385"/>
  <c r="BN839" i="42385"/>
  <c r="BO837" i="42385"/>
  <c r="BN838" i="42385"/>
  <c r="BN294" i="42385"/>
  <c r="BO294" i="42385" s="1"/>
  <c r="CY294" i="42385" s="1"/>
  <c r="BN840" i="42385"/>
  <c r="BM806" i="42385"/>
  <c r="BO804" i="42385"/>
  <c r="CY804" i="42385" s="1"/>
  <c r="BH474" i="42385"/>
  <c r="BH475" i="42385" s="1"/>
  <c r="BI472" i="42385"/>
  <c r="BH1547" i="42385"/>
  <c r="BH473" i="42385"/>
  <c r="BX1386" i="42385"/>
  <c r="BX1486" i="42385"/>
  <c r="BY1486" i="42385" s="1"/>
  <c r="DA1486" i="42385" s="1"/>
  <c r="BW1563" i="42385"/>
  <c r="BW1593" i="42385" s="1"/>
  <c r="BX830" i="42385"/>
  <c r="BY830" i="42385" s="1"/>
  <c r="BS831" i="42385"/>
  <c r="BS835" i="42385"/>
  <c r="BW799" i="42385"/>
  <c r="BR804" i="42385"/>
  <c r="BR806" i="42385" s="1"/>
  <c r="BR800" i="42385"/>
  <c r="BV804" i="42385"/>
  <c r="BV806" i="42385" s="1"/>
  <c r="BV293" i="42385" s="1"/>
  <c r="BV800" i="42385"/>
  <c r="BJ345" i="42385"/>
  <c r="CX345" i="42385" s="1"/>
  <c r="CX344" i="42385"/>
  <c r="BJ346" i="42385"/>
  <c r="CX346" i="42385" s="1"/>
  <c r="BD357" i="42385"/>
  <c r="BF356" i="42385"/>
  <c r="BD1528" i="42385"/>
  <c r="BE1528" i="42385" s="1"/>
  <c r="CW1528" i="42385" s="1"/>
  <c r="AT347" i="42385"/>
  <c r="AU348" i="42385"/>
  <c r="CU348" i="42385" s="1"/>
  <c r="AV348" i="42385"/>
  <c r="BP344" i="42385"/>
  <c r="BK345" i="42385"/>
  <c r="BG345" i="42385"/>
  <c r="BL344" i="42385"/>
  <c r="BO344" i="42385" s="1"/>
  <c r="BE357" i="42385"/>
  <c r="CW357" i="42385" s="1"/>
  <c r="CW356" i="42385"/>
  <c r="BS345" i="42385"/>
  <c r="BX344" i="42385"/>
  <c r="BX345" i="42385" s="1"/>
  <c r="DA184" i="42385"/>
  <c r="BZ184" i="42385"/>
  <c r="AX274" i="42385"/>
  <c r="AZ274" i="42385" s="1"/>
  <c r="AX602" i="42385"/>
  <c r="AZ601" i="42385"/>
  <c r="AX603" i="42385"/>
  <c r="FK415" i="42417"/>
  <c r="FK427" i="42417" s="1"/>
  <c r="E6" i="42464"/>
  <c r="CT265" i="42385"/>
  <c r="GO514" i="42417"/>
  <c r="FI415" i="42417"/>
  <c r="FI427" i="42417" s="1"/>
  <c r="AS354" i="42385"/>
  <c r="AS355" i="42385"/>
  <c r="AS353" i="42385"/>
  <c r="AS265" i="42385"/>
  <c r="AW480" i="42385"/>
  <c r="AV1140" i="42385"/>
  <c r="BH899" i="42385"/>
  <c r="BJ897" i="42385"/>
  <c r="CX897" i="42385" s="1"/>
  <c r="BC900" i="42385"/>
  <c r="BC902" i="42385"/>
  <c r="BC901" i="42385"/>
  <c r="BC296" i="42385"/>
  <c r="BE296" i="42385" s="1"/>
  <c r="CW296" i="42385" s="1"/>
  <c r="BE899" i="42385"/>
  <c r="BW924" i="42385"/>
  <c r="BW928" i="42385"/>
  <c r="BW930" i="42385" s="1"/>
  <c r="CX892" i="42385"/>
  <c r="BJ894" i="42385"/>
  <c r="CX894" i="42385" s="1"/>
  <c r="BJ893" i="42385"/>
  <c r="CX893" i="42385" s="1"/>
  <c r="AZ901" i="42385"/>
  <c r="CV901" i="42385" s="1"/>
  <c r="CV899" i="42385"/>
  <c r="AZ902" i="42385"/>
  <c r="AZ900" i="42385"/>
  <c r="CV900" i="42385" s="1"/>
  <c r="M22" i="42412"/>
  <c r="N22" i="42412" s="1"/>
  <c r="CF206" i="42417"/>
  <c r="GC451" i="42417"/>
  <c r="GG451" i="42417" s="1"/>
  <c r="FJ413" i="42417"/>
  <c r="G7" i="42464"/>
  <c r="CV296" i="42385"/>
  <c r="BU835" i="42385"/>
  <c r="BU837" i="42385" s="1"/>
  <c r="BU839" i="42385" s="1"/>
  <c r="BU831" i="42385"/>
  <c r="BT174" i="42385"/>
  <c r="BP174" i="42385"/>
  <c r="BQ174" i="42385" s="1"/>
  <c r="BR174" i="42385" s="1"/>
  <c r="BS174" i="42385" s="1"/>
  <c r="CY174" i="42385"/>
  <c r="L23" i="42412"/>
  <c r="CU902" i="42385"/>
  <c r="BN893" i="42385"/>
  <c r="BN897" i="42385"/>
  <c r="BN899" i="42385" s="1"/>
  <c r="BS892" i="42385"/>
  <c r="BR297" i="42385"/>
  <c r="BR931" i="42385"/>
  <c r="BR932" i="42385"/>
  <c r="BR933" i="42385"/>
  <c r="BR892" i="42385"/>
  <c r="BM897" i="42385"/>
  <c r="BM899" i="42385" s="1"/>
  <c r="BM893" i="42385"/>
  <c r="BO892" i="42385"/>
  <c r="BV893" i="42385"/>
  <c r="BV897" i="42385"/>
  <c r="BV899" i="42385" s="1"/>
  <c r="BQ932" i="42385"/>
  <c r="BQ933" i="42385"/>
  <c r="BQ931" i="42385"/>
  <c r="BQ297" i="42385"/>
  <c r="CX185" i="42385"/>
  <c r="BO185" i="42385"/>
  <c r="BK185" i="42385"/>
  <c r="BL185" i="42385" s="1"/>
  <c r="BM185" i="42385" s="1"/>
  <c r="BN185" i="42385" s="1"/>
  <c r="CY175" i="42385"/>
  <c r="BP175" i="42385"/>
  <c r="BQ175" i="42385" s="1"/>
  <c r="BR175" i="42385" s="1"/>
  <c r="BS175" i="42385" s="1"/>
  <c r="BT175" i="42385"/>
  <c r="CX186" i="42385"/>
  <c r="BO186" i="42385"/>
  <c r="BK186" i="42385"/>
  <c r="BL186" i="42385" s="1"/>
  <c r="BM186" i="42385" s="1"/>
  <c r="BN186" i="42385" s="1"/>
  <c r="BO181" i="42385"/>
  <c r="BK181" i="42385"/>
  <c r="BL181" i="42385" s="1"/>
  <c r="BM181" i="42385" s="1"/>
  <c r="BN181" i="42385" s="1"/>
  <c r="CX181" i="42385"/>
  <c r="BQ901" i="42385"/>
  <c r="BQ902" i="42385"/>
  <c r="BQ296" i="42385"/>
  <c r="BQ900" i="42385"/>
  <c r="BV924" i="42385"/>
  <c r="BV928" i="42385"/>
  <c r="BV930" i="42385" s="1"/>
  <c r="AF114" i="42408"/>
  <c r="BO866" i="42385"/>
  <c r="CY866" i="42385" s="1"/>
  <c r="CE137" i="42400"/>
  <c r="BP862" i="42385"/>
  <c r="BU861" i="42385"/>
  <c r="BP866" i="42385"/>
  <c r="BP868" i="42385" s="1"/>
  <c r="BT861" i="42385"/>
  <c r="CA1483" i="42385"/>
  <c r="DC1483" i="42385" s="1"/>
  <c r="CB1383" i="42385"/>
  <c r="DC1383" i="42385"/>
  <c r="CV295" i="42385"/>
  <c r="GC457" i="42417"/>
  <c r="GG457" i="42417" s="1"/>
  <c r="G13" i="42464"/>
  <c r="BP296" i="42385"/>
  <c r="BP900" i="42385"/>
  <c r="BP901" i="42385"/>
  <c r="BP902" i="42385"/>
  <c r="BL871" i="42385"/>
  <c r="BL870" i="42385"/>
  <c r="BL295" i="42385"/>
  <c r="BL303" i="42385" s="1"/>
  <c r="BL305" i="42385" s="1"/>
  <c r="BL869" i="42385"/>
  <c r="BK870" i="42385"/>
  <c r="BK295" i="42385"/>
  <c r="BK303" i="42385" s="1"/>
  <c r="BK305" i="42385" s="1"/>
  <c r="BK871" i="42385"/>
  <c r="BK869" i="42385"/>
  <c r="BO868" i="42385"/>
  <c r="BZ187" i="42385"/>
  <c r="DA187" i="42385"/>
  <c r="BV861" i="42385"/>
  <c r="BQ866" i="42385"/>
  <c r="BQ868" i="42385" s="1"/>
  <c r="BQ862" i="42385"/>
  <c r="BF295" i="42385"/>
  <c r="BF869" i="42385"/>
  <c r="BF870" i="42385"/>
  <c r="BF871" i="42385"/>
  <c r="BJ868" i="42385"/>
  <c r="BT172" i="42385"/>
  <c r="BP172" i="42385"/>
  <c r="BQ172" i="42385" s="1"/>
  <c r="BR172" i="42385" s="1"/>
  <c r="BS172" i="42385" s="1"/>
  <c r="CY172" i="42385"/>
  <c r="BU893" i="42385"/>
  <c r="BU897" i="42385"/>
  <c r="BU899" i="42385" s="1"/>
  <c r="BO863" i="42385"/>
  <c r="CY863" i="42385" s="1"/>
  <c r="CY861" i="42385"/>
  <c r="BO862" i="42385"/>
  <c r="CY862" i="42385" s="1"/>
  <c r="CV1620" i="42385"/>
  <c r="AZ1627" i="42385"/>
  <c r="CD148" i="42400"/>
  <c r="CD926" i="42385" s="1"/>
  <c r="CD927" i="42385" s="1"/>
  <c r="CE144" i="42400"/>
  <c r="CF244" i="42385"/>
  <c r="CF921" i="42385"/>
  <c r="BU22" i="42418"/>
  <c r="BX23" i="42418" s="1"/>
  <c r="CF140" i="42400"/>
  <c r="CF141" i="42400"/>
  <c r="CF134" i="42400"/>
  <c r="CF135" i="42400"/>
  <c r="CF142" i="42400"/>
  <c r="AK41" i="42464"/>
  <c r="AL33" i="42464"/>
  <c r="CA1482" i="42385"/>
  <c r="DC1482" i="42385" s="1"/>
  <c r="DC1382" i="42385"/>
  <c r="CB1382" i="42385"/>
  <c r="BU995" i="42385"/>
  <c r="BS1549" i="42385"/>
  <c r="BT1549" i="42385" s="1"/>
  <c r="CZ1549" i="42385" s="1"/>
  <c r="BS996" i="42385"/>
  <c r="BS997" i="42385"/>
  <c r="CE995" i="42385"/>
  <c r="CD1549" i="42385"/>
  <c r="BM1626" i="42385"/>
  <c r="BL1628" i="42385"/>
  <c r="BO444" i="42385"/>
  <c r="CY444" i="42385" s="1"/>
  <c r="CY443" i="42385"/>
  <c r="BO1546" i="42385"/>
  <c r="CY1546" i="42385" s="1"/>
  <c r="BO445" i="42385"/>
  <c r="CY445" i="42385" s="1"/>
  <c r="AY1525" i="42385"/>
  <c r="AY1499" i="42385" s="1"/>
  <c r="AZ1523" i="42385"/>
  <c r="BI79" i="42418"/>
  <c r="BL79" i="42418"/>
  <c r="CW1627" i="42385"/>
  <c r="BE1628" i="42385"/>
  <c r="CW1628" i="42385" s="1"/>
  <c r="AX1499" i="42385"/>
  <c r="AZ1525" i="42385"/>
  <c r="CV1525" i="42385" s="1"/>
  <c r="BW1546" i="42385"/>
  <c r="BC873" i="42385"/>
  <c r="BD872" i="42385"/>
  <c r="BE872" i="42385" s="1"/>
  <c r="BC1535" i="42385"/>
  <c r="CC236" i="42385"/>
  <c r="CD748" i="42385"/>
  <c r="BX443" i="42385"/>
  <c r="BX1546" i="42385" s="1"/>
  <c r="BS1546" i="42385"/>
  <c r="BT443" i="42385"/>
  <c r="BX58" i="42418"/>
  <c r="BX9" i="42418"/>
  <c r="BL1564" i="42385"/>
  <c r="BL1406" i="42385"/>
  <c r="BL1424" i="42385" s="1"/>
  <c r="CZ830" i="42385"/>
  <c r="BT832" i="42385"/>
  <c r="CZ832" i="42385" s="1"/>
  <c r="BT831" i="42385"/>
  <c r="CZ831" i="42385" s="1"/>
  <c r="BT190" i="42385"/>
  <c r="BP190" i="42385"/>
  <c r="BQ190" i="42385" s="1"/>
  <c r="BR190" i="42385" s="1"/>
  <c r="BS190" i="42385" s="1"/>
  <c r="CY190" i="42385"/>
  <c r="CC996" i="42385"/>
  <c r="CC246" i="42385"/>
  <c r="CC983" i="42385"/>
  <c r="CW176" i="42385"/>
  <c r="BJ176" i="42385"/>
  <c r="BF176" i="42385"/>
  <c r="BG176" i="42385" s="1"/>
  <c r="BH176" i="42385" s="1"/>
  <c r="BI176" i="42385" s="1"/>
  <c r="CA1478" i="42385"/>
  <c r="DC1478" i="42385" s="1"/>
  <c r="DC1378" i="42385"/>
  <c r="CB1378" i="42385"/>
  <c r="BL1504" i="42385"/>
  <c r="BJ839" i="42385"/>
  <c r="CX839" i="42385" s="1"/>
  <c r="BJ838" i="42385"/>
  <c r="CX838" i="42385" s="1"/>
  <c r="BJ840" i="42385"/>
  <c r="CX840" i="42385" s="1"/>
  <c r="CX837" i="42385"/>
  <c r="CC767" i="42385"/>
  <c r="BL71" i="42418"/>
  <c r="BI71" i="42418"/>
  <c r="CB774" i="42385"/>
  <c r="CB237" i="42385"/>
  <c r="CB11" i="42385" s="1"/>
  <c r="CB771" i="42385"/>
  <c r="BR838" i="42385"/>
  <c r="BR294" i="42385"/>
  <c r="BR839" i="42385"/>
  <c r="BR840" i="42385"/>
  <c r="CD982" i="42385"/>
  <c r="CE981" i="42385"/>
  <c r="BS868" i="42385"/>
  <c r="BN1400" i="42385"/>
  <c r="BN1498" i="42385" s="1"/>
  <c r="BO1498" i="42385" s="1"/>
  <c r="CY1498" i="42385" s="1"/>
  <c r="BM1402" i="42385"/>
  <c r="BM1504" i="42385" s="1"/>
  <c r="BJ294" i="42385"/>
  <c r="CX294" i="42385" s="1"/>
  <c r="BP612" i="42385"/>
  <c r="BR612" i="42385" s="1"/>
  <c r="BO612" i="42385"/>
  <c r="BK1583" i="42385"/>
  <c r="BK1660" i="42385"/>
  <c r="W34" i="42476"/>
  <c r="BX862" i="42385"/>
  <c r="BX866" i="42385"/>
  <c r="BX868" i="42385" s="1"/>
  <c r="DC774" i="42385"/>
  <c r="CA287" i="42385"/>
  <c r="DC287" i="42385" s="1"/>
  <c r="CA775" i="42385"/>
  <c r="DC775" i="42385" s="1"/>
  <c r="CA776" i="42385"/>
  <c r="DC776" i="42385" s="1"/>
  <c r="BW831" i="42385"/>
  <c r="BW835" i="42385"/>
  <c r="BW837" i="42385" s="1"/>
  <c r="C21" i="42408"/>
  <c r="H21" i="42408" s="1"/>
  <c r="DB287" i="42385"/>
  <c r="BJ163" i="42417"/>
  <c r="BP185" i="42417" s="1"/>
  <c r="BP188" i="42417" s="1"/>
  <c r="I29" i="42412"/>
  <c r="CA219" i="42385"/>
  <c r="DC370" i="42385"/>
  <c r="CA371" i="42385"/>
  <c r="DC371" i="42385" s="1"/>
  <c r="BN120" i="42385"/>
  <c r="BN122" i="42385"/>
  <c r="BT925" i="42385"/>
  <c r="CZ925" i="42385" s="1"/>
  <c r="CZ1500" i="42385"/>
  <c r="BT1575" i="42385"/>
  <c r="CZ1575" i="42385" s="1"/>
  <c r="CF661" i="42385"/>
  <c r="CE680" i="42385"/>
  <c r="CE691" i="42385" s="1"/>
  <c r="CE673" i="42385"/>
  <c r="CB370" i="42385"/>
  <c r="CC369" i="42385"/>
  <c r="AY373" i="42385"/>
  <c r="AT374" i="42385"/>
  <c r="BC373" i="42385"/>
  <c r="AX374" i="42385"/>
  <c r="BG223" i="42385"/>
  <c r="BG228" i="42385" s="1"/>
  <c r="BG487" i="42385"/>
  <c r="BG489" i="42385"/>
  <c r="AO377" i="42385"/>
  <c r="AN376" i="42385"/>
  <c r="AN378" i="42385" s="1"/>
  <c r="BD162" i="42417"/>
  <c r="BC179" i="42417"/>
  <c r="BF179" i="42417" s="1"/>
  <c r="CZ923" i="42385"/>
  <c r="BX1484" i="42385"/>
  <c r="BY1484" i="42385" s="1"/>
  <c r="DA1484" i="42385" s="1"/>
  <c r="CV961" i="42385"/>
  <c r="AZ962" i="42385"/>
  <c r="CV962" i="42385" s="1"/>
  <c r="AZ964" i="42385"/>
  <c r="CV964" i="42385" s="1"/>
  <c r="AZ963" i="42385"/>
  <c r="CV963" i="42385" s="1"/>
  <c r="BW1511" i="42385"/>
  <c r="BX1509" i="42385"/>
  <c r="BY1509" i="42385" s="1"/>
  <c r="AF125" i="42408"/>
  <c r="AH125" i="42408" s="1"/>
  <c r="AB130" i="42408" s="1"/>
  <c r="AB132" i="42408" s="1"/>
  <c r="CB230" i="42385"/>
  <c r="CC618" i="42385"/>
  <c r="BI50" i="42418"/>
  <c r="BL50" i="42418"/>
  <c r="CC233" i="42385"/>
  <c r="CC693" i="42385"/>
  <c r="CC695" i="42385" s="1"/>
  <c r="CC676" i="42385"/>
  <c r="BI484" i="42385"/>
  <c r="DK387" i="42492"/>
  <c r="BH483" i="42385"/>
  <c r="BU1575" i="42385"/>
  <c r="FL432" i="42417"/>
  <c r="BN188" i="42417"/>
  <c r="DH291" i="42417"/>
  <c r="BF189" i="42385"/>
  <c r="BG189" i="42385" s="1"/>
  <c r="BH189" i="42385" s="1"/>
  <c r="BI189" i="42385" s="1"/>
  <c r="BJ189" i="42385"/>
  <c r="CW189" i="42385"/>
  <c r="FX439" i="42417"/>
  <c r="FY439" i="42417" s="1"/>
  <c r="AU305" i="42385"/>
  <c r="GP524" i="42417"/>
  <c r="CU298" i="42385"/>
  <c r="F16" i="42464"/>
  <c r="BR1634" i="42385"/>
  <c r="BR1603" i="42385"/>
  <c r="BR1604" i="42385" s="1"/>
  <c r="BR1605" i="42385" s="1"/>
  <c r="BR1600" i="42385"/>
  <c r="BR1601" i="42385" s="1"/>
  <c r="BR1602" i="42385" s="1"/>
  <c r="BR1627" i="42385"/>
  <c r="BC962" i="42385"/>
  <c r="BC298" i="42385"/>
  <c r="BE961" i="42385"/>
  <c r="BC964" i="42385"/>
  <c r="BC963" i="42385"/>
  <c r="BT1238" i="42385"/>
  <c r="CZ1238" i="42385" s="1"/>
  <c r="CZ1237" i="42385"/>
  <c r="BS1238" i="42385"/>
  <c r="BU1237" i="42385"/>
  <c r="CD674" i="42385"/>
  <c r="CD675" i="42385" s="1"/>
  <c r="CE677" i="42385"/>
  <c r="BA373" i="42385"/>
  <c r="AV374" i="42385"/>
  <c r="AM382" i="42385"/>
  <c r="AM373" i="42385"/>
  <c r="CU1001" i="42385"/>
  <c r="AV1001" i="42385"/>
  <c r="AU1139" i="42385"/>
  <c r="CU1139" i="42385" s="1"/>
  <c r="AZ298" i="42385"/>
  <c r="AX303" i="42385"/>
  <c r="BV118" i="42385"/>
  <c r="BV1500" i="42385"/>
  <c r="BV1575" i="42385" s="1"/>
  <c r="BC416" i="42385"/>
  <c r="BB1530" i="42385"/>
  <c r="BB417" i="42385"/>
  <c r="CT21" i="42385"/>
  <c r="AP30" i="42385"/>
  <c r="CB283" i="42385"/>
  <c r="CB696" i="42385"/>
  <c r="BF491" i="42385"/>
  <c r="BF490" i="42385"/>
  <c r="BF270" i="42385"/>
  <c r="CW489" i="42385"/>
  <c r="BE490" i="42385"/>
  <c r="CW490" i="42385" s="1"/>
  <c r="BE491" i="42385"/>
  <c r="CW491" i="42385" s="1"/>
  <c r="B11" i="42417"/>
  <c r="C7" i="42417"/>
  <c r="C11" i="42417" s="1"/>
  <c r="AU21" i="42385"/>
  <c r="AS30" i="42385"/>
  <c r="BS737" i="42385"/>
  <c r="BS285" i="42385"/>
  <c r="CC231" i="42385"/>
  <c r="CD640" i="42385"/>
  <c r="CC650" i="42385"/>
  <c r="CC647" i="42385"/>
  <c r="BG777" i="42385"/>
  <c r="BF778" i="42385"/>
  <c r="BF1540" i="42385"/>
  <c r="CD985" i="42385"/>
  <c r="CC986" i="42385"/>
  <c r="CC990" i="42385"/>
  <c r="CC992" i="42385" s="1"/>
  <c r="L1628" i="42385"/>
  <c r="CN1628" i="42385" s="1"/>
  <c r="CN1627" i="42385"/>
  <c r="BX800" i="42385"/>
  <c r="BX804" i="42385"/>
  <c r="BX806" i="42385" s="1"/>
  <c r="B34" i="42407"/>
  <c r="CR406" i="42385"/>
  <c r="BJ1591" i="42385"/>
  <c r="BJ1593" i="42385"/>
  <c r="CX1563" i="42385"/>
  <c r="BF1533" i="42385"/>
  <c r="BG934" i="42385"/>
  <c r="BF935" i="42385"/>
  <c r="CO1627" i="42385"/>
  <c r="Q1628" i="42385"/>
  <c r="CO1628" i="42385" s="1"/>
  <c r="BA966" i="42385"/>
  <c r="BB965" i="42385"/>
  <c r="BA1539" i="42385"/>
  <c r="DA1384" i="42385"/>
  <c r="BZ1384" i="42385"/>
  <c r="Q1656" i="42385"/>
  <c r="CO120" i="42385"/>
  <c r="AI414" i="42385"/>
  <c r="AI404" i="42385"/>
  <c r="BA1531" i="42385"/>
  <c r="BA811" i="42385"/>
  <c r="BB810" i="42385"/>
  <c r="CB997" i="42385"/>
  <c r="CB993" i="42385"/>
  <c r="CB994" i="42385"/>
  <c r="CB299" i="42385"/>
  <c r="BQ1399" i="42385"/>
  <c r="CY1183" i="42385"/>
  <c r="BO1184" i="42385"/>
  <c r="CY1184" i="42385" s="1"/>
  <c r="CB576" i="42385"/>
  <c r="CC576" i="42385" s="1"/>
  <c r="CD576" i="42385" s="1"/>
  <c r="CE576" i="42385" s="1"/>
  <c r="CF576" i="42385" s="1"/>
  <c r="GG483" i="42464"/>
  <c r="CA1551" i="42385"/>
  <c r="DC576" i="42385"/>
  <c r="BS932" i="42385"/>
  <c r="BS297" i="42385"/>
  <c r="BS931" i="42385"/>
  <c r="BS933" i="42385"/>
  <c r="BA1614" i="42385"/>
  <c r="BB1613" i="42385"/>
  <c r="CB1436" i="42385"/>
  <c r="CC1436" i="42385" s="1"/>
  <c r="CD1436" i="42385" s="1"/>
  <c r="CE1436" i="42385" s="1"/>
  <c r="CF1436" i="42385" s="1"/>
  <c r="DC1436" i="42385"/>
  <c r="BV732" i="42385"/>
  <c r="BQ733" i="42385"/>
  <c r="BY729" i="42385"/>
  <c r="BU235" i="42385"/>
  <c r="BU740" i="42385"/>
  <c r="BQ736" i="42385"/>
  <c r="AH405" i="42385"/>
  <c r="AH406" i="42385"/>
  <c r="CD710" i="42385"/>
  <c r="CC717" i="42385"/>
  <c r="CC714" i="42385"/>
  <c r="CC234" i="42385"/>
  <c r="BE935" i="42385"/>
  <c r="CW935" i="42385" s="1"/>
  <c r="CW934" i="42385"/>
  <c r="BH1446" i="42385"/>
  <c r="BH1448" i="42385"/>
  <c r="BH1479" i="42385" s="1"/>
  <c r="BH1445" i="42385"/>
  <c r="AJ407" i="42385"/>
  <c r="AL408" i="42385"/>
  <c r="CQ1627" i="42385"/>
  <c r="AA1628" i="42385"/>
  <c r="CQ1628" i="42385" s="1"/>
  <c r="AZ1531" i="42385"/>
  <c r="AY1554" i="42385"/>
  <c r="AZ1554" i="42385" s="1"/>
  <c r="CV1554" i="42385" s="1"/>
  <c r="BQ238" i="42385"/>
  <c r="BT238" i="42385" s="1"/>
  <c r="CZ238" i="42385" s="1"/>
  <c r="BT235" i="42385"/>
  <c r="CF294" i="42400"/>
  <c r="E36" i="42409"/>
  <c r="D28" i="42409"/>
  <c r="C28" i="42409" s="1"/>
  <c r="B28" i="42409" s="1"/>
  <c r="BJ293" i="42385"/>
  <c r="BI303" i="42385"/>
  <c r="CN120" i="42385"/>
  <c r="L1656" i="42385"/>
  <c r="CB284" i="42385"/>
  <c r="CB718" i="42385"/>
  <c r="CB719" i="42385"/>
  <c r="BX732" i="42385"/>
  <c r="BS733" i="42385"/>
  <c r="CF285" i="42400"/>
  <c r="BJ807" i="42385"/>
  <c r="CX807" i="42385" s="1"/>
  <c r="BJ808" i="42385"/>
  <c r="CX808" i="42385" s="1"/>
  <c r="CX806" i="42385"/>
  <c r="BJ809" i="42385"/>
  <c r="CX809" i="42385" s="1"/>
  <c r="CE1380" i="42385"/>
  <c r="CE1480" i="42385" s="1"/>
  <c r="BO297" i="42385"/>
  <c r="CY297" i="42385" s="1"/>
  <c r="GE519" i="42464"/>
  <c r="GE539" i="42464"/>
  <c r="GE547" i="42464" s="1"/>
  <c r="BW740" i="42385"/>
  <c r="BW235" i="42385"/>
  <c r="BW10" i="42385" s="1"/>
  <c r="B33" i="42407"/>
  <c r="D32" i="42407"/>
  <c r="B37" i="42407"/>
  <c r="B38" i="42407" s="1"/>
  <c r="B39" i="42407" s="1"/>
  <c r="BJ1564" i="42385"/>
  <c r="BK1504" i="42385"/>
  <c r="CX1402" i="42385"/>
  <c r="BJ1406" i="42385"/>
  <c r="BL65" i="42418"/>
  <c r="BI65" i="42418"/>
  <c r="BG759" i="42385"/>
  <c r="BH758" i="42385"/>
  <c r="BG1538" i="42385"/>
  <c r="CB648" i="42385"/>
  <c r="CB281" i="42385"/>
  <c r="BX740" i="42385"/>
  <c r="BX235" i="42385"/>
  <c r="BX10" i="42385" s="1"/>
  <c r="BI479" i="42385"/>
  <c r="BH1139" i="42385"/>
  <c r="AM408" i="42385"/>
  <c r="CS408" i="42385"/>
  <c r="AA1656" i="42385"/>
  <c r="CQ120" i="42385"/>
  <c r="CA993" i="42385"/>
  <c r="DC993" i="42385" s="1"/>
  <c r="CA997" i="42385"/>
  <c r="DC997" i="42385" s="1"/>
  <c r="CA994" i="42385"/>
  <c r="DC994" i="42385" s="1"/>
  <c r="CA299" i="42385"/>
  <c r="DC299" i="42385" s="1"/>
  <c r="DC992" i="42385"/>
  <c r="BT730" i="42385"/>
  <c r="BT740" i="42385"/>
  <c r="BR736" i="42385"/>
  <c r="BR733" i="42385"/>
  <c r="BW732" i="42385"/>
  <c r="BP736" i="42385"/>
  <c r="BT732" i="42385"/>
  <c r="BU732" i="42385"/>
  <c r="BP733" i="42385"/>
  <c r="BV235" i="42385"/>
  <c r="BV10" i="42385" s="1"/>
  <c r="BV740" i="42385"/>
  <c r="DB299" i="42385"/>
  <c r="C26" i="42408"/>
  <c r="H26" i="42408" s="1"/>
  <c r="BY799" i="42385"/>
  <c r="GY546" i="42417"/>
  <c r="GX547" i="42417"/>
  <c r="GX549" i="42417" s="1"/>
  <c r="Q1332" i="42385"/>
  <c r="M1332" i="42385"/>
  <c r="M1333" i="42385" s="1"/>
  <c r="N1332" i="42385" s="1"/>
  <c r="N1333" i="42385" s="1"/>
  <c r="O1332" i="42385" s="1"/>
  <c r="O1333" i="42385" s="1"/>
  <c r="P1332" i="42385" s="1"/>
  <c r="P1333" i="42385" s="1"/>
  <c r="CN1333" i="42385"/>
  <c r="CC1480" i="42385"/>
  <c r="BS806" i="42385"/>
  <c r="GF491" i="42464"/>
  <c r="GF511" i="42464"/>
  <c r="CF95" i="42400"/>
  <c r="CF101" i="42400" s="1"/>
  <c r="CF833" i="42385" s="1"/>
  <c r="CF834" i="42385" s="1"/>
  <c r="BX928" i="42385"/>
  <c r="BX930" i="42385" s="1"/>
  <c r="BX924" i="42385"/>
  <c r="U34" i="42476"/>
  <c r="BI1583" i="42385"/>
  <c r="BI1660" i="42385"/>
  <c r="BE1614" i="42385"/>
  <c r="CW1614" i="42385" s="1"/>
  <c r="CW1613" i="42385"/>
  <c r="BF1613" i="42385"/>
  <c r="BJ1613" i="42385"/>
  <c r="BK744" i="42385"/>
  <c r="CX744" i="42385"/>
  <c r="BZ756" i="42385"/>
  <c r="DB756" i="42385" s="1"/>
  <c r="DB755" i="42385"/>
  <c r="BZ757" i="42385"/>
  <c r="DB757" i="42385" s="1"/>
  <c r="BZ286" i="42385"/>
  <c r="CA752" i="42385"/>
  <c r="DC752" i="42385" s="1"/>
  <c r="CB751" i="42385"/>
  <c r="DC751" i="42385"/>
  <c r="CA755" i="42385"/>
  <c r="T1003" i="42385"/>
  <c r="BW1236" i="42385"/>
  <c r="U1081" i="42385"/>
  <c r="V1081" i="42385" s="1"/>
  <c r="CP1081" i="42385" s="1"/>
  <c r="U1000" i="42385"/>
  <c r="V1000" i="42385" s="1"/>
  <c r="CP1000" i="42385" s="1"/>
  <c r="U814" i="42385"/>
  <c r="V814" i="42385" s="1"/>
  <c r="CP814" i="42385" s="1"/>
  <c r="U611" i="42385"/>
  <c r="U938" i="42385"/>
  <c r="V938" i="42385" s="1"/>
  <c r="CP938" i="42385" s="1"/>
  <c r="U845" i="42385"/>
  <c r="U326" i="42385"/>
  <c r="V326" i="42385" s="1"/>
  <c r="CP326" i="42385" s="1"/>
  <c r="U743" i="42385"/>
  <c r="V743" i="42385" s="1"/>
  <c r="CP743" i="42385" s="1"/>
  <c r="U705" i="42385"/>
  <c r="V705" i="42385" s="1"/>
  <c r="CP705" i="42385" s="1"/>
  <c r="U783" i="42385"/>
  <c r="U876" i="42385"/>
  <c r="U388" i="42385"/>
  <c r="V388" i="42385" s="1"/>
  <c r="CP388" i="42385" s="1"/>
  <c r="U907" i="42385"/>
  <c r="U360" i="42385"/>
  <c r="V360" i="42385" s="1"/>
  <c r="CP360" i="42385" s="1"/>
  <c r="U478" i="42385"/>
  <c r="V478" i="42385" s="1"/>
  <c r="CP478" i="42385" s="1"/>
  <c r="V320" i="42385"/>
  <c r="U1138" i="42385"/>
  <c r="U762" i="42385"/>
  <c r="V762" i="42385" s="1"/>
  <c r="CP762" i="42385" s="1"/>
  <c r="T765" i="42385"/>
  <c r="T708" i="42385"/>
  <c r="U746" i="42385"/>
  <c r="V746" i="42385" s="1"/>
  <c r="CP746" i="42385" s="1"/>
  <c r="T941" i="42385"/>
  <c r="AZ182" i="42385"/>
  <c r="CU182" i="42385"/>
  <c r="AV182" i="42385"/>
  <c r="AW182" i="42385" s="1"/>
  <c r="AX182" i="42385" s="1"/>
  <c r="AY182" i="42385" s="1"/>
  <c r="BD1121" i="42385"/>
  <c r="BC1124" i="42385"/>
  <c r="BC1552" i="42385" s="1"/>
  <c r="BW870" i="42385"/>
  <c r="BW869" i="42385"/>
  <c r="BW871" i="42385"/>
  <c r="BW295" i="42385"/>
  <c r="CC1116" i="42385"/>
  <c r="CC312" i="42385"/>
  <c r="CC23" i="42385" s="1"/>
  <c r="AP1439" i="42385"/>
  <c r="CT1439" i="42385" s="1"/>
  <c r="AO1431" i="42385"/>
  <c r="BH1582" i="42385"/>
  <c r="BG1585" i="42385"/>
  <c r="BG1586" i="42385" s="1"/>
  <c r="BG1587" i="42385" s="1"/>
  <c r="BG1584" i="42385"/>
  <c r="CW1586" i="42385"/>
  <c r="BE1587" i="42385"/>
  <c r="CW1587" i="42385" s="1"/>
  <c r="BP931" i="42385"/>
  <c r="BP932" i="42385"/>
  <c r="BP297" i="42385"/>
  <c r="BP933" i="42385"/>
  <c r="BT930" i="42385"/>
  <c r="DA1377" i="42385"/>
  <c r="BZ1377" i="42385"/>
  <c r="BU930" i="42385"/>
  <c r="AF120" i="42385"/>
  <c r="CR114" i="42385"/>
  <c r="CE1113" i="42385"/>
  <c r="CD1115" i="42385"/>
  <c r="AQ1437" i="42385"/>
  <c r="CT1437" i="42385"/>
  <c r="CX188" i="42385"/>
  <c r="BK188" i="42385"/>
  <c r="BL188" i="42385" s="1"/>
  <c r="BM188" i="42385" s="1"/>
  <c r="BN188" i="42385" s="1"/>
  <c r="BO188" i="42385"/>
  <c r="CE1371" i="42385"/>
  <c r="CR1620" i="42385"/>
  <c r="AF1627" i="42385"/>
  <c r="CC1381" i="42385"/>
  <c r="CC1481" i="42385" s="1"/>
  <c r="AN1434" i="42385"/>
  <c r="CY173" i="42385"/>
  <c r="BP173" i="42385"/>
  <c r="BQ173" i="42385" s="1"/>
  <c r="BR173" i="42385" s="1"/>
  <c r="BS173" i="42385" s="1"/>
  <c r="BT173" i="42385"/>
  <c r="BY925" i="42385"/>
  <c r="DA925" i="42385" s="1"/>
  <c r="BZ923" i="42385"/>
  <c r="DA923" i="42385"/>
  <c r="BY924" i="42385"/>
  <c r="DA924" i="42385" s="1"/>
  <c r="BO932" i="42385"/>
  <c r="CY932" i="42385" s="1"/>
  <c r="BO931" i="42385"/>
  <c r="CY931" i="42385" s="1"/>
  <c r="BO933" i="42385"/>
  <c r="CY933" i="42385" s="1"/>
  <c r="CY930" i="42385"/>
  <c r="CF1380" i="42385"/>
  <c r="CF1480" i="42385" s="1"/>
  <c r="BU171" i="42385"/>
  <c r="BV171" i="42385" s="1"/>
  <c r="BW171" i="42385" s="1"/>
  <c r="BX171" i="42385" s="1"/>
  <c r="BY171" i="42385"/>
  <c r="CZ171" i="42385"/>
  <c r="S180" i="42385"/>
  <c r="BY1119" i="42385"/>
  <c r="DA179" i="42385"/>
  <c r="BZ179" i="42385"/>
  <c r="N12" i="42470"/>
  <c r="T56" i="42470"/>
  <c r="AB169" i="42385"/>
  <c r="CQ169" i="42385"/>
  <c r="BC260" i="42385"/>
  <c r="O42" i="42470"/>
  <c r="O43" i="42470" s="1"/>
  <c r="V98" i="42470" s="1"/>
  <c r="V86" i="42470"/>
  <c r="O37" i="42470"/>
  <c r="O39" i="42470" s="1"/>
  <c r="Y56" i="42470"/>
  <c r="P12" i="42470"/>
  <c r="BP745" i="42385"/>
  <c r="CY745" i="42385"/>
  <c r="BD257" i="42385"/>
  <c r="BE257" i="42385" s="1"/>
  <c r="V56" i="42470"/>
  <c r="O12" i="42470"/>
  <c r="BV809" i="42385"/>
  <c r="BG1106" i="42385"/>
  <c r="BF1107" i="42385"/>
  <c r="BF256" i="42385" s="1"/>
  <c r="CW707" i="42385"/>
  <c r="BF707" i="42385"/>
  <c r="J51" i="42470"/>
  <c r="BC258" i="42385"/>
  <c r="BP177" i="42385"/>
  <c r="BQ177" i="42385" s="1"/>
  <c r="BR177" i="42385" s="1"/>
  <c r="BS177" i="42385" s="1"/>
  <c r="BT177" i="42385"/>
  <c r="CY177" i="42385"/>
  <c r="BB128" i="42385"/>
  <c r="BB1558" i="42385"/>
  <c r="BB259" i="42385"/>
  <c r="AA86" i="42470"/>
  <c r="Q37" i="42470"/>
  <c r="Q39" i="42470" s="1"/>
  <c r="Q42" i="42470"/>
  <c r="Q43" i="42470" s="1"/>
  <c r="AA98" i="42470" s="1"/>
  <c r="BE1108" i="42385"/>
  <c r="CW1108" i="42385" s="1"/>
  <c r="CW1107" i="42385"/>
  <c r="F35" i="42470"/>
  <c r="F5" i="42470"/>
  <c r="F8" i="42470" s="1"/>
  <c r="F10" i="42470" s="1"/>
  <c r="BE256" i="42385"/>
  <c r="Q12" i="42470"/>
  <c r="AA56" i="42470"/>
  <c r="BG409" i="42385"/>
  <c r="N37" i="42470"/>
  <c r="N39" i="42470" s="1"/>
  <c r="T86" i="42470"/>
  <c r="N42" i="42470"/>
  <c r="N43" i="42470" s="1"/>
  <c r="T98" i="42470" s="1"/>
  <c r="CZ1147" i="42385"/>
  <c r="BU1147" i="42385"/>
  <c r="K43" i="42470"/>
  <c r="G34" i="42470" s="1"/>
  <c r="Y86" i="42470"/>
  <c r="P42" i="42470"/>
  <c r="P43" i="42470" s="1"/>
  <c r="Y98" i="42470" s="1"/>
  <c r="P37" i="42470"/>
  <c r="P39" i="42470" s="1"/>
  <c r="BH1118" i="42385"/>
  <c r="BP170" i="42385"/>
  <c r="BQ170" i="42385" s="1"/>
  <c r="BR170" i="42385" s="1"/>
  <c r="BS170" i="42385" s="1"/>
  <c r="BT170" i="42385"/>
  <c r="CY170" i="42385"/>
  <c r="BP178" i="42385"/>
  <c r="BQ178" i="42385" s="1"/>
  <c r="BR178" i="42385" s="1"/>
  <c r="BS178" i="42385" s="1"/>
  <c r="BT178" i="42385"/>
  <c r="CY178" i="42385"/>
  <c r="CF342" i="42385" l="1"/>
  <c r="BU15" i="42418"/>
  <c r="CF218" i="42385"/>
  <c r="CE218" i="42385"/>
  <c r="BR15" i="42418"/>
  <c r="CE342" i="42385"/>
  <c r="BU838" i="42385"/>
  <c r="BU840" i="42385"/>
  <c r="BU294" i="42385"/>
  <c r="DC219" i="42385"/>
  <c r="BV808" i="42385"/>
  <c r="BV807" i="42385"/>
  <c r="CE797" i="42385"/>
  <c r="CE240" i="42385"/>
  <c r="BR29" i="42418"/>
  <c r="CF240" i="42385"/>
  <c r="CF797" i="42385"/>
  <c r="BU29" i="42418"/>
  <c r="BV654" i="42385"/>
  <c r="BU653" i="42385"/>
  <c r="BU656" i="42385" s="1"/>
  <c r="BU657" i="42385" s="1"/>
  <c r="BU658" i="42385" s="1"/>
  <c r="BN1456" i="42385"/>
  <c r="BM1487" i="42385"/>
  <c r="N191" i="42385"/>
  <c r="M193" i="42385"/>
  <c r="BO36" i="42418"/>
  <c r="CD402" i="42385"/>
  <c r="CD220" i="42385"/>
  <c r="BV294" i="42385"/>
  <c r="BV840" i="42385"/>
  <c r="BV839" i="42385"/>
  <c r="BV838" i="42385"/>
  <c r="CF400" i="42385"/>
  <c r="CF401" i="42385" s="1"/>
  <c r="CE401" i="42385"/>
  <c r="BG720" i="42385"/>
  <c r="BF721" i="42385"/>
  <c r="BF1536" i="42385"/>
  <c r="AL623" i="42385"/>
  <c r="AQ621" i="42385"/>
  <c r="AL622" i="42385"/>
  <c r="BG1532" i="42385"/>
  <c r="BG842" i="42385"/>
  <c r="BH841" i="42385"/>
  <c r="BE904" i="42385"/>
  <c r="CW904" i="42385" s="1"/>
  <c r="CW903" i="42385"/>
  <c r="CW720" i="42385"/>
  <c r="BE721" i="42385"/>
  <c r="CW721" i="42385" s="1"/>
  <c r="DC1104" i="42385"/>
  <c r="CB1104" i="42385"/>
  <c r="CC1104" i="42385" s="1"/>
  <c r="CD1104" i="42385" s="1"/>
  <c r="CE1104" i="42385" s="1"/>
  <c r="CF1104" i="42385" s="1"/>
  <c r="BE1595" i="42385"/>
  <c r="CW1595" i="42385" s="1"/>
  <c r="CW1594" i="42385"/>
  <c r="AJ622" i="42385"/>
  <c r="AO621" i="42385"/>
  <c r="AJ623" i="42385"/>
  <c r="BG632" i="42385"/>
  <c r="BH631" i="42385"/>
  <c r="BG1543" i="42385"/>
  <c r="AN622" i="42385"/>
  <c r="AS621" i="42385"/>
  <c r="BF903" i="42385"/>
  <c r="BD1529" i="42385"/>
  <c r="BE1529" i="42385" s="1"/>
  <c r="CW1529" i="42385" s="1"/>
  <c r="BD904" i="42385"/>
  <c r="AK622" i="42385"/>
  <c r="CS622" i="42385" s="1"/>
  <c r="CS621" i="42385"/>
  <c r="AK623" i="42385"/>
  <c r="CS623" i="42385" s="1"/>
  <c r="BG1541" i="42385"/>
  <c r="BH384" i="42385"/>
  <c r="BG385" i="42385"/>
  <c r="AM625" i="42385"/>
  <c r="CS625" i="42385"/>
  <c r="CC1373" i="42385"/>
  <c r="CB1375" i="42385"/>
  <c r="BO613" i="42385"/>
  <c r="BP613" i="42385"/>
  <c r="BR613" i="42385" s="1"/>
  <c r="BY831" i="42385"/>
  <c r="DA831" i="42385" s="1"/>
  <c r="DA830" i="42385"/>
  <c r="BY832" i="42385"/>
  <c r="DA832" i="42385" s="1"/>
  <c r="BZ830" i="42385"/>
  <c r="BT804" i="42385"/>
  <c r="CZ804" i="42385" s="1"/>
  <c r="BS837" i="42385"/>
  <c r="BT835" i="42385"/>
  <c r="CZ835" i="42385" s="1"/>
  <c r="BI474" i="42385"/>
  <c r="BI475" i="42385" s="1"/>
  <c r="BJ475" i="42385" s="1"/>
  <c r="CX475" i="42385" s="1"/>
  <c r="BI1547" i="42385"/>
  <c r="BI473" i="42385"/>
  <c r="BJ472" i="42385"/>
  <c r="BP183" i="42385"/>
  <c r="BQ183" i="42385" s="1"/>
  <c r="BR183" i="42385" s="1"/>
  <c r="BS183" i="42385" s="1"/>
  <c r="BT183" i="42385"/>
  <c r="CY183" i="42385"/>
  <c r="BY1386" i="42385"/>
  <c r="BX1563" i="42385"/>
  <c r="BX1593" i="42385" s="1"/>
  <c r="BR809" i="42385"/>
  <c r="BR808" i="42385"/>
  <c r="BR807" i="42385"/>
  <c r="BR293" i="42385"/>
  <c r="BX831" i="42385"/>
  <c r="BX835" i="42385"/>
  <c r="DC1385" i="42385"/>
  <c r="CB1385" i="42385"/>
  <c r="BW800" i="42385"/>
  <c r="BW804" i="42385"/>
  <c r="BW806" i="42385" s="1"/>
  <c r="BM293" i="42385"/>
  <c r="BO293" i="42385" s="1"/>
  <c r="CY293" i="42385" s="1"/>
  <c r="BM807" i="42385"/>
  <c r="BM808" i="42385"/>
  <c r="BM809" i="42385"/>
  <c r="BO806" i="42385"/>
  <c r="BO840" i="42385"/>
  <c r="CY840" i="42385" s="1"/>
  <c r="BO839" i="42385"/>
  <c r="CY839" i="42385" s="1"/>
  <c r="CY837" i="42385"/>
  <c r="BO838" i="42385"/>
  <c r="CY838" i="42385" s="1"/>
  <c r="CY344" i="42385"/>
  <c r="BO346" i="42385"/>
  <c r="CY346" i="42385" s="1"/>
  <c r="BO345" i="42385"/>
  <c r="CY345" i="42385" s="1"/>
  <c r="AZ602" i="42385"/>
  <c r="CV602" i="42385" s="1"/>
  <c r="AZ603" i="42385"/>
  <c r="CV603" i="42385" s="1"/>
  <c r="CV601" i="42385"/>
  <c r="CA184" i="42385"/>
  <c r="DB184" i="42385"/>
  <c r="AU347" i="42385"/>
  <c r="CU347" i="42385" s="1"/>
  <c r="AT350" i="42385"/>
  <c r="AZ1499" i="42385"/>
  <c r="CV1499" i="42385" s="1"/>
  <c r="CV274" i="42385"/>
  <c r="G22" i="42464"/>
  <c r="GC466" i="42417"/>
  <c r="GG466" i="42417" s="1"/>
  <c r="BQ344" i="42385"/>
  <c r="BL345" i="42385"/>
  <c r="BU344" i="42385"/>
  <c r="BP345" i="42385"/>
  <c r="BT344" i="42385"/>
  <c r="AW348" i="42385"/>
  <c r="AV347" i="42385"/>
  <c r="BF1528" i="42385"/>
  <c r="BG356" i="42385"/>
  <c r="BF357" i="42385"/>
  <c r="BT297" i="42385"/>
  <c r="CZ297" i="42385" s="1"/>
  <c r="BY443" i="42385"/>
  <c r="DA443" i="42385" s="1"/>
  <c r="CE148" i="42400"/>
  <c r="CE926" i="42385" s="1"/>
  <c r="CE927" i="42385" s="1"/>
  <c r="BV932" i="42385"/>
  <c r="BV931" i="42385"/>
  <c r="BV933" i="42385"/>
  <c r="BV297" i="42385"/>
  <c r="BT181" i="42385"/>
  <c r="CY181" i="42385"/>
  <c r="BP181" i="42385"/>
  <c r="BQ181" i="42385" s="1"/>
  <c r="BR181" i="42385" s="1"/>
  <c r="BS181" i="42385" s="1"/>
  <c r="BY175" i="42385"/>
  <c r="CZ175" i="42385"/>
  <c r="BU175" i="42385"/>
  <c r="BV175" i="42385" s="1"/>
  <c r="BW175" i="42385" s="1"/>
  <c r="BX175" i="42385" s="1"/>
  <c r="BT185" i="42385"/>
  <c r="BP185" i="42385"/>
  <c r="BQ185" i="42385" s="1"/>
  <c r="BR185" i="42385" s="1"/>
  <c r="BS185" i="42385" s="1"/>
  <c r="CY185" i="42385"/>
  <c r="CY892" i="42385"/>
  <c r="BO894" i="42385"/>
  <c r="CY894" i="42385" s="1"/>
  <c r="BO893" i="42385"/>
  <c r="CY893" i="42385" s="1"/>
  <c r="BO897" i="42385"/>
  <c r="CY897" i="42385" s="1"/>
  <c r="BS897" i="42385"/>
  <c r="BS899" i="42385" s="1"/>
  <c r="BX892" i="42385"/>
  <c r="BS893" i="42385"/>
  <c r="FN413" i="42417"/>
  <c r="FL413" i="42417"/>
  <c r="FL435" i="42417" s="1"/>
  <c r="FL436" i="42417" s="1"/>
  <c r="BN902" i="42385"/>
  <c r="BN900" i="42385"/>
  <c r="BN901" i="42385"/>
  <c r="BN296" i="42385"/>
  <c r="M23" i="42412"/>
  <c r="CV902" i="42385"/>
  <c r="CD206" i="42417"/>
  <c r="CD218" i="42417" s="1"/>
  <c r="BE901" i="42385"/>
  <c r="CW901" i="42385" s="1"/>
  <c r="BE900" i="42385"/>
  <c r="CW900" i="42385" s="1"/>
  <c r="CW899" i="42385"/>
  <c r="BE902" i="42385"/>
  <c r="CW902" i="42385" s="1"/>
  <c r="AX480" i="42385"/>
  <c r="AW1140" i="42385"/>
  <c r="BT866" i="42385"/>
  <c r="CZ866" i="42385" s="1"/>
  <c r="BP186" i="42385"/>
  <c r="BQ186" i="42385" s="1"/>
  <c r="BR186" i="42385" s="1"/>
  <c r="BS186" i="42385" s="1"/>
  <c r="BT186" i="42385"/>
  <c r="CY186" i="42385"/>
  <c r="BV902" i="42385"/>
  <c r="BV900" i="42385"/>
  <c r="BV296" i="42385"/>
  <c r="BV901" i="42385"/>
  <c r="BM900" i="42385"/>
  <c r="BM901" i="42385"/>
  <c r="BM902" i="42385"/>
  <c r="BM296" i="42385"/>
  <c r="BM303" i="42385" s="1"/>
  <c r="BO899" i="42385"/>
  <c r="CG206" i="42417"/>
  <c r="BG169" i="42417"/>
  <c r="CF218" i="42417"/>
  <c r="BR893" i="42385"/>
  <c r="BW892" i="42385"/>
  <c r="BR897" i="42385"/>
  <c r="BR899" i="42385" s="1"/>
  <c r="BT892" i="42385"/>
  <c r="BU174" i="42385"/>
  <c r="BV174" i="42385" s="1"/>
  <c r="BW174" i="42385" s="1"/>
  <c r="BX174" i="42385" s="1"/>
  <c r="BY174" i="42385"/>
  <c r="CZ174" i="42385"/>
  <c r="BW933" i="42385"/>
  <c r="BW297" i="42385"/>
  <c r="BW932" i="42385"/>
  <c r="BW931" i="42385"/>
  <c r="BH901" i="42385"/>
  <c r="BH296" i="42385"/>
  <c r="BH902" i="42385"/>
  <c r="BH900" i="42385"/>
  <c r="BJ899" i="42385"/>
  <c r="CA187" i="42385"/>
  <c r="DB187" i="42385"/>
  <c r="BO295" i="42385"/>
  <c r="CY295" i="42385" s="1"/>
  <c r="CZ861" i="42385"/>
  <c r="BT862" i="42385"/>
  <c r="CZ862" i="42385" s="1"/>
  <c r="BT863" i="42385"/>
  <c r="CZ863" i="42385" s="1"/>
  <c r="BQ871" i="42385"/>
  <c r="BQ870" i="42385"/>
  <c r="BQ869" i="42385"/>
  <c r="BQ295" i="42385"/>
  <c r="BQ303" i="42385" s="1"/>
  <c r="BQ305" i="42385" s="1"/>
  <c r="BO871" i="42385"/>
  <c r="CY871" i="42385" s="1"/>
  <c r="BO869" i="42385"/>
  <c r="CY869" i="42385" s="1"/>
  <c r="BO870" i="42385"/>
  <c r="CY870" i="42385" s="1"/>
  <c r="CY868" i="42385"/>
  <c r="BP295" i="42385"/>
  <c r="BP303" i="42385" s="1"/>
  <c r="BP871" i="42385"/>
  <c r="BP870" i="42385"/>
  <c r="BP869" i="42385"/>
  <c r="BU900" i="42385"/>
  <c r="BU901" i="42385"/>
  <c r="BU902" i="42385"/>
  <c r="BU296" i="42385"/>
  <c r="CZ172" i="42385"/>
  <c r="BU172" i="42385"/>
  <c r="BV172" i="42385" s="1"/>
  <c r="BW172" i="42385" s="1"/>
  <c r="BX172" i="42385" s="1"/>
  <c r="BY172" i="42385"/>
  <c r="BV866" i="42385"/>
  <c r="BV868" i="42385" s="1"/>
  <c r="BV862" i="42385"/>
  <c r="CB1483" i="42385"/>
  <c r="CC1383" i="42385"/>
  <c r="CC1483" i="42385" s="1"/>
  <c r="BU862" i="42385"/>
  <c r="BU866" i="42385"/>
  <c r="BY861" i="42385"/>
  <c r="BJ869" i="42385"/>
  <c r="CX869" i="42385" s="1"/>
  <c r="BJ870" i="42385"/>
  <c r="CX870" i="42385" s="1"/>
  <c r="CX868" i="42385"/>
  <c r="BJ871" i="42385"/>
  <c r="CX871" i="42385" s="1"/>
  <c r="BF303" i="42385"/>
  <c r="BF305" i="42385" s="1"/>
  <c r="BJ295" i="42385"/>
  <c r="CX295" i="42385" s="1"/>
  <c r="CV1627" i="42385"/>
  <c r="AZ1628" i="42385"/>
  <c r="CV1628" i="42385" s="1"/>
  <c r="BU23" i="42418"/>
  <c r="CF137" i="42400"/>
  <c r="BY928" i="42385"/>
  <c r="DA928" i="42385" s="1"/>
  <c r="CF144" i="42400"/>
  <c r="AM33" i="42464"/>
  <c r="AL41" i="42464"/>
  <c r="BA1523" i="42385"/>
  <c r="CV1523" i="42385"/>
  <c r="BN1626" i="42385"/>
  <c r="BM1628" i="42385"/>
  <c r="BV995" i="42385"/>
  <c r="BU1549" i="42385"/>
  <c r="BU996" i="42385"/>
  <c r="BU997" i="42385"/>
  <c r="CZ443" i="42385"/>
  <c r="BT1546" i="42385"/>
  <c r="CZ1546" i="42385" s="1"/>
  <c r="BE873" i="42385"/>
  <c r="CW873" i="42385" s="1"/>
  <c r="CW872" i="42385"/>
  <c r="BZ443" i="42385"/>
  <c r="CB1482" i="42385"/>
  <c r="CC1382" i="42385"/>
  <c r="CF995" i="42385"/>
  <c r="CF1549" i="42385" s="1"/>
  <c r="CE1549" i="42385"/>
  <c r="U708" i="42385"/>
  <c r="V708" i="42385" s="1"/>
  <c r="CP708" i="42385" s="1"/>
  <c r="CF298" i="42400"/>
  <c r="CF895" i="42385" s="1"/>
  <c r="CF896" i="42385" s="1"/>
  <c r="BO78" i="42418"/>
  <c r="CD236" i="42385"/>
  <c r="CE748" i="42385"/>
  <c r="BD1535" i="42385"/>
  <c r="BE1535" i="42385" s="1"/>
  <c r="CW1535" i="42385" s="1"/>
  <c r="BD873" i="42385"/>
  <c r="BF872" i="42385"/>
  <c r="BS869" i="42385"/>
  <c r="BS870" i="42385"/>
  <c r="BS295" i="42385"/>
  <c r="BS871" i="42385"/>
  <c r="BT868" i="42385"/>
  <c r="CD246" i="42385"/>
  <c r="CD996" i="42385"/>
  <c r="CD983" i="42385"/>
  <c r="BL72" i="42418"/>
  <c r="BI72" i="42418"/>
  <c r="BJ166" i="42417"/>
  <c r="BO1400" i="42385"/>
  <c r="BN1402" i="42385"/>
  <c r="BN1504" i="42385" s="1"/>
  <c r="BU190" i="42385"/>
  <c r="BV190" i="42385" s="1"/>
  <c r="BW190" i="42385" s="1"/>
  <c r="BX190" i="42385" s="1"/>
  <c r="CZ190" i="42385"/>
  <c r="BY190" i="42385"/>
  <c r="BX870" i="42385"/>
  <c r="BX871" i="42385"/>
  <c r="BX295" i="42385"/>
  <c r="BX869" i="42385"/>
  <c r="BK1446" i="42385"/>
  <c r="BK1448" i="42385"/>
  <c r="BK1479" i="42385" s="1"/>
  <c r="BK1445" i="42385"/>
  <c r="CC237" i="42385"/>
  <c r="CC11" i="42385" s="1"/>
  <c r="CC771" i="42385"/>
  <c r="CC774" i="42385"/>
  <c r="CD767" i="42385"/>
  <c r="CB1478" i="42385"/>
  <c r="CC1378" i="42385"/>
  <c r="CD1378" i="42385" s="1"/>
  <c r="BO176" i="42385"/>
  <c r="BK176" i="42385"/>
  <c r="BL176" i="42385" s="1"/>
  <c r="BM176" i="42385" s="1"/>
  <c r="BN176" i="42385" s="1"/>
  <c r="CX176" i="42385"/>
  <c r="BA1554" i="42385"/>
  <c r="BW839" i="42385"/>
  <c r="BW838" i="42385"/>
  <c r="BW840" i="42385"/>
  <c r="BW294" i="42385"/>
  <c r="BQ612" i="42385"/>
  <c r="BS612" i="42385" s="1"/>
  <c r="CY612" i="42385"/>
  <c r="BM1406" i="42385"/>
  <c r="BM1424" i="42385" s="1"/>
  <c r="BM1564" i="42385"/>
  <c r="CF981" i="42385"/>
  <c r="CF982" i="42385" s="1"/>
  <c r="CE982" i="42385"/>
  <c r="CB775" i="42385"/>
  <c r="CB287" i="42385"/>
  <c r="CB776" i="42385"/>
  <c r="BL1583" i="42385"/>
  <c r="X34" i="42476"/>
  <c r="BL1660" i="42385"/>
  <c r="AW1001" i="42385"/>
  <c r="AV1139" i="42385"/>
  <c r="CE674" i="42385"/>
  <c r="CE675" i="42385" s="1"/>
  <c r="CF677" i="42385"/>
  <c r="BL51" i="42418"/>
  <c r="BI51" i="42418"/>
  <c r="BG491" i="42385"/>
  <c r="BG490" i="42385"/>
  <c r="BG270" i="42385"/>
  <c r="BD373" i="42385"/>
  <c r="AY374" i="42385"/>
  <c r="BN1656" i="42385"/>
  <c r="Z48" i="42476"/>
  <c r="Z50" i="42476" s="1"/>
  <c r="BN121" i="42385"/>
  <c r="AZ303" i="42385"/>
  <c r="AZ305" i="42385" s="1"/>
  <c r="AX305" i="42385"/>
  <c r="CD693" i="42385"/>
  <c r="CD695" i="42385" s="1"/>
  <c r="CD676" i="42385"/>
  <c r="CD233" i="42385"/>
  <c r="BE962" i="42385"/>
  <c r="CW962" i="42385" s="1"/>
  <c r="CW961" i="42385"/>
  <c r="BE963" i="42385"/>
  <c r="CW963" i="42385" s="1"/>
  <c r="BE964" i="42385"/>
  <c r="CW964" i="42385" s="1"/>
  <c r="BH487" i="42385"/>
  <c r="BH489" i="42385"/>
  <c r="BH223" i="42385"/>
  <c r="CC283" i="42385"/>
  <c r="CC696" i="42385"/>
  <c r="CC230" i="42385"/>
  <c r="CD618" i="42385"/>
  <c r="BX1511" i="42385"/>
  <c r="AN380" i="42385"/>
  <c r="BC374" i="42385"/>
  <c r="BH373" i="42385"/>
  <c r="CD369" i="42385"/>
  <c r="CC370" i="42385"/>
  <c r="CF673" i="42385"/>
  <c r="CF680" i="42385"/>
  <c r="CF691" i="42385" s="1"/>
  <c r="CU21" i="42385"/>
  <c r="AU30" i="42385"/>
  <c r="BC417" i="42385"/>
  <c r="BD416" i="42385"/>
  <c r="BC1530" i="42385"/>
  <c r="GC460" i="42417"/>
  <c r="GG460" i="42417" s="1"/>
  <c r="G16" i="42464"/>
  <c r="CV298" i="42385"/>
  <c r="AM374" i="42385"/>
  <c r="AR373" i="42385"/>
  <c r="AM375" i="42385"/>
  <c r="AP373" i="42385"/>
  <c r="BV1237" i="42385"/>
  <c r="BU1238" i="42385"/>
  <c r="BE298" i="42385"/>
  <c r="BC303" i="42385"/>
  <c r="BO189" i="42385"/>
  <c r="BK189" i="42385"/>
  <c r="BL189" i="42385" s="1"/>
  <c r="BM189" i="42385" s="1"/>
  <c r="BN189" i="42385" s="1"/>
  <c r="CX189" i="42385"/>
  <c r="FL433" i="42417"/>
  <c r="DA1509" i="42385"/>
  <c r="BZ1509" i="42385"/>
  <c r="BZ1511" i="42385" s="1"/>
  <c r="AQ377" i="42385"/>
  <c r="AO376" i="42385"/>
  <c r="CB219" i="42385"/>
  <c r="BL99" i="42418"/>
  <c r="CB371" i="42385"/>
  <c r="BI99" i="42418"/>
  <c r="BA374" i="42385"/>
  <c r="BF373" i="42385"/>
  <c r="BI483" i="42385"/>
  <c r="DL387" i="42492"/>
  <c r="BW1500" i="42385"/>
  <c r="BW1575" i="42385" s="1"/>
  <c r="BW118" i="42385"/>
  <c r="GF519" i="42464"/>
  <c r="GF539" i="42464"/>
  <c r="GF547" i="42464" s="1"/>
  <c r="BJ479" i="42385"/>
  <c r="BI1139" i="42385"/>
  <c r="BY235" i="42385"/>
  <c r="EJ448" i="42492" s="1"/>
  <c r="EI448" i="42492" s="1"/>
  <c r="EH448" i="42492" s="1"/>
  <c r="BU10" i="42385"/>
  <c r="BY10" i="42385" s="1"/>
  <c r="DA10" i="42385" s="1"/>
  <c r="GZ546" i="42417"/>
  <c r="GZ547" i="42417" s="1"/>
  <c r="GZ549" i="42417" s="1"/>
  <c r="GY547" i="42417"/>
  <c r="GY549" i="42417" s="1"/>
  <c r="GY550" i="42417" s="1"/>
  <c r="GY551" i="42417" s="1"/>
  <c r="BU736" i="42385"/>
  <c r="BY732" i="42385"/>
  <c r="BU733" i="42385"/>
  <c r="N19" i="42472"/>
  <c r="N22" i="42472" s="1"/>
  <c r="N24" i="42472" s="1"/>
  <c r="BJ1424" i="42385"/>
  <c r="CX1424" i="42385" s="1"/>
  <c r="CX1406" i="42385"/>
  <c r="BQ737" i="42385"/>
  <c r="BQ285" i="42385"/>
  <c r="BY740" i="42385"/>
  <c r="BZ729" i="42385"/>
  <c r="BY730" i="42385"/>
  <c r="BC1613" i="42385"/>
  <c r="BB1614" i="42385"/>
  <c r="GG491" i="42464"/>
  <c r="GG511" i="42464"/>
  <c r="BJ1594" i="42385"/>
  <c r="CX1593" i="42385"/>
  <c r="BX293" i="42385"/>
  <c r="BX807" i="42385"/>
  <c r="BX808" i="42385"/>
  <c r="BX809" i="42385"/>
  <c r="CC994" i="42385"/>
  <c r="CC993" i="42385"/>
  <c r="CC997" i="42385"/>
  <c r="CC299" i="42385"/>
  <c r="CD650" i="42385"/>
  <c r="CD231" i="42385"/>
  <c r="CE640" i="42385"/>
  <c r="CD647" i="42385"/>
  <c r="CX293" i="42385"/>
  <c r="CV1531" i="42385"/>
  <c r="AZ1556" i="42385"/>
  <c r="AK407" i="42385"/>
  <c r="AJ414" i="42385"/>
  <c r="AJ404" i="42385"/>
  <c r="BQ1497" i="42385"/>
  <c r="BR1399" i="42385"/>
  <c r="BR1497" i="42385" s="1"/>
  <c r="BK1613" i="42385"/>
  <c r="BO1613" i="42385"/>
  <c r="BJ1614" i="42385"/>
  <c r="CX1614" i="42385" s="1"/>
  <c r="CX1613" i="42385"/>
  <c r="BX931" i="42385"/>
  <c r="BX297" i="42385"/>
  <c r="BX932" i="42385"/>
  <c r="BX933" i="42385"/>
  <c r="BZ799" i="42385"/>
  <c r="BY801" i="42385"/>
  <c r="DA801" i="42385" s="1"/>
  <c r="DA799" i="42385"/>
  <c r="BY800" i="42385"/>
  <c r="DA800" i="42385" s="1"/>
  <c r="BT734" i="42385"/>
  <c r="BT736" i="42385"/>
  <c r="BT737" i="42385" s="1"/>
  <c r="BT733" i="42385"/>
  <c r="BR285" i="42385"/>
  <c r="BR737" i="42385"/>
  <c r="AN408" i="42385"/>
  <c r="AM407" i="42385"/>
  <c r="BH1538" i="42385"/>
  <c r="BI758" i="42385"/>
  <c r="BJ758" i="42385" s="1"/>
  <c r="BH759" i="42385"/>
  <c r="D33" i="42407"/>
  <c r="BX733" i="42385"/>
  <c r="BX736" i="42385"/>
  <c r="CC284" i="42385"/>
  <c r="CC718" i="42385"/>
  <c r="CC719" i="42385"/>
  <c r="BB1531" i="42385"/>
  <c r="BC810" i="42385"/>
  <c r="BB811" i="42385"/>
  <c r="AI405" i="42385"/>
  <c r="AI406" i="42385"/>
  <c r="AN404" i="42385"/>
  <c r="BZ1484" i="42385"/>
  <c r="DB1484" i="42385" s="1"/>
  <c r="DB1384" i="42385"/>
  <c r="CA1384" i="42385"/>
  <c r="BC965" i="42385"/>
  <c r="BB966" i="42385"/>
  <c r="BB1539" i="42385"/>
  <c r="BG935" i="42385"/>
  <c r="BH934" i="42385"/>
  <c r="BG1533" i="42385"/>
  <c r="BJ1592" i="42385"/>
  <c r="CX1592" i="42385" s="1"/>
  <c r="CX1591" i="42385"/>
  <c r="BG778" i="42385"/>
  <c r="BG1540" i="42385"/>
  <c r="BH777" i="42385"/>
  <c r="BW733" i="42385"/>
  <c r="BW736" i="42385"/>
  <c r="BJ1660" i="42385"/>
  <c r="CX1564" i="42385"/>
  <c r="V34" i="42476"/>
  <c r="G37" i="42409"/>
  <c r="BG1613" i="42385"/>
  <c r="BF1614" i="42385"/>
  <c r="BI1445" i="42385"/>
  <c r="BI1446" i="42385"/>
  <c r="BJ1583" i="42385"/>
  <c r="BI1448" i="42385"/>
  <c r="BI1479" i="42385" s="1"/>
  <c r="BJ1479" i="42385" s="1"/>
  <c r="CX1479" i="42385" s="1"/>
  <c r="BS809" i="42385"/>
  <c r="BS807" i="42385"/>
  <c r="BS293" i="42385"/>
  <c r="BS808" i="42385"/>
  <c r="BT806" i="42385"/>
  <c r="CO1332" i="42385"/>
  <c r="Q1333" i="42385"/>
  <c r="BI305" i="42385"/>
  <c r="AL407" i="42385"/>
  <c r="BO64" i="42418"/>
  <c r="BO65" i="42418" s="1"/>
  <c r="CD714" i="42385"/>
  <c r="CD717" i="42385"/>
  <c r="CD234" i="42385"/>
  <c r="CE710" i="42385"/>
  <c r="BV733" i="42385"/>
  <c r="BV736" i="42385"/>
  <c r="CE985" i="42385"/>
  <c r="CD986" i="42385"/>
  <c r="CD990" i="42385"/>
  <c r="CD992" i="42385" s="1"/>
  <c r="CC648" i="42385"/>
  <c r="CC281" i="42385"/>
  <c r="V1138" i="42385"/>
  <c r="CP1138" i="42385" s="1"/>
  <c r="U1141" i="42385"/>
  <c r="V1141" i="42385" s="1"/>
  <c r="CP1141" i="42385" s="1"/>
  <c r="V907" i="42385"/>
  <c r="CP907" i="42385" s="1"/>
  <c r="U910" i="42385"/>
  <c r="U481" i="42385"/>
  <c r="V481" i="42385" s="1"/>
  <c r="CP481" i="42385" s="1"/>
  <c r="T1004" i="42385"/>
  <c r="T1005" i="42385" s="1"/>
  <c r="U941" i="42385"/>
  <c r="U942" i="42385" s="1"/>
  <c r="U943" i="42385" s="1"/>
  <c r="U391" i="42385"/>
  <c r="V391" i="42385" s="1"/>
  <c r="CP391" i="42385" s="1"/>
  <c r="U1084" i="42385"/>
  <c r="BD261" i="42385"/>
  <c r="T942" i="42385"/>
  <c r="T943" i="42385" s="1"/>
  <c r="W320" i="42385"/>
  <c r="CP320" i="42385"/>
  <c r="V611" i="42385"/>
  <c r="CP611" i="42385" s="1"/>
  <c r="U614" i="42385"/>
  <c r="CC751" i="42385"/>
  <c r="CB752" i="42385"/>
  <c r="CB755" i="42385"/>
  <c r="U817" i="42385"/>
  <c r="BL744" i="42385"/>
  <c r="U765" i="42385"/>
  <c r="V765" i="42385" s="1"/>
  <c r="CP765" i="42385" s="1"/>
  <c r="V876" i="42385"/>
  <c r="CP876" i="42385" s="1"/>
  <c r="U879" i="42385"/>
  <c r="C19" i="42408"/>
  <c r="H19" i="42408" s="1"/>
  <c r="DB286" i="42385"/>
  <c r="V783" i="42385"/>
  <c r="CP783" i="42385" s="1"/>
  <c r="U786" i="42385"/>
  <c r="V845" i="42385"/>
  <c r="CP845" i="42385" s="1"/>
  <c r="U848" i="42385"/>
  <c r="U1003" i="42385"/>
  <c r="U1004" i="42385" s="1"/>
  <c r="U1005" i="42385" s="1"/>
  <c r="CA757" i="42385"/>
  <c r="DC757" i="42385" s="1"/>
  <c r="CA756" i="42385"/>
  <c r="DC756" i="42385" s="1"/>
  <c r="DC755" i="42385"/>
  <c r="CA286" i="42385"/>
  <c r="DC286" i="42385" s="1"/>
  <c r="U329" i="42385"/>
  <c r="U363" i="42385"/>
  <c r="BY173" i="42385"/>
  <c r="CZ173" i="42385"/>
  <c r="BU173" i="42385"/>
  <c r="BV173" i="42385" s="1"/>
  <c r="BW173" i="42385" s="1"/>
  <c r="BX173" i="42385" s="1"/>
  <c r="AF1628" i="42385"/>
  <c r="CR1628" i="42385" s="1"/>
  <c r="CR1627" i="42385"/>
  <c r="BE182" i="42385"/>
  <c r="CV182" i="42385"/>
  <c r="BA182" i="42385"/>
  <c r="BB182" i="42385" s="1"/>
  <c r="BC182" i="42385" s="1"/>
  <c r="BD182" i="42385" s="1"/>
  <c r="CF1371" i="42385"/>
  <c r="AR1437" i="42385"/>
  <c r="AQ1439" i="42385"/>
  <c r="BU931" i="42385"/>
  <c r="BU297" i="42385"/>
  <c r="BU933" i="42385"/>
  <c r="BY930" i="42385"/>
  <c r="BU932" i="42385"/>
  <c r="CZ930" i="42385"/>
  <c r="BT931" i="42385"/>
  <c r="CZ931" i="42385" s="1"/>
  <c r="BT932" i="42385"/>
  <c r="CZ932" i="42385" s="1"/>
  <c r="BT933" i="42385"/>
  <c r="CZ933" i="42385" s="1"/>
  <c r="AP1431" i="42385"/>
  <c r="CT1431" i="42385" s="1"/>
  <c r="AO1434" i="42385"/>
  <c r="AP1434" i="42385" s="1"/>
  <c r="CT1434" i="42385" s="1"/>
  <c r="BE1121" i="42385"/>
  <c r="BF1121" i="42385"/>
  <c r="BD1124" i="42385"/>
  <c r="BD1552" i="42385" s="1"/>
  <c r="DB923" i="42385"/>
  <c r="BZ928" i="42385"/>
  <c r="BZ924" i="42385"/>
  <c r="DB924" i="42385" s="1"/>
  <c r="CA923" i="42385"/>
  <c r="CD312" i="42385"/>
  <c r="CD23" i="42385" s="1"/>
  <c r="CD1116" i="42385"/>
  <c r="DB1377" i="42385"/>
  <c r="CA1377" i="42385"/>
  <c r="BI1582" i="42385"/>
  <c r="BH1585" i="42385"/>
  <c r="BH1586" i="42385" s="1"/>
  <c r="BH1587" i="42385" s="1"/>
  <c r="BH1584" i="42385"/>
  <c r="CD1381" i="42385"/>
  <c r="CE1381" i="42385" s="1"/>
  <c r="BP188" i="42385"/>
  <c r="BQ188" i="42385" s="1"/>
  <c r="BR188" i="42385" s="1"/>
  <c r="BS188" i="42385" s="1"/>
  <c r="BT188" i="42385"/>
  <c r="CY188" i="42385"/>
  <c r="CF1113" i="42385"/>
  <c r="CF1115" i="42385" s="1"/>
  <c r="CE1115" i="42385"/>
  <c r="AF121" i="42385"/>
  <c r="CR121" i="42385" s="1"/>
  <c r="CR120" i="42385"/>
  <c r="AF1656" i="42385"/>
  <c r="BV1147" i="42385"/>
  <c r="T90" i="42470"/>
  <c r="AE86" i="42470"/>
  <c r="T88" i="42470"/>
  <c r="AA78" i="42470"/>
  <c r="Q22" i="42470"/>
  <c r="Q27" i="42470"/>
  <c r="Q28" i="42470" s="1"/>
  <c r="AA81" i="42470" s="1"/>
  <c r="Q14" i="42470"/>
  <c r="Q16" i="42470" s="1"/>
  <c r="U86" i="42470"/>
  <c r="F37" i="42470"/>
  <c r="F42" i="42470"/>
  <c r="F43" i="42470" s="1"/>
  <c r="U98" i="42470" s="1"/>
  <c r="AA90" i="42470"/>
  <c r="AA88" i="42470"/>
  <c r="V75" i="42470"/>
  <c r="V76" i="42470"/>
  <c r="V58" i="42470"/>
  <c r="V108" i="42470"/>
  <c r="BD258" i="42385"/>
  <c r="T108" i="42470"/>
  <c r="T75" i="42470"/>
  <c r="T76" i="42470"/>
  <c r="T58" i="42470"/>
  <c r="DA1119" i="42385"/>
  <c r="BZ1119" i="42385"/>
  <c r="BI1118" i="42385"/>
  <c r="BJ1118" i="42385" s="1"/>
  <c r="G35" i="42470"/>
  <c r="G5" i="42470"/>
  <c r="G8" i="42470" s="1"/>
  <c r="G10" i="42470" s="1"/>
  <c r="BH409" i="42385"/>
  <c r="BC128" i="42385"/>
  <c r="BC259" i="42385"/>
  <c r="BC1558" i="42385"/>
  <c r="BQ745" i="42385"/>
  <c r="P27" i="42470"/>
  <c r="P28" i="42470" s="1"/>
  <c r="Y81" i="42470" s="1"/>
  <c r="P22" i="42470"/>
  <c r="P14" i="42470"/>
  <c r="P16" i="42470" s="1"/>
  <c r="Y78" i="42470"/>
  <c r="AC169" i="42385"/>
  <c r="N14" i="42470"/>
  <c r="N16" i="42470" s="1"/>
  <c r="T78" i="42470"/>
  <c r="N22" i="42470"/>
  <c r="N27" i="42470"/>
  <c r="N28" i="42470" s="1"/>
  <c r="T81" i="42470" s="1"/>
  <c r="T180" i="42385"/>
  <c r="BU170" i="42385"/>
  <c r="BV170" i="42385" s="1"/>
  <c r="BW170" i="42385" s="1"/>
  <c r="BX170" i="42385" s="1"/>
  <c r="BY170" i="42385"/>
  <c r="CZ170" i="42385"/>
  <c r="Y90" i="42470"/>
  <c r="Y88" i="42470"/>
  <c r="K51" i="42470"/>
  <c r="CW256" i="42385"/>
  <c r="EF457" i="42492"/>
  <c r="BE258" i="42385"/>
  <c r="BE261" i="42385"/>
  <c r="BE260" i="42385"/>
  <c r="CW260" i="42385" s="1"/>
  <c r="K40" i="42470"/>
  <c r="BG707" i="42385"/>
  <c r="BF257" i="42385"/>
  <c r="BF261" i="42385" s="1"/>
  <c r="CU326" i="42492" s="1"/>
  <c r="BD260" i="42385"/>
  <c r="Y75" i="42470"/>
  <c r="Y58" i="42470"/>
  <c r="Y76" i="42470"/>
  <c r="Y108" i="42470"/>
  <c r="CZ178" i="42385"/>
  <c r="BU178" i="42385"/>
  <c r="BV178" i="42385" s="1"/>
  <c r="BW178" i="42385" s="1"/>
  <c r="BX178" i="42385" s="1"/>
  <c r="BY178" i="42385"/>
  <c r="AA76" i="42470"/>
  <c r="AA75" i="42470"/>
  <c r="AA108" i="42470"/>
  <c r="AA58" i="42470"/>
  <c r="F19" i="42470"/>
  <c r="F12" i="42470"/>
  <c r="U56" i="42470"/>
  <c r="BU177" i="42385"/>
  <c r="BV177" i="42385" s="1"/>
  <c r="BW177" i="42385" s="1"/>
  <c r="BX177" i="42385" s="1"/>
  <c r="BY177" i="42385"/>
  <c r="CZ177" i="42385"/>
  <c r="BG1107" i="42385"/>
  <c r="BG256" i="42385" s="1"/>
  <c r="BH1106" i="42385"/>
  <c r="O14" i="42470"/>
  <c r="O16" i="42470" s="1"/>
  <c r="O27" i="42470"/>
  <c r="O28" i="42470" s="1"/>
  <c r="V81" i="42470" s="1"/>
  <c r="V78" i="42470"/>
  <c r="O22" i="42470"/>
  <c r="V88" i="42470"/>
  <c r="V90" i="42470"/>
  <c r="DB179" i="42385"/>
  <c r="CA179" i="42385"/>
  <c r="BZ171" i="42385"/>
  <c r="DA171" i="42385"/>
  <c r="BR16" i="42418" l="1"/>
  <c r="BU16" i="42418"/>
  <c r="BX16" i="42418"/>
  <c r="BY804" i="42385"/>
  <c r="DA804" i="42385" s="1"/>
  <c r="BX30" i="42418"/>
  <c r="BR30" i="42418"/>
  <c r="BU30" i="42418"/>
  <c r="BY1546" i="42385"/>
  <c r="DA1546" i="42385" s="1"/>
  <c r="CE402" i="42385"/>
  <c r="CE220" i="42385"/>
  <c r="BR36" i="42418"/>
  <c r="BR37" i="42418" s="1"/>
  <c r="BO37" i="42418"/>
  <c r="BO1456" i="42385"/>
  <c r="BP1456" i="42385" s="1"/>
  <c r="BN1487" i="42385"/>
  <c r="BO1487" i="42385" s="1"/>
  <c r="BU36" i="42418"/>
  <c r="CF220" i="42385"/>
  <c r="CF402" i="42385"/>
  <c r="O191" i="42385"/>
  <c r="N193" i="42385"/>
  <c r="BW654" i="42385"/>
  <c r="BV653" i="42385"/>
  <c r="BV656" i="42385" s="1"/>
  <c r="BV657" i="42385" s="1"/>
  <c r="BV658" i="42385" s="1"/>
  <c r="BT285" i="42385"/>
  <c r="AM624" i="42385"/>
  <c r="AN625" i="42385"/>
  <c r="AO622" i="42385"/>
  <c r="AT621" i="42385"/>
  <c r="BF1529" i="42385"/>
  <c r="BF904" i="42385"/>
  <c r="BG903" i="42385"/>
  <c r="BI631" i="42385"/>
  <c r="BJ631" i="42385" s="1"/>
  <c r="BH632" i="42385"/>
  <c r="BH1543" i="42385"/>
  <c r="BH1541" i="42385"/>
  <c r="BI384" i="42385"/>
  <c r="BH385" i="42385"/>
  <c r="AX621" i="42385"/>
  <c r="AS622" i="42385"/>
  <c r="BI841" i="42385"/>
  <c r="BH842" i="42385"/>
  <c r="BH1532" i="42385"/>
  <c r="AQ622" i="42385"/>
  <c r="AV621" i="42385"/>
  <c r="BG721" i="42385"/>
  <c r="BG1536" i="42385"/>
  <c r="BH720" i="42385"/>
  <c r="BQ613" i="42385"/>
  <c r="BS613" i="42385" s="1"/>
  <c r="CY613" i="42385"/>
  <c r="CD1373" i="42385"/>
  <c r="CC1375" i="42385"/>
  <c r="CB1485" i="42385"/>
  <c r="CC1385" i="42385"/>
  <c r="CA830" i="42385"/>
  <c r="DB830" i="42385"/>
  <c r="BZ835" i="42385"/>
  <c r="BZ831" i="42385"/>
  <c r="DB831" i="42385" s="1"/>
  <c r="BO807" i="42385"/>
  <c r="CY807" i="42385" s="1"/>
  <c r="CY806" i="42385"/>
  <c r="BO808" i="42385"/>
  <c r="CY808" i="42385" s="1"/>
  <c r="BO809" i="42385"/>
  <c r="CY809" i="42385" s="1"/>
  <c r="BZ1386" i="42385"/>
  <c r="BZ1486" i="42385" s="1"/>
  <c r="DB1486" i="42385" s="1"/>
  <c r="DA1386" i="42385"/>
  <c r="BY1563" i="42385"/>
  <c r="CX472" i="42385"/>
  <c r="BK472" i="42385"/>
  <c r="BJ1547" i="42385"/>
  <c r="CX1547" i="42385" s="1"/>
  <c r="BJ473" i="42385"/>
  <c r="CX473" i="42385" s="1"/>
  <c r="BJ474" i="42385"/>
  <c r="CX474" i="42385" s="1"/>
  <c r="BW809" i="42385"/>
  <c r="BW808" i="42385"/>
  <c r="BW293" i="42385"/>
  <c r="BY293" i="42385" s="1"/>
  <c r="BY806" i="42385"/>
  <c r="BW807" i="42385"/>
  <c r="BX837" i="42385"/>
  <c r="BY835" i="42385"/>
  <c r="DA835" i="42385" s="1"/>
  <c r="BS839" i="42385"/>
  <c r="BS294" i="42385"/>
  <c r="BT294" i="42385" s="1"/>
  <c r="BT837" i="42385"/>
  <c r="BS838" i="42385"/>
  <c r="BS840" i="42385"/>
  <c r="BT293" i="42385"/>
  <c r="CZ183" i="42385"/>
  <c r="BY183" i="42385"/>
  <c r="BU183" i="42385"/>
  <c r="BV183" i="42385" s="1"/>
  <c r="BW183" i="42385" s="1"/>
  <c r="BX183" i="42385" s="1"/>
  <c r="AV350" i="42385"/>
  <c r="BU345" i="42385"/>
  <c r="DC184" i="42385"/>
  <c r="CB184" i="42385"/>
  <c r="CC184" i="42385" s="1"/>
  <c r="CD184" i="42385" s="1"/>
  <c r="CE184" i="42385" s="1"/>
  <c r="CF184" i="42385" s="1"/>
  <c r="AW347" i="42385"/>
  <c r="AW350" i="42385" s="1"/>
  <c r="AW352" i="42385" s="1"/>
  <c r="AX348" i="42385"/>
  <c r="BG1528" i="42385"/>
  <c r="BH356" i="42385"/>
  <c r="BG357" i="42385"/>
  <c r="BT346" i="42385"/>
  <c r="CZ346" i="42385" s="1"/>
  <c r="BT345" i="42385"/>
  <c r="CZ345" i="42385" s="1"/>
  <c r="CZ344" i="42385"/>
  <c r="BQ345" i="42385"/>
  <c r="BV344" i="42385"/>
  <c r="BV345" i="42385" s="1"/>
  <c r="AT352" i="42385"/>
  <c r="AU350" i="42385"/>
  <c r="CU350" i="42385" s="1"/>
  <c r="BY297" i="42385"/>
  <c r="B15" i="42408" s="1"/>
  <c r="G15" i="42408" s="1"/>
  <c r="BZ174" i="42385"/>
  <c r="DA174" i="42385"/>
  <c r="BW893" i="42385"/>
  <c r="BW897" i="42385"/>
  <c r="BW899" i="42385" s="1"/>
  <c r="BY892" i="42385"/>
  <c r="CI206" i="42417"/>
  <c r="CH206" i="42417"/>
  <c r="BU181" i="42385"/>
  <c r="BV181" i="42385" s="1"/>
  <c r="BW181" i="42385" s="1"/>
  <c r="BX181" i="42385" s="1"/>
  <c r="BY181" i="42385"/>
  <c r="CZ181" i="42385"/>
  <c r="BJ296" i="42385"/>
  <c r="CX296" i="42385" s="1"/>
  <c r="BH303" i="42385"/>
  <c r="CY899" i="42385"/>
  <c r="BO902" i="42385"/>
  <c r="CY902" i="42385" s="1"/>
  <c r="BO901" i="42385"/>
  <c r="CY901" i="42385" s="1"/>
  <c r="BO900" i="42385"/>
  <c r="CY900" i="42385" s="1"/>
  <c r="DA175" i="42385"/>
  <c r="BZ175" i="42385"/>
  <c r="BT295" i="42385"/>
  <c r="CZ295" i="42385" s="1"/>
  <c r="BJ901" i="42385"/>
  <c r="CX901" i="42385" s="1"/>
  <c r="CX899" i="42385"/>
  <c r="BJ900" i="42385"/>
  <c r="CX900" i="42385" s="1"/>
  <c r="BJ902" i="42385"/>
  <c r="CX902" i="42385" s="1"/>
  <c r="BT894" i="42385"/>
  <c r="CZ894" i="42385" s="1"/>
  <c r="BT897" i="42385"/>
  <c r="CZ897" i="42385" s="1"/>
  <c r="BT893" i="42385"/>
  <c r="CZ893" i="42385" s="1"/>
  <c r="CZ892" i="42385"/>
  <c r="CF223" i="42417"/>
  <c r="CF220" i="42417"/>
  <c r="BM305" i="42385"/>
  <c r="BX893" i="42385"/>
  <c r="BX897" i="42385"/>
  <c r="BX899" i="42385" s="1"/>
  <c r="BY185" i="42385"/>
  <c r="BU185" i="42385"/>
  <c r="BV185" i="42385" s="1"/>
  <c r="BW185" i="42385" s="1"/>
  <c r="BX185" i="42385" s="1"/>
  <c r="CZ185" i="42385"/>
  <c r="BR900" i="42385"/>
  <c r="BR902" i="42385"/>
  <c r="BR901" i="42385"/>
  <c r="BR296" i="42385"/>
  <c r="BR303" i="42385" s="1"/>
  <c r="BR305" i="42385" s="1"/>
  <c r="BT899" i="42385"/>
  <c r="BN191" i="42417"/>
  <c r="BG172" i="42417"/>
  <c r="CZ186" i="42385"/>
  <c r="BU186" i="42385"/>
  <c r="BV186" i="42385" s="1"/>
  <c r="BW186" i="42385" s="1"/>
  <c r="BX186" i="42385" s="1"/>
  <c r="BY186" i="42385"/>
  <c r="AY480" i="42385"/>
  <c r="AX1140" i="42385"/>
  <c r="BO296" i="42385"/>
  <c r="BN303" i="42385"/>
  <c r="BO303" i="42385" s="1"/>
  <c r="BS902" i="42385"/>
  <c r="BS296" i="42385"/>
  <c r="BS901" i="42385"/>
  <c r="BS900" i="42385"/>
  <c r="BP305" i="42385"/>
  <c r="BV870" i="42385"/>
  <c r="BV871" i="42385"/>
  <c r="BV869" i="42385"/>
  <c r="BV295" i="42385"/>
  <c r="BY862" i="42385"/>
  <c r="DA862" i="42385" s="1"/>
  <c r="BZ861" i="42385"/>
  <c r="DA861" i="42385"/>
  <c r="BY863" i="42385"/>
  <c r="DA863" i="42385" s="1"/>
  <c r="CD1383" i="42385"/>
  <c r="CE1383" i="42385" s="1"/>
  <c r="CF1383" i="42385" s="1"/>
  <c r="CF1483" i="42385" s="1"/>
  <c r="BZ172" i="42385"/>
  <c r="DA172" i="42385"/>
  <c r="BU868" i="42385"/>
  <c r="BY866" i="42385"/>
  <c r="DA866" i="42385" s="1"/>
  <c r="CB187" i="42385"/>
  <c r="CC187" i="42385" s="1"/>
  <c r="CD187" i="42385" s="1"/>
  <c r="CE187" i="42385" s="1"/>
  <c r="CF187" i="42385" s="1"/>
  <c r="DC187" i="42385"/>
  <c r="CF148" i="42400"/>
  <c r="CF926" i="42385" s="1"/>
  <c r="CF927" i="42385" s="1"/>
  <c r="AN33" i="42464"/>
  <c r="AM41" i="42464"/>
  <c r="BF258" i="42385"/>
  <c r="BF259" i="42385" s="1"/>
  <c r="BG872" i="42385"/>
  <c r="BF1535" i="42385"/>
  <c r="BF873" i="42385"/>
  <c r="BO79" i="42418"/>
  <c r="CA443" i="42385"/>
  <c r="BZ1546" i="42385"/>
  <c r="DB1546" i="42385" s="1"/>
  <c r="DB443" i="42385"/>
  <c r="BV997" i="42385"/>
  <c r="BV1549" i="42385"/>
  <c r="BW995" i="42385"/>
  <c r="BV996" i="42385"/>
  <c r="BA1525" i="42385"/>
  <c r="BB1523" i="42385"/>
  <c r="CC1478" i="42385"/>
  <c r="BR78" i="42418"/>
  <c r="BR79" i="42418" s="1"/>
  <c r="CE236" i="42385"/>
  <c r="CF748" i="42385"/>
  <c r="CC1482" i="42385"/>
  <c r="CD1382" i="42385"/>
  <c r="CE1382" i="42385" s="1"/>
  <c r="BO1626" i="42385"/>
  <c r="BN1628" i="42385"/>
  <c r="BL1446" i="42385"/>
  <c r="BL1445" i="42385"/>
  <c r="BL1448" i="42385"/>
  <c r="BL1479" i="42385" s="1"/>
  <c r="CE996" i="42385"/>
  <c r="CE246" i="42385"/>
  <c r="CE983" i="42385"/>
  <c r="CC775" i="42385"/>
  <c r="CC287" i="42385"/>
  <c r="CC776" i="42385"/>
  <c r="DA190" i="42385"/>
  <c r="BZ190" i="42385"/>
  <c r="CY1400" i="42385"/>
  <c r="BP1400" i="42385"/>
  <c r="BP1498" i="42385" s="1"/>
  <c r="BO1402" i="42385"/>
  <c r="CF246" i="42385"/>
  <c r="CF983" i="42385"/>
  <c r="CF996" i="42385"/>
  <c r="CD1478" i="42385"/>
  <c r="CE1378" i="42385"/>
  <c r="CF1378" i="42385" s="1"/>
  <c r="CF1478" i="42385" s="1"/>
  <c r="BT612" i="42385"/>
  <c r="CZ612" i="42385" s="1"/>
  <c r="BU612" i="42385"/>
  <c r="BV612" i="42385" s="1"/>
  <c r="BW612" i="42385" s="1"/>
  <c r="BX612" i="42385" s="1"/>
  <c r="BY612" i="42385" s="1"/>
  <c r="BM1583" i="42385"/>
  <c r="BM1660" i="42385"/>
  <c r="Y34" i="42476"/>
  <c r="BT176" i="42385"/>
  <c r="CY176" i="42385"/>
  <c r="BP176" i="42385"/>
  <c r="BQ176" i="42385" s="1"/>
  <c r="BR176" i="42385" s="1"/>
  <c r="BS176" i="42385" s="1"/>
  <c r="CE767" i="42385"/>
  <c r="CD237" i="42385"/>
  <c r="CD11" i="42385" s="1"/>
  <c r="CD771" i="42385"/>
  <c r="BO71" i="42418"/>
  <c r="BO72" i="42418" s="1"/>
  <c r="CD774" i="42385"/>
  <c r="BN1564" i="42385"/>
  <c r="BN1406" i="42385"/>
  <c r="BN1424" i="42385" s="1"/>
  <c r="BT869" i="42385"/>
  <c r="CZ869" i="42385" s="1"/>
  <c r="BT871" i="42385"/>
  <c r="CZ871" i="42385" s="1"/>
  <c r="BT870" i="42385"/>
  <c r="CZ870" i="42385" s="1"/>
  <c r="CZ868" i="42385"/>
  <c r="AQ376" i="42385"/>
  <c r="AR377" i="42385"/>
  <c r="CT373" i="42385"/>
  <c r="AP374" i="42385"/>
  <c r="CT374" i="42385" s="1"/>
  <c r="AP375" i="42385"/>
  <c r="CT375" i="42385" s="1"/>
  <c r="CD370" i="42385"/>
  <c r="CE369" i="42385"/>
  <c r="AN381" i="42385"/>
  <c r="AN266" i="42385"/>
  <c r="AN383" i="42385"/>
  <c r="AN382" i="42385"/>
  <c r="BH490" i="42385"/>
  <c r="BH270" i="42385"/>
  <c r="BH491" i="42385"/>
  <c r="CF674" i="42385"/>
  <c r="CF675" i="42385" s="1"/>
  <c r="BK373" i="42385"/>
  <c r="BF374" i="42385"/>
  <c r="BZ1500" i="42385"/>
  <c r="DB1511" i="42385"/>
  <c r="DB112" i="42385"/>
  <c r="BZ118" i="42385"/>
  <c r="DB118" i="42385" s="1"/>
  <c r="BT189" i="42385"/>
  <c r="CY189" i="42385"/>
  <c r="BP189" i="42385"/>
  <c r="BQ189" i="42385" s="1"/>
  <c r="BR189" i="42385" s="1"/>
  <c r="BS189" i="42385" s="1"/>
  <c r="BD417" i="42385"/>
  <c r="BD1530" i="42385"/>
  <c r="BE1530" i="42385" s="1"/>
  <c r="CW1530" i="42385" s="1"/>
  <c r="BF416" i="42385"/>
  <c r="BE416" i="42385"/>
  <c r="BM373" i="42385"/>
  <c r="BH374" i="42385"/>
  <c r="BX118" i="42385"/>
  <c r="BX1500" i="42385"/>
  <c r="BY1511" i="42385"/>
  <c r="CD696" i="42385"/>
  <c r="CD283" i="42385"/>
  <c r="CE233" i="42385"/>
  <c r="CE676" i="42385"/>
  <c r="CE693" i="42385"/>
  <c r="CE695" i="42385" s="1"/>
  <c r="T77" i="42470"/>
  <c r="BI223" i="42385"/>
  <c r="BI228" i="42385" s="1"/>
  <c r="BI487" i="42385"/>
  <c r="BI489" i="42385"/>
  <c r="CA1509" i="42385"/>
  <c r="DB1509" i="42385"/>
  <c r="BE303" i="42385"/>
  <c r="BE305" i="42385" s="1"/>
  <c r="BC305" i="42385"/>
  <c r="BW1237" i="42385"/>
  <c r="BV1238" i="42385"/>
  <c r="AW373" i="42385"/>
  <c r="AR374" i="42385"/>
  <c r="AU373" i="42385"/>
  <c r="CD230" i="42385"/>
  <c r="CE618" i="42385"/>
  <c r="BO50" i="42418"/>
  <c r="BJ483" i="42385"/>
  <c r="BI373" i="42385"/>
  <c r="BD374" i="42385"/>
  <c r="V77" i="42470"/>
  <c r="BI100" i="42418"/>
  <c r="BL100" i="42418"/>
  <c r="AO378" i="42385"/>
  <c r="AP376" i="42385"/>
  <c r="CW298" i="42385"/>
  <c r="CC219" i="42385"/>
  <c r="CC371" i="42385"/>
  <c r="BH228" i="42385"/>
  <c r="AX1001" i="42385"/>
  <c r="AW1139" i="42385"/>
  <c r="CF985" i="42385"/>
  <c r="CE986" i="42385"/>
  <c r="CE990" i="42385"/>
  <c r="CE992" i="42385" s="1"/>
  <c r="CD719" i="42385"/>
  <c r="CD718" i="42385"/>
  <c r="CD284" i="42385"/>
  <c r="AL414" i="42385"/>
  <c r="AL404" i="42385"/>
  <c r="CO1333" i="42385"/>
  <c r="V1332" i="42385"/>
  <c r="R1332" i="42385"/>
  <c r="R1333" i="42385" s="1"/>
  <c r="S1332" i="42385" s="1"/>
  <c r="S1333" i="42385" s="1"/>
  <c r="T1332" i="42385" s="1"/>
  <c r="T1333" i="42385" s="1"/>
  <c r="U1332" i="42385" s="1"/>
  <c r="U1333" i="42385" s="1"/>
  <c r="CX1583" i="42385"/>
  <c r="BJ1448" i="42385"/>
  <c r="CX1448" i="42385" s="1"/>
  <c r="BJ1446" i="42385"/>
  <c r="CX1446" i="42385" s="1"/>
  <c r="BJ1445" i="42385"/>
  <c r="CX1445" i="42385" s="1"/>
  <c r="BH1613" i="42385"/>
  <c r="BG1614" i="42385"/>
  <c r="BI777" i="42385"/>
  <c r="BJ777" i="42385" s="1"/>
  <c r="BH778" i="42385"/>
  <c r="BH1540" i="42385"/>
  <c r="DC1384" i="42385"/>
  <c r="CB1384" i="42385"/>
  <c r="CB1484" i="42385" s="1"/>
  <c r="BB1554" i="42385"/>
  <c r="BJ759" i="42385"/>
  <c r="CX759" i="42385" s="1"/>
  <c r="BK758" i="42385"/>
  <c r="CX758" i="42385"/>
  <c r="AM414" i="42385"/>
  <c r="AM404" i="42385"/>
  <c r="AK404" i="42385"/>
  <c r="AO404" i="42385"/>
  <c r="AJ405" i="42385"/>
  <c r="AJ406" i="42385"/>
  <c r="BU285" i="42385"/>
  <c r="BU737" i="42385"/>
  <c r="CX479" i="42385"/>
  <c r="BK479" i="42385"/>
  <c r="BJ1139" i="42385"/>
  <c r="CX1139" i="42385" s="1"/>
  <c r="BX285" i="42385"/>
  <c r="BX737" i="42385"/>
  <c r="AN407" i="42385"/>
  <c r="AN410" i="42385" s="1"/>
  <c r="AO408" i="42385"/>
  <c r="BP1613" i="42385"/>
  <c r="BO1614" i="42385"/>
  <c r="CY1614" i="42385" s="1"/>
  <c r="BT1613" i="42385"/>
  <c r="CY1613" i="42385"/>
  <c r="CD648" i="42385"/>
  <c r="CD281" i="42385"/>
  <c r="BC1614" i="42385"/>
  <c r="BD1613" i="42385"/>
  <c r="BD1614" i="42385" s="1"/>
  <c r="BZ740" i="42385"/>
  <c r="BZ235" i="42385"/>
  <c r="CA729" i="42385"/>
  <c r="CD997" i="42385"/>
  <c r="CD994" i="42385"/>
  <c r="CD993" i="42385"/>
  <c r="CD299" i="42385"/>
  <c r="CF710" i="42385"/>
  <c r="CE714" i="42385"/>
  <c r="CE234" i="42385"/>
  <c r="CE717" i="42385"/>
  <c r="BR64" i="42418"/>
  <c r="BR65" i="42418" s="1"/>
  <c r="BT808" i="42385"/>
  <c r="CZ808" i="42385" s="1"/>
  <c r="BT809" i="42385"/>
  <c r="CZ809" i="42385" s="1"/>
  <c r="BT807" i="42385"/>
  <c r="CZ807" i="42385" s="1"/>
  <c r="CZ806" i="42385"/>
  <c r="FQ453" i="42464"/>
  <c r="BW737" i="42385"/>
  <c r="BW285" i="42385"/>
  <c r="BH935" i="42385"/>
  <c r="BI934" i="42385"/>
  <c r="BH1533" i="42385"/>
  <c r="BC1539" i="42385"/>
  <c r="BE1539" i="42385" s="1"/>
  <c r="CW1539" i="42385" s="1"/>
  <c r="BC966" i="42385"/>
  <c r="BE965" i="42385"/>
  <c r="BI1538" i="42385"/>
  <c r="BJ1538" i="42385" s="1"/>
  <c r="CX1538" i="42385" s="1"/>
  <c r="BI759" i="42385"/>
  <c r="BZ804" i="42385"/>
  <c r="CA799" i="42385"/>
  <c r="BZ800" i="42385"/>
  <c r="DB800" i="42385" s="1"/>
  <c r="DB799" i="42385"/>
  <c r="BL1613" i="42385"/>
  <c r="BK1614" i="42385"/>
  <c r="BS1399" i="42385"/>
  <c r="BT1399" i="42385" s="1"/>
  <c r="C35" i="42407"/>
  <c r="AK414" i="42385"/>
  <c r="CS407" i="42385"/>
  <c r="CE231" i="42385"/>
  <c r="CF640" i="42385"/>
  <c r="CE650" i="42385"/>
  <c r="CE647" i="42385"/>
  <c r="BJ1595" i="42385"/>
  <c r="CX1595" i="42385" s="1"/>
  <c r="CX1594" i="42385"/>
  <c r="GG519" i="42464"/>
  <c r="GG539" i="42464"/>
  <c r="GG547" i="42464" s="1"/>
  <c r="BV285" i="42385"/>
  <c r="BV737" i="42385"/>
  <c r="CA1484" i="42385"/>
  <c r="DC1484" i="42385" s="1"/>
  <c r="AS404" i="42385"/>
  <c r="AN405" i="42385"/>
  <c r="BC1531" i="42385"/>
  <c r="BD810" i="42385"/>
  <c r="BE810" i="42385" s="1"/>
  <c r="BC811" i="42385"/>
  <c r="AZ1557" i="42385"/>
  <c r="CV1557" i="42385" s="1"/>
  <c r="CV1556" i="42385"/>
  <c r="AZ107" i="42385"/>
  <c r="AZ1558" i="42385"/>
  <c r="CV1558" i="42385" s="1"/>
  <c r="BY736" i="42385"/>
  <c r="BY737" i="42385" s="1"/>
  <c r="BZ732" i="42385"/>
  <c r="BY734" i="42385"/>
  <c r="BY733" i="42385"/>
  <c r="U364" i="42385"/>
  <c r="U365" i="42385" s="1"/>
  <c r="V363" i="42385"/>
  <c r="V879" i="42385"/>
  <c r="U880" i="42385"/>
  <c r="U881" i="42385" s="1"/>
  <c r="CD751" i="42385"/>
  <c r="CC752" i="42385"/>
  <c r="CC755" i="42385"/>
  <c r="U615" i="42385"/>
  <c r="V614" i="42385"/>
  <c r="V941" i="42385"/>
  <c r="U787" i="42385"/>
  <c r="U788" i="42385" s="1"/>
  <c r="V786" i="42385"/>
  <c r="U818" i="42385"/>
  <c r="U819" i="42385" s="1"/>
  <c r="V817" i="42385"/>
  <c r="U911" i="42385"/>
  <c r="U912" i="42385" s="1"/>
  <c r="V910" i="42385"/>
  <c r="BE1552" i="42385"/>
  <c r="CW1552" i="42385" s="1"/>
  <c r="U330" i="42385"/>
  <c r="U331" i="42385" s="1"/>
  <c r="V329" i="42385"/>
  <c r="CB286" i="42385"/>
  <c r="CB756" i="42385"/>
  <c r="CB757" i="42385"/>
  <c r="U849" i="42385"/>
  <c r="U850" i="42385" s="1"/>
  <c r="V848" i="42385"/>
  <c r="BM744" i="42385"/>
  <c r="W705" i="42385"/>
  <c r="W360" i="42385"/>
  <c r="W388" i="42385"/>
  <c r="W743" i="42385"/>
  <c r="W478" i="42385"/>
  <c r="W907" i="42385"/>
  <c r="W783" i="42385"/>
  <c r="W814" i="42385"/>
  <c r="W326" i="42385"/>
  <c r="W1000" i="42385"/>
  <c r="W762" i="42385"/>
  <c r="W611" i="42385"/>
  <c r="X320" i="42385"/>
  <c r="W876" i="42385"/>
  <c r="W879" i="42385" s="1"/>
  <c r="W880" i="42385" s="1"/>
  <c r="W881" i="42385" s="1"/>
  <c r="W938" i="42385"/>
  <c r="W941" i="42385" s="1"/>
  <c r="W942" i="42385" s="1"/>
  <c r="W943" i="42385" s="1"/>
  <c r="W845" i="42385"/>
  <c r="W848" i="42385" s="1"/>
  <c r="W1081" i="42385"/>
  <c r="W1084" i="42385" s="1"/>
  <c r="W1085" i="42385" s="1"/>
  <c r="W1086" i="42385" s="1"/>
  <c r="W1138" i="42385"/>
  <c r="W1141" i="42385" s="1"/>
  <c r="U1085" i="42385"/>
  <c r="U1086" i="42385" s="1"/>
  <c r="V1084" i="42385"/>
  <c r="V1003" i="42385"/>
  <c r="BG1121" i="42385"/>
  <c r="BF1124" i="42385"/>
  <c r="BF1552" i="42385" s="1"/>
  <c r="AS1437" i="42385"/>
  <c r="AR1439" i="42385"/>
  <c r="CD1481" i="42385"/>
  <c r="DC1377" i="42385"/>
  <c r="CB1377" i="42385"/>
  <c r="CA928" i="42385"/>
  <c r="DC923" i="42385"/>
  <c r="CB923" i="42385"/>
  <c r="CA924" i="42385"/>
  <c r="DC924" i="42385" s="1"/>
  <c r="CW1121" i="42385"/>
  <c r="BE1124" i="42385"/>
  <c r="CW1124" i="42385" s="1"/>
  <c r="BF182" i="42385"/>
  <c r="BG182" i="42385" s="1"/>
  <c r="BH182" i="42385" s="1"/>
  <c r="BI182" i="42385" s="1"/>
  <c r="BJ182" i="42385"/>
  <c r="CW182" i="42385"/>
  <c r="BZ173" i="42385"/>
  <c r="DA173" i="42385"/>
  <c r="AA77" i="42470"/>
  <c r="CE312" i="42385"/>
  <c r="CE23" i="42385" s="1"/>
  <c r="CE1116" i="42385"/>
  <c r="CE1481" i="42385"/>
  <c r="CF1381" i="42385"/>
  <c r="CF1481" i="42385" s="1"/>
  <c r="CF312" i="42385"/>
  <c r="CF23" i="42385" s="1"/>
  <c r="CF1116" i="42385"/>
  <c r="BU188" i="42385"/>
  <c r="BV188" i="42385" s="1"/>
  <c r="BW188" i="42385" s="1"/>
  <c r="BX188" i="42385" s="1"/>
  <c r="BY188" i="42385"/>
  <c r="CZ188" i="42385"/>
  <c r="BJ1582" i="42385"/>
  <c r="BI1585" i="42385"/>
  <c r="BI1584" i="42385"/>
  <c r="DB928" i="42385"/>
  <c r="BZ930" i="42385"/>
  <c r="BY933" i="42385"/>
  <c r="DA933" i="42385" s="1"/>
  <c r="BY931" i="42385"/>
  <c r="DA931" i="42385" s="1"/>
  <c r="DA930" i="42385"/>
  <c r="BY932" i="42385"/>
  <c r="DA932" i="42385" s="1"/>
  <c r="AQ1432" i="42385"/>
  <c r="AQ1431" i="42385"/>
  <c r="DB171" i="42385"/>
  <c r="CA171" i="42385"/>
  <c r="BI1106" i="42385"/>
  <c r="BI1107" i="42385" s="1"/>
  <c r="BI256" i="42385" s="1"/>
  <c r="BH1107" i="42385"/>
  <c r="BH256" i="42385" s="1"/>
  <c r="U78" i="42470"/>
  <c r="F22" i="42470"/>
  <c r="F23" i="42470" s="1"/>
  <c r="F27" i="42470"/>
  <c r="F28" i="42470" s="1"/>
  <c r="U81" i="42470" s="1"/>
  <c r="F14" i="42470"/>
  <c r="F16" i="42470" s="1"/>
  <c r="BE128" i="42385"/>
  <c r="CW128" i="42385" s="1"/>
  <c r="BE259" i="42385"/>
  <c r="CW259" i="42385" s="1"/>
  <c r="CW258" i="42385"/>
  <c r="U180" i="42385"/>
  <c r="BR745" i="42385"/>
  <c r="DB1119" i="42385"/>
  <c r="CA1119" i="42385"/>
  <c r="V64" i="42470"/>
  <c r="V68" i="42470" s="1"/>
  <c r="V79" i="42470" s="1"/>
  <c r="V110" i="42470"/>
  <c r="U88" i="42470"/>
  <c r="U90" i="42470"/>
  <c r="BG257" i="42385"/>
  <c r="BG260" i="42385" s="1"/>
  <c r="DW415" i="42492" s="1"/>
  <c r="DA170" i="42385"/>
  <c r="BZ170" i="42385"/>
  <c r="Z56" i="42470"/>
  <c r="G19" i="42470"/>
  <c r="G12" i="42470"/>
  <c r="BD1558" i="42385"/>
  <c r="BD128" i="42385"/>
  <c r="BD259" i="42385"/>
  <c r="T112" i="42470"/>
  <c r="AE90" i="42470"/>
  <c r="T93" i="42470"/>
  <c r="T95" i="42470" s="1"/>
  <c r="T97" i="42470" s="1"/>
  <c r="BW1147" i="42385"/>
  <c r="BK1118" i="42385"/>
  <c r="CX1118" i="42385"/>
  <c r="CB179" i="42385"/>
  <c r="CC179" i="42385" s="1"/>
  <c r="CD179" i="42385" s="1"/>
  <c r="CE179" i="42385" s="1"/>
  <c r="CF179" i="42385" s="1"/>
  <c r="DC179" i="42385"/>
  <c r="AA110" i="42470"/>
  <c r="AA64" i="42470"/>
  <c r="AA68" i="42470" s="1"/>
  <c r="AA82" i="42470" s="1"/>
  <c r="Y77" i="42470"/>
  <c r="BF260" i="42385"/>
  <c r="DV415" i="42492" s="1"/>
  <c r="BH707" i="42385"/>
  <c r="AD169" i="42385"/>
  <c r="EG448" i="42492"/>
  <c r="BI409" i="42385"/>
  <c r="G42" i="42470"/>
  <c r="G43" i="42470" s="1"/>
  <c r="Z98" i="42470" s="1"/>
  <c r="Z86" i="42470"/>
  <c r="G37" i="42470"/>
  <c r="G39" i="42470" s="1"/>
  <c r="T64" i="42470"/>
  <c r="T68" i="42470" s="1"/>
  <c r="T79" i="42470" s="1"/>
  <c r="T110" i="42470"/>
  <c r="AA93" i="42470"/>
  <c r="AA95" i="42470" s="1"/>
  <c r="AA97" i="42470" s="1"/>
  <c r="AA112" i="42470"/>
  <c r="AA115" i="42470" s="1"/>
  <c r="W849" i="42385"/>
  <c r="W850" i="42385" s="1"/>
  <c r="V112" i="42470"/>
  <c r="V115" i="42470" s="1"/>
  <c r="V93" i="42470"/>
  <c r="V95" i="42470" s="1"/>
  <c r="V97" i="42470" s="1"/>
  <c r="DA177" i="42385"/>
  <c r="BZ177" i="42385"/>
  <c r="U75" i="42470"/>
  <c r="U108" i="42470"/>
  <c r="U58" i="42470"/>
  <c r="U76" i="42470"/>
  <c r="DA178" i="42385"/>
  <c r="BZ178" i="42385"/>
  <c r="Y110" i="42470"/>
  <c r="Y64" i="42470"/>
  <c r="Y68" i="42470" s="1"/>
  <c r="BF1558" i="42385"/>
  <c r="Y93" i="42470"/>
  <c r="Y95" i="42470" s="1"/>
  <c r="Y97" i="42470" s="1"/>
  <c r="Y112" i="42470"/>
  <c r="Y115" i="42470" s="1"/>
  <c r="AE91" i="42470"/>
  <c r="F39" i="42470"/>
  <c r="DA297" i="42385" l="1"/>
  <c r="BX37" i="42418"/>
  <c r="BP1487" i="42385"/>
  <c r="BQ1456" i="42385"/>
  <c r="BW653" i="42385"/>
  <c r="BX654" i="42385"/>
  <c r="BU37" i="42418"/>
  <c r="P191" i="42385"/>
  <c r="O193" i="42385"/>
  <c r="CX631" i="42385"/>
  <c r="BJ632" i="42385"/>
  <c r="CX632" i="42385" s="1"/>
  <c r="BK631" i="42385"/>
  <c r="BA621" i="42385"/>
  <c r="AV622" i="42385"/>
  <c r="BH903" i="42385"/>
  <c r="BG1529" i="42385"/>
  <c r="BG904" i="42385"/>
  <c r="BH721" i="42385"/>
  <c r="BH1536" i="42385"/>
  <c r="BI720" i="42385"/>
  <c r="BK841" i="42385"/>
  <c r="BI842" i="42385"/>
  <c r="BI1532" i="42385"/>
  <c r="BJ1532" i="42385" s="1"/>
  <c r="CX1532" i="42385" s="1"/>
  <c r="BJ384" i="42385"/>
  <c r="BI1541" i="42385"/>
  <c r="BJ1541" i="42385" s="1"/>
  <c r="CX1541" i="42385" s="1"/>
  <c r="BI385" i="42385"/>
  <c r="AN624" i="42385"/>
  <c r="AN626" i="42385" s="1"/>
  <c r="AO625" i="42385"/>
  <c r="BJ841" i="42385"/>
  <c r="AM621" i="42385"/>
  <c r="AX622" i="42385"/>
  <c r="BC621" i="42385"/>
  <c r="BI632" i="42385"/>
  <c r="BI1543" i="42385"/>
  <c r="BJ1543" i="42385" s="1"/>
  <c r="CX1543" i="42385" s="1"/>
  <c r="AT622" i="42385"/>
  <c r="AY621" i="42385"/>
  <c r="BF128" i="42385"/>
  <c r="CE1373" i="42385"/>
  <c r="CD1375" i="42385"/>
  <c r="BT613" i="42385"/>
  <c r="CZ613" i="42385" s="1"/>
  <c r="BU613" i="42385"/>
  <c r="BV613" i="42385" s="1"/>
  <c r="BW613" i="42385" s="1"/>
  <c r="BX613" i="42385" s="1"/>
  <c r="BY613" i="42385" s="1"/>
  <c r="DA293" i="42385"/>
  <c r="B13" i="42408"/>
  <c r="P84" i="42408" s="1"/>
  <c r="FQ454" i="42464"/>
  <c r="FQ456" i="42464" s="1"/>
  <c r="FQ460" i="42464" s="1"/>
  <c r="FQ464" i="42464" s="1"/>
  <c r="FQ466" i="42464" s="1"/>
  <c r="FS471" i="42464" s="1"/>
  <c r="BT840" i="42385"/>
  <c r="CZ840" i="42385" s="1"/>
  <c r="BT838" i="42385"/>
  <c r="CZ838" i="42385" s="1"/>
  <c r="CZ837" i="42385"/>
  <c r="BT839" i="42385"/>
  <c r="CZ839" i="42385" s="1"/>
  <c r="R84" i="42408"/>
  <c r="CZ293" i="42385"/>
  <c r="CZ294" i="42385"/>
  <c r="R85" i="42408"/>
  <c r="BK474" i="42385"/>
  <c r="BK475" i="42385" s="1"/>
  <c r="BK1547" i="42385"/>
  <c r="BK473" i="42385"/>
  <c r="BL472" i="42385"/>
  <c r="DB835" i="42385"/>
  <c r="BZ837" i="42385"/>
  <c r="BX294" i="42385"/>
  <c r="BY294" i="42385" s="1"/>
  <c r="BY837" i="42385"/>
  <c r="BX838" i="42385"/>
  <c r="BX839" i="42385"/>
  <c r="BX840" i="42385"/>
  <c r="CC1485" i="42385"/>
  <c r="CD1385" i="42385"/>
  <c r="DA806" i="42385"/>
  <c r="BY808" i="42385"/>
  <c r="DA808" i="42385" s="1"/>
  <c r="BY807" i="42385"/>
  <c r="DA807" i="42385" s="1"/>
  <c r="DB1386" i="42385"/>
  <c r="CA1386" i="42385"/>
  <c r="CA1486" i="42385" s="1"/>
  <c r="DC1486" i="42385" s="1"/>
  <c r="BZ1563" i="42385"/>
  <c r="BZ183" i="42385"/>
  <c r="DA183" i="42385"/>
  <c r="BY1593" i="42385"/>
  <c r="DA1593" i="42385" s="1"/>
  <c r="DA1563" i="42385"/>
  <c r="BY809" i="42385"/>
  <c r="DA809" i="42385" s="1"/>
  <c r="DC830" i="42385"/>
  <c r="CA831" i="42385"/>
  <c r="DC831" i="42385" s="1"/>
  <c r="CA835" i="42385"/>
  <c r="CB830" i="42385"/>
  <c r="BC1554" i="42385"/>
  <c r="AT355" i="42385"/>
  <c r="AT265" i="42385"/>
  <c r="AU265" i="42385" s="1"/>
  <c r="AT353" i="42385"/>
  <c r="AT354" i="42385"/>
  <c r="AU352" i="42385"/>
  <c r="AV352" i="42385"/>
  <c r="AY348" i="42385"/>
  <c r="AX347" i="42385"/>
  <c r="AX350" i="42385" s="1"/>
  <c r="AX352" i="42385" s="1"/>
  <c r="BY344" i="42385"/>
  <c r="AW353" i="42385"/>
  <c r="AW265" i="42385"/>
  <c r="AW355" i="42385"/>
  <c r="AW354" i="42385"/>
  <c r="BH1528" i="42385"/>
  <c r="BI356" i="42385"/>
  <c r="BJ356" i="42385" s="1"/>
  <c r="BH357" i="42385"/>
  <c r="CE1483" i="42385"/>
  <c r="CD1483" i="42385"/>
  <c r="BN305" i="42385"/>
  <c r="AZ480" i="42385"/>
  <c r="AY1140" i="42385"/>
  <c r="DH292" i="42417"/>
  <c r="DH293" i="42417" s="1"/>
  <c r="BG174" i="42417"/>
  <c r="BG176" i="42417" s="1"/>
  <c r="BZ186" i="42385"/>
  <c r="DA186" i="42385"/>
  <c r="DA185" i="42385"/>
  <c r="BZ185" i="42385"/>
  <c r="CA175" i="42385"/>
  <c r="DB175" i="42385"/>
  <c r="BJ169" i="42417"/>
  <c r="CG218" i="42417"/>
  <c r="BT296" i="42385"/>
  <c r="CZ296" i="42385" s="1"/>
  <c r="CY296" i="42385"/>
  <c r="BO305" i="42385"/>
  <c r="BT902" i="42385"/>
  <c r="CZ902" i="42385" s="1"/>
  <c r="BT901" i="42385"/>
  <c r="CZ901" i="42385" s="1"/>
  <c r="CZ899" i="42385"/>
  <c r="BT900" i="42385"/>
  <c r="CZ900" i="42385" s="1"/>
  <c r="BX902" i="42385"/>
  <c r="BX296" i="42385"/>
  <c r="BX901" i="42385"/>
  <c r="BX900" i="42385"/>
  <c r="BZ181" i="42385"/>
  <c r="DA181" i="42385"/>
  <c r="DA892" i="42385"/>
  <c r="BZ892" i="42385"/>
  <c r="BY897" i="42385"/>
  <c r="DA897" i="42385" s="1"/>
  <c r="BY894" i="42385"/>
  <c r="DA894" i="42385" s="1"/>
  <c r="BY893" i="42385"/>
  <c r="DA893" i="42385" s="1"/>
  <c r="CA174" i="42385"/>
  <c r="DB174" i="42385"/>
  <c r="CD223" i="42417"/>
  <c r="BH305" i="42385"/>
  <c r="BJ303" i="42385"/>
  <c r="BJ305" i="42385" s="1"/>
  <c r="BW900" i="42385"/>
  <c r="BW902" i="42385"/>
  <c r="BW296" i="42385"/>
  <c r="BW901" i="42385"/>
  <c r="BY899" i="42385"/>
  <c r="BU869" i="42385"/>
  <c r="BU871" i="42385"/>
  <c r="BU295" i="42385"/>
  <c r="BY295" i="42385" s="1"/>
  <c r="BU870" i="42385"/>
  <c r="BY868" i="42385"/>
  <c r="CA172" i="42385"/>
  <c r="DB172" i="42385"/>
  <c r="BZ866" i="42385"/>
  <c r="BZ862" i="42385"/>
  <c r="DB862" i="42385" s="1"/>
  <c r="DB861" i="42385"/>
  <c r="CA861" i="42385"/>
  <c r="AN41" i="42464"/>
  <c r="AO33" i="42464"/>
  <c r="AP33" i="42464" s="1"/>
  <c r="AQ33" i="42464" s="1"/>
  <c r="AR33" i="42464" s="1"/>
  <c r="AS33" i="42464" s="1"/>
  <c r="CY1626" i="42385"/>
  <c r="BP1626" i="42385"/>
  <c r="BO1628" i="42385"/>
  <c r="CY1628" i="42385" s="1"/>
  <c r="BC1523" i="42385"/>
  <c r="BB1525" i="42385"/>
  <c r="BB1499" i="42385" s="1"/>
  <c r="CD1482" i="42385"/>
  <c r="BA1499" i="42385"/>
  <c r="BX995" i="42385"/>
  <c r="BW996" i="42385"/>
  <c r="BW1549" i="42385"/>
  <c r="BW997" i="42385"/>
  <c r="DC443" i="42385"/>
  <c r="CA1546" i="42385"/>
  <c r="DC1546" i="42385" s="1"/>
  <c r="CB443" i="42385"/>
  <c r="BG1535" i="42385"/>
  <c r="BH872" i="42385"/>
  <c r="BG873" i="42385"/>
  <c r="CE1482" i="42385"/>
  <c r="CF1382" i="42385"/>
  <c r="CF1482" i="42385" s="1"/>
  <c r="BU78" i="42418"/>
  <c r="BX79" i="42418" s="1"/>
  <c r="CF236" i="42385"/>
  <c r="BJ228" i="42385"/>
  <c r="CX228" i="42385" s="1"/>
  <c r="CZ176" i="42385"/>
  <c r="BU176" i="42385"/>
  <c r="BV176" i="42385" s="1"/>
  <c r="BW176" i="42385" s="1"/>
  <c r="BX176" i="42385" s="1"/>
  <c r="BY176" i="42385"/>
  <c r="BZ612" i="42385"/>
  <c r="DA612" i="42385"/>
  <c r="BJ223" i="42385"/>
  <c r="CX223" i="42385" s="1"/>
  <c r="CD287" i="42385"/>
  <c r="CD775" i="42385"/>
  <c r="CD776" i="42385"/>
  <c r="CF767" i="42385"/>
  <c r="CE774" i="42385"/>
  <c r="CE237" i="42385"/>
  <c r="CE11" i="42385" s="1"/>
  <c r="CE771" i="42385"/>
  <c r="BR71" i="42418"/>
  <c r="BR72" i="42418" s="1"/>
  <c r="BO1406" i="42385"/>
  <c r="CY1402" i="42385"/>
  <c r="BO1564" i="42385"/>
  <c r="Y83" i="42492"/>
  <c r="DB190" i="42385"/>
  <c r="CA190" i="42385"/>
  <c r="BN1660" i="42385"/>
  <c r="Z34" i="42476"/>
  <c r="BN1583" i="42385"/>
  <c r="BM1446" i="42385"/>
  <c r="BM1448" i="42385"/>
  <c r="BM1479" i="42385" s="1"/>
  <c r="BM1445" i="42385"/>
  <c r="CE1478" i="42385"/>
  <c r="BQ1400" i="42385"/>
  <c r="BP1402" i="42385"/>
  <c r="AO380" i="42385"/>
  <c r="AP378" i="42385"/>
  <c r="CT378" i="42385" s="1"/>
  <c r="BO51" i="42418"/>
  <c r="BW1238" i="42385"/>
  <c r="BX1237" i="42385"/>
  <c r="BY1237" i="42385" s="1"/>
  <c r="CA1511" i="42385"/>
  <c r="CB1509" i="42385"/>
  <c r="CC1509" i="42385" s="1"/>
  <c r="DC1509" i="42385"/>
  <c r="BR373" i="42385"/>
  <c r="BM374" i="42385"/>
  <c r="CF233" i="42385"/>
  <c r="CF693" i="42385"/>
  <c r="CF695" i="42385" s="1"/>
  <c r="CF676" i="42385"/>
  <c r="CE370" i="42385"/>
  <c r="CF369" i="42385"/>
  <c r="CF370" i="42385" s="1"/>
  <c r="CE230" i="42385"/>
  <c r="CF618" i="42385"/>
  <c r="BR50" i="42418"/>
  <c r="BR51" i="42418" s="1"/>
  <c r="AW374" i="42385"/>
  <c r="BB373" i="42385"/>
  <c r="AZ373" i="42385"/>
  <c r="BX1575" i="42385"/>
  <c r="BY1500" i="42385"/>
  <c r="CW416" i="42385"/>
  <c r="BE417" i="42385"/>
  <c r="CW417" i="42385" s="1"/>
  <c r="GM526" i="42417"/>
  <c r="CD371" i="42385"/>
  <c r="BO99" i="42418"/>
  <c r="CD219" i="42385"/>
  <c r="AS377" i="42385"/>
  <c r="AR376" i="42385"/>
  <c r="AR378" i="42385" s="1"/>
  <c r="AR380" i="42385" s="1"/>
  <c r="BJ256" i="42385"/>
  <c r="CX256" i="42385" s="1"/>
  <c r="AX1139" i="42385"/>
  <c r="AY1001" i="42385"/>
  <c r="BI374" i="42385"/>
  <c r="BN373" i="42385"/>
  <c r="BI491" i="42385"/>
  <c r="BI490" i="42385"/>
  <c r="BI270" i="42385"/>
  <c r="BJ270" i="42385" s="1"/>
  <c r="CX270" i="42385" s="1"/>
  <c r="CE696" i="42385"/>
  <c r="CE283" i="42385"/>
  <c r="BG416" i="42385"/>
  <c r="BF417" i="42385"/>
  <c r="BF1530" i="42385"/>
  <c r="AQ378" i="42385"/>
  <c r="AP377" i="42385"/>
  <c r="CT377" i="42385" s="1"/>
  <c r="CT376" i="42385"/>
  <c r="BJ484" i="42385"/>
  <c r="CX483" i="42385"/>
  <c r="BJ487" i="42385"/>
  <c r="CX487" i="42385" s="1"/>
  <c r="AU375" i="42385"/>
  <c r="CU375" i="42385" s="1"/>
  <c r="CU373" i="42385"/>
  <c r="AU374" i="42385"/>
  <c r="CU374" i="42385" s="1"/>
  <c r="BY118" i="42385"/>
  <c r="DA118" i="42385" s="1"/>
  <c r="DA112" i="42385"/>
  <c r="DA1511" i="42385"/>
  <c r="CZ189" i="42385"/>
  <c r="BU189" i="42385"/>
  <c r="BV189" i="42385" s="1"/>
  <c r="BW189" i="42385" s="1"/>
  <c r="BX189" i="42385" s="1"/>
  <c r="BY189" i="42385"/>
  <c r="BZ1575" i="42385"/>
  <c r="DB1575" i="42385" s="1"/>
  <c r="DB1500" i="42385"/>
  <c r="BK374" i="42385"/>
  <c r="BP373" i="42385"/>
  <c r="BJ489" i="42385"/>
  <c r="CW810" i="42385"/>
  <c r="BE811" i="42385"/>
  <c r="CW811" i="42385" s="1"/>
  <c r="BZ733" i="42385"/>
  <c r="CA732" i="42385"/>
  <c r="CA733" i="42385" s="1"/>
  <c r="CF231" i="42385"/>
  <c r="CF650" i="42385"/>
  <c r="CF647" i="42385"/>
  <c r="C36" i="42407"/>
  <c r="CA804" i="42385"/>
  <c r="CB799" i="42385"/>
  <c r="CA800" i="42385"/>
  <c r="DC800" i="42385" s="1"/>
  <c r="DC799" i="42385"/>
  <c r="BE966" i="42385"/>
  <c r="CW966" i="42385" s="1"/>
  <c r="CW965" i="42385"/>
  <c r="BI1533" i="42385"/>
  <c r="BJ1533" i="42385" s="1"/>
  <c r="CX1533" i="42385" s="1"/>
  <c r="BI935" i="42385"/>
  <c r="BZ736" i="42385"/>
  <c r="CZ1613" i="42385"/>
  <c r="BT1614" i="42385"/>
  <c r="CZ1614" i="42385" s="1"/>
  <c r="BU1613" i="42385"/>
  <c r="BY1613" i="42385"/>
  <c r="AN412" i="42385"/>
  <c r="AK405" i="42385"/>
  <c r="CS405" i="42385" s="1"/>
  <c r="C32" i="42407"/>
  <c r="C37" i="42407" s="1"/>
  <c r="C38" i="42407" s="1"/>
  <c r="CS404" i="42385"/>
  <c r="AK406" i="42385"/>
  <c r="CS406" i="42385" s="1"/>
  <c r="BK1538" i="42385"/>
  <c r="BK759" i="42385"/>
  <c r="BL758" i="42385"/>
  <c r="BH1614" i="42385"/>
  <c r="BI1613" i="42385"/>
  <c r="BI1614" i="42385" s="1"/>
  <c r="CF986" i="42385"/>
  <c r="CF990" i="42385"/>
  <c r="CF992" i="42385" s="1"/>
  <c r="BS1497" i="42385"/>
  <c r="BT1497" i="42385" s="1"/>
  <c r="CZ1497" i="42385" s="1"/>
  <c r="BM1613" i="42385"/>
  <c r="BL1614" i="42385"/>
  <c r="BZ806" i="42385"/>
  <c r="DB804" i="42385"/>
  <c r="BJ934" i="42385"/>
  <c r="CA235" i="42385"/>
  <c r="CA740" i="42385"/>
  <c r="BL479" i="42385"/>
  <c r="BK1139" i="42385"/>
  <c r="BY285" i="42385"/>
  <c r="B18" i="42408" s="1"/>
  <c r="G18" i="42408" s="1"/>
  <c r="AM405" i="42385"/>
  <c r="AM406" i="42385"/>
  <c r="AR404" i="42385"/>
  <c r="CC1384" i="42385"/>
  <c r="CC1484" i="42385" s="1"/>
  <c r="AL406" i="42385"/>
  <c r="AL405" i="42385"/>
  <c r="AP404" i="42385"/>
  <c r="AQ404" i="42385"/>
  <c r="CV107" i="42385"/>
  <c r="AZ114" i="42385"/>
  <c r="CY248" i="42417"/>
  <c r="CY252" i="42417" s="1"/>
  <c r="AX404" i="42385"/>
  <c r="AS405" i="42385"/>
  <c r="CE648" i="42385"/>
  <c r="CE281" i="42385"/>
  <c r="CF714" i="42385"/>
  <c r="CF234" i="42385"/>
  <c r="BU64" i="42418"/>
  <c r="CF717" i="42385"/>
  <c r="BP1614" i="42385"/>
  <c r="BQ1613" i="42385"/>
  <c r="BI778" i="42385"/>
  <c r="BI1540" i="42385"/>
  <c r="BJ1540" i="42385" s="1"/>
  <c r="CX1540" i="42385" s="1"/>
  <c r="CP1332" i="42385"/>
  <c r="V1333" i="42385"/>
  <c r="CE993" i="42385"/>
  <c r="CE997" i="42385"/>
  <c r="CE994" i="42385"/>
  <c r="CE299" i="42385"/>
  <c r="BD811" i="42385"/>
  <c r="BD1531" i="42385"/>
  <c r="BF810" i="42385"/>
  <c r="AZ147" i="42417"/>
  <c r="AZ150" i="42417" s="1"/>
  <c r="CS414" i="42385"/>
  <c r="CZ1399" i="42385"/>
  <c r="BU1399" i="42385"/>
  <c r="CE719" i="42385"/>
  <c r="CE284" i="42385"/>
  <c r="CE718" i="42385"/>
  <c r="AO407" i="42385"/>
  <c r="AO410" i="42385" s="1"/>
  <c r="AO412" i="42385" s="1"/>
  <c r="AP408" i="42385"/>
  <c r="AT404" i="42385"/>
  <c r="AO405" i="42385"/>
  <c r="BK777" i="42385"/>
  <c r="CX777" i="42385"/>
  <c r="BJ778" i="42385"/>
  <c r="CX778" i="42385" s="1"/>
  <c r="W1003" i="42385"/>
  <c r="W1004" i="42385" s="1"/>
  <c r="W1005" i="42385" s="1"/>
  <c r="W910" i="42385"/>
  <c r="W911" i="42385" s="1"/>
  <c r="W912" i="42385" s="1"/>
  <c r="W363" i="42385"/>
  <c r="W364" i="42385" s="1"/>
  <c r="W365" i="42385" s="1"/>
  <c r="BN744" i="42385"/>
  <c r="CP848" i="42385"/>
  <c r="V849" i="42385"/>
  <c r="CP910" i="42385"/>
  <c r="V911" i="42385"/>
  <c r="CP817" i="42385"/>
  <c r="V818" i="42385"/>
  <c r="CC757" i="42385"/>
  <c r="CC756" i="42385"/>
  <c r="CC286" i="42385"/>
  <c r="CP879" i="42385"/>
  <c r="V880" i="42385"/>
  <c r="X360" i="42385"/>
  <c r="X363" i="42385" s="1"/>
  <c r="X364" i="42385" s="1"/>
  <c r="X365" i="42385" s="1"/>
  <c r="X783" i="42385"/>
  <c r="X786" i="42385" s="1"/>
  <c r="X787" i="42385" s="1"/>
  <c r="X788" i="42385" s="1"/>
  <c r="X876" i="42385"/>
  <c r="X879" i="42385" s="1"/>
  <c r="X880" i="42385" s="1"/>
  <c r="X881" i="42385" s="1"/>
  <c r="X1081" i="42385"/>
  <c r="X1084" i="42385" s="1"/>
  <c r="X1085" i="42385" s="1"/>
  <c r="X1086" i="42385" s="1"/>
  <c r="X478" i="42385"/>
  <c r="X481" i="42385" s="1"/>
  <c r="X611" i="42385"/>
  <c r="X1138" i="42385"/>
  <c r="X1141" i="42385" s="1"/>
  <c r="X907" i="42385"/>
  <c r="X910" i="42385" s="1"/>
  <c r="X911" i="42385" s="1"/>
  <c r="X912" i="42385" s="1"/>
  <c r="X1000" i="42385"/>
  <c r="X1003" i="42385" s="1"/>
  <c r="X1004" i="42385" s="1"/>
  <c r="X1005" i="42385" s="1"/>
  <c r="X705" i="42385"/>
  <c r="X708" i="42385" s="1"/>
  <c r="X845" i="42385"/>
  <c r="X848" i="42385" s="1"/>
  <c r="X849" i="42385" s="1"/>
  <c r="X850" i="42385" s="1"/>
  <c r="X762" i="42385"/>
  <c r="X938" i="42385"/>
  <c r="X941" i="42385" s="1"/>
  <c r="X942" i="42385" s="1"/>
  <c r="X943" i="42385" s="1"/>
  <c r="Y320" i="42385"/>
  <c r="X814" i="42385"/>
  <c r="X817" i="42385" s="1"/>
  <c r="X818" i="42385" s="1"/>
  <c r="X819" i="42385" s="1"/>
  <c r="X743" i="42385"/>
  <c r="X746" i="42385" s="1"/>
  <c r="X326" i="42385"/>
  <c r="X329" i="42385" s="1"/>
  <c r="X330" i="42385" s="1"/>
  <c r="X331" i="42385" s="1"/>
  <c r="X388" i="42385"/>
  <c r="X391" i="42385" s="1"/>
  <c r="W329" i="42385"/>
  <c r="W330" i="42385" s="1"/>
  <c r="W331" i="42385" s="1"/>
  <c r="W481" i="42385"/>
  <c r="W708" i="42385"/>
  <c r="CP941" i="42385"/>
  <c r="V942" i="42385"/>
  <c r="V364" i="42385"/>
  <c r="CP363" i="42385"/>
  <c r="V1085" i="42385"/>
  <c r="CP1084" i="42385"/>
  <c r="W614" i="42385"/>
  <c r="W615" i="42385" s="1"/>
  <c r="W817" i="42385"/>
  <c r="W818" i="42385" s="1"/>
  <c r="W819" i="42385" s="1"/>
  <c r="W746" i="42385"/>
  <c r="CP329" i="42385"/>
  <c r="V330" i="42385"/>
  <c r="CP614" i="42385"/>
  <c r="V615" i="42385"/>
  <c r="CP615" i="42385" s="1"/>
  <c r="CE751" i="42385"/>
  <c r="CD755" i="42385"/>
  <c r="CD752" i="42385"/>
  <c r="BG261" i="42385"/>
  <c r="CU327" i="42492" s="1"/>
  <c r="BJ1106" i="42385"/>
  <c r="CX1106" i="42385" s="1"/>
  <c r="AQ1434" i="42385"/>
  <c r="CP1003" i="42385"/>
  <c r="V1004" i="42385"/>
  <c r="W765" i="42385"/>
  <c r="W786" i="42385"/>
  <c r="W787" i="42385" s="1"/>
  <c r="W788" i="42385" s="1"/>
  <c r="W391" i="42385"/>
  <c r="W392" i="42385" s="1"/>
  <c r="V787" i="42385"/>
  <c r="CP786" i="42385"/>
  <c r="BJ1585" i="42385"/>
  <c r="CX1585" i="42385" s="1"/>
  <c r="BI1586" i="42385"/>
  <c r="CB924" i="42385"/>
  <c r="CB928" i="42385"/>
  <c r="CB930" i="42385" s="1"/>
  <c r="CC923" i="42385"/>
  <c r="U77" i="42470"/>
  <c r="AE93" i="42470"/>
  <c r="CX1582" i="42385"/>
  <c r="BK1582" i="42385"/>
  <c r="BJ1584" i="42385"/>
  <c r="CX1584" i="42385" s="1"/>
  <c r="DA188" i="42385"/>
  <c r="BZ188" i="42385"/>
  <c r="DB173" i="42385"/>
  <c r="CA173" i="42385"/>
  <c r="BO182" i="42385"/>
  <c r="BK182" i="42385"/>
  <c r="BL182" i="42385" s="1"/>
  <c r="BM182" i="42385" s="1"/>
  <c r="BN182" i="42385" s="1"/>
  <c r="CX182" i="42385"/>
  <c r="CA930" i="42385"/>
  <c r="DC928" i="42385"/>
  <c r="AR1432" i="42385"/>
  <c r="AR1431" i="42385"/>
  <c r="BH1121" i="42385"/>
  <c r="BG1124" i="42385"/>
  <c r="BG1552" i="42385" s="1"/>
  <c r="BZ932" i="42385"/>
  <c r="DB932" i="42385" s="1"/>
  <c r="BZ297" i="42385"/>
  <c r="BZ931" i="42385"/>
  <c r="DB931" i="42385" s="1"/>
  <c r="DB930" i="42385"/>
  <c r="BZ933" i="42385"/>
  <c r="DB933" i="42385" s="1"/>
  <c r="CC1377" i="42385"/>
  <c r="AT1437" i="42385"/>
  <c r="AS1439" i="42385"/>
  <c r="AS1431" i="42385" s="1"/>
  <c r="V118" i="42470"/>
  <c r="V122" i="42470" s="1"/>
  <c r="V99" i="42470"/>
  <c r="Y118" i="42470"/>
  <c r="Y122" i="42470" s="1"/>
  <c r="Y99" i="42470"/>
  <c r="AA118" i="42470"/>
  <c r="AA122" i="42470" s="1"/>
  <c r="AA99" i="42470"/>
  <c r="T118" i="42470"/>
  <c r="T122" i="42470" s="1"/>
  <c r="T99" i="42470"/>
  <c r="T80" i="42470"/>
  <c r="T71" i="42470"/>
  <c r="T101" i="42470" s="1"/>
  <c r="EF448" i="42492"/>
  <c r="EF459" i="42492" s="1"/>
  <c r="BL1118" i="42385"/>
  <c r="Z78" i="42470"/>
  <c r="G27" i="42470"/>
  <c r="G28" i="42470" s="1"/>
  <c r="Z81" i="42470" s="1"/>
  <c r="G22" i="42470"/>
  <c r="G24" i="42470" s="1"/>
  <c r="Z73" i="42470" s="1"/>
  <c r="G14" i="42470"/>
  <c r="G16" i="42470" s="1"/>
  <c r="T82" i="42470"/>
  <c r="R91" i="42470"/>
  <c r="R97" i="42470" s="1"/>
  <c r="U112" i="42470"/>
  <c r="U115" i="42470" s="1"/>
  <c r="U93" i="42470"/>
  <c r="U95" i="42470" s="1"/>
  <c r="BS745" i="42385"/>
  <c r="P23" i="42470"/>
  <c r="P24" i="42470" s="1"/>
  <c r="Y73" i="42470" s="1"/>
  <c r="Y74" i="42470" s="1"/>
  <c r="Q23" i="42470"/>
  <c r="Q24" i="42470" s="1"/>
  <c r="AA73" i="42470" s="1"/>
  <c r="AA74" i="42470" s="1"/>
  <c r="N23" i="42470"/>
  <c r="N24" i="42470" s="1"/>
  <c r="T73" i="42470" s="1"/>
  <c r="T74" i="42470" s="1"/>
  <c r="O23" i="42470"/>
  <c r="O24" i="42470" s="1"/>
  <c r="V73" i="42470" s="1"/>
  <c r="V74" i="42470" s="1"/>
  <c r="BK1106" i="42385"/>
  <c r="Y71" i="42470"/>
  <c r="Y101" i="42470" s="1"/>
  <c r="Y80" i="42470"/>
  <c r="DB177" i="42385"/>
  <c r="CA177" i="42385"/>
  <c r="AA71" i="42470"/>
  <c r="AA101" i="42470" s="1"/>
  <c r="AA80" i="42470"/>
  <c r="V116" i="42470"/>
  <c r="V109" i="42470"/>
  <c r="Y79" i="42470"/>
  <c r="V180" i="42385"/>
  <c r="BH257" i="42385"/>
  <c r="BH258" i="42385" s="1"/>
  <c r="Y82" i="42470"/>
  <c r="Y116" i="42470"/>
  <c r="Y109" i="42470"/>
  <c r="CA178" i="42385"/>
  <c r="DB178" i="42385"/>
  <c r="U64" i="42470"/>
  <c r="U110" i="42470"/>
  <c r="BJ409" i="42385"/>
  <c r="AE169" i="42385"/>
  <c r="BI707" i="42385"/>
  <c r="AA116" i="42470"/>
  <c r="AA109" i="42470"/>
  <c r="Z58" i="42470"/>
  <c r="Z76" i="42470"/>
  <c r="Z126" i="42470"/>
  <c r="Z75" i="42470"/>
  <c r="Z108" i="42470"/>
  <c r="BG258" i="42385"/>
  <c r="V71" i="42470"/>
  <c r="V101" i="42470" s="1"/>
  <c r="V80" i="42470"/>
  <c r="BI257" i="42385"/>
  <c r="BI260" i="42385" s="1"/>
  <c r="DY415" i="42492" s="1"/>
  <c r="T109" i="42470"/>
  <c r="Z88" i="42470"/>
  <c r="Z90" i="42470"/>
  <c r="BX1147" i="42385"/>
  <c r="AD156" i="42470"/>
  <c r="T115" i="42470"/>
  <c r="T116" i="42470" s="1"/>
  <c r="CA170" i="42385"/>
  <c r="DB170" i="42385"/>
  <c r="AA79" i="42470"/>
  <c r="DC1119" i="42385"/>
  <c r="CB1119" i="42385"/>
  <c r="CC1119" i="42385" s="1"/>
  <c r="CD1119" i="42385" s="1"/>
  <c r="CE1119" i="42385" s="1"/>
  <c r="CF1119" i="42385" s="1"/>
  <c r="V82" i="42470"/>
  <c r="CB171" i="42385"/>
  <c r="CC171" i="42385" s="1"/>
  <c r="CD171" i="42385" s="1"/>
  <c r="CE171" i="42385" s="1"/>
  <c r="CF171" i="42385" s="1"/>
  <c r="DC171" i="42385"/>
  <c r="G13" i="42408" l="1"/>
  <c r="BX653" i="42385"/>
  <c r="BX656" i="42385" s="1"/>
  <c r="BX657" i="42385" s="1"/>
  <c r="BX658" i="42385" s="1"/>
  <c r="BY654" i="42385"/>
  <c r="BW656" i="42385"/>
  <c r="BW657" i="42385" s="1"/>
  <c r="BW658" i="42385" s="1"/>
  <c r="Q191" i="42385"/>
  <c r="P193" i="42385"/>
  <c r="BQ1487" i="42385"/>
  <c r="BR1456" i="42385"/>
  <c r="BD621" i="42385"/>
  <c r="AY622" i="42385"/>
  <c r="BC622" i="42385"/>
  <c r="BH621" i="42385"/>
  <c r="CX841" i="42385"/>
  <c r="BJ842" i="42385"/>
  <c r="CX842" i="42385" s="1"/>
  <c r="BK842" i="42385"/>
  <c r="BK1532" i="42385"/>
  <c r="BL841" i="42385"/>
  <c r="BF621" i="42385"/>
  <c r="BA622" i="42385"/>
  <c r="AP625" i="42385"/>
  <c r="CT625" i="42385" s="1"/>
  <c r="AQ625" i="42385"/>
  <c r="AO624" i="42385"/>
  <c r="BJ385" i="42385"/>
  <c r="CX385" i="42385" s="1"/>
  <c r="BK384" i="42385"/>
  <c r="CX384" i="42385"/>
  <c r="BJ720" i="42385"/>
  <c r="BI721" i="42385"/>
  <c r="BI1536" i="42385"/>
  <c r="BJ1536" i="42385" s="1"/>
  <c r="CX1536" i="42385" s="1"/>
  <c r="AN628" i="42385"/>
  <c r="BH904" i="42385"/>
  <c r="BI903" i="42385"/>
  <c r="BH1529" i="42385"/>
  <c r="BL631" i="42385"/>
  <c r="BK632" i="42385"/>
  <c r="BK1543" i="42385"/>
  <c r="AM623" i="42385"/>
  <c r="AP621" i="42385"/>
  <c r="AM622" i="42385"/>
  <c r="AR621" i="42385"/>
  <c r="CF1373" i="42385"/>
  <c r="CF1375" i="42385" s="1"/>
  <c r="CE1375" i="42385"/>
  <c r="DA613" i="42385"/>
  <c r="BZ613" i="42385"/>
  <c r="CA837" i="42385"/>
  <c r="DC835" i="42385"/>
  <c r="CD1485" i="42385"/>
  <c r="CE1385" i="42385"/>
  <c r="CF1385" i="42385" s="1"/>
  <c r="CF1485" i="42385" s="1"/>
  <c r="BY838" i="42385"/>
  <c r="DA838" i="42385" s="1"/>
  <c r="BY839" i="42385"/>
  <c r="DA839" i="42385" s="1"/>
  <c r="BY840" i="42385"/>
  <c r="DA840" i="42385" s="1"/>
  <c r="DA837" i="42385"/>
  <c r="BL473" i="42385"/>
  <c r="BL1547" i="42385"/>
  <c r="BM472" i="42385"/>
  <c r="BL474" i="42385"/>
  <c r="BL475" i="42385" s="1"/>
  <c r="CB1386" i="42385"/>
  <c r="DC1386" i="42385"/>
  <c r="CA1563" i="42385"/>
  <c r="DA294" i="42385"/>
  <c r="B14" i="42408"/>
  <c r="BZ1593" i="42385"/>
  <c r="DB1593" i="42385" s="1"/>
  <c r="DB1563" i="42385"/>
  <c r="S84" i="42408"/>
  <c r="U84" i="42408" s="1"/>
  <c r="CB835" i="42385"/>
  <c r="CB837" i="42385" s="1"/>
  <c r="CC830" i="42385"/>
  <c r="CB831" i="42385"/>
  <c r="CA183" i="42385"/>
  <c r="DB183" i="42385"/>
  <c r="DB837" i="42385"/>
  <c r="BZ840" i="42385"/>
  <c r="DB840" i="42385" s="1"/>
  <c r="BZ839" i="42385"/>
  <c r="DB839" i="42385" s="1"/>
  <c r="BZ294" i="42385"/>
  <c r="BZ838" i="42385"/>
  <c r="DB838" i="42385" s="1"/>
  <c r="CX356" i="42385"/>
  <c r="BJ357" i="42385"/>
  <c r="CX357" i="42385" s="1"/>
  <c r="BK356" i="42385"/>
  <c r="AX354" i="42385"/>
  <c r="AX353" i="42385"/>
  <c r="AX355" i="42385"/>
  <c r="AX265" i="42385"/>
  <c r="AY347" i="42385"/>
  <c r="AZ348" i="42385"/>
  <c r="CV348" i="42385" s="1"/>
  <c r="BA348" i="42385"/>
  <c r="BI357" i="42385"/>
  <c r="BI1528" i="42385"/>
  <c r="BJ1528" i="42385" s="1"/>
  <c r="CX1528" i="42385" s="1"/>
  <c r="AV355" i="42385"/>
  <c r="AV353" i="42385"/>
  <c r="AV265" i="42385"/>
  <c r="AV354" i="42385"/>
  <c r="F6" i="42464"/>
  <c r="GP514" i="42417"/>
  <c r="CU265" i="42385"/>
  <c r="BY345" i="42385"/>
  <c r="DA345" i="42385" s="1"/>
  <c r="BZ344" i="42385"/>
  <c r="DA344" i="42385"/>
  <c r="BY346" i="42385"/>
  <c r="DA346" i="42385" s="1"/>
  <c r="AU355" i="42385"/>
  <c r="CU355" i="42385" s="1"/>
  <c r="AU354" i="42385"/>
  <c r="CU354" i="42385" s="1"/>
  <c r="AU353" i="42385"/>
  <c r="CU353" i="42385" s="1"/>
  <c r="CU352" i="42385"/>
  <c r="DB181" i="42385"/>
  <c r="CA181" i="42385"/>
  <c r="DC175" i="42385"/>
  <c r="CB175" i="42385"/>
  <c r="CC175" i="42385" s="1"/>
  <c r="CD175" i="42385" s="1"/>
  <c r="CE175" i="42385" s="1"/>
  <c r="CF175" i="42385" s="1"/>
  <c r="CA186" i="42385"/>
  <c r="DB186" i="42385"/>
  <c r="BA480" i="42385"/>
  <c r="CV480" i="42385"/>
  <c r="AZ1140" i="42385"/>
  <c r="CV1140" i="42385" s="1"/>
  <c r="DC174" i="42385"/>
  <c r="CB174" i="42385"/>
  <c r="CC174" i="42385" s="1"/>
  <c r="CD174" i="42385" s="1"/>
  <c r="CE174" i="42385" s="1"/>
  <c r="CF174" i="42385" s="1"/>
  <c r="CA892" i="42385"/>
  <c r="BZ893" i="42385"/>
  <c r="DB893" i="42385" s="1"/>
  <c r="BZ897" i="42385"/>
  <c r="DB892" i="42385"/>
  <c r="CG220" i="42417"/>
  <c r="CG223" i="42417"/>
  <c r="CA185" i="42385"/>
  <c r="DB185" i="42385"/>
  <c r="BP191" i="42417"/>
  <c r="BJ172" i="42417"/>
  <c r="BJ174" i="42417" s="1"/>
  <c r="BY901" i="42385"/>
  <c r="DA901" i="42385" s="1"/>
  <c r="DA899" i="42385"/>
  <c r="BY900" i="42385"/>
  <c r="DA900" i="42385" s="1"/>
  <c r="BY902" i="42385"/>
  <c r="DA902" i="42385" s="1"/>
  <c r="BY296" i="42385"/>
  <c r="DB866" i="42385"/>
  <c r="BZ868" i="42385"/>
  <c r="CA862" i="42385"/>
  <c r="DC862" i="42385" s="1"/>
  <c r="CA866" i="42385"/>
  <c r="DC861" i="42385"/>
  <c r="CB861" i="42385"/>
  <c r="B16" i="42408"/>
  <c r="G16" i="42408" s="1"/>
  <c r="DA295" i="42385"/>
  <c r="DC172" i="42385"/>
  <c r="CB172" i="42385"/>
  <c r="CC172" i="42385" s="1"/>
  <c r="CD172" i="42385" s="1"/>
  <c r="CE172" i="42385" s="1"/>
  <c r="CF172" i="42385" s="1"/>
  <c r="BH261" i="42385"/>
  <c r="CU328" i="42492" s="1"/>
  <c r="BY870" i="42385"/>
  <c r="DA870" i="42385" s="1"/>
  <c r="BY869" i="42385"/>
  <c r="DA869" i="42385" s="1"/>
  <c r="DA868" i="42385"/>
  <c r="BY871" i="42385"/>
  <c r="DA871" i="42385" s="1"/>
  <c r="BU79" i="42418"/>
  <c r="BH873" i="42385"/>
  <c r="BI872" i="42385"/>
  <c r="BH1535" i="42385"/>
  <c r="BQ1626" i="42385"/>
  <c r="BP1628" i="42385"/>
  <c r="CC443" i="42385"/>
  <c r="CB1546" i="42385"/>
  <c r="BD1523" i="42385"/>
  <c r="BD1525" i="42385" s="1"/>
  <c r="BD1499" i="42385" s="1"/>
  <c r="BC1525" i="42385"/>
  <c r="BX1549" i="42385"/>
  <c r="BY1549" i="42385" s="1"/>
  <c r="DA1549" i="42385" s="1"/>
  <c r="BX996" i="42385"/>
  <c r="BX997" i="42385"/>
  <c r="CA736" i="42385"/>
  <c r="CA285" i="42385" s="1"/>
  <c r="AA34" i="42476"/>
  <c r="CY1564" i="42385"/>
  <c r="BO1660" i="42385"/>
  <c r="CF237" i="42385"/>
  <c r="CF11" i="42385" s="1"/>
  <c r="CF771" i="42385"/>
  <c r="CF774" i="42385"/>
  <c r="BU71" i="42418"/>
  <c r="BU72" i="42418" s="1"/>
  <c r="CB190" i="42385"/>
  <c r="CC190" i="42385" s="1"/>
  <c r="CD190" i="42385" s="1"/>
  <c r="CE190" i="42385" s="1"/>
  <c r="CF190" i="42385" s="1"/>
  <c r="DC190" i="42385"/>
  <c r="BP1564" i="42385"/>
  <c r="BP1406" i="42385"/>
  <c r="BP1424" i="42385" s="1"/>
  <c r="BN1446" i="42385"/>
  <c r="BN1448" i="42385"/>
  <c r="BN1479" i="42385" s="1"/>
  <c r="BO1479" i="42385" s="1"/>
  <c r="CY1479" i="42385" s="1"/>
  <c r="BN1445" i="42385"/>
  <c r="BO1583" i="42385"/>
  <c r="DB612" i="42385"/>
  <c r="CA612" i="42385"/>
  <c r="EG457" i="42492"/>
  <c r="EG459" i="42492" s="1"/>
  <c r="BQ1498" i="42385"/>
  <c r="BR1400" i="42385"/>
  <c r="BQ1402" i="42385"/>
  <c r="BP1504" i="42385"/>
  <c r="CY1406" i="42385"/>
  <c r="O19" i="42472"/>
  <c r="O22" i="42472" s="1"/>
  <c r="O24" i="42472" s="1"/>
  <c r="BO1424" i="42385"/>
  <c r="CY1424" i="42385" s="1"/>
  <c r="CE287" i="42385"/>
  <c r="CE775" i="42385"/>
  <c r="CE776" i="42385"/>
  <c r="BZ176" i="42385"/>
  <c r="DA176" i="42385"/>
  <c r="AQ380" i="42385"/>
  <c r="CE219" i="42385"/>
  <c r="CE371" i="42385"/>
  <c r="BR99" i="42418"/>
  <c r="BR100" i="42418" s="1"/>
  <c r="BU373" i="42385"/>
  <c r="BP374" i="42385"/>
  <c r="AR266" i="42385"/>
  <c r="AR383" i="42385"/>
  <c r="AR381" i="42385"/>
  <c r="AR382" i="42385"/>
  <c r="AZ374" i="42385"/>
  <c r="CV374" i="42385" s="1"/>
  <c r="AZ375" i="42385"/>
  <c r="CV375" i="42385" s="1"/>
  <c r="CV373" i="42385"/>
  <c r="CF230" i="42385"/>
  <c r="BU50" i="42418"/>
  <c r="BU51" i="42418" s="1"/>
  <c r="BW373" i="42385"/>
  <c r="BW374" i="42385" s="1"/>
  <c r="BR374" i="42385"/>
  <c r="BZ1237" i="42385"/>
  <c r="DA1237" i="42385"/>
  <c r="BY1238" i="42385"/>
  <c r="DA1238" i="42385" s="1"/>
  <c r="BG1530" i="42385"/>
  <c r="BH416" i="42385"/>
  <c r="BG417" i="42385"/>
  <c r="AY1139" i="42385"/>
  <c r="AZ1001" i="42385"/>
  <c r="AT377" i="42385"/>
  <c r="AT376" i="42385" s="1"/>
  <c r="AT378" i="42385" s="1"/>
  <c r="AT380" i="42385" s="1"/>
  <c r="AS376" i="42385"/>
  <c r="BG373" i="42385"/>
  <c r="BB374" i="42385"/>
  <c r="BE373" i="42385"/>
  <c r="CF283" i="42385"/>
  <c r="CF696" i="42385"/>
  <c r="CB1511" i="42385"/>
  <c r="BX1238" i="42385"/>
  <c r="CX484" i="42385"/>
  <c r="BK484" i="42385"/>
  <c r="BS373" i="42385"/>
  <c r="BN374" i="42385"/>
  <c r="BO100" i="42418"/>
  <c r="CC1511" i="42385"/>
  <c r="CD1509" i="42385"/>
  <c r="CD1511" i="42385" s="1"/>
  <c r="AO383" i="42385"/>
  <c r="AO266" i="42385"/>
  <c r="AO382" i="42385"/>
  <c r="AO381" i="42385"/>
  <c r="AP380" i="42385"/>
  <c r="AP410" i="42385"/>
  <c r="CT410" i="42385" s="1"/>
  <c r="BZ189" i="42385"/>
  <c r="DA189" i="42385"/>
  <c r="CA1500" i="42385"/>
  <c r="CA118" i="42385"/>
  <c r="DC118" i="42385" s="1"/>
  <c r="DC1511" i="42385"/>
  <c r="DC112" i="42385"/>
  <c r="BJ491" i="42385"/>
  <c r="CX491" i="42385" s="1"/>
  <c r="BJ490" i="42385"/>
  <c r="CX490" i="42385" s="1"/>
  <c r="CX489" i="42385"/>
  <c r="BY1575" i="42385"/>
  <c r="DA1575" i="42385" s="1"/>
  <c r="DA1500" i="42385"/>
  <c r="CF371" i="42385"/>
  <c r="BU99" i="42418"/>
  <c r="CF219" i="42385"/>
  <c r="C39" i="42407"/>
  <c r="C40" i="42407"/>
  <c r="BC404" i="42385"/>
  <c r="AX405" i="42385"/>
  <c r="CA737" i="42385"/>
  <c r="BJ1107" i="42385"/>
  <c r="BJ1108" i="42385" s="1"/>
  <c r="CX1108" i="42385" s="1"/>
  <c r="BE1531" i="42385"/>
  <c r="BD1554" i="42385"/>
  <c r="BE1554" i="42385" s="1"/>
  <c r="CW1554" i="42385" s="1"/>
  <c r="W1332" i="42385"/>
  <c r="W1333" i="42385" s="1"/>
  <c r="X1332" i="42385" s="1"/>
  <c r="X1333" i="42385" s="1"/>
  <c r="Y1332" i="42385" s="1"/>
  <c r="Y1333" i="42385" s="1"/>
  <c r="Z1332" i="42385" s="1"/>
  <c r="Z1333" i="42385" s="1"/>
  <c r="CP1333" i="42385"/>
  <c r="AA1332" i="42385"/>
  <c r="BQ1614" i="42385"/>
  <c r="BR1613" i="42385"/>
  <c r="CF284" i="42385"/>
  <c r="CF718" i="42385"/>
  <c r="CF719" i="42385"/>
  <c r="AZ120" i="42385"/>
  <c r="CV114" i="42385"/>
  <c r="AR405" i="42385"/>
  <c r="AW404" i="42385"/>
  <c r="DA1613" i="42385"/>
  <c r="BY1614" i="42385"/>
  <c r="DA1614" i="42385" s="1"/>
  <c r="BZ1613" i="42385"/>
  <c r="AT405" i="42385"/>
  <c r="AY404" i="42385"/>
  <c r="BU1497" i="42385"/>
  <c r="BV1399" i="42385"/>
  <c r="BU65" i="42418"/>
  <c r="BX65" i="42418"/>
  <c r="BM479" i="42385"/>
  <c r="BL1139" i="42385"/>
  <c r="CX934" i="42385"/>
  <c r="BJ935" i="42385"/>
  <c r="CX935" i="42385" s="1"/>
  <c r="BK934" i="42385"/>
  <c r="BM1614" i="42385"/>
  <c r="BN1613" i="42385"/>
  <c r="BN1614" i="42385" s="1"/>
  <c r="AP407" i="42385"/>
  <c r="BM758" i="42385"/>
  <c r="BL1538" i="42385"/>
  <c r="BL759" i="42385"/>
  <c r="BU1614" i="42385"/>
  <c r="BV1613" i="42385"/>
  <c r="CT408" i="42385"/>
  <c r="AQ408" i="42385"/>
  <c r="AU404" i="42385"/>
  <c r="AV404" i="42385"/>
  <c r="AQ405" i="42385"/>
  <c r="C33" i="42407"/>
  <c r="C34" i="42407"/>
  <c r="D34" i="42407"/>
  <c r="CB800" i="42385"/>
  <c r="CB804" i="42385"/>
  <c r="CB806" i="42385" s="1"/>
  <c r="CC799" i="42385"/>
  <c r="CF281" i="42385"/>
  <c r="CF648" i="42385"/>
  <c r="BK778" i="42385"/>
  <c r="BL777" i="42385"/>
  <c r="BK1540" i="42385"/>
  <c r="AO414" i="42385"/>
  <c r="AO267" i="42385"/>
  <c r="AO415" i="42385"/>
  <c r="AO413" i="42385"/>
  <c r="BG810" i="42385"/>
  <c r="BF811" i="42385"/>
  <c r="BF1531" i="42385"/>
  <c r="BF1554" i="42385" s="1"/>
  <c r="CY257" i="42417"/>
  <c r="CY254" i="42417"/>
  <c r="AP406" i="42385"/>
  <c r="CT406" i="42385" s="1"/>
  <c r="CT404" i="42385"/>
  <c r="AP405" i="42385"/>
  <c r="CT405" i="42385" s="1"/>
  <c r="CD1384" i="42385"/>
  <c r="BZ807" i="42385"/>
  <c r="DB807" i="42385" s="1"/>
  <c r="BZ808" i="42385"/>
  <c r="DB808" i="42385" s="1"/>
  <c r="BZ293" i="42385"/>
  <c r="DB806" i="42385"/>
  <c r="BZ809" i="42385"/>
  <c r="DB809" i="42385" s="1"/>
  <c r="CF299" i="42385"/>
  <c r="CF997" i="42385"/>
  <c r="CF994" i="42385"/>
  <c r="CF993" i="42385"/>
  <c r="AN413" i="42385"/>
  <c r="AN415" i="42385"/>
  <c r="AN267" i="42385"/>
  <c r="AN414" i="42385"/>
  <c r="AP412" i="42385"/>
  <c r="BZ737" i="42385"/>
  <c r="BZ285" i="42385"/>
  <c r="C18" i="42408" s="1"/>
  <c r="H18" i="42408" s="1"/>
  <c r="DC804" i="42385"/>
  <c r="CA806" i="42385"/>
  <c r="X392" i="42385"/>
  <c r="CD757" i="42385"/>
  <c r="CD756" i="42385"/>
  <c r="CD286" i="42385"/>
  <c r="CP1085" i="42385"/>
  <c r="V1086" i="42385"/>
  <c r="CP1086" i="42385" s="1"/>
  <c r="CP880" i="42385"/>
  <c r="V881" i="42385"/>
  <c r="CP881" i="42385" s="1"/>
  <c r="BO744" i="42385"/>
  <c r="CP330" i="42385"/>
  <c r="V331" i="42385"/>
  <c r="CP331" i="42385" s="1"/>
  <c r="CP942" i="42385"/>
  <c r="V943" i="42385"/>
  <c r="CP943" i="42385" s="1"/>
  <c r="Y876" i="42385"/>
  <c r="Y879" i="42385" s="1"/>
  <c r="Y880" i="42385" s="1"/>
  <c r="Y881" i="42385" s="1"/>
  <c r="Y1081" i="42385"/>
  <c r="Y845" i="42385"/>
  <c r="Y388" i="42385"/>
  <c r="Y762" i="42385"/>
  <c r="Y765" i="42385" s="1"/>
  <c r="Y783" i="42385"/>
  <c r="Y786" i="42385" s="1"/>
  <c r="Y787" i="42385" s="1"/>
  <c r="Y788" i="42385" s="1"/>
  <c r="Y326" i="42385"/>
  <c r="Y329" i="42385" s="1"/>
  <c r="Y330" i="42385" s="1"/>
  <c r="Y331" i="42385" s="1"/>
  <c r="Y611" i="42385"/>
  <c r="Y614" i="42385" s="1"/>
  <c r="Y615" i="42385" s="1"/>
  <c r="Y616" i="42385" s="1"/>
  <c r="Y1000" i="42385"/>
  <c r="Y705" i="42385"/>
  <c r="Y708" i="42385" s="1"/>
  <c r="Y938" i="42385"/>
  <c r="Y478" i="42385"/>
  <c r="Y360" i="42385"/>
  <c r="Y363" i="42385" s="1"/>
  <c r="Y364" i="42385" s="1"/>
  <c r="Y365" i="42385" s="1"/>
  <c r="Y814" i="42385"/>
  <c r="Y743" i="42385"/>
  <c r="Y746" i="42385" s="1"/>
  <c r="Y1138" i="42385"/>
  <c r="Y907" i="42385"/>
  <c r="Z320" i="42385"/>
  <c r="CP911" i="42385"/>
  <c r="V912" i="42385"/>
  <c r="CP912" i="42385" s="1"/>
  <c r="CP787" i="42385"/>
  <c r="V788" i="42385"/>
  <c r="CP788" i="42385" s="1"/>
  <c r="CP1004" i="42385"/>
  <c r="V1005" i="42385"/>
  <c r="CP1005" i="42385" s="1"/>
  <c r="CE752" i="42385"/>
  <c r="CF751" i="42385"/>
  <c r="CE755" i="42385"/>
  <c r="X614" i="42385"/>
  <c r="X615" i="42385" s="1"/>
  <c r="X616" i="42385" s="1"/>
  <c r="V819" i="42385"/>
  <c r="CP819" i="42385" s="1"/>
  <c r="CP818" i="42385"/>
  <c r="V850" i="42385"/>
  <c r="CP850" i="42385" s="1"/>
  <c r="CP849" i="42385"/>
  <c r="BI261" i="42385"/>
  <c r="CU329" i="42492" s="1"/>
  <c r="AS1432" i="42385"/>
  <c r="AS1434" i="42385" s="1"/>
  <c r="X765" i="42385"/>
  <c r="V365" i="42385"/>
  <c r="CP365" i="42385" s="1"/>
  <c r="CP364" i="42385"/>
  <c r="BI1121" i="42385"/>
  <c r="BI1124" i="42385" s="1"/>
  <c r="BI1552" i="42385" s="1"/>
  <c r="BH1124" i="42385"/>
  <c r="BH1552" i="42385" s="1"/>
  <c r="CA932" i="42385"/>
  <c r="DC932" i="42385" s="1"/>
  <c r="CA297" i="42385"/>
  <c r="DC297" i="42385" s="1"/>
  <c r="DC930" i="42385"/>
  <c r="CA931" i="42385"/>
  <c r="DC931" i="42385" s="1"/>
  <c r="CA933" i="42385"/>
  <c r="DC933" i="42385" s="1"/>
  <c r="BL1582" i="42385"/>
  <c r="BK1585" i="42385"/>
  <c r="BK1586" i="42385" s="1"/>
  <c r="BK1587" i="42385" s="1"/>
  <c r="BK1584" i="42385"/>
  <c r="BJ1586" i="42385"/>
  <c r="BI1587" i="42385"/>
  <c r="CD1377" i="42385"/>
  <c r="AR1434" i="42385"/>
  <c r="CA188" i="42385"/>
  <c r="DB188" i="42385"/>
  <c r="BI258" i="42385"/>
  <c r="BI128" i="42385" s="1"/>
  <c r="AU1437" i="42385"/>
  <c r="AT1439" i="42385"/>
  <c r="AT1432" i="42385" s="1"/>
  <c r="AU1432" i="42385" s="1"/>
  <c r="CU1432" i="42385" s="1"/>
  <c r="CB173" i="42385"/>
  <c r="CC173" i="42385" s="1"/>
  <c r="CD173" i="42385" s="1"/>
  <c r="CE173" i="42385" s="1"/>
  <c r="CF173" i="42385" s="1"/>
  <c r="DC173" i="42385"/>
  <c r="CC924" i="42385"/>
  <c r="CC928" i="42385"/>
  <c r="CC930" i="42385" s="1"/>
  <c r="CD923" i="42385"/>
  <c r="C15" i="42408"/>
  <c r="H15" i="42408" s="1"/>
  <c r="DB297" i="42385"/>
  <c r="BT182" i="42385"/>
  <c r="BP182" i="42385"/>
  <c r="BQ182" i="42385" s="1"/>
  <c r="BR182" i="42385" s="1"/>
  <c r="BS182" i="42385" s="1"/>
  <c r="CY182" i="42385"/>
  <c r="CB932" i="42385"/>
  <c r="CB933" i="42385"/>
  <c r="CB297" i="42385"/>
  <c r="CB931" i="42385"/>
  <c r="U97" i="42470"/>
  <c r="AE95" i="42470"/>
  <c r="R90" i="42470"/>
  <c r="BH1558" i="42385"/>
  <c r="BH128" i="42385"/>
  <c r="BH259" i="42385"/>
  <c r="Z64" i="42470"/>
  <c r="Z68" i="42470" s="1"/>
  <c r="Z82" i="42470" s="1"/>
  <c r="Z110" i="42470"/>
  <c r="CB177" i="42385"/>
  <c r="CC177" i="42385" s="1"/>
  <c r="CD177" i="42385" s="1"/>
  <c r="CE177" i="42385" s="1"/>
  <c r="CF177" i="42385" s="1"/>
  <c r="DC177" i="42385"/>
  <c r="Z112" i="42470"/>
  <c r="Z115" i="42470" s="1"/>
  <c r="Z93" i="42470"/>
  <c r="Z130" i="42470" s="1"/>
  <c r="U109" i="42470"/>
  <c r="U116" i="42470"/>
  <c r="W180" i="42385"/>
  <c r="CP180" i="42385"/>
  <c r="CB170" i="42385"/>
  <c r="CC170" i="42385" s="1"/>
  <c r="CD170" i="42385" s="1"/>
  <c r="CE170" i="42385" s="1"/>
  <c r="CF170" i="42385" s="1"/>
  <c r="DC170" i="42385"/>
  <c r="Z77" i="42470"/>
  <c r="BH260" i="42385"/>
  <c r="DX415" i="42492" s="1"/>
  <c r="BJ257" i="42385"/>
  <c r="Z127" i="42470"/>
  <c r="BM1118" i="42385"/>
  <c r="BY1147" i="42385"/>
  <c r="AF169" i="42385"/>
  <c r="CX409" i="42385"/>
  <c r="BK409" i="42385"/>
  <c r="DC178" i="42385"/>
  <c r="CB178" i="42385"/>
  <c r="CC178" i="42385" s="1"/>
  <c r="CD178" i="42385" s="1"/>
  <c r="CE178" i="42385" s="1"/>
  <c r="CF178" i="42385" s="1"/>
  <c r="BT745" i="42385"/>
  <c r="BK1107" i="42385"/>
  <c r="BK256" i="42385" s="1"/>
  <c r="BL1106" i="42385"/>
  <c r="BG1558" i="42385"/>
  <c r="BG128" i="42385"/>
  <c r="BG259" i="42385"/>
  <c r="BJ707" i="42385"/>
  <c r="R60" i="42470"/>
  <c r="U68" i="42470"/>
  <c r="BR1487" i="42385" l="1"/>
  <c r="BS1456" i="42385"/>
  <c r="BY653" i="42385"/>
  <c r="BY656" i="42385" s="1"/>
  <c r="BY657" i="42385" s="1"/>
  <c r="BY658" i="42385" s="1"/>
  <c r="BZ654" i="42385"/>
  <c r="Q193" i="42385"/>
  <c r="CO193" i="42385" s="1"/>
  <c r="R191" i="42385"/>
  <c r="CO191" i="42385"/>
  <c r="BJ1552" i="42385"/>
  <c r="AW621" i="42385"/>
  <c r="AR622" i="42385"/>
  <c r="AU621" i="42385"/>
  <c r="BJ903" i="42385"/>
  <c r="BI904" i="42385"/>
  <c r="BI1529" i="42385"/>
  <c r="BJ1529" i="42385" s="1"/>
  <c r="CX1529" i="42385" s="1"/>
  <c r="BK1541" i="42385"/>
  <c r="BK385" i="42385"/>
  <c r="BL384" i="42385"/>
  <c r="BM621" i="42385"/>
  <c r="BH622" i="42385"/>
  <c r="AP623" i="42385"/>
  <c r="CT623" i="42385" s="1"/>
  <c r="AP622" i="42385"/>
  <c r="CT622" i="42385" s="1"/>
  <c r="CT621" i="42385"/>
  <c r="BM631" i="42385"/>
  <c r="BL632" i="42385"/>
  <c r="BL1543" i="42385"/>
  <c r="BK720" i="42385"/>
  <c r="CX720" i="42385"/>
  <c r="BJ721" i="42385"/>
  <c r="CX721" i="42385" s="1"/>
  <c r="AO626" i="42385"/>
  <c r="AP624" i="42385"/>
  <c r="CT624" i="42385" s="1"/>
  <c r="BF622" i="42385"/>
  <c r="BK621" i="42385"/>
  <c r="AN630" i="42385"/>
  <c r="AN280" i="42385"/>
  <c r="AN629" i="42385"/>
  <c r="AR625" i="42385"/>
  <c r="AQ624" i="42385"/>
  <c r="AQ626" i="42385" s="1"/>
  <c r="AQ628" i="42385" s="1"/>
  <c r="BL842" i="42385"/>
  <c r="BL1532" i="42385"/>
  <c r="BM841" i="42385"/>
  <c r="BD622" i="42385"/>
  <c r="BI621" i="42385"/>
  <c r="DB613" i="42385"/>
  <c r="CA613" i="42385"/>
  <c r="DB294" i="42385"/>
  <c r="C14" i="42408"/>
  <c r="H14" i="42408" s="1"/>
  <c r="CB839" i="42385"/>
  <c r="CB840" i="42385"/>
  <c r="CB294" i="42385"/>
  <c r="CB838" i="42385"/>
  <c r="G14" i="42408"/>
  <c r="P85" i="42408"/>
  <c r="S85" i="42408" s="1"/>
  <c r="U85" i="42408" s="1"/>
  <c r="V85" i="42408" s="1"/>
  <c r="BM1547" i="42385"/>
  <c r="BM474" i="42385"/>
  <c r="BM475" i="42385" s="1"/>
  <c r="BN472" i="42385"/>
  <c r="BM473" i="42385"/>
  <c r="DC183" i="42385"/>
  <c r="CB183" i="42385"/>
  <c r="CC183" i="42385" s="1"/>
  <c r="CD183" i="42385" s="1"/>
  <c r="CE183" i="42385" s="1"/>
  <c r="CF183" i="42385" s="1"/>
  <c r="CC1386" i="42385"/>
  <c r="CB1563" i="42385"/>
  <c r="CB1593" i="42385" s="1"/>
  <c r="CA1593" i="42385"/>
  <c r="DC1593" i="42385" s="1"/>
  <c r="DC1563" i="42385"/>
  <c r="CC831" i="42385"/>
  <c r="CC835" i="42385"/>
  <c r="CC837" i="42385" s="1"/>
  <c r="CD830" i="42385"/>
  <c r="CB1486" i="42385"/>
  <c r="CE1485" i="42385"/>
  <c r="CA839" i="42385"/>
  <c r="DC839" i="42385" s="1"/>
  <c r="CA294" i="42385"/>
  <c r="DC294" i="42385" s="1"/>
  <c r="DC837" i="42385"/>
  <c r="CA838" i="42385"/>
  <c r="DC838" i="42385" s="1"/>
  <c r="CA840" i="42385"/>
  <c r="DC840" i="42385" s="1"/>
  <c r="AY350" i="42385"/>
  <c r="AZ347" i="42385"/>
  <c r="CV347" i="42385" s="1"/>
  <c r="BK1528" i="42385"/>
  <c r="BL356" i="42385"/>
  <c r="BK357" i="42385"/>
  <c r="BZ345" i="42385"/>
  <c r="DB345" i="42385" s="1"/>
  <c r="DB344" i="42385"/>
  <c r="CA344" i="42385"/>
  <c r="BB348" i="42385"/>
  <c r="BA347" i="42385"/>
  <c r="BE1523" i="42385"/>
  <c r="BF1523" i="42385" s="1"/>
  <c r="DC185" i="42385"/>
  <c r="CB185" i="42385"/>
  <c r="CC185" i="42385" s="1"/>
  <c r="CD185" i="42385" s="1"/>
  <c r="CE185" i="42385" s="1"/>
  <c r="CF185" i="42385" s="1"/>
  <c r="DC181" i="42385"/>
  <c r="CB181" i="42385"/>
  <c r="CC181" i="42385" s="1"/>
  <c r="CD181" i="42385" s="1"/>
  <c r="CE181" i="42385" s="1"/>
  <c r="CF181" i="42385" s="1"/>
  <c r="DA296" i="42385"/>
  <c r="B11" i="42408"/>
  <c r="G11" i="42408" s="1"/>
  <c r="CB892" i="42385"/>
  <c r="DC892" i="42385"/>
  <c r="CA897" i="42385"/>
  <c r="CA893" i="42385"/>
  <c r="DC893" i="42385" s="1"/>
  <c r="DC186" i="42385"/>
  <c r="CB186" i="42385"/>
  <c r="CC186" i="42385" s="1"/>
  <c r="CD186" i="42385" s="1"/>
  <c r="CE186" i="42385" s="1"/>
  <c r="CF186" i="42385" s="1"/>
  <c r="DB897" i="42385"/>
  <c r="BZ899" i="42385"/>
  <c r="BB480" i="42385"/>
  <c r="BA1140" i="42385"/>
  <c r="BI1558" i="42385"/>
  <c r="CB866" i="42385"/>
  <c r="CB868" i="42385" s="1"/>
  <c r="CB862" i="42385"/>
  <c r="CC861" i="42385"/>
  <c r="DC866" i="42385"/>
  <c r="CA868" i="42385"/>
  <c r="DB868" i="42385"/>
  <c r="BZ869" i="42385"/>
  <c r="DB869" i="42385" s="1"/>
  <c r="BZ870" i="42385"/>
  <c r="DB870" i="42385" s="1"/>
  <c r="BZ295" i="42385"/>
  <c r="BZ871" i="42385"/>
  <c r="DB871" i="42385" s="1"/>
  <c r="BX72" i="42418"/>
  <c r="BX100" i="42418"/>
  <c r="BX51" i="42418"/>
  <c r="BI259" i="42385"/>
  <c r="BR1626" i="42385"/>
  <c r="BQ1628" i="42385"/>
  <c r="BC1499" i="42385"/>
  <c r="BE1499" i="42385" s="1"/>
  <c r="CW1499" i="42385" s="1"/>
  <c r="BE1525" i="42385"/>
  <c r="CW1525" i="42385" s="1"/>
  <c r="CW1523" i="42385"/>
  <c r="CC1546" i="42385"/>
  <c r="CD443" i="42385"/>
  <c r="BI873" i="42385"/>
  <c r="BI1535" i="42385"/>
  <c r="BJ1535" i="42385" s="1"/>
  <c r="CX1535" i="42385" s="1"/>
  <c r="BJ872" i="42385"/>
  <c r="DB176" i="42385"/>
  <c r="CA176" i="42385"/>
  <c r="BQ1564" i="42385"/>
  <c r="BQ1406" i="42385"/>
  <c r="BQ1424" i="42385" s="1"/>
  <c r="BR1498" i="42385"/>
  <c r="BS1400" i="42385"/>
  <c r="BT1400" i="42385" s="1"/>
  <c r="BR1402" i="42385"/>
  <c r="CB612" i="42385"/>
  <c r="CC612" i="42385" s="1"/>
  <c r="CD612" i="42385" s="1"/>
  <c r="CE612" i="42385" s="1"/>
  <c r="CF612" i="42385" s="1"/>
  <c r="DC612" i="42385"/>
  <c r="AB34" i="42476"/>
  <c r="BP1660" i="42385"/>
  <c r="BP1583" i="42385"/>
  <c r="CF287" i="42385"/>
  <c r="CF775" i="42385"/>
  <c r="CF776" i="42385"/>
  <c r="BO1445" i="42385"/>
  <c r="CY1445" i="42385" s="1"/>
  <c r="BO1446" i="42385"/>
  <c r="CY1446" i="42385" s="1"/>
  <c r="BO1448" i="42385"/>
  <c r="CY1448" i="42385" s="1"/>
  <c r="CY1583" i="42385"/>
  <c r="BQ1504" i="42385"/>
  <c r="CD1500" i="42385"/>
  <c r="CD1575" i="42385" s="1"/>
  <c r="CD112" i="42385"/>
  <c r="CD118" i="42385"/>
  <c r="AS378" i="42385"/>
  <c r="AU376" i="42385"/>
  <c r="DB1237" i="42385"/>
  <c r="CA1237" i="42385"/>
  <c r="BZ1238" i="42385"/>
  <c r="DB1238" i="42385" s="1"/>
  <c r="DB189" i="42385"/>
  <c r="CA189" i="42385"/>
  <c r="CE1509" i="42385"/>
  <c r="CF1509" i="42385" s="1"/>
  <c r="CF1511" i="42385" s="1"/>
  <c r="BU100" i="42418"/>
  <c r="BX373" i="42385"/>
  <c r="BX374" i="42385" s="1"/>
  <c r="BS374" i="42385"/>
  <c r="CW373" i="42385"/>
  <c r="BE374" i="42385"/>
  <c r="CW374" i="42385" s="1"/>
  <c r="BE375" i="42385"/>
  <c r="CW375" i="42385" s="1"/>
  <c r="AT382" i="42385"/>
  <c r="AT383" i="42385"/>
  <c r="AT381" i="42385"/>
  <c r="AT266" i="42385"/>
  <c r="GN526" i="42417"/>
  <c r="AP266" i="42385"/>
  <c r="CC112" i="42385"/>
  <c r="CC118" i="42385"/>
  <c r="CC1500" i="42385"/>
  <c r="CC1575" i="42385" s="1"/>
  <c r="BL484" i="42385"/>
  <c r="BK483" i="42385"/>
  <c r="CB1500" i="42385"/>
  <c r="CB1575" i="42385" s="1"/>
  <c r="CB112" i="42385"/>
  <c r="CB118" i="42385"/>
  <c r="AZ1139" i="42385"/>
  <c r="CV1139" i="42385" s="1"/>
  <c r="CV1001" i="42385"/>
  <c r="BH1530" i="42385"/>
  <c r="BH417" i="42385"/>
  <c r="BI416" i="42385"/>
  <c r="BU374" i="42385"/>
  <c r="CA1575" i="42385"/>
  <c r="DC1575" i="42385" s="1"/>
  <c r="DC1500" i="42385"/>
  <c r="CT380" i="42385"/>
  <c r="AP382" i="42385"/>
  <c r="CT382" i="42385" s="1"/>
  <c r="AP381" i="42385"/>
  <c r="CT381" i="42385" s="1"/>
  <c r="AP383" i="42385"/>
  <c r="CT383" i="42385" s="1"/>
  <c r="BG374" i="42385"/>
  <c r="BL373" i="42385"/>
  <c r="BJ373" i="42385"/>
  <c r="AQ381" i="42385"/>
  <c r="AQ382" i="42385"/>
  <c r="AQ383" i="42385"/>
  <c r="AQ266" i="42385"/>
  <c r="CB293" i="42385"/>
  <c r="CB809" i="42385"/>
  <c r="CB808" i="42385"/>
  <c r="CB807" i="42385"/>
  <c r="BR1614" i="42385"/>
  <c r="BS1613" i="42385"/>
  <c r="BS1614" i="42385" s="1"/>
  <c r="CX1107" i="42385"/>
  <c r="AP414" i="42385"/>
  <c r="CT414" i="42385" s="1"/>
  <c r="CT412" i="42385"/>
  <c r="AP415" i="42385"/>
  <c r="CT415" i="42385" s="1"/>
  <c r="AP413" i="42385"/>
  <c r="CT413" i="42385" s="1"/>
  <c r="BH810" i="42385"/>
  <c r="BG811" i="42385"/>
  <c r="BG1531" i="42385"/>
  <c r="BG1554" i="42385" s="1"/>
  <c r="AQ407" i="42385"/>
  <c r="AR408" i="42385"/>
  <c r="AW405" i="42385"/>
  <c r="BB404" i="42385"/>
  <c r="AU406" i="42385"/>
  <c r="CU406" i="42385" s="1"/>
  <c r="AU405" i="42385"/>
  <c r="CU405" i="42385" s="1"/>
  <c r="CU404" i="42385"/>
  <c r="BV1497" i="42385"/>
  <c r="BW1399" i="42385"/>
  <c r="BC405" i="42385"/>
  <c r="BH404" i="42385"/>
  <c r="BW1613" i="42385"/>
  <c r="BV1614" i="42385"/>
  <c r="BM759" i="42385"/>
  <c r="BN758" i="42385"/>
  <c r="BO758" i="42385" s="1"/>
  <c r="BM1538" i="42385"/>
  <c r="BK1533" i="42385"/>
  <c r="BK935" i="42385"/>
  <c r="BL934" i="42385"/>
  <c r="BN479" i="42385"/>
  <c r="BM1139" i="42385"/>
  <c r="AY405" i="42385"/>
  <c r="BD404" i="42385"/>
  <c r="DB1613" i="42385"/>
  <c r="CA1613" i="42385"/>
  <c r="BZ1614" i="42385"/>
  <c r="DB1614" i="42385" s="1"/>
  <c r="CQ1332" i="42385"/>
  <c r="AA1333" i="42385"/>
  <c r="CW1531" i="42385"/>
  <c r="BE1556" i="42385"/>
  <c r="C13" i="42408"/>
  <c r="H13" i="42408" s="1"/>
  <c r="DB293" i="42385"/>
  <c r="H20" i="42420"/>
  <c r="I20" i="42420" s="1"/>
  <c r="J20" i="42420" s="1"/>
  <c r="CE1384" i="42385"/>
  <c r="CF1384" i="42385" s="1"/>
  <c r="CF1484" i="42385" s="1"/>
  <c r="GN516" i="42417"/>
  <c r="AO277" i="42385"/>
  <c r="AO19" i="42385"/>
  <c r="AZ1656" i="42385"/>
  <c r="L48" i="42476"/>
  <c r="L50" i="42476" s="1"/>
  <c r="CV120" i="42385"/>
  <c r="AZ121" i="42385"/>
  <c r="CV121" i="42385" s="1"/>
  <c r="AD151" i="42470"/>
  <c r="AD153" i="42470" s="1"/>
  <c r="AD154" i="42470" s="1"/>
  <c r="CA807" i="42385"/>
  <c r="DC807" i="42385" s="1"/>
  <c r="CA809" i="42385"/>
  <c r="DC809" i="42385" s="1"/>
  <c r="DC806" i="42385"/>
  <c r="CA808" i="42385"/>
  <c r="DC808" i="42385" s="1"/>
  <c r="CA293" i="42385"/>
  <c r="DC293" i="42385" s="1"/>
  <c r="GM516" i="42417"/>
  <c r="AN277" i="42385"/>
  <c r="AN19" i="42385"/>
  <c r="AP267" i="42385"/>
  <c r="CD1484" i="42385"/>
  <c r="BL778" i="42385"/>
  <c r="BL1540" i="42385"/>
  <c r="BM777" i="42385"/>
  <c r="CC800" i="42385"/>
  <c r="CC804" i="42385"/>
  <c r="CC806" i="42385" s="1"/>
  <c r="CD799" i="42385"/>
  <c r="AV405" i="42385"/>
  <c r="BA404" i="42385"/>
  <c r="AZ404" i="42385"/>
  <c r="D35" i="42407"/>
  <c r="CT407" i="42385"/>
  <c r="Y910" i="42385"/>
  <c r="Y1003" i="42385"/>
  <c r="CE757" i="42385"/>
  <c r="CE756" i="42385"/>
  <c r="CE286" i="42385"/>
  <c r="Z876" i="42385"/>
  <c r="AA876" i="42385" s="1"/>
  <c r="CQ876" i="42385" s="1"/>
  <c r="Z907" i="42385"/>
  <c r="AA907" i="42385" s="1"/>
  <c r="CQ907" i="42385" s="1"/>
  <c r="Z611" i="42385"/>
  <c r="Z783" i="42385"/>
  <c r="AA320" i="42385"/>
  <c r="Z326" i="42385"/>
  <c r="Z360" i="42385"/>
  <c r="AA360" i="42385" s="1"/>
  <c r="CQ360" i="42385" s="1"/>
  <c r="Z1081" i="42385"/>
  <c r="AA1081" i="42385" s="1"/>
  <c r="CQ1081" i="42385" s="1"/>
  <c r="Z705" i="42385"/>
  <c r="Z743" i="42385"/>
  <c r="Z762" i="42385"/>
  <c r="AA762" i="42385" s="1"/>
  <c r="CQ762" i="42385" s="1"/>
  <c r="Z478" i="42385"/>
  <c r="AA478" i="42385" s="1"/>
  <c r="CQ478" i="42385" s="1"/>
  <c r="Z388" i="42385"/>
  <c r="AA388" i="42385" s="1"/>
  <c r="CQ388" i="42385" s="1"/>
  <c r="Z1138" i="42385"/>
  <c r="AA1138" i="42385" s="1"/>
  <c r="CQ1138" i="42385" s="1"/>
  <c r="Z1000" i="42385"/>
  <c r="AA1000" i="42385" s="1"/>
  <c r="CQ1000" i="42385" s="1"/>
  <c r="Z814" i="42385"/>
  <c r="AA814" i="42385" s="1"/>
  <c r="CQ814" i="42385" s="1"/>
  <c r="Z938" i="42385"/>
  <c r="AA938" i="42385" s="1"/>
  <c r="CQ938" i="42385" s="1"/>
  <c r="Z845" i="42385"/>
  <c r="AA845" i="42385" s="1"/>
  <c r="CQ845" i="42385" s="1"/>
  <c r="Y817" i="42385"/>
  <c r="Y1084" i="42385"/>
  <c r="CF752" i="42385"/>
  <c r="CF755" i="42385"/>
  <c r="BP744" i="42385"/>
  <c r="CY744" i="42385"/>
  <c r="BJ1121" i="42385"/>
  <c r="BJ1124" i="42385" s="1"/>
  <c r="CX1124" i="42385" s="1"/>
  <c r="Y1141" i="42385"/>
  <c r="Z1141" i="42385"/>
  <c r="Y481" i="42385"/>
  <c r="Y391" i="42385"/>
  <c r="Y941" i="42385"/>
  <c r="Y848" i="42385"/>
  <c r="AU1439" i="42385"/>
  <c r="CU1439" i="42385" s="1"/>
  <c r="AT1431" i="42385"/>
  <c r="CE1377" i="42385"/>
  <c r="BJ1587" i="42385"/>
  <c r="CX1587" i="42385" s="1"/>
  <c r="CX1586" i="42385"/>
  <c r="BU182" i="42385"/>
  <c r="BV182" i="42385" s="1"/>
  <c r="BW182" i="42385" s="1"/>
  <c r="BX182" i="42385" s="1"/>
  <c r="BY182" i="42385"/>
  <c r="CZ182" i="42385"/>
  <c r="CD928" i="42385"/>
  <c r="CD930" i="42385" s="1"/>
  <c r="CD924" i="42385"/>
  <c r="CE923" i="42385"/>
  <c r="CC297" i="42385"/>
  <c r="CC931" i="42385"/>
  <c r="CC933" i="42385"/>
  <c r="CC932" i="42385"/>
  <c r="AV1437" i="42385"/>
  <c r="CU1437" i="42385"/>
  <c r="CX1552" i="42385"/>
  <c r="CB188" i="42385"/>
  <c r="CC188" i="42385" s="1"/>
  <c r="CD188" i="42385" s="1"/>
  <c r="CE188" i="42385" s="1"/>
  <c r="CF188" i="42385" s="1"/>
  <c r="DC188" i="42385"/>
  <c r="BM1582" i="42385"/>
  <c r="BL1585" i="42385"/>
  <c r="BL1586" i="42385" s="1"/>
  <c r="BL1587" i="42385" s="1"/>
  <c r="BL1584" i="42385"/>
  <c r="DA1147" i="42385"/>
  <c r="BZ1147" i="42385"/>
  <c r="BK257" i="42385"/>
  <c r="CR169" i="42385"/>
  <c r="AG169" i="42385"/>
  <c r="BJ261" i="42385"/>
  <c r="BJ258" i="42385"/>
  <c r="BJ260" i="42385"/>
  <c r="Z80" i="42470"/>
  <c r="Z71" i="42470"/>
  <c r="V84" i="42408"/>
  <c r="BL409" i="42385"/>
  <c r="Z74" i="42470"/>
  <c r="Z79" i="42470"/>
  <c r="X180" i="42385"/>
  <c r="U118" i="42470"/>
  <c r="U122" i="42470" s="1"/>
  <c r="U99" i="42470"/>
  <c r="BM1106" i="42385"/>
  <c r="BL1107" i="42385"/>
  <c r="BL256" i="42385" s="1"/>
  <c r="Z109" i="42470"/>
  <c r="Z116" i="42470"/>
  <c r="BN1118" i="42385"/>
  <c r="AN194" i="42470"/>
  <c r="AN196" i="42470" s="1"/>
  <c r="AN197" i="42470" s="1"/>
  <c r="AL182" i="42470" s="1"/>
  <c r="AL183" i="42470" s="1"/>
  <c r="U80" i="42470"/>
  <c r="U74" i="42470"/>
  <c r="U71" i="42470"/>
  <c r="U101" i="42470" s="1"/>
  <c r="U79" i="42470"/>
  <c r="U82" i="42470"/>
  <c r="CX707" i="42385"/>
  <c r="BK707" i="42385"/>
  <c r="Z95" i="42470"/>
  <c r="Z97" i="42470" s="1"/>
  <c r="CZ745" i="42385"/>
  <c r="BU745" i="42385"/>
  <c r="Z848" i="42385" l="1"/>
  <c r="Z849" i="42385" s="1"/>
  <c r="Z850" i="42385" s="1"/>
  <c r="CA654" i="42385"/>
  <c r="BZ653" i="42385"/>
  <c r="BZ656" i="42385" s="1"/>
  <c r="BZ657" i="42385" s="1"/>
  <c r="BZ658" i="42385" s="1"/>
  <c r="R193" i="42385"/>
  <c r="S191" i="42385"/>
  <c r="BS1487" i="42385"/>
  <c r="BT1487" i="42385" s="1"/>
  <c r="BT1456" i="42385"/>
  <c r="BU1456" i="42385" s="1"/>
  <c r="AR624" i="42385"/>
  <c r="AS625" i="42385"/>
  <c r="Z765" i="42385"/>
  <c r="AA765" i="42385" s="1"/>
  <c r="CQ765" i="42385" s="1"/>
  <c r="AQ280" i="42385"/>
  <c r="AQ630" i="42385"/>
  <c r="AQ629" i="42385"/>
  <c r="AN20" i="42385"/>
  <c r="AN23" i="42385" s="1"/>
  <c r="AN290" i="42385"/>
  <c r="GM528" i="42417"/>
  <c r="BK1536" i="42385"/>
  <c r="BK721" i="42385"/>
  <c r="BL720" i="42385"/>
  <c r="BR621" i="42385"/>
  <c r="BM622" i="42385"/>
  <c r="AO628" i="42385"/>
  <c r="AP626" i="42385"/>
  <c r="CT626" i="42385" s="1"/>
  <c r="BL1541" i="42385"/>
  <c r="BM384" i="42385"/>
  <c r="BL385" i="42385"/>
  <c r="BK622" i="42385"/>
  <c r="BP621" i="42385"/>
  <c r="BK903" i="42385"/>
  <c r="CX903" i="42385"/>
  <c r="BJ904" i="42385"/>
  <c r="CX904" i="42385" s="1"/>
  <c r="BN841" i="42385"/>
  <c r="BM1532" i="42385"/>
  <c r="BM842" i="42385"/>
  <c r="AZ621" i="42385"/>
  <c r="BB621" i="42385"/>
  <c r="AW622" i="42385"/>
  <c r="Z481" i="42385"/>
  <c r="BN621" i="42385"/>
  <c r="BI622" i="42385"/>
  <c r="BN631" i="42385"/>
  <c r="BM1543" i="42385"/>
  <c r="BM632" i="42385"/>
  <c r="AU623" i="42385"/>
  <c r="CU623" i="42385" s="1"/>
  <c r="AU622" i="42385"/>
  <c r="CU622" i="42385" s="1"/>
  <c r="CU621" i="42385"/>
  <c r="DC613" i="42385"/>
  <c r="CB613" i="42385"/>
  <c r="CC613" i="42385" s="1"/>
  <c r="CD613" i="42385" s="1"/>
  <c r="CE613" i="42385" s="1"/>
  <c r="CF613" i="42385" s="1"/>
  <c r="CD1386" i="42385"/>
  <c r="CD1486" i="42385" s="1"/>
  <c r="CC1563" i="42385"/>
  <c r="CC1593" i="42385" s="1"/>
  <c r="BN1547" i="42385"/>
  <c r="BN474" i="42385"/>
  <c r="BN475" i="42385" s="1"/>
  <c r="BO475" i="42385" s="1"/>
  <c r="CY475" i="42385" s="1"/>
  <c r="BN473" i="42385"/>
  <c r="BP472" i="42385"/>
  <c r="BO472" i="42385"/>
  <c r="CC1486" i="42385"/>
  <c r="CD831" i="42385"/>
  <c r="CE830" i="42385"/>
  <c r="CD835" i="42385"/>
  <c r="CD837" i="42385" s="1"/>
  <c r="CC840" i="42385"/>
  <c r="CC294" i="42385"/>
  <c r="CC838" i="42385"/>
  <c r="CC839" i="42385"/>
  <c r="DC344" i="42385"/>
  <c r="CA345" i="42385"/>
  <c r="DC345" i="42385" s="1"/>
  <c r="CB344" i="42385"/>
  <c r="CX1121" i="42385"/>
  <c r="BA350" i="42385"/>
  <c r="BB347" i="42385"/>
  <c r="BB350" i="42385" s="1"/>
  <c r="BB352" i="42385" s="1"/>
  <c r="BC348" i="42385"/>
  <c r="BM356" i="42385"/>
  <c r="BL357" i="42385"/>
  <c r="BL1528" i="42385"/>
  <c r="AY352" i="42385"/>
  <c r="AZ350" i="42385"/>
  <c r="CV350" i="42385" s="1"/>
  <c r="BC480" i="42385"/>
  <c r="BB1140" i="42385"/>
  <c r="CB893" i="42385"/>
  <c r="CB897" i="42385"/>
  <c r="CB899" i="42385" s="1"/>
  <c r="CC892" i="42385"/>
  <c r="BS1498" i="42385"/>
  <c r="BT1498" i="42385" s="1"/>
  <c r="CZ1498" i="42385" s="1"/>
  <c r="BZ901" i="42385"/>
  <c r="DB901" i="42385" s="1"/>
  <c r="BZ296" i="42385"/>
  <c r="BZ900" i="42385"/>
  <c r="DB900" i="42385" s="1"/>
  <c r="DB899" i="42385"/>
  <c r="BZ902" i="42385"/>
  <c r="DB902" i="42385" s="1"/>
  <c r="CA899" i="42385"/>
  <c r="DC897" i="42385"/>
  <c r="CC862" i="42385"/>
  <c r="CD861" i="42385"/>
  <c r="CC866" i="42385"/>
  <c r="CC868" i="42385" s="1"/>
  <c r="C16" i="42408"/>
  <c r="H16" i="42408" s="1"/>
  <c r="DB295" i="42385"/>
  <c r="CA295" i="42385"/>
  <c r="DC295" i="42385" s="1"/>
  <c r="CA871" i="42385"/>
  <c r="DC871" i="42385" s="1"/>
  <c r="CA870" i="42385"/>
  <c r="DC870" i="42385" s="1"/>
  <c r="DC868" i="42385"/>
  <c r="CA869" i="42385"/>
  <c r="DC869" i="42385" s="1"/>
  <c r="CB295" i="42385"/>
  <c r="CB869" i="42385"/>
  <c r="CB870" i="42385"/>
  <c r="CB871" i="42385"/>
  <c r="Z941" i="42385"/>
  <c r="Z942" i="42385" s="1"/>
  <c r="Z943" i="42385" s="1"/>
  <c r="CE443" i="42385"/>
  <c r="CD1546" i="42385"/>
  <c r="BG1523" i="42385"/>
  <c r="BF1525" i="42385"/>
  <c r="BJ873" i="42385"/>
  <c r="CX873" i="42385" s="1"/>
  <c r="CX872" i="42385"/>
  <c r="BK872" i="42385"/>
  <c r="Z817" i="42385"/>
  <c r="Z818" i="42385" s="1"/>
  <c r="Z819" i="42385" s="1"/>
  <c r="BS1626" i="42385"/>
  <c r="BT1626" i="42385" s="1"/>
  <c r="BR1628" i="42385"/>
  <c r="CE1484" i="42385"/>
  <c r="BU1400" i="42385"/>
  <c r="CZ1400" i="42385"/>
  <c r="BQ1660" i="42385"/>
  <c r="BQ1583" i="42385"/>
  <c r="AC34" i="42476"/>
  <c r="BP1446" i="42385"/>
  <c r="BP1445" i="42385"/>
  <c r="BP1448" i="42385"/>
  <c r="BP1479" i="42385" s="1"/>
  <c r="CB176" i="42385"/>
  <c r="CC176" i="42385" s="1"/>
  <c r="CD176" i="42385" s="1"/>
  <c r="CE176" i="42385" s="1"/>
  <c r="CF176" i="42385" s="1"/>
  <c r="DC176" i="42385"/>
  <c r="BR1406" i="42385"/>
  <c r="BR1326" i="42385" s="1"/>
  <c r="BR1564" i="42385"/>
  <c r="BR1504" i="42385"/>
  <c r="BJ374" i="42385"/>
  <c r="CX374" i="42385" s="1"/>
  <c r="CX373" i="42385"/>
  <c r="BJ375" i="42385"/>
  <c r="CX375" i="42385" s="1"/>
  <c r="BM484" i="42385"/>
  <c r="BL483" i="42385"/>
  <c r="GO526" i="42417"/>
  <c r="E18" i="42464"/>
  <c r="CT266" i="42385"/>
  <c r="CB189" i="42385"/>
  <c r="CC189" i="42385" s="1"/>
  <c r="CD189" i="42385" s="1"/>
  <c r="CE189" i="42385" s="1"/>
  <c r="CF189" i="42385" s="1"/>
  <c r="DC189" i="42385"/>
  <c r="DC1237" i="42385"/>
  <c r="CB1237" i="42385"/>
  <c r="CA1238" i="42385"/>
  <c r="DC1238" i="42385" s="1"/>
  <c r="BL374" i="42385"/>
  <c r="BQ373" i="42385"/>
  <c r="BO373" i="42385"/>
  <c r="CE1511" i="42385"/>
  <c r="CU376" i="42385"/>
  <c r="AU377" i="42385"/>
  <c r="BI417" i="42385"/>
  <c r="BI1530" i="42385"/>
  <c r="BJ1530" i="42385" s="1"/>
  <c r="CX1530" i="42385" s="1"/>
  <c r="BK487" i="42385"/>
  <c r="BK223" i="42385"/>
  <c r="BK489" i="42385"/>
  <c r="CF1500" i="42385"/>
  <c r="CF1575" i="42385" s="1"/>
  <c r="CF112" i="42385"/>
  <c r="CF118" i="42385"/>
  <c r="AS380" i="42385"/>
  <c r="AU378" i="42385"/>
  <c r="CU378" i="42385" s="1"/>
  <c r="BJ416" i="42385"/>
  <c r="AP277" i="42385"/>
  <c r="GO516" i="42417"/>
  <c r="CT267" i="42385"/>
  <c r="E8" i="42464"/>
  <c r="DC1613" i="42385"/>
  <c r="CA1614" i="42385"/>
  <c r="DC1614" i="42385" s="1"/>
  <c r="CB1613" i="42385"/>
  <c r="BW1497" i="42385"/>
  <c r="BX1399" i="42385"/>
  <c r="BY1399" i="42385" s="1"/>
  <c r="AQ410" i="42385"/>
  <c r="BK1121" i="42385"/>
  <c r="BL1121" i="42385" s="1"/>
  <c r="AA481" i="42385"/>
  <c r="CQ481" i="42385" s="1"/>
  <c r="Z879" i="42385"/>
  <c r="Z363" i="42385"/>
  <c r="AN28" i="42385"/>
  <c r="AP19" i="42385"/>
  <c r="BE63" i="42385"/>
  <c r="CW1556" i="42385"/>
  <c r="BE1557" i="42385"/>
  <c r="CW1557" i="42385" s="1"/>
  <c r="BE1558" i="42385"/>
  <c r="CW1558" i="42385" s="1"/>
  <c r="BE107" i="42385"/>
  <c r="BN759" i="42385"/>
  <c r="BP758" i="42385"/>
  <c r="BN1538" i="42385"/>
  <c r="BO1538" i="42385" s="1"/>
  <c r="CY1538" i="42385" s="1"/>
  <c r="AR407" i="42385"/>
  <c r="AR410" i="42385" s="1"/>
  <c r="AR412" i="42385" s="1"/>
  <c r="AS408" i="42385"/>
  <c r="BH811" i="42385"/>
  <c r="BI810" i="42385"/>
  <c r="BH1531" i="42385"/>
  <c r="BH1554" i="42385" s="1"/>
  <c r="CE799" i="42385"/>
  <c r="CD804" i="42385"/>
  <c r="CD806" i="42385" s="1"/>
  <c r="CD800" i="42385"/>
  <c r="BN777" i="42385"/>
  <c r="BM1540" i="42385"/>
  <c r="BM778" i="42385"/>
  <c r="Z910" i="42385"/>
  <c r="Z911" i="42385" s="1"/>
  <c r="Z912" i="42385" s="1"/>
  <c r="D37" i="42407"/>
  <c r="D38" i="42407" s="1"/>
  <c r="D36" i="42407"/>
  <c r="CV404" i="42385"/>
  <c r="AZ405" i="42385"/>
  <c r="CV405" i="42385" s="1"/>
  <c r="AZ406" i="42385"/>
  <c r="CV406" i="42385" s="1"/>
  <c r="CC807" i="42385"/>
  <c r="CC293" i="42385"/>
  <c r="CC808" i="42385"/>
  <c r="CC809" i="42385"/>
  <c r="AO28" i="42385"/>
  <c r="CQ1333" i="42385"/>
  <c r="AB1332" i="42385"/>
  <c r="AB1333" i="42385" s="1"/>
  <c r="AC1332" i="42385" s="1"/>
  <c r="AC1333" i="42385" s="1"/>
  <c r="AD1332" i="42385" s="1"/>
  <c r="AD1333" i="42385" s="1"/>
  <c r="AE1332" i="42385" s="1"/>
  <c r="AE1333" i="42385" s="1"/>
  <c r="AF1332" i="42385"/>
  <c r="BO479" i="42385"/>
  <c r="BN1139" i="42385"/>
  <c r="BO759" i="42385"/>
  <c r="CY759" i="42385" s="1"/>
  <c r="CY758" i="42385"/>
  <c r="BB405" i="42385"/>
  <c r="BG404" i="42385"/>
  <c r="BE404" i="42385"/>
  <c r="BF404" i="42385"/>
  <c r="BA405" i="42385"/>
  <c r="GM531" i="42417"/>
  <c r="BD405" i="42385"/>
  <c r="BI404" i="42385"/>
  <c r="BL1533" i="42385"/>
  <c r="BM934" i="42385"/>
  <c r="BL935" i="42385"/>
  <c r="BX1613" i="42385"/>
  <c r="BX1614" i="42385" s="1"/>
  <c r="BW1614" i="42385"/>
  <c r="BM404" i="42385"/>
  <c r="BH405" i="42385"/>
  <c r="Y849" i="42385"/>
  <c r="Y850" i="42385" s="1"/>
  <c r="AA848" i="42385"/>
  <c r="Z391" i="42385"/>
  <c r="Z392" i="42385" s="1"/>
  <c r="AA1141" i="42385"/>
  <c r="CQ1141" i="42385" s="1"/>
  <c r="BQ744" i="42385"/>
  <c r="Z1084" i="42385"/>
  <c r="Z1085" i="42385" s="1"/>
  <c r="Z1086" i="42385" s="1"/>
  <c r="AA743" i="42385"/>
  <c r="CQ743" i="42385" s="1"/>
  <c r="Z746" i="42385"/>
  <c r="AA746" i="42385" s="1"/>
  <c r="CQ746" i="42385" s="1"/>
  <c r="AA326" i="42385"/>
  <c r="CQ326" i="42385" s="1"/>
  <c r="Z329" i="42385"/>
  <c r="Z1003" i="42385"/>
  <c r="Z1004" i="42385" s="1"/>
  <c r="Z1005" i="42385" s="1"/>
  <c r="Y942" i="42385"/>
  <c r="Y943" i="42385" s="1"/>
  <c r="AA941" i="42385"/>
  <c r="Y392" i="42385"/>
  <c r="AA391" i="42385"/>
  <c r="Y1085" i="42385"/>
  <c r="Y1086" i="42385" s="1"/>
  <c r="AA705" i="42385"/>
  <c r="CQ705" i="42385" s="1"/>
  <c r="Z708" i="42385"/>
  <c r="AA708" i="42385" s="1"/>
  <c r="CQ708" i="42385" s="1"/>
  <c r="AB320" i="42385"/>
  <c r="CQ320" i="42385"/>
  <c r="CF286" i="42385"/>
  <c r="CF757" i="42385"/>
  <c r="CF756" i="42385"/>
  <c r="AA783" i="42385"/>
  <c r="CQ783" i="42385" s="1"/>
  <c r="Z786" i="42385"/>
  <c r="Y911" i="42385"/>
  <c r="Y912" i="42385" s="1"/>
  <c r="Y818" i="42385"/>
  <c r="Y819" i="42385" s="1"/>
  <c r="AA817" i="42385"/>
  <c r="AA611" i="42385"/>
  <c r="CQ611" i="42385" s="1"/>
  <c r="Z614" i="42385"/>
  <c r="Y1004" i="42385"/>
  <c r="Y1005" i="42385" s="1"/>
  <c r="AA1003" i="42385"/>
  <c r="BN1582" i="42385"/>
  <c r="BM1585" i="42385"/>
  <c r="BM1586" i="42385" s="1"/>
  <c r="BM1587" i="42385" s="1"/>
  <c r="BM1584" i="42385"/>
  <c r="CE928" i="42385"/>
  <c r="CE930" i="42385" s="1"/>
  <c r="CE924" i="42385"/>
  <c r="CF923" i="42385"/>
  <c r="DA182" i="42385"/>
  <c r="BZ182" i="42385"/>
  <c r="AT1434" i="42385"/>
  <c r="AU1434" i="42385" s="1"/>
  <c r="CU1434" i="42385" s="1"/>
  <c r="AU1431" i="42385"/>
  <c r="CU1431" i="42385" s="1"/>
  <c r="AV1439" i="42385"/>
  <c r="AV1431" i="42385" s="1"/>
  <c r="AW1437" i="42385"/>
  <c r="CD933" i="42385"/>
  <c r="CD931" i="42385"/>
  <c r="CD932" i="42385"/>
  <c r="CD297" i="42385"/>
  <c r="CF1377" i="42385"/>
  <c r="AH169" i="42385"/>
  <c r="BV745" i="42385"/>
  <c r="BP1118" i="42385"/>
  <c r="BL257" i="42385"/>
  <c r="BM409" i="42385"/>
  <c r="BK260" i="42385"/>
  <c r="DZ415" i="42492" s="1"/>
  <c r="DB1147" i="42385"/>
  <c r="CA1147" i="42385"/>
  <c r="Z118" i="42470"/>
  <c r="Z122" i="42470" s="1"/>
  <c r="Z101" i="42470"/>
  <c r="Z99" i="42470"/>
  <c r="BL707" i="42385"/>
  <c r="BN1106" i="42385"/>
  <c r="BM1107" i="42385"/>
  <c r="BM256" i="42385" s="1"/>
  <c r="Y180" i="42385"/>
  <c r="BJ128" i="42385"/>
  <c r="CX128" i="42385" s="1"/>
  <c r="CX258" i="42385"/>
  <c r="BJ259" i="42385"/>
  <c r="CX259" i="42385" s="1"/>
  <c r="BO1118" i="42385"/>
  <c r="BV1456" i="42385" l="1"/>
  <c r="BU1487" i="42385"/>
  <c r="CB654" i="42385"/>
  <c r="CA653" i="42385"/>
  <c r="CA656" i="42385" s="1"/>
  <c r="CA657" i="42385" s="1"/>
  <c r="CA658" i="42385" s="1"/>
  <c r="S193" i="42385"/>
  <c r="T191" i="42385"/>
  <c r="BE621" i="42385"/>
  <c r="BG621" i="42385"/>
  <c r="BB622" i="42385"/>
  <c r="BM1541" i="42385"/>
  <c r="BM385" i="42385"/>
  <c r="BN384" i="42385"/>
  <c r="AO630" i="42385"/>
  <c r="AO629" i="42385"/>
  <c r="AO280" i="42385"/>
  <c r="AP628" i="42385"/>
  <c r="AQ290" i="42385"/>
  <c r="AQ20" i="42385"/>
  <c r="AQ29" i="42385" s="1"/>
  <c r="CV621" i="42385"/>
  <c r="AZ623" i="42385"/>
  <c r="CV623" i="42385" s="1"/>
  <c r="AZ622" i="42385"/>
  <c r="CV622" i="42385" s="1"/>
  <c r="BN1532" i="42385"/>
  <c r="BO1532" i="42385" s="1"/>
  <c r="CY1532" i="42385" s="1"/>
  <c r="BN842" i="42385"/>
  <c r="BP841" i="42385"/>
  <c r="BP622" i="42385"/>
  <c r="BU621" i="42385"/>
  <c r="BU622" i="42385" s="1"/>
  <c r="BR622" i="42385"/>
  <c r="BW621" i="42385"/>
  <c r="BW622" i="42385" s="1"/>
  <c r="AT625" i="42385"/>
  <c r="AS624" i="42385"/>
  <c r="AS626" i="42385" s="1"/>
  <c r="AS628" i="42385" s="1"/>
  <c r="BS621" i="42385"/>
  <c r="BN622" i="42385"/>
  <c r="BK904" i="42385"/>
  <c r="BK1529" i="42385"/>
  <c r="BL903" i="42385"/>
  <c r="AN29" i="42385"/>
  <c r="BP631" i="42385"/>
  <c r="BN1543" i="42385"/>
  <c r="BO1543" i="42385" s="1"/>
  <c r="CY1543" i="42385" s="1"/>
  <c r="BN632" i="42385"/>
  <c r="BO631" i="42385"/>
  <c r="BO841" i="42385"/>
  <c r="BM720" i="42385"/>
  <c r="BL1536" i="42385"/>
  <c r="BL721" i="42385"/>
  <c r="AR626" i="42385"/>
  <c r="BP1547" i="42385"/>
  <c r="BP473" i="42385"/>
  <c r="BQ472" i="42385"/>
  <c r="BP474" i="42385"/>
  <c r="BP475" i="42385" s="1"/>
  <c r="CD294" i="42385"/>
  <c r="CD840" i="42385"/>
  <c r="CD838" i="42385"/>
  <c r="CD839" i="42385"/>
  <c r="CY472" i="42385"/>
  <c r="BO473" i="42385"/>
  <c r="CY473" i="42385" s="1"/>
  <c r="BO474" i="42385"/>
  <c r="CY474" i="42385" s="1"/>
  <c r="BO1547" i="42385"/>
  <c r="CY1547" i="42385" s="1"/>
  <c r="CF830" i="42385"/>
  <c r="CE835" i="42385"/>
  <c r="CE837" i="42385" s="1"/>
  <c r="CE831" i="42385"/>
  <c r="CE1386" i="42385"/>
  <c r="CE1486" i="42385" s="1"/>
  <c r="CD1563" i="42385"/>
  <c r="CD1593" i="42385" s="1"/>
  <c r="AY354" i="42385"/>
  <c r="AY353" i="42385"/>
  <c r="AY265" i="42385"/>
  <c r="AZ265" i="42385" s="1"/>
  <c r="AY355" i="42385"/>
  <c r="AZ352" i="42385"/>
  <c r="BC347" i="42385"/>
  <c r="BC350" i="42385" s="1"/>
  <c r="BC352" i="42385" s="1"/>
  <c r="BD348" i="42385"/>
  <c r="BB265" i="42385"/>
  <c r="BB355" i="42385"/>
  <c r="BB353" i="42385"/>
  <c r="BB354" i="42385"/>
  <c r="CC344" i="42385"/>
  <c r="CB345" i="42385"/>
  <c r="BM357" i="42385"/>
  <c r="BM1528" i="42385"/>
  <c r="BN356" i="42385"/>
  <c r="BA352" i="42385"/>
  <c r="CA296" i="42385"/>
  <c r="DC296" i="42385" s="1"/>
  <c r="CA902" i="42385"/>
  <c r="DC902" i="42385" s="1"/>
  <c r="CA900" i="42385"/>
  <c r="DC900" i="42385" s="1"/>
  <c r="DC899" i="42385"/>
  <c r="CA901" i="42385"/>
  <c r="DC901" i="42385" s="1"/>
  <c r="CB902" i="42385"/>
  <c r="CB900" i="42385"/>
  <c r="CB901" i="42385"/>
  <c r="CB296" i="42385"/>
  <c r="C11" i="42408"/>
  <c r="H11" i="42408" s="1"/>
  <c r="DB296" i="42385"/>
  <c r="CD892" i="42385"/>
  <c r="CC893" i="42385"/>
  <c r="CC897" i="42385"/>
  <c r="CC899" i="42385" s="1"/>
  <c r="BD480" i="42385"/>
  <c r="BC1140" i="42385"/>
  <c r="CC295" i="42385"/>
  <c r="CC871" i="42385"/>
  <c r="CC870" i="42385"/>
  <c r="CC869" i="42385"/>
  <c r="CD862" i="42385"/>
  <c r="CD866" i="42385"/>
  <c r="CD868" i="42385" s="1"/>
  <c r="CE861" i="42385"/>
  <c r="BU1626" i="42385"/>
  <c r="BV1626" i="42385" s="1"/>
  <c r="BW1626" i="42385" s="1"/>
  <c r="BX1626" i="42385" s="1"/>
  <c r="BY1626" i="42385" s="1"/>
  <c r="DA1626" i="42385" s="1"/>
  <c r="CZ1626" i="42385"/>
  <c r="BK1535" i="42385"/>
  <c r="BK873" i="42385"/>
  <c r="BL872" i="42385"/>
  <c r="CE1546" i="42385"/>
  <c r="CF443" i="42385"/>
  <c r="CF1546" i="42385" s="1"/>
  <c r="AA1084" i="42385"/>
  <c r="BF1499" i="42385"/>
  <c r="BG1525" i="42385"/>
  <c r="BG1499" i="42385" s="1"/>
  <c r="BH1523" i="42385"/>
  <c r="AA910" i="42385"/>
  <c r="BU1498" i="42385"/>
  <c r="BV1400" i="42385"/>
  <c r="BK1124" i="42385"/>
  <c r="BK1552" i="42385" s="1"/>
  <c r="BQ1446" i="42385"/>
  <c r="BQ1448" i="42385"/>
  <c r="BQ1479" i="42385" s="1"/>
  <c r="BQ1445" i="42385"/>
  <c r="BR1583" i="42385"/>
  <c r="AD34" i="42476"/>
  <c r="BR1660" i="42385"/>
  <c r="CE118" i="42385"/>
  <c r="CE1500" i="42385"/>
  <c r="CE1575" i="42385" s="1"/>
  <c r="CE112" i="42385"/>
  <c r="CX416" i="42385"/>
  <c r="BK416" i="42385"/>
  <c r="BJ417" i="42385"/>
  <c r="CX417" i="42385" s="1"/>
  <c r="BK491" i="42385"/>
  <c r="BK270" i="42385"/>
  <c r="BK490" i="42385"/>
  <c r="BO374" i="42385"/>
  <c r="CY374" i="42385" s="1"/>
  <c r="BO375" i="42385"/>
  <c r="CY375" i="42385" s="1"/>
  <c r="CY373" i="42385"/>
  <c r="CB1238" i="42385"/>
  <c r="CC1237" i="42385"/>
  <c r="BL223" i="42385"/>
  <c r="BL228" i="42385" s="1"/>
  <c r="BL487" i="42385"/>
  <c r="BL489" i="42385"/>
  <c r="BK228" i="42385"/>
  <c r="BK258" i="42385" s="1"/>
  <c r="AV377" i="42385"/>
  <c r="CU377" i="42385"/>
  <c r="BV373" i="42385"/>
  <c r="BQ374" i="42385"/>
  <c r="BT373" i="42385"/>
  <c r="BN484" i="42385"/>
  <c r="BN483" i="42385" s="1"/>
  <c r="BM483" i="42385"/>
  <c r="BX1497" i="42385"/>
  <c r="BY1497" i="42385" s="1"/>
  <c r="DA1497" i="42385" s="1"/>
  <c r="AS383" i="42385"/>
  <c r="AS381" i="42385"/>
  <c r="AS382" i="42385"/>
  <c r="AS266" i="42385"/>
  <c r="AU266" i="42385" s="1"/>
  <c r="AU380" i="42385"/>
  <c r="BK261" i="42385"/>
  <c r="CU330" i="42492" s="1"/>
  <c r="BF405" i="42385"/>
  <c r="BK404" i="42385"/>
  <c r="BJ404" i="42385"/>
  <c r="CD808" i="42385"/>
  <c r="CD809" i="42385"/>
  <c r="CD807" i="42385"/>
  <c r="CD293" i="42385"/>
  <c r="BR404" i="42385"/>
  <c r="BM405" i="42385"/>
  <c r="BN934" i="42385"/>
  <c r="BM1533" i="42385"/>
  <c r="BM935" i="42385"/>
  <c r="CR1332" i="42385"/>
  <c r="AF1333" i="42385"/>
  <c r="BI1531" i="42385"/>
  <c r="BI811" i="42385"/>
  <c r="BJ810" i="42385"/>
  <c r="AP28" i="42385"/>
  <c r="CT19" i="42385"/>
  <c r="Z880" i="42385"/>
  <c r="Z881" i="42385" s="1"/>
  <c r="AA879" i="42385"/>
  <c r="CC1613" i="42385"/>
  <c r="CB1614" i="42385"/>
  <c r="BN404" i="42385"/>
  <c r="BI405" i="42385"/>
  <c r="CW404" i="42385"/>
  <c r="BE406" i="42385"/>
  <c r="CW406" i="42385" s="1"/>
  <c r="BE405" i="42385"/>
  <c r="CW405" i="42385" s="1"/>
  <c r="BG405" i="42385"/>
  <c r="BL404" i="42385"/>
  <c r="CE804" i="42385"/>
  <c r="CE806" i="42385" s="1"/>
  <c r="CF799" i="42385"/>
  <c r="CE800" i="42385"/>
  <c r="AT408" i="42385"/>
  <c r="AT407" i="42385" s="1"/>
  <c r="AT410" i="42385" s="1"/>
  <c r="AT412" i="42385" s="1"/>
  <c r="AS407" i="42385"/>
  <c r="AS410" i="42385" s="1"/>
  <c r="AS412" i="42385" s="1"/>
  <c r="DA1399" i="42385"/>
  <c r="BZ1399" i="42385"/>
  <c r="BZ1497" i="42385" s="1"/>
  <c r="DB1497" i="42385" s="1"/>
  <c r="D39" i="42407"/>
  <c r="D40" i="42407"/>
  <c r="BP759" i="42385"/>
  <c r="BP1538" i="42385"/>
  <c r="BQ758" i="42385"/>
  <c r="AN313" i="42385"/>
  <c r="BP479" i="42385"/>
  <c r="CY479" i="42385"/>
  <c r="BO1139" i="42385"/>
  <c r="CY1139" i="42385" s="1"/>
  <c r="BN778" i="42385"/>
  <c r="BP777" i="42385"/>
  <c r="BN1540" i="42385"/>
  <c r="BO1540" i="42385" s="1"/>
  <c r="CY1540" i="42385" s="1"/>
  <c r="AR413" i="42385"/>
  <c r="AR267" i="42385"/>
  <c r="AR415" i="42385"/>
  <c r="AR414" i="42385"/>
  <c r="CW107" i="42385"/>
  <c r="CZ248" i="42417"/>
  <c r="G7" i="42465"/>
  <c r="BE65" i="42385"/>
  <c r="CW63" i="42385"/>
  <c r="D9" i="42409"/>
  <c r="Z364" i="42385"/>
  <c r="Z365" i="42385" s="1"/>
  <c r="AA363" i="42385"/>
  <c r="AQ412" i="42385"/>
  <c r="BO777" i="42385"/>
  <c r="AV1432" i="42385"/>
  <c r="AV1434" i="42385" s="1"/>
  <c r="Z787" i="42385"/>
  <c r="Z788" i="42385" s="1"/>
  <c r="AA786" i="42385"/>
  <c r="CQ941" i="42385"/>
  <c r="AA942" i="42385"/>
  <c r="AA1004" i="42385"/>
  <c r="CQ1003" i="42385"/>
  <c r="AA818" i="42385"/>
  <c r="CQ817" i="42385"/>
  <c r="CQ910" i="42385"/>
  <c r="AA911" i="42385"/>
  <c r="CQ1084" i="42385"/>
  <c r="AA1085" i="42385"/>
  <c r="BR744" i="42385"/>
  <c r="AA849" i="42385"/>
  <c r="CQ848" i="42385"/>
  <c r="AB783" i="42385"/>
  <c r="AB388" i="42385"/>
  <c r="AB762" i="42385"/>
  <c r="AB611" i="42385"/>
  <c r="AB1081" i="42385"/>
  <c r="AB478" i="42385"/>
  <c r="AB481" i="42385" s="1"/>
  <c r="AC320" i="42385"/>
  <c r="AB814" i="42385"/>
  <c r="AB817" i="42385" s="1"/>
  <c r="AB818" i="42385" s="1"/>
  <c r="AB819" i="42385" s="1"/>
  <c r="AB907" i="42385"/>
  <c r="AB910" i="42385" s="1"/>
  <c r="AB911" i="42385" s="1"/>
  <c r="AB912" i="42385" s="1"/>
  <c r="AB360" i="42385"/>
  <c r="AB363" i="42385" s="1"/>
  <c r="AB364" i="42385" s="1"/>
  <c r="AB365" i="42385" s="1"/>
  <c r="AB743" i="42385"/>
  <c r="AB746" i="42385" s="1"/>
  <c r="AB1000" i="42385"/>
  <c r="AB1003" i="42385" s="1"/>
  <c r="AB1004" i="42385" s="1"/>
  <c r="AB1005" i="42385" s="1"/>
  <c r="AB326" i="42385"/>
  <c r="AB329" i="42385" s="1"/>
  <c r="AB330" i="42385" s="1"/>
  <c r="AB331" i="42385" s="1"/>
  <c r="AB938" i="42385"/>
  <c r="AB941" i="42385" s="1"/>
  <c r="AB942" i="42385" s="1"/>
  <c r="AB943" i="42385" s="1"/>
  <c r="AB705" i="42385"/>
  <c r="AB708" i="42385" s="1"/>
  <c r="AB845" i="42385"/>
  <c r="AB848" i="42385" s="1"/>
  <c r="AB849" i="42385" s="1"/>
  <c r="AB850" i="42385" s="1"/>
  <c r="AB876" i="42385"/>
  <c r="AB879" i="42385" s="1"/>
  <c r="AB880" i="42385" s="1"/>
  <c r="AB881" i="42385" s="1"/>
  <c r="AB1138" i="42385"/>
  <c r="AB1141" i="42385" s="1"/>
  <c r="Z615" i="42385"/>
  <c r="Z616" i="42385" s="1"/>
  <c r="AA614" i="42385"/>
  <c r="AA392" i="42385"/>
  <c r="CQ392" i="42385" s="1"/>
  <c r="CQ391" i="42385"/>
  <c r="Z330" i="42385"/>
  <c r="Z331" i="42385" s="1"/>
  <c r="AA329" i="42385"/>
  <c r="AX1437" i="42385"/>
  <c r="AW1439" i="42385"/>
  <c r="AW1431" i="42385" s="1"/>
  <c r="DB182" i="42385"/>
  <c r="CA182" i="42385"/>
  <c r="CE931" i="42385"/>
  <c r="CE933" i="42385"/>
  <c r="CE297" i="42385"/>
  <c r="CE932" i="42385"/>
  <c r="BO1582" i="42385"/>
  <c r="BN1585" i="42385"/>
  <c r="BN1584" i="42385"/>
  <c r="CF924" i="42385"/>
  <c r="CF928" i="42385"/>
  <c r="CF930" i="42385" s="1"/>
  <c r="BM1121" i="42385"/>
  <c r="BL1124" i="42385"/>
  <c r="BL1552" i="42385" s="1"/>
  <c r="Z180" i="42385"/>
  <c r="BN1107" i="42385"/>
  <c r="BN256" i="42385" s="1"/>
  <c r="BO1106" i="42385"/>
  <c r="BL261" i="42385"/>
  <c r="BW745" i="42385"/>
  <c r="BL260" i="42385"/>
  <c r="EA415" i="42492" s="1"/>
  <c r="BQ1118" i="42385"/>
  <c r="AI169" i="42385"/>
  <c r="CY1118" i="42385"/>
  <c r="BM707" i="42385"/>
  <c r="BM257" i="42385"/>
  <c r="DC1147" i="42385"/>
  <c r="CB1147" i="42385"/>
  <c r="BN409" i="42385"/>
  <c r="CB653" i="42385" l="1"/>
  <c r="CB656" i="42385" s="1"/>
  <c r="CB657" i="42385" s="1"/>
  <c r="CB658" i="42385" s="1"/>
  <c r="CC654" i="42385"/>
  <c r="U191" i="42385"/>
  <c r="T193" i="42385"/>
  <c r="BV1487" i="42385"/>
  <c r="BW1456" i="42385"/>
  <c r="AU625" i="42385"/>
  <c r="AT624" i="42385"/>
  <c r="BM1536" i="42385"/>
  <c r="BN720" i="42385"/>
  <c r="BO720" i="42385" s="1"/>
  <c r="BM721" i="42385"/>
  <c r="BQ841" i="42385"/>
  <c r="BP842" i="42385"/>
  <c r="BP1532" i="42385"/>
  <c r="AR628" i="42385"/>
  <c r="BO842" i="42385"/>
  <c r="CY842" i="42385" s="1"/>
  <c r="CY841" i="42385"/>
  <c r="BP632" i="42385"/>
  <c r="BQ631" i="42385"/>
  <c r="BP1543" i="42385"/>
  <c r="BL1529" i="42385"/>
  <c r="BM903" i="42385"/>
  <c r="BL904" i="42385"/>
  <c r="BS622" i="42385"/>
  <c r="BX621" i="42385"/>
  <c r="BX622" i="42385" s="1"/>
  <c r="CT628" i="42385"/>
  <c r="AP630" i="42385"/>
  <c r="CT630" i="42385" s="1"/>
  <c r="AP629" i="42385"/>
  <c r="CT629" i="42385" s="1"/>
  <c r="BO384" i="42385"/>
  <c r="BN1541" i="42385"/>
  <c r="BO1541" i="42385" s="1"/>
  <c r="CY1541" i="42385" s="1"/>
  <c r="BP384" i="42385"/>
  <c r="BN385" i="42385"/>
  <c r="BL621" i="42385"/>
  <c r="BG622" i="42385"/>
  <c r="BJ621" i="42385"/>
  <c r="BL258" i="42385"/>
  <c r="CY631" i="42385"/>
  <c r="BO632" i="42385"/>
  <c r="CY632" i="42385" s="1"/>
  <c r="AS629" i="42385"/>
  <c r="AS630" i="42385"/>
  <c r="AS280" i="42385"/>
  <c r="AO290" i="42385"/>
  <c r="GN528" i="42417"/>
  <c r="AO20" i="42385"/>
  <c r="AP280" i="42385"/>
  <c r="GN531" i="42417"/>
  <c r="BE623" i="42385"/>
  <c r="CW623" i="42385" s="1"/>
  <c r="CW621" i="42385"/>
  <c r="BE622" i="42385"/>
  <c r="CW622" i="42385" s="1"/>
  <c r="BL259" i="42385"/>
  <c r="CE294" i="42385"/>
  <c r="CE840" i="42385"/>
  <c r="CE838" i="42385"/>
  <c r="CE839" i="42385"/>
  <c r="BQ1547" i="42385"/>
  <c r="BQ474" i="42385"/>
  <c r="BQ475" i="42385" s="1"/>
  <c r="BQ473" i="42385"/>
  <c r="BR472" i="42385"/>
  <c r="CF1386" i="42385"/>
  <c r="CE1563" i="42385"/>
  <c r="CE1593" i="42385" s="1"/>
  <c r="CF831" i="42385"/>
  <c r="CF835" i="42385"/>
  <c r="CF837" i="42385" s="1"/>
  <c r="G6" i="42464"/>
  <c r="CV265" i="42385"/>
  <c r="GC450" i="42417"/>
  <c r="GG450" i="42417" s="1"/>
  <c r="FJ415" i="42417"/>
  <c r="BA265" i="42385"/>
  <c r="BA354" i="42385"/>
  <c r="BA355" i="42385"/>
  <c r="BA353" i="42385"/>
  <c r="BE352" i="42385"/>
  <c r="BO356" i="42385"/>
  <c r="BN357" i="42385"/>
  <c r="BN1528" i="42385"/>
  <c r="BO1528" i="42385" s="1"/>
  <c r="CY1528" i="42385" s="1"/>
  <c r="BP356" i="42385"/>
  <c r="CD344" i="42385"/>
  <c r="CC345" i="42385"/>
  <c r="BD347" i="42385"/>
  <c r="BD350" i="42385" s="1"/>
  <c r="BD352" i="42385" s="1"/>
  <c r="BE348" i="42385"/>
  <c r="CW348" i="42385" s="1"/>
  <c r="BF348" i="42385"/>
  <c r="CV352" i="42385"/>
  <c r="AZ355" i="42385"/>
  <c r="CF205" i="42417"/>
  <c r="AZ353" i="42385"/>
  <c r="CV353" i="42385" s="1"/>
  <c r="AZ354" i="42385"/>
  <c r="CV354" i="42385" s="1"/>
  <c r="BC355" i="42385"/>
  <c r="BC354" i="42385"/>
  <c r="BC265" i="42385"/>
  <c r="BC353" i="42385"/>
  <c r="CD893" i="42385"/>
  <c r="CE892" i="42385"/>
  <c r="CD897" i="42385"/>
  <c r="CD899" i="42385" s="1"/>
  <c r="BE480" i="42385"/>
  <c r="BD1140" i="42385"/>
  <c r="CC900" i="42385"/>
  <c r="CC901" i="42385"/>
  <c r="CC296" i="42385"/>
  <c r="CC902" i="42385"/>
  <c r="CE862" i="42385"/>
  <c r="CE866" i="42385"/>
  <c r="CE868" i="42385" s="1"/>
  <c r="CF861" i="42385"/>
  <c r="CD869" i="42385"/>
  <c r="CD871" i="42385"/>
  <c r="CD870" i="42385"/>
  <c r="CD295" i="42385"/>
  <c r="BH1525" i="42385"/>
  <c r="BH1499" i="42385" s="1"/>
  <c r="BI1523" i="42385"/>
  <c r="BM872" i="42385"/>
  <c r="BL873" i="42385"/>
  <c r="BL1535" i="42385"/>
  <c r="BR1446" i="42385"/>
  <c r="BR1448" i="42385"/>
  <c r="BR1479" i="42385" s="1"/>
  <c r="BR1445" i="42385"/>
  <c r="BV1498" i="42385"/>
  <c r="BW1400" i="42385"/>
  <c r="BW1498" i="42385" s="1"/>
  <c r="CU266" i="42385"/>
  <c r="GP526" i="42417"/>
  <c r="F18" i="42464"/>
  <c r="AU410" i="42385"/>
  <c r="CU410" i="42385" s="1"/>
  <c r="AU381" i="42385"/>
  <c r="CU381" i="42385" s="1"/>
  <c r="AU382" i="42385"/>
  <c r="CU382" i="42385" s="1"/>
  <c r="AU383" i="42385"/>
  <c r="CU383" i="42385" s="1"/>
  <c r="CU380" i="42385"/>
  <c r="BO483" i="42385"/>
  <c r="BN489" i="42385"/>
  <c r="BN487" i="42385"/>
  <c r="BN223" i="42385"/>
  <c r="BN228" i="42385" s="1"/>
  <c r="CZ373" i="42385"/>
  <c r="BT374" i="42385"/>
  <c r="CZ374" i="42385" s="1"/>
  <c r="BT375" i="42385"/>
  <c r="CZ375" i="42385" s="1"/>
  <c r="AV376" i="42385"/>
  <c r="AW377" i="42385"/>
  <c r="CD1237" i="42385"/>
  <c r="CC1238" i="42385"/>
  <c r="BK128" i="42385"/>
  <c r="BK259" i="42385"/>
  <c r="BK1558" i="42385"/>
  <c r="BL491" i="42385"/>
  <c r="BL490" i="42385"/>
  <c r="BL270" i="42385"/>
  <c r="BM489" i="42385"/>
  <c r="BM487" i="42385"/>
  <c r="BM223" i="42385"/>
  <c r="BM228" i="42385" s="1"/>
  <c r="BV374" i="42385"/>
  <c r="BY373" i="42385"/>
  <c r="BL416" i="42385"/>
  <c r="BK1530" i="42385"/>
  <c r="BK417" i="42385"/>
  <c r="AQ414" i="42385"/>
  <c r="AU412" i="42385"/>
  <c r="AQ415" i="42385"/>
  <c r="AQ267" i="42385"/>
  <c r="AQ413" i="42385"/>
  <c r="AR19" i="42385"/>
  <c r="AR277" i="42385"/>
  <c r="AN314" i="42385"/>
  <c r="AT414" i="42385"/>
  <c r="AT413" i="42385"/>
  <c r="AT415" i="42385"/>
  <c r="AT267" i="42385"/>
  <c r="BQ404" i="42385"/>
  <c r="BL405" i="42385"/>
  <c r="AA880" i="42385"/>
  <c r="CQ879" i="42385"/>
  <c r="BW404" i="42385"/>
  <c r="BW405" i="42385" s="1"/>
  <c r="BR405" i="42385"/>
  <c r="CY777" i="42385"/>
  <c r="BO778" i="42385"/>
  <c r="CY778" i="42385" s="1"/>
  <c r="BJ811" i="42385"/>
  <c r="CX811" i="42385" s="1"/>
  <c r="BK810" i="42385"/>
  <c r="CX810" i="42385"/>
  <c r="BJ406" i="42385"/>
  <c r="CX406" i="42385" s="1"/>
  <c r="CX404" i="42385"/>
  <c r="BJ405" i="42385"/>
  <c r="CX405" i="42385" s="1"/>
  <c r="CQ363" i="42385"/>
  <c r="AA364" i="42385"/>
  <c r="D7" i="42409"/>
  <c r="D13" i="42409" s="1"/>
  <c r="BE75" i="42385"/>
  <c r="G8" i="42465"/>
  <c r="CW65" i="42385"/>
  <c r="BQ479" i="42385"/>
  <c r="BP1139" i="42385"/>
  <c r="BR758" i="42385"/>
  <c r="BQ1538" i="42385"/>
  <c r="BQ759" i="42385"/>
  <c r="AU408" i="42385"/>
  <c r="CF800" i="42385"/>
  <c r="CF804" i="42385"/>
  <c r="CF806" i="42385" s="1"/>
  <c r="BS404" i="42385"/>
  <c r="BN405" i="42385"/>
  <c r="CC1614" i="42385"/>
  <c r="CD1613" i="42385"/>
  <c r="BO934" i="42385"/>
  <c r="BN935" i="42385"/>
  <c r="BP934" i="42385"/>
  <c r="BN1533" i="42385"/>
  <c r="BO1533" i="42385" s="1"/>
  <c r="CY1533" i="42385" s="1"/>
  <c r="BK405" i="42385"/>
  <c r="BP404" i="42385"/>
  <c r="BO404" i="42385"/>
  <c r="BP1540" i="42385"/>
  <c r="BP778" i="42385"/>
  <c r="BQ777" i="42385"/>
  <c r="CA1399" i="42385"/>
  <c r="CA1497" i="42385" s="1"/>
  <c r="DC1497" i="42385" s="1"/>
  <c r="DB1399" i="42385"/>
  <c r="AS413" i="42385"/>
  <c r="AS414" i="42385"/>
  <c r="AS267" i="42385"/>
  <c r="AS415" i="42385"/>
  <c r="CE293" i="42385"/>
  <c r="CE808" i="42385"/>
  <c r="CE809" i="42385"/>
  <c r="CE807" i="42385"/>
  <c r="AU407" i="42385"/>
  <c r="CU407" i="42385" s="1"/>
  <c r="BJ1531" i="42385"/>
  <c r="BI1554" i="42385"/>
  <c r="BJ1554" i="42385" s="1"/>
  <c r="CX1554" i="42385" s="1"/>
  <c r="AG1332" i="42385"/>
  <c r="AG1333" i="42385" s="1"/>
  <c r="CR1333" i="42385"/>
  <c r="AK1332" i="42385"/>
  <c r="CQ614" i="42385"/>
  <c r="AA615" i="42385"/>
  <c r="AC938" i="42385"/>
  <c r="AC941" i="42385" s="1"/>
  <c r="AC942" i="42385" s="1"/>
  <c r="AC943" i="42385" s="1"/>
  <c r="AC326" i="42385"/>
  <c r="AC329" i="42385" s="1"/>
  <c r="AC330" i="42385" s="1"/>
  <c r="AC331" i="42385" s="1"/>
  <c r="AC478" i="42385"/>
  <c r="AC481" i="42385" s="1"/>
  <c r="AC743" i="42385"/>
  <c r="AC746" i="42385" s="1"/>
  <c r="AC907" i="42385"/>
  <c r="AC910" i="42385" s="1"/>
  <c r="AC911" i="42385" s="1"/>
  <c r="AC912" i="42385" s="1"/>
  <c r="AC1081" i="42385"/>
  <c r="AC1084" i="42385" s="1"/>
  <c r="AC1085" i="42385" s="1"/>
  <c r="AC1086" i="42385" s="1"/>
  <c r="AD320" i="42385"/>
  <c r="AC388" i="42385"/>
  <c r="AC391" i="42385" s="1"/>
  <c r="AC392" i="42385" s="1"/>
  <c r="AC393" i="42385" s="1"/>
  <c r="AC783" i="42385"/>
  <c r="AC786" i="42385" s="1"/>
  <c r="AC787" i="42385" s="1"/>
  <c r="AC788" i="42385" s="1"/>
  <c r="AC762" i="42385"/>
  <c r="AC765" i="42385" s="1"/>
  <c r="AC360" i="42385"/>
  <c r="AC363" i="42385" s="1"/>
  <c r="AC364" i="42385" s="1"/>
  <c r="AC365" i="42385" s="1"/>
  <c r="AC611" i="42385"/>
  <c r="AC614" i="42385" s="1"/>
  <c r="AC615" i="42385" s="1"/>
  <c r="AC616" i="42385" s="1"/>
  <c r="AC705" i="42385"/>
  <c r="AC708" i="42385" s="1"/>
  <c r="AC845" i="42385"/>
  <c r="AC848" i="42385" s="1"/>
  <c r="AC849" i="42385" s="1"/>
  <c r="AC850" i="42385" s="1"/>
  <c r="AC814" i="42385"/>
  <c r="AC1000" i="42385"/>
  <c r="AC1003" i="42385" s="1"/>
  <c r="AC1004" i="42385" s="1"/>
  <c r="AC1005" i="42385" s="1"/>
  <c r="AC876" i="42385"/>
  <c r="AC879" i="42385" s="1"/>
  <c r="AC880" i="42385" s="1"/>
  <c r="AC881" i="42385" s="1"/>
  <c r="AC1138" i="42385"/>
  <c r="AC1141" i="42385" s="1"/>
  <c r="AB765" i="42385"/>
  <c r="AA850" i="42385"/>
  <c r="CQ850" i="42385" s="1"/>
  <c r="CQ849" i="42385"/>
  <c r="CQ1085" i="42385"/>
  <c r="AA1086" i="42385"/>
  <c r="CQ1086" i="42385" s="1"/>
  <c r="CQ329" i="42385"/>
  <c r="AA330" i="42385"/>
  <c r="AB391" i="42385"/>
  <c r="AB392" i="42385" s="1"/>
  <c r="AB393" i="42385" s="1"/>
  <c r="BS744" i="42385"/>
  <c r="CQ818" i="42385"/>
  <c r="AA819" i="42385"/>
  <c r="CQ819" i="42385" s="1"/>
  <c r="AA943" i="42385"/>
  <c r="CQ943" i="42385" s="1"/>
  <c r="CQ942" i="42385"/>
  <c r="AB1084" i="42385"/>
  <c r="AB1085" i="42385" s="1"/>
  <c r="AB1086" i="42385" s="1"/>
  <c r="AB786" i="42385"/>
  <c r="AB787" i="42385" s="1"/>
  <c r="AB788" i="42385" s="1"/>
  <c r="AA912" i="42385"/>
  <c r="CQ912" i="42385" s="1"/>
  <c r="CQ911" i="42385"/>
  <c r="AA787" i="42385"/>
  <c r="CQ786" i="42385"/>
  <c r="AB614" i="42385"/>
  <c r="AB615" i="42385" s="1"/>
  <c r="AB616" i="42385" s="1"/>
  <c r="CQ1004" i="42385"/>
  <c r="AA1005" i="42385"/>
  <c r="CQ1005" i="42385" s="1"/>
  <c r="CB182" i="42385"/>
  <c r="CC182" i="42385" s="1"/>
  <c r="CD182" i="42385" s="1"/>
  <c r="CE182" i="42385" s="1"/>
  <c r="CF182" i="42385" s="1"/>
  <c r="DC182" i="42385"/>
  <c r="AW1432" i="42385"/>
  <c r="AW1434" i="42385" s="1"/>
  <c r="BN1121" i="42385"/>
  <c r="BM1124" i="42385"/>
  <c r="BM1552" i="42385" s="1"/>
  <c r="CF297" i="42385"/>
  <c r="CF932" i="42385"/>
  <c r="CF933" i="42385"/>
  <c r="CF931" i="42385"/>
  <c r="BN1586" i="42385"/>
  <c r="BO1585" i="42385"/>
  <c r="CY1585" i="42385" s="1"/>
  <c r="CY1582" i="42385"/>
  <c r="BP1582" i="42385"/>
  <c r="BO1584" i="42385"/>
  <c r="CY1584" i="42385" s="1"/>
  <c r="AX1439" i="42385"/>
  <c r="AX1431" i="42385" s="1"/>
  <c r="AY1437" i="42385"/>
  <c r="BN707" i="42385"/>
  <c r="AJ169" i="42385"/>
  <c r="BR1118" i="42385"/>
  <c r="BN257" i="42385"/>
  <c r="BO257" i="42385" s="1"/>
  <c r="BO256" i="42385"/>
  <c r="CU331" i="42492"/>
  <c r="BO409" i="42385"/>
  <c r="BP1106" i="42385"/>
  <c r="BO1107" i="42385"/>
  <c r="CY1106" i="42385"/>
  <c r="CC1147" i="42385"/>
  <c r="BX745" i="42385"/>
  <c r="AA180" i="42385"/>
  <c r="BE347" i="42385" l="1"/>
  <c r="CW347" i="42385" s="1"/>
  <c r="CC653" i="42385"/>
  <c r="CC656" i="42385" s="1"/>
  <c r="CC657" i="42385" s="1"/>
  <c r="CC658" i="42385" s="1"/>
  <c r="CD654" i="42385"/>
  <c r="BM261" i="42385"/>
  <c r="V191" i="42385"/>
  <c r="U193" i="42385"/>
  <c r="BW1487" i="42385"/>
  <c r="BX1456" i="42385"/>
  <c r="BM260" i="42385"/>
  <c r="EB415" i="42492" s="1"/>
  <c r="CX621" i="42385"/>
  <c r="BJ623" i="42385"/>
  <c r="CX623" i="42385" s="1"/>
  <c r="BJ622" i="42385"/>
  <c r="CX622" i="42385" s="1"/>
  <c r="BQ384" i="42385"/>
  <c r="BP385" i="42385"/>
  <c r="BP1541" i="42385"/>
  <c r="BQ1543" i="42385"/>
  <c r="BQ632" i="42385"/>
  <c r="BR631" i="42385"/>
  <c r="BR841" i="42385"/>
  <c r="BQ842" i="42385"/>
  <c r="BQ1532" i="42385"/>
  <c r="BN903" i="42385"/>
  <c r="BM1529" i="42385"/>
  <c r="BM904" i="42385"/>
  <c r="AR629" i="42385"/>
  <c r="AR630" i="42385"/>
  <c r="AR280" i="42385"/>
  <c r="BO721" i="42385"/>
  <c r="CY721" i="42385" s="1"/>
  <c r="CY720" i="42385"/>
  <c r="AT626" i="42385"/>
  <c r="AU624" i="42385"/>
  <c r="CU624" i="42385" s="1"/>
  <c r="CT280" i="42385"/>
  <c r="E20" i="42464"/>
  <c r="GO528" i="42417"/>
  <c r="AP290" i="42385"/>
  <c r="GO531" i="42417"/>
  <c r="AS290" i="42385"/>
  <c r="AS20" i="42385"/>
  <c r="AS29" i="42385" s="1"/>
  <c r="BL622" i="42385"/>
  <c r="BO621" i="42385"/>
  <c r="BQ621" i="42385"/>
  <c r="BO385" i="42385"/>
  <c r="CY385" i="42385" s="1"/>
  <c r="CY384" i="42385"/>
  <c r="AV625" i="42385"/>
  <c r="CU625" i="42385"/>
  <c r="AO29" i="42385"/>
  <c r="AO23" i="42385"/>
  <c r="AP20" i="42385"/>
  <c r="BL128" i="42385"/>
  <c r="BL1558" i="42385"/>
  <c r="BP720" i="42385"/>
  <c r="BN721" i="42385"/>
  <c r="BN1536" i="42385"/>
  <c r="BO1536" i="42385" s="1"/>
  <c r="CY1536" i="42385" s="1"/>
  <c r="BO903" i="42385"/>
  <c r="CF294" i="42385"/>
  <c r="CF838" i="42385"/>
  <c r="CF839" i="42385"/>
  <c r="CF840" i="42385"/>
  <c r="BR474" i="42385"/>
  <c r="BR475" i="42385" s="1"/>
  <c r="BR1547" i="42385"/>
  <c r="BR473" i="42385"/>
  <c r="BS472" i="42385"/>
  <c r="CF1486" i="42385"/>
  <c r="CF1563" i="42385"/>
  <c r="CF1593" i="42385" s="1"/>
  <c r="BG348" i="42385"/>
  <c r="BF347" i="42385"/>
  <c r="CE344" i="42385"/>
  <c r="CD345" i="42385"/>
  <c r="CY356" i="42385"/>
  <c r="BO357" i="42385"/>
  <c r="CY357" i="42385" s="1"/>
  <c r="CF211" i="42417"/>
  <c r="CF225" i="42417"/>
  <c r="CG205" i="42417"/>
  <c r="BQ356" i="42385"/>
  <c r="BP1528" i="42385"/>
  <c r="BP357" i="42385"/>
  <c r="CW352" i="42385"/>
  <c r="BE353" i="42385"/>
  <c r="CW353" i="42385" s="1"/>
  <c r="BE355" i="42385"/>
  <c r="CW355" i="42385" s="1"/>
  <c r="BE354" i="42385"/>
  <c r="CW354" i="42385" s="1"/>
  <c r="CD205" i="42417"/>
  <c r="CD225" i="42417" s="1"/>
  <c r="CV355" i="42385"/>
  <c r="BD355" i="42385"/>
  <c r="BD353" i="42385"/>
  <c r="BD265" i="42385"/>
  <c r="BE265" i="42385" s="1"/>
  <c r="CW265" i="42385" s="1"/>
  <c r="BD354" i="42385"/>
  <c r="FN415" i="42417"/>
  <c r="FL415" i="42417"/>
  <c r="IG702" i="42417" s="1"/>
  <c r="IG703" i="42417" s="1"/>
  <c r="FJ427" i="42417"/>
  <c r="FL427" i="42417" s="1"/>
  <c r="BE350" i="42385"/>
  <c r="CW350" i="42385" s="1"/>
  <c r="BF480" i="42385"/>
  <c r="CW480" i="42385"/>
  <c r="BE1140" i="42385"/>
  <c r="CW1140" i="42385" s="1"/>
  <c r="CD296" i="42385"/>
  <c r="CD902" i="42385"/>
  <c r="CD901" i="42385"/>
  <c r="CD900" i="42385"/>
  <c r="CE897" i="42385"/>
  <c r="CE899" i="42385" s="1"/>
  <c r="CF892" i="42385"/>
  <c r="CE893" i="42385"/>
  <c r="CF866" i="42385"/>
  <c r="CF868" i="42385" s="1"/>
  <c r="CF862" i="42385"/>
  <c r="CE870" i="42385"/>
  <c r="CE295" i="42385"/>
  <c r="CE869" i="42385"/>
  <c r="CE871" i="42385"/>
  <c r="BI1525" i="42385"/>
  <c r="BI1499" i="42385" s="1"/>
  <c r="BJ1499" i="42385" s="1"/>
  <c r="CX1499" i="42385" s="1"/>
  <c r="BJ1523" i="42385"/>
  <c r="BM873" i="42385"/>
  <c r="BN872" i="42385"/>
  <c r="BO872" i="42385" s="1"/>
  <c r="BM1535" i="42385"/>
  <c r="BN258" i="42385"/>
  <c r="BN259" i="42385" s="1"/>
  <c r="BO489" i="42385"/>
  <c r="CY489" i="42385" s="1"/>
  <c r="BO223" i="42385"/>
  <c r="CY223" i="42385" s="1"/>
  <c r="BX1400" i="42385"/>
  <c r="BY1400" i="42385" s="1"/>
  <c r="CE1237" i="42385"/>
  <c r="CD1238" i="42385"/>
  <c r="BM258" i="42385"/>
  <c r="BY375" i="42385"/>
  <c r="DA375" i="42385" s="1"/>
  <c r="BY374" i="42385"/>
  <c r="DA374" i="42385" s="1"/>
  <c r="DA373" i="42385"/>
  <c r="BZ373" i="42385"/>
  <c r="BN491" i="42385"/>
  <c r="BN270" i="42385"/>
  <c r="BN490" i="42385"/>
  <c r="BM490" i="42385"/>
  <c r="BM491" i="42385"/>
  <c r="BM270" i="42385"/>
  <c r="AX377" i="42385"/>
  <c r="AW376" i="42385"/>
  <c r="AW378" i="42385" s="1"/>
  <c r="AW380" i="42385" s="1"/>
  <c r="BO487" i="42385"/>
  <c r="CY487" i="42385" s="1"/>
  <c r="BO484" i="42385"/>
  <c r="CY483" i="42385"/>
  <c r="BM416" i="42385"/>
  <c r="BL417" i="42385"/>
  <c r="BL1530" i="42385"/>
  <c r="AV378" i="42385"/>
  <c r="BO228" i="42385"/>
  <c r="CY228" i="42385" s="1"/>
  <c r="AH1332" i="42385"/>
  <c r="AH1333" i="42385" s="1"/>
  <c r="AG1339" i="42385"/>
  <c r="BO935" i="42385"/>
  <c r="CY935" i="42385" s="1"/>
  <c r="CY934" i="42385"/>
  <c r="BX404" i="42385"/>
  <c r="BX405" i="42385" s="1"/>
  <c r="BS405" i="42385"/>
  <c r="BR479" i="42385"/>
  <c r="BQ1139" i="42385"/>
  <c r="D32" i="42409"/>
  <c r="D15" i="42409"/>
  <c r="AQ19" i="42385"/>
  <c r="AQ277" i="42385"/>
  <c r="AU267" i="42385"/>
  <c r="AS277" i="42385"/>
  <c r="AS19" i="42385"/>
  <c r="CD1614" i="42385"/>
  <c r="CE1613" i="42385"/>
  <c r="CF808" i="42385"/>
  <c r="CF293" i="42385"/>
  <c r="CF807" i="42385"/>
  <c r="CF809" i="42385"/>
  <c r="CQ364" i="42385"/>
  <c r="AA365" i="42385"/>
  <c r="CQ365" i="42385" s="1"/>
  <c r="BL810" i="42385"/>
  <c r="BK1531" i="42385"/>
  <c r="BK1554" i="42385" s="1"/>
  <c r="BK811" i="42385"/>
  <c r="AA881" i="42385"/>
  <c r="CQ881" i="42385" s="1"/>
  <c r="CQ880" i="42385"/>
  <c r="BN260" i="42385"/>
  <c r="EC415" i="42492" s="1"/>
  <c r="CS1332" i="42385"/>
  <c r="AK1333" i="42385"/>
  <c r="CX1531" i="42385"/>
  <c r="BJ1556" i="42385"/>
  <c r="DC1399" i="42385"/>
  <c r="CB1399" i="42385"/>
  <c r="BO406" i="42385"/>
  <c r="CY406" i="42385" s="1"/>
  <c r="CY404" i="42385"/>
  <c r="BO405" i="42385"/>
  <c r="CY405" i="42385" s="1"/>
  <c r="BP935" i="42385"/>
  <c r="BQ934" i="42385"/>
  <c r="BP1533" i="42385"/>
  <c r="BR759" i="42385"/>
  <c r="BS758" i="42385"/>
  <c r="BT758" i="42385" s="1"/>
  <c r="BR1538" i="42385"/>
  <c r="AT277" i="42385"/>
  <c r="AT19" i="42385"/>
  <c r="AN316" i="42385"/>
  <c r="BB248" i="42424"/>
  <c r="BB250" i="42424" s="1"/>
  <c r="BB252" i="42424" s="1"/>
  <c r="AD99" i="42424"/>
  <c r="AN50" i="42385"/>
  <c r="AN315" i="42385"/>
  <c r="AN1647" i="42385"/>
  <c r="AR28" i="42385"/>
  <c r="AU415" i="42385"/>
  <c r="CU415" i="42385" s="1"/>
  <c r="AU413" i="42385"/>
  <c r="CU413" i="42385" s="1"/>
  <c r="CU412" i="42385"/>
  <c r="AU414" i="42385"/>
  <c r="CU414" i="42385" s="1"/>
  <c r="BQ778" i="42385"/>
  <c r="BQ1540" i="42385"/>
  <c r="BR777" i="42385"/>
  <c r="BP405" i="42385"/>
  <c r="BT404" i="42385"/>
  <c r="BU404" i="42385"/>
  <c r="CU408" i="42385"/>
  <c r="AV408" i="42385"/>
  <c r="BE1514" i="42385"/>
  <c r="Q76" i="42476" s="1"/>
  <c r="Q75" i="42476" s="1"/>
  <c r="Q78" i="42476" s="1"/>
  <c r="Q81" i="42476" s="1"/>
  <c r="G11" i="42465"/>
  <c r="BE77" i="42385"/>
  <c r="CW75" i="42385"/>
  <c r="BQ405" i="42385"/>
  <c r="BV404" i="42385"/>
  <c r="BV405" i="42385" s="1"/>
  <c r="CQ330" i="42385"/>
  <c r="AA331" i="42385"/>
  <c r="CQ331" i="42385" s="1"/>
  <c r="BT744" i="42385"/>
  <c r="AD743" i="42385"/>
  <c r="AD746" i="42385" s="1"/>
  <c r="AD1081" i="42385"/>
  <c r="AD1084" i="42385" s="1"/>
  <c r="AD1000" i="42385"/>
  <c r="AD388" i="42385"/>
  <c r="AD391" i="42385" s="1"/>
  <c r="AD392" i="42385" s="1"/>
  <c r="AD393" i="42385" s="1"/>
  <c r="AD360" i="42385"/>
  <c r="AD363" i="42385" s="1"/>
  <c r="AD364" i="42385" s="1"/>
  <c r="AD365" i="42385" s="1"/>
  <c r="AD938" i="42385"/>
  <c r="AD1138" i="42385"/>
  <c r="AD1141" i="42385" s="1"/>
  <c r="AD814" i="42385"/>
  <c r="AD478" i="42385"/>
  <c r="AD845" i="42385"/>
  <c r="AD848" i="42385" s="1"/>
  <c r="AD849" i="42385" s="1"/>
  <c r="AD850" i="42385" s="1"/>
  <c r="AE320" i="42385"/>
  <c r="AD907" i="42385"/>
  <c r="AD910" i="42385" s="1"/>
  <c r="AD911" i="42385" s="1"/>
  <c r="AD912" i="42385" s="1"/>
  <c r="AD762" i="42385"/>
  <c r="AD765" i="42385" s="1"/>
  <c r="AD705" i="42385"/>
  <c r="AD708" i="42385" s="1"/>
  <c r="AD783" i="42385"/>
  <c r="AD786" i="42385" s="1"/>
  <c r="AD787" i="42385" s="1"/>
  <c r="AD788" i="42385" s="1"/>
  <c r="AD611" i="42385"/>
  <c r="AD614" i="42385" s="1"/>
  <c r="AD615" i="42385" s="1"/>
  <c r="AD616" i="42385" s="1"/>
  <c r="AD326" i="42385"/>
  <c r="AD329" i="42385" s="1"/>
  <c r="AD876" i="42385"/>
  <c r="CQ787" i="42385"/>
  <c r="AA788" i="42385"/>
  <c r="CQ788" i="42385" s="1"/>
  <c r="CQ615" i="42385"/>
  <c r="AA616" i="42385"/>
  <c r="CQ616" i="42385" s="1"/>
  <c r="AX1432" i="42385"/>
  <c r="AX1477" i="42385" s="1"/>
  <c r="BO1121" i="42385"/>
  <c r="BP1121" i="42385"/>
  <c r="BN1124" i="42385"/>
  <c r="BN1552" i="42385" s="1"/>
  <c r="BQ1582" i="42385"/>
  <c r="BP1585" i="42385"/>
  <c r="BP1586" i="42385" s="1"/>
  <c r="BP1587" i="42385" s="1"/>
  <c r="BP1584" i="42385"/>
  <c r="AX1476" i="42385"/>
  <c r="BN1587" i="42385"/>
  <c r="BO1586" i="42385"/>
  <c r="AZ1437" i="42385"/>
  <c r="AY1439" i="42385"/>
  <c r="AY1432" i="42385" s="1"/>
  <c r="AD330" i="42385"/>
  <c r="AD331" i="42385" s="1"/>
  <c r="BN261" i="42385"/>
  <c r="BO261" i="42385" s="1"/>
  <c r="BS1118" i="42385"/>
  <c r="BT1118" i="42385" s="1"/>
  <c r="BY745" i="42385"/>
  <c r="BO1108" i="42385"/>
  <c r="CY1108" i="42385" s="1"/>
  <c r="CY1107" i="42385"/>
  <c r="EH457" i="42492"/>
  <c r="EH459" i="42492" s="1"/>
  <c r="CY256" i="42385"/>
  <c r="BO707" i="42385"/>
  <c r="CQ180" i="42385"/>
  <c r="AB180" i="42385"/>
  <c r="CD1147" i="42385"/>
  <c r="BQ1106" i="42385"/>
  <c r="BP1107" i="42385"/>
  <c r="BP256" i="42385" s="1"/>
  <c r="BP409" i="42385"/>
  <c r="CY409" i="42385"/>
  <c r="AK169" i="42385"/>
  <c r="CE654" i="42385" l="1"/>
  <c r="CD653" i="42385"/>
  <c r="CD656" i="42385" s="1"/>
  <c r="CD657" i="42385" s="1"/>
  <c r="CD658" i="42385" s="1"/>
  <c r="BX1487" i="42385"/>
  <c r="BY1487" i="42385" s="1"/>
  <c r="BY1456" i="42385"/>
  <c r="BZ1456" i="42385" s="1"/>
  <c r="CP191" i="42385"/>
  <c r="W191" i="42385"/>
  <c r="V193" i="42385"/>
  <c r="CP193" i="42385" s="1"/>
  <c r="BQ720" i="42385"/>
  <c r="BP1536" i="42385"/>
  <c r="BP721" i="42385"/>
  <c r="AO313" i="42385"/>
  <c r="AP23" i="42385"/>
  <c r="CT23" i="42385" s="1"/>
  <c r="BQ1541" i="42385"/>
  <c r="BR384" i="42385"/>
  <c r="BQ385" i="42385"/>
  <c r="BO904" i="42385"/>
  <c r="CY904" i="42385" s="1"/>
  <c r="CY903" i="42385"/>
  <c r="AT628" i="42385"/>
  <c r="AU626" i="42385"/>
  <c r="CU626" i="42385" s="1"/>
  <c r="AR290" i="42385"/>
  <c r="AR20" i="42385"/>
  <c r="BR842" i="42385"/>
  <c r="BS841" i="42385"/>
  <c r="BT841" i="42385" s="1"/>
  <c r="BR1532" i="42385"/>
  <c r="BV621" i="42385"/>
  <c r="BQ622" i="42385"/>
  <c r="BT621" i="42385"/>
  <c r="E23" i="42464"/>
  <c r="E27" i="42464"/>
  <c r="BP903" i="42385"/>
  <c r="BN1529" i="42385"/>
  <c r="BO1529" i="42385" s="1"/>
  <c r="CY1529" i="42385" s="1"/>
  <c r="BN904" i="42385"/>
  <c r="BS631" i="42385"/>
  <c r="BR632" i="42385"/>
  <c r="BR1543" i="42385"/>
  <c r="CT20" i="42385"/>
  <c r="AP29" i="42385"/>
  <c r="AP24" i="42385"/>
  <c r="AV624" i="42385"/>
  <c r="AV626" i="42385" s="1"/>
  <c r="AV628" i="42385" s="1"/>
  <c r="AW625" i="42385"/>
  <c r="CY621" i="42385"/>
  <c r="BO623" i="42385"/>
  <c r="CY623" i="42385" s="1"/>
  <c r="BO622" i="42385"/>
  <c r="CY622" i="42385" s="1"/>
  <c r="BU472" i="42385"/>
  <c r="BS1547" i="42385"/>
  <c r="BT472" i="42385"/>
  <c r="BO258" i="42385"/>
  <c r="BO128" i="42385" s="1"/>
  <c r="CY128" i="42385" s="1"/>
  <c r="BO260" i="42385"/>
  <c r="Q7" i="42420" s="1"/>
  <c r="FN427" i="42417"/>
  <c r="FL438" i="42417"/>
  <c r="FL439" i="42417" s="1"/>
  <c r="BR356" i="42385"/>
  <c r="BQ357" i="42385"/>
  <c r="BQ1528" i="42385"/>
  <c r="CI205" i="42417"/>
  <c r="CG211" i="42417"/>
  <c r="CH205" i="42417"/>
  <c r="BF350" i="42385"/>
  <c r="CF344" i="42385"/>
  <c r="CF345" i="42385" s="1"/>
  <c r="CE345" i="42385"/>
  <c r="BN193" i="42417"/>
  <c r="BN196" i="42417" s="1"/>
  <c r="BN198" i="42417" s="1"/>
  <c r="BO198" i="42417" s="1"/>
  <c r="CF229" i="42417"/>
  <c r="BH348" i="42385"/>
  <c r="BG347" i="42385"/>
  <c r="BG350" i="42385" s="1"/>
  <c r="BG352" i="42385" s="1"/>
  <c r="BN1558" i="42385"/>
  <c r="CE900" i="42385"/>
  <c r="CE901" i="42385"/>
  <c r="CE902" i="42385"/>
  <c r="CE296" i="42385"/>
  <c r="BN128" i="42385"/>
  <c r="CF897" i="42385"/>
  <c r="CF899" i="42385" s="1"/>
  <c r="CF893" i="42385"/>
  <c r="BG480" i="42385"/>
  <c r="BF1140" i="42385"/>
  <c r="CF871" i="42385"/>
  <c r="CF870" i="42385"/>
  <c r="CF295" i="42385"/>
  <c r="CF869" i="42385"/>
  <c r="BO491" i="42385"/>
  <c r="CY491" i="42385" s="1"/>
  <c r="BN873" i="42385"/>
  <c r="BN1535" i="42385"/>
  <c r="BO1535" i="42385" s="1"/>
  <c r="CY1535" i="42385" s="1"/>
  <c r="BP872" i="42385"/>
  <c r="BK1523" i="42385"/>
  <c r="CX1523" i="42385"/>
  <c r="BO873" i="42385"/>
  <c r="CY873" i="42385" s="1"/>
  <c r="CY872" i="42385"/>
  <c r="BJ1525" i="42385"/>
  <c r="CX1525" i="42385" s="1"/>
  <c r="BO490" i="42385"/>
  <c r="CY490" i="42385" s="1"/>
  <c r="BX1498" i="42385"/>
  <c r="BY1498" i="42385" s="1"/>
  <c r="DA1498" i="42385" s="1"/>
  <c r="DA1400" i="42385"/>
  <c r="BZ1400" i="42385"/>
  <c r="AX1501" i="42385"/>
  <c r="AV380" i="42385"/>
  <c r="BP484" i="42385"/>
  <c r="CY484" i="42385"/>
  <c r="BO270" i="42385"/>
  <c r="CY270" i="42385" s="1"/>
  <c r="CE1238" i="42385"/>
  <c r="CF1237" i="42385"/>
  <c r="CF1238" i="42385" s="1"/>
  <c r="BM417" i="42385"/>
  <c r="BM1530" i="42385"/>
  <c r="BN416" i="42385"/>
  <c r="BO416" i="42385" s="1"/>
  <c r="AW383" i="42385"/>
  <c r="AW266" i="42385"/>
  <c r="AW381" i="42385"/>
  <c r="AW382" i="42385"/>
  <c r="DB373" i="42385"/>
  <c r="BZ374" i="42385"/>
  <c r="DB374" i="42385" s="1"/>
  <c r="CA373" i="42385"/>
  <c r="BM1558" i="42385"/>
  <c r="BM128" i="42385"/>
  <c r="BM259" i="42385"/>
  <c r="AY377" i="42385"/>
  <c r="AY376" i="42385" s="1"/>
  <c r="AY378" i="42385" s="1"/>
  <c r="AY380" i="42385" s="1"/>
  <c r="AX376" i="42385"/>
  <c r="BU405" i="42385"/>
  <c r="BY404" i="42385"/>
  <c r="CZ758" i="42385"/>
  <c r="BT759" i="42385"/>
  <c r="CZ759" i="42385" s="1"/>
  <c r="BR934" i="42385"/>
  <c r="BQ935" i="42385"/>
  <c r="BQ1533" i="42385"/>
  <c r="BM810" i="42385"/>
  <c r="BL811" i="42385"/>
  <c r="BL1531" i="42385"/>
  <c r="BL1554" i="42385" s="1"/>
  <c r="D36" i="42409"/>
  <c r="C32" i="42409"/>
  <c r="BT406" i="42385"/>
  <c r="CZ406" i="42385" s="1"/>
  <c r="BT405" i="42385"/>
  <c r="CZ405" i="42385" s="1"/>
  <c r="CZ404" i="42385"/>
  <c r="CB1497" i="42385"/>
  <c r="CC1399" i="42385"/>
  <c r="AL1332" i="42385"/>
  <c r="AL1333" i="42385" s="1"/>
  <c r="CS1333" i="42385"/>
  <c r="AP1332" i="42385"/>
  <c r="CT1332" i="42385" s="1"/>
  <c r="AS28" i="42385"/>
  <c r="AS23" i="42385"/>
  <c r="AS313" i="42385" s="1"/>
  <c r="AS314" i="42385" s="1"/>
  <c r="AU19" i="42385"/>
  <c r="AQ28" i="42385"/>
  <c r="AQ23" i="42385"/>
  <c r="AW408" i="42385"/>
  <c r="AV407" i="42385"/>
  <c r="AN52" i="42385"/>
  <c r="AN51" i="42385"/>
  <c r="AN54" i="42385"/>
  <c r="AN65" i="42385"/>
  <c r="AT28" i="42385"/>
  <c r="BS759" i="42385"/>
  <c r="BU758" i="42385"/>
  <c r="BS1538" i="42385"/>
  <c r="BT1538" i="42385" s="1"/>
  <c r="CZ1538" i="42385" s="1"/>
  <c r="BS479" i="42385"/>
  <c r="BR1139" i="42385"/>
  <c r="AG1565" i="42385"/>
  <c r="AG1346" i="42385"/>
  <c r="AG1366" i="42385" s="1"/>
  <c r="AG1506" i="42385"/>
  <c r="CW77" i="42385"/>
  <c r="BE79" i="42385"/>
  <c r="G13" i="42465"/>
  <c r="BR778" i="42385"/>
  <c r="BR1540" i="42385"/>
  <c r="BS777" i="42385"/>
  <c r="BT777" i="42385" s="1"/>
  <c r="AD101" i="42424"/>
  <c r="AD139" i="42424" s="1"/>
  <c r="BJ107" i="42385"/>
  <c r="CX1556" i="42385"/>
  <c r="BJ1558" i="42385"/>
  <c r="CX1558" i="42385" s="1"/>
  <c r="BJ1557" i="42385"/>
  <c r="CX1557" i="42385" s="1"/>
  <c r="CF1613" i="42385"/>
  <c r="CF1614" i="42385" s="1"/>
  <c r="CE1614" i="42385"/>
  <c r="F8" i="42464"/>
  <c r="CU267" i="42385"/>
  <c r="FX435" i="42417"/>
  <c r="GP516" i="42417"/>
  <c r="AU277" i="42385"/>
  <c r="AH1339" i="42385"/>
  <c r="AI1332" i="42385"/>
  <c r="AI1333" i="42385" s="1"/>
  <c r="AD481" i="42385"/>
  <c r="CZ744" i="42385"/>
  <c r="BU744" i="42385"/>
  <c r="AD1085" i="42385"/>
  <c r="AD1086" i="42385" s="1"/>
  <c r="AF320" i="42385"/>
  <c r="AE907" i="42385"/>
  <c r="AE762" i="42385"/>
  <c r="AE611" i="42385"/>
  <c r="AE845" i="42385"/>
  <c r="AE743" i="42385"/>
  <c r="AE938" i="42385"/>
  <c r="AF938" i="42385" s="1"/>
  <c r="CR938" i="42385" s="1"/>
  <c r="AE1138" i="42385"/>
  <c r="AE388" i="42385"/>
  <c r="AE1000" i="42385"/>
  <c r="AF1000" i="42385" s="1"/>
  <c r="CR1000" i="42385" s="1"/>
  <c r="AE705" i="42385"/>
  <c r="AE326" i="42385"/>
  <c r="AE478" i="42385"/>
  <c r="AF478" i="42385" s="1"/>
  <c r="CR478" i="42385" s="1"/>
  <c r="AE783" i="42385"/>
  <c r="AE814" i="42385"/>
  <c r="AF814" i="42385" s="1"/>
  <c r="CR814" i="42385" s="1"/>
  <c r="AE1081" i="42385"/>
  <c r="AF1081" i="42385" s="1"/>
  <c r="CR1081" i="42385" s="1"/>
  <c r="AE876" i="42385"/>
  <c r="AF876" i="42385" s="1"/>
  <c r="CR876" i="42385" s="1"/>
  <c r="AE360" i="42385"/>
  <c r="AD1003" i="42385"/>
  <c r="AD879" i="42385"/>
  <c r="AD941" i="42385"/>
  <c r="BO1587" i="42385"/>
  <c r="CY1587" i="42385" s="1"/>
  <c r="CY1586" i="42385"/>
  <c r="BQ1121" i="42385"/>
  <c r="BP1124" i="42385"/>
  <c r="BP1552" i="42385" s="1"/>
  <c r="AY1431" i="42385"/>
  <c r="AZ1439" i="42385"/>
  <c r="CV1439" i="42385" s="1"/>
  <c r="AX1434" i="42385"/>
  <c r="BR1582" i="42385"/>
  <c r="BQ1585" i="42385"/>
  <c r="BQ1586" i="42385" s="1"/>
  <c r="BQ1587" i="42385" s="1"/>
  <c r="BQ1584" i="42385"/>
  <c r="CY1121" i="42385"/>
  <c r="BO1124" i="42385"/>
  <c r="CY1124" i="42385" s="1"/>
  <c r="AZ1432" i="42385"/>
  <c r="CV1432" i="42385" s="1"/>
  <c r="AY1477" i="42385"/>
  <c r="BA1437" i="42385"/>
  <c r="CV1437" i="42385"/>
  <c r="BO1552" i="42385"/>
  <c r="BZ745" i="42385"/>
  <c r="DA745" i="42385"/>
  <c r="CS169" i="42385"/>
  <c r="AL169" i="42385"/>
  <c r="BP257" i="42385"/>
  <c r="BQ409" i="42385"/>
  <c r="BO259" i="42385"/>
  <c r="CY259" i="42385" s="1"/>
  <c r="CZ1118" i="42385"/>
  <c r="BR1106" i="42385"/>
  <c r="BQ1107" i="42385"/>
  <c r="BQ256" i="42385" s="1"/>
  <c r="AC180" i="42385"/>
  <c r="CE1147" i="42385"/>
  <c r="CY707" i="42385"/>
  <c r="BP707" i="42385"/>
  <c r="BU1118" i="42385"/>
  <c r="BZ1487" i="42385" l="1"/>
  <c r="CA1456" i="42385"/>
  <c r="W193" i="42385"/>
  <c r="X191" i="42385"/>
  <c r="CE653" i="42385"/>
  <c r="CE656" i="42385" s="1"/>
  <c r="CE657" i="42385" s="1"/>
  <c r="CE658" i="42385" s="1"/>
  <c r="CF654" i="42385"/>
  <c r="CF653" i="42385" s="1"/>
  <c r="CF656" i="42385" s="1"/>
  <c r="CF657" i="42385" s="1"/>
  <c r="CF658" i="42385" s="1"/>
  <c r="CZ841" i="42385"/>
  <c r="BT842" i="42385"/>
  <c r="CZ842" i="42385" s="1"/>
  <c r="AE941" i="42385"/>
  <c r="AE942" i="42385" s="1"/>
  <c r="AE943" i="42385" s="1"/>
  <c r="AX625" i="42385"/>
  <c r="AW624" i="42385"/>
  <c r="E25" i="42464"/>
  <c r="AO314" i="42385"/>
  <c r="AP313" i="42385"/>
  <c r="AP314" i="42385" s="1"/>
  <c r="AV280" i="42385"/>
  <c r="AV288" i="42385" s="1"/>
  <c r="AV290" i="42385" s="1"/>
  <c r="AV630" i="42385"/>
  <c r="AV629" i="42385"/>
  <c r="CZ621" i="42385"/>
  <c r="BT622" i="42385"/>
  <c r="CZ622" i="42385" s="1"/>
  <c r="BT623" i="42385"/>
  <c r="CZ623" i="42385" s="1"/>
  <c r="AT629" i="42385"/>
  <c r="AT630" i="42385"/>
  <c r="AT280" i="42385"/>
  <c r="AU628" i="42385"/>
  <c r="BS384" i="42385"/>
  <c r="BR1541" i="42385"/>
  <c r="BR385" i="42385"/>
  <c r="AP40" i="42385"/>
  <c r="B8" i="42476"/>
  <c r="B45" i="42476" s="1"/>
  <c r="CT24" i="42385"/>
  <c r="D6" i="42465"/>
  <c r="AP32" i="42385"/>
  <c r="AP26" i="42385"/>
  <c r="CT26" i="42385" s="1"/>
  <c r="AP27" i="42385"/>
  <c r="CT27" i="42385" s="1"/>
  <c r="BQ903" i="42385"/>
  <c r="BP904" i="42385"/>
  <c r="BP1529" i="42385"/>
  <c r="AR29" i="42385"/>
  <c r="AR23" i="42385"/>
  <c r="AR313" i="42385" s="1"/>
  <c r="AR314" i="42385" s="1"/>
  <c r="BT631" i="42385"/>
  <c r="BS632" i="42385"/>
  <c r="BS1543" i="42385"/>
  <c r="BT1543" i="42385" s="1"/>
  <c r="CZ1543" i="42385" s="1"/>
  <c r="BU631" i="42385"/>
  <c r="BY621" i="42385"/>
  <c r="BV622" i="42385"/>
  <c r="BS1532" i="42385"/>
  <c r="BT1532" i="42385" s="1"/>
  <c r="CZ1532" i="42385" s="1"/>
  <c r="BU841" i="42385"/>
  <c r="BS842" i="42385"/>
  <c r="BQ1536" i="42385"/>
  <c r="BQ721" i="42385"/>
  <c r="BR720" i="42385"/>
  <c r="CY258" i="42385"/>
  <c r="BT1547" i="42385"/>
  <c r="CZ1547" i="42385" s="1"/>
  <c r="CZ472" i="42385"/>
  <c r="A8" i="42420"/>
  <c r="BV472" i="42385"/>
  <c r="BU1547" i="42385"/>
  <c r="AE879" i="42385"/>
  <c r="AE880" i="42385" s="1"/>
  <c r="AE881" i="42385" s="1"/>
  <c r="AE1084" i="42385"/>
  <c r="AE1085" i="42385" s="1"/>
  <c r="AE1086" i="42385" s="1"/>
  <c r="CK208" i="42417"/>
  <c r="CH211" i="42417"/>
  <c r="BG353" i="42385"/>
  <c r="BG355" i="42385"/>
  <c r="BG354" i="42385"/>
  <c r="BG265" i="42385"/>
  <c r="BH347" i="42385"/>
  <c r="BH350" i="42385" s="1"/>
  <c r="BH352" i="42385" s="1"/>
  <c r="BI348" i="42385"/>
  <c r="CG225" i="42417"/>
  <c r="CG229" i="42417" s="1"/>
  <c r="CI211" i="42417"/>
  <c r="BP193" i="42417"/>
  <c r="BP196" i="42417" s="1"/>
  <c r="BP198" i="42417" s="1"/>
  <c r="BR357" i="42385"/>
  <c r="BR1528" i="42385"/>
  <c r="BS356" i="42385"/>
  <c r="BT356" i="42385" s="1"/>
  <c r="BF352" i="42385"/>
  <c r="BH480" i="42385"/>
  <c r="BG1140" i="42385"/>
  <c r="CF902" i="42385"/>
  <c r="CF900" i="42385"/>
  <c r="CF296" i="42385"/>
  <c r="CF901" i="42385"/>
  <c r="BQ872" i="42385"/>
  <c r="BP873" i="42385"/>
  <c r="BP1535" i="42385"/>
  <c r="BL1523" i="42385"/>
  <c r="BK1525" i="42385"/>
  <c r="BZ1498" i="42385"/>
  <c r="DB1498" i="42385" s="1"/>
  <c r="CA1400" i="42385"/>
  <c r="DB1400" i="42385"/>
  <c r="AX378" i="42385"/>
  <c r="AZ376" i="42385"/>
  <c r="AY383" i="42385"/>
  <c r="AY382" i="42385"/>
  <c r="AY381" i="42385"/>
  <c r="AY266" i="42385"/>
  <c r="BQ484" i="42385"/>
  <c r="BP483" i="42385"/>
  <c r="BO417" i="42385"/>
  <c r="CY417" i="42385" s="1"/>
  <c r="CY416" i="42385"/>
  <c r="BN417" i="42385"/>
  <c r="BP416" i="42385"/>
  <c r="BN1530" i="42385"/>
  <c r="BO1530" i="42385" s="1"/>
  <c r="CY1530" i="42385" s="1"/>
  <c r="AE1003" i="42385"/>
  <c r="AE1004" i="42385" s="1"/>
  <c r="AE1005" i="42385" s="1"/>
  <c r="CB373" i="42385"/>
  <c r="DC373" i="42385"/>
  <c r="CA374" i="42385"/>
  <c r="DC374" i="42385" s="1"/>
  <c r="AV381" i="42385"/>
  <c r="AV382" i="42385"/>
  <c r="AV383" i="42385"/>
  <c r="AV266" i="42385"/>
  <c r="AH1346" i="42385"/>
  <c r="AH1366" i="42385" s="1"/>
  <c r="AH1565" i="42385"/>
  <c r="FY435" i="42417"/>
  <c r="BJ114" i="42385"/>
  <c r="CX107" i="42385"/>
  <c r="BU777" i="42385"/>
  <c r="BS778" i="42385"/>
  <c r="BS1540" i="42385"/>
  <c r="BT1540" i="42385" s="1"/>
  <c r="CZ1540" i="42385" s="1"/>
  <c r="CW79" i="42385"/>
  <c r="BE90" i="42385"/>
  <c r="BE1648" i="42385"/>
  <c r="BE92" i="42385"/>
  <c r="CW92" i="42385" s="1"/>
  <c r="BT479" i="42385"/>
  <c r="BS1139" i="42385"/>
  <c r="BV758" i="42385"/>
  <c r="BU1538" i="42385"/>
  <c r="BU759" i="42385"/>
  <c r="AN75" i="42385"/>
  <c r="AU28" i="42385"/>
  <c r="CU19" i="42385"/>
  <c r="B32" i="42409"/>
  <c r="C36" i="42409"/>
  <c r="BR1533" i="42385"/>
  <c r="BR935" i="42385"/>
  <c r="BS934" i="42385"/>
  <c r="AG201" i="42385"/>
  <c r="AG1426" i="42385"/>
  <c r="AS50" i="42385"/>
  <c r="AS1647" i="42385"/>
  <c r="AS315" i="42385"/>
  <c r="AS316" i="42385"/>
  <c r="AL1339" i="42385"/>
  <c r="AM1332" i="42385"/>
  <c r="AM1333" i="42385" s="1"/>
  <c r="BM811" i="42385"/>
  <c r="BN810" i="42385"/>
  <c r="BO810" i="42385" s="1"/>
  <c r="BM1531" i="42385"/>
  <c r="BM1554" i="42385" s="1"/>
  <c r="AG1567" i="42385"/>
  <c r="AG1631" i="42385" s="1"/>
  <c r="AG1632" i="42385"/>
  <c r="AG1661" i="42385"/>
  <c r="AN1569" i="42385"/>
  <c r="AN1572" i="42385" s="1"/>
  <c r="AN197" i="42385"/>
  <c r="AN56" i="42385"/>
  <c r="AN55" i="42385"/>
  <c r="AN1663" i="42385"/>
  <c r="AV410" i="42385"/>
  <c r="AQ313" i="42385"/>
  <c r="CC1497" i="42385"/>
  <c r="CD1399" i="42385"/>
  <c r="AJ1332" i="42385"/>
  <c r="AJ1333" i="42385" s="1"/>
  <c r="AJ1339" i="42385" s="1"/>
  <c r="AI1339" i="42385"/>
  <c r="CZ777" i="42385"/>
  <c r="BT778" i="42385"/>
  <c r="CZ778" i="42385" s="1"/>
  <c r="AH1506" i="42385"/>
  <c r="AX408" i="42385"/>
  <c r="AW407" i="42385"/>
  <c r="AW410" i="42385" s="1"/>
  <c r="AW412" i="42385" s="1"/>
  <c r="DA404" i="42385"/>
  <c r="BZ404" i="42385"/>
  <c r="BY405" i="42385"/>
  <c r="DA405" i="42385" s="1"/>
  <c r="BY406" i="42385"/>
  <c r="DA406" i="42385" s="1"/>
  <c r="AF388" i="42385"/>
  <c r="AE391" i="42385"/>
  <c r="AF845" i="42385"/>
  <c r="CR845" i="42385" s="1"/>
  <c r="AE848" i="42385"/>
  <c r="CR320" i="42385"/>
  <c r="AG320" i="42385"/>
  <c r="BV744" i="42385"/>
  <c r="AD880" i="42385"/>
  <c r="AD881" i="42385" s="1"/>
  <c r="AF879" i="42385"/>
  <c r="AD1004" i="42385"/>
  <c r="AD1005" i="42385" s="1"/>
  <c r="AF1003" i="42385"/>
  <c r="AF326" i="42385"/>
  <c r="CR326" i="42385" s="1"/>
  <c r="AE329" i="42385"/>
  <c r="AF1138" i="42385"/>
  <c r="CR1138" i="42385" s="1"/>
  <c r="AE1141" i="42385"/>
  <c r="AF1141" i="42385" s="1"/>
  <c r="CR1141" i="42385" s="1"/>
  <c r="AF611" i="42385"/>
  <c r="CR611" i="42385" s="1"/>
  <c r="AE614" i="42385"/>
  <c r="AE481" i="42385"/>
  <c r="AF481" i="42385" s="1"/>
  <c r="CR481" i="42385" s="1"/>
  <c r="AF705" i="42385"/>
  <c r="CR705" i="42385" s="1"/>
  <c r="AE708" i="42385"/>
  <c r="AF708" i="42385" s="1"/>
  <c r="CR708" i="42385" s="1"/>
  <c r="AF762" i="42385"/>
  <c r="CR762" i="42385" s="1"/>
  <c r="AE765" i="42385"/>
  <c r="AF765" i="42385" s="1"/>
  <c r="CR765" i="42385" s="1"/>
  <c r="AE817" i="42385"/>
  <c r="AD942" i="42385"/>
  <c r="AD943" i="42385" s="1"/>
  <c r="AF941" i="42385"/>
  <c r="AF360" i="42385"/>
  <c r="CR360" i="42385" s="1"/>
  <c r="AE363" i="42385"/>
  <c r="AF783" i="42385"/>
  <c r="CR783" i="42385" s="1"/>
  <c r="AE786" i="42385"/>
  <c r="AF743" i="42385"/>
  <c r="CR743" i="42385" s="1"/>
  <c r="AE746" i="42385"/>
  <c r="AF746" i="42385" s="1"/>
  <c r="CR746" i="42385" s="1"/>
  <c r="AF907" i="42385"/>
  <c r="CR907" i="42385" s="1"/>
  <c r="AE910" i="42385"/>
  <c r="BB1437" i="42385"/>
  <c r="BA1439" i="42385"/>
  <c r="BA1431" i="42385" s="1"/>
  <c r="BS1582" i="42385"/>
  <c r="BT1582" i="42385" s="1"/>
  <c r="BR1585" i="42385"/>
  <c r="BR1586" i="42385" s="1"/>
  <c r="BR1587" i="42385" s="1"/>
  <c r="BR1584" i="42385"/>
  <c r="AY1434" i="42385"/>
  <c r="AZ1434" i="42385" s="1"/>
  <c r="CV1434" i="42385" s="1"/>
  <c r="AY1476" i="42385"/>
  <c r="AZ1431" i="42385"/>
  <c r="CV1431" i="42385" s="1"/>
  <c r="CY1552" i="42385"/>
  <c r="BR1121" i="42385"/>
  <c r="BQ1124" i="42385"/>
  <c r="BQ1552" i="42385" s="1"/>
  <c r="BV1118" i="42385"/>
  <c r="CF1147" i="42385"/>
  <c r="BQ707" i="42385"/>
  <c r="AD180" i="42385"/>
  <c r="BR409" i="42385"/>
  <c r="BU257" i="42385"/>
  <c r="BQ257" i="42385"/>
  <c r="BV257" i="42385" s="1"/>
  <c r="BS1106" i="42385"/>
  <c r="BR1107" i="42385"/>
  <c r="BR256" i="42385" s="1"/>
  <c r="AM169" i="42385"/>
  <c r="CA745" i="42385"/>
  <c r="DB745" i="42385"/>
  <c r="AF1084" i="42385" l="1"/>
  <c r="X193" i="42385"/>
  <c r="Y191" i="42385"/>
  <c r="CA1487" i="42385"/>
  <c r="CB1456" i="42385"/>
  <c r="AP43" i="42385"/>
  <c r="CT43" i="42385" s="1"/>
  <c r="AP42" i="42385"/>
  <c r="CT42" i="42385" s="1"/>
  <c r="CT40" i="42385"/>
  <c r="AP41" i="42385"/>
  <c r="CT41" i="42385" s="1"/>
  <c r="CU628" i="42385"/>
  <c r="AU630" i="42385"/>
  <c r="CU630" i="42385" s="1"/>
  <c r="AU629" i="42385"/>
  <c r="CU629" i="42385" s="1"/>
  <c r="BR903" i="42385"/>
  <c r="BQ1529" i="42385"/>
  <c r="BQ904" i="42385"/>
  <c r="AT20" i="42385"/>
  <c r="AT290" i="42385"/>
  <c r="AU280" i="42385"/>
  <c r="AW626" i="42385"/>
  <c r="DA621" i="42385"/>
  <c r="BY622" i="42385"/>
  <c r="DA622" i="42385" s="1"/>
  <c r="BY623" i="42385"/>
  <c r="DA623" i="42385" s="1"/>
  <c r="BZ621" i="42385"/>
  <c r="BT632" i="42385"/>
  <c r="CZ632" i="42385" s="1"/>
  <c r="CZ631" i="42385"/>
  <c r="AP315" i="42385"/>
  <c r="CT315" i="42385" s="1"/>
  <c r="BD248" i="42424"/>
  <c r="BD250" i="42424" s="1"/>
  <c r="AP1647" i="42385"/>
  <c r="CT1647" i="42385" s="1"/>
  <c r="CT314" i="42385"/>
  <c r="AF135" i="42424"/>
  <c r="AF137" i="42424" s="1"/>
  <c r="AP316" i="42385"/>
  <c r="CT316" i="42385" s="1"/>
  <c r="AF99" i="42424"/>
  <c r="AF101" i="42424" s="1"/>
  <c r="AP50" i="42385"/>
  <c r="AX624" i="42385"/>
  <c r="AX626" i="42385" s="1"/>
  <c r="AX628" i="42385" s="1"/>
  <c r="AY625" i="42385"/>
  <c r="BS720" i="42385"/>
  <c r="BR1536" i="42385"/>
  <c r="BR721" i="42385"/>
  <c r="BV841" i="42385"/>
  <c r="BU1532" i="42385"/>
  <c r="BU842" i="42385"/>
  <c r="BU632" i="42385"/>
  <c r="BV631" i="42385"/>
  <c r="BU1543" i="42385"/>
  <c r="AR1647" i="42385"/>
  <c r="AR50" i="42385"/>
  <c r="AR315" i="42385"/>
  <c r="AR316" i="42385"/>
  <c r="BU384" i="42385"/>
  <c r="BS1541" i="42385"/>
  <c r="BT1541" i="42385" s="1"/>
  <c r="CZ1541" i="42385" s="1"/>
  <c r="BS385" i="42385"/>
  <c r="AE99" i="42424"/>
  <c r="AO316" i="42385"/>
  <c r="AO1647" i="42385"/>
  <c r="AO50" i="42385"/>
  <c r="BC248" i="42424"/>
  <c r="BC250" i="42424" s="1"/>
  <c r="BC252" i="42424" s="1"/>
  <c r="AO315" i="42385"/>
  <c r="BT384" i="42385"/>
  <c r="BW472" i="42385"/>
  <c r="BV1547" i="42385"/>
  <c r="BS357" i="42385"/>
  <c r="BU356" i="42385"/>
  <c r="BS1528" i="42385"/>
  <c r="BT1528" i="42385" s="1"/>
  <c r="CZ1528" i="42385" s="1"/>
  <c r="BH355" i="42385"/>
  <c r="BH354" i="42385"/>
  <c r="BH265" i="42385"/>
  <c r="BH353" i="42385"/>
  <c r="CZ356" i="42385"/>
  <c r="BT357" i="42385"/>
  <c r="CZ357" i="42385" s="1"/>
  <c r="BF265" i="42385"/>
  <c r="BF355" i="42385"/>
  <c r="BF353" i="42385"/>
  <c r="BF354" i="42385"/>
  <c r="BJ348" i="42385"/>
  <c r="BI347" i="42385"/>
  <c r="BI480" i="42385"/>
  <c r="BH1140" i="42385"/>
  <c r="BK1499" i="42385"/>
  <c r="BL1525" i="42385"/>
  <c r="BL1499" i="42385" s="1"/>
  <c r="BM1523" i="42385"/>
  <c r="BR872" i="42385"/>
  <c r="BQ873" i="42385"/>
  <c r="BQ1535" i="42385"/>
  <c r="CA1498" i="42385"/>
  <c r="DC1498" i="42385" s="1"/>
  <c r="DC1400" i="42385"/>
  <c r="CB1400" i="42385"/>
  <c r="BR484" i="42385"/>
  <c r="BQ483" i="42385"/>
  <c r="AZ377" i="42385"/>
  <c r="CV376" i="42385"/>
  <c r="AX380" i="42385"/>
  <c r="AZ378" i="42385"/>
  <c r="CV378" i="42385" s="1"/>
  <c r="CC373" i="42385"/>
  <c r="CB374" i="42385"/>
  <c r="BQ416" i="42385"/>
  <c r="BP417" i="42385"/>
  <c r="BP1530" i="42385"/>
  <c r="BP489" i="42385"/>
  <c r="BP487" i="42385"/>
  <c r="BP223" i="42385"/>
  <c r="AV412" i="42385"/>
  <c r="BP810" i="42385"/>
  <c r="BN811" i="42385"/>
  <c r="BN1531" i="42385"/>
  <c r="AG206" i="42385"/>
  <c r="AG207" i="42385"/>
  <c r="AG212" i="42385"/>
  <c r="BS935" i="42385"/>
  <c r="BS1533" i="42385"/>
  <c r="BT1533" i="42385" s="1"/>
  <c r="CZ1533" i="42385" s="1"/>
  <c r="BU934" i="42385"/>
  <c r="M8" i="42472"/>
  <c r="M15" i="42472" s="1"/>
  <c r="M24" i="42472" s="1"/>
  <c r="BE106" i="42385"/>
  <c r="BE93" i="42385"/>
  <c r="CW90" i="42385"/>
  <c r="G15" i="42465"/>
  <c r="BU778" i="42385"/>
  <c r="BV777" i="42385"/>
  <c r="BU1540" i="42385"/>
  <c r="BA1432" i="42385"/>
  <c r="BA1477" i="42385" s="1"/>
  <c r="CA404" i="42385"/>
  <c r="DB404" i="42385"/>
  <c r="BZ405" i="42385"/>
  <c r="DB405" i="42385" s="1"/>
  <c r="AW413" i="42385"/>
  <c r="AW267" i="42385"/>
  <c r="AW275" i="42385" s="1"/>
  <c r="AW277" i="42385" s="1"/>
  <c r="AW414" i="42385"/>
  <c r="AW415" i="42385"/>
  <c r="AI1565" i="42385"/>
  <c r="AI1346" i="42385"/>
  <c r="AI1366" i="42385" s="1"/>
  <c r="AM1339" i="42385"/>
  <c r="AN1332" i="42385"/>
  <c r="BU479" i="42385"/>
  <c r="CZ479" i="42385"/>
  <c r="BT1139" i="42385"/>
  <c r="CZ1139" i="42385" s="1"/>
  <c r="AX407" i="42385"/>
  <c r="AX410" i="42385" s="1"/>
  <c r="AX412" i="42385" s="1"/>
  <c r="AY408" i="42385"/>
  <c r="AY407" i="42385" s="1"/>
  <c r="AY410" i="42385" s="1"/>
  <c r="AY412" i="42385" s="1"/>
  <c r="AK1339" i="42385"/>
  <c r="AJ1565" i="42385"/>
  <c r="AJ1346" i="42385"/>
  <c r="AJ1366" i="42385" s="1"/>
  <c r="AJ1426" i="42385" s="1"/>
  <c r="AQ314" i="42385"/>
  <c r="AN1634" i="42385"/>
  <c r="AN1583" i="42385"/>
  <c r="AN1594" i="42385"/>
  <c r="AN1595" i="42385" s="1"/>
  <c r="AN1586" i="42385"/>
  <c r="AN1587" i="42385" s="1"/>
  <c r="AN1591" i="42385"/>
  <c r="AN1592" i="42385" s="1"/>
  <c r="AK1506" i="42385"/>
  <c r="CS1506" i="42385" s="1"/>
  <c r="CY810" i="42385"/>
  <c r="BO811" i="42385"/>
  <c r="CY811" i="42385" s="1"/>
  <c r="AL1346" i="42385"/>
  <c r="AL1366" i="42385" s="1"/>
  <c r="AL1565" i="42385"/>
  <c r="AS51" i="42385"/>
  <c r="AX51" i="42385"/>
  <c r="AS54" i="42385"/>
  <c r="AS65" i="42385"/>
  <c r="AS75" i="42385" s="1"/>
  <c r="AS52" i="42385"/>
  <c r="AH1567" i="42385"/>
  <c r="AH1631" i="42385" s="1"/>
  <c r="AH1661" i="42385"/>
  <c r="AH1632" i="42385"/>
  <c r="CD1497" i="42385"/>
  <c r="CE1399" i="42385"/>
  <c r="CE1497" i="42385" s="1"/>
  <c r="BT934" i="42385"/>
  <c r="AN77" i="42385"/>
  <c r="AN1514" i="42385"/>
  <c r="BV1538" i="42385"/>
  <c r="BW758" i="42385"/>
  <c r="BV759" i="42385"/>
  <c r="CW1648" i="42385"/>
  <c r="BE1641" i="42385"/>
  <c r="CW1641" i="42385" s="1"/>
  <c r="BJ122" i="42385"/>
  <c r="BJ120" i="42385"/>
  <c r="CX114" i="42385"/>
  <c r="AH201" i="42385"/>
  <c r="AH1426" i="42385"/>
  <c r="AI201" i="42385"/>
  <c r="AE364" i="42385"/>
  <c r="AE365" i="42385" s="1"/>
  <c r="AF363" i="42385"/>
  <c r="CR1003" i="42385"/>
  <c r="AF1004" i="42385"/>
  <c r="CR1084" i="42385"/>
  <c r="AF1085" i="42385"/>
  <c r="AF942" i="42385"/>
  <c r="CR941" i="42385"/>
  <c r="AG783" i="42385"/>
  <c r="AG786" i="42385" s="1"/>
  <c r="AG787" i="42385" s="1"/>
  <c r="AG788" i="42385" s="1"/>
  <c r="AG1000" i="42385"/>
  <c r="AG1003" i="42385" s="1"/>
  <c r="AG743" i="42385"/>
  <c r="AG746" i="42385" s="1"/>
  <c r="AG814" i="42385"/>
  <c r="AG817" i="42385" s="1"/>
  <c r="AG818" i="42385" s="1"/>
  <c r="AG819" i="42385" s="1"/>
  <c r="AG1081" i="42385"/>
  <c r="AG1084" i="42385" s="1"/>
  <c r="AG1085" i="42385" s="1"/>
  <c r="AG1086" i="42385" s="1"/>
  <c r="AG611" i="42385"/>
  <c r="AH320" i="42385"/>
  <c r="AG845" i="42385"/>
  <c r="AG848" i="42385" s="1"/>
  <c r="AG849" i="42385" s="1"/>
  <c r="AG850" i="42385" s="1"/>
  <c r="AG876" i="42385"/>
  <c r="AG879" i="42385" s="1"/>
  <c r="AG880" i="42385" s="1"/>
  <c r="AG881" i="42385" s="1"/>
  <c r="AG705" i="42385"/>
  <c r="AG708" i="42385" s="1"/>
  <c r="AG326" i="42385"/>
  <c r="AG329" i="42385" s="1"/>
  <c r="AG330" i="42385" s="1"/>
  <c r="AG331" i="42385" s="1"/>
  <c r="AG762" i="42385"/>
  <c r="AG765" i="42385" s="1"/>
  <c r="AG478" i="42385"/>
  <c r="AG481" i="42385" s="1"/>
  <c r="AG907" i="42385"/>
  <c r="AG910" i="42385" s="1"/>
  <c r="AG938" i="42385"/>
  <c r="AG941" i="42385" s="1"/>
  <c r="AG942" i="42385" s="1"/>
  <c r="AG943" i="42385" s="1"/>
  <c r="AG360" i="42385"/>
  <c r="AG363" i="42385" s="1"/>
  <c r="AG364" i="42385" s="1"/>
  <c r="AG365" i="42385" s="1"/>
  <c r="AG1138" i="42385"/>
  <c r="AG1141" i="42385" s="1"/>
  <c r="AG388" i="42385"/>
  <c r="AE392" i="42385"/>
  <c r="AE393" i="42385" s="1"/>
  <c r="AF391" i="42385"/>
  <c r="AE911" i="42385"/>
  <c r="AE912" i="42385" s="1"/>
  <c r="AF910" i="42385"/>
  <c r="AF786" i="42385"/>
  <c r="AE787" i="42385"/>
  <c r="AE788" i="42385" s="1"/>
  <c r="AE615" i="42385"/>
  <c r="AE616" i="42385" s="1"/>
  <c r="AF614" i="42385"/>
  <c r="AE330" i="42385"/>
  <c r="AE331" i="42385" s="1"/>
  <c r="AF329" i="42385"/>
  <c r="AF880" i="42385"/>
  <c r="CR879" i="42385"/>
  <c r="CR388" i="42385"/>
  <c r="B17" i="42407"/>
  <c r="AF817" i="42385"/>
  <c r="AE818" i="42385"/>
  <c r="AE819" i="42385" s="1"/>
  <c r="BW744" i="42385"/>
  <c r="AE849" i="42385"/>
  <c r="AE850" i="42385" s="1"/>
  <c r="AF848" i="42385"/>
  <c r="BS1121" i="42385"/>
  <c r="BT1121" i="42385" s="1"/>
  <c r="BR1124" i="42385"/>
  <c r="BR1552" i="42385" s="1"/>
  <c r="AY1501" i="42385"/>
  <c r="BU1582" i="42385"/>
  <c r="BV1582" i="42385" s="1"/>
  <c r="BW1582" i="42385" s="1"/>
  <c r="BX1582" i="42385" s="1"/>
  <c r="BY1582" i="42385" s="1"/>
  <c r="CZ1582" i="42385"/>
  <c r="BA1476" i="42385"/>
  <c r="BC1437" i="42385"/>
  <c r="BB1439" i="42385"/>
  <c r="BB1431" i="42385" s="1"/>
  <c r="AE180" i="42385"/>
  <c r="BW1118" i="42385"/>
  <c r="CB745" i="42385"/>
  <c r="DC745" i="42385"/>
  <c r="BR257" i="42385"/>
  <c r="BW257" i="42385" s="1"/>
  <c r="BY257" i="42385" s="1"/>
  <c r="BZ257" i="42385" s="1"/>
  <c r="CA257" i="42385" s="1"/>
  <c r="CB257" i="42385" s="1"/>
  <c r="CC257" i="42385" s="1"/>
  <c r="CD257" i="42385" s="1"/>
  <c r="CE257" i="42385" s="1"/>
  <c r="CF257" i="42385" s="1"/>
  <c r="AG1004" i="42385"/>
  <c r="AG1005" i="42385" s="1"/>
  <c r="BR707" i="42385"/>
  <c r="AG911" i="42385"/>
  <c r="AG912" i="42385" s="1"/>
  <c r="AN169" i="42385"/>
  <c r="BS1107" i="42385"/>
  <c r="BS256" i="42385" s="1"/>
  <c r="BT256" i="42385" s="1"/>
  <c r="BT1106" i="42385"/>
  <c r="BS409" i="42385"/>
  <c r="Z191" i="42385" l="1"/>
  <c r="Y193" i="42385"/>
  <c r="CB1487" i="42385"/>
  <c r="CC1456" i="42385"/>
  <c r="AO51" i="42385"/>
  <c r="AO65" i="42385"/>
  <c r="AO52" i="42385"/>
  <c r="AT51" i="42385"/>
  <c r="AO54" i="42385"/>
  <c r="BV632" i="42385"/>
  <c r="BV1543" i="42385"/>
  <c r="BW631" i="42385"/>
  <c r="BV842" i="42385"/>
  <c r="BW841" i="42385"/>
  <c r="BV1532" i="42385"/>
  <c r="AZ625" i="42385"/>
  <c r="AY624" i="42385"/>
  <c r="AY626" i="42385" s="1"/>
  <c r="AY628" i="42385" s="1"/>
  <c r="BR1529" i="42385"/>
  <c r="BS903" i="42385"/>
  <c r="BR904" i="42385"/>
  <c r="BT385" i="42385"/>
  <c r="CZ385" i="42385" s="1"/>
  <c r="CZ384" i="42385"/>
  <c r="AR54" i="42385"/>
  <c r="AR51" i="42385"/>
  <c r="AR65" i="42385"/>
  <c r="AR75" i="42385" s="1"/>
  <c r="AW51" i="42385"/>
  <c r="AR52" i="42385"/>
  <c r="AX629" i="42385"/>
  <c r="AX630" i="42385"/>
  <c r="AX280" i="42385"/>
  <c r="AX288" i="42385" s="1"/>
  <c r="AX290" i="42385" s="1"/>
  <c r="BZ622" i="42385"/>
  <c r="DB622" i="42385" s="1"/>
  <c r="CA621" i="42385"/>
  <c r="DB621" i="42385"/>
  <c r="AT29" i="42385"/>
  <c r="AT23" i="42385"/>
  <c r="AU20" i="42385"/>
  <c r="BV384" i="42385"/>
  <c r="BU1541" i="42385"/>
  <c r="BU385" i="42385"/>
  <c r="CT50" i="42385"/>
  <c r="AP51" i="42385"/>
  <c r="CT51" i="42385" s="1"/>
  <c r="AP52" i="42385"/>
  <c r="CT52" i="42385" s="1"/>
  <c r="AP54" i="42385"/>
  <c r="AW628" i="42385"/>
  <c r="AE101" i="42424"/>
  <c r="AE139" i="42424" s="1"/>
  <c r="AE103" i="42424"/>
  <c r="BT720" i="42385"/>
  <c r="BU720" i="42385"/>
  <c r="BS1536" i="42385"/>
  <c r="BT1536" i="42385" s="1"/>
  <c r="CZ1536" i="42385" s="1"/>
  <c r="BS721" i="42385"/>
  <c r="AF139" i="42424"/>
  <c r="GP528" i="42417"/>
  <c r="FX442" i="42417"/>
  <c r="AU290" i="42385"/>
  <c r="CU280" i="42385"/>
  <c r="F20" i="42464"/>
  <c r="GP531" i="42417"/>
  <c r="BW1547" i="42385"/>
  <c r="BX472" i="42385"/>
  <c r="BI350" i="42385"/>
  <c r="BJ347" i="42385"/>
  <c r="CX347" i="42385" s="1"/>
  <c r="BK348" i="42385"/>
  <c r="CX348" i="42385"/>
  <c r="BV356" i="42385"/>
  <c r="BU357" i="42385"/>
  <c r="BU1528" i="42385"/>
  <c r="BJ480" i="42385"/>
  <c r="BI1140" i="42385"/>
  <c r="BM1525" i="42385"/>
  <c r="BM1499" i="42385" s="1"/>
  <c r="BN1523" i="42385"/>
  <c r="BN1525" i="42385" s="1"/>
  <c r="BN1499" i="42385" s="1"/>
  <c r="BS872" i="42385"/>
  <c r="BT872" i="42385" s="1"/>
  <c r="BR873" i="42385"/>
  <c r="BR1535" i="42385"/>
  <c r="BT257" i="42385"/>
  <c r="CB1498" i="42385"/>
  <c r="CC1400" i="42385"/>
  <c r="CB1402" i="42385"/>
  <c r="CC374" i="42385"/>
  <c r="CD373" i="42385"/>
  <c r="BA377" i="42385"/>
  <c r="CV377" i="42385"/>
  <c r="BP228" i="42385"/>
  <c r="BP258" i="42385" s="1"/>
  <c r="BP260" i="42385"/>
  <c r="ED415" i="42492" s="1"/>
  <c r="BP261" i="42385"/>
  <c r="BQ223" i="42385"/>
  <c r="BQ489" i="42385"/>
  <c r="BQ487" i="42385"/>
  <c r="BQ417" i="42385"/>
  <c r="BQ1530" i="42385"/>
  <c r="BR416" i="42385"/>
  <c r="AX383" i="42385"/>
  <c r="AX382" i="42385"/>
  <c r="AX266" i="42385"/>
  <c r="AZ266" i="42385" s="1"/>
  <c r="AX381" i="42385"/>
  <c r="AZ380" i="42385"/>
  <c r="BS484" i="42385"/>
  <c r="BS483" i="42385" s="1"/>
  <c r="BR483" i="42385"/>
  <c r="BP491" i="42385"/>
  <c r="BP490" i="42385"/>
  <c r="BP270" i="42385"/>
  <c r="AQ50" i="42385"/>
  <c r="AQ315" i="42385"/>
  <c r="AQ1647" i="42385"/>
  <c r="AQ316" i="42385"/>
  <c r="AY414" i="42385"/>
  <c r="AY415" i="42385"/>
  <c r="AY413" i="42385"/>
  <c r="AY267" i="42385"/>
  <c r="AY275" i="42385" s="1"/>
  <c r="AY277" i="42385" s="1"/>
  <c r="AV414" i="42385"/>
  <c r="AZ412" i="42385"/>
  <c r="AV413" i="42385"/>
  <c r="AV415" i="42385"/>
  <c r="AV267" i="42385"/>
  <c r="AH207" i="42385"/>
  <c r="AH212" i="42385"/>
  <c r="AH206" i="42385"/>
  <c r="AJ1632" i="42385"/>
  <c r="AJ1567" i="42385"/>
  <c r="AJ1631" i="42385" s="1"/>
  <c r="AJ1661" i="42385"/>
  <c r="AX414" i="42385"/>
  <c r="AX415" i="42385"/>
  <c r="AX267" i="42385"/>
  <c r="AX413" i="42385"/>
  <c r="BT935" i="42385"/>
  <c r="CZ935" i="42385" s="1"/>
  <c r="CZ934" i="42385"/>
  <c r="AI1632" i="42385"/>
  <c r="AI1567" i="42385"/>
  <c r="AI1631" i="42385" s="1"/>
  <c r="AI1661" i="42385"/>
  <c r="BE114" i="42385"/>
  <c r="CZ247" i="42417"/>
  <c r="CZ252" i="42417" s="1"/>
  <c r="CW106" i="42385"/>
  <c r="AG211" i="42385"/>
  <c r="AG209" i="42385"/>
  <c r="BO1531" i="42385"/>
  <c r="BN1554" i="42385"/>
  <c r="BO1554" i="42385" s="1"/>
  <c r="CY1554" i="42385" s="1"/>
  <c r="CF1399" i="42385"/>
  <c r="CF1497" i="42385" s="1"/>
  <c r="AS1514" i="42385"/>
  <c r="AS77" i="42385"/>
  <c r="AL1661" i="42385"/>
  <c r="AL1567" i="42385"/>
  <c r="AL1631" i="42385" s="1"/>
  <c r="AL1632" i="42385"/>
  <c r="AN1584" i="42385"/>
  <c r="AN1446" i="42385"/>
  <c r="AN1448" i="42385"/>
  <c r="AN1445" i="42385"/>
  <c r="AK1565" i="42385"/>
  <c r="CS1339" i="42385"/>
  <c r="AK1346" i="42385"/>
  <c r="C22" i="42465"/>
  <c r="AM1346" i="42385"/>
  <c r="AM1366" i="42385" s="1"/>
  <c r="AM201" i="42385" s="1"/>
  <c r="AM1565" i="42385"/>
  <c r="BP1531" i="42385"/>
  <c r="BP1554" i="42385" s="1"/>
  <c r="BQ810" i="42385"/>
  <c r="BP811" i="42385"/>
  <c r="BW1538" i="42385"/>
  <c r="BX758" i="42385"/>
  <c r="BW759" i="42385"/>
  <c r="BA1434" i="42385"/>
  <c r="AI212" i="42385"/>
  <c r="AI207" i="42385"/>
  <c r="AI206" i="42385"/>
  <c r="CX120" i="42385"/>
  <c r="V48" i="42476"/>
  <c r="V50" i="42476" s="1"/>
  <c r="BJ121" i="42385"/>
  <c r="CX121" i="42385" s="1"/>
  <c r="BJ1656" i="42385"/>
  <c r="BJ123" i="42385"/>
  <c r="CX123" i="42385" s="1"/>
  <c r="AN79" i="42385"/>
  <c r="AN1278" i="42385"/>
  <c r="AZ407" i="42385"/>
  <c r="CV407" i="42385" s="1"/>
  <c r="AX55" i="42385"/>
  <c r="E16" i="42476"/>
  <c r="AS56" i="42385"/>
  <c r="AW1569" i="42385"/>
  <c r="AW1572" i="42385" s="1"/>
  <c r="AS55" i="42385"/>
  <c r="AS1663" i="42385"/>
  <c r="AV197" i="42385"/>
  <c r="E12" i="42476"/>
  <c r="J13" i="42476" s="1"/>
  <c r="AV1569" i="42385"/>
  <c r="AV1572" i="42385" s="1"/>
  <c r="AW197" i="42385"/>
  <c r="CV256" i="42417"/>
  <c r="AL1426" i="42385"/>
  <c r="AZ408" i="42385"/>
  <c r="BV479" i="42385"/>
  <c r="BU1139" i="42385"/>
  <c r="AI1426" i="42385"/>
  <c r="AJ201" i="42385"/>
  <c r="DC404" i="42385"/>
  <c r="CA405" i="42385"/>
  <c r="DC405" i="42385" s="1"/>
  <c r="CB404" i="42385"/>
  <c r="BV778" i="42385"/>
  <c r="BW777" i="42385"/>
  <c r="BV1540" i="42385"/>
  <c r="BE1658" i="42385"/>
  <c r="Q20" i="42476"/>
  <c r="CW93" i="42385"/>
  <c r="BE94" i="42385"/>
  <c r="CW94" i="42385" s="1"/>
  <c r="G17" i="42465"/>
  <c r="BJ94" i="42385"/>
  <c r="CX94" i="42385" s="1"/>
  <c r="BV934" i="42385"/>
  <c r="BU1533" i="42385"/>
  <c r="BU935" i="42385"/>
  <c r="AZ410" i="42385"/>
  <c r="CV410" i="42385" s="1"/>
  <c r="BX744" i="42385"/>
  <c r="CR817" i="42385"/>
  <c r="AF818" i="42385"/>
  <c r="AF881" i="42385"/>
  <c r="CR881" i="42385" s="1"/>
  <c r="CR880" i="42385"/>
  <c r="AH388" i="42385"/>
  <c r="AH391" i="42385" s="1"/>
  <c r="AH392" i="42385" s="1"/>
  <c r="AH393" i="42385" s="1"/>
  <c r="AH762" i="42385"/>
  <c r="AH360" i="42385"/>
  <c r="AH363" i="42385" s="1"/>
  <c r="AH364" i="42385" s="1"/>
  <c r="AH365" i="42385" s="1"/>
  <c r="AH1000" i="42385"/>
  <c r="AH907" i="42385"/>
  <c r="AH876" i="42385"/>
  <c r="AH478" i="42385"/>
  <c r="AH743" i="42385"/>
  <c r="AH938" i="42385"/>
  <c r="AH1081" i="42385"/>
  <c r="AH705" i="42385"/>
  <c r="AH611" i="42385"/>
  <c r="AH783" i="42385"/>
  <c r="AH326" i="42385"/>
  <c r="AH329" i="42385" s="1"/>
  <c r="AH330" i="42385" s="1"/>
  <c r="AH331" i="42385" s="1"/>
  <c r="AH814" i="42385"/>
  <c r="AI320" i="42385"/>
  <c r="AH845" i="42385"/>
  <c r="AH848" i="42385" s="1"/>
  <c r="AH849" i="42385" s="1"/>
  <c r="AH850" i="42385" s="1"/>
  <c r="AH1138" i="42385"/>
  <c r="B39" i="42410"/>
  <c r="CR329" i="42385"/>
  <c r="AF330" i="42385"/>
  <c r="C17" i="42407"/>
  <c r="AG391" i="42385"/>
  <c r="AG392" i="42385" s="1"/>
  <c r="AG393" i="42385" s="1"/>
  <c r="AH614" i="42385"/>
  <c r="AH615" i="42385" s="1"/>
  <c r="AH616" i="42385" s="1"/>
  <c r="AG614" i="42385"/>
  <c r="AG615" i="42385" s="1"/>
  <c r="AG616" i="42385" s="1"/>
  <c r="AF943" i="42385"/>
  <c r="CR943" i="42385" s="1"/>
  <c r="CR942" i="42385"/>
  <c r="AF1086" i="42385"/>
  <c r="CR1086" i="42385" s="1"/>
  <c r="CR1085" i="42385"/>
  <c r="CR1004" i="42385"/>
  <c r="AF1005" i="42385"/>
  <c r="CR1005" i="42385" s="1"/>
  <c r="AF849" i="42385"/>
  <c r="CR848" i="42385"/>
  <c r="AF787" i="42385"/>
  <c r="CR786" i="42385"/>
  <c r="AF364" i="42385"/>
  <c r="CR363" i="42385"/>
  <c r="AF615" i="42385"/>
  <c r="CR614" i="42385"/>
  <c r="AF911" i="42385"/>
  <c r="CR910" i="42385"/>
  <c r="CR391" i="42385"/>
  <c r="B21" i="42407"/>
  <c r="B24" i="42407" s="1"/>
  <c r="AF392" i="42385"/>
  <c r="DA1582" i="42385"/>
  <c r="BZ1582" i="42385"/>
  <c r="BU1121" i="42385"/>
  <c r="BS1124" i="42385"/>
  <c r="BS1552" i="42385" s="1"/>
  <c r="BT1552" i="42385" s="1"/>
  <c r="CZ1552" i="42385" s="1"/>
  <c r="BB1432" i="42385"/>
  <c r="BB1477" i="42385" s="1"/>
  <c r="BB1476" i="42385"/>
  <c r="CZ1121" i="42385"/>
  <c r="BT1124" i="42385"/>
  <c r="CZ1124" i="42385" s="1"/>
  <c r="BD1437" i="42385"/>
  <c r="BC1439" i="42385"/>
  <c r="BC1431" i="42385" s="1"/>
  <c r="BA1501" i="42385"/>
  <c r="CZ256" i="42385"/>
  <c r="EI457" i="42492"/>
  <c r="EI459" i="42492" s="1"/>
  <c r="BT1107" i="42385"/>
  <c r="CZ1106" i="42385"/>
  <c r="BU1106" i="42385"/>
  <c r="BS707" i="42385"/>
  <c r="BX1118" i="42385"/>
  <c r="BT409" i="42385"/>
  <c r="BT13" i="42385"/>
  <c r="CZ13" i="42385" s="1"/>
  <c r="CC745" i="42385"/>
  <c r="AO169" i="42385"/>
  <c r="AF180" i="42385"/>
  <c r="CD1456" i="42385" l="1"/>
  <c r="CC1487" i="42385"/>
  <c r="Z193" i="42385"/>
  <c r="AA191" i="42385"/>
  <c r="BO1499" i="42385"/>
  <c r="CY1499" i="42385" s="1"/>
  <c r="F27" i="42464"/>
  <c r="F28" i="42464" s="1"/>
  <c r="F23" i="42464"/>
  <c r="BU721" i="42385"/>
  <c r="BV720" i="42385"/>
  <c r="BU1536" i="42385"/>
  <c r="AZ626" i="42385"/>
  <c r="CV626" i="42385" s="1"/>
  <c r="AR56" i="42385"/>
  <c r="CU256" i="42417"/>
  <c r="AR1663" i="42385"/>
  <c r="AR55" i="42385"/>
  <c r="D12" i="42476"/>
  <c r="I13" i="42476" s="1"/>
  <c r="D16" i="42476"/>
  <c r="AW55" i="42385"/>
  <c r="BS1529" i="42385"/>
  <c r="BT1529" i="42385" s="1"/>
  <c r="CZ1529" i="42385" s="1"/>
  <c r="BU903" i="42385"/>
  <c r="BS904" i="42385"/>
  <c r="BT903" i="42385"/>
  <c r="CZ720" i="42385"/>
  <c r="BT721" i="42385"/>
  <c r="CZ721" i="42385" s="1"/>
  <c r="AW629" i="42385"/>
  <c r="AW630" i="42385"/>
  <c r="AW280" i="42385"/>
  <c r="AZ628" i="42385"/>
  <c r="BV1541" i="42385"/>
  <c r="BV385" i="42385"/>
  <c r="BW384" i="42385"/>
  <c r="AZ624" i="42385"/>
  <c r="CV624" i="42385" s="1"/>
  <c r="BX841" i="42385"/>
  <c r="BW1532" i="42385"/>
  <c r="BW842" i="42385"/>
  <c r="AO75" i="42385"/>
  <c r="AP65" i="42385"/>
  <c r="AP1663" i="42385"/>
  <c r="AP56" i="42385"/>
  <c r="CT56" i="42385" s="1"/>
  <c r="AP55" i="42385"/>
  <c r="CT55" i="42385" s="1"/>
  <c r="B16" i="42476"/>
  <c r="CT54" i="42385"/>
  <c r="B12" i="42476"/>
  <c r="B71" i="42476" s="1"/>
  <c r="B74" i="42476" s="1"/>
  <c r="CU20" i="42385"/>
  <c r="AU29" i="42385"/>
  <c r="AU24" i="42385"/>
  <c r="AR77" i="42385"/>
  <c r="AR1514" i="42385"/>
  <c r="AY630" i="42385"/>
  <c r="AY280" i="42385"/>
  <c r="AY288" i="42385" s="1"/>
  <c r="AY629" i="42385"/>
  <c r="AO55" i="42385"/>
  <c r="AO1663" i="42385"/>
  <c r="AT55" i="42385"/>
  <c r="AO56" i="42385"/>
  <c r="AO1569" i="42385"/>
  <c r="AO197" i="42385"/>
  <c r="AP197" i="42385" s="1"/>
  <c r="CS197" i="42385" s="1"/>
  <c r="FY442" i="42417"/>
  <c r="FX444" i="42417"/>
  <c r="FY444" i="42417" s="1"/>
  <c r="AT313" i="42385"/>
  <c r="AU23" i="42385"/>
  <c r="CU23" i="42385" s="1"/>
  <c r="CA622" i="42385"/>
  <c r="DC622" i="42385" s="1"/>
  <c r="DC621" i="42385"/>
  <c r="CB621" i="42385"/>
  <c r="CV625" i="42385"/>
  <c r="BA625" i="42385"/>
  <c r="BX631" i="42385"/>
  <c r="BY631" i="42385"/>
  <c r="BW632" i="42385"/>
  <c r="BW1543" i="42385"/>
  <c r="BX1547" i="42385"/>
  <c r="BY472" i="42385"/>
  <c r="BO1523" i="42385"/>
  <c r="BP1523" i="42385" s="1"/>
  <c r="BK347" i="42385"/>
  <c r="BL348" i="42385"/>
  <c r="BW356" i="42385"/>
  <c r="BV1528" i="42385"/>
  <c r="BV357" i="42385"/>
  <c r="BI352" i="42385"/>
  <c r="BJ350" i="42385"/>
  <c r="CX350" i="42385" s="1"/>
  <c r="BK480" i="42385"/>
  <c r="CX480" i="42385"/>
  <c r="BJ1140" i="42385"/>
  <c r="CX1140" i="42385" s="1"/>
  <c r="BB1501" i="42385"/>
  <c r="BO1525" i="42385"/>
  <c r="CY1525" i="42385" s="1"/>
  <c r="BU872" i="42385"/>
  <c r="BS873" i="42385"/>
  <c r="BS1535" i="42385"/>
  <c r="BT1535" i="42385" s="1"/>
  <c r="CZ1535" i="42385" s="1"/>
  <c r="CY1523" i="42385"/>
  <c r="CZ872" i="42385"/>
  <c r="BT873" i="42385"/>
  <c r="CZ873" i="42385" s="1"/>
  <c r="BB1434" i="42385"/>
  <c r="CB1564" i="42385"/>
  <c r="CB1660" i="42385" s="1"/>
  <c r="CB1406" i="42385"/>
  <c r="BC1432" i="42385"/>
  <c r="BC1477" i="42385" s="1"/>
  <c r="CC1498" i="42385"/>
  <c r="CD1400" i="42385"/>
  <c r="CD1498" i="42385" s="1"/>
  <c r="CC1402" i="42385"/>
  <c r="BP259" i="42385"/>
  <c r="BP1558" i="42385"/>
  <c r="BP128" i="42385"/>
  <c r="BS487" i="42385"/>
  <c r="BS223" i="42385"/>
  <c r="BS489" i="42385"/>
  <c r="BQ491" i="42385"/>
  <c r="BQ490" i="42385"/>
  <c r="BQ270" i="42385"/>
  <c r="BB377" i="42385"/>
  <c r="BA376" i="42385"/>
  <c r="AZ382" i="42385"/>
  <c r="CV382" i="42385" s="1"/>
  <c r="CV380" i="42385"/>
  <c r="AZ381" i="42385"/>
  <c r="CV381" i="42385" s="1"/>
  <c r="AZ383" i="42385"/>
  <c r="CV383" i="42385" s="1"/>
  <c r="BQ228" i="42385"/>
  <c r="BQ258" i="42385" s="1"/>
  <c r="BQ260" i="42385"/>
  <c r="EE415" i="42492" s="1"/>
  <c r="BQ261" i="42385"/>
  <c r="CD374" i="42385"/>
  <c r="CE373" i="42385"/>
  <c r="AX275" i="42385"/>
  <c r="AX277" i="42385" s="1"/>
  <c r="AX314" i="42385" s="1"/>
  <c r="AX315" i="42385" s="1"/>
  <c r="BR223" i="42385"/>
  <c r="BR489" i="42385"/>
  <c r="BR487" i="42385"/>
  <c r="GC462" i="42417"/>
  <c r="GG462" i="42417" s="1"/>
  <c r="G18" i="42464"/>
  <c r="CV266" i="42385"/>
  <c r="BR1530" i="42385"/>
  <c r="BR417" i="42385"/>
  <c r="BS416" i="42385"/>
  <c r="BT483" i="42385"/>
  <c r="CC404" i="42385"/>
  <c r="CB405" i="42385"/>
  <c r="AN1301" i="42385"/>
  <c r="AN1330" i="42385" s="1"/>
  <c r="AN1333" i="42385" s="1"/>
  <c r="AN1642" i="42385"/>
  <c r="BQ811" i="42385"/>
  <c r="BR810" i="42385"/>
  <c r="BQ1531" i="42385"/>
  <c r="BQ1554" i="42385" s="1"/>
  <c r="CS1346" i="42385"/>
  <c r="AK1366" i="42385"/>
  <c r="AN1479" i="42385"/>
  <c r="AH211" i="42385"/>
  <c r="AH209" i="42385"/>
  <c r="AZ415" i="42385"/>
  <c r="CV415" i="42385" s="1"/>
  <c r="AZ413" i="42385"/>
  <c r="CV413" i="42385" s="1"/>
  <c r="AZ414" i="42385"/>
  <c r="CV414" i="42385" s="1"/>
  <c r="CV412" i="42385"/>
  <c r="BV1533" i="42385"/>
  <c r="BW934" i="42385"/>
  <c r="BV935" i="42385"/>
  <c r="AN90" i="42385"/>
  <c r="AN1648" i="42385"/>
  <c r="AN1641" i="42385" s="1"/>
  <c r="AN92" i="42385"/>
  <c r="BX759" i="42385"/>
  <c r="BX1538" i="42385"/>
  <c r="BY1538" i="42385" s="1"/>
  <c r="DA1538" i="42385" s="1"/>
  <c r="AM1632" i="42385"/>
  <c r="AM1661" i="42385"/>
  <c r="AM1567" i="42385"/>
  <c r="AM1631" i="42385" s="1"/>
  <c r="AN1477" i="42385"/>
  <c r="AZ267" i="42385"/>
  <c r="AV275" i="42385"/>
  <c r="AQ54" i="42385"/>
  <c r="AQ65" i="42385"/>
  <c r="AQ52" i="42385"/>
  <c r="AQ51" i="42385"/>
  <c r="AV51" i="42385"/>
  <c r="V21" i="42476"/>
  <c r="Q21" i="42476"/>
  <c r="BX777" i="42385"/>
  <c r="BW1540" i="42385"/>
  <c r="BW778" i="42385"/>
  <c r="BV1139" i="42385"/>
  <c r="BA408" i="42385"/>
  <c r="CV408" i="42385"/>
  <c r="AV1583" i="42385"/>
  <c r="AV1634" i="42385"/>
  <c r="AV1591" i="42385"/>
  <c r="AV1592" i="42385" s="1"/>
  <c r="AV1594" i="42385"/>
  <c r="AV1595" i="42385" s="1"/>
  <c r="AV1586" i="42385"/>
  <c r="AV1587" i="42385" s="1"/>
  <c r="AM1426" i="42385"/>
  <c r="CS1565" i="42385"/>
  <c r="AK1632" i="42385"/>
  <c r="CS1632" i="42385" s="1"/>
  <c r="B38" i="42409"/>
  <c r="AK1661" i="42385"/>
  <c r="AK1567" i="42385"/>
  <c r="AS79" i="42385"/>
  <c r="AS1278" i="42385"/>
  <c r="CY1531" i="42385"/>
  <c r="BO1556" i="42385"/>
  <c r="CZ257" i="42417"/>
  <c r="CZ254" i="42417"/>
  <c r="AJ212" i="42385"/>
  <c r="AJ207" i="42385"/>
  <c r="AJ206" i="42385"/>
  <c r="AM206" i="42385"/>
  <c r="AM212" i="42385"/>
  <c r="AM207" i="42385"/>
  <c r="AW1594" i="42385"/>
  <c r="AW1595" i="42385" s="1"/>
  <c r="AW1634" i="42385"/>
  <c r="AW1586" i="42385"/>
  <c r="AW1587" i="42385" s="1"/>
  <c r="AW1583" i="42385"/>
  <c r="AW1591" i="42385"/>
  <c r="AW1592" i="42385" s="1"/>
  <c r="AI211" i="42385"/>
  <c r="AI209" i="42385"/>
  <c r="BY758" i="42385"/>
  <c r="AN1476" i="42385"/>
  <c r="BE120" i="42385"/>
  <c r="BE122" i="42385"/>
  <c r="CW114" i="42385"/>
  <c r="AI388" i="42385"/>
  <c r="AI391" i="42385" s="1"/>
  <c r="AI392" i="42385" s="1"/>
  <c r="AI393" i="42385" s="1"/>
  <c r="AI743" i="42385"/>
  <c r="AI876" i="42385"/>
  <c r="AI879" i="42385" s="1"/>
  <c r="AI880" i="42385" s="1"/>
  <c r="AI881" i="42385" s="1"/>
  <c r="AI705" i="42385"/>
  <c r="AI1138" i="42385"/>
  <c r="AI1141" i="42385" s="1"/>
  <c r="AI611" i="42385"/>
  <c r="AI614" i="42385" s="1"/>
  <c r="AI615" i="42385" s="1"/>
  <c r="AI616" i="42385" s="1"/>
  <c r="AI907" i="42385"/>
  <c r="AI910" i="42385" s="1"/>
  <c r="AI911" i="42385" s="1"/>
  <c r="AI912" i="42385" s="1"/>
  <c r="AI326" i="42385"/>
  <c r="AI478" i="42385"/>
  <c r="AI481" i="42385" s="1"/>
  <c r="AJ320" i="42385"/>
  <c r="AI938" i="42385"/>
  <c r="AI941" i="42385" s="1"/>
  <c r="AI942" i="42385" s="1"/>
  <c r="AI943" i="42385" s="1"/>
  <c r="AI783" i="42385"/>
  <c r="AI786" i="42385" s="1"/>
  <c r="AI787" i="42385" s="1"/>
  <c r="AI788" i="42385" s="1"/>
  <c r="AI360" i="42385"/>
  <c r="AI363" i="42385" s="1"/>
  <c r="AI364" i="42385" s="1"/>
  <c r="AI365" i="42385" s="1"/>
  <c r="AI814" i="42385"/>
  <c r="AI817" i="42385" s="1"/>
  <c r="AI818" i="42385" s="1"/>
  <c r="AI762" i="42385"/>
  <c r="AI765" i="42385" s="1"/>
  <c r="AI1081" i="42385"/>
  <c r="AI1084" i="42385" s="1"/>
  <c r="AI1085" i="42385" s="1"/>
  <c r="AI1086" i="42385" s="1"/>
  <c r="AI1000" i="42385"/>
  <c r="AI1003" i="42385" s="1"/>
  <c r="AI1004" i="42385" s="1"/>
  <c r="AI1005" i="42385" s="1"/>
  <c r="AI845" i="42385"/>
  <c r="AI848" i="42385" s="1"/>
  <c r="AI849" i="42385" s="1"/>
  <c r="AI850" i="42385" s="1"/>
  <c r="AH746" i="42385"/>
  <c r="AH1003" i="42385"/>
  <c r="AH1004" i="42385" s="1"/>
  <c r="AH1005" i="42385" s="1"/>
  <c r="B42" i="42410"/>
  <c r="B40" i="42410"/>
  <c r="AH817" i="42385"/>
  <c r="AH818" i="42385" s="1"/>
  <c r="AI708" i="42385"/>
  <c r="AH708" i="42385"/>
  <c r="AH481" i="42385"/>
  <c r="B22" i="42407"/>
  <c r="CR392" i="42385"/>
  <c r="AF393" i="42385"/>
  <c r="CR393" i="42385" s="1"/>
  <c r="CR911" i="42385"/>
  <c r="AF912" i="42385"/>
  <c r="CR912" i="42385" s="1"/>
  <c r="AF616" i="42385"/>
  <c r="CR616" i="42385" s="1"/>
  <c r="CR615" i="42385"/>
  <c r="AH1141" i="42385"/>
  <c r="AH1084" i="42385"/>
  <c r="AH1085" i="42385" s="1"/>
  <c r="AH1086" i="42385" s="1"/>
  <c r="AH879" i="42385"/>
  <c r="AH880" i="42385" s="1"/>
  <c r="AH881" i="42385" s="1"/>
  <c r="AH765" i="42385"/>
  <c r="AF819" i="42385"/>
  <c r="CR819" i="42385" s="1"/>
  <c r="CR818" i="42385"/>
  <c r="BY744" i="42385"/>
  <c r="AF365" i="42385"/>
  <c r="CR365" i="42385" s="1"/>
  <c r="CR364" i="42385"/>
  <c r="AF788" i="42385"/>
  <c r="CR788" i="42385" s="1"/>
  <c r="CR787" i="42385"/>
  <c r="AF850" i="42385"/>
  <c r="CR850" i="42385" s="1"/>
  <c r="CR849" i="42385"/>
  <c r="CR330" i="42385"/>
  <c r="AF331" i="42385"/>
  <c r="CR331" i="42385" s="1"/>
  <c r="AH786" i="42385"/>
  <c r="AH787" i="42385" s="1"/>
  <c r="AH788" i="42385" s="1"/>
  <c r="AH941" i="42385"/>
  <c r="AH942" i="42385" s="1"/>
  <c r="AH943" i="42385" s="1"/>
  <c r="AH910" i="42385"/>
  <c r="AH911" i="42385" s="1"/>
  <c r="AH912" i="42385" s="1"/>
  <c r="BE1437" i="42385"/>
  <c r="BD1439" i="42385"/>
  <c r="BD1432" i="42385" s="1"/>
  <c r="BV1121" i="42385"/>
  <c r="BU1124" i="42385"/>
  <c r="BU1552" i="42385" s="1"/>
  <c r="BC1476" i="42385"/>
  <c r="CA1582" i="42385"/>
  <c r="DB1582" i="42385"/>
  <c r="CD745" i="42385"/>
  <c r="BY1118" i="42385"/>
  <c r="BT707" i="42385"/>
  <c r="CZ1107" i="42385"/>
  <c r="BT1108" i="42385"/>
  <c r="CZ1108" i="42385" s="1"/>
  <c r="AG180" i="42385"/>
  <c r="CR180" i="42385"/>
  <c r="AP169" i="42385"/>
  <c r="BU409" i="42385"/>
  <c r="CZ409" i="42385"/>
  <c r="BV1106" i="42385"/>
  <c r="BU1107" i="42385"/>
  <c r="BU256" i="42385" s="1"/>
  <c r="CQ191" i="42385" l="1"/>
  <c r="AA193" i="42385"/>
  <c r="CQ193" i="42385" s="1"/>
  <c r="AB191" i="42385"/>
  <c r="CE1456" i="42385"/>
  <c r="CD1487" i="42385"/>
  <c r="AY290" i="42385"/>
  <c r="AY314" i="42385" s="1"/>
  <c r="AY316" i="42385" s="1"/>
  <c r="BY632" i="42385"/>
  <c r="DA632" i="42385" s="1"/>
  <c r="DA631" i="42385"/>
  <c r="BZ631" i="42385"/>
  <c r="CC621" i="42385"/>
  <c r="CB622" i="42385"/>
  <c r="AT314" i="42385"/>
  <c r="AU313" i="42385"/>
  <c r="AU314" i="42385" s="1"/>
  <c r="AP1569" i="42385"/>
  <c r="AO1572" i="42385"/>
  <c r="AO1514" i="42385"/>
  <c r="AO77" i="42385"/>
  <c r="AZ629" i="42385"/>
  <c r="CV629" i="42385" s="1"/>
  <c r="AZ630" i="42385"/>
  <c r="CV630" i="42385" s="1"/>
  <c r="CV628" i="42385"/>
  <c r="BU904" i="42385"/>
  <c r="BV903" i="42385"/>
  <c r="BU1529" i="42385"/>
  <c r="BX1543" i="42385"/>
  <c r="BY1543" i="42385" s="1"/>
  <c r="DA1543" i="42385" s="1"/>
  <c r="BX632" i="42385"/>
  <c r="AR79" i="42385"/>
  <c r="AR1278" i="42385"/>
  <c r="BX384" i="42385"/>
  <c r="BW1541" i="42385"/>
  <c r="BW385" i="42385"/>
  <c r="AW288" i="42385"/>
  <c r="AW290" i="42385" s="1"/>
  <c r="AW314" i="42385" s="1"/>
  <c r="AZ280" i="42385"/>
  <c r="F25" i="42464"/>
  <c r="F26" i="42464" s="1"/>
  <c r="BB625" i="42385"/>
  <c r="BA624" i="42385"/>
  <c r="BA626" i="42385" s="1"/>
  <c r="BA628" i="42385" s="1"/>
  <c r="AZ288" i="42385"/>
  <c r="CV288" i="42385" s="1"/>
  <c r="AU40" i="42385"/>
  <c r="AZ26" i="42385"/>
  <c r="CV26" i="42385" s="1"/>
  <c r="AU32" i="42385"/>
  <c r="AZ32" i="42385"/>
  <c r="AU27" i="42385"/>
  <c r="CU27" i="42385" s="1"/>
  <c r="E6" i="42465"/>
  <c r="AU50" i="42385"/>
  <c r="AU26" i="42385"/>
  <c r="CU26" i="42385" s="1"/>
  <c r="G8" i="42476"/>
  <c r="CU24" i="42385"/>
  <c r="CZ903" i="42385"/>
  <c r="BT904" i="42385"/>
  <c r="CZ904" i="42385" s="1"/>
  <c r="AP75" i="42385"/>
  <c r="CT65" i="42385"/>
  <c r="D8" i="42465"/>
  <c r="BY841" i="42385"/>
  <c r="BX842" i="42385"/>
  <c r="BX1532" i="42385"/>
  <c r="BY1532" i="42385" s="1"/>
  <c r="DA1532" i="42385" s="1"/>
  <c r="BV721" i="42385"/>
  <c r="BV1536" i="42385"/>
  <c r="BW720" i="42385"/>
  <c r="BC1434" i="42385"/>
  <c r="BZ472" i="42385"/>
  <c r="DA472" i="42385"/>
  <c r="BY1547" i="42385"/>
  <c r="DA1547" i="42385" s="1"/>
  <c r="AX1647" i="42385"/>
  <c r="BI265" i="42385"/>
  <c r="BJ265" i="42385" s="1"/>
  <c r="CX265" i="42385" s="1"/>
  <c r="BI353" i="42385"/>
  <c r="BI355" i="42385"/>
  <c r="BI354" i="42385"/>
  <c r="BJ352" i="42385"/>
  <c r="BL347" i="42385"/>
  <c r="BL350" i="42385" s="1"/>
  <c r="BL352" i="42385" s="1"/>
  <c r="BM348" i="42385"/>
  <c r="BK350" i="42385"/>
  <c r="BX356" i="42385"/>
  <c r="BW1528" i="42385"/>
  <c r="BW357" i="42385"/>
  <c r="BY356" i="42385"/>
  <c r="BL480" i="42385"/>
  <c r="BK1140" i="42385"/>
  <c r="AX316" i="42385"/>
  <c r="BQ1523" i="42385"/>
  <c r="BP1525" i="42385"/>
  <c r="BV872" i="42385"/>
  <c r="BU1535" i="42385"/>
  <c r="BU873" i="42385"/>
  <c r="CE1400" i="42385"/>
  <c r="CD1402" i="42385"/>
  <c r="CC1564" i="42385"/>
  <c r="CC1660" i="42385" s="1"/>
  <c r="CC1406" i="42385"/>
  <c r="CC1319" i="42385" s="1"/>
  <c r="CC1326" i="42385" s="1"/>
  <c r="BQ128" i="42385"/>
  <c r="BQ1558" i="42385"/>
  <c r="BQ259" i="42385"/>
  <c r="CZ483" i="42385"/>
  <c r="BT484" i="42385"/>
  <c r="BT487" i="42385"/>
  <c r="CZ487" i="42385" s="1"/>
  <c r="CE374" i="42385"/>
  <c r="CF373" i="42385"/>
  <c r="CF374" i="42385" s="1"/>
  <c r="BB376" i="42385"/>
  <c r="BB378" i="42385" s="1"/>
  <c r="BB380" i="42385" s="1"/>
  <c r="BC377" i="42385"/>
  <c r="BS491" i="42385"/>
  <c r="BS270" i="42385"/>
  <c r="BS490" i="42385"/>
  <c r="BS1530" i="42385"/>
  <c r="BT1530" i="42385" s="1"/>
  <c r="CZ1530" i="42385" s="1"/>
  <c r="BS417" i="42385"/>
  <c r="BU416" i="42385"/>
  <c r="BR270" i="42385"/>
  <c r="BR490" i="42385"/>
  <c r="BR491" i="42385"/>
  <c r="BT489" i="42385"/>
  <c r="BR228" i="42385"/>
  <c r="BT228" i="42385" s="1"/>
  <c r="CZ228" i="42385" s="1"/>
  <c r="BR260" i="42385"/>
  <c r="BR261" i="42385"/>
  <c r="BT223" i="42385"/>
  <c r="CZ223" i="42385" s="1"/>
  <c r="BA378" i="42385"/>
  <c r="BT416" i="42385"/>
  <c r="BA407" i="42385"/>
  <c r="BB408" i="42385"/>
  <c r="AQ1569" i="42385"/>
  <c r="AQ1572" i="42385" s="1"/>
  <c r="CT256" i="42417"/>
  <c r="CX256" i="42417" s="1"/>
  <c r="AQ197" i="42385"/>
  <c r="AQ1663" i="42385"/>
  <c r="C12" i="42476"/>
  <c r="H13" i="42476" s="1"/>
  <c r="AT1569" i="42385"/>
  <c r="AQ56" i="42385"/>
  <c r="AQ55" i="42385"/>
  <c r="C16" i="42476"/>
  <c r="AV55" i="42385"/>
  <c r="AR1569" i="42385"/>
  <c r="AR1572" i="42385" s="1"/>
  <c r="AR197" i="42385"/>
  <c r="AT197" i="42385"/>
  <c r="AU197" i="42385" s="1"/>
  <c r="CT197" i="42385" s="1"/>
  <c r="AS197" i="42385"/>
  <c r="AS1569" i="42385"/>
  <c r="AS1572" i="42385" s="1"/>
  <c r="BY759" i="42385"/>
  <c r="DA759" i="42385" s="1"/>
  <c r="BZ758" i="42385"/>
  <c r="DA758" i="42385"/>
  <c r="AW1584" i="42385"/>
  <c r="AW1445" i="42385"/>
  <c r="AW1476" i="42385" s="1"/>
  <c r="AW1446" i="42385"/>
  <c r="AW1477" i="42385" s="1"/>
  <c r="AW1448" i="42385"/>
  <c r="AW1479" i="42385" s="1"/>
  <c r="CS1567" i="42385"/>
  <c r="AK1631" i="42385"/>
  <c r="CS1631" i="42385" s="1"/>
  <c r="AQ75" i="42385"/>
  <c r="AU65" i="42385"/>
  <c r="BR1531" i="42385"/>
  <c r="BR1554" i="42385" s="1"/>
  <c r="BR811" i="42385"/>
  <c r="BS810" i="42385"/>
  <c r="BT810" i="42385" s="1"/>
  <c r="AN1501" i="42385"/>
  <c r="AN1619" i="42385"/>
  <c r="AN199" i="42385"/>
  <c r="AN205" i="42385" s="1"/>
  <c r="AN93" i="42385"/>
  <c r="AN106" i="42385"/>
  <c r="AM211" i="42385"/>
  <c r="AM209" i="42385"/>
  <c r="AS1642" i="42385"/>
  <c r="AS1301" i="42385"/>
  <c r="AS1330" i="42385" s="1"/>
  <c r="BX778" i="42385"/>
  <c r="BX1540" i="42385"/>
  <c r="BY1540" i="42385" s="1"/>
  <c r="DA1540" i="42385" s="1"/>
  <c r="AV277" i="42385"/>
  <c r="AV314" i="42385" s="1"/>
  <c r="AZ275" i="42385"/>
  <c r="CV275" i="42385" s="1"/>
  <c r="BW1533" i="42385"/>
  <c r="BW935" i="42385"/>
  <c r="BX934" i="42385"/>
  <c r="BY934" i="42385" s="1"/>
  <c r="CD404" i="42385"/>
  <c r="CC405" i="42385"/>
  <c r="CS1366" i="42385"/>
  <c r="AL201" i="42385"/>
  <c r="C28" i="42465"/>
  <c r="AK1426" i="42385"/>
  <c r="CS1426" i="42385" s="1"/>
  <c r="AK201" i="42385"/>
  <c r="CW120" i="42385"/>
  <c r="BE121" i="42385"/>
  <c r="CW121" i="42385" s="1"/>
  <c r="Q48" i="42476"/>
  <c r="Q50" i="42476" s="1"/>
  <c r="BE1656" i="42385"/>
  <c r="AJ211" i="42385"/>
  <c r="AJ209" i="42385"/>
  <c r="BO1557" i="42385"/>
  <c r="CY1557" i="42385" s="1"/>
  <c r="BO1558" i="42385"/>
  <c r="CY1558" i="42385" s="1"/>
  <c r="BO107" i="42385"/>
  <c r="CY1556" i="42385"/>
  <c r="AS1648" i="42385"/>
  <c r="AS1641" i="42385" s="1"/>
  <c r="AS90" i="42385"/>
  <c r="AS92" i="42385"/>
  <c r="AV1446" i="42385"/>
  <c r="AV1477" i="42385" s="1"/>
  <c r="AV1448" i="42385"/>
  <c r="AV1479" i="42385" s="1"/>
  <c r="AV1584" i="42385"/>
  <c r="AV1445" i="42385"/>
  <c r="AV1476" i="42385" s="1"/>
  <c r="BW1139" i="42385"/>
  <c r="GC452" i="42417"/>
  <c r="G8" i="42464"/>
  <c r="CV267" i="42385"/>
  <c r="AZ277" i="42385"/>
  <c r="AN1339" i="42385"/>
  <c r="AO1332" i="42385"/>
  <c r="BY777" i="42385"/>
  <c r="AI329" i="42385"/>
  <c r="DA744" i="42385"/>
  <c r="BZ744" i="42385"/>
  <c r="AJ783" i="42385"/>
  <c r="AJ907" i="42385"/>
  <c r="AK907" i="42385" s="1"/>
  <c r="CS907" i="42385" s="1"/>
  <c r="AJ743" i="42385"/>
  <c r="AK743" i="42385" s="1"/>
  <c r="CS743" i="42385" s="1"/>
  <c r="AJ845" i="42385"/>
  <c r="AJ876" i="42385"/>
  <c r="AJ762" i="42385"/>
  <c r="AK762" i="42385" s="1"/>
  <c r="CS762" i="42385" s="1"/>
  <c r="AJ938" i="42385"/>
  <c r="AJ388" i="42385"/>
  <c r="AJ326" i="42385"/>
  <c r="AK326" i="42385" s="1"/>
  <c r="CS326" i="42385" s="1"/>
  <c r="AJ1138" i="42385"/>
  <c r="AJ360" i="42385"/>
  <c r="AJ814" i="42385"/>
  <c r="AJ478" i="42385"/>
  <c r="AJ705" i="42385"/>
  <c r="AK705" i="42385" s="1"/>
  <c r="CS705" i="42385" s="1"/>
  <c r="AK320" i="42385"/>
  <c r="AJ611" i="42385"/>
  <c r="AK611" i="42385" s="1"/>
  <c r="CS611" i="42385" s="1"/>
  <c r="AJ1081" i="42385"/>
  <c r="AK1081" i="42385" s="1"/>
  <c r="CS1081" i="42385" s="1"/>
  <c r="AJ1000" i="42385"/>
  <c r="AJ746" i="42385"/>
  <c r="AI746" i="42385"/>
  <c r="BE1432" i="42385"/>
  <c r="CW1432" i="42385" s="1"/>
  <c r="BD1477" i="42385"/>
  <c r="BE1477" i="42385" s="1"/>
  <c r="CW1477" i="42385" s="1"/>
  <c r="CW1437" i="42385"/>
  <c r="BF1437" i="42385"/>
  <c r="DC1582" i="42385"/>
  <c r="CB1582" i="42385"/>
  <c r="BC1501" i="42385"/>
  <c r="BW1121" i="42385"/>
  <c r="BV1124" i="42385"/>
  <c r="BV1552" i="42385" s="1"/>
  <c r="BD1431" i="42385"/>
  <c r="BE1439" i="42385"/>
  <c r="CW1439" i="42385" s="1"/>
  <c r="BU707" i="42385"/>
  <c r="CZ707" i="42385"/>
  <c r="AH180" i="42385"/>
  <c r="AU169" i="42385"/>
  <c r="AQ169" i="42385"/>
  <c r="CT169" i="42385"/>
  <c r="BU13" i="42385"/>
  <c r="BV409" i="42385"/>
  <c r="CE745" i="42385"/>
  <c r="BV1107" i="42385"/>
  <c r="BV256" i="42385" s="1"/>
  <c r="BW1106" i="42385"/>
  <c r="BZ1118" i="42385"/>
  <c r="DA1118" i="42385"/>
  <c r="AY315" i="42385" l="1"/>
  <c r="AY1647" i="42385"/>
  <c r="CE1487" i="42385"/>
  <c r="CF1456" i="42385"/>
  <c r="CF1487" i="42385" s="1"/>
  <c r="AC191" i="42385"/>
  <c r="AB193" i="42385"/>
  <c r="AV51" i="42464"/>
  <c r="AV53" i="42464" s="1"/>
  <c r="AU54" i="42385"/>
  <c r="AU52" i="42385"/>
  <c r="CU52" i="42385" s="1"/>
  <c r="AU51" i="42385"/>
  <c r="CU51" i="42385" s="1"/>
  <c r="AZ51" i="42385"/>
  <c r="CV51" i="42385" s="1"/>
  <c r="CU50" i="42385"/>
  <c r="BA630" i="42385"/>
  <c r="BA280" i="42385"/>
  <c r="BA288" i="42385" s="1"/>
  <c r="BA629" i="42385"/>
  <c r="AW1647" i="42385"/>
  <c r="AW316" i="42385"/>
  <c r="AW315" i="42385"/>
  <c r="BX1541" i="42385"/>
  <c r="BY1541" i="42385" s="1"/>
  <c r="DA1541" i="42385" s="1"/>
  <c r="BX385" i="42385"/>
  <c r="AO1278" i="42385"/>
  <c r="AO79" i="42385"/>
  <c r="BE248" i="42424"/>
  <c r="BE250" i="42424" s="1"/>
  <c r="BE252" i="42424" s="1"/>
  <c r="CU314" i="42385"/>
  <c r="AU1647" i="42385"/>
  <c r="CU1647" i="42385" s="1"/>
  <c r="AU316" i="42385"/>
  <c r="CU316" i="42385" s="1"/>
  <c r="AU315" i="42385"/>
  <c r="CU315" i="42385" s="1"/>
  <c r="DB631" i="42385"/>
  <c r="BZ1543" i="42385"/>
  <c r="DB1543" i="42385" s="1"/>
  <c r="CA631" i="42385"/>
  <c r="BZ632" i="42385"/>
  <c r="DB632" i="42385" s="1"/>
  <c r="BB624" i="42385"/>
  <c r="BC625" i="42385"/>
  <c r="BY384" i="42385"/>
  <c r="AR1642" i="42385"/>
  <c r="AR1301" i="42385"/>
  <c r="AR1330" i="42385" s="1"/>
  <c r="AT316" i="42385"/>
  <c r="AT315" i="42385"/>
  <c r="AT1647" i="42385"/>
  <c r="BW721" i="42385"/>
  <c r="BX720" i="42385"/>
  <c r="BW1536" i="42385"/>
  <c r="BY720" i="42385"/>
  <c r="CT75" i="42385"/>
  <c r="AP1514" i="42385"/>
  <c r="B76" i="42476" s="1"/>
  <c r="B75" i="42476" s="1"/>
  <c r="B78" i="42476" s="1"/>
  <c r="B81" i="42476" s="1"/>
  <c r="D11" i="42465"/>
  <c r="AP77" i="42385"/>
  <c r="V10" i="42476"/>
  <c r="L9" i="42476"/>
  <c r="G9" i="42476"/>
  <c r="G45" i="42476"/>
  <c r="AZ41" i="42385"/>
  <c r="CV41" i="42385" s="1"/>
  <c r="AZ43" i="42385"/>
  <c r="CV43" i="42385" s="1"/>
  <c r="AU41" i="42385"/>
  <c r="CU41" i="42385" s="1"/>
  <c r="AU42" i="42385"/>
  <c r="CU42" i="42385" s="1"/>
  <c r="AU43" i="42385"/>
  <c r="CU43" i="42385" s="1"/>
  <c r="CU40" i="42385"/>
  <c r="AR90" i="42385"/>
  <c r="AR92" i="42385"/>
  <c r="AR1648" i="42385"/>
  <c r="AR1641" i="42385" s="1"/>
  <c r="AO1594" i="42385"/>
  <c r="AO1595" i="42385" s="1"/>
  <c r="AO1634" i="42385"/>
  <c r="AO1591" i="42385"/>
  <c r="AO1592" i="42385" s="1"/>
  <c r="AO1586" i="42385"/>
  <c r="AO1587" i="42385" s="1"/>
  <c r="AO1583" i="42385"/>
  <c r="BZ841" i="42385"/>
  <c r="DA841" i="42385"/>
  <c r="BY842" i="42385"/>
  <c r="DA842" i="42385" s="1"/>
  <c r="CV280" i="42385"/>
  <c r="G20" i="42464"/>
  <c r="G23" i="42464" s="1"/>
  <c r="AZ290" i="42385"/>
  <c r="AZ314" i="42385" s="1"/>
  <c r="GC464" i="42417"/>
  <c r="GG464" i="42417" s="1"/>
  <c r="BV1529" i="42385"/>
  <c r="BV904" i="42385"/>
  <c r="BW903" i="42385"/>
  <c r="AP1572" i="42385"/>
  <c r="CT1569" i="42385"/>
  <c r="CC622" i="42385"/>
  <c r="CD621" i="42385"/>
  <c r="CA472" i="42385"/>
  <c r="DB472" i="42385"/>
  <c r="BZ1547" i="42385"/>
  <c r="DB1547" i="42385" s="1"/>
  <c r="BX357" i="42385"/>
  <c r="BX1528" i="42385"/>
  <c r="BY1528" i="42385" s="1"/>
  <c r="DA1528" i="42385" s="1"/>
  <c r="BY357" i="42385"/>
  <c r="DA357" i="42385" s="1"/>
  <c r="BZ356" i="42385"/>
  <c r="DA356" i="42385"/>
  <c r="BK352" i="42385"/>
  <c r="BN348" i="42385"/>
  <c r="BM347" i="42385"/>
  <c r="BM350" i="42385" s="1"/>
  <c r="BM352" i="42385" s="1"/>
  <c r="BL265" i="42385"/>
  <c r="BL353" i="42385"/>
  <c r="BL355" i="42385"/>
  <c r="BL354" i="42385"/>
  <c r="EA403" i="42464"/>
  <c r="CX352" i="42385"/>
  <c r="BJ353" i="42385"/>
  <c r="CX353" i="42385" s="1"/>
  <c r="BJ354" i="42385"/>
  <c r="CX354" i="42385" s="1"/>
  <c r="BJ355" i="42385"/>
  <c r="CX355" i="42385" s="1"/>
  <c r="AZ1477" i="42385"/>
  <c r="CV1477" i="42385" s="1"/>
  <c r="BM480" i="42385"/>
  <c r="BL1140" i="42385"/>
  <c r="AZ1479" i="42385"/>
  <c r="CV1479" i="42385" s="1"/>
  <c r="BP1499" i="42385"/>
  <c r="BR1523" i="42385"/>
  <c r="BQ1525" i="42385"/>
  <c r="BQ1499" i="42385" s="1"/>
  <c r="BT270" i="42385"/>
  <c r="CZ270" i="42385" s="1"/>
  <c r="BV1535" i="42385"/>
  <c r="BW872" i="42385"/>
  <c r="BV873" i="42385"/>
  <c r="CD1406" i="42385"/>
  <c r="CD1319" i="42385" s="1"/>
  <c r="CD1326" i="42385" s="1"/>
  <c r="CD1564" i="42385"/>
  <c r="CD1660" i="42385" s="1"/>
  <c r="CE1498" i="42385"/>
  <c r="CF1400" i="42385"/>
  <c r="CE1402" i="42385"/>
  <c r="BR258" i="42385"/>
  <c r="BA380" i="42385"/>
  <c r="BD377" i="42385"/>
  <c r="BC376" i="42385"/>
  <c r="BC378" i="42385" s="1"/>
  <c r="BC380" i="42385" s="1"/>
  <c r="BB383" i="42385"/>
  <c r="BB381" i="42385"/>
  <c r="BB266" i="42385"/>
  <c r="BB382" i="42385"/>
  <c r="CZ484" i="42385"/>
  <c r="BU484" i="42385"/>
  <c r="CZ416" i="42385"/>
  <c r="BT417" i="42385"/>
  <c r="CZ417" i="42385" s="1"/>
  <c r="BT491" i="42385"/>
  <c r="CZ491" i="42385" s="1"/>
  <c r="CZ489" i="42385"/>
  <c r="BT490" i="42385"/>
  <c r="CZ490" i="42385" s="1"/>
  <c r="BU1530" i="42385"/>
  <c r="BV416" i="42385"/>
  <c r="BU417" i="42385"/>
  <c r="AN1346" i="42385"/>
  <c r="AN1366" i="42385" s="1"/>
  <c r="AN1565" i="42385"/>
  <c r="G27" i="42464"/>
  <c r="AV1501" i="42385"/>
  <c r="AZ1476" i="42385"/>
  <c r="AK212" i="42385"/>
  <c r="AK207" i="42385"/>
  <c r="AK206" i="42385"/>
  <c r="AN1620" i="42385"/>
  <c r="AN1627" i="42385" s="1"/>
  <c r="AN1628" i="42385" s="1"/>
  <c r="BS1531" i="42385"/>
  <c r="BT1531" i="42385" s="1"/>
  <c r="CZ1531" i="42385" s="1"/>
  <c r="BS811" i="42385"/>
  <c r="BU810" i="42385"/>
  <c r="AT1572" i="42385"/>
  <c r="AU1569" i="42385"/>
  <c r="GC472" i="42417"/>
  <c r="GC475" i="42417" s="1"/>
  <c r="GC481" i="42417" s="1"/>
  <c r="GG452" i="42417"/>
  <c r="AS93" i="42385"/>
  <c r="AS106" i="42385"/>
  <c r="AV199" i="42385"/>
  <c r="AV205" i="42385" s="1"/>
  <c r="AW199" i="42385"/>
  <c r="AW205" i="42385" s="1"/>
  <c r="AS1619" i="42385"/>
  <c r="BY935" i="42385"/>
  <c r="DA935" i="42385" s="1"/>
  <c r="DA934" i="42385"/>
  <c r="BZ934" i="42385"/>
  <c r="AN114" i="42385"/>
  <c r="CU65" i="42385"/>
  <c r="AU75" i="42385"/>
  <c r="B7" i="42409"/>
  <c r="B13" i="42409" s="1"/>
  <c r="B34" i="42409" s="1"/>
  <c r="B36" i="42409" s="1"/>
  <c r="B40" i="42409" s="1"/>
  <c r="B42" i="42409" s="1"/>
  <c r="B44" i="42409" s="1"/>
  <c r="E8" i="42465"/>
  <c r="CA758" i="42385"/>
  <c r="BZ759" i="42385"/>
  <c r="DB759" i="42385" s="1"/>
  <c r="DB758" i="42385"/>
  <c r="BZ1538" i="42385"/>
  <c r="DB1538" i="42385" s="1"/>
  <c r="AQ1594" i="42385"/>
  <c r="AQ1595" i="42385" s="1"/>
  <c r="AQ1586" i="42385"/>
  <c r="AQ1587" i="42385" s="1"/>
  <c r="AQ1583" i="42385"/>
  <c r="AQ1634" i="42385"/>
  <c r="AQ1591" i="42385"/>
  <c r="AQ1592" i="42385" s="1"/>
  <c r="AJ329" i="42385"/>
  <c r="AJ330" i="42385" s="1"/>
  <c r="AJ331" i="42385" s="1"/>
  <c r="BZ777" i="42385"/>
  <c r="DA777" i="42385"/>
  <c r="BY778" i="42385"/>
  <c r="DA778" i="42385" s="1"/>
  <c r="BO114" i="42385"/>
  <c r="CY107" i="42385"/>
  <c r="BX1533" i="42385"/>
  <c r="BY1533" i="42385" s="1"/>
  <c r="DA1533" i="42385" s="1"/>
  <c r="BX935" i="42385"/>
  <c r="AN1658" i="42385"/>
  <c r="AN94" i="42385"/>
  <c r="BT1554" i="42385"/>
  <c r="CZ1554" i="42385" s="1"/>
  <c r="AQ77" i="42385"/>
  <c r="AQ1514" i="42385"/>
  <c r="AW1501" i="42385"/>
  <c r="BC408" i="42385"/>
  <c r="BB407" i="42385"/>
  <c r="BB410" i="42385" s="1"/>
  <c r="BB412" i="42385" s="1"/>
  <c r="BX1139" i="42385"/>
  <c r="AL212" i="42385"/>
  <c r="AL207" i="42385"/>
  <c r="AL206" i="42385"/>
  <c r="CE404" i="42385"/>
  <c r="CD405" i="42385"/>
  <c r="AV315" i="42385"/>
  <c r="AV1647" i="42385"/>
  <c r="AV316" i="42385"/>
  <c r="CZ810" i="42385"/>
  <c r="BT811" i="42385"/>
  <c r="CZ811" i="42385" s="1"/>
  <c r="AS1591" i="42385"/>
  <c r="AS1592" i="42385" s="1"/>
  <c r="AS1583" i="42385"/>
  <c r="AS1594" i="42385"/>
  <c r="AS1595" i="42385" s="1"/>
  <c r="AS1634" i="42385"/>
  <c r="AS1586" i="42385"/>
  <c r="AS1587" i="42385" s="1"/>
  <c r="AR1594" i="42385"/>
  <c r="AR1595" i="42385" s="1"/>
  <c r="AR1634" i="42385"/>
  <c r="AR1583" i="42385"/>
  <c r="AR1591" i="42385"/>
  <c r="AR1592" i="42385" s="1"/>
  <c r="AR1586" i="42385"/>
  <c r="AR1587" i="42385" s="1"/>
  <c r="BA410" i="42385"/>
  <c r="AK814" i="42385"/>
  <c r="CS814" i="42385" s="1"/>
  <c r="AJ817" i="42385"/>
  <c r="AJ391" i="42385"/>
  <c r="AK388" i="42385"/>
  <c r="CS388" i="42385" s="1"/>
  <c r="AK845" i="42385"/>
  <c r="CS845" i="42385" s="1"/>
  <c r="AJ848" i="42385"/>
  <c r="AJ910" i="42385"/>
  <c r="AJ1084" i="42385"/>
  <c r="AK746" i="42385"/>
  <c r="CS746" i="42385" s="1"/>
  <c r="AL320" i="42385"/>
  <c r="CS320" i="42385"/>
  <c r="AK360" i="42385"/>
  <c r="CS360" i="42385" s="1"/>
  <c r="AJ363" i="42385"/>
  <c r="AK938" i="42385"/>
  <c r="CS938" i="42385" s="1"/>
  <c r="AJ941" i="42385"/>
  <c r="AJ765" i="42385"/>
  <c r="AK765" i="42385" s="1"/>
  <c r="CS765" i="42385" s="1"/>
  <c r="CA744" i="42385"/>
  <c r="DB744" i="42385"/>
  <c r="AJ708" i="42385"/>
  <c r="AK708" i="42385" s="1"/>
  <c r="CS708" i="42385" s="1"/>
  <c r="AK1000" i="42385"/>
  <c r="CS1000" i="42385" s="1"/>
  <c r="AJ1003" i="42385"/>
  <c r="AK1138" i="42385"/>
  <c r="CS1138" i="42385" s="1"/>
  <c r="AJ1141" i="42385"/>
  <c r="AK1141" i="42385" s="1"/>
  <c r="CS1141" i="42385" s="1"/>
  <c r="AK478" i="42385"/>
  <c r="CS478" i="42385" s="1"/>
  <c r="AJ481" i="42385"/>
  <c r="AK481" i="42385" s="1"/>
  <c r="CS481" i="42385" s="1"/>
  <c r="AK876" i="42385"/>
  <c r="CS876" i="42385" s="1"/>
  <c r="AJ879" i="42385"/>
  <c r="AK783" i="42385"/>
  <c r="CS783" i="42385" s="1"/>
  <c r="AJ786" i="42385"/>
  <c r="AI330" i="42385"/>
  <c r="AI331" i="42385" s="1"/>
  <c r="AJ614" i="42385"/>
  <c r="BX1121" i="42385"/>
  <c r="BX1124" i="42385" s="1"/>
  <c r="BX1552" i="42385" s="1"/>
  <c r="BW1124" i="42385"/>
  <c r="BW1552" i="42385" s="1"/>
  <c r="BF1439" i="42385"/>
  <c r="BF1431" i="42385" s="1"/>
  <c r="BG1437" i="42385"/>
  <c r="BD1434" i="42385"/>
  <c r="BE1434" i="42385" s="1"/>
  <c r="CW1434" i="42385" s="1"/>
  <c r="BE1431" i="42385"/>
  <c r="CW1431" i="42385" s="1"/>
  <c r="BD1476" i="42385"/>
  <c r="CC1582" i="42385"/>
  <c r="CB1585" i="42385"/>
  <c r="BV13" i="42385"/>
  <c r="BW409" i="42385"/>
  <c r="CF745" i="42385"/>
  <c r="BV707" i="42385"/>
  <c r="CA1118" i="42385"/>
  <c r="DB1118" i="42385"/>
  <c r="AR169" i="42385"/>
  <c r="BX1106" i="42385"/>
  <c r="BX1107" i="42385" s="1"/>
  <c r="BX256" i="42385" s="1"/>
  <c r="BW1107" i="42385"/>
  <c r="BW256" i="42385" s="1"/>
  <c r="AV169" i="42385"/>
  <c r="AZ169" i="42385"/>
  <c r="CU169" i="42385"/>
  <c r="AI180" i="42385"/>
  <c r="CV314" i="42385" l="1"/>
  <c r="AZ1647" i="42385"/>
  <c r="CV1647" i="42385" s="1"/>
  <c r="AZ316" i="42385"/>
  <c r="CV316" i="42385" s="1"/>
  <c r="AZ315" i="42385"/>
  <c r="CV315" i="42385" s="1"/>
  <c r="AD191" i="42385"/>
  <c r="AC193" i="42385"/>
  <c r="AZ317" i="42385"/>
  <c r="GG472" i="42417"/>
  <c r="CE621" i="42385"/>
  <c r="CD622" i="42385"/>
  <c r="BW1529" i="42385"/>
  <c r="BW904" i="42385"/>
  <c r="BX903" i="42385"/>
  <c r="BB626" i="42385"/>
  <c r="AO1642" i="42385"/>
  <c r="AO1301" i="42385"/>
  <c r="AO1330" i="42385" s="1"/>
  <c r="AO1333" i="42385" s="1"/>
  <c r="AO1339" i="42385" s="1"/>
  <c r="AP1278" i="42385"/>
  <c r="CA841" i="42385"/>
  <c r="BZ1532" i="42385"/>
  <c r="DB1532" i="42385" s="1"/>
  <c r="BZ842" i="42385"/>
  <c r="DB842" i="42385" s="1"/>
  <c r="DB841" i="42385"/>
  <c r="AP79" i="42385"/>
  <c r="D13" i="42465"/>
  <c r="CT77" i="42385"/>
  <c r="DA720" i="42385"/>
  <c r="BY721" i="42385"/>
  <c r="DA721" i="42385" s="1"/>
  <c r="BZ720" i="42385"/>
  <c r="AZ55" i="42385"/>
  <c r="CV55" i="42385" s="1"/>
  <c r="G16" i="42476"/>
  <c r="G12" i="42476"/>
  <c r="AU55" i="42385"/>
  <c r="CU55" i="42385" s="1"/>
  <c r="AU56" i="42385"/>
  <c r="CU56" i="42385" s="1"/>
  <c r="AU1663" i="42385"/>
  <c r="CU54" i="42385"/>
  <c r="AK329" i="42385"/>
  <c r="BA290" i="42385"/>
  <c r="AR93" i="42385"/>
  <c r="AR106" i="42385"/>
  <c r="AR1619" i="42385"/>
  <c r="DA384" i="42385"/>
  <c r="BZ384" i="42385"/>
  <c r="BY385" i="42385"/>
  <c r="DA385" i="42385" s="1"/>
  <c r="CT1572" i="42385"/>
  <c r="AP1591" i="42385"/>
  <c r="AP1583" i="42385"/>
  <c r="AP1594" i="42385"/>
  <c r="AP1634" i="42385"/>
  <c r="CT1634" i="42385" s="1"/>
  <c r="AP1586" i="42385"/>
  <c r="AO1446" i="42385"/>
  <c r="AO1445" i="42385"/>
  <c r="AO1584" i="42385"/>
  <c r="AO1448" i="42385"/>
  <c r="BX1536" i="42385"/>
  <c r="BY1536" i="42385" s="1"/>
  <c r="DA1536" i="42385" s="1"/>
  <c r="BX721" i="42385"/>
  <c r="BD625" i="42385"/>
  <c r="BC624" i="42385"/>
  <c r="BC626" i="42385" s="1"/>
  <c r="BC628" i="42385" s="1"/>
  <c r="DC631" i="42385"/>
  <c r="CA1543" i="42385"/>
  <c r="DC1543" i="42385" s="1"/>
  <c r="CA632" i="42385"/>
  <c r="DC632" i="42385" s="1"/>
  <c r="CB631" i="42385"/>
  <c r="AO90" i="42385"/>
  <c r="AO1648" i="42385"/>
  <c r="AO1641" i="42385" s="1"/>
  <c r="AO92" i="42385"/>
  <c r="DC472" i="42385"/>
  <c r="CA1547" i="42385"/>
  <c r="DC1547" i="42385" s="1"/>
  <c r="CB472" i="42385"/>
  <c r="BO348" i="42385"/>
  <c r="BN347" i="42385"/>
  <c r="BZ357" i="42385"/>
  <c r="DB357" i="42385" s="1"/>
  <c r="DB356" i="42385"/>
  <c r="CA356" i="42385"/>
  <c r="BZ1528" i="42385"/>
  <c r="DB1528" i="42385" s="1"/>
  <c r="BK353" i="42385"/>
  <c r="BK265" i="42385"/>
  <c r="BK354" i="42385"/>
  <c r="BK355" i="42385"/>
  <c r="BM354" i="42385"/>
  <c r="BM265" i="42385"/>
  <c r="BM355" i="42385"/>
  <c r="BM353" i="42385"/>
  <c r="BN480" i="42385"/>
  <c r="BM1140" i="42385"/>
  <c r="BW873" i="42385"/>
  <c r="BX872" i="42385"/>
  <c r="BW1535" i="42385"/>
  <c r="BR1525" i="42385"/>
  <c r="BR1499" i="42385" s="1"/>
  <c r="BS1523" i="42385"/>
  <c r="BS1525" i="42385" s="1"/>
  <c r="BS1499" i="42385" s="1"/>
  <c r="CF1498" i="42385"/>
  <c r="CF1402" i="42385"/>
  <c r="CE1406" i="42385"/>
  <c r="CE1319" i="42385" s="1"/>
  <c r="CE1326" i="42385" s="1"/>
  <c r="CE1564" i="42385"/>
  <c r="CE1660" i="42385" s="1"/>
  <c r="BV484" i="42385"/>
  <c r="BU483" i="42385"/>
  <c r="BW416" i="42385"/>
  <c r="BV1530" i="42385"/>
  <c r="BV417" i="42385"/>
  <c r="BA381" i="42385"/>
  <c r="BA266" i="42385"/>
  <c r="BA382" i="42385"/>
  <c r="BA383" i="42385"/>
  <c r="BC382" i="42385"/>
  <c r="BC381" i="42385"/>
  <c r="BC266" i="42385"/>
  <c r="BC383" i="42385"/>
  <c r="BR259" i="42385"/>
  <c r="BR1558" i="42385"/>
  <c r="BR128" i="42385"/>
  <c r="BD376" i="42385"/>
  <c r="BZ377" i="42385"/>
  <c r="BF377" i="42385"/>
  <c r="BY1106" i="42385"/>
  <c r="DA1106" i="42385" s="1"/>
  <c r="BF1432" i="42385"/>
  <c r="BF1477" i="42385" s="1"/>
  <c r="AS1448" i="42385"/>
  <c r="AS1479" i="42385" s="1"/>
  <c r="AS1445" i="42385"/>
  <c r="AS1476" i="42385" s="1"/>
  <c r="AS1584" i="42385"/>
  <c r="AS1446" i="42385"/>
  <c r="AS1477" i="42385" s="1"/>
  <c r="CE405" i="42385"/>
  <c r="CF404" i="42385"/>
  <c r="CF405" i="42385" s="1"/>
  <c r="BZ778" i="42385"/>
  <c r="DB778" i="42385" s="1"/>
  <c r="DB777" i="42385"/>
  <c r="CA777" i="42385"/>
  <c r="BZ1540" i="42385"/>
  <c r="DB1540" i="42385" s="1"/>
  <c r="AQ1445" i="42385"/>
  <c r="AQ1448" i="42385"/>
  <c r="AQ1584" i="42385"/>
  <c r="AQ1446" i="42385"/>
  <c r="GG475" i="42417"/>
  <c r="GE475" i="42417" s="1"/>
  <c r="GE472" i="42417"/>
  <c r="BV810" i="42385"/>
  <c r="BU1531" i="42385"/>
  <c r="BU811" i="42385"/>
  <c r="G25" i="42464"/>
  <c r="AL209" i="42385"/>
  <c r="AL211" i="42385"/>
  <c r="DA479" i="42385"/>
  <c r="BY1139" i="42385"/>
  <c r="DA1139" i="42385" s="1"/>
  <c r="BB414" i="42385"/>
  <c r="BB413" i="42385"/>
  <c r="BB415" i="42385"/>
  <c r="BB267" i="42385"/>
  <c r="DA1554" i="42385"/>
  <c r="Y72" i="42492"/>
  <c r="BO122" i="42385"/>
  <c r="BO120" i="42385"/>
  <c r="CY114" i="42385"/>
  <c r="CU75" i="42385"/>
  <c r="AU1514" i="42385"/>
  <c r="G76" i="42476" s="1"/>
  <c r="AU77" i="42385"/>
  <c r="E11" i="42465"/>
  <c r="G28" i="42464"/>
  <c r="H28" i="42464"/>
  <c r="AR1584" i="42385"/>
  <c r="AR1446" i="42385"/>
  <c r="AR1477" i="42385" s="1"/>
  <c r="AR1445" i="42385"/>
  <c r="AR1476" i="42385" s="1"/>
  <c r="AR1448" i="42385"/>
  <c r="AR1479" i="42385" s="1"/>
  <c r="BD408" i="42385"/>
  <c r="BC407" i="42385"/>
  <c r="BC410" i="42385" s="1"/>
  <c r="BC412" i="42385" s="1"/>
  <c r="DC758" i="42385"/>
  <c r="CA1538" i="42385"/>
  <c r="DC1538" i="42385" s="1"/>
  <c r="CA759" i="42385"/>
  <c r="DC759" i="42385" s="1"/>
  <c r="CB758" i="42385"/>
  <c r="AN120" i="42385"/>
  <c r="BZ1533" i="42385"/>
  <c r="DB1533" i="42385" s="1"/>
  <c r="DB934" i="42385"/>
  <c r="CA934" i="42385"/>
  <c r="BZ935" i="42385"/>
  <c r="DB935" i="42385" s="1"/>
  <c r="CV247" i="42417"/>
  <c r="CV252" i="42417" s="1"/>
  <c r="AS114" i="42385"/>
  <c r="AS120" i="42385" s="1"/>
  <c r="CU1569" i="42385"/>
  <c r="AU1572" i="42385"/>
  <c r="CV1476" i="42385"/>
  <c r="AN1632" i="42385"/>
  <c r="AN1661" i="42385"/>
  <c r="AN1567" i="42385"/>
  <c r="AN1631" i="42385" s="1"/>
  <c r="BA412" i="42385"/>
  <c r="AQ1278" i="42385"/>
  <c r="AQ79" i="42385"/>
  <c r="AS94" i="42385"/>
  <c r="AX94" i="42385"/>
  <c r="E20" i="42476"/>
  <c r="J21" i="42476" s="1"/>
  <c r="AS1658" i="42385"/>
  <c r="AT1583" i="42385"/>
  <c r="AT1591" i="42385"/>
  <c r="AT1592" i="42385" s="1"/>
  <c r="AT1594" i="42385"/>
  <c r="AT1595" i="42385" s="1"/>
  <c r="AT1634" i="42385"/>
  <c r="AT1586" i="42385"/>
  <c r="AT1587" i="42385" s="1"/>
  <c r="AK209" i="42385"/>
  <c r="AK211" i="42385"/>
  <c r="AZ1501" i="42385"/>
  <c r="CV1501" i="42385" s="1"/>
  <c r="AN1426" i="42385"/>
  <c r="AN201" i="42385"/>
  <c r="AJ364" i="42385"/>
  <c r="AJ365" i="42385" s="1"/>
  <c r="AK363" i="42385"/>
  <c r="BY1552" i="42385"/>
  <c r="DA1552" i="42385" s="1"/>
  <c r="AJ942" i="42385"/>
  <c r="AJ943" i="42385" s="1"/>
  <c r="AK941" i="42385"/>
  <c r="CS329" i="42385"/>
  <c r="AK330" i="42385"/>
  <c r="AJ392" i="42385"/>
  <c r="AJ393" i="42385" s="1"/>
  <c r="AK391" i="42385"/>
  <c r="BY256" i="42385"/>
  <c r="EJ457" i="42492" s="1"/>
  <c r="EJ459" i="42492" s="1"/>
  <c r="EJ460" i="42492" s="1"/>
  <c r="EJ461" i="42492" s="1"/>
  <c r="AJ615" i="42385"/>
  <c r="AJ616" i="42385" s="1"/>
  <c r="AK614" i="42385"/>
  <c r="AJ880" i="42385"/>
  <c r="AJ881" i="42385" s="1"/>
  <c r="AK879" i="42385"/>
  <c r="AJ1004" i="42385"/>
  <c r="AJ1005" i="42385" s="1"/>
  <c r="AK1003" i="42385"/>
  <c r="AL360" i="42385"/>
  <c r="AL363" i="42385" s="1"/>
  <c r="AL364" i="42385" s="1"/>
  <c r="AL365" i="42385" s="1"/>
  <c r="AL814" i="42385"/>
  <c r="AL817" i="42385" s="1"/>
  <c r="AL818" i="42385" s="1"/>
  <c r="AL819" i="42385" s="1"/>
  <c r="AL581" i="42385"/>
  <c r="AL743" i="42385"/>
  <c r="AL876" i="42385"/>
  <c r="AL879" i="42385" s="1"/>
  <c r="AL880" i="42385" s="1"/>
  <c r="AL881" i="42385" s="1"/>
  <c r="AL845" i="42385"/>
  <c r="AL1000" i="42385"/>
  <c r="AL1003" i="42385" s="1"/>
  <c r="AL1004" i="42385" s="1"/>
  <c r="AL1005" i="42385" s="1"/>
  <c r="AL326" i="42385"/>
  <c r="AL611" i="42385"/>
  <c r="AL762" i="42385"/>
  <c r="AL478" i="42385"/>
  <c r="AL705" i="42385"/>
  <c r="AL1081" i="42385"/>
  <c r="AL388" i="42385"/>
  <c r="AL391" i="42385" s="1"/>
  <c r="AL392" i="42385" s="1"/>
  <c r="AL393" i="42385" s="1"/>
  <c r="AL938" i="42385"/>
  <c r="AM320" i="42385"/>
  <c r="AL969" i="42385"/>
  <c r="AL972" i="42385" s="1"/>
  <c r="AL973" i="42385" s="1"/>
  <c r="AL1138" i="42385"/>
  <c r="AL783" i="42385"/>
  <c r="AL907" i="42385"/>
  <c r="DC744" i="42385"/>
  <c r="CB744" i="42385"/>
  <c r="AJ911" i="42385"/>
  <c r="AJ912" i="42385" s="1"/>
  <c r="AK910" i="42385"/>
  <c r="AK786" i="42385"/>
  <c r="AJ787" i="42385"/>
  <c r="AJ788" i="42385" s="1"/>
  <c r="AJ1085" i="42385"/>
  <c r="AJ1086" i="42385" s="1"/>
  <c r="AK1084" i="42385"/>
  <c r="AJ849" i="42385"/>
  <c r="AJ850" i="42385" s="1"/>
  <c r="AK848" i="42385"/>
  <c r="AJ818" i="42385"/>
  <c r="AJ819" i="42385" s="1"/>
  <c r="AK817" i="42385"/>
  <c r="BD1501" i="42385"/>
  <c r="BE1501" i="42385" s="1"/>
  <c r="CW1501" i="42385" s="1"/>
  <c r="BE1476" i="42385"/>
  <c r="BF1434" i="42385"/>
  <c r="BF1476" i="42385"/>
  <c r="BY1121" i="42385"/>
  <c r="CD1582" i="42385"/>
  <c r="CC1585" i="42385"/>
  <c r="BH1437" i="42385"/>
  <c r="BG1439" i="42385"/>
  <c r="BG1431" i="42385" s="1"/>
  <c r="BZ1106" i="42385"/>
  <c r="BW13" i="42385"/>
  <c r="AS169" i="42385"/>
  <c r="BX409" i="42385"/>
  <c r="BE169" i="42385"/>
  <c r="CV169" i="42385"/>
  <c r="BA169" i="42385"/>
  <c r="BX13" i="42385"/>
  <c r="AJ180" i="42385"/>
  <c r="AW169" i="42385"/>
  <c r="BW707" i="42385"/>
  <c r="CB1118" i="42385"/>
  <c r="DC1118" i="42385"/>
  <c r="AE191" i="42385" l="1"/>
  <c r="AD193" i="42385"/>
  <c r="AO93" i="42385"/>
  <c r="AO1619" i="42385"/>
  <c r="AO106" i="42385"/>
  <c r="AO199" i="42385"/>
  <c r="AO1477" i="42385"/>
  <c r="AP1477" i="42385" s="1"/>
  <c r="CT1477" i="42385" s="1"/>
  <c r="AP1446" i="42385"/>
  <c r="CT1446" i="42385" s="1"/>
  <c r="CT1583" i="42385"/>
  <c r="AP1584" i="42385"/>
  <c r="CT1584" i="42385" s="1"/>
  <c r="BZ1541" i="42385"/>
  <c r="DB1541" i="42385" s="1"/>
  <c r="DB384" i="42385"/>
  <c r="CA384" i="42385"/>
  <c r="BZ385" i="42385"/>
  <c r="DB385" i="42385" s="1"/>
  <c r="AR1658" i="42385"/>
  <c r="AW94" i="42385"/>
  <c r="D20" i="42476"/>
  <c r="I21" i="42476" s="1"/>
  <c r="AR94" i="42385"/>
  <c r="L17" i="42476"/>
  <c r="G17" i="42476"/>
  <c r="CT1278" i="42385"/>
  <c r="D41" i="42465"/>
  <c r="AP1642" i="42385"/>
  <c r="CT1642" i="42385" s="1"/>
  <c r="AP1301" i="42385"/>
  <c r="BB628" i="42385"/>
  <c r="CB1543" i="42385"/>
  <c r="CC631" i="42385"/>
  <c r="CB632" i="42385"/>
  <c r="BC280" i="42385"/>
  <c r="BC288" i="42385" s="1"/>
  <c r="BC290" i="42385" s="1"/>
  <c r="BC630" i="42385"/>
  <c r="BC629" i="42385"/>
  <c r="AO1479" i="42385"/>
  <c r="AP1479" i="42385" s="1"/>
  <c r="CT1479" i="42385" s="1"/>
  <c r="AP1448" i="42385"/>
  <c r="CT1448" i="42385" s="1"/>
  <c r="AP1587" i="42385"/>
  <c r="CT1587" i="42385" s="1"/>
  <c r="CT1586" i="42385"/>
  <c r="CT1591" i="42385"/>
  <c r="AP1592" i="42385"/>
  <c r="CT1592" i="42385" s="1"/>
  <c r="AO1565" i="42385"/>
  <c r="AO1346" i="42385"/>
  <c r="AO1366" i="42385" s="1"/>
  <c r="AP1339" i="42385"/>
  <c r="BX904" i="42385"/>
  <c r="BX1529" i="42385"/>
  <c r="BY1529" i="42385" s="1"/>
  <c r="DA1529" i="42385" s="1"/>
  <c r="BY903" i="42385"/>
  <c r="CE622" i="42385"/>
  <c r="CF621" i="42385"/>
  <c r="CF622" i="42385" s="1"/>
  <c r="BF625" i="42385"/>
  <c r="BD624" i="42385"/>
  <c r="BE625" i="42385"/>
  <c r="CW625" i="42385" s="1"/>
  <c r="BZ721" i="42385"/>
  <c r="DB721" i="42385" s="1"/>
  <c r="CA720" i="42385"/>
  <c r="BZ1536" i="42385"/>
  <c r="DB1536" i="42385" s="1"/>
  <c r="DB720" i="42385"/>
  <c r="BT1499" i="42385"/>
  <c r="CZ1499" i="42385" s="1"/>
  <c r="AO1476" i="42385"/>
  <c r="AP1445" i="42385"/>
  <c r="CT1445" i="42385" s="1"/>
  <c r="AP1595" i="42385"/>
  <c r="CT1595" i="42385" s="1"/>
  <c r="CT1594" i="42385"/>
  <c r="AR114" i="42385"/>
  <c r="AR120" i="42385" s="1"/>
  <c r="CU247" i="42417"/>
  <c r="CU252" i="42417" s="1"/>
  <c r="L13" i="42476"/>
  <c r="G13" i="42476"/>
  <c r="V14" i="42476"/>
  <c r="G71" i="42476"/>
  <c r="G74" i="42476" s="1"/>
  <c r="G75" i="42476" s="1"/>
  <c r="G78" i="42476" s="1"/>
  <c r="G81" i="42476" s="1"/>
  <c r="AP1648" i="42385"/>
  <c r="CT79" i="42385"/>
  <c r="AP92" i="42385"/>
  <c r="CT92" i="42385" s="1"/>
  <c r="AP90" i="42385"/>
  <c r="CA842" i="42385"/>
  <c r="DC842" i="42385" s="1"/>
  <c r="CA1532" i="42385"/>
  <c r="DC1532" i="42385" s="1"/>
  <c r="DC841" i="42385"/>
  <c r="CB841" i="42385"/>
  <c r="CB1547" i="42385"/>
  <c r="CC472" i="42385"/>
  <c r="BN350" i="42385"/>
  <c r="BO347" i="42385"/>
  <c r="CY347" i="42385" s="1"/>
  <c r="CA1528" i="42385"/>
  <c r="DC1528" i="42385" s="1"/>
  <c r="CB356" i="42385"/>
  <c r="DC356" i="42385"/>
  <c r="CA357" i="42385"/>
  <c r="DC357" i="42385" s="1"/>
  <c r="CY348" i="42385"/>
  <c r="BP348" i="42385"/>
  <c r="BO480" i="42385"/>
  <c r="BN1140" i="42385"/>
  <c r="DA256" i="42385"/>
  <c r="BX873" i="42385"/>
  <c r="BX1535" i="42385"/>
  <c r="BY1535" i="42385" s="1"/>
  <c r="DA1535" i="42385" s="1"/>
  <c r="BY1107" i="42385"/>
  <c r="BT1525" i="42385"/>
  <c r="CZ1525" i="42385" s="1"/>
  <c r="BY872" i="42385"/>
  <c r="BT1523" i="42385"/>
  <c r="CF1564" i="42385"/>
  <c r="CF1660" i="42385" s="1"/>
  <c r="CF1406" i="42385"/>
  <c r="CF1319" i="42385" s="1"/>
  <c r="CF1326" i="42385" s="1"/>
  <c r="BD378" i="42385"/>
  <c r="BE376" i="42385"/>
  <c r="BW417" i="42385"/>
  <c r="BW1530" i="42385"/>
  <c r="BX416" i="42385"/>
  <c r="BY416" i="42385" s="1"/>
  <c r="CB377" i="42385"/>
  <c r="CB376" i="42385" s="1"/>
  <c r="CB378" i="42385" s="1"/>
  <c r="CB380" i="42385" s="1"/>
  <c r="BF376" i="42385"/>
  <c r="BG377" i="42385"/>
  <c r="BU487" i="42385"/>
  <c r="BU489" i="42385"/>
  <c r="BU223" i="42385"/>
  <c r="DB377" i="42385"/>
  <c r="BZ376" i="42385"/>
  <c r="BV483" i="42385"/>
  <c r="AN207" i="42385"/>
  <c r="AN206" i="42385"/>
  <c r="AN212" i="42385"/>
  <c r="BA413" i="42385"/>
  <c r="BA267" i="42385"/>
  <c r="BA415" i="42385"/>
  <c r="BA414" i="42385"/>
  <c r="AU1591" i="42385"/>
  <c r="AU1594" i="42385"/>
  <c r="AU1586" i="42385"/>
  <c r="AU1634" i="42385"/>
  <c r="CU1634" i="42385" s="1"/>
  <c r="AU1583" i="42385"/>
  <c r="CU1572" i="42385"/>
  <c r="AN1656" i="42385"/>
  <c r="AN121" i="42385"/>
  <c r="AR1501" i="42385"/>
  <c r="DB479" i="42385"/>
  <c r="BZ1139" i="42385"/>
  <c r="DB1139" i="42385" s="1"/>
  <c r="BV1531" i="42385"/>
  <c r="BW810" i="42385"/>
  <c r="BV811" i="42385"/>
  <c r="DC777" i="42385"/>
  <c r="CA1540" i="42385"/>
  <c r="DC1540" i="42385" s="1"/>
  <c r="CB777" i="42385"/>
  <c r="CA778" i="42385"/>
  <c r="DC778" i="42385" s="1"/>
  <c r="AS1501" i="42385"/>
  <c r="AQ90" i="42385"/>
  <c r="AQ1648" i="42385"/>
  <c r="AQ1641" i="42385" s="1"/>
  <c r="AQ92" i="42385"/>
  <c r="AZ1503" i="42385"/>
  <c r="CB934" i="42385"/>
  <c r="CA1533" i="42385"/>
  <c r="DC1533" i="42385" s="1"/>
  <c r="DC934" i="42385"/>
  <c r="CA935" i="42385"/>
  <c r="DC935" i="42385" s="1"/>
  <c r="CU77" i="42385"/>
  <c r="AU79" i="42385"/>
  <c r="E13" i="42465"/>
  <c r="BO123" i="42385"/>
  <c r="CY123" i="42385" s="1"/>
  <c r="BO121" i="42385"/>
  <c r="CY121" i="42385" s="1"/>
  <c r="BO1656" i="42385"/>
  <c r="AA48" i="42476"/>
  <c r="AA50" i="42476" s="1"/>
  <c r="CY120" i="42385"/>
  <c r="DB1554" i="42385"/>
  <c r="CA1554" i="42385"/>
  <c r="AQ1479" i="42385"/>
  <c r="AT1445" i="42385"/>
  <c r="AT1476" i="42385" s="1"/>
  <c r="AT1446" i="42385"/>
  <c r="AT1477" i="42385" s="1"/>
  <c r="AT1584" i="42385"/>
  <c r="AT1448" i="42385"/>
  <c r="AT1479" i="42385" s="1"/>
  <c r="AQ1301" i="42385"/>
  <c r="AQ1330" i="42385" s="1"/>
  <c r="AQ1642" i="42385"/>
  <c r="AU1278" i="42385"/>
  <c r="E48" i="42476"/>
  <c r="E50" i="42476" s="1"/>
  <c r="AS121" i="42385"/>
  <c r="AS1656" i="42385"/>
  <c r="CC758" i="42385"/>
  <c r="CB1538" i="42385"/>
  <c r="CB759" i="42385"/>
  <c r="BC415" i="42385"/>
  <c r="BC413" i="42385"/>
  <c r="BC267" i="42385"/>
  <c r="BC414" i="42385"/>
  <c r="BB275" i="42385"/>
  <c r="BB277" i="42385" s="1"/>
  <c r="AQ1476" i="42385"/>
  <c r="AU1445" i="42385"/>
  <c r="CU1445" i="42385" s="1"/>
  <c r="CV254" i="42417"/>
  <c r="CV257" i="42417"/>
  <c r="BE408" i="42385"/>
  <c r="CW408" i="42385" s="1"/>
  <c r="BF408" i="42385"/>
  <c r="BD407" i="42385"/>
  <c r="BD410" i="42385" s="1"/>
  <c r="H26" i="42464"/>
  <c r="G26" i="42464"/>
  <c r="AQ1477" i="42385"/>
  <c r="AK818" i="42385"/>
  <c r="CS817" i="42385"/>
  <c r="CS1084" i="42385"/>
  <c r="AK1085" i="42385"/>
  <c r="CC744" i="42385"/>
  <c r="AL786" i="42385"/>
  <c r="AL787" i="42385" s="1"/>
  <c r="AL788" i="42385" s="1"/>
  <c r="AL941" i="42385"/>
  <c r="AL942" i="42385" s="1"/>
  <c r="AL943" i="42385" s="1"/>
  <c r="AL481" i="42385"/>
  <c r="AL584" i="42385"/>
  <c r="AL585" i="42385"/>
  <c r="C21" i="42407"/>
  <c r="C24" i="42407" s="1"/>
  <c r="AK392" i="42385"/>
  <c r="CS391" i="42385"/>
  <c r="CS941" i="42385"/>
  <c r="AK942" i="42385"/>
  <c r="AK787" i="42385"/>
  <c r="CS786" i="42385"/>
  <c r="AL1141" i="42385"/>
  <c r="AL765" i="42385"/>
  <c r="AL848" i="42385"/>
  <c r="AL849" i="42385" s="1"/>
  <c r="AL850" i="42385" s="1"/>
  <c r="CS1003" i="42385"/>
  <c r="AK1004" i="42385"/>
  <c r="CS879" i="42385"/>
  <c r="AK880" i="42385"/>
  <c r="AK849" i="42385"/>
  <c r="CS848" i="42385"/>
  <c r="CS910" i="42385"/>
  <c r="AK911" i="42385"/>
  <c r="AL1084" i="42385"/>
  <c r="AL1085" i="42385" s="1"/>
  <c r="AL1086" i="42385" s="1"/>
  <c r="AL614" i="42385"/>
  <c r="AL615" i="42385" s="1"/>
  <c r="AL616" i="42385" s="1"/>
  <c r="CS330" i="42385"/>
  <c r="AK331" i="42385"/>
  <c r="CS331" i="42385" s="1"/>
  <c r="CS363" i="42385"/>
  <c r="AK364" i="42385"/>
  <c r="AL910" i="42385"/>
  <c r="AL911" i="42385" s="1"/>
  <c r="AL912" i="42385" s="1"/>
  <c r="AM581" i="42385"/>
  <c r="AM360" i="42385"/>
  <c r="AM938" i="42385"/>
  <c r="AM941" i="42385" s="1"/>
  <c r="AM942" i="42385" s="1"/>
  <c r="AM943" i="42385" s="1"/>
  <c r="AM814" i="42385"/>
  <c r="AM817" i="42385" s="1"/>
  <c r="AM818" i="42385" s="1"/>
  <c r="AM819" i="42385" s="1"/>
  <c r="AM783" i="42385"/>
  <c r="AN320" i="42385"/>
  <c r="AM388" i="42385"/>
  <c r="AM969" i="42385"/>
  <c r="AM972" i="42385" s="1"/>
  <c r="AM973" i="42385" s="1"/>
  <c r="AM907" i="42385"/>
  <c r="AM910" i="42385" s="1"/>
  <c r="AM911" i="42385" s="1"/>
  <c r="AM912" i="42385" s="1"/>
  <c r="AM845" i="42385"/>
  <c r="AM848" i="42385" s="1"/>
  <c r="AM849" i="42385" s="1"/>
  <c r="AM850" i="42385" s="1"/>
  <c r="AM478" i="42385"/>
  <c r="AM481" i="42385" s="1"/>
  <c r="AM876" i="42385"/>
  <c r="AM879" i="42385" s="1"/>
  <c r="AM880" i="42385" s="1"/>
  <c r="AM881" i="42385" s="1"/>
  <c r="AM1138" i="42385"/>
  <c r="AM1141" i="42385" s="1"/>
  <c r="AM611" i="42385"/>
  <c r="AM614" i="42385" s="1"/>
  <c r="AM615" i="42385" s="1"/>
  <c r="AM616" i="42385" s="1"/>
  <c r="AM743" i="42385"/>
  <c r="AM746" i="42385" s="1"/>
  <c r="AM762" i="42385"/>
  <c r="AM765" i="42385" s="1"/>
  <c r="AM1081" i="42385"/>
  <c r="AM1084" i="42385" s="1"/>
  <c r="AM1085" i="42385" s="1"/>
  <c r="AM1086" i="42385" s="1"/>
  <c r="AM326" i="42385"/>
  <c r="AM705" i="42385"/>
  <c r="AM708" i="42385" s="1"/>
  <c r="AM1000" i="42385"/>
  <c r="AM1003" i="42385" s="1"/>
  <c r="AM1004" i="42385" s="1"/>
  <c r="AM1005" i="42385" s="1"/>
  <c r="AL708" i="42385"/>
  <c r="AM329" i="42385"/>
  <c r="AM330" i="42385" s="1"/>
  <c r="AM331" i="42385" s="1"/>
  <c r="AL329" i="42385"/>
  <c r="AL330" i="42385" s="1"/>
  <c r="AL331" i="42385" s="1"/>
  <c r="AL746" i="42385"/>
  <c r="AK615" i="42385"/>
  <c r="CS614" i="42385"/>
  <c r="BG1432" i="42385"/>
  <c r="BG1477" i="42385" s="1"/>
  <c r="CE1582" i="42385"/>
  <c r="CD1585" i="42385"/>
  <c r="BG1476" i="42385"/>
  <c r="BH1439" i="42385"/>
  <c r="BH1431" i="42385" s="1"/>
  <c r="BI1437" i="42385"/>
  <c r="BF1501" i="42385"/>
  <c r="BE1503" i="42385"/>
  <c r="CW1476" i="42385"/>
  <c r="BZ1121" i="42385"/>
  <c r="DA1121" i="42385"/>
  <c r="BY1124" i="42385"/>
  <c r="DA1124" i="42385" s="1"/>
  <c r="AK180" i="42385"/>
  <c r="BB169" i="42385"/>
  <c r="BY409" i="42385"/>
  <c r="CA1106" i="42385"/>
  <c r="DB1106" i="42385"/>
  <c r="BZ1107" i="42385"/>
  <c r="CC1118" i="42385"/>
  <c r="BY13" i="42385"/>
  <c r="DA13" i="42385" s="1"/>
  <c r="BX707" i="42385"/>
  <c r="AX169" i="42385"/>
  <c r="BF169" i="42385"/>
  <c r="BJ169" i="42385"/>
  <c r="CW169" i="42385"/>
  <c r="AT169" i="42385"/>
  <c r="DA1107" i="42385"/>
  <c r="BY1108" i="42385"/>
  <c r="DA1108" i="42385" s="1"/>
  <c r="AE193" i="42385" l="1"/>
  <c r="AF191" i="42385"/>
  <c r="CT1648" i="42385"/>
  <c r="AP1641" i="42385"/>
  <c r="CT1641" i="42385" s="1"/>
  <c r="D22" i="42465"/>
  <c r="AP1346" i="42385"/>
  <c r="AP1565" i="42385"/>
  <c r="CT1339" i="42385"/>
  <c r="B35" i="42476"/>
  <c r="B36" i="42476" s="1"/>
  <c r="BB629" i="42385"/>
  <c r="BB280" i="42385"/>
  <c r="BB630" i="42385"/>
  <c r="CB384" i="42385"/>
  <c r="CA1541" i="42385"/>
  <c r="DC1541" i="42385" s="1"/>
  <c r="DC384" i="42385"/>
  <c r="CA385" i="42385"/>
  <c r="DC385" i="42385" s="1"/>
  <c r="AO114" i="42385"/>
  <c r="AP106" i="42385"/>
  <c r="CT106" i="42385" s="1"/>
  <c r="CB1532" i="42385"/>
  <c r="CB842" i="42385"/>
  <c r="CC841" i="42385"/>
  <c r="D15" i="42465"/>
  <c r="J8" i="42472"/>
  <c r="J15" i="42472" s="1"/>
  <c r="J24" i="42472" s="1"/>
  <c r="CT90" i="42385"/>
  <c r="AP93" i="42385"/>
  <c r="CU254" i="42417"/>
  <c r="CU257" i="42417"/>
  <c r="BD626" i="42385"/>
  <c r="BE624" i="42385"/>
  <c r="CW624" i="42385" s="1"/>
  <c r="DA903" i="42385"/>
  <c r="BZ903" i="42385"/>
  <c r="BY904" i="42385"/>
  <c r="DA904" i="42385" s="1"/>
  <c r="AO1426" i="42385"/>
  <c r="AO201" i="42385"/>
  <c r="CC632" i="42385"/>
  <c r="CD631" i="42385"/>
  <c r="CC1543" i="42385"/>
  <c r="AP1330" i="42385"/>
  <c r="D46" i="42465"/>
  <c r="D45" i="42465" s="1"/>
  <c r="CT1301" i="42385"/>
  <c r="AP1619" i="42385"/>
  <c r="CT1619" i="42385" s="1"/>
  <c r="AO1620" i="42385"/>
  <c r="AR121" i="42385"/>
  <c r="AR1656" i="42385"/>
  <c r="D48" i="42476"/>
  <c r="D50" i="42476" s="1"/>
  <c r="AO1501" i="42385"/>
  <c r="AP1501" i="42385" s="1"/>
  <c r="CT1501" i="42385" s="1"/>
  <c r="AP1476" i="42385"/>
  <c r="CT1476" i="42385" s="1"/>
  <c r="CB720" i="42385"/>
  <c r="CA1536" i="42385"/>
  <c r="DC1536" i="42385" s="1"/>
  <c r="DC720" i="42385"/>
  <c r="CA721" i="42385"/>
  <c r="DC721" i="42385" s="1"/>
  <c r="BF624" i="42385"/>
  <c r="BF626" i="42385" s="1"/>
  <c r="BF628" i="42385" s="1"/>
  <c r="BG625" i="42385"/>
  <c r="AO1632" i="42385"/>
  <c r="AO1661" i="42385"/>
  <c r="AO1567" i="42385"/>
  <c r="AO1631" i="42385" s="1"/>
  <c r="AO1658" i="42385"/>
  <c r="AT94" i="42385"/>
  <c r="AO94" i="42385"/>
  <c r="AP199" i="42385"/>
  <c r="AP205" i="42385" s="1"/>
  <c r="AO205" i="42385"/>
  <c r="CD472" i="42385"/>
  <c r="CC1547" i="42385"/>
  <c r="BN352" i="42385"/>
  <c r="BO350" i="42385"/>
  <c r="CY350" i="42385" s="1"/>
  <c r="BP347" i="42385"/>
  <c r="BQ348" i="42385"/>
  <c r="CB357" i="42385"/>
  <c r="CC356" i="42385"/>
  <c r="CB1528" i="42385"/>
  <c r="CY480" i="42385"/>
  <c r="BP480" i="42385"/>
  <c r="BO1140" i="42385"/>
  <c r="CY1140" i="42385" s="1"/>
  <c r="AU1446" i="42385"/>
  <c r="CU1446" i="42385" s="1"/>
  <c r="CZ1523" i="42385"/>
  <c r="BU1523" i="42385"/>
  <c r="BZ872" i="42385"/>
  <c r="DA872" i="42385"/>
  <c r="BY873" i="42385"/>
  <c r="DA873" i="42385" s="1"/>
  <c r="BE407" i="42385"/>
  <c r="CW407" i="42385" s="1"/>
  <c r="CB382" i="42385"/>
  <c r="CB266" i="42385"/>
  <c r="CB381" i="42385"/>
  <c r="BG1434" i="42385"/>
  <c r="BF378" i="42385"/>
  <c r="BU270" i="42385"/>
  <c r="BU491" i="42385"/>
  <c r="BU490" i="42385"/>
  <c r="BV489" i="42385"/>
  <c r="BV223" i="42385"/>
  <c r="BV487" i="42385"/>
  <c r="DA416" i="42385"/>
  <c r="BY417" i="42385"/>
  <c r="DA417" i="42385" s="1"/>
  <c r="BZ416" i="42385"/>
  <c r="BE377" i="42385"/>
  <c r="CW376" i="42385"/>
  <c r="DB376" i="42385"/>
  <c r="BZ378" i="42385"/>
  <c r="AU1479" i="42385"/>
  <c r="CU1479" i="42385" s="1"/>
  <c r="CC377" i="42385"/>
  <c r="CC376" i="42385" s="1"/>
  <c r="CC378" i="42385" s="1"/>
  <c r="CC380" i="42385" s="1"/>
  <c r="BG376" i="42385"/>
  <c r="BG378" i="42385" s="1"/>
  <c r="BG380" i="42385" s="1"/>
  <c r="BH377" i="42385"/>
  <c r="BX417" i="42385"/>
  <c r="BX1530" i="42385"/>
  <c r="BY1530" i="42385" s="1"/>
  <c r="DA1530" i="42385" s="1"/>
  <c r="BD380" i="42385"/>
  <c r="BE378" i="42385"/>
  <c r="CW378" i="42385" s="1"/>
  <c r="BG1501" i="42385"/>
  <c r="AU1477" i="42385"/>
  <c r="CU1477" i="42385" s="1"/>
  <c r="BG408" i="42385"/>
  <c r="BF407" i="42385"/>
  <c r="AT1501" i="42385"/>
  <c r="CB479" i="42385"/>
  <c r="DC479" i="42385"/>
  <c r="CA1139" i="42385"/>
  <c r="DC1139" i="42385" s="1"/>
  <c r="AQ1501" i="42385"/>
  <c r="AU1476" i="42385"/>
  <c r="CU1476" i="42385" s="1"/>
  <c r="BC318" i="42385"/>
  <c r="BC275" i="42385"/>
  <c r="BC277" i="42385" s="1"/>
  <c r="BC314" i="42385" s="1"/>
  <c r="CB1533" i="42385"/>
  <c r="CB935" i="42385"/>
  <c r="CC934" i="42385"/>
  <c r="AQ93" i="42385"/>
  <c r="AQ106" i="42385"/>
  <c r="AQ199" i="42385"/>
  <c r="AQ205" i="42385" s="1"/>
  <c r="AQ1619" i="42385"/>
  <c r="AR199" i="42385"/>
  <c r="AR205" i="42385" s="1"/>
  <c r="AT199" i="42385"/>
  <c r="AS199" i="42385"/>
  <c r="AS205" i="42385" s="1"/>
  <c r="CB778" i="42385"/>
  <c r="CB1540" i="42385"/>
  <c r="CC777" i="42385"/>
  <c r="BW1531" i="42385"/>
  <c r="BX810" i="42385"/>
  <c r="BW811" i="42385"/>
  <c r="CU1586" i="42385"/>
  <c r="AU1587" i="42385"/>
  <c r="CU1587" i="42385" s="1"/>
  <c r="CC1538" i="42385"/>
  <c r="CD758" i="42385"/>
  <c r="CC759" i="42385"/>
  <c r="CU1278" i="42385"/>
  <c r="E41" i="42465"/>
  <c r="AU1642" i="42385"/>
  <c r="CU1642" i="42385" s="1"/>
  <c r="AU1301" i="42385"/>
  <c r="DC1554" i="42385"/>
  <c r="CB1554" i="42385"/>
  <c r="CC1554" i="42385" s="1"/>
  <c r="CD1554" i="42385" s="1"/>
  <c r="CE1554" i="42385" s="1"/>
  <c r="CF1554" i="42385" s="1"/>
  <c r="AU90" i="42385"/>
  <c r="CU79" i="42385"/>
  <c r="AU1648" i="42385"/>
  <c r="AU92" i="42385"/>
  <c r="CU92" i="42385" s="1"/>
  <c r="CV1503" i="42385"/>
  <c r="AZ1504" i="42385"/>
  <c r="CU1594" i="42385"/>
  <c r="AU1595" i="42385"/>
  <c r="CU1595" i="42385" s="1"/>
  <c r="AN209" i="42385"/>
  <c r="AN211" i="42385"/>
  <c r="BD412" i="42385"/>
  <c r="BE410" i="42385"/>
  <c r="CW410" i="42385" s="1"/>
  <c r="AU1448" i="42385"/>
  <c r="CU1448" i="42385" s="1"/>
  <c r="CU1583" i="42385"/>
  <c r="AU1584" i="42385"/>
  <c r="CU1584" i="42385" s="1"/>
  <c r="AU1592" i="42385"/>
  <c r="CU1592" i="42385" s="1"/>
  <c r="CU1591" i="42385"/>
  <c r="BA275" i="42385"/>
  <c r="BA318" i="42385"/>
  <c r="AK616" i="42385"/>
  <c r="CS616" i="42385" s="1"/>
  <c r="CS615" i="42385"/>
  <c r="AM585" i="42385"/>
  <c r="AK912" i="42385"/>
  <c r="CS912" i="42385" s="1"/>
  <c r="CS911" i="42385"/>
  <c r="AM584" i="42385"/>
  <c r="AM786" i="42385"/>
  <c r="AM787" i="42385" s="1"/>
  <c r="AM788" i="42385" s="1"/>
  <c r="AK1086" i="42385"/>
  <c r="CS1086" i="42385" s="1"/>
  <c r="CS1085" i="42385"/>
  <c r="AK1005" i="42385"/>
  <c r="CS1005" i="42385" s="1"/>
  <c r="CS1004" i="42385"/>
  <c r="AK943" i="42385"/>
  <c r="CS943" i="42385" s="1"/>
  <c r="CS942" i="42385"/>
  <c r="AK393" i="42385"/>
  <c r="CS393" i="42385" s="1"/>
  <c r="C22" i="42407"/>
  <c r="CS392" i="42385"/>
  <c r="AM391" i="42385"/>
  <c r="AM392" i="42385" s="1"/>
  <c r="AM393" i="42385" s="1"/>
  <c r="AK365" i="42385"/>
  <c r="CS365" i="42385" s="1"/>
  <c r="CS364" i="42385"/>
  <c r="CD744" i="42385"/>
  <c r="AN743" i="42385"/>
  <c r="AN705" i="42385"/>
  <c r="AN708" i="42385" s="1"/>
  <c r="AN814" i="42385"/>
  <c r="AN783" i="42385"/>
  <c r="AN786" i="42385" s="1"/>
  <c r="AN787" i="42385" s="1"/>
  <c r="AN788" i="42385" s="1"/>
  <c r="AN1000" i="42385"/>
  <c r="AO320" i="42385"/>
  <c r="AN326" i="42385"/>
  <c r="AN329" i="42385" s="1"/>
  <c r="AN330" i="42385" s="1"/>
  <c r="AN331" i="42385" s="1"/>
  <c r="AN845" i="42385"/>
  <c r="AN848" i="42385" s="1"/>
  <c r="AN849" i="42385" s="1"/>
  <c r="AN850" i="42385" s="1"/>
  <c r="AN1138" i="42385"/>
  <c r="AN876" i="42385"/>
  <c r="AN879" i="42385" s="1"/>
  <c r="AN880" i="42385" s="1"/>
  <c r="AN881" i="42385" s="1"/>
  <c r="AN360" i="42385"/>
  <c r="AN363" i="42385" s="1"/>
  <c r="AN364" i="42385" s="1"/>
  <c r="AN365" i="42385" s="1"/>
  <c r="AN907" i="42385"/>
  <c r="AN910" i="42385" s="1"/>
  <c r="AN911" i="42385" s="1"/>
  <c r="AN912" i="42385" s="1"/>
  <c r="AN611" i="42385"/>
  <c r="AN614" i="42385" s="1"/>
  <c r="AN615" i="42385" s="1"/>
  <c r="AN616" i="42385" s="1"/>
  <c r="AN478" i="42385"/>
  <c r="AN481" i="42385" s="1"/>
  <c r="AN1081" i="42385"/>
  <c r="AN1084" i="42385" s="1"/>
  <c r="AN1085" i="42385" s="1"/>
  <c r="AN1086" i="42385" s="1"/>
  <c r="AN762" i="42385"/>
  <c r="AN765" i="42385" s="1"/>
  <c r="AN938" i="42385"/>
  <c r="AN388" i="42385"/>
  <c r="AN391" i="42385" s="1"/>
  <c r="AN392" i="42385" s="1"/>
  <c r="AN393" i="42385" s="1"/>
  <c r="AN581" i="42385"/>
  <c r="AN585" i="42385" s="1"/>
  <c r="AN969" i="42385"/>
  <c r="AN972" i="42385" s="1"/>
  <c r="AN973" i="42385" s="1"/>
  <c r="AM363" i="42385"/>
  <c r="AM364" i="42385" s="1"/>
  <c r="AM365" i="42385" s="1"/>
  <c r="AK850" i="42385"/>
  <c r="CS850" i="42385" s="1"/>
  <c r="CS849" i="42385"/>
  <c r="AK881" i="42385"/>
  <c r="CS881" i="42385" s="1"/>
  <c r="CS880" i="42385"/>
  <c r="CS787" i="42385"/>
  <c r="AK788" i="42385"/>
  <c r="CS788" i="42385" s="1"/>
  <c r="AK819" i="42385"/>
  <c r="CS819" i="42385" s="1"/>
  <c r="CS818" i="42385"/>
  <c r="BH1432" i="42385"/>
  <c r="BH1477" i="42385" s="1"/>
  <c r="BI1439" i="42385"/>
  <c r="BJ1437" i="42385"/>
  <c r="CW1503" i="42385"/>
  <c r="BE1504" i="42385"/>
  <c r="CW1504" i="42385" s="1"/>
  <c r="BH1476" i="42385"/>
  <c r="CF1582" i="42385"/>
  <c r="CF1585" i="42385" s="1"/>
  <c r="CE1585" i="42385"/>
  <c r="DB1121" i="42385"/>
  <c r="CA1121" i="42385"/>
  <c r="BZ1124" i="42385"/>
  <c r="CD1118" i="42385"/>
  <c r="BX1236" i="42385"/>
  <c r="BY1235" i="42385"/>
  <c r="BZ1236" i="42385" s="1"/>
  <c r="DB1236" i="42385" s="1"/>
  <c r="DB1235" i="42385"/>
  <c r="CA1235" i="42385"/>
  <c r="DC1106" i="42385"/>
  <c r="CB1106" i="42385"/>
  <c r="CA1107" i="42385"/>
  <c r="BC169" i="42385"/>
  <c r="BY707" i="42385"/>
  <c r="DA409" i="42385"/>
  <c r="BZ409" i="42385"/>
  <c r="BG169" i="42385"/>
  <c r="BO169" i="42385"/>
  <c r="BK169" i="42385"/>
  <c r="CX169" i="42385"/>
  <c r="AY169" i="42385"/>
  <c r="BZ256" i="42385"/>
  <c r="DB1107" i="42385"/>
  <c r="BZ1108" i="42385"/>
  <c r="DB1108" i="42385" s="1"/>
  <c r="CS180" i="42385"/>
  <c r="AL180" i="42385"/>
  <c r="CR191" i="42385" l="1"/>
  <c r="AF193" i="42385"/>
  <c r="CR193" i="42385" s="1"/>
  <c r="AG191" i="42385"/>
  <c r="BH625" i="42385"/>
  <c r="BG624" i="42385"/>
  <c r="D17" i="42465"/>
  <c r="CT93" i="42385"/>
  <c r="AP94" i="42385"/>
  <c r="CT94" i="42385" s="1"/>
  <c r="AP1658" i="42385"/>
  <c r="B20" i="42476"/>
  <c r="CC1532" i="42385"/>
  <c r="CD841" i="42385"/>
  <c r="CC842" i="42385"/>
  <c r="AO120" i="42385"/>
  <c r="AP114" i="42385"/>
  <c r="CB1541" i="42385"/>
  <c r="CB385" i="42385"/>
  <c r="CC384" i="42385"/>
  <c r="AP1366" i="42385"/>
  <c r="CT1346" i="42385"/>
  <c r="BF280" i="42385"/>
  <c r="BF288" i="42385" s="1"/>
  <c r="BF630" i="42385"/>
  <c r="BF629" i="42385"/>
  <c r="CB1536" i="42385"/>
  <c r="CB721" i="42385"/>
  <c r="CC720" i="42385"/>
  <c r="CE631" i="42385"/>
  <c r="CD632" i="42385"/>
  <c r="CD1543" i="42385"/>
  <c r="BD628" i="42385"/>
  <c r="BE626" i="42385"/>
  <c r="CW626" i="42385" s="1"/>
  <c r="B38" i="42476"/>
  <c r="B40" i="42476"/>
  <c r="BZ1529" i="42385"/>
  <c r="DB1529" i="42385" s="1"/>
  <c r="CA903" i="42385"/>
  <c r="DB903" i="42385"/>
  <c r="BZ904" i="42385"/>
  <c r="DB904" i="42385" s="1"/>
  <c r="AP1620" i="42385"/>
  <c r="AO1627" i="42385"/>
  <c r="AO1628" i="42385" s="1"/>
  <c r="CT1330" i="42385"/>
  <c r="AP1333" i="42385"/>
  <c r="D54" i="42465"/>
  <c r="AO206" i="42385"/>
  <c r="AO207" i="42385"/>
  <c r="AO212" i="42385"/>
  <c r="BB288" i="42385"/>
  <c r="BB290" i="42385" s="1"/>
  <c r="BB314" i="42385" s="1"/>
  <c r="BB318" i="42385"/>
  <c r="CT1565" i="42385"/>
  <c r="AP1632" i="42385"/>
  <c r="CT1632" i="42385" s="1"/>
  <c r="C38" i="42409"/>
  <c r="C40" i="42409" s="1"/>
  <c r="C42" i="42409" s="1"/>
  <c r="C44" i="42409" s="1"/>
  <c r="AP1567" i="42385"/>
  <c r="AP1661" i="42385"/>
  <c r="CD1547" i="42385"/>
  <c r="CE472" i="42385"/>
  <c r="BP350" i="42385"/>
  <c r="CD356" i="42385"/>
  <c r="CC1528" i="42385"/>
  <c r="CC357" i="42385"/>
  <c r="BN354" i="42385"/>
  <c r="BN265" i="42385"/>
  <c r="BO265" i="42385" s="1"/>
  <c r="CY265" i="42385" s="1"/>
  <c r="BN353" i="42385"/>
  <c r="BN355" i="42385"/>
  <c r="BO352" i="42385"/>
  <c r="BR348" i="42385"/>
  <c r="BQ347" i="42385"/>
  <c r="BQ350" i="42385" s="1"/>
  <c r="BQ352" i="42385" s="1"/>
  <c r="BQ480" i="42385"/>
  <c r="BP1140" i="42385"/>
  <c r="BZ873" i="42385"/>
  <c r="DB873" i="42385" s="1"/>
  <c r="BZ1535" i="42385"/>
  <c r="DB1535" i="42385" s="1"/>
  <c r="DB872" i="42385"/>
  <c r="CA872" i="42385"/>
  <c r="BF290" i="42385"/>
  <c r="BU1525" i="42385"/>
  <c r="BV1523" i="42385"/>
  <c r="DA487" i="42385"/>
  <c r="BH1434" i="42385"/>
  <c r="AU1501" i="42385"/>
  <c r="CU1501" i="42385" s="1"/>
  <c r="CC383" i="42385"/>
  <c r="CC266" i="42385"/>
  <c r="CC381" i="42385"/>
  <c r="CC382" i="42385"/>
  <c r="CW377" i="42385"/>
  <c r="CA377" i="42385"/>
  <c r="BF380" i="42385"/>
  <c r="DA483" i="42385"/>
  <c r="DB378" i="42385"/>
  <c r="BZ380" i="42385"/>
  <c r="BZ1530" i="42385"/>
  <c r="DB1530" i="42385" s="1"/>
  <c r="CA416" i="42385"/>
  <c r="BZ417" i="42385"/>
  <c r="DB417" i="42385" s="1"/>
  <c r="DB416" i="42385"/>
  <c r="BI377" i="42385"/>
  <c r="CD377" i="42385"/>
  <c r="CD376" i="42385" s="1"/>
  <c r="CD378" i="42385" s="1"/>
  <c r="CD380" i="42385" s="1"/>
  <c r="BH376" i="42385"/>
  <c r="BH378" i="42385" s="1"/>
  <c r="BH380" i="42385" s="1"/>
  <c r="BV491" i="42385"/>
  <c r="BV270" i="42385"/>
  <c r="BV490" i="42385"/>
  <c r="BD381" i="42385"/>
  <c r="BD266" i="42385"/>
  <c r="BE266" i="42385" s="1"/>
  <c r="CW266" i="42385" s="1"/>
  <c r="BD382" i="42385"/>
  <c r="BD383" i="42385"/>
  <c r="BE380" i="42385"/>
  <c r="BG381" i="42385"/>
  <c r="BG266" i="42385"/>
  <c r="BG383" i="42385"/>
  <c r="BG382" i="42385"/>
  <c r="BA277" i="42385"/>
  <c r="BA314" i="42385" s="1"/>
  <c r="CD777" i="42385"/>
  <c r="CC1540" i="42385"/>
  <c r="CC778" i="42385"/>
  <c r="CT247" i="42417"/>
  <c r="AQ114" i="42385"/>
  <c r="AQ120" i="42385" s="1"/>
  <c r="BH408" i="42385"/>
  <c r="BG407" i="42385"/>
  <c r="BG410" i="42385" s="1"/>
  <c r="BG412" i="42385" s="1"/>
  <c r="CU90" i="42385"/>
  <c r="AU106" i="42385"/>
  <c r="E15" i="42465"/>
  <c r="AU93" i="42385"/>
  <c r="K8" i="42472"/>
  <c r="K15" i="42472" s="1"/>
  <c r="K24" i="42472" s="1"/>
  <c r="CD1538" i="42385"/>
  <c r="CD759" i="42385"/>
  <c r="CE758" i="42385"/>
  <c r="BF410" i="42385"/>
  <c r="CU1648" i="42385"/>
  <c r="AU1641" i="42385"/>
  <c r="CU1641" i="42385" s="1"/>
  <c r="AV94" i="42385"/>
  <c r="AQ94" i="42385"/>
  <c r="AQ1658" i="42385"/>
  <c r="C20" i="42476"/>
  <c r="H21" i="42476" s="1"/>
  <c r="BC317" i="42385"/>
  <c r="BC1647" i="42385"/>
  <c r="BC315" i="42385"/>
  <c r="BC316" i="42385"/>
  <c r="CC479" i="42385"/>
  <c r="CB1139" i="42385"/>
  <c r="AT205" i="42385"/>
  <c r="AU199" i="42385"/>
  <c r="AU205" i="42385" s="1"/>
  <c r="BD267" i="42385"/>
  <c r="BD414" i="42385"/>
  <c r="BD413" i="42385"/>
  <c r="BD415" i="42385"/>
  <c r="BE412" i="42385"/>
  <c r="CV1504" i="42385"/>
  <c r="B53" i="42409"/>
  <c r="B60" i="42409" s="1"/>
  <c r="B61" i="42409" s="1"/>
  <c r="CU1301" i="42385"/>
  <c r="AU1330" i="42385"/>
  <c r="E46" i="42465"/>
  <c r="E45" i="42465" s="1"/>
  <c r="BY810" i="42385"/>
  <c r="BX1531" i="42385"/>
  <c r="BY1531" i="42385" s="1"/>
  <c r="DA1531" i="42385" s="1"/>
  <c r="BX811" i="42385"/>
  <c r="AU1619" i="42385"/>
  <c r="AQ1620" i="42385"/>
  <c r="AQ1627" i="42385" s="1"/>
  <c r="AQ1628" i="42385" s="1"/>
  <c r="AR1620" i="42385"/>
  <c r="AR1627" i="42385" s="1"/>
  <c r="AR1628" i="42385" s="1"/>
  <c r="AS1620" i="42385"/>
  <c r="AS1627" i="42385" s="1"/>
  <c r="AS1628" i="42385" s="1"/>
  <c r="AT1620" i="42385"/>
  <c r="CD934" i="42385"/>
  <c r="CC1533" i="42385"/>
  <c r="CC935" i="42385"/>
  <c r="AO360" i="42385"/>
  <c r="AP360" i="42385" s="1"/>
  <c r="CT360" i="42385" s="1"/>
  <c r="AO814" i="42385"/>
  <c r="AP814" i="42385" s="1"/>
  <c r="CT814" i="42385" s="1"/>
  <c r="AO1000" i="42385"/>
  <c r="AP1000" i="42385" s="1"/>
  <c r="CT1000" i="42385" s="1"/>
  <c r="AO938" i="42385"/>
  <c r="AP938" i="42385" s="1"/>
  <c r="CT938" i="42385" s="1"/>
  <c r="AO388" i="42385"/>
  <c r="AO762" i="42385"/>
  <c r="AP762" i="42385" s="1"/>
  <c r="CT762" i="42385" s="1"/>
  <c r="AO1081" i="42385"/>
  <c r="AP320" i="42385"/>
  <c r="AO581" i="42385"/>
  <c r="AO584" i="42385" s="1"/>
  <c r="AO326" i="42385"/>
  <c r="AO743" i="42385"/>
  <c r="AP743" i="42385" s="1"/>
  <c r="CT743" i="42385" s="1"/>
  <c r="AO969" i="42385"/>
  <c r="AO972" i="42385" s="1"/>
  <c r="AO1138" i="42385"/>
  <c r="AP1138" i="42385" s="1"/>
  <c r="CT1138" i="42385" s="1"/>
  <c r="AO705" i="42385"/>
  <c r="AO876" i="42385"/>
  <c r="AO478" i="42385"/>
  <c r="AO611" i="42385"/>
  <c r="AO845" i="42385"/>
  <c r="AO907" i="42385"/>
  <c r="AO783" i="42385"/>
  <c r="AN584" i="42385"/>
  <c r="AN941" i="42385"/>
  <c r="AN1141" i="42385"/>
  <c r="AN1003" i="42385"/>
  <c r="AN746" i="42385"/>
  <c r="AN817" i="42385"/>
  <c r="CE744" i="42385"/>
  <c r="CB1121" i="42385"/>
  <c r="DC1121" i="42385"/>
  <c r="CA1124" i="42385"/>
  <c r="BH1501" i="42385"/>
  <c r="BK1437" i="42385"/>
  <c r="CX1437" i="42385"/>
  <c r="DB1124" i="42385"/>
  <c r="BZ1552" i="42385"/>
  <c r="DB1552" i="42385" s="1"/>
  <c r="BI1432" i="42385"/>
  <c r="BJ1439" i="42385"/>
  <c r="CX1439" i="42385" s="1"/>
  <c r="BI1431" i="42385"/>
  <c r="CC1106" i="42385"/>
  <c r="CB1107" i="42385"/>
  <c r="CE1118" i="42385"/>
  <c r="AM180" i="42385"/>
  <c r="DB256" i="42385"/>
  <c r="BZ13" i="42385"/>
  <c r="DB13" i="42385" s="1"/>
  <c r="BL169" i="42385"/>
  <c r="BD169" i="42385"/>
  <c r="DC1235" i="42385"/>
  <c r="CA1236" i="42385"/>
  <c r="DC1236" i="42385" s="1"/>
  <c r="BH169" i="42385"/>
  <c r="BP169" i="42385"/>
  <c r="BT169" i="42385"/>
  <c r="CY169" i="42385"/>
  <c r="CA409" i="42385"/>
  <c r="DB409" i="42385"/>
  <c r="BZ707" i="42385"/>
  <c r="DA707" i="42385"/>
  <c r="CA256" i="42385"/>
  <c r="DC1107" i="42385"/>
  <c r="CA1108" i="42385"/>
  <c r="DC1108" i="42385" s="1"/>
  <c r="BY1236" i="42385"/>
  <c r="DA1236" i="42385" s="1"/>
  <c r="DA1235" i="42385"/>
  <c r="AH191" i="42385" l="1"/>
  <c r="AG193" i="42385"/>
  <c r="AO211" i="42385"/>
  <c r="AO209" i="42385"/>
  <c r="CB903" i="42385"/>
  <c r="CA1529" i="42385"/>
  <c r="DC1529" i="42385" s="1"/>
  <c r="DC903" i="42385"/>
  <c r="CA904" i="42385"/>
  <c r="DC904" i="42385" s="1"/>
  <c r="CE632" i="42385"/>
  <c r="CE1543" i="42385"/>
  <c r="CF631" i="42385"/>
  <c r="CT1366" i="42385"/>
  <c r="AP1426" i="42385"/>
  <c r="CT1426" i="42385" s="1"/>
  <c r="AP201" i="42385"/>
  <c r="D28" i="42465"/>
  <c r="AP120" i="42385"/>
  <c r="CT114" i="42385"/>
  <c r="BB315" i="42385"/>
  <c r="BB316" i="42385"/>
  <c r="BB1647" i="42385"/>
  <c r="BB317" i="42385"/>
  <c r="CT1620" i="42385"/>
  <c r="AP1627" i="42385"/>
  <c r="BD630" i="42385"/>
  <c r="BD629" i="42385"/>
  <c r="BD280" i="42385"/>
  <c r="BE628" i="42385"/>
  <c r="CD720" i="42385"/>
  <c r="CC721" i="42385"/>
  <c r="CC1536" i="42385"/>
  <c r="CC385" i="42385"/>
  <c r="CD384" i="42385"/>
  <c r="CC1541" i="42385"/>
  <c r="AO1656" i="42385"/>
  <c r="AO121" i="42385"/>
  <c r="AQ1332" i="42385"/>
  <c r="AQ1333" i="42385" s="1"/>
  <c r="CT1333" i="42385"/>
  <c r="AU1332" i="42385"/>
  <c r="CU1332" i="42385" s="1"/>
  <c r="BG626" i="42385"/>
  <c r="AP1631" i="42385"/>
  <c r="CT1631" i="42385" s="1"/>
  <c r="CT1567" i="42385"/>
  <c r="CE841" i="42385"/>
  <c r="CD842" i="42385"/>
  <c r="CD1532" i="42385"/>
  <c r="BH624" i="42385"/>
  <c r="BH626" i="42385" s="1"/>
  <c r="BH628" i="42385" s="1"/>
  <c r="BI625" i="42385"/>
  <c r="CE1547" i="42385"/>
  <c r="CF472" i="42385"/>
  <c r="CF1547" i="42385" s="1"/>
  <c r="BQ353" i="42385"/>
  <c r="BQ265" i="42385"/>
  <c r="BQ354" i="42385"/>
  <c r="BQ355" i="42385"/>
  <c r="BR347" i="42385"/>
  <c r="BS348" i="42385"/>
  <c r="CD1528" i="42385"/>
  <c r="CD357" i="42385"/>
  <c r="CE356" i="42385"/>
  <c r="BO355" i="42385"/>
  <c r="CY355" i="42385" s="1"/>
  <c r="BO353" i="42385"/>
  <c r="CY353" i="42385" s="1"/>
  <c r="BO354" i="42385"/>
  <c r="CY354" i="42385" s="1"/>
  <c r="CY352" i="42385"/>
  <c r="BP352" i="42385"/>
  <c r="BR480" i="42385"/>
  <c r="BQ1140" i="42385"/>
  <c r="BW1523" i="42385"/>
  <c r="BV1525" i="42385"/>
  <c r="BV1499" i="42385" s="1"/>
  <c r="BU1499" i="42385"/>
  <c r="CA873" i="42385"/>
  <c r="DC873" i="42385" s="1"/>
  <c r="CB872" i="42385"/>
  <c r="DC872" i="42385"/>
  <c r="CA1535" i="42385"/>
  <c r="DC1535" i="42385" s="1"/>
  <c r="AO1141" i="42385"/>
  <c r="AP1141" i="42385" s="1"/>
  <c r="CT1141" i="42385" s="1"/>
  <c r="DA223" i="42385"/>
  <c r="BZ266" i="42385"/>
  <c r="BZ382" i="42385"/>
  <c r="DB382" i="42385" s="1"/>
  <c r="BZ381" i="42385"/>
  <c r="DB381" i="42385" s="1"/>
  <c r="DB380" i="42385"/>
  <c r="AO746" i="42385"/>
  <c r="AP746" i="42385" s="1"/>
  <c r="CT746" i="42385" s="1"/>
  <c r="AP584" i="42385"/>
  <c r="CT584" i="42385" s="1"/>
  <c r="BW270" i="42385"/>
  <c r="BI376" i="42385"/>
  <c r="CE377" i="42385"/>
  <c r="CE376" i="42385" s="1"/>
  <c r="CE378" i="42385" s="1"/>
  <c r="CE380" i="42385" s="1"/>
  <c r="BF383" i="42385"/>
  <c r="BF382" i="42385"/>
  <c r="BF381" i="42385"/>
  <c r="BF266" i="42385"/>
  <c r="CA376" i="42385"/>
  <c r="DC377" i="42385"/>
  <c r="BX270" i="42385"/>
  <c r="BH381" i="42385"/>
  <c r="BH383" i="42385"/>
  <c r="BH382" i="42385"/>
  <c r="BH266" i="42385"/>
  <c r="DA484" i="42385"/>
  <c r="BE383" i="42385"/>
  <c r="CW383" i="42385" s="1"/>
  <c r="BE382" i="42385"/>
  <c r="CW382" i="42385" s="1"/>
  <c r="BE381" i="42385"/>
  <c r="CW381" i="42385" s="1"/>
  <c r="CW380" i="42385"/>
  <c r="CD382" i="42385"/>
  <c r="CD383" i="42385"/>
  <c r="CD381" i="42385"/>
  <c r="CD266" i="42385"/>
  <c r="CA417" i="42385"/>
  <c r="DC417" i="42385" s="1"/>
  <c r="DC416" i="42385"/>
  <c r="CB416" i="42385"/>
  <c r="CA1530" i="42385"/>
  <c r="DC1530" i="42385" s="1"/>
  <c r="AU1620" i="42385"/>
  <c r="AT1627" i="42385"/>
  <c r="AT1628" i="42385" s="1"/>
  <c r="AX1620" i="42385"/>
  <c r="AX1627" i="42385" s="1"/>
  <c r="AX1628" i="42385" s="1"/>
  <c r="CU1619" i="42385"/>
  <c r="AW1620" i="42385"/>
  <c r="AW1627" i="42385" s="1"/>
  <c r="AW1628" i="42385" s="1"/>
  <c r="AV1620" i="42385"/>
  <c r="AV1627" i="42385" s="1"/>
  <c r="AV1628" i="42385" s="1"/>
  <c r="BE413" i="42385"/>
  <c r="CW413" i="42385" s="1"/>
  <c r="BE415" i="42385"/>
  <c r="CW415" i="42385" s="1"/>
  <c r="CW412" i="42385"/>
  <c r="BE414" i="42385"/>
  <c r="CW414" i="42385" s="1"/>
  <c r="AO363" i="42385"/>
  <c r="CD479" i="42385"/>
  <c r="CC1139" i="42385"/>
  <c r="CE1538" i="42385"/>
  <c r="CE759" i="42385"/>
  <c r="CF758" i="42385"/>
  <c r="AU1658" i="42385"/>
  <c r="AZ94" i="42385"/>
  <c r="CV94" i="42385" s="1"/>
  <c r="E17" i="42465"/>
  <c r="CU93" i="42385"/>
  <c r="AU94" i="42385"/>
  <c r="CU94" i="42385" s="1"/>
  <c r="G20" i="42476"/>
  <c r="C48" i="42476"/>
  <c r="C50" i="42476" s="1"/>
  <c r="AQ121" i="42385"/>
  <c r="AQ1656" i="42385"/>
  <c r="CD778" i="42385"/>
  <c r="CE777" i="42385"/>
  <c r="CD1540" i="42385"/>
  <c r="CU106" i="42385"/>
  <c r="AU114" i="42385"/>
  <c r="BG415" i="42385"/>
  <c r="BG267" i="42385"/>
  <c r="BG414" i="42385"/>
  <c r="BG413" i="42385"/>
  <c r="BA316" i="42385"/>
  <c r="BA1647" i="42385"/>
  <c r="BA315" i="42385"/>
  <c r="BA317" i="42385"/>
  <c r="AU1333" i="42385"/>
  <c r="CU1330" i="42385"/>
  <c r="E54" i="42465"/>
  <c r="BD275" i="42385"/>
  <c r="BE275" i="42385" s="1"/>
  <c r="CW275" i="42385" s="1"/>
  <c r="BE267" i="42385"/>
  <c r="BH407" i="42385"/>
  <c r="BH410" i="42385" s="1"/>
  <c r="BH412" i="42385" s="1"/>
  <c r="BI408" i="42385"/>
  <c r="CD935" i="42385"/>
  <c r="CE934" i="42385"/>
  <c r="CD1533" i="42385"/>
  <c r="DA810" i="42385"/>
  <c r="BZ810" i="42385"/>
  <c r="BY811" i="42385"/>
  <c r="DA811" i="42385" s="1"/>
  <c r="BF412" i="42385"/>
  <c r="CT252" i="42417"/>
  <c r="CX247" i="42417"/>
  <c r="CX252" i="42417" s="1"/>
  <c r="CX257" i="42417" s="1"/>
  <c r="AO817" i="42385"/>
  <c r="AO818" i="42385" s="1"/>
  <c r="AO819" i="42385" s="1"/>
  <c r="AO1003" i="42385"/>
  <c r="AO1004" i="42385" s="1"/>
  <c r="AO1005" i="42385" s="1"/>
  <c r="AO941" i="42385"/>
  <c r="AO942" i="42385" s="1"/>
  <c r="AO943" i="42385" s="1"/>
  <c r="AP611" i="42385"/>
  <c r="CT611" i="42385" s="1"/>
  <c r="AO614" i="42385"/>
  <c r="AP581" i="42385"/>
  <c r="AO585" i="42385"/>
  <c r="AP388" i="42385"/>
  <c r="CT388" i="42385" s="1"/>
  <c r="AO391" i="42385"/>
  <c r="AN818" i="42385"/>
  <c r="AN819" i="42385" s="1"/>
  <c r="AN1004" i="42385"/>
  <c r="AN1005" i="42385" s="1"/>
  <c r="AN942" i="42385"/>
  <c r="AN943" i="42385" s="1"/>
  <c r="AP783" i="42385"/>
  <c r="CT783" i="42385" s="1"/>
  <c r="AO786" i="42385"/>
  <c r="AP478" i="42385"/>
  <c r="CT478" i="42385" s="1"/>
  <c r="AO481" i="42385"/>
  <c r="AP481" i="42385" s="1"/>
  <c r="CT481" i="42385" s="1"/>
  <c r="AO973" i="42385"/>
  <c r="AP972" i="42385"/>
  <c r="AP973" i="42385" s="1"/>
  <c r="AU320" i="42385"/>
  <c r="CT320" i="42385"/>
  <c r="AP969" i="42385"/>
  <c r="AQ320" i="42385"/>
  <c r="AO765" i="42385"/>
  <c r="AP765" i="42385" s="1"/>
  <c r="CT765" i="42385" s="1"/>
  <c r="AP907" i="42385"/>
  <c r="CT907" i="42385" s="1"/>
  <c r="AO910" i="42385"/>
  <c r="AP876" i="42385"/>
  <c r="CT876" i="42385" s="1"/>
  <c r="AO879" i="42385"/>
  <c r="AP1081" i="42385"/>
  <c r="CT1081" i="42385" s="1"/>
  <c r="AO1084" i="42385"/>
  <c r="CF744" i="42385"/>
  <c r="AP845" i="42385"/>
  <c r="CT845" i="42385" s="1"/>
  <c r="AO848" i="42385"/>
  <c r="AP705" i="42385"/>
  <c r="CT705" i="42385" s="1"/>
  <c r="AO708" i="42385"/>
  <c r="AP708" i="42385" s="1"/>
  <c r="CT708" i="42385" s="1"/>
  <c r="AP326" i="42385"/>
  <c r="CT326" i="42385" s="1"/>
  <c r="AO329" i="42385"/>
  <c r="BJ1431" i="42385"/>
  <c r="CX1431" i="42385" s="1"/>
  <c r="BI1434" i="42385"/>
  <c r="BJ1434" i="42385" s="1"/>
  <c r="CX1434" i="42385" s="1"/>
  <c r="BI1476" i="42385"/>
  <c r="CA1552" i="42385"/>
  <c r="DC1552" i="42385" s="1"/>
  <c r="DC1124" i="42385"/>
  <c r="BJ1432" i="42385"/>
  <c r="CX1432" i="42385" s="1"/>
  <c r="BI1477" i="42385"/>
  <c r="BJ1477" i="42385" s="1"/>
  <c r="CX1477" i="42385" s="1"/>
  <c r="BL1437" i="42385"/>
  <c r="BK1439" i="42385"/>
  <c r="BK1431" i="42385" s="1"/>
  <c r="CC1121" i="42385"/>
  <c r="CB1124" i="42385"/>
  <c r="CB1552" i="42385" s="1"/>
  <c r="CA13" i="42385"/>
  <c r="DC13" i="42385" s="1"/>
  <c r="DC256" i="42385"/>
  <c r="BI169" i="42385"/>
  <c r="AN180" i="42385"/>
  <c r="CZ169" i="42385"/>
  <c r="BU169" i="42385"/>
  <c r="BY169" i="42385"/>
  <c r="BM169" i="42385"/>
  <c r="CF1118" i="42385"/>
  <c r="CB1108" i="42385"/>
  <c r="CB256" i="42385"/>
  <c r="CB13" i="42385" s="1"/>
  <c r="CB409" i="42385"/>
  <c r="DC409" i="42385"/>
  <c r="BQ169" i="42385"/>
  <c r="CD1106" i="42385"/>
  <c r="CC1107" i="42385"/>
  <c r="DB707" i="42385"/>
  <c r="CA707" i="42385"/>
  <c r="AH193" i="42385" l="1"/>
  <c r="AI191" i="42385"/>
  <c r="AP941" i="42385"/>
  <c r="BH629" i="42385"/>
  <c r="BH280" i="42385"/>
  <c r="BH288" i="42385" s="1"/>
  <c r="BH630" i="42385"/>
  <c r="BD288" i="42385"/>
  <c r="BD290" i="42385" s="1"/>
  <c r="BE280" i="42385"/>
  <c r="AP206" i="42385"/>
  <c r="AP212" i="42385"/>
  <c r="AP207" i="42385"/>
  <c r="CC903" i="42385"/>
  <c r="CB1529" i="42385"/>
  <c r="CB904" i="42385"/>
  <c r="AQ1339" i="42385"/>
  <c r="AR1332" i="42385"/>
  <c r="AR1333" i="42385" s="1"/>
  <c r="CE384" i="42385"/>
  <c r="CD1541" i="42385"/>
  <c r="CD385" i="42385"/>
  <c r="CD721" i="42385"/>
  <c r="CE720" i="42385"/>
  <c r="CD1536" i="42385"/>
  <c r="CT120" i="42385"/>
  <c r="AP121" i="42385"/>
  <c r="CT121" i="42385" s="1"/>
  <c r="AP1656" i="42385"/>
  <c r="B48" i="42476"/>
  <c r="B50" i="42476" s="1"/>
  <c r="BI624" i="42385"/>
  <c r="BI626" i="42385" s="1"/>
  <c r="BI628" i="42385" s="1"/>
  <c r="BJ625" i="42385"/>
  <c r="CE1532" i="42385"/>
  <c r="CE842" i="42385"/>
  <c r="CF841" i="42385"/>
  <c r="BG628" i="42385"/>
  <c r="BJ626" i="42385"/>
  <c r="CX626" i="42385" s="1"/>
  <c r="BE629" i="42385"/>
  <c r="CW629" i="42385" s="1"/>
  <c r="BE630" i="42385"/>
  <c r="CW630" i="42385" s="1"/>
  <c r="CW628" i="42385"/>
  <c r="AP1628" i="42385"/>
  <c r="CT1628" i="42385" s="1"/>
  <c r="CT1627" i="42385"/>
  <c r="CF632" i="42385"/>
  <c r="CF1543" i="42385"/>
  <c r="BP265" i="42385"/>
  <c r="BP355" i="42385"/>
  <c r="BP353" i="42385"/>
  <c r="BP354" i="42385"/>
  <c r="BT348" i="42385"/>
  <c r="BS347" i="42385"/>
  <c r="BS350" i="42385" s="1"/>
  <c r="BS352" i="42385" s="1"/>
  <c r="CF356" i="42385"/>
  <c r="CE1528" i="42385"/>
  <c r="CE357" i="42385"/>
  <c r="BR350" i="42385"/>
  <c r="BS480" i="42385"/>
  <c r="BR1140" i="42385"/>
  <c r="BW1525" i="42385"/>
  <c r="BX1523" i="42385"/>
  <c r="BX1525" i="42385" s="1"/>
  <c r="BX1499" i="42385" s="1"/>
  <c r="BY1523" i="42385"/>
  <c r="CB1535" i="42385"/>
  <c r="CC872" i="42385"/>
  <c r="CB873" i="42385"/>
  <c r="BY270" i="42385"/>
  <c r="DA270" i="42385" s="1"/>
  <c r="BH290" i="42385"/>
  <c r="BD277" i="42385"/>
  <c r="BK1432" i="42385"/>
  <c r="BK1477" i="42385" s="1"/>
  <c r="CE382" i="42385"/>
  <c r="CE266" i="42385"/>
  <c r="CE383" i="42385"/>
  <c r="CE381" i="42385"/>
  <c r="CB417" i="42385"/>
  <c r="CC416" i="42385"/>
  <c r="CB1530" i="42385"/>
  <c r="DB484" i="42385"/>
  <c r="BI378" i="42385"/>
  <c r="BJ376" i="42385"/>
  <c r="DC376" i="42385"/>
  <c r="CA378" i="42385"/>
  <c r="DA489" i="42385"/>
  <c r="DA491" i="42385"/>
  <c r="DA490" i="42385"/>
  <c r="C22" i="42408"/>
  <c r="H22" i="42408" s="1"/>
  <c r="DB266" i="42385"/>
  <c r="BI407" i="42385"/>
  <c r="BI410" i="42385" s="1"/>
  <c r="BJ408" i="42385"/>
  <c r="DB810" i="42385"/>
  <c r="BZ1531" i="42385"/>
  <c r="DB1531" i="42385" s="1"/>
  <c r="BZ811" i="42385"/>
  <c r="DB811" i="42385" s="1"/>
  <c r="CA810" i="42385"/>
  <c r="CU114" i="42385"/>
  <c r="AU120" i="42385"/>
  <c r="G21" i="42476"/>
  <c r="L21" i="42476"/>
  <c r="V22" i="42476"/>
  <c r="CW267" i="42385"/>
  <c r="BE277" i="42385"/>
  <c r="BF267" i="42385"/>
  <c r="BF414" i="42385"/>
  <c r="BF413" i="42385"/>
  <c r="BF415" i="42385"/>
  <c r="BH267" i="42385"/>
  <c r="BH414" i="42385"/>
  <c r="BH413" i="42385"/>
  <c r="BH415" i="42385"/>
  <c r="BG275" i="42385"/>
  <c r="BG277" i="42385" s="1"/>
  <c r="CE479" i="42385"/>
  <c r="CD1139" i="42385"/>
  <c r="AO364" i="42385"/>
  <c r="AO365" i="42385" s="1"/>
  <c r="AP363" i="42385"/>
  <c r="CT257" i="42417"/>
  <c r="CT254" i="42417"/>
  <c r="CX254" i="42417" s="1"/>
  <c r="CF1538" i="42385"/>
  <c r="CF759" i="42385"/>
  <c r="AP1003" i="42385"/>
  <c r="CT1003" i="42385" s="1"/>
  <c r="CF934" i="42385"/>
  <c r="CE1533" i="42385"/>
  <c r="CE935" i="42385"/>
  <c r="AZ1332" i="42385"/>
  <c r="CU1333" i="42385"/>
  <c r="AV1332" i="42385"/>
  <c r="AV1333" i="42385" s="1"/>
  <c r="CF777" i="42385"/>
  <c r="CE1540" i="42385"/>
  <c r="CE778" i="42385"/>
  <c r="CU1620" i="42385"/>
  <c r="AU1627" i="42385"/>
  <c r="AO330" i="42385"/>
  <c r="AO331" i="42385" s="1"/>
  <c r="AP329" i="42385"/>
  <c r="AO849" i="42385"/>
  <c r="AO850" i="42385" s="1"/>
  <c r="AP848" i="42385"/>
  <c r="AO1085" i="42385"/>
  <c r="AO1086" i="42385" s="1"/>
  <c r="AP1084" i="42385"/>
  <c r="AO911" i="42385"/>
  <c r="AO912" i="42385" s="1"/>
  <c r="AP910" i="42385"/>
  <c r="CU320" i="42385"/>
  <c r="AZ320" i="42385"/>
  <c r="AV320" i="42385"/>
  <c r="AU969" i="42385"/>
  <c r="CU969" i="42385" s="1"/>
  <c r="AU1146" i="42385"/>
  <c r="CU1146" i="42385" s="1"/>
  <c r="AU449" i="42385"/>
  <c r="CU449" i="42385" s="1"/>
  <c r="AQ611" i="42385"/>
  <c r="AQ614" i="42385" s="1"/>
  <c r="AQ1146" i="42385"/>
  <c r="AQ1149" i="42385" s="1"/>
  <c r="AQ1150" i="42385" s="1"/>
  <c r="AQ360" i="42385"/>
  <c r="AQ363" i="42385" s="1"/>
  <c r="AQ364" i="42385" s="1"/>
  <c r="AQ365" i="42385" s="1"/>
  <c r="AQ876" i="42385"/>
  <c r="AQ879" i="42385" s="1"/>
  <c r="AQ880" i="42385" s="1"/>
  <c r="AQ881" i="42385" s="1"/>
  <c r="AR320" i="42385"/>
  <c r="AQ1081" i="42385"/>
  <c r="AQ1084" i="42385" s="1"/>
  <c r="AQ1085" i="42385" s="1"/>
  <c r="AQ1086" i="42385" s="1"/>
  <c r="AQ1000" i="42385"/>
  <c r="AQ1003" i="42385" s="1"/>
  <c r="AQ1004" i="42385" s="1"/>
  <c r="AQ1005" i="42385" s="1"/>
  <c r="AQ938" i="42385"/>
  <c r="AQ941" i="42385" s="1"/>
  <c r="AQ942" i="42385" s="1"/>
  <c r="AQ943" i="42385" s="1"/>
  <c r="AQ388" i="42385"/>
  <c r="AQ391" i="42385" s="1"/>
  <c r="AQ845" i="42385"/>
  <c r="AQ848" i="42385" s="1"/>
  <c r="AQ849" i="42385" s="1"/>
  <c r="AQ850" i="42385" s="1"/>
  <c r="AQ783" i="42385"/>
  <c r="AQ743" i="42385"/>
  <c r="AQ746" i="42385" s="1"/>
  <c r="AQ1138" i="42385"/>
  <c r="AQ1141" i="42385" s="1"/>
  <c r="AQ705" i="42385"/>
  <c r="AQ708" i="42385" s="1"/>
  <c r="AQ478" i="42385"/>
  <c r="AQ481" i="42385" s="1"/>
  <c r="AQ907" i="42385"/>
  <c r="AQ910" i="42385" s="1"/>
  <c r="AQ911" i="42385" s="1"/>
  <c r="AQ912" i="42385" s="1"/>
  <c r="AQ762" i="42385"/>
  <c r="AQ765" i="42385" s="1"/>
  <c r="AQ581" i="42385"/>
  <c r="AQ584" i="42385" s="1"/>
  <c r="AQ969" i="42385"/>
  <c r="AQ972" i="42385" s="1"/>
  <c r="AQ973" i="42385" s="1"/>
  <c r="AQ974" i="42385" s="1"/>
  <c r="AQ326" i="42385"/>
  <c r="AQ329" i="42385" s="1"/>
  <c r="AQ330" i="42385" s="1"/>
  <c r="AQ331" i="42385" s="1"/>
  <c r="AQ814" i="42385"/>
  <c r="AP786" i="42385"/>
  <c r="AO787" i="42385"/>
  <c r="AO788" i="42385" s="1"/>
  <c r="AP817" i="42385"/>
  <c r="AP879" i="42385"/>
  <c r="AO880" i="42385"/>
  <c r="AO881" i="42385" s="1"/>
  <c r="CT581" i="42385"/>
  <c r="CT941" i="42385"/>
  <c r="AP942" i="42385"/>
  <c r="AO392" i="42385"/>
  <c r="AO393" i="42385" s="1"/>
  <c r="AP391" i="42385"/>
  <c r="AO615" i="42385"/>
  <c r="AO616" i="42385" s="1"/>
  <c r="AP614" i="42385"/>
  <c r="CD1121" i="42385"/>
  <c r="CC1124" i="42385"/>
  <c r="CC1552" i="42385" s="1"/>
  <c r="BM1437" i="42385"/>
  <c r="BL1439" i="42385"/>
  <c r="BL1431" i="42385" s="1"/>
  <c r="BI1501" i="42385"/>
  <c r="BJ1501" i="42385" s="1"/>
  <c r="CX1501" i="42385" s="1"/>
  <c r="BJ1476" i="42385"/>
  <c r="BK1434" i="42385"/>
  <c r="BK1476" i="42385"/>
  <c r="CB707" i="42385"/>
  <c r="DC707" i="42385"/>
  <c r="CC256" i="42385"/>
  <c r="CC13" i="42385" s="1"/>
  <c r="CC1108" i="42385"/>
  <c r="CC409" i="42385"/>
  <c r="BN169" i="42385"/>
  <c r="CE1106" i="42385"/>
  <c r="CD1107" i="42385"/>
  <c r="BR169" i="42385"/>
  <c r="BV169" i="42385"/>
  <c r="AQ615" i="42385"/>
  <c r="AQ616" i="42385" s="1"/>
  <c r="AQ392" i="42385"/>
  <c r="AQ393" i="42385" s="1"/>
  <c r="BZ169" i="42385"/>
  <c r="DA169" i="42385"/>
  <c r="AO180" i="42385"/>
  <c r="AI193" i="42385" l="1"/>
  <c r="AJ191" i="42385"/>
  <c r="BG630" i="42385"/>
  <c r="BG280" i="42385"/>
  <c r="BG629" i="42385"/>
  <c r="BJ628" i="42385"/>
  <c r="BK625" i="42385"/>
  <c r="CX625" i="42385"/>
  <c r="AR1339" i="42385"/>
  <c r="AS1332" i="42385"/>
  <c r="AS1333" i="42385" s="1"/>
  <c r="AP211" i="42385"/>
  <c r="AP209" i="42385"/>
  <c r="B24" i="42408"/>
  <c r="G24" i="42408" s="1"/>
  <c r="BD314" i="42385"/>
  <c r="BD317" i="42385" s="1"/>
  <c r="CF842" i="42385"/>
  <c r="CF1532" i="42385"/>
  <c r="BI280" i="42385"/>
  <c r="BI288" i="42385" s="1"/>
  <c r="BI290" i="42385" s="1"/>
  <c r="BI629" i="42385"/>
  <c r="BI630" i="42385"/>
  <c r="AQ1565" i="42385"/>
  <c r="C35" i="42476"/>
  <c r="C36" i="42476" s="1"/>
  <c r="AQ1346" i="42385"/>
  <c r="AQ1366" i="42385" s="1"/>
  <c r="CC1529" i="42385"/>
  <c r="CC904" i="42385"/>
  <c r="CD903" i="42385"/>
  <c r="CW280" i="42385"/>
  <c r="BJ624" i="42385"/>
  <c r="CX624" i="42385" s="1"/>
  <c r="CE721" i="42385"/>
  <c r="CE1536" i="42385"/>
  <c r="CF720" i="42385"/>
  <c r="CE385" i="42385"/>
  <c r="CF384" i="42385"/>
  <c r="CE1541" i="42385"/>
  <c r="BE288" i="42385"/>
  <c r="BD318" i="42385"/>
  <c r="AP1004" i="42385"/>
  <c r="BT347" i="42385"/>
  <c r="CZ347" i="42385" s="1"/>
  <c r="CF357" i="42385"/>
  <c r="CF1528" i="42385"/>
  <c r="BR352" i="42385"/>
  <c r="BT350" i="42385"/>
  <c r="CZ350" i="42385" s="1"/>
  <c r="BS353" i="42385"/>
  <c r="BS265" i="42385"/>
  <c r="BS355" i="42385"/>
  <c r="BS354" i="42385"/>
  <c r="BU348" i="42385"/>
  <c r="CZ348" i="42385"/>
  <c r="BD316" i="42385"/>
  <c r="BT480" i="42385"/>
  <c r="BS1140" i="42385"/>
  <c r="BW1499" i="42385"/>
  <c r="BY1499" i="42385" s="1"/>
  <c r="DA1499" i="42385" s="1"/>
  <c r="BY1525" i="42385"/>
  <c r="DA1525" i="42385" s="1"/>
  <c r="CD872" i="42385"/>
  <c r="CC873" i="42385"/>
  <c r="CC1535" i="42385"/>
  <c r="BZ1523" i="42385"/>
  <c r="DA1523" i="42385"/>
  <c r="DC378" i="42385"/>
  <c r="CA380" i="42385"/>
  <c r="DB223" i="42385"/>
  <c r="DB483" i="42385"/>
  <c r="DB487" i="42385"/>
  <c r="CC1530" i="42385"/>
  <c r="CD416" i="42385"/>
  <c r="CC417" i="42385"/>
  <c r="DC484" i="42385"/>
  <c r="CB484" i="42385"/>
  <c r="CC484" i="42385" s="1"/>
  <c r="CD484" i="42385" s="1"/>
  <c r="CE484" i="42385" s="1"/>
  <c r="CF484" i="42385" s="1"/>
  <c r="CX376" i="42385"/>
  <c r="BJ377" i="42385"/>
  <c r="BI380" i="42385"/>
  <c r="BJ378" i="42385"/>
  <c r="CX378" i="42385" s="1"/>
  <c r="CU1627" i="42385"/>
  <c r="AU1628" i="42385"/>
  <c r="CU1628" i="42385" s="1"/>
  <c r="CF479" i="42385"/>
  <c r="CF1139" i="42385" s="1"/>
  <c r="CE1139" i="42385"/>
  <c r="CV1332" i="42385"/>
  <c r="AZ1333" i="42385"/>
  <c r="CT363" i="42385"/>
  <c r="AP364" i="42385"/>
  <c r="BH318" i="42385"/>
  <c r="BH275" i="42385"/>
  <c r="BH277" i="42385" s="1"/>
  <c r="BH314" i="42385" s="1"/>
  <c r="BJ407" i="42385"/>
  <c r="CX407" i="42385" s="1"/>
  <c r="AU1656" i="42385"/>
  <c r="AU121" i="42385"/>
  <c r="CU121" i="42385" s="1"/>
  <c r="G48" i="42476"/>
  <c r="G50" i="42476" s="1"/>
  <c r="CU120" i="42385"/>
  <c r="CF1540" i="42385"/>
  <c r="CF778" i="42385"/>
  <c r="BF318" i="42385"/>
  <c r="BF275" i="42385"/>
  <c r="BF277" i="42385" s="1"/>
  <c r="BF314" i="42385" s="1"/>
  <c r="BK408" i="42385"/>
  <c r="CX408" i="42385"/>
  <c r="AV1339" i="42385"/>
  <c r="AW1332" i="42385"/>
  <c r="AW1333" i="42385" s="1"/>
  <c r="CF1533" i="42385"/>
  <c r="CF935" i="42385"/>
  <c r="DC810" i="42385"/>
  <c r="CA1531" i="42385"/>
  <c r="DC1531" i="42385" s="1"/>
  <c r="CA811" i="42385"/>
  <c r="DC811" i="42385" s="1"/>
  <c r="CB810" i="42385"/>
  <c r="BI412" i="42385"/>
  <c r="BJ410" i="42385"/>
  <c r="CX410" i="42385" s="1"/>
  <c r="CT1004" i="42385"/>
  <c r="AP1005" i="42385"/>
  <c r="CT1005" i="42385" s="1"/>
  <c r="AQ817" i="42385"/>
  <c r="AQ818" i="42385" s="1"/>
  <c r="AQ819" i="42385" s="1"/>
  <c r="AR1081" i="42385"/>
  <c r="AR1084" i="42385" s="1"/>
  <c r="AR1085" i="42385" s="1"/>
  <c r="AR1086" i="42385" s="1"/>
  <c r="AR938" i="42385"/>
  <c r="AR941" i="42385" s="1"/>
  <c r="AR942" i="42385" s="1"/>
  <c r="AR943" i="42385" s="1"/>
  <c r="AR969" i="42385"/>
  <c r="AR972" i="42385" s="1"/>
  <c r="AR973" i="42385" s="1"/>
  <c r="AR974" i="42385" s="1"/>
  <c r="AR360" i="42385"/>
  <c r="AR363" i="42385" s="1"/>
  <c r="AR364" i="42385" s="1"/>
  <c r="AR365" i="42385" s="1"/>
  <c r="AR814" i="42385"/>
  <c r="AR817" i="42385" s="1"/>
  <c r="AR818" i="42385" s="1"/>
  <c r="AR819" i="42385" s="1"/>
  <c r="AR611" i="42385"/>
  <c r="AR614" i="42385" s="1"/>
  <c r="AR615" i="42385" s="1"/>
  <c r="AR616" i="42385" s="1"/>
  <c r="AR581" i="42385"/>
  <c r="AR585" i="42385" s="1"/>
  <c r="AR586" i="42385" s="1"/>
  <c r="AR845" i="42385"/>
  <c r="AR848" i="42385" s="1"/>
  <c r="AR849" i="42385" s="1"/>
  <c r="AR850" i="42385" s="1"/>
  <c r="AR783" i="42385"/>
  <c r="AR478" i="42385"/>
  <c r="AR481" i="42385" s="1"/>
  <c r="AR907" i="42385"/>
  <c r="AR910" i="42385" s="1"/>
  <c r="AR911" i="42385" s="1"/>
  <c r="AR912" i="42385" s="1"/>
  <c r="AR876" i="42385"/>
  <c r="AS320" i="42385"/>
  <c r="AR449" i="42385"/>
  <c r="AR452" i="42385" s="1"/>
  <c r="AR743" i="42385"/>
  <c r="AR746" i="42385" s="1"/>
  <c r="AR326" i="42385"/>
  <c r="AR705" i="42385"/>
  <c r="AR1146" i="42385"/>
  <c r="AR1149" i="42385" s="1"/>
  <c r="AR1150" i="42385" s="1"/>
  <c r="AR1000" i="42385"/>
  <c r="AR1003" i="42385" s="1"/>
  <c r="AR1004" i="42385" s="1"/>
  <c r="AR1005" i="42385" s="1"/>
  <c r="AR388" i="42385"/>
  <c r="AR391" i="42385" s="1"/>
  <c r="AR392" i="42385" s="1"/>
  <c r="AR393" i="42385" s="1"/>
  <c r="AR762" i="42385"/>
  <c r="AR1138" i="42385"/>
  <c r="AR1141" i="42385" s="1"/>
  <c r="CT910" i="42385"/>
  <c r="AP911" i="42385"/>
  <c r="CT848" i="42385"/>
  <c r="AP849" i="42385"/>
  <c r="CT614" i="42385"/>
  <c r="AP615" i="42385"/>
  <c r="AV360" i="42385"/>
  <c r="AV581" i="42385"/>
  <c r="AV585" i="42385" s="1"/>
  <c r="AV611" i="42385"/>
  <c r="AV938" i="42385"/>
  <c r="AV907" i="42385"/>
  <c r="AV705" i="42385"/>
  <c r="AV388" i="42385"/>
  <c r="AV783" i="42385"/>
  <c r="AV814" i="42385"/>
  <c r="AV449" i="42385"/>
  <c r="AV1081" i="42385"/>
  <c r="AV1000" i="42385"/>
  <c r="AV845" i="42385"/>
  <c r="AV969" i="42385"/>
  <c r="AV972" i="42385" s="1"/>
  <c r="AV973" i="42385" s="1"/>
  <c r="AV974" i="42385" s="1"/>
  <c r="AV420" i="42385"/>
  <c r="AV743" i="42385"/>
  <c r="AV326" i="42385"/>
  <c r="AV762" i="42385"/>
  <c r="AW320" i="42385"/>
  <c r="AV1138" i="42385"/>
  <c r="AV1146" i="42385"/>
  <c r="AV1149" i="42385" s="1"/>
  <c r="AV1150" i="42385" s="1"/>
  <c r="AV876" i="42385"/>
  <c r="AV478" i="42385"/>
  <c r="AQ786" i="42385"/>
  <c r="AQ787" i="42385" s="1"/>
  <c r="AQ788" i="42385" s="1"/>
  <c r="AR786" i="42385"/>
  <c r="AR787" i="42385" s="1"/>
  <c r="AR788" i="42385" s="1"/>
  <c r="AZ449" i="42385"/>
  <c r="CV449" i="42385" s="1"/>
  <c r="AZ969" i="42385"/>
  <c r="AZ1146" i="42385"/>
  <c r="BA320" i="42385"/>
  <c r="CV320" i="42385"/>
  <c r="AZ420" i="42385"/>
  <c r="CV420" i="42385" s="1"/>
  <c r="BE320" i="42385"/>
  <c r="AP1085" i="42385"/>
  <c r="CT1084" i="42385"/>
  <c r="AP330" i="42385"/>
  <c r="CT329" i="42385"/>
  <c r="CT391" i="42385"/>
  <c r="AP392" i="42385"/>
  <c r="CT942" i="42385"/>
  <c r="AP943" i="42385"/>
  <c r="CT943" i="42385" s="1"/>
  <c r="AP880" i="42385"/>
  <c r="CT879" i="42385"/>
  <c r="CT817" i="42385"/>
  <c r="AP818" i="42385"/>
  <c r="CT786" i="42385"/>
  <c r="AP787" i="42385"/>
  <c r="AR584" i="42385"/>
  <c r="AQ585" i="42385"/>
  <c r="AQ586" i="42385" s="1"/>
  <c r="BL1476" i="42385"/>
  <c r="BK1501" i="42385"/>
  <c r="CX1476" i="42385"/>
  <c r="BJ1503" i="42385"/>
  <c r="BL1432" i="42385"/>
  <c r="BL1477" i="42385" s="1"/>
  <c r="BN1437" i="42385"/>
  <c r="BM1439" i="42385"/>
  <c r="BM1431" i="42385" s="1"/>
  <c r="CE1121" i="42385"/>
  <c r="CD1124" i="42385"/>
  <c r="CD1552" i="42385" s="1"/>
  <c r="CF1106" i="42385"/>
  <c r="CF1107" i="42385" s="1"/>
  <c r="CE1107" i="42385"/>
  <c r="CC707" i="42385"/>
  <c r="AR453" i="42385"/>
  <c r="BS169" i="42385"/>
  <c r="BW169" i="42385"/>
  <c r="CA169" i="42385"/>
  <c r="DB169" i="42385"/>
  <c r="AP180" i="42385"/>
  <c r="CD256" i="42385"/>
  <c r="CD13" i="42385" s="1"/>
  <c r="CD1108" i="42385"/>
  <c r="CD409" i="42385"/>
  <c r="AK191" i="42385" l="1"/>
  <c r="AJ193" i="42385"/>
  <c r="CE903" i="42385"/>
  <c r="CD1529" i="42385"/>
  <c r="CD904" i="42385"/>
  <c r="C40" i="42476"/>
  <c r="C38" i="42476"/>
  <c r="D35" i="42476"/>
  <c r="D36" i="42476" s="1"/>
  <c r="AR1346" i="42385"/>
  <c r="AR1366" i="42385" s="1"/>
  <c r="AR1565" i="42385"/>
  <c r="CW288" i="42385"/>
  <c r="BE318" i="42385"/>
  <c r="CF721" i="42385"/>
  <c r="CF1536" i="42385"/>
  <c r="AQ1661" i="42385"/>
  <c r="AQ1567" i="42385"/>
  <c r="AQ1631" i="42385" s="1"/>
  <c r="CT260" i="42417" s="1"/>
  <c r="AQ1632" i="42385"/>
  <c r="CT259" i="42417"/>
  <c r="BG288" i="42385"/>
  <c r="BG318" i="42385" s="1"/>
  <c r="BJ280" i="42385"/>
  <c r="BE290" i="42385"/>
  <c r="BE314" i="42385" s="1"/>
  <c r="BK624" i="42385"/>
  <c r="BK626" i="42385" s="1"/>
  <c r="BK628" i="42385" s="1"/>
  <c r="BL625" i="42385"/>
  <c r="CF385" i="42385"/>
  <c r="CF1541" i="42385"/>
  <c r="AQ201" i="42385"/>
  <c r="AQ1426" i="42385"/>
  <c r="BD1647" i="42385"/>
  <c r="BD315" i="42385"/>
  <c r="AT1332" i="42385"/>
  <c r="AT1333" i="42385" s="1"/>
  <c r="AT1339" i="42385" s="1"/>
  <c r="AS1339" i="42385"/>
  <c r="CX628" i="42385"/>
  <c r="BJ630" i="42385"/>
  <c r="CX630" i="42385" s="1"/>
  <c r="BJ629" i="42385"/>
  <c r="CX629" i="42385" s="1"/>
  <c r="BR353" i="42385"/>
  <c r="BR354" i="42385"/>
  <c r="BR265" i="42385"/>
  <c r="BT265" i="42385" s="1"/>
  <c r="BR355" i="42385"/>
  <c r="BT352" i="42385"/>
  <c r="BV348" i="42385"/>
  <c r="BU347" i="42385"/>
  <c r="BU480" i="42385"/>
  <c r="CZ480" i="42385"/>
  <c r="BT1140" i="42385"/>
  <c r="CZ1140" i="42385" s="1"/>
  <c r="BZ1525" i="42385"/>
  <c r="CA1523" i="42385"/>
  <c r="DB1523" i="42385"/>
  <c r="CE872" i="42385"/>
  <c r="CD1535" i="42385"/>
  <c r="CD873" i="42385"/>
  <c r="BI381" i="42385"/>
  <c r="BI382" i="42385"/>
  <c r="BI383" i="42385"/>
  <c r="BI266" i="42385"/>
  <c r="BJ266" i="42385" s="1"/>
  <c r="CX266" i="42385" s="1"/>
  <c r="BJ380" i="42385"/>
  <c r="DB491" i="42385"/>
  <c r="DB489" i="42385"/>
  <c r="BZ270" i="42385"/>
  <c r="DB490" i="42385"/>
  <c r="CX377" i="42385"/>
  <c r="BK377" i="42385"/>
  <c r="CF377" i="42385"/>
  <c r="CF376" i="42385" s="1"/>
  <c r="CF378" i="42385" s="1"/>
  <c r="CF380" i="42385" s="1"/>
  <c r="DC380" i="42385"/>
  <c r="CA381" i="42385"/>
  <c r="DC381" i="42385" s="1"/>
  <c r="CA266" i="42385"/>
  <c r="DC266" i="42385" s="1"/>
  <c r="CA383" i="42385"/>
  <c r="DC383" i="42385" s="1"/>
  <c r="CA382" i="42385"/>
  <c r="DC382" i="42385" s="1"/>
  <c r="CB383" i="42385"/>
  <c r="AV586" i="42385"/>
  <c r="CD417" i="42385"/>
  <c r="CD1530" i="42385"/>
  <c r="CE416" i="42385"/>
  <c r="DC487" i="42385"/>
  <c r="CB483" i="42385"/>
  <c r="DC483" i="42385"/>
  <c r="DC223" i="42385"/>
  <c r="BH315" i="42385"/>
  <c r="BH317" i="42385"/>
  <c r="BH316" i="42385"/>
  <c r="BH1647" i="42385"/>
  <c r="AV1346" i="42385"/>
  <c r="AV1366" i="42385" s="1"/>
  <c r="AV1426" i="42385" s="1"/>
  <c r="H35" i="42476"/>
  <c r="H36" i="42476" s="1"/>
  <c r="AV1565" i="42385"/>
  <c r="BI415" i="42385"/>
  <c r="BI267" i="42385"/>
  <c r="BI413" i="42385"/>
  <c r="BI414" i="42385"/>
  <c r="BJ412" i="42385"/>
  <c r="CC810" i="42385"/>
  <c r="CB1531" i="42385"/>
  <c r="CB1556" i="42385" s="1"/>
  <c r="CB811" i="42385"/>
  <c r="BL408" i="42385"/>
  <c r="BK407" i="42385"/>
  <c r="AW1339" i="42385"/>
  <c r="AX1332" i="42385"/>
  <c r="AX1333" i="42385" s="1"/>
  <c r="BF317" i="42385"/>
  <c r="BF1647" i="42385"/>
  <c r="BF315" i="42385"/>
  <c r="BF316" i="42385"/>
  <c r="AP365" i="42385"/>
  <c r="CT365" i="42385" s="1"/>
  <c r="CT364" i="42385"/>
  <c r="BE1332" i="42385"/>
  <c r="CV1333" i="42385"/>
  <c r="BA1332" i="42385"/>
  <c r="BA1333" i="42385" s="1"/>
  <c r="CW320" i="42385"/>
  <c r="BE449" i="42385"/>
  <c r="CW449" i="42385" s="1"/>
  <c r="BE420" i="42385"/>
  <c r="CW420" i="42385" s="1"/>
  <c r="BE969" i="42385"/>
  <c r="BJ320" i="42385"/>
  <c r="BE1146" i="42385"/>
  <c r="AZ1149" i="42385"/>
  <c r="CV1146" i="42385"/>
  <c r="CT615" i="42385"/>
  <c r="AP616" i="42385"/>
  <c r="CT616" i="42385" s="1"/>
  <c r="AP912" i="42385"/>
  <c r="CT912" i="42385" s="1"/>
  <c r="CT911" i="42385"/>
  <c r="AR329" i="42385"/>
  <c r="AR330" i="42385" s="1"/>
  <c r="AR331" i="42385" s="1"/>
  <c r="AR879" i="42385"/>
  <c r="AR880" i="42385" s="1"/>
  <c r="AR881" i="42385" s="1"/>
  <c r="BM1432" i="42385"/>
  <c r="BM1477" i="42385" s="1"/>
  <c r="CT787" i="42385"/>
  <c r="AP788" i="42385"/>
  <c r="CT788" i="42385" s="1"/>
  <c r="CT330" i="42385"/>
  <c r="AP331" i="42385"/>
  <c r="CT331" i="42385" s="1"/>
  <c r="CV969" i="42385"/>
  <c r="AZ972" i="42385"/>
  <c r="AW762" i="42385"/>
  <c r="AW765" i="42385" s="1"/>
  <c r="AW449" i="42385"/>
  <c r="AW938" i="42385"/>
  <c r="AW941" i="42385" s="1"/>
  <c r="AW942" i="42385" s="1"/>
  <c r="AW943" i="42385" s="1"/>
  <c r="AW1146" i="42385"/>
  <c r="AW1149" i="42385" s="1"/>
  <c r="AW1150" i="42385" s="1"/>
  <c r="AW611" i="42385"/>
  <c r="AW614" i="42385" s="1"/>
  <c r="AW615" i="42385" s="1"/>
  <c r="AW616" i="42385" s="1"/>
  <c r="AW1000" i="42385"/>
  <c r="AW1003" i="42385" s="1"/>
  <c r="AW1004" i="42385" s="1"/>
  <c r="AW1005" i="42385" s="1"/>
  <c r="AW1081" i="42385"/>
  <c r="AW1084" i="42385" s="1"/>
  <c r="AW1085" i="42385" s="1"/>
  <c r="AW1086" i="42385" s="1"/>
  <c r="AW326" i="42385"/>
  <c r="AW329" i="42385" s="1"/>
  <c r="AW330" i="42385" s="1"/>
  <c r="AW845" i="42385"/>
  <c r="AW478" i="42385"/>
  <c r="AW420" i="42385"/>
  <c r="AW423" i="42385" s="1"/>
  <c r="AW424" i="42385" s="1"/>
  <c r="AW1138" i="42385"/>
  <c r="AW1141" i="42385" s="1"/>
  <c r="AW783" i="42385"/>
  <c r="AW786" i="42385" s="1"/>
  <c r="AW787" i="42385" s="1"/>
  <c r="AW788" i="42385" s="1"/>
  <c r="AW388" i="42385"/>
  <c r="AW391" i="42385" s="1"/>
  <c r="AW392" i="42385" s="1"/>
  <c r="AW393" i="42385" s="1"/>
  <c r="AX320" i="42385"/>
  <c r="AW907" i="42385"/>
  <c r="AW581" i="42385"/>
  <c r="AW814" i="42385"/>
  <c r="AW817" i="42385" s="1"/>
  <c r="AW818" i="42385" s="1"/>
  <c r="AW819" i="42385" s="1"/>
  <c r="AW743" i="42385"/>
  <c r="AW969" i="42385"/>
  <c r="AW972" i="42385" s="1"/>
  <c r="AW973" i="42385" s="1"/>
  <c r="AW974" i="42385" s="1"/>
  <c r="AW360" i="42385"/>
  <c r="AW876" i="42385"/>
  <c r="AW705" i="42385"/>
  <c r="CT392" i="42385"/>
  <c r="AP393" i="42385"/>
  <c r="CT393" i="42385" s="1"/>
  <c r="AV452" i="42385"/>
  <c r="AV453" i="42385" s="1"/>
  <c r="CT849" i="42385"/>
  <c r="AP850" i="42385"/>
  <c r="CT850" i="42385" s="1"/>
  <c r="BL1501" i="42385"/>
  <c r="AP819" i="42385"/>
  <c r="CT819" i="42385" s="1"/>
  <c r="CT818" i="42385"/>
  <c r="AP881" i="42385"/>
  <c r="CT881" i="42385" s="1"/>
  <c r="CT880" i="42385"/>
  <c r="AP1086" i="42385"/>
  <c r="CT1086" i="42385" s="1"/>
  <c r="CT1085" i="42385"/>
  <c r="BA388" i="42385"/>
  <c r="BA611" i="42385"/>
  <c r="BA1146" i="42385"/>
  <c r="BA1149" i="42385" s="1"/>
  <c r="BA1150" i="42385" s="1"/>
  <c r="BA1151" i="42385" s="1"/>
  <c r="BA969" i="42385"/>
  <c r="BA972" i="42385" s="1"/>
  <c r="BA973" i="42385" s="1"/>
  <c r="BA974" i="42385" s="1"/>
  <c r="BA1138" i="42385"/>
  <c r="BA762" i="42385"/>
  <c r="BB320" i="42385"/>
  <c r="BA326" i="42385"/>
  <c r="BA360" i="42385"/>
  <c r="BA907" i="42385"/>
  <c r="BA783" i="42385"/>
  <c r="BA814" i="42385"/>
  <c r="BA938" i="42385"/>
  <c r="BA420" i="42385"/>
  <c r="BA478" i="42385"/>
  <c r="BA449" i="42385"/>
  <c r="BA452" i="42385" s="1"/>
  <c r="BA453" i="42385" s="1"/>
  <c r="BA876" i="42385"/>
  <c r="BA743" i="42385"/>
  <c r="BA845" i="42385"/>
  <c r="BA705" i="42385"/>
  <c r="AW910" i="42385"/>
  <c r="AW911" i="42385" s="1"/>
  <c r="AW912" i="42385" s="1"/>
  <c r="AR765" i="42385"/>
  <c r="AR708" i="42385"/>
  <c r="AS876" i="42385"/>
  <c r="AS879" i="42385" s="1"/>
  <c r="AS880" i="42385" s="1"/>
  <c r="AS881" i="42385" s="1"/>
  <c r="AS938" i="42385"/>
  <c r="AS845" i="42385"/>
  <c r="AS848" i="42385" s="1"/>
  <c r="AS849" i="42385" s="1"/>
  <c r="AS850" i="42385" s="1"/>
  <c r="AS783" i="42385"/>
  <c r="AS786" i="42385" s="1"/>
  <c r="AS787" i="42385" s="1"/>
  <c r="AS788" i="42385" s="1"/>
  <c r="AS581" i="42385"/>
  <c r="AS762" i="42385"/>
  <c r="AS765" i="42385" s="1"/>
  <c r="AS326" i="42385"/>
  <c r="AS329" i="42385" s="1"/>
  <c r="AS330" i="42385" s="1"/>
  <c r="AS331" i="42385" s="1"/>
  <c r="AS449" i="42385"/>
  <c r="AS1081" i="42385"/>
  <c r="AT320" i="42385"/>
  <c r="AS705" i="42385"/>
  <c r="AS708" i="42385" s="1"/>
  <c r="AS907" i="42385"/>
  <c r="AS910" i="42385" s="1"/>
  <c r="AS911" i="42385" s="1"/>
  <c r="AS912" i="42385" s="1"/>
  <c r="AS360" i="42385"/>
  <c r="AS363" i="42385" s="1"/>
  <c r="AS364" i="42385" s="1"/>
  <c r="AS365" i="42385" s="1"/>
  <c r="AS1146" i="42385"/>
  <c r="AS1149" i="42385" s="1"/>
  <c r="AS1150" i="42385" s="1"/>
  <c r="AS814" i="42385"/>
  <c r="AS817" i="42385" s="1"/>
  <c r="AS818" i="42385" s="1"/>
  <c r="AS819" i="42385" s="1"/>
  <c r="AS1000" i="42385"/>
  <c r="AS1003" i="42385" s="1"/>
  <c r="AS1004" i="42385" s="1"/>
  <c r="AS1005" i="42385" s="1"/>
  <c r="AS969" i="42385"/>
  <c r="AS972" i="42385" s="1"/>
  <c r="AS973" i="42385" s="1"/>
  <c r="AS974" i="42385" s="1"/>
  <c r="AS478" i="42385"/>
  <c r="AS481" i="42385" s="1"/>
  <c r="AS611" i="42385"/>
  <c r="AS614" i="42385" s="1"/>
  <c r="AS615" i="42385" s="1"/>
  <c r="AS616" i="42385" s="1"/>
  <c r="AS743" i="42385"/>
  <c r="AS388" i="42385"/>
  <c r="AS391" i="42385" s="1"/>
  <c r="AS1138" i="42385"/>
  <c r="AS1141" i="42385" s="1"/>
  <c r="BL1434" i="42385"/>
  <c r="CF1121" i="42385"/>
  <c r="CF1124" i="42385" s="1"/>
  <c r="CF1552" i="42385" s="1"/>
  <c r="CE1124" i="42385"/>
  <c r="CE1552" i="42385" s="1"/>
  <c r="BM1476" i="42385"/>
  <c r="BO1437" i="42385"/>
  <c r="BN1439" i="42385"/>
  <c r="BN1432" i="42385" s="1"/>
  <c r="BJ1504" i="42385"/>
  <c r="CX1504" i="42385" s="1"/>
  <c r="CX1503" i="42385"/>
  <c r="CE256" i="42385"/>
  <c r="CE13" i="42385" s="1"/>
  <c r="CE1108" i="42385"/>
  <c r="DC169" i="42385"/>
  <c r="CB169" i="42385"/>
  <c r="AS392" i="42385"/>
  <c r="AS393" i="42385" s="1"/>
  <c r="CD707" i="42385"/>
  <c r="CF256" i="42385"/>
  <c r="CF13" i="42385" s="1"/>
  <c r="CF1108" i="42385"/>
  <c r="AQ180" i="42385"/>
  <c r="CT180" i="42385"/>
  <c r="AU180" i="42385"/>
  <c r="CE409" i="42385"/>
  <c r="BA454" i="42385"/>
  <c r="BX169" i="42385"/>
  <c r="CS191" i="42385" l="1"/>
  <c r="AK193" i="42385"/>
  <c r="CS193" i="42385" s="1"/>
  <c r="AL191" i="42385"/>
  <c r="BE317" i="42385"/>
  <c r="CW314" i="42385"/>
  <c r="BE316" i="42385"/>
  <c r="CW316" i="42385" s="1"/>
  <c r="BE1647" i="42385"/>
  <c r="CW1647" i="42385" s="1"/>
  <c r="BE315" i="42385"/>
  <c r="CW315" i="42385" s="1"/>
  <c r="CU259" i="42417"/>
  <c r="AR1567" i="42385"/>
  <c r="AR1631" i="42385" s="1"/>
  <c r="CU260" i="42417" s="1"/>
  <c r="AR1632" i="42385"/>
  <c r="AR1661" i="42385"/>
  <c r="AR201" i="42385"/>
  <c r="AR1426" i="42385"/>
  <c r="AD143" i="42470"/>
  <c r="AS1565" i="42385"/>
  <c r="E35" i="42476"/>
  <c r="E36" i="42476" s="1"/>
  <c r="AS1346" i="42385"/>
  <c r="AS1366" i="42385" s="1"/>
  <c r="BL624" i="42385"/>
  <c r="BM625" i="42385"/>
  <c r="CX280" i="42385"/>
  <c r="D38" i="42476"/>
  <c r="D40" i="42476"/>
  <c r="F35" i="42476"/>
  <c r="F36" i="42476" s="1"/>
  <c r="AT1346" i="42385"/>
  <c r="AT1366" i="42385" s="1"/>
  <c r="AT1426" i="42385" s="1"/>
  <c r="AT1565" i="42385"/>
  <c r="AU1339" i="42385"/>
  <c r="AQ206" i="42385"/>
  <c r="AQ212" i="42385"/>
  <c r="AQ207" i="42385"/>
  <c r="BK280" i="42385"/>
  <c r="BK288" i="42385" s="1"/>
  <c r="BK630" i="42385"/>
  <c r="BK629" i="42385"/>
  <c r="BG290" i="42385"/>
  <c r="BG314" i="42385" s="1"/>
  <c r="BJ288" i="42385"/>
  <c r="CX288" i="42385" s="1"/>
  <c r="CF903" i="42385"/>
  <c r="CE904" i="42385"/>
  <c r="CE1529" i="42385"/>
  <c r="BM1434" i="42385"/>
  <c r="BM1501" i="42385"/>
  <c r="BU350" i="42385"/>
  <c r="BV347" i="42385"/>
  <c r="BV350" i="42385" s="1"/>
  <c r="BV352" i="42385" s="1"/>
  <c r="BW348" i="42385"/>
  <c r="CZ265" i="42385"/>
  <c r="R83" i="42408"/>
  <c r="EA404" i="42464"/>
  <c r="EA406" i="42464" s="1"/>
  <c r="EA410" i="42464" s="1"/>
  <c r="EA412" i="42464" s="1"/>
  <c r="BT354" i="42385"/>
  <c r="CZ354" i="42385" s="1"/>
  <c r="BT353" i="42385"/>
  <c r="CZ353" i="42385" s="1"/>
  <c r="CZ352" i="42385"/>
  <c r="BT355" i="42385"/>
  <c r="CZ355" i="42385" s="1"/>
  <c r="BV480" i="42385"/>
  <c r="BU1140" i="42385"/>
  <c r="CF872" i="42385"/>
  <c r="CE1535" i="42385"/>
  <c r="CE873" i="42385"/>
  <c r="CB1523" i="42385"/>
  <c r="DC1523" i="42385"/>
  <c r="CA1525" i="42385"/>
  <c r="DB1525" i="42385"/>
  <c r="BZ1499" i="42385"/>
  <c r="DB1499" i="42385" s="1"/>
  <c r="BK290" i="42385"/>
  <c r="CA270" i="42385"/>
  <c r="DC270" i="42385" s="1"/>
  <c r="DC491" i="42385"/>
  <c r="DC490" i="42385"/>
  <c r="DC489" i="42385"/>
  <c r="CF381" i="42385"/>
  <c r="CF266" i="42385"/>
  <c r="CF382" i="42385"/>
  <c r="CF383" i="42385"/>
  <c r="DB270" i="42385"/>
  <c r="C24" i="42408"/>
  <c r="H24" i="42408" s="1"/>
  <c r="BL377" i="42385"/>
  <c r="BK376" i="42385"/>
  <c r="CE1530" i="42385"/>
  <c r="CE417" i="42385"/>
  <c r="CF416" i="42385"/>
  <c r="CB489" i="42385"/>
  <c r="CB487" i="42385"/>
  <c r="CB223" i="42385"/>
  <c r="CC483" i="42385"/>
  <c r="BJ382" i="42385"/>
  <c r="CX382" i="42385" s="1"/>
  <c r="BJ383" i="42385"/>
  <c r="CX383" i="42385" s="1"/>
  <c r="CX380" i="42385"/>
  <c r="BJ381" i="42385"/>
  <c r="CX381" i="42385" s="1"/>
  <c r="AX1339" i="42385"/>
  <c r="AY1332" i="42385"/>
  <c r="AY1333" i="42385" s="1"/>
  <c r="AY1339" i="42385" s="1"/>
  <c r="CB63" i="42385"/>
  <c r="CB107" i="42385"/>
  <c r="CB1280" i="42385"/>
  <c r="AV1661" i="42385"/>
  <c r="AV1632" i="42385"/>
  <c r="AV1567" i="42385"/>
  <c r="AV1631" i="42385" s="1"/>
  <c r="CW1332" i="42385"/>
  <c r="BE1333" i="42385"/>
  <c r="AW1346" i="42385"/>
  <c r="AW1366" i="42385" s="1"/>
  <c r="I35" i="42476"/>
  <c r="I36" i="42476" s="1"/>
  <c r="AW1565" i="42385"/>
  <c r="BK410" i="42385"/>
  <c r="CC811" i="42385"/>
  <c r="CC1531" i="42385"/>
  <c r="CC1556" i="42385" s="1"/>
  <c r="CD810" i="42385"/>
  <c r="H38" i="42476"/>
  <c r="H40" i="42476"/>
  <c r="BL407" i="42385"/>
  <c r="BL410" i="42385" s="1"/>
  <c r="BL412" i="42385" s="1"/>
  <c r="BM408" i="42385"/>
  <c r="BI275" i="42385"/>
  <c r="BJ275" i="42385" s="1"/>
  <c r="CX275" i="42385" s="1"/>
  <c r="BI318" i="42385"/>
  <c r="BJ267" i="42385"/>
  <c r="BA1339" i="42385"/>
  <c r="BB1332" i="42385"/>
  <c r="BB1333" i="42385" s="1"/>
  <c r="BJ413" i="42385"/>
  <c r="CX413" i="42385" s="1"/>
  <c r="BJ414" i="42385"/>
  <c r="CX414" i="42385" s="1"/>
  <c r="CX412" i="42385"/>
  <c r="BJ415" i="42385"/>
  <c r="CX415" i="42385" s="1"/>
  <c r="CV1149" i="42385"/>
  <c r="AZ1150" i="42385"/>
  <c r="CV1150" i="42385" s="1"/>
  <c r="AW708" i="42385"/>
  <c r="AW746" i="42385"/>
  <c r="AX969" i="42385"/>
  <c r="AX972" i="42385" s="1"/>
  <c r="AX973" i="42385" s="1"/>
  <c r="AX974" i="42385" s="1"/>
  <c r="AX326" i="42385"/>
  <c r="AX329" i="42385" s="1"/>
  <c r="AX330" i="42385" s="1"/>
  <c r="AX331" i="42385" s="1"/>
  <c r="AX938" i="42385"/>
  <c r="AX941" i="42385" s="1"/>
  <c r="AX942" i="42385" s="1"/>
  <c r="AX762" i="42385"/>
  <c r="AX765" i="42385" s="1"/>
  <c r="AX783" i="42385"/>
  <c r="AX786" i="42385" s="1"/>
  <c r="AX787" i="42385" s="1"/>
  <c r="AX788" i="42385" s="1"/>
  <c r="AX1138" i="42385"/>
  <c r="AX1141" i="42385" s="1"/>
  <c r="AX360" i="42385"/>
  <c r="AX363" i="42385" s="1"/>
  <c r="AX364" i="42385" s="1"/>
  <c r="AX365" i="42385" s="1"/>
  <c r="AY320" i="42385"/>
  <c r="AX420" i="42385"/>
  <c r="AX743" i="42385"/>
  <c r="AX746" i="42385" s="1"/>
  <c r="AX705" i="42385"/>
  <c r="AX708" i="42385" s="1"/>
  <c r="AX611" i="42385"/>
  <c r="AX614" i="42385" s="1"/>
  <c r="AX615" i="42385" s="1"/>
  <c r="AX616" i="42385" s="1"/>
  <c r="AX478" i="42385"/>
  <c r="AX481" i="42385" s="1"/>
  <c r="AX845" i="42385"/>
  <c r="AX848" i="42385" s="1"/>
  <c r="AX849" i="42385" s="1"/>
  <c r="AX850" i="42385" s="1"/>
  <c r="AX814" i="42385"/>
  <c r="AX817" i="42385" s="1"/>
  <c r="AX818" i="42385" s="1"/>
  <c r="AX819" i="42385" s="1"/>
  <c r="AX581" i="42385"/>
  <c r="AX907" i="42385"/>
  <c r="AX910" i="42385" s="1"/>
  <c r="AX911" i="42385" s="1"/>
  <c r="AX912" i="42385" s="1"/>
  <c r="AX876" i="42385"/>
  <c r="AX879" i="42385" s="1"/>
  <c r="AX880" i="42385" s="1"/>
  <c r="AX881" i="42385" s="1"/>
  <c r="AX449" i="42385"/>
  <c r="AX452" i="42385" s="1"/>
  <c r="AX1146" i="42385"/>
  <c r="AX1149" i="42385" s="1"/>
  <c r="AX1150" i="42385" s="1"/>
  <c r="AX1151" i="42385" s="1"/>
  <c r="AX388" i="42385"/>
  <c r="AX391" i="42385" s="1"/>
  <c r="AX392" i="42385" s="1"/>
  <c r="AX393" i="42385" s="1"/>
  <c r="AX1000" i="42385"/>
  <c r="AX1003" i="42385" s="1"/>
  <c r="AX1004" i="42385" s="1"/>
  <c r="AX1005" i="42385" s="1"/>
  <c r="CV972" i="42385"/>
  <c r="AZ973" i="42385"/>
  <c r="CV973" i="42385" s="1"/>
  <c r="BE972" i="42385"/>
  <c r="CW969" i="42385"/>
  <c r="AT360" i="42385"/>
  <c r="AT581" i="42385"/>
  <c r="AT1146" i="42385"/>
  <c r="AT1149" i="42385" s="1"/>
  <c r="AT1150" i="42385" s="1"/>
  <c r="AT969" i="42385"/>
  <c r="AT972" i="42385" s="1"/>
  <c r="AT1081" i="42385"/>
  <c r="AU1081" i="42385" s="1"/>
  <c r="AT420" i="42385"/>
  <c r="AT907" i="42385"/>
  <c r="AT762" i="42385"/>
  <c r="AU762" i="42385" s="1"/>
  <c r="AT1000" i="42385"/>
  <c r="AU1000" i="42385" s="1"/>
  <c r="AT705" i="42385"/>
  <c r="AT938" i="42385"/>
  <c r="AU938" i="42385" s="1"/>
  <c r="AT478" i="42385"/>
  <c r="AU478" i="42385" s="1"/>
  <c r="AT783" i="42385"/>
  <c r="AT814" i="42385"/>
  <c r="AT1138" i="42385"/>
  <c r="AU1138" i="42385" s="1"/>
  <c r="AT449" i="42385"/>
  <c r="AT452" i="42385" s="1"/>
  <c r="AT453" i="42385" s="1"/>
  <c r="AT326" i="42385"/>
  <c r="AT876" i="42385"/>
  <c r="AT611" i="42385"/>
  <c r="AT388" i="42385"/>
  <c r="AT845" i="42385"/>
  <c r="AT743" i="42385"/>
  <c r="AU743" i="42385" s="1"/>
  <c r="AT941" i="42385"/>
  <c r="AT942" i="42385" s="1"/>
  <c r="AT943" i="42385" s="1"/>
  <c r="AS941" i="42385"/>
  <c r="AW879" i="42385"/>
  <c r="AW880" i="42385" s="1"/>
  <c r="AW881" i="42385" s="1"/>
  <c r="AS1084" i="42385"/>
  <c r="AS585" i="42385"/>
  <c r="AS586" i="42385" s="1"/>
  <c r="AS584" i="42385"/>
  <c r="BB783" i="42385"/>
  <c r="BB786" i="42385" s="1"/>
  <c r="BB787" i="42385" s="1"/>
  <c r="BB788" i="42385" s="1"/>
  <c r="BB938" i="42385"/>
  <c r="BB814" i="42385"/>
  <c r="BB817" i="42385" s="1"/>
  <c r="BB818" i="42385" s="1"/>
  <c r="BB819" i="42385" s="1"/>
  <c r="BC320" i="42385"/>
  <c r="BB1138" i="42385"/>
  <c r="BB1141" i="42385" s="1"/>
  <c r="BB611" i="42385"/>
  <c r="BB614" i="42385" s="1"/>
  <c r="BB615" i="42385" s="1"/>
  <c r="BB616" i="42385" s="1"/>
  <c r="BB449" i="42385"/>
  <c r="BB452" i="42385" s="1"/>
  <c r="BB453" i="42385" s="1"/>
  <c r="BB907" i="42385"/>
  <c r="BB910" i="42385" s="1"/>
  <c r="BB911" i="42385" s="1"/>
  <c r="BB912" i="42385" s="1"/>
  <c r="BB1146" i="42385"/>
  <c r="BB1149" i="42385" s="1"/>
  <c r="BB1150" i="42385" s="1"/>
  <c r="BB1151" i="42385" s="1"/>
  <c r="BB360" i="42385"/>
  <c r="BB363" i="42385" s="1"/>
  <c r="BB364" i="42385" s="1"/>
  <c r="BB762" i="42385"/>
  <c r="BB765" i="42385" s="1"/>
  <c r="BB876" i="42385"/>
  <c r="BB879" i="42385" s="1"/>
  <c r="BB880" i="42385" s="1"/>
  <c r="BB881" i="42385" s="1"/>
  <c r="BB388" i="42385"/>
  <c r="BB391" i="42385" s="1"/>
  <c r="BB392" i="42385" s="1"/>
  <c r="BB393" i="42385" s="1"/>
  <c r="BB743" i="42385"/>
  <c r="BB746" i="42385" s="1"/>
  <c r="BB478" i="42385"/>
  <c r="BB481" i="42385" s="1"/>
  <c r="BB969" i="42385"/>
  <c r="BB972" i="42385" s="1"/>
  <c r="BB973" i="42385" s="1"/>
  <c r="BB974" i="42385" s="1"/>
  <c r="BB420" i="42385"/>
  <c r="BB423" i="42385" s="1"/>
  <c r="BB424" i="42385" s="1"/>
  <c r="BB425" i="42385" s="1"/>
  <c r="BB326" i="42385"/>
  <c r="BB329" i="42385" s="1"/>
  <c r="BB330" i="42385" s="1"/>
  <c r="BB331" i="42385" s="1"/>
  <c r="BB845" i="42385"/>
  <c r="BB848" i="42385" s="1"/>
  <c r="BB849" i="42385" s="1"/>
  <c r="BB705" i="42385"/>
  <c r="BB708" i="42385" s="1"/>
  <c r="AW363" i="42385"/>
  <c r="AW364" i="42385" s="1"/>
  <c r="AW365" i="42385" s="1"/>
  <c r="AW584" i="42385"/>
  <c r="AW585" i="42385"/>
  <c r="AW586" i="42385" s="1"/>
  <c r="AW848" i="42385"/>
  <c r="AW849" i="42385" s="1"/>
  <c r="AW850" i="42385" s="1"/>
  <c r="BE1149" i="42385"/>
  <c r="CW1146" i="42385"/>
  <c r="AS746" i="42385"/>
  <c r="AS452" i="42385"/>
  <c r="AW452" i="42385"/>
  <c r="AW453" i="42385" s="1"/>
  <c r="AW454" i="42385" s="1"/>
  <c r="AW331" i="42385"/>
  <c r="AW481" i="42385"/>
  <c r="BJ1146" i="42385"/>
  <c r="CX320" i="42385"/>
  <c r="BO320" i="42385"/>
  <c r="BJ449" i="42385"/>
  <c r="BJ420" i="42385"/>
  <c r="BJ969" i="42385"/>
  <c r="CX969" i="42385" s="1"/>
  <c r="BK320" i="42385"/>
  <c r="BN1477" i="42385"/>
  <c r="BO1477" i="42385" s="1"/>
  <c r="CY1477" i="42385" s="1"/>
  <c r="BO1432" i="42385"/>
  <c r="CY1432" i="42385" s="1"/>
  <c r="BO1439" i="42385"/>
  <c r="CY1439" i="42385" s="1"/>
  <c r="BN1431" i="42385"/>
  <c r="CY1437" i="42385"/>
  <c r="BP1437" i="42385"/>
  <c r="CF409" i="42385"/>
  <c r="AZ180" i="42385"/>
  <c r="CU180" i="42385"/>
  <c r="AV180" i="42385"/>
  <c r="AR180" i="42385"/>
  <c r="CE707" i="42385"/>
  <c r="CC169" i="42385"/>
  <c r="AM191" i="42385" l="1"/>
  <c r="AL193" i="42385"/>
  <c r="BJ290" i="42385"/>
  <c r="BG316" i="42385"/>
  <c r="BG1647" i="42385"/>
  <c r="BG315" i="42385"/>
  <c r="BG317" i="42385"/>
  <c r="CW259" i="42417"/>
  <c r="CX259" i="42417" s="1"/>
  <c r="AT1661" i="42385"/>
  <c r="AT1567" i="42385"/>
  <c r="AT1631" i="42385" s="1"/>
  <c r="CW260" i="42417" s="1"/>
  <c r="CX260" i="42417" s="1"/>
  <c r="AT1632" i="42385"/>
  <c r="BL626" i="42385"/>
  <c r="AS201" i="42385"/>
  <c r="AS1426" i="42385"/>
  <c r="AT201" i="42385"/>
  <c r="AT1141" i="42385"/>
  <c r="AU1141" i="42385" s="1"/>
  <c r="CU1141" i="42385" s="1"/>
  <c r="CF904" i="42385"/>
  <c r="CF1529" i="42385"/>
  <c r="AQ211" i="42385"/>
  <c r="AQ209" i="42385"/>
  <c r="F38" i="42476"/>
  <c r="F40" i="42476"/>
  <c r="E40" i="42476"/>
  <c r="E38" i="42476"/>
  <c r="AR207" i="42385"/>
  <c r="AR212" i="42385"/>
  <c r="AR206" i="42385"/>
  <c r="CU1339" i="42385"/>
  <c r="AU1565" i="42385"/>
  <c r="AU1346" i="42385"/>
  <c r="G35" i="42476"/>
  <c r="G36" i="42476" s="1"/>
  <c r="E22" i="42465"/>
  <c r="BM624" i="42385"/>
  <c r="BM626" i="42385" s="1"/>
  <c r="BM628" i="42385" s="1"/>
  <c r="BN625" i="42385"/>
  <c r="CV259" i="42417"/>
  <c r="AS1632" i="42385"/>
  <c r="AS1661" i="42385"/>
  <c r="AS1567" i="42385"/>
  <c r="AS1631" i="42385" s="1"/>
  <c r="CV260" i="42417" s="1"/>
  <c r="BX348" i="42385"/>
  <c r="BW347" i="42385"/>
  <c r="BV355" i="42385"/>
  <c r="BV353" i="42385"/>
  <c r="BV354" i="42385"/>
  <c r="BV265" i="42385"/>
  <c r="BU352" i="42385"/>
  <c r="AT746" i="42385"/>
  <c r="AU746" i="42385" s="1"/>
  <c r="CU746" i="42385" s="1"/>
  <c r="BV1140" i="42385"/>
  <c r="DC1525" i="42385"/>
  <c r="CA1499" i="42385"/>
  <c r="DC1499" i="42385" s="1"/>
  <c r="CC1523" i="42385"/>
  <c r="CB1525" i="42385"/>
  <c r="CB1499" i="42385" s="1"/>
  <c r="CF1535" i="42385"/>
  <c r="CF873" i="42385"/>
  <c r="BB454" i="42385"/>
  <c r="CB270" i="42385"/>
  <c r="CB491" i="42385"/>
  <c r="CB490" i="42385"/>
  <c r="BK378" i="42385"/>
  <c r="AT1084" i="42385"/>
  <c r="AT1085" i="42385" s="1"/>
  <c r="AT1086" i="42385" s="1"/>
  <c r="CC489" i="42385"/>
  <c r="CC223" i="42385"/>
  <c r="CC487" i="42385"/>
  <c r="CD483" i="42385"/>
  <c r="CF1530" i="42385"/>
  <c r="CF417" i="42385"/>
  <c r="BM377" i="42385"/>
  <c r="BL376" i="42385"/>
  <c r="BL378" i="42385" s="1"/>
  <c r="BL380" i="42385" s="1"/>
  <c r="BL413" i="42385"/>
  <c r="BL414" i="42385"/>
  <c r="BL267" i="42385"/>
  <c r="BL415" i="42385"/>
  <c r="CE810" i="42385"/>
  <c r="CD1531" i="42385"/>
  <c r="CD1556" i="42385" s="1"/>
  <c r="CD811" i="42385"/>
  <c r="BK412" i="42385"/>
  <c r="CW1333" i="42385"/>
  <c r="BJ1332" i="42385"/>
  <c r="BF1332" i="42385"/>
  <c r="BF1333" i="42385" s="1"/>
  <c r="BB1339" i="42385"/>
  <c r="BC1332" i="42385"/>
  <c r="BC1333" i="42385" s="1"/>
  <c r="BI277" i="42385"/>
  <c r="BI314" i="42385" s="1"/>
  <c r="CC1280" i="42385"/>
  <c r="CC63" i="42385"/>
  <c r="CC1557" i="42385"/>
  <c r="CC107" i="42385"/>
  <c r="AW1661" i="42385"/>
  <c r="AW1567" i="42385"/>
  <c r="AW1631" i="42385" s="1"/>
  <c r="AW1632" i="42385"/>
  <c r="AZ1339" i="42385"/>
  <c r="AY1565" i="42385"/>
  <c r="AY1346" i="42385"/>
  <c r="AY1366" i="42385" s="1"/>
  <c r="AY1426" i="42385" s="1"/>
  <c r="K35" i="42476"/>
  <c r="K36" i="42476" s="1"/>
  <c r="BB850" i="42385"/>
  <c r="BA1346" i="42385"/>
  <c r="BA1366" i="42385" s="1"/>
  <c r="M35" i="42476"/>
  <c r="M36" i="42476" s="1"/>
  <c r="M38" i="42476" s="1"/>
  <c r="BA1565" i="42385"/>
  <c r="I40" i="42476"/>
  <c r="I38" i="42476"/>
  <c r="J35" i="42476"/>
  <c r="J36" i="42476" s="1"/>
  <c r="AX1346" i="42385"/>
  <c r="AX1366" i="42385" s="1"/>
  <c r="AX1565" i="42385"/>
  <c r="AT765" i="42385"/>
  <c r="AU765" i="42385" s="1"/>
  <c r="CU765" i="42385" s="1"/>
  <c r="AT1003" i="42385"/>
  <c r="AU1003" i="42385" s="1"/>
  <c r="CX267" i="42385"/>
  <c r="BJ277" i="42385"/>
  <c r="BJ314" i="42385" s="1"/>
  <c r="BJ318" i="42385"/>
  <c r="BM407" i="42385"/>
  <c r="BM410" i="42385" s="1"/>
  <c r="BM412" i="42385" s="1"/>
  <c r="BN408" i="42385"/>
  <c r="BN407" i="42385" s="1"/>
  <c r="BN410" i="42385" s="1"/>
  <c r="BN412" i="42385" s="1"/>
  <c r="AW201" i="42385"/>
  <c r="AW1426" i="42385"/>
  <c r="AX453" i="42385"/>
  <c r="BC611" i="42385"/>
  <c r="BC614" i="42385" s="1"/>
  <c r="BC615" i="42385" s="1"/>
  <c r="BC616" i="42385" s="1"/>
  <c r="BC845" i="42385"/>
  <c r="BC848" i="42385" s="1"/>
  <c r="BC849" i="42385" s="1"/>
  <c r="BC850" i="42385" s="1"/>
  <c r="BC478" i="42385"/>
  <c r="BC969" i="42385"/>
  <c r="BC972" i="42385" s="1"/>
  <c r="BC973" i="42385" s="1"/>
  <c r="BC974" i="42385" s="1"/>
  <c r="BD320" i="42385"/>
  <c r="BC783" i="42385"/>
  <c r="BC786" i="42385" s="1"/>
  <c r="BC787" i="42385" s="1"/>
  <c r="BC788" i="42385" s="1"/>
  <c r="BC494" i="42385"/>
  <c r="BC497" i="42385" s="1"/>
  <c r="BC498" i="42385" s="1"/>
  <c r="BC326" i="42385"/>
  <c r="BC907" i="42385"/>
  <c r="BC910" i="42385" s="1"/>
  <c r="BC911" i="42385" s="1"/>
  <c r="BC912" i="42385" s="1"/>
  <c r="BC449" i="42385"/>
  <c r="BC705" i="42385"/>
  <c r="BC1146" i="42385"/>
  <c r="BC1149" i="42385" s="1"/>
  <c r="BC1150" i="42385" s="1"/>
  <c r="BC1151" i="42385" s="1"/>
  <c r="BC388" i="42385"/>
  <c r="BC743" i="42385"/>
  <c r="BC876" i="42385"/>
  <c r="BC360" i="42385"/>
  <c r="BC522" i="42385"/>
  <c r="BC525" i="42385" s="1"/>
  <c r="BC526" i="42385" s="1"/>
  <c r="BC420" i="42385"/>
  <c r="BC423" i="42385" s="1"/>
  <c r="BC424" i="42385" s="1"/>
  <c r="BC814" i="42385"/>
  <c r="BC817" i="42385" s="1"/>
  <c r="BC818" i="42385" s="1"/>
  <c r="BC819" i="42385" s="1"/>
  <c r="BC938" i="42385"/>
  <c r="BC941" i="42385" s="1"/>
  <c r="BC942" i="42385" s="1"/>
  <c r="BC943" i="42385" s="1"/>
  <c r="BC762" i="42385"/>
  <c r="BC765" i="42385" s="1"/>
  <c r="BC1138" i="42385"/>
  <c r="BC1141" i="42385" s="1"/>
  <c r="AU845" i="42385"/>
  <c r="AT848" i="42385"/>
  <c r="AU326" i="42385"/>
  <c r="AT329" i="42385"/>
  <c r="AU783" i="42385"/>
  <c r="AT786" i="42385"/>
  <c r="AV1003" i="42385"/>
  <c r="AV1004" i="42385" s="1"/>
  <c r="AV1005" i="42385" s="1"/>
  <c r="CU1000" i="42385"/>
  <c r="CU1081" i="42385"/>
  <c r="AV1084" i="42385"/>
  <c r="AV1085" i="42385" s="1"/>
  <c r="AV1086" i="42385" s="1"/>
  <c r="AU360" i="42385"/>
  <c r="AT363" i="42385"/>
  <c r="AX584" i="42385"/>
  <c r="AX585" i="42385"/>
  <c r="AX586" i="42385" s="1"/>
  <c r="AY876" i="42385"/>
  <c r="AY783" i="42385"/>
  <c r="AY743" i="42385"/>
  <c r="AY938" i="42385"/>
  <c r="AY581" i="42385"/>
  <c r="AY326" i="42385"/>
  <c r="AY478" i="42385"/>
  <c r="AY420" i="42385"/>
  <c r="AY388" i="42385"/>
  <c r="AY705" i="42385"/>
  <c r="AY969" i="42385"/>
  <c r="AY972" i="42385" s="1"/>
  <c r="AY973" i="42385" s="1"/>
  <c r="AY762" i="42385"/>
  <c r="AY449" i="42385"/>
  <c r="AY452" i="42385" s="1"/>
  <c r="AY453" i="42385" s="1"/>
  <c r="AY454" i="42385" s="1"/>
  <c r="AY814" i="42385"/>
  <c r="AY360" i="42385"/>
  <c r="AY1000" i="42385"/>
  <c r="AY845" i="42385"/>
  <c r="AY611" i="42385"/>
  <c r="AY907" i="42385"/>
  <c r="AY1138" i="42385"/>
  <c r="AY1146" i="42385"/>
  <c r="AY1149" i="42385" s="1"/>
  <c r="AY1150" i="42385" s="1"/>
  <c r="AY1151" i="42385" s="1"/>
  <c r="CX420" i="42385"/>
  <c r="CX1146" i="42385"/>
  <c r="BJ1149" i="42385"/>
  <c r="AS1085" i="42385"/>
  <c r="AS1086" i="42385" s="1"/>
  <c r="AS942" i="42385"/>
  <c r="AS943" i="42385" s="1"/>
  <c r="AU941" i="42385"/>
  <c r="AU388" i="42385"/>
  <c r="AT391" i="42385"/>
  <c r="AV481" i="42385"/>
  <c r="CU478" i="42385"/>
  <c r="CU762" i="42385"/>
  <c r="AV765" i="42385"/>
  <c r="AT973" i="42385"/>
  <c r="AT974" i="42385" s="1"/>
  <c r="AU972" i="42385"/>
  <c r="CX449" i="42385"/>
  <c r="AS453" i="42385"/>
  <c r="AU452" i="42385"/>
  <c r="BB365" i="42385"/>
  <c r="AT481" i="42385"/>
  <c r="AU481" i="42385" s="1"/>
  <c r="CU481" i="42385" s="1"/>
  <c r="AU611" i="42385"/>
  <c r="AT614" i="42385"/>
  <c r="AV1141" i="42385"/>
  <c r="CU1138" i="42385"/>
  <c r="CU938" i="42385"/>
  <c r="AV941" i="42385"/>
  <c r="AV942" i="42385" s="1"/>
  <c r="AV943" i="42385" s="1"/>
  <c r="AU907" i="42385"/>
  <c r="AT910" i="42385"/>
  <c r="BJ972" i="42385"/>
  <c r="BL320" i="42385"/>
  <c r="BK783" i="42385"/>
  <c r="BK326" i="42385"/>
  <c r="BK876" i="42385"/>
  <c r="BK611" i="42385"/>
  <c r="BK705" i="42385"/>
  <c r="BK762" i="42385"/>
  <c r="BK449" i="42385"/>
  <c r="BK452" i="42385" s="1"/>
  <c r="BK453" i="42385" s="1"/>
  <c r="BK420" i="42385"/>
  <c r="BK423" i="42385" s="1"/>
  <c r="BK424" i="42385" s="1"/>
  <c r="BK969" i="42385"/>
  <c r="BK972" i="42385" s="1"/>
  <c r="BK973" i="42385" s="1"/>
  <c r="BK550" i="42385"/>
  <c r="BK845" i="42385"/>
  <c r="BK1146" i="42385"/>
  <c r="BK1149" i="42385" s="1"/>
  <c r="BK1150" i="42385" s="1"/>
  <c r="BK1138" i="42385"/>
  <c r="BK907" i="42385"/>
  <c r="BK743" i="42385"/>
  <c r="BK494" i="42385"/>
  <c r="BK522" i="42385"/>
  <c r="BK388" i="42385"/>
  <c r="BK724" i="42385"/>
  <c r="BK727" i="42385" s="1"/>
  <c r="BK360" i="42385"/>
  <c r="BK478" i="42385"/>
  <c r="BK814" i="42385"/>
  <c r="BO969" i="42385"/>
  <c r="BO420" i="42385"/>
  <c r="BO449" i="42385"/>
  <c r="CY449" i="42385" s="1"/>
  <c r="CY320" i="42385"/>
  <c r="BT320" i="42385"/>
  <c r="BO724" i="42385"/>
  <c r="BO1146" i="42385"/>
  <c r="BP320" i="42385"/>
  <c r="CW1149" i="42385"/>
  <c r="BE1150" i="42385"/>
  <c r="CU743" i="42385"/>
  <c r="AV746" i="42385"/>
  <c r="AU876" i="42385"/>
  <c r="AT879" i="42385"/>
  <c r="AU814" i="42385"/>
  <c r="AT817" i="42385"/>
  <c r="AU705" i="42385"/>
  <c r="AT708" i="42385"/>
  <c r="AU708" i="42385" s="1"/>
  <c r="CU708" i="42385" s="1"/>
  <c r="AT423" i="42385"/>
  <c r="AT424" i="42385" s="1"/>
  <c r="AV423" i="42385"/>
  <c r="AV424" i="42385" s="1"/>
  <c r="AT585" i="42385"/>
  <c r="AT586" i="42385" s="1"/>
  <c r="AU581" i="42385"/>
  <c r="AT584" i="42385"/>
  <c r="AU584" i="42385" s="1"/>
  <c r="BE973" i="42385"/>
  <c r="CW972" i="42385"/>
  <c r="AX423" i="42385"/>
  <c r="AX424" i="42385" s="1"/>
  <c r="AZ423" i="42385"/>
  <c r="BB941" i="42385"/>
  <c r="BB942" i="42385" s="1"/>
  <c r="BB943" i="42385" s="1"/>
  <c r="AU1149" i="42385"/>
  <c r="BO1431" i="42385"/>
  <c r="CY1431" i="42385" s="1"/>
  <c r="BN1434" i="42385"/>
  <c r="BO1434" i="42385" s="1"/>
  <c r="CY1434" i="42385" s="1"/>
  <c r="BN1476" i="42385"/>
  <c r="BP1439" i="42385"/>
  <c r="BP1431" i="42385" s="1"/>
  <c r="BQ1437" i="42385"/>
  <c r="CD169" i="42385"/>
  <c r="AS180" i="42385"/>
  <c r="CF707" i="42385"/>
  <c r="BE180" i="42385"/>
  <c r="CV180" i="42385"/>
  <c r="BA180" i="42385"/>
  <c r="AW180" i="42385"/>
  <c r="AM193" i="42385" l="1"/>
  <c r="AN191" i="42385"/>
  <c r="BN624" i="42385"/>
  <c r="BN626" i="42385" s="1"/>
  <c r="BN628" i="42385" s="1"/>
  <c r="BO625" i="42385"/>
  <c r="CU1346" i="42385"/>
  <c r="AU1366" i="42385"/>
  <c r="BM629" i="42385"/>
  <c r="BM280" i="42385"/>
  <c r="BM288" i="42385" s="1"/>
  <c r="BM630" i="42385"/>
  <c r="AU1567" i="42385"/>
  <c r="D38" i="42409"/>
  <c r="D40" i="42409" s="1"/>
  <c r="D42" i="42409" s="1"/>
  <c r="D44" i="42409" s="1"/>
  <c r="AU1661" i="42385"/>
  <c r="CU1565" i="42385"/>
  <c r="AU1632" i="42385"/>
  <c r="CU1632" i="42385" s="1"/>
  <c r="AS207" i="42385"/>
  <c r="AS206" i="42385"/>
  <c r="AS212" i="42385"/>
  <c r="BO624" i="42385"/>
  <c r="CY624" i="42385" s="1"/>
  <c r="G38" i="42476"/>
  <c r="G40" i="42476"/>
  <c r="AR211" i="42385"/>
  <c r="AR209" i="42385"/>
  <c r="AT207" i="42385"/>
  <c r="AT206" i="42385"/>
  <c r="AT212" i="42385"/>
  <c r="BL628" i="42385"/>
  <c r="BO626" i="42385"/>
  <c r="CY626" i="42385" s="1"/>
  <c r="AU1084" i="42385"/>
  <c r="BU355" i="42385"/>
  <c r="BU354" i="42385"/>
  <c r="BU265" i="42385"/>
  <c r="BU353" i="42385"/>
  <c r="BW350" i="42385"/>
  <c r="BY348" i="42385"/>
  <c r="BX347" i="42385"/>
  <c r="BX350" i="42385" s="1"/>
  <c r="BX352" i="42385" s="1"/>
  <c r="BW1140" i="42385"/>
  <c r="CD1523" i="42385"/>
  <c r="CC1525" i="42385"/>
  <c r="CC1499" i="42385" s="1"/>
  <c r="BO408" i="42385"/>
  <c r="BP408" i="42385" s="1"/>
  <c r="BM290" i="42385"/>
  <c r="AT1004" i="42385"/>
  <c r="AT1005" i="42385" s="1"/>
  <c r="AX943" i="42385"/>
  <c r="BO407" i="42385"/>
  <c r="CY407" i="42385" s="1"/>
  <c r="CC491" i="42385"/>
  <c r="CC490" i="42385"/>
  <c r="CC270" i="42385"/>
  <c r="BL381" i="42385"/>
  <c r="BL383" i="42385"/>
  <c r="BL382" i="42385"/>
  <c r="BL266" i="42385"/>
  <c r="BL275" i="42385" s="1"/>
  <c r="BL277" i="42385" s="1"/>
  <c r="CD489" i="42385"/>
  <c r="CD223" i="42385"/>
  <c r="CE483" i="42385"/>
  <c r="CD487" i="42385"/>
  <c r="BN377" i="42385"/>
  <c r="BN376" i="42385" s="1"/>
  <c r="BN378" i="42385" s="1"/>
  <c r="BN380" i="42385" s="1"/>
  <c r="BM376" i="42385"/>
  <c r="BM378" i="42385" s="1"/>
  <c r="BM380" i="42385" s="1"/>
  <c r="BK380" i="42385"/>
  <c r="BM413" i="42385"/>
  <c r="BM414" i="42385"/>
  <c r="BM267" i="42385"/>
  <c r="BM415" i="42385"/>
  <c r="AX201" i="42385"/>
  <c r="AX1426" i="42385"/>
  <c r="AY201" i="42385"/>
  <c r="BG1332" i="42385"/>
  <c r="BG1333" i="42385" s="1"/>
  <c r="BF1339" i="42385"/>
  <c r="BK414" i="42385"/>
  <c r="BK415" i="42385"/>
  <c r="BK267" i="42385"/>
  <c r="BK413" i="42385"/>
  <c r="BO412" i="42385"/>
  <c r="AW206" i="42385"/>
  <c r="AW212" i="42385"/>
  <c r="AW207" i="42385"/>
  <c r="J40" i="42476"/>
  <c r="J38" i="42476"/>
  <c r="BA1426" i="42385"/>
  <c r="AY1567" i="42385"/>
  <c r="AY1631" i="42385" s="1"/>
  <c r="AY1632" i="42385"/>
  <c r="AY1661" i="42385"/>
  <c r="BI315" i="42385"/>
  <c r="BI1647" i="42385"/>
  <c r="BI317" i="42385"/>
  <c r="BI316" i="42385"/>
  <c r="CX1332" i="42385"/>
  <c r="BJ1333" i="42385"/>
  <c r="BJ315" i="42385"/>
  <c r="CX315" i="42385" s="1"/>
  <c r="BJ316" i="42385"/>
  <c r="CX316" i="42385" s="1"/>
  <c r="BJ1647" i="42385"/>
  <c r="CX1647" i="42385" s="1"/>
  <c r="CX314" i="42385"/>
  <c r="BJ317" i="42385"/>
  <c r="AZ1565" i="42385"/>
  <c r="AZ1346" i="42385"/>
  <c r="F22" i="42465"/>
  <c r="CV1339" i="42385"/>
  <c r="L35" i="42476"/>
  <c r="L36" i="42476" s="1"/>
  <c r="BC1339" i="42385"/>
  <c r="BD1332" i="42385"/>
  <c r="BD1333" i="42385" s="1"/>
  <c r="BD1339" i="42385" s="1"/>
  <c r="CD1557" i="42385"/>
  <c r="CD63" i="42385"/>
  <c r="CD1280" i="42385"/>
  <c r="CD107" i="42385"/>
  <c r="BN414" i="42385"/>
  <c r="BN415" i="42385"/>
  <c r="BN267" i="42385"/>
  <c r="BN413" i="42385"/>
  <c r="AX1567" i="42385"/>
  <c r="AX1631" i="42385" s="1"/>
  <c r="AX1661" i="42385"/>
  <c r="AX1632" i="42385"/>
  <c r="BA1632" i="42385"/>
  <c r="BA1567" i="42385"/>
  <c r="BA1631" i="42385" s="1"/>
  <c r="BA1661" i="42385"/>
  <c r="K38" i="42476"/>
  <c r="K40" i="42476"/>
  <c r="N35" i="42476"/>
  <c r="N36" i="42476" s="1"/>
  <c r="N38" i="42476" s="1"/>
  <c r="BB1346" i="42385"/>
  <c r="BB1366" i="42385" s="1"/>
  <c r="BB1426" i="42385" s="1"/>
  <c r="BB1565" i="42385"/>
  <c r="BO410" i="42385"/>
  <c r="CY410" i="42385" s="1"/>
  <c r="CE1531" i="42385"/>
  <c r="CE1556" i="42385" s="1"/>
  <c r="CF810" i="42385"/>
  <c r="CE811" i="42385"/>
  <c r="CW1150" i="42385"/>
  <c r="BE1151" i="42385"/>
  <c r="CW1151" i="42385" s="1"/>
  <c r="AV614" i="42385"/>
  <c r="CU611" i="42385"/>
  <c r="AZ1000" i="42385"/>
  <c r="CV1000" i="42385" s="1"/>
  <c r="AY1003" i="42385"/>
  <c r="BA423" i="42385"/>
  <c r="BA424" i="42385" s="1"/>
  <c r="BA425" i="42385" s="1"/>
  <c r="AY423" i="42385"/>
  <c r="AY424" i="42385" s="1"/>
  <c r="BC329" i="42385"/>
  <c r="BC330" i="42385" s="1"/>
  <c r="BC331" i="42385" s="1"/>
  <c r="BE974" i="42385"/>
  <c r="CW974" i="42385" s="1"/>
  <c r="CW973" i="42385"/>
  <c r="AT818" i="42385"/>
  <c r="AT819" i="42385" s="1"/>
  <c r="AU817" i="42385"/>
  <c r="CY420" i="42385"/>
  <c r="BL326" i="42385"/>
  <c r="BL329" i="42385" s="1"/>
  <c r="BL330" i="42385" s="1"/>
  <c r="BL611" i="42385"/>
  <c r="BL614" i="42385" s="1"/>
  <c r="BL615" i="42385" s="1"/>
  <c r="BM320" i="42385"/>
  <c r="BL522" i="42385"/>
  <c r="BL525" i="42385" s="1"/>
  <c r="BL526" i="42385" s="1"/>
  <c r="BL762" i="42385"/>
  <c r="BL765" i="42385" s="1"/>
  <c r="BL478" i="42385"/>
  <c r="BL481" i="42385" s="1"/>
  <c r="BL845" i="42385"/>
  <c r="BL848" i="42385" s="1"/>
  <c r="BL849" i="42385" s="1"/>
  <c r="BL876" i="42385"/>
  <c r="BL879" i="42385" s="1"/>
  <c r="BL880" i="42385" s="1"/>
  <c r="BL1138" i="42385"/>
  <c r="BL449" i="42385"/>
  <c r="BL420" i="42385"/>
  <c r="BL724" i="42385"/>
  <c r="BL727" i="42385" s="1"/>
  <c r="BL360" i="42385"/>
  <c r="BL550" i="42385"/>
  <c r="BL553" i="42385" s="1"/>
  <c r="BL554" i="42385" s="1"/>
  <c r="BL814" i="42385"/>
  <c r="BL705" i="42385"/>
  <c r="BL783" i="42385"/>
  <c r="BL969" i="42385"/>
  <c r="BL972" i="42385" s="1"/>
  <c r="BL973" i="42385" s="1"/>
  <c r="BL494" i="42385"/>
  <c r="BL497" i="42385" s="1"/>
  <c r="BL498" i="42385" s="1"/>
  <c r="BL1146" i="42385"/>
  <c r="BL1149" i="42385" s="1"/>
  <c r="BL1150" i="42385" s="1"/>
  <c r="BL388" i="42385"/>
  <c r="BL907" i="42385"/>
  <c r="BL910" i="42385" s="1"/>
  <c r="BL911" i="42385" s="1"/>
  <c r="BL743" i="42385"/>
  <c r="AT615" i="42385"/>
  <c r="AT616" i="42385" s="1"/>
  <c r="AU614" i="42385"/>
  <c r="AT392" i="42385"/>
  <c r="AT393" i="42385" s="1"/>
  <c r="AU391" i="42385"/>
  <c r="AU1085" i="42385"/>
  <c r="CU1084" i="42385"/>
  <c r="AZ845" i="42385"/>
  <c r="AY848" i="42385"/>
  <c r="AY849" i="42385" s="1"/>
  <c r="AZ388" i="42385"/>
  <c r="AY391" i="42385"/>
  <c r="AY392" i="42385" s="1"/>
  <c r="AY584" i="42385"/>
  <c r="AY585" i="42385"/>
  <c r="AY586" i="42385" s="1"/>
  <c r="AZ581" i="42385"/>
  <c r="CV581" i="42385" s="1"/>
  <c r="AZ876" i="42385"/>
  <c r="AY879" i="42385"/>
  <c r="AY880" i="42385" s="1"/>
  <c r="CU360" i="42385"/>
  <c r="AV363" i="42385"/>
  <c r="CU326" i="42385"/>
  <c r="AV329" i="42385"/>
  <c r="BC391" i="42385"/>
  <c r="BC392" i="42385" s="1"/>
  <c r="BC393" i="42385" s="1"/>
  <c r="BD783" i="42385"/>
  <c r="BD845" i="42385"/>
  <c r="BD494" i="42385"/>
  <c r="BD876" i="42385"/>
  <c r="BE876" i="42385" s="1"/>
  <c r="BD762" i="42385"/>
  <c r="BD1138" i="42385"/>
  <c r="BD907" i="42385"/>
  <c r="BD388" i="42385"/>
  <c r="BE388" i="42385" s="1"/>
  <c r="CW388" i="42385" s="1"/>
  <c r="BD420" i="42385"/>
  <c r="BD969" i="42385"/>
  <c r="BD972" i="42385" s="1"/>
  <c r="BD973" i="42385" s="1"/>
  <c r="BD974" i="42385" s="1"/>
  <c r="BD611" i="42385"/>
  <c r="BD522" i="42385"/>
  <c r="BD326" i="42385"/>
  <c r="BE326" i="42385" s="1"/>
  <c r="CW326" i="42385" s="1"/>
  <c r="BD449" i="42385"/>
  <c r="BD452" i="42385" s="1"/>
  <c r="BD453" i="42385" s="1"/>
  <c r="BD454" i="42385" s="1"/>
  <c r="BF320" i="42385"/>
  <c r="BD478" i="42385"/>
  <c r="BE478" i="42385" s="1"/>
  <c r="CW478" i="42385" s="1"/>
  <c r="BD814" i="42385"/>
  <c r="BE814" i="42385" s="1"/>
  <c r="CW814" i="42385" s="1"/>
  <c r="BD360" i="42385"/>
  <c r="BE360" i="42385" s="1"/>
  <c r="CW360" i="42385" s="1"/>
  <c r="BD1146" i="42385"/>
  <c r="BD1149" i="42385" s="1"/>
  <c r="BD1150" i="42385" s="1"/>
  <c r="BD1151" i="42385" s="1"/>
  <c r="BD743" i="42385"/>
  <c r="BE743" i="42385" s="1"/>
  <c r="CW743" i="42385" s="1"/>
  <c r="BD705" i="42385"/>
  <c r="BE705" i="42385" s="1"/>
  <c r="CW705" i="42385" s="1"/>
  <c r="CU581" i="42385"/>
  <c r="AV584" i="42385"/>
  <c r="AZ584" i="42385" s="1"/>
  <c r="AT880" i="42385"/>
  <c r="AT881" i="42385" s="1"/>
  <c r="AU879" i="42385"/>
  <c r="BP388" i="42385"/>
  <c r="BP326" i="42385"/>
  <c r="BP876" i="42385"/>
  <c r="BP969" i="42385"/>
  <c r="BP972" i="42385" s="1"/>
  <c r="BP973" i="42385" s="1"/>
  <c r="BP974" i="42385" s="1"/>
  <c r="BP420" i="42385"/>
  <c r="BP423" i="42385" s="1"/>
  <c r="BP424" i="42385" s="1"/>
  <c r="BP705" i="42385"/>
  <c r="BP449" i="42385"/>
  <c r="BP452" i="42385" s="1"/>
  <c r="BP453" i="42385" s="1"/>
  <c r="BP454" i="42385" s="1"/>
  <c r="BP762" i="42385"/>
  <c r="BP360" i="42385"/>
  <c r="BP783" i="42385"/>
  <c r="BP1146" i="42385"/>
  <c r="BP1149" i="42385" s="1"/>
  <c r="BP1150" i="42385" s="1"/>
  <c r="BP1138" i="42385"/>
  <c r="BQ320" i="42385"/>
  <c r="BP522" i="42385"/>
  <c r="BP724" i="42385"/>
  <c r="BP727" i="42385" s="1"/>
  <c r="BP494" i="42385"/>
  <c r="BP743" i="42385"/>
  <c r="BP550" i="42385"/>
  <c r="BP907" i="42385"/>
  <c r="BP845" i="42385"/>
  <c r="BP611" i="42385"/>
  <c r="BP814" i="42385"/>
  <c r="BP478" i="42385"/>
  <c r="AT911" i="42385"/>
  <c r="AT912" i="42385" s="1"/>
  <c r="AU910" i="42385"/>
  <c r="AU973" i="42385"/>
  <c r="CU972" i="42385"/>
  <c r="CU941" i="42385"/>
  <c r="AU942" i="42385"/>
  <c r="AZ907" i="42385"/>
  <c r="AY910" i="42385"/>
  <c r="AY911" i="42385" s="1"/>
  <c r="AZ360" i="42385"/>
  <c r="AY363" i="42385"/>
  <c r="AY364" i="42385" s="1"/>
  <c r="AY974" i="42385"/>
  <c r="AZ478" i="42385"/>
  <c r="AY481" i="42385"/>
  <c r="AZ481" i="42385" s="1"/>
  <c r="CV481" i="42385" s="1"/>
  <c r="AZ743" i="42385"/>
  <c r="AY746" i="42385"/>
  <c r="AZ746" i="42385" s="1"/>
  <c r="CV746" i="42385" s="1"/>
  <c r="AV786" i="42385"/>
  <c r="CU783" i="42385"/>
  <c r="CU845" i="42385"/>
  <c r="AV848" i="42385"/>
  <c r="BC879" i="42385"/>
  <c r="BC880" i="42385" s="1"/>
  <c r="BC881" i="42385" s="1"/>
  <c r="BC708" i="42385"/>
  <c r="BC481" i="42385"/>
  <c r="AZ452" i="42385"/>
  <c r="CV423" i="42385"/>
  <c r="AZ424" i="42385"/>
  <c r="CV424" i="42385" s="1"/>
  <c r="AU585" i="42385"/>
  <c r="CU584" i="42385"/>
  <c r="CU814" i="42385"/>
  <c r="AV817" i="42385"/>
  <c r="BT724" i="42385"/>
  <c r="BT969" i="42385"/>
  <c r="CZ320" i="42385"/>
  <c r="BT449" i="42385"/>
  <c r="CZ449" i="42385" s="1"/>
  <c r="BT420" i="42385"/>
  <c r="BT1146" i="42385"/>
  <c r="BU320" i="42385"/>
  <c r="BY320" i="42385"/>
  <c r="BO972" i="42385"/>
  <c r="CY969" i="42385"/>
  <c r="CX972" i="42385"/>
  <c r="BJ973" i="42385"/>
  <c r="AU453" i="42385"/>
  <c r="CU453" i="42385" s="1"/>
  <c r="CU452" i="42385"/>
  <c r="CU388" i="42385"/>
  <c r="AV391" i="42385"/>
  <c r="AZ1138" i="42385"/>
  <c r="AY1141" i="42385"/>
  <c r="AZ1141" i="42385" s="1"/>
  <c r="CV1141" i="42385" s="1"/>
  <c r="AZ762" i="42385"/>
  <c r="AY765" i="42385"/>
  <c r="AZ765" i="42385" s="1"/>
  <c r="CV765" i="42385" s="1"/>
  <c r="AZ938" i="42385"/>
  <c r="AY941" i="42385"/>
  <c r="AT787" i="42385"/>
  <c r="AT788" i="42385" s="1"/>
  <c r="AU786" i="42385"/>
  <c r="AT849" i="42385"/>
  <c r="AT850" i="42385" s="1"/>
  <c r="AU848" i="42385"/>
  <c r="BC363" i="42385"/>
  <c r="BC364" i="42385" s="1"/>
  <c r="BC365" i="42385" s="1"/>
  <c r="BD363" i="42385"/>
  <c r="BD364" i="42385" s="1"/>
  <c r="AU1150" i="42385"/>
  <c r="CU1149" i="42385"/>
  <c r="AV708" i="42385"/>
  <c r="CU705" i="42385"/>
  <c r="CU876" i="42385"/>
  <c r="AV879" i="42385"/>
  <c r="BO1149" i="42385"/>
  <c r="CY1146" i="42385"/>
  <c r="CU907" i="42385"/>
  <c r="AV910" i="42385"/>
  <c r="AU1004" i="42385"/>
  <c r="CU1003" i="42385"/>
  <c r="CX1149" i="42385"/>
  <c r="BJ1150" i="42385"/>
  <c r="AZ611" i="42385"/>
  <c r="AY614" i="42385"/>
  <c r="AY615" i="42385" s="1"/>
  <c r="AY616" i="42385" s="1"/>
  <c r="AZ814" i="42385"/>
  <c r="AY817" i="42385"/>
  <c r="AY818" i="42385" s="1"/>
  <c r="AY819" i="42385" s="1"/>
  <c r="AZ705" i="42385"/>
  <c r="AY708" i="42385"/>
  <c r="AZ326" i="42385"/>
  <c r="AY329" i="42385"/>
  <c r="AY330" i="42385" s="1"/>
  <c r="AZ783" i="42385"/>
  <c r="AY786" i="42385"/>
  <c r="AY787" i="42385" s="1"/>
  <c r="AT364" i="42385"/>
  <c r="AT365" i="42385" s="1"/>
  <c r="AU363" i="42385"/>
  <c r="AT330" i="42385"/>
  <c r="AT331" i="42385" s="1"/>
  <c r="AU329" i="42385"/>
  <c r="BC425" i="42385"/>
  <c r="BC746" i="42385"/>
  <c r="BC452" i="42385"/>
  <c r="AX454" i="42385"/>
  <c r="BP1432" i="42385"/>
  <c r="BP1477" i="42385" s="1"/>
  <c r="BR1437" i="42385"/>
  <c r="BQ1439" i="42385"/>
  <c r="BQ1431" i="42385" s="1"/>
  <c r="BP1476" i="42385"/>
  <c r="BN1501" i="42385"/>
  <c r="BO1501" i="42385" s="1"/>
  <c r="CY1501" i="42385" s="1"/>
  <c r="BO1476" i="42385"/>
  <c r="AT180" i="42385"/>
  <c r="BB180" i="42385"/>
  <c r="CE169" i="42385"/>
  <c r="AX180" i="42385"/>
  <c r="BF180" i="42385"/>
  <c r="BJ180" i="42385"/>
  <c r="CW180" i="42385"/>
  <c r="AN193" i="42385" l="1"/>
  <c r="AO191" i="42385"/>
  <c r="BL280" i="42385"/>
  <c r="BL629" i="42385"/>
  <c r="BL630" i="42385"/>
  <c r="BO628" i="42385"/>
  <c r="CU1567" i="42385"/>
  <c r="AU1631" i="42385"/>
  <c r="CU1631" i="42385" s="1"/>
  <c r="AV201" i="42385"/>
  <c r="AU201" i="42385"/>
  <c r="AU1426" i="42385"/>
  <c r="CU1426" i="42385" s="1"/>
  <c r="E28" i="42465"/>
  <c r="CU1366" i="42385"/>
  <c r="BY347" i="42385"/>
  <c r="DA347" i="42385" s="1"/>
  <c r="AT209" i="42385"/>
  <c r="AT211" i="42385"/>
  <c r="AS209" i="42385"/>
  <c r="AS211" i="42385"/>
  <c r="CY625" i="42385"/>
  <c r="BP625" i="42385"/>
  <c r="BN280" i="42385"/>
  <c r="BN288" i="42385" s="1"/>
  <c r="BN290" i="42385" s="1"/>
  <c r="BN629" i="42385"/>
  <c r="BN630" i="42385"/>
  <c r="BZ348" i="42385"/>
  <c r="DA348" i="42385"/>
  <c r="BW352" i="42385"/>
  <c r="BY350" i="42385"/>
  <c r="DA350" i="42385" s="1"/>
  <c r="BX353" i="42385"/>
  <c r="BX355" i="42385"/>
  <c r="BX265" i="42385"/>
  <c r="BX354" i="42385"/>
  <c r="BX1140" i="42385"/>
  <c r="CY408" i="42385"/>
  <c r="BQ1432" i="42385"/>
  <c r="BQ1477" i="42385" s="1"/>
  <c r="CE1523" i="42385"/>
  <c r="CD1525" i="42385"/>
  <c r="CD1499" i="42385" s="1"/>
  <c r="AY393" i="42385"/>
  <c r="BD365" i="42385"/>
  <c r="BO378" i="42385"/>
  <c r="CY378" i="42385" s="1"/>
  <c r="AY788" i="42385"/>
  <c r="BO376" i="42385"/>
  <c r="CE487" i="42385"/>
  <c r="CE223" i="42385"/>
  <c r="CE489" i="42385"/>
  <c r="CF483" i="42385"/>
  <c r="BP1434" i="42385"/>
  <c r="BM381" i="42385"/>
  <c r="BM382" i="42385"/>
  <c r="BM383" i="42385"/>
  <c r="BM266" i="42385"/>
  <c r="BN266" i="42385"/>
  <c r="BN318" i="42385" s="1"/>
  <c r="BN383" i="42385"/>
  <c r="BN381" i="42385"/>
  <c r="BN382" i="42385"/>
  <c r="CD490" i="42385"/>
  <c r="CD270" i="42385"/>
  <c r="CD491" i="42385"/>
  <c r="BK382" i="42385"/>
  <c r="BK381" i="42385"/>
  <c r="BK266" i="42385"/>
  <c r="BK318" i="42385" s="1"/>
  <c r="BK383" i="42385"/>
  <c r="BO380" i="42385"/>
  <c r="BD708" i="42385"/>
  <c r="CE1280" i="42385"/>
  <c r="CE1557" i="42385"/>
  <c r="CE107" i="42385"/>
  <c r="CE63" i="42385"/>
  <c r="BP407" i="42385"/>
  <c r="BQ408" i="42385"/>
  <c r="BB201" i="42385"/>
  <c r="R35" i="42476"/>
  <c r="R36" i="42476" s="1"/>
  <c r="BF1565" i="42385"/>
  <c r="BF1346" i="42385"/>
  <c r="BF1366" i="42385" s="1"/>
  <c r="BE1339" i="42385"/>
  <c r="BD1346" i="42385"/>
  <c r="BD1366" i="42385" s="1"/>
  <c r="BD1426" i="42385" s="1"/>
  <c r="BD1565" i="42385"/>
  <c r="P35" i="42476"/>
  <c r="P36" i="42476" s="1"/>
  <c r="BO267" i="42385"/>
  <c r="BH1332" i="42385"/>
  <c r="BH1333" i="42385" s="1"/>
  <c r="AA93" i="42492"/>
  <c r="AA101" i="42492" s="1"/>
  <c r="BG1339" i="42385"/>
  <c r="AY212" i="42385"/>
  <c r="AY206" i="42385"/>
  <c r="AY207" i="42385"/>
  <c r="BM318" i="42385"/>
  <c r="BM275" i="42385"/>
  <c r="BM277" i="42385" s="1"/>
  <c r="BM314" i="42385" s="1"/>
  <c r="B17" i="42409"/>
  <c r="B19" i="42409" s="1"/>
  <c r="BB1567" i="42385"/>
  <c r="BB1631" i="42385" s="1"/>
  <c r="BB1632" i="42385"/>
  <c r="BB1661" i="42385"/>
  <c r="BC1565" i="42385"/>
  <c r="BC1346" i="42385"/>
  <c r="BC1366" i="42385" s="1"/>
  <c r="O35" i="42476"/>
  <c r="O36" i="42476" s="1"/>
  <c r="O38" i="42476" s="1"/>
  <c r="AZ1366" i="42385"/>
  <c r="CV1346" i="42385"/>
  <c r="AW211" i="42385"/>
  <c r="AW209" i="42385"/>
  <c r="BD817" i="42385"/>
  <c r="BD818" i="42385" s="1"/>
  <c r="BD819" i="42385" s="1"/>
  <c r="AY912" i="42385"/>
  <c r="CF1531" i="42385"/>
  <c r="CF1556" i="42385" s="1"/>
  <c r="CF811" i="42385"/>
  <c r="L40" i="42476"/>
  <c r="L38" i="42476"/>
  <c r="CV1565" i="42385"/>
  <c r="AZ1567" i="42385"/>
  <c r="E38" i="42409"/>
  <c r="E40" i="42409" s="1"/>
  <c r="E42" i="42409" s="1"/>
  <c r="E44" i="42409" s="1"/>
  <c r="AZ1632" i="42385"/>
  <c r="CV1632" i="42385" s="1"/>
  <c r="AZ1661" i="42385"/>
  <c r="CY259" i="42417"/>
  <c r="CX1333" i="42385"/>
  <c r="BO1332" i="42385"/>
  <c r="BK1332" i="42385"/>
  <c r="BK1333" i="42385" s="1"/>
  <c r="CY412" i="42385"/>
  <c r="BO414" i="42385"/>
  <c r="CY414" i="42385" s="1"/>
  <c r="BO413" i="42385"/>
  <c r="CY413" i="42385" s="1"/>
  <c r="BO415" i="42385"/>
  <c r="CY415" i="42385" s="1"/>
  <c r="AX206" i="42385"/>
  <c r="AX212" i="42385"/>
  <c r="AX207" i="42385"/>
  <c r="BU424" i="42385"/>
  <c r="BP425" i="42385"/>
  <c r="AZ708" i="42385"/>
  <c r="CV708" i="42385" s="1"/>
  <c r="BA765" i="42385"/>
  <c r="CV762" i="42385"/>
  <c r="BU550" i="42385"/>
  <c r="BU553" i="42385" s="1"/>
  <c r="BU554" i="42385" s="1"/>
  <c r="BU555" i="42385" s="1"/>
  <c r="BU449" i="42385"/>
  <c r="BU783" i="42385"/>
  <c r="BU876" i="42385"/>
  <c r="BU845" i="42385"/>
  <c r="BU478" i="42385"/>
  <c r="BU388" i="42385"/>
  <c r="BU1138" i="42385"/>
  <c r="BU360" i="42385"/>
  <c r="BU907" i="42385"/>
  <c r="BU326" i="42385"/>
  <c r="BU522" i="42385"/>
  <c r="BU762" i="42385"/>
  <c r="BU705" i="42385"/>
  <c r="BU969" i="42385"/>
  <c r="BU972" i="42385" s="1"/>
  <c r="BU973" i="42385" s="1"/>
  <c r="BU974" i="42385" s="1"/>
  <c r="BV320" i="42385"/>
  <c r="BU611" i="42385"/>
  <c r="BU420" i="42385"/>
  <c r="BU423" i="42385" s="1"/>
  <c r="BU814" i="42385"/>
  <c r="BU743" i="42385"/>
  <c r="BU494" i="42385"/>
  <c r="BU497" i="42385" s="1"/>
  <c r="BU498" i="42385" s="1"/>
  <c r="BU499" i="42385" s="1"/>
  <c r="BU724" i="42385"/>
  <c r="BU727" i="42385" s="1"/>
  <c r="BU1146" i="42385"/>
  <c r="BU1149" i="42385" s="1"/>
  <c r="BA481" i="42385"/>
  <c r="CV478" i="42385"/>
  <c r="CU1085" i="42385"/>
  <c r="AU1086" i="42385"/>
  <c r="CU1086" i="42385" s="1"/>
  <c r="BL452" i="42385"/>
  <c r="BL453" i="42385" s="1"/>
  <c r="BA329" i="42385"/>
  <c r="CV326" i="42385"/>
  <c r="BA817" i="42385"/>
  <c r="CV814" i="42385"/>
  <c r="AU787" i="42385"/>
  <c r="CU786" i="42385"/>
  <c r="AV392" i="42385"/>
  <c r="AV393" i="42385" s="1"/>
  <c r="AZ391" i="42385"/>
  <c r="BJ974" i="42385"/>
  <c r="CX974" i="42385" s="1"/>
  <c r="CX973" i="42385"/>
  <c r="BY420" i="42385"/>
  <c r="DA420" i="42385" s="1"/>
  <c r="DA320" i="42385"/>
  <c r="BY1146" i="42385"/>
  <c r="DA1146" i="42385" s="1"/>
  <c r="BZ320" i="42385"/>
  <c r="BY724" i="42385"/>
  <c r="BY969" i="42385"/>
  <c r="BY449" i="42385"/>
  <c r="DA449" i="42385" s="1"/>
  <c r="AV818" i="42385"/>
  <c r="AV819" i="42385" s="1"/>
  <c r="AZ817" i="42385"/>
  <c r="BD481" i="42385"/>
  <c r="CV360" i="42385"/>
  <c r="BA363" i="42385"/>
  <c r="AU880" i="42385"/>
  <c r="CU879" i="42385"/>
  <c r="BE423" i="42385"/>
  <c r="BD423" i="42385"/>
  <c r="BD424" i="42385" s="1"/>
  <c r="BD425" i="42385" s="1"/>
  <c r="BE762" i="42385"/>
  <c r="BD765" i="42385"/>
  <c r="BE783" i="42385"/>
  <c r="BD786" i="42385"/>
  <c r="BD787" i="42385" s="1"/>
  <c r="BD788" i="42385" s="1"/>
  <c r="BA879" i="42385"/>
  <c r="CV876" i="42385"/>
  <c r="BL817" i="42385"/>
  <c r="BL818" i="42385" s="1"/>
  <c r="BL423" i="42385"/>
  <c r="BL424" i="42385" s="1"/>
  <c r="BM907" i="42385"/>
  <c r="BM910" i="42385" s="1"/>
  <c r="BM911" i="42385" s="1"/>
  <c r="BM783" i="42385"/>
  <c r="BM786" i="42385" s="1"/>
  <c r="BM787" i="42385" s="1"/>
  <c r="BM360" i="42385"/>
  <c r="BM969" i="42385"/>
  <c r="BM972" i="42385" s="1"/>
  <c r="BM973" i="42385" s="1"/>
  <c r="BM326" i="42385"/>
  <c r="BM329" i="42385" s="1"/>
  <c r="BM330" i="42385" s="1"/>
  <c r="BM705" i="42385"/>
  <c r="BM449" i="42385"/>
  <c r="BM452" i="42385" s="1"/>
  <c r="BM743" i="42385"/>
  <c r="BM746" i="42385" s="1"/>
  <c r="BM388" i="42385"/>
  <c r="BM391" i="42385" s="1"/>
  <c r="BM392" i="42385" s="1"/>
  <c r="BM762" i="42385"/>
  <c r="BM765" i="42385" s="1"/>
  <c r="BM420" i="42385"/>
  <c r="BM423" i="42385" s="1"/>
  <c r="BM424" i="42385" s="1"/>
  <c r="BM522" i="42385"/>
  <c r="BM525" i="42385" s="1"/>
  <c r="BM526" i="42385" s="1"/>
  <c r="BM1146" i="42385"/>
  <c r="BM1149" i="42385" s="1"/>
  <c r="BM1150" i="42385" s="1"/>
  <c r="BM1138" i="42385"/>
  <c r="BM1141" i="42385" s="1"/>
  <c r="BM876" i="42385"/>
  <c r="BM879" i="42385" s="1"/>
  <c r="BM880" i="42385" s="1"/>
  <c r="BN320" i="42385"/>
  <c r="BM845" i="42385"/>
  <c r="BM848" i="42385" s="1"/>
  <c r="BM849" i="42385" s="1"/>
  <c r="BM724" i="42385"/>
  <c r="BM727" i="42385" s="1"/>
  <c r="BM611" i="42385"/>
  <c r="BM614" i="42385" s="1"/>
  <c r="BM615" i="42385" s="1"/>
  <c r="BM478" i="42385"/>
  <c r="BM481" i="42385" s="1"/>
  <c r="BM494" i="42385"/>
  <c r="BM497" i="42385" s="1"/>
  <c r="BM498" i="42385" s="1"/>
  <c r="BM814" i="42385"/>
  <c r="BM817" i="42385" s="1"/>
  <c r="BM818" i="42385" s="1"/>
  <c r="BM550" i="42385"/>
  <c r="BM553" i="42385" s="1"/>
  <c r="BM554" i="42385" s="1"/>
  <c r="BC453" i="42385"/>
  <c r="BC454" i="42385" s="1"/>
  <c r="BE452" i="42385"/>
  <c r="BO1150" i="42385"/>
  <c r="CY1149" i="42385"/>
  <c r="AV787" i="42385"/>
  <c r="AV788" i="42385" s="1"/>
  <c r="AZ786" i="42385"/>
  <c r="BU1150" i="42385"/>
  <c r="BP1151" i="42385"/>
  <c r="BE522" i="42385"/>
  <c r="CW522" i="42385" s="1"/>
  <c r="BD525" i="42385"/>
  <c r="CW876" i="42385"/>
  <c r="AV364" i="42385"/>
  <c r="AV365" i="42385" s="1"/>
  <c r="AZ363" i="42385"/>
  <c r="CV388" i="42385"/>
  <c r="BA391" i="42385"/>
  <c r="CV783" i="42385"/>
  <c r="BA786" i="42385"/>
  <c r="CV705" i="42385"/>
  <c r="BA708" i="42385"/>
  <c r="CV611" i="42385"/>
  <c r="BA614" i="42385"/>
  <c r="AV911" i="42385"/>
  <c r="AV912" i="42385" s="1"/>
  <c r="AZ910" i="42385"/>
  <c r="AZ879" i="42385"/>
  <c r="AV880" i="42385"/>
  <c r="AV881" i="42385" s="1"/>
  <c r="CU848" i="42385"/>
  <c r="AU849" i="42385"/>
  <c r="AY942" i="42385"/>
  <c r="AY943" i="42385" s="1"/>
  <c r="AZ941" i="42385"/>
  <c r="BT1149" i="42385"/>
  <c r="CZ1149" i="42385" s="1"/>
  <c r="CZ1146" i="42385"/>
  <c r="BT972" i="42385"/>
  <c r="CZ969" i="42385"/>
  <c r="CV452" i="42385"/>
  <c r="AZ453" i="42385"/>
  <c r="CV453" i="42385" s="1"/>
  <c r="AV849" i="42385"/>
  <c r="AV850" i="42385" s="1"/>
  <c r="AZ848" i="42385"/>
  <c r="CV907" i="42385"/>
  <c r="BA910" i="42385"/>
  <c r="CU973" i="42385"/>
  <c r="AU974" i="42385"/>
  <c r="AZ974" i="42385"/>
  <c r="CV974" i="42385" s="1"/>
  <c r="CV584" i="42385"/>
  <c r="AZ585" i="42385"/>
  <c r="BF1146" i="42385"/>
  <c r="BF1149" i="42385" s="1"/>
  <c r="BF1150" i="42385" s="1"/>
  <c r="BF494" i="42385"/>
  <c r="BF783" i="42385"/>
  <c r="BF611" i="42385"/>
  <c r="BF478" i="42385"/>
  <c r="BF449" i="42385"/>
  <c r="BF452" i="42385" s="1"/>
  <c r="BG320" i="42385"/>
  <c r="BF420" i="42385"/>
  <c r="BF423" i="42385" s="1"/>
  <c r="BF424" i="42385" s="1"/>
  <c r="BF425" i="42385" s="1"/>
  <c r="BF876" i="42385"/>
  <c r="BF879" i="42385" s="1"/>
  <c r="BF880" i="42385" s="1"/>
  <c r="BF705" i="42385"/>
  <c r="BF708" i="42385" s="1"/>
  <c r="BF845" i="42385"/>
  <c r="BF522" i="42385"/>
  <c r="BF762" i="42385"/>
  <c r="BF360" i="42385"/>
  <c r="BF363" i="42385" s="1"/>
  <c r="BF743" i="42385"/>
  <c r="BF814" i="42385"/>
  <c r="BF326" i="42385"/>
  <c r="BF969" i="42385"/>
  <c r="BF972" i="42385" s="1"/>
  <c r="BF973" i="42385" s="1"/>
  <c r="BF388" i="42385"/>
  <c r="BF907" i="42385"/>
  <c r="BF1138" i="42385"/>
  <c r="BE611" i="42385"/>
  <c r="BD614" i="42385"/>
  <c r="BD615" i="42385" s="1"/>
  <c r="BD616" i="42385" s="1"/>
  <c r="BE907" i="42385"/>
  <c r="BD910" i="42385"/>
  <c r="BD911" i="42385" s="1"/>
  <c r="BD912" i="42385" s="1"/>
  <c r="BE494" i="42385"/>
  <c r="CW494" i="42385" s="1"/>
  <c r="BD497" i="42385"/>
  <c r="BD391" i="42385"/>
  <c r="BD392" i="42385" s="1"/>
  <c r="BD393" i="42385" s="1"/>
  <c r="AY850" i="42385"/>
  <c r="AU392" i="42385"/>
  <c r="CU391" i="42385"/>
  <c r="AU615" i="42385"/>
  <c r="CU614" i="42385"/>
  <c r="BL391" i="42385"/>
  <c r="BL392" i="42385" s="1"/>
  <c r="BL786" i="42385"/>
  <c r="BL787" i="42385" s="1"/>
  <c r="BL363" i="42385"/>
  <c r="BL364" i="42385" s="1"/>
  <c r="BM363" i="42385"/>
  <c r="BM364" i="42385" s="1"/>
  <c r="BL1141" i="42385"/>
  <c r="AV615" i="42385"/>
  <c r="AV616" i="42385" s="1"/>
  <c r="AZ614" i="42385"/>
  <c r="CU329" i="42385"/>
  <c r="AU330" i="42385"/>
  <c r="BD746" i="42385"/>
  <c r="CU363" i="42385"/>
  <c r="AU364" i="42385"/>
  <c r="AY331" i="42385"/>
  <c r="BJ1151" i="42385"/>
  <c r="CX1151" i="42385" s="1"/>
  <c r="CX1150" i="42385"/>
  <c r="AU1005" i="42385"/>
  <c r="CU1005" i="42385" s="1"/>
  <c r="CU1004" i="42385"/>
  <c r="AZ1151" i="42385"/>
  <c r="CV1151" i="42385" s="1"/>
  <c r="CU1150" i="42385"/>
  <c r="CV938" i="42385"/>
  <c r="BA941" i="42385"/>
  <c r="BA1141" i="42385"/>
  <c r="CV1138" i="42385"/>
  <c r="BO973" i="42385"/>
  <c r="CY972" i="42385"/>
  <c r="CZ420" i="42385"/>
  <c r="CU585" i="42385"/>
  <c r="AU586" i="42385"/>
  <c r="CU586" i="42385" s="1"/>
  <c r="BD879" i="42385"/>
  <c r="BD880" i="42385" s="1"/>
  <c r="BD881" i="42385" s="1"/>
  <c r="CV743" i="42385"/>
  <c r="BA746" i="42385"/>
  <c r="AY365" i="42385"/>
  <c r="CU942" i="42385"/>
  <c r="AU943" i="42385"/>
  <c r="CU943" i="42385" s="1"/>
  <c r="AU911" i="42385"/>
  <c r="CU910" i="42385"/>
  <c r="BQ550" i="42385"/>
  <c r="BQ553" i="42385" s="1"/>
  <c r="BQ554" i="42385" s="1"/>
  <c r="BQ360" i="42385"/>
  <c r="BQ363" i="42385" s="1"/>
  <c r="BQ364" i="42385" s="1"/>
  <c r="BQ907" i="42385"/>
  <c r="BQ910" i="42385" s="1"/>
  <c r="BQ911" i="42385" s="1"/>
  <c r="BQ912" i="42385" s="1"/>
  <c r="BQ522" i="42385"/>
  <c r="BQ525" i="42385" s="1"/>
  <c r="BQ526" i="42385" s="1"/>
  <c r="BQ762" i="42385"/>
  <c r="BQ765" i="42385" s="1"/>
  <c r="BQ478" i="42385"/>
  <c r="BQ449" i="42385"/>
  <c r="BQ452" i="42385" s="1"/>
  <c r="BQ453" i="42385" s="1"/>
  <c r="BQ454" i="42385" s="1"/>
  <c r="BQ1138" i="42385"/>
  <c r="BQ1141" i="42385" s="1"/>
  <c r="BQ611" i="42385"/>
  <c r="BQ388" i="42385"/>
  <c r="BQ494" i="42385"/>
  <c r="BQ497" i="42385" s="1"/>
  <c r="BQ498" i="42385" s="1"/>
  <c r="BQ814" i="42385"/>
  <c r="BQ817" i="42385" s="1"/>
  <c r="BQ818" i="42385" s="1"/>
  <c r="BQ819" i="42385" s="1"/>
  <c r="BQ724" i="42385"/>
  <c r="BQ705" i="42385"/>
  <c r="BQ845" i="42385"/>
  <c r="BQ876" i="42385"/>
  <c r="BQ783" i="42385"/>
  <c r="BQ786" i="42385" s="1"/>
  <c r="BQ787" i="42385" s="1"/>
  <c r="BQ326" i="42385"/>
  <c r="BQ329" i="42385" s="1"/>
  <c r="BQ330" i="42385" s="1"/>
  <c r="BQ331" i="42385" s="1"/>
  <c r="BR320" i="42385"/>
  <c r="BQ743" i="42385"/>
  <c r="BQ746" i="42385" s="1"/>
  <c r="BQ420" i="42385"/>
  <c r="BQ969" i="42385"/>
  <c r="BQ972" i="42385" s="1"/>
  <c r="BQ973" i="42385" s="1"/>
  <c r="BQ974" i="42385" s="1"/>
  <c r="BQ1146" i="42385"/>
  <c r="BQ1149" i="42385" s="1"/>
  <c r="BQ1150" i="42385" s="1"/>
  <c r="BE1138" i="42385"/>
  <c r="BD1141" i="42385"/>
  <c r="BE845" i="42385"/>
  <c r="BD848" i="42385"/>
  <c r="BD849" i="42385" s="1"/>
  <c r="BD850" i="42385" s="1"/>
  <c r="AV330" i="42385"/>
  <c r="AV331" i="42385" s="1"/>
  <c r="AZ329" i="42385"/>
  <c r="AY881" i="42385"/>
  <c r="BA848" i="42385"/>
  <c r="CV845" i="42385"/>
  <c r="BL708" i="42385"/>
  <c r="BM708" i="42385"/>
  <c r="AU818" i="42385"/>
  <c r="CU817" i="42385"/>
  <c r="BD329" i="42385"/>
  <c r="BD330" i="42385" s="1"/>
  <c r="BD331" i="42385" s="1"/>
  <c r="AY1004" i="42385"/>
  <c r="AY1005" i="42385" s="1"/>
  <c r="AZ1003" i="42385"/>
  <c r="BL746" i="42385"/>
  <c r="CY1476" i="42385"/>
  <c r="BO1503" i="42385"/>
  <c r="BP1501" i="42385"/>
  <c r="BQ1476" i="42385"/>
  <c r="BR1439" i="42385"/>
  <c r="BR1431" i="42385" s="1"/>
  <c r="BS1437" i="42385"/>
  <c r="BC180" i="42385"/>
  <c r="BF364" i="42385"/>
  <c r="BK180" i="42385"/>
  <c r="BO180" i="42385"/>
  <c r="CX180" i="42385"/>
  <c r="CF169" i="42385"/>
  <c r="BG180" i="42385"/>
  <c r="AY180" i="42385"/>
  <c r="BF453" i="42385"/>
  <c r="BV453" i="42385"/>
  <c r="AP191" i="42385" l="1"/>
  <c r="AO193" i="42385"/>
  <c r="BF525" i="42385"/>
  <c r="BF526" i="42385" s="1"/>
  <c r="AV212" i="42385"/>
  <c r="AV207" i="42385"/>
  <c r="AV206" i="42385"/>
  <c r="BK275" i="42385"/>
  <c r="BP624" i="42385"/>
  <c r="BP626" i="42385" s="1"/>
  <c r="BP628" i="42385" s="1"/>
  <c r="BQ625" i="42385"/>
  <c r="BL288" i="42385"/>
  <c r="BO280" i="42385"/>
  <c r="BL318" i="42385"/>
  <c r="AU212" i="42385"/>
  <c r="AU207" i="42385"/>
  <c r="AU206" i="42385"/>
  <c r="CY628" i="42385"/>
  <c r="BO629" i="42385"/>
  <c r="CY629" i="42385" s="1"/>
  <c r="BO630" i="42385"/>
  <c r="CY630" i="42385" s="1"/>
  <c r="BQ1501" i="42385"/>
  <c r="BQ1434" i="42385"/>
  <c r="BW265" i="42385"/>
  <c r="BY265" i="42385" s="1"/>
  <c r="BW354" i="42385"/>
  <c r="BW355" i="42385"/>
  <c r="BW353" i="42385"/>
  <c r="BY352" i="42385"/>
  <c r="CA348" i="42385"/>
  <c r="DB348" i="42385"/>
  <c r="BZ347" i="42385"/>
  <c r="DA480" i="42385"/>
  <c r="BY1140" i="42385"/>
  <c r="CF1523" i="42385"/>
  <c r="CF1525" i="42385" s="1"/>
  <c r="CF1499" i="42385" s="1"/>
  <c r="CE1525" i="42385"/>
  <c r="CE1499" i="42385" s="1"/>
  <c r="BQ365" i="42385"/>
  <c r="BE746" i="42385"/>
  <c r="CW746" i="42385" s="1"/>
  <c r="BE708" i="42385"/>
  <c r="CW708" i="42385" s="1"/>
  <c r="BN275" i="42385"/>
  <c r="BN277" i="42385" s="1"/>
  <c r="BN314" i="42385" s="1"/>
  <c r="BN315" i="42385" s="1"/>
  <c r="BU1153" i="42385"/>
  <c r="BO266" i="42385"/>
  <c r="CY266" i="42385" s="1"/>
  <c r="BO381" i="42385"/>
  <c r="CY381" i="42385" s="1"/>
  <c r="BO383" i="42385"/>
  <c r="CY383" i="42385" s="1"/>
  <c r="CY380" i="42385"/>
  <c r="BO382" i="42385"/>
  <c r="CY382" i="42385" s="1"/>
  <c r="CF489" i="42385"/>
  <c r="CF487" i="42385"/>
  <c r="CF223" i="42385"/>
  <c r="CY376" i="42385"/>
  <c r="BO377" i="42385"/>
  <c r="CE270" i="42385"/>
  <c r="CE491" i="42385"/>
  <c r="CE490" i="42385"/>
  <c r="BM1647" i="42385"/>
  <c r="BM316" i="42385"/>
  <c r="BM315" i="42385"/>
  <c r="BM317" i="42385"/>
  <c r="BD1661" i="42385"/>
  <c r="BD1567" i="42385"/>
  <c r="BD1631" i="42385" s="1"/>
  <c r="BD1632" i="42385"/>
  <c r="BK425" i="42385"/>
  <c r="BO1333" i="42385"/>
  <c r="CY1332" i="42385"/>
  <c r="BC1632" i="42385"/>
  <c r="BC1661" i="42385"/>
  <c r="BC1567" i="42385"/>
  <c r="BC1631" i="42385" s="1"/>
  <c r="BK277" i="42385"/>
  <c r="BK314" i="42385" s="1"/>
  <c r="CW1339" i="42385"/>
  <c r="BE1565" i="42385"/>
  <c r="Q35" i="42476"/>
  <c r="Q36" i="42476" s="1"/>
  <c r="G22" i="42465"/>
  <c r="BE1346" i="42385"/>
  <c r="BB212" i="42385"/>
  <c r="BB206" i="42385"/>
  <c r="BB207" i="42385"/>
  <c r="BR408" i="42385"/>
  <c r="BQ407" i="42385"/>
  <c r="BQ410" i="42385" s="1"/>
  <c r="BQ412" i="42385" s="1"/>
  <c r="BQ788" i="42385"/>
  <c r="BA201" i="42385"/>
  <c r="CV1366" i="42385"/>
  <c r="AZ1426" i="42385"/>
  <c r="CV1426" i="42385" s="1"/>
  <c r="F28" i="42465"/>
  <c r="AZ201" i="42385"/>
  <c r="AY211" i="42385"/>
  <c r="AY209" i="42385"/>
  <c r="BI1332" i="42385"/>
  <c r="BI1333" i="42385" s="1"/>
  <c r="BI1339" i="42385" s="1"/>
  <c r="BH1339" i="42385"/>
  <c r="P40" i="42476"/>
  <c r="P38" i="42476"/>
  <c r="BF1426" i="42385"/>
  <c r="AX209" i="42385"/>
  <c r="AX211" i="42385"/>
  <c r="CY267" i="42385"/>
  <c r="BF1567" i="42385"/>
  <c r="BF1631" i="42385" s="1"/>
  <c r="BF1661" i="42385"/>
  <c r="BF1632" i="42385"/>
  <c r="CV1567" i="42385"/>
  <c r="AZ1631" i="42385"/>
  <c r="BY1149" i="42385"/>
  <c r="DA1149" i="42385" s="1"/>
  <c r="BE481" i="42385"/>
  <c r="CW481" i="42385" s="1"/>
  <c r="BK1339" i="42385"/>
  <c r="BL1332" i="42385"/>
  <c r="BL1333" i="42385" s="1"/>
  <c r="CF63" i="42385"/>
  <c r="CF1280" i="42385"/>
  <c r="CF107" i="42385"/>
  <c r="CF1557" i="42385"/>
  <c r="BC201" i="42385"/>
  <c r="BD201" i="42385"/>
  <c r="BC1426" i="42385"/>
  <c r="BG1346" i="42385"/>
  <c r="BG1366" i="42385" s="1"/>
  <c r="BG1565" i="42385"/>
  <c r="S35" i="42476"/>
  <c r="S36" i="42476" s="1"/>
  <c r="R40" i="42476"/>
  <c r="R38" i="42476"/>
  <c r="BP410" i="42385"/>
  <c r="BM453" i="42385"/>
  <c r="BA849" i="42385"/>
  <c r="BA850" i="42385" s="1"/>
  <c r="BE848" i="42385"/>
  <c r="BQ1151" i="42385"/>
  <c r="BV1150" i="42385"/>
  <c r="BR522" i="42385"/>
  <c r="BR525" i="42385" s="1"/>
  <c r="BR526" i="42385" s="1"/>
  <c r="BR494" i="42385"/>
  <c r="BR497" i="42385" s="1"/>
  <c r="BR498" i="42385" s="1"/>
  <c r="BR420" i="42385"/>
  <c r="BR724" i="42385"/>
  <c r="BR727" i="42385" s="1"/>
  <c r="BR907" i="42385"/>
  <c r="BR910" i="42385" s="1"/>
  <c r="BR911" i="42385" s="1"/>
  <c r="BR912" i="42385" s="1"/>
  <c r="BR478" i="42385"/>
  <c r="BR481" i="42385" s="1"/>
  <c r="BR783" i="42385"/>
  <c r="BR786" i="42385" s="1"/>
  <c r="BR787" i="42385" s="1"/>
  <c r="BR788" i="42385" s="1"/>
  <c r="BR550" i="42385"/>
  <c r="BR553" i="42385" s="1"/>
  <c r="BR554" i="42385" s="1"/>
  <c r="BR360" i="42385"/>
  <c r="BR845" i="42385"/>
  <c r="BR848" i="42385" s="1"/>
  <c r="BR849" i="42385" s="1"/>
  <c r="BR850" i="42385" s="1"/>
  <c r="BR876" i="42385"/>
  <c r="BR705" i="42385"/>
  <c r="BR708" i="42385" s="1"/>
  <c r="BR969" i="42385"/>
  <c r="BR972" i="42385" s="1"/>
  <c r="BR973" i="42385" s="1"/>
  <c r="BR974" i="42385" s="1"/>
  <c r="BS320" i="42385"/>
  <c r="BR326" i="42385"/>
  <c r="BR329" i="42385" s="1"/>
  <c r="BR330" i="42385" s="1"/>
  <c r="BR331" i="42385" s="1"/>
  <c r="BR1138" i="42385"/>
  <c r="BR1141" i="42385" s="1"/>
  <c r="BR762" i="42385"/>
  <c r="BR388" i="42385"/>
  <c r="BR391" i="42385" s="1"/>
  <c r="BR392" i="42385" s="1"/>
  <c r="BR393" i="42385" s="1"/>
  <c r="BR611" i="42385"/>
  <c r="BR614" i="42385" s="1"/>
  <c r="BR615" i="42385" s="1"/>
  <c r="BR616" i="42385" s="1"/>
  <c r="BR814" i="42385"/>
  <c r="BR817" i="42385" s="1"/>
  <c r="BR818" i="42385" s="1"/>
  <c r="BR819" i="42385" s="1"/>
  <c r="BR449" i="42385"/>
  <c r="BR452" i="42385" s="1"/>
  <c r="BR453" i="42385" s="1"/>
  <c r="BR743" i="42385"/>
  <c r="BR746" i="42385" s="1"/>
  <c r="BR1146" i="42385"/>
  <c r="BR1149" i="42385" s="1"/>
  <c r="BR1150" i="42385" s="1"/>
  <c r="BQ848" i="42385"/>
  <c r="BQ849" i="42385" s="1"/>
  <c r="BQ850" i="42385" s="1"/>
  <c r="BQ499" i="42385"/>
  <c r="BV498" i="42385"/>
  <c r="AU912" i="42385"/>
  <c r="CU912" i="42385" s="1"/>
  <c r="CU911" i="42385"/>
  <c r="BO974" i="42385"/>
  <c r="CY974" i="42385" s="1"/>
  <c r="CY973" i="42385"/>
  <c r="CU364" i="42385"/>
  <c r="AU365" i="42385"/>
  <c r="CU365" i="42385" s="1"/>
  <c r="CU615" i="42385"/>
  <c r="AU616" i="42385"/>
  <c r="CU616" i="42385" s="1"/>
  <c r="BF910" i="42385"/>
  <c r="BF911" i="42385" s="1"/>
  <c r="CW907" i="42385"/>
  <c r="BF817" i="42385"/>
  <c r="BF818" i="42385" s="1"/>
  <c r="AZ586" i="42385"/>
  <c r="CV586" i="42385" s="1"/>
  <c r="CV585" i="42385"/>
  <c r="BT973" i="42385"/>
  <c r="CZ972" i="42385"/>
  <c r="CV941" i="42385"/>
  <c r="AZ942" i="42385"/>
  <c r="BA615" i="42385"/>
  <c r="BA616" i="42385" s="1"/>
  <c r="BE614" i="42385"/>
  <c r="BA787" i="42385"/>
  <c r="BA788" i="42385" s="1"/>
  <c r="BE786" i="42385"/>
  <c r="CY1150" i="42385"/>
  <c r="BO1151" i="42385"/>
  <c r="CY1151" i="42385" s="1"/>
  <c r="BA880" i="42385"/>
  <c r="BA881" i="42385" s="1"/>
  <c r="BE879" i="42385"/>
  <c r="BF765" i="42385"/>
  <c r="CW762" i="42385"/>
  <c r="AU881" i="42385"/>
  <c r="CU881" i="42385" s="1"/>
  <c r="CU880" i="42385"/>
  <c r="CV817" i="42385"/>
  <c r="AZ818" i="42385"/>
  <c r="BY972" i="42385"/>
  <c r="DA969" i="42385"/>
  <c r="AZ392" i="42385"/>
  <c r="CV391" i="42385"/>
  <c r="CW845" i="42385"/>
  <c r="BF848" i="42385"/>
  <c r="BF849" i="42385" s="1"/>
  <c r="BQ708" i="42385"/>
  <c r="BQ391" i="42385"/>
  <c r="BQ392" i="42385" s="1"/>
  <c r="BQ393" i="42385" s="1"/>
  <c r="CV614" i="42385"/>
  <c r="AZ615" i="42385"/>
  <c r="BE497" i="42385"/>
  <c r="CW497" i="42385" s="1"/>
  <c r="BD498" i="42385"/>
  <c r="BE498" i="42385" s="1"/>
  <c r="CW498" i="42385" s="1"/>
  <c r="BF391" i="42385"/>
  <c r="BF392" i="42385" s="1"/>
  <c r="BF746" i="42385"/>
  <c r="BG388" i="42385"/>
  <c r="BG391" i="42385" s="1"/>
  <c r="BG392" i="42385" s="1"/>
  <c r="BG762" i="42385"/>
  <c r="BG765" i="42385" s="1"/>
  <c r="BH320" i="42385"/>
  <c r="BG611" i="42385"/>
  <c r="BG614" i="42385" s="1"/>
  <c r="BG615" i="42385" s="1"/>
  <c r="BG326" i="42385"/>
  <c r="BG1138" i="42385"/>
  <c r="BG1141" i="42385" s="1"/>
  <c r="BG449" i="42385"/>
  <c r="BG360" i="42385"/>
  <c r="BG969" i="42385"/>
  <c r="BG972" i="42385" s="1"/>
  <c r="BG973" i="42385" s="1"/>
  <c r="BG814" i="42385"/>
  <c r="BG817" i="42385" s="1"/>
  <c r="BG818" i="42385" s="1"/>
  <c r="BG1146" i="42385"/>
  <c r="BG1149" i="42385" s="1"/>
  <c r="BG1150" i="42385" s="1"/>
  <c r="BG907" i="42385"/>
  <c r="BG910" i="42385" s="1"/>
  <c r="BG911" i="42385" s="1"/>
  <c r="BG743" i="42385"/>
  <c r="BG746" i="42385" s="1"/>
  <c r="BG494" i="42385"/>
  <c r="BG497" i="42385" s="1"/>
  <c r="BG498" i="42385" s="1"/>
  <c r="BL499" i="42385" s="1"/>
  <c r="BG478" i="42385"/>
  <c r="BG481" i="42385" s="1"/>
  <c r="BG522" i="42385"/>
  <c r="BG525" i="42385" s="1"/>
  <c r="BG526" i="42385" s="1"/>
  <c r="BL527" i="42385" s="1"/>
  <c r="BG783" i="42385"/>
  <c r="BG786" i="42385" s="1"/>
  <c r="BG787" i="42385" s="1"/>
  <c r="BG845" i="42385"/>
  <c r="BG848" i="42385" s="1"/>
  <c r="BG849" i="42385" s="1"/>
  <c r="BG876" i="42385"/>
  <c r="BG550" i="42385"/>
  <c r="BG553" i="42385" s="1"/>
  <c r="BG554" i="42385" s="1"/>
  <c r="BL555" i="42385" s="1"/>
  <c r="BG705" i="42385"/>
  <c r="BG708" i="42385" s="1"/>
  <c r="BG420" i="42385"/>
  <c r="BA911" i="42385"/>
  <c r="BA912" i="42385" s="1"/>
  <c r="BE910" i="42385"/>
  <c r="CV879" i="42385"/>
  <c r="AZ880" i="42385"/>
  <c r="CV363" i="42385"/>
  <c r="AZ364" i="42385"/>
  <c r="BD526" i="42385"/>
  <c r="BE526" i="42385" s="1"/>
  <c r="CW526" i="42385" s="1"/>
  <c r="BE525" i="42385"/>
  <c r="CW525" i="42385" s="1"/>
  <c r="CV786" i="42385"/>
  <c r="AZ787" i="42385"/>
  <c r="CW452" i="42385"/>
  <c r="BE453" i="42385"/>
  <c r="BA364" i="42385"/>
  <c r="BA365" i="42385" s="1"/>
  <c r="BE363" i="42385"/>
  <c r="BA818" i="42385"/>
  <c r="BA819" i="42385" s="1"/>
  <c r="BE817" i="42385"/>
  <c r="BV550" i="42385"/>
  <c r="BV553" i="42385" s="1"/>
  <c r="BV845" i="42385"/>
  <c r="BW320" i="42385"/>
  <c r="BV420" i="42385"/>
  <c r="BV423" i="42385" s="1"/>
  <c r="BV522" i="42385"/>
  <c r="BV525" i="42385" s="1"/>
  <c r="BV705" i="42385"/>
  <c r="BV708" i="42385" s="1"/>
  <c r="BV743" i="42385"/>
  <c r="BV814" i="42385"/>
  <c r="BV817" i="42385" s="1"/>
  <c r="BV818" i="42385" s="1"/>
  <c r="BV819" i="42385" s="1"/>
  <c r="BV724" i="42385"/>
  <c r="BV727" i="42385" s="1"/>
  <c r="BV326" i="42385"/>
  <c r="BV329" i="42385" s="1"/>
  <c r="BV330" i="42385" s="1"/>
  <c r="BV331" i="42385" s="1"/>
  <c r="BV876" i="42385"/>
  <c r="BV879" i="42385" s="1"/>
  <c r="BV880" i="42385" s="1"/>
  <c r="BV1146" i="42385"/>
  <c r="BV1149" i="42385" s="1"/>
  <c r="BV1138" i="42385"/>
  <c r="BV1141" i="42385" s="1"/>
  <c r="BV969" i="42385"/>
  <c r="BV972" i="42385" s="1"/>
  <c r="BV973" i="42385" s="1"/>
  <c r="BV974" i="42385" s="1"/>
  <c r="BV611" i="42385"/>
  <c r="BV360" i="42385"/>
  <c r="BV363" i="42385" s="1"/>
  <c r="BV364" i="42385" s="1"/>
  <c r="BV365" i="42385" s="1"/>
  <c r="BV907" i="42385"/>
  <c r="BV910" i="42385" s="1"/>
  <c r="BV911" i="42385" s="1"/>
  <c r="BV912" i="42385" s="1"/>
  <c r="BV494" i="42385"/>
  <c r="BV497" i="42385" s="1"/>
  <c r="BV762" i="42385"/>
  <c r="BV388" i="42385"/>
  <c r="BV391" i="42385" s="1"/>
  <c r="BV392" i="42385" s="1"/>
  <c r="BV478" i="42385"/>
  <c r="BV783" i="42385"/>
  <c r="BV449" i="42385"/>
  <c r="BR1432" i="42385"/>
  <c r="BR1477" i="42385" s="1"/>
  <c r="AZ1004" i="42385"/>
  <c r="CV1003" i="42385"/>
  <c r="AU819" i="42385"/>
  <c r="CU819" i="42385" s="1"/>
  <c r="CU818" i="42385"/>
  <c r="CV329" i="42385"/>
  <c r="AZ330" i="42385"/>
  <c r="BQ423" i="42385"/>
  <c r="BQ424" i="42385" s="1"/>
  <c r="BR423" i="42385"/>
  <c r="BR424" i="42385" s="1"/>
  <c r="BQ727" i="42385"/>
  <c r="BQ614" i="42385"/>
  <c r="BQ615" i="42385" s="1"/>
  <c r="BQ616" i="42385" s="1"/>
  <c r="BQ555" i="42385"/>
  <c r="BV554" i="42385"/>
  <c r="BE1141" i="42385"/>
  <c r="CW1141" i="42385" s="1"/>
  <c r="CU392" i="42385"/>
  <c r="AU393" i="42385"/>
  <c r="CU393" i="42385" s="1"/>
  <c r="BF614" i="42385"/>
  <c r="BF615" i="42385" s="1"/>
  <c r="CW611" i="42385"/>
  <c r="BF974" i="42385"/>
  <c r="BK974" i="42385"/>
  <c r="BF497" i="42385"/>
  <c r="BF498" i="42385" s="1"/>
  <c r="AU850" i="42385"/>
  <c r="CU850" i="42385" s="1"/>
  <c r="CU849" i="42385"/>
  <c r="CV910" i="42385"/>
  <c r="AZ911" i="42385"/>
  <c r="BN360" i="42385"/>
  <c r="BN420" i="42385"/>
  <c r="BN783" i="42385"/>
  <c r="BN326" i="42385"/>
  <c r="BN1146" i="42385"/>
  <c r="BN1149" i="42385" s="1"/>
  <c r="BN1150" i="42385" s="1"/>
  <c r="BX1150" i="42385" s="1"/>
  <c r="BN1138" i="42385"/>
  <c r="BN494" i="42385"/>
  <c r="BN449" i="42385"/>
  <c r="BN452" i="42385" s="1"/>
  <c r="BN453" i="42385" s="1"/>
  <c r="BN969" i="42385"/>
  <c r="BN972" i="42385" s="1"/>
  <c r="BN973" i="42385" s="1"/>
  <c r="BN611" i="42385"/>
  <c r="BO611" i="42385" s="1"/>
  <c r="BN762" i="42385"/>
  <c r="BN907" i="42385"/>
  <c r="BN743" i="42385"/>
  <c r="BN845" i="42385"/>
  <c r="BN388" i="42385"/>
  <c r="BN876" i="42385"/>
  <c r="BN522" i="42385"/>
  <c r="BN814" i="42385"/>
  <c r="BO814" i="42385" s="1"/>
  <c r="BN550" i="42385"/>
  <c r="BN705" i="42385"/>
  <c r="BN724" i="42385"/>
  <c r="BN727" i="42385" s="1"/>
  <c r="BO727" i="42385" s="1"/>
  <c r="BN478" i="42385"/>
  <c r="BF786" i="42385"/>
  <c r="BF787" i="42385" s="1"/>
  <c r="BF788" i="42385" s="1"/>
  <c r="CW783" i="42385"/>
  <c r="BE424" i="42385"/>
  <c r="CW423" i="42385"/>
  <c r="BZ876" i="42385"/>
  <c r="DB876" i="42385" s="1"/>
  <c r="DB320" i="42385"/>
  <c r="BZ420" i="42385"/>
  <c r="BZ494" i="42385"/>
  <c r="DB494" i="42385" s="1"/>
  <c r="BZ907" i="42385"/>
  <c r="DB907" i="42385" s="1"/>
  <c r="BZ705" i="42385"/>
  <c r="DB705" i="42385" s="1"/>
  <c r="BZ814" i="42385"/>
  <c r="DB814" i="42385" s="1"/>
  <c r="CA320" i="42385"/>
  <c r="BZ743" i="42385"/>
  <c r="DB743" i="42385" s="1"/>
  <c r="BZ783" i="42385"/>
  <c r="DB783" i="42385" s="1"/>
  <c r="BZ550" i="42385"/>
  <c r="DB550" i="42385" s="1"/>
  <c r="BZ845" i="42385"/>
  <c r="DB845" i="42385" s="1"/>
  <c r="BZ522" i="42385"/>
  <c r="DB522" i="42385" s="1"/>
  <c r="BZ1146" i="42385"/>
  <c r="BZ969" i="42385"/>
  <c r="BZ326" i="42385"/>
  <c r="DB326" i="42385" s="1"/>
  <c r="BZ360" i="42385"/>
  <c r="DB360" i="42385" s="1"/>
  <c r="BZ724" i="42385"/>
  <c r="BZ727" i="42385" s="1"/>
  <c r="BZ762" i="42385"/>
  <c r="DB762" i="42385" s="1"/>
  <c r="BZ388" i="42385"/>
  <c r="DB388" i="42385" s="1"/>
  <c r="DB478" i="42385"/>
  <c r="BZ449" i="42385"/>
  <c r="BZ611" i="42385"/>
  <c r="DB611" i="42385" s="1"/>
  <c r="BE765" i="42385"/>
  <c r="CW765" i="42385" s="1"/>
  <c r="CW1138" i="42385"/>
  <c r="BF1141" i="42385"/>
  <c r="BQ879" i="42385"/>
  <c r="BQ880" i="42385" s="1"/>
  <c r="BQ881" i="42385" s="1"/>
  <c r="BR879" i="42385"/>
  <c r="BR880" i="42385" s="1"/>
  <c r="BR881" i="42385" s="1"/>
  <c r="BQ527" i="42385"/>
  <c r="BV526" i="42385"/>
  <c r="BA942" i="42385"/>
  <c r="BA943" i="42385" s="1"/>
  <c r="BE941" i="42385"/>
  <c r="CU330" i="42385"/>
  <c r="AU331" i="42385"/>
  <c r="CU331" i="42385" s="1"/>
  <c r="BF329" i="42385"/>
  <c r="BF330" i="42385" s="1"/>
  <c r="BG329" i="42385"/>
  <c r="BG330" i="42385" s="1"/>
  <c r="BF481" i="42385"/>
  <c r="BF1151" i="42385"/>
  <c r="BK1151" i="42385"/>
  <c r="CV848" i="42385"/>
  <c r="AZ849" i="42385"/>
  <c r="BA392" i="42385"/>
  <c r="BA393" i="42385" s="1"/>
  <c r="BE391" i="42385"/>
  <c r="CU787" i="42385"/>
  <c r="AU788" i="42385"/>
  <c r="CU788" i="42385" s="1"/>
  <c r="BA330" i="42385"/>
  <c r="BA331" i="42385" s="1"/>
  <c r="BE329" i="42385"/>
  <c r="BQ481" i="42385"/>
  <c r="BT1437" i="42385"/>
  <c r="BS1439" i="42385"/>
  <c r="BO1504" i="42385"/>
  <c r="CY1504" i="42385" s="1"/>
  <c r="CY1503" i="42385"/>
  <c r="BR1476" i="42385"/>
  <c r="CY180" i="42385"/>
  <c r="BP180" i="42385"/>
  <c r="BT180" i="42385"/>
  <c r="BF454" i="42385"/>
  <c r="BK454" i="42385"/>
  <c r="BH180" i="42385"/>
  <c r="BL180" i="42385"/>
  <c r="BD180" i="42385"/>
  <c r="AP193" i="42385" l="1"/>
  <c r="CT193" i="42385" s="1"/>
  <c r="AU191" i="42385"/>
  <c r="CT191" i="42385"/>
  <c r="AQ191" i="42385"/>
  <c r="BQ624" i="42385"/>
  <c r="BQ626" i="42385" s="1"/>
  <c r="BR625" i="42385"/>
  <c r="AU211" i="42385"/>
  <c r="AU209" i="42385"/>
  <c r="CY280" i="42385"/>
  <c r="BL290" i="42385"/>
  <c r="BL314" i="42385" s="1"/>
  <c r="BO288" i="42385"/>
  <c r="CY288" i="42385" s="1"/>
  <c r="AV209" i="42385"/>
  <c r="AV211" i="42385"/>
  <c r="BP630" i="42385"/>
  <c r="BP280" i="42385"/>
  <c r="BP288" i="42385" s="1"/>
  <c r="BP629" i="42385"/>
  <c r="BN614" i="42385"/>
  <c r="BN615" i="42385" s="1"/>
  <c r="B7" i="42408"/>
  <c r="DA265" i="42385"/>
  <c r="CB348" i="42385"/>
  <c r="DC348" i="42385"/>
  <c r="CA347" i="42385"/>
  <c r="BY354" i="42385"/>
  <c r="DA354" i="42385" s="1"/>
  <c r="BY353" i="42385"/>
  <c r="DA353" i="42385" s="1"/>
  <c r="DA352" i="42385"/>
  <c r="BY355" i="42385"/>
  <c r="DA355" i="42385" s="1"/>
  <c r="DB347" i="42385"/>
  <c r="BZ350" i="42385"/>
  <c r="DA1140" i="42385"/>
  <c r="BY1138" i="42385"/>
  <c r="DA1138" i="42385" s="1"/>
  <c r="DB480" i="42385"/>
  <c r="BZ1140" i="42385"/>
  <c r="BO318" i="42385"/>
  <c r="BN317" i="42385"/>
  <c r="BP290" i="42385"/>
  <c r="BV881" i="42385"/>
  <c r="BN1647" i="42385"/>
  <c r="BN316" i="42385"/>
  <c r="BO275" i="42385"/>
  <c r="BU1156" i="42385"/>
  <c r="BU1154" i="42385"/>
  <c r="BR1501" i="42385"/>
  <c r="BY1501" i="42385" s="1"/>
  <c r="BV393" i="42385"/>
  <c r="BR1434" i="42385"/>
  <c r="BV529" i="42385"/>
  <c r="BV532" i="42385" s="1"/>
  <c r="DN387" i="42492"/>
  <c r="CY377" i="42385"/>
  <c r="BP377" i="42385"/>
  <c r="CF490" i="42385"/>
  <c r="CF491" i="42385"/>
  <c r="CF270" i="42385"/>
  <c r="BD207" i="42385"/>
  <c r="BD212" i="42385"/>
  <c r="BD206" i="42385"/>
  <c r="BU430" i="42385"/>
  <c r="Q38" i="42476"/>
  <c r="Q40" i="42476"/>
  <c r="BK1565" i="42385"/>
  <c r="BK1346" i="42385"/>
  <c r="BK1366" i="42385" s="1"/>
  <c r="W35" i="42476"/>
  <c r="W36" i="42476" s="1"/>
  <c r="CV1631" i="42385"/>
  <c r="CY260" i="42417"/>
  <c r="BI1346" i="42385"/>
  <c r="BI1366" i="42385" s="1"/>
  <c r="BI1426" i="42385" s="1"/>
  <c r="U35" i="42476"/>
  <c r="U36" i="42476" s="1"/>
  <c r="BI1565" i="42385"/>
  <c r="AB102" i="42492"/>
  <c r="BJ1339" i="42385"/>
  <c r="BA206" i="42385"/>
  <c r="BA207" i="42385"/>
  <c r="BA212" i="42385"/>
  <c r="S38" i="42476"/>
  <c r="S40" i="42476"/>
  <c r="BK317" i="42385"/>
  <c r="BK1647" i="42385"/>
  <c r="BK316" i="42385"/>
  <c r="BK315" i="42385"/>
  <c r="BF850" i="42385"/>
  <c r="BP412" i="42385"/>
  <c r="BG1661" i="42385"/>
  <c r="BG1632" i="42385"/>
  <c r="BG1567" i="42385"/>
  <c r="BG1631" i="42385" s="1"/>
  <c r="BC206" i="42385"/>
  <c r="BC212" i="42385"/>
  <c r="BC207" i="42385"/>
  <c r="BQ415" i="42385"/>
  <c r="BQ414" i="42385"/>
  <c r="BQ413" i="42385"/>
  <c r="BQ267" i="42385"/>
  <c r="BE1567" i="42385"/>
  <c r="BE1661" i="42385"/>
  <c r="F38" i="42409"/>
  <c r="F40" i="42409" s="1"/>
  <c r="F42" i="42409" s="1"/>
  <c r="F44" i="42409" s="1"/>
  <c r="CW1565" i="42385"/>
  <c r="BE1632" i="42385"/>
  <c r="CW1632" i="42385" s="1"/>
  <c r="CZ259" i="42417"/>
  <c r="BB209" i="42385"/>
  <c r="BB211" i="42385"/>
  <c r="BF331" i="42385"/>
  <c r="BF616" i="42385"/>
  <c r="BG1426" i="42385"/>
  <c r="BL1339" i="42385"/>
  <c r="BM1332" i="42385"/>
  <c r="BM1333" i="42385" s="1"/>
  <c r="BG201" i="42385"/>
  <c r="AA102" i="42492"/>
  <c r="T35" i="42476"/>
  <c r="T36" i="42476" s="1"/>
  <c r="BH1346" i="42385"/>
  <c r="BH1366" i="42385" s="1"/>
  <c r="BH1565" i="42385"/>
  <c r="AZ212" i="42385"/>
  <c r="AZ206" i="42385"/>
  <c r="AZ207" i="42385"/>
  <c r="BS408" i="42385"/>
  <c r="BR407" i="42385"/>
  <c r="BE1366" i="42385"/>
  <c r="CW1346" i="42385"/>
  <c r="BT1332" i="42385"/>
  <c r="CZ1332" i="42385" s="1"/>
  <c r="CY1333" i="42385"/>
  <c r="BP1332" i="42385"/>
  <c r="BP1333" i="42385" s="1"/>
  <c r="BG850" i="42385"/>
  <c r="BL850" i="42385"/>
  <c r="BG819" i="42385"/>
  <c r="BL819" i="42385"/>
  <c r="BG393" i="42385"/>
  <c r="BL393" i="42385"/>
  <c r="BG912" i="42385"/>
  <c r="BL912" i="42385"/>
  <c r="BG616" i="42385"/>
  <c r="BL616" i="42385"/>
  <c r="CW391" i="42385"/>
  <c r="BE392" i="42385"/>
  <c r="BZ1149" i="42385"/>
  <c r="DB1149" i="42385" s="1"/>
  <c r="DB1146" i="42385"/>
  <c r="BZ423" i="42385"/>
  <c r="DB423" i="42385" s="1"/>
  <c r="DB420" i="42385"/>
  <c r="CW424" i="42385"/>
  <c r="BE425" i="42385"/>
  <c r="CW425" i="42385" s="1"/>
  <c r="BO522" i="42385"/>
  <c r="BN525" i="42385"/>
  <c r="BN526" i="42385" s="1"/>
  <c r="BO743" i="42385"/>
  <c r="BN746" i="42385"/>
  <c r="BO360" i="42385"/>
  <c r="BN363" i="42385"/>
  <c r="BN364" i="42385" s="1"/>
  <c r="BW424" i="42385"/>
  <c r="BR425" i="42385"/>
  <c r="BV481" i="42385"/>
  <c r="BG363" i="42385"/>
  <c r="BF393" i="42385"/>
  <c r="AZ819" i="42385"/>
  <c r="CV819" i="42385" s="1"/>
  <c r="CV818" i="42385"/>
  <c r="BN817" i="42385"/>
  <c r="BN818" i="42385" s="1"/>
  <c r="BS550" i="42385"/>
  <c r="BS449" i="42385"/>
  <c r="BS611" i="42385"/>
  <c r="BS762" i="42385"/>
  <c r="BT762" i="42385" s="1"/>
  <c r="BS743" i="42385"/>
  <c r="BS360" i="42385"/>
  <c r="BT360" i="42385" s="1"/>
  <c r="BS814" i="42385"/>
  <c r="BS420" i="42385"/>
  <c r="BS388" i="42385"/>
  <c r="BS876" i="42385"/>
  <c r="BS326" i="42385"/>
  <c r="BS969" i="42385"/>
  <c r="BS972" i="42385" s="1"/>
  <c r="BS973" i="42385" s="1"/>
  <c r="BS974" i="42385" s="1"/>
  <c r="BS478" i="42385"/>
  <c r="BS705" i="42385"/>
  <c r="BT705" i="42385" s="1"/>
  <c r="BS724" i="42385"/>
  <c r="BS727" i="42385" s="1"/>
  <c r="BT727" i="42385" s="1"/>
  <c r="BS907" i="42385"/>
  <c r="BS783" i="42385"/>
  <c r="BS494" i="42385"/>
  <c r="BS522" i="42385"/>
  <c r="BS1146" i="42385"/>
  <c r="BS1138" i="42385"/>
  <c r="BS845" i="42385"/>
  <c r="BR499" i="42385"/>
  <c r="BW498" i="42385"/>
  <c r="BE849" i="42385"/>
  <c r="CW848" i="42385"/>
  <c r="BF365" i="42385"/>
  <c r="BG331" i="42385"/>
  <c r="BL331" i="42385"/>
  <c r="BO705" i="42385"/>
  <c r="BN708" i="42385"/>
  <c r="BO876" i="42385"/>
  <c r="BN879" i="42385"/>
  <c r="BN880" i="42385" s="1"/>
  <c r="BO907" i="42385"/>
  <c r="BN910" i="42385"/>
  <c r="BN911" i="42385" s="1"/>
  <c r="BO326" i="42385"/>
  <c r="BN329" i="42385"/>
  <c r="BN330" i="42385" s="1"/>
  <c r="BV424" i="42385"/>
  <c r="BV427" i="42385" s="1"/>
  <c r="BQ425" i="42385"/>
  <c r="BE818" i="42385"/>
  <c r="CW817" i="42385"/>
  <c r="CW453" i="42385"/>
  <c r="BE454" i="42385"/>
  <c r="CW454" i="42385" s="1"/>
  <c r="CV880" i="42385"/>
  <c r="AZ881" i="42385"/>
  <c r="CV881" i="42385" s="1"/>
  <c r="BG788" i="42385"/>
  <c r="BL788" i="42385"/>
  <c r="BG879" i="42385"/>
  <c r="BG880" i="42385" s="1"/>
  <c r="BG1151" i="42385"/>
  <c r="BL1151" i="42385"/>
  <c r="BG452" i="42385"/>
  <c r="BG453" i="42385" s="1"/>
  <c r="BI320" i="42385"/>
  <c r="BH326" i="42385"/>
  <c r="BH845" i="42385"/>
  <c r="BH783" i="42385"/>
  <c r="BH786" i="42385" s="1"/>
  <c r="BH787" i="42385" s="1"/>
  <c r="BH478" i="42385"/>
  <c r="BH481" i="42385" s="1"/>
  <c r="BH611" i="42385"/>
  <c r="BH614" i="42385" s="1"/>
  <c r="BH615" i="42385" s="1"/>
  <c r="BH814" i="42385"/>
  <c r="BH817" i="42385" s="1"/>
  <c r="BH550" i="42385"/>
  <c r="BH553" i="42385" s="1"/>
  <c r="BH554" i="42385" s="1"/>
  <c r="BM555" i="42385" s="1"/>
  <c r="BH522" i="42385"/>
  <c r="BH525" i="42385" s="1"/>
  <c r="BH526" i="42385" s="1"/>
  <c r="BM527" i="42385" s="1"/>
  <c r="BH449" i="42385"/>
  <c r="BH452" i="42385" s="1"/>
  <c r="BH388" i="42385"/>
  <c r="BH391" i="42385" s="1"/>
  <c r="BH494" i="42385"/>
  <c r="BH497" i="42385" s="1"/>
  <c r="BH498" i="42385" s="1"/>
  <c r="BM499" i="42385" s="1"/>
  <c r="BH705" i="42385"/>
  <c r="BH708" i="42385" s="1"/>
  <c r="BH420" i="42385"/>
  <c r="BH423" i="42385" s="1"/>
  <c r="BH424" i="42385" s="1"/>
  <c r="BH1146" i="42385"/>
  <c r="BH1149" i="42385" s="1"/>
  <c r="BH1150" i="42385" s="1"/>
  <c r="BH969" i="42385"/>
  <c r="BH972" i="42385" s="1"/>
  <c r="BH973" i="42385" s="1"/>
  <c r="BH762" i="42385"/>
  <c r="BH765" i="42385" s="1"/>
  <c r="BH907" i="42385"/>
  <c r="BH876" i="42385"/>
  <c r="BH360" i="42385"/>
  <c r="BH363" i="42385" s="1"/>
  <c r="BH364" i="42385" s="1"/>
  <c r="BH743" i="42385"/>
  <c r="BH1138" i="42385"/>
  <c r="BH1141" i="42385" s="1"/>
  <c r="AZ393" i="42385"/>
  <c r="CV393" i="42385" s="1"/>
  <c r="CV392" i="42385"/>
  <c r="CW614" i="42385"/>
  <c r="BE615" i="42385"/>
  <c r="BR454" i="42385"/>
  <c r="BW453" i="42385"/>
  <c r="BR765" i="42385"/>
  <c r="BR363" i="42385"/>
  <c r="BR364" i="42385" s="1"/>
  <c r="BR365" i="42385" s="1"/>
  <c r="BR527" i="42385"/>
  <c r="BW526" i="42385"/>
  <c r="BF881" i="42385"/>
  <c r="AZ850" i="42385"/>
  <c r="CV850" i="42385" s="1"/>
  <c r="CV849" i="42385"/>
  <c r="CW941" i="42385"/>
  <c r="BE942" i="42385"/>
  <c r="CW942" i="42385" s="1"/>
  <c r="BZ972" i="42385"/>
  <c r="DB969" i="42385"/>
  <c r="DB1193" i="42385"/>
  <c r="DB1190" i="42385"/>
  <c r="BO550" i="42385"/>
  <c r="BN553" i="42385"/>
  <c r="BN554" i="42385" s="1"/>
  <c r="BS555" i="42385" s="1"/>
  <c r="BO388" i="42385"/>
  <c r="BN391" i="42385"/>
  <c r="BN392" i="42385" s="1"/>
  <c r="BO762" i="42385"/>
  <c r="BN765" i="42385"/>
  <c r="BN497" i="42385"/>
  <c r="BN498" i="42385" s="1"/>
  <c r="BO494" i="42385"/>
  <c r="BO783" i="42385"/>
  <c r="BN786" i="42385"/>
  <c r="BN787" i="42385" s="1"/>
  <c r="BV555" i="42385"/>
  <c r="BV557" i="42385"/>
  <c r="CV330" i="42385"/>
  <c r="AZ331" i="42385"/>
  <c r="CV331" i="42385" s="1"/>
  <c r="BV452" i="42385"/>
  <c r="BV456" i="42385" s="1"/>
  <c r="BV465" i="42385" s="1"/>
  <c r="BV467" i="42385" s="1"/>
  <c r="BV614" i="42385"/>
  <c r="BV615" i="42385" s="1"/>
  <c r="BV616" i="42385" s="1"/>
  <c r="BV746" i="42385"/>
  <c r="BW388" i="42385"/>
  <c r="BW391" i="42385" s="1"/>
  <c r="BW392" i="42385" s="1"/>
  <c r="BW393" i="42385" s="1"/>
  <c r="BW724" i="42385"/>
  <c r="BW783" i="42385"/>
  <c r="BW786" i="42385" s="1"/>
  <c r="BW787" i="42385" s="1"/>
  <c r="BW788" i="42385" s="1"/>
  <c r="BW814" i="42385"/>
  <c r="BW743" i="42385"/>
  <c r="BW746" i="42385" s="1"/>
  <c r="BW845" i="42385"/>
  <c r="BW420" i="42385"/>
  <c r="BW522" i="42385"/>
  <c r="BW525" i="42385" s="1"/>
  <c r="BX320" i="42385"/>
  <c r="BW876" i="42385"/>
  <c r="BW879" i="42385" s="1"/>
  <c r="BW880" i="42385" s="1"/>
  <c r="BW881" i="42385" s="1"/>
  <c r="BW449" i="42385"/>
  <c r="BW452" i="42385" s="1"/>
  <c r="BW550" i="42385"/>
  <c r="BW553" i="42385" s="1"/>
  <c r="BW762" i="42385"/>
  <c r="BW765" i="42385" s="1"/>
  <c r="BW705" i="42385"/>
  <c r="BW708" i="42385" s="1"/>
  <c r="BW494" i="42385"/>
  <c r="BW497" i="42385" s="1"/>
  <c r="BW326" i="42385"/>
  <c r="BW360" i="42385"/>
  <c r="BW611" i="42385"/>
  <c r="BW614" i="42385" s="1"/>
  <c r="BW615" i="42385" s="1"/>
  <c r="BW616" i="42385" s="1"/>
  <c r="BW1146" i="42385"/>
  <c r="BW1149" i="42385" s="1"/>
  <c r="BW1138" i="42385"/>
  <c r="BW907" i="42385"/>
  <c r="BW910" i="42385" s="1"/>
  <c r="BW911" i="42385" s="1"/>
  <c r="BW912" i="42385" s="1"/>
  <c r="BW969" i="42385"/>
  <c r="BW972" i="42385" s="1"/>
  <c r="BW973" i="42385" s="1"/>
  <c r="BW974" i="42385" s="1"/>
  <c r="BG423" i="42385"/>
  <c r="BG424" i="42385" s="1"/>
  <c r="BH848" i="42385"/>
  <c r="BH849" i="42385" s="1"/>
  <c r="BE880" i="42385"/>
  <c r="CW879" i="42385"/>
  <c r="BT974" i="42385"/>
  <c r="CZ974" i="42385" s="1"/>
  <c r="CZ973" i="42385"/>
  <c r="BF912" i="42385"/>
  <c r="BS708" i="42385"/>
  <c r="BW554" i="42385"/>
  <c r="BR555" i="42385"/>
  <c r="BV1153" i="42385"/>
  <c r="BO452" i="42385"/>
  <c r="CW329" i="42385"/>
  <c r="BE330" i="42385"/>
  <c r="DB449" i="42385"/>
  <c r="BZ452" i="42385"/>
  <c r="DB452" i="42385" s="1"/>
  <c r="CA845" i="42385"/>
  <c r="CA550" i="42385"/>
  <c r="CA388" i="42385"/>
  <c r="CA969" i="42385"/>
  <c r="CA743" i="42385"/>
  <c r="CA876" i="42385"/>
  <c r="CA611" i="42385"/>
  <c r="CB320" i="42385"/>
  <c r="DC320" i="42385"/>
  <c r="CA326" i="42385"/>
  <c r="CA522" i="42385"/>
  <c r="CA494" i="42385"/>
  <c r="CA420" i="42385"/>
  <c r="CA705" i="42385"/>
  <c r="CA814" i="42385"/>
  <c r="CA783" i="42385"/>
  <c r="CA724" i="42385"/>
  <c r="CA727" i="42385" s="1"/>
  <c r="CA360" i="42385"/>
  <c r="CA762" i="42385"/>
  <c r="CA1146" i="42385"/>
  <c r="CA449" i="42385"/>
  <c r="CA907" i="42385"/>
  <c r="BO478" i="42385"/>
  <c r="BN481" i="42385"/>
  <c r="CY814" i="42385"/>
  <c r="BP817" i="42385"/>
  <c r="BP818" i="42385" s="1"/>
  <c r="BO845" i="42385"/>
  <c r="BN848" i="42385"/>
  <c r="BN849" i="42385" s="1"/>
  <c r="CY611" i="42385"/>
  <c r="BP614" i="42385"/>
  <c r="BO1138" i="42385"/>
  <c r="BN1141" i="42385"/>
  <c r="BO423" i="42385"/>
  <c r="BN423" i="42385"/>
  <c r="BN424" i="42385" s="1"/>
  <c r="AZ912" i="42385"/>
  <c r="CV912" i="42385" s="1"/>
  <c r="CV911" i="42385"/>
  <c r="AZ1005" i="42385"/>
  <c r="CV1005" i="42385" s="1"/>
  <c r="CV1004" i="42385"/>
  <c r="BV786" i="42385"/>
  <c r="BV787" i="42385" s="1"/>
  <c r="BV788" i="42385" s="1"/>
  <c r="BW848" i="42385"/>
  <c r="BW849" i="42385" s="1"/>
  <c r="BW850" i="42385" s="1"/>
  <c r="BV848" i="42385"/>
  <c r="BV849" i="42385" s="1"/>
  <c r="BV850" i="42385" s="1"/>
  <c r="CW363" i="42385"/>
  <c r="BE364" i="42385"/>
  <c r="CV787" i="42385"/>
  <c r="AZ788" i="42385"/>
  <c r="CV788" i="42385" s="1"/>
  <c r="AZ365" i="42385"/>
  <c r="CV365" i="42385" s="1"/>
  <c r="CV364" i="42385"/>
  <c r="BE911" i="42385"/>
  <c r="CW910" i="42385"/>
  <c r="BG974" i="42385"/>
  <c r="BL974" i="42385"/>
  <c r="CV615" i="42385"/>
  <c r="AZ616" i="42385"/>
  <c r="CV616" i="42385" s="1"/>
  <c r="BV765" i="42385"/>
  <c r="DA972" i="42385"/>
  <c r="BY973" i="42385"/>
  <c r="CW786" i="42385"/>
  <c r="BE787" i="42385"/>
  <c r="CV942" i="42385"/>
  <c r="AZ943" i="42385"/>
  <c r="CV943" i="42385" s="1"/>
  <c r="BF819" i="42385"/>
  <c r="BV501" i="42385"/>
  <c r="BR1151" i="42385"/>
  <c r="BW1150" i="42385"/>
  <c r="BS1431" i="42385"/>
  <c r="BT1439" i="42385"/>
  <c r="CZ1439" i="42385" s="1"/>
  <c r="CZ1437" i="42385"/>
  <c r="BU1437" i="42385"/>
  <c r="BS1432" i="42385"/>
  <c r="BT1432" i="42385" s="1"/>
  <c r="CZ1432" i="42385" s="1"/>
  <c r="BG881" i="42385"/>
  <c r="BL881" i="42385"/>
  <c r="BM180" i="42385"/>
  <c r="BY180" i="42385"/>
  <c r="CZ180" i="42385"/>
  <c r="BU180" i="42385"/>
  <c r="BH392" i="42385"/>
  <c r="BI180" i="42385"/>
  <c r="BQ180" i="42385"/>
  <c r="BH818" i="42385"/>
  <c r="BH850" i="42385"/>
  <c r="BM850" i="42385"/>
  <c r="BH788" i="42385"/>
  <c r="BM788" i="42385"/>
  <c r="BV458" i="42385" l="1"/>
  <c r="BV459" i="42385" s="1"/>
  <c r="BV457" i="42385"/>
  <c r="AQ193" i="42385"/>
  <c r="AR191" i="42385"/>
  <c r="BO290" i="42385"/>
  <c r="AV191" i="42385"/>
  <c r="AZ191" i="42385"/>
  <c r="CU191" i="42385"/>
  <c r="AU193" i="42385"/>
  <c r="CU193" i="42385" s="1"/>
  <c r="BL316" i="42385"/>
  <c r="BL1647" i="42385"/>
  <c r="BL315" i="42385"/>
  <c r="BL317" i="42385"/>
  <c r="BS625" i="42385"/>
  <c r="BR624" i="42385"/>
  <c r="BQ628" i="42385"/>
  <c r="DB350" i="42385"/>
  <c r="BZ352" i="42385"/>
  <c r="CC348" i="42385"/>
  <c r="CB347" i="42385"/>
  <c r="CB350" i="42385" s="1"/>
  <c r="CB352" i="42385" s="1"/>
  <c r="CA350" i="42385"/>
  <c r="DC347" i="42385"/>
  <c r="P83" i="42408"/>
  <c r="S83" i="42408" s="1"/>
  <c r="G7" i="42408"/>
  <c r="DC480" i="42385"/>
  <c r="CB480" i="42385"/>
  <c r="CB478" i="42385" s="1"/>
  <c r="CB481" i="42385" s="1"/>
  <c r="CA1140" i="42385"/>
  <c r="DB1140" i="42385"/>
  <c r="BZ1138" i="42385"/>
  <c r="BV225" i="42385"/>
  <c r="BV535" i="42385"/>
  <c r="BV537" i="42385" s="1"/>
  <c r="BV533" i="42385"/>
  <c r="BV546" i="42385"/>
  <c r="CY275" i="42385"/>
  <c r="BO277" i="42385"/>
  <c r="BO314" i="42385" s="1"/>
  <c r="DO387" i="42492"/>
  <c r="BS363" i="42385"/>
  <c r="BS364" i="42385" s="1"/>
  <c r="BS365" i="42385" s="1"/>
  <c r="BU1159" i="42385"/>
  <c r="BU1161" i="42385" s="1"/>
  <c r="BU1170" i="42385"/>
  <c r="BU1162" i="42385"/>
  <c r="BU1157" i="42385"/>
  <c r="BV530" i="42385"/>
  <c r="BV538" i="42385"/>
  <c r="BV540" i="42385" s="1"/>
  <c r="BV542" i="42385" s="1"/>
  <c r="BV544" i="42385" s="1"/>
  <c r="BP376" i="42385"/>
  <c r="BQ377" i="42385"/>
  <c r="BS407" i="42385"/>
  <c r="BS410" i="42385" s="1"/>
  <c r="BS412" i="42385" s="1"/>
  <c r="BT408" i="42385"/>
  <c r="BH1632" i="42385"/>
  <c r="BH1567" i="42385"/>
  <c r="BH1631" i="42385" s="1"/>
  <c r="BH1661" i="42385"/>
  <c r="BG206" i="42385"/>
  <c r="BG207" i="42385"/>
  <c r="BG212" i="42385"/>
  <c r="BI1632" i="42385"/>
  <c r="BI1567" i="42385"/>
  <c r="BI1631" i="42385" s="1"/>
  <c r="BI1661" i="42385"/>
  <c r="BH1426" i="42385"/>
  <c r="BI201" i="42385"/>
  <c r="BM1339" i="42385"/>
  <c r="BN1332" i="42385"/>
  <c r="BN1333" i="42385" s="1"/>
  <c r="BN1339" i="42385" s="1"/>
  <c r="BA211" i="42385"/>
  <c r="BA209" i="42385"/>
  <c r="U40" i="42476"/>
  <c r="U38" i="42476"/>
  <c r="W40" i="42476"/>
  <c r="W38" i="42476"/>
  <c r="BD211" i="42385"/>
  <c r="BD209" i="42385"/>
  <c r="BQ1332" i="42385"/>
  <c r="BQ1333" i="42385" s="1"/>
  <c r="BP1339" i="42385"/>
  <c r="CW1366" i="42385"/>
  <c r="BF201" i="42385"/>
  <c r="BE1426" i="42385"/>
  <c r="CW1426" i="42385" s="1"/>
  <c r="G28" i="42465"/>
  <c r="BE201" i="42385"/>
  <c r="AZ209" i="42385"/>
  <c r="AZ211" i="42385"/>
  <c r="T40" i="42476"/>
  <c r="T38" i="42476"/>
  <c r="BL1346" i="42385"/>
  <c r="BL1366" i="42385" s="1"/>
  <c r="X35" i="42476"/>
  <c r="X36" i="42476" s="1"/>
  <c r="BL1565" i="42385"/>
  <c r="BC211" i="42385"/>
  <c r="BC209" i="42385"/>
  <c r="V35" i="42476"/>
  <c r="V36" i="42476" s="1"/>
  <c r="Y70" i="42492"/>
  <c r="BJ1565" i="42385"/>
  <c r="BJ1346" i="42385"/>
  <c r="CX1339" i="42385"/>
  <c r="BK1426" i="42385"/>
  <c r="BW1153" i="42385"/>
  <c r="BW1154" i="42385" s="1"/>
  <c r="BS765" i="42385"/>
  <c r="BR410" i="42385"/>
  <c r="BT407" i="42385"/>
  <c r="CZ407" i="42385" s="1"/>
  <c r="AB93" i="42492"/>
  <c r="AB101" i="42492" s="1"/>
  <c r="AB103" i="42492" s="1"/>
  <c r="AA103" i="42492"/>
  <c r="BH201" i="42385"/>
  <c r="CW1567" i="42385"/>
  <c r="BE1631" i="42385"/>
  <c r="BP267" i="42385"/>
  <c r="BP413" i="42385"/>
  <c r="BP415" i="42385"/>
  <c r="BP414" i="42385"/>
  <c r="BK1632" i="42385"/>
  <c r="BK1567" i="42385"/>
  <c r="BK1631" i="42385" s="1"/>
  <c r="BK1661" i="42385"/>
  <c r="BU431" i="42385"/>
  <c r="BU444" i="42385"/>
  <c r="BU434" i="42385"/>
  <c r="BU221" i="42385"/>
  <c r="BH453" i="42385"/>
  <c r="BH365" i="42385"/>
  <c r="BM365" i="42385"/>
  <c r="CA452" i="42385"/>
  <c r="DC452" i="42385" s="1"/>
  <c r="DC449" i="42385"/>
  <c r="BV502" i="42385"/>
  <c r="BV510" i="42385"/>
  <c r="BV504" i="42385"/>
  <c r="BE788" i="42385"/>
  <c r="CW788" i="42385" s="1"/>
  <c r="CW787" i="42385"/>
  <c r="CY1138" i="42385"/>
  <c r="BP1141" i="42385"/>
  <c r="CY845" i="42385"/>
  <c r="BP848" i="42385"/>
  <c r="CY478" i="42385"/>
  <c r="BP481" i="42385"/>
  <c r="CA1149" i="42385"/>
  <c r="DC1149" i="42385" s="1"/>
  <c r="DC1146" i="42385"/>
  <c r="CA786" i="42385"/>
  <c r="DC783" i="42385"/>
  <c r="DC478" i="42385"/>
  <c r="DC481" i="42385"/>
  <c r="CA746" i="42385"/>
  <c r="DC746" i="42385" s="1"/>
  <c r="DC743" i="42385"/>
  <c r="DC550" i="42385"/>
  <c r="CA553" i="42385"/>
  <c r="CY452" i="42385"/>
  <c r="BO453" i="42385"/>
  <c r="CY453" i="42385" s="1"/>
  <c r="BW363" i="42385"/>
  <c r="BW364" i="42385" s="1"/>
  <c r="BW365" i="42385" s="1"/>
  <c r="BW727" i="42385"/>
  <c r="BP391" i="42385"/>
  <c r="CY388" i="42385"/>
  <c r="BH1151" i="42385"/>
  <c r="BM1151" i="42385"/>
  <c r="BL454" i="42385"/>
  <c r="BG454" i="42385"/>
  <c r="BP329" i="42385"/>
  <c r="CY326" i="42385"/>
  <c r="BP879" i="42385"/>
  <c r="CY876" i="42385"/>
  <c r="BE850" i="42385"/>
  <c r="CW850" i="42385" s="1"/>
  <c r="CW849" i="42385"/>
  <c r="BT1138" i="42385"/>
  <c r="BS1141" i="42385"/>
  <c r="BT783" i="42385"/>
  <c r="BS786" i="42385"/>
  <c r="BS787" i="42385" s="1"/>
  <c r="BS788" i="42385" s="1"/>
  <c r="BT478" i="42385"/>
  <c r="BS481" i="42385"/>
  <c r="BT388" i="42385"/>
  <c r="BS391" i="42385"/>
  <c r="BS392" i="42385" s="1"/>
  <c r="BS393" i="42385" s="1"/>
  <c r="BT743" i="42385"/>
  <c r="BS746" i="42385"/>
  <c r="BT550" i="42385"/>
  <c r="BS553" i="42385"/>
  <c r="CW392" i="42385"/>
  <c r="BE393" i="42385"/>
  <c r="CW393" i="42385" s="1"/>
  <c r="BE912" i="42385"/>
  <c r="CW912" i="42385" s="1"/>
  <c r="CW911" i="42385"/>
  <c r="CY423" i="42385"/>
  <c r="BO424" i="42385"/>
  <c r="CY424" i="42385" s="1"/>
  <c r="CA708" i="42385"/>
  <c r="DC708" i="42385" s="1"/>
  <c r="DC705" i="42385"/>
  <c r="CA614" i="42385"/>
  <c r="DC611" i="42385"/>
  <c r="BE331" i="42385"/>
  <c r="CW331" i="42385" s="1"/>
  <c r="CW330" i="42385"/>
  <c r="BW817" i="42385"/>
  <c r="BW818" i="42385" s="1"/>
  <c r="BW819" i="42385" s="1"/>
  <c r="CW364" i="42385"/>
  <c r="BE365" i="42385"/>
  <c r="CW365" i="42385" s="1"/>
  <c r="BP615" i="42385"/>
  <c r="DC907" i="42385"/>
  <c r="CA910" i="42385"/>
  <c r="CA765" i="42385"/>
  <c r="DC765" i="42385" s="1"/>
  <c r="DC762" i="42385"/>
  <c r="DC814" i="42385"/>
  <c r="CA817" i="42385"/>
  <c r="DC494" i="42385"/>
  <c r="CA497" i="42385"/>
  <c r="DC497" i="42385" s="1"/>
  <c r="CC320" i="42385"/>
  <c r="CB550" i="42385"/>
  <c r="CB553" i="42385" s="1"/>
  <c r="CB557" i="42385" s="1"/>
  <c r="CB559" i="42385" s="1"/>
  <c r="CB561" i="42385" s="1"/>
  <c r="CB562" i="42385" s="1"/>
  <c r="CB563" i="42385" s="1"/>
  <c r="CB494" i="42385"/>
  <c r="CB497" i="42385" s="1"/>
  <c r="CB522" i="42385"/>
  <c r="CB525" i="42385" s="1"/>
  <c r="CB743" i="42385"/>
  <c r="CB746" i="42385" s="1"/>
  <c r="CB814" i="42385"/>
  <c r="CB817" i="42385" s="1"/>
  <c r="CB818" i="42385" s="1"/>
  <c r="CB845" i="42385"/>
  <c r="CB848" i="42385" s="1"/>
  <c r="CB849" i="42385" s="1"/>
  <c r="CB449" i="42385"/>
  <c r="CB452" i="42385" s="1"/>
  <c r="CB388" i="42385"/>
  <c r="CB391" i="42385" s="1"/>
  <c r="CB392" i="42385" s="1"/>
  <c r="CB611" i="42385"/>
  <c r="CB614" i="42385" s="1"/>
  <c r="CB615" i="42385" s="1"/>
  <c r="CB326" i="42385"/>
  <c r="CB876" i="42385"/>
  <c r="CB879" i="42385" s="1"/>
  <c r="CB880" i="42385" s="1"/>
  <c r="CB783" i="42385"/>
  <c r="CB969" i="42385"/>
  <c r="CB972" i="42385" s="1"/>
  <c r="CB973" i="42385" s="1"/>
  <c r="CB907" i="42385"/>
  <c r="CB910" i="42385" s="1"/>
  <c r="CB911" i="42385" s="1"/>
  <c r="CB705" i="42385"/>
  <c r="CB1190" i="42385"/>
  <c r="CB1193" i="42385" s="1"/>
  <c r="CB420" i="42385"/>
  <c r="CB423" i="42385" s="1"/>
  <c r="CB360" i="42385"/>
  <c r="CB363" i="42385" s="1"/>
  <c r="CB364" i="42385" s="1"/>
  <c r="CB762" i="42385"/>
  <c r="CB765" i="42385" s="1"/>
  <c r="CB1146" i="42385"/>
  <c r="CA972" i="42385"/>
  <c r="DC969" i="42385"/>
  <c r="DC845" i="42385"/>
  <c r="CA848" i="42385"/>
  <c r="BV1156" i="42385"/>
  <c r="BV1154" i="42385"/>
  <c r="CW880" i="42385"/>
  <c r="BE881" i="42385"/>
  <c r="CW881" i="42385" s="1"/>
  <c r="BW1141" i="42385"/>
  <c r="BW329" i="42385"/>
  <c r="BW330" i="42385" s="1"/>
  <c r="BW331" i="42385" s="1"/>
  <c r="BX494" i="42385"/>
  <c r="BX522" i="42385"/>
  <c r="BX969" i="42385"/>
  <c r="BX972" i="42385" s="1"/>
  <c r="BX973" i="42385" s="1"/>
  <c r="BX974" i="42385" s="1"/>
  <c r="BX845" i="42385"/>
  <c r="BX550" i="42385"/>
  <c r="BX326" i="42385"/>
  <c r="BY326" i="42385" s="1"/>
  <c r="BX420" i="42385"/>
  <c r="BX423" i="42385" s="1"/>
  <c r="BX783" i="42385"/>
  <c r="BY783" i="42385" s="1"/>
  <c r="BX724" i="42385"/>
  <c r="BX727" i="42385" s="1"/>
  <c r="BX705" i="42385"/>
  <c r="BX762" i="42385"/>
  <c r="BX449" i="42385"/>
  <c r="BX452" i="42385" s="1"/>
  <c r="BX360" i="42385"/>
  <c r="BY360" i="42385" s="1"/>
  <c r="BX907" i="42385"/>
  <c r="BX1146" i="42385"/>
  <c r="BX1138" i="42385"/>
  <c r="BX1141" i="42385" s="1"/>
  <c r="BX876" i="42385"/>
  <c r="BX611" i="42385"/>
  <c r="BY611" i="42385" s="1"/>
  <c r="BX814" i="42385"/>
  <c r="BY814" i="42385" s="1"/>
  <c r="BX388" i="42385"/>
  <c r="BY388" i="42385" s="1"/>
  <c r="BX743" i="42385"/>
  <c r="BY743" i="42385" s="1"/>
  <c r="DB1197" i="42385"/>
  <c r="DB1198" i="42385"/>
  <c r="BW529" i="42385"/>
  <c r="BE616" i="42385"/>
  <c r="CW616" i="42385" s="1"/>
  <c r="CW615" i="42385"/>
  <c r="BH910" i="42385"/>
  <c r="BH329" i="42385"/>
  <c r="BH879" i="42385"/>
  <c r="CW818" i="42385"/>
  <c r="BE819" i="42385"/>
  <c r="CW819" i="42385" s="1"/>
  <c r="BW501" i="42385"/>
  <c r="BS1149" i="42385"/>
  <c r="BT907" i="42385"/>
  <c r="BS910" i="42385"/>
  <c r="BS911" i="42385" s="1"/>
  <c r="BS912" i="42385" s="1"/>
  <c r="BT423" i="42385"/>
  <c r="CZ423" i="42385" s="1"/>
  <c r="BS423" i="42385"/>
  <c r="BU765" i="42385"/>
  <c r="CZ762" i="42385"/>
  <c r="CY360" i="42385"/>
  <c r="BP363" i="42385"/>
  <c r="CY522" i="42385"/>
  <c r="BP525" i="42385"/>
  <c r="BH746" i="42385"/>
  <c r="BI969" i="42385"/>
  <c r="BI972" i="42385" s="1"/>
  <c r="BI973" i="42385" s="1"/>
  <c r="BI494" i="42385"/>
  <c r="BI522" i="42385"/>
  <c r="BI876" i="42385"/>
  <c r="BJ876" i="42385" s="1"/>
  <c r="BI705" i="42385"/>
  <c r="BI845" i="42385"/>
  <c r="BJ845" i="42385" s="1"/>
  <c r="BI326" i="42385"/>
  <c r="BJ326" i="42385" s="1"/>
  <c r="BI388" i="42385"/>
  <c r="BI550" i="42385"/>
  <c r="BI449" i="42385"/>
  <c r="BI452" i="42385" s="1"/>
  <c r="BI453" i="42385" s="1"/>
  <c r="BN454" i="42385" s="1"/>
  <c r="BI1138" i="42385"/>
  <c r="BI360" i="42385"/>
  <c r="BJ360" i="42385" s="1"/>
  <c r="BI814" i="42385"/>
  <c r="BI611" i="42385"/>
  <c r="BI783" i="42385"/>
  <c r="BI743" i="42385"/>
  <c r="BJ743" i="42385" s="1"/>
  <c r="BI762" i="42385"/>
  <c r="BJ762" i="42385" s="1"/>
  <c r="BI420" i="42385"/>
  <c r="BI907" i="42385"/>
  <c r="BJ907" i="42385" s="1"/>
  <c r="BI1146" i="42385"/>
  <c r="BI1149" i="42385" s="1"/>
  <c r="BI1150" i="42385" s="1"/>
  <c r="BI478" i="42385"/>
  <c r="BV428" i="42385"/>
  <c r="BV430" i="42385"/>
  <c r="CY907" i="42385"/>
  <c r="BP910" i="42385"/>
  <c r="BP708" i="42385"/>
  <c r="BT708" i="42385" s="1"/>
  <c r="CZ708" i="42385" s="1"/>
  <c r="CY705" i="42385"/>
  <c r="BT522" i="42385"/>
  <c r="BS525" i="42385"/>
  <c r="BT326" i="42385"/>
  <c r="BS329" i="42385"/>
  <c r="BS330" i="42385" s="1"/>
  <c r="BS331" i="42385" s="1"/>
  <c r="BT814" i="42385"/>
  <c r="BS817" i="42385"/>
  <c r="BT611" i="42385"/>
  <c r="BS614" i="42385"/>
  <c r="BS615" i="42385" s="1"/>
  <c r="BS616" i="42385" s="1"/>
  <c r="BG364" i="42385"/>
  <c r="BY974" i="42385"/>
  <c r="DA974" i="42385" s="1"/>
  <c r="DA973" i="42385"/>
  <c r="CA363" i="42385"/>
  <c r="DC360" i="42385"/>
  <c r="CA525" i="42385"/>
  <c r="DC525" i="42385" s="1"/>
  <c r="DC522" i="42385"/>
  <c r="DC388" i="42385"/>
  <c r="CA391" i="42385"/>
  <c r="BH425" i="42385"/>
  <c r="BM425" i="42385"/>
  <c r="CY783" i="42385"/>
  <c r="BP786" i="42385"/>
  <c r="BP765" i="42385"/>
  <c r="BT765" i="42385" s="1"/>
  <c r="CZ765" i="42385" s="1"/>
  <c r="CY762" i="42385"/>
  <c r="CY550" i="42385"/>
  <c r="BP553" i="42385"/>
  <c r="BO554" i="42385"/>
  <c r="CY554" i="42385" s="1"/>
  <c r="CA423" i="42385"/>
  <c r="DC423" i="42385" s="1"/>
  <c r="DC420" i="42385"/>
  <c r="DC326" i="42385"/>
  <c r="CA329" i="42385"/>
  <c r="CA879" i="42385"/>
  <c r="DC876" i="42385"/>
  <c r="DC1193" i="42385"/>
  <c r="DC1190" i="42385"/>
  <c r="BW557" i="42385"/>
  <c r="BW555" i="42385"/>
  <c r="BL425" i="42385"/>
  <c r="BG425" i="42385"/>
  <c r="BX614" i="42385"/>
  <c r="BX615" i="42385" s="1"/>
  <c r="BW423" i="42385"/>
  <c r="BW427" i="42385" s="1"/>
  <c r="BV569" i="42385"/>
  <c r="BV558" i="42385"/>
  <c r="BV559" i="42385"/>
  <c r="BV561" i="42385" s="1"/>
  <c r="CY494" i="42385"/>
  <c r="BP497" i="42385"/>
  <c r="BZ973" i="42385"/>
  <c r="DB972" i="42385"/>
  <c r="BW456" i="42385"/>
  <c r="BI363" i="42385"/>
  <c r="BI364" i="42385" s="1"/>
  <c r="BH974" i="42385"/>
  <c r="BM974" i="42385"/>
  <c r="BT845" i="42385"/>
  <c r="BS848" i="42385"/>
  <c r="BS849" i="42385" s="1"/>
  <c r="BS850" i="42385" s="1"/>
  <c r="BS497" i="42385"/>
  <c r="BT494" i="42385"/>
  <c r="BU708" i="42385"/>
  <c r="CZ705" i="42385"/>
  <c r="BT876" i="42385"/>
  <c r="BS879" i="42385"/>
  <c r="BS880" i="42385" s="1"/>
  <c r="BS881" i="42385" s="1"/>
  <c r="CZ360" i="42385"/>
  <c r="BU363" i="42385"/>
  <c r="BU452" i="42385"/>
  <c r="BU453" i="42385" s="1"/>
  <c r="BU454" i="42385" s="1"/>
  <c r="BS452" i="42385"/>
  <c r="BS453" i="42385" s="1"/>
  <c r="BP746" i="42385"/>
  <c r="CY743" i="42385"/>
  <c r="BT1431" i="42385"/>
  <c r="CZ1431" i="42385" s="1"/>
  <c r="BS1434" i="42385"/>
  <c r="BT1434" i="42385" s="1"/>
  <c r="CZ1434" i="42385" s="1"/>
  <c r="BZ1501" i="42385"/>
  <c r="DA1501" i="42385"/>
  <c r="BV1437" i="42385"/>
  <c r="BU1439" i="42385"/>
  <c r="BU1431" i="42385" s="1"/>
  <c r="BV543" i="42385"/>
  <c r="BH616" i="42385"/>
  <c r="BM616" i="42385"/>
  <c r="BS436" i="42385"/>
  <c r="BS430" i="42385"/>
  <c r="BV469" i="42385"/>
  <c r="BV222" i="42385"/>
  <c r="BV460" i="42385"/>
  <c r="BV473" i="42385"/>
  <c r="BV463" i="42385"/>
  <c r="BH393" i="42385"/>
  <c r="BM393" i="42385"/>
  <c r="BV180" i="42385"/>
  <c r="BN180" i="42385"/>
  <c r="BH819" i="42385"/>
  <c r="BM819" i="42385"/>
  <c r="BR180" i="42385"/>
  <c r="BT529" i="42385"/>
  <c r="DA180" i="42385"/>
  <c r="BZ180" i="42385"/>
  <c r="BV547" i="42385" l="1"/>
  <c r="BV272" i="42385"/>
  <c r="BS530" i="42385"/>
  <c r="BS531" i="42385" s="1"/>
  <c r="BS526" i="42385"/>
  <c r="BS510" i="42385"/>
  <c r="BS498" i="42385"/>
  <c r="BS454" i="42385"/>
  <c r="BX453" i="42385"/>
  <c r="BX456" i="42385" s="1"/>
  <c r="BY456" i="42385" s="1"/>
  <c r="BT427" i="42385"/>
  <c r="BS424" i="42385"/>
  <c r="AW191" i="42385"/>
  <c r="AV193" i="42385"/>
  <c r="AS191" i="42385"/>
  <c r="AR193" i="42385"/>
  <c r="CV191" i="42385"/>
  <c r="BA191" i="42385"/>
  <c r="BE191" i="42385"/>
  <c r="AZ193" i="42385"/>
  <c r="CV193" i="42385" s="1"/>
  <c r="BQ629" i="42385"/>
  <c r="BQ630" i="42385"/>
  <c r="BQ280" i="42385"/>
  <c r="BS502" i="42385"/>
  <c r="BS503" i="42385" s="1"/>
  <c r="BT503" i="42385" s="1"/>
  <c r="CZ503" i="42385" s="1"/>
  <c r="BT501" i="42385"/>
  <c r="BT502" i="42385" s="1"/>
  <c r="CZ502" i="42385" s="1"/>
  <c r="BS428" i="42385"/>
  <c r="BR626" i="42385"/>
  <c r="BT625" i="42385"/>
  <c r="BS624" i="42385"/>
  <c r="BS626" i="42385" s="1"/>
  <c r="BS628" i="42385" s="1"/>
  <c r="CB354" i="42385"/>
  <c r="CB265" i="42385"/>
  <c r="CB353" i="42385"/>
  <c r="S86" i="42408"/>
  <c r="U83" i="42408"/>
  <c r="CC347" i="42385"/>
  <c r="CC350" i="42385" s="1"/>
  <c r="CC352" i="42385" s="1"/>
  <c r="CD348" i="42385"/>
  <c r="BZ355" i="42385"/>
  <c r="DB355" i="42385" s="1"/>
  <c r="BZ354" i="42385"/>
  <c r="DB354" i="42385" s="1"/>
  <c r="BZ265" i="42385"/>
  <c r="DB352" i="42385"/>
  <c r="BZ353" i="42385"/>
  <c r="DB353" i="42385" s="1"/>
  <c r="CA352" i="42385"/>
  <c r="CB355" i="42385" s="1"/>
  <c r="DC350" i="42385"/>
  <c r="DC1140" i="42385"/>
  <c r="CA1138" i="42385"/>
  <c r="CC480" i="42385"/>
  <c r="CB1140" i="42385"/>
  <c r="CB1138" i="42385" s="1"/>
  <c r="BZ1141" i="42385"/>
  <c r="DB1141" i="42385" s="1"/>
  <c r="DB1138" i="42385"/>
  <c r="BS538" i="42385"/>
  <c r="BT538" i="42385" s="1"/>
  <c r="BY423" i="42385"/>
  <c r="DA423" i="42385" s="1"/>
  <c r="BO316" i="42385"/>
  <c r="CY316" i="42385" s="1"/>
  <c r="BO1647" i="42385"/>
  <c r="CY1647" i="42385" s="1"/>
  <c r="BO315" i="42385"/>
  <c r="CY315" i="42385" s="1"/>
  <c r="BO317" i="42385"/>
  <c r="CY314" i="42385"/>
  <c r="BU1164" i="42385"/>
  <c r="BU1166" i="42385" s="1"/>
  <c r="BR377" i="42385"/>
  <c r="BQ376" i="42385"/>
  <c r="BQ378" i="42385" s="1"/>
  <c r="BQ380" i="42385" s="1"/>
  <c r="BP378" i="42385"/>
  <c r="BX616" i="42385"/>
  <c r="BY452" i="42385"/>
  <c r="DA452" i="42385" s="1"/>
  <c r="BX363" i="42385"/>
  <c r="BX364" i="42385" s="1"/>
  <c r="BX365" i="42385" s="1"/>
  <c r="BW1156" i="42385"/>
  <c r="BH206" i="42385"/>
  <c r="BH212" i="42385"/>
  <c r="BH207" i="42385"/>
  <c r="BR412" i="42385"/>
  <c r="BT410" i="42385"/>
  <c r="CZ410" i="42385" s="1"/>
  <c r="BL1661" i="42385"/>
  <c r="BL1567" i="42385"/>
  <c r="BL1631" i="42385" s="1"/>
  <c r="BL1632" i="42385"/>
  <c r="BM1565" i="42385"/>
  <c r="BM1346" i="42385"/>
  <c r="BM1366" i="42385" s="1"/>
  <c r="BM201" i="42385" s="1"/>
  <c r="Y35" i="42476"/>
  <c r="Y36" i="42476" s="1"/>
  <c r="BU1432" i="42385"/>
  <c r="BX329" i="42385"/>
  <c r="BX330" i="42385" s="1"/>
  <c r="BX331" i="42385" s="1"/>
  <c r="V38" i="42476"/>
  <c r="V40" i="42476"/>
  <c r="X38" i="42476"/>
  <c r="X40" i="42476"/>
  <c r="AB35" i="42476"/>
  <c r="AB36" i="42476" s="1"/>
  <c r="BP1565" i="42385"/>
  <c r="BP1346" i="42385"/>
  <c r="BP1366" i="42385" s="1"/>
  <c r="BI207" i="42385"/>
  <c r="BI206" i="42385"/>
  <c r="BI212" i="42385"/>
  <c r="CW1631" i="42385"/>
  <c r="CZ260" i="42417"/>
  <c r="CX1346" i="42385"/>
  <c r="BJ1366" i="42385"/>
  <c r="BL1426" i="42385"/>
  <c r="BQ1339" i="42385"/>
  <c r="BR1332" i="42385"/>
  <c r="BG211" i="42385"/>
  <c r="BG209" i="42385"/>
  <c r="BU408" i="42385"/>
  <c r="CZ408" i="42385"/>
  <c r="BT481" i="42385"/>
  <c r="CZ481" i="42385" s="1"/>
  <c r="BL201" i="42385"/>
  <c r="BJ1632" i="42385"/>
  <c r="CX1632" i="42385" s="1"/>
  <c r="G38" i="42409"/>
  <c r="G40" i="42409" s="1"/>
  <c r="G42" i="42409" s="1"/>
  <c r="G44" i="42409" s="1"/>
  <c r="CX1565" i="42385"/>
  <c r="BJ1661" i="42385"/>
  <c r="BJ1567" i="42385"/>
  <c r="BE206" i="42385"/>
  <c r="BE207" i="42385"/>
  <c r="BE212" i="42385"/>
  <c r="BF207" i="42385"/>
  <c r="BF206" i="42385"/>
  <c r="BF212" i="42385"/>
  <c r="BN1565" i="42385"/>
  <c r="BN1346" i="42385"/>
  <c r="BN1366" i="42385" s="1"/>
  <c r="BN1426" i="42385" s="1"/>
  <c r="Z35" i="42476"/>
  <c r="Z36" i="42476" s="1"/>
  <c r="BO1339" i="42385"/>
  <c r="BS413" i="42385"/>
  <c r="BS415" i="42385"/>
  <c r="BS267" i="42385"/>
  <c r="BS414" i="42385"/>
  <c r="BT786" i="42385"/>
  <c r="BP787" i="42385"/>
  <c r="BI497" i="42385"/>
  <c r="BJ494" i="42385"/>
  <c r="DB1200" i="42385"/>
  <c r="DB1201" i="42385"/>
  <c r="DB1214" i="42385"/>
  <c r="BZ786" i="42385"/>
  <c r="DA783" i="42385"/>
  <c r="BP849" i="42385"/>
  <c r="BT848" i="42385"/>
  <c r="BI454" i="42385"/>
  <c r="BU364" i="42385"/>
  <c r="BI365" i="42385"/>
  <c r="BN365" i="42385"/>
  <c r="BT497" i="42385"/>
  <c r="CZ497" i="42385" s="1"/>
  <c r="BP498" i="42385"/>
  <c r="BW428" i="42385"/>
  <c r="BW430" i="42385"/>
  <c r="DC1198" i="42385"/>
  <c r="DC1197" i="42385"/>
  <c r="DC363" i="42385"/>
  <c r="CA364" i="42385"/>
  <c r="DC364" i="42385" s="1"/>
  <c r="BG365" i="42385"/>
  <c r="BL365" i="42385"/>
  <c r="BU817" i="42385"/>
  <c r="CZ814" i="42385"/>
  <c r="CZ522" i="42385"/>
  <c r="CX907" i="42385"/>
  <c r="BK910" i="42385"/>
  <c r="BJ783" i="42385"/>
  <c r="BI786" i="42385"/>
  <c r="BJ1138" i="42385"/>
  <c r="BI1141" i="42385"/>
  <c r="CX326" i="42385"/>
  <c r="BK329" i="42385"/>
  <c r="BI525" i="42385"/>
  <c r="BJ522" i="42385"/>
  <c r="BI746" i="42385"/>
  <c r="BJ746" i="42385" s="1"/>
  <c r="CX746" i="42385" s="1"/>
  <c r="BT363" i="42385"/>
  <c r="BP364" i="42385"/>
  <c r="BS1156" i="42385"/>
  <c r="BS1154" i="42385"/>
  <c r="BT1153" i="42385"/>
  <c r="BI910" i="42385"/>
  <c r="BI911" i="42385" s="1"/>
  <c r="BW538" i="42385"/>
  <c r="BW530" i="42385"/>
  <c r="BW532" i="42385"/>
  <c r="BZ746" i="42385"/>
  <c r="DB746" i="42385" s="1"/>
  <c r="DA743" i="42385"/>
  <c r="BY876" i="42385"/>
  <c r="BX879" i="42385"/>
  <c r="BX880" i="42385" s="1"/>
  <c r="BX881" i="42385" s="1"/>
  <c r="BZ363" i="42385"/>
  <c r="DA360" i="42385"/>
  <c r="BX553" i="42385"/>
  <c r="BX557" i="42385" s="1"/>
  <c r="BY550" i="42385"/>
  <c r="BY522" i="42385"/>
  <c r="BX525" i="42385"/>
  <c r="CA615" i="42385"/>
  <c r="DC615" i="42385" s="1"/>
  <c r="DC614" i="42385"/>
  <c r="BY553" i="42385"/>
  <c r="DA553" i="42385" s="1"/>
  <c r="CZ550" i="42385"/>
  <c r="BU391" i="42385"/>
  <c r="CZ388" i="42385"/>
  <c r="CZ783" i="42385"/>
  <c r="BU786" i="42385"/>
  <c r="BP330" i="42385"/>
  <c r="BT329" i="42385"/>
  <c r="BP392" i="42385"/>
  <c r="BT391" i="42385"/>
  <c r="BY727" i="42385"/>
  <c r="CB1149" i="42385"/>
  <c r="BV221" i="42385"/>
  <c r="BV434" i="42385"/>
  <c r="BV431" i="42385"/>
  <c r="BV444" i="42385"/>
  <c r="BJ611" i="42385"/>
  <c r="BI614" i="42385"/>
  <c r="BH880" i="42385"/>
  <c r="BV1159" i="42385"/>
  <c r="BV1161" i="42385" s="1"/>
  <c r="BV1157" i="42385"/>
  <c r="BV1162" i="42385"/>
  <c r="BV1170" i="42385"/>
  <c r="CB1197" i="42385"/>
  <c r="DC817" i="42385"/>
  <c r="CA818" i="42385"/>
  <c r="DC818" i="42385" s="1"/>
  <c r="DC553" i="42385"/>
  <c r="CA557" i="42385"/>
  <c r="BV507" i="42385"/>
  <c r="BV509" i="42385" s="1"/>
  <c r="BV224" i="42385"/>
  <c r="BV505" i="42385"/>
  <c r="BV518" i="42385"/>
  <c r="BT452" i="42385"/>
  <c r="CZ452" i="42385" s="1"/>
  <c r="CZ494" i="42385"/>
  <c r="BV562" i="42385"/>
  <c r="BV563" i="42385" s="1"/>
  <c r="BX786" i="42385"/>
  <c r="BX787" i="42385" s="1"/>
  <c r="BX788" i="42385" s="1"/>
  <c r="CA880" i="42385"/>
  <c r="DC880" i="42385" s="1"/>
  <c r="DC879" i="42385"/>
  <c r="BU614" i="42385"/>
  <c r="CZ611" i="42385"/>
  <c r="BU329" i="42385"/>
  <c r="CZ326" i="42385"/>
  <c r="BJ478" i="42385"/>
  <c r="BI481" i="42385"/>
  <c r="BJ481" i="42385" s="1"/>
  <c r="CX481" i="42385" s="1"/>
  <c r="CX762" i="42385"/>
  <c r="BK765" i="42385"/>
  <c r="BO765" i="42385" s="1"/>
  <c r="CY765" i="42385" s="1"/>
  <c r="BJ814" i="42385"/>
  <c r="BI817" i="42385"/>
  <c r="BI553" i="42385"/>
  <c r="BJ550" i="42385"/>
  <c r="BJ705" i="42385"/>
  <c r="BI708" i="42385"/>
  <c r="BJ708" i="42385" s="1"/>
  <c r="CX708" i="42385" s="1"/>
  <c r="BN974" i="42385"/>
  <c r="BI974" i="42385"/>
  <c r="BP526" i="42385"/>
  <c r="BT525" i="42385"/>
  <c r="CZ525" i="42385" s="1"/>
  <c r="BW504" i="42385"/>
  <c r="BW510" i="42385"/>
  <c r="BW502" i="42385"/>
  <c r="BH330" i="42385"/>
  <c r="BX391" i="42385"/>
  <c r="BX392" i="42385" s="1"/>
  <c r="BX393" i="42385" s="1"/>
  <c r="DA814" i="42385"/>
  <c r="BZ817" i="42385"/>
  <c r="BX1149" i="42385"/>
  <c r="BX1153" i="42385"/>
  <c r="BY762" i="42385"/>
  <c r="BX765" i="42385"/>
  <c r="BY765" i="42385" s="1"/>
  <c r="DA765" i="42385" s="1"/>
  <c r="BY845" i="42385"/>
  <c r="BX848" i="42385"/>
  <c r="BX849" i="42385" s="1"/>
  <c r="BX850" i="42385" s="1"/>
  <c r="CA849" i="42385"/>
  <c r="CB850" i="42385" s="1"/>
  <c r="DC848" i="42385"/>
  <c r="CC449" i="42385"/>
  <c r="CC452" i="42385" s="1"/>
  <c r="CC420" i="42385"/>
  <c r="CC423" i="42385" s="1"/>
  <c r="CC845" i="42385"/>
  <c r="CC848" i="42385" s="1"/>
  <c r="CC849" i="42385" s="1"/>
  <c r="CC850" i="42385" s="1"/>
  <c r="CC611" i="42385"/>
  <c r="CC614" i="42385" s="1"/>
  <c r="CC615" i="42385" s="1"/>
  <c r="CC616" i="42385" s="1"/>
  <c r="CC388" i="42385"/>
  <c r="CC391" i="42385" s="1"/>
  <c r="CC392" i="42385" s="1"/>
  <c r="CC393" i="42385" s="1"/>
  <c r="CC478" i="42385"/>
  <c r="CC481" i="42385" s="1"/>
  <c r="CC783" i="42385"/>
  <c r="CC786" i="42385" s="1"/>
  <c r="CC787" i="42385" s="1"/>
  <c r="CC494" i="42385"/>
  <c r="CD320" i="42385"/>
  <c r="CC326" i="42385"/>
  <c r="CC360" i="42385"/>
  <c r="CC363" i="42385" s="1"/>
  <c r="CC364" i="42385" s="1"/>
  <c r="CC365" i="42385" s="1"/>
  <c r="CC522" i="42385"/>
  <c r="CC525" i="42385" s="1"/>
  <c r="CC1146" i="42385"/>
  <c r="CC1149" i="42385" s="1"/>
  <c r="CC876" i="42385"/>
  <c r="CC879" i="42385" s="1"/>
  <c r="CC880" i="42385" s="1"/>
  <c r="CC881" i="42385" s="1"/>
  <c r="CC814" i="42385"/>
  <c r="CC705" i="42385"/>
  <c r="CC1190" i="42385"/>
  <c r="CC1197" i="42385" s="1"/>
  <c r="CC550" i="42385"/>
  <c r="CC553" i="42385" s="1"/>
  <c r="CC557" i="42385" s="1"/>
  <c r="CC907" i="42385"/>
  <c r="CC910" i="42385" s="1"/>
  <c r="CC911" i="42385" s="1"/>
  <c r="CC912" i="42385" s="1"/>
  <c r="CC969" i="42385"/>
  <c r="CC972" i="42385" s="1"/>
  <c r="CC973" i="42385" s="1"/>
  <c r="CC974" i="42385" s="1"/>
  <c r="CC743" i="42385"/>
  <c r="CC746" i="42385" s="1"/>
  <c r="CC762" i="42385"/>
  <c r="BX817" i="42385"/>
  <c r="BX818" i="42385" s="1"/>
  <c r="CB708" i="42385"/>
  <c r="BU746" i="42385"/>
  <c r="CZ743" i="42385"/>
  <c r="BU481" i="42385"/>
  <c r="DA481" i="42385" s="1"/>
  <c r="CZ478" i="42385"/>
  <c r="BU1141" i="42385"/>
  <c r="BY1141" i="42385"/>
  <c r="DA1141" i="42385" s="1"/>
  <c r="CZ1138" i="42385"/>
  <c r="BT1141" i="42385"/>
  <c r="CZ1141" i="42385" s="1"/>
  <c r="BP880" i="42385"/>
  <c r="BT879" i="42385"/>
  <c r="BI879" i="42385"/>
  <c r="BI880" i="42385" s="1"/>
  <c r="BJ452" i="42385"/>
  <c r="BU848" i="42385"/>
  <c r="CZ845" i="42385"/>
  <c r="BW465" i="42385"/>
  <c r="BW467" i="42385" s="1"/>
  <c r="BW457" i="42385"/>
  <c r="BW458" i="42385"/>
  <c r="BW459" i="42385" s="1"/>
  <c r="BP554" i="42385"/>
  <c r="BT553" i="42385"/>
  <c r="CZ553" i="42385" s="1"/>
  <c r="CA392" i="42385"/>
  <c r="DC392" i="42385" s="1"/>
  <c r="DC391" i="42385"/>
  <c r="BJ423" i="42385"/>
  <c r="BI423" i="42385"/>
  <c r="BI424" i="42385" s="1"/>
  <c r="CX845" i="42385"/>
  <c r="BK848" i="42385"/>
  <c r="BH911" i="42385"/>
  <c r="BJ910" i="42385"/>
  <c r="BZ391" i="42385"/>
  <c r="DA388" i="42385"/>
  <c r="BY494" i="42385"/>
  <c r="BX497" i="42385"/>
  <c r="BT746" i="42385"/>
  <c r="CZ746" i="42385" s="1"/>
  <c r="CB786" i="42385"/>
  <c r="CB787" i="42385" s="1"/>
  <c r="BW1159" i="42385"/>
  <c r="BW1161" i="42385" s="1"/>
  <c r="BW1157" i="42385"/>
  <c r="BW1170" i="42385"/>
  <c r="BW1162" i="42385"/>
  <c r="BU457" i="42385"/>
  <c r="BU465" i="42385"/>
  <c r="BU467" i="42385" s="1"/>
  <c r="BU458" i="42385"/>
  <c r="BU879" i="42385"/>
  <c r="CZ876" i="42385"/>
  <c r="DB973" i="42385"/>
  <c r="BZ974" i="42385"/>
  <c r="DB974" i="42385" s="1"/>
  <c r="BW559" i="42385"/>
  <c r="BW561" i="42385" s="1"/>
  <c r="BW562" i="42385" s="1"/>
  <c r="BW563" i="42385" s="1"/>
  <c r="BW566" i="42385" s="1"/>
  <c r="BW558" i="42385"/>
  <c r="BW569" i="42385"/>
  <c r="DC329" i="42385"/>
  <c r="CA330" i="42385"/>
  <c r="DC330" i="42385" s="1"/>
  <c r="BJ363" i="42385"/>
  <c r="BS818" i="42385"/>
  <c r="BS819" i="42385" s="1"/>
  <c r="BT817" i="42385"/>
  <c r="BP911" i="42385"/>
  <c r="BT910" i="42385"/>
  <c r="BN1151" i="42385"/>
  <c r="BI1151" i="42385"/>
  <c r="CX743" i="42385"/>
  <c r="BK746" i="42385"/>
  <c r="BO746" i="42385" s="1"/>
  <c r="CY746" i="42385" s="1"/>
  <c r="BK363" i="42385"/>
  <c r="CX360" i="42385"/>
  <c r="BJ388" i="42385"/>
  <c r="BI391" i="42385"/>
  <c r="CX876" i="42385"/>
  <c r="BK879" i="42385"/>
  <c r="BI765" i="42385"/>
  <c r="BJ765" i="42385" s="1"/>
  <c r="CX765" i="42385" s="1"/>
  <c r="CZ907" i="42385"/>
  <c r="BU910" i="42385"/>
  <c r="BI329" i="42385"/>
  <c r="BI330" i="42385" s="1"/>
  <c r="BX746" i="42385"/>
  <c r="BZ614" i="42385"/>
  <c r="DA611" i="42385"/>
  <c r="BY907" i="42385"/>
  <c r="BX910" i="42385"/>
  <c r="BX911" i="42385" s="1"/>
  <c r="BX912" i="42385" s="1"/>
  <c r="BY705" i="42385"/>
  <c r="BX708" i="42385"/>
  <c r="BY708" i="42385" s="1"/>
  <c r="DA708" i="42385" s="1"/>
  <c r="BZ329" i="42385"/>
  <c r="DA326" i="42385"/>
  <c r="DC972" i="42385"/>
  <c r="CA973" i="42385"/>
  <c r="CB974" i="42385" s="1"/>
  <c r="CB329" i="42385"/>
  <c r="CB330" i="42385" s="1"/>
  <c r="CC329" i="42385"/>
  <c r="CC330" i="42385" s="1"/>
  <c r="DC910" i="42385"/>
  <c r="CA911" i="42385"/>
  <c r="BT614" i="42385"/>
  <c r="BS559" i="42385"/>
  <c r="BS569" i="42385"/>
  <c r="BT569" i="42385" s="1"/>
  <c r="CZ569" i="42385" s="1"/>
  <c r="BT557" i="42385"/>
  <c r="BS558" i="42385"/>
  <c r="BI848" i="42385"/>
  <c r="CA787" i="42385"/>
  <c r="DC787" i="42385" s="1"/>
  <c r="DC786" i="42385"/>
  <c r="BH454" i="42385"/>
  <c r="BM454" i="42385"/>
  <c r="BW1437" i="42385"/>
  <c r="BV1439" i="42385"/>
  <c r="BV1431" i="42385" s="1"/>
  <c r="DB1501" i="42385"/>
  <c r="CA1501" i="42385"/>
  <c r="BU1434" i="42385"/>
  <c r="CB566" i="42385"/>
  <c r="CB577" i="42385"/>
  <c r="CB226" i="42385"/>
  <c r="BX503" i="42385"/>
  <c r="BS444" i="42385"/>
  <c r="BS434" i="42385"/>
  <c r="BS221" i="42385"/>
  <c r="BS431" i="42385"/>
  <c r="CZ501" i="42385"/>
  <c r="CC1200" i="42385"/>
  <c r="BS438" i="42385"/>
  <c r="BS440" i="42385" s="1"/>
  <c r="BT436" i="42385"/>
  <c r="DB180" i="42385"/>
  <c r="CA180" i="42385"/>
  <c r="BS532" i="42385"/>
  <c r="BT531" i="42385"/>
  <c r="CZ531" i="42385" s="1"/>
  <c r="BX531" i="42385"/>
  <c r="BS180" i="42385"/>
  <c r="BT530" i="42385"/>
  <c r="CZ530" i="42385" s="1"/>
  <c r="CZ529" i="42385"/>
  <c r="BT510" i="42385"/>
  <c r="BW180" i="42385"/>
  <c r="BV474" i="42385"/>
  <c r="BV475" i="42385" s="1"/>
  <c r="BV470" i="42385"/>
  <c r="BV269" i="42385"/>
  <c r="BV471" i="42385"/>
  <c r="BT424" i="42385"/>
  <c r="BT430" i="42385"/>
  <c r="CZ427" i="42385"/>
  <c r="BT428" i="42385"/>
  <c r="CZ428" i="42385" s="1"/>
  <c r="CB365" i="42385" l="1"/>
  <c r="BT624" i="42385"/>
  <c r="CZ624" i="42385" s="1"/>
  <c r="BT526" i="42385"/>
  <c r="BS527" i="42385"/>
  <c r="BX526" i="42385"/>
  <c r="BX529" i="42385" s="1"/>
  <c r="BT498" i="42385"/>
  <c r="BS499" i="42385"/>
  <c r="BX498" i="42385"/>
  <c r="BX501" i="42385" s="1"/>
  <c r="BX504" i="42385" s="1"/>
  <c r="BS504" i="42385"/>
  <c r="BS425" i="42385"/>
  <c r="BX424" i="42385"/>
  <c r="BX427" i="42385" s="1"/>
  <c r="BF191" i="42385"/>
  <c r="CW191" i="42385"/>
  <c r="BJ191" i="42385"/>
  <c r="BE193" i="42385"/>
  <c r="CW193" i="42385" s="1"/>
  <c r="AT191" i="42385"/>
  <c r="AT193" i="42385" s="1"/>
  <c r="AS193" i="42385"/>
  <c r="BY363" i="42385"/>
  <c r="BA193" i="42385"/>
  <c r="BB191" i="42385"/>
  <c r="AX191" i="42385"/>
  <c r="AW193" i="42385"/>
  <c r="BR628" i="42385"/>
  <c r="BT626" i="42385"/>
  <c r="CZ626" i="42385" s="1"/>
  <c r="BS629" i="42385"/>
  <c r="BS280" i="42385"/>
  <c r="BS630" i="42385"/>
  <c r="BQ288" i="42385"/>
  <c r="BQ290" i="42385" s="1"/>
  <c r="BU625" i="42385"/>
  <c r="CZ625" i="42385"/>
  <c r="GD480" i="42464"/>
  <c r="CE348" i="42385"/>
  <c r="CD347" i="42385"/>
  <c r="CD350" i="42385" s="1"/>
  <c r="CD352" i="42385" s="1"/>
  <c r="C7" i="42408"/>
  <c r="H7" i="42408" s="1"/>
  <c r="DB265" i="42385"/>
  <c r="H44" i="42420"/>
  <c r="I44" i="42420" s="1"/>
  <c r="J44" i="42420" s="1"/>
  <c r="CC354" i="42385"/>
  <c r="CC353" i="42385"/>
  <c r="CC265" i="42385"/>
  <c r="CC355" i="42385"/>
  <c r="CA353" i="42385"/>
  <c r="DC353" i="42385" s="1"/>
  <c r="DC352" i="42385"/>
  <c r="CA354" i="42385"/>
  <c r="DC354" i="42385" s="1"/>
  <c r="CA355" i="42385"/>
  <c r="DC355" i="42385" s="1"/>
  <c r="CA265" i="42385"/>
  <c r="DC265" i="42385" s="1"/>
  <c r="U86" i="42408"/>
  <c r="V83" i="42408"/>
  <c r="CC1198" i="42385"/>
  <c r="CD480" i="42385"/>
  <c r="CC1140" i="42385"/>
  <c r="CC1138" i="42385" s="1"/>
  <c r="CC1141" i="42385" s="1"/>
  <c r="CB1141" i="42385"/>
  <c r="CA1141" i="42385"/>
  <c r="DC1141" i="42385" s="1"/>
  <c r="DC1138" i="42385"/>
  <c r="CB393" i="42385"/>
  <c r="BT570" i="42385"/>
  <c r="CZ570" i="42385" s="1"/>
  <c r="BU1171" i="42385"/>
  <c r="BU1168" i="42385"/>
  <c r="BU1167" i="42385"/>
  <c r="BU1187" i="42385"/>
  <c r="BU300" i="42385"/>
  <c r="BU305" i="42385" s="1"/>
  <c r="BU21" i="42385" s="1"/>
  <c r="BU30" i="42385" s="1"/>
  <c r="BP380" i="42385"/>
  <c r="BQ383" i="42385"/>
  <c r="BQ381" i="42385"/>
  <c r="BQ382" i="42385"/>
  <c r="BQ266" i="42385"/>
  <c r="BR376" i="42385"/>
  <c r="BR378" i="42385" s="1"/>
  <c r="BR380" i="42385" s="1"/>
  <c r="BS377" i="42385"/>
  <c r="BS376" i="42385" s="1"/>
  <c r="BS378" i="42385" s="1"/>
  <c r="BS380" i="42385" s="1"/>
  <c r="CC559" i="42385"/>
  <c r="CC561" i="42385" s="1"/>
  <c r="CC558" i="42385"/>
  <c r="BV1164" i="42385"/>
  <c r="BV1166" i="42385" s="1"/>
  <c r="Z38" i="42476"/>
  <c r="Z40" i="42476"/>
  <c r="BF209" i="42385"/>
  <c r="BF211" i="42385"/>
  <c r="BE209" i="42385"/>
  <c r="BE211" i="42385"/>
  <c r="BR1301" i="42385"/>
  <c r="BR1330" i="42385" s="1"/>
  <c r="BR1333" i="42385" s="1"/>
  <c r="BR115" i="42385"/>
  <c r="BR120" i="42385" s="1"/>
  <c r="BP1426" i="42385"/>
  <c r="BM1661" i="42385"/>
  <c r="BM1632" i="42385"/>
  <c r="BM1567" i="42385"/>
  <c r="BM1631" i="42385" s="1"/>
  <c r="BH211" i="42385"/>
  <c r="BH209" i="42385"/>
  <c r="BW1164" i="42385"/>
  <c r="BW1166" i="42385" s="1"/>
  <c r="BW1167" i="42385" s="1"/>
  <c r="CX1567" i="42385"/>
  <c r="BJ1631" i="42385"/>
  <c r="CX1631" i="42385" s="1"/>
  <c r="BV408" i="42385"/>
  <c r="BU407" i="42385"/>
  <c r="BK201" i="42385"/>
  <c r="CX1366" i="42385"/>
  <c r="BJ1426" i="42385"/>
  <c r="CX1426" i="42385" s="1"/>
  <c r="BJ201" i="42385"/>
  <c r="BP1632" i="42385"/>
  <c r="BP1567" i="42385"/>
  <c r="BP1631" i="42385" s="1"/>
  <c r="BP1661" i="42385"/>
  <c r="BR413" i="42385"/>
  <c r="BR414" i="42385"/>
  <c r="BR267" i="42385"/>
  <c r="BR415" i="42385"/>
  <c r="BT412" i="42385"/>
  <c r="BY497" i="42385"/>
  <c r="DA497" i="42385" s="1"/>
  <c r="BN1661" i="42385"/>
  <c r="BN1567" i="42385"/>
  <c r="BN1631" i="42385" s="1"/>
  <c r="BN1632" i="42385"/>
  <c r="BL207" i="42385"/>
  <c r="BL212" i="42385"/>
  <c r="BL206" i="42385"/>
  <c r="BQ1565" i="42385"/>
  <c r="BQ1346" i="42385"/>
  <c r="BQ1366" i="42385" s="1"/>
  <c r="AC35" i="42476"/>
  <c r="AC36" i="42476" s="1"/>
  <c r="BI209" i="42385"/>
  <c r="BI211" i="42385"/>
  <c r="AB40" i="42476"/>
  <c r="AB38" i="42476"/>
  <c r="Y40" i="42476"/>
  <c r="Y38" i="42476"/>
  <c r="CC788" i="42385"/>
  <c r="BJ329" i="42385"/>
  <c r="Y85" i="42492"/>
  <c r="Y88" i="42492" s="1"/>
  <c r="Y91" i="42492" s="1"/>
  <c r="Y80" i="42492"/>
  <c r="Y78" i="42492" s="1"/>
  <c r="AA35" i="42476"/>
  <c r="AA36" i="42476" s="1"/>
  <c r="CY1339" i="42385"/>
  <c r="BO1346" i="42385"/>
  <c r="BO1565" i="42385"/>
  <c r="BM212" i="42385"/>
  <c r="BM206" i="42385"/>
  <c r="BM207" i="42385"/>
  <c r="BM1426" i="42385"/>
  <c r="BN201" i="42385"/>
  <c r="BV226" i="42385"/>
  <c r="BV260" i="42385" s="1"/>
  <c r="BV566" i="42385"/>
  <c r="BV564" i="42385"/>
  <c r="BY848" i="42385"/>
  <c r="BU849" i="42385"/>
  <c r="BU850" i="42385" s="1"/>
  <c r="BW224" i="42385"/>
  <c r="BW518" i="42385"/>
  <c r="BW505" i="42385"/>
  <c r="BW507" i="42385"/>
  <c r="BW509" i="42385" s="1"/>
  <c r="BT330" i="42385"/>
  <c r="CZ330" i="42385" s="1"/>
  <c r="CZ329" i="42385"/>
  <c r="BW564" i="42385"/>
  <c r="CZ614" i="42385"/>
  <c r="BT615" i="42385"/>
  <c r="CZ615" i="42385" s="1"/>
  <c r="CB331" i="42385"/>
  <c r="BY910" i="42385"/>
  <c r="BU911" i="42385"/>
  <c r="BU912" i="42385" s="1"/>
  <c r="BK880" i="42385"/>
  <c r="BO879" i="42385"/>
  <c r="BT818" i="42385"/>
  <c r="CZ818" i="42385" s="1"/>
  <c r="CZ817" i="42385"/>
  <c r="BY453" i="42385"/>
  <c r="DA456" i="42385"/>
  <c r="BW300" i="42385"/>
  <c r="BW305" i="42385" s="1"/>
  <c r="BW21" i="42385" s="1"/>
  <c r="BW30" i="42385" s="1"/>
  <c r="BW1187" i="42385"/>
  <c r="BW1171" i="42385"/>
  <c r="BW1168" i="42385"/>
  <c r="CB788" i="42385"/>
  <c r="DA494" i="42385"/>
  <c r="BZ497" i="42385"/>
  <c r="DB497" i="42385" s="1"/>
  <c r="BM912" i="42385"/>
  <c r="BH912" i="42385"/>
  <c r="BJ424" i="42385"/>
  <c r="CX423" i="42385"/>
  <c r="BY746" i="42385"/>
  <c r="DA746" i="42385" s="1"/>
  <c r="BX1156" i="42385"/>
  <c r="BX1154" i="42385"/>
  <c r="BY1153" i="42385"/>
  <c r="CX550" i="42385"/>
  <c r="BK553" i="42385"/>
  <c r="BJ554" i="42385"/>
  <c r="BI615" i="42385"/>
  <c r="BJ614" i="42385"/>
  <c r="BX559" i="42385"/>
  <c r="BX561" i="42385" s="1"/>
  <c r="BX562" i="42385" s="1"/>
  <c r="BX563" i="42385" s="1"/>
  <c r="BX566" i="42385" s="1"/>
  <c r="BX569" i="42385"/>
  <c r="BX558" i="42385"/>
  <c r="BZ879" i="42385"/>
  <c r="DA876" i="42385"/>
  <c r="BW535" i="42385"/>
  <c r="BW537" i="42385" s="1"/>
  <c r="BW225" i="42385"/>
  <c r="BW546" i="42385"/>
  <c r="BW533" i="42385"/>
  <c r="CZ1153" i="42385"/>
  <c r="BT1150" i="42385"/>
  <c r="BT1156" i="42385"/>
  <c r="BT1154" i="42385"/>
  <c r="CZ1154" i="42385" s="1"/>
  <c r="BT364" i="42385"/>
  <c r="CZ364" i="42385" s="1"/>
  <c r="CZ363" i="42385"/>
  <c r="BO329" i="42385"/>
  <c r="BK330" i="42385"/>
  <c r="BJ786" i="42385"/>
  <c r="BI787" i="42385"/>
  <c r="CB881" i="42385"/>
  <c r="DB1206" i="42385"/>
  <c r="BW469" i="42385"/>
  <c r="BW460" i="42385"/>
  <c r="BW463" i="42385"/>
  <c r="BW222" i="42385"/>
  <c r="BW473" i="42385"/>
  <c r="CD876" i="42385"/>
  <c r="CD420" i="42385"/>
  <c r="CD423" i="42385" s="1"/>
  <c r="CD814" i="42385"/>
  <c r="CD817" i="42385" s="1"/>
  <c r="CD818" i="42385" s="1"/>
  <c r="CD762" i="42385"/>
  <c r="CD494" i="42385"/>
  <c r="CD497" i="42385" s="1"/>
  <c r="CD478" i="42385"/>
  <c r="CD481" i="42385" s="1"/>
  <c r="CD360" i="42385"/>
  <c r="CD363" i="42385" s="1"/>
  <c r="CD364" i="42385" s="1"/>
  <c r="CD365" i="42385" s="1"/>
  <c r="CD783" i="42385"/>
  <c r="CD786" i="42385" s="1"/>
  <c r="CD787" i="42385" s="1"/>
  <c r="CD788" i="42385" s="1"/>
  <c r="CD326" i="42385"/>
  <c r="CD329" i="42385" s="1"/>
  <c r="CD330" i="42385" s="1"/>
  <c r="CD331" i="42385" s="1"/>
  <c r="CD550" i="42385"/>
  <c r="CD553" i="42385" s="1"/>
  <c r="CD557" i="42385" s="1"/>
  <c r="CD558" i="42385" s="1"/>
  <c r="CD969" i="42385"/>
  <c r="CD972" i="42385" s="1"/>
  <c r="CD973" i="42385" s="1"/>
  <c r="CD974" i="42385" s="1"/>
  <c r="CD522" i="42385"/>
  <c r="CD525" i="42385" s="1"/>
  <c r="CD705" i="42385"/>
  <c r="CD708" i="42385" s="1"/>
  <c r="CD1190" i="42385"/>
  <c r="CD1146" i="42385"/>
  <c r="CD1149" i="42385" s="1"/>
  <c r="CE320" i="42385"/>
  <c r="CD845" i="42385"/>
  <c r="CD848" i="42385" s="1"/>
  <c r="CD849" i="42385" s="1"/>
  <c r="CD850" i="42385" s="1"/>
  <c r="CD611" i="42385"/>
  <c r="CD614" i="42385" s="1"/>
  <c r="CD615" i="42385" s="1"/>
  <c r="CD616" i="42385" s="1"/>
  <c r="CD907" i="42385"/>
  <c r="CD910" i="42385" s="1"/>
  <c r="CD911" i="42385" s="1"/>
  <c r="CD912" i="42385" s="1"/>
  <c r="CD743" i="42385"/>
  <c r="CD746" i="42385" s="1"/>
  <c r="CD449" i="42385"/>
  <c r="CD452" i="42385" s="1"/>
  <c r="CD388" i="42385"/>
  <c r="CD391" i="42385" s="1"/>
  <c r="CD392" i="42385" s="1"/>
  <c r="CD393" i="42385" s="1"/>
  <c r="BZ848" i="42385"/>
  <c r="DA845" i="42385"/>
  <c r="BV300" i="42385"/>
  <c r="BV305" i="42385" s="1"/>
  <c r="BV21" i="42385" s="1"/>
  <c r="BV30" i="42385" s="1"/>
  <c r="BV1171" i="42385"/>
  <c r="BV1187" i="42385"/>
  <c r="BV1167" i="42385"/>
  <c r="BV1168" i="42385"/>
  <c r="DA478" i="42385"/>
  <c r="DB481" i="42385"/>
  <c r="BK614" i="42385"/>
  <c r="CX611" i="42385"/>
  <c r="BK786" i="42385"/>
  <c r="CX783" i="42385"/>
  <c r="BY525" i="42385"/>
  <c r="DA525" i="42385" s="1"/>
  <c r="DB1203" i="42385"/>
  <c r="DB1205" i="42385"/>
  <c r="BT787" i="42385"/>
  <c r="CZ787" i="42385" s="1"/>
  <c r="CZ786" i="42385"/>
  <c r="CB912" i="42385"/>
  <c r="DC911" i="42385"/>
  <c r="DA705" i="42385"/>
  <c r="BZ708" i="42385"/>
  <c r="DB708" i="42385" s="1"/>
  <c r="BU459" i="42385"/>
  <c r="BK849" i="42385"/>
  <c r="BO848" i="42385"/>
  <c r="BJ553" i="42385"/>
  <c r="CX553" i="42385" s="1"/>
  <c r="BI554" i="42385"/>
  <c r="BN555" i="42385" s="1"/>
  <c r="BY329" i="42385"/>
  <c r="BU330" i="42385"/>
  <c r="BU331" i="42385" s="1"/>
  <c r="BV1233" i="42385"/>
  <c r="BV1234" i="42385" s="1"/>
  <c r="BW226" i="42385"/>
  <c r="BI392" i="42385"/>
  <c r="BJ391" i="42385"/>
  <c r="BT911" i="42385"/>
  <c r="CZ911" i="42385" s="1"/>
  <c r="CZ910" i="42385"/>
  <c r="CX363" i="42385"/>
  <c r="BJ364" i="42385"/>
  <c r="DB391" i="42385"/>
  <c r="BZ392" i="42385"/>
  <c r="CX452" i="42385"/>
  <c r="BJ453" i="42385"/>
  <c r="BI881" i="42385"/>
  <c r="BN881" i="42385"/>
  <c r="BX819" i="42385"/>
  <c r="CC817" i="42385"/>
  <c r="CC818" i="42385" s="1"/>
  <c r="CC819" i="42385" s="1"/>
  <c r="CC497" i="42385"/>
  <c r="DC849" i="42385"/>
  <c r="DB817" i="42385"/>
  <c r="BZ818" i="42385"/>
  <c r="BH331" i="42385"/>
  <c r="BM331" i="42385"/>
  <c r="BI818" i="42385"/>
  <c r="BJ817" i="42385"/>
  <c r="CB558" i="42385"/>
  <c r="CA559" i="42385"/>
  <c r="CA561" i="42385" s="1"/>
  <c r="CA562" i="42385" s="1"/>
  <c r="DC562" i="42385" s="1"/>
  <c r="GG516" i="42464"/>
  <c r="DC557" i="42385"/>
  <c r="CC1193" i="42385"/>
  <c r="BJ879" i="42385"/>
  <c r="BU392" i="42385"/>
  <c r="BU393" i="42385" s="1"/>
  <c r="BY391" i="42385"/>
  <c r="BZ525" i="42385"/>
  <c r="DB525" i="42385" s="1"/>
  <c r="DA522" i="42385"/>
  <c r="DB363" i="42385"/>
  <c r="BZ364" i="42385"/>
  <c r="BW540" i="42385"/>
  <c r="BW542" i="42385" s="1"/>
  <c r="BS1170" i="42385"/>
  <c r="BS1159" i="42385"/>
  <c r="BS1162" i="42385"/>
  <c r="BS1157" i="42385"/>
  <c r="CX522" i="42385"/>
  <c r="BK525" i="42385"/>
  <c r="BO910" i="42385"/>
  <c r="BK911" i="42385"/>
  <c r="DC1214" i="42385"/>
  <c r="DC1201" i="42385"/>
  <c r="DC1200" i="42385"/>
  <c r="BW221" i="42385"/>
  <c r="BW444" i="42385"/>
  <c r="BW431" i="42385"/>
  <c r="BW434" i="42385"/>
  <c r="BY364" i="42385"/>
  <c r="DA363" i="42385"/>
  <c r="BK497" i="42385"/>
  <c r="CX494" i="42385"/>
  <c r="CB819" i="42385"/>
  <c r="CZ557" i="42385"/>
  <c r="BT558" i="42385"/>
  <c r="CZ558" i="42385" s="1"/>
  <c r="BT554" i="42385"/>
  <c r="DB614" i="42385"/>
  <c r="BZ615" i="42385"/>
  <c r="BO363" i="42385"/>
  <c r="BK364" i="42385"/>
  <c r="BJ330" i="42385"/>
  <c r="CX329" i="42385"/>
  <c r="BV261" i="42385"/>
  <c r="BI849" i="42385"/>
  <c r="BJ848" i="42385"/>
  <c r="BT559" i="42385"/>
  <c r="BT560" i="42385" s="1"/>
  <c r="BS561" i="42385"/>
  <c r="BS562" i="42385" s="1"/>
  <c r="BT562" i="42385" s="1"/>
  <c r="CZ562" i="42385" s="1"/>
  <c r="CC331" i="42385"/>
  <c r="CA974" i="42385"/>
  <c r="DC974" i="42385" s="1"/>
  <c r="DC973" i="42385"/>
  <c r="BZ330" i="42385"/>
  <c r="DB329" i="42385"/>
  <c r="BZ910" i="42385"/>
  <c r="DA907" i="42385"/>
  <c r="BI331" i="42385"/>
  <c r="BN331" i="42385"/>
  <c r="CX388" i="42385"/>
  <c r="BK391" i="42385"/>
  <c r="BU880" i="42385"/>
  <c r="BU881" i="42385" s="1"/>
  <c r="BY879" i="42385"/>
  <c r="BJ911" i="42385"/>
  <c r="CX910" i="42385"/>
  <c r="BN425" i="42385"/>
  <c r="BI425" i="42385"/>
  <c r="BV512" i="42385"/>
  <c r="BV514" i="42385" s="1"/>
  <c r="CZ879" i="42385"/>
  <c r="BT880" i="42385"/>
  <c r="CC765" i="42385"/>
  <c r="CD765" i="42385"/>
  <c r="CD879" i="42385"/>
  <c r="CD880" i="42385" s="1"/>
  <c r="CD881" i="42385" s="1"/>
  <c r="CC708" i="42385"/>
  <c r="BZ765" i="42385"/>
  <c r="DB765" i="42385" s="1"/>
  <c r="DA762" i="42385"/>
  <c r="BK708" i="42385"/>
  <c r="BO708" i="42385" s="1"/>
  <c r="CY708" i="42385" s="1"/>
  <c r="CX705" i="42385"/>
  <c r="BK817" i="42385"/>
  <c r="CX814" i="42385"/>
  <c r="CX478" i="42385"/>
  <c r="BK481" i="42385"/>
  <c r="BO481" i="42385" s="1"/>
  <c r="CY481" i="42385" s="1"/>
  <c r="BU615" i="42385"/>
  <c r="BU616" i="42385" s="1"/>
  <c r="BY614" i="42385"/>
  <c r="BS465" i="42385"/>
  <c r="BS457" i="42385"/>
  <c r="BS458" i="42385"/>
  <c r="BT456" i="42385"/>
  <c r="CB1200" i="42385"/>
  <c r="CC1201" i="42385" s="1"/>
  <c r="CB1198" i="42385"/>
  <c r="BM881" i="42385"/>
  <c r="BH881" i="42385"/>
  <c r="CZ391" i="42385"/>
  <c r="BT392" i="42385"/>
  <c r="BU787" i="42385"/>
  <c r="BU788" i="42385" s="1"/>
  <c r="BY786" i="42385"/>
  <c r="BX465" i="42385"/>
  <c r="BX457" i="42385"/>
  <c r="BX458" i="42385"/>
  <c r="BX459" i="42385" s="1"/>
  <c r="DA550" i="42385"/>
  <c r="BZ553" i="42385"/>
  <c r="DB553" i="42385" s="1"/>
  <c r="BI912" i="42385"/>
  <c r="BN912" i="42385"/>
  <c r="BI526" i="42385"/>
  <c r="BN527" i="42385" s="1"/>
  <c r="BJ525" i="42385"/>
  <c r="BJ1141" i="42385"/>
  <c r="CX1141" i="42385" s="1"/>
  <c r="BK1141" i="42385"/>
  <c r="BO1141" i="42385"/>
  <c r="CY1141" i="42385" s="1"/>
  <c r="CX1138" i="42385"/>
  <c r="BU818" i="42385"/>
  <c r="BU819" i="42385" s="1"/>
  <c r="BY817" i="42385"/>
  <c r="BU365" i="42385"/>
  <c r="BT849" i="42385"/>
  <c r="CZ849" i="42385" s="1"/>
  <c r="CZ848" i="42385"/>
  <c r="BZ787" i="42385"/>
  <c r="DB786" i="42385"/>
  <c r="BI498" i="42385"/>
  <c r="BN499" i="42385" s="1"/>
  <c r="BJ497" i="42385"/>
  <c r="CB616" i="42385"/>
  <c r="DC1501" i="42385"/>
  <c r="CB1501" i="42385"/>
  <c r="CC1501" i="42385" s="1"/>
  <c r="CD1501" i="42385" s="1"/>
  <c r="CE1501" i="42385" s="1"/>
  <c r="CF1501" i="42385" s="1"/>
  <c r="BW1439" i="42385"/>
  <c r="BW1431" i="42385" s="1"/>
  <c r="BX1437" i="42385"/>
  <c r="CA563" i="42385"/>
  <c r="GG533" i="42464" s="1"/>
  <c r="BV1432" i="42385"/>
  <c r="BV1434" i="42385" s="1"/>
  <c r="CC562" i="42385"/>
  <c r="CC563" i="42385" s="1"/>
  <c r="BS441" i="42385"/>
  <c r="BS268" i="42385"/>
  <c r="BS445" i="42385"/>
  <c r="BS446" i="42385" s="1"/>
  <c r="BT446" i="42385" s="1"/>
  <c r="CZ446" i="42385" s="1"/>
  <c r="BS442" i="42385"/>
  <c r="CZ526" i="42385"/>
  <c r="BS546" i="42385"/>
  <c r="BS533" i="42385"/>
  <c r="BS535" i="42385"/>
  <c r="BS225" i="42385"/>
  <c r="BT225" i="42385" s="1"/>
  <c r="BT532" i="42385"/>
  <c r="DC180" i="42385"/>
  <c r="CB180" i="42385"/>
  <c r="CZ538" i="42385"/>
  <c r="BT539" i="42385"/>
  <c r="CZ539" i="42385" s="1"/>
  <c r="BW568" i="42385"/>
  <c r="BW571" i="42385"/>
  <c r="BW573" i="42385" s="1"/>
  <c r="BX180" i="42385"/>
  <c r="BT221" i="42385"/>
  <c r="BS507" i="42385"/>
  <c r="BS518" i="42385"/>
  <c r="BT504" i="42385"/>
  <c r="BS224" i="42385"/>
  <c r="BT224" i="42385" s="1"/>
  <c r="BS505" i="42385"/>
  <c r="CD559" i="42385"/>
  <c r="CD561" i="42385" s="1"/>
  <c r="BY531" i="42385"/>
  <c r="BY503" i="42385"/>
  <c r="CA226" i="42385"/>
  <c r="GG477" i="42464"/>
  <c r="DC563" i="42385"/>
  <c r="CA577" i="42385"/>
  <c r="DC577" i="42385" s="1"/>
  <c r="GG505" i="42464"/>
  <c r="CZ424" i="42385"/>
  <c r="BT425" i="42385"/>
  <c r="CZ425" i="42385" s="1"/>
  <c r="BT431" i="42385"/>
  <c r="CZ431" i="42385" s="1"/>
  <c r="BT444" i="42385"/>
  <c r="CZ444" i="42385" s="1"/>
  <c r="CZ430" i="42385"/>
  <c r="BT434" i="42385"/>
  <c r="CZ434" i="42385" s="1"/>
  <c r="BT511" i="42385"/>
  <c r="CZ511" i="42385" s="1"/>
  <c r="CZ510" i="42385"/>
  <c r="CZ436" i="42385"/>
  <c r="BT437" i="42385"/>
  <c r="BT438" i="42385"/>
  <c r="CZ438" i="42385" s="1"/>
  <c r="CC1214" i="42385"/>
  <c r="CC1206" i="42385"/>
  <c r="CC1203" i="42385"/>
  <c r="CC1220" i="42385"/>
  <c r="CZ498" i="42385"/>
  <c r="BU559" i="42385"/>
  <c r="BU558" i="42385"/>
  <c r="BY557" i="42385"/>
  <c r="BU569" i="42385"/>
  <c r="BW260" i="42385" l="1"/>
  <c r="BS288" i="42385"/>
  <c r="BS290" i="42385" s="1"/>
  <c r="BX538" i="42385"/>
  <c r="BX530" i="42385"/>
  <c r="BX532" i="42385"/>
  <c r="BX502" i="42385"/>
  <c r="BX510" i="42385"/>
  <c r="BX428" i="42385"/>
  <c r="BX430" i="42385"/>
  <c r="BY427" i="42385"/>
  <c r="CX191" i="42385"/>
  <c r="BJ193" i="42385"/>
  <c r="CX193" i="42385" s="1"/>
  <c r="BO191" i="42385"/>
  <c r="BK191" i="42385"/>
  <c r="AX193" i="42385"/>
  <c r="AY191" i="42385"/>
  <c r="AY193" i="42385" s="1"/>
  <c r="BC191" i="42385"/>
  <c r="BB193" i="42385"/>
  <c r="BF193" i="42385"/>
  <c r="BG191" i="42385"/>
  <c r="BV625" i="42385"/>
  <c r="BU624" i="42385"/>
  <c r="BU626" i="42385" s="1"/>
  <c r="BU628" i="42385" s="1"/>
  <c r="BS29" i="42385"/>
  <c r="BT20" i="42385"/>
  <c r="BR280" i="42385"/>
  <c r="BR630" i="42385"/>
  <c r="BR629" i="42385"/>
  <c r="BT628" i="42385"/>
  <c r="BV1243" i="42385"/>
  <c r="BV1260" i="42385" s="1"/>
  <c r="CA566" i="42385"/>
  <c r="CB568" i="42385" s="1"/>
  <c r="BW512" i="42385"/>
  <c r="BW514" i="42385" s="1"/>
  <c r="BW519" i="42385" s="1"/>
  <c r="T86" i="42408"/>
  <c r="U88" i="42408"/>
  <c r="CD353" i="42385"/>
  <c r="CD354" i="42385"/>
  <c r="CD265" i="42385"/>
  <c r="CD355" i="42385"/>
  <c r="CF348" i="42385"/>
  <c r="CF347" i="42385" s="1"/>
  <c r="CF350" i="42385" s="1"/>
  <c r="CF352" i="42385" s="1"/>
  <c r="CE347" i="42385"/>
  <c r="CE350" i="42385" s="1"/>
  <c r="CE352" i="42385" s="1"/>
  <c r="CE480" i="42385"/>
  <c r="CE478" i="42385" s="1"/>
  <c r="CE481" i="42385" s="1"/>
  <c r="CD1140" i="42385"/>
  <c r="CD1138" i="42385" s="1"/>
  <c r="CD1141" i="42385" s="1"/>
  <c r="CD819" i="42385"/>
  <c r="BX226" i="42385"/>
  <c r="BY559" i="42385"/>
  <c r="BY561" i="42385" s="1"/>
  <c r="BS563" i="42385"/>
  <c r="BS564" i="42385" s="1"/>
  <c r="BU1172" i="42385"/>
  <c r="BU1177" i="42385"/>
  <c r="BR266" i="42385"/>
  <c r="BR381" i="42385"/>
  <c r="BR382" i="42385"/>
  <c r="BR383" i="42385"/>
  <c r="BQ318" i="42385"/>
  <c r="BQ275" i="42385"/>
  <c r="BQ277" i="42385" s="1"/>
  <c r="BQ314" i="42385" s="1"/>
  <c r="BT378" i="42385"/>
  <c r="CZ378" i="42385" s="1"/>
  <c r="BP383" i="42385"/>
  <c r="BP266" i="42385"/>
  <c r="BP381" i="42385"/>
  <c r="BP382" i="42385"/>
  <c r="BT380" i="42385"/>
  <c r="BS266" i="42385"/>
  <c r="BS382" i="42385"/>
  <c r="BS381" i="42385"/>
  <c r="BS383" i="42385"/>
  <c r="BT376" i="42385"/>
  <c r="BN206" i="42385"/>
  <c r="BN207" i="42385"/>
  <c r="BN212" i="42385"/>
  <c r="AA40" i="42476"/>
  <c r="AA38" i="42476"/>
  <c r="BQ1426" i="42385"/>
  <c r="BW408" i="42385"/>
  <c r="BV407" i="42385"/>
  <c r="BV410" i="42385" s="1"/>
  <c r="BV412" i="42385" s="1"/>
  <c r="BT67" i="42385"/>
  <c r="CZ67" i="42385" s="1"/>
  <c r="BR1339" i="42385"/>
  <c r="BS1332" i="42385"/>
  <c r="CY1565" i="42385"/>
  <c r="BO1632" i="42385"/>
  <c r="CY1632" i="42385" s="1"/>
  <c r="BO1567" i="42385"/>
  <c r="BO1661" i="42385"/>
  <c r="BQ1632" i="42385"/>
  <c r="BQ1661" i="42385"/>
  <c r="BQ1567" i="42385"/>
  <c r="BQ1631" i="42385" s="1"/>
  <c r="BT415" i="42385"/>
  <c r="CZ415" i="42385" s="1"/>
  <c r="BT414" i="42385"/>
  <c r="CZ414" i="42385" s="1"/>
  <c r="BT413" i="42385"/>
  <c r="CZ413" i="42385" s="1"/>
  <c r="CZ412" i="42385"/>
  <c r="BJ212" i="42385"/>
  <c r="BJ206" i="42385"/>
  <c r="BJ207" i="42385"/>
  <c r="BK212" i="42385"/>
  <c r="BK207" i="42385"/>
  <c r="BK206" i="42385"/>
  <c r="BQ201" i="42385"/>
  <c r="BR1642" i="42385"/>
  <c r="BT1417" i="42385"/>
  <c r="BR1421" i="42385"/>
  <c r="CY1346" i="42385"/>
  <c r="BO1366" i="42385"/>
  <c r="BL209" i="42385"/>
  <c r="BL211" i="42385"/>
  <c r="BT561" i="42385"/>
  <c r="BT563" i="42385" s="1"/>
  <c r="GD477" i="42464" s="1"/>
  <c r="BM211" i="42385"/>
  <c r="BM209" i="42385"/>
  <c r="AC38" i="42476"/>
  <c r="AC40" i="42476"/>
  <c r="BR275" i="42385"/>
  <c r="BR277" i="42385" s="1"/>
  <c r="BT267" i="42385"/>
  <c r="CZ267" i="42385" s="1"/>
  <c r="BU410" i="42385"/>
  <c r="BR1656" i="42385"/>
  <c r="BR121" i="42385"/>
  <c r="AD48" i="42476"/>
  <c r="AD50" i="42476" s="1"/>
  <c r="BY787" i="42385"/>
  <c r="BZ788" i="42385" s="1"/>
  <c r="DB788" i="42385" s="1"/>
  <c r="DA786" i="42385"/>
  <c r="BY457" i="42385"/>
  <c r="DA457" i="42385" s="1"/>
  <c r="BT457" i="42385"/>
  <c r="CZ457" i="42385" s="1"/>
  <c r="CZ456" i="42385"/>
  <c r="BT453" i="42385"/>
  <c r="BY615" i="42385"/>
  <c r="BZ616" i="42385" s="1"/>
  <c r="DB616" i="42385" s="1"/>
  <c r="DA614" i="42385"/>
  <c r="BY529" i="42385"/>
  <c r="BU538" i="42385"/>
  <c r="BU532" i="42385"/>
  <c r="CZ880" i="42385"/>
  <c r="DB910" i="42385"/>
  <c r="BZ911" i="42385"/>
  <c r="BJ849" i="42385"/>
  <c r="CX848" i="42385"/>
  <c r="BP365" i="42385"/>
  <c r="BK365" i="42385"/>
  <c r="BT555" i="42385"/>
  <c r="CZ555" i="42385" s="1"/>
  <c r="CZ554" i="42385"/>
  <c r="BY365" i="42385"/>
  <c r="DA365" i="42385" s="1"/>
  <c r="DA364" i="42385"/>
  <c r="BW258" i="42385"/>
  <c r="BW261" i="42385"/>
  <c r="BW9" i="42385"/>
  <c r="BW14" i="42385" s="1"/>
  <c r="BW15" i="42385" s="1"/>
  <c r="BW1233" i="42385"/>
  <c r="CY910" i="42385"/>
  <c r="BO911" i="42385"/>
  <c r="BS1164" i="42385"/>
  <c r="BT1162" i="42385"/>
  <c r="BZ365" i="42385"/>
  <c r="DB365" i="42385" s="1"/>
  <c r="DB364" i="42385"/>
  <c r="CA365" i="42385"/>
  <c r="DC365" i="42385" s="1"/>
  <c r="DA391" i="42385"/>
  <c r="BY392" i="42385"/>
  <c r="BZ393" i="42385" s="1"/>
  <c r="DB393" i="42385" s="1"/>
  <c r="BJ818" i="42385"/>
  <c r="CX817" i="42385"/>
  <c r="CA819" i="42385"/>
  <c r="DC819" i="42385" s="1"/>
  <c r="DB818" i="42385"/>
  <c r="BN393" i="42385"/>
  <c r="BI393" i="42385"/>
  <c r="DA329" i="42385"/>
  <c r="BY330" i="42385"/>
  <c r="BZ331" i="42385" s="1"/>
  <c r="DB331" i="42385" s="1"/>
  <c r="BK850" i="42385"/>
  <c r="BP850" i="42385"/>
  <c r="BZ849" i="42385"/>
  <c r="DB848" i="42385"/>
  <c r="BU510" i="42385"/>
  <c r="BU504" i="42385"/>
  <c r="BY501" i="42385"/>
  <c r="BP331" i="42385"/>
  <c r="BK331" i="42385"/>
  <c r="BI616" i="42385"/>
  <c r="BN616" i="42385"/>
  <c r="BW515" i="42385"/>
  <c r="DA910" i="42385"/>
  <c r="BY911" i="42385"/>
  <c r="CC1208" i="42385"/>
  <c r="CC1210" i="42385" s="1"/>
  <c r="CC1217" i="42385" s="1"/>
  <c r="CC1218" i="42385" s="1"/>
  <c r="CC1222" i="42385" s="1"/>
  <c r="CC232" i="42385" s="1"/>
  <c r="CA788" i="42385"/>
  <c r="DC788" i="42385" s="1"/>
  <c r="DB787" i="42385"/>
  <c r="DA817" i="42385"/>
  <c r="BY818" i="42385"/>
  <c r="BX222" i="42385"/>
  <c r="BX473" i="42385"/>
  <c r="BX463" i="42385"/>
  <c r="BT458" i="42385"/>
  <c r="BS459" i="42385"/>
  <c r="BX460" i="42385" s="1"/>
  <c r="BK818" i="42385"/>
  <c r="BO817" i="42385"/>
  <c r="BI850" i="42385"/>
  <c r="BN850" i="42385"/>
  <c r="BO364" i="42385"/>
  <c r="CY363" i="42385"/>
  <c r="DC1203" i="42385"/>
  <c r="DC1205" i="42385"/>
  <c r="BK526" i="42385"/>
  <c r="BO525" i="42385"/>
  <c r="BT1159" i="42385"/>
  <c r="BS1161" i="42385"/>
  <c r="BN819" i="42385"/>
  <c r="BI819" i="42385"/>
  <c r="CA393" i="42385"/>
  <c r="DC393" i="42385" s="1"/>
  <c r="DB392" i="42385"/>
  <c r="BY458" i="42385"/>
  <c r="BO786" i="42385"/>
  <c r="BK787" i="42385"/>
  <c r="BV1172" i="42385"/>
  <c r="BV1177" i="42385"/>
  <c r="BV1178" i="42385" s="1"/>
  <c r="CD1197" i="42385"/>
  <c r="CD1193" i="42385"/>
  <c r="BW269" i="42385"/>
  <c r="BW470" i="42385"/>
  <c r="BW471" i="42385"/>
  <c r="BW474" i="42385"/>
  <c r="BW475" i="42385" s="1"/>
  <c r="BO330" i="42385"/>
  <c r="CY329" i="42385"/>
  <c r="CZ1156" i="42385"/>
  <c r="BT1157" i="42385"/>
  <c r="CZ1157" i="42385" s="1"/>
  <c r="BT1170" i="42385"/>
  <c r="CZ1170" i="42385" s="1"/>
  <c r="BZ880" i="42385"/>
  <c r="DB879" i="42385"/>
  <c r="CX554" i="42385"/>
  <c r="BO555" i="42385"/>
  <c r="CY555" i="42385" s="1"/>
  <c r="BY1154" i="42385"/>
  <c r="DA1154" i="42385" s="1"/>
  <c r="DA1153" i="42385"/>
  <c r="BY1156" i="42385"/>
  <c r="BY1150" i="42385"/>
  <c r="BO880" i="42385"/>
  <c r="CY879" i="42385"/>
  <c r="BV571" i="42385"/>
  <c r="BV573" i="42385" s="1"/>
  <c r="BV568" i="42385"/>
  <c r="CX497" i="42385"/>
  <c r="BJ498" i="42385"/>
  <c r="CX498" i="42385" s="1"/>
  <c r="CZ392" i="42385"/>
  <c r="BV271" i="42385"/>
  <c r="BV516" i="42385"/>
  <c r="BV515" i="42385"/>
  <c r="BV519" i="42385"/>
  <c r="BJ912" i="42385"/>
  <c r="CX912" i="42385" s="1"/>
  <c r="CX911" i="42385"/>
  <c r="CA331" i="42385"/>
  <c r="DC331" i="42385" s="1"/>
  <c r="DB330" i="42385"/>
  <c r="CA616" i="42385"/>
  <c r="DC616" i="42385" s="1"/>
  <c r="DB615" i="42385"/>
  <c r="BK498" i="42385"/>
  <c r="BO497" i="42385"/>
  <c r="BJ880" i="42385"/>
  <c r="CX879" i="42385"/>
  <c r="BU469" i="42385"/>
  <c r="BU463" i="42385"/>
  <c r="BU460" i="42385"/>
  <c r="BU222" i="42385"/>
  <c r="BU473" i="42385"/>
  <c r="BN788" i="42385"/>
  <c r="BI788" i="42385"/>
  <c r="BT1151" i="42385"/>
  <c r="CZ1151" i="42385" s="1"/>
  <c r="CZ1150" i="42385"/>
  <c r="BK554" i="42385"/>
  <c r="BP555" i="42385" s="1"/>
  <c r="BO553" i="42385"/>
  <c r="CY553" i="42385" s="1"/>
  <c r="CX424" i="42385"/>
  <c r="BJ425" i="42385"/>
  <c r="CX425" i="42385" s="1"/>
  <c r="BO425" i="42385"/>
  <c r="CY425" i="42385" s="1"/>
  <c r="BW1172" i="42385"/>
  <c r="BW1177" i="42385"/>
  <c r="BW1178" i="42385" s="1"/>
  <c r="BZ453" i="42385"/>
  <c r="DA453" i="42385"/>
  <c r="BP881" i="42385"/>
  <c r="BK881" i="42385"/>
  <c r="BV9" i="42385"/>
  <c r="BV14" i="42385" s="1"/>
  <c r="BV15" i="42385" s="1"/>
  <c r="BV258" i="42385"/>
  <c r="DP387" i="42492"/>
  <c r="BJ526" i="42385"/>
  <c r="CX526" i="42385" s="1"/>
  <c r="CX525" i="42385"/>
  <c r="BY465" i="42385"/>
  <c r="BX467" i="42385"/>
  <c r="BX469" i="42385" s="1"/>
  <c r="CB1220" i="42385"/>
  <c r="CB1201" i="42385"/>
  <c r="CB1214" i="42385"/>
  <c r="CB1203" i="42385"/>
  <c r="CB1205" i="42385" s="1"/>
  <c r="CB1206" i="42385"/>
  <c r="BT465" i="42385"/>
  <c r="BS467" i="42385"/>
  <c r="DA879" i="42385"/>
  <c r="BY880" i="42385"/>
  <c r="BK392" i="42385"/>
  <c r="BO391" i="42385"/>
  <c r="CX330" i="42385"/>
  <c r="BJ331" i="42385"/>
  <c r="CX331" i="42385" s="1"/>
  <c r="DC1206" i="42385"/>
  <c r="BP912" i="42385"/>
  <c r="BK912" i="42385"/>
  <c r="BW544" i="42385"/>
  <c r="BW543" i="42385"/>
  <c r="BW272" i="42385"/>
  <c r="BW547" i="42385"/>
  <c r="CX453" i="42385"/>
  <c r="BJ454" i="42385"/>
  <c r="CX454" i="42385" s="1"/>
  <c r="BO454" i="42385"/>
  <c r="CY454" i="42385" s="1"/>
  <c r="CX364" i="42385"/>
  <c r="BJ365" i="42385"/>
  <c r="CX365" i="42385" s="1"/>
  <c r="CX391" i="42385"/>
  <c r="BJ392" i="42385"/>
  <c r="BO849" i="42385"/>
  <c r="CY848" i="42385"/>
  <c r="BO614" i="42385"/>
  <c r="BK615" i="42385"/>
  <c r="CE550" i="42385"/>
  <c r="CE1190" i="42385"/>
  <c r="CE907" i="42385"/>
  <c r="CE969" i="42385"/>
  <c r="CE743" i="42385"/>
  <c r="CE449" i="42385"/>
  <c r="CE452" i="42385" s="1"/>
  <c r="CE522" i="42385"/>
  <c r="CE525" i="42385" s="1"/>
  <c r="CE326" i="42385"/>
  <c r="CE329" i="42385" s="1"/>
  <c r="CE330" i="42385" s="1"/>
  <c r="CE331" i="42385" s="1"/>
  <c r="CE845" i="42385"/>
  <c r="CF320" i="42385"/>
  <c r="CE388" i="42385"/>
  <c r="CE391" i="42385" s="1"/>
  <c r="CE392" i="42385" s="1"/>
  <c r="CE393" i="42385" s="1"/>
  <c r="CE611" i="42385"/>
  <c r="CE614" i="42385" s="1"/>
  <c r="CE615" i="42385" s="1"/>
  <c r="CE616" i="42385" s="1"/>
  <c r="CE420" i="42385"/>
  <c r="CE423" i="42385" s="1"/>
  <c r="CE705" i="42385"/>
  <c r="CE708" i="42385" s="1"/>
  <c r="CE762" i="42385"/>
  <c r="CE765" i="42385" s="1"/>
  <c r="CE814" i="42385"/>
  <c r="CE876" i="42385"/>
  <c r="CE360" i="42385"/>
  <c r="CE494" i="42385"/>
  <c r="CE1146" i="42385"/>
  <c r="CE783" i="42385"/>
  <c r="CE786" i="42385" s="1"/>
  <c r="CE787" i="42385" s="1"/>
  <c r="CE788" i="42385" s="1"/>
  <c r="DB1208" i="42385"/>
  <c r="BJ787" i="42385"/>
  <c r="CX786" i="42385"/>
  <c r="BJ615" i="42385"/>
  <c r="CX614" i="42385"/>
  <c r="BX1162" i="42385"/>
  <c r="BX1157" i="42385"/>
  <c r="BX1170" i="42385"/>
  <c r="BX1159" i="42385"/>
  <c r="BY849" i="42385"/>
  <c r="DA848" i="42385"/>
  <c r="BX1439" i="42385"/>
  <c r="BX1432" i="42385" s="1"/>
  <c r="BY1432" i="42385" s="1"/>
  <c r="DA1432" i="42385" s="1"/>
  <c r="BY1437" i="42385"/>
  <c r="BW1432" i="42385"/>
  <c r="BW1434" i="42385" s="1"/>
  <c r="GG536" i="42464"/>
  <c r="GG543" i="42464"/>
  <c r="BZ503" i="42385"/>
  <c r="DA503" i="42385"/>
  <c r="GD533" i="42464"/>
  <c r="CD562" i="42385"/>
  <c r="CD563" i="42385" s="1"/>
  <c r="BT507" i="42385"/>
  <c r="BS509" i="42385"/>
  <c r="BS512" i="42385"/>
  <c r="BS537" i="42385"/>
  <c r="BT535" i="42385"/>
  <c r="BS540" i="42385"/>
  <c r="BX571" i="42385"/>
  <c r="BX573" i="42385" s="1"/>
  <c r="BY569" i="42385"/>
  <c r="BU561" i="42385"/>
  <c r="CZ437" i="42385"/>
  <c r="BU437" i="42385"/>
  <c r="GG515" i="42464"/>
  <c r="GG508" i="42464"/>
  <c r="DC566" i="42385"/>
  <c r="GG478" i="42464"/>
  <c r="GG479" i="42464" s="1"/>
  <c r="BX507" i="42385"/>
  <c r="BX505" i="42385"/>
  <c r="BX224" i="42385"/>
  <c r="BX518" i="42385"/>
  <c r="BZ531" i="42385"/>
  <c r="DA531" i="42385"/>
  <c r="CZ221" i="42385"/>
  <c r="BW273" i="42385"/>
  <c r="BW574" i="42385"/>
  <c r="BT546" i="42385"/>
  <c r="CZ546" i="42385" s="1"/>
  <c r="CZ532" i="42385"/>
  <c r="BT533" i="42385"/>
  <c r="CZ533" i="42385" s="1"/>
  <c r="BT268" i="42385"/>
  <c r="BX225" i="42385"/>
  <c r="BX546" i="42385"/>
  <c r="BX533" i="42385"/>
  <c r="BX535" i="42385"/>
  <c r="BT505" i="42385"/>
  <c r="CZ505" i="42385" s="1"/>
  <c r="BT518" i="42385"/>
  <c r="CZ518" i="42385" s="1"/>
  <c r="CZ504" i="42385"/>
  <c r="CC226" i="42385"/>
  <c r="CC566" i="42385"/>
  <c r="CC568" i="42385" s="1"/>
  <c r="CC577" i="42385"/>
  <c r="GG487" i="42464"/>
  <c r="DA557" i="42385"/>
  <c r="BY558" i="42385"/>
  <c r="DA558" i="42385" s="1"/>
  <c r="BY554" i="42385"/>
  <c r="BT440" i="42385"/>
  <c r="BV1244" i="42385"/>
  <c r="BV47" i="42385"/>
  <c r="CC180" i="42385"/>
  <c r="BY560" i="42385" l="1"/>
  <c r="BU1233" i="42385"/>
  <c r="BU1243" i="42385" s="1"/>
  <c r="BW516" i="42385"/>
  <c r="BT577" i="42385"/>
  <c r="CZ577" i="42385" s="1"/>
  <c r="CZ563" i="42385"/>
  <c r="GD505" i="42464"/>
  <c r="BT226" i="42385"/>
  <c r="BT564" i="42385"/>
  <c r="CZ564" i="42385" s="1"/>
  <c r="BY538" i="42385"/>
  <c r="DA538" i="42385" s="1"/>
  <c r="BY430" i="42385"/>
  <c r="DA427" i="42385"/>
  <c r="BY424" i="42385"/>
  <c r="BY428" i="42385"/>
  <c r="DA428" i="42385" s="1"/>
  <c r="BX444" i="42385"/>
  <c r="BX431" i="42385"/>
  <c r="BX434" i="42385"/>
  <c r="BX221" i="42385"/>
  <c r="BL191" i="42385"/>
  <c r="BK193" i="42385"/>
  <c r="BD191" i="42385"/>
  <c r="BD193" i="42385" s="1"/>
  <c r="BC193" i="42385"/>
  <c r="BO193" i="42385"/>
  <c r="CY193" i="42385" s="1"/>
  <c r="BP191" i="42385"/>
  <c r="BT191" i="42385"/>
  <c r="CY191" i="42385"/>
  <c r="BH191" i="42385"/>
  <c r="BG193" i="42385"/>
  <c r="BT629" i="42385"/>
  <c r="CZ629" i="42385" s="1"/>
  <c r="BT630" i="42385"/>
  <c r="CZ630" i="42385" s="1"/>
  <c r="CZ628" i="42385"/>
  <c r="BT29" i="42385"/>
  <c r="CZ20" i="42385"/>
  <c r="BY539" i="42385"/>
  <c r="DA539" i="42385" s="1"/>
  <c r="BU280" i="42385"/>
  <c r="BU290" i="42385" s="1"/>
  <c r="BU20" i="42385" s="1"/>
  <c r="BU29" i="42385" s="1"/>
  <c r="BU629" i="42385"/>
  <c r="BU630" i="42385"/>
  <c r="BR288" i="42385"/>
  <c r="BT288" i="42385" s="1"/>
  <c r="CZ288" i="42385" s="1"/>
  <c r="BT280" i="42385"/>
  <c r="BV624" i="42385"/>
  <c r="BW625" i="42385"/>
  <c r="BS566" i="42385"/>
  <c r="BX568" i="42385" s="1"/>
  <c r="BW271" i="42385"/>
  <c r="CE354" i="42385"/>
  <c r="CE265" i="42385"/>
  <c r="CE353" i="42385"/>
  <c r="CE355" i="42385"/>
  <c r="BX564" i="42385"/>
  <c r="CF265" i="42385"/>
  <c r="CF355" i="42385"/>
  <c r="CF354" i="42385"/>
  <c r="CF353" i="42385"/>
  <c r="CC1211" i="42385"/>
  <c r="CF480" i="42385"/>
  <c r="CF1140" i="42385" s="1"/>
  <c r="CF1138" i="42385" s="1"/>
  <c r="CE1140" i="42385"/>
  <c r="CE1138" i="42385" s="1"/>
  <c r="CE1141" i="42385" s="1"/>
  <c r="BS226" i="42385"/>
  <c r="BU1178" i="42385"/>
  <c r="BU1180" i="42385"/>
  <c r="BU1284" i="42385"/>
  <c r="BU110" i="42385" s="1"/>
  <c r="BU61" i="42385"/>
  <c r="BU69" i="42385" s="1"/>
  <c r="BT382" i="42385"/>
  <c r="CZ382" i="42385" s="1"/>
  <c r="BT383" i="42385"/>
  <c r="CZ383" i="42385" s="1"/>
  <c r="BT381" i="42385"/>
  <c r="CZ381" i="42385" s="1"/>
  <c r="CZ380" i="42385"/>
  <c r="BQ1647" i="42385"/>
  <c r="BQ317" i="42385"/>
  <c r="BQ315" i="42385"/>
  <c r="BQ316" i="42385"/>
  <c r="BT377" i="42385"/>
  <c r="CZ376" i="42385"/>
  <c r="BT266" i="42385"/>
  <c r="CZ266" i="42385" s="1"/>
  <c r="BP318" i="42385"/>
  <c r="BP275" i="42385"/>
  <c r="BP277" i="42385" s="1"/>
  <c r="BP314" i="42385" s="1"/>
  <c r="CZ1417" i="42385"/>
  <c r="BU1417" i="42385"/>
  <c r="BV1417" i="42385" s="1"/>
  <c r="BX408" i="42385"/>
  <c r="BX407" i="42385" s="1"/>
  <c r="BX410" i="42385" s="1"/>
  <c r="BX412" i="42385" s="1"/>
  <c r="BW407" i="42385"/>
  <c r="BW1180" i="42385"/>
  <c r="BO1426" i="42385"/>
  <c r="CY1426" i="42385" s="1"/>
  <c r="BP201" i="42385"/>
  <c r="CY1366" i="42385"/>
  <c r="BO201" i="42385"/>
  <c r="BO1631" i="42385"/>
  <c r="CY1631" i="42385" s="1"/>
  <c r="CY1567" i="42385"/>
  <c r="AD35" i="42476"/>
  <c r="AD36" i="42476" s="1"/>
  <c r="BR1565" i="42385"/>
  <c r="BR1346" i="42385"/>
  <c r="BR1366" i="42385" s="1"/>
  <c r="BQ206" i="42385"/>
  <c r="BQ212" i="42385"/>
  <c r="BQ207" i="42385"/>
  <c r="BU412" i="42385"/>
  <c r="BR1424" i="42385"/>
  <c r="AD42" i="42476"/>
  <c r="BR202" i="42385"/>
  <c r="BK211" i="42385"/>
  <c r="BK209" i="42385"/>
  <c r="BJ211" i="42385"/>
  <c r="BJ209" i="42385"/>
  <c r="BV414" i="42385"/>
  <c r="BV413" i="42385"/>
  <c r="BV267" i="42385"/>
  <c r="BV415" i="42385"/>
  <c r="BN209" i="42385"/>
  <c r="BN211" i="42385"/>
  <c r="BX474" i="42385"/>
  <c r="BX475" i="42385" s="1"/>
  <c r="BX269" i="42385"/>
  <c r="BX470" i="42385"/>
  <c r="CE363" i="42385"/>
  <c r="CE364" i="42385" s="1"/>
  <c r="CE365" i="42385" s="1"/>
  <c r="CE910" i="42385"/>
  <c r="CE911" i="42385" s="1"/>
  <c r="CE912" i="42385" s="1"/>
  <c r="CY614" i="42385"/>
  <c r="BO615" i="42385"/>
  <c r="DC1208" i="42385"/>
  <c r="BP393" i="42385"/>
  <c r="BK393" i="42385"/>
  <c r="CZ465" i="42385"/>
  <c r="BT467" i="42385"/>
  <c r="CZ467" i="42385" s="1"/>
  <c r="BT466" i="42385"/>
  <c r="CZ466" i="42385" s="1"/>
  <c r="BV259" i="42385"/>
  <c r="BV127" i="42385"/>
  <c r="BW1284" i="42385"/>
  <c r="BW110" i="42385" s="1"/>
  <c r="BW61" i="42385"/>
  <c r="BW69" i="42385" s="1"/>
  <c r="BO498" i="42385"/>
  <c r="CY497" i="42385"/>
  <c r="BO881" i="42385"/>
  <c r="CY881" i="42385" s="1"/>
  <c r="CY880" i="42385"/>
  <c r="DB880" i="42385"/>
  <c r="CA881" i="42385"/>
  <c r="DC881" i="42385" s="1"/>
  <c r="BZ881" i="42385"/>
  <c r="DB881" i="42385" s="1"/>
  <c r="BV61" i="42385"/>
  <c r="BV69" i="42385" s="1"/>
  <c r="BV1284" i="42385"/>
  <c r="BV110" i="42385" s="1"/>
  <c r="BO526" i="42385"/>
  <c r="CY525" i="42385"/>
  <c r="CZ458" i="42385"/>
  <c r="BT459" i="42385"/>
  <c r="BY912" i="42385"/>
  <c r="DA912" i="42385" s="1"/>
  <c r="DA911" i="42385"/>
  <c r="BU224" i="42385"/>
  <c r="BY224" i="42385" s="1"/>
  <c r="BU518" i="42385"/>
  <c r="BU505" i="42385"/>
  <c r="BU507" i="42385"/>
  <c r="BU509" i="42385" s="1"/>
  <c r="BT1164" i="42385"/>
  <c r="CZ1162" i="42385"/>
  <c r="BT1163" i="42385"/>
  <c r="CZ1163" i="42385" s="1"/>
  <c r="BW127" i="42385"/>
  <c r="BW259" i="42385"/>
  <c r="CX849" i="42385"/>
  <c r="BJ850" i="42385"/>
  <c r="CX850" i="42385" s="1"/>
  <c r="BT881" i="42385"/>
  <c r="CZ881" i="42385" s="1"/>
  <c r="BY526" i="42385"/>
  <c r="BY530" i="42385"/>
  <c r="DA530" i="42385" s="1"/>
  <c r="DA529" i="42385"/>
  <c r="BY788" i="42385"/>
  <c r="DA788" i="42385" s="1"/>
  <c r="DA787" i="42385"/>
  <c r="BY850" i="42385"/>
  <c r="DA850" i="42385" s="1"/>
  <c r="DA849" i="42385"/>
  <c r="BX1164" i="42385"/>
  <c r="BX1166" i="42385" s="1"/>
  <c r="BY1162" i="42385"/>
  <c r="CX787" i="42385"/>
  <c r="BJ788" i="42385"/>
  <c r="CX788" i="42385" s="1"/>
  <c r="CE879" i="42385"/>
  <c r="CE880" i="42385" s="1"/>
  <c r="CE881" i="42385" s="1"/>
  <c r="CF550" i="42385"/>
  <c r="CF553" i="42385" s="1"/>
  <c r="CF557" i="42385" s="1"/>
  <c r="CF845" i="42385"/>
  <c r="CF848" i="42385" s="1"/>
  <c r="CF849" i="42385" s="1"/>
  <c r="CF494" i="42385"/>
  <c r="CF497" i="42385" s="1"/>
  <c r="CF762" i="42385"/>
  <c r="CF765" i="42385" s="1"/>
  <c r="CF743" i="42385"/>
  <c r="CF449" i="42385"/>
  <c r="CF452" i="42385" s="1"/>
  <c r="CF783" i="42385"/>
  <c r="CF786" i="42385" s="1"/>
  <c r="CF787" i="42385" s="1"/>
  <c r="CF788" i="42385" s="1"/>
  <c r="CF969" i="42385"/>
  <c r="CF972" i="42385" s="1"/>
  <c r="CF973" i="42385" s="1"/>
  <c r="CF522" i="42385"/>
  <c r="CF525" i="42385" s="1"/>
  <c r="CF876" i="42385"/>
  <c r="CF879" i="42385" s="1"/>
  <c r="CF880" i="42385" s="1"/>
  <c r="CF326" i="42385"/>
  <c r="CF329" i="42385" s="1"/>
  <c r="CF330" i="42385" s="1"/>
  <c r="CF331" i="42385" s="1"/>
  <c r="CF1190" i="42385"/>
  <c r="CF1197" i="42385" s="1"/>
  <c r="CF907" i="42385"/>
  <c r="CF910" i="42385" s="1"/>
  <c r="CF911" i="42385" s="1"/>
  <c r="CF611" i="42385"/>
  <c r="CF614" i="42385" s="1"/>
  <c r="CF615" i="42385" s="1"/>
  <c r="CF616" i="42385" s="1"/>
  <c r="CF705" i="42385"/>
  <c r="CF708" i="42385" s="1"/>
  <c r="CF814" i="42385"/>
  <c r="CF817" i="42385" s="1"/>
  <c r="CF818" i="42385" s="1"/>
  <c r="CF420" i="42385"/>
  <c r="CF423" i="42385" s="1"/>
  <c r="CF360" i="42385"/>
  <c r="CF363" i="42385" s="1"/>
  <c r="CF364" i="42385" s="1"/>
  <c r="CF388" i="42385"/>
  <c r="CF391" i="42385" s="1"/>
  <c r="CF392" i="42385" s="1"/>
  <c r="CF393" i="42385" s="1"/>
  <c r="CF1146" i="42385"/>
  <c r="CF1149" i="42385" s="1"/>
  <c r="CE1193" i="42385"/>
  <c r="CE1197" i="42385"/>
  <c r="BY881" i="42385"/>
  <c r="DA881" i="42385" s="1"/>
  <c r="DA880" i="42385"/>
  <c r="CB1208" i="42385"/>
  <c r="CB1210" i="42385" s="1"/>
  <c r="DB453" i="42385"/>
  <c r="CA453" i="42385"/>
  <c r="BZ456" i="42385"/>
  <c r="BU474" i="42385"/>
  <c r="BU475" i="42385" s="1"/>
  <c r="BU269" i="42385"/>
  <c r="BU470" i="42385"/>
  <c r="BU471" i="42385"/>
  <c r="BK499" i="42385"/>
  <c r="BP499" i="42385"/>
  <c r="BY1151" i="42385"/>
  <c r="DA1151" i="42385" s="1"/>
  <c r="BZ1150" i="42385"/>
  <c r="DA1150" i="42385"/>
  <c r="BO331" i="42385"/>
  <c r="CY331" i="42385" s="1"/>
  <c r="BT331" i="42385"/>
  <c r="CZ331" i="42385" s="1"/>
  <c r="CY330" i="42385"/>
  <c r="CD1200" i="42385"/>
  <c r="CD1198" i="42385"/>
  <c r="BP788" i="42385"/>
  <c r="BK788" i="42385"/>
  <c r="BK527" i="42385"/>
  <c r="BP527" i="42385"/>
  <c r="CY817" i="42385"/>
  <c r="BO818" i="42385"/>
  <c r="BY222" i="42385"/>
  <c r="DA222" i="42385" s="1"/>
  <c r="BX1233" i="42385"/>
  <c r="BY510" i="42385"/>
  <c r="BW1243" i="42385"/>
  <c r="BW1234" i="42385"/>
  <c r="DB911" i="42385"/>
  <c r="BZ912" i="42385"/>
  <c r="DB912" i="42385" s="1"/>
  <c r="CA912" i="42385"/>
  <c r="DC912" i="42385" s="1"/>
  <c r="BU546" i="42385"/>
  <c r="BU533" i="42385"/>
  <c r="BU225" i="42385"/>
  <c r="BY225" i="42385" s="1"/>
  <c r="BU535" i="42385"/>
  <c r="BY532" i="42385"/>
  <c r="BX1161" i="42385"/>
  <c r="BY1159" i="42385"/>
  <c r="DB1212" i="42385"/>
  <c r="DB1211" i="42385"/>
  <c r="DB1210" i="42385"/>
  <c r="CE1149" i="42385"/>
  <c r="CE817" i="42385"/>
  <c r="CE818" i="42385" s="1"/>
  <c r="CE819" i="42385" s="1"/>
  <c r="CE848" i="42385"/>
  <c r="CE849" i="42385" s="1"/>
  <c r="CE850" i="42385" s="1"/>
  <c r="CE746" i="42385"/>
  <c r="CF746" i="42385"/>
  <c r="CE553" i="42385"/>
  <c r="CE557" i="42385" s="1"/>
  <c r="BT850" i="42385"/>
  <c r="CZ850" i="42385" s="1"/>
  <c r="CY849" i="42385"/>
  <c r="BO850" i="42385"/>
  <c r="CY850" i="42385" s="1"/>
  <c r="BW1183" i="42385"/>
  <c r="BW1184" i="42385" s="1"/>
  <c r="BW1181" i="42385"/>
  <c r="BV574" i="42385"/>
  <c r="BV273" i="42385"/>
  <c r="DA1156" i="42385"/>
  <c r="BY1170" i="42385"/>
  <c r="DA1170" i="42385" s="1"/>
  <c r="BY1157" i="42385"/>
  <c r="DA1157" i="42385" s="1"/>
  <c r="CY786" i="42385"/>
  <c r="BO787" i="42385"/>
  <c r="BO365" i="42385"/>
  <c r="CY365" i="42385" s="1"/>
  <c r="BT365" i="42385"/>
  <c r="CZ365" i="42385" s="1"/>
  <c r="CY364" i="42385"/>
  <c r="BK819" i="42385"/>
  <c r="BP819" i="42385"/>
  <c r="BY819" i="42385"/>
  <c r="DA819" i="42385" s="1"/>
  <c r="DA818" i="42385"/>
  <c r="BY502" i="42385"/>
  <c r="DA502" i="42385" s="1"/>
  <c r="DA501" i="42385"/>
  <c r="BY498" i="42385"/>
  <c r="BY331" i="42385"/>
  <c r="DA331" i="42385" s="1"/>
  <c r="DA330" i="42385"/>
  <c r="BZ819" i="42385"/>
  <c r="DB819" i="42385" s="1"/>
  <c r="CX818" i="42385"/>
  <c r="BJ819" i="42385"/>
  <c r="CX819" i="42385" s="1"/>
  <c r="CY911" i="42385"/>
  <c r="BT912" i="42385"/>
  <c r="CZ912" i="42385" s="1"/>
  <c r="BO912" i="42385"/>
  <c r="CY912" i="42385" s="1"/>
  <c r="BY616" i="42385"/>
  <c r="DA616" i="42385" s="1"/>
  <c r="DA615" i="42385"/>
  <c r="BY504" i="42385"/>
  <c r="BJ616" i="42385"/>
  <c r="CX616" i="42385" s="1"/>
  <c r="CX615" i="42385"/>
  <c r="CE497" i="42385"/>
  <c r="CE972" i="42385"/>
  <c r="CE973" i="42385" s="1"/>
  <c r="CE974" i="42385" s="1"/>
  <c r="BP616" i="42385"/>
  <c r="BK616" i="42385"/>
  <c r="CX392" i="42385"/>
  <c r="BJ393" i="42385"/>
  <c r="CX393" i="42385" s="1"/>
  <c r="BO392" i="42385"/>
  <c r="CY391" i="42385"/>
  <c r="BY466" i="42385"/>
  <c r="DA466" i="42385" s="1"/>
  <c r="BY467" i="42385"/>
  <c r="DA467" i="42385" s="1"/>
  <c r="DA465" i="42385"/>
  <c r="BJ881" i="42385"/>
  <c r="CX881" i="42385" s="1"/>
  <c r="CX880" i="42385"/>
  <c r="BV1180" i="42385"/>
  <c r="BY459" i="42385"/>
  <c r="DA458" i="42385"/>
  <c r="BT1161" i="42385"/>
  <c r="CZ1161" i="42385" s="1"/>
  <c r="BT1160" i="42385"/>
  <c r="CZ1160" i="42385" s="1"/>
  <c r="CZ1159" i="42385"/>
  <c r="BS460" i="42385"/>
  <c r="BS222" i="42385"/>
  <c r="BS469" i="42385"/>
  <c r="BX471" i="42385" s="1"/>
  <c r="BS473" i="42385"/>
  <c r="BS463" i="42385"/>
  <c r="BZ850" i="42385"/>
  <c r="DB850" i="42385" s="1"/>
  <c r="DB849" i="42385"/>
  <c r="CA850" i="42385"/>
  <c r="DC850" i="42385" s="1"/>
  <c r="DA392" i="42385"/>
  <c r="BY393" i="42385"/>
  <c r="DA393" i="42385" s="1"/>
  <c r="BT454" i="42385"/>
  <c r="CZ454" i="42385" s="1"/>
  <c r="CZ453" i="42385"/>
  <c r="BY454" i="42385"/>
  <c r="DA454" i="42385" s="1"/>
  <c r="CC1205" i="42385"/>
  <c r="DA1437" i="42385"/>
  <c r="BZ1437" i="42385"/>
  <c r="BY1439" i="42385"/>
  <c r="DA1439" i="42385" s="1"/>
  <c r="BX1431" i="42385"/>
  <c r="BT442" i="42385"/>
  <c r="CZ442" i="42385" s="1"/>
  <c r="BT441" i="42385"/>
  <c r="CZ441" i="42385" s="1"/>
  <c r="BT445" i="42385"/>
  <c r="CZ445" i="42385" s="1"/>
  <c r="CZ440" i="42385"/>
  <c r="BY555" i="42385"/>
  <c r="DA555" i="42385" s="1"/>
  <c r="BZ554" i="42385"/>
  <c r="DA554" i="42385"/>
  <c r="BU562" i="42385"/>
  <c r="BY562" i="42385" s="1"/>
  <c r="DA562" i="42385" s="1"/>
  <c r="BT537" i="42385"/>
  <c r="CZ537" i="42385" s="1"/>
  <c r="CZ535" i="42385"/>
  <c r="BT536" i="42385"/>
  <c r="CZ536" i="42385" s="1"/>
  <c r="BT512" i="42385"/>
  <c r="CZ512" i="42385" s="1"/>
  <c r="BS514" i="42385"/>
  <c r="CD226" i="42385"/>
  <c r="CD566" i="42385"/>
  <c r="CD568" i="42385" s="1"/>
  <c r="CD577" i="42385"/>
  <c r="GD508" i="42464"/>
  <c r="GD515" i="42464"/>
  <c r="CA503" i="42385"/>
  <c r="DB503" i="42385"/>
  <c r="CZ268" i="42385"/>
  <c r="DB531" i="42385"/>
  <c r="CA531" i="42385"/>
  <c r="BX509" i="42385"/>
  <c r="BX512" i="42385"/>
  <c r="BU436" i="42385"/>
  <c r="BV437" i="42385"/>
  <c r="GE480" i="42464"/>
  <c r="DA569" i="42385"/>
  <c r="BY570" i="42385"/>
  <c r="GD487" i="42464"/>
  <c r="BX537" i="42385"/>
  <c r="BX540" i="42385"/>
  <c r="BS571" i="42385"/>
  <c r="BS573" i="42385" s="1"/>
  <c r="BX261" i="42385"/>
  <c r="BX9" i="42385"/>
  <c r="BX14" i="42385" s="1"/>
  <c r="BX258" i="42385"/>
  <c r="GG535" i="42464"/>
  <c r="GG534" i="42464" s="1"/>
  <c r="GG538" i="42464" s="1"/>
  <c r="GG507" i="42464"/>
  <c r="GG506" i="42464" s="1"/>
  <c r="GG510" i="42464" s="1"/>
  <c r="CZ507" i="42385"/>
  <c r="BT509" i="42385"/>
  <c r="CZ509" i="42385" s="1"/>
  <c r="BT508" i="42385"/>
  <c r="CZ508" i="42385" s="1"/>
  <c r="CD180" i="42385"/>
  <c r="BX273" i="42385"/>
  <c r="BX574" i="42385"/>
  <c r="BT540" i="42385"/>
  <c r="CZ540" i="42385" s="1"/>
  <c r="BS542" i="42385"/>
  <c r="GD536" i="42464"/>
  <c r="GD543" i="42464"/>
  <c r="CC282" i="42385"/>
  <c r="CC10" i="42385"/>
  <c r="BY221" i="42385" l="1"/>
  <c r="DA221" i="42385" s="1"/>
  <c r="BX260" i="42385"/>
  <c r="BU1234" i="42385"/>
  <c r="BT566" i="42385"/>
  <c r="BT567" i="42385" s="1"/>
  <c r="CZ567" i="42385" s="1"/>
  <c r="BY269" i="42385"/>
  <c r="DA269" i="42385" s="1"/>
  <c r="BY425" i="42385"/>
  <c r="DA425" i="42385" s="1"/>
  <c r="DA424" i="42385"/>
  <c r="BZ424" i="42385"/>
  <c r="DA430" i="42385"/>
  <c r="BY434" i="42385"/>
  <c r="DA434" i="42385" s="1"/>
  <c r="BY431" i="42385"/>
  <c r="DA431" i="42385" s="1"/>
  <c r="BY444" i="42385"/>
  <c r="DA444" i="42385" s="1"/>
  <c r="BR318" i="42385"/>
  <c r="BT193" i="42385"/>
  <c r="CZ193" i="42385" s="1"/>
  <c r="CZ191" i="42385"/>
  <c r="BY191" i="42385"/>
  <c r="BU191" i="42385"/>
  <c r="BR290" i="42385"/>
  <c r="BR314" i="42385" s="1"/>
  <c r="BR317" i="42385" s="1"/>
  <c r="BQ191" i="42385"/>
  <c r="BP193" i="42385"/>
  <c r="BI191" i="42385"/>
  <c r="BI193" i="42385" s="1"/>
  <c r="BH193" i="42385"/>
  <c r="BM191" i="42385"/>
  <c r="BL193" i="42385"/>
  <c r="BR316" i="42385"/>
  <c r="CF1193" i="42385"/>
  <c r="BW624" i="42385"/>
  <c r="BW626" i="42385" s="1"/>
  <c r="BW628" i="42385" s="1"/>
  <c r="BX625" i="42385"/>
  <c r="BV626" i="42385"/>
  <c r="BS568" i="42385"/>
  <c r="CZ280" i="42385"/>
  <c r="BT290" i="42385"/>
  <c r="CF1141" i="42385"/>
  <c r="BU512" i="42385"/>
  <c r="BU514" i="42385" s="1"/>
  <c r="BU519" i="42385" s="1"/>
  <c r="CF478" i="42385"/>
  <c r="CF481" i="42385" s="1"/>
  <c r="CF365" i="42385"/>
  <c r="BS260" i="42385"/>
  <c r="BY475" i="42385"/>
  <c r="DA475" i="42385" s="1"/>
  <c r="BW1417" i="42385"/>
  <c r="BX1417" i="42385" s="1"/>
  <c r="BY1417" i="42385" s="1"/>
  <c r="BZ1417" i="42385" s="1"/>
  <c r="BY563" i="42385"/>
  <c r="GE533" i="42464" s="1"/>
  <c r="BY507" i="42385"/>
  <c r="BU1181" i="42385"/>
  <c r="BU1183" i="42385"/>
  <c r="BU1184" i="42385" s="1"/>
  <c r="CF912" i="42385"/>
  <c r="BP317" i="42385"/>
  <c r="BP315" i="42385"/>
  <c r="BP1647" i="42385"/>
  <c r="BP316" i="42385"/>
  <c r="BU377" i="42385"/>
  <c r="CZ377" i="42385"/>
  <c r="BQ211" i="42385"/>
  <c r="BQ209" i="42385"/>
  <c r="BP207" i="42385"/>
  <c r="BP206" i="42385"/>
  <c r="BP212" i="42385"/>
  <c r="BW410" i="42385"/>
  <c r="BY407" i="42385"/>
  <c r="DA407" i="42385" s="1"/>
  <c r="BU267" i="42385"/>
  <c r="BU414" i="42385"/>
  <c r="BU415" i="42385"/>
  <c r="BU413" i="42385"/>
  <c r="BR1426" i="42385"/>
  <c r="BR201" i="42385"/>
  <c r="BX414" i="42385"/>
  <c r="BX413" i="42385"/>
  <c r="BX415" i="42385"/>
  <c r="BX267" i="42385"/>
  <c r="BR1661" i="42385"/>
  <c r="BR1632" i="42385"/>
  <c r="BR1567" i="42385"/>
  <c r="BR1631" i="42385" s="1"/>
  <c r="BO212" i="42385"/>
  <c r="BO207" i="42385"/>
  <c r="BO206" i="42385"/>
  <c r="CF881" i="42385"/>
  <c r="AD40" i="42476"/>
  <c r="AD38" i="42476"/>
  <c r="BY408" i="42385"/>
  <c r="CF974" i="42385"/>
  <c r="DB1217" i="42385"/>
  <c r="BW1244" i="42385"/>
  <c r="BW1260" i="42385"/>
  <c r="BW47" i="42385" s="1"/>
  <c r="BY1233" i="42385"/>
  <c r="BX1243" i="42385"/>
  <c r="DQ387" i="42492"/>
  <c r="CF1200" i="42385"/>
  <c r="CF1198" i="42385"/>
  <c r="BX1171" i="42385"/>
  <c r="BX1167" i="42385"/>
  <c r="BX300" i="42385"/>
  <c r="BX1187" i="42385"/>
  <c r="BY527" i="42385"/>
  <c r="DA527" i="42385" s="1"/>
  <c r="BZ526" i="42385"/>
  <c r="DA526" i="42385"/>
  <c r="CZ1164" i="42385"/>
  <c r="BT1166" i="42385"/>
  <c r="BV1622" i="42385"/>
  <c r="BV113" i="42385"/>
  <c r="BV129" i="42385"/>
  <c r="BV134" i="42385"/>
  <c r="BV1304" i="42385" s="1"/>
  <c r="BV1314" i="42385" s="1"/>
  <c r="BV133" i="42385"/>
  <c r="BY473" i="42385"/>
  <c r="DA473" i="42385" s="1"/>
  <c r="BY463" i="42385"/>
  <c r="DA463" i="42385" s="1"/>
  <c r="DA459" i="42385"/>
  <c r="BY469" i="42385"/>
  <c r="BY499" i="42385"/>
  <c r="DA499" i="42385" s="1"/>
  <c r="BZ498" i="42385"/>
  <c r="DA498" i="42385"/>
  <c r="CF558" i="42385"/>
  <c r="CF559" i="42385"/>
  <c r="CF561" i="42385" s="1"/>
  <c r="CF562" i="42385" s="1"/>
  <c r="CF563" i="42385" s="1"/>
  <c r="CD1220" i="42385"/>
  <c r="CD1201" i="42385"/>
  <c r="CD1206" i="42385"/>
  <c r="CD1214" i="42385"/>
  <c r="CD1203" i="42385"/>
  <c r="CD1205" i="42385" s="1"/>
  <c r="DM387" i="42492"/>
  <c r="CB1211" i="42385"/>
  <c r="CB1217" i="42385"/>
  <c r="CB1218" i="42385" s="1"/>
  <c r="CB1222" i="42385" s="1"/>
  <c r="CB232" i="42385" s="1"/>
  <c r="CC1212" i="42385"/>
  <c r="CE1198" i="42385"/>
  <c r="CE1200" i="42385"/>
  <c r="BW1622" i="42385"/>
  <c r="BW133" i="42385"/>
  <c r="BW129" i="42385"/>
  <c r="BW134" i="42385"/>
  <c r="BW1304" i="42385" s="1"/>
  <c r="BW113" i="42385"/>
  <c r="BO616" i="42385"/>
  <c r="CY616" i="42385" s="1"/>
  <c r="BT616" i="42385"/>
  <c r="CZ616" i="42385" s="1"/>
  <c r="CY615" i="42385"/>
  <c r="BS474" i="42385"/>
  <c r="BS475" i="42385" s="1"/>
  <c r="BT475" i="42385" s="1"/>
  <c r="CZ475" i="42385" s="1"/>
  <c r="BS269" i="42385"/>
  <c r="BS470" i="42385"/>
  <c r="BS471" i="42385"/>
  <c r="BV1181" i="42385"/>
  <c r="BV1183" i="42385"/>
  <c r="BV1184" i="42385" s="1"/>
  <c r="BY518" i="42385"/>
  <c r="DA518" i="42385" s="1"/>
  <c r="DA504" i="42385"/>
  <c r="BY505" i="42385"/>
  <c r="DA505" i="42385" s="1"/>
  <c r="CE559" i="42385"/>
  <c r="CE561" i="42385" s="1"/>
  <c r="CE562" i="42385" s="1"/>
  <c r="CE563" i="42385" s="1"/>
  <c r="CE558" i="42385"/>
  <c r="CF850" i="42385"/>
  <c r="BY533" i="42385"/>
  <c r="DA533" i="42385" s="1"/>
  <c r="BY546" i="42385"/>
  <c r="DA546" i="42385" s="1"/>
  <c r="DA532" i="42385"/>
  <c r="DA510" i="42385"/>
  <c r="BY511" i="42385"/>
  <c r="DA511" i="42385" s="1"/>
  <c r="BT819" i="42385"/>
  <c r="CZ819" i="42385" s="1"/>
  <c r="CY818" i="42385"/>
  <c r="BO819" i="42385"/>
  <c r="CY819" i="42385" s="1"/>
  <c r="CA1150" i="42385"/>
  <c r="BZ1153" i="42385"/>
  <c r="DB1150" i="42385"/>
  <c r="BZ457" i="42385"/>
  <c r="DB457" i="42385" s="1"/>
  <c r="BZ465" i="42385"/>
  <c r="BZ458" i="42385"/>
  <c r="DB456" i="42385"/>
  <c r="BT527" i="42385"/>
  <c r="CZ527" i="42385" s="1"/>
  <c r="CY526" i="42385"/>
  <c r="BO527" i="42385"/>
  <c r="CY527" i="42385" s="1"/>
  <c r="BT222" i="42385"/>
  <c r="BS258" i="42385"/>
  <c r="BS1233" i="42385"/>
  <c r="CY392" i="42385"/>
  <c r="BO393" i="42385"/>
  <c r="CY393" i="42385" s="1"/>
  <c r="BT393" i="42385"/>
  <c r="CZ393" i="42385" s="1"/>
  <c r="CY787" i="42385"/>
  <c r="BO788" i="42385"/>
  <c r="CY788" i="42385" s="1"/>
  <c r="BT788" i="42385"/>
  <c r="CZ788" i="42385" s="1"/>
  <c r="BU1244" i="42385"/>
  <c r="BU1260" i="42385"/>
  <c r="BU47" i="42385"/>
  <c r="CF819" i="42385"/>
  <c r="BY1161" i="42385"/>
  <c r="DA1161" i="42385" s="1"/>
  <c r="BY1160" i="42385"/>
  <c r="DA1159" i="42385"/>
  <c r="BU540" i="42385"/>
  <c r="BU542" i="42385" s="1"/>
  <c r="BU537" i="42385"/>
  <c r="BY535" i="42385"/>
  <c r="CB453" i="42385"/>
  <c r="CA456" i="42385"/>
  <c r="DC453" i="42385"/>
  <c r="DA1162" i="42385"/>
  <c r="BY1163" i="42385"/>
  <c r="DA1163" i="42385" s="1"/>
  <c r="BY1164" i="42385"/>
  <c r="BY460" i="42385"/>
  <c r="DA460" i="42385" s="1"/>
  <c r="BT460" i="42385"/>
  <c r="CZ460" i="42385" s="1"/>
  <c r="BT463" i="42385"/>
  <c r="CZ463" i="42385" s="1"/>
  <c r="BT469" i="42385"/>
  <c r="CZ459" i="42385"/>
  <c r="BT473" i="42385"/>
  <c r="CZ473" i="42385" s="1"/>
  <c r="BT499" i="42385"/>
  <c r="CZ499" i="42385" s="1"/>
  <c r="CY498" i="42385"/>
  <c r="BO499" i="42385"/>
  <c r="CY499" i="42385" s="1"/>
  <c r="CB1212" i="42385"/>
  <c r="DC1212" i="42385"/>
  <c r="DC1210" i="42385"/>
  <c r="DC1211" i="42385"/>
  <c r="BS261" i="42385"/>
  <c r="BU563" i="42385"/>
  <c r="BU226" i="42385" s="1"/>
  <c r="BU260" i="42385" s="1"/>
  <c r="BX1434" i="42385"/>
  <c r="BY1434" i="42385" s="1"/>
  <c r="DA1434" i="42385" s="1"/>
  <c r="BY1431" i="42385"/>
  <c r="DA1431" i="42385" s="1"/>
  <c r="DB1437" i="42385"/>
  <c r="BZ1439" i="42385"/>
  <c r="CA1437" i="42385"/>
  <c r="BT542" i="42385"/>
  <c r="BS272" i="42385"/>
  <c r="BT272" i="42385" s="1"/>
  <c r="BS544" i="42385"/>
  <c r="BS547" i="42385"/>
  <c r="BS543" i="42385"/>
  <c r="DA570" i="42385"/>
  <c r="BZ570" i="42385"/>
  <c r="BW437" i="42385"/>
  <c r="BV436" i="42385"/>
  <c r="BV438" i="42385" s="1"/>
  <c r="BV440" i="42385" s="1"/>
  <c r="GI522" i="42464"/>
  <c r="GG513" i="42464"/>
  <c r="GD478" i="42464"/>
  <c r="CZ566" i="42385"/>
  <c r="BT571" i="42385"/>
  <c r="BU438" i="42385"/>
  <c r="BU440" i="42385" s="1"/>
  <c r="CB531" i="42385"/>
  <c r="DC531" i="42385"/>
  <c r="DC503" i="42385"/>
  <c r="CB503" i="42385"/>
  <c r="GI550" i="42464"/>
  <c r="GG541" i="42464"/>
  <c r="BX542" i="42385"/>
  <c r="BX514" i="42385"/>
  <c r="BS515" i="42385"/>
  <c r="BT514" i="42385"/>
  <c r="BS516" i="42385"/>
  <c r="BS519" i="42385"/>
  <c r="BS271" i="42385"/>
  <c r="BZ557" i="42385"/>
  <c r="CA555" i="42385"/>
  <c r="DC555" i="42385" s="1"/>
  <c r="BZ555" i="42385"/>
  <c r="DB555" i="42385" s="1"/>
  <c r="DB554" i="42385"/>
  <c r="CF226" i="42385"/>
  <c r="CF577" i="42385"/>
  <c r="CF566" i="42385"/>
  <c r="CE180" i="42385"/>
  <c r="BX127" i="42385"/>
  <c r="BS574" i="42385"/>
  <c r="BS273" i="42385"/>
  <c r="BT273" i="42385" s="1"/>
  <c r="BX259" i="42385" l="1"/>
  <c r="EQ535" i="42492"/>
  <c r="BU566" i="42385"/>
  <c r="BY566" i="42385" s="1"/>
  <c r="GE477" i="42464"/>
  <c r="GE505" i="42464"/>
  <c r="GE508" i="42464" s="1"/>
  <c r="BU564" i="42385"/>
  <c r="BY540" i="42385"/>
  <c r="DA540" i="42385" s="1"/>
  <c r="B9" i="42408"/>
  <c r="G9" i="42408" s="1"/>
  <c r="BU516" i="42385"/>
  <c r="BU271" i="42385"/>
  <c r="BU515" i="42385"/>
  <c r="BY512" i="42385"/>
  <c r="DA512" i="42385" s="1"/>
  <c r="BY564" i="42385"/>
  <c r="DA564" i="42385" s="1"/>
  <c r="DA563" i="42385"/>
  <c r="BT568" i="42385"/>
  <c r="CZ568" i="42385" s="1"/>
  <c r="BT269" i="42385"/>
  <c r="CZ269" i="42385" s="1"/>
  <c r="BS275" i="42385"/>
  <c r="BT275" i="42385" s="1"/>
  <c r="CZ275" i="42385" s="1"/>
  <c r="BR315" i="42385"/>
  <c r="BR1647" i="42385"/>
  <c r="BZ427" i="42385"/>
  <c r="CA424" i="42385"/>
  <c r="DB424" i="42385"/>
  <c r="BY193" i="42385"/>
  <c r="DA193" i="42385" s="1"/>
  <c r="BZ191" i="42385"/>
  <c r="DA191" i="42385"/>
  <c r="BN191" i="42385"/>
  <c r="BN193" i="42385" s="1"/>
  <c r="BM193" i="42385"/>
  <c r="BR191" i="42385"/>
  <c r="BQ193" i="42385"/>
  <c r="BU193" i="42385"/>
  <c r="BV191" i="42385"/>
  <c r="BV628" i="42385"/>
  <c r="BX624" i="42385"/>
  <c r="BY625" i="42385"/>
  <c r="BW280" i="42385"/>
  <c r="BW290" i="42385" s="1"/>
  <c r="BW20" i="42385" s="1"/>
  <c r="BW29" i="42385" s="1"/>
  <c r="BW629" i="42385"/>
  <c r="BW630" i="42385"/>
  <c r="BY577" i="42385"/>
  <c r="DA577" i="42385" s="1"/>
  <c r="BY226" i="42385"/>
  <c r="BW1314" i="42385"/>
  <c r="DA1417" i="42385"/>
  <c r="BZ507" i="42385"/>
  <c r="BY509" i="42385"/>
  <c r="DA509" i="42385" s="1"/>
  <c r="DA507" i="42385"/>
  <c r="BY508" i="42385"/>
  <c r="DA508" i="42385" s="1"/>
  <c r="BU376" i="42385"/>
  <c r="BV377" i="42385"/>
  <c r="BO211" i="42385"/>
  <c r="BO209" i="42385"/>
  <c r="BP209" i="42385"/>
  <c r="BP211" i="42385"/>
  <c r="DA408" i="42385"/>
  <c r="BZ408" i="42385"/>
  <c r="BR212" i="42385"/>
  <c r="BR207" i="42385"/>
  <c r="BR206" i="42385"/>
  <c r="BW412" i="42385"/>
  <c r="BY410" i="42385"/>
  <c r="DA410" i="42385" s="1"/>
  <c r="CA1417" i="42385"/>
  <c r="DB1417" i="42385"/>
  <c r="DC1217" i="42385"/>
  <c r="BS1234" i="42385"/>
  <c r="BT1233" i="42385"/>
  <c r="DB458" i="42385"/>
  <c r="BZ459" i="42385"/>
  <c r="DB1153" i="42385"/>
  <c r="BZ1154" i="42385"/>
  <c r="DB1154" i="42385" s="1"/>
  <c r="BZ1156" i="42385"/>
  <c r="CE566" i="42385"/>
  <c r="CE568" i="42385" s="1"/>
  <c r="CE226" i="42385"/>
  <c r="CE577" i="42385"/>
  <c r="BY471" i="42385"/>
  <c r="DA471" i="42385" s="1"/>
  <c r="BY470" i="42385"/>
  <c r="DA470" i="42385" s="1"/>
  <c r="BY474" i="42385"/>
  <c r="DA474" i="42385" s="1"/>
  <c r="DA469" i="42385"/>
  <c r="CA526" i="42385"/>
  <c r="BZ529" i="42385"/>
  <c r="DB526" i="42385"/>
  <c r="CF1203" i="42385"/>
  <c r="CF1220" i="42385"/>
  <c r="CF1206" i="42385"/>
  <c r="CF1214" i="42385"/>
  <c r="CF1201" i="42385"/>
  <c r="BX1260" i="42385"/>
  <c r="BT21" i="42385"/>
  <c r="BS30" i="42385"/>
  <c r="CZ469" i="42385"/>
  <c r="BT474" i="42385"/>
  <c r="CZ474" i="42385" s="1"/>
  <c r="BT471" i="42385"/>
  <c r="CZ471" i="42385" s="1"/>
  <c r="BT470" i="42385"/>
  <c r="CZ470" i="42385" s="1"/>
  <c r="DA1164" i="42385"/>
  <c r="BY1166" i="42385"/>
  <c r="DC456" i="42385"/>
  <c r="CA465" i="42385"/>
  <c r="CA457" i="42385"/>
  <c r="DC457" i="42385" s="1"/>
  <c r="CA458" i="42385"/>
  <c r="BZ535" i="42385"/>
  <c r="DA535" i="42385"/>
  <c r="BY537" i="42385"/>
  <c r="DA537" i="42385" s="1"/>
  <c r="BY536" i="42385"/>
  <c r="DA536" i="42385" s="1"/>
  <c r="DA1160" i="42385"/>
  <c r="BZ1160" i="42385"/>
  <c r="BS14" i="42385"/>
  <c r="BT9" i="42385"/>
  <c r="BZ467" i="42385"/>
  <c r="DB467" i="42385" s="1"/>
  <c r="DB465" i="42385"/>
  <c r="DC1150" i="42385"/>
  <c r="CA1153" i="42385"/>
  <c r="CB1150" i="42385"/>
  <c r="CB282" i="42385"/>
  <c r="CB10" i="42385"/>
  <c r="BT1171" i="42385"/>
  <c r="BT1168" i="42385"/>
  <c r="CZ1168" i="42385" s="1"/>
  <c r="BT1167" i="42385"/>
  <c r="CZ1167" i="42385" s="1"/>
  <c r="BT1187" i="42385"/>
  <c r="CZ1187" i="42385" s="1"/>
  <c r="CZ1166" i="42385"/>
  <c r="BX1234" i="42385"/>
  <c r="DB1218" i="42385"/>
  <c r="CC453" i="42385"/>
  <c r="CB456" i="42385"/>
  <c r="BS259" i="42385"/>
  <c r="BS128" i="42385"/>
  <c r="CE1220" i="42385"/>
  <c r="CE1201" i="42385"/>
  <c r="CE1203" i="42385"/>
  <c r="CE1205" i="42385" s="1"/>
  <c r="CE1214" i="42385"/>
  <c r="CE1206" i="42385"/>
  <c r="CD1208" i="42385"/>
  <c r="CD1210" i="42385" s="1"/>
  <c r="BZ501" i="42385"/>
  <c r="DB498" i="42385"/>
  <c r="CA498" i="42385"/>
  <c r="BX1172" i="42385"/>
  <c r="BX1177" i="42385"/>
  <c r="BU543" i="42385"/>
  <c r="BU544" i="42385"/>
  <c r="BU272" i="42385"/>
  <c r="BU547" i="42385"/>
  <c r="CZ222" i="42385"/>
  <c r="BT261" i="42385"/>
  <c r="BT258" i="42385"/>
  <c r="BT260" i="42385"/>
  <c r="R7" i="42420" s="1"/>
  <c r="BX305" i="42385"/>
  <c r="BX21" i="42385" s="1"/>
  <c r="BY300" i="42385"/>
  <c r="BY1243" i="42385"/>
  <c r="DA1243" i="42385" s="1"/>
  <c r="DA1233" i="42385"/>
  <c r="CA1439" i="42385"/>
  <c r="CA1432" i="42385" s="1"/>
  <c r="DC1432" i="42385" s="1"/>
  <c r="CB1437" i="42385"/>
  <c r="DC1437" i="42385"/>
  <c r="BZ1432" i="42385"/>
  <c r="DB1432" i="42385" s="1"/>
  <c r="BZ1431" i="42385"/>
  <c r="DB1439" i="42385"/>
  <c r="GE487" i="42464"/>
  <c r="DB557" i="42385"/>
  <c r="BZ559" i="42385"/>
  <c r="BZ561" i="42385" s="1"/>
  <c r="BZ558" i="42385"/>
  <c r="DB558" i="42385" s="1"/>
  <c r="CA558" i="42385"/>
  <c r="DC558" i="42385" s="1"/>
  <c r="BT271" i="42385"/>
  <c r="CC531" i="42385"/>
  <c r="BV442" i="42385"/>
  <c r="BV441" i="42385"/>
  <c r="BV268" i="42385"/>
  <c r="BV445" i="42385"/>
  <c r="BV446" i="42385" s="1"/>
  <c r="BT544" i="42385"/>
  <c r="CZ544" i="42385" s="1"/>
  <c r="CZ542" i="42385"/>
  <c r="BT543" i="42385"/>
  <c r="CZ543" i="42385" s="1"/>
  <c r="BT547" i="42385"/>
  <c r="CZ547" i="42385" s="1"/>
  <c r="BX113" i="42385"/>
  <c r="BX129" i="42385"/>
  <c r="BX1622" i="42385"/>
  <c r="BX134" i="42385"/>
  <c r="BX1304" i="42385" s="1"/>
  <c r="BX1314" i="42385" s="1"/>
  <c r="BX133" i="42385"/>
  <c r="CF180" i="42385"/>
  <c r="BX515" i="42385"/>
  <c r="BX519" i="42385"/>
  <c r="BX271" i="42385"/>
  <c r="BY271" i="42385" s="1"/>
  <c r="B27" i="42408" s="1"/>
  <c r="G27" i="42408" s="1"/>
  <c r="BX516" i="42385"/>
  <c r="BY514" i="42385"/>
  <c r="BX547" i="42385"/>
  <c r="BX272" i="42385"/>
  <c r="BX544" i="42385"/>
  <c r="BX543" i="42385"/>
  <c r="BY542" i="42385"/>
  <c r="CZ571" i="42385"/>
  <c r="BT573" i="42385"/>
  <c r="GD479" i="42464"/>
  <c r="GD482" i="42464"/>
  <c r="GD485" i="42464" s="1"/>
  <c r="GG514" i="42464"/>
  <c r="GG522" i="42464" s="1"/>
  <c r="BX437" i="42385"/>
  <c r="BX436" i="42385" s="1"/>
  <c r="BX438" i="42385" s="1"/>
  <c r="BX440" i="42385" s="1"/>
  <c r="BW436" i="42385"/>
  <c r="GE543" i="42464"/>
  <c r="GE536" i="42464"/>
  <c r="BU441" i="42385"/>
  <c r="BU445" i="42385"/>
  <c r="BU446" i="42385" s="1"/>
  <c r="BU268" i="42385"/>
  <c r="BU442" i="42385"/>
  <c r="CA570" i="42385"/>
  <c r="DB570" i="42385"/>
  <c r="BZ569" i="42385"/>
  <c r="GE515" i="42464"/>
  <c r="BU258" i="42385"/>
  <c r="BU9" i="42385"/>
  <c r="BU261" i="42385"/>
  <c r="BT515" i="42385"/>
  <c r="CZ515" i="42385" s="1"/>
  <c r="CZ514" i="42385"/>
  <c r="BT519" i="42385"/>
  <c r="CZ519" i="42385" s="1"/>
  <c r="BT516" i="42385"/>
  <c r="CZ516" i="42385" s="1"/>
  <c r="GG542" i="42464"/>
  <c r="GG550" i="42464" s="1"/>
  <c r="CC503" i="42385"/>
  <c r="EQ536" i="42492" l="1"/>
  <c r="EQ537" i="42492"/>
  <c r="BU571" i="42385"/>
  <c r="BU573" i="42385" s="1"/>
  <c r="BU273" i="42385" s="1"/>
  <c r="BY273" i="42385" s="1"/>
  <c r="BU568" i="42385"/>
  <c r="BY258" i="42385"/>
  <c r="BY259" i="42385" s="1"/>
  <c r="DA259" i="42385" s="1"/>
  <c r="S7" i="42420"/>
  <c r="BS277" i="42385"/>
  <c r="CB424" i="42385"/>
  <c r="DC424" i="42385"/>
  <c r="CA427" i="42385"/>
  <c r="BZ430" i="42385"/>
  <c r="BZ428" i="42385"/>
  <c r="DB428" i="42385" s="1"/>
  <c r="BZ436" i="42385"/>
  <c r="DB427" i="42385"/>
  <c r="BS191" i="42385"/>
  <c r="BS193" i="42385" s="1"/>
  <c r="BR193" i="42385"/>
  <c r="DB191" i="42385"/>
  <c r="BZ193" i="42385"/>
  <c r="DB193" i="42385" s="1"/>
  <c r="CA191" i="42385"/>
  <c r="BV193" i="42385"/>
  <c r="BW191" i="42385"/>
  <c r="DA625" i="42385"/>
  <c r="BZ625" i="42385"/>
  <c r="BX626" i="42385"/>
  <c r="BY624" i="42385"/>
  <c r="DA624" i="42385" s="1"/>
  <c r="BV280" i="42385"/>
  <c r="BV629" i="42385"/>
  <c r="BV630" i="42385"/>
  <c r="BY1260" i="42385"/>
  <c r="BX47" i="42385"/>
  <c r="DB507" i="42385"/>
  <c r="CA507" i="42385"/>
  <c r="BY272" i="42385"/>
  <c r="B28" i="42408" s="1"/>
  <c r="G28" i="42408" s="1"/>
  <c r="BW377" i="42385"/>
  <c r="BV376" i="42385"/>
  <c r="BV378" i="42385" s="1"/>
  <c r="BV380" i="42385" s="1"/>
  <c r="BU378" i="42385"/>
  <c r="DC1417" i="42385"/>
  <c r="CB1417" i="42385"/>
  <c r="CC1417" i="42385" s="1"/>
  <c r="CD1417" i="42385" s="1"/>
  <c r="CE1417" i="42385" s="1"/>
  <c r="CF1417" i="42385" s="1"/>
  <c r="BW413" i="42385"/>
  <c r="BW414" i="42385"/>
  <c r="BW415" i="42385"/>
  <c r="BW267" i="42385"/>
  <c r="BY267" i="42385" s="1"/>
  <c r="BY412" i="42385"/>
  <c r="CA408" i="42385"/>
  <c r="DB408" i="42385"/>
  <c r="BZ407" i="42385"/>
  <c r="BR209" i="42385"/>
  <c r="BR211" i="42385"/>
  <c r="BT259" i="42385"/>
  <c r="CZ259" i="42385" s="1"/>
  <c r="BT128" i="42385"/>
  <c r="CZ128" i="42385" s="1"/>
  <c r="CZ258" i="42385"/>
  <c r="CA501" i="42385"/>
  <c r="DC498" i="42385"/>
  <c r="CB498" i="42385"/>
  <c r="CC456" i="42385"/>
  <c r="CD453" i="42385"/>
  <c r="BZ1159" i="42385"/>
  <c r="DB1160" i="42385"/>
  <c r="CA1160" i="42385"/>
  <c r="DC465" i="42385"/>
  <c r="CA467" i="42385"/>
  <c r="DC467" i="42385" s="1"/>
  <c r="CF1205" i="42385"/>
  <c r="BY305" i="42385"/>
  <c r="DA300" i="42385"/>
  <c r="CD1212" i="42385"/>
  <c r="CD1211" i="42385"/>
  <c r="CD1217" i="42385"/>
  <c r="CD1218" i="42385" s="1"/>
  <c r="CD1222" i="42385" s="1"/>
  <c r="CD232" i="42385" s="1"/>
  <c r="BZ232" i="42385"/>
  <c r="BZ282" i="42385"/>
  <c r="BT61" i="42385"/>
  <c r="BT69" i="42385"/>
  <c r="CZ69" i="42385" s="1"/>
  <c r="CB1153" i="42385"/>
  <c r="CC1150" i="42385"/>
  <c r="CA535" i="42385"/>
  <c r="DB535" i="42385"/>
  <c r="BT30" i="42385"/>
  <c r="CZ21" i="42385"/>
  <c r="BT1234" i="42385"/>
  <c r="CZ1234" i="42385" s="1"/>
  <c r="BT1243" i="42385"/>
  <c r="BY1244" i="42385" s="1"/>
  <c r="DA1244" i="42385" s="1"/>
  <c r="CZ1233" i="42385"/>
  <c r="BY1234" i="42385"/>
  <c r="DA1234" i="42385" s="1"/>
  <c r="BX30" i="42385"/>
  <c r="BY21" i="42385"/>
  <c r="BX1178" i="42385"/>
  <c r="BX1180" i="42385"/>
  <c r="DB501" i="42385"/>
  <c r="BZ502" i="42385"/>
  <c r="DB502" i="42385" s="1"/>
  <c r="BZ510" i="42385"/>
  <c r="BZ504" i="42385"/>
  <c r="CE1208" i="42385"/>
  <c r="CE1210" i="42385" s="1"/>
  <c r="CZ1171" i="42385"/>
  <c r="BT1177" i="42385"/>
  <c r="BT1180" i="42385" s="1"/>
  <c r="CA1154" i="42385"/>
  <c r="DC1154" i="42385" s="1"/>
  <c r="DC1153" i="42385"/>
  <c r="CA1156" i="42385"/>
  <c r="CZ9" i="42385"/>
  <c r="BT14" i="42385"/>
  <c r="CA459" i="42385"/>
  <c r="DC458" i="42385"/>
  <c r="DA1166" i="42385"/>
  <c r="BY1171" i="42385"/>
  <c r="B10" i="42408"/>
  <c r="G10" i="42408" s="1"/>
  <c r="BY1167" i="42385"/>
  <c r="DA1167" i="42385" s="1"/>
  <c r="BY1168" i="42385"/>
  <c r="DA1168" i="42385" s="1"/>
  <c r="BY1187" i="42385"/>
  <c r="DA1187" i="42385" s="1"/>
  <c r="CF1208" i="42385"/>
  <c r="CF1210" i="42385" s="1"/>
  <c r="BZ532" i="42385"/>
  <c r="BZ538" i="42385"/>
  <c r="DB529" i="42385"/>
  <c r="BZ530" i="42385"/>
  <c r="DB530" i="42385" s="1"/>
  <c r="BZ469" i="42385"/>
  <c r="BZ473" i="42385"/>
  <c r="DB473" i="42385" s="1"/>
  <c r="BZ463" i="42385"/>
  <c r="DB463" i="42385" s="1"/>
  <c r="DB459" i="42385"/>
  <c r="BZ222" i="42385"/>
  <c r="BZ460" i="42385"/>
  <c r="DB460" i="42385" s="1"/>
  <c r="DC1218" i="42385"/>
  <c r="BX61" i="42385"/>
  <c r="BY1172" i="42385"/>
  <c r="DA1172" i="42385" s="1"/>
  <c r="BX1284" i="42385"/>
  <c r="CB465" i="42385"/>
  <c r="CB467" i="42385" s="1"/>
  <c r="CB457" i="42385"/>
  <c r="CB458" i="42385"/>
  <c r="CB459" i="42385" s="1"/>
  <c r="BS15" i="42385"/>
  <c r="BS200" i="42385"/>
  <c r="BT200" i="42385" s="1"/>
  <c r="BX15" i="42385"/>
  <c r="CA529" i="42385"/>
  <c r="DC526" i="42385"/>
  <c r="CB526" i="42385"/>
  <c r="DB1156" i="42385"/>
  <c r="BZ1157" i="42385"/>
  <c r="DB1157" i="42385" s="1"/>
  <c r="BZ1170" i="42385"/>
  <c r="DB1170" i="42385" s="1"/>
  <c r="BZ1162" i="42385"/>
  <c r="BS1263" i="42385"/>
  <c r="BS1262" i="42385"/>
  <c r="BS1244" i="42385"/>
  <c r="BX1244" i="42385"/>
  <c r="BS1260" i="42385"/>
  <c r="BS47" i="42385"/>
  <c r="BT47" i="42385" s="1"/>
  <c r="CZ47" i="42385" s="1"/>
  <c r="CF568" i="42385"/>
  <c r="DB1431" i="42385"/>
  <c r="BZ1434" i="42385"/>
  <c r="DB1434" i="42385" s="1"/>
  <c r="CB1439" i="42385"/>
  <c r="CB1431" i="42385" s="1"/>
  <c r="CC1437" i="42385"/>
  <c r="DC1439" i="42385"/>
  <c r="CA1431" i="42385"/>
  <c r="BZ562" i="42385"/>
  <c r="DB562" i="42385" s="1"/>
  <c r="CD503" i="42385"/>
  <c r="BU14" i="42385"/>
  <c r="BY9" i="42385"/>
  <c r="DC570" i="42385"/>
  <c r="CB570" i="42385"/>
  <c r="CA569" i="42385"/>
  <c r="BX441" i="42385"/>
  <c r="BX442" i="42385"/>
  <c r="BX445" i="42385"/>
  <c r="BX446" i="42385" s="1"/>
  <c r="BX268" i="42385"/>
  <c r="BY519" i="42385"/>
  <c r="DA519" i="42385" s="1"/>
  <c r="BY515" i="42385"/>
  <c r="DA515" i="42385" s="1"/>
  <c r="BY516" i="42385"/>
  <c r="DA516" i="42385" s="1"/>
  <c r="DA514" i="42385"/>
  <c r="BU127" i="42385"/>
  <c r="BU259" i="42385"/>
  <c r="GD486" i="42464"/>
  <c r="GD494" i="42464" s="1"/>
  <c r="BY568" i="42385"/>
  <c r="DA568" i="42385" s="1"/>
  <c r="GE478" i="42464"/>
  <c r="DA566" i="42385"/>
  <c r="BY567" i="42385"/>
  <c r="DA567" i="42385" s="1"/>
  <c r="BY571" i="42385"/>
  <c r="DB569" i="42385"/>
  <c r="GF480" i="42464"/>
  <c r="GD535" i="42464"/>
  <c r="GD534" i="42464" s="1"/>
  <c r="GD538" i="42464" s="1"/>
  <c r="GD541" i="42464" s="1"/>
  <c r="GD507" i="42464"/>
  <c r="GD506" i="42464" s="1"/>
  <c r="GD510" i="42464" s="1"/>
  <c r="GD513" i="42464" s="1"/>
  <c r="CD531" i="42385"/>
  <c r="BT277" i="42385"/>
  <c r="BW438" i="42385"/>
  <c r="BW440" i="42385" s="1"/>
  <c r="BY436" i="42385"/>
  <c r="BT578" i="42385"/>
  <c r="CZ578" i="42385" s="1"/>
  <c r="CZ573" i="42385"/>
  <c r="BT574" i="42385"/>
  <c r="CZ574" i="42385" s="1"/>
  <c r="BY543" i="42385"/>
  <c r="DA543" i="42385" s="1"/>
  <c r="DA542" i="42385"/>
  <c r="BY544" i="42385"/>
  <c r="DA544" i="42385" s="1"/>
  <c r="BY547" i="42385"/>
  <c r="DA547" i="42385" s="1"/>
  <c r="BU574" i="42385"/>
  <c r="DA258" i="42385" l="1"/>
  <c r="BZ444" i="42385"/>
  <c r="DB444" i="42385" s="1"/>
  <c r="BZ434" i="42385"/>
  <c r="DB434" i="42385" s="1"/>
  <c r="DB430" i="42385"/>
  <c r="BZ431" i="42385"/>
  <c r="DB431" i="42385" s="1"/>
  <c r="BZ221" i="42385"/>
  <c r="CA430" i="42385"/>
  <c r="CA436" i="42385"/>
  <c r="DC427" i="42385"/>
  <c r="CA428" i="42385"/>
  <c r="DC428" i="42385" s="1"/>
  <c r="DB436" i="42385"/>
  <c r="BZ438" i="42385"/>
  <c r="DB438" i="42385" s="1"/>
  <c r="CC424" i="42385"/>
  <c r="CB427" i="42385"/>
  <c r="BW193" i="42385"/>
  <c r="BX191" i="42385"/>
  <c r="BX193" i="42385" s="1"/>
  <c r="DC191" i="42385"/>
  <c r="CA193" i="42385"/>
  <c r="DC193" i="42385" s="1"/>
  <c r="CB191" i="42385"/>
  <c r="BX628" i="42385"/>
  <c r="BY626" i="42385"/>
  <c r="DA626" i="42385" s="1"/>
  <c r="DB625" i="42385"/>
  <c r="CA625" i="42385"/>
  <c r="BZ624" i="42385"/>
  <c r="BV290" i="42385"/>
  <c r="BV20" i="42385" s="1"/>
  <c r="BY47" i="42385"/>
  <c r="DA47" i="42385" s="1"/>
  <c r="CB507" i="42385"/>
  <c r="CC507" i="42385" s="1"/>
  <c r="CD507" i="42385" s="1"/>
  <c r="DC507" i="42385"/>
  <c r="BU380" i="42385"/>
  <c r="BV382" i="42385"/>
  <c r="BV381" i="42385"/>
  <c r="BV266" i="42385"/>
  <c r="BV383" i="42385"/>
  <c r="BW376" i="42385"/>
  <c r="BX377" i="42385"/>
  <c r="BX376" i="42385" s="1"/>
  <c r="BX378" i="42385" s="1"/>
  <c r="BX380" i="42385" s="1"/>
  <c r="CB408" i="42385"/>
  <c r="CA407" i="42385"/>
  <c r="DC408" i="42385"/>
  <c r="DA412" i="42385"/>
  <c r="BY413" i="42385"/>
  <c r="DA413" i="42385" s="1"/>
  <c r="BY415" i="42385"/>
  <c r="DA415" i="42385" s="1"/>
  <c r="BY414" i="42385"/>
  <c r="DA414" i="42385" s="1"/>
  <c r="BZ410" i="42385"/>
  <c r="DB407" i="42385"/>
  <c r="B12" i="42408"/>
  <c r="G12" i="42408" s="1"/>
  <c r="DA267" i="42385"/>
  <c r="BS1553" i="42385"/>
  <c r="BT1263" i="42385"/>
  <c r="BT1266" i="42385" s="1"/>
  <c r="BX69" i="42385"/>
  <c r="BY69" i="42385" s="1"/>
  <c r="DA69" i="42385" s="1"/>
  <c r="BY61" i="42385"/>
  <c r="CA282" i="42385"/>
  <c r="CA232" i="42385"/>
  <c r="BY1177" i="42385"/>
  <c r="DA1171" i="42385"/>
  <c r="CZ14" i="42385"/>
  <c r="BT15" i="42385"/>
  <c r="CZ15" i="42385" s="1"/>
  <c r="BZ512" i="42385"/>
  <c r="DB510" i="42385"/>
  <c r="CD282" i="42385"/>
  <c r="CD10" i="42385"/>
  <c r="DB1159" i="42385"/>
  <c r="BZ1161" i="42385"/>
  <c r="DB1161" i="42385" s="1"/>
  <c r="DB1162" i="42385"/>
  <c r="BZ1164" i="42385"/>
  <c r="CB529" i="42385"/>
  <c r="CC526" i="42385"/>
  <c r="CB460" i="42385"/>
  <c r="CB463" i="42385"/>
  <c r="CB473" i="42385"/>
  <c r="CB469" i="42385"/>
  <c r="CB222" i="42385"/>
  <c r="DB538" i="42385"/>
  <c r="BZ540" i="42385"/>
  <c r="BT1181" i="42385"/>
  <c r="CZ1181" i="42385" s="1"/>
  <c r="CZ1180" i="42385"/>
  <c r="BT1183" i="42385"/>
  <c r="BY30" i="42385"/>
  <c r="DA21" i="42385"/>
  <c r="DC535" i="42385"/>
  <c r="CB535" i="42385"/>
  <c r="CC535" i="42385" s="1"/>
  <c r="CD535" i="42385" s="1"/>
  <c r="CD456" i="42385"/>
  <c r="CE453" i="42385"/>
  <c r="CA504" i="42385"/>
  <c r="CA502" i="42385"/>
  <c r="DC502" i="42385" s="1"/>
  <c r="DC501" i="42385"/>
  <c r="CA510" i="42385"/>
  <c r="BX110" i="42385"/>
  <c r="BY1284" i="42385"/>
  <c r="DB222" i="42385"/>
  <c r="DB469" i="42385"/>
  <c r="BZ474" i="42385"/>
  <c r="BZ470" i="42385"/>
  <c r="DB470" i="42385" s="1"/>
  <c r="BZ471" i="42385"/>
  <c r="DB471" i="42385" s="1"/>
  <c r="BZ269" i="42385"/>
  <c r="BZ533" i="42385"/>
  <c r="DB533" i="42385" s="1"/>
  <c r="BZ546" i="42385"/>
  <c r="DB546" i="42385" s="1"/>
  <c r="BZ225" i="42385"/>
  <c r="DB532" i="42385"/>
  <c r="CA1170" i="42385"/>
  <c r="DC1170" i="42385" s="1"/>
  <c r="CA1162" i="42385"/>
  <c r="CA1157" i="42385"/>
  <c r="DC1157" i="42385" s="1"/>
  <c r="DC1156" i="42385"/>
  <c r="BT1178" i="42385"/>
  <c r="CZ1178" i="42385" s="1"/>
  <c r="CZ1177" i="42385"/>
  <c r="CE1217" i="42385"/>
  <c r="CE1218" i="42385" s="1"/>
  <c r="CE1222" i="42385" s="1"/>
  <c r="CE232" i="42385" s="1"/>
  <c r="CE1212" i="42385"/>
  <c r="CE1211" i="42385"/>
  <c r="CD1150" i="42385"/>
  <c r="CC1153" i="42385"/>
  <c r="C29" i="42408"/>
  <c r="H29" i="42408" s="1"/>
  <c r="DB282" i="42385"/>
  <c r="CA1159" i="42385"/>
  <c r="DC1160" i="42385"/>
  <c r="CC458" i="42385"/>
  <c r="CC459" i="42385" s="1"/>
  <c r="CC457" i="42385"/>
  <c r="CC465" i="42385"/>
  <c r="CC467" i="42385" s="1"/>
  <c r="BT1262" i="42385"/>
  <c r="BS1493" i="42385"/>
  <c r="GG488" i="42464"/>
  <c r="CA538" i="42385"/>
  <c r="CA530" i="42385"/>
  <c r="DC530" i="42385" s="1"/>
  <c r="CA532" i="42385"/>
  <c r="DC529" i="42385"/>
  <c r="CF1212" i="42385"/>
  <c r="CF1211" i="42385"/>
  <c r="CF1217" i="42385"/>
  <c r="CF1218" i="42385" s="1"/>
  <c r="CF1222" i="42385" s="1"/>
  <c r="CF232" i="42385" s="1"/>
  <c r="DC459" i="42385"/>
  <c r="CA469" i="42385"/>
  <c r="CA222" i="42385"/>
  <c r="CA473" i="42385"/>
  <c r="DC473" i="42385" s="1"/>
  <c r="CA460" i="42385"/>
  <c r="DC460" i="42385" s="1"/>
  <c r="CA463" i="42385"/>
  <c r="DC463" i="42385" s="1"/>
  <c r="BZ224" i="42385"/>
  <c r="DB504" i="42385"/>
  <c r="BZ505" i="42385"/>
  <c r="DB505" i="42385" s="1"/>
  <c r="BZ518" i="42385"/>
  <c r="DB518" i="42385" s="1"/>
  <c r="BZ508" i="42385"/>
  <c r="DB508" i="42385" s="1"/>
  <c r="BX1181" i="42385"/>
  <c r="BX1183" i="42385"/>
  <c r="BX1184" i="42385" s="1"/>
  <c r="CZ1243" i="42385"/>
  <c r="BT1244" i="42385"/>
  <c r="CZ1244" i="42385" s="1"/>
  <c r="BT1260" i="42385"/>
  <c r="BZ536" i="42385"/>
  <c r="DB536" i="42385" s="1"/>
  <c r="CB1154" i="42385"/>
  <c r="CB1156" i="42385"/>
  <c r="DB232" i="42385"/>
  <c r="BZ10" i="42385"/>
  <c r="DB10" i="42385" s="1"/>
  <c r="CC498" i="42385"/>
  <c r="CB501" i="42385"/>
  <c r="CA1434" i="42385"/>
  <c r="DC1434" i="42385" s="1"/>
  <c r="DC1431" i="42385"/>
  <c r="CB1432" i="42385"/>
  <c r="CB1434" i="42385" s="1"/>
  <c r="CD1437" i="42385"/>
  <c r="CC1439" i="42385"/>
  <c r="CC1431" i="42385" s="1"/>
  <c r="BW268" i="42385"/>
  <c r="BW445" i="42385"/>
  <c r="BW446" i="42385" s="1"/>
  <c r="BY446" i="42385" s="1"/>
  <c r="DA446" i="42385" s="1"/>
  <c r="BW442" i="42385"/>
  <c r="BW441" i="42385"/>
  <c r="GD514" i="42464"/>
  <c r="GD522" i="42464" s="1"/>
  <c r="DA571" i="42385"/>
  <c r="BY573" i="42385"/>
  <c r="CB569" i="42385"/>
  <c r="CB571" i="42385" s="1"/>
  <c r="CB573" i="42385" s="1"/>
  <c r="CC570" i="42385"/>
  <c r="CE531" i="42385"/>
  <c r="GD542" i="42464"/>
  <c r="GD550" i="42464" s="1"/>
  <c r="DA9" i="42385"/>
  <c r="BY14" i="42385"/>
  <c r="BY17" i="42385" s="1"/>
  <c r="BS28" i="42385"/>
  <c r="BT19" i="42385"/>
  <c r="BS24" i="42385"/>
  <c r="BS40" i="42385" s="1"/>
  <c r="BU15" i="42385"/>
  <c r="BU200" i="42385"/>
  <c r="BV200" i="42385"/>
  <c r="BW200" i="42385"/>
  <c r="BX200" i="42385"/>
  <c r="BY200" i="42385" s="1"/>
  <c r="BY437" i="42385"/>
  <c r="DA437" i="42385" s="1"/>
  <c r="DA436" i="42385"/>
  <c r="BY438" i="42385"/>
  <c r="GE479" i="42464"/>
  <c r="GE482" i="42464"/>
  <c r="GE485" i="42464" s="1"/>
  <c r="BU129" i="42385"/>
  <c r="BU134" i="42385"/>
  <c r="BU1304" i="42385" s="1"/>
  <c r="BY127" i="42385"/>
  <c r="BU113" i="42385"/>
  <c r="BU1622" i="42385"/>
  <c r="BU133" i="42385"/>
  <c r="DC569" i="42385"/>
  <c r="CA571" i="42385"/>
  <c r="GG480" i="42464"/>
  <c r="GG482" i="42464" s="1"/>
  <c r="CE503" i="42385"/>
  <c r="BZ563" i="42385"/>
  <c r="DB221" i="42385" l="1"/>
  <c r="BZ1233" i="42385"/>
  <c r="DB1233" i="42385" s="1"/>
  <c r="DC436" i="42385"/>
  <c r="CA438" i="42385"/>
  <c r="DC438" i="42385" s="1"/>
  <c r="CA431" i="42385"/>
  <c r="DC431" i="42385" s="1"/>
  <c r="CA221" i="42385"/>
  <c r="CA434" i="42385"/>
  <c r="DC434" i="42385" s="1"/>
  <c r="CA444" i="42385"/>
  <c r="DC444" i="42385" s="1"/>
  <c r="DC430" i="42385"/>
  <c r="CB430" i="42385"/>
  <c r="CB436" i="42385"/>
  <c r="CB438" i="42385" s="1"/>
  <c r="CB428" i="42385"/>
  <c r="BZ440" i="42385"/>
  <c r="CC427" i="42385"/>
  <c r="CD424" i="42385"/>
  <c r="CB193" i="42385"/>
  <c r="CC191" i="42385"/>
  <c r="BV29" i="42385"/>
  <c r="CA624" i="42385"/>
  <c r="DC625" i="42385"/>
  <c r="CB625" i="42385"/>
  <c r="BZ626" i="42385"/>
  <c r="DB624" i="42385"/>
  <c r="BX280" i="42385"/>
  <c r="BX629" i="42385"/>
  <c r="BX630" i="42385"/>
  <c r="BY628" i="42385"/>
  <c r="BX383" i="42385"/>
  <c r="BX382" i="42385"/>
  <c r="BX266" i="42385"/>
  <c r="BX381" i="42385"/>
  <c r="BW378" i="42385"/>
  <c r="BY376" i="42385"/>
  <c r="BV277" i="42385"/>
  <c r="BV318" i="42385"/>
  <c r="BU381" i="42385"/>
  <c r="BU266" i="42385"/>
  <c r="BU382" i="42385"/>
  <c r="BU383" i="42385"/>
  <c r="DB410" i="42385"/>
  <c r="BZ412" i="42385"/>
  <c r="CC1432" i="42385"/>
  <c r="CC1434" i="42385" s="1"/>
  <c r="DC407" i="42385"/>
  <c r="CA410" i="42385"/>
  <c r="CC408" i="42385"/>
  <c r="CB407" i="42385"/>
  <c r="CB410" i="42385" s="1"/>
  <c r="CB412" i="42385" s="1"/>
  <c r="CF10" i="42385"/>
  <c r="CF282" i="42385"/>
  <c r="CA225" i="42385"/>
  <c r="DC532" i="42385"/>
  <c r="CA536" i="42385"/>
  <c r="DC536" i="42385" s="1"/>
  <c r="CA533" i="42385"/>
  <c r="DC533" i="42385" s="1"/>
  <c r="CA546" i="42385"/>
  <c r="DC546" i="42385" s="1"/>
  <c r="DC1159" i="42385"/>
  <c r="CA1161" i="42385"/>
  <c r="DC1161" i="42385" s="1"/>
  <c r="DB474" i="42385"/>
  <c r="BZ475" i="42385"/>
  <c r="DB475" i="42385" s="1"/>
  <c r="CD458" i="42385"/>
  <c r="CD459" i="42385" s="1"/>
  <c r="CD465" i="42385"/>
  <c r="CD467" i="42385" s="1"/>
  <c r="CD457" i="42385"/>
  <c r="CZ1183" i="42385"/>
  <c r="BT1184" i="42385"/>
  <c r="CZ1184" i="42385" s="1"/>
  <c r="DB1164" i="42385"/>
  <c r="BZ1166" i="42385"/>
  <c r="CB1170" i="42385"/>
  <c r="CB1159" i="42385"/>
  <c r="CB1161" i="42385" s="1"/>
  <c r="CB1162" i="42385"/>
  <c r="CB1157" i="42385"/>
  <c r="DC222" i="42385"/>
  <c r="BT1265" i="42385"/>
  <c r="BU1265" i="42385" s="1"/>
  <c r="BT1493" i="42385"/>
  <c r="DB269" i="42385"/>
  <c r="C9" i="42408"/>
  <c r="H9" i="42408" s="1"/>
  <c r="BY110" i="42385"/>
  <c r="DA110" i="42385" s="1"/>
  <c r="DA1284" i="42385"/>
  <c r="DB512" i="42385"/>
  <c r="BZ514" i="42385"/>
  <c r="BY1178" i="42385"/>
  <c r="DA1178" i="42385" s="1"/>
  <c r="BY1180" i="42385"/>
  <c r="DA1177" i="42385"/>
  <c r="BT1320" i="42385"/>
  <c r="CB504" i="42385"/>
  <c r="CB502" i="42385"/>
  <c r="CB510" i="42385"/>
  <c r="CB512" i="42385" s="1"/>
  <c r="CA474" i="42385"/>
  <c r="DC469" i="42385"/>
  <c r="CA269" i="42385"/>
  <c r="DC269" i="42385" s="1"/>
  <c r="CA471" i="42385"/>
  <c r="DC471" i="42385" s="1"/>
  <c r="CA470" i="42385"/>
  <c r="DC470" i="42385" s="1"/>
  <c r="CA540" i="42385"/>
  <c r="DC538" i="42385"/>
  <c r="CC469" i="42385"/>
  <c r="CC463" i="42385"/>
  <c r="CC473" i="42385"/>
  <c r="CC222" i="42385"/>
  <c r="CC460" i="42385"/>
  <c r="CC1154" i="42385"/>
  <c r="CC1156" i="42385"/>
  <c r="CE10" i="42385"/>
  <c r="CE282" i="42385"/>
  <c r="CA518" i="42385"/>
  <c r="DC518" i="42385" s="1"/>
  <c r="CA508" i="42385"/>
  <c r="DC508" i="42385" s="1"/>
  <c r="CA224" i="42385"/>
  <c r="DC504" i="42385"/>
  <c r="CA505" i="42385"/>
  <c r="DC505" i="42385" s="1"/>
  <c r="CB471" i="42385"/>
  <c r="CB470" i="42385"/>
  <c r="CB269" i="42385"/>
  <c r="CB474" i="42385"/>
  <c r="CB475" i="42385" s="1"/>
  <c r="CD526" i="42385"/>
  <c r="CC529" i="42385"/>
  <c r="CA10" i="42385"/>
  <c r="DC10" i="42385" s="1"/>
  <c r="DC232" i="42385"/>
  <c r="CD498" i="42385"/>
  <c r="CC501" i="42385"/>
  <c r="CD1153" i="42385"/>
  <c r="CE1150" i="42385"/>
  <c r="DC1162" i="42385"/>
  <c r="CA1164" i="42385"/>
  <c r="CA512" i="42385"/>
  <c r="DC510" i="42385"/>
  <c r="CE456" i="42385"/>
  <c r="CF453" i="42385"/>
  <c r="CF456" i="42385" s="1"/>
  <c r="BZ542" i="42385"/>
  <c r="DB540" i="42385"/>
  <c r="CB530" i="42385"/>
  <c r="CB532" i="42385"/>
  <c r="CB538" i="42385"/>
  <c r="CB540" i="42385" s="1"/>
  <c r="DC282" i="42385"/>
  <c r="BT1553" i="42385"/>
  <c r="BT1556" i="42385" s="1"/>
  <c r="CD1439" i="42385"/>
  <c r="CD1431" i="42385" s="1"/>
  <c r="CE1437" i="42385"/>
  <c r="DC571" i="42385"/>
  <c r="CA573" i="42385"/>
  <c r="CB575" i="42385" s="1"/>
  <c r="CF531" i="42385"/>
  <c r="CD570" i="42385"/>
  <c r="CC569" i="42385"/>
  <c r="CC571" i="42385" s="1"/>
  <c r="CC573" i="42385" s="1"/>
  <c r="CF503" i="42385"/>
  <c r="DA127" i="42385"/>
  <c r="BY1622" i="42385"/>
  <c r="BY134" i="42385"/>
  <c r="DA134" i="42385" s="1"/>
  <c r="BY129" i="42385"/>
  <c r="BY113" i="42385"/>
  <c r="BY128" i="42385"/>
  <c r="DA128" i="42385" s="1"/>
  <c r="BY133" i="42385"/>
  <c r="DA133" i="42385" s="1"/>
  <c r="DA438" i="42385"/>
  <c r="BY440" i="42385"/>
  <c r="BS27" i="42385"/>
  <c r="AE8" i="42476"/>
  <c r="BS26" i="42385"/>
  <c r="BS32" i="42385"/>
  <c r="BS50" i="42385"/>
  <c r="B28" i="42420"/>
  <c r="DA14" i="42385"/>
  <c r="BY15" i="42385"/>
  <c r="DA15" i="42385" s="1"/>
  <c r="CC1235" i="42385"/>
  <c r="CF1235" i="42385"/>
  <c r="CD1235" i="42385"/>
  <c r="CE1235" i="42385"/>
  <c r="CB1235" i="42385"/>
  <c r="CE507" i="42385"/>
  <c r="CB578" i="42385"/>
  <c r="CB574" i="42385"/>
  <c r="CB273" i="42385"/>
  <c r="BY268" i="42385"/>
  <c r="BZ577" i="42385"/>
  <c r="DB577" i="42385" s="1"/>
  <c r="GF505" i="42464"/>
  <c r="BZ226" i="42385"/>
  <c r="GF477" i="42464"/>
  <c r="DB563" i="42385"/>
  <c r="BZ564" i="42385"/>
  <c r="DB564" i="42385" s="1"/>
  <c r="BZ566" i="42385"/>
  <c r="GF533" i="42464"/>
  <c r="CA564" i="42385"/>
  <c r="DC564" i="42385" s="1"/>
  <c r="BU1314" i="42385"/>
  <c r="BY1304" i="42385"/>
  <c r="BU1348" i="42385"/>
  <c r="GE486" i="42464"/>
  <c r="GE494" i="42464" s="1"/>
  <c r="BT28" i="42385"/>
  <c r="CZ19" i="42385"/>
  <c r="BT24" i="42385"/>
  <c r="BT40" i="42385" s="1"/>
  <c r="DA573" i="42385"/>
  <c r="BY578" i="42385"/>
  <c r="DA578" i="42385" s="1"/>
  <c r="BY574" i="42385"/>
  <c r="DA574" i="42385" s="1"/>
  <c r="BY575" i="42385"/>
  <c r="DA575" i="42385" s="1"/>
  <c r="GI494" i="42464"/>
  <c r="GG485" i="42464"/>
  <c r="BU1623" i="42385"/>
  <c r="BV1623" i="42385"/>
  <c r="BW1623" i="42385"/>
  <c r="BX1623" i="42385"/>
  <c r="BY1623" i="42385" s="1"/>
  <c r="DA1623" i="42385" s="1"/>
  <c r="GE507" i="42464"/>
  <c r="GE506" i="42464" s="1"/>
  <c r="GE510" i="42464" s="1"/>
  <c r="GE513" i="42464" s="1"/>
  <c r="GE535" i="42464"/>
  <c r="GE534" i="42464" s="1"/>
  <c r="GE538" i="42464" s="1"/>
  <c r="GE541" i="42464" s="1"/>
  <c r="CE535" i="42385"/>
  <c r="DC221" i="42385" l="1"/>
  <c r="CA260" i="42385"/>
  <c r="BZ1243" i="42385"/>
  <c r="DB1243" i="42385" s="1"/>
  <c r="BZ1234" i="42385"/>
  <c r="DB1234" i="42385" s="1"/>
  <c r="CA1233" i="42385"/>
  <c r="CA1234" i="42385" s="1"/>
  <c r="DC1234" i="42385" s="1"/>
  <c r="CA440" i="42385"/>
  <c r="CA441" i="42385" s="1"/>
  <c r="DC441" i="42385" s="1"/>
  <c r="CD427" i="42385"/>
  <c r="CE424" i="42385"/>
  <c r="CC430" i="42385"/>
  <c r="CC436" i="42385"/>
  <c r="CC438" i="42385" s="1"/>
  <c r="CC428" i="42385"/>
  <c r="CB434" i="42385"/>
  <c r="CB431" i="42385"/>
  <c r="CB440" i="42385"/>
  <c r="CB444" i="42385"/>
  <c r="CB221" i="42385"/>
  <c r="CB1233" i="42385" s="1"/>
  <c r="CB1243" i="42385" s="1"/>
  <c r="BZ445" i="42385"/>
  <c r="BZ441" i="42385"/>
  <c r="DB441" i="42385" s="1"/>
  <c r="BZ268" i="42385"/>
  <c r="DB440" i="42385"/>
  <c r="CD191" i="42385"/>
  <c r="CC193" i="42385"/>
  <c r="BX290" i="42385"/>
  <c r="BX20" i="42385" s="1"/>
  <c r="BY280" i="42385"/>
  <c r="BY630" i="42385"/>
  <c r="DA630" i="42385" s="1"/>
  <c r="DA628" i="42385"/>
  <c r="BY629" i="42385"/>
  <c r="DA629" i="42385" s="1"/>
  <c r="DC624" i="42385"/>
  <c r="CA626" i="42385"/>
  <c r="DB626" i="42385"/>
  <c r="BZ628" i="42385"/>
  <c r="CB624" i="42385"/>
  <c r="CB626" i="42385" s="1"/>
  <c r="CB628" i="42385" s="1"/>
  <c r="CC625" i="42385"/>
  <c r="BX277" i="42385"/>
  <c r="BU318" i="42385"/>
  <c r="BU277" i="42385"/>
  <c r="BY377" i="42385"/>
  <c r="DA377" i="42385" s="1"/>
  <c r="DA376" i="42385"/>
  <c r="BV314" i="42385"/>
  <c r="BV19" i="42385"/>
  <c r="CB1164" i="42385"/>
  <c r="CB1166" i="42385" s="1"/>
  <c r="CB1187" i="42385" s="1"/>
  <c r="BW380" i="42385"/>
  <c r="BY378" i="42385"/>
  <c r="DA378" i="42385" s="1"/>
  <c r="CD1432" i="42385"/>
  <c r="CD1434" i="42385" s="1"/>
  <c r="CA258" i="42385"/>
  <c r="CA127" i="42385" s="1"/>
  <c r="CD408" i="42385"/>
  <c r="CC407" i="42385"/>
  <c r="CC410" i="42385" s="1"/>
  <c r="CC412" i="42385" s="1"/>
  <c r="BZ267" i="42385"/>
  <c r="BZ415" i="42385"/>
  <c r="DB415" i="42385" s="1"/>
  <c r="BZ413" i="42385"/>
  <c r="DB413" i="42385" s="1"/>
  <c r="BZ414" i="42385"/>
  <c r="DB414" i="42385" s="1"/>
  <c r="DB412" i="42385"/>
  <c r="CB267" i="42385"/>
  <c r="CB414" i="42385"/>
  <c r="CB413" i="42385"/>
  <c r="DC410" i="42385"/>
  <c r="CA412" i="42385"/>
  <c r="DB542" i="42385"/>
  <c r="BZ543" i="42385"/>
  <c r="DB543" i="42385" s="1"/>
  <c r="BZ544" i="42385"/>
  <c r="DB544" i="42385" s="1"/>
  <c r="BZ547" i="42385"/>
  <c r="DB547" i="42385" s="1"/>
  <c r="BZ272" i="42385"/>
  <c r="C28" i="42408" s="1"/>
  <c r="H28" i="42408" s="1"/>
  <c r="CE465" i="42385"/>
  <c r="CE467" i="42385" s="1"/>
  <c r="CE457" i="42385"/>
  <c r="CE458" i="42385"/>
  <c r="CE459" i="42385" s="1"/>
  <c r="CE498" i="42385"/>
  <c r="CD501" i="42385"/>
  <c r="CC470" i="42385"/>
  <c r="CC269" i="42385"/>
  <c r="CC474" i="42385"/>
  <c r="CC475" i="42385" s="1"/>
  <c r="CC471" i="42385"/>
  <c r="DC540" i="42385"/>
  <c r="CA542" i="42385"/>
  <c r="CB514" i="42385"/>
  <c r="CB508" i="42385"/>
  <c r="CB518" i="42385"/>
  <c r="CB224" i="42385"/>
  <c r="CB505" i="42385"/>
  <c r="BY1181" i="42385"/>
  <c r="DA1181" i="42385" s="1"/>
  <c r="BY1183" i="42385"/>
  <c r="DA1180" i="42385"/>
  <c r="CB225" i="42385"/>
  <c r="CB533" i="42385"/>
  <c r="CB542" i="42385"/>
  <c r="CB536" i="42385"/>
  <c r="CB546" i="42385"/>
  <c r="CE1153" i="42385"/>
  <c r="CF1150" i="42385"/>
  <c r="CF1153" i="42385" s="1"/>
  <c r="CC530" i="42385"/>
  <c r="CC538" i="42385"/>
  <c r="CC540" i="42385" s="1"/>
  <c r="CC532" i="42385"/>
  <c r="CA261" i="42385"/>
  <c r="CA9" i="42385"/>
  <c r="CA475" i="42385"/>
  <c r="DC475" i="42385" s="1"/>
  <c r="DC474" i="42385"/>
  <c r="BZ1167" i="42385"/>
  <c r="DB1167" i="42385" s="1"/>
  <c r="DB1166" i="42385"/>
  <c r="BZ1171" i="42385"/>
  <c r="C10" i="42408"/>
  <c r="H10" i="42408" s="1"/>
  <c r="BZ1168" i="42385"/>
  <c r="DB1168" i="42385" s="1"/>
  <c r="BZ1187" i="42385"/>
  <c r="DB1187" i="42385" s="1"/>
  <c r="BZ300" i="42385"/>
  <c r="CD469" i="42385"/>
  <c r="CD463" i="42385"/>
  <c r="CD222" i="42385"/>
  <c r="CD460" i="42385"/>
  <c r="CD473" i="42385"/>
  <c r="BS1280" i="42385"/>
  <c r="BT63" i="42385"/>
  <c r="CZ63" i="42385" s="1"/>
  <c r="BS1558" i="42385"/>
  <c r="BS1557" i="42385"/>
  <c r="BS107" i="42385"/>
  <c r="CA514" i="42385"/>
  <c r="DC512" i="42385"/>
  <c r="CD1154" i="42385"/>
  <c r="CD1156" i="42385"/>
  <c r="CE526" i="42385"/>
  <c r="CD529" i="42385"/>
  <c r="CC1159" i="42385"/>
  <c r="CC1161" i="42385" s="1"/>
  <c r="CC1170" i="42385"/>
  <c r="CC1162" i="42385"/>
  <c r="CC1157" i="42385"/>
  <c r="BT1393" i="42385"/>
  <c r="BT1402" i="42385" s="1"/>
  <c r="BT1406" i="42385" s="1"/>
  <c r="BS1402" i="42385"/>
  <c r="BZ519" i="42385"/>
  <c r="DB519" i="42385" s="1"/>
  <c r="BZ271" i="42385"/>
  <c r="C27" i="42408" s="1"/>
  <c r="H27" i="42408" s="1"/>
  <c r="BZ516" i="42385"/>
  <c r="DB516" i="42385" s="1"/>
  <c r="DB514" i="42385"/>
  <c r="BZ515" i="42385"/>
  <c r="DB515" i="42385" s="1"/>
  <c r="BU1262" i="42385"/>
  <c r="BU1493" i="42385" s="1"/>
  <c r="BV1265" i="42385"/>
  <c r="BU1266" i="42385"/>
  <c r="BU1263" i="42385" s="1"/>
  <c r="CB1167" i="42385"/>
  <c r="CB1171" i="42385"/>
  <c r="CB300" i="42385"/>
  <c r="BT107" i="42385"/>
  <c r="CZ107" i="42385" s="1"/>
  <c r="BT1558" i="42385"/>
  <c r="CZ1558" i="42385" s="1"/>
  <c r="BT1557" i="42385"/>
  <c r="CZ1557" i="42385" s="1"/>
  <c r="CZ1556" i="42385"/>
  <c r="CF465" i="42385"/>
  <c r="CF467" i="42385" s="1"/>
  <c r="CF458" i="42385"/>
  <c r="CF459" i="42385" s="1"/>
  <c r="CF457" i="42385"/>
  <c r="CA1166" i="42385"/>
  <c r="DC1164" i="42385"/>
  <c r="CC504" i="42385"/>
  <c r="CC502" i="42385"/>
  <c r="CC510" i="42385"/>
  <c r="CC512" i="42385" s="1"/>
  <c r="CE1439" i="42385"/>
  <c r="CE1431" i="42385" s="1"/>
  <c r="CF1437" i="42385"/>
  <c r="GG486" i="42464"/>
  <c r="GG494" i="42464" s="1"/>
  <c r="BT1269" i="42385"/>
  <c r="BT32" i="42385"/>
  <c r="BT26" i="42385"/>
  <c r="CZ26" i="42385" s="1"/>
  <c r="BT50" i="42385"/>
  <c r="CZ24" i="42385"/>
  <c r="AF8" i="42476"/>
  <c r="BT27" i="42385"/>
  <c r="CZ27" i="42385" s="1"/>
  <c r="BV1348" i="42385"/>
  <c r="CF507" i="42385"/>
  <c r="CB1236" i="42385"/>
  <c r="CC1236" i="42385"/>
  <c r="DA440" i="42385"/>
  <c r="BY441" i="42385"/>
  <c r="DA441" i="42385" s="1"/>
  <c r="BY442" i="42385"/>
  <c r="DA442" i="42385" s="1"/>
  <c r="BY445" i="42385"/>
  <c r="DA445" i="42385" s="1"/>
  <c r="BZ442" i="42385"/>
  <c r="DB442" i="42385" s="1"/>
  <c r="DA1304" i="42385"/>
  <c r="BY1314" i="42385"/>
  <c r="DA1314" i="42385" s="1"/>
  <c r="GF543" i="42464"/>
  <c r="GF536" i="42464"/>
  <c r="GF487" i="42464"/>
  <c r="B8" i="42408"/>
  <c r="DA268" i="42385"/>
  <c r="CE1236" i="42385"/>
  <c r="AE9" i="42476"/>
  <c r="GE542" i="42464"/>
  <c r="GE550" i="42464" s="1"/>
  <c r="GF478" i="42464"/>
  <c r="GF479" i="42464" s="1"/>
  <c r="BZ568" i="42385"/>
  <c r="DB568" i="42385" s="1"/>
  <c r="DB566" i="42385"/>
  <c r="CA568" i="42385"/>
  <c r="DC568" i="42385" s="1"/>
  <c r="BZ571" i="42385"/>
  <c r="BZ9" i="42385"/>
  <c r="BZ258" i="42385"/>
  <c r="CD1236" i="42385"/>
  <c r="BS52" i="42385"/>
  <c r="BS51" i="42385"/>
  <c r="BS54" i="42385"/>
  <c r="BS1569" i="42385"/>
  <c r="BS1572" i="42385" s="1"/>
  <c r="BS41" i="42385"/>
  <c r="BS197" i="42385"/>
  <c r="BS43" i="42385"/>
  <c r="BS42" i="42385"/>
  <c r="AE12" i="42476"/>
  <c r="AE13" i="42476" s="1"/>
  <c r="DA1622" i="42385"/>
  <c r="BZ1622" i="42385"/>
  <c r="CC575" i="42385"/>
  <c r="CC574" i="42385"/>
  <c r="CC578" i="42385"/>
  <c r="CC273" i="42385"/>
  <c r="CF535" i="42385"/>
  <c r="GE514" i="42464"/>
  <c r="GE522" i="42464" s="1"/>
  <c r="GF515" i="42464"/>
  <c r="GF508" i="42464"/>
  <c r="CF1236" i="42385"/>
  <c r="AK72" i="42476"/>
  <c r="DA113" i="42385"/>
  <c r="CE570" i="42385"/>
  <c r="CD569" i="42385"/>
  <c r="CD571" i="42385" s="1"/>
  <c r="CD573" i="42385" s="1"/>
  <c r="CA574" i="42385"/>
  <c r="DC574" i="42385" s="1"/>
  <c r="CA273" i="42385"/>
  <c r="DC573" i="42385"/>
  <c r="CA578" i="42385"/>
  <c r="DC578" i="42385" s="1"/>
  <c r="CA1243" i="42385" l="1"/>
  <c r="CA1260" i="42385" s="1"/>
  <c r="CA47" i="42385" s="1"/>
  <c r="DC1233" i="42385"/>
  <c r="BZ1260" i="42385"/>
  <c r="BZ1244" i="42385"/>
  <c r="DB1244" i="42385" s="1"/>
  <c r="DC440" i="42385"/>
  <c r="CA445" i="42385"/>
  <c r="CA446" i="42385" s="1"/>
  <c r="DC446" i="42385" s="1"/>
  <c r="CA268" i="42385"/>
  <c r="DC268" i="42385" s="1"/>
  <c r="BX314" i="42385"/>
  <c r="CB1234" i="42385"/>
  <c r="CA442" i="42385"/>
  <c r="DC442" i="42385" s="1"/>
  <c r="DB445" i="42385"/>
  <c r="BZ446" i="42385"/>
  <c r="DB446" i="42385" s="1"/>
  <c r="CC431" i="42385"/>
  <c r="CC434" i="42385"/>
  <c r="CC444" i="42385"/>
  <c r="CC221" i="42385"/>
  <c r="CC1233" i="42385" s="1"/>
  <c r="CC440" i="42385"/>
  <c r="CB441" i="42385"/>
  <c r="CB445" i="42385"/>
  <c r="CB446" i="42385" s="1"/>
  <c r="CB268" i="42385"/>
  <c r="CB442" i="42385"/>
  <c r="CF424" i="42385"/>
  <c r="CF427" i="42385" s="1"/>
  <c r="CE427" i="42385"/>
  <c r="C8" i="42408"/>
  <c r="H8" i="42408" s="1"/>
  <c r="DB268" i="42385"/>
  <c r="CD428" i="42385"/>
  <c r="CD436" i="42385"/>
  <c r="CD438" i="42385" s="1"/>
  <c r="CD430" i="42385"/>
  <c r="CD193" i="42385"/>
  <c r="CE191" i="42385"/>
  <c r="CD625" i="42385"/>
  <c r="CC624" i="42385"/>
  <c r="CC626" i="42385" s="1"/>
  <c r="CC628" i="42385" s="1"/>
  <c r="DC626" i="42385"/>
  <c r="CA628" i="42385"/>
  <c r="CB629" i="42385"/>
  <c r="CB280" i="42385"/>
  <c r="BY290" i="42385"/>
  <c r="B23" i="42408"/>
  <c r="G23" i="42408" s="1"/>
  <c r="DA280" i="42385"/>
  <c r="BZ280" i="42385"/>
  <c r="BZ629" i="42385"/>
  <c r="DB629" i="42385" s="1"/>
  <c r="DB628" i="42385"/>
  <c r="BZ630" i="42385"/>
  <c r="DB630" i="42385" s="1"/>
  <c r="BX29" i="42385"/>
  <c r="BY20" i="42385"/>
  <c r="BS65" i="42385"/>
  <c r="CB261" i="42385"/>
  <c r="CC1164" i="42385"/>
  <c r="CC1166" i="42385" s="1"/>
  <c r="CC1167" i="42385" s="1"/>
  <c r="CZ1402" i="42385"/>
  <c r="BT1564" i="42385"/>
  <c r="CZ1564" i="42385" s="1"/>
  <c r="DC258" i="42385"/>
  <c r="CC514" i="42385"/>
  <c r="CC519" i="42385" s="1"/>
  <c r="BW383" i="42385"/>
  <c r="BW381" i="42385"/>
  <c r="BW266" i="42385"/>
  <c r="BW382" i="42385"/>
  <c r="BY380" i="42385"/>
  <c r="BV1647" i="42385"/>
  <c r="BV317" i="42385"/>
  <c r="BV316" i="42385"/>
  <c r="BV315" i="42385"/>
  <c r="BV28" i="42385"/>
  <c r="BV24" i="42385"/>
  <c r="BV40" i="42385" s="1"/>
  <c r="BU19" i="42385"/>
  <c r="BU314" i="42385"/>
  <c r="BU1647" i="42385" s="1"/>
  <c r="BX19" i="42385"/>
  <c r="CC414" i="42385"/>
  <c r="CC415" i="42385"/>
  <c r="CC267" i="42385"/>
  <c r="CC413" i="42385"/>
  <c r="CA267" i="42385"/>
  <c r="DC267" i="42385" s="1"/>
  <c r="CA413" i="42385"/>
  <c r="DC413" i="42385" s="1"/>
  <c r="CA415" i="42385"/>
  <c r="DC415" i="42385" s="1"/>
  <c r="CA414" i="42385"/>
  <c r="DC414" i="42385" s="1"/>
  <c r="DC412" i="42385"/>
  <c r="CE408" i="42385"/>
  <c r="CD407" i="42385"/>
  <c r="CD410" i="42385" s="1"/>
  <c r="CD412" i="42385" s="1"/>
  <c r="CB415" i="42385"/>
  <c r="DB267" i="42385"/>
  <c r="C12" i="42408"/>
  <c r="CE1432" i="42385"/>
  <c r="CE1434" i="42385" s="1"/>
  <c r="CB1177" i="42385"/>
  <c r="CB1172" i="42385"/>
  <c r="CB1284" i="42385" s="1"/>
  <c r="CB110" i="42385" s="1"/>
  <c r="BV1262" i="42385"/>
  <c r="BV1493" i="42385" s="1"/>
  <c r="BV1266" i="42385"/>
  <c r="BV1263" i="42385" s="1"/>
  <c r="BW1265" i="42385"/>
  <c r="BW1348" i="42385" s="1"/>
  <c r="CD532" i="42385"/>
  <c r="CD530" i="42385"/>
  <c r="CD538" i="42385"/>
  <c r="CD540" i="42385" s="1"/>
  <c r="BZ305" i="42385"/>
  <c r="BZ21" i="42385" s="1"/>
  <c r="DB300" i="42385"/>
  <c r="BZ1177" i="42385"/>
  <c r="BZ1180" i="42385" s="1"/>
  <c r="DB1171" i="42385"/>
  <c r="BZ1172" i="42385"/>
  <c r="CF1154" i="42385"/>
  <c r="CF1156" i="42385"/>
  <c r="CB515" i="42385"/>
  <c r="CB516" i="42385"/>
  <c r="CB519" i="42385"/>
  <c r="CB271" i="42385"/>
  <c r="CB1168" i="42385"/>
  <c r="CA1171" i="42385"/>
  <c r="CA1167" i="42385"/>
  <c r="DC1167" i="42385" s="1"/>
  <c r="CA300" i="42385"/>
  <c r="CA1187" i="42385"/>
  <c r="DC1187" i="42385" s="1"/>
  <c r="DC1166" i="42385"/>
  <c r="CA1168" i="42385"/>
  <c r="DC1168" i="42385" s="1"/>
  <c r="BS1406" i="42385"/>
  <c r="BS1326" i="42385" s="1"/>
  <c r="BS1564" i="42385"/>
  <c r="CF526" i="42385"/>
  <c r="CF529" i="42385" s="1"/>
  <c r="CE529" i="42385"/>
  <c r="DC514" i="42385"/>
  <c r="CA271" i="42385"/>
  <c r="CA519" i="42385"/>
  <c r="DC519" i="42385" s="1"/>
  <c r="CA515" i="42385"/>
  <c r="DC515" i="42385" s="1"/>
  <c r="CA516" i="42385"/>
  <c r="DC516" i="42385" s="1"/>
  <c r="CD470" i="42385"/>
  <c r="CD474" i="42385"/>
  <c r="CD475" i="42385" s="1"/>
  <c r="CD471" i="42385"/>
  <c r="CD269" i="42385"/>
  <c r="DC9" i="42385"/>
  <c r="CA14" i="42385"/>
  <c r="CE1156" i="42385"/>
  <c r="CE1154" i="42385"/>
  <c r="CB260" i="42385"/>
  <c r="CB9" i="42385"/>
  <c r="CB14" i="42385" s="1"/>
  <c r="CB200" i="42385" s="1"/>
  <c r="CB258" i="42385"/>
  <c r="CA272" i="42385"/>
  <c r="CA544" i="42385"/>
  <c r="DC544" i="42385" s="1"/>
  <c r="DC542" i="42385"/>
  <c r="CA547" i="42385"/>
  <c r="DC547" i="42385" s="1"/>
  <c r="CA543" i="42385"/>
  <c r="DC543" i="42385" s="1"/>
  <c r="CD504" i="42385"/>
  <c r="CD510" i="42385"/>
  <c r="CD512" i="42385" s="1"/>
  <c r="CD502" i="42385"/>
  <c r="CD1157" i="42385"/>
  <c r="CD1170" i="42385"/>
  <c r="CD1162" i="42385"/>
  <c r="CD1159" i="42385"/>
  <c r="CD1161" i="42385" s="1"/>
  <c r="BT1280" i="42385"/>
  <c r="CZ1280" i="42385" s="1"/>
  <c r="DA1183" i="42385"/>
  <c r="BY1184" i="42385"/>
  <c r="DA1184" i="42385" s="1"/>
  <c r="CF498" i="42385"/>
  <c r="CF501" i="42385" s="1"/>
  <c r="CE501" i="42385"/>
  <c r="CC518" i="42385"/>
  <c r="CC224" i="42385"/>
  <c r="CC508" i="42385"/>
  <c r="CC505" i="42385"/>
  <c r="CF473" i="42385"/>
  <c r="CF469" i="42385"/>
  <c r="CF463" i="42385"/>
  <c r="CF222" i="42385"/>
  <c r="CF460" i="42385"/>
  <c r="CB21" i="42385"/>
  <c r="CB30" i="42385" s="1"/>
  <c r="CB305" i="42385"/>
  <c r="BU1553" i="42385"/>
  <c r="BU1556" i="42385" s="1"/>
  <c r="BU63" i="42385" s="1"/>
  <c r="BU1320" i="42385"/>
  <c r="BU1393" i="42385" s="1"/>
  <c r="CC536" i="42385"/>
  <c r="CC225" i="42385"/>
  <c r="CC546" i="42385"/>
  <c r="CC533" i="42385"/>
  <c r="CC542" i="42385"/>
  <c r="CB547" i="42385"/>
  <c r="CB543" i="42385"/>
  <c r="CB544" i="42385"/>
  <c r="CB272" i="42385"/>
  <c r="CA134" i="42385"/>
  <c r="CA113" i="42385"/>
  <c r="CA133" i="42385"/>
  <c r="DC133" i="42385" s="1"/>
  <c r="DC127" i="42385"/>
  <c r="CA1623" i="42385"/>
  <c r="DC1623" i="42385" s="1"/>
  <c r="CE222" i="42385"/>
  <c r="CE460" i="42385"/>
  <c r="CE463" i="42385"/>
  <c r="CE469" i="42385"/>
  <c r="CE473" i="42385"/>
  <c r="CF1439" i="42385"/>
  <c r="CF1431" i="42385" s="1"/>
  <c r="CF570" i="42385"/>
  <c r="CF569" i="42385" s="1"/>
  <c r="CF571" i="42385" s="1"/>
  <c r="CF573" i="42385" s="1"/>
  <c r="CE569" i="42385"/>
  <c r="CE571" i="42385" s="1"/>
  <c r="CE573" i="42385" s="1"/>
  <c r="BT197" i="42385"/>
  <c r="DB258" i="42385"/>
  <c r="BZ259" i="42385"/>
  <c r="DB259" i="42385" s="1"/>
  <c r="BZ127" i="42385"/>
  <c r="CA259" i="42385"/>
  <c r="DC259" i="42385" s="1"/>
  <c r="DB1622" i="42385"/>
  <c r="CA1622" i="42385"/>
  <c r="AF9" i="42476"/>
  <c r="AF10" i="42476"/>
  <c r="BS1591" i="42385"/>
  <c r="BS1592" i="42385" s="1"/>
  <c r="BS1594" i="42385"/>
  <c r="BS1595" i="42385" s="1"/>
  <c r="BS1599" i="42385"/>
  <c r="DB9" i="42385"/>
  <c r="BZ14" i="42385"/>
  <c r="G8" i="42408"/>
  <c r="CZ1406" i="42385"/>
  <c r="P19" i="42472"/>
  <c r="CZ1269" i="42385"/>
  <c r="BT1270" i="42385"/>
  <c r="CD273" i="42385"/>
  <c r="CD578" i="42385"/>
  <c r="CD575" i="42385"/>
  <c r="CD574" i="42385"/>
  <c r="BS55" i="42385"/>
  <c r="BS56" i="42385"/>
  <c r="BS1663" i="42385"/>
  <c r="DB571" i="42385"/>
  <c r="BZ573" i="42385"/>
  <c r="GF535" i="42464"/>
  <c r="GF534" i="42464" s="1"/>
  <c r="GF538" i="42464" s="1"/>
  <c r="GF541" i="42464" s="1"/>
  <c r="GF507" i="42464"/>
  <c r="GF506" i="42464" s="1"/>
  <c r="GF510" i="42464" s="1"/>
  <c r="GF513" i="42464" s="1"/>
  <c r="GF482" i="42464"/>
  <c r="GF485" i="42464" s="1"/>
  <c r="CB47" i="42385"/>
  <c r="BT43" i="42385"/>
  <c r="CZ43" i="42385" s="1"/>
  <c r="AF12" i="42476"/>
  <c r="CZ40" i="42385"/>
  <c r="BT41" i="42385"/>
  <c r="CZ41" i="42385" s="1"/>
  <c r="BT42" i="42385"/>
  <c r="CZ42" i="42385" s="1"/>
  <c r="BT1569" i="42385"/>
  <c r="BT65" i="42385"/>
  <c r="BT51" i="42385"/>
  <c r="CZ51" i="42385" s="1"/>
  <c r="BT54" i="42385"/>
  <c r="BT52" i="42385"/>
  <c r="CZ52" i="42385" s="1"/>
  <c r="CZ50" i="42385"/>
  <c r="BZ47" i="42385" l="1"/>
  <c r="DB47" i="42385" s="1"/>
  <c r="EO518" i="42492"/>
  <c r="CB1244" i="42385"/>
  <c r="DC1243" i="42385"/>
  <c r="CA1244" i="42385"/>
  <c r="DC1244" i="42385" s="1"/>
  <c r="BS115" i="42385"/>
  <c r="BT1409" i="42385"/>
  <c r="BT1300" i="42385"/>
  <c r="DC445" i="42385"/>
  <c r="CD221" i="42385"/>
  <c r="CD1233" i="42385" s="1"/>
  <c r="CD440" i="42385"/>
  <c r="CD434" i="42385"/>
  <c r="CD444" i="42385"/>
  <c r="CD431" i="42385"/>
  <c r="CC1234" i="42385"/>
  <c r="CC1243" i="42385"/>
  <c r="CE428" i="42385"/>
  <c r="CE436" i="42385"/>
  <c r="CE438" i="42385" s="1"/>
  <c r="CE430" i="42385"/>
  <c r="CF436" i="42385"/>
  <c r="CF438" i="42385" s="1"/>
  <c r="CF428" i="42385"/>
  <c r="CF430" i="42385"/>
  <c r="CC268" i="42385"/>
  <c r="CC441" i="42385"/>
  <c r="CC442" i="42385"/>
  <c r="CC445" i="42385"/>
  <c r="CC446" i="42385" s="1"/>
  <c r="BV1516" i="42385"/>
  <c r="BV45" i="42385"/>
  <c r="CF191" i="42385"/>
  <c r="CF193" i="42385" s="1"/>
  <c r="CE193" i="42385"/>
  <c r="DC628" i="42385"/>
  <c r="CA629" i="42385"/>
  <c r="DC629" i="42385" s="1"/>
  <c r="CA280" i="42385"/>
  <c r="CA630" i="42385"/>
  <c r="DC630" i="42385" s="1"/>
  <c r="DB280" i="42385"/>
  <c r="C23" i="42408"/>
  <c r="H23" i="42408" s="1"/>
  <c r="BZ290" i="42385"/>
  <c r="BZ20" i="42385" s="1"/>
  <c r="CB630" i="42385"/>
  <c r="DA20" i="42385"/>
  <c r="BY29" i="42385"/>
  <c r="CB290" i="42385"/>
  <c r="CB20" i="42385"/>
  <c r="CB29" i="42385" s="1"/>
  <c r="CC629" i="42385"/>
  <c r="CC280" i="42385"/>
  <c r="CC630" i="42385"/>
  <c r="CD624" i="42385"/>
  <c r="CD626" i="42385" s="1"/>
  <c r="CD628" i="42385" s="1"/>
  <c r="CE625" i="42385"/>
  <c r="CC300" i="42385"/>
  <c r="CC305" i="42385" s="1"/>
  <c r="CC1187" i="42385"/>
  <c r="CC1171" i="42385"/>
  <c r="CC1172" i="42385" s="1"/>
  <c r="CC1284" i="42385" s="1"/>
  <c r="CC110" i="42385" s="1"/>
  <c r="CC1168" i="42385"/>
  <c r="BT1660" i="42385"/>
  <c r="CC515" i="42385"/>
  <c r="CC271" i="42385"/>
  <c r="CC516" i="42385"/>
  <c r="AF34" i="42476"/>
  <c r="BT1319" i="42385"/>
  <c r="BT1326" i="42385" s="1"/>
  <c r="CZ1326" i="42385" s="1"/>
  <c r="DC47" i="42385"/>
  <c r="BU1557" i="42385"/>
  <c r="BU107" i="42385"/>
  <c r="BU1280" i="42385"/>
  <c r="BU1558" i="42385"/>
  <c r="CD1164" i="42385"/>
  <c r="CD1166" i="42385" s="1"/>
  <c r="CD1167" i="42385" s="1"/>
  <c r="BX316" i="42385"/>
  <c r="BX1647" i="42385"/>
  <c r="BU316" i="42385"/>
  <c r="BU317" i="42385"/>
  <c r="BU315" i="42385"/>
  <c r="BW277" i="42385"/>
  <c r="BW314" i="42385" s="1"/>
  <c r="BW318" i="42385"/>
  <c r="BY266" i="42385"/>
  <c r="BU28" i="42385"/>
  <c r="BU24" i="42385"/>
  <c r="BU40" i="42385" s="1"/>
  <c r="CA277" i="42385"/>
  <c r="BX28" i="42385"/>
  <c r="BX24" i="42385"/>
  <c r="BX50" i="42385" s="1"/>
  <c r="BV50" i="42385"/>
  <c r="BV32" i="42385"/>
  <c r="BV27" i="42385"/>
  <c r="AH8" i="42476"/>
  <c r="AH9" i="42476" s="1"/>
  <c r="BV26" i="42385"/>
  <c r="BY382" i="42385"/>
  <c r="DA382" i="42385" s="1"/>
  <c r="BZ383" i="42385"/>
  <c r="DB383" i="42385" s="1"/>
  <c r="BY381" i="42385"/>
  <c r="DA381" i="42385" s="1"/>
  <c r="BY383" i="42385"/>
  <c r="DA383" i="42385" s="1"/>
  <c r="DA380" i="42385"/>
  <c r="CD413" i="42385"/>
  <c r="CD267" i="42385"/>
  <c r="CD415" i="42385"/>
  <c r="CD414" i="42385"/>
  <c r="CC261" i="42385"/>
  <c r="H12" i="42408"/>
  <c r="H35" i="42408" s="1"/>
  <c r="CF408" i="42385"/>
  <c r="CF407" i="42385" s="1"/>
  <c r="CF410" i="42385" s="1"/>
  <c r="CF412" i="42385" s="1"/>
  <c r="CE407" i="42385"/>
  <c r="CE410" i="42385" s="1"/>
  <c r="CE412" i="42385" s="1"/>
  <c r="AM72" i="42476"/>
  <c r="DC113" i="42385"/>
  <c r="CF510" i="42385"/>
  <c r="CF512" i="42385" s="1"/>
  <c r="CF502" i="42385"/>
  <c r="CF504" i="42385"/>
  <c r="CF1432" i="42385"/>
  <c r="CF1434" i="42385" s="1"/>
  <c r="CE471" i="42385"/>
  <c r="CE474" i="42385"/>
  <c r="CE475" i="42385" s="1"/>
  <c r="CE470" i="42385"/>
  <c r="CE269" i="42385"/>
  <c r="CA1304" i="42385"/>
  <c r="DC134" i="42385"/>
  <c r="CB259" i="42385"/>
  <c r="CB127" i="42385"/>
  <c r="CB1558" i="42385"/>
  <c r="CE1157" i="42385"/>
  <c r="CE1162" i="42385"/>
  <c r="CE1159" i="42385"/>
  <c r="CE1161" i="42385" s="1"/>
  <c r="CE1170" i="42385"/>
  <c r="CE530" i="42385"/>
  <c r="CE532" i="42385"/>
  <c r="CE538" i="42385"/>
  <c r="CE540" i="42385" s="1"/>
  <c r="CB19" i="42385"/>
  <c r="CB277" i="42385"/>
  <c r="CF1170" i="42385"/>
  <c r="CF1159" i="42385"/>
  <c r="CF1162" i="42385"/>
  <c r="CF1157" i="42385"/>
  <c r="BZ1284" i="42385"/>
  <c r="DB1172" i="42385"/>
  <c r="BZ61" i="42385"/>
  <c r="BZ69" i="42385" s="1"/>
  <c r="DB69" i="42385" s="1"/>
  <c r="BZ30" i="42385"/>
  <c r="DB21" i="42385"/>
  <c r="BX1265" i="42385"/>
  <c r="BW1266" i="42385"/>
  <c r="BW1263" i="42385" s="1"/>
  <c r="BW1262" i="42385"/>
  <c r="BW1493" i="42385" s="1"/>
  <c r="CB1178" i="42385"/>
  <c r="CB1180" i="42385"/>
  <c r="DC300" i="42385"/>
  <c r="CA305" i="42385"/>
  <c r="CA21" i="42385" s="1"/>
  <c r="BZ1183" i="42385"/>
  <c r="DB1180" i="42385"/>
  <c r="BZ1181" i="42385"/>
  <c r="DB1181" i="42385" s="1"/>
  <c r="CD533" i="42385"/>
  <c r="CD536" i="42385"/>
  <c r="CD546" i="42385"/>
  <c r="CD225" i="42385"/>
  <c r="BU1402" i="42385"/>
  <c r="BU1406" i="42385" s="1"/>
  <c r="BU1319" i="42385" s="1"/>
  <c r="CC272" i="42385"/>
  <c r="CC544" i="42385"/>
  <c r="CC543" i="42385"/>
  <c r="CC547" i="42385"/>
  <c r="CD1168" i="42385"/>
  <c r="CB15" i="42385"/>
  <c r="CA200" i="42385"/>
  <c r="DC14" i="42385"/>
  <c r="CF532" i="42385"/>
  <c r="CF530" i="42385"/>
  <c r="CF538" i="42385"/>
  <c r="CF540" i="42385" s="1"/>
  <c r="CA1172" i="42385"/>
  <c r="CA1177" i="42385"/>
  <c r="CA1180" i="42385" s="1"/>
  <c r="DC1171" i="42385"/>
  <c r="CD542" i="42385"/>
  <c r="BV1320" i="42385"/>
  <c r="BV1393" i="42385" s="1"/>
  <c r="BV1553" i="42385"/>
  <c r="BV1556" i="42385" s="1"/>
  <c r="CF269" i="42385"/>
  <c r="CF470" i="42385"/>
  <c r="CF471" i="42385"/>
  <c r="CF474" i="42385"/>
  <c r="CF475" i="42385" s="1"/>
  <c r="CC258" i="42385"/>
  <c r="CC260" i="42385"/>
  <c r="CC9" i="42385"/>
  <c r="CC14" i="42385" s="1"/>
  <c r="CE502" i="42385"/>
  <c r="CE510" i="42385"/>
  <c r="CE512" i="42385" s="1"/>
  <c r="CE504" i="42385"/>
  <c r="BT1349" i="42385"/>
  <c r="CD505" i="42385"/>
  <c r="CD518" i="42385"/>
  <c r="CD508" i="42385"/>
  <c r="CD514" i="42385"/>
  <c r="CD224" i="42385"/>
  <c r="BS1583" i="42385"/>
  <c r="AE34" i="42476"/>
  <c r="BS1585" i="42385"/>
  <c r="BS1660" i="42385"/>
  <c r="BZ1178" i="42385"/>
  <c r="DB1178" i="42385" s="1"/>
  <c r="DB1177" i="42385"/>
  <c r="BT1663" i="42385"/>
  <c r="BT55" i="42385"/>
  <c r="CZ55" i="42385" s="1"/>
  <c r="BT56" i="42385"/>
  <c r="CZ56" i="42385" s="1"/>
  <c r="CZ54" i="42385"/>
  <c r="BT1572" i="42385"/>
  <c r="CZ1569" i="42385"/>
  <c r="GF542" i="42464"/>
  <c r="CZ1270" i="42385"/>
  <c r="BT1272" i="42385"/>
  <c r="CZ1272" i="42385" s="1"/>
  <c r="CY197" i="42385"/>
  <c r="CF578" i="42385"/>
  <c r="CF575" i="42385"/>
  <c r="CF273" i="42385"/>
  <c r="CF574" i="42385"/>
  <c r="GF486" i="42464"/>
  <c r="CZ65" i="42385"/>
  <c r="AF13" i="42476"/>
  <c r="AF14" i="42476"/>
  <c r="AF71" i="42476"/>
  <c r="AF74" i="42476" s="1"/>
  <c r="BZ273" i="42385"/>
  <c r="BZ578" i="42385"/>
  <c r="DB578" i="42385" s="1"/>
  <c r="DB573" i="42385"/>
  <c r="BZ575" i="42385"/>
  <c r="DB575" i="42385" s="1"/>
  <c r="BZ574" i="42385"/>
  <c r="DB574" i="42385" s="1"/>
  <c r="CA575" i="42385"/>
  <c r="DC575" i="42385" s="1"/>
  <c r="DC1622" i="42385"/>
  <c r="CB1622" i="42385"/>
  <c r="CC1622" i="42385" s="1"/>
  <c r="CD1622" i="42385" s="1"/>
  <c r="CE1622" i="42385" s="1"/>
  <c r="CF1622" i="42385" s="1"/>
  <c r="GF514" i="42464"/>
  <c r="DB14" i="42385"/>
  <c r="BZ200" i="42385"/>
  <c r="C28" i="42420"/>
  <c r="BZ15" i="42385"/>
  <c r="DB15" i="42385" s="1"/>
  <c r="CA15" i="42385"/>
  <c r="DC15" i="42385" s="1"/>
  <c r="BX1348" i="42385"/>
  <c r="BZ113" i="42385"/>
  <c r="BZ1623" i="42385"/>
  <c r="DB1623" i="42385" s="1"/>
  <c r="DB127" i="42385"/>
  <c r="BZ133" i="42385"/>
  <c r="BZ129" i="42385"/>
  <c r="BZ134" i="42385"/>
  <c r="CA129" i="42385"/>
  <c r="CE574" i="42385"/>
  <c r="CE273" i="42385"/>
  <c r="CE575" i="42385"/>
  <c r="CE578" i="42385"/>
  <c r="DB133" i="42385" l="1"/>
  <c r="EO521" i="42492"/>
  <c r="CZ1300" i="42385"/>
  <c r="BT115" i="42385"/>
  <c r="CZ115" i="42385" s="1"/>
  <c r="BU1409" i="42385"/>
  <c r="BV1409" i="42385" s="1"/>
  <c r="BW1409" i="42385" s="1"/>
  <c r="BX1409" i="42385" s="1"/>
  <c r="BY1409" i="42385" s="1"/>
  <c r="CZ1409" i="42385"/>
  <c r="CZ1319" i="42385"/>
  <c r="CB314" i="42385"/>
  <c r="CB316" i="42385" s="1"/>
  <c r="CC21" i="42385"/>
  <c r="CC30" i="42385" s="1"/>
  <c r="CC47" i="42385"/>
  <c r="CC1244" i="42385"/>
  <c r="CE434" i="42385"/>
  <c r="CE444" i="42385"/>
  <c r="CE221" i="42385"/>
  <c r="CE1233" i="42385" s="1"/>
  <c r="CE440" i="42385"/>
  <c r="CE431" i="42385"/>
  <c r="CD441" i="42385"/>
  <c r="CD442" i="42385"/>
  <c r="CD445" i="42385"/>
  <c r="CD446" i="42385" s="1"/>
  <c r="CD268" i="42385"/>
  <c r="CF434" i="42385"/>
  <c r="CF431" i="42385"/>
  <c r="CF440" i="42385"/>
  <c r="CF221" i="42385"/>
  <c r="CF1233" i="42385" s="1"/>
  <c r="CF444" i="42385"/>
  <c r="CD1234" i="42385"/>
  <c r="CD1243" i="42385"/>
  <c r="BU1516" i="42385"/>
  <c r="BU45" i="42385"/>
  <c r="CD280" i="42385"/>
  <c r="CD630" i="42385"/>
  <c r="CD629" i="42385"/>
  <c r="C35" i="42408"/>
  <c r="C37" i="42408" s="1"/>
  <c r="BZ29" i="42385"/>
  <c r="DB20" i="42385"/>
  <c r="DC280" i="42385"/>
  <c r="CA290" i="42385"/>
  <c r="CA20" i="42385" s="1"/>
  <c r="CC20" i="42385"/>
  <c r="CC29" i="42385" s="1"/>
  <c r="CC290" i="42385"/>
  <c r="CF625" i="42385"/>
  <c r="CF624" i="42385" s="1"/>
  <c r="CF626" i="42385" s="1"/>
  <c r="CF628" i="42385" s="1"/>
  <c r="CE624" i="42385"/>
  <c r="CE626" i="42385" s="1"/>
  <c r="CE628" i="42385" s="1"/>
  <c r="CC1177" i="42385"/>
  <c r="CC1178" i="42385" s="1"/>
  <c r="GF550" i="42464"/>
  <c r="GB555" i="42464" s="1"/>
  <c r="GB557" i="42464" s="1"/>
  <c r="BU1564" i="42385"/>
  <c r="BU1660" i="42385" s="1"/>
  <c r="CA19" i="42385"/>
  <c r="DC19" i="42385" s="1"/>
  <c r="GF522" i="42464"/>
  <c r="GB527" i="42464" s="1"/>
  <c r="GB529" i="42464" s="1"/>
  <c r="GF494" i="42464"/>
  <c r="GB499" i="42464" s="1"/>
  <c r="CF542" i="42385"/>
  <c r="CE1164" i="42385"/>
  <c r="CE1166" i="42385" s="1"/>
  <c r="CF1161" i="42385"/>
  <c r="CD300" i="42385"/>
  <c r="CD305" i="42385" s="1"/>
  <c r="CD1171" i="42385"/>
  <c r="CD1187" i="42385"/>
  <c r="DA266" i="42385"/>
  <c r="B22" i="42408"/>
  <c r="BY277" i="42385"/>
  <c r="BY314" i="42385" s="1"/>
  <c r="BV54" i="42385"/>
  <c r="BV52" i="42385"/>
  <c r="BV51" i="42385"/>
  <c r="BU26" i="42385"/>
  <c r="BU27" i="42385"/>
  <c r="BU32" i="42385"/>
  <c r="AG8" i="42476"/>
  <c r="AG9" i="42476" s="1"/>
  <c r="BU50" i="42385"/>
  <c r="BW19" i="42385"/>
  <c r="BV41" i="42385"/>
  <c r="BV42" i="42385"/>
  <c r="BV43" i="42385"/>
  <c r="AH12" i="42476"/>
  <c r="AH13" i="42476" s="1"/>
  <c r="AJ8" i="42476"/>
  <c r="AJ9" i="42476" s="1"/>
  <c r="BX40" i="42385"/>
  <c r="BX32" i="42385"/>
  <c r="BX26" i="42385"/>
  <c r="BX27" i="42385"/>
  <c r="CF415" i="42385"/>
  <c r="CF413" i="42385"/>
  <c r="CF414" i="42385"/>
  <c r="CF267" i="42385"/>
  <c r="CE415" i="42385"/>
  <c r="CE267" i="42385"/>
  <c r="CE413" i="42385"/>
  <c r="CE414" i="42385"/>
  <c r="BV1402" i="42385"/>
  <c r="BV1564" i="42385" s="1"/>
  <c r="CC1558" i="42385"/>
  <c r="CC127" i="42385"/>
  <c r="CC259" i="42385"/>
  <c r="BV1557" i="42385"/>
  <c r="BV1280" i="42385"/>
  <c r="BV107" i="42385"/>
  <c r="BV63" i="42385"/>
  <c r="BV65" i="42385" s="1"/>
  <c r="BV1558" i="42385"/>
  <c r="DC1177" i="42385"/>
  <c r="CA1178" i="42385"/>
  <c r="DC1178" i="42385" s="1"/>
  <c r="CA30" i="42385"/>
  <c r="DC21" i="42385"/>
  <c r="CB1183" i="42385"/>
  <c r="CB1184" i="42385" s="1"/>
  <c r="CB1313" i="42385" s="1"/>
  <c r="CB111" i="42385" s="1"/>
  <c r="CB1181" i="42385"/>
  <c r="BX1262" i="42385"/>
  <c r="BX1266" i="42385"/>
  <c r="BX1263" i="42385" s="1"/>
  <c r="BS1448" i="42385"/>
  <c r="BS1479" i="42385" s="1"/>
  <c r="BT1479" i="42385" s="1"/>
  <c r="CZ1479" i="42385" s="1"/>
  <c r="BS1584" i="42385"/>
  <c r="BS1446" i="42385"/>
  <c r="BS1477" i="42385" s="1"/>
  <c r="BT1477" i="42385" s="1"/>
  <c r="CZ1477" i="42385" s="1"/>
  <c r="BS1445" i="42385"/>
  <c r="BS1476" i="42385" s="1"/>
  <c r="BT1583" i="42385"/>
  <c r="DC1180" i="42385"/>
  <c r="CA1181" i="42385"/>
  <c r="DC1181" i="42385" s="1"/>
  <c r="CA1183" i="42385"/>
  <c r="CD21" i="42385"/>
  <c r="CD30" i="42385" s="1"/>
  <c r="CD261" i="42385"/>
  <c r="DB1284" i="42385"/>
  <c r="BZ110" i="42385"/>
  <c r="DB110" i="42385" s="1"/>
  <c r="CF533" i="42385"/>
  <c r="CE536" i="42385"/>
  <c r="CE533" i="42385"/>
  <c r="CE225" i="42385"/>
  <c r="CE546" i="42385"/>
  <c r="CE542" i="42385"/>
  <c r="CB134" i="42385"/>
  <c r="CB1304" i="42385" s="1"/>
  <c r="CB113" i="42385"/>
  <c r="CB133" i="42385"/>
  <c r="CB129" i="42385"/>
  <c r="CB1623" i="42385"/>
  <c r="CA1314" i="42385"/>
  <c r="DC1314" i="42385" s="1"/>
  <c r="DC1304" i="42385"/>
  <c r="CD260" i="42385"/>
  <c r="CD9" i="42385"/>
  <c r="CD14" i="42385" s="1"/>
  <c r="CD258" i="42385"/>
  <c r="CC15" i="42385"/>
  <c r="CC200" i="42385"/>
  <c r="CD544" i="42385"/>
  <c r="CD543" i="42385"/>
  <c r="CD272" i="42385"/>
  <c r="CD547" i="42385"/>
  <c r="CA1284" i="42385"/>
  <c r="DC1172" i="42385"/>
  <c r="CA61" i="42385"/>
  <c r="CA69" i="42385" s="1"/>
  <c r="DC69" i="42385" s="1"/>
  <c r="BT1585" i="42385"/>
  <c r="CZ1585" i="42385" s="1"/>
  <c r="BS1586" i="42385"/>
  <c r="CD515" i="42385"/>
  <c r="CD519" i="42385"/>
  <c r="CD271" i="42385"/>
  <c r="CD516" i="42385"/>
  <c r="BU1349" i="42385"/>
  <c r="CZ1349" i="42385"/>
  <c r="BT1351" i="42385"/>
  <c r="CZ1351" i="42385" s="1"/>
  <c r="CE224" i="42385"/>
  <c r="CE514" i="42385"/>
  <c r="CE518" i="42385"/>
  <c r="CE508" i="42385"/>
  <c r="CE505" i="42385"/>
  <c r="CF546" i="42385"/>
  <c r="CF225" i="42385"/>
  <c r="CF536" i="42385"/>
  <c r="CD1172" i="42385"/>
  <c r="CD1284" i="42385" s="1"/>
  <c r="CD110" i="42385" s="1"/>
  <c r="CD1177" i="42385"/>
  <c r="CC19" i="42385"/>
  <c r="CC277" i="42385"/>
  <c r="DB1183" i="42385"/>
  <c r="BZ1184" i="42385"/>
  <c r="DB1184" i="42385" s="1"/>
  <c r="BW1553" i="42385"/>
  <c r="BW1556" i="42385" s="1"/>
  <c r="BW1320" i="42385"/>
  <c r="BW1393" i="42385" s="1"/>
  <c r="CF1164" i="42385"/>
  <c r="CF1166" i="42385" s="1"/>
  <c r="CB28" i="42385"/>
  <c r="CB24" i="42385"/>
  <c r="CF514" i="42385"/>
  <c r="CF518" i="42385"/>
  <c r="CF508" i="42385"/>
  <c r="CF224" i="42385"/>
  <c r="CF505" i="42385"/>
  <c r="DB113" i="42385"/>
  <c r="AL72" i="42476"/>
  <c r="BU1326" i="42385"/>
  <c r="BZ277" i="42385"/>
  <c r="BZ314" i="42385" s="1"/>
  <c r="BY1348" i="42385"/>
  <c r="C35" i="42420"/>
  <c r="E28" i="42420"/>
  <c r="C11" i="42420"/>
  <c r="BT1591" i="42385"/>
  <c r="BT1594" i="42385"/>
  <c r="CZ1572" i="42385"/>
  <c r="BT1599" i="42385"/>
  <c r="BZ1304" i="42385"/>
  <c r="DB134" i="42385"/>
  <c r="E35" i="42408" l="1"/>
  <c r="BS1501" i="42385"/>
  <c r="BS112" i="42385" s="1"/>
  <c r="CB1647" i="42385"/>
  <c r="BZ1409" i="42385"/>
  <c r="DA1409" i="42385"/>
  <c r="CC314" i="42385"/>
  <c r="CC1647" i="42385" s="1"/>
  <c r="CA314" i="42385"/>
  <c r="CA1647" i="42385" s="1"/>
  <c r="DC1647" i="42385" s="1"/>
  <c r="CD1244" i="42385"/>
  <c r="CD47" i="42385"/>
  <c r="CF445" i="42385"/>
  <c r="CF446" i="42385" s="1"/>
  <c r="CF268" i="42385"/>
  <c r="CF442" i="42385"/>
  <c r="CF441" i="42385"/>
  <c r="CE441" i="42385"/>
  <c r="CE442" i="42385"/>
  <c r="CE445" i="42385"/>
  <c r="CE446" i="42385" s="1"/>
  <c r="CE268" i="42385"/>
  <c r="CF1234" i="42385"/>
  <c r="CF1243" i="42385"/>
  <c r="CE1243" i="42385"/>
  <c r="CE1234" i="42385"/>
  <c r="BX1516" i="42385"/>
  <c r="BX45" i="42385"/>
  <c r="CE280" i="42385"/>
  <c r="CE630" i="42385"/>
  <c r="CE629" i="42385"/>
  <c r="CA29" i="42385"/>
  <c r="DC20" i="42385"/>
  <c r="CF280" i="42385"/>
  <c r="CF629" i="42385"/>
  <c r="CF630" i="42385"/>
  <c r="CD20" i="42385"/>
  <c r="CD29" i="42385" s="1"/>
  <c r="CD290" i="42385"/>
  <c r="CC1180" i="42385"/>
  <c r="CC1183" i="42385" s="1"/>
  <c r="CC1184" i="42385" s="1"/>
  <c r="CC1313" i="42385" s="1"/>
  <c r="CC111" i="42385" s="1"/>
  <c r="AG34" i="42476"/>
  <c r="BU1585" i="42385"/>
  <c r="CA24" i="42385"/>
  <c r="CA50" i="42385" s="1"/>
  <c r="CA28" i="42385"/>
  <c r="H40" i="42408"/>
  <c r="G40" i="42408"/>
  <c r="GB501" i="42464"/>
  <c r="J22" i="42420" s="1"/>
  <c r="BW1402" i="42385"/>
  <c r="BW1564" i="42385" s="1"/>
  <c r="CE300" i="42385"/>
  <c r="CE1168" i="42385"/>
  <c r="CE1171" i="42385"/>
  <c r="CE1167" i="42385"/>
  <c r="CE1187" i="42385"/>
  <c r="CF547" i="42385"/>
  <c r="CF543" i="42385"/>
  <c r="CF272" i="42385"/>
  <c r="BV1406" i="42385"/>
  <c r="BV1319" i="42385" s="1"/>
  <c r="BV1326" i="42385" s="1"/>
  <c r="BU42" i="42385"/>
  <c r="BU41" i="42385"/>
  <c r="BU197" i="42385"/>
  <c r="AG12" i="42476"/>
  <c r="AG13" i="42476" s="1"/>
  <c r="BU65" i="42385"/>
  <c r="BV1569" i="42385"/>
  <c r="BV1572" i="42385" s="1"/>
  <c r="BV1583" i="42385" s="1"/>
  <c r="BU1569" i="42385"/>
  <c r="BU1572" i="42385" s="1"/>
  <c r="BU43" i="42385"/>
  <c r="BV197" i="42385"/>
  <c r="BY19" i="42385"/>
  <c r="BW28" i="42385"/>
  <c r="BW24" i="42385"/>
  <c r="BW50" i="42385" s="1"/>
  <c r="BY1647" i="42385"/>
  <c r="DA1647" i="42385" s="1"/>
  <c r="DA314" i="42385"/>
  <c r="BY316" i="42385"/>
  <c r="DA316" i="42385" s="1"/>
  <c r="BW317" i="42385"/>
  <c r="BW316" i="42385"/>
  <c r="BW1647" i="42385"/>
  <c r="BW315" i="42385"/>
  <c r="G22" i="42408"/>
  <c r="G35" i="42408" s="1"/>
  <c r="B35" i="42408"/>
  <c r="B37" i="42408" s="1"/>
  <c r="BX54" i="42385"/>
  <c r="BX52" i="42385"/>
  <c r="BX51" i="42385"/>
  <c r="AJ12" i="42476"/>
  <c r="AJ13" i="42476" s="1"/>
  <c r="BX42" i="42385"/>
  <c r="BX41" i="42385"/>
  <c r="BX43" i="42385"/>
  <c r="BU51" i="42385"/>
  <c r="BU52" i="42385"/>
  <c r="BU54" i="42385"/>
  <c r="BV1663" i="42385"/>
  <c r="BV56" i="42385"/>
  <c r="BV55" i="42385"/>
  <c r="CF516" i="42385"/>
  <c r="CF519" i="42385"/>
  <c r="CF515" i="42385"/>
  <c r="CF271" i="42385"/>
  <c r="CF1187" i="42385"/>
  <c r="CF1167" i="42385"/>
  <c r="CF300" i="42385"/>
  <c r="CF1171" i="42385"/>
  <c r="CD277" i="42385"/>
  <c r="CD19" i="42385"/>
  <c r="DC1284" i="42385"/>
  <c r="CA110" i="42385"/>
  <c r="DC110" i="42385" s="1"/>
  <c r="CD15" i="42385"/>
  <c r="CD200" i="42385"/>
  <c r="CB1314" i="42385"/>
  <c r="CF260" i="42385"/>
  <c r="BX1493" i="42385"/>
  <c r="BY1262" i="42385"/>
  <c r="CF258" i="42385"/>
  <c r="CF9" i="42385"/>
  <c r="CF14" i="42385" s="1"/>
  <c r="CF261" i="42385"/>
  <c r="CF1168" i="42385"/>
  <c r="CB40" i="42385"/>
  <c r="CB42" i="42385" s="1"/>
  <c r="CB27" i="42385"/>
  <c r="CB1269" i="42385"/>
  <c r="CB1270" i="42385" s="1"/>
  <c r="CB1272" i="42385" s="1"/>
  <c r="CB50" i="42385"/>
  <c r="BW107" i="42385"/>
  <c r="BW63" i="42385"/>
  <c r="BW1280" i="42385"/>
  <c r="BW1558" i="42385"/>
  <c r="BW1557" i="42385"/>
  <c r="CC24" i="42385"/>
  <c r="CC28" i="42385"/>
  <c r="CD1178" i="42385"/>
  <c r="CD1180" i="42385"/>
  <c r="CE515" i="42385"/>
  <c r="CE516" i="42385"/>
  <c r="CE271" i="42385"/>
  <c r="CE519" i="42385"/>
  <c r="BV1349" i="42385"/>
  <c r="BU1351" i="42385"/>
  <c r="CE547" i="42385"/>
  <c r="CE543" i="42385"/>
  <c r="CF544" i="42385"/>
  <c r="CE272" i="42385"/>
  <c r="CE544" i="42385"/>
  <c r="BT1584" i="42385"/>
  <c r="CZ1584" i="42385" s="1"/>
  <c r="CZ1583" i="42385"/>
  <c r="BT1445" i="42385"/>
  <c r="CZ1445" i="42385" s="1"/>
  <c r="BT1446" i="42385"/>
  <c r="CZ1446" i="42385" s="1"/>
  <c r="BT1448" i="42385"/>
  <c r="CZ1448" i="42385" s="1"/>
  <c r="CE258" i="42385"/>
  <c r="CE9" i="42385"/>
  <c r="CE14" i="42385" s="1"/>
  <c r="CE261" i="42385"/>
  <c r="CE260" i="42385"/>
  <c r="BT1586" i="42385"/>
  <c r="BS1587" i="42385"/>
  <c r="CD1558" i="42385"/>
  <c r="CD259" i="42385"/>
  <c r="CD127" i="42385"/>
  <c r="DC1183" i="42385"/>
  <c r="CA1184" i="42385"/>
  <c r="DC1184" i="42385" s="1"/>
  <c r="BT1476" i="42385"/>
  <c r="BY1263" i="42385"/>
  <c r="BY1266" i="42385" s="1"/>
  <c r="BX1320" i="42385"/>
  <c r="BX1553" i="42385"/>
  <c r="BX1556" i="42385" s="1"/>
  <c r="CC1623" i="42385"/>
  <c r="CC129" i="42385"/>
  <c r="CC113" i="42385"/>
  <c r="CC133" i="42385"/>
  <c r="CC134" i="42385"/>
  <c r="CC1304" i="42385" s="1"/>
  <c r="BZ19" i="42385"/>
  <c r="BZ24" i="42385" s="1"/>
  <c r="BZ40" i="42385" s="1"/>
  <c r="EO516" i="42492" s="1"/>
  <c r="CZ1594" i="42385"/>
  <c r="BT1595" i="42385"/>
  <c r="CZ1595" i="42385" s="1"/>
  <c r="G11" i="42420"/>
  <c r="CN240" i="42417"/>
  <c r="CR240" i="42417" s="1"/>
  <c r="B11" i="42420"/>
  <c r="E11" i="42420" s="1"/>
  <c r="CZ1591" i="42385"/>
  <c r="BT1592" i="42385"/>
  <c r="CZ1592" i="42385" s="1"/>
  <c r="G35" i="42420"/>
  <c r="CN241" i="42417"/>
  <c r="CR241" i="42417" s="1"/>
  <c r="B35" i="42420"/>
  <c r="E35" i="42420" s="1"/>
  <c r="BZ1348" i="42385"/>
  <c r="DA1348" i="42385"/>
  <c r="BV1585" i="42385"/>
  <c r="AH34" i="42476"/>
  <c r="BV1660" i="42385"/>
  <c r="DB1304" i="42385"/>
  <c r="BZ1314" i="42385"/>
  <c r="DB1314" i="42385" s="1"/>
  <c r="BT1501" i="42385" l="1"/>
  <c r="CZ1501" i="42385" s="1"/>
  <c r="DB1409" i="42385"/>
  <c r="CA1409" i="42385"/>
  <c r="CC316" i="42385"/>
  <c r="CB315" i="42385"/>
  <c r="CC315" i="42385"/>
  <c r="DC314" i="42385"/>
  <c r="CA316" i="42385"/>
  <c r="DC316" i="42385" s="1"/>
  <c r="CF47" i="42385"/>
  <c r="CF1244" i="42385"/>
  <c r="CE47" i="42385"/>
  <c r="CE1244" i="42385"/>
  <c r="BV1586" i="42385"/>
  <c r="BV1587" i="42385" s="1"/>
  <c r="AM8" i="42476"/>
  <c r="AM10" i="42476" s="1"/>
  <c r="BZ1516" i="42385"/>
  <c r="BZ45" i="42385"/>
  <c r="CC1181" i="42385"/>
  <c r="CD314" i="42385"/>
  <c r="CD315" i="42385" s="1"/>
  <c r="CF20" i="42385"/>
  <c r="CF29" i="42385" s="1"/>
  <c r="CF290" i="42385"/>
  <c r="CE290" i="42385"/>
  <c r="CE20" i="42385"/>
  <c r="CE29" i="42385" s="1"/>
  <c r="CA1269" i="42385"/>
  <c r="DC1269" i="42385" s="1"/>
  <c r="CA27" i="42385"/>
  <c r="DC27" i="42385" s="1"/>
  <c r="CA40" i="42385"/>
  <c r="CA45" i="42385" s="1"/>
  <c r="CB32" i="42385"/>
  <c r="CB26" i="42385"/>
  <c r="DC24" i="42385"/>
  <c r="BU1586" i="42385"/>
  <c r="BU1587" i="42385" s="1"/>
  <c r="J46" i="42420"/>
  <c r="BW1406" i="42385"/>
  <c r="BW1319" i="42385" s="1"/>
  <c r="CE1177" i="42385"/>
  <c r="CE1172" i="42385"/>
  <c r="CE1284" i="42385" s="1"/>
  <c r="CE110" i="42385" s="1"/>
  <c r="CE21" i="42385"/>
  <c r="CE30" i="42385" s="1"/>
  <c r="CE305" i="42385"/>
  <c r="CC1314" i="42385"/>
  <c r="BU1583" i="42385"/>
  <c r="BU1594" i="42385"/>
  <c r="BU1595" i="42385" s="1"/>
  <c r="BU1599" i="42385"/>
  <c r="BU1591" i="42385"/>
  <c r="BU1592" i="42385" s="1"/>
  <c r="E36" i="42408"/>
  <c r="DA19" i="42385"/>
  <c r="BY24" i="42385"/>
  <c r="BY50" i="42385" s="1"/>
  <c r="BY28" i="42385"/>
  <c r="BV1591" i="42385"/>
  <c r="BV1592" i="42385" s="1"/>
  <c r="BV1599" i="42385"/>
  <c r="BV1594" i="42385"/>
  <c r="BV1595" i="42385" s="1"/>
  <c r="BU56" i="42385"/>
  <c r="BU1663" i="42385"/>
  <c r="BU55" i="42385"/>
  <c r="BX56" i="42385"/>
  <c r="BX1663" i="42385"/>
  <c r="BX55" i="42385"/>
  <c r="AI8" i="42476"/>
  <c r="AI9" i="42476" s="1"/>
  <c r="BW40" i="42385"/>
  <c r="BW45" i="42385" s="1"/>
  <c r="BW26" i="42385"/>
  <c r="BW27" i="42385"/>
  <c r="BW32" i="42385"/>
  <c r="CE15" i="42385"/>
  <c r="CE200" i="42385"/>
  <c r="BW1349" i="42385"/>
  <c r="BV1351" i="42385"/>
  <c r="CC26" i="42385"/>
  <c r="CC27" i="42385"/>
  <c r="CC1269" i="42385"/>
  <c r="CC1270" i="42385" s="1"/>
  <c r="CC1272" i="42385" s="1"/>
  <c r="CC50" i="42385"/>
  <c r="CC40" i="42385"/>
  <c r="CC32" i="42385"/>
  <c r="CF200" i="42385"/>
  <c r="CF15" i="42385"/>
  <c r="CF277" i="42385"/>
  <c r="CF19" i="42385"/>
  <c r="CZ1476" i="42385"/>
  <c r="BT1503" i="42385"/>
  <c r="CD134" i="42385"/>
  <c r="CD1304" i="42385" s="1"/>
  <c r="CD1623" i="42385"/>
  <c r="CD133" i="42385"/>
  <c r="CD129" i="42385"/>
  <c r="CD113" i="42385"/>
  <c r="CZ1586" i="42385"/>
  <c r="BT1587" i="42385"/>
  <c r="CZ1587" i="42385" s="1"/>
  <c r="CE259" i="42385"/>
  <c r="CE1558" i="42385"/>
  <c r="CE127" i="42385"/>
  <c r="CD1183" i="42385"/>
  <c r="CD1184" i="42385" s="1"/>
  <c r="CD1313" i="42385" s="1"/>
  <c r="CD111" i="42385" s="1"/>
  <c r="CD1181" i="42385"/>
  <c r="CF127" i="42385"/>
  <c r="CF259" i="42385"/>
  <c r="CF1558" i="42385"/>
  <c r="CF1172" i="42385"/>
  <c r="CF1284" i="42385" s="1"/>
  <c r="CF110" i="42385" s="1"/>
  <c r="CF1177" i="42385"/>
  <c r="CF1178" i="42385" s="1"/>
  <c r="BX107" i="42385"/>
  <c r="BX1558" i="42385"/>
  <c r="BX63" i="42385"/>
  <c r="BX1280" i="42385"/>
  <c r="BY1280" i="42385" s="1"/>
  <c r="DA1280" i="42385" s="1"/>
  <c r="BX1557" i="42385"/>
  <c r="BS1504" i="42385"/>
  <c r="CE277" i="42385"/>
  <c r="CE19" i="42385"/>
  <c r="CB54" i="42385"/>
  <c r="CB52" i="42385"/>
  <c r="CB65" i="42385"/>
  <c r="BY1553" i="42385"/>
  <c r="BY1556" i="42385" s="1"/>
  <c r="CF21" i="42385"/>
  <c r="CF30" i="42385" s="1"/>
  <c r="CF305" i="42385"/>
  <c r="BY1320" i="42385"/>
  <c r="BX1393" i="42385"/>
  <c r="BY1493" i="42385"/>
  <c r="BY1265" i="42385"/>
  <c r="BZ1265" i="42385" s="1"/>
  <c r="CD24" i="42385"/>
  <c r="CD28" i="42385"/>
  <c r="AI34" i="42476"/>
  <c r="BW1660" i="42385"/>
  <c r="BW1585" i="42385"/>
  <c r="CA1348" i="42385"/>
  <c r="DB1348" i="42385"/>
  <c r="BZ316" i="42385"/>
  <c r="DB316" i="42385" s="1"/>
  <c r="BZ317" i="42385"/>
  <c r="BZ315" i="42385"/>
  <c r="DB315" i="42385" s="1"/>
  <c r="DB314" i="42385"/>
  <c r="BZ1647" i="42385"/>
  <c r="DB1647" i="42385" s="1"/>
  <c r="CA315" i="42385"/>
  <c r="DC315" i="42385" s="1"/>
  <c r="CA317" i="42385"/>
  <c r="DB19" i="42385"/>
  <c r="BZ50" i="42385"/>
  <c r="BZ28" i="42385"/>
  <c r="CA52" i="42385"/>
  <c r="DC52" i="42385" s="1"/>
  <c r="DC50" i="42385"/>
  <c r="CA54" i="42385"/>
  <c r="CB51" i="42385"/>
  <c r="BV1445" i="42385"/>
  <c r="BV1476" i="42385" s="1"/>
  <c r="BV1584" i="42385"/>
  <c r="BV1448" i="42385"/>
  <c r="BV1479" i="42385" s="1"/>
  <c r="BV1446" i="42385"/>
  <c r="BV1477" i="42385" s="1"/>
  <c r="BT112" i="42385" l="1"/>
  <c r="CZ112" i="42385" s="1"/>
  <c r="CB1409" i="42385"/>
  <c r="CC1409" i="42385" s="1"/>
  <c r="CD1409" i="42385" s="1"/>
  <c r="CE1409" i="42385" s="1"/>
  <c r="CF1409" i="42385" s="1"/>
  <c r="DC1409" i="42385"/>
  <c r="CA1270" i="42385"/>
  <c r="CA1272" i="42385" s="1"/>
  <c r="DC1272" i="42385" s="1"/>
  <c r="CD1647" i="42385"/>
  <c r="CD316" i="42385"/>
  <c r="BW65" i="42385"/>
  <c r="BW1516" i="42385"/>
  <c r="CA1569" i="42385"/>
  <c r="DC1569" i="42385" s="1"/>
  <c r="CA1516" i="42385"/>
  <c r="CB41" i="42385"/>
  <c r="AM12" i="42476"/>
  <c r="AM71" i="42476" s="1"/>
  <c r="AM74" i="42476" s="1"/>
  <c r="CB43" i="42385"/>
  <c r="CA197" i="42385"/>
  <c r="DB197" i="42385" s="1"/>
  <c r="DC40" i="42385"/>
  <c r="CA42" i="42385"/>
  <c r="DC42" i="42385" s="1"/>
  <c r="CE314" i="42385"/>
  <c r="CE1647" i="42385" s="1"/>
  <c r="BW1326" i="42385"/>
  <c r="CE1178" i="42385"/>
  <c r="CE1180" i="42385"/>
  <c r="BW52" i="42385"/>
  <c r="BW51" i="42385"/>
  <c r="BW54" i="42385"/>
  <c r="G36" i="42408"/>
  <c r="G37" i="42408" s="1"/>
  <c r="H36" i="42408"/>
  <c r="H37" i="42408" s="1"/>
  <c r="E37" i="42408" s="1"/>
  <c r="BU1448" i="42385"/>
  <c r="BU1479" i="42385" s="1"/>
  <c r="BU1445" i="42385"/>
  <c r="BU1476" i="42385" s="1"/>
  <c r="BU1584" i="42385"/>
  <c r="BU1446" i="42385"/>
  <c r="BU1477" i="42385" s="1"/>
  <c r="BX1569" i="42385"/>
  <c r="BX1572" i="42385" s="1"/>
  <c r="BW197" i="42385"/>
  <c r="BX197" i="42385"/>
  <c r="BY197" i="42385" s="1"/>
  <c r="CZ197" i="42385" s="1"/>
  <c r="AI12" i="42476"/>
  <c r="AI13" i="42476" s="1"/>
  <c r="BW42" i="42385"/>
  <c r="BW1569" i="42385"/>
  <c r="BW1572" i="42385" s="1"/>
  <c r="BW43" i="42385"/>
  <c r="BW41" i="42385"/>
  <c r="BY40" i="42385"/>
  <c r="BY27" i="42385"/>
  <c r="DA27" i="42385" s="1"/>
  <c r="AK8" i="42476"/>
  <c r="BY32" i="42385"/>
  <c r="BY26" i="42385"/>
  <c r="DA26" i="42385" s="1"/>
  <c r="BY1269" i="42385"/>
  <c r="DA24" i="42385"/>
  <c r="CD27" i="42385"/>
  <c r="CD40" i="42385"/>
  <c r="CD50" i="42385"/>
  <c r="CD32" i="42385"/>
  <c r="CD26" i="42385"/>
  <c r="CD1269" i="42385"/>
  <c r="CD1270" i="42385" s="1"/>
  <c r="CD1272" i="42385" s="1"/>
  <c r="BS1574" i="42385"/>
  <c r="BS1577" i="42385" s="1"/>
  <c r="BS1579" i="42385" s="1"/>
  <c r="BT68" i="42385"/>
  <c r="BS198" i="42385"/>
  <c r="BT198" i="42385" s="1"/>
  <c r="AE44" i="42476"/>
  <c r="AE45" i="42476" s="1"/>
  <c r="BS75" i="42385"/>
  <c r="BS1514" i="42385" s="1"/>
  <c r="BY1393" i="42385"/>
  <c r="BY1402" i="42385" s="1"/>
  <c r="BY1564" i="42385" s="1"/>
  <c r="BX1402" i="42385"/>
  <c r="CB1569" i="42385"/>
  <c r="CB1572" i="42385" s="1"/>
  <c r="CB197" i="42385"/>
  <c r="CB56" i="42385"/>
  <c r="CB1663" i="42385"/>
  <c r="CF1180" i="42385"/>
  <c r="CF134" i="42385"/>
  <c r="CF1304" i="42385" s="1"/>
  <c r="CF113" i="42385"/>
  <c r="CF129" i="42385"/>
  <c r="CF133" i="42385"/>
  <c r="CF1623" i="42385"/>
  <c r="CZ1503" i="42385"/>
  <c r="BT1504" i="42385"/>
  <c r="CZ1504" i="42385" s="1"/>
  <c r="CC52" i="42385"/>
  <c r="CC65" i="42385"/>
  <c r="CC54" i="42385"/>
  <c r="CC51" i="42385"/>
  <c r="CA1265" i="42385"/>
  <c r="BZ1266" i="42385"/>
  <c r="BZ1263" i="42385" s="1"/>
  <c r="BZ1262" i="42385"/>
  <c r="BZ1493" i="42385" s="1"/>
  <c r="CE28" i="42385"/>
  <c r="CE24" i="42385"/>
  <c r="BX65" i="42385"/>
  <c r="BY63" i="42385"/>
  <c r="BX1349" i="42385"/>
  <c r="BW1351" i="42385"/>
  <c r="CE113" i="42385"/>
  <c r="CE133" i="42385"/>
  <c r="CE129" i="42385"/>
  <c r="CE134" i="42385"/>
  <c r="CE1304" i="42385" s="1"/>
  <c r="CE1623" i="42385"/>
  <c r="CF28" i="42385"/>
  <c r="CF24" i="42385"/>
  <c r="BY1558" i="42385"/>
  <c r="DA1558" i="42385" s="1"/>
  <c r="BY107" i="42385"/>
  <c r="DA107" i="42385" s="1"/>
  <c r="BY1557" i="42385"/>
  <c r="DA1557" i="42385" s="1"/>
  <c r="DA1556" i="42385"/>
  <c r="CD1314" i="42385"/>
  <c r="CF314" i="42385"/>
  <c r="CC41" i="42385"/>
  <c r="CC42" i="42385"/>
  <c r="CC43" i="42385"/>
  <c r="CB1348" i="42385"/>
  <c r="DC1348" i="42385"/>
  <c r="DB24" i="42385"/>
  <c r="BZ32" i="42385"/>
  <c r="BZ27" i="42385"/>
  <c r="DB27" i="42385" s="1"/>
  <c r="AL8" i="42476"/>
  <c r="BZ26" i="42385"/>
  <c r="DB26" i="42385" s="1"/>
  <c r="BZ1269" i="42385"/>
  <c r="CA26" i="42385"/>
  <c r="DC26" i="42385" s="1"/>
  <c r="CA32" i="42385"/>
  <c r="BV1503" i="42385"/>
  <c r="BV1515" i="42385" s="1"/>
  <c r="BV1517" i="42385" s="1"/>
  <c r="BV1519" i="42385" s="1"/>
  <c r="CA1663" i="42385"/>
  <c r="CA56" i="42385"/>
  <c r="DC56" i="42385" s="1"/>
  <c r="DC54" i="42385"/>
  <c r="CB55" i="42385"/>
  <c r="BU1503" i="42385" l="1"/>
  <c r="BU1515" i="42385" s="1"/>
  <c r="BU1517" i="42385" s="1"/>
  <c r="BU1519" i="42385" s="1"/>
  <c r="DC1270" i="42385"/>
  <c r="AM14" i="42476"/>
  <c r="CE315" i="42385"/>
  <c r="BY1516" i="42385"/>
  <c r="BY45" i="42385"/>
  <c r="CA1572" i="42385"/>
  <c r="CA1594" i="42385" s="1"/>
  <c r="CE316" i="42385"/>
  <c r="DA1402" i="42385"/>
  <c r="CE1181" i="42385"/>
  <c r="CE1183" i="42385"/>
  <c r="CE1184" i="42385" s="1"/>
  <c r="CE1313" i="42385" s="1"/>
  <c r="CE111" i="42385" s="1"/>
  <c r="BY42" i="42385"/>
  <c r="BY1569" i="42385"/>
  <c r="BY43" i="42385"/>
  <c r="DA43" i="42385" s="1"/>
  <c r="DA40" i="42385"/>
  <c r="AK12" i="42476"/>
  <c r="BY41" i="42385"/>
  <c r="DA41" i="42385" s="1"/>
  <c r="B30" i="42420"/>
  <c r="BX1591" i="42385"/>
  <c r="BX1592" i="42385" s="1"/>
  <c r="BX1599" i="42385"/>
  <c r="BX1594" i="42385"/>
  <c r="BX1595" i="42385" s="1"/>
  <c r="AK9" i="42476"/>
  <c r="AK10" i="42476"/>
  <c r="BY1270" i="42385"/>
  <c r="DA1269" i="42385"/>
  <c r="B74" i="42420"/>
  <c r="EM502" i="42492"/>
  <c r="EM503" i="42492" s="1"/>
  <c r="EM506" i="42492" s="1"/>
  <c r="EM509" i="42492" s="1"/>
  <c r="EM512" i="42492" s="1"/>
  <c r="EM513" i="42492" s="1"/>
  <c r="BY52" i="42385"/>
  <c r="DA52" i="42385" s="1"/>
  <c r="DA50" i="42385"/>
  <c r="BY54" i="42385"/>
  <c r="BY51" i="42385"/>
  <c r="DA51" i="42385" s="1"/>
  <c r="BW1599" i="42385"/>
  <c r="BW1591" i="42385"/>
  <c r="BW1592" i="42385" s="1"/>
  <c r="BW1594" i="42385"/>
  <c r="BW1595" i="42385" s="1"/>
  <c r="BW1583" i="42385"/>
  <c r="BW56" i="42385"/>
  <c r="BW1663" i="42385"/>
  <c r="BW55" i="42385"/>
  <c r="BW1586" i="42385"/>
  <c r="BW1587" i="42385" s="1"/>
  <c r="BY1406" i="42385"/>
  <c r="DA1406" i="42385" s="1"/>
  <c r="DA63" i="42385"/>
  <c r="BY65" i="42385"/>
  <c r="DA65" i="42385" s="1"/>
  <c r="CA1266" i="42385"/>
  <c r="CA1263" i="42385" s="1"/>
  <c r="CA1262" i="42385"/>
  <c r="CA1493" i="42385" s="1"/>
  <c r="CF316" i="42385"/>
  <c r="CF315" i="42385"/>
  <c r="CF1647" i="42385"/>
  <c r="CF32" i="42385"/>
  <c r="CF1269" i="42385"/>
  <c r="CF1270" i="42385" s="1"/>
  <c r="CF1272" i="42385" s="1"/>
  <c r="CF40" i="42385"/>
  <c r="CF50" i="42385"/>
  <c r="CF26" i="42385"/>
  <c r="CF27" i="42385"/>
  <c r="AF80" i="42476"/>
  <c r="BT75" i="42385"/>
  <c r="CZ68" i="42385"/>
  <c r="AF44" i="42476"/>
  <c r="AF45" i="42476" s="1"/>
  <c r="P10" i="42472"/>
  <c r="BT1574" i="42385"/>
  <c r="CD51" i="42385"/>
  <c r="CD65" i="42385"/>
  <c r="CD54" i="42385"/>
  <c r="CD52" i="42385"/>
  <c r="CE1269" i="42385"/>
  <c r="CE1270" i="42385" s="1"/>
  <c r="CE1272" i="42385" s="1"/>
  <c r="CE32" i="42385"/>
  <c r="CE50" i="42385"/>
  <c r="CE27" i="42385"/>
  <c r="CE26" i="42385"/>
  <c r="CE40" i="42385"/>
  <c r="CC197" i="42385"/>
  <c r="CC56" i="42385"/>
  <c r="CC55" i="42385"/>
  <c r="CC1569" i="42385"/>
  <c r="CC1572" i="42385" s="1"/>
  <c r="CC1663" i="42385"/>
  <c r="BX1406" i="42385"/>
  <c r="BX1319" i="42385" s="1"/>
  <c r="BX1564" i="42385"/>
  <c r="BS77" i="42385"/>
  <c r="BS1600" i="42385"/>
  <c r="BS1601" i="42385" s="1"/>
  <c r="BS1602" i="42385" s="1"/>
  <c r="BS1634" i="42385"/>
  <c r="BT1579" i="42385"/>
  <c r="BS1603" i="42385"/>
  <c r="BS1604" i="42385" s="1"/>
  <c r="BS1605" i="42385" s="1"/>
  <c r="CD41" i="42385"/>
  <c r="CD42" i="42385"/>
  <c r="CD43" i="42385"/>
  <c r="BX1351" i="42385"/>
  <c r="BY1349" i="42385"/>
  <c r="BZ1320" i="42385"/>
  <c r="BZ1393" i="42385" s="1"/>
  <c r="BZ1402" i="42385" s="1"/>
  <c r="BZ1406" i="42385" s="1"/>
  <c r="BZ1553" i="42385"/>
  <c r="BZ1556" i="42385" s="1"/>
  <c r="CF1183" i="42385"/>
  <c r="CF1184" i="42385" s="1"/>
  <c r="CF1313" i="42385" s="1"/>
  <c r="CF111" i="42385" s="1"/>
  <c r="CF1181" i="42385"/>
  <c r="CB1594" i="42385"/>
  <c r="CB1595" i="42385" s="1"/>
  <c r="CB1591" i="42385"/>
  <c r="CB1592" i="42385" s="1"/>
  <c r="CB1599" i="42385"/>
  <c r="CB1583" i="42385"/>
  <c r="CB1586" i="42385"/>
  <c r="CB1587" i="42385" s="1"/>
  <c r="DA1564" i="42385"/>
  <c r="BY1660" i="42385"/>
  <c r="AK34" i="42476"/>
  <c r="BZ41" i="42385"/>
  <c r="DB41" i="42385" s="1"/>
  <c r="BZ43" i="42385"/>
  <c r="DB43" i="42385" s="1"/>
  <c r="AL12" i="42476"/>
  <c r="C30" i="42420"/>
  <c r="BZ42" i="42385"/>
  <c r="BZ197" i="42385"/>
  <c r="DA197" i="42385" s="1"/>
  <c r="DB40" i="42385"/>
  <c r="BZ1569" i="42385"/>
  <c r="CA41" i="42385"/>
  <c r="DC41" i="42385" s="1"/>
  <c r="CA43" i="42385"/>
  <c r="DC43" i="42385" s="1"/>
  <c r="CC1348" i="42385"/>
  <c r="BZ51" i="42385"/>
  <c r="DB51" i="42385" s="1"/>
  <c r="DB50" i="42385"/>
  <c r="BZ54" i="42385"/>
  <c r="BZ52" i="42385"/>
  <c r="DB52" i="42385" s="1"/>
  <c r="CA51" i="42385"/>
  <c r="DC51" i="42385" s="1"/>
  <c r="AL10" i="42476"/>
  <c r="AL9" i="42476"/>
  <c r="AM9" i="42476"/>
  <c r="BV1504" i="42385"/>
  <c r="BV68" i="42385"/>
  <c r="BZ1270" i="42385"/>
  <c r="DB1269" i="42385"/>
  <c r="CA1591" i="42385" l="1"/>
  <c r="DC1591" i="42385" s="1"/>
  <c r="CA1599" i="42385"/>
  <c r="DC1572" i="42385"/>
  <c r="CE1314" i="42385"/>
  <c r="BU68" i="42385"/>
  <c r="BV198" i="42385" s="1"/>
  <c r="BU1504" i="42385"/>
  <c r="BW1448" i="42385"/>
  <c r="BW1479" i="42385" s="1"/>
  <c r="BW1446" i="42385"/>
  <c r="BW1477" i="42385" s="1"/>
  <c r="BW1584" i="42385"/>
  <c r="BW1445" i="42385"/>
  <c r="BW1476" i="42385" s="1"/>
  <c r="BY55" i="42385"/>
  <c r="DA55" i="42385" s="1"/>
  <c r="BY1663" i="42385"/>
  <c r="BY56" i="42385"/>
  <c r="DA56" i="42385" s="1"/>
  <c r="DA54" i="42385"/>
  <c r="B31" i="42420"/>
  <c r="C74" i="42420"/>
  <c r="C75" i="42420" s="1"/>
  <c r="C79" i="42420" s="1"/>
  <c r="C82" i="42420" s="1"/>
  <c r="B75" i="42420"/>
  <c r="B79" i="42420" s="1"/>
  <c r="B82" i="42420" s="1"/>
  <c r="DA1569" i="42385"/>
  <c r="BY1572" i="42385"/>
  <c r="BY1272" i="42385"/>
  <c r="DA1272" i="42385" s="1"/>
  <c r="DA1270" i="42385"/>
  <c r="AK71" i="42476"/>
  <c r="AK74" i="42476" s="1"/>
  <c r="AK13" i="42476"/>
  <c r="AK14" i="42476"/>
  <c r="B29" i="42420"/>
  <c r="DA42" i="42385"/>
  <c r="BZ1564" i="42385"/>
  <c r="BZ1585" i="42385" s="1"/>
  <c r="DB1585" i="42385" s="1"/>
  <c r="BS79" i="42385"/>
  <c r="BS1278" i="42385"/>
  <c r="BX1585" i="42385"/>
  <c r="BX1583" i="42385"/>
  <c r="AJ34" i="42476"/>
  <c r="BX1660" i="42385"/>
  <c r="DB1402" i="42385"/>
  <c r="BZ107" i="42385"/>
  <c r="DB107" i="42385" s="1"/>
  <c r="BZ63" i="42385"/>
  <c r="BZ1280" i="42385"/>
  <c r="BZ1558" i="42385"/>
  <c r="DB1558" i="42385" s="1"/>
  <c r="BZ1557" i="42385"/>
  <c r="DB1557" i="42385" s="1"/>
  <c r="DB1556" i="42385"/>
  <c r="BT1600" i="42385"/>
  <c r="BT1601" i="42385" s="1"/>
  <c r="BT1602" i="42385" s="1"/>
  <c r="BT1603" i="42385"/>
  <c r="CZ1579" i="42385"/>
  <c r="BT1634" i="42385"/>
  <c r="CZ1634" i="42385" s="1"/>
  <c r="CE54" i="42385"/>
  <c r="CE65" i="42385"/>
  <c r="CE51" i="42385"/>
  <c r="CE52" i="42385"/>
  <c r="CA1553" i="42385"/>
  <c r="CA1556" i="42385" s="1"/>
  <c r="CA1320" i="42385"/>
  <c r="CA1393" i="42385" s="1"/>
  <c r="CA1402" i="42385" s="1"/>
  <c r="CC1594" i="42385"/>
  <c r="CC1595" i="42385" s="1"/>
  <c r="CC1599" i="42385"/>
  <c r="CC1583" i="42385"/>
  <c r="CC1586" i="42385"/>
  <c r="CC1587" i="42385" s="1"/>
  <c r="CC1591" i="42385"/>
  <c r="CC1592" i="42385" s="1"/>
  <c r="CE41" i="42385"/>
  <c r="CE42" i="42385"/>
  <c r="CE43" i="42385"/>
  <c r="BT1577" i="42385"/>
  <c r="CZ1577" i="42385" s="1"/>
  <c r="CZ1574" i="42385"/>
  <c r="CZ75" i="42385"/>
  <c r="CB1448" i="42385"/>
  <c r="CB1479" i="42385" s="1"/>
  <c r="CB1584" i="42385"/>
  <c r="CB1446" i="42385"/>
  <c r="CB1477" i="42385" s="1"/>
  <c r="CB1445" i="42385"/>
  <c r="CB1476" i="42385" s="1"/>
  <c r="BY1351" i="42385"/>
  <c r="DA1351" i="42385" s="1"/>
  <c r="DA1349" i="42385"/>
  <c r="BX1326" i="42385"/>
  <c r="BY1319" i="42385"/>
  <c r="CD1663" i="42385"/>
  <c r="CD197" i="42385"/>
  <c r="CD1569" i="42385"/>
  <c r="CD1572" i="42385" s="1"/>
  <c r="CD55" i="42385"/>
  <c r="CD56" i="42385"/>
  <c r="CF43" i="42385"/>
  <c r="CF42" i="42385"/>
  <c r="CF41" i="42385"/>
  <c r="CF65" i="42385"/>
  <c r="CF51" i="42385"/>
  <c r="CF54" i="42385"/>
  <c r="CF52" i="42385"/>
  <c r="BS1616" i="42385"/>
  <c r="BT76" i="42385"/>
  <c r="BT77" i="42385" s="1"/>
  <c r="CF1314" i="42385"/>
  <c r="DB1270" i="42385"/>
  <c r="BZ1272" i="42385"/>
  <c r="DB1272" i="42385" s="1"/>
  <c r="CD1348" i="42385"/>
  <c r="DB42" i="42385"/>
  <c r="C29" i="42420"/>
  <c r="BV1574" i="42385"/>
  <c r="BV1577" i="42385" s="1"/>
  <c r="DB1569" i="42385"/>
  <c r="BZ1572" i="42385"/>
  <c r="E30" i="42420"/>
  <c r="F30" i="42420"/>
  <c r="AL14" i="42476"/>
  <c r="AL13" i="42476"/>
  <c r="AL71" i="42476"/>
  <c r="AL74" i="42476" s="1"/>
  <c r="AM13" i="42476"/>
  <c r="BZ1319" i="42385"/>
  <c r="DB1406" i="42385"/>
  <c r="BZ1663" i="42385"/>
  <c r="DB54" i="42385"/>
  <c r="C31" i="42420"/>
  <c r="BZ55" i="42385"/>
  <c r="DB55" i="42385" s="1"/>
  <c r="BZ56" i="42385"/>
  <c r="DB56" i="42385" s="1"/>
  <c r="CA55" i="42385"/>
  <c r="DC55" i="42385" s="1"/>
  <c r="CA1595" i="42385"/>
  <c r="DC1595" i="42385" s="1"/>
  <c r="DC1594" i="42385"/>
  <c r="CA1592" i="42385" l="1"/>
  <c r="DC1592" i="42385" s="1"/>
  <c r="AL34" i="42476"/>
  <c r="DB1564" i="42385"/>
  <c r="BZ1660" i="42385"/>
  <c r="BU198" i="42385"/>
  <c r="BU1574" i="42385"/>
  <c r="BU1577" i="42385" s="1"/>
  <c r="BU1579" i="42385" s="1"/>
  <c r="BW1503" i="42385"/>
  <c r="BW1515" i="42385" s="1"/>
  <c r="BW1517" i="42385" s="1"/>
  <c r="BW1519" i="42385" s="1"/>
  <c r="BY1599" i="42385"/>
  <c r="BY1591" i="42385"/>
  <c r="DA1572" i="42385"/>
  <c r="BY1594" i="42385"/>
  <c r="CZ77" i="42385"/>
  <c r="BT79" i="42385"/>
  <c r="CD1586" i="42385"/>
  <c r="CD1587" i="42385" s="1"/>
  <c r="CD1599" i="42385"/>
  <c r="CD1594" i="42385"/>
  <c r="CD1595" i="42385" s="1"/>
  <c r="CD1591" i="42385"/>
  <c r="CD1592" i="42385" s="1"/>
  <c r="CD1583" i="42385"/>
  <c r="DA1319" i="42385"/>
  <c r="BY1326" i="42385"/>
  <c r="DA1326" i="42385" s="1"/>
  <c r="CB1503" i="42385"/>
  <c r="CA1558" i="42385"/>
  <c r="DC1558" i="42385" s="1"/>
  <c r="CA107" i="42385"/>
  <c r="DC107" i="42385" s="1"/>
  <c r="CA63" i="42385"/>
  <c r="CA1280" i="42385"/>
  <c r="DC1280" i="42385" s="1"/>
  <c r="CA1557" i="42385"/>
  <c r="DC1557" i="42385" s="1"/>
  <c r="DC1556" i="42385"/>
  <c r="CB1557" i="42385"/>
  <c r="CE1569" i="42385"/>
  <c r="CE1572" i="42385" s="1"/>
  <c r="CE1663" i="42385"/>
  <c r="CE197" i="42385"/>
  <c r="CE56" i="42385"/>
  <c r="CE55" i="42385"/>
  <c r="DB1280" i="42385"/>
  <c r="BZ1349" i="42385"/>
  <c r="BY1585" i="42385"/>
  <c r="DA1585" i="42385" s="1"/>
  <c r="BX1586" i="42385"/>
  <c r="CF197" i="42385"/>
  <c r="CF55" i="42385"/>
  <c r="CF1663" i="42385"/>
  <c r="CF1569" i="42385"/>
  <c r="CF1572" i="42385" s="1"/>
  <c r="CF56" i="42385"/>
  <c r="DB63" i="42385"/>
  <c r="BZ65" i="42385"/>
  <c r="DB65" i="42385" s="1"/>
  <c r="BT1278" i="42385"/>
  <c r="BS1617" i="42385"/>
  <c r="BT1617" i="42385" s="1"/>
  <c r="CZ1617" i="42385" s="1"/>
  <c r="BT1616" i="42385"/>
  <c r="CZ1616" i="42385" s="1"/>
  <c r="CC1448" i="42385"/>
  <c r="CC1479" i="42385" s="1"/>
  <c r="CC1445" i="42385"/>
  <c r="CC1476" i="42385" s="1"/>
  <c r="CC1584" i="42385"/>
  <c r="CC1446" i="42385"/>
  <c r="CC1477" i="42385" s="1"/>
  <c r="BS1642" i="42385"/>
  <c r="BS1421" i="42385"/>
  <c r="BT1418" i="42385"/>
  <c r="CZ76" i="42385"/>
  <c r="BT1514" i="42385"/>
  <c r="AF76" i="42476" s="1"/>
  <c r="AF75" i="42476" s="1"/>
  <c r="AF78" i="42476" s="1"/>
  <c r="AF81" i="42476" s="1"/>
  <c r="BS117" i="42385"/>
  <c r="BT117" i="42385" s="1"/>
  <c r="CZ117" i="42385" s="1"/>
  <c r="BT1287" i="42385"/>
  <c r="CZ1287" i="42385" s="1"/>
  <c r="CA1564" i="42385"/>
  <c r="DC1402" i="42385"/>
  <c r="CA1406" i="42385"/>
  <c r="CZ1603" i="42385"/>
  <c r="BT1604" i="42385"/>
  <c r="BY1583" i="42385"/>
  <c r="BX1445" i="42385"/>
  <c r="BX1476" i="42385" s="1"/>
  <c r="BX1448" i="42385"/>
  <c r="BX1479" i="42385" s="1"/>
  <c r="BY1479" i="42385" s="1"/>
  <c r="DA1479" i="42385" s="1"/>
  <c r="BX1584" i="42385"/>
  <c r="BX1446" i="42385"/>
  <c r="BX1477" i="42385" s="1"/>
  <c r="BY1477" i="42385" s="1"/>
  <c r="DA1477" i="42385" s="1"/>
  <c r="BS90" i="42385"/>
  <c r="BS1648" i="42385"/>
  <c r="BS1641" i="42385" s="1"/>
  <c r="BS92" i="42385"/>
  <c r="BZ1326" i="42385"/>
  <c r="DB1326" i="42385" s="1"/>
  <c r="DB1319" i="42385"/>
  <c r="E29" i="42420"/>
  <c r="C36" i="42420"/>
  <c r="C12" i="42420"/>
  <c r="BZ1594" i="42385"/>
  <c r="BZ1586" i="42385"/>
  <c r="BZ1599" i="42385"/>
  <c r="DB1572" i="42385"/>
  <c r="BZ1591" i="42385"/>
  <c r="E31" i="42420"/>
  <c r="F31" i="42420"/>
  <c r="CE1348" i="42385"/>
  <c r="BZ1583" i="42385"/>
  <c r="BV1579" i="42385" l="1"/>
  <c r="BU1603" i="42385"/>
  <c r="BU1604" i="42385" s="1"/>
  <c r="BU1605" i="42385" s="1"/>
  <c r="BU1600" i="42385"/>
  <c r="BU1601" i="42385" s="1"/>
  <c r="BU1602" i="42385" s="1"/>
  <c r="BU1634" i="42385"/>
  <c r="BY1592" i="42385"/>
  <c r="DA1592" i="42385" s="1"/>
  <c r="DA1591" i="42385"/>
  <c r="DA1594" i="42385"/>
  <c r="BY1595" i="42385"/>
  <c r="DA1595" i="42385" s="1"/>
  <c r="BW68" i="42385"/>
  <c r="BW1504" i="42385"/>
  <c r="BS1411" i="42385"/>
  <c r="BS1424" i="42385" s="1"/>
  <c r="BT1408" i="42385"/>
  <c r="BY1448" i="42385"/>
  <c r="DA1448" i="42385" s="1"/>
  <c r="DA1583" i="42385"/>
  <c r="BY1584" i="42385"/>
  <c r="DA1584" i="42385" s="1"/>
  <c r="BY1445" i="42385"/>
  <c r="DA1445" i="42385" s="1"/>
  <c r="BY1446" i="42385"/>
  <c r="DA1446" i="42385" s="1"/>
  <c r="AE42" i="42476"/>
  <c r="BS202" i="42385"/>
  <c r="CC1503" i="42385"/>
  <c r="CZ1278" i="42385"/>
  <c r="CA65" i="42385"/>
  <c r="DC65" i="42385" s="1"/>
  <c r="DC63" i="42385"/>
  <c r="BT90" i="42385"/>
  <c r="BT92" i="42385"/>
  <c r="CZ92" i="42385" s="1"/>
  <c r="BT1648" i="42385"/>
  <c r="CZ79" i="42385"/>
  <c r="BT1605" i="42385"/>
  <c r="CZ1605" i="42385" s="1"/>
  <c r="CZ1604" i="42385"/>
  <c r="CA1660" i="42385"/>
  <c r="AM34" i="42476"/>
  <c r="DC1564" i="42385"/>
  <c r="CA1585" i="42385"/>
  <c r="CA1583" i="42385"/>
  <c r="CF1586" i="42385"/>
  <c r="CF1587" i="42385" s="1"/>
  <c r="CF1583" i="42385"/>
  <c r="CF1591" i="42385"/>
  <c r="CF1592" i="42385" s="1"/>
  <c r="CF1594" i="42385"/>
  <c r="CF1595" i="42385" s="1"/>
  <c r="CF1599" i="42385"/>
  <c r="BX1587" i="42385"/>
  <c r="BY1586" i="42385"/>
  <c r="CE1599" i="42385"/>
  <c r="CE1594" i="42385"/>
  <c r="CE1595" i="42385" s="1"/>
  <c r="CE1591" i="42385"/>
  <c r="CE1592" i="42385" s="1"/>
  <c r="CE1586" i="42385"/>
  <c r="CE1587" i="42385" s="1"/>
  <c r="CE1583" i="42385"/>
  <c r="CD1445" i="42385"/>
  <c r="CD1476" i="42385" s="1"/>
  <c r="CD1446" i="42385"/>
  <c r="CD1477" i="42385" s="1"/>
  <c r="CD1584" i="42385"/>
  <c r="CD1448" i="42385"/>
  <c r="CD1479" i="42385" s="1"/>
  <c r="CB1504" i="42385"/>
  <c r="CB68" i="42385"/>
  <c r="BS106" i="42385"/>
  <c r="BS199" i="42385"/>
  <c r="BS93" i="42385"/>
  <c r="BS1620" i="42385"/>
  <c r="BS1627" i="42385" s="1"/>
  <c r="BS1628" i="42385" s="1"/>
  <c r="BX1503" i="42385"/>
  <c r="BX1515" i="42385" s="1"/>
  <c r="BX1517" i="42385" s="1"/>
  <c r="BX1519" i="42385" s="1"/>
  <c r="BY1519" i="42385" s="1"/>
  <c r="BY1476" i="42385"/>
  <c r="DC1406" i="42385"/>
  <c r="CA1319" i="42385"/>
  <c r="CB1319" i="42385"/>
  <c r="CB1326" i="42385" s="1"/>
  <c r="BT1642" i="42385"/>
  <c r="CZ1642" i="42385" s="1"/>
  <c r="CZ1418" i="42385"/>
  <c r="BT1421" i="42385"/>
  <c r="CA1349" i="42385"/>
  <c r="DB1349" i="42385"/>
  <c r="BZ1351" i="42385"/>
  <c r="DB1351" i="42385" s="1"/>
  <c r="BZ1584" i="42385"/>
  <c r="DB1584" i="42385" s="1"/>
  <c r="BZ1445" i="42385"/>
  <c r="DB1583" i="42385"/>
  <c r="BZ1448" i="42385"/>
  <c r="BZ1446" i="42385"/>
  <c r="BZ1592" i="42385"/>
  <c r="DB1592" i="42385" s="1"/>
  <c r="DB1591" i="42385"/>
  <c r="BZ1587" i="42385"/>
  <c r="DB1587" i="42385" s="1"/>
  <c r="DB1586" i="42385"/>
  <c r="C13" i="42420"/>
  <c r="D12" i="42420"/>
  <c r="CF1348" i="42385"/>
  <c r="DB1594" i="42385"/>
  <c r="BZ1595" i="42385"/>
  <c r="DB1595" i="42385" s="1"/>
  <c r="C37" i="42420"/>
  <c r="D36" i="42420"/>
  <c r="BV1600" i="42385" l="1"/>
  <c r="BV1601" i="42385" s="1"/>
  <c r="BV1602" i="42385" s="1"/>
  <c r="BV1634" i="42385"/>
  <c r="BV1603" i="42385"/>
  <c r="BV1604" i="42385" s="1"/>
  <c r="BV1605" i="42385" s="1"/>
  <c r="CD1503" i="42385"/>
  <c r="CD68" i="42385" s="1"/>
  <c r="BW1574" i="42385"/>
  <c r="BW1577" i="42385" s="1"/>
  <c r="BW1579" i="42385" s="1"/>
  <c r="BW198" i="42385"/>
  <c r="BS94" i="42385"/>
  <c r="BS1658" i="42385"/>
  <c r="AE20" i="42476"/>
  <c r="AE21" i="42476" s="1"/>
  <c r="CC1504" i="42385"/>
  <c r="CC68" i="42385"/>
  <c r="CZ1408" i="42385"/>
  <c r="BT1411" i="42385"/>
  <c r="BU1408" i="42385"/>
  <c r="BY1503" i="42385"/>
  <c r="BY1515" i="42385" s="1"/>
  <c r="BY1517" i="42385" s="1"/>
  <c r="DA1476" i="42385"/>
  <c r="BT199" i="42385"/>
  <c r="BT205" i="42385" s="1"/>
  <c r="BS205" i="42385"/>
  <c r="CE1584" i="42385"/>
  <c r="CE1448" i="42385"/>
  <c r="CE1479" i="42385" s="1"/>
  <c r="CE1446" i="42385"/>
  <c r="CE1477" i="42385" s="1"/>
  <c r="CE1445" i="42385"/>
  <c r="CE1476" i="42385" s="1"/>
  <c r="CA1448" i="42385"/>
  <c r="CA1445" i="42385"/>
  <c r="DC1583" i="42385"/>
  <c r="CA1446" i="42385"/>
  <c r="CA1584" i="42385"/>
  <c r="DC1584" i="42385" s="1"/>
  <c r="BT1641" i="42385"/>
  <c r="CZ1641" i="42385" s="1"/>
  <c r="CZ1648" i="42385"/>
  <c r="DC1349" i="42385"/>
  <c r="CA1351" i="42385"/>
  <c r="DC1351" i="42385" s="1"/>
  <c r="CB1349" i="42385"/>
  <c r="BX68" i="42385"/>
  <c r="BX1504" i="42385"/>
  <c r="DA1586" i="42385"/>
  <c r="BY1587" i="42385"/>
  <c r="DA1587" i="42385" s="1"/>
  <c r="DC1585" i="42385"/>
  <c r="CA1586" i="42385"/>
  <c r="BT202" i="42385"/>
  <c r="P18" i="42472"/>
  <c r="AF42" i="42476"/>
  <c r="CZ1421" i="42385"/>
  <c r="DC1319" i="42385"/>
  <c r="CA1326" i="42385"/>
  <c r="DC1326" i="42385" s="1"/>
  <c r="CB198" i="42385"/>
  <c r="CB1574" i="42385"/>
  <c r="CF1446" i="42385"/>
  <c r="CF1477" i="42385" s="1"/>
  <c r="CF1445" i="42385"/>
  <c r="CF1476" i="42385" s="1"/>
  <c r="CF1448" i="42385"/>
  <c r="CF1479" i="42385" s="1"/>
  <c r="CF1584" i="42385"/>
  <c r="BT93" i="42385"/>
  <c r="CZ90" i="42385"/>
  <c r="BT106" i="42385"/>
  <c r="BT1620" i="42385"/>
  <c r="P8" i="42472"/>
  <c r="P15" i="42472" s="1"/>
  <c r="F13" i="42420"/>
  <c r="D13" i="42420"/>
  <c r="C14" i="42420"/>
  <c r="DB1445" i="42385"/>
  <c r="BZ1476" i="42385"/>
  <c r="DB1446" i="42385"/>
  <c r="BZ1477" i="42385"/>
  <c r="DB1477" i="42385" s="1"/>
  <c r="F37" i="42420"/>
  <c r="C38" i="42420"/>
  <c r="BZ1479" i="42385"/>
  <c r="DB1479" i="42385" s="1"/>
  <c r="DB1448" i="42385"/>
  <c r="CF1503" i="42385" l="1"/>
  <c r="CF68" i="42385" s="1"/>
  <c r="CF198" i="42385" s="1"/>
  <c r="CD1504" i="42385"/>
  <c r="BW1603" i="42385"/>
  <c r="BW1604" i="42385" s="1"/>
  <c r="BW1605" i="42385" s="1"/>
  <c r="BW1600" i="42385"/>
  <c r="BW1601" i="42385" s="1"/>
  <c r="BW1602" i="42385" s="1"/>
  <c r="BW1634" i="42385"/>
  <c r="CB1579" i="42385"/>
  <c r="CB1577" i="42385"/>
  <c r="BX1574" i="42385"/>
  <c r="BX1577" i="42385" s="1"/>
  <c r="BX1579" i="42385" s="1"/>
  <c r="BX198" i="42385"/>
  <c r="BY198" i="42385" s="1"/>
  <c r="BY68" i="42385"/>
  <c r="DA1503" i="42385"/>
  <c r="BY1504" i="42385"/>
  <c r="DA1504" i="42385" s="1"/>
  <c r="CD198" i="42385"/>
  <c r="CD1574" i="42385"/>
  <c r="AF20" i="42476"/>
  <c r="BT1658" i="42385"/>
  <c r="CZ93" i="42385"/>
  <c r="BT94" i="42385"/>
  <c r="CZ94" i="42385" s="1"/>
  <c r="CC1349" i="42385"/>
  <c r="CB1351" i="42385"/>
  <c r="DC1445" i="42385"/>
  <c r="CA1476" i="42385"/>
  <c r="CE1503" i="42385"/>
  <c r="CC1574" i="42385"/>
  <c r="CC198" i="42385"/>
  <c r="CZ1620" i="42385"/>
  <c r="BT1627" i="42385"/>
  <c r="DC1586" i="42385"/>
  <c r="CA1587" i="42385"/>
  <c r="DC1587" i="42385" s="1"/>
  <c r="DC1448" i="42385"/>
  <c r="CA1479" i="42385"/>
  <c r="DC1479" i="42385" s="1"/>
  <c r="BU1411" i="42385"/>
  <c r="BV1408" i="42385"/>
  <c r="CZ106" i="42385"/>
  <c r="DC1446" i="42385"/>
  <c r="CA1477" i="42385"/>
  <c r="DC1477" i="42385" s="1"/>
  <c r="CZ1411" i="42385"/>
  <c r="P21" i="42472"/>
  <c r="P22" i="42472" s="1"/>
  <c r="P24" i="42472" s="1"/>
  <c r="BT1424" i="42385"/>
  <c r="CZ1424" i="42385" s="1"/>
  <c r="D38" i="42420"/>
  <c r="H35" i="42420"/>
  <c r="F38" i="42420"/>
  <c r="BZ1503" i="42385"/>
  <c r="DB1476" i="42385"/>
  <c r="H11" i="42420"/>
  <c r="F14" i="42420"/>
  <c r="D14" i="42420"/>
  <c r="BZ1515" i="42385" l="1"/>
  <c r="BZ1517" i="42385" s="1"/>
  <c r="BZ1519" i="42385" s="1"/>
  <c r="EO519" i="42492"/>
  <c r="CF1574" i="42385"/>
  <c r="CF1577" i="42385" s="1"/>
  <c r="CF1504" i="42385"/>
  <c r="BV1411" i="42385"/>
  <c r="BW1408" i="42385"/>
  <c r="CZ1627" i="42385"/>
  <c r="BT1628" i="42385"/>
  <c r="CZ1628" i="42385" s="1"/>
  <c r="CC1577" i="42385"/>
  <c r="CC1579" i="42385"/>
  <c r="BY1574" i="42385"/>
  <c r="DA68" i="42385"/>
  <c r="CB1603" i="42385"/>
  <c r="CB1604" i="42385" s="1"/>
  <c r="CB1605" i="42385" s="1"/>
  <c r="CB1634" i="42385"/>
  <c r="CB1600" i="42385"/>
  <c r="CB1601" i="42385" s="1"/>
  <c r="CB1602" i="42385" s="1"/>
  <c r="CE68" i="42385"/>
  <c r="CE1504" i="42385"/>
  <c r="CC1351" i="42385"/>
  <c r="CD1349" i="42385"/>
  <c r="AF22" i="42476"/>
  <c r="AF21" i="42476"/>
  <c r="CA1503" i="42385"/>
  <c r="CA1515" i="42385" s="1"/>
  <c r="CA1517" i="42385" s="1"/>
  <c r="CA1519" i="42385" s="1"/>
  <c r="DC1476" i="42385"/>
  <c r="CD1579" i="42385"/>
  <c r="CD1577" i="42385"/>
  <c r="BX1603" i="42385"/>
  <c r="BX1604" i="42385" s="1"/>
  <c r="BX1605" i="42385" s="1"/>
  <c r="BX1634" i="42385"/>
  <c r="BY1579" i="42385"/>
  <c r="BX1600" i="42385"/>
  <c r="BX1601" i="42385" s="1"/>
  <c r="BX1602" i="42385" s="1"/>
  <c r="H24" i="42420"/>
  <c r="L24" i="42420" s="1"/>
  <c r="I11" i="42420"/>
  <c r="I18" i="42420"/>
  <c r="J18" i="42420" s="1"/>
  <c r="Q12" i="42420"/>
  <c r="Q13" i="42420"/>
  <c r="R12" i="42420"/>
  <c r="R13" i="42420"/>
  <c r="S12" i="42420"/>
  <c r="S13" i="42420"/>
  <c r="DB1503" i="42385"/>
  <c r="BZ1504" i="42385"/>
  <c r="DB1504" i="42385" s="1"/>
  <c r="BZ68" i="42385"/>
  <c r="H48" i="42420"/>
  <c r="L48" i="42420" s="1"/>
  <c r="I35" i="42420"/>
  <c r="Q37" i="42420"/>
  <c r="I42" i="42420"/>
  <c r="J42" i="42420" s="1"/>
  <c r="Q38" i="42420"/>
  <c r="R37" i="42420"/>
  <c r="R38" i="42420"/>
  <c r="S37" i="42420"/>
  <c r="S38" i="42420"/>
  <c r="CF1579" i="42385" l="1"/>
  <c r="CF1634" i="42385" s="1"/>
  <c r="BY1603" i="42385"/>
  <c r="DA1579" i="42385"/>
  <c r="BY1634" i="42385"/>
  <c r="DA1634" i="42385" s="1"/>
  <c r="BY1600" i="42385"/>
  <c r="BY1601" i="42385" s="1"/>
  <c r="BY1602" i="42385" s="1"/>
  <c r="CD1603" i="42385"/>
  <c r="CD1604" i="42385" s="1"/>
  <c r="CD1605" i="42385" s="1"/>
  <c r="CD1600" i="42385"/>
  <c r="CD1601" i="42385" s="1"/>
  <c r="CD1602" i="42385" s="1"/>
  <c r="CD1634" i="42385"/>
  <c r="CE198" i="42385"/>
  <c r="CE1574" i="42385"/>
  <c r="CE1349" i="42385"/>
  <c r="CD1351" i="42385"/>
  <c r="CA1504" i="42385"/>
  <c r="DC1504" i="42385" s="1"/>
  <c r="CA68" i="42385"/>
  <c r="DC1503" i="42385"/>
  <c r="DA1574" i="42385"/>
  <c r="BY1577" i="42385"/>
  <c r="DA1577" i="42385" s="1"/>
  <c r="CC1600" i="42385"/>
  <c r="CC1601" i="42385" s="1"/>
  <c r="CC1602" i="42385" s="1"/>
  <c r="CC1634" i="42385"/>
  <c r="CC1603" i="42385"/>
  <c r="CC1604" i="42385" s="1"/>
  <c r="CC1605" i="42385" s="1"/>
  <c r="BX1408" i="42385"/>
  <c r="BW1411" i="42385"/>
  <c r="DB68" i="42385"/>
  <c r="BZ198" i="42385"/>
  <c r="BZ1574" i="42385"/>
  <c r="J11" i="42420"/>
  <c r="J24" i="42420" s="1"/>
  <c r="I24" i="42420"/>
  <c r="J35" i="42420"/>
  <c r="J48" i="42420" s="1"/>
  <c r="I48" i="42420"/>
  <c r="M48" i="42420" s="1"/>
  <c r="N48" i="42420" s="1"/>
  <c r="CF1603" i="42385" l="1"/>
  <c r="CF1604" i="42385" s="1"/>
  <c r="CF1605" i="42385" s="1"/>
  <c r="CF1600" i="42385"/>
  <c r="CF1601" i="42385" s="1"/>
  <c r="CF1602" i="42385" s="1"/>
  <c r="M24" i="42420"/>
  <c r="N24" i="42420" s="1"/>
  <c r="DC68" i="42385"/>
  <c r="CA198" i="42385"/>
  <c r="CA1574" i="42385"/>
  <c r="BY1408" i="42385"/>
  <c r="BX1411" i="42385"/>
  <c r="CF1349" i="42385"/>
  <c r="CF1351" i="42385" s="1"/>
  <c r="CE1351" i="42385"/>
  <c r="CE1577" i="42385"/>
  <c r="CE1579" i="42385"/>
  <c r="BY1604" i="42385"/>
  <c r="DA1603" i="42385"/>
  <c r="BZ1579" i="42385"/>
  <c r="DB1574" i="42385"/>
  <c r="BZ1577" i="42385"/>
  <c r="DB1577" i="42385" s="1"/>
  <c r="CE1600" i="42385" l="1"/>
  <c r="CE1601" i="42385" s="1"/>
  <c r="CE1602" i="42385" s="1"/>
  <c r="CE1603" i="42385"/>
  <c r="CE1604" i="42385" s="1"/>
  <c r="CE1605" i="42385" s="1"/>
  <c r="CE1634" i="42385"/>
  <c r="BZ1408" i="42385"/>
  <c r="DA1408" i="42385"/>
  <c r="BY1411" i="42385"/>
  <c r="DA1411" i="42385" s="1"/>
  <c r="DC1574" i="42385"/>
  <c r="CA1577" i="42385"/>
  <c r="DC1577" i="42385" s="1"/>
  <c r="CA1579" i="42385"/>
  <c r="DA1604" i="42385"/>
  <c r="BY1605" i="42385"/>
  <c r="DA1605" i="42385" s="1"/>
  <c r="BZ1603" i="42385"/>
  <c r="DB1579" i="42385"/>
  <c r="BZ1600" i="42385"/>
  <c r="BZ1601" i="42385" s="1"/>
  <c r="BZ1602" i="42385" s="1"/>
  <c r="BZ1634" i="42385"/>
  <c r="DB1634" i="42385" s="1"/>
  <c r="DB1408" i="42385" l="1"/>
  <c r="BZ1411" i="42385"/>
  <c r="DB1411" i="42385" s="1"/>
  <c r="CA1408" i="42385"/>
  <c r="DC1579" i="42385"/>
  <c r="CA1600" i="42385"/>
  <c r="CA1601" i="42385" s="1"/>
  <c r="CA1602" i="42385" s="1"/>
  <c r="CA1603" i="42385"/>
  <c r="CA1634" i="42385"/>
  <c r="DC1634" i="42385" s="1"/>
  <c r="DB1603" i="42385"/>
  <c r="BZ1604" i="42385"/>
  <c r="CB1408" i="42385" l="1"/>
  <c r="DC1408" i="42385"/>
  <c r="CA1411" i="42385"/>
  <c r="DC1411" i="42385" s="1"/>
  <c r="DC1603" i="42385"/>
  <c r="CA1604" i="42385"/>
  <c r="BZ1605" i="42385"/>
  <c r="DB1605" i="42385" s="1"/>
  <c r="DB1604" i="42385"/>
  <c r="CA1605" i="42385" l="1"/>
  <c r="DC1605" i="42385" s="1"/>
  <c r="DC1604" i="42385"/>
  <c r="CC1408" i="42385"/>
  <c r="CB1411" i="42385"/>
  <c r="CD1408" i="42385" l="1"/>
  <c r="CC1411" i="42385"/>
  <c r="CD1411" i="42385" l="1"/>
  <c r="CE1408" i="42385"/>
  <c r="CF1408" i="42385" l="1"/>
  <c r="CF1411" i="42385" s="1"/>
  <c r="CE1411" i="42385"/>
  <c r="BT1172" i="42385" l="1"/>
  <c r="CZ1172" i="42385" s="1"/>
  <c r="BS110" i="42385"/>
  <c r="BS114" i="42385" s="1"/>
  <c r="BT1284" i="42385"/>
  <c r="BT110" i="42385" s="1"/>
  <c r="BS1301" i="42385"/>
  <c r="BS1330" i="42385" s="1"/>
  <c r="BS1333" i="42385" s="1"/>
  <c r="BS1339" i="42385" s="1"/>
  <c r="BS1565" i="42385" s="1"/>
  <c r="BT1353" i="42385"/>
  <c r="BS1567" i="42385" l="1"/>
  <c r="BS1631" i="42385" s="1"/>
  <c r="BS1661" i="42385"/>
  <c r="BS1632" i="42385"/>
  <c r="BT1301" i="42385"/>
  <c r="CZ1301" i="42385" s="1"/>
  <c r="BU1353" i="42385"/>
  <c r="CZ1353" i="42385"/>
  <c r="BT1364" i="42385"/>
  <c r="CZ1364" i="42385" s="1"/>
  <c r="AE35" i="42476"/>
  <c r="AE36" i="42476" s="1"/>
  <c r="BS1346" i="42385"/>
  <c r="BT1339" i="42385"/>
  <c r="BS1364" i="42385"/>
  <c r="CZ1284" i="42385"/>
  <c r="BT114" i="42385"/>
  <c r="CZ110" i="42385"/>
  <c r="BS120" i="42385"/>
  <c r="BS122" i="42385"/>
  <c r="BT1330" i="42385" l="1"/>
  <c r="CZ1330" i="42385" s="1"/>
  <c r="AE38" i="42476"/>
  <c r="AE40" i="42476"/>
  <c r="AE48" i="42476"/>
  <c r="AE50" i="42476" s="1"/>
  <c r="BS121" i="42385"/>
  <c r="BS1656" i="42385"/>
  <c r="CZ114" i="42385"/>
  <c r="BT120" i="42385"/>
  <c r="BT122" i="42385"/>
  <c r="AF35" i="42476"/>
  <c r="AF36" i="42476" s="1"/>
  <c r="BT1346" i="42385"/>
  <c r="CZ1339" i="42385"/>
  <c r="BT1565" i="42385"/>
  <c r="BS1366" i="42385"/>
  <c r="BV1353" i="42385"/>
  <c r="BU1364" i="42385"/>
  <c r="BT1333" i="42385" l="1"/>
  <c r="BU1332" i="42385" s="1"/>
  <c r="BV1364" i="42385"/>
  <c r="BW1353" i="42385"/>
  <c r="BT1366" i="42385"/>
  <c r="CZ1346" i="42385"/>
  <c r="BS201" i="42385"/>
  <c r="BS1426" i="42385"/>
  <c r="AF38" i="42476"/>
  <c r="AF40" i="42476"/>
  <c r="G43" i="42408"/>
  <c r="K53" i="42408" s="1"/>
  <c r="CZ1565" i="42385"/>
  <c r="BT1632" i="42385"/>
  <c r="CZ1632" i="42385" s="1"/>
  <c r="BT1567" i="42385"/>
  <c r="BT1661" i="42385"/>
  <c r="CZ120" i="42385"/>
  <c r="AF48" i="42476"/>
  <c r="AF50" i="42476" s="1"/>
  <c r="BT121" i="42385"/>
  <c r="CZ121" i="42385" s="1"/>
  <c r="BT123" i="42385"/>
  <c r="CZ123" i="42385" s="1"/>
  <c r="BT1656" i="42385"/>
  <c r="CZ1333" i="42385" l="1"/>
  <c r="BY1332" i="42385"/>
  <c r="DA1332" i="42385" s="1"/>
  <c r="CZ1567" i="42385"/>
  <c r="BT1631" i="42385"/>
  <c r="CZ1631" i="42385" s="1"/>
  <c r="BT201" i="42385"/>
  <c r="CZ1366" i="42385"/>
  <c r="BT1426" i="42385"/>
  <c r="CZ1426" i="42385" s="1"/>
  <c r="BX1353" i="42385"/>
  <c r="BW1364" i="42385"/>
  <c r="BS207" i="42385"/>
  <c r="BS206" i="42385"/>
  <c r="BS212" i="42385"/>
  <c r="BY1353" i="42385" l="1"/>
  <c r="BX1364" i="42385"/>
  <c r="BS211" i="42385"/>
  <c r="BS209" i="42385"/>
  <c r="BT206" i="42385"/>
  <c r="BT212" i="42385"/>
  <c r="BT207" i="42385"/>
  <c r="BT209" i="42385" l="1"/>
  <c r="BT211" i="42385"/>
  <c r="BZ1353" i="42385"/>
  <c r="DA1353" i="42385"/>
  <c r="BY1364" i="42385"/>
  <c r="DA1364" i="42385" s="1"/>
  <c r="BZ1364" i="42385" l="1"/>
  <c r="DB1364" i="42385" s="1"/>
  <c r="CA1353" i="42385"/>
  <c r="DB1353" i="42385"/>
  <c r="CB1353" i="42385" l="1"/>
  <c r="DC1353" i="42385"/>
  <c r="CA1364" i="42385"/>
  <c r="DC1364" i="42385" s="1"/>
  <c r="CC1353" i="42385" l="1"/>
  <c r="CB1364" i="42385"/>
  <c r="CD1353" i="42385" l="1"/>
  <c r="CC1364" i="42385"/>
  <c r="CD1364" i="42385" l="1"/>
  <c r="CE1353" i="42385"/>
  <c r="CF1353" i="42385" l="1"/>
  <c r="CF1364" i="42385" s="1"/>
  <c r="CE1364" i="42385"/>
  <c r="BT300" i="42385"/>
  <c r="BT318" i="42385" s="1"/>
  <c r="CZ300" i="42385"/>
  <c r="BX318" i="42385"/>
  <c r="BS1166" i="42385"/>
  <c r="BS300" i="42385" s="1"/>
  <c r="BS1168" i="42385"/>
  <c r="BX1168" i="42385"/>
  <c r="BS1177" i="42385"/>
  <c r="BS1178" i="42385" s="1"/>
  <c r="BS1180" i="42385"/>
  <c r="BS1183" i="42385" s="1"/>
  <c r="BS1184" i="42385" s="1"/>
  <c r="BS1181" i="42385"/>
  <c r="BS1187" i="42385"/>
  <c r="BS303" i="42385" l="1"/>
  <c r="BT303" i="42385" s="1"/>
  <c r="BT305" i="42385" s="1"/>
  <c r="BT314" i="42385" s="1"/>
  <c r="BS318" i="42385"/>
  <c r="BS1167" i="42385"/>
  <c r="BT315" i="42385" l="1"/>
  <c r="CZ315" i="42385" s="1"/>
  <c r="BT317" i="42385"/>
  <c r="BY315" i="42385"/>
  <c r="DA315" i="42385" s="1"/>
  <c r="BY317" i="42385"/>
  <c r="CZ314" i="42385"/>
  <c r="BT316" i="42385"/>
  <c r="CZ316" i="42385" s="1"/>
  <c r="BT1647" i="42385"/>
  <c r="CZ1647" i="42385" s="1"/>
  <c r="BS305" i="42385"/>
  <c r="BS314" i="42385" s="1"/>
  <c r="BS317" i="42385" l="1"/>
  <c r="BX315" i="42385"/>
  <c r="BS316" i="42385"/>
  <c r="BX317" i="42385"/>
  <c r="BS1647" i="42385"/>
  <c r="BS315" i="42385"/>
  <c r="BR1228" i="42385" l="1"/>
  <c r="BS1228" i="42385"/>
  <c r="BT1228" i="42385" s="1"/>
  <c r="BT1227" i="42385"/>
  <c r="G41" i="42408" l="1"/>
  <c r="G44" i="42408" s="1"/>
  <c r="K52" i="42408" l="1"/>
  <c r="G46" i="42408"/>
  <c r="G48" i="42408" s="1"/>
  <c r="G50" i="42408" l="1"/>
  <c r="B67" i="42476"/>
  <c r="BU1228" i="42385"/>
  <c r="BU67" i="42385"/>
  <c r="AG44" i="42476" s="1"/>
  <c r="AG45" i="42476" s="1"/>
  <c r="BU75" i="42385" l="1"/>
  <c r="BU76" i="42385" l="1"/>
  <c r="BU1616" i="42385" l="1"/>
  <c r="BU77" i="42385"/>
  <c r="BU79" i="42385" l="1"/>
  <c r="BU1418" i="42385"/>
  <c r="BU1278" i="42385"/>
  <c r="BU1617" i="42385"/>
  <c r="BU1301" i="42385" l="1"/>
  <c r="BU1330" i="42385" s="1"/>
  <c r="BU1333" i="42385" s="1"/>
  <c r="BU1421" i="42385"/>
  <c r="BU1642" i="42385"/>
  <c r="BU1648" i="42385"/>
  <c r="BU1641" i="42385" s="1"/>
  <c r="BU90" i="42385"/>
  <c r="BU92" i="42385"/>
  <c r="BU1424" i="42385" l="1"/>
  <c r="AG42" i="42476"/>
  <c r="BU202" i="42385"/>
  <c r="BU199" i="42385"/>
  <c r="BU205" i="42385" s="1"/>
  <c r="BU93" i="42385"/>
  <c r="BU106" i="42385"/>
  <c r="BU114" i="42385" s="1"/>
  <c r="BU1620" i="42385"/>
  <c r="BU1627" i="42385" s="1"/>
  <c r="BU1628" i="42385" s="1"/>
  <c r="BU1339" i="42385"/>
  <c r="BV1332" i="42385"/>
  <c r="BU122" i="42385" l="1"/>
  <c r="BU120" i="42385"/>
  <c r="BU1658" i="42385"/>
  <c r="BU94" i="42385"/>
  <c r="AG20" i="42476"/>
  <c r="AG21" i="42476" s="1"/>
  <c r="BU1346" i="42385"/>
  <c r="BU1366" i="42385" s="1"/>
  <c r="AG35" i="42476"/>
  <c r="AG36" i="42476" s="1"/>
  <c r="BU1565" i="42385"/>
  <c r="AG40" i="42476" l="1"/>
  <c r="AG38" i="42476"/>
  <c r="BU121" i="42385"/>
  <c r="BU1656" i="42385"/>
  <c r="AG48" i="42476"/>
  <c r="AG50" i="42476" s="1"/>
  <c r="BU201" i="42385"/>
  <c r="BU1426" i="42385"/>
  <c r="BU1632" i="42385"/>
  <c r="BU1661" i="42385"/>
  <c r="BU1567" i="42385"/>
  <c r="BU1631" i="42385" s="1"/>
  <c r="BU207" i="42385" l="1"/>
  <c r="BU206" i="42385"/>
  <c r="BU212" i="42385"/>
  <c r="BU211" i="42385" l="1"/>
  <c r="BU209" i="42385"/>
  <c r="BV1228" i="42385"/>
  <c r="BV67" i="42385" s="1"/>
  <c r="AH44" i="42476" l="1"/>
  <c r="AH45" i="42476" s="1"/>
  <c r="BV75" i="42385"/>
  <c r="BV76" i="42385" l="1"/>
  <c r="BV1616" i="42385" l="1"/>
  <c r="BV77" i="42385"/>
  <c r="BV79" i="42385" l="1"/>
  <c r="BV1418" i="42385"/>
  <c r="BV1278" i="42385"/>
  <c r="BV1617" i="42385"/>
  <c r="BV90" i="42385" l="1"/>
  <c r="BV92" i="42385"/>
  <c r="BV1648" i="42385"/>
  <c r="BV1641" i="42385" s="1"/>
  <c r="BV1301" i="42385"/>
  <c r="BV1330" i="42385" s="1"/>
  <c r="BV1333" i="42385" s="1"/>
  <c r="BV1642" i="42385"/>
  <c r="BV1421" i="42385"/>
  <c r="BV1339" i="42385" l="1"/>
  <c r="BW1332" i="42385"/>
  <c r="BV106" i="42385"/>
  <c r="BV114" i="42385" s="1"/>
  <c r="BV199" i="42385"/>
  <c r="BV205" i="42385" s="1"/>
  <c r="BV93" i="42385"/>
  <c r="BV1620" i="42385"/>
  <c r="BV1627" i="42385" s="1"/>
  <c r="BV1628" i="42385" s="1"/>
  <c r="BV202" i="42385"/>
  <c r="BV1424" i="42385"/>
  <c r="AH42" i="42476"/>
  <c r="BV120" i="42385" l="1"/>
  <c r="BV122" i="42385"/>
  <c r="BV1565" i="42385"/>
  <c r="AH35" i="42476"/>
  <c r="AH36" i="42476" s="1"/>
  <c r="BV1346" i="42385"/>
  <c r="BV1366" i="42385" s="1"/>
  <c r="BV1658" i="42385"/>
  <c r="BV94" i="42385"/>
  <c r="AH20" i="42476"/>
  <c r="AH21" i="42476" s="1"/>
  <c r="BV1661" i="42385" l="1"/>
  <c r="BV1632" i="42385"/>
  <c r="BV1567" i="42385"/>
  <c r="BV1631" i="42385" s="1"/>
  <c r="BV201" i="42385"/>
  <c r="BV1426" i="42385"/>
  <c r="BV1656" i="42385"/>
  <c r="BV121" i="42385"/>
  <c r="AH48" i="42476"/>
  <c r="AH50" i="42476" s="1"/>
  <c r="AH38" i="42476"/>
  <c r="AH40" i="42476"/>
  <c r="BV206" i="42385" l="1"/>
  <c r="BV207" i="42385"/>
  <c r="BV212" i="42385"/>
  <c r="BV209" i="42385" l="1"/>
  <c r="BV211" i="42385"/>
  <c r="BW1228" i="42385"/>
  <c r="BW67" i="42385" l="1"/>
  <c r="AI44" i="42476" l="1"/>
  <c r="AI45" i="42476" s="1"/>
  <c r="BW75" i="42385"/>
  <c r="BW76" i="42385" l="1"/>
  <c r="BW77" i="42385" s="1"/>
  <c r="BW1418" i="42385" l="1"/>
  <c r="BW79" i="42385"/>
  <c r="BW1278" i="42385"/>
  <c r="BW1616" i="42385"/>
  <c r="BW1421" i="42385" l="1"/>
  <c r="BW1642" i="42385"/>
  <c r="BW1617" i="42385"/>
  <c r="BW1301" i="42385"/>
  <c r="BW1330" i="42385" s="1"/>
  <c r="BW1333" i="42385" s="1"/>
  <c r="BW92" i="42385"/>
  <c r="BW1648" i="42385"/>
  <c r="BW1641" i="42385" s="1"/>
  <c r="BW90" i="42385"/>
  <c r="BW199" i="42385" l="1"/>
  <c r="BW205" i="42385" s="1"/>
  <c r="BW106" i="42385"/>
  <c r="BW114" i="42385" s="1"/>
  <c r="BW93" i="42385"/>
  <c r="BW1620" i="42385"/>
  <c r="BW1627" i="42385" s="1"/>
  <c r="BW1628" i="42385" s="1"/>
  <c r="BW202" i="42385"/>
  <c r="AI42" i="42476"/>
  <c r="BW1424" i="42385"/>
  <c r="BX1332" i="42385"/>
  <c r="BW1339" i="42385"/>
  <c r="BW94" i="42385" l="1"/>
  <c r="BW1658" i="42385"/>
  <c r="AI20" i="42476"/>
  <c r="AI21" i="42476" s="1"/>
  <c r="BW1346" i="42385"/>
  <c r="BW1366" i="42385" s="1"/>
  <c r="AI35" i="42476"/>
  <c r="AI36" i="42476" s="1"/>
  <c r="BW1565" i="42385"/>
  <c r="BW122" i="42385"/>
  <c r="BW120" i="42385"/>
  <c r="BW1661" i="42385" l="1"/>
  <c r="BW1632" i="42385"/>
  <c r="BW1567" i="42385"/>
  <c r="BW1631" i="42385" s="1"/>
  <c r="AI38" i="42476"/>
  <c r="AI40" i="42476"/>
  <c r="BW1656" i="42385"/>
  <c r="BW121" i="42385"/>
  <c r="AI48" i="42476"/>
  <c r="AI50" i="42476" s="1"/>
  <c r="BW201" i="42385"/>
  <c r="BW1426" i="42385"/>
  <c r="BW207" i="42385" l="1"/>
  <c r="BW206" i="42385"/>
  <c r="BW212" i="42385"/>
  <c r="BW211" i="42385" l="1"/>
  <c r="BW209" i="42385"/>
  <c r="BY1227" i="42385"/>
  <c r="BX1228" i="42385"/>
  <c r="BY1228" i="42385" l="1"/>
  <c r="BX67" i="42385"/>
  <c r="AJ44" i="42476" l="1"/>
  <c r="AJ45" i="42476" s="1"/>
  <c r="BY67" i="42385"/>
  <c r="BX75" i="42385"/>
  <c r="BX76" i="42385" l="1"/>
  <c r="AK80" i="42476"/>
  <c r="DA67" i="42385"/>
  <c r="AK44" i="42476"/>
  <c r="AK45" i="42476" s="1"/>
  <c r="BY75" i="42385"/>
  <c r="DA75" i="42385" l="1"/>
  <c r="BY76" i="42385"/>
  <c r="BX1616" i="42385"/>
  <c r="BX77" i="42385"/>
  <c r="BX1617" i="42385" l="1"/>
  <c r="BY1617" i="42385" s="1"/>
  <c r="DA1617" i="42385" s="1"/>
  <c r="BY1616" i="42385"/>
  <c r="DA76" i="42385"/>
  <c r="BY1514" i="42385"/>
  <c r="BY77" i="42385"/>
  <c r="BX1418" i="42385"/>
  <c r="BX79" i="42385"/>
  <c r="BX1278" i="42385"/>
  <c r="BZ1514" i="42385" l="1"/>
  <c r="AK76" i="42476"/>
  <c r="AK75" i="42476" s="1"/>
  <c r="AK78" i="42476" s="1"/>
  <c r="AK81" i="42476" s="1"/>
  <c r="BX1301" i="42385"/>
  <c r="BX1330" i="42385" s="1"/>
  <c r="BX1333" i="42385" s="1"/>
  <c r="BX1339" i="42385" s="1"/>
  <c r="BY1278" i="42385"/>
  <c r="BX92" i="42385"/>
  <c r="BX1648" i="42385"/>
  <c r="BX1641" i="42385" s="1"/>
  <c r="BX90" i="42385"/>
  <c r="BX1421" i="42385"/>
  <c r="BX1642" i="42385"/>
  <c r="BY1418" i="42385"/>
  <c r="BZ1616" i="42385"/>
  <c r="DA1616" i="42385"/>
  <c r="DA77" i="42385"/>
  <c r="BY79" i="42385"/>
  <c r="BX1346" i="42385" l="1"/>
  <c r="BX1366" i="42385" s="1"/>
  <c r="BX1565" i="42385"/>
  <c r="AJ35" i="42476"/>
  <c r="AJ36" i="42476" s="1"/>
  <c r="BY1339" i="42385"/>
  <c r="DB1616" i="42385"/>
  <c r="CA1616" i="42385"/>
  <c r="BX93" i="42385"/>
  <c r="BX1620" i="42385"/>
  <c r="BX1627" i="42385" s="1"/>
  <c r="BX1628" i="42385" s="1"/>
  <c r="BX199" i="42385"/>
  <c r="BX106" i="42385"/>
  <c r="BX114" i="42385" s="1"/>
  <c r="BY1648" i="42385"/>
  <c r="DA79" i="42385"/>
  <c r="BY92" i="42385"/>
  <c r="DA92" i="42385" s="1"/>
  <c r="BY90" i="42385"/>
  <c r="BY1642" i="42385"/>
  <c r="DA1642" i="42385" s="1"/>
  <c r="BY1421" i="42385"/>
  <c r="DA1418" i="42385"/>
  <c r="CA1514" i="42385"/>
  <c r="AL76" i="42476"/>
  <c r="AL75" i="42476" s="1"/>
  <c r="AL78" i="42476" s="1"/>
  <c r="BX1424" i="42385"/>
  <c r="BX202" i="42385"/>
  <c r="AJ42" i="42476"/>
  <c r="DA1278" i="42385"/>
  <c r="BY1301" i="42385"/>
  <c r="BY202" i="42385" l="1"/>
  <c r="BY1424" i="42385"/>
  <c r="DA1424" i="42385" s="1"/>
  <c r="AK42" i="42476"/>
  <c r="DA1421" i="42385"/>
  <c r="DA1339" i="42385"/>
  <c r="AK35" i="42476"/>
  <c r="AK36" i="42476" s="1"/>
  <c r="BY1346" i="42385"/>
  <c r="BY1565" i="42385"/>
  <c r="AM76" i="42476"/>
  <c r="AM75" i="42476" s="1"/>
  <c r="AM78" i="42476" s="1"/>
  <c r="CB1514" i="42385"/>
  <c r="DA1648" i="42385"/>
  <c r="BY1641" i="42385"/>
  <c r="DA1641" i="42385" s="1"/>
  <c r="AJ20" i="42476"/>
  <c r="AJ21" i="42476" s="1"/>
  <c r="BX94" i="42385"/>
  <c r="BX1658" i="42385"/>
  <c r="AJ40" i="42476"/>
  <c r="AJ38" i="42476"/>
  <c r="DA1301" i="42385"/>
  <c r="BY1330" i="42385"/>
  <c r="DA90" i="42385"/>
  <c r="BY1620" i="42385"/>
  <c r="BY106" i="42385"/>
  <c r="BY93" i="42385"/>
  <c r="BX122" i="42385"/>
  <c r="BX120" i="42385"/>
  <c r="DC1616" i="42385"/>
  <c r="CB1616" i="42385"/>
  <c r="CC1616" i="42385" s="1"/>
  <c r="CD1616" i="42385" s="1"/>
  <c r="CE1616" i="42385" s="1"/>
  <c r="CF1616" i="42385" s="1"/>
  <c r="BX1632" i="42385"/>
  <c r="BX1567" i="42385"/>
  <c r="BX1631" i="42385" s="1"/>
  <c r="BX1661" i="42385"/>
  <c r="BX205" i="42385"/>
  <c r="BY199" i="42385"/>
  <c r="BY205" i="42385" s="1"/>
  <c r="BX1426" i="42385"/>
  <c r="BX201" i="42385"/>
  <c r="DA1346" i="42385" l="1"/>
  <c r="BY1366" i="42385"/>
  <c r="BY1658" i="42385"/>
  <c r="AK20" i="42476"/>
  <c r="DA93" i="42385"/>
  <c r="BY94" i="42385"/>
  <c r="DA94" i="42385" s="1"/>
  <c r="AK38" i="42476"/>
  <c r="AK40" i="42476"/>
  <c r="BX212" i="42385"/>
  <c r="BX207" i="42385"/>
  <c r="BX206" i="42385"/>
  <c r="DA106" i="42385"/>
  <c r="BY114" i="42385"/>
  <c r="DA1330" i="42385"/>
  <c r="BY1333" i="42385"/>
  <c r="BX121" i="42385"/>
  <c r="BX1656" i="42385"/>
  <c r="AJ48" i="42476"/>
  <c r="AJ50" i="42476" s="1"/>
  <c r="BY1627" i="42385"/>
  <c r="DA1620" i="42385"/>
  <c r="CC1514" i="42385"/>
  <c r="DA1565" i="42385"/>
  <c r="BY1632" i="42385"/>
  <c r="DA1632" i="42385" s="1"/>
  <c r="BY1661" i="42385"/>
  <c r="H43" i="42408"/>
  <c r="H44" i="42408" s="1"/>
  <c r="H46" i="42408" s="1"/>
  <c r="H48" i="42408" s="1"/>
  <c r="BY1567" i="42385"/>
  <c r="BX209" i="42385" l="1"/>
  <c r="H50" i="42408"/>
  <c r="K24" i="42420"/>
  <c r="K48" i="42420"/>
  <c r="B53" i="42420"/>
  <c r="E54" i="42420" s="1"/>
  <c r="CD1514" i="42385"/>
  <c r="BY1628" i="42385"/>
  <c r="DA1628" i="42385" s="1"/>
  <c r="DA1627" i="42385"/>
  <c r="DA1333" i="42385"/>
  <c r="BZ1332" i="42385"/>
  <c r="AK22" i="42476"/>
  <c r="AK21" i="42476"/>
  <c r="DA114" i="42385"/>
  <c r="BY122" i="42385"/>
  <c r="BY120" i="42385"/>
  <c r="BX211" i="42385"/>
  <c r="DA1366" i="42385"/>
  <c r="BY201" i="42385"/>
  <c r="BY1426" i="42385"/>
  <c r="DA1426" i="42385" s="1"/>
  <c r="DA1567" i="42385"/>
  <c r="BY1631" i="42385"/>
  <c r="DA1631" i="42385" s="1"/>
  <c r="DB1332" i="42385" l="1"/>
  <c r="CE1514" i="42385"/>
  <c r="B68" i="42476"/>
  <c r="B55" i="42420"/>
  <c r="E53" i="42420" s="1"/>
  <c r="B66" i="42476"/>
  <c r="B54" i="42420"/>
  <c r="E55" i="42420" s="1"/>
  <c r="BY207" i="42385"/>
  <c r="BY206" i="42385"/>
  <c r="BY212" i="42385"/>
  <c r="BY1656" i="42385"/>
  <c r="BY121" i="42385"/>
  <c r="DA121" i="42385" s="1"/>
  <c r="AK48" i="42476"/>
  <c r="AK50" i="42476" s="1"/>
  <c r="DA120" i="42385"/>
  <c r="BY123" i="42385"/>
  <c r="DA123" i="42385" s="1"/>
  <c r="BY211" i="42385" l="1"/>
  <c r="BY209" i="42385"/>
  <c r="CF1514" i="42385"/>
  <c r="BZ1228" i="42385"/>
  <c r="BZ67" i="42385" s="1"/>
  <c r="DB67" i="42385" l="1"/>
  <c r="AL44" i="42476"/>
  <c r="AL45" i="42476" s="1"/>
  <c r="AL80" i="42476"/>
  <c r="AL81" i="42476" s="1"/>
  <c r="BZ75" i="42385"/>
  <c r="DB75" i="42385" l="1"/>
  <c r="BZ76" i="42385"/>
  <c r="BZ77" i="42385" s="1"/>
  <c r="DB77" i="42385" l="1"/>
  <c r="BZ79" i="42385"/>
  <c r="BZ1418" i="42385"/>
  <c r="BZ1278" i="42385"/>
  <c r="EO520" i="42492"/>
  <c r="EO523" i="42492" s="1"/>
  <c r="DB76" i="42385"/>
  <c r="BZ1617" i="42385"/>
  <c r="DB1617" i="42385" s="1"/>
  <c r="DB1278" i="42385" l="1"/>
  <c r="BZ1301" i="42385"/>
  <c r="BZ1642" i="42385"/>
  <c r="DB1642" i="42385" s="1"/>
  <c r="DB1418" i="42385"/>
  <c r="BZ1421" i="42385"/>
  <c r="BZ92" i="42385"/>
  <c r="DB92" i="42385" s="1"/>
  <c r="DB79" i="42385"/>
  <c r="BZ1648" i="42385"/>
  <c r="BZ90" i="42385"/>
  <c r="DB90" i="42385" l="1"/>
  <c r="BZ93" i="42385"/>
  <c r="BZ1620" i="42385"/>
  <c r="BZ199" i="42385"/>
  <c r="BZ205" i="42385" s="1"/>
  <c r="BZ106" i="42385"/>
  <c r="DB1301" i="42385"/>
  <c r="BZ1330" i="42385"/>
  <c r="DB1648" i="42385"/>
  <c r="BZ1641" i="42385"/>
  <c r="DB1641" i="42385" s="1"/>
  <c r="DB1421" i="42385"/>
  <c r="BZ202" i="42385"/>
  <c r="AL42" i="42476"/>
  <c r="BZ1424" i="42385"/>
  <c r="DB1424" i="42385" s="1"/>
  <c r="DB1330" i="42385" l="1"/>
  <c r="BZ1333" i="42385"/>
  <c r="AL20" i="42476"/>
  <c r="BZ94" i="42385"/>
  <c r="DB94" i="42385" s="1"/>
  <c r="BZ1658" i="42385"/>
  <c r="DB93" i="42385"/>
  <c r="DB1620" i="42385"/>
  <c r="BZ1627" i="42385"/>
  <c r="BZ114" i="42385"/>
  <c r="DB106" i="42385"/>
  <c r="DB114" i="42385" l="1"/>
  <c r="BZ120" i="42385"/>
  <c r="BZ122" i="42385"/>
  <c r="DB1333" i="42385"/>
  <c r="BZ1339" i="42385"/>
  <c r="CA1332" i="42385"/>
  <c r="AL21" i="42476"/>
  <c r="AL22" i="42476"/>
  <c r="DB1627" i="42385"/>
  <c r="BZ1628" i="42385"/>
  <c r="DB1628" i="42385" s="1"/>
  <c r="DC1332" i="42385" l="1"/>
  <c r="DB120" i="42385"/>
  <c r="BZ1656" i="42385"/>
  <c r="AL48" i="42476"/>
  <c r="AL50" i="42476" s="1"/>
  <c r="BZ123" i="42385"/>
  <c r="DB123" i="42385" s="1"/>
  <c r="BZ121" i="42385"/>
  <c r="DB121" i="42385" s="1"/>
  <c r="AL35" i="42476"/>
  <c r="AL36" i="42476" s="1"/>
  <c r="BZ1565" i="42385"/>
  <c r="DB1339" i="42385"/>
  <c r="BZ1346" i="42385"/>
  <c r="BZ1366" i="42385" l="1"/>
  <c r="DB1346" i="42385"/>
  <c r="AL38" i="42476"/>
  <c r="AL40" i="42476"/>
  <c r="DB1565" i="42385"/>
  <c r="BZ1661" i="42385"/>
  <c r="BZ1567" i="42385"/>
  <c r="DB1567" i="42385" l="1"/>
  <c r="BZ1631" i="42385"/>
  <c r="DB1631" i="42385" s="1"/>
  <c r="DB1366" i="42385"/>
  <c r="BZ201" i="42385"/>
  <c r="BZ1426" i="42385"/>
  <c r="DB1426" i="42385" s="1"/>
  <c r="BZ212" i="42385" l="1"/>
  <c r="BZ206" i="42385"/>
  <c r="BZ207" i="42385"/>
  <c r="BZ211" i="42385" l="1"/>
  <c r="BZ209" i="42385"/>
  <c r="CB1227" i="42385"/>
  <c r="CC1227" i="42385" s="1"/>
  <c r="CB1228" i="42385"/>
  <c r="CB1229" i="42385" s="1"/>
  <c r="CA1228" i="42385"/>
  <c r="CA67" i="42385" s="1"/>
  <c r="DC67" i="42385" l="1"/>
  <c r="AM44" i="42476"/>
  <c r="AM45" i="42476" s="1"/>
  <c r="AM80" i="42476"/>
  <c r="AM81" i="42476" s="1"/>
  <c r="CA75" i="42385"/>
  <c r="CB1341" i="42385"/>
  <c r="CD1227" i="42385"/>
  <c r="CC1228" i="42385"/>
  <c r="CC1229" i="42385" s="1"/>
  <c r="CB1289" i="42385" l="1"/>
  <c r="CB115" i="42385" s="1"/>
  <c r="CC1341" i="42385"/>
  <c r="CA76" i="42385"/>
  <c r="DC75" i="42385"/>
  <c r="CE1227" i="42385"/>
  <c r="CD1228" i="42385"/>
  <c r="CD1229" i="42385" s="1"/>
  <c r="CE1229" i="42385" l="1"/>
  <c r="CF1229" i="42385" s="1"/>
  <c r="CF1227" i="42385"/>
  <c r="CF1228" i="42385" s="1"/>
  <c r="CE1228" i="42385"/>
  <c r="CD1341" i="42385"/>
  <c r="CD1289" i="42385" s="1"/>
  <c r="CD115" i="42385" s="1"/>
  <c r="CC1289" i="42385"/>
  <c r="CC115" i="42385" s="1"/>
  <c r="DC76" i="42385"/>
  <c r="CA1617" i="42385"/>
  <c r="DC1617" i="42385" s="1"/>
  <c r="CA77" i="42385"/>
  <c r="CE1289" i="42385" l="1"/>
  <c r="CE115" i="42385" s="1"/>
  <c r="CE1341" i="42385"/>
  <c r="CA79" i="42385"/>
  <c r="DC77" i="42385"/>
  <c r="CA1418" i="42385"/>
  <c r="CA1278" i="42385"/>
  <c r="CA1642" i="42385" l="1"/>
  <c r="DC1642" i="42385" s="1"/>
  <c r="CA1421" i="42385"/>
  <c r="DC1418" i="42385"/>
  <c r="CA92" i="42385"/>
  <c r="DC92" i="42385" s="1"/>
  <c r="CA90" i="42385"/>
  <c r="DC79" i="42385"/>
  <c r="CA1648" i="42385"/>
  <c r="DC1278" i="42385"/>
  <c r="CA1301" i="42385"/>
  <c r="CF1341" i="42385"/>
  <c r="CF1289" i="42385" s="1"/>
  <c r="CF115" i="42385" s="1"/>
  <c r="CA1641" i="42385" l="1"/>
  <c r="DC1641" i="42385" s="1"/>
  <c r="DC1648" i="42385"/>
  <c r="DC1301" i="42385"/>
  <c r="CA1330" i="42385"/>
  <c r="DC90" i="42385"/>
  <c r="CA1620" i="42385"/>
  <c r="CA199" i="42385"/>
  <c r="CA205" i="42385" s="1"/>
  <c r="CA93" i="42385"/>
  <c r="CA106" i="42385"/>
  <c r="CA202" i="42385"/>
  <c r="CA1424" i="42385"/>
  <c r="DC1424" i="42385" s="1"/>
  <c r="AM42" i="42476"/>
  <c r="DC1421" i="42385"/>
  <c r="CA114" i="42385" l="1"/>
  <c r="DC106" i="42385"/>
  <c r="DC93" i="42385"/>
  <c r="AM20" i="42476"/>
  <c r="CA1658" i="42385"/>
  <c r="CA94" i="42385"/>
  <c r="DC94" i="42385" s="1"/>
  <c r="DC1330" i="42385"/>
  <c r="CA1333" i="42385"/>
  <c r="DC1620" i="42385"/>
  <c r="CA1627" i="42385"/>
  <c r="DC1627" i="42385" l="1"/>
  <c r="CA1628" i="42385"/>
  <c r="DC1628" i="42385" s="1"/>
  <c r="AM22" i="42476"/>
  <c r="AM21" i="42476"/>
  <c r="DC114" i="42385"/>
  <c r="CA120" i="42385"/>
  <c r="CA122" i="42385"/>
  <c r="CA1339" i="42385"/>
  <c r="DC1333" i="42385"/>
  <c r="CB1332" i="42385"/>
  <c r="CB67" i="42385"/>
  <c r="CB75" i="42385" s="1"/>
  <c r="DC1339" i="42385" l="1"/>
  <c r="CA1565" i="42385"/>
  <c r="CA1346" i="42385"/>
  <c r="AM35" i="42476"/>
  <c r="AM36" i="42476" s="1"/>
  <c r="CB76" i="42385"/>
  <c r="CB1617" i="42385" s="1"/>
  <c r="CB77" i="42385"/>
  <c r="CA1656" i="42385"/>
  <c r="CA123" i="42385"/>
  <c r="DC123" i="42385" s="1"/>
  <c r="DC120" i="42385"/>
  <c r="AM48" i="42476"/>
  <c r="AM50" i="42476" s="1"/>
  <c r="CA121" i="42385"/>
  <c r="DC121" i="42385" s="1"/>
  <c r="CA1366" i="42385" l="1"/>
  <c r="DC1346" i="42385"/>
  <c r="AM38" i="42476"/>
  <c r="AM40" i="42476"/>
  <c r="CA1567" i="42385"/>
  <c r="CA1661" i="42385"/>
  <c r="DC1565" i="42385"/>
  <c r="CB79" i="42385"/>
  <c r="CB1278" i="42385"/>
  <c r="CB1301" i="42385" s="1"/>
  <c r="CB1330" i="42385" s="1"/>
  <c r="CB1333" i="42385" s="1"/>
  <c r="CB1418" i="42385"/>
  <c r="CB1339" i="42385" l="1"/>
  <c r="CC1332" i="42385"/>
  <c r="CC67" i="42385"/>
  <c r="CC75" i="42385" s="1"/>
  <c r="DC1567" i="42385"/>
  <c r="CA1631" i="42385"/>
  <c r="DC1631" i="42385" s="1"/>
  <c r="CA201" i="42385"/>
  <c r="CA1426" i="42385"/>
  <c r="DC1426" i="42385" s="1"/>
  <c r="DC1366" i="42385"/>
  <c r="CB92" i="42385"/>
  <c r="CB1648" i="42385"/>
  <c r="CB1641" i="42385" s="1"/>
  <c r="CB90" i="42385"/>
  <c r="CB1421" i="42385"/>
  <c r="CB1642" i="42385"/>
  <c r="CB1346" i="42385" l="1"/>
  <c r="CB1366" i="42385" s="1"/>
  <c r="CB1565" i="42385"/>
  <c r="CB93" i="42385"/>
  <c r="CB106" i="42385"/>
  <c r="CB114" i="42385" s="1"/>
  <c r="CB199" i="42385"/>
  <c r="CB205" i="42385" s="1"/>
  <c r="CB1620" i="42385"/>
  <c r="CB1627" i="42385" s="1"/>
  <c r="CB1628" i="42385" s="1"/>
  <c r="CA212" i="42385"/>
  <c r="CA206" i="42385"/>
  <c r="CA207" i="42385"/>
  <c r="CC76" i="42385"/>
  <c r="CC1617" i="42385" s="1"/>
  <c r="CB1424" i="42385"/>
  <c r="CB202" i="42385"/>
  <c r="CC77" i="42385" l="1"/>
  <c r="CA211" i="42385"/>
  <c r="CA209" i="42385"/>
  <c r="CB120" i="42385"/>
  <c r="CB122" i="42385"/>
  <c r="CB1426" i="42385"/>
  <c r="CB201" i="42385"/>
  <c r="CC79" i="42385"/>
  <c r="CC1278" i="42385"/>
  <c r="CC1301" i="42385" s="1"/>
  <c r="CC1330" i="42385" s="1"/>
  <c r="CC1333" i="42385" s="1"/>
  <c r="CC1418" i="42385"/>
  <c r="CB1658" i="42385"/>
  <c r="CB94" i="42385"/>
  <c r="CB1567" i="42385"/>
  <c r="CB1631" i="42385" s="1"/>
  <c r="CB1661" i="42385"/>
  <c r="CB212" i="42385" l="1"/>
  <c r="CB206" i="42385"/>
  <c r="CB207" i="42385"/>
  <c r="CC1421" i="42385"/>
  <c r="CC1642" i="42385"/>
  <c r="CB121" i="42385"/>
  <c r="CB123" i="42385" s="1"/>
  <c r="CB1656" i="42385"/>
  <c r="CC1339" i="42385"/>
  <c r="CD1332" i="42385"/>
  <c r="CD67" i="42385"/>
  <c r="CD75" i="42385" s="1"/>
  <c r="CC1648" i="42385"/>
  <c r="CC1641" i="42385" s="1"/>
  <c r="CC90" i="42385"/>
  <c r="CC92" i="42385"/>
  <c r="CC199" i="42385" l="1"/>
  <c r="CC205" i="42385" s="1"/>
  <c r="CC93" i="42385"/>
  <c r="CC1620" i="42385"/>
  <c r="CC1627" i="42385" s="1"/>
  <c r="CC1628" i="42385" s="1"/>
  <c r="CC106" i="42385"/>
  <c r="CC114" i="42385" s="1"/>
  <c r="CC1346" i="42385"/>
  <c r="CC1366" i="42385" s="1"/>
  <c r="CC1565" i="42385"/>
  <c r="CC1424" i="42385"/>
  <c r="CC202" i="42385"/>
  <c r="CD76" i="42385"/>
  <c r="CD1617" i="42385" s="1"/>
  <c r="CD77" i="42385"/>
  <c r="CB209" i="42385"/>
  <c r="CB211" i="42385"/>
  <c r="CC1426" i="42385" l="1"/>
  <c r="CC201" i="42385"/>
  <c r="CC122" i="42385"/>
  <c r="CC120" i="42385"/>
  <c r="CD79" i="42385"/>
  <c r="CD1278" i="42385"/>
  <c r="CD1301" i="42385" s="1"/>
  <c r="CD1330" i="42385" s="1"/>
  <c r="CD1333" i="42385" s="1"/>
  <c r="CD1418" i="42385"/>
  <c r="CC1661" i="42385"/>
  <c r="CC1567" i="42385"/>
  <c r="CC1631" i="42385" s="1"/>
  <c r="CC1658" i="42385"/>
  <c r="CC94" i="42385"/>
  <c r="CD1339" i="42385" l="1"/>
  <c r="CE1332" i="42385"/>
  <c r="CE67" i="42385"/>
  <c r="CE75" i="42385" s="1"/>
  <c r="CC207" i="42385"/>
  <c r="CC212" i="42385"/>
  <c r="CC206" i="42385"/>
  <c r="CC121" i="42385"/>
  <c r="CC123" i="42385" s="1"/>
  <c r="CC1656" i="42385"/>
  <c r="CD92" i="42385"/>
  <c r="CD1648" i="42385"/>
  <c r="CD1641" i="42385" s="1"/>
  <c r="CD90" i="42385"/>
  <c r="CD1421" i="42385"/>
  <c r="CD1642" i="42385"/>
  <c r="CD1565" i="42385" l="1"/>
  <c r="CD1346" i="42385"/>
  <c r="CD1366" i="42385" s="1"/>
  <c r="CD1424" i="42385"/>
  <c r="CD202" i="42385"/>
  <c r="CD106" i="42385"/>
  <c r="CD114" i="42385" s="1"/>
  <c r="CD93" i="42385"/>
  <c r="CD199" i="42385"/>
  <c r="CD205" i="42385" s="1"/>
  <c r="CD1620" i="42385"/>
  <c r="CD1627" i="42385" s="1"/>
  <c r="CD1628" i="42385" s="1"/>
  <c r="CE76" i="42385"/>
  <c r="CE1617" i="42385" s="1"/>
  <c r="CC209" i="42385"/>
  <c r="CC211" i="42385"/>
  <c r="CD1661" i="42385" l="1"/>
  <c r="CD1567" i="42385"/>
  <c r="CD1631" i="42385" s="1"/>
  <c r="CD1658" i="42385"/>
  <c r="CD94" i="42385"/>
  <c r="CE77" i="42385"/>
  <c r="CD122" i="42385"/>
  <c r="CD120" i="42385"/>
  <c r="CD1426" i="42385"/>
  <c r="CD201" i="42385"/>
  <c r="CE1278" i="42385" l="1"/>
  <c r="CE1301" i="42385" s="1"/>
  <c r="CE1330" i="42385" s="1"/>
  <c r="CE1333" i="42385" s="1"/>
  <c r="CE79" i="42385"/>
  <c r="CE1418" i="42385"/>
  <c r="CD1656" i="42385"/>
  <c r="CD121" i="42385"/>
  <c r="CD123" i="42385" s="1"/>
  <c r="CD207" i="42385"/>
  <c r="CD206" i="42385"/>
  <c r="CD212" i="42385"/>
  <c r="CF1332" i="42385" l="1"/>
  <c r="CE1339" i="42385"/>
  <c r="CF67" i="42385"/>
  <c r="CF75" i="42385" s="1"/>
  <c r="CD209" i="42385"/>
  <c r="CD211" i="42385"/>
  <c r="CE1642" i="42385"/>
  <c r="CE1421" i="42385"/>
  <c r="CE1648" i="42385"/>
  <c r="CE1641" i="42385" s="1"/>
  <c r="CE92" i="42385"/>
  <c r="CE90" i="42385"/>
  <c r="CE1620" i="42385" l="1"/>
  <c r="CE1627" i="42385" s="1"/>
  <c r="CE1628" i="42385" s="1"/>
  <c r="CE106" i="42385"/>
  <c r="CE114" i="42385" s="1"/>
  <c r="CE93" i="42385"/>
  <c r="CE199" i="42385"/>
  <c r="CE205" i="42385" s="1"/>
  <c r="CF76" i="42385"/>
  <c r="CF1617" i="42385" s="1"/>
  <c r="CE1424" i="42385"/>
  <c r="CE202" i="42385"/>
  <c r="CE1346" i="42385"/>
  <c r="CE1366" i="42385" s="1"/>
  <c r="CE1565" i="42385"/>
  <c r="CE94" i="42385" l="1"/>
  <c r="CE1658" i="42385"/>
  <c r="CE1661" i="42385"/>
  <c r="CE1567" i="42385"/>
  <c r="CE1631" i="42385" s="1"/>
  <c r="CE1426" i="42385"/>
  <c r="CE201" i="42385"/>
  <c r="CF77" i="42385"/>
  <c r="CE122" i="42385"/>
  <c r="CE120" i="42385"/>
  <c r="CE206" i="42385" l="1"/>
  <c r="CE212" i="42385"/>
  <c r="CE207" i="42385"/>
  <c r="CE1656" i="42385"/>
  <c r="CE121" i="42385"/>
  <c r="CE123" i="42385" s="1"/>
  <c r="CF79" i="42385"/>
  <c r="CF1278" i="42385"/>
  <c r="CF1301" i="42385" s="1"/>
  <c r="CF1330" i="42385" s="1"/>
  <c r="CF1333" i="42385" s="1"/>
  <c r="CF1339" i="42385" s="1"/>
  <c r="CF1418" i="42385"/>
  <c r="CE209" i="42385" l="1"/>
  <c r="CE211" i="42385"/>
  <c r="CF1642" i="42385"/>
  <c r="CF1421" i="42385"/>
  <c r="CF1346" i="42385"/>
  <c r="CF1366" i="42385" s="1"/>
  <c r="CF1565" i="42385"/>
  <c r="CF92" i="42385"/>
  <c r="CF1648" i="42385"/>
  <c r="CF1641" i="42385" s="1"/>
  <c r="CF90" i="42385"/>
  <c r="CF1426" i="42385" l="1"/>
  <c r="CF201" i="42385"/>
  <c r="CF1424" i="42385"/>
  <c r="CF202" i="42385"/>
  <c r="CF1620" i="42385"/>
  <c r="CF1627" i="42385" s="1"/>
  <c r="CF1628" i="42385" s="1"/>
  <c r="CF93" i="42385"/>
  <c r="CF106" i="42385"/>
  <c r="CF114" i="42385" s="1"/>
  <c r="CF199" i="42385"/>
  <c r="CF205" i="42385" s="1"/>
  <c r="CF1661" i="42385"/>
  <c r="CF1567" i="42385"/>
  <c r="CF1631" i="42385" s="1"/>
  <c r="CF120" i="42385" l="1"/>
  <c r="CF122" i="42385"/>
  <c r="CF94" i="42385"/>
  <c r="CF1658" i="42385"/>
  <c r="CF206" i="42385"/>
  <c r="CF209" i="42385" s="1"/>
  <c r="CF207" i="42385"/>
  <c r="CF212" i="42385"/>
  <c r="CF211" i="42385" l="1"/>
  <c r="CF121" i="42385"/>
  <c r="CF123" i="42385" s="1"/>
  <c r="CF1656" i="42385"/>
</calcChain>
</file>

<file path=xl/comments1.xml><?xml version="1.0" encoding="utf-8"?>
<comments xmlns="http://schemas.openxmlformats.org/spreadsheetml/2006/main">
  <authors>
    <author>Savino, Mark (Research)</author>
    <author>AM: 11/8/11</author>
    <author>AM: 2/2/12</author>
    <author>AM: 4/19/12</author>
    <author>AM: 7/24/12</author>
    <author>shahviv</author>
    <author>AM: 11/16/12</author>
    <author>Zheng, Chaodan (Research)</author>
    <author>Allen, Thomas (Research)</author>
    <author>stramark</author>
    <author>danfuss</author>
    <author>AM: 2/1/12</author>
    <author>savinmar</author>
    <author>urbankev</author>
    <author>AM: 2/02/11</author>
    <author>AM: 2/22/12</author>
    <author>AM: 10/16/12</author>
    <author>thallen</author>
    <author>Celeste Brown</author>
    <author>AM: 10/18/12</author>
    <author>AM: 10/21/10</author>
    <author>AM: 2/03/11</author>
    <author>AM: 4/21/11</author>
    <author>AM: 7/21/11</author>
    <author>Chris Metli</author>
    <author>Thallen</author>
    <author>ancsan</author>
    <author>AM: 3/01/11</author>
    <author>AM: 5/3/11</author>
    <author>Charles Dan</author>
    <author>Tammannavar, Sunil (Research)</author>
    <author>AM: 6/27/11</author>
    <author>AM: 5/3/12</author>
    <author>Mendiratta, Divya (Research)</author>
    <author>Kumar S, Ajay (Research)</author>
    <author>DJF 11/3/2011</author>
    <author>pathaman</author>
    <author>makam</author>
    <author>Shukla, Sindhuja (Research)</author>
    <author>jennwu</author>
    <author>Celeste Mellet Brown</author>
    <author>sunilt</author>
  </authors>
  <commentList>
    <comment ref="BH10" authorId="0">
      <text>
        <r>
          <rPr>
            <b/>
            <sz val="9"/>
            <color indexed="81"/>
            <rFont val="Tahoma"/>
            <family val="2"/>
          </rPr>
          <t>Savino, Mark (Research):</t>
        </r>
        <r>
          <rPr>
            <sz val="9"/>
            <color indexed="81"/>
            <rFont val="Tahoma"/>
            <family val="2"/>
          </rPr>
          <t xml:space="preserve">
Includes partial qtr of Tropicana which closed on 8/25</t>
        </r>
      </text>
    </comment>
    <comment ref="BI11" authorId="0">
      <text>
        <r>
          <rPr>
            <b/>
            <sz val="9"/>
            <color indexed="81"/>
            <rFont val="Tahoma"/>
            <family val="2"/>
          </rPr>
          <t>Savino, Mark (Research):</t>
        </r>
        <r>
          <rPr>
            <sz val="9"/>
            <color indexed="81"/>
            <rFont val="Tahoma"/>
            <family val="2"/>
          </rPr>
          <t xml:space="preserve">
Includes Prairie State Gaming</t>
        </r>
      </text>
    </comment>
    <comment ref="BM13" authorId="0">
      <text>
        <r>
          <rPr>
            <b/>
            <sz val="9"/>
            <color indexed="81"/>
            <rFont val="Tahoma"/>
            <family val="2"/>
          </rPr>
          <t>Savino, Mark (Research):</t>
        </r>
        <r>
          <rPr>
            <sz val="9"/>
            <color indexed="81"/>
            <rFont val="Tahoma"/>
            <family val="2"/>
          </rPr>
          <t xml:space="preserve">
Reflects Rocket Games acquisition</t>
        </r>
      </text>
    </comment>
    <comment ref="AO14" authorId="1">
      <text>
        <r>
          <rPr>
            <b/>
            <sz val="8"/>
            <color indexed="81"/>
            <rFont val="Tahoma"/>
            <family val="2"/>
          </rPr>
          <t>AM: 11/8/11:</t>
        </r>
        <r>
          <rPr>
            <sz val="8"/>
            <color indexed="81"/>
            <rFont val="Tahoma"/>
            <family val="2"/>
          </rPr>
          <t xml:space="preserve">
Guidance of $671.1m</t>
        </r>
      </text>
    </comment>
    <comment ref="AQ14" authorId="2">
      <text>
        <r>
          <rPr>
            <b/>
            <sz val="8"/>
            <color indexed="81"/>
            <rFont val="Tahoma"/>
            <family val="2"/>
          </rPr>
          <t>AM: 2/2/12:</t>
        </r>
        <r>
          <rPr>
            <sz val="8"/>
            <color indexed="81"/>
            <rFont val="Tahoma"/>
            <family val="2"/>
          </rPr>
          <t xml:space="preserve">
Per 4Q11 release, guidance of $683m</t>
        </r>
      </text>
    </comment>
    <comment ref="AR14" authorId="3">
      <text>
        <r>
          <rPr>
            <b/>
            <sz val="8"/>
            <color indexed="81"/>
            <rFont val="Tahoma"/>
            <family val="2"/>
          </rPr>
          <t>AM: 4/19/12:</t>
        </r>
        <r>
          <rPr>
            <sz val="8"/>
            <color indexed="81"/>
            <rFont val="Tahoma"/>
            <family val="2"/>
          </rPr>
          <t xml:space="preserve">
Guidance of $711m</t>
        </r>
      </text>
    </comment>
    <comment ref="AS14" authorId="4">
      <text>
        <r>
          <rPr>
            <b/>
            <sz val="8"/>
            <color indexed="81"/>
            <rFont val="Tahoma"/>
            <family val="2"/>
          </rPr>
          <t>AM: 7/24/12:</t>
        </r>
        <r>
          <rPr>
            <sz val="8"/>
            <color indexed="81"/>
            <rFont val="Tahoma"/>
            <family val="2"/>
          </rPr>
          <t xml:space="preserve">
Guidance of $699.3m</t>
        </r>
      </text>
    </comment>
    <comment ref="AT14" authorId="4">
      <text>
        <r>
          <rPr>
            <b/>
            <sz val="8"/>
            <color indexed="81"/>
            <rFont val="Tahoma"/>
            <family val="2"/>
          </rPr>
          <t xml:space="preserve">AM: 7/24/12:
</t>
        </r>
        <r>
          <rPr>
            <sz val="8"/>
            <color indexed="81"/>
            <rFont val="Tahoma"/>
            <family val="2"/>
          </rPr>
          <t>$782.4m guidance (incl 2 months of STL acquisition).</t>
        </r>
        <r>
          <rPr>
            <b/>
            <sz val="8"/>
            <color indexed="81"/>
            <rFont val="Tahoma"/>
            <family val="2"/>
          </rPr>
          <t xml:space="preserve">
AM: 7/24/12:</t>
        </r>
        <r>
          <rPr>
            <sz val="8"/>
            <color indexed="81"/>
            <rFont val="Tahoma"/>
            <family val="2"/>
          </rPr>
          <t xml:space="preserve">
Implied guidance of $726m (excl STL acquistion).</t>
        </r>
      </text>
    </comment>
    <comment ref="AU14" authorId="2">
      <text>
        <r>
          <rPr>
            <b/>
            <sz val="8"/>
            <color indexed="81"/>
            <rFont val="Tahoma"/>
            <family val="2"/>
          </rPr>
          <t xml:space="preserve">AM: 10/18/12:
</t>
        </r>
        <r>
          <rPr>
            <sz val="8"/>
            <color indexed="81"/>
            <rFont val="Tahoma"/>
            <family val="2"/>
          </rPr>
          <t xml:space="preserve">Guidance of $2938.1m (incl 2 months of STL). </t>
        </r>
        <r>
          <rPr>
            <b/>
            <sz val="8"/>
            <color indexed="81"/>
            <rFont val="Tahoma"/>
            <family val="2"/>
          </rPr>
          <t xml:space="preserve">
AM: 7/24/12:
</t>
        </r>
        <r>
          <rPr>
            <sz val="8"/>
            <color indexed="81"/>
            <rFont val="Tahoma"/>
            <family val="2"/>
          </rPr>
          <t>Per 2Q12 release, guidance of $2,874.1m</t>
        </r>
        <r>
          <rPr>
            <b/>
            <sz val="8"/>
            <color indexed="81"/>
            <rFont val="Tahoma"/>
            <family val="2"/>
          </rPr>
          <t xml:space="preserve">
AM: 4/19/12:
</t>
        </r>
        <r>
          <rPr>
            <sz val="8"/>
            <color indexed="81"/>
            <rFont val="Tahoma"/>
            <family val="2"/>
          </rPr>
          <t>Per 1Q12 release, guidance of $2,872.5m</t>
        </r>
        <r>
          <rPr>
            <b/>
            <sz val="8"/>
            <color indexed="81"/>
            <rFont val="Tahoma"/>
            <family val="2"/>
          </rPr>
          <t xml:space="preserve">
AM: 2/2/12:</t>
        </r>
        <r>
          <rPr>
            <sz val="8"/>
            <color indexed="81"/>
            <rFont val="Tahoma"/>
            <family val="2"/>
          </rPr>
          <t xml:space="preserve">
Per 4Q11 release, guidance of $2,786m</t>
        </r>
      </text>
    </comment>
    <comment ref="BH15" authorId="0">
      <text>
        <r>
          <rPr>
            <b/>
            <sz val="9"/>
            <color indexed="81"/>
            <rFont val="Tahoma"/>
            <family val="2"/>
          </rPr>
          <t>Savino, Mark (Research):</t>
        </r>
        <r>
          <rPr>
            <sz val="9"/>
            <color indexed="81"/>
            <rFont val="Tahoma"/>
            <family val="2"/>
          </rPr>
          <t xml:space="preserve">
Impact of Plainridge opening and Tropicana purchase</t>
        </r>
      </text>
    </comment>
    <comment ref="C16" authorId="5">
      <text>
        <r>
          <rPr>
            <sz val="8"/>
            <color indexed="81"/>
            <rFont val="Tahoma"/>
            <family val="2"/>
          </rPr>
          <t xml:space="preserve">Without Shreverport+
</t>
        </r>
      </text>
    </comment>
    <comment ref="D16" authorId="5">
      <text>
        <r>
          <rPr>
            <sz val="8"/>
            <color indexed="81"/>
            <rFont val="Tahoma"/>
            <family val="2"/>
          </rPr>
          <t xml:space="preserve">Without Shreverport+
</t>
        </r>
      </text>
    </comment>
    <comment ref="Y16" authorId="5">
      <text>
        <r>
          <rPr>
            <sz val="8"/>
            <color indexed="81"/>
            <rFont val="Tahoma"/>
            <family val="2"/>
          </rPr>
          <t xml:space="preserve">Revised guidance
</t>
        </r>
      </text>
    </comment>
    <comment ref="AT16" authorId="5">
      <text>
        <r>
          <rPr>
            <sz val="8"/>
            <color indexed="81"/>
            <rFont val="Tahoma"/>
            <family val="2"/>
          </rPr>
          <t xml:space="preserve">Guidance as given in 3Q12 Press Release
</t>
        </r>
      </text>
    </comment>
    <comment ref="AU16" authorId="5">
      <text>
        <r>
          <rPr>
            <sz val="8"/>
            <color indexed="81"/>
            <rFont val="Tahoma"/>
            <family val="2"/>
          </rPr>
          <t xml:space="preserve">Guidance as given in 3Q12 Press Release
</t>
        </r>
      </text>
    </comment>
    <comment ref="AZ16" authorId="6">
      <text>
        <r>
          <rPr>
            <b/>
            <sz val="8"/>
            <color indexed="81"/>
            <rFont val="Tahoma"/>
            <family val="2"/>
          </rPr>
          <t xml:space="preserve">thallen: 
Suspended guidance as of 3Q13 earnings
Per 2Q13 earnings:
</t>
        </r>
        <r>
          <rPr>
            <sz val="8"/>
            <color indexed="81"/>
            <rFont val="Tahoma"/>
            <family val="2"/>
          </rPr>
          <t>$2982.8</t>
        </r>
        <r>
          <rPr>
            <b/>
            <sz val="8"/>
            <color indexed="81"/>
            <rFont val="Tahoma"/>
            <family val="2"/>
          </rPr>
          <t xml:space="preserve">
</t>
        </r>
        <r>
          <rPr>
            <sz val="8"/>
            <color indexed="81"/>
            <rFont val="Tahoma"/>
            <family val="2"/>
          </rPr>
          <t>OLD:</t>
        </r>
        <r>
          <rPr>
            <b/>
            <sz val="8"/>
            <color indexed="81"/>
            <rFont val="Tahoma"/>
            <family val="2"/>
          </rPr>
          <t xml:space="preserve">
Per 1Q13 earnings:
</t>
        </r>
        <r>
          <rPr>
            <sz val="8"/>
            <color indexed="81"/>
            <rFont val="Tahoma"/>
            <family val="2"/>
          </rPr>
          <t>3,137.8</t>
        </r>
        <r>
          <rPr>
            <b/>
            <sz val="8"/>
            <color indexed="81"/>
            <rFont val="Tahoma"/>
            <family val="2"/>
          </rPr>
          <t xml:space="preserve">
Per 4Q12 earnings:
</t>
        </r>
        <r>
          <rPr>
            <sz val="8"/>
            <color indexed="81"/>
            <rFont val="Tahoma"/>
            <family val="2"/>
          </rPr>
          <t>$3151.5mm</t>
        </r>
        <r>
          <rPr>
            <b/>
            <sz val="8"/>
            <color indexed="81"/>
            <rFont val="Tahoma"/>
            <family val="2"/>
          </rPr>
          <t xml:space="preserve">
AM: 11/16/12:</t>
        </r>
        <r>
          <rPr>
            <sz val="8"/>
            <color indexed="81"/>
            <rFont val="Tahoma"/>
            <family val="2"/>
          </rPr>
          <t xml:space="preserve">
2013 Guidance of $3,201.6m per REIT conversion release</t>
        </r>
      </text>
    </comment>
    <comment ref="BD16" authorId="0">
      <text>
        <r>
          <rPr>
            <b/>
            <sz val="9"/>
            <color indexed="81"/>
            <rFont val="Tahoma"/>
            <family val="2"/>
          </rPr>
          <t>Savino, Mark (Research):</t>
        </r>
        <r>
          <rPr>
            <sz val="9"/>
            <color indexed="81"/>
            <rFont val="Tahoma"/>
            <family val="2"/>
          </rPr>
          <t xml:space="preserve">
Implied</t>
        </r>
      </text>
    </comment>
    <comment ref="BE16" authorId="0">
      <text>
        <r>
          <rPr>
            <b/>
            <sz val="9"/>
            <color indexed="81"/>
            <rFont val="Tahoma"/>
            <family val="2"/>
          </rPr>
          <t>Savino, Mark (Research):</t>
        </r>
        <r>
          <rPr>
            <sz val="9"/>
            <color indexed="81"/>
            <rFont val="Tahoma"/>
            <family val="2"/>
          </rPr>
          <t xml:space="preserve">
3Q14: $2,560.2
2Q14: $2,547
1Q14: $2,513.8m
4Q13: $2,625.4m</t>
        </r>
      </text>
    </comment>
    <comment ref="BJ16" authorId="0">
      <text>
        <r>
          <rPr>
            <b/>
            <sz val="9"/>
            <color indexed="81"/>
            <rFont val="Tahoma"/>
            <family val="2"/>
          </rPr>
          <t>Savino, Mark (Research):</t>
        </r>
        <r>
          <rPr>
            <sz val="9"/>
            <color indexed="81"/>
            <rFont val="Tahoma"/>
            <family val="2"/>
          </rPr>
          <t xml:space="preserve">
3Q15: $2,826.9m
2Q15: $2,786.3m
1Q15: $2,735.9m
4Q14: $2,742.3m</t>
        </r>
      </text>
    </comment>
    <comment ref="BN16" authorId="0">
      <text>
        <r>
          <rPr>
            <b/>
            <sz val="9"/>
            <color indexed="81"/>
            <rFont val="Tahoma"/>
            <family val="2"/>
          </rPr>
          <t>Savino, Mark (Research):</t>
        </r>
        <r>
          <rPr>
            <sz val="9"/>
            <color indexed="81"/>
            <rFont val="Tahoma"/>
            <family val="2"/>
          </rPr>
          <t xml:space="preserve">
3Q16: $748.3m
2Q16: Implied $737.3</t>
        </r>
      </text>
    </comment>
    <comment ref="BO16" authorId="0">
      <text>
        <r>
          <rPr>
            <b/>
            <sz val="9"/>
            <color indexed="81"/>
            <rFont val="Tahoma"/>
            <family val="2"/>
          </rPr>
          <t>Savino, Mark (Research):</t>
        </r>
        <r>
          <rPr>
            <sz val="9"/>
            <color indexed="81"/>
            <rFont val="Tahoma"/>
            <family val="2"/>
          </rPr>
          <t xml:space="preserve">
3Q16: $3,039.8m
2Q16: $3,030.5
1Q16: $3,053.5
4Q15: $3,053.9</t>
        </r>
      </text>
    </comment>
    <comment ref="BP16" authorId="7">
      <text>
        <r>
          <rPr>
            <b/>
            <sz val="9"/>
            <color indexed="81"/>
            <rFont val="Tahoma"/>
            <family val="2"/>
          </rPr>
          <t>Zheng, Chaodan (Research):</t>
        </r>
        <r>
          <rPr>
            <sz val="9"/>
            <color indexed="81"/>
            <rFont val="Tahoma"/>
            <family val="2"/>
          </rPr>
          <t xml:space="preserve">
3/23/17 press release
adjusting guidance up from prior $761m due to strong property operating trends
4Q: $761m</t>
        </r>
      </text>
    </comment>
    <comment ref="BQ16" authorId="7">
      <text>
        <r>
          <rPr>
            <b/>
            <sz val="9"/>
            <color indexed="81"/>
            <rFont val="Tahoma"/>
            <family val="2"/>
          </rPr>
          <t>Zheng, Chaodan (Research):</t>
        </r>
        <r>
          <rPr>
            <sz val="9"/>
            <color indexed="81"/>
            <rFont val="Tahoma"/>
            <family val="2"/>
          </rPr>
          <t xml:space="preserve">
1Q17: $776.8m (but doesn't include Tunica while we do as expected to close May 1, $14m)</t>
        </r>
      </text>
    </comment>
    <comment ref="BS16" authorId="0">
      <text>
        <r>
          <rPr>
            <b/>
            <sz val="9"/>
            <color indexed="81"/>
            <rFont val="Tahoma"/>
            <family val="2"/>
          </rPr>
          <t>Savino, Mark (Research):</t>
        </r>
        <r>
          <rPr>
            <sz val="9"/>
            <color indexed="81"/>
            <rFont val="Tahoma"/>
            <family val="2"/>
          </rPr>
          <t xml:space="preserve">
3Q17: $756.6m
Implied $756.7m</t>
        </r>
      </text>
    </comment>
    <comment ref="BT16" authorId="8">
      <text>
        <r>
          <rPr>
            <b/>
            <sz val="9"/>
            <color indexed="81"/>
            <rFont val="Tahoma"/>
            <family val="2"/>
          </rPr>
          <t>Allen, Thomas (Research):</t>
        </r>
        <r>
          <rPr>
            <sz val="9"/>
            <color indexed="81"/>
            <rFont val="Tahoma"/>
            <family val="2"/>
          </rPr>
          <t xml:space="preserve">
3Q17: $3,135.6m
2Q17: $3,120.3m (did not change revenue expectations for 2H ex Tunica acq)
1Q17: $3,066.1m (but doesn't incl. Tunica while we do as expected to close May 1, $55m)
4Q16: $3,046.9m</t>
        </r>
      </text>
    </comment>
    <comment ref="BH20" authorId="0">
      <text>
        <r>
          <rPr>
            <b/>
            <sz val="9"/>
            <color indexed="81"/>
            <rFont val="Tahoma"/>
            <family val="2"/>
          </rPr>
          <t>Savino, Mark (Research):</t>
        </r>
        <r>
          <rPr>
            <sz val="9"/>
            <color indexed="81"/>
            <rFont val="Tahoma"/>
            <family val="2"/>
          </rPr>
          <t xml:space="preserve">
Includes partial qtr of Tropicana which closed on 8/25</t>
        </r>
      </text>
    </comment>
    <comment ref="AP21" authorId="9">
      <text>
        <r>
          <rPr>
            <b/>
            <sz val="8"/>
            <color indexed="81"/>
            <rFont val="Tahoma"/>
            <family val="2"/>
          </rPr>
          <t>stramark:</t>
        </r>
        <r>
          <rPr>
            <sz val="8"/>
            <color indexed="81"/>
            <rFont val="Tahoma"/>
            <family val="2"/>
          </rPr>
          <t xml:space="preserve">
includes 50% kansas</t>
        </r>
      </text>
    </comment>
    <comment ref="AU21" authorId="9">
      <text>
        <r>
          <rPr>
            <b/>
            <sz val="8"/>
            <color indexed="81"/>
            <rFont val="Tahoma"/>
            <family val="2"/>
          </rPr>
          <t>stramark:</t>
        </r>
        <r>
          <rPr>
            <sz val="8"/>
            <color indexed="81"/>
            <rFont val="Tahoma"/>
            <family val="2"/>
          </rPr>
          <t xml:space="preserve">
includes 50% kansas</t>
        </r>
      </text>
    </comment>
    <comment ref="AZ21" authorId="9">
      <text>
        <r>
          <rPr>
            <b/>
            <sz val="8"/>
            <color indexed="81"/>
            <rFont val="Tahoma"/>
            <family val="2"/>
          </rPr>
          <t>stramark:</t>
        </r>
        <r>
          <rPr>
            <sz val="8"/>
            <color indexed="81"/>
            <rFont val="Tahoma"/>
            <family val="2"/>
          </rPr>
          <t xml:space="preserve">
includes 50% kansas</t>
        </r>
      </text>
    </comment>
    <comment ref="BI21" authorId="0">
      <text>
        <r>
          <rPr>
            <b/>
            <sz val="9"/>
            <color indexed="81"/>
            <rFont val="Tahoma"/>
            <family val="2"/>
          </rPr>
          <t>Savino, Mark (Research):</t>
        </r>
        <r>
          <rPr>
            <sz val="9"/>
            <color indexed="81"/>
            <rFont val="Tahoma"/>
            <family val="2"/>
          </rPr>
          <t xml:space="preserve">
Includes Prairie State Gaming</t>
        </r>
      </text>
    </comment>
    <comment ref="AN23" authorId="10">
      <text>
        <r>
          <rPr>
            <b/>
            <sz val="8"/>
            <color indexed="81"/>
            <rFont val="Tahoma"/>
            <family val="2"/>
          </rPr>
          <t>DJF:</t>
        </r>
        <r>
          <rPr>
            <sz val="8"/>
            <color indexed="81"/>
            <rFont val="Tahoma"/>
            <family val="2"/>
          </rPr>
          <t xml:space="preserve">
Excludes 20.2 mn gain related to the sale of the Maryland Jockey Club</t>
        </r>
      </text>
    </comment>
    <comment ref="AO23" authorId="11">
      <text>
        <r>
          <rPr>
            <b/>
            <sz val="8"/>
            <color indexed="81"/>
            <rFont val="Tahoma"/>
            <family val="2"/>
          </rPr>
          <t>AM: 2/2/12:</t>
        </r>
        <r>
          <rPr>
            <sz val="8"/>
            <color indexed="81"/>
            <rFont val="Tahoma"/>
            <family val="2"/>
          </rPr>
          <t xml:space="preserve">
Excl $6m charge and deducts corp expense.</t>
        </r>
      </text>
    </comment>
    <comment ref="AQ23" authorId="3">
      <text>
        <r>
          <rPr>
            <b/>
            <sz val="8"/>
            <color indexed="81"/>
            <rFont val="Tahoma"/>
            <family val="2"/>
          </rPr>
          <t>AM: 4/19/12:</t>
        </r>
        <r>
          <rPr>
            <sz val="8"/>
            <color indexed="81"/>
            <rFont val="Tahoma"/>
            <family val="2"/>
          </rPr>
          <t xml:space="preserve">
Incl $0.5m plug to get pre-opening expense to equal $6.4m</t>
        </r>
      </text>
    </comment>
    <comment ref="AX24" authorId="12">
      <text>
        <r>
          <rPr>
            <b/>
            <sz val="8"/>
            <color indexed="81"/>
            <rFont val="Tahoma"/>
            <family val="2"/>
          </rPr>
          <t>savinmar:</t>
        </r>
        <r>
          <rPr>
            <sz val="8"/>
            <color indexed="81"/>
            <rFont val="Tahoma"/>
            <family val="2"/>
          </rPr>
          <t xml:space="preserve">
Includes $3.8m of termination charges associated with the spin</t>
        </r>
      </text>
    </comment>
    <comment ref="BR24" authorId="8">
      <text>
        <r>
          <rPr>
            <b/>
            <sz val="9"/>
            <color indexed="81"/>
            <rFont val="Tahoma"/>
            <family val="2"/>
          </rPr>
          <t>Allen, Thomas (Research):</t>
        </r>
        <r>
          <rPr>
            <sz val="9"/>
            <color indexed="81"/>
            <rFont val="Tahoma"/>
            <family val="2"/>
          </rPr>
          <t xml:space="preserve">
A few $m of costs in property P+Ls related to margin improvement initiatives</t>
        </r>
      </text>
    </comment>
    <comment ref="BE27" authorId="0">
      <text>
        <r>
          <rPr>
            <b/>
            <sz val="9"/>
            <color indexed="81"/>
            <rFont val="Tahoma"/>
            <family val="2"/>
          </rPr>
          <t>Savino, Mark (Research):</t>
        </r>
        <r>
          <rPr>
            <sz val="9"/>
            <color indexed="81"/>
            <rFont val="Tahoma"/>
            <family val="2"/>
          </rPr>
          <t xml:space="preserve">
1/16/14 mgmt meeting: Can absolutely increase margins (PT workforce, less headcount, less resources to lower tier players)</t>
        </r>
      </text>
    </comment>
    <comment ref="BJ27" authorId="0">
      <text>
        <r>
          <rPr>
            <b/>
            <sz val="9"/>
            <color indexed="81"/>
            <rFont val="Tahoma"/>
            <family val="2"/>
          </rPr>
          <t>Savino, Mark (Research):</t>
        </r>
        <r>
          <rPr>
            <sz val="9"/>
            <color indexed="81"/>
            <rFont val="Tahoma"/>
            <family val="2"/>
          </rPr>
          <t xml:space="preserve">
1/16/14 mgmt meeting: Can absolutely increase margins (PT workforce, less headcount, less resources to lower tier players)</t>
        </r>
      </text>
    </comment>
    <comment ref="BR27" authorId="8">
      <text>
        <r>
          <rPr>
            <b/>
            <sz val="9"/>
            <color indexed="81"/>
            <rFont val="Tahoma"/>
            <family val="2"/>
          </rPr>
          <t>Allen, Thomas (Research):</t>
        </r>
        <r>
          <rPr>
            <sz val="9"/>
            <color indexed="81"/>
            <rFont val="Tahoma"/>
            <family val="2"/>
          </rPr>
          <t xml:space="preserve">
A few $m of costs in property P+Ls in 3Q17 related to margin improvement initiatives</t>
        </r>
      </text>
    </comment>
    <comment ref="BW27" authorId="8">
      <text>
        <r>
          <rPr>
            <b/>
            <sz val="9"/>
            <color indexed="81"/>
            <rFont val="Tahoma"/>
            <family val="2"/>
          </rPr>
          <t>Allen, Thomas (Research):</t>
        </r>
        <r>
          <rPr>
            <sz val="9"/>
            <color indexed="81"/>
            <rFont val="Tahoma"/>
            <family val="2"/>
          </rPr>
          <t xml:space="preserve">
A few $m of costs in property P+Ls in 3Q17 related to margin improvement initiatives</t>
        </r>
      </text>
    </comment>
    <comment ref="AE34" authorId="13">
      <text>
        <r>
          <rPr>
            <b/>
            <sz val="8"/>
            <color indexed="81"/>
            <rFont val="Tahoma"/>
            <family val="2"/>
          </rPr>
          <t>urbankev:</t>
        </r>
        <r>
          <rPr>
            <sz val="8"/>
            <color indexed="81"/>
            <rFont val="Tahoma"/>
            <family val="2"/>
          </rPr>
          <t xml:space="preserve">
Includes $2.5mm of WV lobbying and $1.0mm of general lobbying, but not previously classified as non-recurring, unlike the larger Ohio expenses.</t>
        </r>
      </text>
    </comment>
    <comment ref="AH34" authorId="9">
      <text>
        <r>
          <rPr>
            <b/>
            <sz val="8"/>
            <color indexed="81"/>
            <rFont val="Tahoma"/>
            <family val="2"/>
          </rPr>
          <t>stramark:</t>
        </r>
        <r>
          <rPr>
            <sz val="8"/>
            <color indexed="81"/>
            <rFont val="Tahoma"/>
            <family val="2"/>
          </rPr>
          <t xml:space="preserve">
Includes $1.5m pre-open and $2m lobbying (OH)</t>
        </r>
      </text>
    </comment>
    <comment ref="AN34" authorId="10">
      <text>
        <r>
          <rPr>
            <b/>
            <sz val="8"/>
            <color indexed="81"/>
            <rFont val="Tahoma"/>
            <family val="2"/>
          </rPr>
          <t>danfuss:</t>
        </r>
        <r>
          <rPr>
            <sz val="8"/>
            <color indexed="81"/>
            <rFont val="Tahoma"/>
            <family val="2"/>
          </rPr>
          <t xml:space="preserve">
Per CC</t>
        </r>
      </text>
    </comment>
    <comment ref="AP34" authorId="14">
      <text>
        <r>
          <rPr>
            <b/>
            <sz val="8"/>
            <color indexed="81"/>
            <rFont val="Tahoma"/>
            <family val="2"/>
          </rPr>
          <t>AM: 2/03/11:</t>
        </r>
        <r>
          <rPr>
            <sz val="8"/>
            <color indexed="81"/>
            <rFont val="Tahoma"/>
            <family val="2"/>
          </rPr>
          <t xml:space="preserve">
Per cc, expect $78m in corp expense.</t>
        </r>
      </text>
    </comment>
    <comment ref="AQ34" authorId="15">
      <text>
        <r>
          <rPr>
            <b/>
            <sz val="8"/>
            <color indexed="81"/>
            <rFont val="Tahoma"/>
            <family val="2"/>
          </rPr>
          <t>AM: 4/19/12:</t>
        </r>
        <r>
          <rPr>
            <sz val="8"/>
            <color indexed="81"/>
            <rFont val="Tahoma"/>
            <family val="2"/>
          </rPr>
          <t xml:space="preserve">
per 1Q release</t>
        </r>
      </text>
    </comment>
    <comment ref="AS34" authorId="16">
      <text>
        <r>
          <rPr>
            <b/>
            <sz val="8"/>
            <color indexed="81"/>
            <rFont val="Tahoma"/>
            <family val="2"/>
          </rPr>
          <t>AM: 10/18/12:</t>
        </r>
        <r>
          <rPr>
            <sz val="8"/>
            <color indexed="81"/>
            <rFont val="Tahoma"/>
            <family val="2"/>
          </rPr>
          <t xml:space="preserve">
Excl $19.2m of MD lobbying expenses (incl it in non-recurring line item. </t>
        </r>
      </text>
    </comment>
    <comment ref="AZ34" authorId="17">
      <text>
        <r>
          <rPr>
            <b/>
            <sz val="8"/>
            <color indexed="81"/>
            <rFont val="Tahoma"/>
            <family val="2"/>
          </rPr>
          <t>thallen:</t>
        </r>
        <r>
          <rPr>
            <sz val="8"/>
            <color indexed="81"/>
            <rFont val="Tahoma"/>
            <family val="2"/>
          </rPr>
          <t xml:space="preserve">
Per 1Q13 press release, ~$11mm higher than prev. expected b/c of ESO as stock price has risen
Per 4Q12 earnings call, should normalize in the $80mm range in 2013</t>
        </r>
      </text>
    </comment>
    <comment ref="BA34" authorId="0">
      <text>
        <r>
          <rPr>
            <b/>
            <sz val="9"/>
            <color indexed="81"/>
            <rFont val="Tahoma"/>
            <family val="2"/>
          </rPr>
          <t>Savino, Mark (Research):</t>
        </r>
        <r>
          <rPr>
            <sz val="9"/>
            <color indexed="81"/>
            <rFont val="Tahoma"/>
            <family val="2"/>
          </rPr>
          <t xml:space="preserve">
$3m less than expected as they did not incur expense related to vesting GLPI stock options</t>
        </r>
      </text>
    </comment>
    <comment ref="BB34" authorId="0">
      <text>
        <r>
          <rPr>
            <b/>
            <sz val="9"/>
            <color indexed="81"/>
            <rFont val="Tahoma"/>
            <family val="2"/>
          </rPr>
          <t>Savino, Mark (Research):</t>
        </r>
        <r>
          <rPr>
            <sz val="9"/>
            <color indexed="81"/>
            <rFont val="Tahoma"/>
            <family val="2"/>
          </rPr>
          <t xml:space="preserve">
Assume higher pre-opening expenses ahead of racino openings + Sioux City legal expenses</t>
        </r>
      </text>
    </comment>
    <comment ref="BC34" authorId="0">
      <text>
        <r>
          <rPr>
            <b/>
            <sz val="9"/>
            <color indexed="81"/>
            <rFont val="Tahoma"/>
            <family val="2"/>
          </rPr>
          <t>Savino, Mark (Research):</t>
        </r>
        <r>
          <rPr>
            <sz val="9"/>
            <color indexed="81"/>
            <rFont val="Tahoma"/>
            <family val="2"/>
          </rPr>
          <t xml:space="preserve">
3Q14: Results included $2.3m of MA lobbying costs
Assume higher pre-opening expenses ahead of racino openings, Sioux City legal expenses, and MA lobbying</t>
        </r>
      </text>
    </comment>
    <comment ref="BD34" authorId="0">
      <text>
        <r>
          <rPr>
            <b/>
            <sz val="9"/>
            <color indexed="81"/>
            <rFont val="Tahoma"/>
            <family val="2"/>
          </rPr>
          <t>Savino, Mark (Research):</t>
        </r>
        <r>
          <rPr>
            <sz val="9"/>
            <color indexed="81"/>
            <rFont val="Tahoma"/>
            <family val="2"/>
          </rPr>
          <t xml:space="preserve">
Assume continued spending on MA referendum</t>
        </r>
      </text>
    </comment>
    <comment ref="BE34" authorId="0">
      <text>
        <r>
          <rPr>
            <b/>
            <sz val="9"/>
            <color indexed="81"/>
            <rFont val="Tahoma"/>
            <family val="2"/>
          </rPr>
          <t>Savino, Mark (Research):</t>
        </r>
        <r>
          <rPr>
            <sz val="9"/>
            <color indexed="81"/>
            <rFont val="Tahoma"/>
            <family val="2"/>
          </rPr>
          <t xml:space="preserve">
1Q14: $70m
4Q13 call: $80-85m</t>
        </r>
      </text>
    </comment>
    <comment ref="BF34" authorId="0">
      <text>
        <r>
          <rPr>
            <b/>
            <sz val="9"/>
            <color indexed="81"/>
            <rFont val="Tahoma"/>
            <family val="2"/>
          </rPr>
          <t>Savino, Mark (Research):</t>
        </r>
        <r>
          <rPr>
            <sz val="9"/>
            <color indexed="81"/>
            <rFont val="Tahoma"/>
            <family val="2"/>
          </rPr>
          <t xml:space="preserve">
Guidance $18.3m, higher b/c of $4.5m related to cash-settled stock based awards($7.4m higher y/y)</t>
        </r>
      </text>
    </comment>
    <comment ref="BG34" authorId="0">
      <text>
        <r>
          <rPr>
            <b/>
            <sz val="9"/>
            <color indexed="81"/>
            <rFont val="Tahoma"/>
            <family val="2"/>
          </rPr>
          <t>Savino, Mark (Research):</t>
        </r>
        <r>
          <rPr>
            <sz val="9"/>
            <color indexed="81"/>
            <rFont val="Tahoma"/>
            <family val="2"/>
          </rPr>
          <t xml:space="preserve">
Assume higher pre-opening ahead of MA opening in June</t>
        </r>
      </text>
    </comment>
    <comment ref="BH34" authorId="0">
      <text>
        <r>
          <rPr>
            <b/>
            <sz val="9"/>
            <color indexed="81"/>
            <rFont val="Tahoma"/>
            <family val="2"/>
          </rPr>
          <t>Savino, Mark (Research):</t>
        </r>
        <r>
          <rPr>
            <sz val="9"/>
            <color indexed="81"/>
            <rFont val="Tahoma"/>
            <family val="2"/>
          </rPr>
          <t xml:space="preserve">
3Q had $2.3m of 1x costs relating to MA referendum that will not repeat</t>
        </r>
      </text>
    </comment>
    <comment ref="BI34" authorId="0">
      <text>
        <r>
          <rPr>
            <b/>
            <sz val="9"/>
            <color indexed="81"/>
            <rFont val="Tahoma"/>
            <family val="2"/>
          </rPr>
          <t>Savino, Mark (Research):</t>
        </r>
        <r>
          <rPr>
            <sz val="9"/>
            <color indexed="81"/>
            <rFont val="Tahoma"/>
            <family val="2"/>
          </rPr>
          <t xml:space="preserve">
Guidance: $21.4m
Lapping additional MA referendum costs</t>
        </r>
      </text>
    </comment>
    <comment ref="BJ34" authorId="0">
      <text>
        <r>
          <rPr>
            <b/>
            <sz val="9"/>
            <color indexed="81"/>
            <rFont val="Tahoma"/>
            <family val="2"/>
          </rPr>
          <t>Savino, Mark (Research):</t>
        </r>
        <r>
          <rPr>
            <sz val="9"/>
            <color indexed="81"/>
            <rFont val="Tahoma"/>
            <family val="2"/>
          </rPr>
          <t xml:space="preserve">
Guidance 
3Q15: $82.4m
2Q15: $89.4m
(1Q15) $81.7m
(4Q14) $76.6m</t>
        </r>
      </text>
    </comment>
    <comment ref="BK34" authorId="8">
      <text>
        <r>
          <rPr>
            <b/>
            <sz val="9"/>
            <color indexed="81"/>
            <rFont val="Tahoma"/>
            <family val="2"/>
          </rPr>
          <t>Allen, Thomas (Research):</t>
        </r>
        <r>
          <rPr>
            <sz val="9"/>
            <color indexed="81"/>
            <rFont val="Tahoma"/>
            <family val="2"/>
          </rPr>
          <t xml:space="preserve">
Guidance: $21.1m</t>
        </r>
      </text>
    </comment>
    <comment ref="BL34" authorId="0">
      <text>
        <r>
          <rPr>
            <b/>
            <sz val="9"/>
            <color indexed="81"/>
            <rFont val="Tahoma"/>
            <family val="2"/>
          </rPr>
          <t>Savino, Mark (Research):</t>
        </r>
        <r>
          <rPr>
            <sz val="9"/>
            <color indexed="81"/>
            <rFont val="Tahoma"/>
            <family val="2"/>
          </rPr>
          <t xml:space="preserve">
Guidance: $20.2m</t>
        </r>
      </text>
    </comment>
    <comment ref="BM34" authorId="0">
      <text>
        <r>
          <rPr>
            <b/>
            <sz val="9"/>
            <color indexed="81"/>
            <rFont val="Tahoma"/>
            <family val="2"/>
          </rPr>
          <t>Savino, Mark (Research):</t>
        </r>
        <r>
          <rPr>
            <sz val="9"/>
            <color indexed="81"/>
            <rFont val="Tahoma"/>
            <family val="2"/>
          </rPr>
          <t xml:space="preserve">
Guidance: $20.7m</t>
        </r>
      </text>
    </comment>
    <comment ref="BN34" authorId="0">
      <text>
        <r>
          <rPr>
            <b/>
            <sz val="9"/>
            <color indexed="81"/>
            <rFont val="Tahoma"/>
            <family val="2"/>
          </rPr>
          <t>Savino, Mark (Research):</t>
        </r>
        <r>
          <rPr>
            <sz val="9"/>
            <color indexed="81"/>
            <rFont val="Tahoma"/>
            <family val="2"/>
          </rPr>
          <t xml:space="preserve">
Guidance $23m, includes $1.4m TSA expense related to CFO transition</t>
        </r>
      </text>
    </comment>
    <comment ref="BO34" authorId="0">
      <text>
        <r>
          <rPr>
            <b/>
            <sz val="9"/>
            <color indexed="81"/>
            <rFont val="Tahoma"/>
            <family val="2"/>
          </rPr>
          <t>Savino, Mark (Research):</t>
        </r>
        <r>
          <rPr>
            <sz val="9"/>
            <color indexed="81"/>
            <rFont val="Tahoma"/>
            <family val="2"/>
          </rPr>
          <t xml:space="preserve">
3Q16: $74.2m
2Q16: $75.8m
1Q16: $81.5m
4Q15: $82.5m</t>
        </r>
      </text>
    </comment>
    <comment ref="BP34" authorId="0">
      <text>
        <r>
          <rPr>
            <b/>
            <sz val="9"/>
            <color indexed="81"/>
            <rFont val="Tahoma"/>
            <family val="2"/>
          </rPr>
          <t>Savino, Mark (Research):</t>
        </r>
        <r>
          <rPr>
            <sz val="9"/>
            <color indexed="81"/>
            <rFont val="Tahoma"/>
            <family val="2"/>
          </rPr>
          <t xml:space="preserve">
Guidance $19.3m, but have come in below guidance every qtr in 2016
$8.3m of cash-settled ESO, vs. $4.9m 1Q16</t>
        </r>
      </text>
    </comment>
    <comment ref="BQ34" authorId="8">
      <text>
        <r>
          <rPr>
            <b/>
            <sz val="9"/>
            <color indexed="81"/>
            <rFont val="Tahoma"/>
            <family val="2"/>
          </rPr>
          <t>Allen, Thomas (Research):</t>
        </r>
        <r>
          <rPr>
            <sz val="9"/>
            <color indexed="81"/>
            <rFont val="Tahoma"/>
            <family val="2"/>
          </rPr>
          <t xml:space="preserve">
Guidance $20m
Included $6.1m SBC charge and $0.5m severance related to Tunica</t>
        </r>
      </text>
    </comment>
    <comment ref="BR34" authorId="0">
      <text>
        <r>
          <rPr>
            <b/>
            <sz val="9"/>
            <color indexed="81"/>
            <rFont val="Tahoma"/>
            <family val="2"/>
          </rPr>
          <t>Savino, Mark (Research):</t>
        </r>
        <r>
          <rPr>
            <sz val="9"/>
            <color indexed="81"/>
            <rFont val="Tahoma"/>
            <family val="2"/>
          </rPr>
          <t xml:space="preserve">
Guidance: $19.5m</t>
        </r>
      </text>
    </comment>
    <comment ref="BS34" authorId="0">
      <text>
        <r>
          <rPr>
            <b/>
            <sz val="9"/>
            <color indexed="81"/>
            <rFont val="Tahoma"/>
            <family val="2"/>
          </rPr>
          <t>Savino, Mark (Research):</t>
        </r>
        <r>
          <rPr>
            <sz val="9"/>
            <color indexed="81"/>
            <rFont val="Tahoma"/>
            <family val="2"/>
          </rPr>
          <t xml:space="preserve">
3Q17: $18m
2Q17: Implied $18.0m
4Q16 includes $1.4m TSA expense related to CFO transition</t>
        </r>
      </text>
    </comment>
    <comment ref="BT34" authorId="0">
      <text>
        <r>
          <rPr>
            <b/>
            <sz val="9"/>
            <color indexed="81"/>
            <rFont val="Tahoma"/>
            <family val="2"/>
          </rPr>
          <t>Savino, Mark (Research):</t>
        </r>
        <r>
          <rPr>
            <sz val="9"/>
            <color indexed="81"/>
            <rFont val="Tahoma"/>
            <family val="2"/>
          </rPr>
          <t xml:space="preserve">
3Q17: $89.0m
2Q17: $87.5m
1Q17: $79.3m
4Q16: Guidance $73.3m</t>
        </r>
      </text>
    </comment>
    <comment ref="BU34" authorId="0">
      <text>
        <r>
          <rPr>
            <b/>
            <sz val="9"/>
            <color indexed="81"/>
            <rFont val="Tahoma"/>
            <family val="2"/>
          </rPr>
          <t>Savino, Mark (Research):</t>
        </r>
        <r>
          <rPr>
            <sz val="9"/>
            <color indexed="81"/>
            <rFont val="Tahoma"/>
            <family val="2"/>
          </rPr>
          <t xml:space="preserve">
Guidance $20.3m
But with stock down, likely savings on corp expense</t>
        </r>
      </text>
    </comment>
    <comment ref="BV34" authorId="0">
      <text>
        <r>
          <rPr>
            <b/>
            <sz val="9"/>
            <color indexed="81"/>
            <rFont val="Tahoma"/>
            <family val="2"/>
          </rPr>
          <t>Savino, Mark (Research):</t>
        </r>
        <r>
          <rPr>
            <sz val="9"/>
            <color indexed="81"/>
            <rFont val="Tahoma"/>
            <family val="2"/>
          </rPr>
          <t xml:space="preserve">
Lapping $6.5m of 1x charges in 2Q17</t>
        </r>
      </text>
    </comment>
    <comment ref="BX34" authorId="0">
      <text>
        <r>
          <rPr>
            <b/>
            <sz val="9"/>
            <color indexed="81"/>
            <rFont val="Tahoma"/>
            <family val="2"/>
          </rPr>
          <t>Savino, Mark (Research):</t>
        </r>
        <r>
          <rPr>
            <sz val="9"/>
            <color indexed="81"/>
            <rFont val="Tahoma"/>
            <family val="2"/>
          </rPr>
          <t xml:space="preserve">
Lapping $10.6m unfavorable variance in stock based comp, $1.9m higher medical claims, and $5.1m of costs associated with the PNK acquisition</t>
        </r>
      </text>
    </comment>
    <comment ref="BY34" authorId="0">
      <text>
        <r>
          <rPr>
            <b/>
            <sz val="9"/>
            <color indexed="81"/>
            <rFont val="Tahoma"/>
            <family val="2"/>
          </rPr>
          <t>Savino, Mark (Research):</t>
        </r>
        <r>
          <rPr>
            <sz val="9"/>
            <color indexed="81"/>
            <rFont val="Tahoma"/>
            <family val="2"/>
          </rPr>
          <t xml:space="preserve">
4Q17: $82.1m
Lapping $6.5m of 1x charges in 2Q17</t>
        </r>
      </text>
    </comment>
    <comment ref="BS35" authorId="0">
      <text>
        <r>
          <rPr>
            <b/>
            <sz val="9"/>
            <color indexed="81"/>
            <rFont val="Tahoma"/>
            <family val="2"/>
          </rPr>
          <t>Savino, Mark (Research):</t>
        </r>
        <r>
          <rPr>
            <sz val="9"/>
            <color indexed="81"/>
            <rFont val="Tahoma"/>
            <family val="2"/>
          </rPr>
          <t xml:space="preserve">
MSe</t>
        </r>
      </text>
    </comment>
    <comment ref="BT35" authorId="0">
      <text>
        <r>
          <rPr>
            <b/>
            <sz val="9"/>
            <color indexed="81"/>
            <rFont val="Tahoma"/>
            <family val="2"/>
          </rPr>
          <t>Savino, Mark (Research):</t>
        </r>
        <r>
          <rPr>
            <sz val="9"/>
            <color indexed="81"/>
            <rFont val="Tahoma"/>
            <family val="2"/>
          </rPr>
          <t xml:space="preserve">
MSe</t>
        </r>
      </text>
    </comment>
    <comment ref="BU35" authorId="0">
      <text>
        <r>
          <rPr>
            <b/>
            <sz val="9"/>
            <color indexed="81"/>
            <rFont val="Tahoma"/>
            <family val="2"/>
          </rPr>
          <t>Savino, Mark (Research):</t>
        </r>
        <r>
          <rPr>
            <sz val="9"/>
            <color indexed="81"/>
            <rFont val="Tahoma"/>
            <family val="2"/>
          </rPr>
          <t xml:space="preserve">
MSe</t>
        </r>
      </text>
    </comment>
    <comment ref="BV35" authorId="0">
      <text>
        <r>
          <rPr>
            <b/>
            <sz val="9"/>
            <color indexed="81"/>
            <rFont val="Tahoma"/>
            <family val="2"/>
          </rPr>
          <t>Savino, Mark (Research):</t>
        </r>
        <r>
          <rPr>
            <sz val="9"/>
            <color indexed="81"/>
            <rFont val="Tahoma"/>
            <family val="2"/>
          </rPr>
          <t xml:space="preserve">
MSe</t>
        </r>
      </text>
    </comment>
    <comment ref="BZ36" authorId="0">
      <text>
        <r>
          <rPr>
            <b/>
            <sz val="9"/>
            <color indexed="81"/>
            <rFont val="Tahoma"/>
            <family val="2"/>
          </rPr>
          <t>Savino, Mark (Research):</t>
        </r>
        <r>
          <rPr>
            <sz val="9"/>
            <color indexed="81"/>
            <rFont val="Tahoma"/>
            <family val="2"/>
          </rPr>
          <t xml:space="preserve">
Per mgmt, half of the $100m synergies will come from corporate overhead reductions. Expect synergies to be fully realized within 24 months</t>
        </r>
      </text>
    </comment>
    <comment ref="CA36" authorId="0">
      <text>
        <r>
          <rPr>
            <b/>
            <sz val="9"/>
            <color indexed="81"/>
            <rFont val="Tahoma"/>
            <family val="2"/>
          </rPr>
          <t>Savino, Mark (Research):</t>
        </r>
        <r>
          <rPr>
            <sz val="9"/>
            <color indexed="81"/>
            <rFont val="Tahoma"/>
            <family val="2"/>
          </rPr>
          <t xml:space="preserve">
Per mgmt, half of the $100m synergies will come from corporate overhead reductions. Expect synergies to be fully realized within 24 months</t>
        </r>
      </text>
    </comment>
    <comment ref="BI40" authorId="0">
      <text>
        <r>
          <rPr>
            <b/>
            <sz val="9"/>
            <color indexed="81"/>
            <rFont val="Tahoma"/>
            <family val="2"/>
          </rPr>
          <t>Savino, Mark (Research):</t>
        </r>
        <r>
          <rPr>
            <sz val="9"/>
            <color indexed="81"/>
            <rFont val="Tahoma"/>
            <family val="2"/>
          </rPr>
          <t xml:space="preserve">
Includes $15.4m property tax settlement in the Midwest segment</t>
        </r>
      </text>
    </comment>
    <comment ref="BR40" authorId="8">
      <text>
        <r>
          <rPr>
            <b/>
            <sz val="9"/>
            <color indexed="81"/>
            <rFont val="Tahoma"/>
            <family val="2"/>
          </rPr>
          <t>Allen, Thomas (Research):</t>
        </r>
        <r>
          <rPr>
            <sz val="9"/>
            <color indexed="81"/>
            <rFont val="Tahoma"/>
            <family val="2"/>
          </rPr>
          <t xml:space="preserve">
A few $m of costs in property P+Ls related to margin improvement initiatives</t>
        </r>
      </text>
    </comment>
    <comment ref="BN41" authorId="0">
      <text>
        <r>
          <rPr>
            <b/>
            <sz val="9"/>
            <color indexed="81"/>
            <rFont val="Tahoma"/>
            <family val="2"/>
          </rPr>
          <t>Savino, Mark (Research):</t>
        </r>
        <r>
          <rPr>
            <sz val="9"/>
            <color indexed="81"/>
            <rFont val="Tahoma"/>
            <family val="2"/>
          </rPr>
          <t xml:space="preserve">
4Q15 included $15.4m property tax settlement in the Midwest segment</t>
        </r>
      </text>
    </comment>
    <comment ref="BR42" authorId="8">
      <text>
        <r>
          <rPr>
            <b/>
            <sz val="9"/>
            <color indexed="81"/>
            <rFont val="Tahoma"/>
            <family val="2"/>
          </rPr>
          <t>Allen, Thomas (Research):</t>
        </r>
        <r>
          <rPr>
            <sz val="9"/>
            <color indexed="81"/>
            <rFont val="Tahoma"/>
            <family val="2"/>
          </rPr>
          <t xml:space="preserve">
A few $m of costs in property P+Ls related to margin improvement initiatives</t>
        </r>
      </text>
    </comment>
    <comment ref="BT42" authorId="0">
      <text>
        <r>
          <rPr>
            <b/>
            <sz val="9"/>
            <color indexed="81"/>
            <rFont val="Tahoma"/>
            <family val="2"/>
          </rPr>
          <t>Savino, Mark (Research):</t>
        </r>
        <r>
          <rPr>
            <sz val="9"/>
            <color indexed="81"/>
            <rFont val="Tahoma"/>
            <family val="2"/>
          </rPr>
          <t xml:space="preserve">
Per 3Q17 presentation, guiding to 27.7%</t>
        </r>
      </text>
    </comment>
    <comment ref="BW42" authorId="8">
      <text>
        <r>
          <rPr>
            <b/>
            <sz val="9"/>
            <color indexed="81"/>
            <rFont val="Tahoma"/>
            <family val="2"/>
          </rPr>
          <t>Allen, Thomas (Research):</t>
        </r>
        <r>
          <rPr>
            <sz val="9"/>
            <color indexed="81"/>
            <rFont val="Tahoma"/>
            <family val="2"/>
          </rPr>
          <t xml:space="preserve">
A few $m of costs in property P+Ls in 3Q17 related to margin improvement initiatives</t>
        </r>
      </text>
    </comment>
    <comment ref="BY42" authorId="0">
      <text>
        <r>
          <rPr>
            <b/>
            <sz val="9"/>
            <color indexed="81"/>
            <rFont val="Tahoma"/>
            <family val="2"/>
          </rPr>
          <t>Savino, Mark (Research):</t>
        </r>
        <r>
          <rPr>
            <sz val="9"/>
            <color indexed="81"/>
            <rFont val="Tahoma"/>
            <family val="2"/>
          </rPr>
          <t xml:space="preserve">
Per 3Q17 presentation, guiding to 28.0-28.5%</t>
        </r>
      </text>
    </comment>
    <comment ref="BZ42" authorId="0">
      <text>
        <r>
          <rPr>
            <b/>
            <sz val="9"/>
            <color indexed="81"/>
            <rFont val="Tahoma"/>
            <family val="2"/>
          </rPr>
          <t>Savino, Mark (Research):</t>
        </r>
        <r>
          <rPr>
            <sz val="9"/>
            <color indexed="81"/>
            <rFont val="Tahoma"/>
            <family val="2"/>
          </rPr>
          <t xml:space="preserve">
Per 3Q17 presentation, guiding to 28.5-29.0%</t>
        </r>
      </text>
    </comment>
    <comment ref="CA42" authorId="0">
      <text>
        <r>
          <rPr>
            <b/>
            <sz val="9"/>
            <color indexed="81"/>
            <rFont val="Tahoma"/>
            <family val="2"/>
          </rPr>
          <t>Savino, Mark (Research):</t>
        </r>
        <r>
          <rPr>
            <sz val="9"/>
            <color indexed="81"/>
            <rFont val="Tahoma"/>
            <family val="2"/>
          </rPr>
          <t xml:space="preserve">
Per 3Q17 presentation, guiding to 29-30%</t>
        </r>
      </text>
    </comment>
    <comment ref="BD44" authorId="0">
      <text>
        <r>
          <rPr>
            <b/>
            <sz val="9"/>
            <color indexed="81"/>
            <rFont val="Tahoma"/>
            <family val="2"/>
          </rPr>
          <t>Savino, Mark (Research):</t>
        </r>
        <r>
          <rPr>
            <sz val="9"/>
            <color indexed="81"/>
            <rFont val="Tahoma"/>
            <family val="2"/>
          </rPr>
          <t xml:space="preserve">
Implied</t>
        </r>
      </text>
    </comment>
    <comment ref="BE44" authorId="0">
      <text>
        <r>
          <rPr>
            <b/>
            <sz val="9"/>
            <color indexed="81"/>
            <rFont val="Tahoma"/>
            <family val="2"/>
          </rPr>
          <t>Savino, Mark (Research):</t>
        </r>
        <r>
          <rPr>
            <sz val="9"/>
            <color indexed="81"/>
            <rFont val="Tahoma"/>
            <family val="2"/>
          </rPr>
          <t xml:space="preserve">
3Q14: $697.1m
2Q14: $690.9m
1Q14: Restated $686.2m
4Q13: $701.9m</t>
        </r>
      </text>
    </comment>
    <comment ref="BJ44" authorId="0">
      <text>
        <r>
          <rPr>
            <b/>
            <sz val="9"/>
            <color indexed="81"/>
            <rFont val="Tahoma"/>
            <family val="2"/>
          </rPr>
          <t>Savino, Mark (Research):</t>
        </r>
        <r>
          <rPr>
            <sz val="9"/>
            <color indexed="81"/>
            <rFont val="Tahoma"/>
            <family val="2"/>
          </rPr>
          <t xml:space="preserve">
3Q15: $771.1m
2Q15: $754.5m
1Q15: $740.3m
4Q14: $739.8m</t>
        </r>
      </text>
    </comment>
    <comment ref="BN44" authorId="0">
      <text>
        <r>
          <rPr>
            <b/>
            <sz val="9"/>
            <color indexed="81"/>
            <rFont val="Tahoma"/>
            <family val="2"/>
          </rPr>
          <t>Savino, Mark (Research):</t>
        </r>
        <r>
          <rPr>
            <sz val="9"/>
            <color indexed="81"/>
            <rFont val="Tahoma"/>
            <family val="2"/>
          </rPr>
          <t xml:space="preserve">
3Q16: $192.7m
2Q16: Implied $195.6m</t>
        </r>
      </text>
    </comment>
    <comment ref="BO44" authorId="0">
      <text>
        <r>
          <rPr>
            <b/>
            <sz val="9"/>
            <color indexed="81"/>
            <rFont val="Tahoma"/>
            <family val="2"/>
          </rPr>
          <t>Savino, Mark (Research):</t>
        </r>
        <r>
          <rPr>
            <sz val="9"/>
            <color indexed="81"/>
            <rFont val="Tahoma"/>
            <family val="2"/>
          </rPr>
          <t xml:space="preserve">
3Q16: $840.6m
2Q16: $844.6m
1Q16: $851.0m
4Q15: $841.2m</t>
        </r>
      </text>
    </comment>
    <comment ref="BP44" authorId="7">
      <text>
        <r>
          <rPr>
            <b/>
            <sz val="9"/>
            <color indexed="81"/>
            <rFont val="Tahoma"/>
            <family val="2"/>
          </rPr>
          <t>Zheng, Chaodan (Research):</t>
        </r>
        <r>
          <rPr>
            <sz val="9"/>
            <color indexed="81"/>
            <rFont val="Tahoma"/>
            <family val="2"/>
          </rPr>
          <t xml:space="preserve">
3/23/17 press release
adjusting guidance up from prior $209.3 guide (from 4Q16 earnings) due to strong property operating trends</t>
        </r>
      </text>
    </comment>
    <comment ref="BQ44" authorId="7">
      <text>
        <r>
          <rPr>
            <b/>
            <sz val="9"/>
            <color indexed="81"/>
            <rFont val="Tahoma"/>
            <family val="2"/>
          </rPr>
          <t>Zheng, Chaodan (Research):</t>
        </r>
        <r>
          <rPr>
            <sz val="9"/>
            <color indexed="81"/>
            <rFont val="Tahoma"/>
            <family val="2"/>
          </rPr>
          <t xml:space="preserve">
1Q17: $219.9m (but does not include Tunica)
  Tunica was an incremental $3.3m of EBITDA, offset by $0.5m severance charges and $6m cash settled stock based comp</t>
        </r>
      </text>
    </comment>
    <comment ref="BS44" authorId="0">
      <text>
        <r>
          <rPr>
            <b/>
            <sz val="9"/>
            <color indexed="81"/>
            <rFont val="Tahoma"/>
            <family val="2"/>
          </rPr>
          <t>Savino, Mark (Research):</t>
        </r>
        <r>
          <rPr>
            <sz val="9"/>
            <color indexed="81"/>
            <rFont val="Tahoma"/>
            <family val="2"/>
          </rPr>
          <t xml:space="preserve">
3Q17: $206.1m
Implied $206.2m</t>
        </r>
      </text>
    </comment>
    <comment ref="BT44" authorId="0">
      <text>
        <r>
          <rPr>
            <b/>
            <sz val="9"/>
            <color indexed="81"/>
            <rFont val="Tahoma"/>
            <family val="2"/>
          </rPr>
          <t>Savino, Mark (Research):</t>
        </r>
        <r>
          <rPr>
            <sz val="9"/>
            <color indexed="81"/>
            <rFont val="Tahoma"/>
            <family val="2"/>
          </rPr>
          <t xml:space="preserve">
3Q17: $868.7m
2Q17: $867.4m (includes $11m of incremental Tunica EBITDA less $0.5m severance and $6m stock-based comp)
1Q17: $857.9m (but doesn't include Tunica while we do as expected to close May 1,  add. $12m)
4Q16: $840.0m</t>
        </r>
      </text>
    </comment>
    <comment ref="BE46" authorId="0">
      <text>
        <r>
          <rPr>
            <b/>
            <sz val="9"/>
            <color indexed="81"/>
            <rFont val="Tahoma"/>
            <family val="2"/>
          </rPr>
          <t>Savino, Mark (Research):</t>
        </r>
        <r>
          <rPr>
            <sz val="9"/>
            <color indexed="81"/>
            <rFont val="Tahoma"/>
            <family val="2"/>
          </rPr>
          <t xml:space="preserve">
3Q14: $420.2m
2Q14: $419.3m
1Q14: $418.1m
4Q13: $421.6m</t>
        </r>
      </text>
    </comment>
    <comment ref="BI46" authorId="0">
      <text>
        <r>
          <rPr>
            <b/>
            <sz val="9"/>
            <color indexed="81"/>
            <rFont val="Tahoma"/>
            <family val="2"/>
          </rPr>
          <t>Savino, Mark (Research):</t>
        </r>
        <r>
          <rPr>
            <sz val="9"/>
            <color indexed="81"/>
            <rFont val="Tahoma"/>
            <family val="2"/>
          </rPr>
          <t xml:space="preserve">
Includes $0.65m from rent escalator in November 2015</t>
        </r>
      </text>
    </comment>
    <comment ref="BJ46" authorId="0">
      <text>
        <r>
          <rPr>
            <b/>
            <sz val="9"/>
            <color indexed="81"/>
            <rFont val="Tahoma"/>
            <family val="2"/>
          </rPr>
          <t>Savino, Mark (Research):</t>
        </r>
        <r>
          <rPr>
            <sz val="9"/>
            <color indexed="81"/>
            <rFont val="Tahoma"/>
            <family val="2"/>
          </rPr>
          <t xml:space="preserve">
Includes the additional 2% rent escalator in Nov 2015
3Q15: $436.4m
2Q15: $435.4
(4Q15) $433.8m
(4Q14) $434.1m</t>
        </r>
      </text>
    </comment>
    <comment ref="BA47" authorId="0">
      <text>
        <r>
          <rPr>
            <b/>
            <sz val="9"/>
            <color indexed="81"/>
            <rFont val="Tahoma"/>
            <family val="2"/>
          </rPr>
          <t>Savino, Mark (Research):</t>
        </r>
        <r>
          <rPr>
            <sz val="9"/>
            <color indexed="81"/>
            <rFont val="Tahoma"/>
            <family val="2"/>
          </rPr>
          <t xml:space="preserve">
Above guidance as a result of stronger top-line results in OH</t>
        </r>
      </text>
    </comment>
    <comment ref="Y48" authorId="18">
      <text>
        <r>
          <rPr>
            <b/>
            <sz val="10"/>
            <color indexed="81"/>
            <rFont val="Tahoma"/>
            <family val="2"/>
          </rPr>
          <t>Celeste Brown:</t>
        </r>
        <r>
          <rPr>
            <sz val="10"/>
            <color indexed="81"/>
            <rFont val="Tahoma"/>
            <family val="2"/>
          </rPr>
          <t xml:space="preserve">
$15mm lobbying, $3.2mm one-time severance charge, and $3.0mm one-time stock compensation</t>
        </r>
      </text>
    </comment>
    <comment ref="Z48" authorId="17">
      <text>
        <r>
          <rPr>
            <b/>
            <sz val="9"/>
            <color indexed="81"/>
            <rFont val="Tahoma"/>
            <family val="2"/>
          </rPr>
          <t>thallen:</t>
        </r>
        <r>
          <rPr>
            <sz val="9"/>
            <color indexed="81"/>
            <rFont val="Tahoma"/>
            <family val="2"/>
          </rPr>
          <t xml:space="preserve">
$24.9mm Ohio lobbying charge
 $2.3mm charge for extending stock options
$1.1mm separation payments</t>
        </r>
      </text>
    </comment>
    <comment ref="AD48" authorId="13">
      <text>
        <r>
          <rPr>
            <b/>
            <sz val="8"/>
            <color indexed="81"/>
            <rFont val="Tahoma"/>
            <family val="2"/>
          </rPr>
          <t>urbankev:</t>
        </r>
        <r>
          <rPr>
            <sz val="8"/>
            <color indexed="81"/>
            <rFont val="Tahoma"/>
            <family val="2"/>
          </rPr>
          <t xml:space="preserve">
Ohio lobbying expense of $11.2 and write-down of Zia Park construction of $1.1</t>
        </r>
      </text>
    </comment>
    <comment ref="AE48" authorId="13">
      <text>
        <r>
          <rPr>
            <b/>
            <sz val="8"/>
            <color indexed="81"/>
            <rFont val="Tahoma"/>
            <family val="2"/>
          </rPr>
          <t>urbankev:</t>
        </r>
        <r>
          <rPr>
            <sz val="8"/>
            <color indexed="81"/>
            <rFont val="Tahoma"/>
            <family val="2"/>
          </rPr>
          <t xml:space="preserve">
Per mgmt, total Ohio lobbying in 2009 was $24mm, net of reimbursement.</t>
        </r>
      </text>
    </comment>
    <comment ref="AH48" authorId="13">
      <text>
        <r>
          <rPr>
            <sz val="8"/>
            <color indexed="81"/>
            <rFont val="Tahoma"/>
            <family val="2"/>
          </rPr>
          <t xml:space="preserve">
$6.6m charge at Aurora</t>
        </r>
      </text>
    </comment>
    <comment ref="AI48" authorId="9">
      <text>
        <r>
          <rPr>
            <b/>
            <sz val="8"/>
            <color indexed="81"/>
            <rFont val="Tahoma"/>
            <family val="2"/>
          </rPr>
          <t>stramark:</t>
        </r>
        <r>
          <rPr>
            <sz val="8"/>
            <color indexed="81"/>
            <rFont val="Tahoma"/>
            <family val="2"/>
          </rPr>
          <t xml:space="preserve">
Pre-opening expenses at Hollywood Casino Perryville</t>
        </r>
      </text>
    </comment>
    <comment ref="AJ48" authorId="10">
      <text>
        <r>
          <rPr>
            <b/>
            <sz val="8"/>
            <color indexed="81"/>
            <rFont val="Tahoma"/>
            <family val="2"/>
          </rPr>
          <t>danfuss:</t>
        </r>
        <r>
          <rPr>
            <sz val="8"/>
            <color indexed="81"/>
            <rFont val="Tahoma"/>
            <family val="2"/>
          </rPr>
          <t xml:space="preserve">
$3.0 mm Restructuring chare at Bullwhackers and Penn's share of impairment charge
$14.4 Impairment charge and lobbying costs incurred at Maryland Jockey Club</t>
        </r>
      </text>
    </comment>
    <comment ref="AM48" authorId="10">
      <text>
        <r>
          <rPr>
            <b/>
            <sz val="8"/>
            <color indexed="81"/>
            <rFont val="Tahoma"/>
            <family val="2"/>
          </rPr>
          <t>danfuss:</t>
        </r>
        <r>
          <rPr>
            <sz val="8"/>
            <color indexed="81"/>
            <rFont val="Tahoma"/>
            <family val="2"/>
          </rPr>
          <t xml:space="preserve">
Related to M Resort transaction</t>
        </r>
      </text>
    </comment>
    <comment ref="AN48" authorId="10">
      <text>
        <r>
          <rPr>
            <b/>
            <sz val="8"/>
            <color indexed="81"/>
            <rFont val="Tahoma"/>
            <family val="2"/>
          </rPr>
          <t>DJF:</t>
        </r>
        <r>
          <rPr>
            <sz val="8"/>
            <color indexed="81"/>
            <rFont val="Tahoma"/>
            <family val="2"/>
          </rPr>
          <t xml:space="preserve">
Pre-opening costs</t>
        </r>
      </text>
    </comment>
    <comment ref="AO48" authorId="10">
      <text>
        <r>
          <rPr>
            <b/>
            <sz val="8"/>
            <color indexed="81"/>
            <rFont val="Tahoma"/>
            <family val="2"/>
          </rPr>
          <t>DJF:</t>
        </r>
        <r>
          <rPr>
            <sz val="8"/>
            <color indexed="81"/>
            <rFont val="Tahoma"/>
            <family val="2"/>
          </rPr>
          <t xml:space="preserve">
2.8mn pre-opening</t>
        </r>
      </text>
    </comment>
    <comment ref="AQ48" authorId="2">
      <text>
        <r>
          <rPr>
            <b/>
            <sz val="8"/>
            <color indexed="81"/>
            <rFont val="Tahoma"/>
            <family val="2"/>
          </rPr>
          <t>AM: 2/2/12:</t>
        </r>
        <r>
          <rPr>
            <sz val="8"/>
            <color indexed="81"/>
            <rFont val="Tahoma"/>
            <family val="2"/>
          </rPr>
          <t xml:space="preserve">
Per 4Q12 release, $7.3m of pre-opening expenses expeted in 1Q12</t>
        </r>
      </text>
    </comment>
    <comment ref="AR48" authorId="3">
      <text>
        <r>
          <rPr>
            <b/>
            <sz val="8"/>
            <color indexed="81"/>
            <rFont val="Tahoma"/>
            <family val="2"/>
          </rPr>
          <t>AM: 4/19/12:</t>
        </r>
        <r>
          <rPr>
            <sz val="8"/>
            <color indexed="81"/>
            <rFont val="Tahoma"/>
            <family val="2"/>
          </rPr>
          <t xml:space="preserve">
Guidance of $7.6m</t>
        </r>
      </text>
    </comment>
    <comment ref="AS48" authorId="4">
      <text>
        <r>
          <rPr>
            <b/>
            <sz val="8"/>
            <color indexed="81"/>
            <rFont val="Tahoma"/>
            <family val="2"/>
          </rPr>
          <t xml:space="preserve">AM: 10/18/12
</t>
        </r>
        <r>
          <rPr>
            <sz val="8"/>
            <color indexed="81"/>
            <rFont val="Tahoma"/>
            <family val="2"/>
          </rPr>
          <t xml:space="preserve">Incl $19.2m of MD lobbying expense </t>
        </r>
        <r>
          <rPr>
            <b/>
            <sz val="8"/>
            <color indexed="81"/>
            <rFont val="Tahoma"/>
            <family val="2"/>
          </rPr>
          <t xml:space="preserve">
AM: 7/24/12:</t>
        </r>
        <r>
          <rPr>
            <sz val="8"/>
            <color indexed="81"/>
            <rFont val="Tahoma"/>
            <family val="2"/>
          </rPr>
          <t xml:space="preserve">
$8.5m guidance</t>
        </r>
      </text>
    </comment>
    <comment ref="AT48" authorId="19">
      <text>
        <r>
          <rPr>
            <b/>
            <sz val="8"/>
            <color indexed="81"/>
            <rFont val="Tahoma"/>
            <family val="2"/>
          </rPr>
          <t xml:space="preserve">thallen:
</t>
        </r>
        <r>
          <rPr>
            <sz val="8"/>
            <color indexed="81"/>
            <rFont val="Tahoma"/>
            <family val="2"/>
          </rPr>
          <t xml:space="preserve">$26.0m of MD lobbying expense. </t>
        </r>
        <r>
          <rPr>
            <b/>
            <sz val="8"/>
            <color indexed="81"/>
            <rFont val="Tahoma"/>
            <family val="2"/>
          </rPr>
          <t xml:space="preserve">
</t>
        </r>
        <r>
          <rPr>
            <sz val="8"/>
            <color indexed="81"/>
            <rFont val="Tahoma"/>
            <family val="2"/>
          </rPr>
          <t>$6.4mm legal accrual for Cherokee County, KS litigation
$0.4mm pre-opening</t>
        </r>
      </text>
    </comment>
    <comment ref="AU48" authorId="2">
      <text>
        <r>
          <rPr>
            <b/>
            <sz val="8"/>
            <color indexed="81"/>
            <rFont val="Tahoma"/>
            <family val="2"/>
          </rPr>
          <t xml:space="preserve">AM: 7/24/12:
</t>
        </r>
        <r>
          <rPr>
            <sz val="8"/>
            <color indexed="81"/>
            <rFont val="Tahoma"/>
            <family val="2"/>
          </rPr>
          <t>Per 2Q12 release, $24.3m</t>
        </r>
        <r>
          <rPr>
            <b/>
            <sz val="8"/>
            <color indexed="81"/>
            <rFont val="Tahoma"/>
            <family val="2"/>
          </rPr>
          <t xml:space="preserve">
AM: 2/2/12:
</t>
        </r>
        <r>
          <rPr>
            <sz val="8"/>
            <color indexed="81"/>
            <rFont val="Tahoma"/>
            <family val="2"/>
          </rPr>
          <t>Per 1Q12 release, $22m</t>
        </r>
        <r>
          <rPr>
            <b/>
            <sz val="8"/>
            <color indexed="81"/>
            <rFont val="Tahoma"/>
            <family val="2"/>
          </rPr>
          <t xml:space="preserve">
AM: 2/2/12:</t>
        </r>
        <r>
          <rPr>
            <sz val="8"/>
            <color indexed="81"/>
            <rFont val="Tahoma"/>
            <family val="2"/>
          </rPr>
          <t xml:space="preserve">
Per 4Q11 release, $17.2m</t>
        </r>
      </text>
    </comment>
    <comment ref="AV48" authorId="17">
      <text>
        <r>
          <rPr>
            <b/>
            <sz val="8"/>
            <color indexed="81"/>
            <rFont val="Tahoma"/>
            <family val="2"/>
          </rPr>
          <t>thallen:</t>
        </r>
        <r>
          <rPr>
            <sz val="8"/>
            <color indexed="81"/>
            <rFont val="Tahoma"/>
            <family val="2"/>
          </rPr>
          <t xml:space="preserve">
$2.3mm REIT txn costs, $1.9mm development costs.
Excl. $3.4mm RSU cost</t>
        </r>
      </text>
    </comment>
    <comment ref="AW48" authorId="17">
      <text>
        <r>
          <rPr>
            <b/>
            <sz val="8"/>
            <color indexed="81"/>
            <rFont val="Tahoma"/>
            <family val="2"/>
          </rPr>
          <t>thallen:</t>
        </r>
        <r>
          <rPr>
            <sz val="8"/>
            <color indexed="81"/>
            <rFont val="Tahoma"/>
            <family val="2"/>
          </rPr>
          <t xml:space="preserve">
$2.3mm REIT txn costs, $2.5mm development costs.
Excl. $3.4mm RSU cost</t>
        </r>
      </text>
    </comment>
    <comment ref="AX48" authorId="12">
      <text>
        <r>
          <rPr>
            <b/>
            <sz val="8"/>
            <color indexed="81"/>
            <rFont val="Tahoma"/>
            <family val="2"/>
          </rPr>
          <t>savinmar:</t>
        </r>
        <r>
          <rPr>
            <sz val="8"/>
            <color indexed="81"/>
            <rFont val="Tahoma"/>
            <family val="2"/>
          </rPr>
          <t xml:space="preserve">
-$3.8m termination charges from spin-off in property results
-$5.1m spin-off transaction costs in corporate overhead
-$3.1m benefit from other corporate items</t>
        </r>
      </text>
    </comment>
    <comment ref="AO49" authorId="11">
      <text>
        <r>
          <rPr>
            <b/>
            <sz val="8"/>
            <color indexed="81"/>
            <rFont val="Tahoma"/>
            <family val="2"/>
          </rPr>
          <t>AM: 2/2/12:</t>
        </r>
        <r>
          <rPr>
            <sz val="8"/>
            <color indexed="81"/>
            <rFont val="Tahoma"/>
            <family val="2"/>
          </rPr>
          <t xml:space="preserve">
Charge related to NJ racing assets.</t>
        </r>
      </text>
    </comment>
    <comment ref="AJ50" authorId="20">
      <text>
        <r>
          <rPr>
            <b/>
            <sz val="8"/>
            <color indexed="81"/>
            <rFont val="Tahoma"/>
            <family val="2"/>
          </rPr>
          <t>AM: 10/21/10:</t>
        </r>
        <r>
          <rPr>
            <sz val="8"/>
            <color indexed="81"/>
            <rFont val="Tahoma"/>
            <family val="2"/>
          </rPr>
          <t xml:space="preserve">
Guidance of $144.0m</t>
        </r>
      </text>
    </comment>
    <comment ref="AL50" authorId="21">
      <text>
        <r>
          <rPr>
            <b/>
            <sz val="8"/>
            <color indexed="81"/>
            <rFont val="Tahoma"/>
            <family val="2"/>
          </rPr>
          <t>AM: 2/03/11:</t>
        </r>
        <r>
          <rPr>
            <sz val="8"/>
            <color indexed="81"/>
            <rFont val="Tahoma"/>
            <family val="2"/>
          </rPr>
          <t xml:space="preserve">
Guidance of $169.6m </t>
        </r>
      </text>
    </comment>
    <comment ref="AM50" authorId="22">
      <text>
        <r>
          <rPr>
            <b/>
            <sz val="8"/>
            <color indexed="81"/>
            <rFont val="Tahoma"/>
            <family val="2"/>
          </rPr>
          <t>AM: 4/21/11:</t>
        </r>
        <r>
          <rPr>
            <sz val="8"/>
            <color indexed="81"/>
            <rFont val="Tahoma"/>
            <family val="2"/>
          </rPr>
          <t xml:space="preserve">
Guidance of $179.4m</t>
        </r>
      </text>
    </comment>
    <comment ref="AN50" authorId="23">
      <text>
        <r>
          <rPr>
            <b/>
            <sz val="8"/>
            <color indexed="81"/>
            <rFont val="Tahoma"/>
            <family val="2"/>
          </rPr>
          <t>AM: 7/21/11:</t>
        </r>
        <r>
          <rPr>
            <sz val="8"/>
            <color indexed="81"/>
            <rFont val="Tahoma"/>
            <family val="2"/>
          </rPr>
          <t xml:space="preserve">
$197.4M guidance (incl $20M gain from MD Jockey Club sale)</t>
        </r>
      </text>
    </comment>
    <comment ref="AO50" authorId="23">
      <text>
        <r>
          <rPr>
            <b/>
            <sz val="8"/>
            <color indexed="81"/>
            <rFont val="Tahoma"/>
            <family val="2"/>
          </rPr>
          <t>AM: 7/21/11:</t>
        </r>
        <r>
          <rPr>
            <sz val="8"/>
            <color indexed="81"/>
            <rFont val="Tahoma"/>
            <family val="2"/>
          </rPr>
          <t xml:space="preserve">
Implied guidance of $158M
</t>
        </r>
        <r>
          <rPr>
            <b/>
            <sz val="8"/>
            <color indexed="81"/>
            <rFont val="Tahoma"/>
            <family val="2"/>
          </rPr>
          <t>DJF: 10/19/11:</t>
        </r>
        <r>
          <rPr>
            <sz val="8"/>
            <color indexed="81"/>
            <rFont val="Tahoma"/>
            <family val="2"/>
          </rPr>
          <t xml:space="preserve">
Guidance of $160 mn</t>
        </r>
      </text>
    </comment>
    <comment ref="AP50" authorId="21">
      <text>
        <r>
          <rPr>
            <b/>
            <sz val="8"/>
            <color indexed="81"/>
            <rFont val="Tahoma"/>
            <family val="2"/>
          </rPr>
          <t xml:space="preserve">AM: 7/21/11:
</t>
        </r>
        <r>
          <rPr>
            <sz val="8"/>
            <color indexed="81"/>
            <rFont val="Tahoma"/>
            <family val="2"/>
          </rPr>
          <t>Guidance of $723.5m</t>
        </r>
        <r>
          <rPr>
            <b/>
            <sz val="8"/>
            <color indexed="81"/>
            <rFont val="Tahoma"/>
            <family val="2"/>
          </rPr>
          <t xml:space="preserve">
AM: 4/21/11:
</t>
        </r>
        <r>
          <rPr>
            <sz val="8"/>
            <color indexed="81"/>
            <rFont val="Tahoma"/>
            <family val="2"/>
          </rPr>
          <t>Guidance of $677m</t>
        </r>
        <r>
          <rPr>
            <b/>
            <sz val="8"/>
            <color indexed="81"/>
            <rFont val="Tahoma"/>
            <family val="2"/>
          </rPr>
          <t xml:space="preserve">
AM: 2/03/11:</t>
        </r>
        <r>
          <rPr>
            <sz val="8"/>
            <color indexed="81"/>
            <rFont val="Tahoma"/>
            <family val="2"/>
          </rPr>
          <t xml:space="preserve">
Per 4Q10 release, $662.9m</t>
        </r>
      </text>
    </comment>
    <comment ref="AQ50" authorId="2">
      <text>
        <r>
          <rPr>
            <b/>
            <sz val="8"/>
            <color indexed="81"/>
            <rFont val="Tahoma"/>
            <family val="2"/>
          </rPr>
          <t>AM: 2/2/12:</t>
        </r>
        <r>
          <rPr>
            <sz val="8"/>
            <color indexed="81"/>
            <rFont val="Tahoma"/>
            <family val="2"/>
          </rPr>
          <t xml:space="preserve">
Per 4Q11 release, guidance of $173.8m (guide incl $7.3m of pre-opening. $181m adj EBITDA guidance)</t>
        </r>
      </text>
    </comment>
    <comment ref="AR50" authorId="3">
      <text>
        <r>
          <rPr>
            <b/>
            <sz val="8"/>
            <color indexed="81"/>
            <rFont val="Tahoma"/>
            <family val="2"/>
          </rPr>
          <t>AM: 4/19/12:</t>
        </r>
        <r>
          <rPr>
            <sz val="8"/>
            <color indexed="81"/>
            <rFont val="Tahoma"/>
            <family val="2"/>
          </rPr>
          <t xml:space="preserve">
Guidance of $187.9m</t>
        </r>
      </text>
    </comment>
    <comment ref="AS50" authorId="4">
      <text>
        <r>
          <rPr>
            <b/>
            <sz val="8"/>
            <color indexed="81"/>
            <rFont val="Tahoma"/>
            <family val="2"/>
          </rPr>
          <t>AM: 7/24/12:</t>
        </r>
        <r>
          <rPr>
            <sz val="8"/>
            <color indexed="81"/>
            <rFont val="Tahoma"/>
            <family val="2"/>
          </rPr>
          <t xml:space="preserve">
Guidance of $184m</t>
        </r>
      </text>
    </comment>
    <comment ref="AT50" authorId="4">
      <text>
        <r>
          <rPr>
            <sz val="8"/>
            <color indexed="81"/>
            <rFont val="Tahoma"/>
            <family val="2"/>
          </rPr>
          <t>"4Q operating results fell short of our guidance targets as our newer facilities have taken longer than expected to ramp up and industry-wide regional gaming revenue trends softened during the period. Consolidated results reflect a number of factors, including lobbying expenses, development costs associated with new greenfield opportunities, transaction costs associated with our proposed REIT transaction, and litigation accruals"</t>
        </r>
        <r>
          <rPr>
            <b/>
            <sz val="8"/>
            <color indexed="81"/>
            <rFont val="Tahoma"/>
            <family val="2"/>
          </rPr>
          <t xml:space="preserve">
AM: 10/18/12:
</t>
        </r>
        <r>
          <rPr>
            <sz val="8"/>
            <color indexed="81"/>
            <rFont val="Tahoma"/>
            <family val="2"/>
          </rPr>
          <t>Guidance of $206.2m (incl 2 months of STL acquisition).</t>
        </r>
        <r>
          <rPr>
            <b/>
            <sz val="8"/>
            <color indexed="81"/>
            <rFont val="Tahoma"/>
            <family val="2"/>
          </rPr>
          <t xml:space="preserve">
AM: 7/24/12:</t>
        </r>
        <r>
          <rPr>
            <sz val="8"/>
            <color indexed="81"/>
            <rFont val="Tahoma"/>
            <family val="2"/>
          </rPr>
          <t xml:space="preserve">
Implied guidance of $194.5m</t>
        </r>
      </text>
    </comment>
    <comment ref="AU50" authorId="2">
      <text>
        <r>
          <rPr>
            <b/>
            <sz val="8"/>
            <color indexed="81"/>
            <rFont val="Tahoma"/>
            <family val="2"/>
          </rPr>
          <t xml:space="preserve">AM: 10/18/12:
</t>
        </r>
        <r>
          <rPr>
            <sz val="8"/>
            <color indexed="81"/>
            <rFont val="Tahoma"/>
            <family val="2"/>
          </rPr>
          <t xml:space="preserve">Guidance of $765.3m (incl 2 months of STL) and $19m of lobbying expense incurred in 3Q12. </t>
        </r>
        <r>
          <rPr>
            <b/>
            <sz val="8"/>
            <color indexed="81"/>
            <rFont val="Tahoma"/>
            <family val="2"/>
          </rPr>
          <t xml:space="preserve">
AM: 7/24/12:
</t>
        </r>
        <r>
          <rPr>
            <sz val="8"/>
            <color indexed="81"/>
            <rFont val="Tahoma"/>
            <family val="2"/>
          </rPr>
          <t>Per 2Q12 release, guidance of $769.0m (incl $24.3m of pre-opening)</t>
        </r>
        <r>
          <rPr>
            <b/>
            <sz val="8"/>
            <color indexed="81"/>
            <rFont val="Tahoma"/>
            <family val="2"/>
          </rPr>
          <t xml:space="preserve">
AM: 4/19/12:
</t>
        </r>
        <r>
          <rPr>
            <sz val="8"/>
            <color indexed="81"/>
            <rFont val="Tahoma"/>
            <family val="2"/>
          </rPr>
          <t>Per 1Q12 release, guidance of $762.2m (incl $22m of pre-opening)</t>
        </r>
        <r>
          <rPr>
            <b/>
            <sz val="8"/>
            <color indexed="81"/>
            <rFont val="Tahoma"/>
            <family val="2"/>
          </rPr>
          <t xml:space="preserve">
AM: 2/2/12:</t>
        </r>
        <r>
          <rPr>
            <sz val="8"/>
            <color indexed="81"/>
            <rFont val="Tahoma"/>
            <family val="2"/>
          </rPr>
          <t xml:space="preserve">
Per 4Q11 release, guidance of $720.6m (guide incl $17.2m of pre-opening. $738m adj EBITDA guidance)</t>
        </r>
      </text>
    </comment>
    <comment ref="AW50" authorId="12">
      <text>
        <r>
          <rPr>
            <b/>
            <sz val="8"/>
            <color indexed="81"/>
            <rFont val="Tahoma"/>
            <family val="2"/>
          </rPr>
          <t>savinmar:</t>
        </r>
        <r>
          <rPr>
            <sz val="8"/>
            <color indexed="81"/>
            <rFont val="Tahoma"/>
            <family val="2"/>
          </rPr>
          <t xml:space="preserve">
includes $4.3m of favorable tax settlements</t>
        </r>
      </text>
    </comment>
    <comment ref="AU54" authorId="17">
      <text>
        <r>
          <rPr>
            <b/>
            <sz val="8"/>
            <color indexed="81"/>
            <rFont val="Tahoma"/>
            <family val="2"/>
          </rPr>
          <t>thallen:</t>
        </r>
        <r>
          <rPr>
            <sz val="8"/>
            <color indexed="81"/>
            <rFont val="Tahoma"/>
            <family val="2"/>
          </rPr>
          <t xml:space="preserve">
Mgmt adj. EBITDA $763mm, adds back just $45mm for MD lobbying and $6.4mm Cherokee County ligiation settlement</t>
        </r>
      </text>
    </comment>
    <comment ref="AW54" authorId="12">
      <text>
        <r>
          <rPr>
            <b/>
            <sz val="8"/>
            <color indexed="81"/>
            <rFont val="Tahoma"/>
            <family val="2"/>
          </rPr>
          <t>savinmar:</t>
        </r>
        <r>
          <rPr>
            <sz val="8"/>
            <color indexed="81"/>
            <rFont val="Tahoma"/>
            <family val="2"/>
          </rPr>
          <t xml:space="preserve">
includes $4.3m of favorable tax settlements</t>
        </r>
      </text>
    </comment>
    <comment ref="A57" authorId="5">
      <text>
        <r>
          <rPr>
            <sz val="8"/>
            <color indexed="81"/>
            <rFont val="Tahoma"/>
            <family val="2"/>
          </rPr>
          <t xml:space="preserve">Adjusted EBITDA is income (loss) from operations, excluding the impact of stock compensation, insurance recoveries and deductible charges, depreciation and amortization, and gain or loss on disposal of assets, and is inclusive of gain or loss from unconsolidated affiliates
</t>
        </r>
      </text>
    </comment>
    <comment ref="C57" authorId="5">
      <text>
        <r>
          <rPr>
            <sz val="8"/>
            <color indexed="81"/>
            <rFont val="Tahoma"/>
            <family val="2"/>
          </rPr>
          <t xml:space="preserve">Without Shreverport+
</t>
        </r>
      </text>
    </comment>
    <comment ref="D57" authorId="5">
      <text>
        <r>
          <rPr>
            <sz val="8"/>
            <color indexed="81"/>
            <rFont val="Tahoma"/>
            <family val="2"/>
          </rPr>
          <t xml:space="preserve">Without Shreverport+
</t>
        </r>
      </text>
    </comment>
    <comment ref="Y57" authorId="5">
      <text>
        <r>
          <rPr>
            <sz val="8"/>
            <color indexed="81"/>
            <rFont val="Tahoma"/>
            <family val="2"/>
          </rPr>
          <t xml:space="preserve">Revised Guidance
</t>
        </r>
      </text>
    </comment>
    <comment ref="AT57" authorId="5">
      <text>
        <r>
          <rPr>
            <sz val="8"/>
            <color indexed="81"/>
            <rFont val="Tahoma"/>
            <family val="2"/>
          </rPr>
          <t>Guidance as given in 3Q12 Press Release
Guidance of $182.4mm given on 11/15/12 press release includes negative impact from lobbying costs</t>
        </r>
      </text>
    </comment>
    <comment ref="AU57" authorId="5">
      <text>
        <r>
          <rPr>
            <sz val="8"/>
            <color indexed="81"/>
            <rFont val="Tahoma"/>
            <family val="2"/>
          </rPr>
          <t>Guidance as given in 3Q12 Press Release
New guidance of $741.5mm given on 11/15/12 includes MD lobbying cost</t>
        </r>
      </text>
    </comment>
    <comment ref="AZ57" authorId="6">
      <text>
        <r>
          <rPr>
            <b/>
            <sz val="8"/>
            <color indexed="81"/>
            <rFont val="Tahoma"/>
            <family val="2"/>
          </rPr>
          <t>thallen:</t>
        </r>
        <r>
          <rPr>
            <b/>
            <sz val="8"/>
            <color indexed="81"/>
            <rFont val="Tahoma"/>
            <family val="2"/>
          </rPr>
          <t xml:space="preserve">
Suspended guidance as of 3Q13 earnings
</t>
        </r>
        <r>
          <rPr>
            <sz val="8"/>
            <color indexed="81"/>
            <rFont val="Tahoma"/>
            <family val="2"/>
          </rPr>
          <t>OLD:</t>
        </r>
        <r>
          <rPr>
            <b/>
            <sz val="8"/>
            <color indexed="81"/>
            <rFont val="Tahoma"/>
            <family val="2"/>
          </rPr>
          <t xml:space="preserve">
Per 2Q13 earnings
</t>
        </r>
        <r>
          <rPr>
            <sz val="8"/>
            <color indexed="81"/>
            <rFont val="Tahoma"/>
            <family val="2"/>
          </rPr>
          <t>$805.1</t>
        </r>
        <r>
          <rPr>
            <b/>
            <sz val="8"/>
            <color indexed="81"/>
            <rFont val="Tahoma"/>
            <family val="2"/>
          </rPr>
          <t xml:space="preserve">
Per 1Q13 earnings
</t>
        </r>
        <r>
          <rPr>
            <sz val="8"/>
            <color indexed="81"/>
            <rFont val="Tahoma"/>
            <family val="2"/>
          </rPr>
          <t>$875.8</t>
        </r>
        <r>
          <rPr>
            <b/>
            <sz val="8"/>
            <color indexed="81"/>
            <rFont val="Tahoma"/>
            <family val="2"/>
          </rPr>
          <t xml:space="preserve">
</t>
        </r>
        <r>
          <rPr>
            <b/>
            <sz val="8"/>
            <color indexed="81"/>
            <rFont val="Tahoma"/>
            <family val="2"/>
          </rPr>
          <t xml:space="preserve">Per 4Q12 earnings
</t>
        </r>
        <r>
          <rPr>
            <sz val="8"/>
            <color indexed="81"/>
            <rFont val="Tahoma"/>
            <family val="2"/>
          </rPr>
          <t>$881.2mm
Guidance came down on 1Q call b/c $4mm lower EBITDA in 1Q and $2mm lower 2Q-4Q expectations ($7m higher property-level earnings - $9m development and ESO expense)</t>
        </r>
        <r>
          <rPr>
            <b/>
            <sz val="8"/>
            <color indexed="81"/>
            <rFont val="Tahoma"/>
            <family val="2"/>
          </rPr>
          <t xml:space="preserve">
AM: 11/16/12:</t>
        </r>
        <r>
          <rPr>
            <sz val="8"/>
            <color indexed="81"/>
            <rFont val="Tahoma"/>
            <family val="2"/>
          </rPr>
          <t xml:space="preserve">
Guidance of $905.1m per release</t>
        </r>
      </text>
    </comment>
    <comment ref="BD57" authorId="0">
      <text>
        <r>
          <rPr>
            <b/>
            <sz val="9"/>
            <color indexed="81"/>
            <rFont val="Tahoma"/>
            <family val="2"/>
          </rPr>
          <t>Savino, Mark (Research):</t>
        </r>
        <r>
          <rPr>
            <sz val="9"/>
            <color indexed="81"/>
            <rFont val="Tahoma"/>
            <family val="2"/>
          </rPr>
          <t xml:space="preserve">
Implied</t>
        </r>
      </text>
    </comment>
    <comment ref="BE57" authorId="0">
      <text>
        <r>
          <rPr>
            <b/>
            <sz val="9"/>
            <color indexed="81"/>
            <rFont val="Tahoma"/>
            <family val="2"/>
          </rPr>
          <t>Savino, Mark (Research):</t>
        </r>
        <r>
          <rPr>
            <sz val="9"/>
            <color indexed="81"/>
            <rFont val="Tahoma"/>
            <family val="2"/>
          </rPr>
          <t xml:space="preserve">
3Q14: $276.9m
2Q14: $271.6m
1Q14: Restated $268.1m
4Q13: $280.3m</t>
        </r>
      </text>
    </comment>
    <comment ref="BJ57" authorId="0">
      <text>
        <r>
          <rPr>
            <b/>
            <sz val="9"/>
            <color indexed="81"/>
            <rFont val="Tahoma"/>
            <family val="2"/>
          </rPr>
          <t>Savino, Mark (Research):</t>
        </r>
        <r>
          <rPr>
            <sz val="9"/>
            <color indexed="81"/>
            <rFont val="Tahoma"/>
            <family val="2"/>
          </rPr>
          <t xml:space="preserve">
2Q15: $319.1m
1Q15: $306.5m
4Q14: $305.7m</t>
        </r>
      </text>
    </comment>
    <comment ref="Y59" authorId="18">
      <text>
        <r>
          <rPr>
            <b/>
            <sz val="10"/>
            <color indexed="81"/>
            <rFont val="Tahoma"/>
            <family val="2"/>
          </rPr>
          <t>urbankev:</t>
        </r>
        <r>
          <rPr>
            <sz val="10"/>
            <color indexed="81"/>
            <rFont val="Tahoma"/>
            <family val="2"/>
          </rPr>
          <t xml:space="preserve">
Excludes $3mm one-time stock comp</t>
        </r>
      </text>
    </comment>
    <comment ref="Z59" authorId="13">
      <text>
        <r>
          <rPr>
            <b/>
            <sz val="8"/>
            <color indexed="81"/>
            <rFont val="Tahoma"/>
            <family val="2"/>
          </rPr>
          <t>urbankev:</t>
        </r>
        <r>
          <rPr>
            <sz val="8"/>
            <color indexed="81"/>
            <rFont val="Tahoma"/>
            <family val="2"/>
          </rPr>
          <t xml:space="preserve">
Includes $2.3mm charge for the extension of stock options.</t>
        </r>
      </text>
    </comment>
    <comment ref="AM59" authorId="22">
      <text>
        <r>
          <rPr>
            <b/>
            <sz val="8"/>
            <color indexed="81"/>
            <rFont val="Tahoma"/>
            <family val="2"/>
          </rPr>
          <t>AM: 4/21/11:</t>
        </r>
        <r>
          <rPr>
            <sz val="8"/>
            <color indexed="81"/>
            <rFont val="Tahoma"/>
            <family val="2"/>
          </rPr>
          <t xml:space="preserve">
$6.3m per release.</t>
        </r>
      </text>
    </comment>
    <comment ref="AP59" authorId="22">
      <text>
        <r>
          <rPr>
            <b/>
            <sz val="8"/>
            <color indexed="81"/>
            <rFont val="Tahoma"/>
            <family val="2"/>
          </rPr>
          <t>AM: 4/21/11:</t>
        </r>
        <r>
          <rPr>
            <sz val="8"/>
            <color indexed="81"/>
            <rFont val="Tahoma"/>
            <family val="2"/>
          </rPr>
          <t xml:space="preserve">
$25.1m per release.</t>
        </r>
      </text>
    </comment>
    <comment ref="AR59" authorId="3">
      <text>
        <r>
          <rPr>
            <b/>
            <sz val="8"/>
            <color indexed="81"/>
            <rFont val="Tahoma"/>
            <family val="2"/>
          </rPr>
          <t>AM: 4/19/12:</t>
        </r>
        <r>
          <rPr>
            <sz val="8"/>
            <color indexed="81"/>
            <rFont val="Tahoma"/>
            <family val="2"/>
          </rPr>
          <t xml:space="preserve">
$7.2m guidance</t>
        </r>
      </text>
    </comment>
    <comment ref="AS59" authorId="4">
      <text>
        <r>
          <rPr>
            <b/>
            <sz val="8"/>
            <color indexed="81"/>
            <rFont val="Tahoma"/>
            <family val="2"/>
          </rPr>
          <t>AM: 7/24/12:</t>
        </r>
        <r>
          <rPr>
            <sz val="8"/>
            <color indexed="81"/>
            <rFont val="Tahoma"/>
            <family val="2"/>
          </rPr>
          <t xml:space="preserve">
$7.2m guide</t>
        </r>
      </text>
    </comment>
    <comment ref="AU59" authorId="3">
      <text>
        <r>
          <rPr>
            <b/>
            <sz val="8"/>
            <color indexed="81"/>
            <rFont val="Tahoma"/>
            <family val="2"/>
          </rPr>
          <t>AM: 7/24/12:
$29.7m guidance
AM: 4/19/12:</t>
        </r>
        <r>
          <rPr>
            <sz val="8"/>
            <color indexed="81"/>
            <rFont val="Tahoma"/>
            <family val="2"/>
          </rPr>
          <t xml:space="preserve">
$29.4m guidance</t>
        </r>
      </text>
    </comment>
    <comment ref="AW59" authorId="17">
      <text>
        <r>
          <rPr>
            <b/>
            <sz val="8"/>
            <color indexed="81"/>
            <rFont val="Tahoma"/>
            <family val="2"/>
          </rPr>
          <t>thallen:</t>
        </r>
        <r>
          <rPr>
            <sz val="8"/>
            <color indexed="81"/>
            <rFont val="Tahoma"/>
            <family val="2"/>
          </rPr>
          <t xml:space="preserve">
Guidance: $6.6mm</t>
        </r>
      </text>
    </comment>
    <comment ref="AX59" authorId="12">
      <text>
        <r>
          <rPr>
            <b/>
            <sz val="8"/>
            <color indexed="81"/>
            <rFont val="Tahoma"/>
            <family val="2"/>
          </rPr>
          <t>savinmar:</t>
        </r>
        <r>
          <rPr>
            <sz val="8"/>
            <color indexed="81"/>
            <rFont val="Tahoma"/>
            <family val="2"/>
          </rPr>
          <t xml:space="preserve">
Guidance
$6.2m</t>
        </r>
      </text>
    </comment>
    <comment ref="AZ59" authorId="6">
      <text>
        <r>
          <rPr>
            <b/>
            <sz val="8"/>
            <color indexed="81"/>
            <rFont val="Tahoma"/>
            <family val="2"/>
          </rPr>
          <t xml:space="preserve">thallen:
</t>
        </r>
        <r>
          <rPr>
            <sz val="8"/>
            <color indexed="81"/>
            <rFont val="Tahoma"/>
            <family val="2"/>
          </rPr>
          <t>Guidance: $23.6 (then back out GLPI share)</t>
        </r>
        <r>
          <rPr>
            <b/>
            <sz val="8"/>
            <color indexed="81"/>
            <rFont val="Tahoma"/>
            <family val="2"/>
          </rPr>
          <t xml:space="preserve">
OLD:
</t>
        </r>
        <r>
          <rPr>
            <sz val="8"/>
            <color indexed="81"/>
            <rFont val="Tahoma"/>
            <family val="2"/>
          </rPr>
          <t>$24.8mm</t>
        </r>
        <r>
          <rPr>
            <b/>
            <sz val="8"/>
            <color indexed="81"/>
            <rFont val="Tahoma"/>
            <family val="2"/>
          </rPr>
          <t xml:space="preserve">
OLD: 
</t>
        </r>
        <r>
          <rPr>
            <sz val="8"/>
            <color indexed="81"/>
            <rFont val="Tahoma"/>
            <family val="2"/>
          </rPr>
          <t>(per 4Q12 earnings): $25.7mm</t>
        </r>
        <r>
          <rPr>
            <b/>
            <sz val="8"/>
            <color indexed="81"/>
            <rFont val="Tahoma"/>
            <family val="2"/>
          </rPr>
          <t xml:space="preserve">
AM: 11/16/12:</t>
        </r>
        <r>
          <rPr>
            <sz val="8"/>
            <color indexed="81"/>
            <rFont val="Tahoma"/>
            <family val="2"/>
          </rPr>
          <t xml:space="preserve">
$30.6m per release</t>
        </r>
      </text>
    </comment>
    <comment ref="BI59" authorId="0">
      <text>
        <r>
          <rPr>
            <b/>
            <sz val="9"/>
            <color indexed="81"/>
            <rFont val="Tahoma"/>
            <family val="2"/>
          </rPr>
          <t>Savino, Mark (Research):</t>
        </r>
        <r>
          <rPr>
            <sz val="9"/>
            <color indexed="81"/>
            <rFont val="Tahoma"/>
            <family val="2"/>
          </rPr>
          <t xml:space="preserve">
Guidance: $2.0m</t>
        </r>
      </text>
    </comment>
    <comment ref="BJ59" authorId="0">
      <text>
        <r>
          <rPr>
            <b/>
            <sz val="9"/>
            <color indexed="81"/>
            <rFont val="Tahoma"/>
            <family val="2"/>
          </rPr>
          <t>Savino, Mark (Research):</t>
        </r>
        <r>
          <rPr>
            <sz val="9"/>
            <color indexed="81"/>
            <rFont val="Tahoma"/>
            <family val="2"/>
          </rPr>
          <t xml:space="preserve">
3Q15: $8.5m
2Q15: $8.5m
Guidance $8.3m
(4Q14) $8.6m</t>
        </r>
      </text>
    </comment>
    <comment ref="BL59" authorId="0">
      <text>
        <r>
          <rPr>
            <b/>
            <sz val="9"/>
            <color indexed="81"/>
            <rFont val="Tahoma"/>
            <family val="2"/>
          </rPr>
          <t>Savino, Mark (Research):</t>
        </r>
        <r>
          <rPr>
            <sz val="9"/>
            <color indexed="81"/>
            <rFont val="Tahoma"/>
            <family val="2"/>
          </rPr>
          <t xml:space="preserve">
Guidance $2.0m</t>
        </r>
      </text>
    </comment>
    <comment ref="BM59" authorId="0">
      <text>
        <r>
          <rPr>
            <b/>
            <sz val="9"/>
            <color indexed="81"/>
            <rFont val="Tahoma"/>
            <family val="2"/>
          </rPr>
          <t>Savino, Mark (Research):</t>
        </r>
        <r>
          <rPr>
            <sz val="9"/>
            <color indexed="81"/>
            <rFont val="Tahoma"/>
            <family val="2"/>
          </rPr>
          <t xml:space="preserve">
Guidance: $2.1m</t>
        </r>
      </text>
    </comment>
    <comment ref="BN59" authorId="0">
      <text>
        <r>
          <rPr>
            <b/>
            <sz val="9"/>
            <color indexed="81"/>
            <rFont val="Tahoma"/>
            <family val="2"/>
          </rPr>
          <t>Savino, Mark (Research):</t>
        </r>
        <r>
          <rPr>
            <sz val="9"/>
            <color indexed="81"/>
            <rFont val="Tahoma"/>
            <family val="2"/>
          </rPr>
          <t xml:space="preserve">
Guidance $3m</t>
        </r>
      </text>
    </comment>
    <comment ref="BO59" authorId="0">
      <text>
        <r>
          <rPr>
            <b/>
            <sz val="9"/>
            <color indexed="81"/>
            <rFont val="Tahoma"/>
            <family val="2"/>
          </rPr>
          <t>Savino, Mark (Research):</t>
        </r>
        <r>
          <rPr>
            <sz val="9"/>
            <color indexed="81"/>
            <rFont val="Tahoma"/>
            <family val="2"/>
          </rPr>
          <t xml:space="preserve">
3Q16: $7.5m
2Q16: $7.1m
1Q16: $7.6m
4Q15: $8.2m</t>
        </r>
      </text>
    </comment>
    <comment ref="BP59" authorId="0">
      <text>
        <r>
          <rPr>
            <b/>
            <sz val="9"/>
            <color indexed="81"/>
            <rFont val="Tahoma"/>
            <family val="2"/>
          </rPr>
          <t>Savino, Mark (Research):</t>
        </r>
        <r>
          <rPr>
            <sz val="9"/>
            <color indexed="81"/>
            <rFont val="Tahoma"/>
            <family val="2"/>
          </rPr>
          <t xml:space="preserve">
Guidance $1.9m</t>
        </r>
      </text>
    </comment>
    <comment ref="BQ59" authorId="8">
      <text>
        <r>
          <rPr>
            <b/>
            <sz val="9"/>
            <color indexed="81"/>
            <rFont val="Tahoma"/>
            <family val="2"/>
          </rPr>
          <t>Allen, Thomas (Research):</t>
        </r>
        <r>
          <rPr>
            <sz val="9"/>
            <color indexed="81"/>
            <rFont val="Tahoma"/>
            <family val="2"/>
          </rPr>
          <t xml:space="preserve">
1Q17 Guide: $2m</t>
        </r>
      </text>
    </comment>
    <comment ref="BR59" authorId="0">
      <text>
        <r>
          <rPr>
            <b/>
            <sz val="9"/>
            <color indexed="81"/>
            <rFont val="Tahoma"/>
            <family val="2"/>
          </rPr>
          <t>Savino, Mark (Research):</t>
        </r>
        <r>
          <rPr>
            <sz val="9"/>
            <color indexed="81"/>
            <rFont val="Tahoma"/>
            <family val="2"/>
          </rPr>
          <t xml:space="preserve">
Guidance $2.0m</t>
        </r>
      </text>
    </comment>
    <comment ref="BS59" authorId="0">
      <text>
        <r>
          <rPr>
            <b/>
            <sz val="9"/>
            <color indexed="81"/>
            <rFont val="Tahoma"/>
            <family val="2"/>
          </rPr>
          <t>Savino, Mark (Research):</t>
        </r>
        <r>
          <rPr>
            <sz val="9"/>
            <color indexed="81"/>
            <rFont val="Tahoma"/>
            <family val="2"/>
          </rPr>
          <t xml:space="preserve">
3Q17: $2.0m</t>
        </r>
      </text>
    </comment>
    <comment ref="BT59" authorId="0">
      <text>
        <r>
          <rPr>
            <b/>
            <sz val="9"/>
            <color indexed="81"/>
            <rFont val="Tahoma"/>
            <family val="2"/>
          </rPr>
          <t>Savino, Mark (Research):</t>
        </r>
        <r>
          <rPr>
            <sz val="9"/>
            <color indexed="81"/>
            <rFont val="Tahoma"/>
            <family val="2"/>
          </rPr>
          <t xml:space="preserve">
3Q17: $7.8m
2Q17: $8.1m
1Q17: $8.3m
4Q16: $7.3m</t>
        </r>
      </text>
    </comment>
    <comment ref="BU59" authorId="0">
      <text>
        <r>
          <rPr>
            <b/>
            <sz val="9"/>
            <color indexed="81"/>
            <rFont val="Tahoma"/>
            <family val="2"/>
          </rPr>
          <t>Savino, Mark (Research):</t>
        </r>
        <r>
          <rPr>
            <sz val="9"/>
            <color indexed="81"/>
            <rFont val="Tahoma"/>
            <family val="2"/>
          </rPr>
          <t xml:space="preserve">
Guidance $2.8m</t>
        </r>
      </text>
    </comment>
    <comment ref="BY59" authorId="0">
      <text>
        <r>
          <rPr>
            <b/>
            <sz val="9"/>
            <color indexed="81"/>
            <rFont val="Tahoma"/>
            <family val="2"/>
          </rPr>
          <t>Savino, Mark (Research):</t>
        </r>
        <r>
          <rPr>
            <sz val="9"/>
            <color indexed="81"/>
            <rFont val="Tahoma"/>
            <family val="2"/>
          </rPr>
          <t xml:space="preserve">
4Q17: $11.4m</t>
        </r>
      </text>
    </comment>
    <comment ref="BL60" authorId="0">
      <text>
        <r>
          <rPr>
            <b/>
            <sz val="9"/>
            <color indexed="81"/>
            <rFont val="Tahoma"/>
            <family val="2"/>
          </rPr>
          <t>Savino, Mark (Research):</t>
        </r>
        <r>
          <rPr>
            <sz val="9"/>
            <color indexed="81"/>
            <rFont val="Tahoma"/>
            <family val="2"/>
          </rPr>
          <t xml:space="preserve">
Guidance $2.6m</t>
        </r>
      </text>
    </comment>
    <comment ref="BM60" authorId="0">
      <text>
        <r>
          <rPr>
            <b/>
            <sz val="9"/>
            <color indexed="81"/>
            <rFont val="Tahoma"/>
            <family val="2"/>
          </rPr>
          <t>Savino, Mark (Research):</t>
        </r>
        <r>
          <rPr>
            <sz val="9"/>
            <color indexed="81"/>
            <rFont val="Tahoma"/>
            <family val="2"/>
          </rPr>
          <t xml:space="preserve">
Guidance: $2.6m</t>
        </r>
      </text>
    </comment>
    <comment ref="BN60" authorId="0">
      <text>
        <r>
          <rPr>
            <b/>
            <sz val="9"/>
            <color indexed="81"/>
            <rFont val="Tahoma"/>
            <family val="2"/>
          </rPr>
          <t>Savino, Mark (Research):</t>
        </r>
        <r>
          <rPr>
            <sz val="9"/>
            <color indexed="81"/>
            <rFont val="Tahoma"/>
            <family val="2"/>
          </rPr>
          <t xml:space="preserve">
Guidance $2.6m</t>
        </r>
      </text>
    </comment>
    <comment ref="BO60" authorId="0">
      <text>
        <r>
          <rPr>
            <b/>
            <sz val="9"/>
            <color indexed="81"/>
            <rFont val="Tahoma"/>
            <family val="2"/>
          </rPr>
          <t>Savino, Mark (Research):</t>
        </r>
        <r>
          <rPr>
            <sz val="9"/>
            <color indexed="81"/>
            <rFont val="Tahoma"/>
            <family val="2"/>
          </rPr>
          <t xml:space="preserve">
3Q16: $10.3m
2Q16: $10.3m
1Q16: $10.3m</t>
        </r>
      </text>
    </comment>
    <comment ref="BP60" authorId="0">
      <text>
        <r>
          <rPr>
            <b/>
            <sz val="9"/>
            <color indexed="81"/>
            <rFont val="Tahoma"/>
            <family val="2"/>
          </rPr>
          <t>Savino, Mark (Research):</t>
        </r>
        <r>
          <rPr>
            <sz val="9"/>
            <color indexed="81"/>
            <rFont val="Tahoma"/>
            <family val="2"/>
          </rPr>
          <t xml:space="preserve">
Guidance $1.9m</t>
        </r>
      </text>
    </comment>
    <comment ref="BQ60" authorId="8">
      <text>
        <r>
          <rPr>
            <b/>
            <sz val="9"/>
            <color indexed="81"/>
            <rFont val="Tahoma"/>
            <family val="2"/>
          </rPr>
          <t>Allen, Thomas (Research):</t>
        </r>
        <r>
          <rPr>
            <sz val="9"/>
            <color indexed="81"/>
            <rFont val="Tahoma"/>
            <family val="2"/>
          </rPr>
          <t xml:space="preserve">
1Q17 Guide: $1.3m</t>
        </r>
      </text>
    </comment>
    <comment ref="BR60" authorId="0">
      <text>
        <r>
          <rPr>
            <b/>
            <sz val="9"/>
            <color indexed="81"/>
            <rFont val="Tahoma"/>
            <family val="2"/>
          </rPr>
          <t>Savino, Mark (Research):</t>
        </r>
        <r>
          <rPr>
            <sz val="9"/>
            <color indexed="81"/>
            <rFont val="Tahoma"/>
            <family val="2"/>
          </rPr>
          <t xml:space="preserve">
Guidance $1.3m</t>
        </r>
      </text>
    </comment>
    <comment ref="BS60" authorId="0">
      <text>
        <r>
          <rPr>
            <b/>
            <sz val="9"/>
            <color indexed="81"/>
            <rFont val="Tahoma"/>
            <family val="2"/>
          </rPr>
          <t>Savino, Mark (Research):</t>
        </r>
        <r>
          <rPr>
            <sz val="9"/>
            <color indexed="81"/>
            <rFont val="Tahoma"/>
            <family val="2"/>
          </rPr>
          <t xml:space="preserve">
3Q17: $1.3m
Implied $1.3m</t>
        </r>
      </text>
    </comment>
    <comment ref="BT60" authorId="0">
      <text>
        <r>
          <rPr>
            <b/>
            <sz val="9"/>
            <color indexed="81"/>
            <rFont val="Tahoma"/>
            <family val="2"/>
          </rPr>
          <t>Savino, Mark (Research):</t>
        </r>
        <r>
          <rPr>
            <sz val="9"/>
            <color indexed="81"/>
            <rFont val="Tahoma"/>
            <family val="2"/>
          </rPr>
          <t xml:space="preserve">
3Q17: $5.8m
2Q17: $5.9m
4Q16: $5.9m</t>
        </r>
      </text>
    </comment>
    <comment ref="BU60" authorId="0">
      <text>
        <r>
          <rPr>
            <b/>
            <sz val="9"/>
            <color indexed="81"/>
            <rFont val="Tahoma"/>
            <family val="2"/>
          </rPr>
          <t>Savino, Mark (Research):</t>
        </r>
        <r>
          <rPr>
            <sz val="9"/>
            <color indexed="81"/>
            <rFont val="Tahoma"/>
            <family val="2"/>
          </rPr>
          <t xml:space="preserve">
Guidance $1.5m</t>
        </r>
      </text>
    </comment>
    <comment ref="BY60" authorId="0">
      <text>
        <r>
          <rPr>
            <b/>
            <sz val="9"/>
            <color indexed="81"/>
            <rFont val="Tahoma"/>
            <family val="2"/>
          </rPr>
          <t>Savino, Mark (Research):</t>
        </r>
        <r>
          <rPr>
            <sz val="9"/>
            <color indexed="81"/>
            <rFont val="Tahoma"/>
            <family val="2"/>
          </rPr>
          <t xml:space="preserve">
4Q17: $5.4m</t>
        </r>
      </text>
    </comment>
    <comment ref="BN61" authorId="0">
      <text>
        <r>
          <rPr>
            <b/>
            <sz val="9"/>
            <color indexed="81"/>
            <rFont val="Tahoma"/>
            <family val="2"/>
          </rPr>
          <t>Savino, Mark (Research):</t>
        </r>
        <r>
          <rPr>
            <sz val="9"/>
            <color indexed="81"/>
            <rFont val="Tahoma"/>
            <family val="2"/>
          </rPr>
          <t xml:space="preserve">
Guidance $3.1m</t>
        </r>
      </text>
    </comment>
    <comment ref="BQ61" authorId="8">
      <text>
        <r>
          <rPr>
            <b/>
            <sz val="9"/>
            <color indexed="81"/>
            <rFont val="Tahoma"/>
            <family val="2"/>
          </rPr>
          <t>Allen, Thomas (Research):</t>
        </r>
        <r>
          <rPr>
            <sz val="9"/>
            <color indexed="81"/>
            <rFont val="Tahoma"/>
            <family val="2"/>
          </rPr>
          <t xml:space="preserve">
1Q17 Guide: $5m</t>
        </r>
      </text>
    </comment>
    <comment ref="BR61" authorId="0">
      <text>
        <r>
          <rPr>
            <b/>
            <sz val="9"/>
            <color indexed="81"/>
            <rFont val="Tahoma"/>
            <family val="2"/>
          </rPr>
          <t>Savino, Mark (Research):</t>
        </r>
        <r>
          <rPr>
            <sz val="9"/>
            <color indexed="81"/>
            <rFont val="Tahoma"/>
            <family val="2"/>
          </rPr>
          <t xml:space="preserve">
Guidance $4.9m</t>
        </r>
      </text>
    </comment>
    <comment ref="BS61" authorId="0">
      <text>
        <r>
          <rPr>
            <b/>
            <sz val="9"/>
            <color indexed="81"/>
            <rFont val="Tahoma"/>
            <family val="2"/>
          </rPr>
          <t>Savino, Mark (Research):</t>
        </r>
        <r>
          <rPr>
            <sz val="9"/>
            <color indexed="81"/>
            <rFont val="Tahoma"/>
            <family val="2"/>
          </rPr>
          <t xml:space="preserve">
3Q17: $5.1m</t>
        </r>
      </text>
    </comment>
    <comment ref="BT61" authorId="7">
      <text>
        <r>
          <rPr>
            <b/>
            <sz val="9"/>
            <color indexed="81"/>
            <rFont val="Tahoma"/>
            <family val="2"/>
          </rPr>
          <t>Zheng, Chaodan (Research):</t>
        </r>
        <r>
          <rPr>
            <sz val="9"/>
            <color indexed="81"/>
            <rFont val="Tahoma"/>
            <family val="2"/>
          </rPr>
          <t xml:space="preserve">
3Q17: $19.4m
2Q17: $19.7m
1Q17: $19.3m</t>
        </r>
      </text>
    </comment>
    <comment ref="BB62" authorId="0">
      <text>
        <r>
          <rPr>
            <b/>
            <sz val="9"/>
            <color indexed="81"/>
            <rFont val="Tahoma"/>
            <family val="2"/>
          </rPr>
          <t>Savino, Mark (Research):</t>
        </r>
        <r>
          <rPr>
            <sz val="9"/>
            <color indexed="81"/>
            <rFont val="Tahoma"/>
            <family val="2"/>
          </rPr>
          <t xml:space="preserve">
$4.560m impairment loss
</t>
        </r>
      </text>
    </comment>
    <comment ref="BD62" authorId="0">
      <text>
        <r>
          <rPr>
            <b/>
            <sz val="9"/>
            <color indexed="81"/>
            <rFont val="Tahoma"/>
            <family val="2"/>
          </rPr>
          <t>Savino, Mark (Research):</t>
        </r>
        <r>
          <rPr>
            <sz val="9"/>
            <color indexed="81"/>
            <rFont val="Tahoma"/>
            <family val="2"/>
          </rPr>
          <t xml:space="preserve">
$160m impairment, $5.7m insurance recoverables, $0.7m loss on disposals, $0.7m Plainridge contingent purchase price</t>
        </r>
      </text>
    </comment>
    <comment ref="BH62" authorId="0">
      <text>
        <r>
          <rPr>
            <b/>
            <sz val="9"/>
            <color indexed="81"/>
            <rFont val="Tahoma"/>
            <family val="2"/>
          </rPr>
          <t>Savino, Mark (Research):</t>
        </r>
        <r>
          <rPr>
            <sz val="9"/>
            <color indexed="81"/>
            <rFont val="Tahoma"/>
            <family val="2"/>
          </rPr>
          <t xml:space="preserve">
$277k loss on disposal of assets; $6.7m Plainridge contingent purchase price</t>
        </r>
      </text>
    </comment>
    <comment ref="BM62" authorId="0">
      <text>
        <r>
          <rPr>
            <b/>
            <sz val="9"/>
            <color indexed="81"/>
            <rFont val="Tahoma"/>
            <family val="2"/>
          </rPr>
          <t>Savino, Mark (Research):</t>
        </r>
        <r>
          <rPr>
            <sz val="9"/>
            <color indexed="81"/>
            <rFont val="Tahoma"/>
            <family val="2"/>
          </rPr>
          <t xml:space="preserve">
2Q16: Expect $1.7m gain on sale of Rosecroft Raceway in 3Q16</t>
        </r>
      </text>
    </comment>
    <comment ref="BP62" authorId="0">
      <text>
        <r>
          <rPr>
            <b/>
            <sz val="9"/>
            <color indexed="81"/>
            <rFont val="Tahoma"/>
            <family val="2"/>
          </rPr>
          <t>Savino, Mark (Research):</t>
        </r>
        <r>
          <rPr>
            <sz val="9"/>
            <color indexed="81"/>
            <rFont val="Tahoma"/>
            <family val="2"/>
          </rPr>
          <t xml:space="preserve">
Contingent purchase price and gain on disposal of assets</t>
        </r>
      </text>
    </comment>
    <comment ref="BS62" authorId="0">
      <text>
        <r>
          <rPr>
            <b/>
            <sz val="9"/>
            <color indexed="81"/>
            <rFont val="Tahoma"/>
            <family val="2"/>
          </rPr>
          <t>Savino, Mark (Research):</t>
        </r>
        <r>
          <rPr>
            <sz val="9"/>
            <color indexed="81"/>
            <rFont val="Tahoma"/>
            <family val="2"/>
          </rPr>
          <t xml:space="preserve">
Restated to reflect Jamul impairment</t>
        </r>
      </text>
    </comment>
    <comment ref="AJ63" authorId="20">
      <text>
        <r>
          <rPr>
            <b/>
            <sz val="8"/>
            <color indexed="81"/>
            <rFont val="Tahoma"/>
            <family val="2"/>
          </rPr>
          <t>AM: 10/21/10:</t>
        </r>
        <r>
          <rPr>
            <sz val="8"/>
            <color indexed="81"/>
            <rFont val="Tahoma"/>
            <family val="2"/>
          </rPr>
          <t xml:space="preserve">
Guidance of $56.2m</t>
        </r>
      </text>
    </comment>
    <comment ref="AM63" authorId="22">
      <text>
        <r>
          <rPr>
            <b/>
            <sz val="8"/>
            <color indexed="81"/>
            <rFont val="Tahoma"/>
            <family val="2"/>
          </rPr>
          <t>AM: 4/21/11:</t>
        </r>
        <r>
          <rPr>
            <sz val="8"/>
            <color indexed="81"/>
            <rFont val="Tahoma"/>
            <family val="2"/>
          </rPr>
          <t xml:space="preserve">
Guidance of $57.9m</t>
        </r>
      </text>
    </comment>
    <comment ref="AN63" authorId="23">
      <text>
        <r>
          <rPr>
            <b/>
            <sz val="8"/>
            <color indexed="81"/>
            <rFont val="Tahoma"/>
            <family val="2"/>
          </rPr>
          <t>AM: 7/21/11:</t>
        </r>
        <r>
          <rPr>
            <sz val="8"/>
            <color indexed="81"/>
            <rFont val="Tahoma"/>
            <family val="2"/>
          </rPr>
          <t xml:space="preserve">
$53.4M guidance</t>
        </r>
      </text>
    </comment>
    <comment ref="AP63" authorId="21">
      <text>
        <r>
          <rPr>
            <b/>
            <sz val="8"/>
            <color indexed="81"/>
            <rFont val="Tahoma"/>
            <family val="2"/>
          </rPr>
          <t xml:space="preserve">AM: 7/21/11:
</t>
        </r>
        <r>
          <rPr>
            <sz val="8"/>
            <color indexed="81"/>
            <rFont val="Tahoma"/>
            <family val="2"/>
          </rPr>
          <t>Guidance of $213.3M</t>
        </r>
        <r>
          <rPr>
            <b/>
            <sz val="8"/>
            <color indexed="81"/>
            <rFont val="Tahoma"/>
            <family val="2"/>
          </rPr>
          <t xml:space="preserve">
AM: 4/21/11:
</t>
        </r>
        <r>
          <rPr>
            <sz val="8"/>
            <color indexed="81"/>
            <rFont val="Tahoma"/>
            <family val="2"/>
          </rPr>
          <t>Guidance of $239.5m</t>
        </r>
        <r>
          <rPr>
            <b/>
            <sz val="8"/>
            <color indexed="81"/>
            <rFont val="Tahoma"/>
            <family val="2"/>
          </rPr>
          <t xml:space="preserve">
AM: 2/03/11:</t>
        </r>
        <r>
          <rPr>
            <sz val="8"/>
            <color indexed="81"/>
            <rFont val="Tahoma"/>
            <family val="2"/>
          </rPr>
          <t xml:space="preserve">
Per 4Q10 cc, expect $243m in D&amp;A. </t>
        </r>
      </text>
    </comment>
    <comment ref="AQ63" authorId="2">
      <text>
        <r>
          <rPr>
            <b/>
            <sz val="8"/>
            <color indexed="81"/>
            <rFont val="Tahoma"/>
            <family val="2"/>
          </rPr>
          <t>AM: 2/2/12:</t>
        </r>
        <r>
          <rPr>
            <sz val="8"/>
            <color indexed="81"/>
            <rFont val="Tahoma"/>
            <family val="2"/>
          </rPr>
          <t xml:space="preserve">
Guidance of $51.2m</t>
        </r>
      </text>
    </comment>
    <comment ref="AR63" authorId="3">
      <text>
        <r>
          <rPr>
            <b/>
            <sz val="8"/>
            <color indexed="81"/>
            <rFont val="Tahoma"/>
            <family val="2"/>
          </rPr>
          <t>AM: 4/19/12:</t>
        </r>
        <r>
          <rPr>
            <sz val="8"/>
            <color indexed="81"/>
            <rFont val="Tahoma"/>
            <family val="2"/>
          </rPr>
          <t xml:space="preserve">
Guidance of $55.6m</t>
        </r>
      </text>
    </comment>
    <comment ref="AS63" authorId="4">
      <text>
        <r>
          <rPr>
            <b/>
            <sz val="8"/>
            <color indexed="81"/>
            <rFont val="Tahoma"/>
            <family val="2"/>
          </rPr>
          <t>AM: 7/24/12:</t>
        </r>
        <r>
          <rPr>
            <sz val="8"/>
            <color indexed="81"/>
            <rFont val="Tahoma"/>
            <family val="2"/>
          </rPr>
          <t xml:space="preserve">
Guidance of $61.2m</t>
        </r>
      </text>
    </comment>
    <comment ref="AT63" authorId="19">
      <text>
        <r>
          <rPr>
            <b/>
            <sz val="8"/>
            <color indexed="81"/>
            <rFont val="Tahoma"/>
            <family val="2"/>
          </rPr>
          <t>AM: 10/18/12:</t>
        </r>
        <r>
          <rPr>
            <sz val="8"/>
            <color indexed="81"/>
            <rFont val="Tahoma"/>
            <family val="2"/>
          </rPr>
          <t xml:space="preserve">
$77m guidance.</t>
        </r>
      </text>
    </comment>
    <comment ref="AU63" authorId="2">
      <text>
        <r>
          <rPr>
            <b/>
            <sz val="8"/>
            <color indexed="81"/>
            <rFont val="Tahoma"/>
            <family val="2"/>
          </rPr>
          <t xml:space="preserve">AM: 
</t>
        </r>
        <r>
          <rPr>
            <sz val="8"/>
            <color indexed="81"/>
            <rFont val="Tahoma"/>
            <family val="2"/>
          </rPr>
          <t>Per 2Q12 release, $243m in 2012</t>
        </r>
        <r>
          <rPr>
            <b/>
            <sz val="8"/>
            <color indexed="81"/>
            <rFont val="Tahoma"/>
            <family val="2"/>
          </rPr>
          <t xml:space="preserve">
AM: 
</t>
        </r>
        <r>
          <rPr>
            <sz val="8"/>
            <color indexed="81"/>
            <rFont val="Tahoma"/>
            <family val="2"/>
          </rPr>
          <t>Per 1Q12 release, $235.8m in 2012</t>
        </r>
        <r>
          <rPr>
            <b/>
            <sz val="8"/>
            <color indexed="81"/>
            <rFont val="Tahoma"/>
            <family val="2"/>
          </rPr>
          <t xml:space="preserve">
AM: 2/2/12:</t>
        </r>
        <r>
          <rPr>
            <sz val="8"/>
            <color indexed="81"/>
            <rFont val="Tahoma"/>
            <family val="2"/>
          </rPr>
          <t xml:space="preserve">
Guidance of $225.2m</t>
        </r>
      </text>
    </comment>
    <comment ref="AX63" authorId="12">
      <text>
        <r>
          <rPr>
            <b/>
            <sz val="8"/>
            <color indexed="81"/>
            <rFont val="Tahoma"/>
            <family val="2"/>
          </rPr>
          <t>savinmar:</t>
        </r>
        <r>
          <rPr>
            <sz val="8"/>
            <color indexed="81"/>
            <rFont val="Tahoma"/>
            <family val="2"/>
          </rPr>
          <t xml:space="preserve">
Guidance
$80.2</t>
        </r>
      </text>
    </comment>
    <comment ref="AZ63" authorId="6">
      <text>
        <r>
          <rPr>
            <b/>
            <sz val="8"/>
            <color indexed="81"/>
            <rFont val="Tahoma"/>
            <family val="2"/>
          </rPr>
          <t xml:space="preserve">thallen:
</t>
        </r>
        <r>
          <rPr>
            <sz val="8"/>
            <color indexed="81"/>
            <rFont val="Tahoma"/>
            <family val="2"/>
          </rPr>
          <t>Guidance 
$317.6
OLD:
$307.9mm
OLD:
$314.0mm  (per 4Q12 earnings)</t>
        </r>
        <r>
          <rPr>
            <b/>
            <sz val="8"/>
            <color indexed="81"/>
            <rFont val="Tahoma"/>
            <family val="2"/>
          </rPr>
          <t xml:space="preserve">
</t>
        </r>
        <r>
          <rPr>
            <sz val="8"/>
            <color indexed="81"/>
            <rFont val="Tahoma"/>
            <family val="2"/>
          </rPr>
          <t xml:space="preserve">OLD
AM: 11/16/12:
</t>
        </r>
        <r>
          <rPr>
            <sz val="8"/>
            <color indexed="81"/>
            <rFont val="Tahoma"/>
            <family val="2"/>
          </rPr>
          <t>$306m in 2013 per release</t>
        </r>
      </text>
    </comment>
    <comment ref="BL63" authorId="0">
      <text>
        <r>
          <rPr>
            <b/>
            <sz val="9"/>
            <color indexed="81"/>
            <rFont val="Tahoma"/>
            <family val="2"/>
          </rPr>
          <t>Savino, Mark (Research):</t>
        </r>
        <r>
          <rPr>
            <sz val="9"/>
            <color indexed="81"/>
            <rFont val="Tahoma"/>
            <family val="2"/>
          </rPr>
          <t xml:space="preserve">
Guidance: $67.3m</t>
        </r>
      </text>
    </comment>
    <comment ref="BM63" authorId="0">
      <text>
        <r>
          <rPr>
            <b/>
            <sz val="9"/>
            <color indexed="81"/>
            <rFont val="Tahoma"/>
            <family val="2"/>
          </rPr>
          <t>Savino, Mark (Research):</t>
        </r>
        <r>
          <rPr>
            <sz val="9"/>
            <color indexed="81"/>
            <rFont val="Tahoma"/>
            <family val="2"/>
          </rPr>
          <t xml:space="preserve">
Guidance: $67.4m</t>
        </r>
      </text>
    </comment>
    <comment ref="BN63" authorId="0">
      <text>
        <r>
          <rPr>
            <b/>
            <sz val="9"/>
            <color indexed="81"/>
            <rFont val="Tahoma"/>
            <family val="2"/>
          </rPr>
          <t>Savino, Mark (Research):</t>
        </r>
        <r>
          <rPr>
            <sz val="9"/>
            <color indexed="81"/>
            <rFont val="Tahoma"/>
            <family val="2"/>
          </rPr>
          <t xml:space="preserve">
Guidance: $66.5m</t>
        </r>
      </text>
    </comment>
    <comment ref="BO63" authorId="0">
      <text>
        <r>
          <rPr>
            <b/>
            <sz val="9"/>
            <color indexed="81"/>
            <rFont val="Tahoma"/>
            <family val="2"/>
          </rPr>
          <t>Savino, Mark (Research):</t>
        </r>
        <r>
          <rPr>
            <sz val="9"/>
            <color indexed="81"/>
            <rFont val="Tahoma"/>
            <family val="2"/>
          </rPr>
          <t xml:space="preserve">
3Q16: $266.6m
2Q16: $266.6m
1Q16: $267.5m</t>
        </r>
      </text>
    </comment>
    <comment ref="BP63" authorId="0">
      <text>
        <r>
          <rPr>
            <b/>
            <sz val="9"/>
            <color indexed="81"/>
            <rFont val="Tahoma"/>
            <family val="2"/>
          </rPr>
          <t>Savino, Mark (Research):</t>
        </r>
        <r>
          <rPr>
            <sz val="9"/>
            <color indexed="81"/>
            <rFont val="Tahoma"/>
            <family val="2"/>
          </rPr>
          <t xml:space="preserve">
Guidance $70.7m</t>
        </r>
      </text>
    </comment>
    <comment ref="BQ63" authorId="8">
      <text>
        <r>
          <rPr>
            <b/>
            <sz val="9"/>
            <color indexed="81"/>
            <rFont val="Tahoma"/>
            <family val="2"/>
          </rPr>
          <t>Allen, Thomas (Research):</t>
        </r>
        <r>
          <rPr>
            <sz val="9"/>
            <color indexed="81"/>
            <rFont val="Tahoma"/>
            <family val="2"/>
          </rPr>
          <t xml:space="preserve">
1Q17 Guide: $70.1m</t>
        </r>
      </text>
    </comment>
    <comment ref="BS63" authorId="0">
      <text>
        <r>
          <rPr>
            <b/>
            <sz val="9"/>
            <color indexed="81"/>
            <rFont val="Tahoma"/>
            <family val="2"/>
          </rPr>
          <t>Savino, Mark (Research):</t>
        </r>
        <r>
          <rPr>
            <sz val="9"/>
            <color indexed="81"/>
            <rFont val="Tahoma"/>
            <family val="2"/>
          </rPr>
          <t xml:space="preserve">
3Q17: $62.9m</t>
        </r>
      </text>
    </comment>
    <comment ref="BT63" authorId="0">
      <text>
        <r>
          <rPr>
            <b/>
            <sz val="9"/>
            <color indexed="81"/>
            <rFont val="Tahoma"/>
            <family val="2"/>
          </rPr>
          <t>Savino, Mark (Research):</t>
        </r>
        <r>
          <rPr>
            <sz val="9"/>
            <color indexed="81"/>
            <rFont val="Tahoma"/>
            <family val="2"/>
          </rPr>
          <t xml:space="preserve">
3Q17: $268.6m
1Q17: $270.8m (but excludes Tunica)
4Q16: $271.2m</t>
        </r>
      </text>
    </comment>
    <comment ref="BU63" authorId="0">
      <text>
        <r>
          <rPr>
            <b/>
            <sz val="9"/>
            <color indexed="81"/>
            <rFont val="Tahoma"/>
            <family val="2"/>
          </rPr>
          <t>Savino, Mark (Research):</t>
        </r>
        <r>
          <rPr>
            <sz val="9"/>
            <color indexed="81"/>
            <rFont val="Tahoma"/>
            <family val="2"/>
          </rPr>
          <t xml:space="preserve">
Guidance $61.2m</t>
        </r>
      </text>
    </comment>
    <comment ref="BY63" authorId="0">
      <text>
        <r>
          <rPr>
            <b/>
            <sz val="9"/>
            <color indexed="81"/>
            <rFont val="Tahoma"/>
            <family val="2"/>
          </rPr>
          <t>Savino, Mark (Research):</t>
        </r>
        <r>
          <rPr>
            <sz val="9"/>
            <color indexed="81"/>
            <rFont val="Tahoma"/>
            <family val="2"/>
          </rPr>
          <t xml:space="preserve">
4Q17: $236.8m</t>
        </r>
      </text>
    </comment>
    <comment ref="BQ65" authorId="7">
      <text>
        <r>
          <rPr>
            <b/>
            <sz val="9"/>
            <color indexed="81"/>
            <rFont val="Tahoma"/>
            <family val="2"/>
          </rPr>
          <t>Zheng, Chaodan (Research):</t>
        </r>
        <r>
          <rPr>
            <sz val="9"/>
            <color indexed="81"/>
            <rFont val="Tahoma"/>
            <family val="2"/>
          </rPr>
          <t xml:space="preserve">
1Q17: $136.5m
4Q16: $149.3m</t>
        </r>
      </text>
    </comment>
    <comment ref="BS65" authorId="0">
      <text>
        <r>
          <rPr>
            <b/>
            <sz val="9"/>
            <color indexed="81"/>
            <rFont val="Tahoma"/>
            <family val="2"/>
          </rPr>
          <t>Savino, Mark (Research):</t>
        </r>
        <r>
          <rPr>
            <sz val="9"/>
            <color indexed="81"/>
            <rFont val="Tahoma"/>
            <family val="2"/>
          </rPr>
          <t xml:space="preserve">
3Q17: $134.3m</t>
        </r>
      </text>
    </comment>
    <comment ref="BT65" authorId="7">
      <text>
        <r>
          <rPr>
            <b/>
            <sz val="9"/>
            <color indexed="81"/>
            <rFont val="Tahoma"/>
            <family val="2"/>
          </rPr>
          <t>Zheng, Chaodan (Research):</t>
        </r>
        <r>
          <rPr>
            <sz val="9"/>
            <color indexed="81"/>
            <rFont val="Tahoma"/>
            <family val="2"/>
          </rPr>
          <t xml:space="preserve">
3Q17: $553.3m
1Q17: $538.8m
4Q16: $516.3m</t>
        </r>
      </text>
    </comment>
    <comment ref="BM67" authorId="0">
      <text>
        <r>
          <rPr>
            <b/>
            <sz val="9"/>
            <color indexed="81"/>
            <rFont val="Tahoma"/>
            <family val="2"/>
          </rPr>
          <t>Savino, Mark (Research):</t>
        </r>
        <r>
          <rPr>
            <sz val="9"/>
            <color indexed="81"/>
            <rFont val="Tahoma"/>
            <family val="2"/>
          </rPr>
          <t xml:space="preserve">
Accrued interest stops once Jamul property opens</t>
        </r>
      </text>
    </comment>
    <comment ref="BN67" authorId="0">
      <text>
        <r>
          <rPr>
            <b/>
            <sz val="9"/>
            <color indexed="81"/>
            <rFont val="Tahoma"/>
            <family val="2"/>
          </rPr>
          <t>Savino, Mark (Research):</t>
        </r>
        <r>
          <rPr>
            <sz val="9"/>
            <color indexed="81"/>
            <rFont val="Tahoma"/>
            <family val="2"/>
          </rPr>
          <t xml:space="preserve">
Accrued interest stops once Jamul property opens and future interest is paid in cash</t>
        </r>
      </text>
    </comment>
    <comment ref="BP67" authorId="0">
      <text>
        <r>
          <rPr>
            <b/>
            <sz val="9"/>
            <color indexed="81"/>
            <rFont val="Tahoma"/>
            <family val="2"/>
          </rPr>
          <t>Savino, Mark (Research):</t>
        </r>
        <r>
          <rPr>
            <sz val="9"/>
            <color indexed="81"/>
            <rFont val="Tahoma"/>
            <family val="2"/>
          </rPr>
          <t xml:space="preserve">
Guidance $2.5m</t>
        </r>
      </text>
    </comment>
    <comment ref="BQ67" authorId="8">
      <text>
        <r>
          <rPr>
            <b/>
            <sz val="9"/>
            <color indexed="81"/>
            <rFont val="Tahoma"/>
            <family val="2"/>
          </rPr>
          <t>Allen, Thomas (Research):</t>
        </r>
        <r>
          <rPr>
            <sz val="9"/>
            <color indexed="81"/>
            <rFont val="Tahoma"/>
            <family val="2"/>
          </rPr>
          <t xml:space="preserve">
1Q17 Guide: $2.6m</t>
        </r>
      </text>
    </comment>
    <comment ref="BR67" authorId="0">
      <text>
        <r>
          <rPr>
            <b/>
            <sz val="9"/>
            <color indexed="81"/>
            <rFont val="Tahoma"/>
            <family val="2"/>
          </rPr>
          <t>Savino, Mark (Research):</t>
        </r>
        <r>
          <rPr>
            <sz val="9"/>
            <color indexed="81"/>
            <rFont val="Tahoma"/>
            <family val="2"/>
          </rPr>
          <t xml:space="preserve">
Guidance $0.3m</t>
        </r>
      </text>
    </comment>
    <comment ref="BS67" authorId="0">
      <text>
        <r>
          <rPr>
            <b/>
            <sz val="9"/>
            <color indexed="81"/>
            <rFont val="Tahoma"/>
            <family val="2"/>
          </rPr>
          <t>Savino, Mark (Research):</t>
        </r>
        <r>
          <rPr>
            <sz val="9"/>
            <color indexed="81"/>
            <rFont val="Tahoma"/>
            <family val="2"/>
          </rPr>
          <t xml:space="preserve">
3Q17: $0.2m</t>
        </r>
      </text>
    </comment>
    <comment ref="BT67" authorId="0">
      <text>
        <r>
          <rPr>
            <b/>
            <sz val="9"/>
            <color indexed="81"/>
            <rFont val="Tahoma"/>
            <family val="2"/>
          </rPr>
          <t>Savino, Mark (Research):</t>
        </r>
        <r>
          <rPr>
            <sz val="9"/>
            <color indexed="81"/>
            <rFont val="Tahoma"/>
            <family val="2"/>
          </rPr>
          <t xml:space="preserve">
3Q17: $3.4m
2Q17: $3.3m
4Q16: $5.5m</t>
        </r>
      </text>
    </comment>
    <comment ref="AP68" authorId="14">
      <text>
        <r>
          <rPr>
            <b/>
            <sz val="8"/>
            <color indexed="81"/>
            <rFont val="Tahoma"/>
            <family val="2"/>
          </rPr>
          <t>AM: 2/03/11:</t>
        </r>
        <r>
          <rPr>
            <sz val="8"/>
            <color indexed="81"/>
            <rFont val="Tahoma"/>
            <family val="2"/>
          </rPr>
          <t xml:space="preserve">
Per cc, expect $103m in interest expense.</t>
        </r>
      </text>
    </comment>
    <comment ref="BL68" authorId="0">
      <text>
        <r>
          <rPr>
            <b/>
            <sz val="9"/>
            <color indexed="81"/>
            <rFont val="Tahoma"/>
            <family val="2"/>
          </rPr>
          <t>Savino, Mark (Research):</t>
        </r>
        <r>
          <rPr>
            <sz val="9"/>
            <color indexed="81"/>
            <rFont val="Tahoma"/>
            <family val="2"/>
          </rPr>
          <t xml:space="preserve">
Guidance: $115.9m</t>
        </r>
      </text>
    </comment>
    <comment ref="BM68" authorId="0">
      <text>
        <r>
          <rPr>
            <b/>
            <sz val="9"/>
            <color indexed="81"/>
            <rFont val="Tahoma"/>
            <family val="2"/>
          </rPr>
          <t>Savino, Mark (Research):</t>
        </r>
        <r>
          <rPr>
            <sz val="9"/>
            <color indexed="81"/>
            <rFont val="Tahoma"/>
            <family val="2"/>
          </rPr>
          <t xml:space="preserve">
Guidance: $115.0m</t>
        </r>
      </text>
    </comment>
    <comment ref="BN68" authorId="0">
      <text>
        <r>
          <rPr>
            <b/>
            <sz val="9"/>
            <color indexed="81"/>
            <rFont val="Tahoma"/>
            <family val="2"/>
          </rPr>
          <t>Savino, Mark (Research):</t>
        </r>
        <r>
          <rPr>
            <sz val="9"/>
            <color indexed="81"/>
            <rFont val="Tahoma"/>
            <family val="2"/>
          </rPr>
          <t xml:space="preserve">
Guidance: $ 114m</t>
        </r>
      </text>
    </comment>
    <comment ref="BO68" authorId="0">
      <text>
        <r>
          <rPr>
            <b/>
            <sz val="9"/>
            <color indexed="81"/>
            <rFont val="Tahoma"/>
            <family val="2"/>
          </rPr>
          <t>Savino, Mark (Research):</t>
        </r>
        <r>
          <rPr>
            <sz val="9"/>
            <color indexed="81"/>
            <rFont val="Tahoma"/>
            <family val="2"/>
          </rPr>
          <t xml:space="preserve">
3Q16: $459.6m
2Q16: $463.1m
1Q16: 466.9m</t>
        </r>
      </text>
    </comment>
    <comment ref="BP68" authorId="0">
      <text>
        <r>
          <rPr>
            <b/>
            <sz val="9"/>
            <color indexed="81"/>
            <rFont val="Tahoma"/>
            <family val="2"/>
          </rPr>
          <t>Savino, Mark (Research):</t>
        </r>
        <r>
          <rPr>
            <sz val="9"/>
            <color indexed="81"/>
            <rFont val="Tahoma"/>
            <family val="2"/>
          </rPr>
          <t xml:space="preserve">
Guidance $116m</t>
        </r>
      </text>
    </comment>
    <comment ref="BQ68" authorId="8">
      <text>
        <r>
          <rPr>
            <b/>
            <sz val="9"/>
            <color indexed="81"/>
            <rFont val="Tahoma"/>
            <family val="2"/>
          </rPr>
          <t>Allen, Thomas (Research):</t>
        </r>
        <r>
          <rPr>
            <sz val="9"/>
            <color indexed="81"/>
            <rFont val="Tahoma"/>
            <family val="2"/>
          </rPr>
          <t xml:space="preserve">
1Q17 Guide: $114.8m</t>
        </r>
      </text>
    </comment>
    <comment ref="BR68" authorId="0">
      <text>
        <r>
          <rPr>
            <b/>
            <sz val="9"/>
            <color indexed="81"/>
            <rFont val="Tahoma"/>
            <family val="2"/>
          </rPr>
          <t>Savino, Mark (Research):</t>
        </r>
        <r>
          <rPr>
            <sz val="9"/>
            <color indexed="81"/>
            <rFont val="Tahoma"/>
            <family val="2"/>
          </rPr>
          <t xml:space="preserve">
Guidance $116.7m</t>
        </r>
      </text>
    </comment>
    <comment ref="BS68" authorId="0">
      <text>
        <r>
          <rPr>
            <b/>
            <sz val="9"/>
            <color indexed="81"/>
            <rFont val="Tahoma"/>
            <family val="2"/>
          </rPr>
          <t>Savino, Mark (Research):</t>
        </r>
        <r>
          <rPr>
            <sz val="9"/>
            <color indexed="81"/>
            <rFont val="Tahoma"/>
            <family val="2"/>
          </rPr>
          <t xml:space="preserve">
3Q17: $116.8m</t>
        </r>
      </text>
    </comment>
    <comment ref="BT68" authorId="0">
      <text>
        <r>
          <rPr>
            <b/>
            <sz val="9"/>
            <color indexed="81"/>
            <rFont val="Tahoma"/>
            <family val="2"/>
          </rPr>
          <t>Savino, Mark (Research):</t>
        </r>
        <r>
          <rPr>
            <sz val="9"/>
            <color indexed="81"/>
            <rFont val="Tahoma"/>
            <family val="2"/>
          </rPr>
          <t xml:space="preserve">
3Q17: $466.8m
2Q17: $465.2m
1Q17: $459.6m
4Q16: $464.1m</t>
        </r>
      </text>
    </comment>
    <comment ref="BU68" authorId="0">
      <text>
        <r>
          <rPr>
            <b/>
            <sz val="9"/>
            <color indexed="81"/>
            <rFont val="Tahoma"/>
            <family val="2"/>
          </rPr>
          <t>Savino, Mark (Research):</t>
        </r>
        <r>
          <rPr>
            <sz val="9"/>
            <color indexed="81"/>
            <rFont val="Tahoma"/>
            <family val="2"/>
          </rPr>
          <t xml:space="preserve">
Guidance $115.5m</t>
        </r>
      </text>
    </comment>
    <comment ref="BY68" authorId="0">
      <text>
        <r>
          <rPr>
            <b/>
            <sz val="9"/>
            <color indexed="81"/>
            <rFont val="Tahoma"/>
            <family val="2"/>
          </rPr>
          <t>Savino, Mark (Research):</t>
        </r>
        <r>
          <rPr>
            <sz val="9"/>
            <color indexed="81"/>
            <rFont val="Tahoma"/>
            <family val="2"/>
          </rPr>
          <t xml:space="preserve">
4Q17: $467.4m ex PNK</t>
        </r>
      </text>
    </comment>
    <comment ref="BQ69" authorId="8">
      <text>
        <r>
          <rPr>
            <b/>
            <sz val="9"/>
            <color indexed="81"/>
            <rFont val="Tahoma"/>
            <family val="2"/>
          </rPr>
          <t>Allen, Thomas (Research):</t>
        </r>
        <r>
          <rPr>
            <sz val="9"/>
            <color indexed="81"/>
            <rFont val="Tahoma"/>
            <family val="2"/>
          </rPr>
          <t xml:space="preserve">
1Q17 Guide: $5m</t>
        </r>
      </text>
    </comment>
    <comment ref="BR69" authorId="0">
      <text>
        <r>
          <rPr>
            <b/>
            <sz val="9"/>
            <color indexed="81"/>
            <rFont val="Tahoma"/>
            <family val="2"/>
          </rPr>
          <t>Savino, Mark (Research):</t>
        </r>
        <r>
          <rPr>
            <sz val="9"/>
            <color indexed="81"/>
            <rFont val="Tahoma"/>
            <family val="2"/>
          </rPr>
          <t xml:space="preserve">
Guidance $4.9m</t>
        </r>
      </text>
    </comment>
    <comment ref="BT69" authorId="7">
      <text>
        <r>
          <rPr>
            <b/>
            <sz val="9"/>
            <color indexed="81"/>
            <rFont val="Tahoma"/>
            <family val="2"/>
          </rPr>
          <t>Zheng, Chaodan (Research):</t>
        </r>
        <r>
          <rPr>
            <sz val="9"/>
            <color indexed="81"/>
            <rFont val="Tahoma"/>
            <family val="2"/>
          </rPr>
          <t xml:space="preserve">
2Q17: $19.7m
1Q17: $19.3m</t>
        </r>
      </text>
    </comment>
    <comment ref="AG70" authorId="13">
      <text>
        <r>
          <rPr>
            <b/>
            <sz val="8"/>
            <color indexed="81"/>
            <rFont val="Tahoma"/>
            <family val="2"/>
          </rPr>
          <t>urbankev:</t>
        </r>
        <r>
          <rPr>
            <sz val="8"/>
            <color indexed="81"/>
            <rFont val="Tahoma"/>
            <family val="2"/>
          </rPr>
          <t xml:space="preserve">
Per guidance, loss on disposal of assets</t>
        </r>
      </text>
    </comment>
    <comment ref="AH70" authorId="13">
      <text>
        <r>
          <rPr>
            <b/>
            <sz val="8"/>
            <color indexed="81"/>
            <rFont val="Tahoma"/>
            <family val="2"/>
          </rPr>
          <t>urbankev:</t>
        </r>
        <r>
          <rPr>
            <sz val="8"/>
            <color indexed="81"/>
            <rFont val="Tahoma"/>
            <family val="2"/>
          </rPr>
          <t xml:space="preserve">
Per guidance, loss on disposal of assets</t>
        </r>
      </text>
    </comment>
    <comment ref="AI70" authorId="13">
      <text>
        <r>
          <rPr>
            <b/>
            <sz val="8"/>
            <color indexed="81"/>
            <rFont val="Tahoma"/>
            <family val="2"/>
          </rPr>
          <t>urbankev:</t>
        </r>
        <r>
          <rPr>
            <sz val="8"/>
            <color indexed="81"/>
            <rFont val="Tahoma"/>
            <family val="2"/>
          </rPr>
          <t xml:space="preserve">
Per guidance, loss on disposal of assets</t>
        </r>
      </text>
    </comment>
    <comment ref="BQ70" authorId="7">
      <text>
        <r>
          <rPr>
            <b/>
            <sz val="9"/>
            <color indexed="81"/>
            <rFont val="Tahoma"/>
            <family val="2"/>
          </rPr>
          <t>Zheng, Chaodan (Research):</t>
        </r>
        <r>
          <rPr>
            <sz val="9"/>
            <color indexed="81"/>
            <rFont val="Tahoma"/>
            <family val="2"/>
          </rPr>
          <t xml:space="preserve">
1Q17: $0.2m</t>
        </r>
      </text>
    </comment>
    <comment ref="BR70" authorId="0">
      <text>
        <r>
          <rPr>
            <b/>
            <sz val="9"/>
            <color indexed="81"/>
            <rFont val="Tahoma"/>
            <family val="2"/>
          </rPr>
          <t>Savino, Mark (Research):</t>
        </r>
        <r>
          <rPr>
            <sz val="9"/>
            <color indexed="81"/>
            <rFont val="Tahoma"/>
            <family val="2"/>
          </rPr>
          <t xml:space="preserve">
2Q17: $0.2m</t>
        </r>
      </text>
    </comment>
    <comment ref="BT70" authorId="7">
      <text>
        <r>
          <rPr>
            <b/>
            <sz val="9"/>
            <color indexed="81"/>
            <rFont val="Tahoma"/>
            <family val="2"/>
          </rPr>
          <t>Zheng, Chaodan (Research):</t>
        </r>
        <r>
          <rPr>
            <sz val="9"/>
            <color indexed="81"/>
            <rFont val="Tahoma"/>
            <family val="2"/>
          </rPr>
          <t xml:space="preserve">
2Q17: $0.3m
1Q17: $0.4m</t>
        </r>
      </text>
    </comment>
    <comment ref="AC71" authorId="13">
      <text>
        <r>
          <rPr>
            <b/>
            <sz val="8"/>
            <color indexed="81"/>
            <rFont val="Tahoma"/>
            <family val="2"/>
          </rPr>
          <t>urbankev:</t>
        </r>
        <r>
          <rPr>
            <sz val="8"/>
            <color indexed="81"/>
            <rFont val="Tahoma"/>
            <family val="2"/>
          </rPr>
          <t xml:space="preserve">
Other income of $2.887mm, plus $.308mm gain on disposal of assets</t>
        </r>
      </text>
    </comment>
    <comment ref="AU71" authorId="2">
      <text>
        <r>
          <rPr>
            <sz val="8"/>
            <color indexed="81"/>
            <rFont val="Tahoma"/>
            <family val="2"/>
          </rPr>
          <t>Includes PENN's share of D&amp;A from KS JV.</t>
        </r>
      </text>
    </comment>
    <comment ref="BM71" authorId="0">
      <text>
        <r>
          <rPr>
            <b/>
            <sz val="9"/>
            <color indexed="81"/>
            <rFont val="Tahoma"/>
            <family val="2"/>
          </rPr>
          <t>Savino, Mark (Research):</t>
        </r>
        <r>
          <rPr>
            <sz val="9"/>
            <color indexed="81"/>
            <rFont val="Tahoma"/>
            <family val="2"/>
          </rPr>
          <t xml:space="preserve">
Guidance for $0.2m contingent purchase price</t>
        </r>
      </text>
    </comment>
    <comment ref="BT71" authorId="7">
      <text>
        <r>
          <rPr>
            <b/>
            <sz val="9"/>
            <color indexed="81"/>
            <rFont val="Tahoma"/>
            <family val="2"/>
          </rPr>
          <t>Zheng, Chaodan (Research):</t>
        </r>
        <r>
          <rPr>
            <sz val="9"/>
            <color indexed="81"/>
            <rFont val="Tahoma"/>
            <family val="2"/>
          </rPr>
          <t xml:space="preserve">
1Q17: $25.2m</t>
        </r>
      </text>
    </comment>
    <comment ref="M73" authorId="24">
      <text>
        <r>
          <rPr>
            <b/>
            <sz val="10"/>
            <color indexed="81"/>
            <rFont val="Tahoma"/>
            <family val="2"/>
          </rPr>
          <t>Chris Metli:</t>
        </r>
        <r>
          <rPr>
            <sz val="10"/>
            <color indexed="81"/>
            <rFont val="Tahoma"/>
            <family val="2"/>
          </rPr>
          <t xml:space="preserve">
Loss on debt extinguishment</t>
        </r>
      </text>
    </comment>
    <comment ref="P73" authorId="13">
      <text>
        <r>
          <rPr>
            <b/>
            <sz val="8"/>
            <color indexed="81"/>
            <rFont val="Tahoma"/>
            <family val="2"/>
          </rPr>
          <t>urbankev:</t>
        </r>
        <r>
          <rPr>
            <sz val="8"/>
            <color indexed="81"/>
            <rFont val="Tahoma"/>
            <family val="2"/>
          </rPr>
          <t xml:space="preserve">
Per Thallen, Includes $128 MM insurance payment for Katrina business interuption. Also, goodwill impairment.</t>
        </r>
      </text>
    </comment>
    <comment ref="Y73" authorId="25">
      <text>
        <r>
          <rPr>
            <b/>
            <sz val="10"/>
            <color indexed="81"/>
            <rFont val="Tahoma"/>
            <family val="2"/>
          </rPr>
          <t>Thallen:</t>
        </r>
        <r>
          <rPr>
            <sz val="10"/>
            <color indexed="81"/>
            <rFont val="Tahoma"/>
            <family val="2"/>
          </rPr>
          <t xml:space="preserve">
Merger termination settlement fee, net of related expenses. $225 less expenses equals $195.</t>
        </r>
      </text>
    </comment>
    <comment ref="Z73" authorId="17">
      <text>
        <r>
          <rPr>
            <b/>
            <sz val="9"/>
            <color indexed="81"/>
            <rFont val="Tahoma"/>
            <family val="2"/>
          </rPr>
          <t>thallen:</t>
        </r>
        <r>
          <rPr>
            <sz val="9"/>
            <color indexed="81"/>
            <rFont val="Tahoma"/>
            <family val="2"/>
          </rPr>
          <t xml:space="preserve">
Impairment charge of $481.3mm</t>
        </r>
      </text>
    </comment>
    <comment ref="AB73" authorId="13">
      <text>
        <r>
          <rPr>
            <b/>
            <sz val="8"/>
            <color indexed="81"/>
            <rFont val="Tahoma"/>
            <family val="2"/>
          </rPr>
          <t>urbankev:</t>
        </r>
        <r>
          <rPr>
            <sz val="8"/>
            <color indexed="81"/>
            <rFont val="Tahoma"/>
            <family val="2"/>
          </rPr>
          <t xml:space="preserve">
Empress Casino hotel fire loss of $5.4mm, and gain on early debt payment of $1.305mm</t>
        </r>
      </text>
    </comment>
    <comment ref="AC73" authorId="13">
      <text>
        <r>
          <rPr>
            <b/>
            <sz val="8"/>
            <color indexed="81"/>
            <rFont val="Tahoma"/>
            <family val="2"/>
          </rPr>
          <t>urbankev:</t>
        </r>
        <r>
          <rPr>
            <sz val="8"/>
            <color indexed="81"/>
            <rFont val="Tahoma"/>
            <family val="2"/>
          </rPr>
          <t xml:space="preserve">
Impairment loss for replaced Lawrenceburg vessel ($11.7mm) and Empress fire ($0.3mm), and gain on sale of corporate debt investments of $6.598mm, and loss on currency of $2.14mm</t>
        </r>
      </text>
    </comment>
    <comment ref="AD73" authorId="13">
      <text>
        <r>
          <rPr>
            <b/>
            <sz val="8"/>
            <color indexed="81"/>
            <rFont val="Tahoma"/>
            <family val="2"/>
          </rPr>
          <t xml:space="preserve">urbankev:
</t>
        </r>
        <r>
          <rPr>
            <sz val="8"/>
            <color indexed="81"/>
            <rFont val="Tahoma"/>
            <family val="2"/>
          </rPr>
          <t>$3.59 loss on early debt retirement, $0.12 impairment loss, $0.21 empress casino fire</t>
        </r>
      </text>
    </comment>
    <comment ref="AE73" authorId="13">
      <text>
        <r>
          <rPr>
            <b/>
            <sz val="8"/>
            <color indexed="81"/>
            <rFont val="Tahoma"/>
            <family val="2"/>
          </rPr>
          <t>urbankev:</t>
        </r>
        <r>
          <rPr>
            <sz val="8"/>
            <color indexed="81"/>
            <rFont val="Tahoma"/>
            <family val="2"/>
          </rPr>
          <t xml:space="preserve">
$520.5mm impairment for Argosy Lawrenceburg, $.121mm for Empress casino fire, and $1.194mm loss on early debt extinguishment</t>
        </r>
      </text>
    </comment>
    <comment ref="AI73" authorId="10">
      <text>
        <r>
          <rPr>
            <b/>
            <sz val="8"/>
            <color indexed="81"/>
            <rFont val="Tahoma"/>
            <family val="2"/>
          </rPr>
          <t>danfuss:</t>
        </r>
        <r>
          <rPr>
            <sz val="8"/>
            <color indexed="81"/>
            <rFont val="Tahoma"/>
            <family val="2"/>
          </rPr>
          <t xml:space="preserve">
Empress Casino fire gain and impairment loss</t>
        </r>
      </text>
    </comment>
    <comment ref="AJ73" authorId="10">
      <text>
        <r>
          <rPr>
            <b/>
            <sz val="8"/>
            <color indexed="81"/>
            <rFont val="Tahoma"/>
            <family val="2"/>
          </rPr>
          <t>danfuss:</t>
        </r>
        <r>
          <rPr>
            <sz val="8"/>
            <color indexed="81"/>
            <rFont val="Tahoma"/>
            <family val="2"/>
          </rPr>
          <t xml:space="preserve">
Joliet fire gain and $193mm impairment charge ($144.5 at Hollywood Aurora; $44.2 at Joliet; $.1 at Bullwhackers)</t>
        </r>
      </text>
    </comment>
    <comment ref="AN73" authorId="23">
      <text>
        <r>
          <rPr>
            <b/>
            <sz val="8"/>
            <color indexed="81"/>
            <rFont val="Tahoma"/>
            <family val="2"/>
          </rPr>
          <t>AM: 7/21/11:</t>
        </r>
        <r>
          <rPr>
            <sz val="8"/>
            <color indexed="81"/>
            <rFont val="Tahoma"/>
            <family val="2"/>
          </rPr>
          <t xml:space="preserve">
$20m gain from MD Jockey Club sale</t>
        </r>
      </text>
    </comment>
    <comment ref="AQ73" authorId="15">
      <text>
        <r>
          <rPr>
            <b/>
            <sz val="8"/>
            <color indexed="81"/>
            <rFont val="Tahoma"/>
            <family val="2"/>
          </rPr>
          <t>AM: 4/19/12:</t>
        </r>
        <r>
          <rPr>
            <sz val="8"/>
            <color indexed="81"/>
            <rFont val="Tahoma"/>
            <family val="2"/>
          </rPr>
          <t xml:space="preserve">
Insurance recoveries.</t>
        </r>
      </text>
    </comment>
    <comment ref="AV73" authorId="17">
      <text>
        <r>
          <rPr>
            <b/>
            <sz val="8"/>
            <color indexed="81"/>
            <rFont val="Tahoma"/>
            <family val="2"/>
          </rPr>
          <t>thallen:</t>
        </r>
        <r>
          <rPr>
            <sz val="8"/>
            <color indexed="81"/>
            <rFont val="Tahoma"/>
            <family val="2"/>
          </rPr>
          <t xml:space="preserve">
Loss on disposal of assets</t>
        </r>
      </text>
    </comment>
    <comment ref="AW73" authorId="17">
      <text>
        <r>
          <rPr>
            <b/>
            <sz val="8"/>
            <color indexed="81"/>
            <rFont val="Tahoma"/>
            <family val="2"/>
          </rPr>
          <t>thallen:</t>
        </r>
        <r>
          <rPr>
            <sz val="8"/>
            <color indexed="81"/>
            <rFont val="Tahoma"/>
            <family val="2"/>
          </rPr>
          <t xml:space="preserve">
1-time goodwill and other intangible asset impairment charge related to Sioux City
Insurance deductible charges</t>
        </r>
      </text>
    </comment>
    <comment ref="AX73" authorId="26">
      <text>
        <r>
          <rPr>
            <sz val="8"/>
            <color indexed="81"/>
            <rFont val="Tahoma"/>
            <family val="2"/>
          </rPr>
          <t xml:space="preserve">Loss on disposal of assets
</t>
        </r>
      </text>
    </comment>
    <comment ref="AY73" authorId="0">
      <text>
        <r>
          <rPr>
            <b/>
            <sz val="9"/>
            <color indexed="81"/>
            <rFont val="Tahoma"/>
            <family val="2"/>
          </rPr>
          <t>Savino, Mark (Research):</t>
        </r>
        <r>
          <rPr>
            <sz val="9"/>
            <color indexed="81"/>
            <rFont val="Tahoma"/>
            <family val="2"/>
          </rPr>
          <t xml:space="preserve">
$1.8m gain from unconsolidated affiliates
$1,061m impairment loss
$2.4m insurance recoveries
$0.8m loss on disposal of assets
$61.7m loss on early extinguishment of debt</t>
        </r>
      </text>
    </comment>
    <comment ref="AP76" authorId="23">
      <text>
        <r>
          <rPr>
            <b/>
            <sz val="8"/>
            <color indexed="81"/>
            <rFont val="Tahoma"/>
            <family val="2"/>
          </rPr>
          <t>AM: 7/21/11:</t>
        </r>
        <r>
          <rPr>
            <sz val="8"/>
            <color indexed="81"/>
            <rFont val="Tahoma"/>
            <family val="2"/>
          </rPr>
          <t xml:space="preserve">
38.2% tax rate per 2Q11 release</t>
        </r>
      </text>
    </comment>
    <comment ref="BM76" authorId="0">
      <text>
        <r>
          <rPr>
            <b/>
            <sz val="9"/>
            <color indexed="81"/>
            <rFont val="Tahoma"/>
            <family val="2"/>
          </rPr>
          <t>Savino, Mark (Research):</t>
        </r>
        <r>
          <rPr>
            <sz val="9"/>
            <color indexed="81"/>
            <rFont val="Tahoma"/>
            <family val="2"/>
          </rPr>
          <t xml:space="preserve">
Guidance $5m</t>
        </r>
      </text>
    </comment>
    <comment ref="BN76" authorId="0">
      <text>
        <r>
          <rPr>
            <b/>
            <sz val="9"/>
            <color indexed="81"/>
            <rFont val="Tahoma"/>
            <family val="2"/>
          </rPr>
          <t>Savino, Mark (Research):</t>
        </r>
        <r>
          <rPr>
            <sz val="9"/>
            <color indexed="81"/>
            <rFont val="Tahoma"/>
            <family val="2"/>
          </rPr>
          <t xml:space="preserve">
Guidance: $24m provision</t>
        </r>
      </text>
    </comment>
    <comment ref="BO76" authorId="0">
      <text>
        <r>
          <rPr>
            <b/>
            <sz val="9"/>
            <color indexed="81"/>
            <rFont val="Tahoma"/>
            <family val="2"/>
          </rPr>
          <t>Savino, Mark (Research):</t>
        </r>
        <r>
          <rPr>
            <sz val="9"/>
            <color indexed="81"/>
            <rFont val="Tahoma"/>
            <family val="2"/>
          </rPr>
          <t xml:space="preserve">
Guidance $26.3m</t>
        </r>
      </text>
    </comment>
    <comment ref="BP76" authorId="0">
      <text>
        <r>
          <rPr>
            <b/>
            <sz val="9"/>
            <color indexed="81"/>
            <rFont val="Tahoma"/>
            <family val="2"/>
          </rPr>
          <t>Savino, Mark (Research):</t>
        </r>
        <r>
          <rPr>
            <sz val="9"/>
            <color indexed="81"/>
            <rFont val="Tahoma"/>
            <family val="2"/>
          </rPr>
          <t xml:space="preserve">
Guidancr $4.2m</t>
        </r>
      </text>
    </comment>
    <comment ref="BQ76" authorId="8">
      <text>
        <r>
          <rPr>
            <b/>
            <sz val="9"/>
            <color indexed="81"/>
            <rFont val="Tahoma"/>
            <family val="2"/>
          </rPr>
          <t>Allen, Thomas (Research):</t>
        </r>
        <r>
          <rPr>
            <sz val="9"/>
            <color indexed="81"/>
            <rFont val="Tahoma"/>
            <family val="2"/>
          </rPr>
          <t xml:space="preserve">
1Q17 Guide: $8.9m</t>
        </r>
      </text>
    </comment>
    <comment ref="BR76" authorId="0">
      <text>
        <r>
          <rPr>
            <b/>
            <sz val="9"/>
            <color indexed="81"/>
            <rFont val="Tahoma"/>
            <family val="2"/>
          </rPr>
          <t>Savino, Mark (Research):</t>
        </r>
        <r>
          <rPr>
            <sz val="9"/>
            <color indexed="81"/>
            <rFont val="Tahoma"/>
            <family val="2"/>
          </rPr>
          <t xml:space="preserve">
Includes $766.2m benefit from reversal of DTA reversal
Guidance $15.2m</t>
        </r>
      </text>
    </comment>
    <comment ref="BS76" authorId="0">
      <text>
        <r>
          <rPr>
            <b/>
            <sz val="9"/>
            <color indexed="81"/>
            <rFont val="Tahoma"/>
            <family val="2"/>
          </rPr>
          <t>Savino, Mark (Research):</t>
        </r>
        <r>
          <rPr>
            <sz val="9"/>
            <color indexed="81"/>
            <rFont val="Tahoma"/>
            <family val="2"/>
          </rPr>
          <t xml:space="preserve">
3Q17: $6.6m</t>
        </r>
      </text>
    </comment>
    <comment ref="BT76" authorId="0">
      <text>
        <r>
          <rPr>
            <b/>
            <sz val="9"/>
            <color indexed="81"/>
            <rFont val="Tahoma"/>
            <family val="2"/>
          </rPr>
          <t>Savino, Mark (Research):</t>
        </r>
        <r>
          <rPr>
            <sz val="9"/>
            <color indexed="81"/>
            <rFont val="Tahoma"/>
            <family val="2"/>
          </rPr>
          <t xml:space="preserve">
3Q17: $744.0m
2Q17: $34.6m
1Q17: $23.8m
4Q16: $24.8m</t>
        </r>
      </text>
    </comment>
    <comment ref="BU76" authorId="0">
      <text>
        <r>
          <rPr>
            <b/>
            <sz val="9"/>
            <color indexed="81"/>
            <rFont val="Tahoma"/>
            <family val="2"/>
          </rPr>
          <t>Savino, Mark (Research):</t>
        </r>
        <r>
          <rPr>
            <sz val="9"/>
            <color indexed="81"/>
            <rFont val="Tahoma"/>
            <family val="2"/>
          </rPr>
          <t xml:space="preserve">
Guidance: $11.8m cash taxes</t>
        </r>
      </text>
    </comment>
    <comment ref="BY76" authorId="0">
      <text>
        <r>
          <rPr>
            <b/>
            <sz val="9"/>
            <color indexed="81"/>
            <rFont val="Tahoma"/>
            <family val="2"/>
          </rPr>
          <t>Savino, Mark (Research):</t>
        </r>
        <r>
          <rPr>
            <sz val="9"/>
            <color indexed="81"/>
            <rFont val="Tahoma"/>
            <family val="2"/>
          </rPr>
          <t xml:space="preserve">
4Q17: Cash taxes $41.1m</t>
        </r>
      </text>
    </comment>
    <comment ref="BQ79" authorId="8">
      <text>
        <r>
          <rPr>
            <b/>
            <sz val="9"/>
            <color indexed="81"/>
            <rFont val="Tahoma"/>
            <family val="2"/>
          </rPr>
          <t>Allen, Thomas (Research):</t>
        </r>
        <r>
          <rPr>
            <sz val="9"/>
            <color indexed="81"/>
            <rFont val="Tahoma"/>
            <family val="2"/>
          </rPr>
          <t xml:space="preserve">
1Q17 Guide: $20.4m</t>
        </r>
      </text>
    </comment>
    <comment ref="Y80" authorId="5">
      <text>
        <r>
          <rPr>
            <sz val="8"/>
            <color indexed="81"/>
            <rFont val="Tahoma"/>
            <family val="2"/>
          </rPr>
          <t xml:space="preserve">Original Guidance
</t>
        </r>
      </text>
    </comment>
    <comment ref="AT80" authorId="5">
      <text>
        <r>
          <rPr>
            <sz val="8"/>
            <color indexed="81"/>
            <rFont val="Tahoma"/>
            <family val="2"/>
          </rPr>
          <t xml:space="preserve">Guidance as given in 3Q12 Press Release
</t>
        </r>
      </text>
    </comment>
    <comment ref="AU80" authorId="5">
      <text>
        <r>
          <rPr>
            <sz val="8"/>
            <color indexed="81"/>
            <rFont val="Tahoma"/>
            <family val="2"/>
          </rPr>
          <t xml:space="preserve">Guidance as given in 3Q12 Press Release
</t>
        </r>
      </text>
    </comment>
    <comment ref="AZ80" authorId="6">
      <text>
        <r>
          <rPr>
            <b/>
            <sz val="8"/>
            <color indexed="81"/>
            <rFont val="Tahoma"/>
            <family val="2"/>
          </rPr>
          <t>thallen:</t>
        </r>
        <r>
          <rPr>
            <b/>
            <sz val="8"/>
            <color indexed="81"/>
            <rFont val="Tahoma"/>
            <family val="2"/>
          </rPr>
          <t xml:space="preserve">
Suspended guidance as of 3Q13 earnings
</t>
        </r>
        <r>
          <rPr>
            <sz val="8"/>
            <color indexed="81"/>
            <rFont val="Tahoma"/>
            <family val="2"/>
          </rPr>
          <t>OLD:</t>
        </r>
        <r>
          <rPr>
            <b/>
            <sz val="8"/>
            <color indexed="81"/>
            <rFont val="Tahoma"/>
            <family val="2"/>
          </rPr>
          <t xml:space="preserve">
Per 2Q13 earnings
</t>
        </r>
        <r>
          <rPr>
            <sz val="8"/>
            <color indexed="81"/>
            <rFont val="Tahoma"/>
            <family val="2"/>
          </rPr>
          <t>$141.3m
Updated does not include Sioux City as didn't find out until after release</t>
        </r>
        <r>
          <rPr>
            <b/>
            <sz val="8"/>
            <color indexed="81"/>
            <rFont val="Tahoma"/>
            <family val="2"/>
          </rPr>
          <t xml:space="preserve">
Per 1Q13 earnings
</t>
        </r>
        <r>
          <rPr>
            <sz val="8"/>
            <color indexed="81"/>
            <rFont val="Tahoma"/>
            <family val="2"/>
          </rPr>
          <t>263.8</t>
        </r>
        <r>
          <rPr>
            <b/>
            <sz val="8"/>
            <color indexed="81"/>
            <rFont val="Tahoma"/>
            <family val="2"/>
          </rPr>
          <t xml:space="preserve">
Per 4Q12 earnings
</t>
        </r>
        <r>
          <rPr>
            <sz val="8"/>
            <color indexed="81"/>
            <rFont val="Tahoma"/>
            <family val="2"/>
          </rPr>
          <t>$263.9mm</t>
        </r>
        <r>
          <rPr>
            <b/>
            <sz val="8"/>
            <color indexed="81"/>
            <rFont val="Tahoma"/>
            <family val="2"/>
          </rPr>
          <t xml:space="preserve">
AM: 11/16/12:</t>
        </r>
        <r>
          <rPr>
            <sz val="8"/>
            <color indexed="81"/>
            <rFont val="Tahoma"/>
            <family val="2"/>
          </rPr>
          <t xml:space="preserve">
Guidance of $281.1m per REIT conversion release</t>
        </r>
      </text>
    </comment>
    <comment ref="BE80" authorId="0">
      <text>
        <r>
          <rPr>
            <b/>
            <sz val="9"/>
            <color indexed="81"/>
            <rFont val="Tahoma"/>
            <family val="2"/>
          </rPr>
          <t>Savino, Mark (Research):</t>
        </r>
        <r>
          <rPr>
            <sz val="9"/>
            <color indexed="81"/>
            <rFont val="Tahoma"/>
            <family val="2"/>
          </rPr>
          <t xml:space="preserve">
1Q14: $10.4m
4Q13: 21.9m</t>
        </r>
      </text>
    </comment>
    <comment ref="BJ80" authorId="0">
      <text>
        <r>
          <rPr>
            <b/>
            <sz val="9"/>
            <color indexed="81"/>
            <rFont val="Tahoma"/>
            <family val="2"/>
          </rPr>
          <t>Savino, Mark (Research):</t>
        </r>
        <r>
          <rPr>
            <sz val="9"/>
            <color indexed="81"/>
            <rFont val="Tahoma"/>
            <family val="2"/>
          </rPr>
          <t xml:space="preserve">
2Q15: $52.7m
1Q15: $41.9m
4Q14: $41.3m</t>
        </r>
      </text>
    </comment>
    <comment ref="BO80" authorId="0">
      <text>
        <r>
          <rPr>
            <b/>
            <sz val="9"/>
            <color indexed="81"/>
            <rFont val="Tahoma"/>
            <family val="2"/>
          </rPr>
          <t>Savino, Mark (Research):</t>
        </r>
        <r>
          <rPr>
            <sz val="9"/>
            <color indexed="81"/>
            <rFont val="Tahoma"/>
            <family val="2"/>
          </rPr>
          <t xml:space="preserve">
3Q16: $90.4m
2Q16: $98.9m
1Q16: $80.0m
4Q15: $69.8m</t>
        </r>
      </text>
    </comment>
    <comment ref="BS80" authorId="0">
      <text>
        <r>
          <rPr>
            <b/>
            <sz val="9"/>
            <color indexed="81"/>
            <rFont val="Tahoma"/>
            <family val="2"/>
          </rPr>
          <t>Savino, Mark (Research):</t>
        </r>
        <r>
          <rPr>
            <sz val="9"/>
            <color indexed="81"/>
            <rFont val="Tahoma"/>
            <family val="2"/>
          </rPr>
          <t xml:space="preserve">
3Q17: $16.2m
Implied $13.4m</t>
        </r>
      </text>
    </comment>
    <comment ref="BT80" authorId="0">
      <text>
        <r>
          <rPr>
            <b/>
            <sz val="9"/>
            <color indexed="81"/>
            <rFont val="Tahoma"/>
            <family val="2"/>
          </rPr>
          <t>Savino, Mark (Research):</t>
        </r>
        <r>
          <rPr>
            <sz val="9"/>
            <color indexed="81"/>
            <rFont val="Tahoma"/>
            <family val="2"/>
          </rPr>
          <t xml:space="preserve">
3Q17: $827.7m
2Q17: $54.2m
1Q17: $55m
4Q16: $28.5m</t>
        </r>
      </text>
    </comment>
    <comment ref="Z83" authorId="13">
      <text>
        <r>
          <rPr>
            <b/>
            <sz val="8"/>
            <color indexed="81"/>
            <rFont val="Tahoma"/>
            <family val="2"/>
          </rPr>
          <t>urbankev:</t>
        </r>
        <r>
          <rPr>
            <sz val="8"/>
            <color indexed="81"/>
            <rFont val="Tahoma"/>
            <family val="2"/>
          </rPr>
          <t xml:space="preserve">
represents after tax amounts for $24.9mm ohio lobbying, $1.1mm severance payments, and $2.3mm stock option extension.</t>
        </r>
      </text>
    </comment>
    <comment ref="BR84" authorId="0">
      <text>
        <r>
          <rPr>
            <b/>
            <sz val="9"/>
            <color indexed="81"/>
            <rFont val="Tahoma"/>
            <family val="2"/>
          </rPr>
          <t>Savino, Mark (Research):</t>
        </r>
        <r>
          <rPr>
            <sz val="9"/>
            <color indexed="81"/>
            <rFont val="Tahoma"/>
            <family val="2"/>
          </rPr>
          <t xml:space="preserve">
DTA reversal</t>
        </r>
      </text>
    </comment>
    <comment ref="AN85" authorId="10">
      <text>
        <r>
          <rPr>
            <b/>
            <sz val="8"/>
            <color indexed="81"/>
            <rFont val="Tahoma"/>
            <family val="2"/>
          </rPr>
          <t>danfuss:</t>
        </r>
        <r>
          <rPr>
            <sz val="8"/>
            <color indexed="81"/>
            <rFont val="Tahoma"/>
            <family val="2"/>
          </rPr>
          <t xml:space="preserve">
Includes
</t>
        </r>
      </text>
    </comment>
    <comment ref="AW85" authorId="17">
      <text>
        <r>
          <rPr>
            <b/>
            <sz val="8"/>
            <color indexed="81"/>
            <rFont val="Tahoma"/>
            <family val="2"/>
          </rPr>
          <t>thallen:</t>
        </r>
        <r>
          <rPr>
            <sz val="8"/>
            <color indexed="81"/>
            <rFont val="Tahoma"/>
            <family val="2"/>
          </rPr>
          <t xml:space="preserve">
Tax-adjusted</t>
        </r>
      </text>
    </comment>
    <comment ref="BC85" authorId="0">
      <text>
        <r>
          <rPr>
            <b/>
            <sz val="9"/>
            <color indexed="81"/>
            <rFont val="Tahoma"/>
            <family val="2"/>
          </rPr>
          <t>Savino, Mark (Research):</t>
        </r>
        <r>
          <rPr>
            <sz val="9"/>
            <color indexed="81"/>
            <rFont val="Tahoma"/>
            <family val="2"/>
          </rPr>
          <t xml:space="preserve">
$5.674m gain from insurance recoveries
$0.145m loss on disposal of assets</t>
        </r>
      </text>
    </comment>
    <comment ref="BH85" authorId="0">
      <text>
        <r>
          <rPr>
            <b/>
            <sz val="9"/>
            <color indexed="81"/>
            <rFont val="Tahoma"/>
            <family val="2"/>
          </rPr>
          <t>Savino, Mark (Research):</t>
        </r>
        <r>
          <rPr>
            <sz val="9"/>
            <color indexed="81"/>
            <rFont val="Tahoma"/>
            <family val="2"/>
          </rPr>
          <t xml:space="preserve">
$277k loss on disposal of assets; $6.7m Plainridge contingent purchase price</t>
        </r>
      </text>
    </comment>
    <comment ref="AE86" authorId="13">
      <text>
        <r>
          <rPr>
            <b/>
            <sz val="8"/>
            <color indexed="81"/>
            <rFont val="Tahoma"/>
            <family val="2"/>
          </rPr>
          <t>urbankev:</t>
        </r>
        <r>
          <rPr>
            <sz val="8"/>
            <color indexed="81"/>
            <rFont val="Tahoma"/>
            <family val="2"/>
          </rPr>
          <t xml:space="preserve">
Assumed 35% tax rate.</t>
        </r>
      </text>
    </comment>
    <comment ref="AO86" authorId="11">
      <text>
        <r>
          <rPr>
            <b/>
            <sz val="8"/>
            <color indexed="81"/>
            <rFont val="Tahoma"/>
            <family val="2"/>
          </rPr>
          <t>AM: 2/2/12:</t>
        </r>
        <r>
          <rPr>
            <sz val="8"/>
            <color indexed="81"/>
            <rFont val="Tahoma"/>
            <family val="2"/>
          </rPr>
          <t xml:space="preserve">
Adj for higher than normal tax rate in 4Q</t>
        </r>
      </text>
    </comment>
    <comment ref="AG88" authorId="13">
      <text>
        <r>
          <rPr>
            <b/>
            <sz val="8"/>
            <color indexed="81"/>
            <rFont val="Tahoma"/>
            <family val="2"/>
          </rPr>
          <t>urbankev:</t>
        </r>
        <r>
          <rPr>
            <sz val="8"/>
            <color indexed="81"/>
            <rFont val="Tahoma"/>
            <family val="2"/>
          </rPr>
          <t xml:space="preserve">
PENN did not make a "recurring" adjustment in 1Q10</t>
        </r>
      </text>
    </comment>
    <comment ref="AI88" authorId="10">
      <text>
        <r>
          <rPr>
            <b/>
            <sz val="8"/>
            <color indexed="81"/>
            <rFont val="Tahoma"/>
            <family val="2"/>
          </rPr>
          <t xml:space="preserve">danfuss: </t>
        </r>
        <r>
          <rPr>
            <sz val="8"/>
            <color indexed="81"/>
            <rFont val="Tahoma"/>
            <family val="2"/>
          </rPr>
          <t>(per diluted share)</t>
        </r>
        <r>
          <rPr>
            <sz val="8"/>
            <color indexed="81"/>
            <rFont val="Tahoma"/>
            <family val="2"/>
          </rPr>
          <t xml:space="preserve">
.06 - Capital House litigation settlement
.04 - Gain on Empress Casino Hotel fire claim
(.01) - Currency translation loss</t>
        </r>
      </text>
    </comment>
    <comment ref="AJ92" authorId="20">
      <text>
        <r>
          <rPr>
            <b/>
            <sz val="8"/>
            <color indexed="81"/>
            <rFont val="Tahoma"/>
            <family val="2"/>
          </rPr>
          <t>AM: 10/21/10:</t>
        </r>
        <r>
          <rPr>
            <sz val="8"/>
            <color indexed="81"/>
            <rFont val="Tahoma"/>
            <family val="2"/>
          </rPr>
          <t xml:space="preserve">
Guidance of $0.27</t>
        </r>
      </text>
    </comment>
    <comment ref="AN92" authorId="23">
      <text>
        <r>
          <rPr>
            <b/>
            <sz val="8"/>
            <color indexed="81"/>
            <rFont val="Tahoma"/>
            <family val="2"/>
          </rPr>
          <t>AM: 7/21/11:</t>
        </r>
        <r>
          <rPr>
            <sz val="8"/>
            <color indexed="81"/>
            <rFont val="Tahoma"/>
            <family val="2"/>
          </rPr>
          <t xml:space="preserve">
$0.53 guidance</t>
        </r>
      </text>
    </comment>
    <comment ref="AP92" authorId="22">
      <text>
        <r>
          <rPr>
            <b/>
            <sz val="8"/>
            <color indexed="81"/>
            <rFont val="Tahoma"/>
            <family val="2"/>
          </rPr>
          <t xml:space="preserve">AM: 7/21/11:
</t>
        </r>
        <r>
          <rPr>
            <sz val="8"/>
            <color indexed="81"/>
            <rFont val="Tahoma"/>
            <family val="2"/>
          </rPr>
          <t>$2.16 guidance</t>
        </r>
        <r>
          <rPr>
            <b/>
            <sz val="8"/>
            <color indexed="81"/>
            <rFont val="Tahoma"/>
            <family val="2"/>
          </rPr>
          <t xml:space="preserve">
AM: 4/21/11:</t>
        </r>
        <r>
          <rPr>
            <sz val="8"/>
            <color indexed="81"/>
            <rFont val="Tahoma"/>
            <family val="2"/>
          </rPr>
          <t xml:space="preserve">
Guidance of $1.64 (up from prior $1.48)</t>
        </r>
      </text>
    </comment>
    <comment ref="AU92" authorId="2">
      <text>
        <r>
          <rPr>
            <b/>
            <sz val="8"/>
            <color indexed="81"/>
            <rFont val="Tahoma"/>
            <family val="2"/>
          </rPr>
          <t xml:space="preserve">AM: 11/16/12:
</t>
        </r>
        <r>
          <rPr>
            <sz val="8"/>
            <color indexed="81"/>
            <rFont val="Tahoma"/>
            <family val="2"/>
          </rPr>
          <t>Guidance of $2.15 (now incl $24m of incremental MD lobbying expense)</t>
        </r>
        <r>
          <rPr>
            <b/>
            <sz val="8"/>
            <color indexed="81"/>
            <rFont val="Tahoma"/>
            <family val="2"/>
          </rPr>
          <t xml:space="preserve">
AM: 7/24/12:
</t>
        </r>
        <r>
          <rPr>
            <sz val="8"/>
            <color indexed="81"/>
            <rFont val="Tahoma"/>
            <family val="2"/>
          </rPr>
          <t>Per 2Q12 release, guidance of $2.46</t>
        </r>
        <r>
          <rPr>
            <b/>
            <sz val="8"/>
            <color indexed="81"/>
            <rFont val="Tahoma"/>
            <family val="2"/>
          </rPr>
          <t xml:space="preserve">
AM: 4/19/12:
</t>
        </r>
        <r>
          <rPr>
            <sz val="8"/>
            <color indexed="81"/>
            <rFont val="Tahoma"/>
            <family val="2"/>
          </rPr>
          <t>Per 1Q12 release, guidance of $2.48</t>
        </r>
        <r>
          <rPr>
            <b/>
            <sz val="8"/>
            <color indexed="81"/>
            <rFont val="Tahoma"/>
            <family val="2"/>
          </rPr>
          <t xml:space="preserve">
AM: 2/2/12:</t>
        </r>
        <r>
          <rPr>
            <sz val="8"/>
            <color indexed="81"/>
            <rFont val="Tahoma"/>
            <family val="2"/>
          </rPr>
          <t xml:space="preserve">
Guidance of $2.22 per 4Q11 release.</t>
        </r>
      </text>
    </comment>
    <comment ref="AM93" authorId="22">
      <text>
        <r>
          <rPr>
            <b/>
            <sz val="8"/>
            <color indexed="81"/>
            <rFont val="Tahoma"/>
            <family val="2"/>
          </rPr>
          <t>AM: 4/21/11:</t>
        </r>
        <r>
          <rPr>
            <sz val="8"/>
            <color indexed="81"/>
            <rFont val="Tahoma"/>
            <family val="2"/>
          </rPr>
          <t xml:space="preserve">
Guidance of $0.47</t>
        </r>
      </text>
    </comment>
    <comment ref="C95" authorId="5">
      <text>
        <r>
          <rPr>
            <sz val="8"/>
            <color indexed="81"/>
            <rFont val="Tahoma"/>
            <family val="2"/>
          </rPr>
          <t>Without Shreverport+
Guidance adjusted for stock split</t>
        </r>
      </text>
    </comment>
    <comment ref="D95" authorId="5">
      <text>
        <r>
          <rPr>
            <sz val="8"/>
            <color indexed="81"/>
            <rFont val="Tahoma"/>
            <family val="2"/>
          </rPr>
          <t xml:space="preserve">Without Shreverport+
</t>
        </r>
      </text>
    </comment>
    <comment ref="Y95" authorId="5">
      <text>
        <r>
          <rPr>
            <sz val="8"/>
            <color indexed="81"/>
            <rFont val="Tahoma"/>
            <family val="2"/>
          </rPr>
          <t xml:space="preserve">Original Guidance
</t>
        </r>
      </text>
    </comment>
    <comment ref="AT95" authorId="5">
      <text>
        <r>
          <rPr>
            <sz val="8"/>
            <color indexed="81"/>
            <rFont val="Tahoma"/>
            <family val="2"/>
          </rPr>
          <t xml:space="preserve">Guidance as given in 3Q12 Press Release
</t>
        </r>
      </text>
    </comment>
    <comment ref="AU95" authorId="5">
      <text>
        <r>
          <rPr>
            <sz val="8"/>
            <color indexed="81"/>
            <rFont val="Tahoma"/>
            <family val="2"/>
          </rPr>
          <t xml:space="preserve">Guidance as given in 3Q12 Press Release
</t>
        </r>
      </text>
    </comment>
    <comment ref="AZ95" authorId="6">
      <text>
        <r>
          <rPr>
            <b/>
            <sz val="8"/>
            <color indexed="81"/>
            <rFont val="Tahoma"/>
            <family val="2"/>
          </rPr>
          <t xml:space="preserve">thallen:
Suspended guidance as of 3Q13 earnings
</t>
        </r>
        <r>
          <rPr>
            <sz val="8"/>
            <color indexed="81"/>
            <rFont val="Tahoma"/>
            <family val="2"/>
          </rPr>
          <t xml:space="preserve">OLD:
</t>
        </r>
        <r>
          <rPr>
            <b/>
            <sz val="8"/>
            <color indexed="81"/>
            <rFont val="Tahoma"/>
            <family val="2"/>
          </rPr>
          <t xml:space="preserve">Per 2Q13 earnings
</t>
        </r>
        <r>
          <rPr>
            <sz val="8"/>
            <color indexed="81"/>
            <rFont val="Tahoma"/>
            <family val="2"/>
          </rPr>
          <t xml:space="preserve">$1.37
</t>
        </r>
        <r>
          <rPr>
            <b/>
            <sz val="8"/>
            <color indexed="81"/>
            <rFont val="Tahoma"/>
            <family val="2"/>
          </rPr>
          <t xml:space="preserve">Per1Q13 earnings
</t>
        </r>
        <r>
          <rPr>
            <sz val="8"/>
            <color indexed="81"/>
            <rFont val="Tahoma"/>
            <family val="2"/>
          </rPr>
          <t xml:space="preserve">$2.56
</t>
        </r>
        <r>
          <rPr>
            <b/>
            <sz val="8"/>
            <color indexed="81"/>
            <rFont val="Tahoma"/>
            <family val="2"/>
          </rPr>
          <t xml:space="preserve">
Per 4Q12 earnings
</t>
        </r>
        <r>
          <rPr>
            <sz val="8"/>
            <color indexed="81"/>
            <rFont val="Tahoma"/>
            <family val="2"/>
          </rPr>
          <t>$2.47</t>
        </r>
        <r>
          <rPr>
            <b/>
            <sz val="8"/>
            <color indexed="81"/>
            <rFont val="Tahoma"/>
            <family val="2"/>
          </rPr>
          <t xml:space="preserve">
AM: 11/16/12:</t>
        </r>
        <r>
          <rPr>
            <sz val="8"/>
            <color indexed="81"/>
            <rFont val="Tahoma"/>
            <family val="2"/>
          </rPr>
          <t xml:space="preserve">
Guidance of $2.62 per REIT conversion release.</t>
        </r>
      </text>
    </comment>
    <comment ref="BE95" authorId="0">
      <text>
        <r>
          <rPr>
            <b/>
            <sz val="9"/>
            <color indexed="81"/>
            <rFont val="Tahoma"/>
            <family val="2"/>
          </rPr>
          <t>Savino, Mark (Research):</t>
        </r>
        <r>
          <rPr>
            <sz val="9"/>
            <color indexed="81"/>
            <rFont val="Tahoma"/>
            <family val="2"/>
          </rPr>
          <t xml:space="preserve">
1Q14: $0.12
4Q13: $0.24</t>
        </r>
      </text>
    </comment>
    <comment ref="BJ95" authorId="0">
      <text>
        <r>
          <rPr>
            <b/>
            <sz val="9"/>
            <color indexed="81"/>
            <rFont val="Tahoma"/>
            <family val="2"/>
          </rPr>
          <t>Savino, Mark (Research):</t>
        </r>
        <r>
          <rPr>
            <sz val="9"/>
            <color indexed="81"/>
            <rFont val="Tahoma"/>
            <family val="2"/>
          </rPr>
          <t xml:space="preserve">
2Q15: $0.58
1Q15: $0.46
4Q14: $0.46
</t>
        </r>
      </text>
    </comment>
    <comment ref="BO95" authorId="0">
      <text>
        <r>
          <rPr>
            <b/>
            <sz val="9"/>
            <color indexed="81"/>
            <rFont val="Tahoma"/>
            <family val="2"/>
          </rPr>
          <t>Savino, Mark (Research):</t>
        </r>
        <r>
          <rPr>
            <sz val="9"/>
            <color indexed="81"/>
            <rFont val="Tahoma"/>
            <family val="2"/>
          </rPr>
          <t xml:space="preserve">
3Q16: $0.99
1Q16: $0.87
4Q15: $0.76</t>
        </r>
      </text>
    </comment>
    <comment ref="BT95" authorId="0">
      <text>
        <r>
          <rPr>
            <b/>
            <sz val="9"/>
            <color indexed="81"/>
            <rFont val="Tahoma"/>
            <family val="2"/>
          </rPr>
          <t>Savino, Mark (Research):</t>
        </r>
        <r>
          <rPr>
            <sz val="9"/>
            <color indexed="81"/>
            <rFont val="Tahoma"/>
            <family val="2"/>
          </rPr>
          <t xml:space="preserve">
3Q17: $8.91
4Q16: $0.31</t>
        </r>
      </text>
    </comment>
    <comment ref="C96" authorId="5">
      <text>
        <r>
          <rPr>
            <sz val="8"/>
            <color indexed="81"/>
            <rFont val="Tahoma"/>
            <family val="2"/>
          </rPr>
          <t xml:space="preserve">Without Shreverport+
</t>
        </r>
      </text>
    </comment>
    <comment ref="D96" authorId="5">
      <text>
        <r>
          <rPr>
            <sz val="8"/>
            <color indexed="81"/>
            <rFont val="Tahoma"/>
            <family val="2"/>
          </rPr>
          <t xml:space="preserve">Without Shreverport+
</t>
        </r>
      </text>
    </comment>
    <comment ref="BP99" authorId="0">
      <text>
        <r>
          <rPr>
            <b/>
            <sz val="9"/>
            <color indexed="81"/>
            <rFont val="Tahoma"/>
            <family val="2"/>
          </rPr>
          <t>Savino, Mark (Research):</t>
        </r>
        <r>
          <rPr>
            <sz val="9"/>
            <color indexed="81"/>
            <rFont val="Tahoma"/>
            <family val="2"/>
          </rPr>
          <t xml:space="preserve">
As of 2/2/17</t>
        </r>
      </text>
    </comment>
    <comment ref="AY100" authorId="12">
      <text>
        <r>
          <rPr>
            <b/>
            <sz val="8"/>
            <color indexed="81"/>
            <rFont val="Tahoma"/>
            <family val="2"/>
          </rPr>
          <t>savinmar:</t>
        </r>
        <r>
          <rPr>
            <sz val="8"/>
            <color indexed="81"/>
            <rFont val="Tahoma"/>
            <family val="2"/>
          </rPr>
          <t xml:space="preserve">
Per 3Q release, redemption of historical preferred shares will </t>
        </r>
        <r>
          <rPr>
            <u/>
            <sz val="8"/>
            <color indexed="81"/>
            <rFont val="Tahoma"/>
            <family val="2"/>
          </rPr>
          <t>increase</t>
        </r>
        <r>
          <rPr>
            <sz val="8"/>
            <color indexed="81"/>
            <rFont val="Tahoma"/>
            <family val="2"/>
          </rPr>
          <t xml:space="preserve"> basic shares outstanding by 8.6m</t>
        </r>
      </text>
    </comment>
    <comment ref="AH101" authorId="9">
      <text>
        <r>
          <rPr>
            <b/>
            <sz val="8"/>
            <color indexed="81"/>
            <rFont val="Tahoma"/>
            <family val="2"/>
          </rPr>
          <t>stramark:</t>
        </r>
        <r>
          <rPr>
            <sz val="8"/>
            <color indexed="81"/>
            <rFont val="Tahoma"/>
            <family val="2"/>
          </rPr>
          <t xml:space="preserve">
27.2m from preferred when below $45</t>
        </r>
      </text>
    </comment>
    <comment ref="AI101" authorId="10">
      <text>
        <r>
          <rPr>
            <b/>
            <sz val="8"/>
            <color indexed="81"/>
            <rFont val="Tahoma"/>
            <family val="2"/>
          </rPr>
          <t>danfuss:</t>
        </r>
        <r>
          <rPr>
            <sz val="8"/>
            <color indexed="81"/>
            <rFont val="Tahoma"/>
            <family val="2"/>
          </rPr>
          <t xml:space="preserve">
Bought back 1.12m shares</t>
        </r>
      </text>
    </comment>
    <comment ref="AW101" authorId="12">
      <text>
        <r>
          <rPr>
            <b/>
            <sz val="8"/>
            <color indexed="81"/>
            <rFont val="Tahoma"/>
            <family val="2"/>
          </rPr>
          <t>savinmar:</t>
        </r>
        <r>
          <rPr>
            <sz val="8"/>
            <color indexed="81"/>
            <rFont val="Tahoma"/>
            <family val="2"/>
          </rPr>
          <t xml:space="preserve">
Did not disclose a diluted share count because reported a loss but still guiding to 102.9mm shares for 2013</t>
        </r>
      </text>
    </comment>
    <comment ref="AY101" authorId="12">
      <text>
        <r>
          <rPr>
            <b/>
            <sz val="8"/>
            <color indexed="81"/>
            <rFont val="Tahoma"/>
            <family val="2"/>
          </rPr>
          <t>savinmar:</t>
        </r>
        <r>
          <rPr>
            <sz val="8"/>
            <color indexed="81"/>
            <rFont val="Tahoma"/>
            <family val="2"/>
          </rPr>
          <t xml:space="preserve">
Per mgmt, slightly higher than original guide b/c of lower redemptions
</t>
        </r>
      </text>
    </comment>
    <comment ref="BA101" authorId="0">
      <text>
        <r>
          <rPr>
            <b/>
            <sz val="9"/>
            <color indexed="81"/>
            <rFont val="Tahoma"/>
            <family val="2"/>
          </rPr>
          <t>Savino, Mark (Research):</t>
        </r>
        <r>
          <rPr>
            <sz val="9"/>
            <color indexed="81"/>
            <rFont val="Tahoma"/>
            <family val="2"/>
          </rPr>
          <t xml:space="preserve">
90.6m share in 1Q14 and FY14 per mgmt</t>
        </r>
      </text>
    </comment>
    <comment ref="BE101" authorId="0">
      <text>
        <r>
          <rPr>
            <b/>
            <sz val="9"/>
            <color indexed="81"/>
            <rFont val="Tahoma"/>
            <family val="2"/>
          </rPr>
          <t>Savino, Mark (Research):</t>
        </r>
        <r>
          <rPr>
            <sz val="9"/>
            <color indexed="81"/>
            <rFont val="Tahoma"/>
            <family val="2"/>
          </rPr>
          <t xml:space="preserve">
4Q13 press release: 90.6m fully diluted shares</t>
        </r>
      </text>
    </comment>
    <comment ref="BJ101" authorId="0">
      <text>
        <r>
          <rPr>
            <b/>
            <sz val="9"/>
            <color indexed="81"/>
            <rFont val="Tahoma"/>
            <family val="2"/>
          </rPr>
          <t>Savino, Mark (Research):</t>
        </r>
        <r>
          <rPr>
            <sz val="9"/>
            <color indexed="81"/>
            <rFont val="Tahoma"/>
            <family val="2"/>
          </rPr>
          <t xml:space="preserve">
Guidance: 90.6m</t>
        </r>
      </text>
    </comment>
    <comment ref="BO101" authorId="8">
      <text>
        <r>
          <rPr>
            <b/>
            <sz val="9"/>
            <color indexed="81"/>
            <rFont val="Tahoma"/>
            <family val="2"/>
          </rPr>
          <t>Allen, Thomas (Research):</t>
        </r>
        <r>
          <rPr>
            <sz val="9"/>
            <color indexed="81"/>
            <rFont val="Tahoma"/>
            <family val="2"/>
          </rPr>
          <t xml:space="preserve">
Guidance:
3Q16: 91.2m
2Q16: 91.6m
1Q16: 91.9m
4Q15: 92.2m</t>
        </r>
      </text>
    </comment>
    <comment ref="BT101" authorId="0">
      <text>
        <r>
          <rPr>
            <b/>
            <sz val="9"/>
            <color indexed="81"/>
            <rFont val="Tahoma"/>
            <family val="2"/>
          </rPr>
          <t>Savino, Mark (Research):</t>
        </r>
        <r>
          <rPr>
            <sz val="9"/>
            <color indexed="81"/>
            <rFont val="Tahoma"/>
            <family val="2"/>
          </rPr>
          <t xml:space="preserve">
3Q17: 92.9m
2Q17: 92.8m
1Q17: 92.2m (but we assume buybacks)
4Q16: 92.8m</t>
        </r>
      </text>
    </comment>
    <comment ref="BU101" authorId="0">
      <text>
        <r>
          <rPr>
            <b/>
            <sz val="9"/>
            <color indexed="81"/>
            <rFont val="Tahoma"/>
            <family val="2"/>
          </rPr>
          <t>Savino, Mark (Research):</t>
        </r>
        <r>
          <rPr>
            <sz val="9"/>
            <color indexed="81"/>
            <rFont val="Tahoma"/>
            <family val="2"/>
          </rPr>
          <t xml:space="preserve">
4Q17: 93.3m shares for the full year</t>
        </r>
      </text>
    </comment>
    <comment ref="BA118" authorId="0">
      <text>
        <r>
          <rPr>
            <b/>
            <sz val="9"/>
            <color indexed="81"/>
            <rFont val="Tahoma"/>
            <family val="2"/>
          </rPr>
          <t>Savino, Mark (Research):</t>
        </r>
        <r>
          <rPr>
            <sz val="9"/>
            <color indexed="81"/>
            <rFont val="Tahoma"/>
            <family val="2"/>
          </rPr>
          <t xml:space="preserve">
Includes financing given to Jamul JV</t>
        </r>
      </text>
    </comment>
    <comment ref="AP122" authorId="17">
      <text>
        <r>
          <rPr>
            <b/>
            <sz val="8"/>
            <color indexed="81"/>
            <rFont val="Tahoma"/>
            <family val="2"/>
          </rPr>
          <t>thallen:</t>
        </r>
        <r>
          <rPr>
            <sz val="8"/>
            <color indexed="81"/>
            <rFont val="Tahoma"/>
            <family val="2"/>
          </rPr>
          <t xml:space="preserve">
Can't look at old FCF yield b/c when they owned GLPI</t>
        </r>
      </text>
    </comment>
    <comment ref="AU122" authorId="17">
      <text>
        <r>
          <rPr>
            <b/>
            <sz val="8"/>
            <color indexed="81"/>
            <rFont val="Tahoma"/>
            <family val="2"/>
          </rPr>
          <t>thallen:</t>
        </r>
        <r>
          <rPr>
            <sz val="8"/>
            <color indexed="81"/>
            <rFont val="Tahoma"/>
            <family val="2"/>
          </rPr>
          <t xml:space="preserve">
Can't look at old FCF yield b/c when they owned GLPI</t>
        </r>
      </text>
    </comment>
    <comment ref="AZ122" authorId="17">
      <text>
        <r>
          <rPr>
            <b/>
            <sz val="8"/>
            <color indexed="81"/>
            <rFont val="Tahoma"/>
            <family val="2"/>
          </rPr>
          <t>thallen:</t>
        </r>
        <r>
          <rPr>
            <sz val="8"/>
            <color indexed="81"/>
            <rFont val="Tahoma"/>
            <family val="2"/>
          </rPr>
          <t xml:space="preserve">
Can't look at old FCF yield b/c when they owned GLPI</t>
        </r>
      </text>
    </comment>
    <comment ref="AP123" authorId="17">
      <text>
        <r>
          <rPr>
            <b/>
            <sz val="8"/>
            <color indexed="81"/>
            <rFont val="Tahoma"/>
            <family val="2"/>
          </rPr>
          <t>thallen:</t>
        </r>
        <r>
          <rPr>
            <sz val="8"/>
            <color indexed="81"/>
            <rFont val="Tahoma"/>
            <family val="2"/>
          </rPr>
          <t xml:space="preserve">
Can't look at old FCF yield b/c when they owned GLPI</t>
        </r>
      </text>
    </comment>
    <comment ref="AU123" authorId="17">
      <text>
        <r>
          <rPr>
            <b/>
            <sz val="8"/>
            <color indexed="81"/>
            <rFont val="Tahoma"/>
            <family val="2"/>
          </rPr>
          <t>thallen:</t>
        </r>
        <r>
          <rPr>
            <sz val="8"/>
            <color indexed="81"/>
            <rFont val="Tahoma"/>
            <family val="2"/>
          </rPr>
          <t xml:space="preserve">
Can't look at old FCF yield b/c when they owned GLPI</t>
        </r>
      </text>
    </comment>
    <comment ref="AZ123" authorId="17">
      <text>
        <r>
          <rPr>
            <b/>
            <sz val="8"/>
            <color indexed="81"/>
            <rFont val="Tahoma"/>
            <family val="2"/>
          </rPr>
          <t>thallen:</t>
        </r>
        <r>
          <rPr>
            <sz val="8"/>
            <color indexed="81"/>
            <rFont val="Tahoma"/>
            <family val="2"/>
          </rPr>
          <t xml:space="preserve">
Can't look at old FCF yield b/c when they owned GLPI</t>
        </r>
      </text>
    </comment>
    <comment ref="A127" authorId="13">
      <text>
        <r>
          <rPr>
            <b/>
            <sz val="8"/>
            <color indexed="81"/>
            <rFont val="Tahoma"/>
            <family val="2"/>
          </rPr>
          <t>urbankev:</t>
        </r>
        <r>
          <rPr>
            <sz val="8"/>
            <color indexed="81"/>
            <rFont val="Tahoma"/>
            <family val="2"/>
          </rPr>
          <t xml:space="preserve">
Approximately 60% of maintenance Capex is for the replacement of slot machines. Penn's targets a 7-year replacement cycle for slots.</t>
        </r>
      </text>
    </comment>
    <comment ref="AE127" authorId="13">
      <text>
        <r>
          <rPr>
            <b/>
            <sz val="8"/>
            <color indexed="81"/>
            <rFont val="Tahoma"/>
            <family val="2"/>
          </rPr>
          <t>urbankev:</t>
        </r>
        <r>
          <rPr>
            <sz val="8"/>
            <color indexed="81"/>
            <rFont val="Tahoma"/>
            <family val="2"/>
          </rPr>
          <t xml:space="preserve">
Per mgmt on Q4 earnings release</t>
        </r>
      </text>
    </comment>
    <comment ref="AG127" authorId="13">
      <text>
        <r>
          <rPr>
            <b/>
            <sz val="8"/>
            <color indexed="81"/>
            <rFont val="Tahoma"/>
            <family val="2"/>
          </rPr>
          <t>urbankev:</t>
        </r>
        <r>
          <rPr>
            <sz val="8"/>
            <color indexed="81"/>
            <rFont val="Tahoma"/>
            <family val="2"/>
          </rPr>
          <t xml:space="preserve">
Q1 includes catch-up capex of $6.6mm</t>
        </r>
      </text>
    </comment>
    <comment ref="AH127" authorId="13">
      <text>
        <r>
          <rPr>
            <b/>
            <sz val="8"/>
            <color indexed="81"/>
            <rFont val="Tahoma"/>
            <family val="2"/>
          </rPr>
          <t>urbankev:</t>
        </r>
        <r>
          <rPr>
            <sz val="8"/>
            <color indexed="81"/>
            <rFont val="Tahoma"/>
            <family val="2"/>
          </rPr>
          <t xml:space="preserve">
Per 1Q10 call, Mgmt provided estimate of $23.6mm for 2Q10</t>
        </r>
      </text>
    </comment>
    <comment ref="AI127" authorId="13">
      <text>
        <r>
          <rPr>
            <b/>
            <sz val="8"/>
            <color indexed="81"/>
            <rFont val="Tahoma"/>
            <family val="2"/>
          </rPr>
          <t>urbankev:</t>
        </r>
        <r>
          <rPr>
            <sz val="8"/>
            <color indexed="81"/>
            <rFont val="Tahoma"/>
            <family val="2"/>
          </rPr>
          <t xml:space="preserve">
On 1Q10 call, Mgmt provided 2010 maintenance capex estimate of $94mm</t>
        </r>
      </text>
    </comment>
    <comment ref="AJ127" authorId="13">
      <text>
        <r>
          <rPr>
            <b/>
            <sz val="8"/>
            <color indexed="81"/>
            <rFont val="Tahoma"/>
            <family val="2"/>
          </rPr>
          <t xml:space="preserve">AM: 10/21/10
</t>
        </r>
        <r>
          <rPr>
            <sz val="8"/>
            <color indexed="81"/>
            <rFont val="Tahoma"/>
            <family val="2"/>
          </rPr>
          <t>$20.4m per 3Q10 cc.</t>
        </r>
        <r>
          <rPr>
            <b/>
            <sz val="8"/>
            <color indexed="81"/>
            <rFont val="Tahoma"/>
            <family val="2"/>
          </rPr>
          <t xml:space="preserve">
urbankev:</t>
        </r>
        <r>
          <rPr>
            <sz val="8"/>
            <color indexed="81"/>
            <rFont val="Tahoma"/>
            <family val="2"/>
          </rPr>
          <t xml:space="preserve">
On 1Q10 call, Mgmt provided 2010 maintenance capex estimate of $94mm</t>
        </r>
      </text>
    </comment>
    <comment ref="AP127" authorId="27">
      <text>
        <r>
          <rPr>
            <b/>
            <sz val="8"/>
            <color indexed="81"/>
            <rFont val="Tahoma"/>
            <family val="2"/>
          </rPr>
          <t>AM: 4/21/11:
$85m per 1Q11 cc.
AM: 3/01/11:</t>
        </r>
        <r>
          <rPr>
            <sz val="8"/>
            <color indexed="81"/>
            <rFont val="Tahoma"/>
            <family val="2"/>
          </rPr>
          <t xml:space="preserve">
$88.5m per 4Q10 cc.</t>
        </r>
      </text>
    </comment>
    <comment ref="AT127" authorId="16">
      <text>
        <r>
          <rPr>
            <b/>
            <sz val="8"/>
            <color indexed="81"/>
            <rFont val="Tahoma"/>
            <family val="2"/>
          </rPr>
          <t>AM: 10/18/12:</t>
        </r>
        <r>
          <rPr>
            <sz val="8"/>
            <color indexed="81"/>
            <rFont val="Tahoma"/>
            <family val="2"/>
          </rPr>
          <t xml:space="preserve">
$24m guidance</t>
        </r>
      </text>
    </comment>
    <comment ref="AV127" authorId="17">
      <text>
        <r>
          <rPr>
            <b/>
            <sz val="8"/>
            <color indexed="81"/>
            <rFont val="Tahoma"/>
            <family val="2"/>
          </rPr>
          <t>thallen:</t>
        </r>
        <r>
          <rPr>
            <sz val="8"/>
            <color indexed="81"/>
            <rFont val="Tahoma"/>
            <family val="2"/>
          </rPr>
          <t xml:space="preserve">
Guidance: $27.2mm</t>
        </r>
      </text>
    </comment>
    <comment ref="BE127" authorId="17">
      <text>
        <r>
          <rPr>
            <b/>
            <sz val="8"/>
            <color indexed="81"/>
            <rFont val="Tahoma"/>
            <family val="2"/>
          </rPr>
          <t>thallen:</t>
        </r>
        <r>
          <rPr>
            <sz val="8"/>
            <color indexed="81"/>
            <rFont val="Tahoma"/>
            <family val="2"/>
          </rPr>
          <t xml:space="preserve">
3Q14: guidance $78.3m
2Q14 guidance: $72.5m
4Q13 guidance: $88m (60% spent on floor refresh)
Should decline y/y as no longer have Perryville and Baton Rouge, OH racinos spend included in project capex, won't need to refresh slots for a while</t>
        </r>
      </text>
    </comment>
    <comment ref="BF127" authorId="0">
      <text>
        <r>
          <rPr>
            <b/>
            <sz val="9"/>
            <color indexed="81"/>
            <rFont val="Tahoma"/>
            <family val="2"/>
          </rPr>
          <t>Savino, Mark (Research):</t>
        </r>
        <r>
          <rPr>
            <sz val="9"/>
            <color indexed="81"/>
            <rFont val="Tahoma"/>
            <family val="2"/>
          </rPr>
          <t xml:space="preserve">
Guidance $21m</t>
        </r>
      </text>
    </comment>
    <comment ref="BG127" authorId="8">
      <text>
        <r>
          <rPr>
            <b/>
            <sz val="9"/>
            <color indexed="81"/>
            <rFont val="Tahoma"/>
            <family val="2"/>
          </rPr>
          <t>Allen, Thomas (Research):</t>
        </r>
        <r>
          <rPr>
            <sz val="9"/>
            <color indexed="81"/>
            <rFont val="Tahoma"/>
            <family val="2"/>
          </rPr>
          <t xml:space="preserve">
Guidance: $22.5m</t>
        </r>
      </text>
    </comment>
    <comment ref="BH127" authorId="0">
      <text>
        <r>
          <rPr>
            <b/>
            <sz val="9"/>
            <color indexed="81"/>
            <rFont val="Tahoma"/>
            <family val="2"/>
          </rPr>
          <t>Savino, Mark (Research):</t>
        </r>
        <r>
          <rPr>
            <sz val="9"/>
            <color indexed="81"/>
            <rFont val="Tahoma"/>
            <family val="2"/>
          </rPr>
          <t xml:space="preserve">
$74m full year guidance, less $32m in 4Q and 1H results
Guidance $25m</t>
        </r>
      </text>
    </comment>
    <comment ref="BI127" authorId="0">
      <text>
        <r>
          <rPr>
            <b/>
            <sz val="9"/>
            <color indexed="81"/>
            <rFont val="Tahoma"/>
            <family val="2"/>
          </rPr>
          <t>Savino, Mark (Research):</t>
        </r>
        <r>
          <rPr>
            <sz val="9"/>
            <color indexed="81"/>
            <rFont val="Tahoma"/>
            <family val="2"/>
          </rPr>
          <t xml:space="preserve">
Guidance: $32m</t>
        </r>
      </text>
    </comment>
    <comment ref="BJ127" authorId="0">
      <text>
        <r>
          <rPr>
            <b/>
            <sz val="9"/>
            <color indexed="81"/>
            <rFont val="Tahoma"/>
            <family val="2"/>
          </rPr>
          <t>Savino, Mark (Research):</t>
        </r>
        <r>
          <rPr>
            <sz val="9"/>
            <color indexed="81"/>
            <rFont val="Tahoma"/>
            <family val="2"/>
          </rPr>
          <t xml:space="preserve">
3Q15: $74m
Guidance $75m</t>
        </r>
      </text>
    </comment>
    <comment ref="BK127" authorId="0">
      <text>
        <r>
          <rPr>
            <b/>
            <sz val="9"/>
            <color indexed="81"/>
            <rFont val="Tahoma"/>
            <family val="2"/>
          </rPr>
          <t>Savino, Mark (Research):</t>
        </r>
        <r>
          <rPr>
            <sz val="9"/>
            <color indexed="81"/>
            <rFont val="Tahoma"/>
            <family val="2"/>
          </rPr>
          <t xml:space="preserve">
Guidance: $30m</t>
        </r>
      </text>
    </comment>
    <comment ref="BL127" authorId="0">
      <text>
        <r>
          <rPr>
            <b/>
            <sz val="9"/>
            <color indexed="81"/>
            <rFont val="Tahoma"/>
            <family val="2"/>
          </rPr>
          <t>Savino, Mark (Research):</t>
        </r>
        <r>
          <rPr>
            <sz val="9"/>
            <color indexed="81"/>
            <rFont val="Tahoma"/>
            <family val="2"/>
          </rPr>
          <t xml:space="preserve">
1Q16: $35m</t>
        </r>
      </text>
    </comment>
    <comment ref="BM127" authorId="0">
      <text>
        <r>
          <rPr>
            <b/>
            <sz val="9"/>
            <color indexed="81"/>
            <rFont val="Tahoma"/>
            <family val="2"/>
          </rPr>
          <t>Savino, Mark (Research):</t>
        </r>
        <r>
          <rPr>
            <sz val="9"/>
            <color indexed="81"/>
            <rFont val="Tahoma"/>
            <family val="2"/>
          </rPr>
          <t xml:space="preserve">
3Q16 call: $19m</t>
        </r>
      </text>
    </comment>
    <comment ref="BN127" authorId="0">
      <text>
        <r>
          <rPr>
            <b/>
            <sz val="9"/>
            <color indexed="81"/>
            <rFont val="Tahoma"/>
            <family val="2"/>
          </rPr>
          <t>Savino, Mark (Research):</t>
        </r>
        <r>
          <rPr>
            <sz val="9"/>
            <color indexed="81"/>
            <rFont val="Tahoma"/>
            <family val="2"/>
          </rPr>
          <t xml:space="preserve">
Guidance: $31m</t>
        </r>
      </text>
    </comment>
    <comment ref="BO127" authorId="0">
      <text>
        <r>
          <rPr>
            <b/>
            <sz val="9"/>
            <color indexed="81"/>
            <rFont val="Tahoma"/>
            <family val="2"/>
          </rPr>
          <t>Savino, Mark (Research):</t>
        </r>
        <r>
          <rPr>
            <sz val="9"/>
            <color indexed="81"/>
            <rFont val="Tahoma"/>
            <family val="2"/>
          </rPr>
          <t xml:space="preserve">
3Q16: $83m
2Q16: $83m
1Q16: $83m
4Q15: $82m</t>
        </r>
      </text>
    </comment>
    <comment ref="BP127" authorId="0">
      <text>
        <r>
          <rPr>
            <b/>
            <sz val="9"/>
            <color indexed="81"/>
            <rFont val="Tahoma"/>
            <family val="2"/>
          </rPr>
          <t>Savino, Mark (Research):</t>
        </r>
        <r>
          <rPr>
            <sz val="9"/>
            <color indexed="81"/>
            <rFont val="Tahoma"/>
            <family val="2"/>
          </rPr>
          <t xml:space="preserve">
Guidance $26.4m</t>
        </r>
      </text>
    </comment>
    <comment ref="BQ127" authorId="8">
      <text>
        <r>
          <rPr>
            <b/>
            <sz val="9"/>
            <color indexed="81"/>
            <rFont val="Tahoma"/>
            <family val="2"/>
          </rPr>
          <t>Allen, Thomas (Research):</t>
        </r>
        <r>
          <rPr>
            <sz val="9"/>
            <color indexed="81"/>
            <rFont val="Tahoma"/>
            <family val="2"/>
          </rPr>
          <t xml:space="preserve">
31.5m</t>
        </r>
      </text>
    </comment>
    <comment ref="BR127" authorId="0">
      <text>
        <r>
          <rPr>
            <b/>
            <sz val="9"/>
            <color indexed="81"/>
            <rFont val="Tahoma"/>
            <family val="2"/>
          </rPr>
          <t>Savino, Mark (Research):</t>
        </r>
        <r>
          <rPr>
            <sz val="9"/>
            <color indexed="81"/>
            <rFont val="Tahoma"/>
            <family val="2"/>
          </rPr>
          <t xml:space="preserve">
Guidance $32m</t>
        </r>
      </text>
    </comment>
    <comment ref="BS127" authorId="0">
      <text>
        <r>
          <rPr>
            <b/>
            <sz val="9"/>
            <color indexed="81"/>
            <rFont val="Tahoma"/>
            <family val="2"/>
          </rPr>
          <t>Savino, Mark (Research):</t>
        </r>
        <r>
          <rPr>
            <sz val="9"/>
            <color indexed="81"/>
            <rFont val="Tahoma"/>
            <family val="2"/>
          </rPr>
          <t xml:space="preserve">
3Q17: $31.5m</t>
        </r>
      </text>
    </comment>
    <comment ref="BT127" authorId="0">
      <text>
        <r>
          <rPr>
            <b/>
            <sz val="9"/>
            <color indexed="81"/>
            <rFont val="Tahoma"/>
            <family val="2"/>
          </rPr>
          <t>Savino, Mark 
(Research):</t>
        </r>
        <r>
          <rPr>
            <sz val="9"/>
            <color indexed="81"/>
            <rFont val="Tahoma"/>
            <family val="2"/>
          </rPr>
          <t xml:space="preserve">
3Q17: $78.1m
2Q17: $78.1m
1Q17: $78.1m
4Q16: $78.1m</t>
        </r>
      </text>
    </comment>
    <comment ref="BU127" authorId="0">
      <text>
        <r>
          <rPr>
            <b/>
            <sz val="9"/>
            <color indexed="81"/>
            <rFont val="Tahoma"/>
            <family val="2"/>
          </rPr>
          <t>Savino, Mark (Research):</t>
        </r>
        <r>
          <rPr>
            <sz val="9"/>
            <color indexed="81"/>
            <rFont val="Tahoma"/>
            <family val="2"/>
          </rPr>
          <t xml:space="preserve">
Guidance $27.6m</t>
        </r>
      </text>
    </comment>
    <comment ref="BY127" authorId="8">
      <text>
        <r>
          <rPr>
            <b/>
            <sz val="9"/>
            <color indexed="81"/>
            <rFont val="Tahoma"/>
            <family val="2"/>
          </rPr>
          <t>Allen, Thomas (Research):</t>
        </r>
        <r>
          <rPr>
            <sz val="9"/>
            <color indexed="81"/>
            <rFont val="Tahoma"/>
            <family val="2"/>
          </rPr>
          <t xml:space="preserve">
4Q17: $103.7m
~$20m capex to be spent in 2018 on margin improvement initiatives, per 3Q17 call</t>
        </r>
      </text>
    </comment>
    <comment ref="BZ127" authorId="8">
      <text>
        <r>
          <rPr>
            <b/>
            <sz val="9"/>
            <color indexed="81"/>
            <rFont val="Tahoma"/>
            <family val="2"/>
          </rPr>
          <t>Allen, Thomas (Research):</t>
        </r>
        <r>
          <rPr>
            <sz val="9"/>
            <color indexed="81"/>
            <rFont val="Tahoma"/>
            <family val="2"/>
          </rPr>
          <t xml:space="preserve">
PENN runrate capex $80m + PNK $60m</t>
        </r>
      </text>
    </comment>
    <comment ref="AG130" authorId="13">
      <text>
        <r>
          <rPr>
            <b/>
            <sz val="8"/>
            <color indexed="81"/>
            <rFont val="Tahoma"/>
            <family val="2"/>
          </rPr>
          <t>urbankev:</t>
        </r>
        <r>
          <rPr>
            <sz val="8"/>
            <color indexed="81"/>
            <rFont val="Tahoma"/>
            <family val="2"/>
          </rPr>
          <t xml:space="preserve">
Per mgmt on 4Q09 earnings call; $101mm approx</t>
        </r>
      </text>
    </comment>
    <comment ref="AJ130" authorId="20">
      <text>
        <r>
          <rPr>
            <b/>
            <sz val="8"/>
            <color indexed="81"/>
            <rFont val="Tahoma"/>
            <family val="2"/>
          </rPr>
          <t>AM: 10/21/10:</t>
        </r>
        <r>
          <rPr>
            <sz val="8"/>
            <color indexed="81"/>
            <rFont val="Tahoma"/>
            <family val="2"/>
          </rPr>
          <t xml:space="preserve">
$69.3m per 3Q10 cc.</t>
        </r>
      </text>
    </comment>
    <comment ref="AN130" authorId="10">
      <text>
        <r>
          <rPr>
            <b/>
            <sz val="8"/>
            <color indexed="81"/>
            <rFont val="Tahoma"/>
            <family val="2"/>
          </rPr>
          <t>danfuss:</t>
        </r>
        <r>
          <rPr>
            <sz val="8"/>
            <color indexed="81"/>
            <rFont val="Tahoma"/>
            <family val="2"/>
          </rPr>
          <t xml:space="preserve">
73.6 mn project capex
20.2 mn Kansas JV</t>
        </r>
      </text>
    </comment>
    <comment ref="AP130" authorId="27">
      <text>
        <r>
          <rPr>
            <b/>
            <sz val="8"/>
            <color indexed="81"/>
            <rFont val="Tahoma"/>
            <family val="2"/>
          </rPr>
          <t xml:space="preserve">
AM: 3/01/11:</t>
        </r>
        <r>
          <rPr>
            <sz val="8"/>
            <color indexed="81"/>
            <rFont val="Tahoma"/>
            <family val="2"/>
          </rPr>
          <t xml:space="preserve">
$289m plus $77.1m KS JV capex per 4Q10 cc.</t>
        </r>
      </text>
    </comment>
    <comment ref="AT130" authorId="19">
      <text>
        <r>
          <rPr>
            <b/>
            <sz val="8"/>
            <color indexed="81"/>
            <rFont val="Tahoma"/>
            <family val="2"/>
          </rPr>
          <t>AM: 10/18/12:</t>
        </r>
        <r>
          <rPr>
            <sz val="8"/>
            <color indexed="81"/>
            <rFont val="Tahoma"/>
            <family val="2"/>
          </rPr>
          <t xml:space="preserve">
$130.6m guidance</t>
        </r>
      </text>
    </comment>
    <comment ref="AV130" authorId="17">
      <text>
        <r>
          <rPr>
            <b/>
            <sz val="8"/>
            <color indexed="81"/>
            <rFont val="Tahoma"/>
            <family val="2"/>
          </rPr>
          <t>thallen:</t>
        </r>
        <r>
          <rPr>
            <sz val="8"/>
            <color indexed="81"/>
            <rFont val="Tahoma"/>
            <family val="2"/>
          </rPr>
          <t xml:space="preserve">
Guidance: $49.4mm</t>
        </r>
      </text>
    </comment>
    <comment ref="BA130" authorId="0">
      <text>
        <r>
          <rPr>
            <b/>
            <sz val="9"/>
            <color indexed="81"/>
            <rFont val="Tahoma"/>
            <family val="2"/>
          </rPr>
          <t>Savino, Mark (Research):</t>
        </r>
        <r>
          <rPr>
            <sz val="9"/>
            <color indexed="81"/>
            <rFont val="Tahoma"/>
            <family val="2"/>
          </rPr>
          <t xml:space="preserve">
Includes $25m license fee paid in MA</t>
        </r>
      </text>
    </comment>
    <comment ref="BE130" authorId="8">
      <text>
        <r>
          <rPr>
            <b/>
            <sz val="9"/>
            <color indexed="81"/>
            <rFont val="Tahoma"/>
            <family val="2"/>
          </rPr>
          <t>Allen, Thomas (Research):</t>
        </r>
        <r>
          <rPr>
            <sz val="9"/>
            <color indexed="81"/>
            <rFont val="Tahoma"/>
            <family val="2"/>
          </rPr>
          <t xml:space="preserve">
2Q14: Project capex $364m for the year
Project capex guidance (from 4Q13 call): $176m (include $81m for Jamul as an investment, not capex) + now including MA</t>
        </r>
      </text>
    </comment>
    <comment ref="BG130" authorId="0">
      <text>
        <r>
          <rPr>
            <b/>
            <sz val="9"/>
            <color indexed="81"/>
            <rFont val="Tahoma"/>
            <family val="2"/>
          </rPr>
          <t>Savino, Mark (Research):</t>
        </r>
        <r>
          <rPr>
            <sz val="9"/>
            <color indexed="81"/>
            <rFont val="Tahoma"/>
            <family val="2"/>
          </rPr>
          <t xml:space="preserve">
Guidance: $99.2m</t>
        </r>
      </text>
    </comment>
    <comment ref="BH130" authorId="0">
      <text>
        <r>
          <rPr>
            <b/>
            <sz val="9"/>
            <color indexed="81"/>
            <rFont val="Tahoma"/>
            <family val="2"/>
          </rPr>
          <t>Savino, Mark (Research):</t>
        </r>
        <r>
          <rPr>
            <sz val="9"/>
            <color indexed="81"/>
            <rFont val="Tahoma"/>
            <family val="2"/>
          </rPr>
          <t xml:space="preserve">
Guidance $151m</t>
        </r>
      </text>
    </comment>
    <comment ref="BI130" authorId="0">
      <text>
        <r>
          <rPr>
            <b/>
            <sz val="9"/>
            <color indexed="81"/>
            <rFont val="Tahoma"/>
            <family val="2"/>
          </rPr>
          <t>Savino, Mark (Research):</t>
        </r>
        <r>
          <rPr>
            <sz val="9"/>
            <color indexed="81"/>
            <rFont val="Tahoma"/>
            <family val="2"/>
          </rPr>
          <t xml:space="preserve">
Guidance: $89m</t>
        </r>
      </text>
    </comment>
    <comment ref="BJ130" authorId="0">
      <text>
        <r>
          <rPr>
            <b/>
            <sz val="9"/>
            <color indexed="81"/>
            <rFont val="Tahoma"/>
            <family val="2"/>
          </rPr>
          <t>Savino, Mark (Research):</t>
        </r>
        <r>
          <rPr>
            <sz val="9"/>
            <color indexed="81"/>
            <rFont val="Tahoma"/>
            <family val="2"/>
          </rPr>
          <t xml:space="preserve">
3Q15: $336m
Guidance: $372m including Jamul</t>
        </r>
      </text>
    </comment>
    <comment ref="BL130" authorId="0">
      <text>
        <r>
          <rPr>
            <b/>
            <sz val="9"/>
            <color indexed="81"/>
            <rFont val="Tahoma"/>
            <family val="2"/>
          </rPr>
          <t>Savino, Mark (Research):</t>
        </r>
        <r>
          <rPr>
            <sz val="9"/>
            <color indexed="81"/>
            <rFont val="Tahoma"/>
            <family val="2"/>
          </rPr>
          <t xml:space="preserve">
1Q16: $102m</t>
        </r>
      </text>
    </comment>
    <comment ref="BM130" authorId="0">
      <text>
        <r>
          <rPr>
            <b/>
            <sz val="9"/>
            <color indexed="81"/>
            <rFont val="Tahoma"/>
            <family val="2"/>
          </rPr>
          <t>Savino, Mark (Research):</t>
        </r>
        <r>
          <rPr>
            <sz val="9"/>
            <color indexed="81"/>
            <rFont val="Tahoma"/>
            <family val="2"/>
          </rPr>
          <t xml:space="preserve">
$110m</t>
        </r>
      </text>
    </comment>
    <comment ref="BO130" authorId="0">
      <text>
        <r>
          <rPr>
            <b/>
            <sz val="9"/>
            <color indexed="81"/>
            <rFont val="Tahoma"/>
            <family val="2"/>
          </rPr>
          <t>Savino, Mark 
(Research):</t>
        </r>
        <r>
          <rPr>
            <sz val="9"/>
            <color indexed="81"/>
            <rFont val="Tahoma"/>
            <family val="2"/>
          </rPr>
          <t xml:space="preserve">
3Q16: $30m including Jamul repayment
2Q16: $285m
1Q16: $283m</t>
        </r>
      </text>
    </comment>
    <comment ref="BS130" authorId="0">
      <text>
        <r>
          <rPr>
            <b/>
            <sz val="9"/>
            <color indexed="81"/>
            <rFont val="Tahoma"/>
            <family val="2"/>
          </rPr>
          <t>Savino, Mark (Research):</t>
        </r>
        <r>
          <rPr>
            <sz val="9"/>
            <color indexed="81"/>
            <rFont val="Tahoma"/>
            <family val="2"/>
          </rPr>
          <t xml:space="preserve">
Guidance $3.7m</t>
        </r>
      </text>
    </comment>
    <comment ref="BT130" authorId="0">
      <text>
        <r>
          <rPr>
            <b/>
            <sz val="9"/>
            <color indexed="81"/>
            <rFont val="Tahoma"/>
            <family val="2"/>
          </rPr>
          <t>Savino, Mark (Research):</t>
        </r>
        <r>
          <rPr>
            <sz val="9"/>
            <color indexed="81"/>
            <rFont val="Tahoma"/>
            <family val="2"/>
          </rPr>
          <t xml:space="preserve">
3Q17: $27m project capex ex OH fees
2Q17: $29m project  capex + $19m OH fees = $48m total</t>
        </r>
      </text>
    </comment>
    <comment ref="AP133" authorId="22">
      <text>
        <r>
          <rPr>
            <b/>
            <sz val="8"/>
            <color indexed="81"/>
            <rFont val="Tahoma"/>
            <family val="2"/>
          </rPr>
          <t>AM: 4/21/11:</t>
        </r>
        <r>
          <rPr>
            <sz val="8"/>
            <color indexed="81"/>
            <rFont val="Tahoma"/>
            <family val="2"/>
          </rPr>
          <t xml:space="preserve">
$443m total capex per 1Q11 cc.</t>
        </r>
      </text>
    </comment>
    <comment ref="AP134" authorId="22">
      <text>
        <r>
          <rPr>
            <b/>
            <sz val="8"/>
            <color indexed="81"/>
            <rFont val="Tahoma"/>
            <family val="2"/>
          </rPr>
          <t>AM: 4/21/11:</t>
        </r>
        <r>
          <rPr>
            <sz val="8"/>
            <color indexed="81"/>
            <rFont val="Tahoma"/>
            <family val="2"/>
          </rPr>
          <t xml:space="preserve">
$287m project capex excl KS JV and $85m maint. </t>
        </r>
      </text>
    </comment>
    <comment ref="AG141" authorId="13">
      <text>
        <r>
          <rPr>
            <b/>
            <sz val="8"/>
            <color indexed="81"/>
            <rFont val="Tahoma"/>
            <family val="2"/>
          </rPr>
          <t>urbankev:</t>
        </r>
        <r>
          <rPr>
            <sz val="8"/>
            <color indexed="81"/>
            <rFont val="Tahoma"/>
            <family val="2"/>
          </rPr>
          <t xml:space="preserve">
net of insurance proceeds</t>
        </r>
      </text>
    </comment>
    <comment ref="BE151" authorId="12">
      <text>
        <r>
          <rPr>
            <b/>
            <sz val="8"/>
            <color indexed="81"/>
            <rFont val="Tahoma"/>
            <family val="2"/>
          </rPr>
          <t>savinmar:</t>
        </r>
        <r>
          <rPr>
            <sz val="8"/>
            <color indexed="81"/>
            <rFont val="Tahoma"/>
            <family val="2"/>
          </rPr>
          <t xml:space="preserve">
$26m total spend</t>
        </r>
      </text>
    </comment>
    <comment ref="AD153" authorId="13">
      <text>
        <r>
          <rPr>
            <b/>
            <sz val="8"/>
            <color indexed="81"/>
            <rFont val="Tahoma"/>
            <family val="2"/>
          </rPr>
          <t>urbankev:</t>
        </r>
        <r>
          <rPr>
            <sz val="8"/>
            <color indexed="81"/>
            <rFont val="Tahoma"/>
            <family val="2"/>
          </rPr>
          <t xml:space="preserve">
includes $1.5mm capex, and $11.3mm of upfront licensing payments</t>
        </r>
      </text>
    </comment>
    <comment ref="AL154" authorId="9">
      <text>
        <r>
          <rPr>
            <b/>
            <sz val="8"/>
            <color indexed="81"/>
            <rFont val="Tahoma"/>
            <family val="2"/>
          </rPr>
          <t>stramark:</t>
        </r>
        <r>
          <rPr>
            <sz val="8"/>
            <color indexed="81"/>
            <rFont val="Tahoma"/>
            <family val="2"/>
          </rPr>
          <t xml:space="preserve">
includes license fees</t>
        </r>
      </text>
    </comment>
    <comment ref="AU154" authorId="23">
      <text>
        <r>
          <rPr>
            <b/>
            <sz val="8"/>
            <color indexed="81"/>
            <rFont val="Tahoma"/>
            <family val="2"/>
          </rPr>
          <t>AM: 7/21/11:</t>
        </r>
        <r>
          <rPr>
            <sz val="8"/>
            <color indexed="81"/>
            <rFont val="Tahoma"/>
            <family val="2"/>
          </rPr>
          <t xml:space="preserve">
Incl half of the $10m increase in OH License fee</t>
        </r>
      </text>
    </comment>
    <comment ref="AV154" authorId="17">
      <text>
        <r>
          <rPr>
            <b/>
            <sz val="8"/>
            <color indexed="81"/>
            <rFont val="Tahoma"/>
            <family val="2"/>
          </rPr>
          <t>thallen:</t>
        </r>
        <r>
          <rPr>
            <sz val="8"/>
            <color indexed="81"/>
            <rFont val="Tahoma"/>
            <family val="2"/>
          </rPr>
          <t xml:space="preserve">
To complete $400mm spend</t>
        </r>
      </text>
    </comment>
    <comment ref="AZ154" authorId="17">
      <text>
        <r>
          <rPr>
            <b/>
            <sz val="8"/>
            <color indexed="81"/>
            <rFont val="Tahoma"/>
            <family val="2"/>
          </rPr>
          <t>thallen:</t>
        </r>
        <r>
          <rPr>
            <sz val="8"/>
            <color indexed="81"/>
            <rFont val="Tahoma"/>
            <family val="2"/>
          </rPr>
          <t xml:space="preserve">
Guidance from 1Q13 call: $36mm for Columbus / Toledo capex in 2013</t>
        </r>
      </text>
    </comment>
    <comment ref="AU155" authorId="23">
      <text>
        <r>
          <rPr>
            <b/>
            <sz val="8"/>
            <color indexed="81"/>
            <rFont val="Tahoma"/>
            <family val="2"/>
          </rPr>
          <t>AM: 7/21/11:</t>
        </r>
        <r>
          <rPr>
            <sz val="8"/>
            <color indexed="81"/>
            <rFont val="Tahoma"/>
            <family val="2"/>
          </rPr>
          <t xml:space="preserve">
Incl half of the $10m increase in OH License fee</t>
        </r>
      </text>
    </comment>
    <comment ref="AV155" authorId="17">
      <text>
        <r>
          <rPr>
            <b/>
            <sz val="8"/>
            <color indexed="81"/>
            <rFont val="Tahoma"/>
            <family val="2"/>
          </rPr>
          <t>thallen:</t>
        </r>
        <r>
          <rPr>
            <sz val="8"/>
            <color indexed="81"/>
            <rFont val="Tahoma"/>
            <family val="2"/>
          </rPr>
          <t xml:space="preserve">
Half of capex in 1Q13 wrap-up work for Columbus / Toledo (per 1Q call)</t>
        </r>
      </text>
    </comment>
    <comment ref="AZ155" authorId="17">
      <text>
        <r>
          <rPr>
            <b/>
            <sz val="8"/>
            <color indexed="81"/>
            <rFont val="Tahoma"/>
            <family val="2"/>
          </rPr>
          <t>thallen:</t>
        </r>
        <r>
          <rPr>
            <sz val="8"/>
            <color indexed="81"/>
            <rFont val="Tahoma"/>
            <family val="2"/>
          </rPr>
          <t xml:space="preserve">
Guidance from 1Q13 call: $36mm for Columbus / Toledo capex in 2013</t>
        </r>
      </text>
    </comment>
    <comment ref="AP156" authorId="27">
      <text>
        <r>
          <rPr>
            <b/>
            <sz val="8"/>
            <color indexed="81"/>
            <rFont val="Tahoma"/>
            <family val="2"/>
          </rPr>
          <t>AM: 3/01/11:</t>
        </r>
        <r>
          <rPr>
            <sz val="8"/>
            <color indexed="81"/>
            <rFont val="Tahoma"/>
            <family val="2"/>
          </rPr>
          <t xml:space="preserve">
$77.1m per 4Q10 cc. </t>
        </r>
      </text>
    </comment>
    <comment ref="AT157" authorId="19">
      <text>
        <r>
          <rPr>
            <b/>
            <sz val="8"/>
            <color indexed="81"/>
            <rFont val="Tahoma"/>
            <family val="2"/>
          </rPr>
          <t>thallen:</t>
        </r>
        <r>
          <rPr>
            <sz val="8"/>
            <color indexed="81"/>
            <rFont val="Tahoma"/>
            <family val="2"/>
          </rPr>
          <t xml:space="preserve">
(per 4Q12 earnings) $11m spent to-date on STL rebranding project.</t>
        </r>
      </text>
    </comment>
    <comment ref="AV157" authorId="17">
      <text>
        <r>
          <rPr>
            <b/>
            <sz val="8"/>
            <color indexed="81"/>
            <rFont val="Tahoma"/>
            <family val="2"/>
          </rPr>
          <t>thallen:</t>
        </r>
        <r>
          <rPr>
            <sz val="8"/>
            <color indexed="81"/>
            <rFont val="Tahoma"/>
            <family val="2"/>
          </rPr>
          <t xml:space="preserve">
$23.4mm to be spent ($11mm in 2012) converting  STL property into Hollywood thru 4Q13</t>
        </r>
      </text>
    </comment>
    <comment ref="AW157" authorId="17">
      <text>
        <r>
          <rPr>
            <b/>
            <sz val="8"/>
            <color indexed="81"/>
            <rFont val="Tahoma"/>
            <family val="2"/>
          </rPr>
          <t>thallen:</t>
        </r>
        <r>
          <rPr>
            <sz val="8"/>
            <color indexed="81"/>
            <rFont val="Tahoma"/>
            <family val="2"/>
          </rPr>
          <t xml:space="preserve">
$32.8mm to be spent converting  STL property into Hollywood thru 4Q13</t>
        </r>
      </text>
    </comment>
    <comment ref="AX157" authorId="17">
      <text>
        <r>
          <rPr>
            <b/>
            <sz val="8"/>
            <color indexed="81"/>
            <rFont val="Tahoma"/>
            <family val="2"/>
          </rPr>
          <t>thallen:</t>
        </r>
        <r>
          <rPr>
            <sz val="8"/>
            <color indexed="81"/>
            <rFont val="Tahoma"/>
            <family val="2"/>
          </rPr>
          <t xml:space="preserve">
$61mm to be spent ($11mm in 2012) converting  STL property into Hollywood thru 4Q13</t>
        </r>
      </text>
    </comment>
    <comment ref="AY157" authorId="17">
      <text>
        <r>
          <rPr>
            <b/>
            <sz val="8"/>
            <color indexed="81"/>
            <rFont val="Tahoma"/>
            <family val="2"/>
          </rPr>
          <t>thallen:</t>
        </r>
        <r>
          <rPr>
            <sz val="8"/>
            <color indexed="81"/>
            <rFont val="Tahoma"/>
            <family val="2"/>
          </rPr>
          <t xml:space="preserve">
$61mm to be spent ($11mm in 2012) converting  STL property into Hollywood thru 4Q13</t>
        </r>
      </text>
    </comment>
    <comment ref="AV158" authorId="17">
      <text>
        <r>
          <rPr>
            <b/>
            <sz val="8"/>
            <color indexed="81"/>
            <rFont val="Tahoma"/>
            <family val="2"/>
          </rPr>
          <t>thallen:</t>
        </r>
        <r>
          <rPr>
            <sz val="8"/>
            <color indexed="81"/>
            <rFont val="Tahoma"/>
            <family val="2"/>
          </rPr>
          <t xml:space="preserve">
GLPI: $6.6mm prep-work for OH racinos</t>
        </r>
      </text>
    </comment>
    <comment ref="AW158" authorId="0">
      <text>
        <r>
          <rPr>
            <b/>
            <sz val="9"/>
            <color indexed="81"/>
            <rFont val="Tahoma"/>
            <family val="2"/>
          </rPr>
          <t>Savino, Mark (Research):</t>
        </r>
        <r>
          <rPr>
            <sz val="9"/>
            <color indexed="81"/>
            <rFont val="Tahoma"/>
            <family val="2"/>
          </rPr>
          <t xml:space="preserve">
GLPI: $24.2m cumulative</t>
        </r>
      </text>
    </comment>
    <comment ref="AX158" authorId="0">
      <text>
        <r>
          <rPr>
            <b/>
            <sz val="9"/>
            <color indexed="81"/>
            <rFont val="Tahoma"/>
            <family val="2"/>
          </rPr>
          <t>Savino, Mark (Research):</t>
        </r>
        <r>
          <rPr>
            <sz val="9"/>
            <color indexed="81"/>
            <rFont val="Tahoma"/>
            <family val="2"/>
          </rPr>
          <t xml:space="preserve">
$36.2m cumulative</t>
        </r>
      </text>
    </comment>
    <comment ref="BB158" authorId="0">
      <text>
        <r>
          <rPr>
            <b/>
            <sz val="9"/>
            <color indexed="81"/>
            <rFont val="Tahoma"/>
            <family val="2"/>
          </rPr>
          <t>Savino, Mark (Research):</t>
        </r>
        <r>
          <rPr>
            <sz val="9"/>
            <color indexed="81"/>
            <rFont val="Tahoma"/>
            <family val="2"/>
          </rPr>
          <t xml:space="preserve">
Includes $10m licensing fee</t>
        </r>
      </text>
    </comment>
    <comment ref="BC158" authorId="0">
      <text>
        <r>
          <rPr>
            <b/>
            <sz val="9"/>
            <color indexed="81"/>
            <rFont val="Tahoma"/>
            <family val="2"/>
          </rPr>
          <t>Savino, Mark (Research):</t>
        </r>
        <r>
          <rPr>
            <sz val="9"/>
            <color indexed="81"/>
            <rFont val="Tahoma"/>
            <family val="2"/>
          </rPr>
          <t xml:space="preserve">
Paid $7.5m of relocation fee upon opening (fee is $75m total) as well as $15m of license fee (fee is $50m total)</t>
        </r>
      </text>
    </comment>
    <comment ref="BD158" authorId="0">
      <text>
        <r>
          <rPr>
            <b/>
            <sz val="9"/>
            <color indexed="81"/>
            <rFont val="Tahoma"/>
            <family val="2"/>
          </rPr>
          <t>Savino, Mark (Research):</t>
        </r>
        <r>
          <rPr>
            <sz val="9"/>
            <color indexed="81"/>
            <rFont val="Tahoma"/>
            <family val="2"/>
          </rPr>
          <t xml:space="preserve">
Per IR, another $30m to come out in 4Q14</t>
        </r>
      </text>
    </comment>
    <comment ref="BE158" authorId="17">
      <text>
        <r>
          <rPr>
            <b/>
            <sz val="8"/>
            <color indexed="81"/>
            <rFont val="Tahoma"/>
            <family val="2"/>
          </rPr>
          <t>thallen:</t>
        </r>
        <r>
          <rPr>
            <sz val="8"/>
            <color indexed="81"/>
            <rFont val="Tahoma"/>
            <family val="2"/>
          </rPr>
          <t xml:space="preserve">
Per 1Q14 10Q: $126.3m total project capex to be spent in East/Midwest segment
Per saul: 2014 have budgeted $68m for Youngstown and $73m for Dayton, so $141m total
License fee: $10mm paid 6m prior, $15m at opening, and $25m 6m after
Re-location fee: $7.5m at open, $4.8m 12m after, then $4.8m every 6m after for 9 years</t>
        </r>
      </text>
    </comment>
    <comment ref="BH158" authorId="0">
      <text>
        <r>
          <rPr>
            <b/>
            <sz val="9"/>
            <color indexed="81"/>
            <rFont val="Tahoma"/>
            <family val="2"/>
          </rPr>
          <t>Savino, Mark (Research):</t>
        </r>
        <r>
          <rPr>
            <sz val="9"/>
            <color indexed="81"/>
            <rFont val="Tahoma"/>
            <family val="2"/>
          </rPr>
          <t xml:space="preserve">
Relo fee: 18 semi-annual payments of $4.8m begin 1 year after opening
License fee: Will pay the remaining $25m of license fee one year after opening</t>
        </r>
      </text>
    </comment>
    <comment ref="BO158" authorId="17">
      <text>
        <r>
          <rPr>
            <b/>
            <sz val="8"/>
            <color indexed="81"/>
            <rFont val="Tahoma"/>
            <family val="2"/>
          </rPr>
          <t>thallen:</t>
        </r>
        <r>
          <rPr>
            <sz val="8"/>
            <color indexed="81"/>
            <rFont val="Tahoma"/>
            <family val="2"/>
          </rPr>
          <t xml:space="preserve">
License fee: $10mm paid 6m prior, $15m at opening, and $25m 6m after
Re-location fee: $7.5m at open, $4.8m 12m after, then $4.8m every 6m after for 9 years</t>
        </r>
      </text>
    </comment>
    <comment ref="BT158" authorId="8">
      <text>
        <r>
          <rPr>
            <b/>
            <sz val="9"/>
            <color indexed="81"/>
            <rFont val="Tahoma"/>
            <family val="2"/>
          </rPr>
          <t>Allen, Thomas (Research):</t>
        </r>
        <r>
          <rPr>
            <sz val="9"/>
            <color indexed="81"/>
            <rFont val="Tahoma"/>
            <family val="2"/>
          </rPr>
          <t xml:space="preserve">
Re-location fee for each of 2 racinos: $4.8m every 6m after for 9 years</t>
        </r>
      </text>
    </comment>
    <comment ref="BY158" authorId="8">
      <text>
        <r>
          <rPr>
            <b/>
            <sz val="9"/>
            <color indexed="81"/>
            <rFont val="Tahoma"/>
            <family val="2"/>
          </rPr>
          <t>Allen, Thomas (Research):</t>
        </r>
        <r>
          <rPr>
            <sz val="9"/>
            <color indexed="81"/>
            <rFont val="Tahoma"/>
            <family val="2"/>
          </rPr>
          <t xml:space="preserve">
Re-location fee for each of 2 racinos: $4.8m every 6m after for 9 years</t>
        </r>
      </text>
    </comment>
    <comment ref="BZ158" authorId="8">
      <text>
        <r>
          <rPr>
            <b/>
            <sz val="9"/>
            <color indexed="81"/>
            <rFont val="Tahoma"/>
            <family val="2"/>
          </rPr>
          <t>Allen, Thomas (Research):</t>
        </r>
        <r>
          <rPr>
            <sz val="9"/>
            <color indexed="81"/>
            <rFont val="Tahoma"/>
            <family val="2"/>
          </rPr>
          <t xml:space="preserve">
Re-location fee for each of 2 racinos: $4.8m every 6m after for 9 years</t>
        </r>
      </text>
    </comment>
    <comment ref="CA158" authorId="8">
      <text>
        <r>
          <rPr>
            <b/>
            <sz val="9"/>
            <color indexed="81"/>
            <rFont val="Tahoma"/>
            <family val="2"/>
          </rPr>
          <t>Allen, Thomas (Research):</t>
        </r>
        <r>
          <rPr>
            <sz val="9"/>
            <color indexed="81"/>
            <rFont val="Tahoma"/>
            <family val="2"/>
          </rPr>
          <t xml:space="preserve">
Re-location fee for each of 2 racinos: $4.8m every 6m after for 9 years</t>
        </r>
      </text>
    </comment>
    <comment ref="BA159" authorId="0">
      <text>
        <r>
          <rPr>
            <b/>
            <sz val="9"/>
            <color indexed="81"/>
            <rFont val="Tahoma"/>
            <family val="2"/>
          </rPr>
          <t>Savino, Mark (Research):</t>
        </r>
        <r>
          <rPr>
            <sz val="9"/>
            <color indexed="81"/>
            <rFont val="Tahoma"/>
            <family val="2"/>
          </rPr>
          <t xml:space="preserve">
$25m license fee</t>
        </r>
      </text>
    </comment>
    <comment ref="BI159" authorId="0">
      <text>
        <r>
          <rPr>
            <b/>
            <sz val="9"/>
            <color indexed="81"/>
            <rFont val="Tahoma"/>
            <family val="2"/>
          </rPr>
          <t>Savino, Mark (Research):</t>
        </r>
        <r>
          <rPr>
            <sz val="9"/>
            <color indexed="81"/>
            <rFont val="Tahoma"/>
            <family val="2"/>
          </rPr>
          <t xml:space="preserve">
3Q press release: $266m total budget</t>
        </r>
      </text>
    </comment>
    <comment ref="BI161" authorId="0">
      <text>
        <r>
          <rPr>
            <b/>
            <sz val="9"/>
            <color indexed="81"/>
            <rFont val="Tahoma"/>
            <family val="2"/>
          </rPr>
          <t>Savino, Mark (Research):</t>
        </r>
        <r>
          <rPr>
            <sz val="9"/>
            <color indexed="81"/>
            <rFont val="Tahoma"/>
            <family val="2"/>
          </rPr>
          <t xml:space="preserve">
Per property tour, spending $30m initially</t>
        </r>
      </text>
    </comment>
    <comment ref="BK161" authorId="0">
      <text>
        <r>
          <rPr>
            <b/>
            <sz val="9"/>
            <color indexed="81"/>
            <rFont val="Tahoma"/>
            <family val="2"/>
          </rPr>
          <t>Savino, Mark (Research):</t>
        </r>
        <r>
          <rPr>
            <sz val="9"/>
            <color indexed="81"/>
            <rFont val="Tahoma"/>
            <family val="2"/>
          </rPr>
          <t xml:space="preserve">
Per property tour, spending $30m initially</t>
        </r>
      </text>
    </comment>
    <comment ref="BL161" authorId="0">
      <text>
        <r>
          <rPr>
            <b/>
            <sz val="9"/>
            <color indexed="81"/>
            <rFont val="Tahoma"/>
            <family val="2"/>
          </rPr>
          <t>Savino, Mark (Research):</t>
        </r>
        <r>
          <rPr>
            <sz val="9"/>
            <color indexed="81"/>
            <rFont val="Tahoma"/>
            <family val="2"/>
          </rPr>
          <t xml:space="preserve">
Per property tour, spending $30m initially</t>
        </r>
      </text>
    </comment>
    <comment ref="BP161" authorId="0">
      <text>
        <r>
          <rPr>
            <b/>
            <sz val="9"/>
            <color indexed="81"/>
            <rFont val="Tahoma"/>
            <family val="2"/>
          </rPr>
          <t>Savino, Mark (Research):</t>
        </r>
        <r>
          <rPr>
            <sz val="9"/>
            <color indexed="81"/>
            <rFont val="Tahoma"/>
            <family val="2"/>
          </rPr>
          <t xml:space="preserve">
Per mgmt, will spend $26m on Trop, evenly spread from 1Q-3Q, with maybe $0.5m left in 4Q</t>
        </r>
      </text>
    </comment>
    <comment ref="BQ161" authorId="0">
      <text>
        <r>
          <rPr>
            <b/>
            <sz val="9"/>
            <color indexed="81"/>
            <rFont val="Tahoma"/>
            <family val="2"/>
          </rPr>
          <t>Savino, Mark (Research):</t>
        </r>
        <r>
          <rPr>
            <sz val="9"/>
            <color indexed="81"/>
            <rFont val="Tahoma"/>
            <family val="2"/>
          </rPr>
          <t xml:space="preserve">
Per mgmt, will spend $26m on Trop, evenly spread from 1Q-3Q, with maybe $0.5m left in 4Q</t>
        </r>
      </text>
    </comment>
    <comment ref="BR161" authorId="0">
      <text>
        <r>
          <rPr>
            <b/>
            <sz val="9"/>
            <color indexed="81"/>
            <rFont val="Tahoma"/>
            <family val="2"/>
          </rPr>
          <t>Savino, Mark (Research):</t>
        </r>
        <r>
          <rPr>
            <sz val="9"/>
            <color indexed="81"/>
            <rFont val="Tahoma"/>
            <family val="2"/>
          </rPr>
          <t xml:space="preserve">
Per mgmt, will spend $26m on Trop, evenly spread from 1Q-3Q, with maybe $0.5m left in 4Q</t>
        </r>
      </text>
    </comment>
    <comment ref="BS161" authorId="0">
      <text>
        <r>
          <rPr>
            <b/>
            <sz val="9"/>
            <color indexed="81"/>
            <rFont val="Tahoma"/>
            <family val="2"/>
          </rPr>
          <t>Savino, Mark (Research):</t>
        </r>
        <r>
          <rPr>
            <sz val="9"/>
            <color indexed="81"/>
            <rFont val="Tahoma"/>
            <family val="2"/>
          </rPr>
          <t xml:space="preserve">
Per mgmt, will spend $26m on Trop, evenly spread from 1Q-3Q, with maybe $0.5m left in 4Q</t>
        </r>
      </text>
    </comment>
    <comment ref="BN163" authorId="0">
      <text>
        <r>
          <rPr>
            <b/>
            <sz val="9"/>
            <color indexed="81"/>
            <rFont val="Tahoma"/>
            <family val="2"/>
          </rPr>
          <t>Savino, Mark (Research):</t>
        </r>
        <r>
          <rPr>
            <sz val="9"/>
            <color indexed="81"/>
            <rFont val="Tahoma"/>
            <family val="2"/>
          </rPr>
          <t xml:space="preserve">
3Q16 call: $16m of project capex spend in 4Q</t>
        </r>
      </text>
    </comment>
    <comment ref="BF165" authorId="0">
      <text>
        <r>
          <rPr>
            <b/>
            <sz val="9"/>
            <color indexed="81"/>
            <rFont val="Tahoma"/>
            <family val="2"/>
          </rPr>
          <t>Savino, Mark (Research):</t>
        </r>
        <r>
          <rPr>
            <sz val="9"/>
            <color indexed="81"/>
            <rFont val="Tahoma"/>
            <family val="2"/>
          </rPr>
          <t xml:space="preserve">
Guidance $74m</t>
        </r>
      </text>
    </comment>
    <comment ref="BH165" authorId="0">
      <text>
        <r>
          <rPr>
            <b/>
            <sz val="9"/>
            <color indexed="81"/>
            <rFont val="Tahoma"/>
            <family val="2"/>
          </rPr>
          <t>Savino, Mark (Research):</t>
        </r>
        <r>
          <rPr>
            <sz val="9"/>
            <color indexed="81"/>
            <rFont val="Tahoma"/>
            <family val="2"/>
          </rPr>
          <t xml:space="preserve">
Guidance $151m</t>
        </r>
      </text>
    </comment>
    <comment ref="BI165" authorId="0">
      <text>
        <r>
          <rPr>
            <b/>
            <sz val="9"/>
            <color indexed="81"/>
            <rFont val="Tahoma"/>
            <family val="2"/>
          </rPr>
          <t>Savino, Mark (Research):</t>
        </r>
        <r>
          <rPr>
            <sz val="9"/>
            <color indexed="81"/>
            <rFont val="Tahoma"/>
            <family val="2"/>
          </rPr>
          <t xml:space="preserve">
Guidance: $89m</t>
        </r>
      </text>
    </comment>
    <comment ref="BJ165" authorId="0">
      <text>
        <r>
          <rPr>
            <b/>
            <sz val="9"/>
            <color indexed="81"/>
            <rFont val="Tahoma"/>
            <family val="2"/>
          </rPr>
          <t>Savino, Mark (Research):</t>
        </r>
        <r>
          <rPr>
            <sz val="9"/>
            <color indexed="81"/>
            <rFont val="Tahoma"/>
            <family val="2"/>
          </rPr>
          <t xml:space="preserve">
3Q15: $336m
2Q15: $361m
Guidance $372m</t>
        </r>
      </text>
    </comment>
    <comment ref="BK165" authorId="0">
      <text>
        <r>
          <rPr>
            <b/>
            <sz val="9"/>
            <color indexed="81"/>
            <rFont val="Tahoma"/>
            <family val="2"/>
          </rPr>
          <t>Savino, Mark (Research):</t>
        </r>
        <r>
          <rPr>
            <sz val="9"/>
            <color indexed="81"/>
            <rFont val="Tahoma"/>
            <family val="2"/>
          </rPr>
          <t xml:space="preserve">
Guidance: $92m</t>
        </r>
      </text>
    </comment>
    <comment ref="BO165" authorId="0">
      <text>
        <r>
          <rPr>
            <b/>
            <sz val="9"/>
            <color indexed="81"/>
            <rFont val="Tahoma"/>
            <family val="2"/>
          </rPr>
          <t>Savino, Mark (Research):</t>
        </r>
        <r>
          <rPr>
            <sz val="9"/>
            <color indexed="81"/>
            <rFont val="Tahoma"/>
            <family val="2"/>
          </rPr>
          <t xml:space="preserve">
3Q16: $30m including Jamul repayment
1Q16: $285m
4Q15: $278m</t>
        </r>
      </text>
    </comment>
    <comment ref="BH233" authorId="0">
      <text>
        <r>
          <rPr>
            <b/>
            <sz val="9"/>
            <color indexed="81"/>
            <rFont val="Tahoma"/>
            <family val="2"/>
          </rPr>
          <t>Savino, Mark (Research):</t>
        </r>
        <r>
          <rPr>
            <sz val="9"/>
            <color indexed="81"/>
            <rFont val="Tahoma"/>
            <family val="2"/>
          </rPr>
          <t xml:space="preserve">
Transaction closed on 8/25</t>
        </r>
      </text>
    </comment>
    <comment ref="BQ235" authorId="0">
      <text>
        <r>
          <rPr>
            <b/>
            <sz val="9"/>
            <color indexed="81"/>
            <rFont val="Tahoma"/>
            <family val="2"/>
          </rPr>
          <t>Savino, Mark (Research):</t>
        </r>
        <r>
          <rPr>
            <sz val="9"/>
            <color indexed="81"/>
            <rFont val="Tahoma"/>
            <family val="2"/>
          </rPr>
          <t xml:space="preserve">
Expected to close May 1</t>
        </r>
      </text>
    </comment>
    <comment ref="BI248" authorId="0">
      <text>
        <r>
          <rPr>
            <b/>
            <sz val="9"/>
            <color indexed="81"/>
            <rFont val="Tahoma"/>
            <family val="2"/>
          </rPr>
          <t>Savino, Mark (Research):</t>
        </r>
        <r>
          <rPr>
            <sz val="9"/>
            <color indexed="81"/>
            <rFont val="Tahoma"/>
            <family val="2"/>
          </rPr>
          <t xml:space="preserve">
VLT tax rate is 30%; per 4Q15 call PSG margins are below company average</t>
        </r>
      </text>
    </comment>
    <comment ref="BP255" authorId="0">
      <text>
        <r>
          <rPr>
            <b/>
            <sz val="9"/>
            <color indexed="81"/>
            <rFont val="Tahoma"/>
            <family val="2"/>
          </rPr>
          <t>Savino, Mark (Research):</t>
        </r>
        <r>
          <rPr>
            <sz val="9"/>
            <color indexed="81"/>
            <rFont val="Tahoma"/>
            <family val="2"/>
          </rPr>
          <t xml:space="preserve">
Per mgmt, mid-20% margin and ramping</t>
        </r>
      </text>
    </comment>
    <comment ref="BQ255" authorId="0">
      <text>
        <r>
          <rPr>
            <b/>
            <sz val="9"/>
            <color indexed="81"/>
            <rFont val="Tahoma"/>
            <family val="2"/>
          </rPr>
          <t>Savino, Mark (Research):</t>
        </r>
        <r>
          <rPr>
            <sz val="9"/>
            <color indexed="81"/>
            <rFont val="Tahoma"/>
            <family val="2"/>
          </rPr>
          <t xml:space="preserve">
Per mgmt, mid-20% margin and ramping</t>
        </r>
      </text>
    </comment>
    <comment ref="BR255" authorId="0">
      <text>
        <r>
          <rPr>
            <b/>
            <sz val="9"/>
            <color indexed="81"/>
            <rFont val="Tahoma"/>
            <family val="2"/>
          </rPr>
          <t>Savino, Mark (Research):</t>
        </r>
        <r>
          <rPr>
            <sz val="9"/>
            <color indexed="81"/>
            <rFont val="Tahoma"/>
            <family val="2"/>
          </rPr>
          <t xml:space="preserve">
Per mgmt, mid-20% margin and ramping</t>
        </r>
      </text>
    </comment>
    <comment ref="BS255" authorId="0">
      <text>
        <r>
          <rPr>
            <b/>
            <sz val="9"/>
            <color indexed="81"/>
            <rFont val="Tahoma"/>
            <family val="2"/>
          </rPr>
          <t>Savino, Mark (Research):</t>
        </r>
        <r>
          <rPr>
            <sz val="9"/>
            <color indexed="81"/>
            <rFont val="Tahoma"/>
            <family val="2"/>
          </rPr>
          <t xml:space="preserve">
Per mgmt, mid-20% margin and ramping</t>
        </r>
      </text>
    </comment>
    <comment ref="BJ260" authorId="0">
      <text>
        <r>
          <rPr>
            <b/>
            <sz val="9"/>
            <color indexed="81"/>
            <rFont val="Tahoma"/>
            <family val="2"/>
          </rPr>
          <t>Savino, Mark (Research):</t>
        </r>
        <r>
          <rPr>
            <sz val="9"/>
            <color indexed="81"/>
            <rFont val="Tahoma"/>
            <family val="2"/>
          </rPr>
          <t xml:space="preserve">
Per 4Q14 call: mgmt not assuming same-store growth at mature properties</t>
        </r>
      </text>
    </comment>
    <comment ref="BK260" authorId="0">
      <text>
        <r>
          <rPr>
            <b/>
            <sz val="9"/>
            <color indexed="81"/>
            <rFont val="Tahoma"/>
            <family val="2"/>
          </rPr>
          <t>Savino, Mark (Research):</t>
        </r>
        <r>
          <rPr>
            <sz val="9"/>
            <color indexed="81"/>
            <rFont val="Tahoma"/>
            <family val="2"/>
          </rPr>
          <t xml:space="preserve">
Includes Dayton / Mahoning</t>
        </r>
      </text>
    </comment>
    <comment ref="BN260" authorId="0">
      <text>
        <r>
          <rPr>
            <b/>
            <sz val="9"/>
            <color indexed="81"/>
            <rFont val="Tahoma"/>
            <family val="2"/>
          </rPr>
          <t>Savino, Mark (Research):</t>
        </r>
        <r>
          <rPr>
            <sz val="9"/>
            <color indexed="81"/>
            <rFont val="Tahoma"/>
            <family val="2"/>
          </rPr>
          <t xml:space="preserve">
Includes Plainridge, Trop and PSG</t>
        </r>
      </text>
    </comment>
    <comment ref="BJ261" authorId="8">
      <text>
        <r>
          <rPr>
            <b/>
            <sz val="9"/>
            <color indexed="81"/>
            <rFont val="Tahoma"/>
            <family val="2"/>
          </rPr>
          <t>Allen, Thomas (Research):</t>
        </r>
        <r>
          <rPr>
            <sz val="9"/>
            <color indexed="81"/>
            <rFont val="Tahoma"/>
            <family val="2"/>
          </rPr>
          <t xml:space="preserve">
Mgmt said 1-2%</t>
        </r>
      </text>
    </comment>
    <comment ref="BN261" authorId="0">
      <text>
        <r>
          <rPr>
            <b/>
            <sz val="9"/>
            <color indexed="81"/>
            <rFont val="Tahoma"/>
            <family val="2"/>
          </rPr>
          <t>Savino, Mark (Research):</t>
        </r>
        <r>
          <rPr>
            <sz val="9"/>
            <color indexed="81"/>
            <rFont val="Tahoma"/>
            <family val="2"/>
          </rPr>
          <t xml:space="preserve">
Includes Plainridge, Trop and PSG</t>
        </r>
      </text>
    </comment>
    <comment ref="BO261" authorId="8">
      <text>
        <r>
          <rPr>
            <b/>
            <sz val="9"/>
            <color indexed="81"/>
            <rFont val="Tahoma"/>
            <family val="2"/>
          </rPr>
          <t>Allen, Thomas (Research):</t>
        </r>
        <r>
          <rPr>
            <sz val="9"/>
            <color indexed="81"/>
            <rFont val="Tahoma"/>
            <family val="2"/>
          </rPr>
          <t xml:space="preserve">
Mgmt guided to similar growth as 2015 (1-2%), but we calc'ed 2015 at 1.2% and expecting a deceleration</t>
        </r>
      </text>
    </comment>
    <comment ref="BZ261" authorId="0">
      <text>
        <r>
          <rPr>
            <b/>
            <sz val="9"/>
            <color indexed="81"/>
            <rFont val="Tahoma"/>
            <family val="2"/>
          </rPr>
          <t>Savino, Mark (Research):</t>
        </r>
        <r>
          <rPr>
            <sz val="9"/>
            <color indexed="81"/>
            <rFont val="Tahoma"/>
            <family val="2"/>
          </rPr>
          <t xml:space="preserve">
Excludes Plainridge</t>
        </r>
      </text>
    </comment>
    <comment ref="CA261" authorId="0">
      <text>
        <r>
          <rPr>
            <b/>
            <sz val="9"/>
            <color indexed="81"/>
            <rFont val="Tahoma"/>
            <family val="2"/>
          </rPr>
          <t>Savino, Mark (Research):</t>
        </r>
        <r>
          <rPr>
            <sz val="9"/>
            <color indexed="81"/>
            <rFont val="Tahoma"/>
            <family val="2"/>
          </rPr>
          <t xml:space="preserve">
Excludes Plainridge</t>
        </r>
      </text>
    </comment>
    <comment ref="BR273" authorId="0">
      <text>
        <r>
          <rPr>
            <b/>
            <sz val="9"/>
            <color indexed="81"/>
            <rFont val="Tahoma"/>
            <family val="2"/>
          </rPr>
          <t>Savino, Mark (Research):</t>
        </r>
        <r>
          <rPr>
            <sz val="9"/>
            <color indexed="81"/>
            <rFont val="Tahoma"/>
            <family val="2"/>
          </rPr>
          <t xml:space="preserve">
Per 3Q press release, up &gt;10% y/y</t>
        </r>
      </text>
    </comment>
    <comment ref="BH283" authorId="0">
      <text>
        <r>
          <rPr>
            <b/>
            <sz val="9"/>
            <color indexed="81"/>
            <rFont val="Tahoma"/>
            <family val="2"/>
          </rPr>
          <t>Savino, Mark (Research):</t>
        </r>
        <r>
          <rPr>
            <sz val="9"/>
            <color indexed="81"/>
            <rFont val="Tahoma"/>
            <family val="2"/>
          </rPr>
          <t xml:space="preserve">
Transaction closed on 8/25</t>
        </r>
      </text>
    </comment>
    <comment ref="BQ285" authorId="8">
      <text>
        <r>
          <rPr>
            <b/>
            <sz val="9"/>
            <color indexed="81"/>
            <rFont val="Tahoma"/>
            <family val="2"/>
          </rPr>
          <t>Allen, Thomas (Research):</t>
        </r>
        <r>
          <rPr>
            <sz val="9"/>
            <color indexed="81"/>
            <rFont val="Tahoma"/>
            <family val="2"/>
          </rPr>
          <t xml:space="preserve">
Expected to close May 1</t>
        </r>
      </text>
    </comment>
    <comment ref="BI302" authorId="0">
      <text>
        <r>
          <rPr>
            <b/>
            <sz val="9"/>
            <color indexed="81"/>
            <rFont val="Tahoma"/>
            <family val="2"/>
          </rPr>
          <t>Savino, Mark (Research):</t>
        </r>
        <r>
          <rPr>
            <sz val="9"/>
            <color indexed="81"/>
            <rFont val="Tahoma"/>
            <family val="2"/>
          </rPr>
          <t xml:space="preserve">
Per press release, did $10m of EBITDA in TTM 6/30/15</t>
        </r>
      </text>
    </comment>
    <comment ref="BN302" authorId="0">
      <text>
        <r>
          <rPr>
            <b/>
            <sz val="9"/>
            <color indexed="81"/>
            <rFont val="Tahoma"/>
            <family val="2"/>
          </rPr>
          <t>Savino, Mark (Research):</t>
        </r>
        <r>
          <rPr>
            <sz val="9"/>
            <color indexed="81"/>
            <rFont val="Tahoma"/>
            <family val="2"/>
          </rPr>
          <t xml:space="preserve">
Per mgmt, not as seasonal as other IL properties
Acquired 2 new add-on slot routes that contributed a little less than $1m of EBITDA in qtr</t>
        </r>
      </text>
    </comment>
    <comment ref="BR302" authorId="0">
      <text>
        <r>
          <rPr>
            <b/>
            <sz val="9"/>
            <color indexed="81"/>
            <rFont val="Tahoma"/>
            <family val="2"/>
          </rPr>
          <t>Savino, Mark (Research):</t>
        </r>
        <r>
          <rPr>
            <sz val="9"/>
            <color indexed="81"/>
            <rFont val="Tahoma"/>
            <family val="2"/>
          </rPr>
          <t xml:space="preserve">
Per 3Q press release, up &gt;10% y/y</t>
        </r>
      </text>
    </comment>
    <comment ref="BT302" authorId="8">
      <text>
        <r>
          <rPr>
            <b/>
            <sz val="9"/>
            <color indexed="81"/>
            <rFont val="Tahoma"/>
            <family val="2"/>
          </rPr>
          <t>Allen, Thomas (Research):</t>
        </r>
        <r>
          <rPr>
            <sz val="9"/>
            <color indexed="81"/>
            <rFont val="Tahoma"/>
            <family val="2"/>
          </rPr>
          <t xml:space="preserve">
4Q16 bought 2 tuck-in acquisitions that should add ~$5m of annual EBITDA</t>
        </r>
      </text>
    </comment>
    <comment ref="BI303" authorId="0">
      <text>
        <r>
          <rPr>
            <b/>
            <sz val="9"/>
            <color indexed="81"/>
            <rFont val="Tahoma"/>
            <family val="2"/>
          </rPr>
          <t>Savino, Mark (Research):</t>
        </r>
        <r>
          <rPr>
            <sz val="9"/>
            <color indexed="81"/>
            <rFont val="Tahoma"/>
            <family val="2"/>
          </rPr>
          <t xml:space="preserve">
Includes $15.4m property-tax settlement</t>
        </r>
      </text>
    </comment>
    <comment ref="BN303" authorId="0">
      <text>
        <r>
          <rPr>
            <b/>
            <sz val="9"/>
            <color indexed="81"/>
            <rFont val="Tahoma"/>
            <family val="2"/>
          </rPr>
          <t>Savino, Mark (Research):</t>
        </r>
        <r>
          <rPr>
            <sz val="9"/>
            <color indexed="81"/>
            <rFont val="Tahoma"/>
            <family val="2"/>
          </rPr>
          <t xml:space="preserve">
Per mgmt, ~$0.6m accounting true-up at one of the Midwest properties</t>
        </r>
      </text>
    </comment>
    <comment ref="BS303" authorId="0">
      <text>
        <r>
          <rPr>
            <b/>
            <sz val="9"/>
            <color indexed="81"/>
            <rFont val="Tahoma"/>
            <family val="2"/>
          </rPr>
          <t>Savino, Mark (Research):</t>
        </r>
        <r>
          <rPr>
            <sz val="9"/>
            <color indexed="81"/>
            <rFont val="Tahoma"/>
            <family val="2"/>
          </rPr>
          <t xml:space="preserve">
$3-4m of property level reserves</t>
        </r>
      </text>
    </comment>
    <comment ref="BM311" authorId="0">
      <text>
        <r>
          <rPr>
            <b/>
            <sz val="9"/>
            <color indexed="81"/>
            <rFont val="Tahoma"/>
            <family val="2"/>
          </rPr>
          <t>Savino, Mark (Research):</t>
        </r>
        <r>
          <rPr>
            <sz val="9"/>
            <color indexed="81"/>
            <rFont val="Tahoma"/>
            <family val="2"/>
          </rPr>
          <t xml:space="preserve">
Per 8k, Rocket Games did $11.2m of TTM EBITDA, assume 10% growth and stronger seasonality in 1Q/4Q
Purchased on Aug 3</t>
        </r>
      </text>
    </comment>
    <comment ref="BN311" authorId="0">
      <text>
        <r>
          <rPr>
            <b/>
            <sz val="9"/>
            <color indexed="81"/>
            <rFont val="Tahoma"/>
            <family val="2"/>
          </rPr>
          <t>Savino, Mark (Research):</t>
        </r>
        <r>
          <rPr>
            <sz val="9"/>
            <color indexed="81"/>
            <rFont val="Tahoma"/>
            <family val="2"/>
          </rPr>
          <t xml:space="preserve">
Per 8k, Rocket Games did $11.2m of TTM EBITDA, assume 10% growth and stronger seasonality in 1Q/4Q</t>
        </r>
      </text>
    </comment>
    <comment ref="BR311" authorId="0">
      <text>
        <r>
          <rPr>
            <b/>
            <sz val="9"/>
            <color indexed="81"/>
            <rFont val="Tahoma"/>
            <family val="2"/>
          </rPr>
          <t>Savino, Mark (Research):</t>
        </r>
        <r>
          <rPr>
            <sz val="9"/>
            <color indexed="81"/>
            <rFont val="Tahoma"/>
            <family val="2"/>
          </rPr>
          <t xml:space="preserve">
Per 3Q press release, up &gt;10% y/y</t>
        </r>
      </text>
    </comment>
    <comment ref="AN328" authorId="22">
      <text>
        <r>
          <rPr>
            <b/>
            <sz val="8"/>
            <color indexed="81"/>
            <rFont val="Tahoma"/>
            <family val="2"/>
          </rPr>
          <t>AM: 4/21/11:</t>
        </r>
        <r>
          <rPr>
            <sz val="8"/>
            <color indexed="81"/>
            <rFont val="Tahoma"/>
            <family val="2"/>
          </rPr>
          <t xml:space="preserve">
Adding 20 tables by end of 2Q</t>
        </r>
      </text>
    </comment>
    <comment ref="AG333" authorId="13">
      <text>
        <r>
          <rPr>
            <b/>
            <sz val="8"/>
            <color indexed="81"/>
            <rFont val="Tahoma"/>
            <family val="2"/>
          </rPr>
          <t>urbankev:</t>
        </r>
        <r>
          <rPr>
            <sz val="8"/>
            <color indexed="81"/>
            <rFont val="Tahoma"/>
            <family val="2"/>
          </rPr>
          <t xml:space="preserve">
actual</t>
        </r>
      </text>
    </comment>
    <comment ref="AJ333" authorId="10">
      <text>
        <r>
          <rPr>
            <b/>
            <sz val="8"/>
            <color indexed="81"/>
            <rFont val="Tahoma"/>
            <family val="2"/>
          </rPr>
          <t>danfuss:</t>
        </r>
        <r>
          <rPr>
            <sz val="8"/>
            <color indexed="81"/>
            <rFont val="Tahoma"/>
            <family val="2"/>
          </rPr>
          <t xml:space="preserve">
Missed our estimates by 15mm</t>
        </r>
      </text>
    </comment>
    <comment ref="AS333" authorId="16">
      <text>
        <r>
          <rPr>
            <b/>
            <sz val="8"/>
            <color indexed="81"/>
            <rFont val="Tahoma"/>
            <family val="2"/>
          </rPr>
          <t>AM: 10/16/12:</t>
        </r>
        <r>
          <rPr>
            <sz val="8"/>
            <color indexed="81"/>
            <rFont val="Tahoma"/>
            <family val="2"/>
          </rPr>
          <t xml:space="preserve">
Adj (MS est) for 3 less days in reported data in 2012 vs 2011.</t>
        </r>
      </text>
    </comment>
    <comment ref="AU333" authorId="28">
      <text>
        <r>
          <rPr>
            <b/>
            <sz val="8"/>
            <color indexed="81"/>
            <rFont val="Tahoma"/>
            <family val="2"/>
          </rPr>
          <t>AM: 5/17/11:</t>
        </r>
        <r>
          <rPr>
            <sz val="8"/>
            <color indexed="81"/>
            <rFont val="Tahoma"/>
            <family val="2"/>
          </rPr>
          <t xml:space="preserve">
Anne Arundel casino opening in June 2012 with 2,750 slots (delayed from 4Q11). </t>
        </r>
      </text>
    </comment>
    <comment ref="AJ334" authorId="10">
      <text>
        <r>
          <rPr>
            <b/>
            <sz val="8"/>
            <color indexed="81"/>
            <rFont val="Tahoma"/>
            <family val="2"/>
          </rPr>
          <t>danfuss:</t>
        </r>
        <r>
          <rPr>
            <sz val="8"/>
            <color indexed="81"/>
            <rFont val="Tahoma"/>
            <family val="2"/>
          </rPr>
          <t xml:space="preserve">
Beat our estimates by 10m</t>
        </r>
      </text>
    </comment>
    <comment ref="BB334" authorId="0">
      <text>
        <r>
          <rPr>
            <b/>
            <sz val="9"/>
            <color indexed="81"/>
            <rFont val="Tahoma"/>
            <family val="2"/>
          </rPr>
          <t>Savino, Mark (Research):</t>
        </r>
        <r>
          <rPr>
            <sz val="9"/>
            <color indexed="81"/>
            <rFont val="Tahoma"/>
            <family val="2"/>
          </rPr>
          <t xml:space="preserve">
Check when monthly distribution comes out</t>
        </r>
      </text>
    </comment>
    <comment ref="AX336" authorId="17">
      <text>
        <r>
          <rPr>
            <b/>
            <sz val="8"/>
            <color indexed="81"/>
            <rFont val="Tahoma"/>
            <family val="2"/>
          </rPr>
          <t>thallen:</t>
        </r>
        <r>
          <rPr>
            <sz val="8"/>
            <color indexed="81"/>
            <rFont val="Tahoma"/>
            <family val="2"/>
          </rPr>
          <t xml:space="preserve">
Mgmt called out Charles Town as continuing to be impacted by new competition</t>
        </r>
      </text>
    </comment>
    <comment ref="BC337" authorId="0">
      <text>
        <r>
          <rPr>
            <b/>
            <sz val="9"/>
            <color indexed="81"/>
            <rFont val="Tahoma"/>
            <family val="2"/>
          </rPr>
          <t>Savino, Mark (Research):</t>
        </r>
        <r>
          <rPr>
            <sz val="9"/>
            <color indexed="81"/>
            <rFont val="Tahoma"/>
            <family val="2"/>
          </rPr>
          <t xml:space="preserve">
Horseshoe Baltimore opened on 8/26. Per 3Q call, not seeing an impact yet, but cautioned that MD Live impact happened on a lag
1/16/14 mgmt meeting: Horseshoe will only have modest impact because MD Live has already taken away most of the Baltimore business</t>
        </r>
      </text>
    </comment>
    <comment ref="BD337" authorId="0">
      <text>
        <r>
          <rPr>
            <b/>
            <sz val="9"/>
            <color indexed="81"/>
            <rFont val="Tahoma"/>
            <family val="2"/>
          </rPr>
          <t>Savino, Mark (Research):</t>
        </r>
        <r>
          <rPr>
            <sz val="9"/>
            <color indexed="81"/>
            <rFont val="Tahoma"/>
            <family val="2"/>
          </rPr>
          <t xml:space="preserve">
Horseshoe Baltimore opened on 8/26. Per 3Q call, not seeing an impact yet, but cautioned that MD Live impact happened on a lag
1/16/14 mgmt meeting: Horseshoe will only have modest impact because MD Live has already taken away most of the Baltimore business</t>
        </r>
      </text>
    </comment>
    <comment ref="BF337" authorId="0">
      <text>
        <r>
          <rPr>
            <b/>
            <sz val="9"/>
            <color indexed="81"/>
            <rFont val="Tahoma"/>
            <family val="2"/>
          </rPr>
          <t>Savino, Mark (Research):</t>
        </r>
        <r>
          <rPr>
            <sz val="9"/>
            <color indexed="81"/>
            <rFont val="Tahoma"/>
            <family val="2"/>
          </rPr>
          <t xml:space="preserve">
Per 4Q14 call - easy weather comp in January, trends looking similar to Dec</t>
        </r>
      </text>
    </comment>
    <comment ref="BH337" authorId="0">
      <text>
        <r>
          <rPr>
            <b/>
            <sz val="9"/>
            <color indexed="81"/>
            <rFont val="Tahoma"/>
            <family val="2"/>
          </rPr>
          <t>Savino, Mark (Research):</t>
        </r>
        <r>
          <rPr>
            <sz val="9"/>
            <color indexed="81"/>
            <rFont val="Tahoma"/>
            <family val="2"/>
          </rPr>
          <t xml:space="preserve">
Lapping opening of Horseshoe Baltimore on 8/26, but didn't really have an impact</t>
        </r>
      </text>
    </comment>
    <comment ref="BN337" authorId="0">
      <text>
        <r>
          <rPr>
            <b/>
            <sz val="9"/>
            <color indexed="81"/>
            <rFont val="Tahoma"/>
            <family val="2"/>
          </rPr>
          <t>Savino, Mark (Research):</t>
        </r>
        <r>
          <rPr>
            <sz val="9"/>
            <color indexed="81"/>
            <rFont val="Tahoma"/>
            <family val="2"/>
          </rPr>
          <t xml:space="preserve">
National Harbor opening Dec 8 so 1 month, PENN mgmt said it will impact CT closer to MD Live! (-30%) than Horseshoe Baltimore (-6%)</t>
        </r>
      </text>
    </comment>
    <comment ref="BQ337" authorId="0">
      <text>
        <r>
          <rPr>
            <b/>
            <sz val="9"/>
            <color indexed="81"/>
            <rFont val="Tahoma"/>
            <family val="2"/>
          </rPr>
          <t>Savino, Mark (Research):</t>
        </r>
        <r>
          <rPr>
            <sz val="9"/>
            <color indexed="81"/>
            <rFont val="Tahoma"/>
            <family val="2"/>
          </rPr>
          <t xml:space="preserve">
Per mgmt on 3/23/17, MGM has not yet activated their marketing programs, which they expect that to start by April 1</t>
        </r>
      </text>
    </comment>
    <comment ref="BT337" authorId="0">
      <text>
        <r>
          <rPr>
            <b/>
            <sz val="9"/>
            <color indexed="81"/>
            <rFont val="Tahoma"/>
            <family val="2"/>
          </rPr>
          <t>Savino, Mark (Research):</t>
        </r>
        <r>
          <rPr>
            <sz val="9"/>
            <color indexed="81"/>
            <rFont val="Tahoma"/>
            <family val="2"/>
          </rPr>
          <t xml:space="preserve">
National Harbor expected opened 12/8/16, PENN mgmt said it will impact CT closer to MD Live! (-30%) than Horseshoe Baltimore (-6%)</t>
        </r>
      </text>
    </comment>
    <comment ref="AW338" authorId="6">
      <text>
        <r>
          <rPr>
            <b/>
            <sz val="8"/>
            <color indexed="81"/>
            <rFont val="Tahoma"/>
            <family val="2"/>
          </rPr>
          <t>thallen:</t>
        </r>
        <r>
          <rPr>
            <sz val="8"/>
            <color indexed="81"/>
            <rFont val="Tahoma"/>
            <family val="2"/>
          </rPr>
          <t xml:space="preserve">
Table games installed at MD Live on April 11. Unclear what impact will be, but can smoke in WV casinos and not MD. </t>
        </r>
      </text>
    </comment>
    <comment ref="AX338" authorId="6">
      <text>
        <r>
          <rPr>
            <b/>
            <sz val="8"/>
            <color indexed="81"/>
            <rFont val="Tahoma"/>
            <family val="2"/>
          </rPr>
          <t>thallen:</t>
        </r>
        <r>
          <rPr>
            <sz val="8"/>
            <color indexed="81"/>
            <rFont val="Tahoma"/>
            <family val="2"/>
          </rPr>
          <t xml:space="preserve">
Table games installed at MD Live on April 11. Unclear what impact will be, but can smoke in WV casinos and not MD. </t>
        </r>
      </text>
    </comment>
    <comment ref="AY338" authorId="6">
      <text>
        <r>
          <rPr>
            <b/>
            <sz val="8"/>
            <color indexed="81"/>
            <rFont val="Tahoma"/>
            <family val="2"/>
          </rPr>
          <t>thallen:</t>
        </r>
        <r>
          <rPr>
            <sz val="8"/>
            <color indexed="81"/>
            <rFont val="Tahoma"/>
            <family val="2"/>
          </rPr>
          <t xml:space="preserve">
Table games installed at MD Live on April 11. Unclear what impact will be, but can smoke in WV casinos and not MD. </t>
        </r>
      </text>
    </comment>
    <comment ref="BA338" authorId="6">
      <text>
        <r>
          <rPr>
            <b/>
            <sz val="8"/>
            <color indexed="81"/>
            <rFont val="Tahoma"/>
            <family val="2"/>
          </rPr>
          <t>thallen:</t>
        </r>
        <r>
          <rPr>
            <sz val="8"/>
            <color indexed="81"/>
            <rFont val="Tahoma"/>
            <family val="2"/>
          </rPr>
          <t xml:space="preserve">
Table games installed at MD Live on April 11. Unclear what impact will be, but can smoke in WV casinos and not MD. </t>
        </r>
      </text>
    </comment>
    <comment ref="BC338" authorId="0">
      <text>
        <r>
          <rPr>
            <b/>
            <sz val="9"/>
            <color indexed="81"/>
            <rFont val="Tahoma"/>
            <family val="2"/>
          </rPr>
          <t>Savino, Mark (Research):</t>
        </r>
        <r>
          <rPr>
            <sz val="9"/>
            <color indexed="81"/>
            <rFont val="Tahoma"/>
            <family val="2"/>
          </rPr>
          <t xml:space="preserve">
Horseshoe Baltimore opens
1/16/14 mgmt meeting: Horseshoe will only have modest impact because MD Live has already taken away most of the Baltimore business</t>
        </r>
      </text>
    </comment>
    <comment ref="BD338" authorId="0">
      <text>
        <r>
          <rPr>
            <b/>
            <sz val="9"/>
            <color indexed="81"/>
            <rFont val="Tahoma"/>
            <family val="2"/>
          </rPr>
          <t>Savino, Mark (Research):</t>
        </r>
        <r>
          <rPr>
            <sz val="9"/>
            <color indexed="81"/>
            <rFont val="Tahoma"/>
            <family val="2"/>
          </rPr>
          <t xml:space="preserve">
Horseshoe Baltimore opens
1/16/14 mgmt meeting: Horseshoe will only have modest impact because MD Live has already taken away most of the Baltimore business</t>
        </r>
      </text>
    </comment>
    <comment ref="BF338" authorId="0">
      <text>
        <r>
          <rPr>
            <b/>
            <sz val="9"/>
            <color indexed="81"/>
            <rFont val="Tahoma"/>
            <family val="2"/>
          </rPr>
          <t>Savino, Mark (Research):</t>
        </r>
        <r>
          <rPr>
            <sz val="9"/>
            <color indexed="81"/>
            <rFont val="Tahoma"/>
            <family val="2"/>
          </rPr>
          <t xml:space="preserve">
Per 4Q14 call - easy weather comp in January, trends looking similar to Dec</t>
        </r>
      </text>
    </comment>
    <comment ref="BQ338" authorId="0">
      <text>
        <r>
          <rPr>
            <b/>
            <sz val="9"/>
            <color indexed="81"/>
            <rFont val="Tahoma"/>
            <family val="2"/>
          </rPr>
          <t>Savino, Mark (Research):</t>
        </r>
        <r>
          <rPr>
            <sz val="9"/>
            <color indexed="81"/>
            <rFont val="Tahoma"/>
            <family val="2"/>
          </rPr>
          <t xml:space="preserve">
Per mgmt on 3/23/17, MGM has not yet activated their marketing programs, which they expect that to start by April 1</t>
        </r>
      </text>
    </comment>
    <comment ref="BT338" authorId="0">
      <text>
        <r>
          <rPr>
            <b/>
            <sz val="9"/>
            <color indexed="81"/>
            <rFont val="Tahoma"/>
            <family val="2"/>
          </rPr>
          <t>Savino, Mark (Research):</t>
        </r>
        <r>
          <rPr>
            <sz val="9"/>
            <color indexed="81"/>
            <rFont val="Tahoma"/>
            <family val="2"/>
          </rPr>
          <t xml:space="preserve">
National Harbor expected opened 12/8/16, PENN mgmt said it will impact CT closer to MD Live! (-30%) than Horseshoe Baltimore (-6%)</t>
        </r>
      </text>
    </comment>
    <comment ref="AG339" authorId="13">
      <text>
        <r>
          <rPr>
            <b/>
            <sz val="8"/>
            <color indexed="81"/>
            <rFont val="Tahoma"/>
            <family val="2"/>
          </rPr>
          <t>urbankev:</t>
        </r>
        <r>
          <rPr>
            <sz val="8"/>
            <color indexed="81"/>
            <rFont val="Tahoma"/>
            <family val="2"/>
          </rPr>
          <t xml:space="preserve">
due to snow</t>
        </r>
      </text>
    </comment>
    <comment ref="AR339" authorId="17">
      <text>
        <r>
          <rPr>
            <b/>
            <sz val="8"/>
            <color indexed="81"/>
            <rFont val="Tahoma"/>
            <family val="2"/>
          </rPr>
          <t>thallen:</t>
        </r>
        <r>
          <rPr>
            <sz val="8"/>
            <color indexed="81"/>
            <rFont val="Tahoma"/>
            <family val="2"/>
          </rPr>
          <t xml:space="preserve">
MD Live opened June 6, 2012</t>
        </r>
      </text>
    </comment>
    <comment ref="AS339" authorId="17">
      <text>
        <r>
          <rPr>
            <b/>
            <sz val="8"/>
            <color indexed="81"/>
            <rFont val="Tahoma"/>
            <family val="2"/>
          </rPr>
          <t>thallen:</t>
        </r>
        <r>
          <rPr>
            <sz val="8"/>
            <color indexed="81"/>
            <rFont val="Tahoma"/>
            <family val="2"/>
          </rPr>
          <t xml:space="preserve">
MD Live opened June 6, 2012</t>
        </r>
      </text>
    </comment>
    <comment ref="AT339" authorId="17">
      <text>
        <r>
          <rPr>
            <b/>
            <sz val="8"/>
            <color indexed="81"/>
            <rFont val="Tahoma"/>
            <family val="2"/>
          </rPr>
          <t>thallen:</t>
        </r>
        <r>
          <rPr>
            <sz val="8"/>
            <color indexed="81"/>
            <rFont val="Tahoma"/>
            <family val="2"/>
          </rPr>
          <t xml:space="preserve">
MD Live opened June 6, 2012</t>
        </r>
      </text>
    </comment>
    <comment ref="AV339" authorId="17">
      <text>
        <r>
          <rPr>
            <b/>
            <sz val="8"/>
            <color indexed="81"/>
            <rFont val="Tahoma"/>
            <family val="2"/>
          </rPr>
          <t>thallen:</t>
        </r>
        <r>
          <rPr>
            <sz val="8"/>
            <color indexed="81"/>
            <rFont val="Tahoma"/>
            <family val="2"/>
          </rPr>
          <t xml:space="preserve">
MD Live opened June 6, 2012</t>
        </r>
      </text>
    </comment>
    <comment ref="AW339" authorId="17">
      <text>
        <r>
          <rPr>
            <b/>
            <sz val="8"/>
            <color indexed="81"/>
            <rFont val="Tahoma"/>
            <family val="2"/>
          </rPr>
          <t>thallen:</t>
        </r>
        <r>
          <rPr>
            <sz val="8"/>
            <color indexed="81"/>
            <rFont val="Tahoma"/>
            <family val="2"/>
          </rPr>
          <t xml:space="preserve">
MD Live opened June 6, 2012</t>
        </r>
      </text>
    </comment>
    <comment ref="BN339" authorId="8">
      <text>
        <r>
          <rPr>
            <b/>
            <sz val="9"/>
            <color indexed="81"/>
            <rFont val="Tahoma"/>
            <family val="2"/>
          </rPr>
          <t>Allen, Thomas (Research):</t>
        </r>
        <r>
          <rPr>
            <sz val="9"/>
            <color indexed="81"/>
            <rFont val="Tahoma"/>
            <family val="2"/>
          </rPr>
          <t xml:space="preserve">
4Q16: impact not as bad as expected</t>
        </r>
      </text>
    </comment>
    <comment ref="BP339" authorId="8">
      <text>
        <r>
          <rPr>
            <b/>
            <sz val="9"/>
            <color indexed="81"/>
            <rFont val="Tahoma"/>
            <family val="2"/>
          </rPr>
          <t>Allen, Thomas (Research):</t>
        </r>
        <r>
          <rPr>
            <sz val="9"/>
            <color indexed="81"/>
            <rFont val="Tahoma"/>
            <family val="2"/>
          </rPr>
          <t xml:space="preserve">
4Q16: PENN said impact not as bad as expected, but we expect MGM will ramp up marketing</t>
        </r>
      </text>
    </comment>
    <comment ref="BQ339" authorId="8">
      <text>
        <r>
          <rPr>
            <b/>
            <sz val="9"/>
            <color indexed="81"/>
            <rFont val="Tahoma"/>
            <family val="2"/>
          </rPr>
          <t>Allen, Thomas (Research):</t>
        </r>
        <r>
          <rPr>
            <sz val="9"/>
            <color indexed="81"/>
            <rFont val="Tahoma"/>
            <family val="2"/>
          </rPr>
          <t xml:space="preserve">
4Q16: PENN said impact not as bad as expected, but we expect MGM will ramp up marketing</t>
        </r>
      </text>
    </comment>
    <comment ref="BR339" authorId="8">
      <text>
        <r>
          <rPr>
            <b/>
            <sz val="9"/>
            <color indexed="81"/>
            <rFont val="Tahoma"/>
            <family val="2"/>
          </rPr>
          <t>Allen, Thomas (Research):</t>
        </r>
        <r>
          <rPr>
            <sz val="9"/>
            <color indexed="81"/>
            <rFont val="Tahoma"/>
            <family val="2"/>
          </rPr>
          <t xml:space="preserve">
4Q16: PENN said impact not as bad as expected, but we expect MGM will ramp up marketing</t>
        </r>
      </text>
    </comment>
    <comment ref="BS339" authorId="8">
      <text>
        <r>
          <rPr>
            <b/>
            <sz val="9"/>
            <color indexed="81"/>
            <rFont val="Tahoma"/>
            <family val="2"/>
          </rPr>
          <t>Allen, Thomas (Research):</t>
        </r>
        <r>
          <rPr>
            <sz val="9"/>
            <color indexed="81"/>
            <rFont val="Tahoma"/>
            <family val="2"/>
          </rPr>
          <t xml:space="preserve">
4Q16: PENN said impact not as bad as expected, but we expect MGM will ramp up marketing</t>
        </r>
      </text>
    </comment>
    <comment ref="BY339" authorId="8">
      <text>
        <r>
          <rPr>
            <b/>
            <sz val="9"/>
            <color indexed="81"/>
            <rFont val="Tahoma"/>
            <family val="2"/>
          </rPr>
          <t>Allen, Thomas (Research):</t>
        </r>
        <r>
          <rPr>
            <sz val="9"/>
            <color indexed="81"/>
            <rFont val="Tahoma"/>
            <family val="2"/>
          </rPr>
          <t xml:space="preserve">
4Q17: Mgmt guided to flat to down LSD</t>
        </r>
      </text>
    </comment>
    <comment ref="BT340" authorId="0">
      <text>
        <r>
          <rPr>
            <b/>
            <sz val="9"/>
            <color indexed="81"/>
            <rFont val="Tahoma"/>
            <family val="2"/>
          </rPr>
          <t>Savino, Mark (Research):</t>
        </r>
        <r>
          <rPr>
            <sz val="9"/>
            <color indexed="81"/>
            <rFont val="Tahoma"/>
            <family val="2"/>
          </rPr>
          <t xml:space="preserve">
National Harbor expected opened 12/8/16, PENN mgmt said it will impact CT closer to MD Live! (-30%) than Horseshoe Baltimore (-6%)</t>
        </r>
      </text>
    </comment>
    <comment ref="AT344" authorId="17">
      <text>
        <r>
          <rPr>
            <b/>
            <sz val="8"/>
            <color indexed="81"/>
            <rFont val="Tahoma"/>
            <family val="2"/>
          </rPr>
          <t>thallen:</t>
        </r>
        <r>
          <rPr>
            <sz val="8"/>
            <color indexed="81"/>
            <rFont val="Tahoma"/>
            <family val="2"/>
          </rPr>
          <t xml:space="preserve">
Sandy impact on top of cutting expenses after cannibalization</t>
        </r>
      </text>
    </comment>
    <comment ref="BC346" authorId="0">
      <text>
        <r>
          <rPr>
            <b/>
            <sz val="9"/>
            <color indexed="81"/>
            <rFont val="Tahoma"/>
            <family val="2"/>
          </rPr>
          <t>Savino, Mark (Research):</t>
        </r>
        <r>
          <rPr>
            <sz val="9"/>
            <color indexed="81"/>
            <rFont val="Tahoma"/>
            <family val="2"/>
          </rPr>
          <t xml:space="preserve">
Assume higher promotional spending when Horseshoe Baltimore opens</t>
        </r>
      </text>
    </comment>
    <comment ref="BD346" authorId="8">
      <text>
        <r>
          <rPr>
            <b/>
            <sz val="9"/>
            <color indexed="81"/>
            <rFont val="Tahoma"/>
            <family val="2"/>
          </rPr>
          <t>Allen, Thomas (Research):</t>
        </r>
        <r>
          <rPr>
            <sz val="9"/>
            <color indexed="81"/>
            <rFont val="Tahoma"/>
            <family val="2"/>
          </rPr>
          <t xml:space="preserve">
Weather in 4Q14 meant pick-up in labor costs y/y</t>
        </r>
      </text>
    </comment>
    <comment ref="BZ346" authorId="0">
      <text>
        <r>
          <rPr>
            <b/>
            <sz val="9"/>
            <color indexed="81"/>
            <rFont val="Tahoma"/>
            <family val="2"/>
          </rPr>
          <t>Savino, Mark (Research):</t>
        </r>
        <r>
          <rPr>
            <sz val="9"/>
            <color indexed="81"/>
            <rFont val="Tahoma"/>
            <family val="2"/>
          </rPr>
          <t xml:space="preserve">
Synergies as a result of PENN/PNK merger</t>
        </r>
      </text>
    </comment>
    <comment ref="BQ352" authorId="0">
      <text>
        <r>
          <rPr>
            <b/>
            <sz val="9"/>
            <color indexed="81"/>
            <rFont val="Tahoma"/>
            <family val="2"/>
          </rPr>
          <t>Savino, Mark (Research):</t>
        </r>
        <r>
          <rPr>
            <sz val="9"/>
            <color indexed="81"/>
            <rFont val="Tahoma"/>
            <family val="2"/>
          </rPr>
          <t xml:space="preserve">
Per 2Q call, EBITDA grew y/y in the month of June</t>
        </r>
      </text>
    </comment>
    <comment ref="P361" authorId="25">
      <text>
        <r>
          <rPr>
            <b/>
            <sz val="10"/>
            <color indexed="81"/>
            <rFont val="Tahoma"/>
            <family val="2"/>
          </rPr>
          <t>Thallen:</t>
        </r>
        <r>
          <rPr>
            <sz val="10"/>
            <color indexed="81"/>
            <rFont val="Tahoma"/>
            <family val="2"/>
          </rPr>
          <t xml:space="preserve">
From DB presentation, 2/17/07</t>
        </r>
      </text>
    </comment>
    <comment ref="Y361" authorId="25">
      <text>
        <r>
          <rPr>
            <b/>
            <sz val="10"/>
            <color indexed="81"/>
            <rFont val="Tahoma"/>
            <family val="2"/>
          </rPr>
          <t>Thallen:</t>
        </r>
        <r>
          <rPr>
            <sz val="10"/>
            <color indexed="81"/>
            <rFont val="Tahoma"/>
            <family val="2"/>
          </rPr>
          <t xml:space="preserve">
Hollywood Slots Hotel &amp; Raceway (permanent facility) opened July 1 w/ 1000 slots</t>
        </r>
      </text>
    </comment>
    <comment ref="AS368" authorId="17">
      <text>
        <r>
          <rPr>
            <b/>
            <sz val="8"/>
            <color indexed="81"/>
            <rFont val="Tahoma"/>
            <family val="2"/>
          </rPr>
          <t>thallen:</t>
        </r>
        <r>
          <rPr>
            <sz val="8"/>
            <color indexed="81"/>
            <rFont val="Tahoma"/>
            <family val="2"/>
          </rPr>
          <t xml:space="preserve">
Oxford Casino opened in ME on June 5, 2012. Has 819 slots, 22 table games</t>
        </r>
      </text>
    </comment>
    <comment ref="AT368" authorId="17">
      <text>
        <r>
          <rPr>
            <b/>
            <sz val="8"/>
            <color indexed="81"/>
            <rFont val="Tahoma"/>
            <family val="2"/>
          </rPr>
          <t>thallen:</t>
        </r>
        <r>
          <rPr>
            <sz val="8"/>
            <color indexed="81"/>
            <rFont val="Tahoma"/>
            <family val="2"/>
          </rPr>
          <t xml:space="preserve">
Oxford Casino opened in ME on June 5, 2012. Has 819 slots, 22 table games</t>
        </r>
      </text>
    </comment>
    <comment ref="AV368" authorId="17">
      <text>
        <r>
          <rPr>
            <b/>
            <sz val="8"/>
            <color indexed="81"/>
            <rFont val="Tahoma"/>
            <family val="2"/>
          </rPr>
          <t>thallen:</t>
        </r>
        <r>
          <rPr>
            <sz val="8"/>
            <color indexed="81"/>
            <rFont val="Tahoma"/>
            <family val="2"/>
          </rPr>
          <t xml:space="preserve">
Oxford Casino opened in ME on June 5, 2012. Has 819 slots, 22 table games</t>
        </r>
      </text>
    </comment>
    <comment ref="AW368" authorId="17">
      <text>
        <r>
          <rPr>
            <b/>
            <sz val="8"/>
            <color indexed="81"/>
            <rFont val="Tahoma"/>
            <family val="2"/>
          </rPr>
          <t>thallen:</t>
        </r>
        <r>
          <rPr>
            <sz val="8"/>
            <color indexed="81"/>
            <rFont val="Tahoma"/>
            <family val="2"/>
          </rPr>
          <t xml:space="preserve">
Oxford Casino opened in ME on June 5, 2012. Has 819 slots, 22 table games</t>
        </r>
      </text>
    </comment>
    <comment ref="AX368" authorId="17">
      <text>
        <r>
          <rPr>
            <b/>
            <sz val="8"/>
            <color indexed="81"/>
            <rFont val="Tahoma"/>
            <family val="2"/>
          </rPr>
          <t>thallen:</t>
        </r>
        <r>
          <rPr>
            <sz val="8"/>
            <color indexed="81"/>
            <rFont val="Tahoma"/>
            <family val="2"/>
          </rPr>
          <t xml:space="preserve">
Oxford Casino opened in ME on June 5, 2012. Has 819 slots, 22 table games</t>
        </r>
      </text>
    </comment>
    <comment ref="AY368" authorId="17">
      <text>
        <r>
          <rPr>
            <b/>
            <sz val="8"/>
            <color indexed="81"/>
            <rFont val="Tahoma"/>
            <family val="2"/>
          </rPr>
          <t>thallen:</t>
        </r>
        <r>
          <rPr>
            <sz val="8"/>
            <color indexed="81"/>
            <rFont val="Tahoma"/>
            <family val="2"/>
          </rPr>
          <t xml:space="preserve">
Expect some impact from Sandy in 4Q12</t>
        </r>
      </text>
    </comment>
    <comment ref="BZ375" authorId="0">
      <text>
        <r>
          <rPr>
            <b/>
            <sz val="9"/>
            <color indexed="81"/>
            <rFont val="Tahoma"/>
            <family val="2"/>
          </rPr>
          <t>Savino, Mark (Research):</t>
        </r>
        <r>
          <rPr>
            <sz val="9"/>
            <color indexed="81"/>
            <rFont val="Tahoma"/>
            <family val="2"/>
          </rPr>
          <t xml:space="preserve">
Synergies as a result of PENN/PNK merger</t>
        </r>
      </text>
    </comment>
    <comment ref="K377" authorId="13">
      <text>
        <r>
          <rPr>
            <b/>
            <sz val="8"/>
            <color indexed="81"/>
            <rFont val="Tahoma"/>
            <family val="2"/>
          </rPr>
          <t>urbankev:</t>
        </r>
        <r>
          <rPr>
            <sz val="8"/>
            <color indexed="81"/>
            <rFont val="Tahoma"/>
            <family val="2"/>
          </rPr>
          <t xml:space="preserve">
Tax rate is 39% of net and 1% of handle, which equates to approx 48% of net</t>
        </r>
      </text>
    </comment>
    <comment ref="Y377" authorId="13">
      <text>
        <r>
          <rPr>
            <b/>
            <sz val="8"/>
            <color indexed="81"/>
            <rFont val="Tahoma"/>
            <family val="2"/>
          </rPr>
          <t>urbankev:</t>
        </r>
        <r>
          <rPr>
            <sz val="8"/>
            <color indexed="81"/>
            <rFont val="Tahoma"/>
            <family val="2"/>
          </rPr>
          <t xml:space="preserve">
After opening of permanent facility, effective tax rate is approx 47%</t>
        </r>
      </text>
    </comment>
    <comment ref="Y384" authorId="24">
      <text>
        <r>
          <rPr>
            <b/>
            <sz val="10"/>
            <color indexed="81"/>
            <rFont val="Tahoma"/>
            <family val="2"/>
          </rPr>
          <t>Thallen:</t>
        </r>
        <r>
          <rPr>
            <sz val="10"/>
            <color indexed="81"/>
            <rFont val="Tahoma"/>
            <family val="2"/>
          </rPr>
          <t xml:space="preserve">
Parking facility, assume $40mm of $310mm total</t>
        </r>
      </text>
    </comment>
    <comment ref="Z384" authorId="24">
      <text>
        <r>
          <rPr>
            <b/>
            <sz val="10"/>
            <color indexed="81"/>
            <rFont val="Tahoma"/>
            <family val="2"/>
          </rPr>
          <t>Thallen:</t>
        </r>
        <r>
          <rPr>
            <sz val="10"/>
            <color indexed="81"/>
            <rFont val="Tahoma"/>
            <family val="2"/>
          </rPr>
          <t xml:space="preserve">
Parking facility, assume $40mm of $310mm total</t>
        </r>
      </text>
    </comment>
    <comment ref="AY399" authorId="17">
      <text>
        <r>
          <rPr>
            <b/>
            <sz val="8"/>
            <color indexed="81"/>
            <rFont val="Tahoma"/>
            <family val="2"/>
          </rPr>
          <t>thallen:</t>
        </r>
        <r>
          <rPr>
            <sz val="8"/>
            <color indexed="81"/>
            <rFont val="Tahoma"/>
            <family val="2"/>
          </rPr>
          <t xml:space="preserve">
Lap Sandy</t>
        </r>
      </text>
    </comment>
    <comment ref="BF399" authorId="8">
      <text>
        <r>
          <rPr>
            <b/>
            <sz val="9"/>
            <color indexed="81"/>
            <rFont val="Tahoma"/>
            <family val="2"/>
          </rPr>
          <t>Allen, Thomas (Research):</t>
        </r>
        <r>
          <rPr>
            <sz val="9"/>
            <color indexed="81"/>
            <rFont val="Tahoma"/>
            <family val="2"/>
          </rPr>
          <t xml:space="preserve">
Easy weather comp but some lingering impact from Horseshoe Baltimore</t>
        </r>
      </text>
    </comment>
    <comment ref="BK399" authorId="0">
      <text>
        <r>
          <rPr>
            <b/>
            <sz val="9"/>
            <color indexed="81"/>
            <rFont val="Tahoma"/>
            <family val="2"/>
          </rPr>
          <t>Savino, Mark (Research):</t>
        </r>
        <r>
          <rPr>
            <sz val="9"/>
            <color indexed="81"/>
            <rFont val="Tahoma"/>
            <family val="2"/>
          </rPr>
          <t xml:space="preserve">
Per mgmt, more targeted marketing efforts, so eliminating lowmargin business</t>
        </r>
      </text>
    </comment>
    <comment ref="BL399" authorId="0">
      <text>
        <r>
          <rPr>
            <b/>
            <sz val="9"/>
            <color indexed="81"/>
            <rFont val="Tahoma"/>
            <family val="2"/>
          </rPr>
          <t>Savino, Mark (Research):</t>
        </r>
        <r>
          <rPr>
            <sz val="9"/>
            <color indexed="81"/>
            <rFont val="Tahoma"/>
            <family val="2"/>
          </rPr>
          <t xml:space="preserve">
Per mgmt, more targeted marketing efforts, so eliminating lowmargin business</t>
        </r>
      </text>
    </comment>
    <comment ref="BM399" authorId="0">
      <text>
        <r>
          <rPr>
            <b/>
            <sz val="9"/>
            <color indexed="81"/>
            <rFont val="Tahoma"/>
            <family val="2"/>
          </rPr>
          <t>Savino, Mark (Research):</t>
        </r>
        <r>
          <rPr>
            <sz val="9"/>
            <color indexed="81"/>
            <rFont val="Tahoma"/>
            <family val="2"/>
          </rPr>
          <t xml:space="preserve">
Per mgmt, more targeted marketing efforts, so eliminating lowmargin business</t>
        </r>
      </text>
    </comment>
    <comment ref="BN399" authorId="0">
      <text>
        <r>
          <rPr>
            <b/>
            <sz val="9"/>
            <color indexed="81"/>
            <rFont val="Tahoma"/>
            <family val="2"/>
          </rPr>
          <t>Savino, Mark (Research):</t>
        </r>
        <r>
          <rPr>
            <sz val="9"/>
            <color indexed="81"/>
            <rFont val="Tahoma"/>
            <family val="2"/>
          </rPr>
          <t xml:space="preserve">
Per mgmt, more targeted marketing efforts, so eliminating lowmargin business</t>
        </r>
      </text>
    </comment>
    <comment ref="BO399" authorId="0">
      <text>
        <r>
          <rPr>
            <b/>
            <sz val="9"/>
            <color indexed="81"/>
            <rFont val="Tahoma"/>
            <family val="2"/>
          </rPr>
          <t>Savino, Mark (Research):</t>
        </r>
        <r>
          <rPr>
            <sz val="9"/>
            <color indexed="81"/>
            <rFont val="Tahoma"/>
            <family val="2"/>
          </rPr>
          <t xml:space="preserve">
Per mgmt, more targeted marketing efforts, so eliminating lowmargin business</t>
        </r>
      </text>
    </comment>
    <comment ref="AT406" authorId="17">
      <text>
        <r>
          <rPr>
            <b/>
            <sz val="8"/>
            <color indexed="81"/>
            <rFont val="Tahoma"/>
            <family val="2"/>
          </rPr>
          <t>thallen:</t>
        </r>
        <r>
          <rPr>
            <sz val="8"/>
            <color indexed="81"/>
            <rFont val="Tahoma"/>
            <family val="2"/>
          </rPr>
          <t xml:space="preserve">
Sandy impact</t>
        </r>
      </text>
    </comment>
    <comment ref="AY406" authorId="17">
      <text>
        <r>
          <rPr>
            <b/>
            <sz val="8"/>
            <color indexed="81"/>
            <rFont val="Tahoma"/>
            <family val="2"/>
          </rPr>
          <t>thallen:</t>
        </r>
        <r>
          <rPr>
            <sz val="8"/>
            <color indexed="81"/>
            <rFont val="Tahoma"/>
            <family val="2"/>
          </rPr>
          <t xml:space="preserve">
Comping Sandy impact</t>
        </r>
      </text>
    </comment>
    <comment ref="BZ406" authorId="0">
      <text>
        <r>
          <rPr>
            <b/>
            <sz val="9"/>
            <color indexed="81"/>
            <rFont val="Tahoma"/>
            <family val="2"/>
          </rPr>
          <t>Savino, Mark (Research):</t>
        </r>
        <r>
          <rPr>
            <sz val="9"/>
            <color indexed="81"/>
            <rFont val="Tahoma"/>
            <family val="2"/>
          </rPr>
          <t xml:space="preserve">
Synergies as a result of PENN/PNK merger</t>
        </r>
      </text>
    </comment>
    <comment ref="AC407" authorId="29">
      <text>
        <r>
          <rPr>
            <b/>
            <sz val="10"/>
            <color indexed="81"/>
            <rFont val="Tahoma"/>
            <family val="2"/>
          </rPr>
          <t>Charles Dan:</t>
        </r>
        <r>
          <rPr>
            <sz val="10"/>
            <color indexed="81"/>
            <rFont val="Tahoma"/>
            <family val="2"/>
          </rPr>
          <t xml:space="preserve">
$2.4mm assessment in 2Q09??</t>
        </r>
      </text>
    </comment>
    <comment ref="AW421" authorId="17">
      <text>
        <r>
          <rPr>
            <b/>
            <sz val="8"/>
            <color indexed="81"/>
            <rFont val="Tahoma"/>
            <family val="2"/>
          </rPr>
          <t>thallen:</t>
        </r>
        <r>
          <rPr>
            <sz val="8"/>
            <color indexed="81"/>
            <rFont val="Tahoma"/>
            <family val="2"/>
          </rPr>
          <t xml:space="preserve">
Removed 500 underperforming slots and distributed elsewhere</t>
        </r>
      </text>
    </comment>
    <comment ref="AV424" authorId="17">
      <text>
        <r>
          <rPr>
            <b/>
            <sz val="8"/>
            <color indexed="81"/>
            <rFont val="Tahoma"/>
            <family val="2"/>
          </rPr>
          <t>thallen:</t>
        </r>
        <r>
          <rPr>
            <sz val="8"/>
            <color indexed="81"/>
            <rFont val="Tahoma"/>
            <family val="2"/>
          </rPr>
          <t xml:space="preserve">
Mgmt said on call that they're seeing similar trends in Jan as 4Q in OH. </t>
        </r>
      </text>
    </comment>
    <comment ref="AX424" authorId="17">
      <text>
        <r>
          <rPr>
            <b/>
            <sz val="8"/>
            <color indexed="81"/>
            <rFont val="Tahoma"/>
            <family val="2"/>
          </rPr>
          <t>thallen:</t>
        </r>
        <r>
          <rPr>
            <sz val="8"/>
            <color indexed="81"/>
            <rFont val="Tahoma"/>
            <family val="2"/>
          </rPr>
          <t xml:space="preserve">
Mgmt guidance (from 2Q13) does not reflect any improvement in trends at OH properties</t>
        </r>
      </text>
    </comment>
    <comment ref="AY424" authorId="12">
      <text>
        <r>
          <rPr>
            <b/>
            <sz val="8"/>
            <color indexed="81"/>
            <rFont val="Tahoma"/>
            <family val="2"/>
          </rPr>
          <t>savinmar:</t>
        </r>
        <r>
          <rPr>
            <sz val="8"/>
            <color indexed="81"/>
            <rFont val="Tahoma"/>
            <family val="2"/>
          </rPr>
          <t xml:space="preserve">
Assuming some improvement as a result of payout limitations being implemented at internet cafes</t>
        </r>
      </text>
    </comment>
    <comment ref="BA425" authorId="0">
      <text>
        <r>
          <rPr>
            <b/>
            <sz val="9"/>
            <color indexed="81"/>
            <rFont val="Tahoma"/>
            <family val="2"/>
          </rPr>
          <t>Savino, Mark (Research):</t>
        </r>
        <r>
          <rPr>
            <sz val="9"/>
            <color indexed="81"/>
            <rFont val="Tahoma"/>
            <family val="2"/>
          </rPr>
          <t xml:space="preserve">
Negative impact from Miami Valley opening
and weather</t>
        </r>
      </text>
    </comment>
    <comment ref="BB425" authorId="0">
      <text>
        <r>
          <rPr>
            <b/>
            <sz val="9"/>
            <color indexed="81"/>
            <rFont val="Tahoma"/>
            <family val="2"/>
          </rPr>
          <t>Savino, Mark (Research):</t>
        </r>
        <r>
          <rPr>
            <sz val="9"/>
            <color indexed="81"/>
            <rFont val="Tahoma"/>
            <family val="2"/>
          </rPr>
          <t xml:space="preserve">
Negative impact from Miami Valley, and Belterra Park opening in May</t>
        </r>
      </text>
    </comment>
    <comment ref="BC425" authorId="0">
      <text>
        <r>
          <rPr>
            <b/>
            <sz val="9"/>
            <color indexed="81"/>
            <rFont val="Tahoma"/>
            <family val="2"/>
          </rPr>
          <t>Savino, Mark (Research):</t>
        </r>
        <r>
          <rPr>
            <sz val="9"/>
            <color indexed="81"/>
            <rFont val="Tahoma"/>
            <family val="2"/>
          </rPr>
          <t xml:space="preserve">
Negative impact from Miami Valley opening and Belterra Park</t>
        </r>
      </text>
    </comment>
    <comment ref="BD425" authorId="0">
      <text>
        <r>
          <rPr>
            <b/>
            <sz val="9"/>
            <color indexed="81"/>
            <rFont val="Tahoma"/>
            <family val="2"/>
          </rPr>
          <t>Savino, Mark (Research):</t>
        </r>
        <r>
          <rPr>
            <sz val="9"/>
            <color indexed="81"/>
            <rFont val="Tahoma"/>
            <family val="2"/>
          </rPr>
          <t xml:space="preserve">
Negative impact from Miami Valley opening and Belterra Park, as well as Dayton racino which is scheduled to open in 4Q</t>
        </r>
      </text>
    </comment>
    <comment ref="BE425" authorId="0">
      <text>
        <r>
          <rPr>
            <b/>
            <sz val="9"/>
            <color indexed="81"/>
            <rFont val="Tahoma"/>
            <family val="2"/>
          </rPr>
          <t>Savino, Mark (Research):</t>
        </r>
        <r>
          <rPr>
            <sz val="9"/>
            <color indexed="81"/>
            <rFont val="Tahoma"/>
            <family val="2"/>
          </rPr>
          <t xml:space="preserve">
Negative impact from Miami Valley opening</t>
        </r>
      </text>
    </comment>
    <comment ref="BF425" authorId="0">
      <text>
        <r>
          <rPr>
            <b/>
            <sz val="9"/>
            <color indexed="81"/>
            <rFont val="Tahoma"/>
            <family val="2"/>
          </rPr>
          <t>Savino, Mark (Research):</t>
        </r>
        <r>
          <rPr>
            <sz val="9"/>
            <color indexed="81"/>
            <rFont val="Tahoma"/>
            <family val="2"/>
          </rPr>
          <t xml:space="preserve">
Negative impact from Miami Valley opening and Belterra Park</t>
        </r>
      </text>
    </comment>
    <comment ref="BJ425" authorId="0">
      <text>
        <r>
          <rPr>
            <b/>
            <sz val="9"/>
            <color indexed="81"/>
            <rFont val="Tahoma"/>
            <family val="2"/>
          </rPr>
          <t>Savino, Mark (Research):</t>
        </r>
        <r>
          <rPr>
            <sz val="9"/>
            <color indexed="81"/>
            <rFont val="Tahoma"/>
            <family val="2"/>
          </rPr>
          <t xml:space="preserve">
Per mgmt: 10% of Columbus' business comes from Dayton, so assume that goes away once racino opens
1/16/14 mgmt meeting: Dayton racino will have minor impact on Columbus but property still very much ramping</t>
        </r>
      </text>
    </comment>
    <comment ref="BO425" authorId="8">
      <text>
        <r>
          <rPr>
            <b/>
            <sz val="9"/>
            <color indexed="81"/>
            <rFont val="Tahoma"/>
            <family val="2"/>
          </rPr>
          <t>Allen, Thomas (Research):</t>
        </r>
        <r>
          <rPr>
            <sz val="9"/>
            <color indexed="81"/>
            <rFont val="Tahoma"/>
            <family val="2"/>
          </rPr>
          <t xml:space="preserve">
Underpenetrated market, assumptions much lower than what most originally hoped</t>
        </r>
      </text>
    </comment>
    <comment ref="AT427" authorId="6">
      <text>
        <r>
          <rPr>
            <b/>
            <sz val="8"/>
            <color indexed="81"/>
            <rFont val="Tahoma"/>
            <family val="2"/>
          </rPr>
          <t>AM: 11/16/12:</t>
        </r>
        <r>
          <rPr>
            <sz val="8"/>
            <color indexed="81"/>
            <rFont val="Tahoma"/>
            <family val="2"/>
          </rPr>
          <t xml:space="preserve">
Opened Oct. 8</t>
        </r>
      </text>
    </comment>
    <comment ref="AZ427" authorId="17">
      <text>
        <r>
          <rPr>
            <b/>
            <sz val="8"/>
            <color indexed="81"/>
            <rFont val="Tahoma"/>
            <family val="2"/>
          </rPr>
          <t>thallen:</t>
        </r>
        <r>
          <rPr>
            <sz val="8"/>
            <color indexed="81"/>
            <rFont val="Tahoma"/>
            <family val="2"/>
          </rPr>
          <t xml:space="preserve">
Note Prof. Alan Silver projects $225mm (said OH Casino Comm. said his numbers were similar to theirs)</t>
        </r>
      </text>
    </comment>
    <comment ref="BE427" authorId="17">
      <text>
        <r>
          <rPr>
            <b/>
            <sz val="8"/>
            <color indexed="81"/>
            <rFont val="Tahoma"/>
            <family val="2"/>
          </rPr>
          <t>thallen:</t>
        </r>
        <r>
          <rPr>
            <sz val="8"/>
            <color indexed="81"/>
            <rFont val="Tahoma"/>
            <family val="2"/>
          </rPr>
          <t xml:space="preserve">
Note Prof. Alan Silver projects $248.6mm (said OH Casino Comm. said his numbers were similar to theirs)</t>
        </r>
      </text>
    </comment>
    <comment ref="BJ427" authorId="17">
      <text>
        <r>
          <rPr>
            <b/>
            <sz val="8"/>
            <color indexed="81"/>
            <rFont val="Tahoma"/>
            <family val="2"/>
          </rPr>
          <t>thallen:</t>
        </r>
        <r>
          <rPr>
            <sz val="8"/>
            <color indexed="81"/>
            <rFont val="Tahoma"/>
            <family val="2"/>
          </rPr>
          <t xml:space="preserve">
Note Prof. Alan Silver projects $265.8mm (said OH Casino Comm. said his numbers were similar to theirs)</t>
        </r>
      </text>
    </comment>
    <comment ref="BN428" authorId="8">
      <text>
        <r>
          <rPr>
            <b/>
            <sz val="9"/>
            <color indexed="81"/>
            <rFont val="Tahoma"/>
            <family val="2"/>
          </rPr>
          <t>Allen, Thomas (Research):</t>
        </r>
        <r>
          <rPr>
            <sz val="9"/>
            <color indexed="81"/>
            <rFont val="Tahoma"/>
            <family val="2"/>
          </rPr>
          <t xml:space="preserve">
Had 6 snow days in Dec vs. 0 in Dec '15</t>
        </r>
      </text>
    </comment>
    <comment ref="AT429" authorId="17">
      <text>
        <r>
          <rPr>
            <b/>
            <sz val="8"/>
            <color indexed="81"/>
            <rFont val="Tahoma"/>
            <family val="2"/>
          </rPr>
          <t>thallen:</t>
        </r>
        <r>
          <rPr>
            <sz val="8"/>
            <color indexed="81"/>
            <rFont val="Tahoma"/>
            <family val="2"/>
          </rPr>
          <t xml:space="preserve">
Non-gaming done better than expected</t>
        </r>
      </text>
    </comment>
    <comment ref="BJ431" authorId="0">
      <text>
        <r>
          <rPr>
            <b/>
            <sz val="9"/>
            <color indexed="81"/>
            <rFont val="Tahoma"/>
            <family val="2"/>
          </rPr>
          <t>Savino, Mark (Research):</t>
        </r>
        <r>
          <rPr>
            <sz val="9"/>
            <color indexed="81"/>
            <rFont val="Tahoma"/>
            <family val="2"/>
          </rPr>
          <t xml:space="preserve">
Per 4Q14 call: expect continued ramp at Columbus and Toledo</t>
        </r>
      </text>
    </comment>
    <comment ref="AW433" authorId="17">
      <text>
        <r>
          <rPr>
            <b/>
            <sz val="8"/>
            <color indexed="81"/>
            <rFont val="Tahoma"/>
            <family val="2"/>
          </rPr>
          <t>thallen:</t>
        </r>
        <r>
          <rPr>
            <sz val="8"/>
            <color indexed="81"/>
            <rFont val="Tahoma"/>
            <family val="2"/>
          </rPr>
          <t xml:space="preserve">
Removal of positions lowers operating expenses</t>
        </r>
      </text>
    </comment>
    <comment ref="BA435" authorId="0">
      <text>
        <r>
          <rPr>
            <b/>
            <sz val="9"/>
            <color indexed="81"/>
            <rFont val="Tahoma"/>
            <family val="2"/>
          </rPr>
          <t>Savino, Mark (Research):</t>
        </r>
        <r>
          <rPr>
            <sz val="9"/>
            <color indexed="81"/>
            <rFont val="Tahoma"/>
            <family val="2"/>
          </rPr>
          <t xml:space="preserve">
Lower revenue base as 1Q13 had more tables</t>
        </r>
      </text>
    </comment>
    <comment ref="BD435" authorId="8">
      <text>
        <r>
          <rPr>
            <b/>
            <sz val="9"/>
            <color indexed="81"/>
            <rFont val="Tahoma"/>
            <family val="2"/>
          </rPr>
          <t>Allen, Thomas (Research):</t>
        </r>
        <r>
          <rPr>
            <sz val="9"/>
            <color indexed="81"/>
            <rFont val="Tahoma"/>
            <family val="2"/>
          </rPr>
          <t xml:space="preserve">
4Q13 had weather impact so fewer people working</t>
        </r>
      </text>
    </comment>
    <comment ref="BW435" authorId="8">
      <text>
        <r>
          <rPr>
            <b/>
            <sz val="9"/>
            <color indexed="81"/>
            <rFont val="Tahoma"/>
            <family val="2"/>
          </rPr>
          <t>Allen, Thomas (Research):</t>
        </r>
        <r>
          <rPr>
            <sz val="9"/>
            <color indexed="81"/>
            <rFont val="Tahoma"/>
            <family val="2"/>
          </rPr>
          <t xml:space="preserve">
Comping margin improvement initiative spend</t>
        </r>
      </text>
    </comment>
    <comment ref="BZ435" authorId="0">
      <text>
        <r>
          <rPr>
            <b/>
            <sz val="9"/>
            <color indexed="81"/>
            <rFont val="Tahoma"/>
            <family val="2"/>
          </rPr>
          <t>Savino, Mark (Research):</t>
        </r>
        <r>
          <rPr>
            <sz val="9"/>
            <color indexed="81"/>
            <rFont val="Tahoma"/>
            <family val="2"/>
          </rPr>
          <t xml:space="preserve">
Synergies as a result of PENN/PNK merger</t>
        </r>
      </text>
    </comment>
    <comment ref="BE441" authorId="17">
      <text>
        <r>
          <rPr>
            <b/>
            <sz val="8"/>
            <color indexed="81"/>
            <rFont val="Tahoma"/>
            <family val="2"/>
          </rPr>
          <t>thallen:</t>
        </r>
        <r>
          <rPr>
            <sz val="8"/>
            <color indexed="81"/>
            <rFont val="Tahoma"/>
            <family val="2"/>
          </rPr>
          <t xml:space="preserve">
1/16/14 mgmt meeting: OH will operate at better margins
4Q earnings: Year 2 margin should see margin ramp
Columbus should get to high 30s margins</t>
        </r>
      </text>
    </comment>
    <comment ref="BJ441" authorId="17">
      <text>
        <r>
          <rPr>
            <b/>
            <sz val="8"/>
            <color indexed="81"/>
            <rFont val="Tahoma"/>
            <family val="2"/>
          </rPr>
          <t>thallen:</t>
        </r>
        <r>
          <rPr>
            <sz val="8"/>
            <color indexed="81"/>
            <rFont val="Tahoma"/>
            <family val="2"/>
          </rPr>
          <t xml:space="preserve">
1/16/14 mgmt meeting: OH will operate at better margins
Columbus should get to high 30s margins</t>
        </r>
      </text>
    </comment>
    <comment ref="AV453" authorId="17">
      <text>
        <r>
          <rPr>
            <b/>
            <sz val="8"/>
            <color indexed="81"/>
            <rFont val="Tahoma"/>
            <family val="2"/>
          </rPr>
          <t>thallen:</t>
        </r>
        <r>
          <rPr>
            <sz val="8"/>
            <color indexed="81"/>
            <rFont val="Tahoma"/>
            <family val="2"/>
          </rPr>
          <t xml:space="preserve">
Mgmt said on call that they're seeing similar trends in Jan as 4Q in OH</t>
        </r>
      </text>
    </comment>
    <comment ref="AX453" authorId="17">
      <text>
        <r>
          <rPr>
            <b/>
            <sz val="8"/>
            <color indexed="81"/>
            <rFont val="Tahoma"/>
            <family val="2"/>
          </rPr>
          <t>thallen:</t>
        </r>
        <r>
          <rPr>
            <sz val="8"/>
            <color indexed="81"/>
            <rFont val="Tahoma"/>
            <family val="2"/>
          </rPr>
          <t xml:space="preserve">
Mgmt guidance (from 2Q13) does not reflect any improvement in trends at OH properties
Watch for new owners of Greektown and competitive dynamic</t>
        </r>
      </text>
    </comment>
    <comment ref="AY453" authorId="12">
      <text>
        <r>
          <rPr>
            <b/>
            <sz val="8"/>
            <color indexed="81"/>
            <rFont val="Tahoma"/>
            <family val="2"/>
          </rPr>
          <t>savinmar:</t>
        </r>
        <r>
          <rPr>
            <sz val="8"/>
            <color indexed="81"/>
            <rFont val="Tahoma"/>
            <family val="2"/>
          </rPr>
          <t xml:space="preserve">
Assuming some improvement as a result of payout limitations being implemented at internet cafes</t>
        </r>
      </text>
    </comment>
    <comment ref="BE454" authorId="0">
      <text>
        <r>
          <rPr>
            <b/>
            <sz val="9"/>
            <color indexed="81"/>
            <rFont val="Tahoma"/>
            <family val="2"/>
          </rPr>
          <t>Savino, Mark (Research):</t>
        </r>
        <r>
          <rPr>
            <sz val="9"/>
            <color indexed="81"/>
            <rFont val="Tahoma"/>
            <family val="2"/>
          </rPr>
          <t xml:space="preserve">
1/16/14 mgmt meeting: fully expect Toledo to still ramp</t>
        </r>
      </text>
    </comment>
    <comment ref="BM454" authorId="0">
      <text>
        <r>
          <rPr>
            <b/>
            <sz val="9"/>
            <color indexed="81"/>
            <rFont val="Tahoma"/>
            <family val="2"/>
          </rPr>
          <t>Savino, Mark (Research):</t>
        </r>
        <r>
          <rPr>
            <sz val="9"/>
            <color indexed="81"/>
            <rFont val="Tahoma"/>
            <family val="2"/>
          </rPr>
          <t xml:space="preserve">
Negatively impacted by interstate construction</t>
        </r>
      </text>
    </comment>
    <comment ref="BN454" authorId="0">
      <text>
        <r>
          <rPr>
            <b/>
            <sz val="9"/>
            <color indexed="81"/>
            <rFont val="Tahoma"/>
            <family val="2"/>
          </rPr>
          <t>Savino, Mark (Research):</t>
        </r>
        <r>
          <rPr>
            <sz val="9"/>
            <color indexed="81"/>
            <rFont val="Tahoma"/>
            <family val="2"/>
          </rPr>
          <t xml:space="preserve">
3Q call: Construction starting to wrap up for winter, so performance should improve
4Q16: Had 13 snow days in Dec vs. 2 in Dec '15, had to close for a day</t>
        </r>
      </text>
    </comment>
    <comment ref="BQ454" authorId="0">
      <text>
        <r>
          <rPr>
            <b/>
            <sz val="9"/>
            <color indexed="81"/>
            <rFont val="Tahoma"/>
            <family val="2"/>
          </rPr>
          <t>Savino, Mark (Research):</t>
        </r>
        <r>
          <rPr>
            <sz val="9"/>
            <color indexed="81"/>
            <rFont val="Tahoma"/>
            <family val="2"/>
          </rPr>
          <t xml:space="preserve">
3Q16 call: Interstate construction will start again in the Spring, but moving further North so impact should be less severe</t>
        </r>
      </text>
    </comment>
    <comment ref="BR454" authorId="0">
      <text>
        <r>
          <rPr>
            <b/>
            <sz val="9"/>
            <color indexed="81"/>
            <rFont val="Tahoma"/>
            <family val="2"/>
          </rPr>
          <t>Savino, Mark (Research):</t>
        </r>
        <r>
          <rPr>
            <sz val="9"/>
            <color indexed="81"/>
            <rFont val="Tahoma"/>
            <family val="2"/>
          </rPr>
          <t xml:space="preserve">
2Q17 call: Road construction less disruptive than last year
3Q16 call: Interstate construction will start again in the Spring, but moving further North so impact should be less severe</t>
        </r>
      </text>
    </comment>
    <comment ref="BS454" authorId="8">
      <text>
        <r>
          <rPr>
            <b/>
            <sz val="9"/>
            <color indexed="81"/>
            <rFont val="Tahoma"/>
            <family val="2"/>
          </rPr>
          <t>Allen, Thomas (Research):</t>
        </r>
        <r>
          <rPr>
            <sz val="9"/>
            <color indexed="81"/>
            <rFont val="Tahoma"/>
            <family val="2"/>
          </rPr>
          <t xml:space="preserve">
4Q16: Had 13 snow days in Dec vs. 2 in Dec '15, had to close for a day</t>
        </r>
      </text>
    </comment>
    <comment ref="BY454" authorId="8">
      <text>
        <r>
          <rPr>
            <b/>
            <sz val="9"/>
            <color indexed="81"/>
            <rFont val="Tahoma"/>
            <family val="2"/>
          </rPr>
          <t>Allen, Thomas (Research):</t>
        </r>
        <r>
          <rPr>
            <sz val="9"/>
            <color indexed="81"/>
            <rFont val="Tahoma"/>
            <family val="2"/>
          </rPr>
          <t xml:space="preserve">
Rebounding off of construction issues</t>
        </r>
      </text>
    </comment>
    <comment ref="AR456" authorId="3">
      <text>
        <r>
          <rPr>
            <b/>
            <sz val="8"/>
            <color indexed="81"/>
            <rFont val="Tahoma"/>
            <family val="2"/>
          </rPr>
          <t>AM: 4/19/12:</t>
        </r>
        <r>
          <rPr>
            <sz val="8"/>
            <color indexed="81"/>
            <rFont val="Tahoma"/>
            <family val="2"/>
          </rPr>
          <t xml:space="preserve">
Opening May 29</t>
        </r>
      </text>
    </comment>
    <comment ref="AU456" authorId="22">
      <text>
        <r>
          <rPr>
            <b/>
            <sz val="8"/>
            <color indexed="81"/>
            <rFont val="Tahoma"/>
            <family val="2"/>
          </rPr>
          <t>AM: 4/21/11:</t>
        </r>
        <r>
          <rPr>
            <sz val="8"/>
            <color indexed="81"/>
            <rFont val="Tahoma"/>
            <family val="2"/>
          </rPr>
          <t xml:space="preserve">
Assumes property is open for half of 2012.</t>
        </r>
      </text>
    </comment>
    <comment ref="AZ456" authorId="17">
      <text>
        <r>
          <rPr>
            <b/>
            <sz val="8"/>
            <color indexed="81"/>
            <rFont val="Tahoma"/>
            <family val="2"/>
          </rPr>
          <t>thallen:</t>
        </r>
        <r>
          <rPr>
            <sz val="8"/>
            <color indexed="81"/>
            <rFont val="Tahoma"/>
            <family val="2"/>
          </rPr>
          <t xml:space="preserve">
Note Prof. Alan Silver projects $190mm (said OH Casino Comm. said his numbers were similar to theirs)</t>
        </r>
      </text>
    </comment>
    <comment ref="BE456" authorId="17">
      <text>
        <r>
          <rPr>
            <b/>
            <sz val="8"/>
            <color indexed="81"/>
            <rFont val="Tahoma"/>
            <family val="2"/>
          </rPr>
          <t>thallen:</t>
        </r>
        <r>
          <rPr>
            <sz val="8"/>
            <color indexed="81"/>
            <rFont val="Tahoma"/>
            <family val="2"/>
          </rPr>
          <t xml:space="preserve">
Note Prof. Alan Silver projects $195.4mm (said OH Casino Comm. said his numbers were similar to theirs)</t>
        </r>
      </text>
    </comment>
    <comment ref="AS458" authorId="17">
      <text>
        <r>
          <rPr>
            <b/>
            <sz val="8"/>
            <color indexed="81"/>
            <rFont val="Tahoma"/>
            <family val="2"/>
          </rPr>
          <t>thallen:</t>
        </r>
        <r>
          <rPr>
            <sz val="8"/>
            <color indexed="81"/>
            <rFont val="Tahoma"/>
            <family val="2"/>
          </rPr>
          <t xml:space="preserve">
Non-gaming done better than expected</t>
        </r>
      </text>
    </comment>
    <comment ref="AT458" authorId="17">
      <text>
        <r>
          <rPr>
            <b/>
            <sz val="8"/>
            <color indexed="81"/>
            <rFont val="Tahoma"/>
            <family val="2"/>
          </rPr>
          <t>thallen:</t>
        </r>
        <r>
          <rPr>
            <sz val="8"/>
            <color indexed="81"/>
            <rFont val="Tahoma"/>
            <family val="2"/>
          </rPr>
          <t xml:space="preserve">
Non-gaming done better than expected</t>
        </r>
      </text>
    </comment>
    <comment ref="AU458" authorId="22">
      <text>
        <r>
          <rPr>
            <b/>
            <sz val="8"/>
            <color indexed="81"/>
            <rFont val="Tahoma"/>
            <family val="2"/>
          </rPr>
          <t>AM: 4/21/11:</t>
        </r>
        <r>
          <rPr>
            <sz val="8"/>
            <color indexed="81"/>
            <rFont val="Tahoma"/>
            <family val="2"/>
          </rPr>
          <t xml:space="preserve">
Assumes property is open for half of 2012.</t>
        </r>
      </text>
    </comment>
    <comment ref="BJ460" authorId="0">
      <text>
        <r>
          <rPr>
            <b/>
            <sz val="9"/>
            <color indexed="81"/>
            <rFont val="Tahoma"/>
            <family val="2"/>
          </rPr>
          <t>Savino, Mark (Research):</t>
        </r>
        <r>
          <rPr>
            <sz val="9"/>
            <color indexed="81"/>
            <rFont val="Tahoma"/>
            <family val="2"/>
          </rPr>
          <t xml:space="preserve">
Per 4Q14 call: expect continued ramp at Columbus and Toledo</t>
        </r>
      </text>
    </comment>
    <comment ref="AU462" authorId="22">
      <text>
        <r>
          <rPr>
            <b/>
            <sz val="8"/>
            <color indexed="81"/>
            <rFont val="Tahoma"/>
            <family val="2"/>
          </rPr>
          <t>AM: 4/21/11:</t>
        </r>
        <r>
          <rPr>
            <sz val="8"/>
            <color indexed="81"/>
            <rFont val="Tahoma"/>
            <family val="2"/>
          </rPr>
          <t xml:space="preserve">
Assumes property is open for half of 2012.</t>
        </r>
      </text>
    </comment>
    <comment ref="BD464" authorId="8">
      <text>
        <r>
          <rPr>
            <b/>
            <sz val="9"/>
            <color indexed="81"/>
            <rFont val="Tahoma"/>
            <family val="2"/>
          </rPr>
          <t>Allen, Thomas (Research):</t>
        </r>
        <r>
          <rPr>
            <sz val="9"/>
            <color indexed="81"/>
            <rFont val="Tahoma"/>
            <family val="2"/>
          </rPr>
          <t xml:space="preserve">
4Q13 had weather impact so fewer people working</t>
        </r>
      </text>
    </comment>
    <comment ref="BW464" authorId="8">
      <text>
        <r>
          <rPr>
            <b/>
            <sz val="9"/>
            <color indexed="81"/>
            <rFont val="Tahoma"/>
            <family val="2"/>
          </rPr>
          <t>Allen, Thomas (Research):</t>
        </r>
        <r>
          <rPr>
            <sz val="9"/>
            <color indexed="81"/>
            <rFont val="Tahoma"/>
            <family val="2"/>
          </rPr>
          <t xml:space="preserve">
Comping margin improvement initiative spend</t>
        </r>
      </text>
    </comment>
    <comment ref="BZ464" authorId="0">
      <text>
        <r>
          <rPr>
            <b/>
            <sz val="9"/>
            <color indexed="81"/>
            <rFont val="Tahoma"/>
            <family val="2"/>
          </rPr>
          <t>Savino, Mark (Research):</t>
        </r>
        <r>
          <rPr>
            <sz val="9"/>
            <color indexed="81"/>
            <rFont val="Tahoma"/>
            <family val="2"/>
          </rPr>
          <t xml:space="preserve">
Synergies as a result of PENN/PNK merger</t>
        </r>
      </text>
    </comment>
    <comment ref="AU469" authorId="22">
      <text>
        <r>
          <rPr>
            <b/>
            <sz val="8"/>
            <color indexed="81"/>
            <rFont val="Tahoma"/>
            <family val="2"/>
          </rPr>
          <t>AM: 4/21/11:</t>
        </r>
        <r>
          <rPr>
            <sz val="8"/>
            <color indexed="81"/>
            <rFont val="Tahoma"/>
            <family val="2"/>
          </rPr>
          <t xml:space="preserve">
Assumes property is open for half of 2012.</t>
        </r>
      </text>
    </comment>
    <comment ref="AV470" authorId="17">
      <text>
        <r>
          <rPr>
            <b/>
            <sz val="8"/>
            <color indexed="81"/>
            <rFont val="Tahoma"/>
            <family val="2"/>
          </rPr>
          <t>thallen:</t>
        </r>
        <r>
          <rPr>
            <sz val="8"/>
            <color indexed="81"/>
            <rFont val="Tahoma"/>
            <family val="2"/>
          </rPr>
          <t xml:space="preserve">
Toledo getting close to high 30s margins</t>
        </r>
      </text>
    </comment>
    <comment ref="AW470" authorId="17">
      <text>
        <r>
          <rPr>
            <b/>
            <sz val="8"/>
            <color indexed="81"/>
            <rFont val="Tahoma"/>
            <family val="2"/>
          </rPr>
          <t>thallen:</t>
        </r>
        <r>
          <rPr>
            <sz val="8"/>
            <color indexed="81"/>
            <rFont val="Tahoma"/>
            <family val="2"/>
          </rPr>
          <t xml:space="preserve">
Mgmt said on call that margins were improving</t>
        </r>
      </text>
    </comment>
    <comment ref="BE470" authorId="17">
      <text>
        <r>
          <rPr>
            <b/>
            <sz val="8"/>
            <color indexed="81"/>
            <rFont val="Tahoma"/>
            <family val="2"/>
          </rPr>
          <t>thallen:</t>
        </r>
        <r>
          <rPr>
            <sz val="8"/>
            <color indexed="81"/>
            <rFont val="Tahoma"/>
            <family val="2"/>
          </rPr>
          <t xml:space="preserve">
1/16/14 mgmt meeting: OH will operate at better margins
4Q13 earnings: Year 2 should see margin ramp</t>
        </r>
      </text>
    </comment>
    <comment ref="BJ470" authorId="17">
      <text>
        <r>
          <rPr>
            <b/>
            <sz val="8"/>
            <color indexed="81"/>
            <rFont val="Tahoma"/>
            <family val="2"/>
          </rPr>
          <t>thallen:</t>
        </r>
        <r>
          <rPr>
            <sz val="8"/>
            <color indexed="81"/>
            <rFont val="Tahoma"/>
            <family val="2"/>
          </rPr>
          <t xml:space="preserve">
1/16/14 mgmt meeting: OH will operate at better margins
</t>
        </r>
      </text>
    </comment>
    <comment ref="AU472" authorId="22">
      <text>
        <r>
          <rPr>
            <b/>
            <sz val="8"/>
            <color indexed="81"/>
            <rFont val="Tahoma"/>
            <family val="2"/>
          </rPr>
          <t>AM: 4/21/11:</t>
        </r>
        <r>
          <rPr>
            <sz val="8"/>
            <color indexed="81"/>
            <rFont val="Tahoma"/>
            <family val="2"/>
          </rPr>
          <t xml:space="preserve">
Assumes property is open for half of 2012.</t>
        </r>
      </text>
    </comment>
    <comment ref="BW478" authorId="0">
      <text>
        <r>
          <rPr>
            <b/>
            <sz val="9"/>
            <color indexed="81"/>
            <rFont val="Tahoma"/>
            <family val="2"/>
          </rPr>
          <t>Savino, Mark (Research):</t>
        </r>
        <r>
          <rPr>
            <sz val="9"/>
            <color indexed="81"/>
            <rFont val="Tahoma"/>
            <family val="2"/>
          </rPr>
          <t xml:space="preserve">
New operator being selected and PENN chose not to bid</t>
        </r>
      </text>
    </comment>
    <comment ref="BC497" authorId="8">
      <text>
        <r>
          <rPr>
            <b/>
            <sz val="9"/>
            <color indexed="81"/>
            <rFont val="Tahoma"/>
            <family val="2"/>
          </rPr>
          <t>Allen, Thomas (Research):</t>
        </r>
        <r>
          <rPr>
            <sz val="9"/>
            <color indexed="81"/>
            <rFont val="Tahoma"/>
            <family val="2"/>
          </rPr>
          <t xml:space="preserve">
Opened Aug 28</t>
        </r>
      </text>
    </comment>
    <comment ref="BC498" authorId="0">
      <text>
        <r>
          <rPr>
            <b/>
            <sz val="9"/>
            <color indexed="81"/>
            <rFont val="Tahoma"/>
            <family val="2"/>
          </rPr>
          <t>Savino, Mark (Research):</t>
        </r>
        <r>
          <rPr>
            <sz val="9"/>
            <color indexed="81"/>
            <rFont val="Tahoma"/>
            <family val="2"/>
          </rPr>
          <t xml:space="preserve">
$466 in August when first opened, but $207 in Sept
1-time promotional error impacted net slot revs in 3Q14</t>
        </r>
      </text>
    </comment>
    <comment ref="BD498" authorId="0">
      <text>
        <r>
          <rPr>
            <b/>
            <sz val="9"/>
            <color indexed="81"/>
            <rFont val="Tahoma"/>
            <family val="2"/>
          </rPr>
          <t>Savino, Mark (Research):</t>
        </r>
        <r>
          <rPr>
            <sz val="9"/>
            <color indexed="81"/>
            <rFont val="Tahoma"/>
            <family val="2"/>
          </rPr>
          <t xml:space="preserve">
3Q14 call: Mahoning performing better than Dayton as less competitive mkt</t>
        </r>
      </text>
    </comment>
    <comment ref="BH498" authorId="8">
      <text>
        <r>
          <rPr>
            <b/>
            <sz val="9"/>
            <color indexed="81"/>
            <rFont val="Tahoma"/>
            <family val="2"/>
          </rPr>
          <t>Allen, Thomas (Research):</t>
        </r>
        <r>
          <rPr>
            <sz val="9"/>
            <color indexed="81"/>
            <rFont val="Tahoma"/>
            <family val="2"/>
          </rPr>
          <t xml:space="preserve">
1-time promotional error impacted net slot revs in 3Q14</t>
        </r>
      </text>
    </comment>
    <comment ref="BJ498" authorId="0">
      <text>
        <r>
          <rPr>
            <b/>
            <sz val="9"/>
            <color indexed="81"/>
            <rFont val="Tahoma"/>
            <family val="2"/>
          </rPr>
          <t>Savino, Mark (Research):</t>
        </r>
        <r>
          <rPr>
            <sz val="9"/>
            <color indexed="81"/>
            <rFont val="Tahoma"/>
            <family val="2"/>
          </rPr>
          <t xml:space="preserve">
1/16/14 mgmt meeting: Dayton/Youngstown racinos will operate north of $200 win/unit/day</t>
        </r>
      </text>
    </comment>
    <comment ref="BC508" authorId="0">
      <text>
        <r>
          <rPr>
            <b/>
            <sz val="9"/>
            <color indexed="81"/>
            <rFont val="Tahoma"/>
            <family val="2"/>
          </rPr>
          <t>Savino, Mark (Research):</t>
        </r>
        <r>
          <rPr>
            <sz val="9"/>
            <color indexed="81"/>
            <rFont val="Tahoma"/>
            <family val="2"/>
          </rPr>
          <t xml:space="preserve">
Higher due to pre-opening costs</t>
        </r>
      </text>
    </comment>
    <comment ref="BW508" authorId="8">
      <text>
        <r>
          <rPr>
            <b/>
            <sz val="9"/>
            <color indexed="81"/>
            <rFont val="Tahoma"/>
            <family val="2"/>
          </rPr>
          <t>Allen, Thomas (Research):</t>
        </r>
        <r>
          <rPr>
            <sz val="9"/>
            <color indexed="81"/>
            <rFont val="Tahoma"/>
            <family val="2"/>
          </rPr>
          <t xml:space="preserve">
Comping margin improvement initiative spend</t>
        </r>
      </text>
    </comment>
    <comment ref="BO509" authorId="0">
      <text>
        <r>
          <rPr>
            <b/>
            <sz val="9"/>
            <color indexed="81"/>
            <rFont val="Tahoma"/>
            <family val="2"/>
          </rPr>
          <t>Savino, Mark (Research):</t>
        </r>
        <r>
          <rPr>
            <sz val="9"/>
            <color indexed="81"/>
            <rFont val="Tahoma"/>
            <family val="2"/>
          </rPr>
          <t xml:space="preserve">
Per IR, properties become more lean after first year as cost structure is rationalized</t>
        </r>
      </text>
    </comment>
    <comment ref="BZ509" authorId="0">
      <text>
        <r>
          <rPr>
            <b/>
            <sz val="9"/>
            <color indexed="81"/>
            <rFont val="Tahoma"/>
            <family val="2"/>
          </rPr>
          <t>Savino, Mark (Research):</t>
        </r>
        <r>
          <rPr>
            <sz val="9"/>
            <color indexed="81"/>
            <rFont val="Tahoma"/>
            <family val="2"/>
          </rPr>
          <t xml:space="preserve">
Synergies as a result of PENN/PNK merger</t>
        </r>
      </text>
    </comment>
    <comment ref="BJ514" authorId="17">
      <text>
        <r>
          <rPr>
            <b/>
            <sz val="8"/>
            <color indexed="81"/>
            <rFont val="Tahoma"/>
            <family val="2"/>
          </rPr>
          <t>thallen:</t>
        </r>
        <r>
          <rPr>
            <sz val="8"/>
            <color indexed="81"/>
            <rFont val="Tahoma"/>
            <family val="2"/>
          </rPr>
          <t xml:space="preserve">
Lower than 20% ROE on other OH properties given relocation fees were really for all OH properties ($522 spend) 
Per 3Q14 call, Mahoning ramping better than Dayton (more competitive market)</t>
        </r>
      </text>
    </comment>
    <comment ref="BJ515" authorId="8">
      <text>
        <r>
          <rPr>
            <b/>
            <sz val="9"/>
            <color indexed="81"/>
            <rFont val="Tahoma"/>
            <family val="2"/>
          </rPr>
          <t>Allen, Thomas (Research):</t>
        </r>
        <r>
          <rPr>
            <sz val="9"/>
            <color indexed="81"/>
            <rFont val="Tahoma"/>
            <family val="2"/>
          </rPr>
          <t xml:space="preserve">
3Q14 call: Dayton a more competitive mkt than Mahoning, so assuming slightly lower margins
Per 4Q13 earnings call, expect margins in the 20s</t>
        </r>
      </text>
    </comment>
    <comment ref="BJ517" authorId="17">
      <text>
        <r>
          <rPr>
            <b/>
            <sz val="8"/>
            <color indexed="81"/>
            <rFont val="Tahoma"/>
            <family val="2"/>
          </rPr>
          <t>thallen:</t>
        </r>
        <r>
          <rPr>
            <sz val="8"/>
            <color indexed="81"/>
            <rFont val="Tahoma"/>
            <family val="2"/>
          </rPr>
          <t xml:space="preserve">
As discussed w/ mgmt, deduct license / relocation fees but PENN responsible for slots (2k at $20k / machine, depreciate over 5 years) and FFE, ~$20mm annualized</t>
        </r>
      </text>
    </comment>
    <comment ref="BC525" authorId="0">
      <text>
        <r>
          <rPr>
            <b/>
            <sz val="9"/>
            <color indexed="81"/>
            <rFont val="Tahoma"/>
            <family val="2"/>
          </rPr>
          <t>Savino, Mark (Research):</t>
        </r>
        <r>
          <rPr>
            <sz val="9"/>
            <color indexed="81"/>
            <rFont val="Tahoma"/>
            <family val="2"/>
          </rPr>
          <t xml:space="preserve">
Property opened on 9/17</t>
        </r>
      </text>
    </comment>
    <comment ref="BD526" authorId="0">
      <text>
        <r>
          <rPr>
            <b/>
            <sz val="9"/>
            <color indexed="81"/>
            <rFont val="Tahoma"/>
            <family val="2"/>
          </rPr>
          <t>Savino, Mark (Research):</t>
        </r>
        <r>
          <rPr>
            <sz val="9"/>
            <color indexed="81"/>
            <rFont val="Tahoma"/>
            <family val="2"/>
          </rPr>
          <t xml:space="preserve">
3Q14 call: Mahoning performing better than Dayton as less competitive mkt</t>
        </r>
      </text>
    </comment>
    <comment ref="BJ526" authorId="0">
      <text>
        <r>
          <rPr>
            <b/>
            <sz val="9"/>
            <color indexed="81"/>
            <rFont val="Tahoma"/>
            <family val="2"/>
          </rPr>
          <t>Savino, Mark (Research):</t>
        </r>
        <r>
          <rPr>
            <sz val="9"/>
            <color indexed="81"/>
            <rFont val="Tahoma"/>
            <family val="2"/>
          </rPr>
          <t xml:space="preserve">
1/16/14 mgmt meeting: Dayton/Youngstown racinos will operate north of $200 win/unit/day</t>
        </r>
      </text>
    </comment>
    <comment ref="BN527" authorId="8">
      <text>
        <r>
          <rPr>
            <b/>
            <sz val="9"/>
            <color indexed="81"/>
            <rFont val="Tahoma"/>
            <family val="2"/>
          </rPr>
          <t>Allen, Thomas (Research):</t>
        </r>
        <r>
          <rPr>
            <sz val="9"/>
            <color indexed="81"/>
            <rFont val="Tahoma"/>
            <family val="2"/>
          </rPr>
          <t xml:space="preserve">
Added slots</t>
        </r>
      </text>
    </comment>
    <comment ref="BC536" authorId="0">
      <text>
        <r>
          <rPr>
            <b/>
            <sz val="9"/>
            <color indexed="81"/>
            <rFont val="Tahoma"/>
            <family val="2"/>
          </rPr>
          <t>Savino, Mark (Research):</t>
        </r>
        <r>
          <rPr>
            <sz val="9"/>
            <color indexed="81"/>
            <rFont val="Tahoma"/>
            <family val="2"/>
          </rPr>
          <t xml:space="preserve">
Higher due to pre-opening costs</t>
        </r>
      </text>
    </comment>
    <comment ref="BF536" authorId="8">
      <text>
        <r>
          <rPr>
            <b/>
            <sz val="9"/>
            <color indexed="81"/>
            <rFont val="Tahoma"/>
            <family val="2"/>
          </rPr>
          <t>Allen, Thomas (Research):</t>
        </r>
        <r>
          <rPr>
            <sz val="9"/>
            <color indexed="81"/>
            <rFont val="Tahoma"/>
            <family val="2"/>
          </rPr>
          <t xml:space="preserve">
Don't have to market at first b/c novelty of property</t>
        </r>
      </text>
    </comment>
    <comment ref="BW536" authorId="8">
      <text>
        <r>
          <rPr>
            <b/>
            <sz val="9"/>
            <color indexed="81"/>
            <rFont val="Tahoma"/>
            <family val="2"/>
          </rPr>
          <t>Allen, Thomas (Research):</t>
        </r>
        <r>
          <rPr>
            <sz val="9"/>
            <color indexed="81"/>
            <rFont val="Tahoma"/>
            <family val="2"/>
          </rPr>
          <t xml:space="preserve">
Comping margin improvement initiative spend</t>
        </r>
      </text>
    </comment>
    <comment ref="BO537" authorId="0">
      <text>
        <r>
          <rPr>
            <b/>
            <sz val="9"/>
            <color indexed="81"/>
            <rFont val="Tahoma"/>
            <family val="2"/>
          </rPr>
          <t>Savino, Mark (Research):</t>
        </r>
        <r>
          <rPr>
            <sz val="9"/>
            <color indexed="81"/>
            <rFont val="Tahoma"/>
            <family val="2"/>
          </rPr>
          <t xml:space="preserve">
Per IR, properties become more lean after first year as cost structure is rationalized</t>
        </r>
      </text>
    </comment>
    <comment ref="BZ537" authorId="0">
      <text>
        <r>
          <rPr>
            <b/>
            <sz val="9"/>
            <color indexed="81"/>
            <rFont val="Tahoma"/>
            <family val="2"/>
          </rPr>
          <t>Savino, Mark (Research):</t>
        </r>
        <r>
          <rPr>
            <sz val="9"/>
            <color indexed="81"/>
            <rFont val="Tahoma"/>
            <family val="2"/>
          </rPr>
          <t xml:space="preserve">
Synergies as a result of PENN/PNK merger</t>
        </r>
      </text>
    </comment>
    <comment ref="BJ542" authorId="17">
      <text>
        <r>
          <rPr>
            <b/>
            <sz val="8"/>
            <color indexed="81"/>
            <rFont val="Tahoma"/>
            <family val="2"/>
          </rPr>
          <t>thallen:</t>
        </r>
        <r>
          <rPr>
            <sz val="8"/>
            <color indexed="81"/>
            <rFont val="Tahoma"/>
            <family val="2"/>
          </rPr>
          <t xml:space="preserve">
Lower than 20% ROE on other OH properties given relocation fees were really for all OH properties ($522 spend) 
Per 3Q14 call, Mahoning ramping better than Dayton (more competitive market)</t>
        </r>
      </text>
    </comment>
    <comment ref="BJ543" authorId="8">
      <text>
        <r>
          <rPr>
            <b/>
            <sz val="9"/>
            <color indexed="81"/>
            <rFont val="Tahoma"/>
            <family val="2"/>
          </rPr>
          <t>Allen, Thomas (Research):</t>
        </r>
        <r>
          <rPr>
            <sz val="9"/>
            <color indexed="81"/>
            <rFont val="Tahoma"/>
            <family val="2"/>
          </rPr>
          <t xml:space="preserve">
Per 4Q13 earnings call, expect margins in the 20s</t>
        </r>
      </text>
    </comment>
    <comment ref="BJ545" authorId="17">
      <text>
        <r>
          <rPr>
            <b/>
            <sz val="8"/>
            <color indexed="81"/>
            <rFont val="Tahoma"/>
            <family val="2"/>
          </rPr>
          <t>thallen:</t>
        </r>
        <r>
          <rPr>
            <sz val="8"/>
            <color indexed="81"/>
            <rFont val="Tahoma"/>
            <family val="2"/>
          </rPr>
          <t xml:space="preserve">
As discussed w/ mgmt, deduct license / relocation fees but PENN responsible for slots (2k at $20k / machine, depreciate over 5 years) and FFE, ~$20mm annualized</t>
        </r>
      </text>
    </comment>
    <comment ref="BG554" authorId="0">
      <text>
        <r>
          <rPr>
            <b/>
            <sz val="9"/>
            <color indexed="81"/>
            <rFont val="Tahoma"/>
            <family val="2"/>
          </rPr>
          <t>Savino, Mark (Research):</t>
        </r>
        <r>
          <rPr>
            <sz val="9"/>
            <color indexed="81"/>
            <rFont val="Tahoma"/>
            <family val="2"/>
          </rPr>
          <t xml:space="preserve">
Per mgmt, should do ~$500 w/u/d initially</t>
        </r>
      </text>
    </comment>
    <comment ref="BH554" authorId="0">
      <text>
        <r>
          <rPr>
            <b/>
            <sz val="9"/>
            <color indexed="81"/>
            <rFont val="Tahoma"/>
            <family val="2"/>
          </rPr>
          <t>Savino, Mark (Research):</t>
        </r>
        <r>
          <rPr>
            <sz val="9"/>
            <color indexed="81"/>
            <rFont val="Tahoma"/>
            <family val="2"/>
          </rPr>
          <t xml:space="preserve">
Per mgmt, should do ~$500 w/u/d initially</t>
        </r>
      </text>
    </comment>
    <comment ref="BJ554" authorId="0">
      <text>
        <r>
          <rPr>
            <b/>
            <sz val="9"/>
            <color indexed="81"/>
            <rFont val="Tahoma"/>
            <family val="2"/>
          </rPr>
          <t>Savino, Mark (Research):</t>
        </r>
        <r>
          <rPr>
            <sz val="9"/>
            <color indexed="81"/>
            <rFont val="Tahoma"/>
            <family val="2"/>
          </rPr>
          <t xml:space="preserve">
1Q14 call: Anticipate $500 win/unit/day initially and $250m of revenue</t>
        </r>
      </text>
    </comment>
    <comment ref="BK554" authorId="0">
      <text>
        <r>
          <rPr>
            <b/>
            <sz val="9"/>
            <color indexed="81"/>
            <rFont val="Tahoma"/>
            <family val="2"/>
          </rPr>
          <t>Savino, Mark (Research):</t>
        </r>
        <r>
          <rPr>
            <sz val="9"/>
            <color indexed="81"/>
            <rFont val="Tahoma"/>
            <family val="2"/>
          </rPr>
          <t xml:space="preserve">
Per mgmt, January win/position improved vs. December</t>
        </r>
      </text>
    </comment>
    <comment ref="BO554" authorId="8">
      <text>
        <r>
          <rPr>
            <b/>
            <sz val="9"/>
            <color indexed="81"/>
            <rFont val="Tahoma"/>
            <family val="2"/>
          </rPr>
          <t>Allen, Thomas (Research):</t>
        </r>
        <r>
          <rPr>
            <sz val="9"/>
            <color indexed="81"/>
            <rFont val="Tahoma"/>
            <family val="2"/>
          </rPr>
          <t xml:space="preserve">
Per 3Q15 call, mgmt expects  w/u/d in the $400s (vs. $500+ originally)</t>
        </r>
      </text>
    </comment>
    <comment ref="BZ554" authorId="0">
      <text>
        <r>
          <rPr>
            <b/>
            <sz val="9"/>
            <color indexed="81"/>
            <rFont val="Tahoma"/>
            <family val="2"/>
          </rPr>
          <t>Savino, Mark (Research):</t>
        </r>
        <r>
          <rPr>
            <sz val="9"/>
            <color indexed="81"/>
            <rFont val="Tahoma"/>
            <family val="2"/>
          </rPr>
          <t xml:space="preserve">
Assume 2% w/u/d growth in 1H19, then drop off in 2H19 assuming Wynn Everett opens</t>
        </r>
      </text>
    </comment>
    <comment ref="BZ555" authorId="0">
      <text>
        <r>
          <rPr>
            <b/>
            <sz val="9"/>
            <color indexed="81"/>
            <rFont val="Tahoma"/>
            <family val="2"/>
          </rPr>
          <t>Savino, Mark (Research):</t>
        </r>
        <r>
          <rPr>
            <sz val="9"/>
            <color indexed="81"/>
            <rFont val="Tahoma"/>
            <family val="2"/>
          </rPr>
          <t xml:space="preserve">
New competition opens in mid-2019</t>
        </r>
      </text>
    </comment>
    <comment ref="BG557" authorId="0">
      <text>
        <r>
          <rPr>
            <b/>
            <sz val="9"/>
            <color indexed="81"/>
            <rFont val="Tahoma"/>
            <family val="2"/>
          </rPr>
          <t>Savino, Mark (Research):</t>
        </r>
        <r>
          <rPr>
            <sz val="9"/>
            <color indexed="81"/>
            <rFont val="Tahoma"/>
            <family val="2"/>
          </rPr>
          <t xml:space="preserve">
June 24, 2015 opening</t>
        </r>
      </text>
    </comment>
    <comment ref="BJ557" authorId="0">
      <text>
        <r>
          <rPr>
            <b/>
            <sz val="9"/>
            <color indexed="81"/>
            <rFont val="Tahoma"/>
            <family val="2"/>
          </rPr>
          <t>Savino, Mark (Research):</t>
        </r>
        <r>
          <rPr>
            <sz val="9"/>
            <color indexed="81"/>
            <rFont val="Tahoma"/>
            <family val="2"/>
          </rPr>
          <t xml:space="preserve">
1Q14: Plan to open by June 2015</t>
        </r>
      </text>
    </comment>
    <comment ref="BJ562" authorId="0">
      <text>
        <r>
          <rPr>
            <b/>
            <sz val="9"/>
            <color indexed="81"/>
            <rFont val="Tahoma"/>
            <family val="2"/>
          </rPr>
          <t>Savino, Mark (Research):</t>
        </r>
        <r>
          <rPr>
            <sz val="9"/>
            <color indexed="81"/>
            <rFont val="Tahoma"/>
            <family val="2"/>
          </rPr>
          <t xml:space="preserve">
Other revenue at PENN's larger properties = 5-10% of net casino revenue</t>
        </r>
      </text>
    </comment>
    <comment ref="BO563" authorId="0">
      <text>
        <r>
          <rPr>
            <b/>
            <sz val="9"/>
            <color indexed="81"/>
            <rFont val="Tahoma"/>
            <family val="2"/>
          </rPr>
          <t>Savino, Mark (Research):</t>
        </r>
        <r>
          <rPr>
            <sz val="9"/>
            <color indexed="81"/>
            <rFont val="Tahoma"/>
            <family val="2"/>
          </rPr>
          <t xml:space="preserve">
Per mgmt, anticipate revenue of ~$250m initially, then year 4-5 it will go to $120-130m</t>
        </r>
      </text>
    </comment>
    <comment ref="BZ563" authorId="0">
      <text>
        <r>
          <rPr>
            <b/>
            <sz val="9"/>
            <color indexed="81"/>
            <rFont val="Tahoma"/>
            <family val="2"/>
          </rPr>
          <t>Savino, Mark (Research):</t>
        </r>
        <r>
          <rPr>
            <sz val="9"/>
            <color indexed="81"/>
            <rFont val="Tahoma"/>
            <family val="2"/>
          </rPr>
          <t xml:space="preserve">
Per mgmt, anticipate revenue of ~$250m initially, then year 4-5 it will go to $120-130m when new competition opens</t>
        </r>
      </text>
    </comment>
    <comment ref="CA563" authorId="0">
      <text>
        <r>
          <rPr>
            <b/>
            <sz val="9"/>
            <color indexed="81"/>
            <rFont val="Tahoma"/>
            <family val="2"/>
          </rPr>
          <t>Savino, Mark (Research):</t>
        </r>
        <r>
          <rPr>
            <sz val="9"/>
            <color indexed="81"/>
            <rFont val="Tahoma"/>
            <family val="2"/>
          </rPr>
          <t xml:space="preserve">
Per mgmt, anticipate revenue of ~$250m initially, then year 4-5 it will go to $120-130m when new competition opens</t>
        </r>
      </text>
    </comment>
    <comment ref="CB563" authorId="0">
      <text>
        <r>
          <rPr>
            <b/>
            <sz val="9"/>
            <color indexed="81"/>
            <rFont val="Tahoma"/>
            <family val="2"/>
          </rPr>
          <t>Savino, Mark (Research):</t>
        </r>
        <r>
          <rPr>
            <sz val="9"/>
            <color indexed="81"/>
            <rFont val="Tahoma"/>
            <family val="2"/>
          </rPr>
          <t xml:space="preserve">
Per mgmt, anticipate revenue of ~$250m initially, then year 4-5 it will go to $120-130m</t>
        </r>
      </text>
    </comment>
    <comment ref="CC563" authorId="0">
      <text>
        <r>
          <rPr>
            <b/>
            <sz val="9"/>
            <color indexed="81"/>
            <rFont val="Tahoma"/>
            <family val="2"/>
          </rPr>
          <t>Savino, Mark (Research):</t>
        </r>
        <r>
          <rPr>
            <sz val="9"/>
            <color indexed="81"/>
            <rFont val="Tahoma"/>
            <family val="2"/>
          </rPr>
          <t xml:space="preserve">
Per mgmt, anticipate revenue of ~$250m initially, then year 4-5 it will go to $120-130m</t>
        </r>
      </text>
    </comment>
    <comment ref="CD563" authorId="0">
      <text>
        <r>
          <rPr>
            <b/>
            <sz val="9"/>
            <color indexed="81"/>
            <rFont val="Tahoma"/>
            <family val="2"/>
          </rPr>
          <t>Savino, Mark (Research):</t>
        </r>
        <r>
          <rPr>
            <sz val="9"/>
            <color indexed="81"/>
            <rFont val="Tahoma"/>
            <family val="2"/>
          </rPr>
          <t xml:space="preserve">
Per mgmt, anticipate revenue of ~$250m initially, then year 4-5 it will go to $120-130m</t>
        </r>
      </text>
    </comment>
    <comment ref="CE563" authorId="0">
      <text>
        <r>
          <rPr>
            <b/>
            <sz val="9"/>
            <color indexed="81"/>
            <rFont val="Tahoma"/>
            <family val="2"/>
          </rPr>
          <t>Savino, Mark (Research):</t>
        </r>
        <r>
          <rPr>
            <sz val="9"/>
            <color indexed="81"/>
            <rFont val="Tahoma"/>
            <family val="2"/>
          </rPr>
          <t xml:space="preserve">
Per mgmt, anticipate revenue of ~$250m initially, then year 4-5 it will go to $120-130m</t>
        </r>
      </text>
    </comment>
    <comment ref="CF563" authorId="0">
      <text>
        <r>
          <rPr>
            <b/>
            <sz val="9"/>
            <color indexed="81"/>
            <rFont val="Tahoma"/>
            <family val="2"/>
          </rPr>
          <t>Savino, Mark (Research):</t>
        </r>
        <r>
          <rPr>
            <sz val="9"/>
            <color indexed="81"/>
            <rFont val="Tahoma"/>
            <family val="2"/>
          </rPr>
          <t xml:space="preserve">
Per mgmt, anticipate revenue of ~$250m initially, then year 4-5 it will go to $120-130m</t>
        </r>
      </text>
    </comment>
    <comment ref="BQ564" authorId="0">
      <text>
        <r>
          <rPr>
            <b/>
            <sz val="9"/>
            <color indexed="81"/>
            <rFont val="Tahoma"/>
            <family val="2"/>
          </rPr>
          <t>Savino, Mark (Research):</t>
        </r>
        <r>
          <rPr>
            <sz val="9"/>
            <color indexed="81"/>
            <rFont val="Tahoma"/>
            <family val="2"/>
          </rPr>
          <t xml:space="preserve">
Per 2Q call, revenue up nearly 10%</t>
        </r>
      </text>
    </comment>
    <comment ref="BG566" authorId="0">
      <text>
        <r>
          <rPr>
            <b/>
            <sz val="9"/>
            <color indexed="81"/>
            <rFont val="Tahoma"/>
            <family val="2"/>
          </rPr>
          <t>Savino, Mark (Research):</t>
        </r>
        <r>
          <rPr>
            <sz val="9"/>
            <color indexed="81"/>
            <rFont val="Tahoma"/>
            <family val="2"/>
          </rPr>
          <t xml:space="preserve">
$6.4m of pre-opening expenses in the qtr</t>
        </r>
      </text>
    </comment>
    <comment ref="BG567" authorId="0">
      <text>
        <r>
          <rPr>
            <b/>
            <sz val="9"/>
            <color indexed="81"/>
            <rFont val="Tahoma"/>
            <family val="2"/>
          </rPr>
          <t>Savino, Mark (Research):</t>
        </r>
        <r>
          <rPr>
            <sz val="9"/>
            <color indexed="81"/>
            <rFont val="Tahoma"/>
            <family val="2"/>
          </rPr>
          <t xml:space="preserve">
Assume higher to account for pre-opening costs</t>
        </r>
      </text>
    </comment>
    <comment ref="BO567" authorId="0">
      <text>
        <r>
          <rPr>
            <b/>
            <sz val="9"/>
            <color indexed="81"/>
            <rFont val="Tahoma"/>
            <family val="2"/>
          </rPr>
          <t>Savino, Mark (Research):</t>
        </r>
        <r>
          <rPr>
            <sz val="9"/>
            <color indexed="81"/>
            <rFont val="Tahoma"/>
            <family val="2"/>
          </rPr>
          <t xml:space="preserve">
Per IR, properties become more lean after first year as cost structure is rationalized</t>
        </r>
      </text>
    </comment>
    <comment ref="BW567" authorId="8">
      <text>
        <r>
          <rPr>
            <b/>
            <sz val="9"/>
            <color indexed="81"/>
            <rFont val="Tahoma"/>
            <family val="2"/>
          </rPr>
          <t>Allen, Thomas (Research):</t>
        </r>
        <r>
          <rPr>
            <sz val="9"/>
            <color indexed="81"/>
            <rFont val="Tahoma"/>
            <family val="2"/>
          </rPr>
          <t xml:space="preserve">
Comping margin improvement initiative spend</t>
        </r>
      </text>
    </comment>
    <comment ref="BJ569" authorId="0">
      <text>
        <r>
          <rPr>
            <b/>
            <sz val="9"/>
            <color indexed="81"/>
            <rFont val="Tahoma"/>
            <family val="2"/>
          </rPr>
          <t>Savino, Mark (Research):</t>
        </r>
        <r>
          <rPr>
            <sz val="9"/>
            <color indexed="81"/>
            <rFont val="Tahoma"/>
            <family val="2"/>
          </rPr>
          <t xml:space="preserve">
Slot tax 49%</t>
        </r>
      </text>
    </comment>
    <comment ref="BM573" authorId="0">
      <text>
        <r>
          <rPr>
            <b/>
            <sz val="9"/>
            <color indexed="81"/>
            <rFont val="Tahoma"/>
            <family val="2"/>
          </rPr>
          <t>Savino, Mark (Research):</t>
        </r>
        <r>
          <rPr>
            <sz val="9"/>
            <color indexed="81"/>
            <rFont val="Tahoma"/>
            <family val="2"/>
          </rPr>
          <t xml:space="preserve">
3Q16 call: EBITDA flat to up slightly y/y</t>
        </r>
      </text>
    </comment>
    <comment ref="BK574" authorId="0">
      <text>
        <r>
          <rPr>
            <b/>
            <sz val="9"/>
            <color indexed="81"/>
            <rFont val="Tahoma"/>
            <family val="2"/>
          </rPr>
          <t>Savino, Mark (Research):</t>
        </r>
        <r>
          <rPr>
            <sz val="9"/>
            <color indexed="81"/>
            <rFont val="Tahoma"/>
            <family val="2"/>
          </rPr>
          <t xml:space="preserve">
1Q call: 1Q16 margins stronger than 4Q15 and should improve sequentially in 2Q</t>
        </r>
      </text>
    </comment>
    <comment ref="BL574" authorId="0">
      <text>
        <r>
          <rPr>
            <b/>
            <sz val="9"/>
            <color indexed="81"/>
            <rFont val="Tahoma"/>
            <family val="2"/>
          </rPr>
          <t>Savino, Mark (Research):</t>
        </r>
        <r>
          <rPr>
            <sz val="9"/>
            <color indexed="81"/>
            <rFont val="Tahoma"/>
            <family val="2"/>
          </rPr>
          <t xml:space="preserve">
1Q call: 1Q16 margins stronger than 4Q15 and should improve sequentially in 2Q</t>
        </r>
      </text>
    </comment>
    <comment ref="BM574" authorId="0">
      <text>
        <r>
          <rPr>
            <b/>
            <sz val="9"/>
            <color indexed="81"/>
            <rFont val="Tahoma"/>
            <family val="2"/>
          </rPr>
          <t>Savino, Mark (Research):</t>
        </r>
        <r>
          <rPr>
            <sz val="9"/>
            <color indexed="81"/>
            <rFont val="Tahoma"/>
            <family val="2"/>
          </rPr>
          <t xml:space="preserve">
3Q16 call: Margins improved over 300bps</t>
        </r>
      </text>
    </comment>
    <comment ref="BO574" authorId="0">
      <text>
        <r>
          <rPr>
            <b/>
            <sz val="9"/>
            <color indexed="81"/>
            <rFont val="Tahoma"/>
            <family val="2"/>
          </rPr>
          <t>Savino, Mark (Research):</t>
        </r>
        <r>
          <rPr>
            <sz val="9"/>
            <color indexed="81"/>
            <rFont val="Tahoma"/>
            <family val="2"/>
          </rPr>
          <t xml:space="preserve">
Per IR, properties become more lean after first year as cost structure is rationalized
Per 4Q16 call, margins +500bps y/y</t>
        </r>
      </text>
    </comment>
    <comment ref="BQ574" authorId="0">
      <text>
        <r>
          <rPr>
            <b/>
            <sz val="9"/>
            <color indexed="81"/>
            <rFont val="Tahoma"/>
            <family val="2"/>
          </rPr>
          <t>Savino, Mark (Research):</t>
        </r>
        <r>
          <rPr>
            <sz val="9"/>
            <color indexed="81"/>
            <rFont val="Tahoma"/>
            <family val="2"/>
          </rPr>
          <t xml:space="preserve">
Per 2Q call, margins up 100bps y/y</t>
        </r>
      </text>
    </comment>
    <comment ref="BH576" authorId="0">
      <text>
        <r>
          <rPr>
            <b/>
            <sz val="9"/>
            <color indexed="81"/>
            <rFont val="Tahoma"/>
            <family val="2"/>
          </rPr>
          <t>Savino, Mark (Research):</t>
        </r>
        <r>
          <rPr>
            <sz val="9"/>
            <color indexed="81"/>
            <rFont val="Tahoma"/>
            <family val="2"/>
          </rPr>
          <t xml:space="preserve">
$250m project cost depreciated over 30 years</t>
        </r>
      </text>
    </comment>
    <comment ref="BJ576" authorId="0">
      <text>
        <r>
          <rPr>
            <b/>
            <sz val="9"/>
            <color indexed="81"/>
            <rFont val="Tahoma"/>
            <family val="2"/>
          </rPr>
          <t>Savino, Mark (Research):</t>
        </r>
        <r>
          <rPr>
            <sz val="9"/>
            <color indexed="81"/>
            <rFont val="Tahoma"/>
            <family val="2"/>
          </rPr>
          <t xml:space="preserve">
Assume $250m total investment depreciated over 30 years</t>
        </r>
      </text>
    </comment>
    <comment ref="A615" authorId="13">
      <text>
        <r>
          <rPr>
            <b/>
            <sz val="8"/>
            <color indexed="81"/>
            <rFont val="Tahoma"/>
            <family val="2"/>
          </rPr>
          <t>urbankev:</t>
        </r>
        <r>
          <rPr>
            <sz val="8"/>
            <color indexed="81"/>
            <rFont val="Tahoma"/>
            <family val="2"/>
          </rPr>
          <t xml:space="preserve">
Assume net revenue approximates casino revenue</t>
        </r>
      </text>
    </comment>
    <comment ref="AJ619" authorId="20">
      <text>
        <r>
          <rPr>
            <b/>
            <sz val="8"/>
            <color indexed="81"/>
            <rFont val="Tahoma"/>
            <family val="2"/>
          </rPr>
          <t>AM: 10/21/10:</t>
        </r>
        <r>
          <rPr>
            <sz val="8"/>
            <color indexed="81"/>
            <rFont val="Tahoma"/>
            <family val="2"/>
          </rPr>
          <t xml:space="preserve">
Rise in oil prices a benefit to main feeder mkts</t>
        </r>
      </text>
    </comment>
    <comment ref="BC619" authorId="0">
      <text>
        <r>
          <rPr>
            <b/>
            <sz val="9"/>
            <color indexed="81"/>
            <rFont val="Tahoma"/>
            <family val="2"/>
          </rPr>
          <t>Savino, Mark (Research):</t>
        </r>
        <r>
          <rPr>
            <sz val="9"/>
            <color indexed="81"/>
            <rFont val="Tahoma"/>
            <family val="2"/>
          </rPr>
          <t xml:space="preserve">
New 154-room hotel opened on Aug 28. Per 3Q call, hotel customers spending 50% more</t>
        </r>
      </text>
    </comment>
    <comment ref="BF619" authorId="0">
      <text>
        <r>
          <rPr>
            <b/>
            <sz val="9"/>
            <color indexed="81"/>
            <rFont val="Tahoma"/>
            <family val="2"/>
          </rPr>
          <t>Savino, Mark (Research):</t>
        </r>
        <r>
          <rPr>
            <sz val="9"/>
            <color indexed="81"/>
            <rFont val="Tahoma"/>
            <family val="2"/>
          </rPr>
          <t xml:space="preserve">
Per 4Q14 call: Hotel performing well but customers being impacted by low oil prices given dependence on energy industry</t>
        </r>
      </text>
    </comment>
    <comment ref="BH619" authorId="0">
      <text>
        <r>
          <rPr>
            <b/>
            <sz val="9"/>
            <color indexed="81"/>
            <rFont val="Tahoma"/>
            <family val="2"/>
          </rPr>
          <t>Savino, Mark (Research):</t>
        </r>
        <r>
          <rPr>
            <sz val="9"/>
            <color indexed="81"/>
            <rFont val="Tahoma"/>
            <family val="2"/>
          </rPr>
          <t xml:space="preserve">
Impact of oil market weakness</t>
        </r>
      </text>
    </comment>
    <comment ref="BI619" authorId="0">
      <text>
        <r>
          <rPr>
            <b/>
            <sz val="9"/>
            <color indexed="81"/>
            <rFont val="Tahoma"/>
            <family val="2"/>
          </rPr>
          <t>Savino, Mark (Research):</t>
        </r>
        <r>
          <rPr>
            <sz val="9"/>
            <color indexed="81"/>
            <rFont val="Tahoma"/>
            <family val="2"/>
          </rPr>
          <t xml:space="preserve">
3Q16 call: mid-teens declines started in November last year</t>
        </r>
      </text>
    </comment>
    <comment ref="BM619" authorId="0">
      <text>
        <r>
          <rPr>
            <b/>
            <sz val="9"/>
            <color indexed="81"/>
            <rFont val="Tahoma"/>
            <family val="2"/>
          </rPr>
          <t>Savino, Mark (Research):</t>
        </r>
        <r>
          <rPr>
            <sz val="9"/>
            <color indexed="81"/>
            <rFont val="Tahoma"/>
            <family val="2"/>
          </rPr>
          <t xml:space="preserve">
3Q16 call: Steep y/y declines of 20% in 3Q driven by unemployment rate going from 3% to &gt;10% as a result of oil markets</t>
        </r>
      </text>
    </comment>
    <comment ref="BN619" authorId="0">
      <text>
        <r>
          <rPr>
            <b/>
            <sz val="9"/>
            <color indexed="81"/>
            <rFont val="Tahoma"/>
            <family val="2"/>
          </rPr>
          <t>Savino, Mark (Research):</t>
        </r>
        <r>
          <rPr>
            <sz val="9"/>
            <color indexed="81"/>
            <rFont val="Tahoma"/>
            <family val="2"/>
          </rPr>
          <t xml:space="preserve">
Lapping impact from oil market in November last year, but assume weak environment continues
Started to see stabilization in Nov / Dec, per 4Q16 call</t>
        </r>
      </text>
    </comment>
    <comment ref="BW623" authorId="8">
      <text>
        <r>
          <rPr>
            <b/>
            <sz val="9"/>
            <color indexed="81"/>
            <rFont val="Tahoma"/>
            <family val="2"/>
          </rPr>
          <t>Allen, Thomas (Research):</t>
        </r>
        <r>
          <rPr>
            <sz val="9"/>
            <color indexed="81"/>
            <rFont val="Tahoma"/>
            <family val="2"/>
          </rPr>
          <t xml:space="preserve">
Comping margin improvement initiative spend</t>
        </r>
      </text>
    </comment>
    <comment ref="BZ623" authorId="0">
      <text>
        <r>
          <rPr>
            <b/>
            <sz val="9"/>
            <color indexed="81"/>
            <rFont val="Tahoma"/>
            <family val="2"/>
          </rPr>
          <t>Savino, Mark (Research):</t>
        </r>
        <r>
          <rPr>
            <sz val="9"/>
            <color indexed="81"/>
            <rFont val="Tahoma"/>
            <family val="2"/>
          </rPr>
          <t xml:space="preserve">
Synergies as a result of PENN/PNK merger</t>
        </r>
      </text>
    </comment>
    <comment ref="S625" authorId="25">
      <text>
        <r>
          <rPr>
            <b/>
            <sz val="10"/>
            <color indexed="81"/>
            <rFont val="Tahoma"/>
            <family val="2"/>
          </rPr>
          <t>Thallen:</t>
        </r>
        <r>
          <rPr>
            <sz val="10"/>
            <color indexed="81"/>
            <rFont val="Tahoma"/>
            <family val="2"/>
          </rPr>
          <t xml:space="preserve">
26% gaming tax, 20% Horseman's Trust contribution (not considered a tax by the state), and .25% compulsive gambling fund contribution</t>
        </r>
      </text>
    </comment>
    <comment ref="W625" authorId="25">
      <text>
        <r>
          <rPr>
            <b/>
            <sz val="10"/>
            <color indexed="81"/>
            <rFont val="Tahoma"/>
            <family val="2"/>
          </rPr>
          <t>Thallen:</t>
        </r>
        <r>
          <rPr>
            <sz val="10"/>
            <color indexed="81"/>
            <rFont val="Tahoma"/>
            <family val="2"/>
          </rPr>
          <t xml:space="preserve">
Hotel becomes part of revenue stream, gaming still taxed at 46.5%</t>
        </r>
      </text>
    </comment>
    <comment ref="BQ640" authorId="0">
      <text>
        <r>
          <rPr>
            <b/>
            <sz val="9"/>
            <color indexed="81"/>
            <rFont val="Tahoma"/>
            <family val="2"/>
          </rPr>
          <t>Savino, Mark (Research):</t>
        </r>
        <r>
          <rPr>
            <sz val="9"/>
            <color indexed="81"/>
            <rFont val="Tahoma"/>
            <family val="2"/>
          </rPr>
          <t xml:space="preserve">
Per 2Q call, property continues to grow y/y</t>
        </r>
      </text>
    </comment>
    <comment ref="AQ641" authorId="17">
      <text>
        <r>
          <rPr>
            <b/>
            <sz val="8"/>
            <color indexed="81"/>
            <rFont val="Tahoma"/>
            <family val="2"/>
          </rPr>
          <t>thallen:</t>
        </r>
        <r>
          <rPr>
            <sz val="8"/>
            <color indexed="81"/>
            <rFont val="Tahoma"/>
            <family val="2"/>
          </rPr>
          <t xml:space="preserve">
LV Locals market up 4%, M Resort taking share</t>
        </r>
      </text>
    </comment>
    <comment ref="AS641" authorId="17">
      <text>
        <r>
          <rPr>
            <b/>
            <sz val="8"/>
            <color indexed="81"/>
            <rFont val="Tahoma"/>
            <family val="2"/>
          </rPr>
          <t>thallen:</t>
        </r>
        <r>
          <rPr>
            <sz val="8"/>
            <color indexed="81"/>
            <rFont val="Tahoma"/>
            <family val="2"/>
          </rPr>
          <t xml:space="preserve">
Tough summer in the LV locals market</t>
        </r>
      </text>
    </comment>
    <comment ref="AW641" authorId="17">
      <text>
        <r>
          <rPr>
            <b/>
            <sz val="8"/>
            <color indexed="81"/>
            <rFont val="Tahoma"/>
            <family val="2"/>
          </rPr>
          <t>thallen:</t>
        </r>
        <r>
          <rPr>
            <sz val="8"/>
            <color indexed="81"/>
            <rFont val="Tahoma"/>
            <family val="2"/>
          </rPr>
          <t xml:space="preserve">
Revenue flattish, per mgmt</t>
        </r>
      </text>
    </comment>
    <comment ref="BA641" authorId="8">
      <text>
        <r>
          <rPr>
            <b/>
            <sz val="9"/>
            <color indexed="81"/>
            <rFont val="Tahoma"/>
            <family val="2"/>
          </rPr>
          <t>Allen, Thomas (Research):</t>
        </r>
        <r>
          <rPr>
            <sz val="9"/>
            <color indexed="81"/>
            <rFont val="Tahoma"/>
            <family val="2"/>
          </rPr>
          <t xml:space="preserve">
Strong Vegas convention calendar in 1Q (Con/Agg)</t>
        </r>
      </text>
    </comment>
    <comment ref="BB641" authorId="0">
      <text>
        <r>
          <rPr>
            <b/>
            <sz val="9"/>
            <color indexed="81"/>
            <rFont val="Tahoma"/>
            <family val="2"/>
          </rPr>
          <t>Savino, Mark (Research):</t>
        </r>
        <r>
          <rPr>
            <sz val="9"/>
            <color indexed="81"/>
            <rFont val="Tahoma"/>
            <family val="2"/>
          </rPr>
          <t xml:space="preserve">
Locals revenue -5% QTD through May</t>
        </r>
      </text>
    </comment>
    <comment ref="BC641" authorId="0">
      <text>
        <r>
          <rPr>
            <b/>
            <sz val="9"/>
            <color indexed="81"/>
            <rFont val="Tahoma"/>
            <family val="2"/>
          </rPr>
          <t>Savino, Mark (Research):</t>
        </r>
        <r>
          <rPr>
            <sz val="9"/>
            <color indexed="81"/>
            <rFont val="Tahoma"/>
            <family val="2"/>
          </rPr>
          <t xml:space="preserve">
LV Locals rev down 4% QTD through August</t>
        </r>
      </text>
    </comment>
    <comment ref="BD641" authorId="0">
      <text>
        <r>
          <rPr>
            <b/>
            <sz val="9"/>
            <color indexed="81"/>
            <rFont val="Tahoma"/>
            <family val="2"/>
          </rPr>
          <t>Savino, Mark (Research):</t>
        </r>
        <r>
          <rPr>
            <sz val="9"/>
            <color indexed="81"/>
            <rFont val="Tahoma"/>
            <family val="2"/>
          </rPr>
          <t xml:space="preserve">
LV Locals rev flat QTD through Nov
Mgmt highlighted strength of property on 4Q14 call</t>
        </r>
      </text>
    </comment>
    <comment ref="BS641" authorId="0">
      <text>
        <r>
          <rPr>
            <b/>
            <sz val="9"/>
            <color indexed="81"/>
            <rFont val="Tahoma"/>
            <family val="2"/>
          </rPr>
          <t>Savino, Mark (Research):</t>
        </r>
        <r>
          <rPr>
            <sz val="9"/>
            <color indexed="81"/>
            <rFont val="Tahoma"/>
            <family val="2"/>
          </rPr>
          <t xml:space="preserve">
Per 3Q17 call, 4Q a little bit challenged because of Harvest Festival shooting on 10/1</t>
        </r>
      </text>
    </comment>
    <comment ref="AU645" authorId="23">
      <text>
        <r>
          <rPr>
            <b/>
            <sz val="8"/>
            <color indexed="81"/>
            <rFont val="Tahoma"/>
            <family val="2"/>
          </rPr>
          <t>AM: 7/21/11:</t>
        </r>
        <r>
          <rPr>
            <sz val="8"/>
            <color indexed="81"/>
            <rFont val="Tahoma"/>
            <family val="2"/>
          </rPr>
          <t xml:space="preserve">
Assume cont expense cuts </t>
        </r>
      </text>
    </comment>
    <comment ref="AV645" authorId="17">
      <text>
        <r>
          <rPr>
            <b/>
            <sz val="8"/>
            <color indexed="81"/>
            <rFont val="Tahoma"/>
            <family val="2"/>
          </rPr>
          <t>thallen:</t>
        </r>
        <r>
          <rPr>
            <sz val="8"/>
            <color indexed="81"/>
            <rFont val="Tahoma"/>
            <family val="2"/>
          </rPr>
          <t xml:space="preserve">
Soft trends in Vegas in 4Q holds back opex spending</t>
        </r>
      </text>
    </comment>
    <comment ref="AW645" authorId="17">
      <text>
        <r>
          <rPr>
            <b/>
            <sz val="8"/>
            <color indexed="81"/>
            <rFont val="Tahoma"/>
            <family val="2"/>
          </rPr>
          <t>thallen:</t>
        </r>
        <r>
          <rPr>
            <sz val="8"/>
            <color indexed="81"/>
            <rFont val="Tahoma"/>
            <family val="2"/>
          </rPr>
          <t xml:space="preserve">
Mgmt continue doing a good job on costs controls</t>
        </r>
      </text>
    </comment>
    <comment ref="AX645" authorId="17">
      <text>
        <r>
          <rPr>
            <b/>
            <sz val="8"/>
            <color indexed="81"/>
            <rFont val="Tahoma"/>
            <family val="2"/>
          </rPr>
          <t>thallen:</t>
        </r>
        <r>
          <rPr>
            <sz val="8"/>
            <color indexed="81"/>
            <rFont val="Tahoma"/>
            <family val="2"/>
          </rPr>
          <t xml:space="preserve">
Mgmt continue doing a good job on costs controls</t>
        </r>
      </text>
    </comment>
    <comment ref="AY645" authorId="17">
      <text>
        <r>
          <rPr>
            <b/>
            <sz val="8"/>
            <color indexed="81"/>
            <rFont val="Tahoma"/>
            <family val="2"/>
          </rPr>
          <t>thallen:</t>
        </r>
        <r>
          <rPr>
            <sz val="8"/>
            <color indexed="81"/>
            <rFont val="Tahoma"/>
            <family val="2"/>
          </rPr>
          <t xml:space="preserve">
Mgmt continue doing a good job on costs controls</t>
        </r>
      </text>
    </comment>
    <comment ref="BW645" authorId="8">
      <text>
        <r>
          <rPr>
            <b/>
            <sz val="9"/>
            <color indexed="81"/>
            <rFont val="Tahoma"/>
            <family val="2"/>
          </rPr>
          <t>Allen, Thomas (Research):</t>
        </r>
        <r>
          <rPr>
            <sz val="9"/>
            <color indexed="81"/>
            <rFont val="Tahoma"/>
            <family val="2"/>
          </rPr>
          <t xml:space="preserve">
Comping margin improvement initiative spend</t>
        </r>
      </text>
    </comment>
    <comment ref="BZ645" authorId="0">
      <text>
        <r>
          <rPr>
            <b/>
            <sz val="9"/>
            <color indexed="81"/>
            <rFont val="Tahoma"/>
            <family val="2"/>
          </rPr>
          <t>Savino, Mark (Research):</t>
        </r>
        <r>
          <rPr>
            <sz val="9"/>
            <color indexed="81"/>
            <rFont val="Tahoma"/>
            <family val="2"/>
          </rPr>
          <t xml:space="preserve">
Synergies as a result of PENN/PNK merger</t>
        </r>
      </text>
    </comment>
    <comment ref="AZ647" authorId="0">
      <text>
        <r>
          <rPr>
            <b/>
            <sz val="9"/>
            <color indexed="81"/>
            <rFont val="Tahoma"/>
            <family val="2"/>
          </rPr>
          <t>Savino, Mark (Research):</t>
        </r>
        <r>
          <rPr>
            <sz val="9"/>
            <color indexed="81"/>
            <rFont val="Tahoma"/>
            <family val="2"/>
          </rPr>
          <t xml:space="preserve">
1/16/14 mgmt meeting: Property was doing $12-13m of EBITDA when they bought it, now doing more than double that</t>
        </r>
      </text>
    </comment>
    <comment ref="BM647" authorId="0">
      <text>
        <r>
          <rPr>
            <b/>
            <sz val="9"/>
            <color indexed="81"/>
            <rFont val="Tahoma"/>
            <family val="2"/>
          </rPr>
          <t>Savino, Mark (Research):</t>
        </r>
        <r>
          <rPr>
            <sz val="9"/>
            <color indexed="81"/>
            <rFont val="Tahoma"/>
            <family val="2"/>
          </rPr>
          <t xml:space="preserve">
3Q16 call: Record 3Q EBITDA and margin</t>
        </r>
      </text>
    </comment>
    <comment ref="BO647" authorId="8">
      <text>
        <r>
          <rPr>
            <b/>
            <sz val="9"/>
            <color indexed="81"/>
            <rFont val="Tahoma"/>
            <family val="2"/>
          </rPr>
          <t>Allen, Thomas (Research):</t>
        </r>
        <r>
          <rPr>
            <sz val="9"/>
            <color indexed="81"/>
            <rFont val="Tahoma"/>
            <family val="2"/>
          </rPr>
          <t xml:space="preserve">
Per 4Q16 call, record EBITDA and margins</t>
        </r>
      </text>
    </comment>
    <comment ref="BO648" authorId="8">
      <text>
        <r>
          <rPr>
            <b/>
            <sz val="9"/>
            <color indexed="81"/>
            <rFont val="Tahoma"/>
            <family val="2"/>
          </rPr>
          <t>Allen, Thomas (Research):</t>
        </r>
        <r>
          <rPr>
            <sz val="9"/>
            <color indexed="81"/>
            <rFont val="Tahoma"/>
            <family val="2"/>
          </rPr>
          <t xml:space="preserve">
Per 4Q16 call, record EBITDA and margins</t>
        </r>
      </text>
    </comment>
    <comment ref="BK662" authorId="0">
      <text>
        <r>
          <rPr>
            <b/>
            <sz val="9"/>
            <color indexed="81"/>
            <rFont val="Tahoma"/>
            <family val="2"/>
          </rPr>
          <t>Savino, Mark (Research):</t>
        </r>
        <r>
          <rPr>
            <sz val="9"/>
            <color indexed="81"/>
            <rFont val="Tahoma"/>
            <family val="2"/>
          </rPr>
          <t xml:space="preserve">
1Q16 call: Gaming volume anemic due to floor reconfiguration</t>
        </r>
      </text>
    </comment>
    <comment ref="BM662" authorId="0">
      <text>
        <r>
          <rPr>
            <b/>
            <sz val="9"/>
            <color indexed="81"/>
            <rFont val="Tahoma"/>
            <family val="2"/>
          </rPr>
          <t>Savino, Mark (Research):</t>
        </r>
        <r>
          <rPr>
            <sz val="9"/>
            <color indexed="81"/>
            <rFont val="Tahoma"/>
            <family val="2"/>
          </rPr>
          <t xml:space="preserve">
Rewards program in place by Spring 2016</t>
        </r>
      </text>
    </comment>
    <comment ref="BQ662" authorId="0">
      <text>
        <r>
          <rPr>
            <b/>
            <sz val="9"/>
            <color indexed="81"/>
            <rFont val="Tahoma"/>
            <family val="2"/>
          </rPr>
          <t>Savino, Mark (Research):</t>
        </r>
        <r>
          <rPr>
            <sz val="9"/>
            <color indexed="81"/>
            <rFont val="Tahoma"/>
            <family val="2"/>
          </rPr>
          <t xml:space="preserve">
Per 2Q call: difficult qtr with construction disruption, including bridge to MGM</t>
        </r>
      </text>
    </comment>
    <comment ref="BR662" authorId="0">
      <text>
        <r>
          <rPr>
            <b/>
            <sz val="9"/>
            <color indexed="81"/>
            <rFont val="Tahoma"/>
            <family val="2"/>
          </rPr>
          <t>Savino, Mark (Research):</t>
        </r>
        <r>
          <rPr>
            <sz val="9"/>
            <color indexed="81"/>
            <rFont val="Tahoma"/>
            <family val="2"/>
          </rPr>
          <t xml:space="preserve">
Per 2Q call: visitation / gaming volumes are up 20% sequentially since construction ended</t>
        </r>
      </text>
    </comment>
    <comment ref="BS662" authorId="0">
      <text>
        <r>
          <rPr>
            <b/>
            <sz val="9"/>
            <color indexed="81"/>
            <rFont val="Tahoma"/>
            <family val="2"/>
          </rPr>
          <t>Savino, Mark (Research):</t>
        </r>
        <r>
          <rPr>
            <sz val="9"/>
            <color indexed="81"/>
            <rFont val="Tahoma"/>
            <family val="2"/>
          </rPr>
          <t xml:space="preserve">
Impact of Harvest Festival Shooting on 10/1. Tropicana was closed except for hotel guests for 2 days, though mgmt said casino customers appear to be holding up well</t>
        </r>
      </text>
    </comment>
    <comment ref="BT662" authorId="0">
      <text>
        <r>
          <rPr>
            <b/>
            <sz val="9"/>
            <color indexed="81"/>
            <rFont val="Tahoma"/>
            <family val="2"/>
          </rPr>
          <t>Savino, Mark (Research):</t>
        </r>
        <r>
          <rPr>
            <sz val="9"/>
            <color indexed="81"/>
            <rFont val="Tahoma"/>
            <family val="2"/>
          </rPr>
          <t xml:space="preserve">
Impact of PENN database, plus opening of MGM arena in mid-2016</t>
        </r>
      </text>
    </comment>
    <comment ref="BU662" authorId="0">
      <text>
        <r>
          <rPr>
            <b/>
            <sz val="9"/>
            <color indexed="81"/>
            <rFont val="Tahoma"/>
            <family val="2"/>
          </rPr>
          <t>Savino, Mark (Research):</t>
        </r>
        <r>
          <rPr>
            <sz val="9"/>
            <color indexed="81"/>
            <rFont val="Tahoma"/>
            <family val="2"/>
          </rPr>
          <t xml:space="preserve">
Residual drag from Harvest Festival Shooting</t>
        </r>
      </text>
    </comment>
    <comment ref="BX662" authorId="0">
      <text>
        <r>
          <rPr>
            <b/>
            <sz val="9"/>
            <color indexed="81"/>
            <rFont val="Tahoma"/>
            <family val="2"/>
          </rPr>
          <t>Savino, Mark (Research):</t>
        </r>
        <r>
          <rPr>
            <sz val="9"/>
            <color indexed="81"/>
            <rFont val="Tahoma"/>
            <family val="2"/>
          </rPr>
          <t xml:space="preserve">
Lapping impact of Harvest Festival Shooting</t>
        </r>
      </text>
    </comment>
    <comment ref="BK665" authorId="0">
      <text>
        <r>
          <rPr>
            <b/>
            <sz val="9"/>
            <color indexed="81"/>
            <rFont val="Tahoma"/>
            <family val="2"/>
          </rPr>
          <t>Savino, Mark (Research):</t>
        </r>
        <r>
          <rPr>
            <sz val="9"/>
            <color indexed="81"/>
            <rFont val="Tahoma"/>
            <family val="2"/>
          </rPr>
          <t xml:space="preserve">
1Q call: growth over 10%</t>
        </r>
      </text>
    </comment>
    <comment ref="BP665" authorId="0">
      <text>
        <r>
          <rPr>
            <b/>
            <sz val="9"/>
            <color indexed="81"/>
            <rFont val="Tahoma"/>
            <family val="2"/>
          </rPr>
          <t>Savino, Mark (Research):</t>
        </r>
        <r>
          <rPr>
            <sz val="9"/>
            <color indexed="81"/>
            <rFont val="Tahoma"/>
            <family val="2"/>
          </rPr>
          <t xml:space="preserve">
Benefit of ConAgg in March</t>
        </r>
      </text>
    </comment>
    <comment ref="BS665" authorId="0">
      <text>
        <r>
          <rPr>
            <b/>
            <sz val="9"/>
            <color indexed="81"/>
            <rFont val="Tahoma"/>
            <family val="2"/>
          </rPr>
          <t>Savino, Mark (Research):</t>
        </r>
        <r>
          <rPr>
            <sz val="9"/>
            <color indexed="81"/>
            <rFont val="Tahoma"/>
            <family val="2"/>
          </rPr>
          <t xml:space="preserve">
Per 3Q17 call, first 2 weeks of October challenging with cancellations up 35% y/y, 80% of which were focused on Oct/Nov. No group cancellations and business slowly recovering. Mostly leisure/OTA customers
Impact of Harvest Festival Shooting on 10/1. Tropicana was closed except for hotel guests for 2 days</t>
        </r>
      </text>
    </comment>
    <comment ref="BT665" authorId="0">
      <text>
        <r>
          <rPr>
            <b/>
            <sz val="9"/>
            <color indexed="81"/>
            <rFont val="Tahoma"/>
            <family val="2"/>
          </rPr>
          <t>Savino, Mark (Research):</t>
        </r>
        <r>
          <rPr>
            <sz val="9"/>
            <color indexed="81"/>
            <rFont val="Tahoma"/>
            <family val="2"/>
          </rPr>
          <t xml:space="preserve">
Pricing power driven by opening of MGM arena nearby</t>
        </r>
      </text>
    </comment>
    <comment ref="BU665" authorId="0">
      <text>
        <r>
          <rPr>
            <b/>
            <sz val="9"/>
            <color indexed="81"/>
            <rFont val="Tahoma"/>
            <family val="2"/>
          </rPr>
          <t>Savino, Mark (Research):</t>
        </r>
        <r>
          <rPr>
            <sz val="9"/>
            <color indexed="81"/>
            <rFont val="Tahoma"/>
            <family val="2"/>
          </rPr>
          <t xml:space="preserve">
Residual drag from Harvest Festival Shooting</t>
        </r>
      </text>
    </comment>
    <comment ref="BX665" authorId="0">
      <text>
        <r>
          <rPr>
            <b/>
            <sz val="9"/>
            <color indexed="81"/>
            <rFont val="Tahoma"/>
            <family val="2"/>
          </rPr>
          <t>Savino, Mark (Research):</t>
        </r>
        <r>
          <rPr>
            <sz val="9"/>
            <color indexed="81"/>
            <rFont val="Tahoma"/>
            <family val="2"/>
          </rPr>
          <t xml:space="preserve">
Lapping impact of Harvest Festival Shooting</t>
        </r>
      </text>
    </comment>
    <comment ref="BR667" authorId="0">
      <text>
        <r>
          <rPr>
            <b/>
            <sz val="9"/>
            <color indexed="81"/>
            <rFont val="Tahoma"/>
            <family val="2"/>
          </rPr>
          <t>Savino, Mark (Research):</t>
        </r>
        <r>
          <rPr>
            <sz val="9"/>
            <color indexed="81"/>
            <rFont val="Tahoma"/>
            <family val="2"/>
          </rPr>
          <t xml:space="preserve">
Robert Irvine restaurant opening in 3Q</t>
        </r>
      </text>
    </comment>
    <comment ref="BI668" authorId="0">
      <text>
        <r>
          <rPr>
            <b/>
            <sz val="9"/>
            <color indexed="81"/>
            <rFont val="Tahoma"/>
            <family val="2"/>
          </rPr>
          <t>Savino, Mark (Research):</t>
        </r>
        <r>
          <rPr>
            <sz val="9"/>
            <color indexed="81"/>
            <rFont val="Tahoma"/>
            <family val="2"/>
          </rPr>
          <t xml:space="preserve">
Expect some disruption as new F&amp;B is put into place</t>
        </r>
      </text>
    </comment>
    <comment ref="BK668" authorId="0">
      <text>
        <r>
          <rPr>
            <b/>
            <sz val="9"/>
            <color indexed="81"/>
            <rFont val="Tahoma"/>
            <family val="2"/>
          </rPr>
          <t>Savino, Mark (Research):</t>
        </r>
        <r>
          <rPr>
            <sz val="9"/>
            <color indexed="81"/>
            <rFont val="Tahoma"/>
            <family val="2"/>
          </rPr>
          <t xml:space="preserve">
Expect some disruption as new F&amp;B is put into place</t>
        </r>
      </text>
    </comment>
    <comment ref="BM668" authorId="0">
      <text>
        <r>
          <rPr>
            <b/>
            <sz val="9"/>
            <color indexed="81"/>
            <rFont val="Tahoma"/>
            <family val="2"/>
          </rPr>
          <t>Savino, Mark (Research):</t>
        </r>
        <r>
          <rPr>
            <sz val="9"/>
            <color indexed="81"/>
            <rFont val="Tahoma"/>
            <family val="2"/>
          </rPr>
          <t xml:space="preserve">
New F&amp;B in by Spring 2016 when loyalty program comes on line</t>
        </r>
      </text>
    </comment>
    <comment ref="BQ668" authorId="0">
      <text>
        <r>
          <rPr>
            <b/>
            <sz val="9"/>
            <color indexed="81"/>
            <rFont val="Tahoma"/>
            <family val="2"/>
          </rPr>
          <t>Savino, Mark (Research):</t>
        </r>
        <r>
          <rPr>
            <sz val="9"/>
            <color indexed="81"/>
            <rFont val="Tahoma"/>
            <family val="2"/>
          </rPr>
          <t xml:space="preserve">
Per 2Q call: difficult qtr with construction disruption, including bridge to MGM</t>
        </r>
      </text>
    </comment>
    <comment ref="BR668" authorId="0">
      <text>
        <r>
          <rPr>
            <b/>
            <sz val="9"/>
            <color indexed="81"/>
            <rFont val="Tahoma"/>
            <family val="2"/>
          </rPr>
          <t>Savino, Mark (Research):</t>
        </r>
        <r>
          <rPr>
            <sz val="9"/>
            <color indexed="81"/>
            <rFont val="Tahoma"/>
            <family val="2"/>
          </rPr>
          <t xml:space="preserve">
Per 2Q call: visitation / gaming volumes are up 20% sequentially since construction ended</t>
        </r>
      </text>
    </comment>
    <comment ref="BS668" authorId="0">
      <text>
        <r>
          <rPr>
            <b/>
            <sz val="9"/>
            <color indexed="81"/>
            <rFont val="Tahoma"/>
            <family val="2"/>
          </rPr>
          <t>Savino, Mark (Research):</t>
        </r>
        <r>
          <rPr>
            <sz val="9"/>
            <color indexed="81"/>
            <rFont val="Tahoma"/>
            <family val="2"/>
          </rPr>
          <t xml:space="preserve">
Impact of Harvest Festival Shooting on 10/1. Tropicana was closed except for hotel guests for 2 days. However, new Robert Irvine restaurant should help offset</t>
        </r>
      </text>
    </comment>
    <comment ref="BQ671" authorId="0">
      <text>
        <r>
          <rPr>
            <b/>
            <sz val="9"/>
            <color indexed="81"/>
            <rFont val="Tahoma"/>
            <family val="2"/>
          </rPr>
          <t>Savino, Mark (Research):</t>
        </r>
        <r>
          <rPr>
            <sz val="9"/>
            <color indexed="81"/>
            <rFont val="Tahoma"/>
            <family val="2"/>
          </rPr>
          <t xml:space="preserve">
Per 2Q call: difficult qtr with construction disruption, including bridge to MGM</t>
        </r>
      </text>
    </comment>
    <comment ref="BR671" authorId="0">
      <text>
        <r>
          <rPr>
            <b/>
            <sz val="9"/>
            <color indexed="81"/>
            <rFont val="Tahoma"/>
            <family val="2"/>
          </rPr>
          <t>Savino, Mark (Research):</t>
        </r>
        <r>
          <rPr>
            <sz val="9"/>
            <color indexed="81"/>
            <rFont val="Tahoma"/>
            <family val="2"/>
          </rPr>
          <t xml:space="preserve">
Per 2Q call: visitation / gaming volumes are up 20% sequentially since construction ended</t>
        </r>
      </text>
    </comment>
    <comment ref="BS671" authorId="0">
      <text>
        <r>
          <rPr>
            <b/>
            <sz val="9"/>
            <color indexed="81"/>
            <rFont val="Tahoma"/>
            <family val="2"/>
          </rPr>
          <t>Savino, Mark (Research):</t>
        </r>
        <r>
          <rPr>
            <sz val="9"/>
            <color indexed="81"/>
            <rFont val="Tahoma"/>
            <family val="2"/>
          </rPr>
          <t xml:space="preserve">
Impact of Harvest Festival Shooting on 10/1. Tropicana was closed except for hotel guests for 2 days</t>
        </r>
      </text>
    </comment>
    <comment ref="BU671" authorId="0">
      <text>
        <r>
          <rPr>
            <b/>
            <sz val="9"/>
            <color indexed="81"/>
            <rFont val="Tahoma"/>
            <family val="2"/>
          </rPr>
          <t>Savino, Mark (Research):</t>
        </r>
        <r>
          <rPr>
            <sz val="9"/>
            <color indexed="81"/>
            <rFont val="Tahoma"/>
            <family val="2"/>
          </rPr>
          <t xml:space="preserve">
Residual drag from Harvest Festival Shooting</t>
        </r>
      </text>
    </comment>
    <comment ref="BX671" authorId="0">
      <text>
        <r>
          <rPr>
            <b/>
            <sz val="9"/>
            <color indexed="81"/>
            <rFont val="Tahoma"/>
            <family val="2"/>
          </rPr>
          <t>Savino, Mark (Research):</t>
        </r>
        <r>
          <rPr>
            <sz val="9"/>
            <color indexed="81"/>
            <rFont val="Tahoma"/>
            <family val="2"/>
          </rPr>
          <t xml:space="preserve">
Lapping impact of Harvest Festival Shooting</t>
        </r>
      </text>
    </comment>
    <comment ref="BM676" authorId="8">
      <text>
        <r>
          <rPr>
            <b/>
            <sz val="9"/>
            <color indexed="81"/>
            <rFont val="Tahoma"/>
            <family val="2"/>
          </rPr>
          <t>Allen, Thomas (Research):</t>
        </r>
        <r>
          <rPr>
            <sz val="9"/>
            <color indexed="81"/>
            <rFont val="Tahoma"/>
            <family val="2"/>
          </rPr>
          <t xml:space="preserve">
Growth picks up as put into effect Marquee Rewards program</t>
        </r>
      </text>
    </comment>
    <comment ref="BN676" authorId="8">
      <text>
        <r>
          <rPr>
            <b/>
            <sz val="9"/>
            <color indexed="81"/>
            <rFont val="Tahoma"/>
            <family val="2"/>
          </rPr>
          <t>Allen, Thomas (Research):</t>
        </r>
        <r>
          <rPr>
            <sz val="9"/>
            <color indexed="81"/>
            <rFont val="Tahoma"/>
            <family val="2"/>
          </rPr>
          <t xml:space="preserve">
Growth picks up as put into effect Marquee Rewards program
Growth impacted b/c of construction on bridge to Excalibur</t>
        </r>
      </text>
    </comment>
    <comment ref="BP676" authorId="8">
      <text>
        <r>
          <rPr>
            <b/>
            <sz val="9"/>
            <color indexed="81"/>
            <rFont val="Tahoma"/>
            <family val="2"/>
          </rPr>
          <t>Allen, Thomas (Research):</t>
        </r>
        <r>
          <rPr>
            <sz val="9"/>
            <color indexed="81"/>
            <rFont val="Tahoma"/>
            <family val="2"/>
          </rPr>
          <t xml:space="preserve">
Growth impacted by construction on pedestrian bridge to MGM Grand</t>
        </r>
      </text>
    </comment>
    <comment ref="BQ676" authorId="8">
      <text>
        <r>
          <rPr>
            <b/>
            <sz val="9"/>
            <color indexed="81"/>
            <rFont val="Tahoma"/>
            <family val="2"/>
          </rPr>
          <t>Allen, Thomas (Research):</t>
        </r>
        <r>
          <rPr>
            <sz val="9"/>
            <color indexed="81"/>
            <rFont val="Tahoma"/>
            <family val="2"/>
          </rPr>
          <t xml:space="preserve">
Growth picks up as put into effect Marquee Rewards program</t>
        </r>
      </text>
    </comment>
    <comment ref="BR676" authorId="8">
      <text>
        <r>
          <rPr>
            <b/>
            <sz val="9"/>
            <color indexed="81"/>
            <rFont val="Tahoma"/>
            <family val="2"/>
          </rPr>
          <t>Allen, Thomas (Research):</t>
        </r>
        <r>
          <rPr>
            <sz val="9"/>
            <color indexed="81"/>
            <rFont val="Tahoma"/>
            <family val="2"/>
          </rPr>
          <t xml:space="preserve">
Per 3Q call, net revenue up &gt;14% in 3Q17
Phase I renovations finished, growth picks up</t>
        </r>
      </text>
    </comment>
    <comment ref="BL683" authorId="0">
      <text>
        <r>
          <rPr>
            <b/>
            <sz val="9"/>
            <color indexed="81"/>
            <rFont val="Tahoma"/>
            <family val="2"/>
          </rPr>
          <t>Savino, Mark (Research):</t>
        </r>
        <r>
          <rPr>
            <sz val="9"/>
            <color indexed="81"/>
            <rFont val="Tahoma"/>
            <family val="2"/>
          </rPr>
          <t xml:space="preserve">
$4.3m gain related to bankruptcy settlement</t>
        </r>
      </text>
    </comment>
    <comment ref="Q684" authorId="30">
      <text>
        <r>
          <rPr>
            <sz val="9"/>
            <color indexed="81"/>
            <rFont val="Tahoma"/>
            <family val="2"/>
          </rPr>
          <t>includes management fees of $8.025m</t>
        </r>
      </text>
    </comment>
    <comment ref="AC687" authorId="30">
      <text>
        <r>
          <rPr>
            <sz val="9"/>
            <color indexed="81"/>
            <rFont val="Tahoma"/>
            <family val="2"/>
          </rPr>
          <t>Impairment charges and other write-downs</t>
        </r>
        <r>
          <rPr>
            <sz val="9"/>
            <color indexed="81"/>
            <rFont val="Tahoma"/>
            <family val="2"/>
          </rPr>
          <t xml:space="preserve">
</t>
        </r>
      </text>
    </comment>
    <comment ref="Q689" authorId="30">
      <text>
        <r>
          <rPr>
            <sz val="9"/>
            <color indexed="81"/>
            <rFont val="Tahoma"/>
            <family val="2"/>
          </rPr>
          <t xml:space="preserve">Provision for doubtful accounts
</t>
        </r>
      </text>
    </comment>
    <comment ref="AH689" authorId="30">
      <text>
        <r>
          <rPr>
            <sz val="9"/>
            <color indexed="81"/>
            <rFont val="Tahoma"/>
            <family val="2"/>
          </rPr>
          <t>Preopening charge</t>
        </r>
        <r>
          <rPr>
            <sz val="9"/>
            <color indexed="81"/>
            <rFont val="Tahoma"/>
            <family val="2"/>
          </rPr>
          <t xml:space="preserve">
</t>
        </r>
      </text>
    </comment>
    <comment ref="AI689" authorId="30">
      <text>
        <r>
          <rPr>
            <sz val="9"/>
            <color indexed="81"/>
            <rFont val="Tahoma"/>
            <family val="2"/>
          </rPr>
          <t>Preopening charge</t>
        </r>
        <r>
          <rPr>
            <sz val="9"/>
            <color indexed="81"/>
            <rFont val="Tahoma"/>
            <family val="2"/>
          </rPr>
          <t xml:space="preserve">
</t>
        </r>
      </text>
    </comment>
    <comment ref="AK689" authorId="30">
      <text>
        <r>
          <rPr>
            <sz val="9"/>
            <color indexed="81"/>
            <rFont val="Tahoma"/>
            <family val="2"/>
          </rPr>
          <t>Preopening charge</t>
        </r>
        <r>
          <rPr>
            <sz val="9"/>
            <color indexed="81"/>
            <rFont val="Tahoma"/>
            <family val="2"/>
          </rPr>
          <t xml:space="preserve">
</t>
        </r>
      </text>
    </comment>
    <comment ref="AL689" authorId="30">
      <text>
        <r>
          <rPr>
            <sz val="9"/>
            <color indexed="81"/>
            <rFont val="Tahoma"/>
            <family val="2"/>
          </rPr>
          <t>Preopening charge</t>
        </r>
        <r>
          <rPr>
            <sz val="9"/>
            <color indexed="81"/>
            <rFont val="Tahoma"/>
            <family val="2"/>
          </rPr>
          <t xml:space="preserve">
</t>
        </r>
      </text>
    </comment>
    <comment ref="AM689" authorId="30">
      <text>
        <r>
          <rPr>
            <sz val="9"/>
            <color indexed="81"/>
            <rFont val="Tahoma"/>
            <family val="2"/>
          </rPr>
          <t>Preopening charge</t>
        </r>
        <r>
          <rPr>
            <sz val="9"/>
            <color indexed="81"/>
            <rFont val="Tahoma"/>
            <family val="2"/>
          </rPr>
          <t xml:space="preserve">
</t>
        </r>
      </text>
    </comment>
    <comment ref="AP689" authorId="30">
      <text>
        <r>
          <rPr>
            <sz val="9"/>
            <color indexed="81"/>
            <rFont val="Tahoma"/>
            <family val="2"/>
          </rPr>
          <t>Preopening charge</t>
        </r>
        <r>
          <rPr>
            <sz val="9"/>
            <color indexed="81"/>
            <rFont val="Tahoma"/>
            <family val="2"/>
          </rPr>
          <t xml:space="preserve">
</t>
        </r>
      </text>
    </comment>
    <comment ref="BO691" authorId="0">
      <text>
        <r>
          <rPr>
            <b/>
            <sz val="9"/>
            <color indexed="81"/>
            <rFont val="Tahoma"/>
            <family val="2"/>
          </rPr>
          <t>Savino, Mark (Research):</t>
        </r>
        <r>
          <rPr>
            <sz val="9"/>
            <color indexed="81"/>
            <rFont val="Tahoma"/>
            <family val="2"/>
          </rPr>
          <t xml:space="preserve">
Per mgmt, $10m of expense savings</t>
        </r>
      </text>
    </comment>
    <comment ref="BH695" authorId="0">
      <text>
        <r>
          <rPr>
            <b/>
            <sz val="9"/>
            <color indexed="81"/>
            <rFont val="Tahoma"/>
            <family val="2"/>
          </rPr>
          <t>Savino, Mark (Research):</t>
        </r>
        <r>
          <rPr>
            <sz val="9"/>
            <color indexed="81"/>
            <rFont val="Tahoma"/>
            <family val="2"/>
          </rPr>
          <t xml:space="preserve">
3Q press release said Tropicana was incremental to EBITDA, implying EBITDA was positive, but Sept could have been a stronger month</t>
        </r>
      </text>
    </comment>
    <comment ref="BO695" authorId="8">
      <text>
        <r>
          <rPr>
            <b/>
            <sz val="9"/>
            <color indexed="81"/>
            <rFont val="Tahoma"/>
            <family val="2"/>
          </rPr>
          <t>Allen, Thomas (Research):</t>
        </r>
        <r>
          <rPr>
            <sz val="9"/>
            <color indexed="81"/>
            <rFont val="Tahoma"/>
            <family val="2"/>
          </rPr>
          <t xml:space="preserve">
Per 4Q16 call, Tropicana did double digit EBITDA in 2016
Per 4Q15 call, property will still be impacted by renovations in 2016, ramp in 2017</t>
        </r>
      </text>
    </comment>
    <comment ref="BR695" authorId="0">
      <text>
        <r>
          <rPr>
            <b/>
            <sz val="9"/>
            <color indexed="81"/>
            <rFont val="Tahoma"/>
            <family val="2"/>
          </rPr>
          <t>Savino, Mark (Research):</t>
        </r>
        <r>
          <rPr>
            <sz val="9"/>
            <color indexed="81"/>
            <rFont val="Tahoma"/>
            <family val="2"/>
          </rPr>
          <t xml:space="preserve">
Per 3Q17 call, EBITDA more that doubled</t>
        </r>
      </text>
    </comment>
    <comment ref="BT695" authorId="0">
      <text>
        <r>
          <rPr>
            <b/>
            <sz val="9"/>
            <color indexed="81"/>
            <rFont val="Tahoma"/>
            <family val="2"/>
          </rPr>
          <t>Savino, Mark (Research):</t>
        </r>
        <r>
          <rPr>
            <sz val="9"/>
            <color indexed="81"/>
            <rFont val="Tahoma"/>
            <family val="2"/>
          </rPr>
          <t xml:space="preserve">
Per mgmt, think Phase I EBITDA could get to $40m</t>
        </r>
      </text>
    </comment>
    <comment ref="BY695" authorId="0">
      <text>
        <r>
          <rPr>
            <b/>
            <sz val="9"/>
            <color indexed="81"/>
            <rFont val="Tahoma"/>
            <family val="2"/>
          </rPr>
          <t>Savino, Mark (Research):</t>
        </r>
        <r>
          <rPr>
            <sz val="9"/>
            <color indexed="81"/>
            <rFont val="Tahoma"/>
            <family val="2"/>
          </rPr>
          <t xml:space="preserve">
Per mgmt, think Phase I EBITDA could get to $40m</t>
        </r>
      </text>
    </comment>
    <comment ref="CA695" authorId="0">
      <text>
        <r>
          <rPr>
            <b/>
            <sz val="9"/>
            <color indexed="81"/>
            <rFont val="Tahoma"/>
            <family val="2"/>
          </rPr>
          <t>Savino, Mark (Research):</t>
        </r>
        <r>
          <rPr>
            <sz val="9"/>
            <color indexed="81"/>
            <rFont val="Tahoma"/>
            <family val="2"/>
          </rPr>
          <t xml:space="preserve">
Per mgmt, think Phase II EBITDA &gt;$60m</t>
        </r>
      </text>
    </comment>
    <comment ref="CB695" authorId="0">
      <text>
        <r>
          <rPr>
            <b/>
            <sz val="9"/>
            <color indexed="81"/>
            <rFont val="Tahoma"/>
            <family val="2"/>
          </rPr>
          <t>Savino, Mark (Research):</t>
        </r>
        <r>
          <rPr>
            <sz val="9"/>
            <color indexed="81"/>
            <rFont val="Tahoma"/>
            <family val="2"/>
          </rPr>
          <t xml:space="preserve">
Per mgmt, think Phase II EBITDA &gt;$60m</t>
        </r>
      </text>
    </comment>
    <comment ref="CC695" authorId="0">
      <text>
        <r>
          <rPr>
            <b/>
            <sz val="9"/>
            <color indexed="81"/>
            <rFont val="Tahoma"/>
            <family val="2"/>
          </rPr>
          <t>Savino, Mark (Research):</t>
        </r>
        <r>
          <rPr>
            <sz val="9"/>
            <color indexed="81"/>
            <rFont val="Tahoma"/>
            <family val="2"/>
          </rPr>
          <t xml:space="preserve">
Per mgmt, think Phase II EBITDA &gt;$60m</t>
        </r>
      </text>
    </comment>
    <comment ref="CD695" authorId="0">
      <text>
        <r>
          <rPr>
            <b/>
            <sz val="9"/>
            <color indexed="81"/>
            <rFont val="Tahoma"/>
            <family val="2"/>
          </rPr>
          <t>Savino, Mark (Research):</t>
        </r>
        <r>
          <rPr>
            <sz val="9"/>
            <color indexed="81"/>
            <rFont val="Tahoma"/>
            <family val="2"/>
          </rPr>
          <t xml:space="preserve">
Per mgmt, think Phase II EBITDA &gt;$60m</t>
        </r>
      </text>
    </comment>
    <comment ref="CE695" authorId="0">
      <text>
        <r>
          <rPr>
            <b/>
            <sz val="9"/>
            <color indexed="81"/>
            <rFont val="Tahoma"/>
            <family val="2"/>
          </rPr>
          <t>Savino, Mark (Research):</t>
        </r>
        <r>
          <rPr>
            <sz val="9"/>
            <color indexed="81"/>
            <rFont val="Tahoma"/>
            <family val="2"/>
          </rPr>
          <t xml:space="preserve">
Per mgmt, think Phase II EBITDA &gt;$60m</t>
        </r>
      </text>
    </comment>
    <comment ref="CF695" authorId="0">
      <text>
        <r>
          <rPr>
            <b/>
            <sz val="9"/>
            <color indexed="81"/>
            <rFont val="Tahoma"/>
            <family val="2"/>
          </rPr>
          <t>Savino, Mark (Research):</t>
        </r>
        <r>
          <rPr>
            <sz val="9"/>
            <color indexed="81"/>
            <rFont val="Tahoma"/>
            <family val="2"/>
          </rPr>
          <t xml:space="preserve">
Per mgmt, think Phase II EBITDA &gt;$60m</t>
        </r>
      </text>
    </comment>
    <comment ref="BK699" authorId="0">
      <text>
        <r>
          <rPr>
            <b/>
            <sz val="9"/>
            <color indexed="81"/>
            <rFont val="Tahoma"/>
            <family val="2"/>
          </rPr>
          <t>Savino, Mark (Research):</t>
        </r>
        <r>
          <rPr>
            <sz val="9"/>
            <color indexed="81"/>
            <rFont val="Tahoma"/>
            <family val="2"/>
          </rPr>
          <t xml:space="preserve">
Improved profitability from switching out lower-margin rev-share slots</t>
        </r>
      </text>
    </comment>
    <comment ref="P706" authorId="25">
      <text>
        <r>
          <rPr>
            <b/>
            <sz val="10"/>
            <color indexed="81"/>
            <rFont val="Tahoma"/>
            <family val="2"/>
          </rPr>
          <t>Thallen:</t>
        </r>
        <r>
          <rPr>
            <sz val="10"/>
            <color indexed="81"/>
            <rFont val="Tahoma"/>
            <family val="2"/>
          </rPr>
          <t xml:space="preserve">
From DB presentation, 2/17/07</t>
        </r>
      </text>
    </comment>
    <comment ref="P707" authorId="25">
      <text>
        <r>
          <rPr>
            <b/>
            <sz val="10"/>
            <color indexed="81"/>
            <rFont val="Tahoma"/>
            <family val="2"/>
          </rPr>
          <t>Thallen:</t>
        </r>
        <r>
          <rPr>
            <sz val="10"/>
            <color indexed="81"/>
            <rFont val="Tahoma"/>
            <family val="2"/>
          </rPr>
          <t xml:space="preserve">
From DB presentation, 2/17/07</t>
        </r>
      </text>
    </comment>
    <comment ref="C708" authorId="13">
      <text>
        <r>
          <rPr>
            <b/>
            <sz val="8"/>
            <color indexed="81"/>
            <rFont val="Tahoma"/>
            <family val="2"/>
          </rPr>
          <t>urbankev:</t>
        </r>
        <r>
          <rPr>
            <sz val="8"/>
            <color indexed="81"/>
            <rFont val="Tahoma"/>
            <family val="2"/>
          </rPr>
          <t xml:space="preserve">
per old Penn model</t>
        </r>
      </text>
    </comment>
    <comment ref="K710" authorId="13">
      <text>
        <r>
          <rPr>
            <b/>
            <sz val="8"/>
            <color indexed="81"/>
            <rFont val="Tahoma"/>
            <family val="2"/>
          </rPr>
          <t>urbankev:</t>
        </r>
        <r>
          <rPr>
            <sz val="8"/>
            <color indexed="81"/>
            <rFont val="Tahoma"/>
            <family val="2"/>
          </rPr>
          <t xml:space="preserve">
per Q4 2005 press release</t>
        </r>
      </text>
    </comment>
    <comment ref="AM710" authorId="31">
      <text>
        <r>
          <rPr>
            <b/>
            <sz val="8"/>
            <color indexed="81"/>
            <rFont val="Tahoma"/>
            <family val="2"/>
          </rPr>
          <t>AM: 6/27/11:</t>
        </r>
        <r>
          <rPr>
            <sz val="8"/>
            <color indexed="81"/>
            <rFont val="Tahoma"/>
            <family val="2"/>
          </rPr>
          <t xml:space="preserve">
Negatively impacted by flooding in May</t>
        </r>
      </text>
    </comment>
    <comment ref="AN711" authorId="17">
      <text>
        <r>
          <rPr>
            <b/>
            <sz val="8"/>
            <color indexed="81"/>
            <rFont val="Tahoma"/>
            <family val="2"/>
          </rPr>
          <t>thallen:</t>
        </r>
        <r>
          <rPr>
            <sz val="8"/>
            <color indexed="81"/>
            <rFont val="Tahoma"/>
            <family val="2"/>
          </rPr>
          <t xml:space="preserve">
Northern MS region down 6% in 3Q11</t>
        </r>
      </text>
    </comment>
    <comment ref="AO711" authorId="17">
      <text>
        <r>
          <rPr>
            <b/>
            <sz val="8"/>
            <color indexed="81"/>
            <rFont val="Tahoma"/>
            <family val="2"/>
          </rPr>
          <t>thallen:</t>
        </r>
        <r>
          <rPr>
            <sz val="8"/>
            <color indexed="81"/>
            <rFont val="Tahoma"/>
            <family val="2"/>
          </rPr>
          <t xml:space="preserve">
Northern MS region down 7% in 4Q11</t>
        </r>
      </text>
    </comment>
    <comment ref="AR711" authorId="2">
      <text>
        <r>
          <rPr>
            <b/>
            <sz val="8"/>
            <color indexed="81"/>
            <rFont val="Tahoma"/>
            <family val="2"/>
          </rPr>
          <t>AM: 2/2/12:</t>
        </r>
        <r>
          <rPr>
            <sz val="8"/>
            <color indexed="81"/>
            <rFont val="Tahoma"/>
            <family val="2"/>
          </rPr>
          <t xml:space="preserve">
Easy comp on flooding in 2011</t>
        </r>
      </text>
    </comment>
    <comment ref="AS711" authorId="17">
      <text>
        <r>
          <rPr>
            <b/>
            <sz val="8"/>
            <color indexed="81"/>
            <rFont val="Tahoma"/>
            <family val="2"/>
          </rPr>
          <t>thallen:</t>
        </r>
        <r>
          <rPr>
            <sz val="8"/>
            <color indexed="81"/>
            <rFont val="Tahoma"/>
            <family val="2"/>
          </rPr>
          <t xml:space="preserve">
Northern MS region down 9% in 3Q12</t>
        </r>
      </text>
    </comment>
    <comment ref="AT711" authorId="17">
      <text>
        <r>
          <rPr>
            <b/>
            <sz val="8"/>
            <color indexed="81"/>
            <rFont val="Tahoma"/>
            <family val="2"/>
          </rPr>
          <t>thallen:</t>
        </r>
        <r>
          <rPr>
            <sz val="8"/>
            <color indexed="81"/>
            <rFont val="Tahoma"/>
            <family val="2"/>
          </rPr>
          <t xml:space="preserve">
Been a tough market, especially in 4Q
Northern MS region down 9% in 4Q12</t>
        </r>
      </text>
    </comment>
    <comment ref="BA711" authorId="0">
      <text>
        <r>
          <rPr>
            <b/>
            <sz val="9"/>
            <color indexed="81"/>
            <rFont val="Tahoma"/>
            <family val="2"/>
          </rPr>
          <t>Savino, Mark (Research):</t>
        </r>
        <r>
          <rPr>
            <sz val="9"/>
            <color indexed="81"/>
            <rFont val="Tahoma"/>
            <family val="2"/>
          </rPr>
          <t xml:space="preserve">
Weak January</t>
        </r>
      </text>
    </comment>
    <comment ref="BD711" authorId="0">
      <text>
        <r>
          <rPr>
            <b/>
            <sz val="9"/>
            <color indexed="81"/>
            <rFont val="Tahoma"/>
            <family val="2"/>
          </rPr>
          <t>Savino, Mark (Research):</t>
        </r>
        <r>
          <rPr>
            <sz val="9"/>
            <color indexed="81"/>
            <rFont val="Tahoma"/>
            <family val="2"/>
          </rPr>
          <t xml:space="preserve">
Lapping weak Dec</t>
        </r>
      </text>
    </comment>
    <comment ref="AR713" authorId="17">
      <text>
        <r>
          <rPr>
            <b/>
            <sz val="8"/>
            <color indexed="81"/>
            <rFont val="Tahoma"/>
            <family val="2"/>
          </rPr>
          <t>thallen:</t>
        </r>
        <r>
          <rPr>
            <sz val="8"/>
            <color indexed="81"/>
            <rFont val="Tahoma"/>
            <family val="2"/>
          </rPr>
          <t xml:space="preserve">
Expenses normalize after flooding in 2Q11</t>
        </r>
      </text>
    </comment>
    <comment ref="AY715"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BZ715" authorId="0">
      <text>
        <r>
          <rPr>
            <b/>
            <sz val="9"/>
            <color indexed="81"/>
            <rFont val="Tahoma"/>
            <family val="2"/>
          </rPr>
          <t>Savino, Mark (Research):</t>
        </r>
        <r>
          <rPr>
            <sz val="9"/>
            <color indexed="81"/>
            <rFont val="Tahoma"/>
            <family val="2"/>
          </rPr>
          <t xml:space="preserve">
Synergies as a result of PENN/PNK merger</t>
        </r>
      </text>
    </comment>
    <comment ref="AM717" authorId="31">
      <text>
        <r>
          <rPr>
            <b/>
            <sz val="8"/>
            <color indexed="81"/>
            <rFont val="Tahoma"/>
            <family val="2"/>
          </rPr>
          <t>AM: 6/27/11:</t>
        </r>
        <r>
          <rPr>
            <sz val="8"/>
            <color indexed="81"/>
            <rFont val="Tahoma"/>
            <family val="2"/>
          </rPr>
          <t xml:space="preserve">
Negatively impacted by flooding in May</t>
        </r>
      </text>
    </comment>
    <comment ref="BQ724" authorId="8">
      <text>
        <r>
          <rPr>
            <b/>
            <sz val="9"/>
            <color indexed="81"/>
            <rFont val="Tahoma"/>
            <family val="2"/>
          </rPr>
          <t>Allen, Thomas (Research):</t>
        </r>
        <r>
          <rPr>
            <sz val="9"/>
            <color indexed="81"/>
            <rFont val="Tahoma"/>
            <family val="2"/>
          </rPr>
          <t xml:space="preserve">
Expected to close May 1</t>
        </r>
      </text>
    </comment>
    <comment ref="BK729" authorId="0">
      <text>
        <r>
          <rPr>
            <b/>
            <sz val="9"/>
            <color indexed="81"/>
            <rFont val="Tahoma"/>
            <family val="2"/>
          </rPr>
          <t>Savino, Mark (Research):</t>
        </r>
        <r>
          <rPr>
            <sz val="9"/>
            <color indexed="81"/>
            <rFont val="Tahoma"/>
            <family val="2"/>
          </rPr>
          <t xml:space="preserve">
Assumes same seasonality as Hollywood Tunica</t>
        </r>
      </text>
    </comment>
    <comment ref="BL729" authorId="0">
      <text>
        <r>
          <rPr>
            <b/>
            <sz val="9"/>
            <color indexed="81"/>
            <rFont val="Tahoma"/>
            <family val="2"/>
          </rPr>
          <t>Savino, Mark (Research):</t>
        </r>
        <r>
          <rPr>
            <sz val="9"/>
            <color indexed="81"/>
            <rFont val="Tahoma"/>
            <family val="2"/>
          </rPr>
          <t xml:space="preserve">
Assumes same seasonality as Hollywood Tunica</t>
        </r>
      </text>
    </comment>
    <comment ref="BM729" authorId="0">
      <text>
        <r>
          <rPr>
            <b/>
            <sz val="9"/>
            <color indexed="81"/>
            <rFont val="Tahoma"/>
            <family val="2"/>
          </rPr>
          <t>Savino, Mark (Research):</t>
        </r>
        <r>
          <rPr>
            <sz val="9"/>
            <color indexed="81"/>
            <rFont val="Tahoma"/>
            <family val="2"/>
          </rPr>
          <t xml:space="preserve">
Assumes same seasonality as Hollywood Tunica</t>
        </r>
      </text>
    </comment>
    <comment ref="BN729" authorId="0">
      <text>
        <r>
          <rPr>
            <b/>
            <sz val="9"/>
            <color indexed="81"/>
            <rFont val="Tahoma"/>
            <family val="2"/>
          </rPr>
          <t>Savino, Mark (Research):</t>
        </r>
        <r>
          <rPr>
            <sz val="9"/>
            <color indexed="81"/>
            <rFont val="Tahoma"/>
            <family val="2"/>
          </rPr>
          <t xml:space="preserve">
Assumes same seasonality as Hollywood Tunica</t>
        </r>
      </text>
    </comment>
    <comment ref="BR729" authorId="0">
      <text>
        <r>
          <rPr>
            <b/>
            <sz val="9"/>
            <color indexed="81"/>
            <rFont val="Tahoma"/>
            <family val="2"/>
          </rPr>
          <t>Savino, Mark (Research):</t>
        </r>
        <r>
          <rPr>
            <sz val="9"/>
            <color indexed="81"/>
            <rFont val="Tahoma"/>
            <family val="2"/>
          </rPr>
          <t xml:space="preserve">
2Q call: Guidance includes $34.7m of net revenue from Tunica in 2H17</t>
        </r>
      </text>
    </comment>
    <comment ref="BS729" authorId="0">
      <text>
        <r>
          <rPr>
            <b/>
            <sz val="9"/>
            <color indexed="81"/>
            <rFont val="Tahoma"/>
            <family val="2"/>
          </rPr>
          <t>Savino, Mark (Research):</t>
        </r>
        <r>
          <rPr>
            <sz val="9"/>
            <color indexed="81"/>
            <rFont val="Tahoma"/>
            <family val="2"/>
          </rPr>
          <t xml:space="preserve">
2Q call: Guidance includes $34.7m of net revenue from Tunica in 2H17</t>
        </r>
      </text>
    </comment>
    <comment ref="BY730" authorId="0">
      <text>
        <r>
          <rPr>
            <b/>
            <sz val="9"/>
            <color indexed="81"/>
            <rFont val="Tahoma"/>
            <family val="2"/>
          </rPr>
          <t>Savino, Mark (Research):</t>
        </r>
        <r>
          <rPr>
            <sz val="9"/>
            <color indexed="81"/>
            <rFont val="Tahoma"/>
            <family val="2"/>
          </rPr>
          <t xml:space="preserve">
Benefit of Marquee Rewards implementation</t>
        </r>
      </text>
    </comment>
    <comment ref="BY734" authorId="0">
      <text>
        <r>
          <rPr>
            <b/>
            <sz val="9"/>
            <color indexed="81"/>
            <rFont val="Tahoma"/>
            <family val="2"/>
          </rPr>
          <t>Savino, Mark (Research):</t>
        </r>
        <r>
          <rPr>
            <sz val="9"/>
            <color indexed="81"/>
            <rFont val="Tahoma"/>
            <family val="2"/>
          </rPr>
          <t xml:space="preserve">
Lapping $1.7m of intergration expenses in 2H17</t>
        </r>
      </text>
    </comment>
    <comment ref="BZ734" authorId="0">
      <text>
        <r>
          <rPr>
            <b/>
            <sz val="9"/>
            <color indexed="81"/>
            <rFont val="Tahoma"/>
            <family val="2"/>
          </rPr>
          <t>Savino, Mark (Research):</t>
        </r>
        <r>
          <rPr>
            <sz val="9"/>
            <color indexed="81"/>
            <rFont val="Tahoma"/>
            <family val="2"/>
          </rPr>
          <t xml:space="preserve">
Synergies as a result of PENN/PNK merger</t>
        </r>
      </text>
    </comment>
    <comment ref="BK736" authorId="0">
      <text>
        <r>
          <rPr>
            <b/>
            <sz val="9"/>
            <color indexed="81"/>
            <rFont val="Tahoma"/>
            <family val="2"/>
          </rPr>
          <t>Savino, Mark (Research):</t>
        </r>
        <r>
          <rPr>
            <sz val="9"/>
            <color indexed="81"/>
            <rFont val="Tahoma"/>
            <family val="2"/>
          </rPr>
          <t xml:space="preserve">
Assumes same seasonality as Hollywood Tunica</t>
        </r>
      </text>
    </comment>
    <comment ref="BL736" authorId="0">
      <text>
        <r>
          <rPr>
            <b/>
            <sz val="9"/>
            <color indexed="81"/>
            <rFont val="Tahoma"/>
            <family val="2"/>
          </rPr>
          <t>Savino, Mark (Research):</t>
        </r>
        <r>
          <rPr>
            <sz val="9"/>
            <color indexed="81"/>
            <rFont val="Tahoma"/>
            <family val="2"/>
          </rPr>
          <t xml:space="preserve">
Assumes same seasonality as Hollywood Tunica</t>
        </r>
      </text>
    </comment>
    <comment ref="BM736" authorId="0">
      <text>
        <r>
          <rPr>
            <b/>
            <sz val="9"/>
            <color indexed="81"/>
            <rFont val="Tahoma"/>
            <family val="2"/>
          </rPr>
          <t>Savino, Mark (Research):</t>
        </r>
        <r>
          <rPr>
            <sz val="9"/>
            <color indexed="81"/>
            <rFont val="Tahoma"/>
            <family val="2"/>
          </rPr>
          <t xml:space="preserve">
Assumes same seasonality as Hollywood Tunica</t>
        </r>
      </text>
    </comment>
    <comment ref="BN736" authorId="0">
      <text>
        <r>
          <rPr>
            <b/>
            <sz val="9"/>
            <color indexed="81"/>
            <rFont val="Tahoma"/>
            <family val="2"/>
          </rPr>
          <t>Savino, Mark (Research):</t>
        </r>
        <r>
          <rPr>
            <sz val="9"/>
            <color indexed="81"/>
            <rFont val="Tahoma"/>
            <family val="2"/>
          </rPr>
          <t xml:space="preserve">
Assumes same seasonality as Hollywood Tunica</t>
        </r>
      </text>
    </comment>
    <comment ref="BR736" authorId="0">
      <text>
        <r>
          <rPr>
            <b/>
            <sz val="9"/>
            <color indexed="81"/>
            <rFont val="Tahoma"/>
            <family val="2"/>
          </rPr>
          <t>Savino, Mark (Research):</t>
        </r>
        <r>
          <rPr>
            <sz val="9"/>
            <color indexed="81"/>
            <rFont val="Tahoma"/>
            <family val="2"/>
          </rPr>
          <t xml:space="preserve">
2Q call: Guidance includes $7.6m of net revenue from Tunica in 2H17, including $1.7m of integration expenses</t>
        </r>
      </text>
    </comment>
    <comment ref="BS736" authorId="0">
      <text>
        <r>
          <rPr>
            <b/>
            <sz val="9"/>
            <color indexed="81"/>
            <rFont val="Tahoma"/>
            <family val="2"/>
          </rPr>
          <t>Savino, Mark (Research):</t>
        </r>
        <r>
          <rPr>
            <sz val="9"/>
            <color indexed="81"/>
            <rFont val="Tahoma"/>
            <family val="2"/>
          </rPr>
          <t xml:space="preserve">
2Q call: Guidance includes $7.6m of net revenue from Tunica in 2H17, including $1.7m of integration expenses</t>
        </r>
      </text>
    </comment>
    <comment ref="J744" authorId="13">
      <text>
        <r>
          <rPr>
            <b/>
            <sz val="8"/>
            <color indexed="81"/>
            <rFont val="Tahoma"/>
            <family val="2"/>
          </rPr>
          <t>urbankev:</t>
        </r>
        <r>
          <rPr>
            <sz val="8"/>
            <color indexed="81"/>
            <rFont val="Tahoma"/>
            <family val="2"/>
          </rPr>
          <t xml:space="preserve">
Hurricane Katrina in late Aug 2005</t>
        </r>
      </text>
    </comment>
    <comment ref="O744" authorId="18">
      <text>
        <r>
          <rPr>
            <b/>
            <sz val="10"/>
            <color indexed="81"/>
            <rFont val="Tahoma"/>
            <family val="2"/>
          </rPr>
          <t>Celeste Brown:</t>
        </r>
        <r>
          <rPr>
            <sz val="10"/>
            <color indexed="81"/>
            <rFont val="Tahoma"/>
            <family val="2"/>
          </rPr>
          <t xml:space="preserve">
opening Aug 31
opens initially with 850 slots, room to expand to 1270</t>
        </r>
      </text>
    </comment>
    <comment ref="P744" authorId="25">
      <text>
        <r>
          <rPr>
            <b/>
            <sz val="10"/>
            <color indexed="81"/>
            <rFont val="Tahoma"/>
            <family val="2"/>
          </rPr>
          <t>Thallen:</t>
        </r>
        <r>
          <rPr>
            <sz val="10"/>
            <color indexed="81"/>
            <rFont val="Tahoma"/>
            <family val="2"/>
          </rPr>
          <t xml:space="preserve">
From DB presentation, 2/17/07</t>
        </r>
      </text>
    </comment>
    <comment ref="P745" authorId="25">
      <text>
        <r>
          <rPr>
            <b/>
            <sz val="10"/>
            <color indexed="81"/>
            <rFont val="Tahoma"/>
            <family val="2"/>
          </rPr>
          <t>Thallen:</t>
        </r>
        <r>
          <rPr>
            <sz val="10"/>
            <color indexed="81"/>
            <rFont val="Tahoma"/>
            <family val="2"/>
          </rPr>
          <t xml:space="preserve">
From DB presentation, 2/17/07</t>
        </r>
      </text>
    </comment>
    <comment ref="C746" authorId="13">
      <text>
        <r>
          <rPr>
            <b/>
            <sz val="8"/>
            <color indexed="81"/>
            <rFont val="Tahoma"/>
            <family val="2"/>
          </rPr>
          <t>urbankev:</t>
        </r>
        <r>
          <rPr>
            <sz val="8"/>
            <color indexed="81"/>
            <rFont val="Tahoma"/>
            <family val="2"/>
          </rPr>
          <t xml:space="preserve">
per old Penn model</t>
        </r>
      </text>
    </comment>
    <comment ref="K746" authorId="13">
      <text>
        <r>
          <rPr>
            <b/>
            <sz val="8"/>
            <color indexed="81"/>
            <rFont val="Tahoma"/>
            <family val="2"/>
          </rPr>
          <t>urbankev:</t>
        </r>
        <r>
          <rPr>
            <sz val="8"/>
            <color indexed="81"/>
            <rFont val="Tahoma"/>
            <family val="2"/>
          </rPr>
          <t xml:space="preserve">
Due to Hurricane Katrina</t>
        </r>
      </text>
    </comment>
    <comment ref="O746" authorId="18">
      <text>
        <r>
          <rPr>
            <b/>
            <sz val="10"/>
            <color indexed="81"/>
            <rFont val="Tahoma"/>
            <family val="2"/>
          </rPr>
          <t>Celeste Brown:</t>
        </r>
        <r>
          <rPr>
            <sz val="10"/>
            <color indexed="81"/>
            <rFont val="Tahoma"/>
            <family val="2"/>
          </rPr>
          <t xml:space="preserve">
opening Aug 31
opens initially with 850 slots, room to expand to 1270</t>
        </r>
      </text>
    </comment>
    <comment ref="BA749" authorId="0">
      <text>
        <r>
          <rPr>
            <b/>
            <sz val="9"/>
            <color indexed="81"/>
            <rFont val="Tahoma"/>
            <family val="2"/>
          </rPr>
          <t>Savino, Mark (Research):</t>
        </r>
        <r>
          <rPr>
            <sz val="9"/>
            <color indexed="81"/>
            <rFont val="Tahoma"/>
            <family val="2"/>
          </rPr>
          <t xml:space="preserve">
Weak January</t>
        </r>
      </text>
    </comment>
    <comment ref="BD749" authorId="0">
      <text>
        <r>
          <rPr>
            <b/>
            <sz val="9"/>
            <color indexed="81"/>
            <rFont val="Tahoma"/>
            <family val="2"/>
          </rPr>
          <t>Savino, Mark (Research):</t>
        </r>
        <r>
          <rPr>
            <sz val="9"/>
            <color indexed="81"/>
            <rFont val="Tahoma"/>
            <family val="2"/>
          </rPr>
          <t xml:space="preserve">
Lapping weak Dec</t>
        </r>
      </text>
    </comment>
    <comment ref="BS749" authorId="0">
      <text>
        <r>
          <rPr>
            <b/>
            <sz val="9"/>
            <color indexed="81"/>
            <rFont val="Tahoma"/>
            <family val="2"/>
          </rPr>
          <t>Savino, Mark (Research):</t>
        </r>
        <r>
          <rPr>
            <sz val="9"/>
            <color indexed="81"/>
            <rFont val="Tahoma"/>
            <family val="2"/>
          </rPr>
          <t xml:space="preserve">
Per 3Q17 call, had to close property during big event weekend as a result of Hurricane Nate</t>
        </r>
      </text>
    </comment>
    <comment ref="BX749" authorId="0">
      <text>
        <r>
          <rPr>
            <b/>
            <sz val="9"/>
            <color indexed="81"/>
            <rFont val="Tahoma"/>
            <family val="2"/>
          </rPr>
          <t>Savino, Mark (Research):</t>
        </r>
        <r>
          <rPr>
            <sz val="9"/>
            <color indexed="81"/>
            <rFont val="Tahoma"/>
            <family val="2"/>
          </rPr>
          <t xml:space="preserve">
Lapping weekend closure from Hurricane Nate in 4Q17</t>
        </r>
      </text>
    </comment>
    <comment ref="AT753"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AY753"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BD753" authorId="0">
      <text>
        <r>
          <rPr>
            <b/>
            <sz val="9"/>
            <color indexed="81"/>
            <rFont val="Tahoma"/>
            <family val="2"/>
          </rPr>
          <t>Savino, Mark (Research):</t>
        </r>
        <r>
          <rPr>
            <sz val="9"/>
            <color indexed="81"/>
            <rFont val="Tahoma"/>
            <family val="2"/>
          </rPr>
          <t xml:space="preserve">
Combined property operations between Bay St. Louis and Boomtown</t>
        </r>
      </text>
    </comment>
    <comment ref="BW753" authorId="8">
      <text>
        <r>
          <rPr>
            <b/>
            <sz val="9"/>
            <color indexed="81"/>
            <rFont val="Tahoma"/>
            <family val="2"/>
          </rPr>
          <t>Allen, Thomas (Research):</t>
        </r>
        <r>
          <rPr>
            <sz val="9"/>
            <color indexed="81"/>
            <rFont val="Tahoma"/>
            <family val="2"/>
          </rPr>
          <t xml:space="preserve">
Comping margin improvement initiative spend</t>
        </r>
      </text>
    </comment>
    <comment ref="BZ753" authorId="0">
      <text>
        <r>
          <rPr>
            <b/>
            <sz val="9"/>
            <color indexed="81"/>
            <rFont val="Tahoma"/>
            <family val="2"/>
          </rPr>
          <t>Savino, Mark (Research):</t>
        </r>
        <r>
          <rPr>
            <sz val="9"/>
            <color indexed="81"/>
            <rFont val="Tahoma"/>
            <family val="2"/>
          </rPr>
          <t xml:space="preserve">
Synergies as a result of PENN/PNK merger</t>
        </r>
      </text>
    </comment>
    <comment ref="N763" authorId="13">
      <text>
        <r>
          <rPr>
            <b/>
            <sz val="8"/>
            <color indexed="81"/>
            <rFont val="Tahoma"/>
            <family val="2"/>
          </rPr>
          <t>urbankev:</t>
        </r>
        <r>
          <rPr>
            <sz val="8"/>
            <color indexed="81"/>
            <rFont val="Tahoma"/>
            <family val="2"/>
          </rPr>
          <t xml:space="preserve">
reopened on 6/29/06</t>
        </r>
      </text>
    </comment>
    <comment ref="P763" authorId="25">
      <text>
        <r>
          <rPr>
            <b/>
            <sz val="10"/>
            <color indexed="81"/>
            <rFont val="Tahoma"/>
            <family val="2"/>
          </rPr>
          <t>Thallen:</t>
        </r>
        <r>
          <rPr>
            <sz val="10"/>
            <color indexed="81"/>
            <rFont val="Tahoma"/>
            <family val="2"/>
          </rPr>
          <t xml:space="preserve">
From DB presentation, 2/17/07</t>
        </r>
      </text>
    </comment>
    <comment ref="P764" authorId="25">
      <text>
        <r>
          <rPr>
            <b/>
            <sz val="10"/>
            <color indexed="81"/>
            <rFont val="Tahoma"/>
            <family val="2"/>
          </rPr>
          <t>Thallen:</t>
        </r>
        <r>
          <rPr>
            <sz val="10"/>
            <color indexed="81"/>
            <rFont val="Tahoma"/>
            <family val="2"/>
          </rPr>
          <t xml:space="preserve">
From DB presentation, 2/17/07</t>
        </r>
      </text>
    </comment>
    <comment ref="C765" authorId="13">
      <text>
        <r>
          <rPr>
            <b/>
            <sz val="8"/>
            <color indexed="81"/>
            <rFont val="Tahoma"/>
            <family val="2"/>
          </rPr>
          <t>urbankev:</t>
        </r>
        <r>
          <rPr>
            <sz val="8"/>
            <color indexed="81"/>
            <rFont val="Tahoma"/>
            <family val="2"/>
          </rPr>
          <t xml:space="preserve">
per old Penn model</t>
        </r>
      </text>
    </comment>
    <comment ref="AO768" authorId="17">
      <text>
        <r>
          <rPr>
            <b/>
            <sz val="8"/>
            <color indexed="81"/>
            <rFont val="Tahoma"/>
            <family val="2"/>
          </rPr>
          <t>thallen:</t>
        </r>
        <r>
          <rPr>
            <sz val="8"/>
            <color indexed="81"/>
            <rFont val="Tahoma"/>
            <family val="2"/>
          </rPr>
          <t xml:space="preserve">
Tough comp</t>
        </r>
      </text>
    </comment>
    <comment ref="AR768" authorId="2">
      <text>
        <r>
          <rPr>
            <b/>
            <sz val="8"/>
            <color indexed="81"/>
            <rFont val="Tahoma"/>
            <family val="2"/>
          </rPr>
          <t>AM: 2/2/12:</t>
        </r>
        <r>
          <rPr>
            <sz val="8"/>
            <color indexed="81"/>
            <rFont val="Tahoma"/>
            <family val="2"/>
          </rPr>
          <t xml:space="preserve">
Margaritaville Biloxi opens in May. </t>
        </r>
      </text>
    </comment>
    <comment ref="BA768" authorId="0">
      <text>
        <r>
          <rPr>
            <b/>
            <sz val="9"/>
            <color indexed="81"/>
            <rFont val="Tahoma"/>
            <family val="2"/>
          </rPr>
          <t>Savino, Mark (Research):</t>
        </r>
        <r>
          <rPr>
            <sz val="9"/>
            <color indexed="81"/>
            <rFont val="Tahoma"/>
            <family val="2"/>
          </rPr>
          <t xml:space="preserve">
Weak January</t>
        </r>
      </text>
    </comment>
    <comment ref="BD768" authorId="0">
      <text>
        <r>
          <rPr>
            <b/>
            <sz val="9"/>
            <color indexed="81"/>
            <rFont val="Tahoma"/>
            <family val="2"/>
          </rPr>
          <t>Savino, Mark (Research):</t>
        </r>
        <r>
          <rPr>
            <sz val="9"/>
            <color indexed="81"/>
            <rFont val="Tahoma"/>
            <family val="2"/>
          </rPr>
          <t xml:space="preserve">
Lapping weak Dec</t>
        </r>
      </text>
    </comment>
    <comment ref="BI768" authorId="0">
      <text>
        <r>
          <rPr>
            <b/>
            <sz val="9"/>
            <color indexed="81"/>
            <rFont val="Tahoma"/>
            <family val="2"/>
          </rPr>
          <t>Savino, Mark (Research):</t>
        </r>
        <r>
          <rPr>
            <sz val="9"/>
            <color indexed="81"/>
            <rFont val="Tahoma"/>
            <family val="2"/>
          </rPr>
          <t xml:space="preserve">
Scarlet Pearl opened in D'Iberville on 12/9/15 (5 minutes away)</t>
        </r>
      </text>
    </comment>
    <comment ref="BK768" authorId="0">
      <text>
        <r>
          <rPr>
            <b/>
            <sz val="9"/>
            <color indexed="81"/>
            <rFont val="Tahoma"/>
            <family val="2"/>
          </rPr>
          <t>Savino, Mark (Research):</t>
        </r>
        <r>
          <rPr>
            <sz val="9"/>
            <color indexed="81"/>
            <rFont val="Tahoma"/>
            <family val="2"/>
          </rPr>
          <t xml:space="preserve">
Scarlet Pearl opened in D'Iberville on 12/9/15 (5 minutes away)</t>
        </r>
      </text>
    </comment>
    <comment ref="BL768" authorId="0">
      <text>
        <r>
          <rPr>
            <b/>
            <sz val="9"/>
            <color indexed="81"/>
            <rFont val="Tahoma"/>
            <family val="2"/>
          </rPr>
          <t>Savino, Mark (Research):</t>
        </r>
        <r>
          <rPr>
            <sz val="9"/>
            <color indexed="81"/>
            <rFont val="Tahoma"/>
            <family val="2"/>
          </rPr>
          <t xml:space="preserve">
Scarlet Pearl opened in D'Iberville on 12/9/15 (5 minutes away)</t>
        </r>
      </text>
    </comment>
    <comment ref="BM768" authorId="0">
      <text>
        <r>
          <rPr>
            <b/>
            <sz val="9"/>
            <color indexed="81"/>
            <rFont val="Tahoma"/>
            <family val="2"/>
          </rPr>
          <t>Savino, Mark (Research):</t>
        </r>
        <r>
          <rPr>
            <sz val="9"/>
            <color indexed="81"/>
            <rFont val="Tahoma"/>
            <family val="2"/>
          </rPr>
          <t xml:space="preserve">
Scarlet Pearl opened in D'Iberville on 12/9/15 (5 minutes away)</t>
        </r>
      </text>
    </comment>
    <comment ref="BN768" authorId="0">
      <text>
        <r>
          <rPr>
            <b/>
            <sz val="9"/>
            <color indexed="81"/>
            <rFont val="Tahoma"/>
            <family val="2"/>
          </rPr>
          <t>Savino, Mark (Research):</t>
        </r>
        <r>
          <rPr>
            <sz val="9"/>
            <color indexed="81"/>
            <rFont val="Tahoma"/>
            <family val="2"/>
          </rPr>
          <t xml:space="preserve">
Scarlet Pearl opened in D'Iberville on 12/9/15 (5 minutes away)</t>
        </r>
      </text>
    </comment>
    <comment ref="BO768" authorId="0">
      <text>
        <r>
          <rPr>
            <b/>
            <sz val="9"/>
            <color indexed="81"/>
            <rFont val="Tahoma"/>
            <family val="2"/>
          </rPr>
          <t>Savino, Mark (Research):</t>
        </r>
        <r>
          <rPr>
            <sz val="9"/>
            <color indexed="81"/>
            <rFont val="Tahoma"/>
            <family val="2"/>
          </rPr>
          <t xml:space="preserve">
Scarlet Pearl opened in D'Iberville on 12/9/15 (5 minutes away)</t>
        </r>
      </text>
    </comment>
    <comment ref="BS768" authorId="0">
      <text>
        <r>
          <rPr>
            <b/>
            <sz val="9"/>
            <color indexed="81"/>
            <rFont val="Tahoma"/>
            <family val="2"/>
          </rPr>
          <t>Savino, Mark (Research):</t>
        </r>
        <r>
          <rPr>
            <sz val="9"/>
            <color indexed="81"/>
            <rFont val="Tahoma"/>
            <family val="2"/>
          </rPr>
          <t xml:space="preserve">
Per 3Q17 call, had to close property during big event weekend as a result of Hurricane Nate</t>
        </r>
      </text>
    </comment>
    <comment ref="BX768" authorId="0">
      <text>
        <r>
          <rPr>
            <b/>
            <sz val="9"/>
            <color indexed="81"/>
            <rFont val="Tahoma"/>
            <family val="2"/>
          </rPr>
          <t>Savino, Mark (Research):</t>
        </r>
        <r>
          <rPr>
            <sz val="9"/>
            <color indexed="81"/>
            <rFont val="Tahoma"/>
            <family val="2"/>
          </rPr>
          <t xml:space="preserve">
Lapping weekend closure from Hurricane Nate in 4Q17</t>
        </r>
      </text>
    </comment>
    <comment ref="AT772"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AY772"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BD772" authorId="0">
      <text>
        <r>
          <rPr>
            <b/>
            <sz val="9"/>
            <color indexed="81"/>
            <rFont val="Tahoma"/>
            <family val="2"/>
          </rPr>
          <t>Savino, Mark (Research):</t>
        </r>
        <r>
          <rPr>
            <sz val="9"/>
            <color indexed="81"/>
            <rFont val="Tahoma"/>
            <family val="2"/>
          </rPr>
          <t xml:space="preserve">
Combined property operations between Bay St. Louis and Boomtown</t>
        </r>
      </text>
    </comment>
    <comment ref="BZ772" authorId="0">
      <text>
        <r>
          <rPr>
            <b/>
            <sz val="9"/>
            <color indexed="81"/>
            <rFont val="Tahoma"/>
            <family val="2"/>
          </rPr>
          <t>Savino, Mark (Research):</t>
        </r>
        <r>
          <rPr>
            <sz val="9"/>
            <color indexed="81"/>
            <rFont val="Tahoma"/>
            <family val="2"/>
          </rPr>
          <t xml:space="preserve">
Synergies as a result of PENN/PNK merger</t>
        </r>
      </text>
    </comment>
    <comment ref="Y777" authorId="24">
      <text>
        <r>
          <rPr>
            <b/>
            <sz val="10"/>
            <color indexed="81"/>
            <rFont val="Tahoma"/>
            <family val="2"/>
          </rPr>
          <t>Thallen:</t>
        </r>
        <r>
          <rPr>
            <sz val="10"/>
            <color indexed="81"/>
            <rFont val="Tahoma"/>
            <family val="2"/>
          </rPr>
          <t xml:space="preserve">
Parking facility, assume $40mm of $310mm total</t>
        </r>
      </text>
    </comment>
    <comment ref="Z777" authorId="24">
      <text>
        <r>
          <rPr>
            <b/>
            <sz val="10"/>
            <color indexed="81"/>
            <rFont val="Tahoma"/>
            <family val="2"/>
          </rPr>
          <t>Thallen:</t>
        </r>
        <r>
          <rPr>
            <sz val="10"/>
            <color indexed="81"/>
            <rFont val="Tahoma"/>
            <family val="2"/>
          </rPr>
          <t xml:space="preserve">
Parking facility, assume $40mm of $310mm total</t>
        </r>
      </text>
    </comment>
    <comment ref="AN794" authorId="22">
      <text>
        <r>
          <rPr>
            <b/>
            <sz val="8"/>
            <color indexed="81"/>
            <rFont val="Tahoma"/>
            <family val="2"/>
          </rPr>
          <t>AM: 4/21/11:</t>
        </r>
        <r>
          <rPr>
            <sz val="8"/>
            <color indexed="81"/>
            <rFont val="Tahoma"/>
            <family val="2"/>
          </rPr>
          <t xml:space="preserve">
Assume Des Plaines casino opens in July 2011.</t>
        </r>
      </text>
    </comment>
    <comment ref="BA794" authorId="0">
      <text>
        <r>
          <rPr>
            <b/>
            <sz val="9"/>
            <color indexed="81"/>
            <rFont val="Tahoma"/>
            <family val="2"/>
          </rPr>
          <t>Savino, Mark (Research):</t>
        </r>
        <r>
          <rPr>
            <sz val="9"/>
            <color indexed="81"/>
            <rFont val="Tahoma"/>
            <family val="2"/>
          </rPr>
          <t xml:space="preserve">
Per operators, January off to very weak start</t>
        </r>
      </text>
    </comment>
    <comment ref="BD794" authorId="0">
      <text>
        <r>
          <rPr>
            <b/>
            <sz val="9"/>
            <color indexed="81"/>
            <rFont val="Tahoma"/>
            <family val="2"/>
          </rPr>
          <t>Savino, Mark (Research):</t>
        </r>
        <r>
          <rPr>
            <sz val="9"/>
            <color indexed="81"/>
            <rFont val="Tahoma"/>
            <family val="2"/>
          </rPr>
          <t xml:space="preserve">
Lapping weak Dec 2013</t>
        </r>
      </text>
    </comment>
    <comment ref="BJ794" authorId="8">
      <text>
        <r>
          <rPr>
            <b/>
            <sz val="9"/>
            <color indexed="81"/>
            <rFont val="Tahoma"/>
            <family val="2"/>
          </rPr>
          <t>Allen, Thomas (Research):</t>
        </r>
        <r>
          <rPr>
            <sz val="9"/>
            <color indexed="81"/>
            <rFont val="Tahoma"/>
            <family val="2"/>
          </rPr>
          <t xml:space="preserve">
VLT impact</t>
        </r>
      </text>
    </comment>
    <comment ref="K796" authorId="13">
      <text>
        <r>
          <rPr>
            <b/>
            <sz val="8"/>
            <color indexed="81"/>
            <rFont val="Tahoma"/>
            <family val="2"/>
          </rPr>
          <t>urbankev:</t>
        </r>
        <r>
          <rPr>
            <sz val="8"/>
            <color indexed="81"/>
            <rFont val="Tahoma"/>
            <family val="2"/>
          </rPr>
          <t xml:space="preserve">
per Q4 2005 press release</t>
        </r>
      </text>
    </comment>
    <comment ref="BW801" authorId="8">
      <text>
        <r>
          <rPr>
            <b/>
            <sz val="9"/>
            <color indexed="81"/>
            <rFont val="Tahoma"/>
            <family val="2"/>
          </rPr>
          <t>Allen, Thomas (Research):</t>
        </r>
        <r>
          <rPr>
            <sz val="9"/>
            <color indexed="81"/>
            <rFont val="Tahoma"/>
            <family val="2"/>
          </rPr>
          <t xml:space="preserve">
Comping margin improvement initiative spend</t>
        </r>
      </text>
    </comment>
    <comment ref="BZ801" authorId="0">
      <text>
        <r>
          <rPr>
            <b/>
            <sz val="9"/>
            <color indexed="81"/>
            <rFont val="Tahoma"/>
            <family val="2"/>
          </rPr>
          <t>Savino, Mark (Research):</t>
        </r>
        <r>
          <rPr>
            <sz val="9"/>
            <color indexed="81"/>
            <rFont val="Tahoma"/>
            <family val="2"/>
          </rPr>
          <t xml:space="preserve">
Synergies as a result of PENN/PNK merger</t>
        </r>
      </text>
    </comment>
    <comment ref="A813" authorId="17">
      <text>
        <r>
          <rPr>
            <b/>
            <sz val="8"/>
            <color indexed="81"/>
            <rFont val="Tahoma"/>
            <family val="2"/>
          </rPr>
          <t>thallen:</t>
        </r>
        <r>
          <rPr>
            <sz val="8"/>
            <color indexed="81"/>
            <rFont val="Tahoma"/>
            <family val="2"/>
          </rPr>
          <t xml:space="preserve">
Previously Empress Argosy</t>
        </r>
      </text>
    </comment>
    <comment ref="AC815" authorId="13">
      <text>
        <r>
          <rPr>
            <b/>
            <sz val="8"/>
            <color indexed="81"/>
            <rFont val="Tahoma"/>
            <family val="2"/>
          </rPr>
          <t>urbankev:</t>
        </r>
        <r>
          <rPr>
            <sz val="8"/>
            <color indexed="81"/>
            <rFont val="Tahoma"/>
            <family val="2"/>
          </rPr>
          <t xml:space="preserve">
due to fire. Closed March 20th, reopened June 25</t>
        </r>
      </text>
    </comment>
    <comment ref="C817" authorId="13">
      <text>
        <r>
          <rPr>
            <b/>
            <sz val="8"/>
            <color indexed="81"/>
            <rFont val="Tahoma"/>
            <family val="2"/>
          </rPr>
          <t>urbankev:</t>
        </r>
        <r>
          <rPr>
            <sz val="8"/>
            <color indexed="81"/>
            <rFont val="Tahoma"/>
            <family val="2"/>
          </rPr>
          <t xml:space="preserve">
per old Penn model</t>
        </r>
      </text>
    </comment>
    <comment ref="AJ825" authorId="13">
      <text>
        <r>
          <rPr>
            <b/>
            <sz val="8"/>
            <color indexed="81"/>
            <rFont val="Tahoma"/>
            <family val="2"/>
          </rPr>
          <t>urbankev:</t>
        </r>
        <r>
          <rPr>
            <sz val="8"/>
            <color indexed="81"/>
            <rFont val="Tahoma"/>
            <family val="2"/>
          </rPr>
          <t xml:space="preserve">
expansion opens</t>
        </r>
      </text>
    </comment>
    <comment ref="AN825" authorId="22">
      <text>
        <r>
          <rPr>
            <b/>
            <sz val="8"/>
            <color indexed="81"/>
            <rFont val="Tahoma"/>
            <family val="2"/>
          </rPr>
          <t>AM: 4/21/11:</t>
        </r>
        <r>
          <rPr>
            <sz val="8"/>
            <color indexed="81"/>
            <rFont val="Tahoma"/>
            <family val="2"/>
          </rPr>
          <t xml:space="preserve">
Assume some impact from Des Plaines casino opening in July.</t>
        </r>
      </text>
    </comment>
    <comment ref="BA825" authorId="0">
      <text>
        <r>
          <rPr>
            <b/>
            <sz val="9"/>
            <color indexed="81"/>
            <rFont val="Tahoma"/>
            <family val="2"/>
          </rPr>
          <t>Savino, Mark (Research):</t>
        </r>
        <r>
          <rPr>
            <sz val="9"/>
            <color indexed="81"/>
            <rFont val="Tahoma"/>
            <family val="2"/>
          </rPr>
          <t xml:space="preserve">
Per operators, January off to very weak start</t>
        </r>
      </text>
    </comment>
    <comment ref="BD825" authorId="0">
      <text>
        <r>
          <rPr>
            <b/>
            <sz val="9"/>
            <color indexed="81"/>
            <rFont val="Tahoma"/>
            <family val="2"/>
          </rPr>
          <t>Savino, Mark (Research):</t>
        </r>
        <r>
          <rPr>
            <sz val="9"/>
            <color indexed="81"/>
            <rFont val="Tahoma"/>
            <family val="2"/>
          </rPr>
          <t xml:space="preserve">
Lapping weak Dec 2013</t>
        </r>
      </text>
    </comment>
    <comment ref="BY825" authorId="0">
      <text>
        <r>
          <rPr>
            <b/>
            <sz val="9"/>
            <color indexed="81"/>
            <rFont val="Tahoma"/>
            <family val="2"/>
          </rPr>
          <t>Savino, Mark (Research):</t>
        </r>
        <r>
          <rPr>
            <sz val="9"/>
            <color indexed="81"/>
            <rFont val="Tahoma"/>
            <family val="2"/>
          </rPr>
          <t xml:space="preserve">
Risk of further onground expansion in IL, not factored into base case</t>
        </r>
      </text>
    </comment>
    <comment ref="BG832" authorId="0">
      <text>
        <r>
          <rPr>
            <b/>
            <sz val="9"/>
            <color indexed="81"/>
            <rFont val="Tahoma"/>
            <family val="2"/>
          </rPr>
          <t>Savino, Mark (Research):</t>
        </r>
        <r>
          <rPr>
            <sz val="9"/>
            <color indexed="81"/>
            <rFont val="Tahoma"/>
            <family val="2"/>
          </rPr>
          <t xml:space="preserve">
Harrah's pulling back on re-investment and marketing</t>
        </r>
      </text>
    </comment>
    <comment ref="BW832" authorId="8">
      <text>
        <r>
          <rPr>
            <b/>
            <sz val="9"/>
            <color indexed="81"/>
            <rFont val="Tahoma"/>
            <family val="2"/>
          </rPr>
          <t>Allen, Thomas (Research):</t>
        </r>
        <r>
          <rPr>
            <sz val="9"/>
            <color indexed="81"/>
            <rFont val="Tahoma"/>
            <family val="2"/>
          </rPr>
          <t xml:space="preserve">
Comping margin improvement initiative spend</t>
        </r>
      </text>
    </comment>
    <comment ref="BZ832" authorId="0">
      <text>
        <r>
          <rPr>
            <b/>
            <sz val="9"/>
            <color indexed="81"/>
            <rFont val="Tahoma"/>
            <family val="2"/>
          </rPr>
          <t>Savino, Mark (Research):</t>
        </r>
        <r>
          <rPr>
            <sz val="9"/>
            <color indexed="81"/>
            <rFont val="Tahoma"/>
            <family val="2"/>
          </rPr>
          <t xml:space="preserve">
Synergies as a result of PENN/PNK merger</t>
        </r>
      </text>
    </comment>
    <comment ref="AL837" authorId="22">
      <text>
        <r>
          <rPr>
            <b/>
            <sz val="8"/>
            <color indexed="81"/>
            <rFont val="Tahoma"/>
            <family val="2"/>
          </rPr>
          <t>AM: 4/21/11:</t>
        </r>
        <r>
          <rPr>
            <sz val="8"/>
            <color indexed="81"/>
            <rFont val="Tahoma"/>
            <family val="2"/>
          </rPr>
          <t xml:space="preserve">
$850k of bad debt and legal expenses that won't recur. 
Also closed for 1.5 days due to weather</t>
        </r>
      </text>
    </comment>
    <comment ref="P846" authorId="25">
      <text>
        <r>
          <rPr>
            <b/>
            <sz val="10"/>
            <color indexed="81"/>
            <rFont val="Tahoma"/>
            <family val="2"/>
          </rPr>
          <t>Thallen:</t>
        </r>
        <r>
          <rPr>
            <sz val="10"/>
            <color indexed="81"/>
            <rFont val="Tahoma"/>
            <family val="2"/>
          </rPr>
          <t xml:space="preserve">
From DB presentation, 2/17/07</t>
        </r>
      </text>
    </comment>
    <comment ref="P847" authorId="25">
      <text>
        <r>
          <rPr>
            <b/>
            <sz val="10"/>
            <color indexed="81"/>
            <rFont val="Tahoma"/>
            <family val="2"/>
          </rPr>
          <t>Thallen:</t>
        </r>
        <r>
          <rPr>
            <sz val="10"/>
            <color indexed="81"/>
            <rFont val="Tahoma"/>
            <family val="2"/>
          </rPr>
          <t xml:space="preserve">
From DB presentation, 2/17/07</t>
        </r>
      </text>
    </comment>
    <comment ref="C848" authorId="13">
      <text>
        <r>
          <rPr>
            <b/>
            <sz val="8"/>
            <color indexed="81"/>
            <rFont val="Tahoma"/>
            <family val="2"/>
          </rPr>
          <t>urbankev:</t>
        </r>
        <r>
          <rPr>
            <sz val="8"/>
            <color indexed="81"/>
            <rFont val="Tahoma"/>
            <family val="2"/>
          </rPr>
          <t xml:space="preserve">
per old Penn model</t>
        </r>
      </text>
    </comment>
    <comment ref="AW856" authorId="17">
      <text>
        <r>
          <rPr>
            <b/>
            <sz val="8"/>
            <color indexed="81"/>
            <rFont val="Tahoma"/>
            <family val="2"/>
          </rPr>
          <t>thallen:</t>
        </r>
        <r>
          <rPr>
            <sz val="8"/>
            <color indexed="81"/>
            <rFont val="Tahoma"/>
            <family val="2"/>
          </rPr>
          <t xml:space="preserve">
Closed first week of June b/c of flooding</t>
        </r>
      </text>
    </comment>
    <comment ref="BA856" authorId="0">
      <text>
        <r>
          <rPr>
            <b/>
            <sz val="9"/>
            <color indexed="81"/>
            <rFont val="Tahoma"/>
            <family val="2"/>
          </rPr>
          <t>Savino, Mark (Research):</t>
        </r>
        <r>
          <rPr>
            <sz val="9"/>
            <color indexed="81"/>
            <rFont val="Tahoma"/>
            <family val="2"/>
          </rPr>
          <t xml:space="preserve">
Per operators, January off to very weak start</t>
        </r>
      </text>
    </comment>
    <comment ref="BB856" authorId="17">
      <text>
        <r>
          <rPr>
            <b/>
            <sz val="8"/>
            <color indexed="81"/>
            <rFont val="Tahoma"/>
            <family val="2"/>
          </rPr>
          <t>thallen:</t>
        </r>
        <r>
          <rPr>
            <sz val="8"/>
            <color indexed="81"/>
            <rFont val="Tahoma"/>
            <family val="2"/>
          </rPr>
          <t xml:space="preserve">
Closed first week of June 2013 b/c of flooding</t>
        </r>
      </text>
    </comment>
    <comment ref="BD856" authorId="0">
      <text>
        <r>
          <rPr>
            <b/>
            <sz val="9"/>
            <color indexed="81"/>
            <rFont val="Tahoma"/>
            <family val="2"/>
          </rPr>
          <t>Savino, Mark (Research):</t>
        </r>
        <r>
          <rPr>
            <sz val="9"/>
            <color indexed="81"/>
            <rFont val="Tahoma"/>
            <family val="2"/>
          </rPr>
          <t xml:space="preserve">
Lapping weak Dec 2013</t>
        </r>
      </text>
    </comment>
    <comment ref="BJ856" authorId="8">
      <text>
        <r>
          <rPr>
            <b/>
            <sz val="9"/>
            <color indexed="81"/>
            <rFont val="Tahoma"/>
            <family val="2"/>
          </rPr>
          <t>Allen, Thomas (Research):</t>
        </r>
        <r>
          <rPr>
            <sz val="9"/>
            <color indexed="81"/>
            <rFont val="Tahoma"/>
            <family val="2"/>
          </rPr>
          <t xml:space="preserve">
Continued VLT impact</t>
        </r>
      </text>
    </comment>
    <comment ref="BK856" authorId="0">
      <text>
        <r>
          <rPr>
            <b/>
            <sz val="9"/>
            <color indexed="81"/>
            <rFont val="Tahoma"/>
            <family val="2"/>
          </rPr>
          <t>Savino, Mark (Research):</t>
        </r>
        <r>
          <rPr>
            <sz val="9"/>
            <color indexed="81"/>
            <rFont val="Tahoma"/>
            <family val="2"/>
          </rPr>
          <t xml:space="preserve">
Per 4Q15 call, impacted by flooding in January</t>
        </r>
      </text>
    </comment>
    <comment ref="BP856" authorId="8">
      <text>
        <r>
          <rPr>
            <b/>
            <sz val="9"/>
            <color indexed="81"/>
            <rFont val="Tahoma"/>
            <family val="2"/>
          </rPr>
          <t>Allen, Thomas (Research):</t>
        </r>
        <r>
          <rPr>
            <sz val="9"/>
            <color indexed="81"/>
            <rFont val="Tahoma"/>
            <family val="2"/>
          </rPr>
          <t xml:space="preserve">
Comping flooding</t>
        </r>
      </text>
    </comment>
    <comment ref="BQ856" authorId="0">
      <text>
        <r>
          <rPr>
            <b/>
            <sz val="9"/>
            <color indexed="81"/>
            <rFont val="Tahoma"/>
            <family val="2"/>
          </rPr>
          <t>Savino, Mark (Research):</t>
        </r>
        <r>
          <rPr>
            <sz val="9"/>
            <color indexed="81"/>
            <rFont val="Tahoma"/>
            <family val="2"/>
          </rPr>
          <t xml:space="preserve">
Per 2Q call, negatively impacted by flooding in the qtr</t>
        </r>
      </text>
    </comment>
    <comment ref="BV856" authorId="0">
      <text>
        <r>
          <rPr>
            <b/>
            <sz val="9"/>
            <color indexed="81"/>
            <rFont val="Tahoma"/>
            <family val="2"/>
          </rPr>
          <t>Savino, Mark (Research):</t>
        </r>
        <r>
          <rPr>
            <sz val="9"/>
            <color indexed="81"/>
            <rFont val="Tahoma"/>
            <family val="2"/>
          </rPr>
          <t xml:space="preserve">
Lapping flooding last year</t>
        </r>
      </text>
    </comment>
    <comment ref="BY856" authorId="0">
      <text>
        <r>
          <rPr>
            <b/>
            <sz val="9"/>
            <color indexed="81"/>
            <rFont val="Tahoma"/>
            <family val="2"/>
          </rPr>
          <t>Savino, Mark (Research):</t>
        </r>
        <r>
          <rPr>
            <sz val="9"/>
            <color indexed="81"/>
            <rFont val="Tahoma"/>
            <family val="2"/>
          </rPr>
          <t xml:space="preserve">
Risk of further onground expansion in IL, not factored into base case</t>
        </r>
      </text>
    </comment>
    <comment ref="K858" authorId="13">
      <text>
        <r>
          <rPr>
            <b/>
            <sz val="8"/>
            <color indexed="81"/>
            <rFont val="Tahoma"/>
            <family val="2"/>
          </rPr>
          <t>urbankev:</t>
        </r>
        <r>
          <rPr>
            <sz val="8"/>
            <color indexed="81"/>
            <rFont val="Tahoma"/>
            <family val="2"/>
          </rPr>
          <t xml:space="preserve">
per Q4 2005 press release</t>
        </r>
      </text>
    </comment>
    <comment ref="BW863" authorId="8">
      <text>
        <r>
          <rPr>
            <b/>
            <sz val="9"/>
            <color indexed="81"/>
            <rFont val="Tahoma"/>
            <family val="2"/>
          </rPr>
          <t>Allen, Thomas (Research):</t>
        </r>
        <r>
          <rPr>
            <sz val="9"/>
            <color indexed="81"/>
            <rFont val="Tahoma"/>
            <family val="2"/>
          </rPr>
          <t xml:space="preserve">
Comping margin improvement initiative spend</t>
        </r>
      </text>
    </comment>
    <comment ref="BZ863" authorId="0">
      <text>
        <r>
          <rPr>
            <b/>
            <sz val="9"/>
            <color indexed="81"/>
            <rFont val="Tahoma"/>
            <family val="2"/>
          </rPr>
          <t>Savino, Mark (Research):</t>
        </r>
        <r>
          <rPr>
            <sz val="9"/>
            <color indexed="81"/>
            <rFont val="Tahoma"/>
            <family val="2"/>
          </rPr>
          <t xml:space="preserve">
Synergies as a result of PENN/PNK merger</t>
        </r>
      </text>
    </comment>
    <comment ref="T868" authorId="25">
      <text>
        <r>
          <rPr>
            <b/>
            <sz val="10"/>
            <color indexed="81"/>
            <rFont val="Tahoma"/>
            <family val="2"/>
          </rPr>
          <t>Thallen:</t>
        </r>
        <r>
          <rPr>
            <sz val="10"/>
            <color indexed="81"/>
            <rFont val="Tahoma"/>
            <family val="2"/>
          </rPr>
          <t xml:space="preserve">
High hold</t>
        </r>
      </text>
    </comment>
    <comment ref="P877" authorId="25">
      <text>
        <r>
          <rPr>
            <b/>
            <sz val="10"/>
            <color indexed="81"/>
            <rFont val="Tahoma"/>
            <family val="2"/>
          </rPr>
          <t>Thallen:</t>
        </r>
        <r>
          <rPr>
            <sz val="10"/>
            <color indexed="81"/>
            <rFont val="Tahoma"/>
            <family val="2"/>
          </rPr>
          <t xml:space="preserve">
From DB presentation, 2/17/07</t>
        </r>
      </text>
    </comment>
    <comment ref="AD877" authorId="17">
      <text>
        <r>
          <rPr>
            <b/>
            <sz val="8"/>
            <color indexed="81"/>
            <rFont val="Tahoma"/>
            <family val="2"/>
          </rPr>
          <t>thallen:</t>
        </r>
        <r>
          <rPr>
            <sz val="8"/>
            <color indexed="81"/>
            <rFont val="Tahoma"/>
            <family val="2"/>
          </rPr>
          <t xml:space="preserve">
Opened up expansion</t>
        </r>
      </text>
    </comment>
    <comment ref="P878" authorId="25">
      <text>
        <r>
          <rPr>
            <b/>
            <sz val="10"/>
            <color indexed="81"/>
            <rFont val="Tahoma"/>
            <family val="2"/>
          </rPr>
          <t>Thallen:</t>
        </r>
        <r>
          <rPr>
            <sz val="10"/>
            <color indexed="81"/>
            <rFont val="Tahoma"/>
            <family val="2"/>
          </rPr>
          <t xml:space="preserve">
From DB presentation, 2/17/07</t>
        </r>
      </text>
    </comment>
    <comment ref="C879" authorId="13">
      <text>
        <r>
          <rPr>
            <b/>
            <sz val="8"/>
            <color indexed="81"/>
            <rFont val="Tahoma"/>
            <family val="2"/>
          </rPr>
          <t>urbankev:</t>
        </r>
        <r>
          <rPr>
            <sz val="8"/>
            <color indexed="81"/>
            <rFont val="Tahoma"/>
            <family val="2"/>
          </rPr>
          <t xml:space="preserve">
per old Penn model</t>
        </r>
      </text>
    </comment>
    <comment ref="R881" authorId="18">
      <text>
        <r>
          <rPr>
            <b/>
            <sz val="8"/>
            <color indexed="81"/>
            <rFont val="Tahoma"/>
            <family val="2"/>
          </rPr>
          <t>Celeste Brown:</t>
        </r>
        <r>
          <rPr>
            <sz val="8"/>
            <color indexed="81"/>
            <rFont val="Tahoma"/>
            <family val="2"/>
          </rPr>
          <t xml:space="preserve">
Construction disruption</t>
        </r>
      </text>
    </comment>
    <comment ref="S881" authorId="18">
      <text>
        <r>
          <rPr>
            <b/>
            <sz val="8"/>
            <color indexed="81"/>
            <rFont val="Tahoma"/>
            <family val="2"/>
          </rPr>
          <t>Celeste Brown:</t>
        </r>
        <r>
          <rPr>
            <sz val="8"/>
            <color indexed="81"/>
            <rFont val="Tahoma"/>
            <family val="2"/>
          </rPr>
          <t xml:space="preserve">
Construction disruption</t>
        </r>
      </text>
    </comment>
    <comment ref="T881" authorId="18">
      <text>
        <r>
          <rPr>
            <b/>
            <sz val="8"/>
            <color indexed="81"/>
            <rFont val="Tahoma"/>
            <family val="2"/>
          </rPr>
          <t>Celeste Brown:</t>
        </r>
        <r>
          <rPr>
            <sz val="8"/>
            <color indexed="81"/>
            <rFont val="Tahoma"/>
            <family val="2"/>
          </rPr>
          <t xml:space="preserve">
Construction disruption</t>
        </r>
      </text>
    </comment>
    <comment ref="U881" authorId="18">
      <text>
        <r>
          <rPr>
            <b/>
            <sz val="8"/>
            <color indexed="81"/>
            <rFont val="Tahoma"/>
            <family val="2"/>
          </rPr>
          <t>Celeste Brown:</t>
        </r>
        <r>
          <rPr>
            <sz val="8"/>
            <color indexed="81"/>
            <rFont val="Tahoma"/>
            <family val="2"/>
          </rPr>
          <t xml:space="preserve">
Construction disruption</t>
        </r>
      </text>
    </comment>
    <comment ref="Y881" authorId="18">
      <text>
        <r>
          <rPr>
            <b/>
            <sz val="10"/>
            <color indexed="81"/>
            <rFont val="Tahoma"/>
            <family val="2"/>
          </rPr>
          <t>Celeste Brown:</t>
        </r>
        <r>
          <rPr>
            <sz val="10"/>
            <color indexed="81"/>
            <rFont val="Tahoma"/>
            <family val="2"/>
          </rPr>
          <t xml:space="preserve">
Parking facility opens in 2Q08
Offset by new Indianapolis racinos opened in June 08</t>
        </r>
      </text>
    </comment>
    <comment ref="AI886" authorId="20">
      <text>
        <r>
          <rPr>
            <b/>
            <sz val="8"/>
            <color indexed="81"/>
            <rFont val="Tahoma"/>
            <family val="2"/>
          </rPr>
          <t>AM: 10/21/10:</t>
        </r>
        <r>
          <rPr>
            <sz val="8"/>
            <color indexed="81"/>
            <rFont val="Tahoma"/>
            <family val="2"/>
          </rPr>
          <t xml:space="preserve">
Annaversaried tough comps on opening of expansion in 3Q:09</t>
        </r>
      </text>
    </comment>
    <comment ref="AD887" authorId="17">
      <text>
        <r>
          <rPr>
            <b/>
            <sz val="8"/>
            <color indexed="81"/>
            <rFont val="Tahoma"/>
            <family val="2"/>
          </rPr>
          <t>thallen:</t>
        </r>
        <r>
          <rPr>
            <sz val="8"/>
            <color indexed="81"/>
            <rFont val="Tahoma"/>
            <family val="2"/>
          </rPr>
          <t xml:space="preserve">
Opened up expansion</t>
        </r>
      </text>
    </comment>
    <comment ref="AJ887" authorId="20">
      <text>
        <r>
          <rPr>
            <b/>
            <sz val="8"/>
            <color indexed="81"/>
            <rFont val="Tahoma"/>
            <family val="2"/>
          </rPr>
          <t>AM: 10/21/10:</t>
        </r>
        <r>
          <rPr>
            <sz val="8"/>
            <color indexed="81"/>
            <rFont val="Tahoma"/>
            <family val="2"/>
          </rPr>
          <t xml:space="preserve">
Competitor looking to sell is being promotional. </t>
        </r>
      </text>
    </comment>
    <comment ref="AR887" authorId="32">
      <text>
        <r>
          <rPr>
            <b/>
            <sz val="8"/>
            <color indexed="81"/>
            <rFont val="Tahoma"/>
            <family val="2"/>
          </rPr>
          <t>AM: 5/3/12:</t>
        </r>
        <r>
          <rPr>
            <sz val="8"/>
            <color indexed="81"/>
            <rFont val="Tahoma"/>
            <family val="2"/>
          </rPr>
          <t xml:space="preserve">
Scioto Downs opens June 1.</t>
        </r>
      </text>
    </comment>
    <comment ref="AS887" authorId="32">
      <text>
        <r>
          <rPr>
            <b/>
            <sz val="8"/>
            <color indexed="81"/>
            <rFont val="Tahoma"/>
            <family val="2"/>
          </rPr>
          <t>AM: 7/3/12:</t>
        </r>
        <r>
          <rPr>
            <sz val="8"/>
            <color indexed="81"/>
            <rFont val="Tahoma"/>
            <family val="2"/>
          </rPr>
          <t xml:space="preserve">
Scioto Downs impact</t>
        </r>
      </text>
    </comment>
    <comment ref="AT887" authorId="32">
      <text>
        <r>
          <rPr>
            <b/>
            <sz val="8"/>
            <color indexed="81"/>
            <rFont val="Tahoma"/>
            <family val="2"/>
          </rPr>
          <t>AM: 7/3/12:</t>
        </r>
        <r>
          <rPr>
            <sz val="8"/>
            <color indexed="81"/>
            <rFont val="Tahoma"/>
            <family val="2"/>
          </rPr>
          <t xml:space="preserve">
Scioto Downs impact</t>
        </r>
      </text>
    </comment>
    <comment ref="AV887" authorId="13">
      <text>
        <r>
          <rPr>
            <sz val="8"/>
            <color indexed="81"/>
            <rFont val="Tahoma"/>
            <family val="2"/>
          </rPr>
          <t>Horseshoe Casino Cincinnati opened March 4, 2013</t>
        </r>
      </text>
    </comment>
    <comment ref="AW887" authorId="13">
      <text>
        <r>
          <rPr>
            <sz val="8"/>
            <color indexed="81"/>
            <rFont val="Tahoma"/>
            <family val="2"/>
          </rPr>
          <t>Horseshoe Casino Cincinnati opened March 4, 2013
Per mgmt, never seen anyone be so promotional in 30 years</t>
        </r>
      </text>
    </comment>
    <comment ref="AX887" authorId="13">
      <text>
        <r>
          <rPr>
            <sz val="8"/>
            <color indexed="81"/>
            <rFont val="Tahoma"/>
            <family val="2"/>
          </rPr>
          <t>Horseshoe Casino Cincinnati opened March 4, 2013
Per mgmt, never seen anyone be so promotional in 30 years</t>
        </r>
      </text>
    </comment>
    <comment ref="AY887" authorId="13">
      <text>
        <r>
          <rPr>
            <sz val="8"/>
            <color indexed="81"/>
            <rFont val="Tahoma"/>
            <family val="2"/>
          </rPr>
          <t>Horseshoe Casino Cincinnati opened March 4, 2013
Per mgmt, never seen anyone be so promotional in 30 years</t>
        </r>
      </text>
    </comment>
    <comment ref="BB887" authorId="0">
      <text>
        <r>
          <rPr>
            <b/>
            <sz val="9"/>
            <color indexed="81"/>
            <rFont val="Tahoma"/>
            <family val="2"/>
          </rPr>
          <t>Savino, Mark (Research):</t>
        </r>
        <r>
          <rPr>
            <sz val="9"/>
            <color indexed="81"/>
            <rFont val="Tahoma"/>
            <family val="2"/>
          </rPr>
          <t xml:space="preserve">
PNK Belterra Park opening in May 2014, per mgmt it will impact Lawrenceburg
Also some impact from Miami Valley Racino
But less of an impact from new racinos than Horseshoe Cinci had</t>
        </r>
      </text>
    </comment>
    <comment ref="BC887" authorId="0">
      <text>
        <r>
          <rPr>
            <b/>
            <sz val="9"/>
            <color indexed="81"/>
            <rFont val="Tahoma"/>
            <family val="2"/>
          </rPr>
          <t>Savino, Mark (Research):</t>
        </r>
        <r>
          <rPr>
            <sz val="9"/>
            <color indexed="81"/>
            <rFont val="Tahoma"/>
            <family val="2"/>
          </rPr>
          <t xml:space="preserve">
PNK Belterra Park opening in May 2014, per mgmt it will impact Lawrenceburg
Also some impact from Miami Valley Racino
But less of an impact from new racinos than Horseshoe Cinci had</t>
        </r>
      </text>
    </comment>
    <comment ref="BD887" authorId="0">
      <text>
        <r>
          <rPr>
            <b/>
            <sz val="9"/>
            <color indexed="81"/>
            <rFont val="Tahoma"/>
            <family val="2"/>
          </rPr>
          <t>Savino, Mark (Research):</t>
        </r>
        <r>
          <rPr>
            <sz val="9"/>
            <color indexed="81"/>
            <rFont val="Tahoma"/>
            <family val="2"/>
          </rPr>
          <t xml:space="preserve">
PNK Belterra Park opening in May 2014, per mgmt it will impact Lawrenceburg
Also some impact from Miami Valley Racino
But less of an impact from new racinos than Horseshoe Cinci had</t>
        </r>
      </text>
    </comment>
    <comment ref="BE887" authorId="0">
      <text>
        <r>
          <rPr>
            <b/>
            <sz val="9"/>
            <color indexed="81"/>
            <rFont val="Tahoma"/>
            <family val="2"/>
          </rPr>
          <t>Savino, Mark (Research):</t>
        </r>
        <r>
          <rPr>
            <sz val="9"/>
            <color indexed="81"/>
            <rFont val="Tahoma"/>
            <family val="2"/>
          </rPr>
          <t xml:space="preserve">
PNK Belterra Park opening in May 2014, per mgmt it will impact Lawrenceburg
Also some impact from Miami Valley Racino
But less of an impact from new racinos than Horseshoe Cinci had</t>
        </r>
      </text>
    </comment>
    <comment ref="BH887" authorId="0">
      <text>
        <r>
          <rPr>
            <b/>
            <sz val="9"/>
            <color indexed="81"/>
            <rFont val="Tahoma"/>
            <family val="2"/>
          </rPr>
          <t>Savino, Mark (Research):</t>
        </r>
        <r>
          <rPr>
            <sz val="9"/>
            <color indexed="81"/>
            <rFont val="Tahoma"/>
            <family val="2"/>
          </rPr>
          <t xml:space="preserve">
Per 4Q call - had bridge construction in 3Q/4Q15 that has ended, seeing better trends in January</t>
        </r>
      </text>
    </comment>
    <comment ref="BI887" authorId="0">
      <text>
        <r>
          <rPr>
            <b/>
            <sz val="9"/>
            <color indexed="81"/>
            <rFont val="Tahoma"/>
            <family val="2"/>
          </rPr>
          <t>Savino, Mark (Research):</t>
        </r>
        <r>
          <rPr>
            <sz val="9"/>
            <color indexed="81"/>
            <rFont val="Tahoma"/>
            <family val="2"/>
          </rPr>
          <t xml:space="preserve">
Per 4Q call - had bridge construction in 3Q/4Q15 that has ended, seeing better trends in January</t>
        </r>
      </text>
    </comment>
    <comment ref="BJ887" authorId="0">
      <text>
        <r>
          <rPr>
            <b/>
            <sz val="9"/>
            <color indexed="81"/>
            <rFont val="Tahoma"/>
            <family val="2"/>
          </rPr>
          <t>Savino, Mark (Research):</t>
        </r>
        <r>
          <rPr>
            <sz val="9"/>
            <color indexed="81"/>
            <rFont val="Tahoma"/>
            <family val="2"/>
          </rPr>
          <t xml:space="preserve">
PNK Belterra Park opening in May 2014, per mgmt it will impact Lawrenceburg
Some impact from Miami Valley Racino</t>
        </r>
      </text>
    </comment>
    <comment ref="BK887" authorId="0">
      <text>
        <r>
          <rPr>
            <b/>
            <sz val="9"/>
            <color indexed="81"/>
            <rFont val="Tahoma"/>
            <family val="2"/>
          </rPr>
          <t>Savino, Mark (Research):</t>
        </r>
        <r>
          <rPr>
            <sz val="9"/>
            <color indexed="81"/>
            <rFont val="Tahoma"/>
            <family val="2"/>
          </rPr>
          <t xml:space="preserve">
Per 4Q call - had bridge construction in 3Q/4Q15 that has ended, seeing better trends in January</t>
        </r>
      </text>
    </comment>
    <comment ref="BM887" authorId="8">
      <text>
        <r>
          <rPr>
            <b/>
            <sz val="9"/>
            <color indexed="81"/>
            <rFont val="Tahoma"/>
            <family val="2"/>
          </rPr>
          <t>Allen, Thomas (Research):</t>
        </r>
        <r>
          <rPr>
            <sz val="9"/>
            <color indexed="81"/>
            <rFont val="Tahoma"/>
            <family val="2"/>
          </rPr>
          <t xml:space="preserve">
Easy comp as bridge to property was under construction in 3Q15 - mid-Dec 2015</t>
        </r>
      </text>
    </comment>
    <comment ref="BN887" authorId="8">
      <text>
        <r>
          <rPr>
            <b/>
            <sz val="9"/>
            <color indexed="81"/>
            <rFont val="Tahoma"/>
            <family val="2"/>
          </rPr>
          <t>Allen, Thomas (Research):</t>
        </r>
        <r>
          <rPr>
            <sz val="9"/>
            <color indexed="81"/>
            <rFont val="Tahoma"/>
            <family val="2"/>
          </rPr>
          <t xml:space="preserve">
Easy comp as bridge to property was under construction in 3Q15 - mid-Dec 2015</t>
        </r>
      </text>
    </comment>
    <comment ref="BF888" authorId="0">
      <text>
        <r>
          <rPr>
            <b/>
            <sz val="9"/>
            <color indexed="81"/>
            <rFont val="Tahoma"/>
            <family val="2"/>
          </rPr>
          <t>Savino, Mark (Research):</t>
        </r>
        <r>
          <rPr>
            <sz val="9"/>
            <color indexed="81"/>
            <rFont val="Tahoma"/>
            <family val="2"/>
          </rPr>
          <t xml:space="preserve">
Opening 180-room hotel and 2,000 seat event center</t>
        </r>
      </text>
    </comment>
    <comment ref="K889" authorId="13">
      <text>
        <r>
          <rPr>
            <b/>
            <sz val="8"/>
            <color indexed="81"/>
            <rFont val="Tahoma"/>
            <family val="2"/>
          </rPr>
          <t>urbankev:</t>
        </r>
        <r>
          <rPr>
            <sz val="8"/>
            <color indexed="81"/>
            <rFont val="Tahoma"/>
            <family val="2"/>
          </rPr>
          <t xml:space="preserve">
Per Q4 2005 press release</t>
        </r>
      </text>
    </comment>
    <comment ref="AN894" authorId="17">
      <text>
        <r>
          <rPr>
            <b/>
            <sz val="8"/>
            <color indexed="81"/>
            <rFont val="Tahoma"/>
            <family val="2"/>
          </rPr>
          <t>thallen:</t>
        </r>
        <r>
          <rPr>
            <sz val="8"/>
            <color indexed="81"/>
            <rFont val="Tahoma"/>
            <family val="2"/>
          </rPr>
          <t xml:space="preserve">
Benefited from legislation that allowed them to lay off Marine operation staff</t>
        </r>
      </text>
    </comment>
    <comment ref="AT894" authorId="19">
      <text>
        <r>
          <rPr>
            <b/>
            <sz val="8"/>
            <color indexed="81"/>
            <rFont val="Tahoma"/>
            <family val="2"/>
          </rPr>
          <t>AM: 10/18/12:</t>
        </r>
        <r>
          <rPr>
            <sz val="8"/>
            <color indexed="81"/>
            <rFont val="Tahoma"/>
            <family val="2"/>
          </rPr>
          <t xml:space="preserve">
Did a major round of layoffs in Sept. </t>
        </r>
      </text>
    </comment>
    <comment ref="BW894" authorId="8">
      <text>
        <r>
          <rPr>
            <b/>
            <sz val="9"/>
            <color indexed="81"/>
            <rFont val="Tahoma"/>
            <family val="2"/>
          </rPr>
          <t>Allen, Thomas (Research):</t>
        </r>
        <r>
          <rPr>
            <sz val="9"/>
            <color indexed="81"/>
            <rFont val="Tahoma"/>
            <family val="2"/>
          </rPr>
          <t xml:space="preserve">
Comping margin improvement initiative spend</t>
        </r>
      </text>
    </comment>
    <comment ref="BZ894" authorId="0">
      <text>
        <r>
          <rPr>
            <b/>
            <sz val="9"/>
            <color indexed="81"/>
            <rFont val="Tahoma"/>
            <family val="2"/>
          </rPr>
          <t>Savino, Mark (Research):</t>
        </r>
        <r>
          <rPr>
            <sz val="9"/>
            <color indexed="81"/>
            <rFont val="Tahoma"/>
            <family val="2"/>
          </rPr>
          <t xml:space="preserve">
Synergies as a result of PENN/PNK merger</t>
        </r>
      </text>
    </comment>
    <comment ref="AZ901" authorId="17">
      <text>
        <r>
          <rPr>
            <b/>
            <sz val="8"/>
            <color indexed="81"/>
            <rFont val="Tahoma"/>
            <family val="2"/>
          </rPr>
          <t>thallen:</t>
        </r>
        <r>
          <rPr>
            <sz val="8"/>
            <color indexed="81"/>
            <rFont val="Tahoma"/>
            <family val="2"/>
          </rPr>
          <t xml:space="preserve">
Margins come down b/c fixed costs and severe drop in revs</t>
        </r>
      </text>
    </comment>
    <comment ref="Y903" authorId="24">
      <text>
        <r>
          <rPr>
            <b/>
            <sz val="10"/>
            <color indexed="81"/>
            <rFont val="Tahoma"/>
            <family val="2"/>
          </rPr>
          <t>Thallen:</t>
        </r>
        <r>
          <rPr>
            <sz val="10"/>
            <color indexed="81"/>
            <rFont val="Tahoma"/>
            <family val="2"/>
          </rPr>
          <t xml:space="preserve">
Parking facility, assume $40mm of $310mm total</t>
        </r>
      </text>
    </comment>
    <comment ref="Z903" authorId="24">
      <text>
        <r>
          <rPr>
            <b/>
            <sz val="10"/>
            <color indexed="81"/>
            <rFont val="Tahoma"/>
            <family val="2"/>
          </rPr>
          <t>Thallen:</t>
        </r>
        <r>
          <rPr>
            <sz val="10"/>
            <color indexed="81"/>
            <rFont val="Tahoma"/>
            <family val="2"/>
          </rPr>
          <t xml:space="preserve">
Parking facility, assume $40mm of $310mm total</t>
        </r>
      </text>
    </comment>
    <comment ref="C910" authorId="13">
      <text>
        <r>
          <rPr>
            <b/>
            <sz val="8"/>
            <color indexed="81"/>
            <rFont val="Tahoma"/>
            <family val="2"/>
          </rPr>
          <t>urbankev:</t>
        </r>
        <r>
          <rPr>
            <sz val="8"/>
            <color indexed="81"/>
            <rFont val="Tahoma"/>
            <family val="2"/>
          </rPr>
          <t xml:space="preserve">
per old Penn model</t>
        </r>
      </text>
    </comment>
    <comment ref="AQ918" authorId="15">
      <text>
        <r>
          <rPr>
            <b/>
            <sz val="8"/>
            <color indexed="81"/>
            <rFont val="Tahoma"/>
            <family val="2"/>
          </rPr>
          <t>AM: 2/22/12:</t>
        </r>
        <r>
          <rPr>
            <sz val="8"/>
            <color indexed="81"/>
            <rFont val="Tahoma"/>
            <family val="2"/>
          </rPr>
          <t xml:space="preserve">
PENN's KS casino opened in Feb.</t>
        </r>
      </text>
    </comment>
    <comment ref="AR918" authorId="13">
      <text>
        <r>
          <rPr>
            <sz val="8"/>
            <color indexed="81"/>
            <rFont val="Tahoma"/>
            <family val="2"/>
          </rPr>
          <t xml:space="preserve">AM: 4/21/11
Per PENN release, PENN's KS casino opening in 1Q12.
</t>
        </r>
        <r>
          <rPr>
            <b/>
            <sz val="8"/>
            <color indexed="81"/>
            <rFont val="Tahoma"/>
            <family val="2"/>
          </rPr>
          <t>DJF 10/19/11:
On track to open in 2Q12</t>
        </r>
      </text>
    </comment>
    <comment ref="AS918" authorId="13">
      <text>
        <r>
          <rPr>
            <sz val="8"/>
            <color indexed="81"/>
            <rFont val="Tahoma"/>
            <family val="2"/>
          </rPr>
          <t xml:space="preserve">AM: 4/21/11
Per PENN release, PENN's KS casino opening in 1Q12.
</t>
        </r>
        <r>
          <rPr>
            <b/>
            <sz val="8"/>
            <color indexed="81"/>
            <rFont val="Tahoma"/>
            <family val="2"/>
          </rPr>
          <t>DJF 10/19/11:
On track to open in 2Q12</t>
        </r>
      </text>
    </comment>
    <comment ref="AT918" authorId="13">
      <text>
        <r>
          <rPr>
            <sz val="8"/>
            <color indexed="81"/>
            <rFont val="Tahoma"/>
            <family val="2"/>
          </rPr>
          <t xml:space="preserve">AM: 4/21/11
Per PENN release, PENN's KS casino opening in 1Q12.
</t>
        </r>
        <r>
          <rPr>
            <b/>
            <sz val="8"/>
            <color indexed="81"/>
            <rFont val="Tahoma"/>
            <family val="2"/>
          </rPr>
          <t>DJF 10/19/11:
On track to open in 2Q12</t>
        </r>
      </text>
    </comment>
    <comment ref="AU918" authorId="13">
      <text>
        <r>
          <rPr>
            <sz val="8"/>
            <color indexed="81"/>
            <rFont val="Tahoma"/>
            <family val="2"/>
          </rPr>
          <t xml:space="preserve">AM: 4/21/11
Per PENN release, PENN's KS casino opening in 1Q12.
</t>
        </r>
        <r>
          <rPr>
            <b/>
            <sz val="8"/>
            <color indexed="81"/>
            <rFont val="Tahoma"/>
            <family val="2"/>
          </rPr>
          <t>DJF 10/19/11:
On track to open in 2Q12</t>
        </r>
      </text>
    </comment>
    <comment ref="BA918" authorId="0">
      <text>
        <r>
          <rPr>
            <b/>
            <sz val="9"/>
            <color indexed="81"/>
            <rFont val="Tahoma"/>
            <family val="2"/>
          </rPr>
          <t>Savino, Mark (Research):</t>
        </r>
        <r>
          <rPr>
            <sz val="9"/>
            <color indexed="81"/>
            <rFont val="Tahoma"/>
            <family val="2"/>
          </rPr>
          <t xml:space="preserve">
Weak January</t>
        </r>
      </text>
    </comment>
    <comment ref="BD918" authorId="0">
      <text>
        <r>
          <rPr>
            <b/>
            <sz val="9"/>
            <color indexed="81"/>
            <rFont val="Tahoma"/>
            <family val="2"/>
          </rPr>
          <t>Savino, Mark (Research):</t>
        </r>
        <r>
          <rPr>
            <sz val="9"/>
            <color indexed="81"/>
            <rFont val="Tahoma"/>
            <family val="2"/>
          </rPr>
          <t xml:space="preserve">
Lapping weak Dec</t>
        </r>
      </text>
    </comment>
    <comment ref="K920" authorId="13">
      <text>
        <r>
          <rPr>
            <b/>
            <sz val="8"/>
            <color indexed="81"/>
            <rFont val="Tahoma"/>
            <family val="2"/>
          </rPr>
          <t>urbankev:</t>
        </r>
        <r>
          <rPr>
            <sz val="8"/>
            <color indexed="81"/>
            <rFont val="Tahoma"/>
            <family val="2"/>
          </rPr>
          <t xml:space="preserve">
per Q4 2005 press release</t>
        </r>
      </text>
    </comment>
    <comment ref="AQ925" authorId="17">
      <text>
        <r>
          <rPr>
            <b/>
            <sz val="8"/>
            <color indexed="81"/>
            <rFont val="Tahoma"/>
            <family val="2"/>
          </rPr>
          <t>thallen:</t>
        </r>
        <r>
          <rPr>
            <sz val="8"/>
            <color indexed="81"/>
            <rFont val="Tahoma"/>
            <family val="2"/>
          </rPr>
          <t xml:space="preserve">
Adjusting cost structure</t>
        </r>
      </text>
    </comment>
    <comment ref="AT925"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AY925"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BW925" authorId="8">
      <text>
        <r>
          <rPr>
            <b/>
            <sz val="9"/>
            <color indexed="81"/>
            <rFont val="Tahoma"/>
            <family val="2"/>
          </rPr>
          <t>Allen, Thomas (Research):</t>
        </r>
        <r>
          <rPr>
            <sz val="9"/>
            <color indexed="81"/>
            <rFont val="Tahoma"/>
            <family val="2"/>
          </rPr>
          <t xml:space="preserve">
Comping margin improvement initiative spend</t>
        </r>
      </text>
    </comment>
    <comment ref="BZ925" authorId="0">
      <text>
        <r>
          <rPr>
            <b/>
            <sz val="9"/>
            <color indexed="81"/>
            <rFont val="Tahoma"/>
            <family val="2"/>
          </rPr>
          <t>Savino, Mark (Research):</t>
        </r>
        <r>
          <rPr>
            <sz val="9"/>
            <color indexed="81"/>
            <rFont val="Tahoma"/>
            <family val="2"/>
          </rPr>
          <t xml:space="preserve">
Synergies as a result of PENN/PNK merger</t>
        </r>
      </text>
    </comment>
    <comment ref="AZ932" authorId="17">
      <text>
        <r>
          <rPr>
            <b/>
            <sz val="8"/>
            <color indexed="81"/>
            <rFont val="Tahoma"/>
            <family val="2"/>
          </rPr>
          <t>thallen:</t>
        </r>
        <r>
          <rPr>
            <sz val="8"/>
            <color indexed="81"/>
            <rFont val="Tahoma"/>
            <family val="2"/>
          </rPr>
          <t xml:space="preserve">
Given decline in revenue, certain costs are fixed so margins should decline (per 1Q13 call)</t>
        </r>
      </text>
    </comment>
    <comment ref="P939" authorId="25">
      <text>
        <r>
          <rPr>
            <b/>
            <sz val="10"/>
            <color indexed="81"/>
            <rFont val="Tahoma"/>
            <family val="2"/>
          </rPr>
          <t>Thallen:</t>
        </r>
        <r>
          <rPr>
            <sz val="10"/>
            <color indexed="81"/>
            <rFont val="Tahoma"/>
            <family val="2"/>
          </rPr>
          <t xml:space="preserve">
From DB presentation, 2/17/07</t>
        </r>
      </text>
    </comment>
    <comment ref="P940" authorId="25">
      <text>
        <r>
          <rPr>
            <b/>
            <sz val="10"/>
            <color indexed="81"/>
            <rFont val="Tahoma"/>
            <family val="2"/>
          </rPr>
          <t>Thallen:</t>
        </r>
        <r>
          <rPr>
            <sz val="10"/>
            <color indexed="81"/>
            <rFont val="Tahoma"/>
            <family val="2"/>
          </rPr>
          <t xml:space="preserve">
From DB presentation, 2/17/07</t>
        </r>
      </text>
    </comment>
    <comment ref="C941" authorId="13">
      <text>
        <r>
          <rPr>
            <b/>
            <sz val="8"/>
            <color indexed="81"/>
            <rFont val="Tahoma"/>
            <family val="2"/>
          </rPr>
          <t>urbankev:</t>
        </r>
        <r>
          <rPr>
            <sz val="8"/>
            <color indexed="81"/>
            <rFont val="Tahoma"/>
            <family val="2"/>
          </rPr>
          <t xml:space="preserve">
per old Penn model</t>
        </r>
      </text>
    </comment>
    <comment ref="BC948" authorId="0">
      <text>
        <r>
          <rPr>
            <b/>
            <sz val="9"/>
            <color indexed="81"/>
            <rFont val="Tahoma"/>
            <family val="2"/>
          </rPr>
          <t>Savino, Mark (Research):</t>
        </r>
        <r>
          <rPr>
            <sz val="9"/>
            <color indexed="81"/>
            <rFont val="Tahoma"/>
            <family val="2"/>
          </rPr>
          <t xml:space="preserve">
Assume property remains open through July</t>
        </r>
      </text>
    </comment>
    <comment ref="AX949" authorId="17">
      <text>
        <r>
          <rPr>
            <b/>
            <sz val="8"/>
            <color indexed="81"/>
            <rFont val="Tahoma"/>
            <family val="2"/>
          </rPr>
          <t>thallen:</t>
        </r>
        <r>
          <rPr>
            <sz val="8"/>
            <color indexed="81"/>
            <rFont val="Tahoma"/>
            <family val="2"/>
          </rPr>
          <t xml:space="preserve">
Significant negative press, seeing declines in business accordingly</t>
        </r>
      </text>
    </comment>
    <comment ref="K951" authorId="13">
      <text>
        <r>
          <rPr>
            <b/>
            <sz val="8"/>
            <color indexed="81"/>
            <rFont val="Tahoma"/>
            <family val="2"/>
          </rPr>
          <t>urbankev:</t>
        </r>
        <r>
          <rPr>
            <sz val="8"/>
            <color indexed="81"/>
            <rFont val="Tahoma"/>
            <family val="2"/>
          </rPr>
          <t xml:space="preserve">
per Q4 2005 press release</t>
        </r>
      </text>
    </comment>
    <comment ref="BC951" authorId="17">
      <text>
        <r>
          <rPr>
            <b/>
            <sz val="8"/>
            <color indexed="81"/>
            <rFont val="Tahoma"/>
            <family val="2"/>
          </rPr>
          <t>thallen:</t>
        </r>
        <r>
          <rPr>
            <sz val="8"/>
            <color indexed="81"/>
            <rFont val="Tahoma"/>
            <family val="2"/>
          </rPr>
          <t xml:space="preserve">
1Q14: Guidance now assumes property closes July 1
Lose license once Hard Rock opens. Appealing but assume Hard Rock opens mid-2014, both properties stay open through YE as PENN appeals but then closes</t>
        </r>
      </text>
    </comment>
    <comment ref="BE951" authorId="17">
      <text>
        <r>
          <rPr>
            <b/>
            <sz val="8"/>
            <color indexed="81"/>
            <rFont val="Tahoma"/>
            <family val="2"/>
          </rPr>
          <t>thallen:</t>
        </r>
        <r>
          <rPr>
            <sz val="8"/>
            <color indexed="81"/>
            <rFont val="Tahoma"/>
            <family val="2"/>
          </rPr>
          <t xml:space="preserve">
1Q14: Guidance now assumes property closes July 1
Lose license once Hard Rock opens. Appealing but assume Hard Rock opens mid-2014, both properties stay open through YE as PENN appeals but then closes</t>
        </r>
      </text>
    </comment>
    <comment ref="AT956"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AX956" authorId="17">
      <text>
        <r>
          <rPr>
            <b/>
            <sz val="8"/>
            <color indexed="81"/>
            <rFont val="Tahoma"/>
            <family val="2"/>
          </rPr>
          <t>thallen:</t>
        </r>
        <r>
          <rPr>
            <sz val="8"/>
            <color indexed="81"/>
            <rFont val="Tahoma"/>
            <family val="2"/>
          </rPr>
          <t xml:space="preserve">
High severance, etc costs</t>
        </r>
      </text>
    </comment>
    <comment ref="AY956"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BA956" authorId="17">
      <text>
        <r>
          <rPr>
            <b/>
            <sz val="8"/>
            <color indexed="81"/>
            <rFont val="Tahoma"/>
            <family val="2"/>
          </rPr>
          <t>thallen:</t>
        </r>
        <r>
          <rPr>
            <sz val="8"/>
            <color indexed="81"/>
            <rFont val="Tahoma"/>
            <family val="2"/>
          </rPr>
          <t xml:space="preserve">
High severance, etc costs</t>
        </r>
      </text>
    </comment>
    <comment ref="BB956" authorId="17">
      <text>
        <r>
          <rPr>
            <b/>
            <sz val="8"/>
            <color indexed="81"/>
            <rFont val="Tahoma"/>
            <family val="2"/>
          </rPr>
          <t>thallen:</t>
        </r>
        <r>
          <rPr>
            <sz val="8"/>
            <color indexed="81"/>
            <rFont val="Tahoma"/>
            <family val="2"/>
          </rPr>
          <t xml:space="preserve">
High severance, etc costs</t>
        </r>
      </text>
    </comment>
    <comment ref="AX965" authorId="17">
      <text>
        <r>
          <rPr>
            <b/>
            <sz val="8"/>
            <color indexed="81"/>
            <rFont val="Tahoma"/>
            <family val="2"/>
          </rPr>
          <t>thallen:</t>
        </r>
        <r>
          <rPr>
            <sz val="8"/>
            <color indexed="81"/>
            <rFont val="Tahoma"/>
            <family val="2"/>
          </rPr>
          <t xml:space="preserve">
Amortization of intangible value of license accelerates given loss</t>
        </r>
      </text>
    </comment>
    <comment ref="A968" authorId="32">
      <text>
        <r>
          <rPr>
            <b/>
            <sz val="8"/>
            <color indexed="81"/>
            <rFont val="Tahoma"/>
            <family val="2"/>
          </rPr>
          <t>Acquired from CZR. Deal to close 4Q12.</t>
        </r>
        <r>
          <rPr>
            <sz val="8"/>
            <color indexed="81"/>
            <rFont val="Tahoma"/>
            <family val="2"/>
          </rPr>
          <t xml:space="preserve">
or total consideration of approximately $610 million. The transaction price represents a multiple of approximately 7.75 times the property’s trailing twelve month EBITDA (earnings before interest, taxes and depreciation) and will be funded through an add-on to Penn National’s existing Senior Secured Credit Facility. While the acquisition is a stock transaction, for tax purposes, it will be treated as an asset transaction which Penn National expects will provide tax benefits that will effectively reduce the purchase multiple to 6.75 times the property’s trailing twelve month EBITDA</t>
        </r>
      </text>
    </comment>
    <comment ref="AT970" authorId="17">
      <text>
        <r>
          <rPr>
            <b/>
            <sz val="8"/>
            <color indexed="81"/>
            <rFont val="Tahoma"/>
            <family val="2"/>
          </rPr>
          <t>thallen:</t>
        </r>
        <r>
          <rPr>
            <sz val="8"/>
            <color indexed="81"/>
            <rFont val="Tahoma"/>
            <family val="2"/>
          </rPr>
          <t xml:space="preserve">
As renovate St. Louis property into a Hollywood, doing casino floor by section. On 4Q12 call, said had 400 machines out, assume continues that way thru early Dec 2013
</t>
        </r>
      </text>
    </comment>
    <comment ref="AV970" authorId="17">
      <text>
        <r>
          <rPr>
            <b/>
            <sz val="8"/>
            <color indexed="81"/>
            <rFont val="Tahoma"/>
            <family val="2"/>
          </rPr>
          <t>thallen:</t>
        </r>
        <r>
          <rPr>
            <sz val="8"/>
            <color indexed="81"/>
            <rFont val="Tahoma"/>
            <family val="2"/>
          </rPr>
          <t xml:space="preserve">
As renovate St. Louis property into a Hollywood, doing casino floor by section. On 4Q12 call, said had 400 machines out, assume continues that way thru early Dec 2013
</t>
        </r>
      </text>
    </comment>
    <comment ref="AW970" authorId="17">
      <text>
        <r>
          <rPr>
            <b/>
            <sz val="8"/>
            <color indexed="81"/>
            <rFont val="Tahoma"/>
            <family val="2"/>
          </rPr>
          <t>thallen:</t>
        </r>
        <r>
          <rPr>
            <sz val="8"/>
            <color indexed="81"/>
            <rFont val="Tahoma"/>
            <family val="2"/>
          </rPr>
          <t xml:space="preserve">
As renovate St. Louis property into a Hollywood, doing casino floor by section. On 4Q12 call, said had 400 machines out, assume continues that way thru early Dec 2013
</t>
        </r>
      </text>
    </comment>
    <comment ref="AX970" authorId="17">
      <text>
        <r>
          <rPr>
            <b/>
            <sz val="8"/>
            <color indexed="81"/>
            <rFont val="Tahoma"/>
            <family val="2"/>
          </rPr>
          <t>thallen:</t>
        </r>
        <r>
          <rPr>
            <sz val="8"/>
            <color indexed="81"/>
            <rFont val="Tahoma"/>
            <family val="2"/>
          </rPr>
          <t xml:space="preserve">
As renovate St. Louis property into a Hollywood, doing casino floor by section. On 4Q12 call, said had 400 machines out, assume continues that way thru early Dec 2013
</t>
        </r>
      </text>
    </comment>
    <comment ref="AY970" authorId="17">
      <text>
        <r>
          <rPr>
            <b/>
            <sz val="8"/>
            <color indexed="81"/>
            <rFont val="Tahoma"/>
            <family val="2"/>
          </rPr>
          <t>thallen:</t>
        </r>
        <r>
          <rPr>
            <sz val="8"/>
            <color indexed="81"/>
            <rFont val="Tahoma"/>
            <family val="2"/>
          </rPr>
          <t xml:space="preserve">
As renovate St. Louis property into a Hollywood, doing casino floor by section. On 4Q12 call, said had 400 machines out, assume continues that way thru early Dec 2013
</t>
        </r>
      </text>
    </comment>
    <comment ref="BA970" authorId="17">
      <text>
        <r>
          <rPr>
            <b/>
            <sz val="8"/>
            <color indexed="81"/>
            <rFont val="Tahoma"/>
            <family val="2"/>
          </rPr>
          <t>thallen:</t>
        </r>
        <r>
          <rPr>
            <sz val="8"/>
            <color indexed="81"/>
            <rFont val="Tahoma"/>
            <family val="2"/>
          </rPr>
          <t xml:space="preserve">
As renovate St. Louis property into a Hollywood, doing casino floor by section. On 4Q12 call, said had 400 machines out, assume continues that way thru early Dec 2013
</t>
        </r>
      </text>
    </comment>
    <comment ref="AT980" authorId="17">
      <text>
        <r>
          <rPr>
            <b/>
            <sz val="8"/>
            <color indexed="81"/>
            <rFont val="Tahoma"/>
            <family val="2"/>
          </rPr>
          <t>thallen:</t>
        </r>
        <r>
          <rPr>
            <sz val="8"/>
            <color indexed="81"/>
            <rFont val="Tahoma"/>
            <family val="2"/>
          </rPr>
          <t xml:space="preserve">
Renovation disruption</t>
        </r>
      </text>
    </comment>
    <comment ref="AV980" authorId="17">
      <text>
        <r>
          <rPr>
            <b/>
            <sz val="8"/>
            <color indexed="81"/>
            <rFont val="Tahoma"/>
            <family val="2"/>
          </rPr>
          <t>thallen:</t>
        </r>
        <r>
          <rPr>
            <sz val="8"/>
            <color indexed="81"/>
            <rFont val="Tahoma"/>
            <family val="2"/>
          </rPr>
          <t xml:space="preserve">
Renovation disruption</t>
        </r>
      </text>
    </comment>
    <comment ref="AW980" authorId="17">
      <text>
        <r>
          <rPr>
            <b/>
            <sz val="8"/>
            <color indexed="81"/>
            <rFont val="Tahoma"/>
            <family val="2"/>
          </rPr>
          <t>thallen:</t>
        </r>
        <r>
          <rPr>
            <sz val="8"/>
            <color indexed="81"/>
            <rFont val="Tahoma"/>
            <family val="2"/>
          </rPr>
          <t xml:space="preserve">
Renovation disruption, mgmt said on call that peaked in 2Q13. Also property impacted by tornado last day of May, first weekend of June</t>
        </r>
      </text>
    </comment>
    <comment ref="AX980" authorId="17">
      <text>
        <r>
          <rPr>
            <b/>
            <sz val="8"/>
            <color indexed="81"/>
            <rFont val="Tahoma"/>
            <family val="2"/>
          </rPr>
          <t>thallen:</t>
        </r>
        <r>
          <rPr>
            <sz val="8"/>
            <color indexed="81"/>
            <rFont val="Tahoma"/>
            <family val="2"/>
          </rPr>
          <t xml:space="preserve">
Renovation disruption (June / July worst of it, per mgmt)</t>
        </r>
      </text>
    </comment>
    <comment ref="AY980" authorId="17">
      <text>
        <r>
          <rPr>
            <b/>
            <sz val="8"/>
            <color indexed="81"/>
            <rFont val="Tahoma"/>
            <family val="2"/>
          </rPr>
          <t>thallen:</t>
        </r>
        <r>
          <rPr>
            <sz val="8"/>
            <color indexed="81"/>
            <rFont val="Tahoma"/>
            <family val="2"/>
          </rPr>
          <t xml:space="preserve">
Renovation disruption through 4Q13 - anticipated to end before Christmas</t>
        </r>
      </text>
    </comment>
    <comment ref="BA980" authorId="0">
      <text>
        <r>
          <rPr>
            <b/>
            <sz val="9"/>
            <color indexed="81"/>
            <rFont val="Tahoma"/>
            <family val="2"/>
          </rPr>
          <t>Savino, Mark (Research):</t>
        </r>
        <r>
          <rPr>
            <sz val="9"/>
            <color indexed="81"/>
            <rFont val="Tahoma"/>
            <family val="2"/>
          </rPr>
          <t xml:space="preserve">
Renovation disruption over, but offset by bad weather</t>
        </r>
      </text>
    </comment>
    <comment ref="BB980" authorId="17">
      <text>
        <r>
          <rPr>
            <b/>
            <sz val="8"/>
            <color indexed="81"/>
            <rFont val="Tahoma"/>
            <family val="2"/>
          </rPr>
          <t>thallen:</t>
        </r>
        <r>
          <rPr>
            <sz val="8"/>
            <color indexed="81"/>
            <rFont val="Tahoma"/>
            <family val="2"/>
          </rPr>
          <t xml:space="preserve">
Property impacted by tornado last day of May, first weekend of June</t>
        </r>
      </text>
    </comment>
    <comment ref="BE980" authorId="17">
      <text>
        <r>
          <rPr>
            <b/>
            <sz val="8"/>
            <color indexed="81"/>
            <rFont val="Tahoma"/>
            <family val="2"/>
          </rPr>
          <t>thallen:</t>
        </r>
        <r>
          <rPr>
            <sz val="8"/>
            <color indexed="81"/>
            <rFont val="Tahoma"/>
            <family val="2"/>
          </rPr>
          <t xml:space="preserve">
Benefit from Hollywood re-branding</t>
        </r>
      </text>
    </comment>
    <comment ref="BJ980" authorId="17">
      <text>
        <r>
          <rPr>
            <b/>
            <sz val="8"/>
            <color indexed="81"/>
            <rFont val="Tahoma"/>
            <family val="2"/>
          </rPr>
          <t>thallen:</t>
        </r>
        <r>
          <rPr>
            <sz val="8"/>
            <color indexed="81"/>
            <rFont val="Tahoma"/>
            <family val="2"/>
          </rPr>
          <t xml:space="preserve">
Benefit from Hollywood re-branding</t>
        </r>
      </text>
    </comment>
    <comment ref="BA981" authorId="0">
      <text>
        <r>
          <rPr>
            <b/>
            <sz val="9"/>
            <color indexed="81"/>
            <rFont val="Tahoma"/>
            <family val="2"/>
          </rPr>
          <t>Savino, Mark (Research):</t>
        </r>
        <r>
          <rPr>
            <sz val="9"/>
            <color indexed="81"/>
            <rFont val="Tahoma"/>
            <family val="2"/>
          </rPr>
          <t xml:space="preserve">
Mgmt said improvement in net revenue as renovation lets them cut back on promos</t>
        </r>
      </text>
    </comment>
    <comment ref="AQ986" authorId="17">
      <text>
        <r>
          <rPr>
            <b/>
            <sz val="8"/>
            <color indexed="81"/>
            <rFont val="Tahoma"/>
            <family val="2"/>
          </rPr>
          <t>thallen:</t>
        </r>
        <r>
          <rPr>
            <sz val="8"/>
            <color indexed="81"/>
            <rFont val="Tahoma"/>
            <family val="2"/>
          </rPr>
          <t xml:space="preserve">
Higher as mgmt integrates property</t>
        </r>
      </text>
    </comment>
    <comment ref="AT986" authorId="17">
      <text>
        <r>
          <rPr>
            <b/>
            <sz val="8"/>
            <color indexed="81"/>
            <rFont val="Tahoma"/>
            <family val="2"/>
          </rPr>
          <t>thallen:</t>
        </r>
        <r>
          <rPr>
            <sz val="8"/>
            <color indexed="81"/>
            <rFont val="Tahoma"/>
            <family val="2"/>
          </rPr>
          <t xml:space="preserve">
Higher one-time property taxes
Biz interuption from conversion</t>
        </r>
      </text>
    </comment>
    <comment ref="AY986" authorId="17">
      <text>
        <r>
          <rPr>
            <b/>
            <sz val="8"/>
            <color indexed="81"/>
            <rFont val="Tahoma"/>
            <family val="2"/>
          </rPr>
          <t>thallen:</t>
        </r>
        <r>
          <rPr>
            <sz val="8"/>
            <color indexed="81"/>
            <rFont val="Tahoma"/>
            <family val="2"/>
          </rPr>
          <t xml:space="preserve">
Higher one-time property taxes in 4Q12
</t>
        </r>
      </text>
    </comment>
    <comment ref="BZ987" authorId="0">
      <text>
        <r>
          <rPr>
            <b/>
            <sz val="9"/>
            <color indexed="81"/>
            <rFont val="Tahoma"/>
            <family val="2"/>
          </rPr>
          <t>Savino, Mark (Research):</t>
        </r>
        <r>
          <rPr>
            <sz val="9"/>
            <color indexed="81"/>
            <rFont val="Tahoma"/>
            <family val="2"/>
          </rPr>
          <t xml:space="preserve">
Synergies as a result of PENN/PNK merger</t>
        </r>
      </text>
    </comment>
    <comment ref="AT992" authorId="17">
      <text>
        <r>
          <rPr>
            <b/>
            <sz val="8"/>
            <color indexed="81"/>
            <rFont val="Tahoma"/>
            <family val="2"/>
          </rPr>
          <t>thallen:</t>
        </r>
        <r>
          <rPr>
            <sz val="8"/>
            <color indexed="81"/>
            <rFont val="Tahoma"/>
            <family val="2"/>
          </rPr>
          <t xml:space="preserve">
Completed purhcase on 11/5/13</t>
        </r>
      </text>
    </comment>
    <comment ref="AU992" authorId="32">
      <text>
        <r>
          <rPr>
            <b/>
            <sz val="8"/>
            <color indexed="81"/>
            <rFont val="Tahoma"/>
            <family val="2"/>
          </rPr>
          <t>AM: 5/3/12:</t>
        </r>
        <r>
          <rPr>
            <sz val="8"/>
            <color indexed="81"/>
            <rFont val="Tahoma"/>
            <family val="2"/>
          </rPr>
          <t xml:space="preserve">
Per release, PENN paid a 7.75x EBITDA multiple on $610m total price (implies around $80m of TTM EBITDA).</t>
        </r>
      </text>
    </comment>
    <comment ref="C1003" authorId="13">
      <text>
        <r>
          <rPr>
            <b/>
            <sz val="8"/>
            <color indexed="81"/>
            <rFont val="Tahoma"/>
            <family val="2"/>
          </rPr>
          <t>urbankev:</t>
        </r>
        <r>
          <rPr>
            <sz val="8"/>
            <color indexed="81"/>
            <rFont val="Tahoma"/>
            <family val="2"/>
          </rPr>
          <t xml:space="preserve">
per old Penn model</t>
        </r>
      </text>
    </comment>
    <comment ref="AY1004" authorId="0">
      <text>
        <r>
          <rPr>
            <b/>
            <sz val="9"/>
            <color indexed="81"/>
            <rFont val="Tahoma"/>
            <family val="2"/>
          </rPr>
          <t>Savino, Mark (Research):</t>
        </r>
        <r>
          <rPr>
            <sz val="9"/>
            <color indexed="81"/>
            <rFont val="Tahoma"/>
            <family val="2"/>
          </rPr>
          <t xml:space="preserve">
Penn owned for 35 days of qtr</t>
        </r>
      </text>
    </comment>
    <comment ref="AY1010" authorId="17">
      <text>
        <r>
          <rPr>
            <b/>
            <sz val="8"/>
            <color indexed="81"/>
            <rFont val="Tahoma"/>
            <family val="2"/>
          </rPr>
          <t>thallen:</t>
        </r>
        <r>
          <rPr>
            <sz val="8"/>
            <color indexed="81"/>
            <rFont val="Tahoma"/>
            <family val="2"/>
          </rPr>
          <t xml:space="preserve">
Included in the GLPI early Nov spin-off, GLPI will own going forward</t>
        </r>
      </text>
    </comment>
    <comment ref="AS1011" authorId="17">
      <text>
        <r>
          <rPr>
            <b/>
            <sz val="8"/>
            <color indexed="81"/>
            <rFont val="Tahoma"/>
            <family val="2"/>
          </rPr>
          <t>thallen:</t>
        </r>
        <r>
          <rPr>
            <sz val="8"/>
            <color indexed="81"/>
            <rFont val="Tahoma"/>
            <family val="2"/>
          </rPr>
          <t xml:space="preserve">
PNK's L'Auberge opened in Baton Rouge in Sept 2012</t>
        </r>
      </text>
    </comment>
    <comment ref="AT1011" authorId="17">
      <text>
        <r>
          <rPr>
            <b/>
            <sz val="8"/>
            <color indexed="81"/>
            <rFont val="Tahoma"/>
            <family val="2"/>
          </rPr>
          <t>thallen:</t>
        </r>
        <r>
          <rPr>
            <sz val="8"/>
            <color indexed="81"/>
            <rFont val="Tahoma"/>
            <family val="2"/>
          </rPr>
          <t xml:space="preserve">
PNK's L'Auberge opened in Baton Rouge in Sept 2012</t>
        </r>
      </text>
    </comment>
    <comment ref="AV1011" authorId="17">
      <text>
        <r>
          <rPr>
            <b/>
            <sz val="8"/>
            <color indexed="81"/>
            <rFont val="Tahoma"/>
            <family val="2"/>
          </rPr>
          <t>thallen:</t>
        </r>
        <r>
          <rPr>
            <sz val="8"/>
            <color indexed="81"/>
            <rFont val="Tahoma"/>
            <family val="2"/>
          </rPr>
          <t xml:space="preserve">
PNK's L'Auberge opened in Baton Rouge in Sept 2012</t>
        </r>
      </text>
    </comment>
    <comment ref="AW1011" authorId="17">
      <text>
        <r>
          <rPr>
            <b/>
            <sz val="8"/>
            <color indexed="81"/>
            <rFont val="Tahoma"/>
            <family val="2"/>
          </rPr>
          <t>thallen:</t>
        </r>
        <r>
          <rPr>
            <sz val="8"/>
            <color indexed="81"/>
            <rFont val="Tahoma"/>
            <family val="2"/>
          </rPr>
          <t xml:space="preserve">
PNK's L'Auberge opened in Baton Rouge in Sept 2012</t>
        </r>
      </text>
    </comment>
    <comment ref="AX1011" authorId="17">
      <text>
        <r>
          <rPr>
            <b/>
            <sz val="8"/>
            <color indexed="81"/>
            <rFont val="Tahoma"/>
            <family val="2"/>
          </rPr>
          <t>thallen:</t>
        </r>
        <r>
          <rPr>
            <sz val="8"/>
            <color indexed="81"/>
            <rFont val="Tahoma"/>
            <family val="2"/>
          </rPr>
          <t xml:space="preserve">
PNK's L'Auberge opened in Baton Rouge in Sept 2012</t>
        </r>
      </text>
    </comment>
    <comment ref="AY1012" authorId="17">
      <text>
        <r>
          <rPr>
            <b/>
            <sz val="8"/>
            <color indexed="81"/>
            <rFont val="Tahoma"/>
            <family val="2"/>
          </rPr>
          <t>thallen:</t>
        </r>
        <r>
          <rPr>
            <sz val="8"/>
            <color indexed="81"/>
            <rFont val="Tahoma"/>
            <family val="2"/>
          </rPr>
          <t xml:space="preserve">
Included in the GLPI early Nov spin-off, GLPI will own going forward</t>
        </r>
      </text>
    </comment>
    <comment ref="K1013" authorId="13">
      <text>
        <r>
          <rPr>
            <b/>
            <sz val="8"/>
            <color indexed="81"/>
            <rFont val="Tahoma"/>
            <family val="2"/>
          </rPr>
          <t>urbankev:</t>
        </r>
        <r>
          <rPr>
            <sz val="8"/>
            <color indexed="81"/>
            <rFont val="Tahoma"/>
            <family val="2"/>
          </rPr>
          <t xml:space="preserve">
per Q4 2008 press release</t>
        </r>
      </text>
    </comment>
    <comment ref="AY1016" authorId="17">
      <text>
        <r>
          <rPr>
            <b/>
            <sz val="8"/>
            <color indexed="81"/>
            <rFont val="Tahoma"/>
            <family val="2"/>
          </rPr>
          <t>thallen:</t>
        </r>
        <r>
          <rPr>
            <sz val="8"/>
            <color indexed="81"/>
            <rFont val="Tahoma"/>
            <family val="2"/>
          </rPr>
          <t xml:space="preserve">
Included in the GLPI early Nov spin-off, GLPI will own going forward</t>
        </r>
      </text>
    </comment>
    <comment ref="AT1018"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AY1018" authorId="17">
      <text>
        <r>
          <rPr>
            <b/>
            <sz val="8"/>
            <color indexed="81"/>
            <rFont val="Tahoma"/>
            <family val="2"/>
          </rPr>
          <t>thallen:</t>
        </r>
        <r>
          <rPr>
            <sz val="8"/>
            <color indexed="81"/>
            <rFont val="Tahoma"/>
            <family val="2"/>
          </rPr>
          <t xml:space="preserve">
One-time high real estate taxes in 4Q12 b/c assessments at Southern properties (appealing)</t>
        </r>
      </text>
    </comment>
    <comment ref="AY1023" authorId="17">
      <text>
        <r>
          <rPr>
            <b/>
            <sz val="8"/>
            <color indexed="81"/>
            <rFont val="Tahoma"/>
            <family val="2"/>
          </rPr>
          <t>thallen:</t>
        </r>
        <r>
          <rPr>
            <sz val="8"/>
            <color indexed="81"/>
            <rFont val="Tahoma"/>
            <family val="2"/>
          </rPr>
          <t xml:space="preserve">
Included in the GLPI early Nov spin-off, GLPI will own going forward</t>
        </r>
      </text>
    </comment>
    <comment ref="AS1024" authorId="17">
      <text>
        <r>
          <rPr>
            <b/>
            <sz val="8"/>
            <color indexed="81"/>
            <rFont val="Tahoma"/>
            <family val="2"/>
          </rPr>
          <t>thallen:</t>
        </r>
        <r>
          <rPr>
            <sz val="8"/>
            <color indexed="81"/>
            <rFont val="Tahoma"/>
            <family val="2"/>
          </rPr>
          <t xml:space="preserve">
Per 4Q12 earnings, historically a very high margin property but new competition dragging down revs, trying to manage expenses as best can but still coming down</t>
        </r>
      </text>
    </comment>
    <comment ref="AT1024" authorId="17">
      <text>
        <r>
          <rPr>
            <b/>
            <sz val="8"/>
            <color indexed="81"/>
            <rFont val="Tahoma"/>
            <family val="2"/>
          </rPr>
          <t>thallen:</t>
        </r>
        <r>
          <rPr>
            <sz val="8"/>
            <color indexed="81"/>
            <rFont val="Tahoma"/>
            <family val="2"/>
          </rPr>
          <t xml:space="preserve">
Per 4Q12 earnings, historically a very high margin property but new competition dragging down revs, trying to manage expenses as best can but still coming down</t>
        </r>
      </text>
    </comment>
    <comment ref="AZ1025" authorId="17">
      <text>
        <r>
          <rPr>
            <b/>
            <sz val="8"/>
            <color indexed="81"/>
            <rFont val="Tahoma"/>
            <family val="2"/>
          </rPr>
          <t>thallen:</t>
        </r>
        <r>
          <rPr>
            <sz val="8"/>
            <color indexed="81"/>
            <rFont val="Tahoma"/>
            <family val="2"/>
          </rPr>
          <t xml:space="preserve">
Given decline in revenue, certain costs are fixed so margins should decline (per 1Q13 call)</t>
        </r>
      </text>
    </comment>
    <comment ref="BW1035" authorId="0">
      <text>
        <r>
          <rPr>
            <b/>
            <sz val="9"/>
            <color indexed="81"/>
            <rFont val="Tahoma"/>
            <family val="2"/>
          </rPr>
          <t>Savino, Mark (Research):</t>
        </r>
        <r>
          <rPr>
            <sz val="9"/>
            <color indexed="81"/>
            <rFont val="Tahoma"/>
            <family val="2"/>
          </rPr>
          <t xml:space="preserve">
Divested to BYD as part of PENN/PNK merger</t>
        </r>
      </text>
    </comment>
    <comment ref="BW1036" authorId="0">
      <text>
        <r>
          <rPr>
            <b/>
            <sz val="9"/>
            <color indexed="81"/>
            <rFont val="Tahoma"/>
            <family val="2"/>
          </rPr>
          <t>Savino, Mark (Research):</t>
        </r>
        <r>
          <rPr>
            <sz val="9"/>
            <color indexed="81"/>
            <rFont val="Tahoma"/>
            <family val="2"/>
          </rPr>
          <t xml:space="preserve">
Divested to BYD as part of PENN/PNK merger</t>
        </r>
      </text>
    </comment>
    <comment ref="BU1037" authorId="8">
      <text>
        <r>
          <rPr>
            <b/>
            <sz val="9"/>
            <color indexed="81"/>
            <rFont val="Tahoma"/>
            <family val="2"/>
          </rPr>
          <t>Allen, Thomas (Research):</t>
        </r>
        <r>
          <rPr>
            <sz val="9"/>
            <color indexed="81"/>
            <rFont val="Tahoma"/>
            <family val="2"/>
          </rPr>
          <t xml:space="preserve">
Closed due to flooding for period of time</t>
        </r>
      </text>
    </comment>
    <comment ref="BW1037" authorId="0">
      <text>
        <r>
          <rPr>
            <b/>
            <sz val="9"/>
            <color indexed="81"/>
            <rFont val="Tahoma"/>
            <family val="2"/>
          </rPr>
          <t>Savino, Mark (Research):</t>
        </r>
        <r>
          <rPr>
            <sz val="9"/>
            <color indexed="81"/>
            <rFont val="Tahoma"/>
            <family val="2"/>
          </rPr>
          <t xml:space="preserve">
Divested to BYD as part of PENN/PNK merger</t>
        </r>
      </text>
    </comment>
    <comment ref="BW1038" authorId="0">
      <text>
        <r>
          <rPr>
            <b/>
            <sz val="9"/>
            <color indexed="81"/>
            <rFont val="Tahoma"/>
            <family val="2"/>
          </rPr>
          <t>Savino, Mark (Research):</t>
        </r>
        <r>
          <rPr>
            <sz val="9"/>
            <color indexed="81"/>
            <rFont val="Tahoma"/>
            <family val="2"/>
          </rPr>
          <t xml:space="preserve">
Divested to BYD as part of PENN/PNK merger</t>
        </r>
      </text>
    </comment>
    <comment ref="BM1043" authorId="0">
      <text>
        <r>
          <rPr>
            <b/>
            <sz val="9"/>
            <color indexed="81"/>
            <rFont val="Tahoma"/>
            <family val="2"/>
          </rPr>
          <t>Savino, Mark (Research):</t>
        </r>
        <r>
          <rPr>
            <sz val="9"/>
            <color indexed="81"/>
            <rFont val="Tahoma"/>
            <family val="2"/>
          </rPr>
          <t xml:space="preserve">
Closed on 9/9/16</t>
        </r>
      </text>
    </comment>
    <comment ref="BW1059" authorId="8">
      <text>
        <r>
          <rPr>
            <b/>
            <sz val="9"/>
            <color indexed="81"/>
            <rFont val="Tahoma"/>
            <family val="2"/>
          </rPr>
          <t>Allen, Thomas (Research):</t>
        </r>
        <r>
          <rPr>
            <sz val="9"/>
            <color indexed="81"/>
            <rFont val="Tahoma"/>
            <family val="2"/>
          </rPr>
          <t xml:space="preserve">
Comp'ing hurricane</t>
        </r>
      </text>
    </comment>
    <comment ref="A1064" authorId="0">
      <text>
        <r>
          <rPr>
            <b/>
            <sz val="9"/>
            <color indexed="81"/>
            <rFont val="Tahoma"/>
            <family val="2"/>
          </rPr>
          <t>Savino, Mark (Research):</t>
        </r>
        <r>
          <rPr>
            <sz val="9"/>
            <color indexed="81"/>
            <rFont val="Tahoma"/>
            <family val="2"/>
          </rPr>
          <t xml:space="preserve">
Ameristar Black Hawk
Ameristar Vicksburg
Cactus Petes
Retama Park Racetrack</t>
        </r>
      </text>
    </comment>
    <comment ref="BZ1070" authorId="8">
      <text>
        <r>
          <rPr>
            <b/>
            <sz val="9"/>
            <color indexed="81"/>
            <rFont val="Tahoma"/>
            <family val="2"/>
          </rPr>
          <t>Allen, Thomas (Research):</t>
        </r>
        <r>
          <rPr>
            <sz val="9"/>
            <color indexed="81"/>
            <rFont val="Tahoma"/>
            <family val="2"/>
          </rPr>
          <t xml:space="preserve">
Note per mgmt, we estimte ~$50m of opex synergies in 2019 split btw PENN and PNK properties</t>
        </r>
      </text>
    </comment>
    <comment ref="BJ1166" authorId="0">
      <text>
        <r>
          <rPr>
            <b/>
            <sz val="9"/>
            <color indexed="81"/>
            <rFont val="Tahoma"/>
            <family val="2"/>
          </rPr>
          <t>Savino, Mark (Research):</t>
        </r>
        <r>
          <rPr>
            <sz val="9"/>
            <color indexed="81"/>
            <rFont val="Tahoma"/>
            <family val="2"/>
          </rPr>
          <t xml:space="preserve">
Per mgmt, doing north of $40m of EBITDA</t>
        </r>
      </text>
    </comment>
    <comment ref="BS1172" authorId="0">
      <text>
        <r>
          <rPr>
            <b/>
            <sz val="9"/>
            <color indexed="81"/>
            <rFont val="Tahoma"/>
            <family val="2"/>
          </rPr>
          <t>Savino, Mark (Research):</t>
        </r>
        <r>
          <rPr>
            <sz val="9"/>
            <color indexed="81"/>
            <rFont val="Tahoma"/>
            <family val="2"/>
          </rPr>
          <t xml:space="preserve">
Guidance $5.1m</t>
        </r>
      </text>
    </comment>
    <comment ref="BO1190" authorId="0">
      <text>
        <r>
          <rPr>
            <b/>
            <sz val="9"/>
            <color indexed="81"/>
            <rFont val="Tahoma"/>
            <family val="2"/>
          </rPr>
          <t>Savino, Mark (Research):</t>
        </r>
        <r>
          <rPr>
            <sz val="9"/>
            <color indexed="81"/>
            <rFont val="Tahoma"/>
            <family val="2"/>
          </rPr>
          <t xml:space="preserve">
Broke ground in January 2014 and expected to take 2 years to open</t>
        </r>
      </text>
    </comment>
    <comment ref="BO1191" authorId="0">
      <text>
        <r>
          <rPr>
            <b/>
            <sz val="9"/>
            <color indexed="81"/>
            <rFont val="Tahoma"/>
            <family val="2"/>
          </rPr>
          <t>Savino, Mark (Research):</t>
        </r>
        <r>
          <rPr>
            <sz val="9"/>
            <color indexed="81"/>
            <rFont val="Tahoma"/>
            <family val="2"/>
          </rPr>
          <t xml:space="preserve">
Per 4Q14 press release</t>
        </r>
      </text>
    </comment>
    <comment ref="BO1192" authorId="0">
      <text>
        <r>
          <rPr>
            <b/>
            <sz val="9"/>
            <color indexed="81"/>
            <rFont val="Tahoma"/>
            <family val="2"/>
          </rPr>
          <t>Savino, Mark (Research):</t>
        </r>
        <r>
          <rPr>
            <sz val="9"/>
            <color indexed="81"/>
            <rFont val="Tahoma"/>
            <family val="2"/>
          </rPr>
          <t xml:space="preserve">
Per 4Q14 press release</t>
        </r>
      </text>
    </comment>
    <comment ref="BN1194" authorId="0">
      <text>
        <r>
          <rPr>
            <b/>
            <sz val="9"/>
            <color indexed="81"/>
            <rFont val="Tahoma"/>
            <family val="2"/>
          </rPr>
          <t>Savino, Mark (Research):</t>
        </r>
        <r>
          <rPr>
            <sz val="9"/>
            <color indexed="81"/>
            <rFont val="Tahoma"/>
            <family val="2"/>
          </rPr>
          <t xml:space="preserve">
Assume higher results at opening. Per mgmt, usually takes 2 months for honeymoon period to subside</t>
        </r>
      </text>
    </comment>
    <comment ref="BT1194" authorId="0">
      <text>
        <r>
          <rPr>
            <b/>
            <sz val="9"/>
            <color indexed="81"/>
            <rFont val="Tahoma"/>
            <family val="2"/>
          </rPr>
          <t>Savino, Mark (Research):</t>
        </r>
        <r>
          <rPr>
            <sz val="9"/>
            <color indexed="81"/>
            <rFont val="Tahoma"/>
            <family val="2"/>
          </rPr>
          <t xml:space="preserve">
Per mgmt, safe to assume w/u/d $200-250, but assuming towards low end given history of new properties underperforming and vertical casino</t>
        </r>
      </text>
    </comment>
    <comment ref="BN1197" authorId="0">
      <text>
        <r>
          <rPr>
            <b/>
            <sz val="9"/>
            <color indexed="81"/>
            <rFont val="Tahoma"/>
            <family val="2"/>
          </rPr>
          <t>Savino, Mark (Research):</t>
        </r>
        <r>
          <rPr>
            <sz val="9"/>
            <color indexed="81"/>
            <rFont val="Tahoma"/>
            <family val="2"/>
          </rPr>
          <t xml:space="preserve">
Opened on 10/10</t>
        </r>
      </text>
    </comment>
    <comment ref="BO1197" authorId="0">
      <text>
        <r>
          <rPr>
            <b/>
            <sz val="9"/>
            <color indexed="81"/>
            <rFont val="Tahoma"/>
            <family val="2"/>
          </rPr>
          <t>Savino, Mark (Research):</t>
        </r>
        <r>
          <rPr>
            <sz val="9"/>
            <color indexed="81"/>
            <rFont val="Tahoma"/>
            <family val="2"/>
          </rPr>
          <t xml:space="preserve">
Assumes mid-2016 opening</t>
        </r>
      </text>
    </comment>
    <comment ref="BV1197" authorId="0">
      <text>
        <r>
          <rPr>
            <b/>
            <sz val="9"/>
            <color indexed="81"/>
            <rFont val="Tahoma"/>
            <family val="2"/>
          </rPr>
          <t>Savino, Mark (Research):</t>
        </r>
        <r>
          <rPr>
            <sz val="9"/>
            <color indexed="81"/>
            <rFont val="Tahoma"/>
            <family val="2"/>
          </rPr>
          <t xml:space="preserve">
Mgmt agreement terminated on 5/28</t>
        </r>
      </text>
    </comment>
    <comment ref="BO1199" authorId="0">
      <text>
        <r>
          <rPr>
            <b/>
            <sz val="9"/>
            <color indexed="81"/>
            <rFont val="Tahoma"/>
            <family val="2"/>
          </rPr>
          <t>Savino, Mark (Research):</t>
        </r>
        <r>
          <rPr>
            <sz val="9"/>
            <color indexed="81"/>
            <rFont val="Tahoma"/>
            <family val="2"/>
          </rPr>
          <t xml:space="preserve">
Expected to have multiple restaurants, bars and a 1,900-car parking garage</t>
        </r>
      </text>
    </comment>
    <comment ref="BT1199" authorId="0">
      <text>
        <r>
          <rPr>
            <b/>
            <sz val="9"/>
            <color indexed="81"/>
            <rFont val="Tahoma"/>
            <family val="2"/>
          </rPr>
          <t>Savino, Mark (Research):</t>
        </r>
        <r>
          <rPr>
            <sz val="9"/>
            <color indexed="81"/>
            <rFont val="Tahoma"/>
            <family val="2"/>
          </rPr>
          <t xml:space="preserve">
Expected to have multiple restaurants, bars and a 1,900-car parking garage</t>
        </r>
      </text>
    </comment>
    <comment ref="BO1207" authorId="8">
      <text>
        <r>
          <rPr>
            <b/>
            <sz val="9"/>
            <color indexed="81"/>
            <rFont val="Tahoma"/>
            <family val="2"/>
          </rPr>
          <t>Allen, Thomas (Research):</t>
        </r>
        <r>
          <rPr>
            <sz val="9"/>
            <color indexed="81"/>
            <rFont val="Tahoma"/>
            <family val="2"/>
          </rPr>
          <t xml:space="preserve">
13% revenue share in CA + few other fees</t>
        </r>
      </text>
    </comment>
    <comment ref="BN1213" authorId="0">
      <text>
        <r>
          <rPr>
            <b/>
            <sz val="9"/>
            <color indexed="81"/>
            <rFont val="Tahoma"/>
            <family val="2"/>
          </rPr>
          <t>Savino, Mark (Research):</t>
        </r>
        <r>
          <rPr>
            <sz val="9"/>
            <color indexed="81"/>
            <rFont val="Tahoma"/>
            <family val="2"/>
          </rPr>
          <t xml:space="preserve">
$360m construction cost over 30 years</t>
        </r>
      </text>
    </comment>
    <comment ref="BT1213" authorId="0">
      <text>
        <r>
          <rPr>
            <b/>
            <sz val="9"/>
            <color indexed="81"/>
            <rFont val="Tahoma"/>
            <family val="2"/>
          </rPr>
          <t>Savino, Mark (Research):</t>
        </r>
        <r>
          <rPr>
            <sz val="9"/>
            <color indexed="81"/>
            <rFont val="Tahoma"/>
            <family val="2"/>
          </rPr>
          <t xml:space="preserve">
$360m construction cost over 30 years</t>
        </r>
      </text>
    </comment>
    <comment ref="BN1218" authorId="0">
      <text>
        <r>
          <rPr>
            <b/>
            <sz val="9"/>
            <color indexed="81"/>
            <rFont val="Tahoma"/>
            <family val="2"/>
          </rPr>
          <t>Savino, Mark (Research):</t>
        </r>
        <r>
          <rPr>
            <sz val="9"/>
            <color indexed="81"/>
            <rFont val="Tahoma"/>
            <family val="2"/>
          </rPr>
          <t xml:space="preserve">
Per 3Q call, will not realize any benefit of mgmt fees in October because financing costs</t>
        </r>
      </text>
    </comment>
    <comment ref="BO1220" authorId="0">
      <text>
        <r>
          <rPr>
            <b/>
            <sz val="9"/>
            <color indexed="81"/>
            <rFont val="Tahoma"/>
            <family val="2"/>
          </rPr>
          <t>Savino, Mark (Research):</t>
        </r>
        <r>
          <rPr>
            <sz val="9"/>
            <color indexed="81"/>
            <rFont val="Tahoma"/>
            <family val="2"/>
          </rPr>
          <t xml:space="preserve">
Branding fee equal to 2% of revenue</t>
        </r>
      </text>
    </comment>
    <comment ref="BT1222" authorId="0">
      <text>
        <r>
          <rPr>
            <b/>
            <sz val="9"/>
            <color indexed="81"/>
            <rFont val="Tahoma"/>
            <family val="2"/>
          </rPr>
          <t>Savino, Mark (Research):</t>
        </r>
        <r>
          <rPr>
            <sz val="9"/>
            <color indexed="81"/>
            <rFont val="Tahoma"/>
            <family val="2"/>
          </rPr>
          <t xml:space="preserve">
4Q16: Guidance assumes $0 mgmt fees from Jamul in 2017; nearby competition has been extremely aggressive since property opened</t>
        </r>
      </text>
    </comment>
    <comment ref="BT1224" authorId="8">
      <text>
        <r>
          <rPr>
            <b/>
            <sz val="9"/>
            <color indexed="81"/>
            <rFont val="Tahoma"/>
            <family val="2"/>
          </rPr>
          <t>Allen, Thomas (Research):</t>
        </r>
        <r>
          <rPr>
            <sz val="9"/>
            <color indexed="81"/>
            <rFont val="Tahoma"/>
            <family val="2"/>
          </rPr>
          <t xml:space="preserve">
4Q16 post-call: Will be &lt;$35m / year</t>
        </r>
      </text>
    </comment>
    <comment ref="A1227" authorId="0">
      <text>
        <r>
          <rPr>
            <b/>
            <sz val="9"/>
            <color indexed="81"/>
            <rFont val="Tahoma"/>
            <family val="2"/>
          </rPr>
          <t>Savino, Mark (Research):</t>
        </r>
        <r>
          <rPr>
            <sz val="9"/>
            <color indexed="81"/>
            <rFont val="Tahoma"/>
            <family val="2"/>
          </rPr>
          <t xml:space="preserve">
Numbers in press release are cash basis, numbers in 10Q are accrued</t>
        </r>
      </text>
    </comment>
    <comment ref="BC1227" authorId="0">
      <text>
        <r>
          <rPr>
            <b/>
            <sz val="9"/>
            <color indexed="81"/>
            <rFont val="Tahoma"/>
            <family val="2"/>
          </rPr>
          <t>Savino, Mark (Research):</t>
        </r>
        <r>
          <rPr>
            <sz val="9"/>
            <color indexed="81"/>
            <rFont val="Tahoma"/>
            <family val="2"/>
          </rPr>
          <t xml:space="preserve">
Per 3Q14 call</t>
        </r>
      </text>
    </comment>
    <comment ref="BD1227" authorId="0">
      <text>
        <r>
          <rPr>
            <b/>
            <sz val="9"/>
            <color indexed="81"/>
            <rFont val="Tahoma"/>
            <family val="2"/>
          </rPr>
          <t>Savino, Mark (Research):</t>
        </r>
        <r>
          <rPr>
            <sz val="9"/>
            <color indexed="81"/>
            <rFont val="Tahoma"/>
            <family val="2"/>
          </rPr>
          <t xml:space="preserve">
Per 4Q press release</t>
        </r>
      </text>
    </comment>
    <comment ref="BE1227" authorId="0">
      <text>
        <r>
          <rPr>
            <b/>
            <sz val="9"/>
            <color indexed="81"/>
            <rFont val="Tahoma"/>
            <family val="2"/>
          </rPr>
          <t>Savino, Mark (Research):</t>
        </r>
        <r>
          <rPr>
            <sz val="9"/>
            <color indexed="81"/>
            <rFont val="Tahoma"/>
            <family val="2"/>
          </rPr>
          <t xml:space="preserve">
3Q14 call: will be $76m by year-end</t>
        </r>
      </text>
    </comment>
    <comment ref="BN1227" authorId="0">
      <text>
        <r>
          <rPr>
            <b/>
            <sz val="9"/>
            <color indexed="81"/>
            <rFont val="Tahoma"/>
            <family val="2"/>
          </rPr>
          <t>Savino, Mark (Research):</t>
        </r>
        <r>
          <rPr>
            <sz val="9"/>
            <color indexed="81"/>
            <rFont val="Tahoma"/>
            <family val="2"/>
          </rPr>
          <t xml:space="preserve">
Per mgmt, new receivable is $98m with $15m delayed draw option and $15m completion gaurantee</t>
        </r>
      </text>
    </comment>
    <comment ref="BR1227" authorId="0">
      <text>
        <r>
          <rPr>
            <b/>
            <sz val="9"/>
            <color indexed="81"/>
            <rFont val="Tahoma"/>
            <family val="2"/>
          </rPr>
          <t>Savino, Mark (Research):</t>
        </r>
        <r>
          <rPr>
            <sz val="9"/>
            <color indexed="81"/>
            <rFont val="Tahoma"/>
            <family val="2"/>
          </rPr>
          <t xml:space="preserve">
Assume the loan is subordinated and interest turns to PIK</t>
        </r>
      </text>
    </comment>
    <comment ref="BT1227" authorId="0">
      <text>
        <r>
          <rPr>
            <b/>
            <sz val="9"/>
            <color indexed="81"/>
            <rFont val="Tahoma"/>
            <family val="2"/>
          </rPr>
          <t>Savino, Mark (Research):</t>
        </r>
        <r>
          <rPr>
            <sz val="9"/>
            <color indexed="81"/>
            <rFont val="Tahoma"/>
            <family val="2"/>
          </rPr>
          <t xml:space="preserve">
Assume PENN loan is refinanced</t>
        </r>
      </text>
    </comment>
    <comment ref="BF1228" authorId="0">
      <text>
        <r>
          <rPr>
            <b/>
            <sz val="9"/>
            <color indexed="81"/>
            <rFont val="Tahoma"/>
            <family val="2"/>
          </rPr>
          <t>Savino, Mark (Research):</t>
        </r>
        <r>
          <rPr>
            <sz val="9"/>
            <color indexed="81"/>
            <rFont val="Tahoma"/>
            <family val="2"/>
          </rPr>
          <t xml:space="preserve">
Guidance: $1.9m from Jamul</t>
        </r>
      </text>
    </comment>
    <comment ref="BI1228" authorId="0">
      <text>
        <r>
          <rPr>
            <b/>
            <sz val="9"/>
            <color indexed="81"/>
            <rFont val="Tahoma"/>
            <family val="2"/>
          </rPr>
          <t>Savino, Mark (Research):</t>
        </r>
        <r>
          <rPr>
            <sz val="9"/>
            <color indexed="81"/>
            <rFont val="Tahoma"/>
            <family val="2"/>
          </rPr>
          <t xml:space="preserve">
Guidance: $3.8m</t>
        </r>
      </text>
    </comment>
    <comment ref="BJ1228" authorId="0">
      <text>
        <r>
          <rPr>
            <b/>
            <sz val="9"/>
            <color indexed="81"/>
            <rFont val="Tahoma"/>
            <family val="2"/>
          </rPr>
          <t>Savino, Mark (Research):</t>
        </r>
        <r>
          <rPr>
            <sz val="9"/>
            <color indexed="81"/>
            <rFont val="Tahoma"/>
            <family val="2"/>
          </rPr>
          <t xml:space="preserve">
3Q15: $10.6m
Guidance: $15.9m from Jamul</t>
        </r>
      </text>
    </comment>
    <comment ref="BK1228" authorId="0">
      <text>
        <r>
          <rPr>
            <b/>
            <sz val="9"/>
            <color indexed="81"/>
            <rFont val="Tahoma"/>
            <family val="2"/>
          </rPr>
          <t>Savino, Mark (Research):</t>
        </r>
        <r>
          <rPr>
            <sz val="9"/>
            <color indexed="81"/>
            <rFont val="Tahoma"/>
            <family val="2"/>
          </rPr>
          <t xml:space="preserve">
Guidance $4.9m</t>
        </r>
      </text>
    </comment>
    <comment ref="BL1228" authorId="0">
      <text>
        <r>
          <rPr>
            <b/>
            <sz val="9"/>
            <color indexed="81"/>
            <rFont val="Tahoma"/>
            <family val="2"/>
          </rPr>
          <t>Savino, Mark (Research):</t>
        </r>
        <r>
          <rPr>
            <sz val="9"/>
            <color indexed="81"/>
            <rFont val="Tahoma"/>
            <family val="2"/>
          </rPr>
          <t xml:space="preserve">
Guidance $6.5m</t>
        </r>
      </text>
    </comment>
    <comment ref="BC1235" authorId="0">
      <text>
        <r>
          <rPr>
            <b/>
            <sz val="9"/>
            <color indexed="81"/>
            <rFont val="Tahoma"/>
            <family val="2"/>
          </rPr>
          <t>Savino, Mark (Research):</t>
        </r>
        <r>
          <rPr>
            <sz val="9"/>
            <color indexed="81"/>
            <rFont val="Tahoma"/>
            <family val="2"/>
          </rPr>
          <t xml:space="preserve">
Per GLPI guidance - rent expense down $3.1m in 2H14 due to Sioux City closing</t>
        </r>
      </text>
    </comment>
    <comment ref="BQ1235" authorId="0">
      <text>
        <r>
          <rPr>
            <b/>
            <sz val="9"/>
            <color indexed="81"/>
            <rFont val="Tahoma"/>
            <family val="2"/>
          </rPr>
          <t>Savino, Mark (Research):</t>
        </r>
        <r>
          <rPr>
            <sz val="9"/>
            <color indexed="81"/>
            <rFont val="Tahoma"/>
            <family val="2"/>
          </rPr>
          <t xml:space="preserve">
Includes incremental rent from Ballys/Resorts Tunica. $9m total rent, assume 25% in fixed / 75% in building replacement cost
Closing May 1</t>
        </r>
      </text>
    </comment>
    <comment ref="BR1235" authorId="0">
      <text>
        <r>
          <rPr>
            <b/>
            <sz val="9"/>
            <color indexed="81"/>
            <rFont val="Tahoma"/>
            <family val="2"/>
          </rPr>
          <t>Savino, Mark (Research):</t>
        </r>
        <r>
          <rPr>
            <sz val="9"/>
            <color indexed="81"/>
            <rFont val="Tahoma"/>
            <family val="2"/>
          </rPr>
          <t xml:space="preserve">
Includes incremental rent from Ballys/Resorts Tunica. $9m total rent, assume 25% in fixed / 75% in building replacement cost</t>
        </r>
      </text>
    </comment>
    <comment ref="BX1235" authorId="0">
      <text>
        <r>
          <rPr>
            <b/>
            <sz val="9"/>
            <color indexed="81"/>
            <rFont val="Tahoma"/>
            <family val="2"/>
          </rPr>
          <t>Savino, Mark (Research):</t>
        </r>
        <r>
          <rPr>
            <sz val="9"/>
            <color indexed="81"/>
            <rFont val="Tahoma"/>
            <family val="2"/>
          </rPr>
          <t xml:space="preserve">
5-year rent reset occurs on 11/1/18. Per GLPI, expected to reduct full year 2018 rent by $1.9m, implying $11m for the full year impact</t>
        </r>
      </text>
    </comment>
    <comment ref="BZ1235" authorId="0">
      <text>
        <r>
          <rPr>
            <b/>
            <sz val="9"/>
            <color indexed="81"/>
            <rFont val="Tahoma"/>
            <family val="2"/>
          </rPr>
          <t>Savino, Mark (Research):</t>
        </r>
        <r>
          <rPr>
            <sz val="9"/>
            <color indexed="81"/>
            <rFont val="Tahoma"/>
            <family val="2"/>
          </rPr>
          <t xml:space="preserve">
5-year rent reset occurs on 11/1/18. Per GLPI, expected to reduct full year 2018 rent by $1.9m, implying $11m for the full year impact</t>
        </r>
      </text>
    </comment>
    <comment ref="BD1237" authorId="0">
      <text>
        <r>
          <rPr>
            <b/>
            <sz val="9"/>
            <color indexed="81"/>
            <rFont val="Tahoma"/>
            <family val="2"/>
          </rPr>
          <t>Savino, Mark (Research):</t>
        </r>
        <r>
          <rPr>
            <sz val="9"/>
            <color indexed="81"/>
            <rFont val="Tahoma"/>
            <family val="2"/>
          </rPr>
          <t xml:space="preserve">
Per Saul: $15.8m annualized rent from bond prospectus is correct</t>
        </r>
      </text>
    </comment>
    <comment ref="A1239" authorId="17">
      <text>
        <r>
          <rPr>
            <b/>
            <sz val="8"/>
            <color indexed="81"/>
            <rFont val="Tahoma"/>
            <family val="2"/>
          </rPr>
          <t>thallen:</t>
        </r>
        <r>
          <rPr>
            <sz val="8"/>
            <color indexed="81"/>
            <rFont val="Tahoma"/>
            <family val="2"/>
          </rPr>
          <t xml:space="preserve">
No adjustment in year 1 then escalates at 2% / year as long as rent coverage = 1.9x</t>
        </r>
      </text>
    </comment>
    <comment ref="BD1239" authorId="0">
      <text>
        <r>
          <rPr>
            <b/>
            <sz val="9"/>
            <color indexed="81"/>
            <rFont val="Tahoma"/>
            <family val="2"/>
          </rPr>
          <t>Savino, Mark (Research):</t>
        </r>
        <r>
          <rPr>
            <sz val="9"/>
            <color indexed="81"/>
            <rFont val="Tahoma"/>
            <family val="2"/>
          </rPr>
          <t xml:space="preserve">
Assume 2% rent escalator kicks in in November</t>
        </r>
      </text>
    </comment>
    <comment ref="BI1239" authorId="0">
      <text>
        <r>
          <rPr>
            <b/>
            <sz val="9"/>
            <color indexed="81"/>
            <rFont val="Tahoma"/>
            <family val="2"/>
          </rPr>
          <t>Savino, Mark (Research):</t>
        </r>
        <r>
          <rPr>
            <sz val="9"/>
            <color indexed="81"/>
            <rFont val="Tahoma"/>
            <family val="2"/>
          </rPr>
          <t xml:space="preserve">
Includes 2% rent escalator</t>
        </r>
      </text>
    </comment>
    <comment ref="BN1239" authorId="0">
      <text>
        <r>
          <rPr>
            <b/>
            <sz val="9"/>
            <color indexed="81"/>
            <rFont val="Tahoma"/>
            <family val="2"/>
          </rPr>
          <t>Savino, Mark (Research):</t>
        </r>
        <r>
          <rPr>
            <sz val="9"/>
            <color indexed="81"/>
            <rFont val="Tahoma"/>
            <family val="2"/>
          </rPr>
          <t xml:space="preserve">
1Q16: Guidance assumes rent escalator kicks in in Nov adding $0.9m of rent expense in 4Q</t>
        </r>
      </text>
    </comment>
    <comment ref="BQ1239" authorId="0">
      <text>
        <r>
          <rPr>
            <b/>
            <sz val="9"/>
            <color indexed="81"/>
            <rFont val="Tahoma"/>
            <family val="2"/>
          </rPr>
          <t>Savino, Mark (Research):</t>
        </r>
        <r>
          <rPr>
            <sz val="9"/>
            <color indexed="81"/>
            <rFont val="Tahoma"/>
            <family val="2"/>
          </rPr>
          <t xml:space="preserve">
Includes incremental rent from Ballys/Resorts Tunica. $9m total rent, assume 25% in fixed / 75% in building replacement cost
Closing May 1</t>
        </r>
      </text>
    </comment>
    <comment ref="BR1239" authorId="0">
      <text>
        <r>
          <rPr>
            <b/>
            <sz val="9"/>
            <color indexed="81"/>
            <rFont val="Tahoma"/>
            <family val="2"/>
          </rPr>
          <t>Savino, Mark (Research):</t>
        </r>
        <r>
          <rPr>
            <sz val="9"/>
            <color indexed="81"/>
            <rFont val="Tahoma"/>
            <family val="2"/>
          </rPr>
          <t xml:space="preserve">
Includes incremental rent from Ballys/Resorts Tunica. $9m total rent, assume 25% in fixed / 75% in building replacement cost</t>
        </r>
      </text>
    </comment>
    <comment ref="BS1239" authorId="0">
      <text>
        <r>
          <rPr>
            <b/>
            <sz val="9"/>
            <color indexed="81"/>
            <rFont val="Tahoma"/>
            <family val="2"/>
          </rPr>
          <t>Savino, Mark (Research):</t>
        </r>
        <r>
          <rPr>
            <sz val="9"/>
            <color indexed="81"/>
            <rFont val="Tahoma"/>
            <family val="2"/>
          </rPr>
          <t xml:space="preserve">
2% rent escalator kicks in on 11/1. Per GLPI, only achieved $2.4m annual increase</t>
        </r>
      </text>
    </comment>
    <comment ref="BU1239" authorId="0">
      <text>
        <r>
          <rPr>
            <b/>
            <sz val="9"/>
            <color indexed="81"/>
            <rFont val="Tahoma"/>
            <family val="2"/>
          </rPr>
          <t>Savino, Mark (Research):</t>
        </r>
        <r>
          <rPr>
            <sz val="9"/>
            <color indexed="81"/>
            <rFont val="Tahoma"/>
            <family val="2"/>
          </rPr>
          <t xml:space="preserve">
Reflects full qtr of rent escalator. Per GLPI, only achieved $2.4m annual increase</t>
        </r>
      </text>
    </comment>
    <comment ref="BS1240" authorId="0">
      <text>
        <r>
          <rPr>
            <b/>
            <sz val="9"/>
            <color indexed="81"/>
            <rFont val="Tahoma"/>
            <family val="2"/>
          </rPr>
          <t>Savino, Mark (Research):</t>
        </r>
        <r>
          <rPr>
            <sz val="9"/>
            <color indexed="81"/>
            <rFont val="Tahoma"/>
            <family val="2"/>
          </rPr>
          <t xml:space="preserve">
3Q17: Achieved 75% of the escalator
2Q17: Rent coverage ratio at 1.83x, so expect escalator to add $4.1m
1Q17: Still don't expect escalator but very close
Per 4Q16 call, mgmt does not expect escalator in 2017</t>
        </r>
      </text>
    </comment>
    <comment ref="BI1245" authorId="0">
      <text>
        <r>
          <rPr>
            <b/>
            <sz val="9"/>
            <color indexed="81"/>
            <rFont val="Tahoma"/>
            <family val="2"/>
          </rPr>
          <t>Savino, Mark (Research):</t>
        </r>
        <r>
          <rPr>
            <sz val="9"/>
            <color indexed="81"/>
            <rFont val="Tahoma"/>
            <family val="2"/>
          </rPr>
          <t xml:space="preserve">
Includes $0.65m from rent escalator in November 2015</t>
        </r>
      </text>
    </comment>
    <comment ref="BO1245" authorId="0">
      <text>
        <r>
          <rPr>
            <b/>
            <sz val="9"/>
            <color indexed="81"/>
            <rFont val="Tahoma"/>
            <family val="2"/>
          </rPr>
          <t>Savino, Mark (Research):</t>
        </r>
        <r>
          <rPr>
            <sz val="9"/>
            <color indexed="81"/>
            <rFont val="Tahoma"/>
            <family val="2"/>
          </rPr>
          <t xml:space="preserve">
3Q16: $442.7m
2Q16: $443.7m
1Q16: $445.4m</t>
        </r>
      </text>
    </comment>
    <comment ref="BQ1245" authorId="8">
      <text>
        <r>
          <rPr>
            <b/>
            <sz val="9"/>
            <color indexed="81"/>
            <rFont val="Tahoma"/>
            <family val="2"/>
          </rPr>
          <t>Allen, Thomas (Research):</t>
        </r>
        <r>
          <rPr>
            <sz val="9"/>
            <color indexed="81"/>
            <rFont val="Tahoma"/>
            <family val="2"/>
          </rPr>
          <t xml:space="preserve">
Excludes Tunica</t>
        </r>
      </text>
    </comment>
    <comment ref="BS1245" authorId="0">
      <text>
        <r>
          <rPr>
            <b/>
            <sz val="9"/>
            <color indexed="81"/>
            <rFont val="Tahoma"/>
            <family val="2"/>
          </rPr>
          <t>Savino, Mark (Research):</t>
        </r>
        <r>
          <rPr>
            <sz val="9"/>
            <color indexed="81"/>
            <rFont val="Tahoma"/>
            <family val="2"/>
          </rPr>
          <t xml:space="preserve">
3Q17: $114.4m
Implied</t>
        </r>
      </text>
    </comment>
    <comment ref="BT1245" authorId="8">
      <text>
        <r>
          <rPr>
            <b/>
            <sz val="9"/>
            <color indexed="81"/>
            <rFont val="Tahoma"/>
            <family val="2"/>
          </rPr>
          <t>Allen, Thomas (Research):</t>
        </r>
        <r>
          <rPr>
            <sz val="9"/>
            <color indexed="81"/>
            <rFont val="Tahoma"/>
            <family val="2"/>
          </rPr>
          <t xml:space="preserve">
3Q17: $455.2m
2Q17: $454.8m
1Q17: $447.7m
4Q16: $446.9m</t>
        </r>
      </text>
    </comment>
    <comment ref="BY1245" authorId="0">
      <text>
        <r>
          <rPr>
            <b/>
            <sz val="9"/>
            <color indexed="81"/>
            <rFont val="Tahoma"/>
            <family val="2"/>
          </rPr>
          <t>Savino, Mark (Research):</t>
        </r>
        <r>
          <rPr>
            <sz val="9"/>
            <color indexed="81"/>
            <rFont val="Tahoma"/>
            <family val="2"/>
          </rPr>
          <t xml:space="preserve">
4Q17: $461.3m</t>
        </r>
      </text>
    </comment>
    <comment ref="BL1248" authorId="0">
      <text>
        <r>
          <rPr>
            <b/>
            <sz val="9"/>
            <color indexed="81"/>
            <rFont val="Tahoma"/>
            <family val="2"/>
          </rPr>
          <t>Savino, Mark (Research):</t>
        </r>
        <r>
          <rPr>
            <sz val="9"/>
            <color indexed="81"/>
            <rFont val="Tahoma"/>
            <family val="2"/>
          </rPr>
          <t xml:space="preserve">
Assumes 4/28 close</t>
        </r>
      </text>
    </comment>
    <comment ref="BP1248" authorId="7">
      <text>
        <r>
          <rPr>
            <b/>
            <sz val="9"/>
            <color indexed="81"/>
            <rFont val="Tahoma"/>
            <family val="2"/>
          </rPr>
          <t>Zheng, Chaodan (Research):</t>
        </r>
        <r>
          <rPr>
            <sz val="9"/>
            <color indexed="81"/>
            <rFont val="Tahoma"/>
            <family val="2"/>
          </rPr>
          <t xml:space="preserve">
Nov 2016 Investor Presentation (pg. 14): fixed building rent component with annual 2% escalator (subject to minimum rent coverage of 1.8x) </t>
        </r>
      </text>
    </comment>
    <comment ref="BT1248" authorId="0">
      <text>
        <r>
          <rPr>
            <b/>
            <sz val="9"/>
            <color indexed="81"/>
            <rFont val="Tahoma"/>
            <family val="2"/>
          </rPr>
          <t>Savino, Mark (Research):</t>
        </r>
        <r>
          <rPr>
            <sz val="9"/>
            <color indexed="81"/>
            <rFont val="Tahoma"/>
            <family val="2"/>
          </rPr>
          <t xml:space="preserve">
Subject to 2% annual escalator if rent coverage &gt;1.8x</t>
        </r>
      </text>
    </comment>
    <comment ref="BW1248" authorId="0">
      <text>
        <r>
          <rPr>
            <b/>
            <sz val="9"/>
            <color indexed="81"/>
            <rFont val="Tahoma"/>
            <family val="2"/>
          </rPr>
          <t>Savino, Mark (Research):</t>
        </r>
        <r>
          <rPr>
            <sz val="9"/>
            <color indexed="81"/>
            <rFont val="Tahoma"/>
            <family val="2"/>
          </rPr>
          <t xml:space="preserve">
Per 12/18/17 press release: PNK rent reset (after backing out properties divested to BYD) will reset to $284.7m annually. We assume same proportion of base rent as prior lease. Also adding in the incremental $13.9m of annual fixed rent as part of the renegotiation, and $25m of annual rent from Plainridge Park</t>
        </r>
      </text>
    </comment>
    <comment ref="BM1255" authorId="0">
      <text>
        <r>
          <rPr>
            <b/>
            <sz val="9"/>
            <color indexed="81"/>
            <rFont val="Tahoma"/>
            <family val="2"/>
          </rPr>
          <t>Savino, Mark (Research):</t>
        </r>
        <r>
          <rPr>
            <sz val="9"/>
            <color indexed="81"/>
            <rFont val="Tahoma"/>
            <family val="2"/>
          </rPr>
          <t xml:space="preserve">
Per 3/29/16 press release, $14m annual base rent</t>
        </r>
      </text>
    </comment>
    <comment ref="BN1255" authorId="0">
      <text>
        <r>
          <rPr>
            <b/>
            <sz val="9"/>
            <color indexed="81"/>
            <rFont val="Tahoma"/>
            <family val="2"/>
          </rPr>
          <t>Savino, Mark (Research):</t>
        </r>
        <r>
          <rPr>
            <sz val="9"/>
            <color indexed="81"/>
            <rFont val="Tahoma"/>
            <family val="2"/>
          </rPr>
          <t xml:space="preserve">
Per 3/29/16 press release, $14m annual base rent</t>
        </r>
      </text>
    </comment>
    <comment ref="BT1255" authorId="0">
      <text>
        <r>
          <rPr>
            <b/>
            <sz val="9"/>
            <color indexed="81"/>
            <rFont val="Tahoma"/>
            <family val="2"/>
          </rPr>
          <t>Savino, Mark (Research):</t>
        </r>
        <r>
          <rPr>
            <sz val="9"/>
            <color indexed="81"/>
            <rFont val="Tahoma"/>
            <family val="2"/>
          </rPr>
          <t xml:space="preserve">
Per 3/29/16 press release, $14m annual base rent</t>
        </r>
      </text>
    </comment>
    <comment ref="BY1255" authorId="0">
      <text>
        <r>
          <rPr>
            <b/>
            <sz val="9"/>
            <color indexed="81"/>
            <rFont val="Tahoma"/>
            <family val="2"/>
          </rPr>
          <t>Savino, Mark (Research):</t>
        </r>
        <r>
          <rPr>
            <sz val="9"/>
            <color indexed="81"/>
            <rFont val="Tahoma"/>
            <family val="2"/>
          </rPr>
          <t xml:space="preserve">
Assume 5% annual escalator kicks in b/c Meadows margins 16% when bought but most PA properties 20%s margins</t>
        </r>
      </text>
    </comment>
    <comment ref="BZ1255" authorId="0">
      <text>
        <r>
          <rPr>
            <b/>
            <sz val="9"/>
            <color indexed="81"/>
            <rFont val="Tahoma"/>
            <family val="2"/>
          </rPr>
          <t>Savino, Mark (Research):</t>
        </r>
        <r>
          <rPr>
            <sz val="9"/>
            <color indexed="81"/>
            <rFont val="Tahoma"/>
            <family val="2"/>
          </rPr>
          <t xml:space="preserve">
Assume 5% annual escalator kicks in b/c Meadows margins 16% when bought but most PA properties 20%s margins</t>
        </r>
      </text>
    </comment>
    <comment ref="CA1255" authorId="0">
      <text>
        <r>
          <rPr>
            <b/>
            <sz val="9"/>
            <color indexed="81"/>
            <rFont val="Tahoma"/>
            <family val="2"/>
          </rPr>
          <t>Savino, Mark (Research):</t>
        </r>
        <r>
          <rPr>
            <sz val="9"/>
            <color indexed="81"/>
            <rFont val="Tahoma"/>
            <family val="2"/>
          </rPr>
          <t xml:space="preserve">
Assume 5% annual escalator kicks in b/c Meadows margins 16% when bought but most PA properties 20%s margins</t>
        </r>
      </text>
    </comment>
    <comment ref="BM1256" authorId="0">
      <text>
        <r>
          <rPr>
            <b/>
            <sz val="9"/>
            <color indexed="81"/>
            <rFont val="Tahoma"/>
            <family val="2"/>
          </rPr>
          <t>Savino, Mark (Research):</t>
        </r>
        <r>
          <rPr>
            <sz val="9"/>
            <color indexed="81"/>
            <rFont val="Tahoma"/>
            <family val="2"/>
          </rPr>
          <t xml:space="preserve">
Per 3/29/16 press release, $11.5m annual percentage rent</t>
        </r>
      </text>
    </comment>
    <comment ref="BN1256" authorId="0">
      <text>
        <r>
          <rPr>
            <b/>
            <sz val="9"/>
            <color indexed="81"/>
            <rFont val="Tahoma"/>
            <family val="2"/>
          </rPr>
          <t>Savino, Mark (Research):</t>
        </r>
        <r>
          <rPr>
            <sz val="9"/>
            <color indexed="81"/>
            <rFont val="Tahoma"/>
            <family val="2"/>
          </rPr>
          <t xml:space="preserve">
Per 3/29/16 press release, $11.5m annual percentage rent</t>
        </r>
      </text>
    </comment>
    <comment ref="BT1256" authorId="0">
      <text>
        <r>
          <rPr>
            <b/>
            <sz val="9"/>
            <color indexed="81"/>
            <rFont val="Tahoma"/>
            <family val="2"/>
          </rPr>
          <t>Savino, Mark (Research):</t>
        </r>
        <r>
          <rPr>
            <sz val="9"/>
            <color indexed="81"/>
            <rFont val="Tahoma"/>
            <family val="2"/>
          </rPr>
          <t xml:space="preserve">
Per 3/29/16 press release, $11.5m annual percentage rent</t>
        </r>
      </text>
    </comment>
    <comment ref="BY1256" authorId="0">
      <text>
        <r>
          <rPr>
            <b/>
            <sz val="9"/>
            <color indexed="81"/>
            <rFont val="Tahoma"/>
            <family val="2"/>
          </rPr>
          <t>Savino, Mark (Research):</t>
        </r>
        <r>
          <rPr>
            <sz val="9"/>
            <color indexed="81"/>
            <rFont val="Tahoma"/>
            <family val="2"/>
          </rPr>
          <t xml:space="preserve">
Resets in 4Q18 by an amount equal to 4% of the change in average net revenues for the trailing two-year period</t>
        </r>
      </text>
    </comment>
    <comment ref="CA1256" authorId="0">
      <text>
        <r>
          <rPr>
            <b/>
            <sz val="9"/>
            <color indexed="81"/>
            <rFont val="Tahoma"/>
            <family val="2"/>
          </rPr>
          <t>Savino, Mark (Research):</t>
        </r>
        <r>
          <rPr>
            <sz val="9"/>
            <color indexed="81"/>
            <rFont val="Tahoma"/>
            <family val="2"/>
          </rPr>
          <t xml:space="preserve">
Resets in 4Q20 by an amount equal to 4% of the change in average net revenues for the trailing two-year period</t>
        </r>
      </text>
    </comment>
    <comment ref="BL1263" authorId="0">
      <text>
        <r>
          <rPr>
            <b/>
            <sz val="9"/>
            <color indexed="81"/>
            <rFont val="Tahoma"/>
            <family val="2"/>
          </rPr>
          <t>Savino, Mark (Research):</t>
        </r>
        <r>
          <rPr>
            <sz val="9"/>
            <color indexed="81"/>
            <rFont val="Tahoma"/>
            <family val="2"/>
          </rPr>
          <t xml:space="preserve">
Guidance: $13.0m</t>
        </r>
      </text>
    </comment>
    <comment ref="BO1263" authorId="0">
      <text>
        <r>
          <rPr>
            <b/>
            <sz val="9"/>
            <color indexed="81"/>
            <rFont val="Tahoma"/>
            <family val="2"/>
          </rPr>
          <t>Savino, Mark (Research):</t>
        </r>
        <r>
          <rPr>
            <sz val="9"/>
            <color indexed="81"/>
            <rFont val="Tahoma"/>
            <family val="2"/>
          </rPr>
          <t xml:space="preserve">
1Q16: $37.9m</t>
        </r>
      </text>
    </comment>
    <comment ref="BP1263" authorId="0">
      <text>
        <r>
          <rPr>
            <b/>
            <sz val="9"/>
            <color indexed="81"/>
            <rFont val="Tahoma"/>
            <family val="2"/>
          </rPr>
          <t>Savino, Mark (Research):</t>
        </r>
        <r>
          <rPr>
            <sz val="9"/>
            <color indexed="81"/>
            <rFont val="Tahoma"/>
            <family val="2"/>
          </rPr>
          <t xml:space="preserve">
Guidance $14.8m</t>
        </r>
      </text>
    </comment>
    <comment ref="BJ1269" authorId="0">
      <text>
        <r>
          <rPr>
            <b/>
            <sz val="9"/>
            <color indexed="81"/>
            <rFont val="Tahoma"/>
            <family val="2"/>
          </rPr>
          <t>Savino, Mark (Research):</t>
        </r>
        <r>
          <rPr>
            <sz val="9"/>
            <color indexed="81"/>
            <rFont val="Tahoma"/>
            <family val="2"/>
          </rPr>
          <t xml:space="preserve">
Excludes $16.796m property tax settlement</t>
        </r>
      </text>
    </comment>
    <comment ref="BJ1270" authorId="8">
      <text>
        <r>
          <rPr>
            <b/>
            <sz val="9"/>
            <color indexed="81"/>
            <rFont val="Tahoma"/>
            <family val="2"/>
          </rPr>
          <t>Allen, Thomas (Research):</t>
        </r>
        <r>
          <rPr>
            <sz val="9"/>
            <color indexed="81"/>
            <rFont val="Tahoma"/>
            <family val="2"/>
          </rPr>
          <t xml:space="preserve">
GLPI noted it was 1.88x</t>
        </r>
      </text>
    </comment>
    <comment ref="BO1270" authorId="8">
      <text>
        <r>
          <rPr>
            <b/>
            <sz val="9"/>
            <color indexed="81"/>
            <rFont val="Tahoma"/>
            <family val="2"/>
          </rPr>
          <t>Allen, Thomas (Research):</t>
        </r>
        <r>
          <rPr>
            <sz val="9"/>
            <color indexed="81"/>
            <rFont val="Tahoma"/>
            <family val="2"/>
          </rPr>
          <t xml:space="preserve">
per 4Q16 PENN call, 1.82x</t>
        </r>
      </text>
    </comment>
    <comment ref="BA1275" authorId="33">
      <text>
        <r>
          <rPr>
            <sz val="9"/>
            <color indexed="81"/>
            <rFont val="Tahoma"/>
            <family val="2"/>
          </rPr>
          <t>Source:
http://www.sec.gov/Archives/edgar/data/921738/000110465916103085/a16-5836_110qa.htm</t>
        </r>
      </text>
    </comment>
    <comment ref="BB1275" authorId="33">
      <text>
        <r>
          <rPr>
            <sz val="9"/>
            <color indexed="81"/>
            <rFont val="Tahoma"/>
            <family val="2"/>
          </rPr>
          <t>Source:
http://www.sec.gov/Archives/edgar/data/921738/000110465916103086/a16-5837_110qa.htm</t>
        </r>
      </text>
    </comment>
    <comment ref="BC1275" authorId="33">
      <text>
        <r>
          <rPr>
            <sz val="9"/>
            <color indexed="81"/>
            <rFont val="Tahoma"/>
            <family val="2"/>
          </rPr>
          <t xml:space="preserve">Source:
http://www.sec.gov/Archives/edgar/data/921738/000110465916103088/a15-17882_110q.htm
</t>
        </r>
      </text>
    </comment>
    <comment ref="BD1275" authorId="33">
      <text>
        <r>
          <rPr>
            <sz val="9"/>
            <color indexed="81"/>
            <rFont val="Tahoma"/>
            <family val="2"/>
          </rPr>
          <t xml:space="preserve">Source:
http://www.sec.gov/Archives/edgar/data/921738/000104746916010837/a2226871z10-ka.htm#fc73201_item_8._financial_statements_and_supplementary_data
</t>
        </r>
      </text>
    </comment>
    <comment ref="BF1275" authorId="33">
      <text>
        <r>
          <rPr>
            <sz val="9"/>
            <color indexed="81"/>
            <rFont val="Tahoma"/>
            <family val="2"/>
          </rPr>
          <t>Source:
http://www.sec.gov/Archives/edgar/data/921738/000110465916103085/a16-5836_110qa.htm</t>
        </r>
      </text>
    </comment>
    <comment ref="BG1275" authorId="33">
      <text>
        <r>
          <rPr>
            <sz val="9"/>
            <color indexed="81"/>
            <rFont val="Tahoma"/>
            <family val="2"/>
          </rPr>
          <t>Source:
http://www.sec.gov/Archives/edgar/data/921738/000110465916103086/a16-5837_110qa.htm</t>
        </r>
      </text>
    </comment>
    <comment ref="BH1275" authorId="33">
      <text>
        <r>
          <rPr>
            <sz val="9"/>
            <color indexed="81"/>
            <rFont val="Tahoma"/>
            <family val="2"/>
          </rPr>
          <t xml:space="preserve">Source:
http://www.sec.gov/Archives/edgar/data/921738/000110465916103088/a15-17882_110q.htm
</t>
        </r>
      </text>
    </comment>
    <comment ref="BI1275" authorId="34">
      <text>
        <r>
          <rPr>
            <sz val="9"/>
            <color indexed="81"/>
            <rFont val="Tahoma"/>
            <family val="2"/>
          </rPr>
          <t>https://www.sec.gov/Archives/edgar/data/921738/000104746916011168/a2227713z10-k.htm</t>
        </r>
      </text>
    </comment>
    <comment ref="O1282" authorId="25">
      <text>
        <r>
          <rPr>
            <b/>
            <sz val="10"/>
            <color indexed="81"/>
            <rFont val="Tahoma"/>
            <family val="2"/>
          </rPr>
          <t>Thallen:</t>
        </r>
        <r>
          <rPr>
            <sz val="10"/>
            <color indexed="81"/>
            <rFont val="Tahoma"/>
            <family val="2"/>
          </rPr>
          <t xml:space="preserve">
Includes gain on sale of discontinued operations</t>
        </r>
      </text>
    </comment>
    <comment ref="AE1282" authorId="13">
      <text>
        <r>
          <rPr>
            <b/>
            <sz val="8"/>
            <color indexed="81"/>
            <rFont val="Tahoma"/>
            <family val="2"/>
          </rPr>
          <t>urbankev:</t>
        </r>
        <r>
          <rPr>
            <sz val="8"/>
            <color indexed="81"/>
            <rFont val="Tahoma"/>
            <family val="2"/>
          </rPr>
          <t xml:space="preserve">
Lawrenceburg non-cash impairment charge</t>
        </r>
      </text>
    </comment>
    <comment ref="AJ1282" authorId="9">
      <text>
        <r>
          <rPr>
            <b/>
            <sz val="8"/>
            <color indexed="81"/>
            <rFont val="Tahoma"/>
            <family val="2"/>
          </rPr>
          <t>stramark:</t>
        </r>
        <r>
          <rPr>
            <sz val="8"/>
            <color indexed="81"/>
            <rFont val="Tahoma"/>
            <family val="2"/>
          </rPr>
          <t xml:space="preserve">
One-time writedowns</t>
        </r>
      </text>
    </comment>
    <comment ref="AN1282" authorId="35">
      <text>
        <r>
          <rPr>
            <b/>
            <sz val="8"/>
            <color indexed="81"/>
            <rFont val="Tahoma"/>
            <family val="2"/>
          </rPr>
          <t>DJF 11/14/2011:</t>
        </r>
        <r>
          <rPr>
            <sz val="8"/>
            <color indexed="81"/>
            <rFont val="Tahoma"/>
            <family val="2"/>
          </rPr>
          <t xml:space="preserve">
Includes 12.2 mm loss on early extinguishment of debt</t>
        </r>
      </text>
    </comment>
    <comment ref="AW1282" authorId="17">
      <text>
        <r>
          <rPr>
            <b/>
            <sz val="8"/>
            <color indexed="81"/>
            <rFont val="Tahoma"/>
            <family val="2"/>
          </rPr>
          <t>thallen:</t>
        </r>
        <r>
          <rPr>
            <sz val="8"/>
            <color indexed="81"/>
            <rFont val="Tahoma"/>
            <family val="2"/>
          </rPr>
          <t xml:space="preserve">
1) $70mm non-cash impairment charge related to Sioux City
2) Accretion of settlement value on LT obligation
3) Loss (gain) on sale of fixed assets
4) Hollywood St. Louis tornado deductible charges
5) Gain on investment in corporate debt securities</t>
        </r>
      </text>
    </comment>
    <comment ref="AX1282" authorId="26">
      <text>
        <r>
          <rPr>
            <sz val="8"/>
            <color indexed="81"/>
            <rFont val="Tahoma"/>
            <family val="2"/>
          </rPr>
          <t xml:space="preserve">$1.217mn Accretion of settlement value on long term obligation
$2.833mn Loss (gain) on sale of fixed assets 
$2.5mn Hollywood St. Louis tornado deductible charges
$71.846mn Impairment losses
$1.325mn Gain on investment in corporate debt securities
$.444mn Gain on sale of Bullwhackers
</t>
        </r>
      </text>
    </comment>
    <comment ref="AY1282" authorId="36">
      <text>
        <r>
          <rPr>
            <sz val="8"/>
            <color indexed="81"/>
            <rFont val="Tahoma"/>
            <family val="2"/>
          </rPr>
          <t xml:space="preserve">Includes:
Changes in settlement values on long term obligations: $5.024m
Loss on early extinguishment of debt: $26.782m
Impairment losses: $1,132.417m
Gain on investment in corporate debt securities: $1.516m
Gain on sale of Bullwhackers: $0.444m
</t>
        </r>
      </text>
    </comment>
    <comment ref="M1287" authorId="18">
      <text>
        <r>
          <rPr>
            <b/>
            <sz val="8"/>
            <color indexed="81"/>
            <rFont val="Tahoma"/>
            <family val="2"/>
          </rPr>
          <t>Celeste Brown:</t>
        </r>
        <r>
          <rPr>
            <sz val="8"/>
            <color indexed="81"/>
            <rFont val="Tahoma"/>
            <family val="2"/>
          </rPr>
          <t xml:space="preserve">
Relating to Joliet, will go away once sold.</t>
        </r>
      </text>
    </comment>
    <comment ref="N1287" authorId="18">
      <text>
        <r>
          <rPr>
            <b/>
            <sz val="8"/>
            <color indexed="81"/>
            <rFont val="Tahoma"/>
            <family val="2"/>
          </rPr>
          <t>Celeste Brown:</t>
        </r>
        <r>
          <rPr>
            <sz val="8"/>
            <color indexed="81"/>
            <rFont val="Tahoma"/>
            <family val="2"/>
          </rPr>
          <t xml:space="preserve">
Relating to Joliet, will go away once sold.</t>
        </r>
      </text>
    </comment>
    <comment ref="O1287" authorId="18">
      <text>
        <r>
          <rPr>
            <b/>
            <sz val="8"/>
            <color indexed="81"/>
            <rFont val="Tahoma"/>
            <family val="2"/>
          </rPr>
          <t>Celeste Brown:</t>
        </r>
        <r>
          <rPr>
            <sz val="8"/>
            <color indexed="81"/>
            <rFont val="Tahoma"/>
            <family val="2"/>
          </rPr>
          <t xml:space="preserve">
Relating to Joliet, will go away once sold.</t>
        </r>
      </text>
    </comment>
    <comment ref="P1287" authorId="18">
      <text>
        <r>
          <rPr>
            <b/>
            <sz val="8"/>
            <color indexed="81"/>
            <rFont val="Tahoma"/>
            <family val="2"/>
          </rPr>
          <t>Celeste Brown:</t>
        </r>
        <r>
          <rPr>
            <sz val="8"/>
            <color indexed="81"/>
            <rFont val="Tahoma"/>
            <family val="2"/>
          </rPr>
          <t xml:space="preserve">
Relating to Joliet, will go away once sold.</t>
        </r>
      </text>
    </comment>
    <comment ref="R1287" authorId="18">
      <text>
        <r>
          <rPr>
            <b/>
            <sz val="8"/>
            <color indexed="81"/>
            <rFont val="Tahoma"/>
            <family val="2"/>
          </rPr>
          <t>Celeste Brown:</t>
        </r>
        <r>
          <rPr>
            <sz val="8"/>
            <color indexed="81"/>
            <rFont val="Tahoma"/>
            <family val="2"/>
          </rPr>
          <t xml:space="preserve">
Relating to Joliet, will go away once sold.</t>
        </r>
      </text>
    </comment>
    <comment ref="S1287" authorId="18">
      <text>
        <r>
          <rPr>
            <b/>
            <sz val="8"/>
            <color indexed="81"/>
            <rFont val="Tahoma"/>
            <family val="2"/>
          </rPr>
          <t>Celeste Brown:</t>
        </r>
        <r>
          <rPr>
            <sz val="8"/>
            <color indexed="81"/>
            <rFont val="Tahoma"/>
            <family val="2"/>
          </rPr>
          <t xml:space="preserve">
Relating to Joliet, will go away once sold.</t>
        </r>
      </text>
    </comment>
    <comment ref="T1287" authorId="18">
      <text>
        <r>
          <rPr>
            <b/>
            <sz val="8"/>
            <color indexed="81"/>
            <rFont val="Tahoma"/>
            <family val="2"/>
          </rPr>
          <t>Celeste Brown:</t>
        </r>
        <r>
          <rPr>
            <sz val="8"/>
            <color indexed="81"/>
            <rFont val="Tahoma"/>
            <family val="2"/>
          </rPr>
          <t xml:space="preserve">
Relating to Joliet, will go away once sold.</t>
        </r>
      </text>
    </comment>
    <comment ref="U1287" authorId="18">
      <text>
        <r>
          <rPr>
            <b/>
            <sz val="8"/>
            <color indexed="81"/>
            <rFont val="Tahoma"/>
            <family val="2"/>
          </rPr>
          <t>Celeste Brown:</t>
        </r>
        <r>
          <rPr>
            <sz val="8"/>
            <color indexed="81"/>
            <rFont val="Tahoma"/>
            <family val="2"/>
          </rPr>
          <t xml:space="preserve">
Relating to Joliet, will go away once sold.</t>
        </r>
      </text>
    </comment>
    <comment ref="BR1287" authorId="0">
      <text>
        <r>
          <rPr>
            <b/>
            <sz val="9"/>
            <color indexed="81"/>
            <rFont val="Tahoma"/>
            <family val="2"/>
          </rPr>
          <t>Savino, Mark (Research):</t>
        </r>
        <r>
          <rPr>
            <sz val="9"/>
            <color indexed="81"/>
            <rFont val="Tahoma"/>
            <family val="2"/>
          </rPr>
          <t xml:space="preserve">
Reversal of DTA reversal</t>
        </r>
      </text>
    </comment>
    <comment ref="BS1287" authorId="0">
      <text>
        <r>
          <rPr>
            <b/>
            <sz val="9"/>
            <color indexed="81"/>
            <rFont val="Tahoma"/>
            <family val="2"/>
          </rPr>
          <t>Savino, Mark (Research):</t>
        </r>
        <r>
          <rPr>
            <sz val="9"/>
            <color indexed="81"/>
            <rFont val="Tahoma"/>
            <family val="2"/>
          </rPr>
          <t xml:space="preserve">
Non-cash deferred tax write off</t>
        </r>
      </text>
    </comment>
    <comment ref="BT1287" authorId="0">
      <text>
        <r>
          <rPr>
            <b/>
            <sz val="9"/>
            <color indexed="81"/>
            <rFont val="Tahoma"/>
            <family val="2"/>
          </rPr>
          <t>Savino, Mark (Research):</t>
        </r>
        <r>
          <rPr>
            <sz val="9"/>
            <color indexed="81"/>
            <rFont val="Tahoma"/>
            <family val="2"/>
          </rPr>
          <t xml:space="preserve">
2Q17: Cash taxes expected to be a $28m refund for the year
Income tax refunds of $40.6m for the year</t>
        </r>
      </text>
    </comment>
    <comment ref="BN1289" authorId="0">
      <text>
        <r>
          <rPr>
            <b/>
            <sz val="9"/>
            <color indexed="81"/>
            <rFont val="Tahoma"/>
            <family val="2"/>
          </rPr>
          <t>Savino, Mark (Research):</t>
        </r>
        <r>
          <rPr>
            <sz val="9"/>
            <color indexed="81"/>
            <rFont val="Tahoma"/>
            <family val="2"/>
          </rPr>
          <t xml:space="preserve">
Payment of accrued interest by Jamul</t>
        </r>
      </text>
    </comment>
    <comment ref="BT1289" authorId="0">
      <text>
        <r>
          <rPr>
            <b/>
            <sz val="9"/>
            <color indexed="81"/>
            <rFont val="Tahoma"/>
            <family val="2"/>
          </rPr>
          <t>Savino, Mark (Research):</t>
        </r>
        <r>
          <rPr>
            <sz val="9"/>
            <color indexed="81"/>
            <rFont val="Tahoma"/>
            <family val="2"/>
          </rPr>
          <t xml:space="preserve">
Assume accrued interest is repaid when property opens</t>
        </r>
      </text>
    </comment>
    <comment ref="AT1300" authorId="37">
      <text>
        <r>
          <rPr>
            <sz val="8"/>
            <color indexed="81"/>
            <rFont val="Tahoma"/>
            <family val="2"/>
          </rPr>
          <t>Includes $16.146m of Other noncurrent tax liabilities</t>
        </r>
      </text>
    </comment>
    <comment ref="BN1300" authorId="0">
      <text>
        <r>
          <rPr>
            <b/>
            <sz val="9"/>
            <color indexed="81"/>
            <rFont val="Tahoma"/>
            <family val="2"/>
          </rPr>
          <t>Savino, Mark (Research):</t>
        </r>
        <r>
          <rPr>
            <sz val="9"/>
            <color indexed="81"/>
            <rFont val="Tahoma"/>
            <family val="2"/>
          </rPr>
          <t xml:space="preserve">
Plug</t>
        </r>
      </text>
    </comment>
    <comment ref="BE1305" authorId="8">
      <text>
        <r>
          <rPr>
            <b/>
            <sz val="9"/>
            <color indexed="81"/>
            <rFont val="Tahoma"/>
            <family val="2"/>
          </rPr>
          <t>Allen, Thomas (Research):</t>
        </r>
        <r>
          <rPr>
            <sz val="9"/>
            <color indexed="81"/>
            <rFont val="Tahoma"/>
            <family val="2"/>
          </rPr>
          <t xml:space="preserve">
Jamul investment</t>
        </r>
      </text>
    </comment>
    <comment ref="BJ1305" authorId="8">
      <text>
        <r>
          <rPr>
            <b/>
            <sz val="9"/>
            <color indexed="81"/>
            <rFont val="Tahoma"/>
            <family val="2"/>
          </rPr>
          <t>Allen, Thomas (Research):</t>
        </r>
        <r>
          <rPr>
            <sz val="9"/>
            <color indexed="81"/>
            <rFont val="Tahoma"/>
            <family val="2"/>
          </rPr>
          <t xml:space="preserve">
Jamul investment</t>
        </r>
      </text>
    </comment>
    <comment ref="BN1305" authorId="0">
      <text>
        <r>
          <rPr>
            <b/>
            <sz val="9"/>
            <color indexed="81"/>
            <rFont val="Tahoma"/>
            <family val="2"/>
          </rPr>
          <t>Savino, Mark (Research):</t>
        </r>
        <r>
          <rPr>
            <sz val="9"/>
            <color indexed="81"/>
            <rFont val="Tahoma"/>
            <family val="2"/>
          </rPr>
          <t xml:space="preserve">
3Q16 call: Were repaid $274m in connection to Jamul receivable
Refinancing expected to be completed shortly after property opens. PENN will have $98m outstanding with potential for another $15m delayed draw as well as a $15m completion completion guarantee</t>
        </r>
      </text>
    </comment>
    <comment ref="BO1305" authorId="0">
      <text>
        <r>
          <rPr>
            <b/>
            <sz val="9"/>
            <color indexed="81"/>
            <rFont val="Tahoma"/>
            <family val="2"/>
          </rPr>
          <t>Savino, Mark (Research):</t>
        </r>
        <r>
          <rPr>
            <sz val="9"/>
            <color indexed="81"/>
            <rFont val="Tahoma"/>
            <family val="2"/>
          </rPr>
          <t xml:space="preserve">
Per Saul: $280m remaining spent over 2 years</t>
        </r>
      </text>
    </comment>
    <comment ref="BW1308" authorId="0">
      <text>
        <r>
          <rPr>
            <b/>
            <sz val="9"/>
            <color indexed="81"/>
            <rFont val="Tahoma"/>
            <family val="2"/>
          </rPr>
          <t>Savino, Mark (Research):</t>
        </r>
        <r>
          <rPr>
            <sz val="9"/>
            <color indexed="81"/>
            <rFont val="Tahoma"/>
            <family val="2"/>
          </rPr>
          <t xml:space="preserve">
Per PENN IP, total after tax proceeds $837m
$575m divestiture to BYD
$315m sales of Plainridge Park and Belterra Park real estate to GLPI</t>
        </r>
      </text>
    </comment>
    <comment ref="BM1311" authorId="0">
      <text>
        <r>
          <rPr>
            <b/>
            <sz val="9"/>
            <color indexed="81"/>
            <rFont val="Tahoma"/>
            <family val="2"/>
          </rPr>
          <t>Savino, Mark (Research):</t>
        </r>
        <r>
          <rPr>
            <sz val="9"/>
            <color indexed="81"/>
            <rFont val="Tahoma"/>
            <family val="2"/>
          </rPr>
          <t xml:space="preserve">
Acquired Rocket Games for $60m</t>
        </r>
      </text>
    </comment>
    <comment ref="BQ1311" authorId="0">
      <text>
        <r>
          <rPr>
            <b/>
            <sz val="9"/>
            <color indexed="81"/>
            <rFont val="Tahoma"/>
            <family val="2"/>
          </rPr>
          <t>Savino, Mark (Research):</t>
        </r>
        <r>
          <rPr>
            <sz val="9"/>
            <color indexed="81"/>
            <rFont val="Tahoma"/>
            <family val="2"/>
          </rPr>
          <t xml:space="preserve">
Ballys/Resorts Tunica</t>
        </r>
      </text>
    </comment>
    <comment ref="BW1311" authorId="0">
      <text>
        <r>
          <rPr>
            <b/>
            <sz val="9"/>
            <color indexed="81"/>
            <rFont val="Tahoma"/>
            <family val="2"/>
          </rPr>
          <t>Savino, Mark (Research):</t>
        </r>
        <r>
          <rPr>
            <sz val="9"/>
            <color indexed="81"/>
            <rFont val="Tahoma"/>
            <family val="2"/>
          </rPr>
          <t xml:space="preserve">
Purchase of PNK + transaction fees - incremental PNK FCF</t>
        </r>
      </text>
    </comment>
    <comment ref="BL1319" authorId="38">
      <text>
        <r>
          <rPr>
            <sz val="9"/>
            <color indexed="81"/>
            <rFont val="Tahoma"/>
            <family val="2"/>
          </rPr>
          <t>Includes $6.899 mn : Payments of other long-term obligations</t>
        </r>
      </text>
    </comment>
    <comment ref="BP1323" authorId="0">
      <text>
        <r>
          <rPr>
            <b/>
            <sz val="9"/>
            <color indexed="81"/>
            <rFont val="Tahoma"/>
            <family val="2"/>
          </rPr>
          <t>Savino, Mark (Research):</t>
        </r>
        <r>
          <rPr>
            <sz val="9"/>
            <color indexed="81"/>
            <rFont val="Tahoma"/>
            <family val="2"/>
          </rPr>
          <t xml:space="preserve">
4Q16: $100m buyback authorization
1Q17: Couldn't buy back more stock b/c realized they were doing better than guidance, then hit blackout</t>
        </r>
      </text>
    </comment>
    <comment ref="BR1323" authorId="0">
      <text>
        <r>
          <rPr>
            <b/>
            <sz val="9"/>
            <color indexed="81"/>
            <rFont val="Tahoma"/>
            <family val="2"/>
          </rPr>
          <t>Savino, Mark (Research):</t>
        </r>
        <r>
          <rPr>
            <sz val="9"/>
            <color indexed="81"/>
            <rFont val="Tahoma"/>
            <family val="2"/>
          </rPr>
          <t xml:space="preserve">
Per 2Q call: several M&amp;A opportunities that they are pursuing,  so focused on deleveraging</t>
        </r>
      </text>
    </comment>
    <comment ref="BP1325" authorId="0">
      <text>
        <r>
          <rPr>
            <b/>
            <sz val="9"/>
            <color indexed="81"/>
            <rFont val="Tahoma"/>
            <family val="2"/>
          </rPr>
          <t>Savino, Mark (Research):</t>
        </r>
        <r>
          <rPr>
            <sz val="9"/>
            <color indexed="81"/>
            <rFont val="Tahoma"/>
            <family val="2"/>
          </rPr>
          <t xml:space="preserve">
Paying a 4.5% premium to takeout $300m notes in tender offer</t>
        </r>
      </text>
    </comment>
    <comment ref="B1377" authorId="13">
      <text>
        <r>
          <rPr>
            <b/>
            <sz val="8"/>
            <color indexed="81"/>
            <rFont val="Tahoma"/>
            <family val="2"/>
          </rPr>
          <t>urbankev:</t>
        </r>
        <r>
          <rPr>
            <sz val="8"/>
            <color indexed="81"/>
            <rFont val="Tahoma"/>
            <family val="2"/>
          </rPr>
          <t xml:space="preserve">
undrawn at 12/31/03</t>
        </r>
      </text>
    </comment>
    <comment ref="K1377" authorId="39">
      <text>
        <r>
          <rPr>
            <b/>
            <sz val="8"/>
            <color indexed="81"/>
            <rFont val="Tahoma"/>
            <family val="2"/>
          </rPr>
          <t>Thallen:</t>
        </r>
        <r>
          <rPr>
            <sz val="8"/>
            <color indexed="81"/>
            <rFont val="Tahoma"/>
            <family val="2"/>
          </rPr>
          <t xml:space="preserve">
$178mm reported, adjusted by ~$4mm to tie out to 10K</t>
        </r>
      </text>
    </comment>
    <comment ref="Y1377" authorId="18">
      <text>
        <r>
          <rPr>
            <b/>
            <sz val="10"/>
            <color indexed="81"/>
            <rFont val="Tahoma"/>
            <family val="2"/>
          </rPr>
          <t>Celeste Brown:</t>
        </r>
        <r>
          <rPr>
            <sz val="10"/>
            <color indexed="81"/>
            <rFont val="Tahoma"/>
            <family val="2"/>
          </rPr>
          <t xml:space="preserve">
paid off w/ proceeds from equity infusion</t>
        </r>
      </text>
    </comment>
    <comment ref="AJ1377" authorId="27">
      <text>
        <r>
          <rPr>
            <b/>
            <sz val="8"/>
            <color indexed="81"/>
            <rFont val="Tahoma"/>
            <family val="2"/>
          </rPr>
          <t>AM: 3/01/11:</t>
        </r>
        <r>
          <rPr>
            <sz val="8"/>
            <color indexed="81"/>
            <rFont val="Tahoma"/>
            <family val="2"/>
          </rPr>
          <t xml:space="preserve">
Per 10K $71m out under the revolver. </t>
        </r>
      </text>
    </comment>
    <comment ref="C1378" authorId="13">
      <text>
        <r>
          <rPr>
            <b/>
            <sz val="8"/>
            <color indexed="81"/>
            <rFont val="Tahoma"/>
            <family val="2"/>
          </rPr>
          <t>urbankev:</t>
        </r>
        <r>
          <rPr>
            <sz val="8"/>
            <color indexed="81"/>
            <rFont val="Tahoma"/>
            <family val="2"/>
          </rPr>
          <t xml:space="preserve">
undrawn at 12/31/03</t>
        </r>
      </text>
    </comment>
    <comment ref="U1378" authorId="25">
      <text>
        <r>
          <rPr>
            <b/>
            <sz val="10"/>
            <color indexed="81"/>
            <rFont val="Tahoma"/>
            <family val="2"/>
          </rPr>
          <t>Thallen:</t>
        </r>
        <r>
          <rPr>
            <sz val="10"/>
            <color indexed="81"/>
            <rFont val="Tahoma"/>
            <family val="2"/>
          </rPr>
          <t xml:space="preserve">
Begins amortizing, $16.25mm / q through 3Q08, then $20.3125mm through 3Q10, then $24.375mm through closing date in 4Q11</t>
        </r>
      </text>
    </comment>
    <comment ref="K1379" authorId="40">
      <text>
        <r>
          <rPr>
            <b/>
            <sz val="10"/>
            <color indexed="81"/>
            <rFont val="Tahoma"/>
            <family val="2"/>
          </rPr>
          <t>Celeste Mellet Brown:</t>
        </r>
        <r>
          <rPr>
            <sz val="10"/>
            <color indexed="81"/>
            <rFont val="Tahoma"/>
            <family val="2"/>
          </rPr>
          <t xml:space="preserve">
Cash paid for AGY shares (from S-4) + AGY debt - AGY cash + plus takeout premium on AGY bonds - $125mm cash for sale of AGY Baton rouge+$7mm additional merger costs
</t>
        </r>
      </text>
    </comment>
    <comment ref="L1379" authorId="25">
      <text>
        <r>
          <rPr>
            <b/>
            <sz val="10"/>
            <color indexed="81"/>
            <rFont val="Tahoma"/>
            <family val="2"/>
          </rPr>
          <t>Thallen:</t>
        </r>
        <r>
          <rPr>
            <sz val="10"/>
            <color indexed="81"/>
            <rFont val="Tahoma"/>
            <family val="2"/>
          </rPr>
          <t xml:space="preserve">
Term B amortization payments
$4.125mm/q until 3Q11, then $387.75mm next four quarters</t>
        </r>
      </text>
    </comment>
    <comment ref="A1381" authorId="35">
      <text>
        <r>
          <rPr>
            <b/>
            <sz val="8"/>
            <color indexed="81"/>
            <rFont val="Tahoma"/>
            <family val="2"/>
          </rPr>
          <t>DJF 11/14/2011:</t>
        </r>
        <r>
          <rPr>
            <sz val="8"/>
            <color indexed="81"/>
            <rFont val="Tahoma"/>
            <family val="2"/>
          </rPr>
          <t xml:space="preserve">
700 mn capacity</t>
        </r>
      </text>
    </comment>
    <comment ref="AT1381" authorId="32">
      <text>
        <r>
          <rPr>
            <sz val="8"/>
            <color indexed="81"/>
            <rFont val="Tahoma"/>
            <family val="2"/>
          </rPr>
          <t xml:space="preserve">PENN draws on revolver to fund MD Heights deal.
</t>
        </r>
      </text>
    </comment>
    <comment ref="AV1381" authorId="41">
      <text>
        <r>
          <rPr>
            <sz val="8"/>
            <color indexed="81"/>
            <rFont val="Tahoma"/>
            <family val="2"/>
          </rPr>
          <t xml:space="preserve">No balances were outstanding on the revolving credit facility at March 31, 2013.  
</t>
        </r>
        <r>
          <rPr>
            <sz val="8"/>
            <color indexed="81"/>
            <rFont val="Tahoma"/>
            <family val="2"/>
          </rPr>
          <t xml:space="preserve">
Source : 10-Q of 1Q13, page no. 15</t>
        </r>
      </text>
    </comment>
    <comment ref="AO1382" authorId="9">
      <text>
        <r>
          <rPr>
            <b/>
            <sz val="8"/>
            <color indexed="81"/>
            <rFont val="Tahoma"/>
            <family val="2"/>
          </rPr>
          <t>stramark:</t>
        </r>
        <r>
          <rPr>
            <sz val="8"/>
            <color indexed="81"/>
            <rFont val="Tahoma"/>
            <family val="2"/>
          </rPr>
          <t xml:space="preserve">
Max capacity of $700 mn</t>
        </r>
      </text>
    </comment>
    <comment ref="AV1382" authorId="41">
      <text>
        <r>
          <rPr>
            <sz val="8"/>
            <color indexed="81"/>
            <rFont val="Tahoma"/>
            <family val="2"/>
          </rPr>
          <t>Adjusted for rounding off difference</t>
        </r>
        <r>
          <rPr>
            <sz val="8"/>
            <color indexed="81"/>
            <rFont val="Tahoma"/>
            <family val="2"/>
          </rPr>
          <t xml:space="preserve">
</t>
        </r>
      </text>
    </comment>
    <comment ref="AY1386" authorId="12">
      <text>
        <r>
          <rPr>
            <b/>
            <sz val="8"/>
            <color indexed="81"/>
            <rFont val="Tahoma"/>
            <family val="2"/>
          </rPr>
          <t>savinmar:</t>
        </r>
        <r>
          <rPr>
            <sz val="8"/>
            <color indexed="81"/>
            <rFont val="Tahoma"/>
            <family val="2"/>
          </rPr>
          <t xml:space="preserve">
11/15 press release: remaining $32.3m not tendered will be redeemed on 11/29
10/30: Successfully redeemed $292.7m
Expected to be redeemed using proceeds from the $300m 5.875% notes issued in October</t>
        </r>
      </text>
    </comment>
    <comment ref="AY1387" authorId="12">
      <text>
        <r>
          <rPr>
            <b/>
            <sz val="8"/>
            <color indexed="81"/>
            <rFont val="Tahoma"/>
            <family val="2"/>
          </rPr>
          <t>savinmar:</t>
        </r>
        <r>
          <rPr>
            <sz val="8"/>
            <color indexed="81"/>
            <rFont val="Tahoma"/>
            <family val="2"/>
          </rPr>
          <t xml:space="preserve">
PENN debt issued on 10/21</t>
        </r>
      </text>
    </comment>
    <comment ref="BP1387" authorId="0">
      <text>
        <r>
          <rPr>
            <b/>
            <sz val="9"/>
            <color indexed="81"/>
            <rFont val="Tahoma"/>
            <family val="2"/>
          </rPr>
          <t>Savino, Mark (Research):</t>
        </r>
        <r>
          <rPr>
            <sz val="9"/>
            <color indexed="81"/>
            <rFont val="Tahoma"/>
            <family val="2"/>
          </rPr>
          <t xml:space="preserve">
Announced tender offer on 1/6, which expires on 1/18. Assume all notes are taken out</t>
        </r>
      </text>
    </comment>
    <comment ref="A1389" authorId="0">
      <text>
        <r>
          <rPr>
            <b/>
            <sz val="9"/>
            <color indexed="81"/>
            <rFont val="Tahoma"/>
            <family val="2"/>
          </rPr>
          <t>Savino, Mark (Research):</t>
        </r>
        <r>
          <rPr>
            <sz val="9"/>
            <color indexed="81"/>
            <rFont val="Tahoma"/>
            <family val="2"/>
          </rPr>
          <t xml:space="preserve">
Refinanced on 1/19</t>
        </r>
      </text>
    </comment>
    <comment ref="AY1389" authorId="17">
      <text>
        <r>
          <rPr>
            <b/>
            <sz val="8"/>
            <color indexed="81"/>
            <rFont val="Tahoma"/>
            <family val="2"/>
          </rPr>
          <t>thallen:</t>
        </r>
        <r>
          <rPr>
            <sz val="8"/>
            <color indexed="81"/>
            <rFont val="Tahoma"/>
            <family val="2"/>
          </rPr>
          <t xml:space="preserve">
May have to draw down on revolver in 4Q given timing of consultant fees, etc. but unclear</t>
        </r>
      </text>
    </comment>
    <comment ref="BA1389" authorId="0">
      <text>
        <r>
          <rPr>
            <b/>
            <sz val="9"/>
            <color indexed="81"/>
            <rFont val="Tahoma"/>
            <family val="2"/>
          </rPr>
          <t>Savino, Mark (Research):</t>
        </r>
        <r>
          <rPr>
            <sz val="9"/>
            <color indexed="81"/>
            <rFont val="Tahoma"/>
            <family val="2"/>
          </rPr>
          <t xml:space="preserve">
Per mgmt, will use revolver to fund Plainridge development</t>
        </r>
      </text>
    </comment>
    <comment ref="BN1389" authorId="0">
      <text>
        <r>
          <rPr>
            <b/>
            <sz val="9"/>
            <color indexed="81"/>
            <rFont val="Tahoma"/>
            <family val="2"/>
          </rPr>
          <t>Savino, Mark (Research):</t>
        </r>
        <r>
          <rPr>
            <sz val="9"/>
            <color indexed="81"/>
            <rFont val="Tahoma"/>
            <family val="2"/>
          </rPr>
          <t xml:space="preserve">
Jamul proceeds used to pay down credit facility</t>
        </r>
      </text>
    </comment>
    <comment ref="BW1392" authorId="0">
      <text>
        <r>
          <rPr>
            <b/>
            <sz val="9"/>
            <color indexed="81"/>
            <rFont val="Tahoma"/>
            <family val="2"/>
          </rPr>
          <t>Savino, Mark (Research):</t>
        </r>
        <r>
          <rPr>
            <sz val="9"/>
            <color indexed="81"/>
            <rFont val="Tahoma"/>
            <family val="2"/>
          </rPr>
          <t xml:space="preserve">
Per PENN IP</t>
        </r>
      </text>
    </comment>
    <comment ref="BZ1392" authorId="8">
      <text>
        <r>
          <rPr>
            <b/>
            <sz val="9"/>
            <color indexed="81"/>
            <rFont val="Tahoma"/>
            <family val="2"/>
          </rPr>
          <t>Allen, Thomas (Research):</t>
        </r>
        <r>
          <rPr>
            <sz val="9"/>
            <color indexed="81"/>
            <rFont val="Tahoma"/>
            <family val="2"/>
          </rPr>
          <t xml:space="preserve">
Assume use excess cash to de-lever</t>
        </r>
      </text>
    </comment>
    <comment ref="K1396" authorId="39">
      <text>
        <r>
          <rPr>
            <b/>
            <sz val="8"/>
            <color indexed="81"/>
            <rFont val="Tahoma"/>
            <family val="2"/>
          </rPr>
          <t>Thallen:</t>
        </r>
        <r>
          <rPr>
            <sz val="8"/>
            <color indexed="81"/>
            <rFont val="Tahoma"/>
            <family val="2"/>
          </rPr>
          <t xml:space="preserve">
AGY debt not tendered
</t>
        </r>
      </text>
    </comment>
    <comment ref="AH1396" authorId="9">
      <text>
        <r>
          <rPr>
            <b/>
            <sz val="8"/>
            <color indexed="81"/>
            <rFont val="Tahoma"/>
            <family val="2"/>
          </rPr>
          <t>stramark:</t>
        </r>
        <r>
          <rPr>
            <sz val="8"/>
            <color indexed="81"/>
            <rFont val="Tahoma"/>
            <family val="2"/>
          </rPr>
          <t xml:space="preserve">
Amt due to Aurora security; discount amortized over life; 3 more payments</t>
        </r>
      </text>
    </comment>
    <comment ref="BL1409" authorId="38">
      <text>
        <r>
          <rPr>
            <sz val="9"/>
            <color indexed="81"/>
            <rFont val="Tahoma"/>
            <family val="2"/>
          </rPr>
          <t>Includes $26.555 mn: Noncurrent tax liabilities</t>
        </r>
      </text>
    </comment>
    <comment ref="AT1417" authorId="17">
      <text>
        <r>
          <rPr>
            <b/>
            <sz val="8"/>
            <color indexed="81"/>
            <rFont val="Tahoma"/>
            <family val="2"/>
          </rPr>
          <t>thallen:</t>
        </r>
        <r>
          <rPr>
            <sz val="8"/>
            <color indexed="81"/>
            <rFont val="Tahoma"/>
            <family val="2"/>
          </rPr>
          <t xml:space="preserve">
Plug</t>
        </r>
      </text>
    </comment>
    <comment ref="AQ1419" authorId="3">
      <text>
        <r>
          <rPr>
            <b/>
            <sz val="8"/>
            <color indexed="81"/>
            <rFont val="Tahoma"/>
            <family val="2"/>
          </rPr>
          <t>AM: 4/19/12:</t>
        </r>
        <r>
          <rPr>
            <sz val="8"/>
            <color indexed="81"/>
            <rFont val="Tahoma"/>
            <family val="2"/>
          </rPr>
          <t xml:space="preserve">
Plug</t>
        </r>
      </text>
    </comment>
    <comment ref="AD1431" authorId="13">
      <text>
        <r>
          <rPr>
            <b/>
            <sz val="8"/>
            <color indexed="81"/>
            <rFont val="Tahoma"/>
            <family val="2"/>
          </rPr>
          <t>urbankev:</t>
        </r>
        <r>
          <rPr>
            <sz val="8"/>
            <color indexed="81"/>
            <rFont val="Tahoma"/>
            <family val="2"/>
          </rPr>
          <t xml:space="preserve">
Revolver was bifurcated on 9/23/09</t>
        </r>
      </text>
    </comment>
    <comment ref="AT1436" authorId="32">
      <text>
        <r>
          <rPr>
            <sz val="8"/>
            <color indexed="81"/>
            <rFont val="Tahoma"/>
            <family val="2"/>
          </rPr>
          <t xml:space="preserve">PENN draws on revolver to fund MD Heights deal.
</t>
        </r>
      </text>
    </comment>
    <comment ref="A1442" authorId="13">
      <text>
        <r>
          <rPr>
            <b/>
            <sz val="8"/>
            <color indexed="81"/>
            <rFont val="Tahoma"/>
            <family val="2"/>
          </rPr>
          <t>urbankev:</t>
        </r>
        <r>
          <rPr>
            <sz val="8"/>
            <color indexed="81"/>
            <rFont val="Tahoma"/>
            <family val="2"/>
          </rPr>
          <t xml:space="preserve">
average of 90-day LIBOR rate</t>
        </r>
      </text>
    </comment>
    <comment ref="W1442" authorId="29">
      <text>
        <r>
          <rPr>
            <b/>
            <sz val="10"/>
            <color indexed="81"/>
            <rFont val="Tahoma"/>
            <family val="2"/>
          </rPr>
          <t>Charles Dan:</t>
        </r>
        <r>
          <rPr>
            <sz val="10"/>
            <color indexed="81"/>
            <rFont val="Tahoma"/>
            <family val="2"/>
          </rPr>
          <t xml:space="preserve">
MS Economics</t>
        </r>
      </text>
    </comment>
    <comment ref="X1442" authorId="29">
      <text>
        <r>
          <rPr>
            <b/>
            <sz val="10"/>
            <color indexed="81"/>
            <rFont val="Tahoma"/>
            <family val="2"/>
          </rPr>
          <t>Charles Dan:</t>
        </r>
        <r>
          <rPr>
            <sz val="10"/>
            <color indexed="81"/>
            <rFont val="Tahoma"/>
            <family val="2"/>
          </rPr>
          <t xml:space="preserve">
MS Economics</t>
        </r>
      </text>
    </comment>
    <comment ref="Y1442" authorId="29">
      <text>
        <r>
          <rPr>
            <b/>
            <sz val="10"/>
            <color indexed="81"/>
            <rFont val="Tahoma"/>
            <family val="2"/>
          </rPr>
          <t>Charles Dan:</t>
        </r>
        <r>
          <rPr>
            <sz val="10"/>
            <color indexed="81"/>
            <rFont val="Tahoma"/>
            <family val="2"/>
          </rPr>
          <t xml:space="preserve">
MS Economics</t>
        </r>
      </text>
    </comment>
    <comment ref="Z1442" authorId="29">
      <text>
        <r>
          <rPr>
            <b/>
            <sz val="10"/>
            <color indexed="81"/>
            <rFont val="Tahoma"/>
            <family val="2"/>
          </rPr>
          <t>Charles Dan:</t>
        </r>
        <r>
          <rPr>
            <sz val="10"/>
            <color indexed="81"/>
            <rFont val="Tahoma"/>
            <family val="2"/>
          </rPr>
          <t xml:space="preserve">
MS Economics</t>
        </r>
      </text>
    </comment>
    <comment ref="AB1442" authorId="13">
      <text>
        <r>
          <rPr>
            <b/>
            <sz val="8"/>
            <color indexed="81"/>
            <rFont val="Tahoma"/>
            <family val="2"/>
          </rPr>
          <t>urbankev:</t>
        </r>
        <r>
          <rPr>
            <sz val="8"/>
            <color indexed="81"/>
            <rFont val="Tahoma"/>
            <family val="2"/>
          </rPr>
          <t xml:space="preserve">
http://www.wsjprimerate.us/libor/libor_rates_history.htm  
90-day LIBOR average</t>
        </r>
      </text>
    </comment>
    <comment ref="AC1442" authorId="13">
      <text>
        <r>
          <rPr>
            <b/>
            <sz val="8"/>
            <color indexed="81"/>
            <rFont val="Tahoma"/>
            <family val="2"/>
          </rPr>
          <t>urbankev:</t>
        </r>
        <r>
          <rPr>
            <sz val="8"/>
            <color indexed="81"/>
            <rFont val="Tahoma"/>
            <family val="2"/>
          </rPr>
          <t xml:space="preserve">
http://www.wsjprimerate.us/libor/libor_rates_history.htm  
90-day LIBOR average</t>
        </r>
      </text>
    </comment>
    <comment ref="AD1442" authorId="13">
      <text>
        <r>
          <rPr>
            <b/>
            <sz val="8"/>
            <color indexed="81"/>
            <rFont val="Tahoma"/>
            <family val="2"/>
          </rPr>
          <t>urbankev:</t>
        </r>
        <r>
          <rPr>
            <sz val="8"/>
            <color indexed="81"/>
            <rFont val="Tahoma"/>
            <family val="2"/>
          </rPr>
          <t xml:space="preserve">
http://www.wsjprimerate.us/libor/libor_rates_history.htm</t>
        </r>
      </text>
    </comment>
    <comment ref="AE1442" authorId="13">
      <text>
        <r>
          <rPr>
            <b/>
            <sz val="8"/>
            <color indexed="81"/>
            <rFont val="Tahoma"/>
            <family val="2"/>
          </rPr>
          <t>urbankev:</t>
        </r>
        <r>
          <rPr>
            <sz val="8"/>
            <color indexed="81"/>
            <rFont val="Tahoma"/>
            <family val="2"/>
          </rPr>
          <t xml:space="preserve">
http://www.wsjprimerate.us/libor/libor_rates_history.htm</t>
        </r>
      </text>
    </comment>
    <comment ref="B1445" authorId="13">
      <text>
        <r>
          <rPr>
            <b/>
            <sz val="8"/>
            <color indexed="81"/>
            <rFont val="Tahoma"/>
            <family val="2"/>
          </rPr>
          <t>urbankev:</t>
        </r>
        <r>
          <rPr>
            <sz val="8"/>
            <color indexed="81"/>
            <rFont val="Tahoma"/>
            <family val="2"/>
          </rPr>
          <t xml:space="preserve">
base libor spread, plus additional spread based on leverage levels</t>
        </r>
      </text>
    </comment>
    <comment ref="B1446" authorId="13">
      <text>
        <r>
          <rPr>
            <b/>
            <sz val="8"/>
            <color indexed="81"/>
            <rFont val="Tahoma"/>
            <family val="2"/>
          </rPr>
          <t>urbankev:</t>
        </r>
        <r>
          <rPr>
            <sz val="8"/>
            <color indexed="81"/>
            <rFont val="Tahoma"/>
            <family val="2"/>
          </rPr>
          <t xml:space="preserve">
base libor spread, plus additional spread based on leverage levels</t>
        </r>
      </text>
    </comment>
    <comment ref="B1447" authorId="13">
      <text>
        <r>
          <rPr>
            <b/>
            <sz val="8"/>
            <color indexed="81"/>
            <rFont val="Tahoma"/>
            <family val="2"/>
          </rPr>
          <t>urbankev:</t>
        </r>
        <r>
          <rPr>
            <sz val="8"/>
            <color indexed="81"/>
            <rFont val="Tahoma"/>
            <family val="2"/>
          </rPr>
          <t xml:space="preserve">
equal to Revolver Tranche A</t>
        </r>
      </text>
    </comment>
    <comment ref="B1448" authorId="13">
      <text>
        <r>
          <rPr>
            <b/>
            <sz val="8"/>
            <color indexed="81"/>
            <rFont val="Tahoma"/>
            <family val="2"/>
          </rPr>
          <t xml:space="preserve">urbankev: </t>
        </r>
        <r>
          <rPr>
            <sz val="8"/>
            <color indexed="81"/>
            <rFont val="Tahoma"/>
            <family val="2"/>
          </rPr>
          <t>base libor spread of 175bps, increasing to 200bps if leverage exceeds 5.25x</t>
        </r>
      </text>
    </comment>
    <comment ref="B1449" authorId="13">
      <text>
        <r>
          <rPr>
            <b/>
            <sz val="8"/>
            <color indexed="81"/>
            <rFont val="Tahoma"/>
            <family val="2"/>
          </rPr>
          <t>urbankev:</t>
        </r>
        <r>
          <rPr>
            <sz val="8"/>
            <color indexed="81"/>
            <rFont val="Tahoma"/>
            <family val="2"/>
          </rPr>
          <t xml:space="preserve">
Rate was "fixed" at L+250, meaning non grid-based.</t>
        </r>
      </text>
    </comment>
    <comment ref="B1452" authorId="23">
      <text>
        <r>
          <rPr>
            <b/>
            <sz val="8"/>
            <color indexed="81"/>
            <rFont val="Tahoma"/>
            <family val="2"/>
          </rPr>
          <t>AM: 7/21/11:</t>
        </r>
        <r>
          <rPr>
            <sz val="8"/>
            <color indexed="81"/>
            <rFont val="Tahoma"/>
            <family val="2"/>
          </rPr>
          <t xml:space="preserve">
Libor floor of 1%</t>
        </r>
      </text>
    </comment>
    <comment ref="A1458" authorId="0">
      <text>
        <r>
          <rPr>
            <b/>
            <sz val="9"/>
            <color indexed="81"/>
            <rFont val="Tahoma"/>
            <family val="2"/>
          </rPr>
          <t>Savino, Mark (Research):</t>
        </r>
        <r>
          <rPr>
            <sz val="9"/>
            <color indexed="81"/>
            <rFont val="Tahoma"/>
            <family val="2"/>
          </rPr>
          <t xml:space="preserve">
Refinanced on 1/19</t>
        </r>
      </text>
    </comment>
    <comment ref="B1458" authorId="0">
      <text>
        <r>
          <rPr>
            <b/>
            <sz val="9"/>
            <color indexed="81"/>
            <rFont val="Tahoma"/>
            <family val="2"/>
          </rPr>
          <t>Savino, Mark (Research):</t>
        </r>
        <r>
          <rPr>
            <sz val="9"/>
            <color indexed="81"/>
            <rFont val="Tahoma"/>
            <family val="2"/>
          </rPr>
          <t xml:space="preserve">
Initial rate is 2.25% and then will range from 1.25-3.00%</t>
        </r>
      </text>
    </comment>
    <comment ref="AY1458" authorId="12">
      <text>
        <r>
          <rPr>
            <b/>
            <sz val="8"/>
            <color indexed="81"/>
            <rFont val="Tahoma"/>
            <family val="2"/>
          </rPr>
          <t>savinmar:</t>
        </r>
        <r>
          <rPr>
            <sz val="8"/>
            <color indexed="81"/>
            <rFont val="Tahoma"/>
            <family val="2"/>
          </rPr>
          <t xml:space="preserve">
L + 200bps, will range from 125-275bps depending on leverage ratio</t>
        </r>
      </text>
    </comment>
    <comment ref="B1459" authorId="0">
      <text>
        <r>
          <rPr>
            <b/>
            <sz val="9"/>
            <color indexed="81"/>
            <rFont val="Tahoma"/>
            <family val="2"/>
          </rPr>
          <t>Savino, Mark (Research):</t>
        </r>
        <r>
          <rPr>
            <sz val="9"/>
            <color indexed="81"/>
            <rFont val="Tahoma"/>
            <family val="2"/>
          </rPr>
          <t xml:space="preserve">
Initial rate is 2.25% and then will range from 1.25-3.00%</t>
        </r>
      </text>
    </comment>
    <comment ref="AY1459" authorId="12">
      <text>
        <r>
          <rPr>
            <b/>
            <sz val="8"/>
            <color indexed="81"/>
            <rFont val="Tahoma"/>
            <family val="2"/>
          </rPr>
          <t>savinmar:</t>
        </r>
        <r>
          <rPr>
            <sz val="8"/>
            <color indexed="81"/>
            <rFont val="Tahoma"/>
            <family val="2"/>
          </rPr>
          <t xml:space="preserve">
L + 200bps, will range from 125-275bps depending on leverage ratio</t>
        </r>
      </text>
    </comment>
    <comment ref="B1460" authorId="0">
      <text>
        <r>
          <rPr>
            <b/>
            <sz val="9"/>
            <color indexed="81"/>
            <rFont val="Tahoma"/>
            <family val="2"/>
          </rPr>
          <t>Savino, Mark (Research):</t>
        </r>
        <r>
          <rPr>
            <sz val="9"/>
            <color indexed="81"/>
            <rFont val="Tahoma"/>
            <family val="2"/>
          </rPr>
          <t xml:space="preserve">
75bps LIBOR floor</t>
        </r>
      </text>
    </comment>
    <comment ref="AY1460" authorId="12">
      <text>
        <r>
          <rPr>
            <b/>
            <sz val="8"/>
            <color indexed="81"/>
            <rFont val="Tahoma"/>
            <family val="2"/>
          </rPr>
          <t>savinmar:</t>
        </r>
        <r>
          <rPr>
            <sz val="8"/>
            <color indexed="81"/>
            <rFont val="Tahoma"/>
            <family val="2"/>
          </rPr>
          <t xml:space="preserve">
L + 250bps with 0.75% LIBOR floor</t>
        </r>
      </text>
    </comment>
    <comment ref="B1461" authorId="0">
      <text>
        <r>
          <rPr>
            <b/>
            <sz val="9"/>
            <color indexed="81"/>
            <rFont val="Tahoma"/>
            <family val="2"/>
          </rPr>
          <t>Savino, Mark (Research):</t>
        </r>
        <r>
          <rPr>
            <sz val="9"/>
            <color indexed="81"/>
            <rFont val="Tahoma"/>
            <family val="2"/>
          </rPr>
          <t xml:space="preserve">
MSe</t>
        </r>
      </text>
    </comment>
    <comment ref="AY1464" authorId="12">
      <text>
        <r>
          <rPr>
            <b/>
            <sz val="8"/>
            <color indexed="81"/>
            <rFont val="Tahoma"/>
            <family val="2"/>
          </rPr>
          <t>savinmar:</t>
        </r>
        <r>
          <rPr>
            <sz val="8"/>
            <color indexed="81"/>
            <rFont val="Tahoma"/>
            <family val="2"/>
          </rPr>
          <t xml:space="preserve">
L + 175bps w/no LIBOR floor</t>
        </r>
      </text>
    </comment>
    <comment ref="BA1464" authorId="12">
      <text>
        <r>
          <rPr>
            <b/>
            <sz val="8"/>
            <color indexed="81"/>
            <rFont val="Tahoma"/>
            <family val="2"/>
          </rPr>
          <t>savinmar:</t>
        </r>
        <r>
          <rPr>
            <sz val="8"/>
            <color indexed="81"/>
            <rFont val="Tahoma"/>
            <family val="2"/>
          </rPr>
          <t xml:space="preserve">
Expected to be reduced to L + 150bps three months after closing date assuming ratings are maintained</t>
        </r>
      </text>
    </comment>
    <comment ref="AY1465" authorId="12">
      <text>
        <r>
          <rPr>
            <b/>
            <sz val="8"/>
            <color indexed="81"/>
            <rFont val="Tahoma"/>
            <family val="2"/>
          </rPr>
          <t>savinmar:</t>
        </r>
        <r>
          <rPr>
            <sz val="8"/>
            <color indexed="81"/>
            <rFont val="Tahoma"/>
            <family val="2"/>
          </rPr>
          <t xml:space="preserve">
L + 175bps w/no LIBOR floor</t>
        </r>
      </text>
    </comment>
    <comment ref="K1476" authorId="13">
      <text>
        <r>
          <rPr>
            <b/>
            <sz val="8"/>
            <color indexed="81"/>
            <rFont val="Tahoma"/>
            <family val="2"/>
          </rPr>
          <t>urbankev:</t>
        </r>
        <r>
          <rPr>
            <sz val="8"/>
            <color indexed="81"/>
            <rFont val="Tahoma"/>
            <family val="2"/>
          </rPr>
          <t xml:space="preserve">
formula adjusted to reflect initial upfront borrowing</t>
        </r>
      </text>
    </comment>
    <comment ref="K1478" authorId="13">
      <text>
        <r>
          <rPr>
            <b/>
            <sz val="8"/>
            <color indexed="81"/>
            <rFont val="Tahoma"/>
            <family val="2"/>
          </rPr>
          <t>urbankev:</t>
        </r>
        <r>
          <rPr>
            <sz val="8"/>
            <color indexed="81"/>
            <rFont val="Tahoma"/>
            <family val="2"/>
          </rPr>
          <t xml:space="preserve">
formula adjusted to reflect initial upfront borrowing</t>
        </r>
      </text>
    </comment>
    <comment ref="K1479" authorId="13">
      <text>
        <r>
          <rPr>
            <b/>
            <sz val="8"/>
            <color indexed="81"/>
            <rFont val="Tahoma"/>
            <family val="2"/>
          </rPr>
          <t>urbankev:</t>
        </r>
        <r>
          <rPr>
            <sz val="8"/>
            <color indexed="81"/>
            <rFont val="Tahoma"/>
            <family val="2"/>
          </rPr>
          <t xml:space="preserve">
formula adjusted to reflect initial upfront borrowing</t>
        </r>
      </text>
    </comment>
    <comment ref="AY1487" authorId="12">
      <text>
        <r>
          <rPr>
            <b/>
            <sz val="8"/>
            <color indexed="81"/>
            <rFont val="Tahoma"/>
            <family val="2"/>
          </rPr>
          <t>savinmar:</t>
        </r>
        <r>
          <rPr>
            <sz val="8"/>
            <color indexed="81"/>
            <rFont val="Tahoma"/>
            <family val="2"/>
          </rPr>
          <t xml:space="preserve">
Expected to close 10/30, assume interest for 2 months of the qtr</t>
        </r>
      </text>
    </comment>
    <comment ref="BW1492" authorId="0">
      <text>
        <r>
          <rPr>
            <b/>
            <sz val="9"/>
            <color indexed="81"/>
            <rFont val="Tahoma"/>
            <family val="2"/>
          </rPr>
          <t>Savino, Mark (Research):</t>
        </r>
        <r>
          <rPr>
            <sz val="9"/>
            <color indexed="81"/>
            <rFont val="Tahoma"/>
            <family val="2"/>
          </rPr>
          <t xml:space="preserve">
Assume close at the start of 3Q18</t>
        </r>
      </text>
    </comment>
    <comment ref="BA1501" authorId="17">
      <text>
        <r>
          <rPr>
            <b/>
            <sz val="8"/>
            <color indexed="81"/>
            <rFont val="Tahoma"/>
            <family val="2"/>
          </rPr>
          <t>thallen:</t>
        </r>
        <r>
          <rPr>
            <sz val="8"/>
            <color indexed="81"/>
            <rFont val="Tahoma"/>
            <family val="2"/>
          </rPr>
          <t xml:space="preserve">
Amortization of 4Q13 capital raises, 1.25% fee on $1.05B debt issurance, amortized over 6 years</t>
        </r>
      </text>
    </comment>
    <comment ref="BG1503" authorId="8">
      <text>
        <r>
          <rPr>
            <b/>
            <sz val="9"/>
            <color indexed="81"/>
            <rFont val="Tahoma"/>
            <family val="2"/>
          </rPr>
          <t>Allen, Thomas (Research):</t>
        </r>
        <r>
          <rPr>
            <sz val="9"/>
            <color indexed="81"/>
            <rFont val="Tahoma"/>
            <family val="2"/>
          </rPr>
          <t xml:space="preserve">
$12.5m</t>
        </r>
      </text>
    </comment>
    <comment ref="BJ1503" authorId="0">
      <text>
        <r>
          <rPr>
            <b/>
            <sz val="9"/>
            <color indexed="81"/>
            <rFont val="Tahoma"/>
            <family val="2"/>
          </rPr>
          <t>Savino, Mark (Research):</t>
        </r>
        <r>
          <rPr>
            <sz val="9"/>
            <color indexed="81"/>
            <rFont val="Tahoma"/>
            <family val="2"/>
          </rPr>
          <t xml:space="preserve">
Guidance 
(1Q15) $54.4m
(4Q14) $57.2m</t>
        </r>
      </text>
    </comment>
    <comment ref="BP1503" authorId="0">
      <text>
        <r>
          <rPr>
            <b/>
            <sz val="9"/>
            <color indexed="81"/>
            <rFont val="Tahoma"/>
            <family val="2"/>
          </rPr>
          <t>Savino, Mark (Research):</t>
        </r>
        <r>
          <rPr>
            <sz val="9"/>
            <color indexed="81"/>
            <rFont val="Tahoma"/>
            <family val="2"/>
          </rPr>
          <t xml:space="preserve">
Guidance $116m</t>
        </r>
      </text>
    </comment>
    <comment ref="BQ1503" authorId="8">
      <text>
        <r>
          <rPr>
            <b/>
            <sz val="9"/>
            <color indexed="81"/>
            <rFont val="Tahoma"/>
            <family val="2"/>
          </rPr>
          <t>Allen, Thomas (Research):</t>
        </r>
        <r>
          <rPr>
            <sz val="9"/>
            <color indexed="81"/>
            <rFont val="Tahoma"/>
            <family val="2"/>
          </rPr>
          <t xml:space="preserve">
1Q17 Guide: $114.8m</t>
        </r>
      </text>
    </comment>
    <comment ref="BR1503" authorId="0">
      <text>
        <r>
          <rPr>
            <b/>
            <sz val="9"/>
            <color indexed="81"/>
            <rFont val="Tahoma"/>
            <family val="2"/>
          </rPr>
          <t>Savino, Mark (Research):</t>
        </r>
        <r>
          <rPr>
            <sz val="9"/>
            <color indexed="81"/>
            <rFont val="Tahoma"/>
            <family val="2"/>
          </rPr>
          <t xml:space="preserve">
Guidance $116.7m</t>
        </r>
      </text>
    </comment>
    <comment ref="BT1503" authorId="0">
      <text>
        <r>
          <rPr>
            <b/>
            <sz val="9"/>
            <color indexed="81"/>
            <rFont val="Tahoma"/>
            <family val="2"/>
          </rPr>
          <t>Savino, Mark (Research):</t>
        </r>
        <r>
          <rPr>
            <sz val="9"/>
            <color indexed="81"/>
            <rFont val="Tahoma"/>
            <family val="2"/>
          </rPr>
          <t xml:space="preserve">
2Q17: $465.2m
1Q17: $459.6m
4Q16: $464.1m</t>
        </r>
      </text>
    </comment>
    <comment ref="BU1503" authorId="0">
      <text>
        <r>
          <rPr>
            <b/>
            <sz val="9"/>
            <color indexed="81"/>
            <rFont val="Tahoma"/>
            <family val="2"/>
          </rPr>
          <t>Savino, Mark (Research):</t>
        </r>
        <r>
          <rPr>
            <sz val="9"/>
            <color indexed="81"/>
            <rFont val="Tahoma"/>
            <family val="2"/>
          </rPr>
          <t xml:space="preserve">
Guidance $115.5m</t>
        </r>
      </text>
    </comment>
    <comment ref="BY1503" authorId="0">
      <text>
        <r>
          <rPr>
            <b/>
            <sz val="9"/>
            <color indexed="81"/>
            <rFont val="Tahoma"/>
            <family val="2"/>
          </rPr>
          <t>Savino, Mark (Research):</t>
        </r>
        <r>
          <rPr>
            <sz val="9"/>
            <color indexed="81"/>
            <rFont val="Tahoma"/>
            <family val="2"/>
          </rPr>
          <t xml:space="preserve">
4Q17: $467.4m ex PNK</t>
        </r>
      </text>
    </comment>
    <comment ref="K1504" authorId="13">
      <text>
        <r>
          <rPr>
            <b/>
            <sz val="8"/>
            <color indexed="81"/>
            <rFont val="Tahoma"/>
            <family val="2"/>
          </rPr>
          <t>urbankev:</t>
        </r>
        <r>
          <rPr>
            <sz val="8"/>
            <color indexed="81"/>
            <rFont val="Tahoma"/>
            <family val="2"/>
          </rPr>
          <t xml:space="preserve">
Adjusted to reflect year-end borrowing</t>
        </r>
      </text>
    </comment>
    <comment ref="AT1509" authorId="41">
      <text>
        <r>
          <rPr>
            <sz val="8"/>
            <color indexed="81"/>
            <rFont val="Tahoma"/>
            <family val="2"/>
          </rPr>
          <t>Source: 10-K of FY12, page no. 89</t>
        </r>
        <r>
          <rPr>
            <sz val="8"/>
            <color indexed="81"/>
            <rFont val="Tahoma"/>
            <family val="2"/>
          </rPr>
          <t xml:space="preserve">
</t>
        </r>
      </text>
    </comment>
    <comment ref="BG1509" authorId="0">
      <text>
        <r>
          <rPr>
            <b/>
            <sz val="9"/>
            <color indexed="81"/>
            <rFont val="Tahoma"/>
            <family val="2"/>
          </rPr>
          <t>Savino, Mark (Research):</t>
        </r>
        <r>
          <rPr>
            <sz val="9"/>
            <color indexed="81"/>
            <rFont val="Tahoma"/>
            <family val="2"/>
          </rPr>
          <t xml:space="preserve">
Plainridge opens in June</t>
        </r>
      </text>
    </comment>
    <comment ref="BA1510" authorId="17">
      <text>
        <r>
          <rPr>
            <b/>
            <sz val="8"/>
            <color indexed="81"/>
            <rFont val="Tahoma"/>
            <family val="2"/>
          </rPr>
          <t>thallen:</t>
        </r>
        <r>
          <rPr>
            <sz val="8"/>
            <color indexed="81"/>
            <rFont val="Tahoma"/>
            <family val="2"/>
          </rPr>
          <t xml:space="preserve">
As GLPI developing the building, PENN can't capitalize</t>
        </r>
      </text>
    </comment>
    <comment ref="BB1510" authorId="17">
      <text>
        <r>
          <rPr>
            <b/>
            <sz val="8"/>
            <color indexed="81"/>
            <rFont val="Tahoma"/>
            <family val="2"/>
          </rPr>
          <t>thallen:</t>
        </r>
        <r>
          <rPr>
            <sz val="8"/>
            <color indexed="81"/>
            <rFont val="Tahoma"/>
            <family val="2"/>
          </rPr>
          <t xml:space="preserve">
As GLPI developing the building, PENN can't capitalize</t>
        </r>
      </text>
    </comment>
    <comment ref="BC1510" authorId="17">
      <text>
        <r>
          <rPr>
            <b/>
            <sz val="8"/>
            <color indexed="81"/>
            <rFont val="Tahoma"/>
            <family val="2"/>
          </rPr>
          <t>thallen:</t>
        </r>
        <r>
          <rPr>
            <sz val="8"/>
            <color indexed="81"/>
            <rFont val="Tahoma"/>
            <family val="2"/>
          </rPr>
          <t xml:space="preserve">
As GLPI developing the building, PENN can't capitalize</t>
        </r>
      </text>
    </comment>
    <comment ref="BD1510" authorId="17">
      <text>
        <r>
          <rPr>
            <b/>
            <sz val="8"/>
            <color indexed="81"/>
            <rFont val="Tahoma"/>
            <family val="2"/>
          </rPr>
          <t>thallen:</t>
        </r>
        <r>
          <rPr>
            <sz val="8"/>
            <color indexed="81"/>
            <rFont val="Tahoma"/>
            <family val="2"/>
          </rPr>
          <t xml:space="preserve">
As GLPI developing the building, PENN can't capitalize</t>
        </r>
      </text>
    </comment>
    <comment ref="AN1511" authorId="23">
      <text>
        <r>
          <rPr>
            <b/>
            <sz val="8"/>
            <color indexed="81"/>
            <rFont val="Tahoma"/>
            <family val="2"/>
          </rPr>
          <t>AM: 7/21/11:</t>
        </r>
        <r>
          <rPr>
            <sz val="8"/>
            <color indexed="81"/>
            <rFont val="Tahoma"/>
            <family val="2"/>
          </rPr>
          <t xml:space="preserve">
Per 2Q11 cc, $1.75M in 3Q</t>
        </r>
      </text>
    </comment>
    <comment ref="AP1511" authorId="23">
      <text>
        <r>
          <rPr>
            <b/>
            <sz val="8"/>
            <color indexed="81"/>
            <rFont val="Tahoma"/>
            <family val="2"/>
          </rPr>
          <t>AM: 7/21/11:</t>
        </r>
        <r>
          <rPr>
            <sz val="8"/>
            <color indexed="81"/>
            <rFont val="Tahoma"/>
            <family val="2"/>
          </rPr>
          <t xml:space="preserve">
Per 2Q11 cc, $6.2M in 2011.</t>
        </r>
      </text>
    </comment>
    <comment ref="AZ1514" authorId="17">
      <text>
        <r>
          <rPr>
            <b/>
            <sz val="8"/>
            <color indexed="81"/>
            <rFont val="Tahoma"/>
            <family val="2"/>
          </rPr>
          <t>thallen:</t>
        </r>
        <r>
          <rPr>
            <sz val="8"/>
            <color indexed="81"/>
            <rFont val="Tahoma"/>
            <family val="2"/>
          </rPr>
          <t xml:space="preserve">
Guidance
39% for 2H13
OLD:
Guidance: 39.2%</t>
        </r>
      </text>
    </comment>
    <comment ref="BE1514" authorId="0">
      <text>
        <r>
          <rPr>
            <b/>
            <sz val="9"/>
            <color indexed="81"/>
            <rFont val="Tahoma"/>
            <family val="2"/>
          </rPr>
          <t>Savino, Mark (Research):</t>
        </r>
        <r>
          <rPr>
            <sz val="9"/>
            <color indexed="81"/>
            <rFont val="Tahoma"/>
            <family val="2"/>
          </rPr>
          <t xml:space="preserve">
4Q13 press release: 39%</t>
        </r>
      </text>
    </comment>
    <comment ref="BJ1514" authorId="0">
      <text>
        <r>
          <rPr>
            <b/>
            <sz val="9"/>
            <color indexed="81"/>
            <rFont val="Tahoma"/>
            <family val="2"/>
          </rPr>
          <t>Savino, Mark (Research):</t>
        </r>
        <r>
          <rPr>
            <sz val="9"/>
            <color indexed="81"/>
            <rFont val="Tahoma"/>
            <family val="2"/>
          </rPr>
          <t xml:space="preserve">
GAAP tax rate balance of 2015: 44% (per 1Q15 call)</t>
        </r>
      </text>
    </comment>
    <comment ref="BR1514" authorId="0">
      <text>
        <r>
          <rPr>
            <b/>
            <sz val="9"/>
            <color indexed="81"/>
            <rFont val="Tahoma"/>
            <family val="2"/>
          </rPr>
          <t>Savino, Mark (Research):</t>
        </r>
        <r>
          <rPr>
            <sz val="9"/>
            <color indexed="81"/>
            <rFont val="Tahoma"/>
            <family val="2"/>
          </rPr>
          <t xml:space="preserve">
Excluding $766.2m reversal of DTA reversal
Guidance implies 45%</t>
        </r>
      </text>
    </comment>
    <comment ref="BS1514" authorId="0">
      <text>
        <r>
          <rPr>
            <b/>
            <sz val="9"/>
            <color indexed="81"/>
            <rFont val="Tahoma"/>
            <family val="2"/>
          </rPr>
          <t>Savino, Mark (Research):</t>
        </r>
        <r>
          <rPr>
            <sz val="9"/>
            <color indexed="81"/>
            <rFont val="Tahoma"/>
            <family val="2"/>
          </rPr>
          <t xml:space="preserve">
3Q17: Guidance implies 29%</t>
        </r>
      </text>
    </comment>
    <comment ref="BT1514" authorId="0">
      <text>
        <r>
          <rPr>
            <b/>
            <sz val="9"/>
            <color indexed="81"/>
            <rFont val="Tahoma"/>
            <family val="2"/>
          </rPr>
          <t>Savino, Mark (Research):</t>
        </r>
        <r>
          <rPr>
            <sz val="9"/>
            <color indexed="81"/>
            <rFont val="Tahoma"/>
            <family val="2"/>
          </rPr>
          <t xml:space="preserve">
Excludes $766.2m reversal of DTA reversal
Guidance implies 39%</t>
        </r>
      </text>
    </comment>
    <comment ref="AC1522" authorId="9">
      <text>
        <r>
          <rPr>
            <b/>
            <sz val="8"/>
            <color indexed="81"/>
            <rFont val="Tahoma"/>
            <family val="2"/>
          </rPr>
          <t>stramark:</t>
        </r>
        <r>
          <rPr>
            <sz val="8"/>
            <color indexed="81"/>
            <rFont val="Tahoma"/>
            <family val="2"/>
          </rPr>
          <t xml:space="preserve">
Need to be hedged 50% of concolidated indebtedness (excluding the revolver)</t>
        </r>
      </text>
    </comment>
    <comment ref="AY1554" authorId="17">
      <text>
        <r>
          <rPr>
            <b/>
            <sz val="8"/>
            <color indexed="81"/>
            <rFont val="Tahoma"/>
            <family val="2"/>
          </rPr>
          <t>thallen:</t>
        </r>
        <r>
          <rPr>
            <sz val="8"/>
            <color indexed="81"/>
            <rFont val="Tahoma"/>
            <family val="2"/>
          </rPr>
          <t xml:space="preserve">
Impact of GLPI spin</t>
        </r>
      </text>
    </comment>
    <comment ref="BA1554" authorId="0">
      <text>
        <r>
          <rPr>
            <b/>
            <sz val="9"/>
            <color indexed="81"/>
            <rFont val="Tahoma"/>
            <family val="2"/>
          </rPr>
          <t>Savino, Mark (Research):</t>
        </r>
        <r>
          <rPr>
            <sz val="9"/>
            <color indexed="81"/>
            <rFont val="Tahoma"/>
            <family val="2"/>
          </rPr>
          <t xml:space="preserve">
Impact of real estate spin-off to GLPI</t>
        </r>
      </text>
    </comment>
    <comment ref="AO1556" authorId="10">
      <text>
        <r>
          <rPr>
            <b/>
            <sz val="8"/>
            <color indexed="81"/>
            <rFont val="Tahoma"/>
            <family val="2"/>
          </rPr>
          <t>DJF 10/19/11:</t>
        </r>
        <r>
          <rPr>
            <sz val="8"/>
            <color indexed="81"/>
            <rFont val="Tahoma"/>
            <family val="2"/>
          </rPr>
          <t xml:space="preserve">
50.8 mn guidance</t>
        </r>
      </text>
    </comment>
    <comment ref="AQ1556" authorId="2">
      <text>
        <r>
          <rPr>
            <b/>
            <sz val="8"/>
            <color indexed="81"/>
            <rFont val="Tahoma"/>
            <family val="2"/>
          </rPr>
          <t>AM: 2/2/12:</t>
        </r>
        <r>
          <rPr>
            <sz val="8"/>
            <color indexed="81"/>
            <rFont val="Tahoma"/>
            <family val="2"/>
          </rPr>
          <t xml:space="preserve">
Guidance of $51.2m</t>
        </r>
      </text>
    </comment>
    <comment ref="AU1556" authorId="2">
      <text>
        <r>
          <rPr>
            <b/>
            <sz val="8"/>
            <color indexed="81"/>
            <rFont val="Tahoma"/>
            <family val="2"/>
          </rPr>
          <t>AM: 2/2/12:</t>
        </r>
        <r>
          <rPr>
            <sz val="8"/>
            <color indexed="81"/>
            <rFont val="Tahoma"/>
            <family val="2"/>
          </rPr>
          <t xml:space="preserve">
Guidance of $225.2m</t>
        </r>
      </text>
    </comment>
    <comment ref="AW1556" authorId="17">
      <text>
        <r>
          <rPr>
            <b/>
            <sz val="8"/>
            <color indexed="81"/>
            <rFont val="Tahoma"/>
            <family val="2"/>
          </rPr>
          <t>thallen:</t>
        </r>
        <r>
          <rPr>
            <sz val="8"/>
            <color indexed="81"/>
            <rFont val="Tahoma"/>
            <family val="2"/>
          </rPr>
          <t xml:space="preserve">
Guidance: $76.9mm</t>
        </r>
      </text>
    </comment>
    <comment ref="AY1556" authorId="17">
      <text>
        <r>
          <rPr>
            <b/>
            <sz val="8"/>
            <color indexed="81"/>
            <rFont val="Tahoma"/>
            <family val="2"/>
          </rPr>
          <t>thallen:</t>
        </r>
        <r>
          <rPr>
            <sz val="8"/>
            <color indexed="81"/>
            <rFont val="Tahoma"/>
            <family val="2"/>
          </rPr>
          <t xml:space="preserve">
Impact of GLPI spin</t>
        </r>
      </text>
    </comment>
    <comment ref="AZ1556" authorId="17">
      <text>
        <r>
          <rPr>
            <b/>
            <sz val="8"/>
            <color indexed="81"/>
            <rFont val="Tahoma"/>
            <family val="2"/>
          </rPr>
          <t>thallen:</t>
        </r>
        <r>
          <rPr>
            <sz val="8"/>
            <color indexed="81"/>
            <rFont val="Tahoma"/>
            <family val="2"/>
          </rPr>
          <t xml:space="preserve">
Guidance: $307.9mm</t>
        </r>
      </text>
    </comment>
    <comment ref="BA1556" authorId="0">
      <text>
        <r>
          <rPr>
            <b/>
            <sz val="9"/>
            <color indexed="81"/>
            <rFont val="Tahoma"/>
            <family val="2"/>
          </rPr>
          <t>Savino, Mark (Research):</t>
        </r>
        <r>
          <rPr>
            <sz val="9"/>
            <color indexed="81"/>
            <rFont val="Tahoma"/>
            <family val="2"/>
          </rPr>
          <t xml:space="preserve">
4Q13 press release: $50.1m</t>
        </r>
      </text>
    </comment>
    <comment ref="BB1556" authorId="0">
      <text>
        <r>
          <rPr>
            <b/>
            <sz val="9"/>
            <color indexed="81"/>
            <rFont val="Tahoma"/>
            <family val="2"/>
          </rPr>
          <t>Savino, Mark (Research):</t>
        </r>
        <r>
          <rPr>
            <sz val="9"/>
            <color indexed="81"/>
            <rFont val="Tahoma"/>
            <family val="2"/>
          </rPr>
          <t xml:space="preserve">
1Q14: $46.5m</t>
        </r>
      </text>
    </comment>
    <comment ref="BC1556" authorId="8">
      <text>
        <r>
          <rPr>
            <b/>
            <sz val="9"/>
            <color indexed="81"/>
            <rFont val="Tahoma"/>
            <family val="2"/>
          </rPr>
          <t>Allen, Thomas (Research):</t>
        </r>
        <r>
          <rPr>
            <sz val="9"/>
            <color indexed="81"/>
            <rFont val="Tahoma"/>
            <family val="2"/>
          </rPr>
          <t xml:space="preserve">
Per mgmt, D&amp;A drops in 3Q b/c will close down 2 racetracks that they currently have in OH (currently carrying 4) </t>
        </r>
      </text>
    </comment>
    <comment ref="BD1556" authorId="8">
      <text>
        <r>
          <rPr>
            <b/>
            <sz val="9"/>
            <color indexed="81"/>
            <rFont val="Tahoma"/>
            <family val="2"/>
          </rPr>
          <t>Allen, Thomas (Research):</t>
        </r>
        <r>
          <rPr>
            <sz val="9"/>
            <color indexed="81"/>
            <rFont val="Tahoma"/>
            <family val="2"/>
          </rPr>
          <t xml:space="preserve">
Per mgmt, picks back up when racinos open</t>
        </r>
      </text>
    </comment>
    <comment ref="BE1556" authorId="17">
      <text>
        <r>
          <rPr>
            <b/>
            <sz val="8"/>
            <color indexed="81"/>
            <rFont val="Tahoma"/>
            <family val="2"/>
          </rPr>
          <t>thallen:</t>
        </r>
        <r>
          <rPr>
            <sz val="8"/>
            <color indexed="81"/>
            <rFont val="Tahoma"/>
            <family val="2"/>
          </rPr>
          <t xml:space="preserve">
1Q14 press release: $170.8m
4Q13 press release: $182.4m
PENN ~$200mm, GLPI ~$120mm. PENN higher b/c don't depreciate land and buildings depreciate over 39 years. Majority slot machines (5 year depreciation) and FFE, which impact PENN</t>
        </r>
      </text>
    </comment>
    <comment ref="BF1556" authorId="0">
      <text>
        <r>
          <rPr>
            <b/>
            <sz val="9"/>
            <color indexed="81"/>
            <rFont val="Tahoma"/>
            <family val="2"/>
          </rPr>
          <t>Savino, Mark (Research):</t>
        </r>
        <r>
          <rPr>
            <sz val="9"/>
            <color indexed="81"/>
            <rFont val="Tahoma"/>
            <family val="2"/>
          </rPr>
          <t xml:space="preserve">
Guidance $44.3m</t>
        </r>
      </text>
    </comment>
    <comment ref="BP1556" authorId="0">
      <text>
        <r>
          <rPr>
            <b/>
            <sz val="9"/>
            <color indexed="81"/>
            <rFont val="Tahoma"/>
            <family val="2"/>
          </rPr>
          <t>Savino, Mark (Research):</t>
        </r>
        <r>
          <rPr>
            <sz val="9"/>
            <color indexed="81"/>
            <rFont val="Tahoma"/>
            <family val="2"/>
          </rPr>
          <t xml:space="preserve">
Guidance $70.7m</t>
        </r>
      </text>
    </comment>
    <comment ref="BQ1556" authorId="8">
      <text>
        <r>
          <rPr>
            <b/>
            <sz val="9"/>
            <color indexed="81"/>
            <rFont val="Tahoma"/>
            <family val="2"/>
          </rPr>
          <t>Allen, Thomas (Research):</t>
        </r>
        <r>
          <rPr>
            <sz val="9"/>
            <color indexed="81"/>
            <rFont val="Tahoma"/>
            <family val="2"/>
          </rPr>
          <t xml:space="preserve">
1Q17 Guide: $70.1m</t>
        </r>
      </text>
    </comment>
    <comment ref="BR1556" authorId="0">
      <text>
        <r>
          <rPr>
            <b/>
            <sz val="9"/>
            <color indexed="81"/>
            <rFont val="Tahoma"/>
            <family val="2"/>
          </rPr>
          <t>Savino, Mark (Research):</t>
        </r>
        <r>
          <rPr>
            <sz val="9"/>
            <color indexed="81"/>
            <rFont val="Tahoma"/>
            <family val="2"/>
          </rPr>
          <t xml:space="preserve">
Guidance $66.3m</t>
        </r>
      </text>
    </comment>
    <comment ref="BS1556" authorId="0">
      <text>
        <r>
          <rPr>
            <b/>
            <sz val="9"/>
            <color indexed="81"/>
            <rFont val="Tahoma"/>
            <family val="2"/>
          </rPr>
          <t>Savino, Mark (Research):</t>
        </r>
        <r>
          <rPr>
            <sz val="9"/>
            <color indexed="81"/>
            <rFont val="Tahoma"/>
            <family val="2"/>
          </rPr>
          <t xml:space="preserve">
3Q17: $62.9m</t>
        </r>
      </text>
    </comment>
    <comment ref="BT1556" authorId="0">
      <text>
        <r>
          <rPr>
            <b/>
            <sz val="9"/>
            <color indexed="81"/>
            <rFont val="Tahoma"/>
            <family val="2"/>
          </rPr>
          <t>Savino, Mark (Research):</t>
        </r>
        <r>
          <rPr>
            <sz val="9"/>
            <color indexed="81"/>
            <rFont val="Tahoma"/>
            <family val="2"/>
          </rPr>
          <t xml:space="preserve">
3Q17: $268.6m
2Q17: $266.7m
1Q17: $270.8m (but excludes Tunica)
4Q16: $271.2m</t>
        </r>
      </text>
    </comment>
    <comment ref="C1569" authorId="13">
      <text>
        <r>
          <rPr>
            <b/>
            <sz val="8"/>
            <color indexed="81"/>
            <rFont val="Tahoma"/>
            <family val="2"/>
          </rPr>
          <t>urbankev:</t>
        </r>
        <r>
          <rPr>
            <sz val="8"/>
            <color indexed="81"/>
            <rFont val="Tahoma"/>
            <family val="2"/>
          </rPr>
          <t xml:space="preserve">
2003 periods from old Penn model</t>
        </r>
      </text>
    </comment>
    <comment ref="W1570" authorId="13">
      <text>
        <r>
          <rPr>
            <b/>
            <sz val="8"/>
            <color indexed="81"/>
            <rFont val="Tahoma"/>
            <family val="2"/>
          </rPr>
          <t>urbankev:</t>
        </r>
        <r>
          <rPr>
            <sz val="8"/>
            <color indexed="81"/>
            <rFont val="Tahoma"/>
            <family val="2"/>
          </rPr>
          <t xml:space="preserve">
Misc plug to ensure compliance with Sr. Leverage Covenant</t>
        </r>
      </text>
    </comment>
    <comment ref="X1570" authorId="13">
      <text>
        <r>
          <rPr>
            <b/>
            <sz val="8"/>
            <color indexed="81"/>
            <rFont val="Tahoma"/>
            <family val="2"/>
          </rPr>
          <t>urbankev:</t>
        </r>
        <r>
          <rPr>
            <sz val="8"/>
            <color indexed="81"/>
            <rFont val="Tahoma"/>
            <family val="2"/>
          </rPr>
          <t xml:space="preserve">
Misc plug to ensure compliance with Sr. Leverage Covenant</t>
        </r>
      </text>
    </comment>
    <comment ref="C1579" authorId="13">
      <text>
        <r>
          <rPr>
            <b/>
            <sz val="8"/>
            <color indexed="81"/>
            <rFont val="Tahoma"/>
            <family val="2"/>
          </rPr>
          <t>urbankev:</t>
        </r>
        <r>
          <rPr>
            <sz val="8"/>
            <color indexed="81"/>
            <rFont val="Tahoma"/>
            <family val="2"/>
          </rPr>
          <t xml:space="preserve">
2003 periods per old Penn model</t>
        </r>
      </text>
    </comment>
    <comment ref="BD1583" authorId="0">
      <text>
        <r>
          <rPr>
            <b/>
            <sz val="9"/>
            <color indexed="81"/>
            <rFont val="Tahoma"/>
            <family val="2"/>
          </rPr>
          <t>Savino, Mark (Research):</t>
        </r>
        <r>
          <rPr>
            <sz val="9"/>
            <color indexed="81"/>
            <rFont val="Tahoma"/>
            <family val="2"/>
          </rPr>
          <t xml:space="preserve">
Per mgmt, leverage calc does not change despite restatement, so need to back out financing obligation from debt and rent from EBITDAR</t>
        </r>
      </text>
    </comment>
    <comment ref="A1613" authorId="13">
      <text>
        <r>
          <rPr>
            <b/>
            <sz val="8"/>
            <color indexed="81"/>
            <rFont val="Tahoma"/>
            <family val="2"/>
          </rPr>
          <t>urbankev:</t>
        </r>
        <r>
          <rPr>
            <sz val="8"/>
            <color indexed="81"/>
            <rFont val="Tahoma"/>
            <family val="2"/>
          </rPr>
          <t xml:space="preserve">
per cash flow in 10Q/10K</t>
        </r>
      </text>
    </comment>
    <comment ref="Y1613" authorId="13">
      <text>
        <r>
          <rPr>
            <b/>
            <sz val="8"/>
            <color indexed="81"/>
            <rFont val="Tahoma"/>
            <family val="2"/>
          </rPr>
          <t>urbankev:</t>
        </r>
        <r>
          <rPr>
            <sz val="8"/>
            <color indexed="81"/>
            <rFont val="Tahoma"/>
            <family val="2"/>
          </rPr>
          <t xml:space="preserve">
elevated due to merger termination fee.  Was this included in cov compliance?</t>
        </r>
      </text>
    </comment>
    <comment ref="A1614" authorId="13">
      <text>
        <r>
          <rPr>
            <b/>
            <sz val="8"/>
            <color indexed="81"/>
            <rFont val="Tahoma"/>
            <family val="2"/>
          </rPr>
          <t>urbankev:</t>
        </r>
        <r>
          <rPr>
            <sz val="8"/>
            <color indexed="81"/>
            <rFont val="Tahoma"/>
            <family val="2"/>
          </rPr>
          <t xml:space="preserve">
per cash flow in 10Q/10K</t>
        </r>
      </text>
    </comment>
  </commentList>
</comments>
</file>

<file path=xl/comments2.xml><?xml version="1.0" encoding="utf-8"?>
<comments xmlns="http://schemas.openxmlformats.org/spreadsheetml/2006/main">
  <authors>
    <author>Savino, Mark (Research)</author>
    <author>Allen, Thomas (Research)</author>
  </authors>
  <commentList>
    <comment ref="E32" authorId="0">
      <text>
        <r>
          <rPr>
            <b/>
            <sz val="9"/>
            <color indexed="81"/>
            <rFont val="Tahoma"/>
            <family val="2"/>
          </rPr>
          <t>Savino, Mark (Research):</t>
        </r>
        <r>
          <rPr>
            <sz val="9"/>
            <color indexed="81"/>
            <rFont val="Tahoma"/>
            <family val="2"/>
          </rPr>
          <t xml:space="preserve">
We estimate PENN paid a 6.3x multiple including earn-out payments</t>
        </r>
      </text>
    </comment>
    <comment ref="H41" authorId="1">
      <text>
        <r>
          <rPr>
            <b/>
            <sz val="9"/>
            <color indexed="81"/>
            <rFont val="Tahoma"/>
            <family val="2"/>
          </rPr>
          <t>Allen, Thomas (Research):</t>
        </r>
        <r>
          <rPr>
            <sz val="9"/>
            <color indexed="81"/>
            <rFont val="Tahoma"/>
            <family val="2"/>
          </rPr>
          <t xml:space="preserve">
</t>
        </r>
      </text>
    </comment>
    <comment ref="G43" authorId="0">
      <text>
        <r>
          <rPr>
            <b/>
            <sz val="9"/>
            <color indexed="81"/>
            <rFont val="Tahoma"/>
            <family val="2"/>
          </rPr>
          <t>Savino, Mark (Research):</t>
        </r>
        <r>
          <rPr>
            <sz val="9"/>
            <color indexed="81"/>
            <rFont val="Tahoma"/>
            <family val="2"/>
          </rPr>
          <t xml:space="preserve">
Add back $8m to reflect reduction in OH racino relocation fee liability (which we account for in project capex)</t>
        </r>
      </text>
    </comment>
    <comment ref="H43" authorId="0">
      <text>
        <r>
          <rPr>
            <b/>
            <sz val="9"/>
            <color indexed="81"/>
            <rFont val="Tahoma"/>
            <family val="2"/>
          </rPr>
          <t>Savino, Mark (Research):</t>
        </r>
        <r>
          <rPr>
            <sz val="9"/>
            <color indexed="81"/>
            <rFont val="Tahoma"/>
            <family val="2"/>
          </rPr>
          <t xml:space="preserve">
Add back $8m to reflect reduction in OH racino relocation fee liability (which we account for in project capex)</t>
        </r>
      </text>
    </comment>
    <comment ref="G49" authorId="0">
      <text>
        <r>
          <rPr>
            <b/>
            <sz val="9"/>
            <color indexed="81"/>
            <rFont val="Tahoma"/>
            <family val="2"/>
          </rPr>
          <t>Savino, Mark (Research):</t>
        </r>
        <r>
          <rPr>
            <sz val="9"/>
            <color indexed="81"/>
            <rFont val="Tahoma"/>
            <family val="2"/>
          </rPr>
          <t xml:space="preserve">
10/23/17</t>
        </r>
      </text>
    </comment>
    <comment ref="H49" authorId="0">
      <text>
        <r>
          <rPr>
            <b/>
            <sz val="9"/>
            <color indexed="81"/>
            <rFont val="Tahoma"/>
            <family val="2"/>
          </rPr>
          <t>Savino, Mark (Research):</t>
        </r>
        <r>
          <rPr>
            <sz val="9"/>
            <color indexed="81"/>
            <rFont val="Tahoma"/>
            <family val="2"/>
          </rPr>
          <t xml:space="preserve">
4/23/18</t>
        </r>
      </text>
    </comment>
    <comment ref="W99" authorId="0">
      <text>
        <r>
          <rPr>
            <b/>
            <sz val="9"/>
            <color indexed="81"/>
            <rFont val="Tahoma"/>
            <family val="2"/>
          </rPr>
          <t>Savino, Mark (Research):</t>
        </r>
        <r>
          <rPr>
            <sz val="9"/>
            <color indexed="81"/>
            <rFont val="Tahoma"/>
            <family val="2"/>
          </rPr>
          <t xml:space="preserve">
$360m purchase price + $20m of Phase I capex</t>
        </r>
      </text>
    </comment>
  </commentList>
</comments>
</file>

<file path=xl/comments3.xml><?xml version="1.0" encoding="utf-8"?>
<comments xmlns="http://schemas.openxmlformats.org/spreadsheetml/2006/main">
  <authors>
    <author>Savino, Mark (Research)</author>
    <author>Zheng, Chaodan (Research)</author>
  </authors>
  <commentList>
    <comment ref="G11" authorId="0">
      <text>
        <r>
          <rPr>
            <b/>
            <sz val="9"/>
            <color indexed="81"/>
            <rFont val="Tahoma"/>
            <family val="2"/>
          </rPr>
          <t>Savino, Mark (Research):</t>
        </r>
        <r>
          <rPr>
            <sz val="9"/>
            <color indexed="81"/>
            <rFont val="Tahoma"/>
            <family val="2"/>
          </rPr>
          <t xml:space="preserve">
2015e for Dayton and Mahoning</t>
        </r>
      </text>
    </comment>
    <comment ref="BW275" authorId="0">
      <text>
        <r>
          <rPr>
            <b/>
            <sz val="9"/>
            <color indexed="81"/>
            <rFont val="Tahoma"/>
            <family val="2"/>
          </rPr>
          <t>Savino, Mark (Research):</t>
        </r>
        <r>
          <rPr>
            <sz val="9"/>
            <color indexed="81"/>
            <rFont val="Tahoma"/>
            <family val="2"/>
          </rPr>
          <t xml:space="preserve">
EBITDA must be $12m to hit earn-out</t>
        </r>
      </text>
    </comment>
    <comment ref="EE416" authorId="1">
      <text>
        <r>
          <rPr>
            <b/>
            <sz val="9"/>
            <color indexed="81"/>
            <rFont val="Tahoma"/>
            <family val="2"/>
          </rPr>
          <t>Zheng, Chaodan (Research):</t>
        </r>
        <r>
          <rPr>
            <sz val="9"/>
            <color indexed="81"/>
            <rFont val="Tahoma"/>
            <family val="2"/>
          </rPr>
          <t xml:space="preserve">
Consensus estimate through 6/9/17</t>
        </r>
      </text>
    </comment>
    <comment ref="EM464" authorId="0">
      <text>
        <r>
          <rPr>
            <b/>
            <sz val="9"/>
            <color indexed="81"/>
            <rFont val="Tahoma"/>
            <family val="2"/>
          </rPr>
          <t>Savino, Mark (Research):</t>
        </r>
        <r>
          <rPr>
            <sz val="9"/>
            <color indexed="81"/>
            <rFont val="Tahoma"/>
            <family val="2"/>
          </rPr>
          <t xml:space="preserve">
Per PENN IP</t>
        </r>
      </text>
    </comment>
    <comment ref="EM487" authorId="0">
      <text>
        <r>
          <rPr>
            <b/>
            <sz val="9"/>
            <color indexed="81"/>
            <rFont val="Tahoma"/>
            <family val="2"/>
          </rPr>
          <t>Savino, Mark (Research):</t>
        </r>
        <r>
          <rPr>
            <sz val="9"/>
            <color indexed="81"/>
            <rFont val="Tahoma"/>
            <family val="2"/>
          </rPr>
          <t xml:space="preserve">
Per BYD and GLPI press releases</t>
        </r>
      </text>
    </comment>
  </commentList>
</comments>
</file>

<file path=xl/comments4.xml><?xml version="1.0" encoding="utf-8"?>
<comments xmlns="http://schemas.openxmlformats.org/spreadsheetml/2006/main">
  <authors>
    <author>Savino, Mark (Research)</author>
  </authors>
  <commentList>
    <comment ref="GG488" authorId="0">
      <text>
        <r>
          <rPr>
            <b/>
            <sz val="9"/>
            <color indexed="81"/>
            <rFont val="Tahoma"/>
            <family val="2"/>
          </rPr>
          <t>Savino, Mark (Research):</t>
        </r>
        <r>
          <rPr>
            <sz val="9"/>
            <color indexed="81"/>
            <rFont val="Tahoma"/>
            <family val="2"/>
          </rPr>
          <t xml:space="preserve">
Switches to 1.5% of GGR in years 6-10</t>
        </r>
      </text>
    </comment>
    <comment ref="GC490" authorId="0">
      <text>
        <r>
          <rPr>
            <b/>
            <sz val="9"/>
            <color indexed="81"/>
            <rFont val="Tahoma"/>
            <family val="2"/>
          </rPr>
          <t>Savino, Mark (Research):</t>
        </r>
        <r>
          <rPr>
            <sz val="9"/>
            <color indexed="81"/>
            <rFont val="Tahoma"/>
            <family val="2"/>
          </rPr>
          <t xml:space="preserve">
2% annual escalator</t>
        </r>
      </text>
    </comment>
    <comment ref="GG516" authorId="0">
      <text>
        <r>
          <rPr>
            <b/>
            <sz val="9"/>
            <color indexed="81"/>
            <rFont val="Tahoma"/>
            <family val="2"/>
          </rPr>
          <t>Savino, Mark (Research):</t>
        </r>
        <r>
          <rPr>
            <sz val="9"/>
            <color indexed="81"/>
            <rFont val="Tahoma"/>
            <family val="2"/>
          </rPr>
          <t xml:space="preserve">
Switches to 1.5% of GGR in years 6-10</t>
        </r>
      </text>
    </comment>
    <comment ref="GC518" authorId="0">
      <text>
        <r>
          <rPr>
            <b/>
            <sz val="9"/>
            <color indexed="81"/>
            <rFont val="Tahoma"/>
            <family val="2"/>
          </rPr>
          <t>Savino, Mark (Research):</t>
        </r>
        <r>
          <rPr>
            <sz val="9"/>
            <color indexed="81"/>
            <rFont val="Tahoma"/>
            <family val="2"/>
          </rPr>
          <t xml:space="preserve">
2% annual escalator</t>
        </r>
      </text>
    </comment>
    <comment ref="GG544" authorId="0">
      <text>
        <r>
          <rPr>
            <b/>
            <sz val="9"/>
            <color indexed="81"/>
            <rFont val="Tahoma"/>
            <family val="2"/>
          </rPr>
          <t>Savino, Mark (Research):</t>
        </r>
        <r>
          <rPr>
            <sz val="9"/>
            <color indexed="81"/>
            <rFont val="Tahoma"/>
            <family val="2"/>
          </rPr>
          <t xml:space="preserve">
Switches to 1.5% of GGR in years 6-10</t>
        </r>
      </text>
    </comment>
    <comment ref="GC546" authorId="0">
      <text>
        <r>
          <rPr>
            <b/>
            <sz val="9"/>
            <color indexed="81"/>
            <rFont val="Tahoma"/>
            <family val="2"/>
          </rPr>
          <t>Savino, Mark (Research):</t>
        </r>
        <r>
          <rPr>
            <sz val="9"/>
            <color indexed="81"/>
            <rFont val="Tahoma"/>
            <family val="2"/>
          </rPr>
          <t xml:space="preserve">
2% annual escalator</t>
        </r>
      </text>
    </comment>
  </commentList>
</comments>
</file>

<file path=xl/comments5.xml><?xml version="1.0" encoding="utf-8"?>
<comments xmlns="http://schemas.openxmlformats.org/spreadsheetml/2006/main">
  <authors>
    <author>Allen, Thomas (Research)</author>
  </authors>
  <commentList>
    <comment ref="AF40" authorId="0">
      <text>
        <r>
          <rPr>
            <b/>
            <sz val="9"/>
            <color indexed="81"/>
            <rFont val="Tahoma"/>
            <family val="2"/>
          </rPr>
          <t>Allen, Thomas (Research):</t>
        </r>
        <r>
          <rPr>
            <sz val="9"/>
            <color indexed="81"/>
            <rFont val="Tahoma"/>
            <family val="2"/>
          </rPr>
          <t xml:space="preserve">
Target 5-5.5x</t>
        </r>
      </text>
    </comment>
  </commentList>
</comments>
</file>

<file path=xl/sharedStrings.xml><?xml version="1.0" encoding="utf-8"?>
<sst xmlns="http://schemas.openxmlformats.org/spreadsheetml/2006/main" count="12295" uniqueCount="3061">
  <si>
    <t>Margin - Total</t>
  </si>
  <si>
    <t>Promotionals</t>
  </si>
  <si>
    <t>(1) For Cecil County, Slot $WPD and EBITDA Margin are 2012 estimates based on market comps.</t>
  </si>
  <si>
    <t>Net Revenues</t>
  </si>
  <si>
    <t>Gaming Taxes</t>
  </si>
  <si>
    <t>% Return on Investment</t>
  </si>
  <si>
    <t>Income Taxes</t>
  </si>
  <si>
    <t>Debt/Investment</t>
  </si>
  <si>
    <t>Equity Value</t>
  </si>
  <si>
    <t>Probability</t>
  </si>
  <si>
    <t>4Q08</t>
  </si>
  <si>
    <t>+/- Change in working capital &amp; other</t>
  </si>
  <si>
    <t>20% of gaming revenues</t>
  </si>
  <si>
    <t>quarter during which a purchase of property subject to any Company’s operating lease shall occur and during the three following fiscal quarters, an amount equal</t>
  </si>
  <si>
    <t>to the quarterly payment in respect of such lease (as if such purchase did not occur) times (a) 4 (in the case of the quarter in which such purchase occurs), (b) 3</t>
  </si>
  <si>
    <t>(in the case of the quarter following such purchase), (c) 2 (in the case of the second quarter following such purchase) and (d) 1 (in the case of the third quarter</t>
  </si>
  <si>
    <t>Corporate/Other</t>
  </si>
  <si>
    <t>Pro-Forma debt Calc (OLD)</t>
  </si>
  <si>
    <t>AFFO yield</t>
  </si>
  <si>
    <t>Current Stock Price</t>
  </si>
  <si>
    <t>Other expenses</t>
  </si>
  <si>
    <t>40 tables and 12 poker tables (that's it?)</t>
  </si>
  <si>
    <t>Cash and equivalents</t>
  </si>
  <si>
    <t xml:space="preserve">Restricted cash </t>
  </si>
  <si>
    <t>Prepaid income taxes</t>
  </si>
  <si>
    <t>Prepaid expenses &amp; other</t>
  </si>
  <si>
    <t>Investment / advances to JVs</t>
  </si>
  <si>
    <t>Management service contracts</t>
  </si>
  <si>
    <t>Deferred financing fees</t>
  </si>
  <si>
    <t>Deferred income taxes, non-current</t>
  </si>
  <si>
    <t>Cash flows from financing activities</t>
  </si>
  <si>
    <t>Net cash provided by financing activities</t>
  </si>
  <si>
    <t>Penn - Multiple Comps</t>
  </si>
  <si>
    <t>Adjustments</t>
  </si>
  <si>
    <t>Adj Fwd EBITDA</t>
  </si>
  <si>
    <t>Adj Debt</t>
  </si>
  <si>
    <t>Plus: Stock Compensation</t>
  </si>
  <si>
    <t>As of 2009</t>
  </si>
  <si>
    <t>Total win</t>
  </si>
  <si>
    <t>Figures in $ Millions</t>
  </si>
  <si>
    <t>Figures in Millions</t>
  </si>
  <si>
    <t>% of slot revs. lost</t>
  </si>
  <si>
    <t>% of total revs. lost</t>
  </si>
  <si>
    <t>EBITDA Lost</t>
  </si>
  <si>
    <t>Slot Revenue at Risk</t>
  </si>
  <si>
    <t>Slot Revenue Lost</t>
  </si>
  <si>
    <t>EBITDA Post Cannibalization</t>
  </si>
  <si>
    <t>Double Check Gaming Taxes</t>
  </si>
  <si>
    <t>3Q08</t>
  </si>
  <si>
    <t>Realty Income Corporation (Realty Income) is an equity real estate investment trust (REIT). The Company is engaged in acquiring and owning freestanding retail and other properties that generate rental revenue under long-term lease agreements (primarily 10 to 20 years). The Company has in-house acquisition, leasing, legal, credit research, real estate research, portfolio management and capital markets. At December 31, 2011, it owned a diversified portfolio of 2,634 properties with an occupancy rate of 96.7%, or 2,547 properties leased and only 87 properties available for lease. It leased properties to 136 different retail and other commercial enterprises doing business in 38 separate industries. It properties are located in 49 states, with over 27.3 million square feet of leasable space, and with an average leasable space per property of approximately 10,400 square feet. In January 2013, it acquired American Realty Capital Trust.</t>
  </si>
  <si>
    <t>National Retail Properties, Inc. (NNN) is a fully integrated real estate investment trust (REIT). NNN's assets include real estate assets, mortgages and notes receivable, and commercial mortgage residual interests. NNN acquires, owns, invests in and develops properties that are leased to retail tenants under long-term net leases and primarily held for investment. As of December 31, 2011, NNN owned 1,422 Properties (including 11 properties with retail operations that NNN operates), with an aggregate gross leasable area of 16,428,000 square feet, located in 47 states. As of December 31, 2011, approximately 97% of the total properties in NNN’s Property Portfolio were leased or operated.</t>
  </si>
  <si>
    <t>Lexington Realty Trust (Lexington) is a self-managed and self-administered real estate investment trust (REIT). The Company's primary business is the investment in and acquisition, ownership, financing and management of portfolios of single-tenant office, industrial and retail properties. The Company's assets primarily consist of general purpose, efficient, single-tenant office and industrial assets. As of December 31, 2012, the Company had interests in approximately 220 consolidated office, industrial and retail properties containing approximately 41.2 million square feet of rentable space, which were approximately 97.3% leased. On September 1, 2012, the Company, together with a subsidiary, acquired interest in Net Lease Strategic Assets Fund L.P. During the year ended December 31, 2012, the Company sold its interests in Concord Debt Holdings LL and CDH CDO LLC. During 2012, the Company formed two joint ventures. During 2012, the Company sold interests in few properties.</t>
  </si>
  <si>
    <t>Corp overhead / G&amp;A</t>
  </si>
  <si>
    <t>NOI</t>
  </si>
  <si>
    <t>Net Operating Income</t>
  </si>
  <si>
    <t>Cap Rate</t>
  </si>
  <si>
    <t xml:space="preserve">  Riverside Rent Taxes</t>
  </si>
  <si>
    <t xml:space="preserve">  $0-50</t>
  </si>
  <si>
    <t>$51-100</t>
  </si>
  <si>
    <t>$100+</t>
  </si>
  <si>
    <t>City of Lawrenceburg Tax Credit</t>
  </si>
  <si>
    <t>1. Future casino in Baton Rouge (Pinnacle)</t>
  </si>
  <si>
    <t>High</t>
  </si>
  <si>
    <t>Already Occurred</t>
  </si>
  <si>
    <t>% of slot revenue</t>
  </si>
  <si>
    <t>Analysis of Table Games at Penn National (PA)</t>
  </si>
  <si>
    <t>14% of prior year slot revenues</t>
  </si>
  <si>
    <t>8% of gaming revenues</t>
  </si>
  <si>
    <t>Riverside Rent Taxes (Lease Fees)</t>
  </si>
  <si>
    <t xml:space="preserve">  Revenue Level</t>
  </si>
  <si>
    <t xml:space="preserve">  Tax Level</t>
  </si>
  <si>
    <t>$0-30</t>
  </si>
  <si>
    <t>$30+</t>
  </si>
  <si>
    <t>2013 guided expenses fixed</t>
  </si>
  <si>
    <t>Revenue ($mm)</t>
  </si>
  <si>
    <t>Components of rent ($mm)</t>
  </si>
  <si>
    <t>Flintstone, MD</t>
  </si>
  <si>
    <t>$300m 5.875% Senior Notes due 2021</t>
  </si>
  <si>
    <t>GLPI $300m Term Loan Facility</t>
  </si>
  <si>
    <t>Penn $500m Revolving Credit Facility</t>
  </si>
  <si>
    <t>Penn $500m Term Loan A Facility</t>
  </si>
  <si>
    <t>minus Maintenance Capital Expenditures for such Test Period to (y) Fixed Charges for the Test Period ending on such date.</t>
  </si>
  <si>
    <t>PENN: 2013E Consensus (Same-store)</t>
  </si>
  <si>
    <t>JPM</t>
  </si>
  <si>
    <t>BofA</t>
  </si>
  <si>
    <t>Avg</t>
  </si>
  <si>
    <t>Avg (ex MS)</t>
  </si>
  <si>
    <t>(Increase) in unamortized financing cost</t>
  </si>
  <si>
    <t>LTM Morgan Stanley EBITDA</t>
  </si>
  <si>
    <t>non-cash financing fees (including non-cash fees payable under a Swap Contract) or deferred non-cash financing costs and costs in an aggregate amount not to</t>
  </si>
  <si>
    <t>EBITDA to Penn</t>
  </si>
  <si>
    <t>Diluted share o/s</t>
  </si>
  <si>
    <t>Less: Op expenses</t>
  </si>
  <si>
    <t>Less: Promos</t>
  </si>
  <si>
    <t>Less: Depreciation</t>
  </si>
  <si>
    <t>Chicago</t>
  </si>
  <si>
    <t>Harrisburg</t>
  </si>
  <si>
    <t>Memphis</t>
  </si>
  <si>
    <t>D.C.</t>
  </si>
  <si>
    <t>Gulfport-Biloxi</t>
  </si>
  <si>
    <t>Sioux City</t>
  </si>
  <si>
    <t>% of EBITDA</t>
  </si>
  <si>
    <t>Bangor</t>
  </si>
  <si>
    <t>Unemployment Rate</t>
  </si>
  <si>
    <t>Employment</t>
  </si>
  <si>
    <t>PA</t>
  </si>
  <si>
    <t>4Q10E</t>
  </si>
  <si>
    <t>1Q10E</t>
  </si>
  <si>
    <t>2Q10E</t>
  </si>
  <si>
    <t>3Q10E</t>
  </si>
  <si>
    <t>Margins Calc (Includes Table Games)</t>
  </si>
  <si>
    <t>YoY Change (bps)</t>
  </si>
  <si>
    <t>SSS Calc</t>
  </si>
  <si>
    <t>Detailed Same-Store Sales Comp</t>
  </si>
  <si>
    <t>YoY Change</t>
  </si>
  <si>
    <t>PA Tables</t>
  </si>
  <si>
    <t>Cecil County Maryland</t>
  </si>
  <si>
    <t>M Resort</t>
  </si>
  <si>
    <t>LTM Interest Expense</t>
  </si>
  <si>
    <t>Morgan Stanley</t>
  </si>
  <si>
    <t>Statewide</t>
  </si>
  <si>
    <t>Parishes</t>
  </si>
  <si>
    <t>Plaquemines</t>
  </si>
  <si>
    <t>Orleans</t>
  </si>
  <si>
    <t>Jefferson</t>
  </si>
  <si>
    <t>St. Bernard</t>
  </si>
  <si>
    <t>Net Device Revenue</t>
  </si>
  <si>
    <t>Total Riverside Rent Taxes</t>
  </si>
  <si>
    <t xml:space="preserve">  Admission Tax</t>
  </si>
  <si>
    <t>Total Tax</t>
  </si>
  <si>
    <t>% of Gaming Revenue</t>
  </si>
  <si>
    <t>Argosy - Baton Rouge</t>
  </si>
  <si>
    <t>Casino Rouge</t>
  </si>
  <si>
    <t>2Q09</t>
  </si>
  <si>
    <t>Other Revenue</t>
  </si>
  <si>
    <t>Unemployment Rate (annual avg)</t>
  </si>
  <si>
    <t>Net Revenues (mm)</t>
  </si>
  <si>
    <t>Toal investment</t>
  </si>
  <si>
    <t>Discounted @ 9% for 2 years</t>
  </si>
  <si>
    <t>3Q04</t>
  </si>
  <si>
    <t>New Proposals</t>
  </si>
  <si>
    <t>Valuation Impact</t>
  </si>
  <si>
    <t>Cash Outlay - Penn</t>
  </si>
  <si>
    <t>M Resort (NV)</t>
  </si>
  <si>
    <t>=</t>
  </si>
  <si>
    <t>Slot revenues</t>
  </si>
  <si>
    <t>Table revenues</t>
  </si>
  <si>
    <t>Total casino revenues</t>
  </si>
  <si>
    <t>Revenue increase from tables</t>
  </si>
  <si>
    <t>WV Historical Comps</t>
  </si>
  <si>
    <t>2009</t>
  </si>
  <si>
    <t>Win/Position/Day</t>
  </si>
  <si>
    <t>I/S - Charles Town</t>
  </si>
  <si>
    <t>2010</t>
  </si>
  <si>
    <t>2011</t>
  </si>
  <si>
    <t>Beta</t>
  </si>
  <si>
    <t>GLPI Debt</t>
  </si>
  <si>
    <t>Net incremental revenues</t>
  </si>
  <si>
    <t>35% tables; 59% slots</t>
  </si>
  <si>
    <t>Properties Excluded:</t>
  </si>
  <si>
    <t>PA and WV Table Games</t>
  </si>
  <si>
    <t>w/Tables</t>
  </si>
  <si>
    <t>Table Impact</t>
  </si>
  <si>
    <t>Current Year:</t>
  </si>
  <si>
    <t>Prior Year Comp:</t>
  </si>
  <si>
    <t>Promotional</t>
  </si>
  <si>
    <t>% of Revenues</t>
  </si>
  <si>
    <t>Food &amp; Beverage</t>
  </si>
  <si>
    <t>Allowances</t>
  </si>
  <si>
    <t>"Clean"</t>
  </si>
  <si>
    <t>New Properties:</t>
  </si>
  <si>
    <t>Empress Argosy</t>
  </si>
  <si>
    <t>Hollywood Aurora</t>
  </si>
  <si>
    <t>- Approximately 60% of Lawrenceburg visitation comes from Ohio residents</t>
  </si>
  <si>
    <t>2009m2</t>
  </si>
  <si>
    <t>2009m3</t>
  </si>
  <si>
    <t>2009m4</t>
  </si>
  <si>
    <t>2009m5</t>
  </si>
  <si>
    <t>2009m6</t>
  </si>
  <si>
    <t>2009m7</t>
  </si>
  <si>
    <t>2009m8</t>
  </si>
  <si>
    <t>2009m9</t>
  </si>
  <si>
    <t>2009m10</t>
  </si>
  <si>
    <t>PENN: Ohio Comparison</t>
  </si>
  <si>
    <t>Cost</t>
  </si>
  <si>
    <t>Returns</t>
  </si>
  <si>
    <t>Consesus</t>
  </si>
  <si>
    <t>MS vs.</t>
  </si>
  <si>
    <t>Full-Year</t>
  </si>
  <si>
    <t>Washington DC / Baltimore</t>
  </si>
  <si>
    <t>Casinos: Hollywood Aurora, Empress Argosy (Joliet)</t>
  </si>
  <si>
    <t>Regional Employment Trends - Seasonally Adjusted Data</t>
  </si>
  <si>
    <t>4.00x</t>
  </si>
  <si>
    <t>3.75x</t>
  </si>
  <si>
    <t>PENN Online Valuation</t>
  </si>
  <si>
    <t>PENN Licensed States</t>
  </si>
  <si>
    <t>Estimated NPV Discounted @ 15%</t>
  </si>
  <si>
    <t>PENN Share</t>
  </si>
  <si>
    <t>Estimated Value to PENN</t>
  </si>
  <si>
    <t>PENN Ownership</t>
  </si>
  <si>
    <t>Total Value to PENN</t>
  </si>
  <si>
    <t>PENN Shares</t>
  </si>
  <si>
    <t>Total PENN Value / Share</t>
  </si>
  <si>
    <t>1Q14</t>
  </si>
  <si>
    <t>Plainridge Park Casino (MA)</t>
  </si>
  <si>
    <t>Zia Park Casino (NM)</t>
  </si>
  <si>
    <t>Other - Southern Plains</t>
  </si>
  <si>
    <t xml:space="preserve">Other - West </t>
  </si>
  <si>
    <t>Other - East/Midwest</t>
  </si>
  <si>
    <t xml:space="preserve">Other - East/Midwest </t>
  </si>
  <si>
    <t>Other - West</t>
  </si>
  <si>
    <t xml:space="preserve">Other - Southern Plains </t>
  </si>
  <si>
    <t>Jamul mgmt contract</t>
  </si>
  <si>
    <t>Less: Promotional allowances</t>
  </si>
  <si>
    <t>OH Expectations</t>
  </si>
  <si>
    <t>2013A</t>
  </si>
  <si>
    <t>Hollywood Toledo</t>
  </si>
  <si>
    <t>Hollywood Columbus</t>
  </si>
  <si>
    <t>Horseshoe Cincinnati</t>
  </si>
  <si>
    <t>Scioto Downs</t>
  </si>
  <si>
    <t>Thistle Downs</t>
  </si>
  <si>
    <t>Hard Rock Rocksino</t>
  </si>
  <si>
    <t>Miami Valley Gaming</t>
  </si>
  <si>
    <t>Belterra Park</t>
  </si>
  <si>
    <t>2012A</t>
  </si>
  <si>
    <t>Total OH Market</t>
  </si>
  <si>
    <t>DB</t>
  </si>
  <si>
    <t>Hollywood Dayton</t>
  </si>
  <si>
    <t>Hollywood Mahoning</t>
  </si>
  <si>
    <t>_______</t>
  </si>
  <si>
    <t>OH Same-store growth</t>
  </si>
  <si>
    <t>Spend / Adult</t>
  </si>
  <si>
    <t>Total Gambling Spend</t>
  </si>
  <si>
    <t>Plus: Lottery</t>
  </si>
  <si>
    <t>Plus: Horse Racing</t>
  </si>
  <si>
    <t>Net Revenue Consensus</t>
  </si>
  <si>
    <t>y/y growth</t>
  </si>
  <si>
    <t>MD Live! Revenue</t>
  </si>
  <si>
    <t>% of peak</t>
  </si>
  <si>
    <t>CharlesTown</t>
  </si>
  <si>
    <t>Horseshoe Baltimore</t>
  </si>
  <si>
    <t>Horseshoe Baltimore GGR Estimate</t>
  </si>
  <si>
    <t>Incremental Revenue</t>
  </si>
  <si>
    <t>MD Live! GGR Estimate (post-Horseshoe opening)</t>
  </si>
  <si>
    <t>OH Population</t>
  </si>
  <si>
    <t>Total Competitor Revenue</t>
  </si>
  <si>
    <t>MGM National Harbor</t>
  </si>
  <si>
    <t>Rebranding Capital Investment</t>
  </si>
  <si>
    <t>2013 EBITDA</t>
  </si>
  <si>
    <t>2014 Status Quo EBITDA</t>
  </si>
  <si>
    <t>Return on Investment</t>
  </si>
  <si>
    <t>Less: Income tax</t>
  </si>
  <si>
    <t>After-tax Operating Income</t>
  </si>
  <si>
    <t>Hollywood St. Louis Rebranding ROI</t>
  </si>
  <si>
    <t>2014E EBITDA post-rebranding</t>
  </si>
  <si>
    <t>2015E EBITDA (used in PT)</t>
  </si>
  <si>
    <t>2017E EBITDA</t>
  </si>
  <si>
    <t>Assumed Multiple</t>
  </si>
  <si>
    <t>Impact per Share</t>
  </si>
  <si>
    <t>Charles Town Value at Risk</t>
  </si>
  <si>
    <t>Hollywood Charles Town Revenue</t>
  </si>
  <si>
    <t>Incremental Competitor Revenue</t>
  </si>
  <si>
    <t>Hollywood Charles Town</t>
  </si>
  <si>
    <t>MD Live</t>
  </si>
  <si>
    <t>MD Live! Casino</t>
  </si>
  <si>
    <t>Hollywood Charles Town Monthly GGR Results</t>
  </si>
  <si>
    <t>Hollywood Charles Town Revenue Decline</t>
  </si>
  <si>
    <t>Implied % of MD Live! Revenue Cannibalized from PENN</t>
  </si>
  <si>
    <t>IL Cannibalization Impact</t>
  </si>
  <si>
    <t>Hollywood Aurora 2017E EBITDA</t>
  </si>
  <si>
    <t>Hollywood Joliet 2017E EBITDA</t>
  </si>
  <si>
    <t>Total Chicago-area EBITDA</t>
  </si>
  <si>
    <t>Assumed cannibalization</t>
  </si>
  <si>
    <t>Hollywood Aurora / Joliet Cannibalization</t>
  </si>
  <si>
    <t>PENN Valuation Impact</t>
  </si>
  <si>
    <t>Estimated free cash flow</t>
  </si>
  <si>
    <t>Discount Rate</t>
  </si>
  <si>
    <t>Terminal Multiple</t>
  </si>
  <si>
    <t>Net Present Value</t>
  </si>
  <si>
    <t>NPV per Share</t>
  </si>
  <si>
    <t>Plus: NPV of Plainridge Park Casino (MA)</t>
  </si>
  <si>
    <t>EBITDA attributable to PENN</t>
  </si>
  <si>
    <t>MS Current Estimates vs. Historical Estimates</t>
  </si>
  <si>
    <t>Hollywood Lawrenceburg</t>
  </si>
  <si>
    <t>Hollywood St. Louis</t>
  </si>
  <si>
    <t>Average Delta</t>
  </si>
  <si>
    <t>EBITDA Estimate</t>
  </si>
  <si>
    <t>Hollywood Joliet</t>
  </si>
  <si>
    <t>Total Cannibalization Headwind</t>
  </si>
  <si>
    <t>EV Impact</t>
  </si>
  <si>
    <t>Shares Outstanding</t>
  </si>
  <si>
    <t>Cannibalization Impact per Share</t>
  </si>
  <si>
    <t>Plus: Current Construction in Progress</t>
  </si>
  <si>
    <t>Incremental equity value / share</t>
  </si>
  <si>
    <t>Proposed Orange County Valuation</t>
  </si>
  <si>
    <t>Employee Paid Premium</t>
  </si>
  <si>
    <t>Other Employee Out of Pocket Costs</t>
  </si>
  <si>
    <t>Employee Paid Premiums</t>
  </si>
  <si>
    <t>Estimated Average Employee Health Care Costs</t>
  </si>
  <si>
    <t>Total Employee Health Care Costs</t>
  </si>
  <si>
    <t>Impact of Fixed Rent Payment</t>
  </si>
  <si>
    <t>Assumed Revenue Decline</t>
  </si>
  <si>
    <t>Revenue Impact</t>
  </si>
  <si>
    <t>EBITDA Flow-Through</t>
  </si>
  <si>
    <t>EBITDA Impact</t>
  </si>
  <si>
    <t>2015E Adjusted EBITDA</t>
  </si>
  <si>
    <t>Resulting EBITDA</t>
  </si>
  <si>
    <t>EBITDA % Decline</t>
  </si>
  <si>
    <t>EBITDA
Flow-
Through</t>
  </si>
  <si>
    <t>2015 Revenue Decline</t>
  </si>
  <si>
    <t>Implied Change in EBITDA Based on Changes in Revenue</t>
  </si>
  <si>
    <t>PENN Before REIT Conversion</t>
  </si>
  <si>
    <t>PENN Share Price</t>
  </si>
  <si>
    <t>PENN / GLPI After REIT Conversion</t>
  </si>
  <si>
    <t>GLPI Share Price</t>
  </si>
  <si>
    <t>Plus: Cash Portion of E&amp;P Purge</t>
  </si>
  <si>
    <t>Total Equity Value</t>
  </si>
  <si>
    <t>Total Value Created</t>
  </si>
  <si>
    <t>Potential Cannibalization Impact</t>
  </si>
  <si>
    <t>Additional IL Cannibalization Impact</t>
  </si>
  <si>
    <t>2017E
Current</t>
  </si>
  <si>
    <t>2017E
Prior</t>
  </si>
  <si>
    <t>Assumed
Multiple</t>
  </si>
  <si>
    <t>Total Other Assets</t>
  </si>
  <si>
    <t>Plainridge Park Casino DCF Valuation - Base Case</t>
  </si>
  <si>
    <t>Plainridge Park Casino DCF Valuation - Bull Case</t>
  </si>
  <si>
    <t>Plainridge Park Casino DCF Valuation - Bear Case</t>
  </si>
  <si>
    <t>Plainridge Valuation</t>
  </si>
  <si>
    <t>Impact of Revenue Decline</t>
  </si>
  <si>
    <t>Less: Cash</t>
  </si>
  <si>
    <t>Win/position/day</t>
  </si>
  <si>
    <t>Estimated % over the age of 21</t>
  </si>
  <si>
    <t>NYC total population</t>
  </si>
  <si>
    <t>Estimated NYC adult population</t>
  </si>
  <si>
    <t>Aqueduct win/adult</t>
  </si>
  <si>
    <t>2013 Slots Revenue</t>
  </si>
  <si>
    <t>Empire City Casino (Yonkers)</t>
  </si>
  <si>
    <t>Aqueduct (Queens)</t>
  </si>
  <si>
    <t>Empire City win/adult</t>
  </si>
  <si>
    <t>Catskills / Orange County Market Estimate</t>
  </si>
  <si>
    <t>Total Manhattan Population</t>
  </si>
  <si>
    <t>Estimated Manhattan adult population</t>
  </si>
  <si>
    <t>Manhattan</t>
  </si>
  <si>
    <t>North Jersey</t>
  </si>
  <si>
    <t>NY State</t>
  </si>
  <si>
    <t>Bergen County</t>
  </si>
  <si>
    <t>Passaic County</t>
  </si>
  <si>
    <t>Hudson County</t>
  </si>
  <si>
    <t>Essex County</t>
  </si>
  <si>
    <t>Orange County</t>
  </si>
  <si>
    <t>Median HHI</t>
  </si>
  <si>
    <t>Estimated
Win/Adult</t>
  </si>
  <si>
    <t>Implied
Market
Size</t>
  </si>
  <si>
    <t>Penetration Rate</t>
  </si>
  <si>
    <t>Target Manhattan adult population</t>
  </si>
  <si>
    <t>Sullivan County</t>
  </si>
  <si>
    <t>Dutchess County</t>
  </si>
  <si>
    <t>Ulster County</t>
  </si>
  <si>
    <t>Total NY state population</t>
  </si>
  <si>
    <t>NYC Area Casinos (Aqueduct + Empire City)</t>
  </si>
  <si>
    <t>Current NYC Area Casinos (Aqueduct + Empire City)</t>
  </si>
  <si>
    <t>Market Size Estimate for Catskills / Orange County</t>
  </si>
  <si>
    <t>Total Estimated Revenue Potential for Catskills / Orange County Region</t>
  </si>
  <si>
    <t>2013 Slots Revenue (Aqueduct + Empire City)</t>
  </si>
  <si>
    <t>NYC casinos win/adult</t>
  </si>
  <si>
    <t>Bronx</t>
  </si>
  <si>
    <t>Total Bronx Population</t>
  </si>
  <si>
    <t>Median Household Income</t>
  </si>
  <si>
    <t>Rockland County</t>
  </si>
  <si>
    <t>Westchester County</t>
  </si>
  <si>
    <t>Putnam County</t>
  </si>
  <si>
    <t>Target Bronx adult population</t>
  </si>
  <si>
    <t>Assume $650m if they assume Orange County license</t>
  </si>
  <si>
    <t>Spectrum Estimates for MA</t>
  </si>
  <si>
    <t>Region One</t>
  </si>
  <si>
    <t>Total North Jersey adult population</t>
  </si>
  <si>
    <t>Estimated
Adults</t>
  </si>
  <si>
    <t>__________</t>
  </si>
  <si>
    <t>Total NYC Area Casinos</t>
  </si>
  <si>
    <t>2Q14</t>
  </si>
  <si>
    <t>FY14
EBITDA</t>
  </si>
  <si>
    <t>Black Hawk</t>
  </si>
  <si>
    <t>CO</t>
  </si>
  <si>
    <t>Pompano</t>
  </si>
  <si>
    <t>FL</t>
  </si>
  <si>
    <t>LA</t>
  </si>
  <si>
    <t>Lula</t>
  </si>
  <si>
    <t>Natchez</t>
  </si>
  <si>
    <t>Vicksburg</t>
  </si>
  <si>
    <t>Boonville</t>
  </si>
  <si>
    <t>Cape Girardeau</t>
  </si>
  <si>
    <t>Caruthersville</t>
  </si>
  <si>
    <t>MO</t>
  </si>
  <si>
    <t>Nemacolin</t>
  </si>
  <si>
    <t>Properties Excluded</t>
  </si>
  <si>
    <t>Bettendorf</t>
  </si>
  <si>
    <t>IA</t>
  </si>
  <si>
    <t>Marquette</t>
  </si>
  <si>
    <t>Waterloo</t>
  </si>
  <si>
    <t>Rent Expense @ 2.0x coverage</t>
  </si>
  <si>
    <t>Acquisition Price</t>
  </si>
  <si>
    <t>________</t>
  </si>
  <si>
    <t>Total EBITDA Excluded</t>
  </si>
  <si>
    <t>Total EBITDAR Acquired</t>
  </si>
  <si>
    <t>ISLE Properties</t>
  </si>
  <si>
    <t>EBITDA Upside</t>
  </si>
  <si>
    <t>N/A</t>
  </si>
  <si>
    <t>MS Estimated
2013 Revenue</t>
  </si>
  <si>
    <t>MS Estimated
EBITDA Margin</t>
  </si>
  <si>
    <t>MS Estimated
2013 EBITDA</t>
  </si>
  <si>
    <t>Colorado</t>
  </si>
  <si>
    <t>Estimated
Pro Forma Margins for ISLE Property</t>
  </si>
  <si>
    <t xml:space="preserve">Implied
Pro Forma
EBITDA </t>
  </si>
  <si>
    <t>Comparable
Property</t>
  </si>
  <si>
    <t>Hollywood Tunica (PENN)</t>
  </si>
  <si>
    <t>Lumiere Place / River City (PNK)</t>
  </si>
  <si>
    <t>Argosy Riverside (PENN)</t>
  </si>
  <si>
    <t>10% of gross gaming revenues</t>
  </si>
  <si>
    <t xml:space="preserve">Sr. Secured Debt / EBITDA </t>
  </si>
  <si>
    <t>Fixed charge coverage - covenant</t>
  </si>
  <si>
    <t>Fixed charge coverage - actual</t>
  </si>
  <si>
    <t>Less: Op expenses - Gaming</t>
  </si>
  <si>
    <t>Less: Op expenses - Other</t>
  </si>
  <si>
    <t>Gross table revenues</t>
  </si>
  <si>
    <t>New other revenues (F&amp;B)</t>
  </si>
  <si>
    <t>Total net revenues</t>
  </si>
  <si>
    <t>PA Table Projections</t>
  </si>
  <si>
    <t>Hollywood Perryville - Cecil County, MD</t>
  </si>
  <si>
    <t>OH racinos</t>
  </si>
  <si>
    <t>Lake Charles (w/ new casino)</t>
  </si>
  <si>
    <r>
      <t>Lake Charles</t>
    </r>
    <r>
      <rPr>
        <vertAlign val="superscript"/>
        <sz val="10"/>
        <rFont val="Arial"/>
        <family val="2"/>
      </rPr>
      <t>1,2</t>
    </r>
  </si>
  <si>
    <r>
      <t>Lake Charles (w/ new casino)</t>
    </r>
    <r>
      <rPr>
        <vertAlign val="superscript"/>
        <sz val="10"/>
        <rFont val="Arial"/>
        <family val="2"/>
      </rPr>
      <t>1,2</t>
    </r>
  </si>
  <si>
    <t>Summary of Major Gaming Markets</t>
  </si>
  <si>
    <t>per Position</t>
  </si>
  <si>
    <t>Position per Day</t>
  </si>
  <si>
    <t>Other Racing Operations - OH/FL/NJ JV</t>
  </si>
  <si>
    <t>Loss on disposals</t>
  </si>
  <si>
    <t>Recurring Net income</t>
  </si>
  <si>
    <t>Consensus</t>
  </si>
  <si>
    <t>Cons</t>
  </si>
  <si>
    <t>Index Rate</t>
  </si>
  <si>
    <t>2009 EBITDA</t>
  </si>
  <si>
    <t>Casino Rama Mgmt (Canada)</t>
  </si>
  <si>
    <t>Hollywood Columbus (OH)</t>
  </si>
  <si>
    <t>2008m1</t>
  </si>
  <si>
    <t>2008m2</t>
  </si>
  <si>
    <t>2008m3</t>
  </si>
  <si>
    <t>2008m4</t>
  </si>
  <si>
    <t>2008m5</t>
  </si>
  <si>
    <t>2008m6</t>
  </si>
  <si>
    <t>2008m7</t>
  </si>
  <si>
    <t>2008m8</t>
  </si>
  <si>
    <t>2008m9</t>
  </si>
  <si>
    <t>2008m10</t>
  </si>
  <si>
    <t>2008m11</t>
  </si>
  <si>
    <t>2008m12</t>
  </si>
  <si>
    <t>2009m1</t>
  </si>
  <si>
    <t>Project announced; will require approval from regulators</t>
  </si>
  <si>
    <t>2013+</t>
  </si>
  <si>
    <t>1. Potential for new casino licenses in Iowa</t>
  </si>
  <si>
    <t>PENN: St. Louis Purchase</t>
  </si>
  <si>
    <t>EPS Accretion</t>
  </si>
  <si>
    <t>Less: D&amp;A</t>
  </si>
  <si>
    <t>Less: Interest exp</t>
  </si>
  <si>
    <t>Less: Cash taxes</t>
  </si>
  <si>
    <t>Plus: Tax benefit</t>
  </si>
  <si>
    <t>EPS accretion</t>
  </si>
  <si>
    <t>% Accretion</t>
  </si>
  <si>
    <t>FCF Accretion</t>
  </si>
  <si>
    <t>Less: Cash taxes, net</t>
  </si>
  <si>
    <t>Less: Maintenance</t>
  </si>
  <si>
    <t>Property FCF</t>
  </si>
  <si>
    <t>Total cost, including refresh CapEx</t>
  </si>
  <si>
    <t>FCF yield</t>
  </si>
  <si>
    <t>OpCo</t>
  </si>
  <si>
    <t>PropCo</t>
  </si>
  <si>
    <t>Capitalized interest</t>
  </si>
  <si>
    <t>Miscellaneous and other Intangibles</t>
  </si>
  <si>
    <t>Labor</t>
  </si>
  <si>
    <t>YR/MO</t>
  </si>
  <si>
    <t>Force</t>
  </si>
  <si>
    <t>Employed</t>
  </si>
  <si>
    <t>Rate</t>
  </si>
  <si>
    <t>Other Assets</t>
  </si>
  <si>
    <t>3Q05</t>
  </si>
  <si>
    <t>Chicago - Naperville - Joliet</t>
  </si>
  <si>
    <t>Unemployed</t>
  </si>
  <si>
    <t>new steakhouse and entertainment lounge</t>
  </si>
  <si>
    <t>Currency</t>
  </si>
  <si>
    <t>PENN revs</t>
  </si>
  <si>
    <t>Return on Equity / Assets</t>
  </si>
  <si>
    <t>TTM EBITDA</t>
  </si>
  <si>
    <t>TTM Interest Expense</t>
  </si>
  <si>
    <t>TTM Net Income</t>
  </si>
  <si>
    <t>TTM Net Revenue</t>
  </si>
  <si>
    <t>Average Assets</t>
  </si>
  <si>
    <t>Average Equity</t>
  </si>
  <si>
    <t>Adjusted Return on Equity</t>
  </si>
  <si>
    <t>Net Margin (Net Income/Net Revenue)</t>
  </si>
  <si>
    <t>Asset Turnover (Net Revenue/Avg. Assets)</t>
  </si>
  <si>
    <t>Leverage (Avg. Assets/Avg. Equity)</t>
  </si>
  <si>
    <t xml:space="preserve">               </t>
  </si>
  <si>
    <t>TTM ROE</t>
  </si>
  <si>
    <t>TTM Return on Assets</t>
  </si>
  <si>
    <t>TTM Unleveraged ROA</t>
  </si>
  <si>
    <t>Perryville (MD)</t>
  </si>
  <si>
    <t>PENN SS revs</t>
  </si>
  <si>
    <t>Y/Y</t>
  </si>
  <si>
    <t>SS Y/Y</t>
  </si>
  <si>
    <t>PENN SS GGR growth</t>
  </si>
  <si>
    <t>2.50x &lt; X &lt; 3.00x</t>
  </si>
  <si>
    <t>+/- Deferred taxes</t>
  </si>
  <si>
    <t>+ Amortization of financing</t>
  </si>
  <si>
    <t>Negative/Neutral</t>
  </si>
  <si>
    <t>Replacement of "gray" machines; many areas opted out</t>
  </si>
  <si>
    <t>Youngstown track (OH)</t>
  </si>
  <si>
    <t>Cuyahoga</t>
  </si>
  <si>
    <t>Medina</t>
  </si>
  <si>
    <t>Summit</t>
  </si>
  <si>
    <t>Stark</t>
  </si>
  <si>
    <t>Lake</t>
  </si>
  <si>
    <t>Geauga</t>
  </si>
  <si>
    <t>Portage</t>
  </si>
  <si>
    <t>Ashtabula</t>
  </si>
  <si>
    <t>Trumbull</t>
  </si>
  <si>
    <t>Mahoning</t>
  </si>
  <si>
    <t>Columbiana</t>
  </si>
  <si>
    <t>Alleghany</t>
  </si>
  <si>
    <t>Crawford</t>
  </si>
  <si>
    <t>Mercer</t>
  </si>
  <si>
    <t>Lawrence</t>
  </si>
  <si>
    <t>Beaver</t>
  </si>
  <si>
    <t>Venango</t>
  </si>
  <si>
    <t>Butler</t>
  </si>
  <si>
    <t xml:space="preserve">       drive from Youngstown.</t>
  </si>
  <si>
    <t>Cap interest (7.0%)</t>
  </si>
  <si>
    <t>Risk free rate</t>
  </si>
  <si>
    <t>Market premium</t>
  </si>
  <si>
    <t>Cost of debt</t>
  </si>
  <si>
    <t>Market cap</t>
  </si>
  <si>
    <t>Cost of equity</t>
  </si>
  <si>
    <t>WACC</t>
  </si>
  <si>
    <t>“Fixed Charges” shall mean, for any Test Period, the sum of, without duplication, (a) Consolidated Interest Expense for such period to the extent paid or</t>
  </si>
  <si>
    <t>Project size of 45,000 square feet (versus existing casino floor of 98,000 square feet)</t>
  </si>
  <si>
    <t>Number of tables</t>
  </si>
  <si>
    <t>New revenues from table games</t>
  </si>
  <si>
    <t>New revenues from slots</t>
  </si>
  <si>
    <t>Total incremental revenues</t>
  </si>
  <si>
    <t>2Q12E</t>
  </si>
  <si>
    <t>3Q12E</t>
  </si>
  <si>
    <t>4Q12E</t>
  </si>
  <si>
    <t>Isle</t>
  </si>
  <si>
    <t>Hollywood JV - Wyandotte County, KS</t>
  </si>
  <si>
    <t xml:space="preserve">n/a </t>
  </si>
  <si>
    <t>Base Floor Minimum</t>
  </si>
  <si>
    <t>Alton Belle Casino</t>
  </si>
  <si>
    <t>Empress Casino Joliet</t>
  </si>
  <si>
    <t>Illinois Taxes</t>
  </si>
  <si>
    <t>Revenue Levels</t>
  </si>
  <si>
    <t>&gt;200</t>
  </si>
  <si>
    <t>Cannibal</t>
  </si>
  <si>
    <t>Non-recurring items</t>
  </si>
  <si>
    <t>Adjusted Net income</t>
  </si>
  <si>
    <t xml:space="preserve">Acquisitions </t>
  </si>
  <si>
    <t>Capex (incl JVs)</t>
  </si>
  <si>
    <t>Other Racing Operations - OH/FL/NJ</t>
  </si>
  <si>
    <t>Existing Major Properties</t>
  </si>
  <si>
    <t>2016E</t>
  </si>
  <si>
    <t>EBITDA (50%)</t>
  </si>
  <si>
    <t>ROI</t>
  </si>
  <si>
    <t>Cost increase</t>
  </si>
  <si>
    <t>and (y) balloon or other payments at final maturity thereof) and (c) all cash income tax expense actually paid to any Governmental Authority by Borrower and its</t>
  </si>
  <si>
    <t>Definition of Fixed Charges</t>
  </si>
  <si>
    <t>Restricted Subsidiaries for such period (other than taxes related to Asset Sales not in the ordinary course of business).</t>
  </si>
  <si>
    <t>Position</t>
  </si>
  <si>
    <t>Implied Gaming Revenues, based on People/Position and Win/Day/Position</t>
  </si>
  <si>
    <t>W/D/Position</t>
  </si>
  <si>
    <t>W/D/Person</t>
  </si>
  <si>
    <t>Morgan Stanley - Phase I</t>
  </si>
  <si>
    <t>Senior secured facility - Term Loan A due 10/11</t>
  </si>
  <si>
    <t>Discount at 7.5%</t>
  </si>
  <si>
    <t>Cecil (Penn)</t>
  </si>
  <si>
    <t>Net income to Penn</t>
  </si>
  <si>
    <t>Cincinnati, OH</t>
  </si>
  <si>
    <t>Tables</t>
  </si>
  <si>
    <t>Slots</t>
  </si>
  <si>
    <t>slots will increase from 2,368 to 2,500</t>
  </si>
  <si>
    <t>pay starts at $7/hour</t>
  </si>
  <si>
    <t>Property Expenses</t>
  </si>
  <si>
    <t>Total Net Revenues</t>
  </si>
  <si>
    <t>1Q06</t>
  </si>
  <si>
    <t>Adults w/in 15-30 mins</t>
  </si>
  <si>
    <t>Total local market</t>
  </si>
  <si>
    <t>Estimated Budgets</t>
  </si>
  <si>
    <t>Base budget</t>
  </si>
  <si>
    <t>License fee</t>
  </si>
  <si>
    <t>Total costs</t>
  </si>
  <si>
    <t>1. Future casino in Kansas City, KS (Penn/Speedway)</t>
  </si>
  <si>
    <t>Hollywood Kansas City Joint Venture (KS)</t>
  </si>
  <si>
    <t>Income taxes</t>
  </si>
  <si>
    <t>Operating Expenses</t>
  </si>
  <si>
    <t>Operating expenses</t>
  </si>
  <si>
    <t>%</t>
  </si>
  <si>
    <t>Plus: Non-recurring items</t>
  </si>
  <si>
    <t>A</t>
  </si>
  <si>
    <t>- Assume table games operational at 10/01/10 (Penn target of 8/01/10)</t>
  </si>
  <si>
    <t>Unemployment Rate (%)</t>
  </si>
  <si>
    <t>Tax rates</t>
  </si>
  <si>
    <t>&lt; 25</t>
  </si>
  <si>
    <t>Impact on valuation, Base Case</t>
  </si>
  <si>
    <t>Impact on valuation, Max Upside Case (using Ohio Dept of Tax ests)</t>
  </si>
  <si>
    <r>
      <t>Diluted Market Cap</t>
    </r>
    <r>
      <rPr>
        <vertAlign val="superscript"/>
        <sz val="10"/>
        <rFont val="Arial"/>
        <family val="2"/>
      </rPr>
      <t>1</t>
    </r>
  </si>
  <si>
    <t>Construction may begin in mid-2010; recent financing</t>
  </si>
  <si>
    <t>Youngstown</t>
  </si>
  <si>
    <t>Dayton</t>
  </si>
  <si>
    <t>Hollywood Bay St. Louis (MS)</t>
  </si>
  <si>
    <t>Hollywood Tunica (MS)</t>
  </si>
  <si>
    <t>- Tax rate of 16%, declining to 14% after two years</t>
  </si>
  <si>
    <t>+ Stock-based compensation</t>
  </si>
  <si>
    <t>Balance Check</t>
  </si>
  <si>
    <t>% of Gaming Revenue, Level 1</t>
  </si>
  <si>
    <t>Iowa Taxes (Sioux City)</t>
  </si>
  <si>
    <t>Admisssion Tax Levels</t>
  </si>
  <si>
    <t>Belle of Sioux City</t>
  </si>
  <si>
    <t>$0-1</t>
  </si>
  <si>
    <t>Bull-Bear Sensitivity Analysis</t>
  </si>
  <si>
    <t>Cannibalization</t>
  </si>
  <si>
    <t xml:space="preserve">Equity </t>
  </si>
  <si>
    <t>1Q05</t>
  </si>
  <si>
    <t>New entrant in St. Louis locals market</t>
  </si>
  <si>
    <t>1. Potential for new casino in Gulfport (Rotate Black)</t>
  </si>
  <si>
    <t>2013</t>
  </si>
  <si>
    <t>Ballot referendum in November 2010</t>
  </si>
  <si>
    <t>2. Potential for gaming expansion in Alabama</t>
  </si>
  <si>
    <t>2012+</t>
  </si>
  <si>
    <t>Petition process for 2010 ballot initiative</t>
  </si>
  <si>
    <t>Hollywood Toledo (OH)</t>
  </si>
  <si>
    <t>Hollywood Kansas JV (KS)</t>
  </si>
  <si>
    <t>Accumulated other comprehensive loss</t>
  </si>
  <si>
    <t>Total Liabilities and Shareholder's Equity</t>
  </si>
  <si>
    <t>6 mos</t>
  </si>
  <si>
    <t>Reclass</t>
  </si>
  <si>
    <t>3 mos</t>
  </si>
  <si>
    <t>-</t>
  </si>
  <si>
    <t>Gaming, property, and other taxes</t>
  </si>
  <si>
    <t>Other revenue</t>
  </si>
  <si>
    <t>% of Net revenue</t>
  </si>
  <si>
    <r>
      <t>Color palette may be affected</t>
    </r>
    <r>
      <rPr>
        <sz val="11"/>
        <color indexed="13"/>
        <rFont val="Arial"/>
        <family val="2"/>
      </rPr>
      <t xml:space="preserve"> after moving the worksheet to another workbook. See instructions in FAQ on the intranet</t>
    </r>
  </si>
  <si>
    <t>+ New Projects</t>
  </si>
  <si>
    <t>- Cannibalization</t>
  </si>
  <si>
    <t>2010E EBITDA Pro Forma</t>
  </si>
  <si>
    <t>Relocation fee</t>
  </si>
  <si>
    <t>Penn National Gaming Inc.</t>
  </si>
  <si>
    <t>General Assumptions</t>
  </si>
  <si>
    <t>No major factors/developments</t>
  </si>
  <si>
    <t>2. Future casino in Cincinnati, OH</t>
  </si>
  <si>
    <t>1. Potential for new casino in Oxford, ME</t>
  </si>
  <si>
    <t>Cumulative Growth Capex:</t>
  </si>
  <si>
    <t>Beulah Park</t>
  </si>
  <si>
    <t>Significant delays for Baltimore and Anne Arundel</t>
  </si>
  <si>
    <t>Dividends per share</t>
  </si>
  <si>
    <t>2Q13E</t>
  </si>
  <si>
    <t>1Q13E</t>
  </si>
  <si>
    <t>Racetracks</t>
  </si>
  <si>
    <t>Maximum Senior Leverage Ratio</t>
  </si>
  <si>
    <t>1Q11E</t>
  </si>
  <si>
    <t>Margins</t>
  </si>
  <si>
    <t>Revenues Summary</t>
  </si>
  <si>
    <t>SSS EBITDA</t>
  </si>
  <si>
    <t>SSS Revs</t>
  </si>
  <si>
    <t>Harrah's NO</t>
  </si>
  <si>
    <t>Amelia's  Belle</t>
  </si>
  <si>
    <t>Boomtown - N.O. (PNK)</t>
  </si>
  <si>
    <t>Treasure Chest (BYD)</t>
  </si>
  <si>
    <t>LTM W/U/D</t>
  </si>
  <si>
    <t>(2)  "People per Position" likely overstated for Lake Charles given the 2.5-hour drive time from the Houston metro area (we include the full</t>
  </si>
  <si>
    <t xml:space="preserve">       Houston metro area in our population numbers.)</t>
  </si>
  <si>
    <t>- Cecil initially benefits from being first mover in '11/'12</t>
  </si>
  <si>
    <t>Total PENN new EBITDA</t>
  </si>
  <si>
    <t>% return</t>
  </si>
  <si>
    <t>Tax Impact of Non-Recurring Operating Expenses</t>
  </si>
  <si>
    <t>CAPITAL EXPENDITURES SUMMARY</t>
  </si>
  <si>
    <t>n/a</t>
  </si>
  <si>
    <t>Estimated</t>
  </si>
  <si>
    <t>Opening</t>
  </si>
  <si>
    <t>Average Win/Position</t>
  </si>
  <si>
    <t>Demographics</t>
  </si>
  <si>
    <t>Adults w/in 0-15 mins</t>
  </si>
  <si>
    <t>Property Assumptions</t>
  </si>
  <si>
    <t>1. Addition of table games</t>
  </si>
  <si>
    <t>Positive</t>
  </si>
  <si>
    <t>Negative</t>
  </si>
  <si>
    <t>Assumed Timing</t>
  </si>
  <si>
    <t>Notes</t>
  </si>
  <si>
    <t>Wyomissing applicant is nearby Penn National</t>
  </si>
  <si>
    <t>Aqueduct</t>
  </si>
  <si>
    <t>Tunica (MS)</t>
  </si>
  <si>
    <t>Biloxi (MS)</t>
  </si>
  <si>
    <t>No. of days per period</t>
  </si>
  <si>
    <t>$98mm</t>
  </si>
  <si>
    <t>Project</t>
  </si>
  <si>
    <t>PENN Development Projects</t>
  </si>
  <si>
    <t>Year</t>
  </si>
  <si>
    <t>FY 2014</t>
  </si>
  <si>
    <t>FY 2015</t>
  </si>
  <si>
    <t>PENN Growth Capex</t>
  </si>
  <si>
    <t>New Competition</t>
  </si>
  <si>
    <t>Valuation</t>
  </si>
  <si>
    <t>2005m9</t>
  </si>
  <si>
    <t>2005m10</t>
  </si>
  <si>
    <t>2005m11</t>
  </si>
  <si>
    <t>2005m12</t>
  </si>
  <si>
    <t>2006m1</t>
  </si>
  <si>
    <t>2006m2</t>
  </si>
  <si>
    <t>2006m3</t>
  </si>
  <si>
    <t>2006m4</t>
  </si>
  <si>
    <t>2006m5</t>
  </si>
  <si>
    <t>2006m6</t>
  </si>
  <si>
    <t>2006m7</t>
  </si>
  <si>
    <t>2006m8</t>
  </si>
  <si>
    <t>2006m9</t>
  </si>
  <si>
    <t>2006m10</t>
  </si>
  <si>
    <t>2006m11</t>
  </si>
  <si>
    <t>2006m12</t>
  </si>
  <si>
    <t>Project/Legislation</t>
  </si>
  <si>
    <t>Amortization of deferred financing costs</t>
  </si>
  <si>
    <t>Other loss/(gain) on assets</t>
  </si>
  <si>
    <t>2Q08</t>
  </si>
  <si>
    <t>Regional Spend per Visit</t>
  </si>
  <si>
    <t>Illinois</t>
  </si>
  <si>
    <t>Casino revenue</t>
  </si>
  <si>
    <t>2007m1</t>
  </si>
  <si>
    <t>2007m2</t>
  </si>
  <si>
    <t>2007m3</t>
  </si>
  <si>
    <t>2007m4</t>
  </si>
  <si>
    <t>2007m5</t>
  </si>
  <si>
    <t>2007m6</t>
  </si>
  <si>
    <t>2007m7</t>
  </si>
  <si>
    <t>2007m8</t>
  </si>
  <si>
    <t>2007m9</t>
  </si>
  <si>
    <t>Gaming Rev</t>
  </si>
  <si>
    <t>EV / EBITDA</t>
  </si>
  <si>
    <t>Win/position</t>
  </si>
  <si>
    <t>People/Position</t>
  </si>
  <si>
    <t>St. Louis</t>
  </si>
  <si>
    <t>Kansas City</t>
  </si>
  <si>
    <t>Capitalized Interest</t>
  </si>
  <si>
    <t>Net Interest Expense</t>
  </si>
  <si>
    <t>Interest Expense Summary</t>
  </si>
  <si>
    <t>PT</t>
  </si>
  <si>
    <t>EV/EBITDA Multiples</t>
  </si>
  <si>
    <t>Projected</t>
  </si>
  <si>
    <t>EBITDAR Margin %</t>
  </si>
  <si>
    <t>LTM Net Revenue</t>
  </si>
  <si>
    <t>% of casino revenue</t>
  </si>
  <si>
    <t>2. Installation of VLT's in bars/restaurants</t>
  </si>
  <si>
    <t>FY 2010</t>
  </si>
  <si>
    <t>Senior secured facility - Term Loan A, due 7/2016</t>
  </si>
  <si>
    <t>Western Mass. Opportunity</t>
  </si>
  <si>
    <t>Gaming revenue</t>
  </si>
  <si>
    <t>15% of revenue</t>
  </si>
  <si>
    <t>Gaming tax</t>
  </si>
  <si>
    <t>25% of gaming revs</t>
  </si>
  <si>
    <t>Other expense</t>
  </si>
  <si>
    <t>Inline with Penn National</t>
  </si>
  <si>
    <t>Comments</t>
  </si>
  <si>
    <t>Project cost</t>
  </si>
  <si>
    <t>$85-mn min license fee</t>
  </si>
  <si>
    <t>$500-mn min project cost</t>
  </si>
  <si>
    <t>Implied equity value</t>
  </si>
  <si>
    <t>Recurring income taxes</t>
  </si>
  <si>
    <t>LTM recurring income taxes</t>
  </si>
  <si>
    <t>Maintenance capex (estimate)</t>
  </si>
  <si>
    <t>LTM maintenance capex</t>
  </si>
  <si>
    <t>Total Value (PropCo + OpCo)</t>
  </si>
  <si>
    <t>Implied AFFO multiple</t>
  </si>
  <si>
    <t>PropCo EBITDA</t>
  </si>
  <si>
    <t>OpCo EBITDA</t>
  </si>
  <si>
    <t>Combined EBITDA</t>
  </si>
  <si>
    <t>Leverage covenant</t>
  </si>
  <si>
    <t>Debt/ Covenant EBITDA</t>
  </si>
  <si>
    <t>Baton Rouge (LA)</t>
  </si>
  <si>
    <t>Zia Park (NM)</t>
  </si>
  <si>
    <t>Empress (IL)</t>
  </si>
  <si>
    <t>Price</t>
  </si>
  <si>
    <t>BEAR CASE</t>
  </si>
  <si>
    <t>BASE CASE</t>
  </si>
  <si>
    <t>CAGR</t>
  </si>
  <si>
    <t>Margin %</t>
  </si>
  <si>
    <t>Debt impact</t>
  </si>
  <si>
    <t>Existing Operations</t>
  </si>
  <si>
    <t>Current</t>
  </si>
  <si>
    <t>Rev</t>
  </si>
  <si>
    <t>Actual</t>
  </si>
  <si>
    <t>Goodwill</t>
  </si>
  <si>
    <t>Other - Other</t>
  </si>
  <si>
    <t>PROPERTIES / REGIONS</t>
  </si>
  <si>
    <t>Hollywood Baton Rouge (LA) (formerly Casino Rouge)</t>
  </si>
  <si>
    <t>OTHER</t>
  </si>
  <si>
    <t>JOINT VENTURES</t>
  </si>
  <si>
    <t>Bull Case</t>
  </si>
  <si>
    <t>Discount at 9%</t>
  </si>
  <si>
    <t>BULL CASE</t>
  </si>
  <si>
    <t>% Growth (y-o-y)</t>
  </si>
  <si>
    <t>1. Potential for gaming approval in Texas</t>
  </si>
  <si>
    <t>3. Potential for new PA casino license</t>
  </si>
  <si>
    <t>325 employees at $35k/person</t>
  </si>
  <si>
    <t>Other - MD and OH</t>
  </si>
  <si>
    <t>Total capex to PENN</t>
  </si>
  <si>
    <t>Total positions</t>
  </si>
  <si>
    <t>Property Stats</t>
  </si>
  <si>
    <t>Casino square footage</t>
  </si>
  <si>
    <t>Gross gaming revenues</t>
  </si>
  <si>
    <t>Gaming Stats - Base Case</t>
  </si>
  <si>
    <t>Income Statement - Base Case</t>
  </si>
  <si>
    <t>Harvey, LA Proposed Casino Analysis</t>
  </si>
  <si>
    <t>Net Gaming Revenues</t>
  </si>
  <si>
    <t>ROIC</t>
  </si>
  <si>
    <t>Maintenance Capex</t>
  </si>
  <si>
    <t>Return</t>
  </si>
  <si>
    <t>Valuation &amp; ROIC</t>
  </si>
  <si>
    <t>Cash (3Q12)</t>
  </si>
  <si>
    <t>Debt (3Q12)</t>
  </si>
  <si>
    <t>Add: STL Acquisition</t>
  </si>
  <si>
    <t>Add: Cash E&amp;P div</t>
  </si>
  <si>
    <t>Add: Fortress buyback</t>
  </si>
  <si>
    <t>Add: Transaction expenses</t>
  </si>
  <si>
    <t>Less: FCF through 4Q13</t>
  </si>
  <si>
    <t>PF debt</t>
  </si>
  <si>
    <t>Add: OH VLT capex / other</t>
  </si>
  <si>
    <t>PF debt per PENN</t>
  </si>
  <si>
    <t>Equity value per share (incl dividends)</t>
  </si>
  <si>
    <t>Implied annual dividend yield</t>
  </si>
  <si>
    <t>Purchase Price</t>
  </si>
  <si>
    <t>Equity Raise</t>
  </si>
  <si>
    <t>PF Shares</t>
  </si>
  <si>
    <t>Inc Shares</t>
  </si>
  <si>
    <t>FCF/Share</t>
  </si>
  <si>
    <t>expense will be added to Adjusted Net Income and deducted when and to the extent actually paid in cash), (6) any Pre-Opening Expenses and (7) in any fiscal</t>
  </si>
  <si>
    <t>Senior secured facility - Term Loan B, redeemed</t>
  </si>
  <si>
    <t>Interest Rate Swaps</t>
  </si>
  <si>
    <t>Total</t>
  </si>
  <si>
    <t>Cannibalization impact through 2013 (not incl. above)</t>
  </si>
  <si>
    <t>% growth</t>
  </si>
  <si>
    <t>FREE CASH FLOW SUMMARY ($ mn)</t>
  </si>
  <si>
    <t>Net FCF per share</t>
  </si>
  <si>
    <t>Net FCF yield</t>
  </si>
  <si>
    <t>Enterprise value</t>
  </si>
  <si>
    <t>Project cost (Phase I only)</t>
  </si>
  <si>
    <t>Casino</t>
  </si>
  <si>
    <t>New Orleans Riverboats</t>
  </si>
  <si>
    <t>New Orleans Land-based</t>
  </si>
  <si>
    <t>Effect of exchange rate fluctuations on cash</t>
  </si>
  <si>
    <t>Net increase in cash &amp; cash equivalents</t>
  </si>
  <si>
    <t>Senior secured facility - Term Loan A</t>
  </si>
  <si>
    <t>VIP Rolling Chip</t>
  </si>
  <si>
    <t>VIP Win</t>
  </si>
  <si>
    <t>VIP Hold %</t>
  </si>
  <si>
    <t>Incremental Margin</t>
  </si>
  <si>
    <t>Y/y Decline (S-11 guide -19%)</t>
  </si>
  <si>
    <t>F13 Consolidated Guidance</t>
  </si>
  <si>
    <t>F13 Guidance for OpCo EBITDAR</t>
  </si>
  <si>
    <t>Margins +-50bps vs. base case</t>
  </si>
  <si>
    <t>Guidance: Adjusted EBITDA</t>
  </si>
  <si>
    <t>Guidance: GAAP Net Income</t>
  </si>
  <si>
    <t>Houston</t>
  </si>
  <si>
    <t>Lake Charles</t>
  </si>
  <si>
    <t>Grand Coushatta - $20m per month in 1995</t>
  </si>
  <si>
    <t>Calcasieu</t>
  </si>
  <si>
    <t>Beauregard</t>
  </si>
  <si>
    <t>Cameron</t>
  </si>
  <si>
    <t>Jefferson Davis</t>
  </si>
  <si>
    <t>Items Excluded from Consensus</t>
  </si>
  <si>
    <t>Mass Table Drop</t>
  </si>
  <si>
    <t>Mass Win</t>
  </si>
  <si>
    <t>Mass Hold %</t>
  </si>
  <si>
    <t>Slot Handle</t>
  </si>
  <si>
    <t>Slot Win</t>
  </si>
  <si>
    <t>Slot Hold %</t>
  </si>
  <si>
    <t>Consolidated EBITDA</t>
  </si>
  <si>
    <t>Approved by voters; awaiting regulations</t>
  </si>
  <si>
    <t>Low</t>
  </si>
  <si>
    <t>09-'11</t>
  </si>
  <si>
    <t>Ohio Analysis - OLD</t>
  </si>
  <si>
    <t>Ohio Analysis - NEW</t>
  </si>
  <si>
    <t>Operating Income to Penn (90%)</t>
  </si>
  <si>
    <t>Estimated Impact on EBITDA</t>
  </si>
  <si>
    <t>Cannibalization Impact</t>
  </si>
  <si>
    <t>New Projects</t>
  </si>
  <si>
    <t>Note: Maryland investment net of excess returns in Years 1 and 2.</t>
  </si>
  <si>
    <t>($ in millions, except for valuation)</t>
  </si>
  <si>
    <t>Depreciation</t>
  </si>
  <si>
    <t>Penn National Gaming</t>
  </si>
  <si>
    <t>Total Expenses</t>
  </si>
  <si>
    <t>Positions</t>
  </si>
  <si>
    <t>Argosy Casino Riverside</t>
  </si>
  <si>
    <t>Less: Changes in WC</t>
  </si>
  <si>
    <t>Hollywood Casino Aurora</t>
  </si>
  <si>
    <t>Net Revenue</t>
  </si>
  <si>
    <t>Tax Expense</t>
  </si>
  <si>
    <t>Depreciation and Amortization</t>
  </si>
  <si>
    <t>Daily Win / Position</t>
  </si>
  <si>
    <t>15% margin on other revenues</t>
  </si>
  <si>
    <t>350 employees at $45m/person</t>
  </si>
  <si>
    <t>- PENN begins with 40 card tables and 12 poker tables</t>
  </si>
  <si>
    <t>- Upfront license fee of $16.5mm</t>
  </si>
  <si>
    <t>- Facility is undergoing $40mm expansion for tables/F&amp;B</t>
  </si>
  <si>
    <t>WV Table Games</t>
  </si>
  <si>
    <t>PA Table Games</t>
  </si>
  <si>
    <t>Cecil County, MD</t>
  </si>
  <si>
    <t>Kansas City, KS</t>
  </si>
  <si>
    <t>Toledo, OH</t>
  </si>
  <si>
    <t>Columbus, OH</t>
  </si>
  <si>
    <t>WV F&amp;B</t>
  </si>
  <si>
    <t>FY 2012</t>
  </si>
  <si>
    <t>Same Store Sales</t>
  </si>
  <si>
    <t>Note: Excludes PA and WV tables, Perryville, and Beulah Park</t>
  </si>
  <si>
    <t>Treasure Chest</t>
  </si>
  <si>
    <t>Innovation Group</t>
  </si>
  <si>
    <t>FY 2011</t>
  </si>
  <si>
    <t>FY 2009</t>
  </si>
  <si>
    <t>Aurora (IL)</t>
  </si>
  <si>
    <t>New Properties</t>
  </si>
  <si>
    <t>Loss (income) from discontinued operations</t>
  </si>
  <si>
    <t>COVENANT ANALYSIS ($ in millions)</t>
  </si>
  <si>
    <t>Taxes</t>
  </si>
  <si>
    <t>Cannibalized Properties</t>
  </si>
  <si>
    <t>y/y change</t>
  </si>
  <si>
    <t>PENN EBITDA: Unaffected vs. cannibalization Impacted Properties</t>
  </si>
  <si>
    <t>($ US Millions)</t>
  </si>
  <si>
    <t>1Q15E</t>
  </si>
  <si>
    <t>Medium</t>
  </si>
  <si>
    <t>Assumptions:</t>
  </si>
  <si>
    <t>- EBITDA margin depressed due to high tax rate</t>
  </si>
  <si>
    <t>- Slot $WPD supported by Maryland market analysis</t>
  </si>
  <si>
    <t>Total - Comps</t>
  </si>
  <si>
    <t>Adjusted Net Debt</t>
  </si>
  <si>
    <t>Adjusted Net FCF</t>
  </si>
  <si>
    <t>Macau Data</t>
  </si>
  <si>
    <t>+-10% base case</t>
  </si>
  <si>
    <t>2013 MSe</t>
  </si>
  <si>
    <t>2014 MSe</t>
  </si>
  <si>
    <t>- Slot $WPD above market avg, due to location/mgmt</t>
  </si>
  <si>
    <t>DRIVER for Main Tab</t>
  </si>
  <si>
    <t>Table win</t>
  </si>
  <si>
    <t>Slot win</t>
  </si>
  <si>
    <t>% slots</t>
  </si>
  <si>
    <t>Effective Tax Rate</t>
  </si>
  <si>
    <t>Revenue Estimates</t>
  </si>
  <si>
    <t>Penn Cash</t>
  </si>
  <si>
    <t>Speedway Cash</t>
  </si>
  <si>
    <t>JV Debt</t>
  </si>
  <si>
    <t>Total Cap</t>
  </si>
  <si>
    <t>Income tax benefit (expense)</t>
  </si>
  <si>
    <t>Net income</t>
  </si>
  <si>
    <t>Operating income</t>
  </si>
  <si>
    <t>Recurring net income</t>
  </si>
  <si>
    <t>- Maintenance capex</t>
  </si>
  <si>
    <t>- Other</t>
  </si>
  <si>
    <t>Net Free Cash Flow</t>
  </si>
  <si>
    <t>Stock-based compensation</t>
  </si>
  <si>
    <t>Deferred income taxes</t>
  </si>
  <si>
    <t>Total Current Assets</t>
  </si>
  <si>
    <t>Gross PP&amp;E</t>
  </si>
  <si>
    <t>Net Revenues - YoY Growth</t>
  </si>
  <si>
    <t>EBITDA - YoY Growth</t>
  </si>
  <si>
    <t>Unaffected Properties:</t>
  </si>
  <si>
    <t>Cannibalized Properties:</t>
  </si>
  <si>
    <t>Summary</t>
  </si>
  <si>
    <r>
      <t>Cannibalized Properties</t>
    </r>
    <r>
      <rPr>
        <vertAlign val="superscript"/>
        <sz val="10"/>
        <rFont val="Arial"/>
        <family val="2"/>
      </rPr>
      <t>1</t>
    </r>
    <r>
      <rPr>
        <sz val="10"/>
        <rFont val="Arial"/>
        <family val="2"/>
      </rPr>
      <t>:</t>
    </r>
  </si>
  <si>
    <t>Weekday revenue at risk</t>
  </si>
  <si>
    <t>% weekend</t>
  </si>
  <si>
    <t>Weekend revenue at risk</t>
  </si>
  <si>
    <t>Cash income taxes (paid)</t>
  </si>
  <si>
    <t>Accrued income taxes</t>
  </si>
  <si>
    <t>LTM accrued income taxes</t>
  </si>
  <si>
    <t>52 tables at $WPD of $2,200</t>
  </si>
  <si>
    <t>Less: Promotionals</t>
  </si>
  <si>
    <t>Less: Gaming taxes</t>
  </si>
  <si>
    <t>14% tables; 55% slots</t>
  </si>
  <si>
    <t>Gross slot revenues</t>
  </si>
  <si>
    <t>Other revenues</t>
  </si>
  <si>
    <t>10% of table revenues</t>
  </si>
  <si>
    <t>Rev ($mm)</t>
  </si>
  <si>
    <t>4Q07</t>
  </si>
  <si>
    <t>Total Net Revenue</t>
  </si>
  <si>
    <t>Alabama</t>
  </si>
  <si>
    <t>Minnesota</t>
  </si>
  <si>
    <t xml:space="preserve">Arkansas </t>
  </si>
  <si>
    <t>California</t>
  </si>
  <si>
    <t>Florida</t>
  </si>
  <si>
    <t>Iowa</t>
  </si>
  <si>
    <t>Maine</t>
  </si>
  <si>
    <t>Massachusetts</t>
  </si>
  <si>
    <t>Mississippi</t>
  </si>
  <si>
    <t>Missouri</t>
  </si>
  <si>
    <t>New Hampshire</t>
  </si>
  <si>
    <t>2010E EBITDA</t>
  </si>
  <si>
    <t>Organic Growth</t>
  </si>
  <si>
    <t>Input your data in the white cells:</t>
  </si>
  <si>
    <t>Incr.</t>
  </si>
  <si>
    <t>Decr.</t>
  </si>
  <si>
    <t>VG1</t>
  </si>
  <si>
    <t>VG2</t>
  </si>
  <si>
    <t>Estimated Intrinsic Value</t>
  </si>
  <si>
    <t>Current Price</t>
  </si>
  <si>
    <t>Value Gap</t>
  </si>
  <si>
    <t>click here for link to SmartChart FAQ</t>
  </si>
  <si>
    <t>calculated in accordance with Section 10.08(e).</t>
  </si>
  <si>
    <t>1. Near-term opening of River City St. Louis (Pinnacle)</t>
  </si>
  <si>
    <t>Q3 2010</t>
  </si>
  <si>
    <t>Q1 2011</t>
  </si>
  <si>
    <t>Other notes payable (Future Debt)</t>
  </si>
  <si>
    <t>MW Tags</t>
  </si>
  <si>
    <t>Unrecorded Goodwill</t>
  </si>
  <si>
    <t>Period end shares</t>
  </si>
  <si>
    <t>Issuance and repurchase of common stock</t>
  </si>
  <si>
    <t>Common Dividend</t>
  </si>
  <si>
    <t>ND</t>
  </si>
  <si>
    <t>Argosy Sioux City (IA)</t>
  </si>
  <si>
    <t>Argosy Alton (IL)</t>
  </si>
  <si>
    <t>Average Tables</t>
  </si>
  <si>
    <t>West Virginia Analysis</t>
  </si>
  <si>
    <t>New revenues from tables</t>
  </si>
  <si>
    <t>Year 1</t>
  </si>
  <si>
    <t>Hollywood JV - Jamul Reservation</t>
  </si>
  <si>
    <t>Operating Income to Penn (30%)</t>
  </si>
  <si>
    <t>PENN Branding Fee</t>
  </si>
  <si>
    <t>4Q13</t>
  </si>
  <si>
    <t>Guidance: Rent Expense</t>
  </si>
  <si>
    <t>Adjustment</t>
  </si>
  <si>
    <t>MA EBITDA forecast</t>
  </si>
  <si>
    <t>4Q13 guidance</t>
  </si>
  <si>
    <t>Adj EBITDAR</t>
  </si>
  <si>
    <t>Project Financing</t>
  </si>
  <si>
    <t>PENN Financing</t>
  </si>
  <si>
    <t>Interest Income @ L+1100bps</t>
  </si>
  <si>
    <t>Accrued Interest</t>
  </si>
  <si>
    <t>Ohio Racinos Rent (Fixed)</t>
  </si>
  <si>
    <t>% growth (same-store, ex-cannibalization)</t>
  </si>
  <si>
    <t>Total Positions</t>
  </si>
  <si>
    <t>Win / unit / day</t>
  </si>
  <si>
    <t xml:space="preserve">Casino Revenue </t>
  </si>
  <si>
    <t>F&amp;B, Retail</t>
  </si>
  <si>
    <t>Gross Revenue</t>
  </si>
  <si>
    <t>Promotional Allowances</t>
  </si>
  <si>
    <t xml:space="preserve">            </t>
  </si>
  <si>
    <t>River Rock Casino</t>
  </si>
  <si>
    <t>2008</t>
  </si>
  <si>
    <t>Anne Arundel</t>
  </si>
  <si>
    <t>Senior secured facility - Term Loan B, due July 2018</t>
  </si>
  <si>
    <t>Senior secured facility - Revolver, due 7/2016</t>
  </si>
  <si>
    <t>Penn mgmt 10-year est.</t>
  </si>
  <si>
    <t xml:space="preserve">~500.0 </t>
  </si>
  <si>
    <t>- Indiana estimated that a new Cincinnati casino would cannibalize southern Indiana gaming revenues by 38%</t>
  </si>
  <si>
    <t>% Growth</t>
  </si>
  <si>
    <t xml:space="preserve">% Growth </t>
  </si>
  <si>
    <t>Admissions</t>
  </si>
  <si>
    <t xml:space="preserve">  Gaming Taxes</t>
  </si>
  <si>
    <t xml:space="preserve">______ </t>
  </si>
  <si>
    <t>2014e</t>
  </si>
  <si>
    <t>Revenue ex. Perryville / Baton Rouge</t>
  </si>
  <si>
    <t>1) Ohio revenue</t>
  </si>
  <si>
    <t>2) Remaining properties revenue</t>
  </si>
  <si>
    <t>Rent = 20% of revenue</t>
  </si>
  <si>
    <t>Rent = 4% of revenue</t>
  </si>
  <si>
    <t>Also excludes Perryville and Baton Rouge</t>
  </si>
  <si>
    <t>Fixed for 5 years on 2013 revenue</t>
  </si>
  <si>
    <t>Total rent</t>
  </si>
  <si>
    <t>3) Building replacement cost rent</t>
  </si>
  <si>
    <t>SoTP Valuation: 2014E</t>
  </si>
  <si>
    <t>PropCo Planned Div / Share</t>
  </si>
  <si>
    <t>Payout of Taxable Income</t>
  </si>
  <si>
    <t>Taxable Income</t>
  </si>
  <si>
    <t>Taxable Income - AFFO</t>
  </si>
  <si>
    <t>FCF / share</t>
  </si>
  <si>
    <t>FCF - AFFO</t>
  </si>
  <si>
    <t>Assume same expenses as base case</t>
  </si>
  <si>
    <t>OpCo FCF / share</t>
  </si>
  <si>
    <t>OpCo FCF</t>
  </si>
  <si>
    <t>OpCo FCF - Adj EBITDA</t>
  </si>
  <si>
    <t>Add: 1x Cash div to PENN (E&amp;P purge)</t>
  </si>
  <si>
    <t>Casino Revenues</t>
  </si>
  <si>
    <t>Pre-Tax EBITDA Margin</t>
  </si>
  <si>
    <t>legal challenges</t>
  </si>
  <si>
    <t>too early</t>
  </si>
  <si>
    <t>not in PT</t>
  </si>
  <si>
    <t>Table Revenue/Cost Analysis</t>
  </si>
  <si>
    <t>Admissions (in thousands)</t>
  </si>
  <si>
    <t>Bullwhackers (CO)</t>
  </si>
  <si>
    <t>Hollywood Slots at Bangor (ME)</t>
  </si>
  <si>
    <t>Positions/Table</t>
  </si>
  <si>
    <t>Hollywood Lawrenceburg (IN)</t>
  </si>
  <si>
    <t>Argosy Riverside (MO)</t>
  </si>
  <si>
    <t>Hollywood Aurora (IL)</t>
  </si>
  <si>
    <t>Property Margins</t>
  </si>
  <si>
    <t>Positive/Negative</t>
  </si>
  <si>
    <t>Magnitude</t>
  </si>
  <si>
    <t>Note: Penn's share of Ohio projects is 90%; Penn's share of Kansas JV is 50%</t>
  </si>
  <si>
    <t>Net Impact of New Projects &amp; Cannibalization</t>
  </si>
  <si>
    <t>Empress</t>
  </si>
  <si>
    <t>EBITDA margin</t>
  </si>
  <si>
    <t>Less: Labor</t>
  </si>
  <si>
    <t>Amount</t>
  </si>
  <si>
    <t>Assumptions</t>
  </si>
  <si>
    <t>Penn National and Charles Town (WV) - 3Q10 Added table games</t>
  </si>
  <si>
    <t>Empress Argosy Fire - 2Q09</t>
  </si>
  <si>
    <t>PENN SSS</t>
  </si>
  <si>
    <t>Argosy*</t>
  </si>
  <si>
    <t>Penn National*</t>
  </si>
  <si>
    <t>Charles Town Tables EBITDA*</t>
  </si>
  <si>
    <t>SSS</t>
  </si>
  <si>
    <t>$1-3</t>
  </si>
  <si>
    <t>$3+</t>
  </si>
  <si>
    <t xml:space="preserve">  Admission Taxes</t>
  </si>
  <si>
    <t>Total Admissions Tax</t>
  </si>
  <si>
    <t>Indiana Taxes</t>
  </si>
  <si>
    <t>ROIC Analysis</t>
  </si>
  <si>
    <t>Adjusted NOPAT</t>
  </si>
  <si>
    <t>= Recurring net income</t>
  </si>
  <si>
    <t>+ Minority interest provision</t>
  </si>
  <si>
    <t>+ Interest expense, net</t>
  </si>
  <si>
    <t>- Property charges, net</t>
  </si>
  <si>
    <t>- Pre-opening expenses, net</t>
  </si>
  <si>
    <t>+ Increase in deferred taxes</t>
  </si>
  <si>
    <t>+/- Other non-recurring items, net</t>
  </si>
  <si>
    <t>Total Adjusted NOPAT</t>
  </si>
  <si>
    <t>Invested Capital</t>
  </si>
  <si>
    <t>= Total shareholders' equity</t>
  </si>
  <si>
    <t>+ Total debt</t>
  </si>
  <si>
    <t>+ Total preferred</t>
  </si>
  <si>
    <t>+ Other liabilities</t>
  </si>
  <si>
    <t>One-time charges</t>
  </si>
  <si>
    <t>Loss on debt retirement / asset disposal</t>
  </si>
  <si>
    <t>Cumulative impact to Equity</t>
  </si>
  <si>
    <t>Incremental</t>
  </si>
  <si>
    <t>2012E</t>
  </si>
  <si>
    <t>2013E</t>
  </si>
  <si>
    <t>2014E</t>
  </si>
  <si>
    <t>2015E</t>
  </si>
  <si>
    <t>Proceeds from hurricane</t>
  </si>
  <si>
    <t>Proceeds from sale of PP&amp;E</t>
  </si>
  <si>
    <t>$325 million 8 3/4% Sr Sub Notes, due 2019</t>
  </si>
  <si>
    <t>$200 million 11 1/8% Sr Sub Notes</t>
  </si>
  <si>
    <t>$175 million 8 7/8% Sr Sub Notes</t>
  </si>
  <si>
    <t>Senior secured facility - Term Loan D</t>
  </si>
  <si>
    <t>Senior secured facility - Revolver (A), due 10/10</t>
  </si>
  <si>
    <t>Senior secured facility - Revolver (B) due 7/12</t>
  </si>
  <si>
    <t>Ameristar</t>
  </si>
  <si>
    <t>Minimum EBITDA</t>
  </si>
  <si>
    <t>Baltimore/Arundel, MD</t>
  </si>
  <si>
    <t xml:space="preserve">                </t>
  </si>
  <si>
    <t>Implied</t>
  </si>
  <si>
    <t>Metric</t>
  </si>
  <si>
    <t>vs. BASE</t>
  </si>
  <si>
    <t>1. Potential for new casino in Tunica (Lakes/Abston-McKay)</t>
  </si>
  <si>
    <t>Gaming Comp Sheet</t>
  </si>
  <si>
    <t>EBITDA Adjustment</t>
  </si>
  <si>
    <t>Net FCF</t>
  </si>
  <si>
    <t>“Fixed Charge Coverage Ratio” shall mean, as at any date of determination, the ratio of (x) Consolidated EBITDA for the Test Period ending on such date</t>
  </si>
  <si>
    <t>Net Senior Secured Debt / EBITDA</t>
  </si>
  <si>
    <t>Net Total Debt / EBITDA</t>
  </si>
  <si>
    <t>EBITDA / LTM Interest</t>
  </si>
  <si>
    <t>Prepaid Expenses and other current assets</t>
  </si>
  <si>
    <t>Accounts payable</t>
  </si>
  <si>
    <t>Accrued interest</t>
  </si>
  <si>
    <t>Accrued salaries and wages</t>
  </si>
  <si>
    <t>% of Table revenue</t>
  </si>
  <si>
    <t>% of Slot revenue</t>
  </si>
  <si>
    <t>Income Statement - 2013</t>
  </si>
  <si>
    <t>Diluted shares o/s</t>
  </si>
  <si>
    <t>Penn ownership</t>
  </si>
  <si>
    <t>Implied Gaming Revenues per Penn Release</t>
  </si>
  <si>
    <t>State Tax Rate</t>
  </si>
  <si>
    <t>Local Taxes</t>
  </si>
  <si>
    <t>Local Tax Rate</t>
  </si>
  <si>
    <t>Implied Gaming Revenues</t>
  </si>
  <si>
    <t>Cost (1st Phase Only)</t>
  </si>
  <si>
    <t>Existing New Orleans Area Casinos</t>
  </si>
  <si>
    <t>1. Installation of VLT's in bars/restaurants</t>
  </si>
  <si>
    <t>Moderate</t>
  </si>
  <si>
    <t>Large</t>
  </si>
  <si>
    <t>Small</t>
  </si>
  <si>
    <t>2. Future casino in Des Plaines, IL</t>
  </si>
  <si>
    <t>Pennsylvania</t>
  </si>
  <si>
    <t>West Virginia</t>
  </si>
  <si>
    <t>Approved / In Process</t>
  </si>
  <si>
    <t>Construction cost</t>
  </si>
  <si>
    <t>Total cost</t>
  </si>
  <si>
    <t>Youngstown Track Cost</t>
  </si>
  <si>
    <t>Equity value to PENN</t>
  </si>
  <si>
    <t>Less: Cost</t>
  </si>
  <si>
    <t>Equity value/share</t>
  </si>
  <si>
    <t>Thistledown (Cleveland track)</t>
  </si>
  <si>
    <t>Northfield Park (Cleveland track)</t>
  </si>
  <si>
    <t>Operating FCF as % of EBITDA</t>
  </si>
  <si>
    <t>($ in millions)</t>
  </si>
  <si>
    <t>Excess cash balance</t>
  </si>
  <si>
    <t>Net Debt to MS EBITDA</t>
  </si>
  <si>
    <t>Revenue/Cost Analysis</t>
  </si>
  <si>
    <t>15% of gaming revenues</t>
  </si>
  <si>
    <t xml:space="preserve">EBITDA Margin </t>
  </si>
  <si>
    <t>7.5% of gross gaming revenues</t>
  </si>
  <si>
    <t>Bay St. Louis (MS)</t>
  </si>
  <si>
    <t>Sioux City (IA)</t>
  </si>
  <si>
    <t>Alton (IL)</t>
  </si>
  <si>
    <t>Bangor (ME)</t>
  </si>
  <si>
    <t>Casino Rama Mgmt  (Canada)</t>
  </si>
  <si>
    <t>Charles Town Races (WV)</t>
  </si>
  <si>
    <t>2Q07</t>
  </si>
  <si>
    <t>Impact</t>
  </si>
  <si>
    <t>Impact of CAT Tax</t>
  </si>
  <si>
    <t>Name</t>
  </si>
  <si>
    <t>Timing</t>
  </si>
  <si>
    <t>PENN.O</t>
  </si>
  <si>
    <t>Penn Argosy</t>
  </si>
  <si>
    <t>exceed $5.0 million incurred relating to termination of Interest Rate Protection Agreements in effect prior to the Closing Date, (3) depreciation and amortization</t>
  </si>
  <si>
    <t>TOTAL SLOTS / TABLES</t>
  </si>
  <si>
    <t>deducted in calculating such Adjusted Net Income, (1) income tax expense, (2) Consolidated Interest Expense, non-cash interest expense, amortization of</t>
  </si>
  <si>
    <t>Harrington</t>
  </si>
  <si>
    <t>Gaming Tax Rate</t>
  </si>
  <si>
    <t>EBITDA Margin</t>
  </si>
  <si>
    <t>EBITDA Margin (1)</t>
  </si>
  <si>
    <t>Other Revenues</t>
  </si>
  <si>
    <t>4Q06</t>
  </si>
  <si>
    <t>NA</t>
  </si>
  <si>
    <t>Admissions (000's)</t>
  </si>
  <si>
    <t>Noncontrolling interests</t>
  </si>
  <si>
    <t>$200 million 6 7/8% Sr Sub Notes, due 2011</t>
  </si>
  <si>
    <t>- State of MD pays for slots; partial offset to tax rate</t>
  </si>
  <si>
    <t>(1)  Includes VLTs in surrounding parishes and estimates for Coushatta Casino Resort</t>
  </si>
  <si>
    <t>Proponent projection = $651m a year in tax rev</t>
  </si>
  <si>
    <t>Assumptions - Columbus</t>
  </si>
  <si>
    <t>Argosy Riverside</t>
  </si>
  <si>
    <t>Hollywood Baton Rouge</t>
  </si>
  <si>
    <t>Impact of Table Games</t>
  </si>
  <si>
    <t>Alton Belle</t>
  </si>
  <si>
    <t>"Clean SSS"</t>
  </si>
  <si>
    <t>Owned by GLPI from 11/4/13 on</t>
  </si>
  <si>
    <t>Rent Expense (paid to GLPI)</t>
  </si>
  <si>
    <t>Total Rent</t>
  </si>
  <si>
    <t>4% of Other Revenue Rent (Fixed for 5 years)</t>
  </si>
  <si>
    <t>Building Replacement Cost Rent (2% Annual Escalation)</t>
  </si>
  <si>
    <t>RENT EXPENSE TO GLPI</t>
  </si>
  <si>
    <t>20% of Toledo/Columbus Revenue (Resets Monthly)</t>
  </si>
  <si>
    <t>Small YoY revenue impact through Q4 2011</t>
  </si>
  <si>
    <t>2. Potential for racino in Kansas City, KS</t>
  </si>
  <si>
    <t>Incremental net benefit to Penn</t>
  </si>
  <si>
    <t>Pinnacle may begin construction in May</t>
  </si>
  <si>
    <t>Rental revenue (from OpCo)</t>
  </si>
  <si>
    <t>AFFO</t>
  </si>
  <si>
    <t>Less: Interest, maint capex, taxes</t>
  </si>
  <si>
    <t>Less: D&amp;A, plus maint capex</t>
  </si>
  <si>
    <t>PENN 2013 Guidance</t>
  </si>
  <si>
    <t>PNG (OpCo)</t>
  </si>
  <si>
    <t>EBITDAR</t>
  </si>
  <si>
    <t>Rent Expense</t>
  </si>
  <si>
    <t>Adj EBITDA</t>
  </si>
  <si>
    <t>PropCo (REIT)</t>
  </si>
  <si>
    <t>Leverage</t>
  </si>
  <si>
    <t>Cash</t>
  </si>
  <si>
    <t>Net debt</t>
  </si>
  <si>
    <t>Equity value / Share</t>
  </si>
  <si>
    <t>Div / share</t>
  </si>
  <si>
    <t xml:space="preserve">Change </t>
  </si>
  <si>
    <t>- Due to relative proximity to Cincinnati, Lawrenceburg would be less affected than other southern Indiana casinos</t>
  </si>
  <si>
    <t>Cannibalization of PENN Lawrenceburg</t>
  </si>
  <si>
    <t>2. Potential for gaming expansion in Arkansas (Wasserman)</t>
  </si>
  <si>
    <t>FCF after debt service</t>
  </si>
  <si>
    <t>FCF after debt service to Penn (50%)</t>
  </si>
  <si>
    <t>Capex Spend</t>
  </si>
  <si>
    <t>Minority</t>
  </si>
  <si>
    <t>Penn (90%)</t>
  </si>
  <si>
    <t xml:space="preserve">- Capex of $8.5mm to accomodate table games </t>
  </si>
  <si>
    <t>WV Tables</t>
  </si>
  <si>
    <t>- Assume capex of $17mm to accomodate table games</t>
  </si>
  <si>
    <t>- Hiring 400 employees; assume average wage of $40m/year</t>
  </si>
  <si>
    <t>Ohio Dept of Taxation ests</t>
  </si>
  <si>
    <t>Indiana Comps</t>
  </si>
  <si>
    <t>Construction Schedule (assumes 2Q12 open)</t>
  </si>
  <si>
    <t>Gross casino revenue</t>
  </si>
  <si>
    <t>L'Burg</t>
  </si>
  <si>
    <t>Grand Vic</t>
  </si>
  <si>
    <t>Belterra</t>
  </si>
  <si>
    <t>Other revs</t>
  </si>
  <si>
    <t>% of Net Revenue</t>
  </si>
  <si>
    <t>Senior secured facility - Term Loan A, due July 2016</t>
  </si>
  <si>
    <t>Gaming expansion: 11 casinos,</t>
  </si>
  <si>
    <t>/Share</t>
  </si>
  <si>
    <t>Likely  LT</t>
  </si>
  <si>
    <t>($1-2)</t>
  </si>
  <si>
    <t>Quarterly capitalized int.</t>
  </si>
  <si>
    <t>Total interest expense</t>
  </si>
  <si>
    <t>Additional Credit Metrics - Not Covenants</t>
  </si>
  <si>
    <t>Implied Cushion - Debt</t>
  </si>
  <si>
    <t>Implied Cushion - EBITDA</t>
  </si>
  <si>
    <t>17.5% margin on other revenues</t>
  </si>
  <si>
    <t>~$40mm expansion for table games and F&amp;B</t>
  </si>
  <si>
    <t>hiring ~400 dealers</t>
  </si>
  <si>
    <t>Revenue/admission</t>
  </si>
  <si>
    <t>Combined - IL/IN</t>
  </si>
  <si>
    <t>Revenue per Admission</t>
  </si>
  <si>
    <t>MS Economic Forecast</t>
  </si>
  <si>
    <t>Real GDP Growth (y-o-y)</t>
  </si>
  <si>
    <t>Housing Starts (in thousands)</t>
  </si>
  <si>
    <t>∆ Change</t>
  </si>
  <si>
    <t>Pre</t>
  </si>
  <si>
    <t>Post</t>
  </si>
  <si>
    <t>(US$ millions)</t>
  </si>
  <si>
    <t>1Q12</t>
  </si>
  <si>
    <t>2Q12</t>
  </si>
  <si>
    <t>3Q12</t>
  </si>
  <si>
    <t>4Q12</t>
  </si>
  <si>
    <t>Income Statement</t>
  </si>
  <si>
    <t>Tax rate</t>
  </si>
  <si>
    <t>% slot</t>
  </si>
  <si>
    <t>Tax revs</t>
  </si>
  <si>
    <t>Effective rate</t>
  </si>
  <si>
    <t>State of Indiana est</t>
  </si>
  <si>
    <t>- Performance stabilizes in '13, due to new supply online</t>
  </si>
  <si>
    <t>Q2 2009</t>
  </si>
  <si>
    <t>Q4 2010</t>
  </si>
  <si>
    <t>Q1 2010</t>
  </si>
  <si>
    <t>Rent Coverage</t>
  </si>
  <si>
    <t>GLPI spin</t>
  </si>
  <si>
    <t>EBITDAR used for Rent Coverage</t>
  </si>
  <si>
    <t>Minimum Rent Coverage (if drops below, no 2% escalation)</t>
  </si>
  <si>
    <t>Fail?</t>
  </si>
  <si>
    <t>OLD</t>
  </si>
  <si>
    <r>
      <t xml:space="preserve">Do not </t>
    </r>
    <r>
      <rPr>
        <sz val="12"/>
        <color indexed="13"/>
        <rFont val="Arial"/>
        <family val="2"/>
      </rPr>
      <t>change the width of the exhibit or font sizes (they are optimized for export to Word).</t>
    </r>
  </si>
  <si>
    <t>Current diluted shares outstanding</t>
  </si>
  <si>
    <t>Midwest</t>
  </si>
  <si>
    <t>Accrued expenses</t>
  </si>
  <si>
    <t>Total Revolver Borrowings</t>
  </si>
  <si>
    <t>Notional Swap Exposure (approximate)</t>
  </si>
  <si>
    <t>Senior secured facility - Revolver</t>
  </si>
  <si>
    <t>Pricing Grid for Extended Revolver</t>
  </si>
  <si>
    <t>3.00x &lt; X &lt; 3.50x</t>
  </si>
  <si>
    <t>1Q04</t>
  </si>
  <si>
    <t>2Q04</t>
  </si>
  <si>
    <t>Statutory Tax Rate</t>
  </si>
  <si>
    <t>% of table revenue</t>
  </si>
  <si>
    <t>+ Loss/(Gain) from joint venture</t>
  </si>
  <si>
    <t>Michigan</t>
  </si>
  <si>
    <t>Ohio</t>
  </si>
  <si>
    <t>EBIT</t>
  </si>
  <si>
    <t>Less: income taxes</t>
  </si>
  <si>
    <t>Plus: D&amp;A</t>
  </si>
  <si>
    <t>Less: Capex</t>
  </si>
  <si>
    <t>Free cash flow to firm</t>
  </si>
  <si>
    <t>Present value factor</t>
  </si>
  <si>
    <t>Present value of terminal value</t>
  </si>
  <si>
    <t>Present value of FCF</t>
  </si>
  <si>
    <t>Plus: Excess cash</t>
  </si>
  <si>
    <t>Equity value per share</t>
  </si>
  <si>
    <t>Discount Rate (WACC)</t>
  </si>
  <si>
    <t>Terminal Growth Rate</t>
  </si>
  <si>
    <t>Implied Terminal Multiple</t>
  </si>
  <si>
    <t>Implied Terminal EBITDA Multiple</t>
  </si>
  <si>
    <t>Definition of Fixed Charge Coverage Ratio</t>
  </si>
  <si>
    <t>(US$ millions except per-share data)</t>
  </si>
  <si>
    <t>4Q05</t>
  </si>
  <si>
    <t>Casino Revenue</t>
  </si>
  <si>
    <t>MSA</t>
  </si>
  <si>
    <t>Population</t>
  </si>
  <si>
    <t>25 - 50</t>
  </si>
  <si>
    <t>OpCo (PNG)</t>
  </si>
  <si>
    <t>Equity value per Share</t>
  </si>
  <si>
    <t>Add: 1x Cash div to PENN</t>
  </si>
  <si>
    <t>Pro-forma equity value per share</t>
  </si>
  <si>
    <t>PENN Pro-Forma Valuation (2013E)</t>
  </si>
  <si>
    <t>SoTP Valuation: 2013E</t>
  </si>
  <si>
    <t>Comment</t>
  </si>
  <si>
    <t>1Q13</t>
  </si>
  <si>
    <t>2012</t>
  </si>
  <si>
    <t>Impact occurs over '12 and '13</t>
  </si>
  <si>
    <t>Impact occurs in '12 and '13</t>
  </si>
  <si>
    <t>2013 Pro Forma</t>
  </si>
  <si>
    <t>'16-17
EBITDA
Impact</t>
  </si>
  <si>
    <t>Advances to Jamul tribe</t>
  </si>
  <si>
    <t>3Q14</t>
  </si>
  <si>
    <t>2Q15E</t>
  </si>
  <si>
    <t>3Q15E</t>
  </si>
  <si>
    <t>4Q15E</t>
  </si>
  <si>
    <t>1Q11 Net Debt</t>
  </si>
  <si>
    <t>Incremental Value / share</t>
  </si>
  <si>
    <t>Proceeds from issuance of preferred stock</t>
  </si>
  <si>
    <t>License up for rebidding</t>
  </si>
  <si>
    <t>2009m11</t>
  </si>
  <si>
    <t>2009m12</t>
  </si>
  <si>
    <t>Gaming Revenues (mm)</t>
  </si>
  <si>
    <t>Unemployment Rate %</t>
  </si>
  <si>
    <t>2004m6</t>
  </si>
  <si>
    <t>2004m5</t>
  </si>
  <si>
    <t>2004m4</t>
  </si>
  <si>
    <t>2004m3</t>
  </si>
  <si>
    <t>2004m2</t>
  </si>
  <si>
    <t>2004m1</t>
  </si>
  <si>
    <t>4Q09</t>
  </si>
  <si>
    <t>Project Costs</t>
  </si>
  <si>
    <t>Project Budget</t>
  </si>
  <si>
    <t>EBITDA (Penn's share)</t>
  </si>
  <si>
    <t>Less: Debt</t>
  </si>
  <si>
    <t>Enterprise Value</t>
  </si>
  <si>
    <t>Illinois Gaming expansion/tax reduction analysis</t>
  </si>
  <si>
    <t>2014E PF</t>
  </si>
  <si>
    <t>2012 PF</t>
  </si>
  <si>
    <t>Lawrenceburg City Taxes</t>
  </si>
  <si>
    <t>Revenue Level</t>
  </si>
  <si>
    <t>Lawrenceburg Casino</t>
  </si>
  <si>
    <t xml:space="preserve">  State Gaming Taxes</t>
  </si>
  <si>
    <t>$0-25</t>
  </si>
  <si>
    <t>$26-50</t>
  </si>
  <si>
    <t>$51-75</t>
  </si>
  <si>
    <t>$76-150</t>
  </si>
  <si>
    <t>$151 +</t>
  </si>
  <si>
    <t>Total State Gaming Taxes</t>
  </si>
  <si>
    <t>1Q07</t>
  </si>
  <si>
    <t>Net revenue</t>
  </si>
  <si>
    <t>Total PENN capital investment into new projects</t>
  </si>
  <si>
    <t>Promotional expenses</t>
  </si>
  <si>
    <t>Distributions from joint ventures</t>
  </si>
  <si>
    <t>Net Income to Penn (50%)</t>
  </si>
  <si>
    <t>Income Taxes to Penn (50%)</t>
  </si>
  <si>
    <t>Assume 10% discount to Penn National in PA</t>
  </si>
  <si>
    <t>Discount</t>
  </si>
  <si>
    <t>Opens in 2015; 10% discount rate</t>
  </si>
  <si>
    <t>Loss/(Gain) from joint ventures</t>
  </si>
  <si>
    <t>Allegany</t>
  </si>
  <si>
    <t>Cordish</t>
  </si>
  <si>
    <t>late 2010</t>
  </si>
  <si>
    <t>Yes</t>
  </si>
  <si>
    <t>No</t>
  </si>
  <si>
    <t>Licensed</t>
  </si>
  <si>
    <t>Delays due to local zoning and voter issues</t>
  </si>
  <si>
    <t>Delays due to asbestos discovery</t>
  </si>
  <si>
    <t>License up for bid</t>
  </si>
  <si>
    <t>Slot Limit</t>
  </si>
  <si>
    <t>Worcester</t>
  </si>
  <si>
    <t>Count</t>
  </si>
  <si>
    <t>Charge for stock compensation</t>
  </si>
  <si>
    <t>KC-Missouri</t>
  </si>
  <si>
    <t>2009A</t>
  </si>
  <si>
    <t>Operating FCF yield</t>
  </si>
  <si>
    <t>Discounted 2 years at 7.5%</t>
  </si>
  <si>
    <t>Equity Value per Share</t>
  </si>
  <si>
    <t>Incremental Net income</t>
  </si>
  <si>
    <t>Incremental EPS</t>
  </si>
  <si>
    <t>Tables per</t>
  </si>
  <si>
    <t xml:space="preserve">Slots per </t>
  </si>
  <si>
    <t>% slots rev</t>
  </si>
  <si>
    <t>Implied table w/u/d</t>
  </si>
  <si>
    <t>Implied slot w/u/d</t>
  </si>
  <si>
    <t>Boomtown Biloxi (MS)</t>
  </si>
  <si>
    <t>Receivables</t>
  </si>
  <si>
    <t>% Margin before gaming taxes</t>
  </si>
  <si>
    <t>No adjustment in year 1 then escalates at 2% / year as long as rent coverage = 1.9x</t>
  </si>
  <si>
    <t>Indiana</t>
  </si>
  <si>
    <t>(US$ million, except per share data)</t>
  </si>
  <si>
    <t>Enterprise</t>
  </si>
  <si>
    <t>Value</t>
  </si>
  <si>
    <t>x</t>
  </si>
  <si>
    <t>Equals: Equity value</t>
  </si>
  <si>
    <t>50 - 75</t>
  </si>
  <si>
    <t>Multiple</t>
  </si>
  <si>
    <t>75 - 150</t>
  </si>
  <si>
    <t>EV</t>
  </si>
  <si>
    <t>150 - 600</t>
  </si>
  <si>
    <t>Less: debt</t>
  </si>
  <si>
    <t>600+</t>
  </si>
  <si>
    <t>Equity value</t>
  </si>
  <si>
    <t>Assumptions - Toledo</t>
  </si>
  <si>
    <t>Accretion / dilution analysis</t>
  </si>
  <si>
    <t>Purchase Multiple</t>
  </si>
  <si>
    <t>Property X EBITDA</t>
  </si>
  <si>
    <t>Purchase EV</t>
  </si>
  <si>
    <t>GLPI Multiple</t>
  </si>
  <si>
    <t>GLPI EV</t>
  </si>
  <si>
    <t>Incremental Value</t>
  </si>
  <si>
    <t>Black Gold at Zia Park (NM)</t>
  </si>
  <si>
    <t>PENN SSS EBITDA Trough</t>
  </si>
  <si>
    <t>Penn National - 2Q08 first full Q with slots</t>
  </si>
  <si>
    <t>1Q09</t>
  </si>
  <si>
    <t>2Q05</t>
  </si>
  <si>
    <t>Gaming</t>
  </si>
  <si>
    <t>Stock</t>
  </si>
  <si>
    <t>Interest Expense</t>
  </si>
  <si>
    <t>Discount factor</t>
  </si>
  <si>
    <t xml:space="preserve">New developments </t>
  </si>
  <si>
    <t>New Project and Cannibalization Math</t>
  </si>
  <si>
    <t>Discounted Equity value</t>
  </si>
  <si>
    <t>% growth (y-o-y)</t>
  </si>
  <si>
    <t>Penn Hollywood</t>
  </si>
  <si>
    <t>License Fee</t>
  </si>
  <si>
    <t>OH VLT Analysis (Bull Case)</t>
  </si>
  <si>
    <t>EBITDA multiple</t>
  </si>
  <si>
    <t>Less: License fee</t>
  </si>
  <si>
    <t>Less: Relocation fee</t>
  </si>
  <si>
    <t>Equity value / share</t>
  </si>
  <si>
    <t>Covenant - Minimum Fixed Charge Coverage Ratio</t>
  </si>
  <si>
    <t>1.20x</t>
  </si>
  <si>
    <t>Total Debt</t>
  </si>
  <si>
    <t>Total Net Debt</t>
  </si>
  <si>
    <t>Maximum Total Leverage Ratio</t>
  </si>
  <si>
    <t>Compliance?</t>
  </si>
  <si>
    <t>Senior secured facility - Term Loan B, due 10/12</t>
  </si>
  <si>
    <t>% of net revenue</t>
  </si>
  <si>
    <t>Total debt</t>
  </si>
  <si>
    <t>(US $ millions, except as noted)</t>
  </si>
  <si>
    <t>State Taxes</t>
  </si>
  <si>
    <t>Tax Calc per Chart</t>
  </si>
  <si>
    <t>Cleveland</t>
  </si>
  <si>
    <t>PENN gets Toledo and Columbus</t>
  </si>
  <si>
    <t>Pricing Grid for Term Loan B</t>
  </si>
  <si>
    <t>&gt; 5.25x</t>
  </si>
  <si>
    <t>&lt; 5.25x</t>
  </si>
  <si>
    <t>LTM Covenant EBITDA</t>
  </si>
  <si>
    <t>SmartCharts</t>
  </si>
  <si>
    <t>.</t>
  </si>
  <si>
    <t xml:space="preserve">Delaware Park </t>
  </si>
  <si>
    <t>Gaming Revenues (1)</t>
  </si>
  <si>
    <t>PENN / GLPI vs. Original Guidance</t>
  </si>
  <si>
    <t>Rent expense</t>
  </si>
  <si>
    <t>Original</t>
  </si>
  <si>
    <t>Change vs. original</t>
  </si>
  <si>
    <t>GLPI</t>
  </si>
  <si>
    <t>Rental revenue</t>
  </si>
  <si>
    <t>Less interest, maint capex, taxes</t>
  </si>
  <si>
    <t>Less D&amp;A; Plus maint capex</t>
  </si>
  <si>
    <t>MS 2014E</t>
  </si>
  <si>
    <t>EPR Properties, formerly Entertainment Properties Trust, is specialty real estate investment trust (REIT). The Company invests in three primary segments: Entertainment, Recreation and Education. The Company has 180 properties across 37 states. The Company’s Entertainment segment includes 124 properties in total. The Entertainment segment consists of 117 megaplex theaters, eight entertainment retail centers and seven family entertainment centers. The Company has eight theatres located in its entertainment retail centers and two theatres in joint ventures. The Company’s Recreation segment includes 17 total properties. It consists of 11 metro ski parks, three water parks and three golf entertainment complexes. The Education segment includes 41 total properties, which are public charter schools.</t>
  </si>
  <si>
    <t>Investment in corporate debt securities</t>
  </si>
  <si>
    <t>Payments to terminate swap contract</t>
  </si>
  <si>
    <t>Acquisitions and Investments</t>
  </si>
  <si>
    <t>Distributions from joint venture</t>
  </si>
  <si>
    <t>DEBT / INTEREST SCHEDULE</t>
  </si>
  <si>
    <t>Shares</t>
  </si>
  <si>
    <t>Equity Value / Share</t>
  </si>
  <si>
    <t>Value @ 8.0x Multiple</t>
  </si>
  <si>
    <t>PNK Boomtown New Orleans 2009 Stats</t>
  </si>
  <si>
    <r>
      <t>Excluding New Openings</t>
    </r>
    <r>
      <rPr>
        <vertAlign val="superscript"/>
        <sz val="12"/>
        <rFont val="Arial"/>
        <family val="2"/>
      </rPr>
      <t>1</t>
    </r>
  </si>
  <si>
    <r>
      <t>PENN Same-Store</t>
    </r>
    <r>
      <rPr>
        <vertAlign val="superscript"/>
        <sz val="12"/>
        <rFont val="Arial"/>
        <family val="2"/>
      </rPr>
      <t>2</t>
    </r>
  </si>
  <si>
    <r>
      <t>PENN Unaffected Properties</t>
    </r>
    <r>
      <rPr>
        <vertAlign val="superscript"/>
        <sz val="12"/>
        <rFont val="Arial"/>
        <family val="2"/>
      </rPr>
      <t>3</t>
    </r>
  </si>
  <si>
    <r>
      <t>(1) Excluding New Openings:</t>
    </r>
    <r>
      <rPr>
        <sz val="12"/>
        <rFont val="Arial"/>
        <family val="2"/>
      </rPr>
      <t xml:space="preserve">  We exclude the new openings at Beulah Park (3Q10), Cecil County Marlyand (3Q10), M Resort (2Q11), and Toledo (1Q12)</t>
    </r>
  </si>
  <si>
    <t>2011E</t>
  </si>
  <si>
    <t>future cash expenses (provided that if such accrual or reserve is for contingent items, the outcome of which is subject to uncertainty, such non-cash items of</t>
  </si>
  <si>
    <t>3Q07</t>
  </si>
  <si>
    <t>Diluted Shares Outstanding</t>
  </si>
  <si>
    <t>Hollywood Baton Rouge (LA)</t>
  </si>
  <si>
    <t>Hollywood at Penn National (PA)</t>
  </si>
  <si>
    <t>EBITDA Margins before Gaming Taxes</t>
  </si>
  <si>
    <t>Charles Town (WV)</t>
  </si>
  <si>
    <t>Cecil County (MD)</t>
  </si>
  <si>
    <t>Columbus (OH)</t>
  </si>
  <si>
    <t>Toledo (OH)</t>
  </si>
  <si>
    <t>Kansas City JV (KS)</t>
  </si>
  <si>
    <t>Penn National (PA)</t>
  </si>
  <si>
    <t>Select Income REIT is a real estate company formed to primarily own and invest in net leased, single tenant properties. During the year ended December 31, 2011, approximately 68.1% of the Company’s total revenues were from 228 properties it owns in Oahu, Hawaii. As of December 31, 2011, its 251 properties had a total of approximately 21.4 million rentable square feet and were approximately 95.3% leased (based upon rentable square feet). As of December 31, 2011, these properties were leased to 224 different tenants, with a weighted average remaining lease term (based on annualized rents). The Company is a wholly owned subsidiary of CommonWealth REIT (CWH) that owns office and industrial properties. On February 16, 2012, CWH contributed 251 properties to the Company. During 2011, the Company acquired one property located in Chelmsford, Massachusetts with approximately 98,000 square feet.</t>
  </si>
  <si>
    <t>Do not add/delete rows</t>
  </si>
  <si>
    <t>2013e</t>
  </si>
  <si>
    <t xml:space="preserve">    Y/y % chg</t>
  </si>
  <si>
    <t xml:space="preserve">    3-year CAGR</t>
  </si>
  <si>
    <t>DPS</t>
  </si>
  <si>
    <t>Balance Sheet</t>
  </si>
  <si>
    <t>Net Debt / EBITDA</t>
  </si>
  <si>
    <t>Net interest coverage</t>
  </si>
  <si>
    <t>Cash Flow</t>
  </si>
  <si>
    <t>Fully diluted shares outstanding</t>
  </si>
  <si>
    <t>Current price</t>
  </si>
  <si>
    <t>Win per position</t>
  </si>
  <si>
    <t>Total revenue</t>
  </si>
  <si>
    <t>% of revenue</t>
  </si>
  <si>
    <t>$300mm</t>
  </si>
  <si>
    <t>$500m 4.375% Senior Notes due 2018</t>
  </si>
  <si>
    <t>$1,000 million 4.875% Senior Notes due 2020</t>
  </si>
  <si>
    <t>$500 million 5.375% Senior Notes due 2023</t>
  </si>
  <si>
    <t>Impact on</t>
  </si>
  <si>
    <t>PropCo (REIT) - GLPI</t>
  </si>
  <si>
    <t>PV</t>
  </si>
  <si>
    <t>hiring ~400 dealers; 500 new positions in total</t>
  </si>
  <si>
    <t>following such purchase), all as determined on a consolidated basis for Borrower and its Restricted Subsidiaries. Consolidated EBITDA shall be further</t>
  </si>
  <si>
    <t>Delaware</t>
  </si>
  <si>
    <t>Kansas</t>
  </si>
  <si>
    <t>Louisiana</t>
  </si>
  <si>
    <t>Maryland</t>
  </si>
  <si>
    <t>Terminal</t>
  </si>
  <si>
    <t>2009E</t>
  </si>
  <si>
    <t>2010E</t>
  </si>
  <si>
    <t>EPS</t>
  </si>
  <si>
    <t>Senior Secured Debt</t>
  </si>
  <si>
    <t>W/U/D</t>
  </si>
  <si>
    <t>Table Games</t>
  </si>
  <si>
    <t>Promotional allowances</t>
  </si>
  <si>
    <t>Net casino revenue</t>
  </si>
  <si>
    <t>Rooms</t>
  </si>
  <si>
    <t>RevPAR</t>
  </si>
  <si>
    <t>Room revenue</t>
  </si>
  <si>
    <t>F&amp;B/other</t>
  </si>
  <si>
    <t>Other OpEx</t>
  </si>
  <si>
    <t>Prince George: EBITDA forecast</t>
  </si>
  <si>
    <t>Rent Expense (2.0x coverage)</t>
  </si>
  <si>
    <t>EBITDA to PENN</t>
  </si>
  <si>
    <t>Incremental EV</t>
  </si>
  <si>
    <t>Incremental equity val / sh</t>
  </si>
  <si>
    <t>Discount Rate (15%)</t>
  </si>
  <si>
    <t>Less project cost</t>
  </si>
  <si>
    <t>Harrahs</t>
  </si>
  <si>
    <t>Total gaming win</t>
  </si>
  <si>
    <t>Kansas City - Comps</t>
  </si>
  <si>
    <t>Slot $WPD</t>
  </si>
  <si>
    <t>Table $WPD</t>
  </si>
  <si>
    <t>Gross revenues</t>
  </si>
  <si>
    <t>Net revenues</t>
  </si>
  <si>
    <t>Kansas City Analysis</t>
  </si>
  <si>
    <t>Accounts receivable</t>
  </si>
  <si>
    <t>Insurance receivable</t>
  </si>
  <si>
    <t>payment of principal of such Capital Lease) of Borrower and its Restricted Subsidiaries but excluding (x) any prepayment of a type contemplated by Section 2.10</t>
  </si>
  <si>
    <t>Required to spend at least $250m per site</t>
  </si>
  <si>
    <t>33% gaming tax</t>
  </si>
  <si>
    <t>Investment</t>
  </si>
  <si>
    <t>State of Kansas</t>
  </si>
  <si>
    <t>Cost Increase (5%)</t>
  </si>
  <si>
    <t>Net Income - Penn (50%)</t>
  </si>
  <si>
    <t>Other</t>
  </si>
  <si>
    <t>EBITDA</t>
  </si>
  <si>
    <t>PNK</t>
  </si>
  <si>
    <t>Mkt Cap</t>
  </si>
  <si>
    <t>Adj Total Cash</t>
  </si>
  <si>
    <t>EV to Fwd EBITDA</t>
  </si>
  <si>
    <t>Weighted</t>
  </si>
  <si>
    <t>Equity per Share</t>
  </si>
  <si>
    <t>Penn Mgmt</t>
  </si>
  <si>
    <t>MS</t>
  </si>
  <si>
    <t>Penn National Gaming, Inc.</t>
  </si>
  <si>
    <t>Cincinnati</t>
  </si>
  <si>
    <t>Toledo</t>
  </si>
  <si>
    <t>$250 million 6 3/4% Sr Sub Notes, due 2015</t>
  </si>
  <si>
    <t>Total PENN new EBITDA less direct cannibalization (IN and MO)</t>
  </si>
  <si>
    <t>New Orleans Racetrack Casinos</t>
  </si>
  <si>
    <t>Fair Grounds</t>
  </si>
  <si>
    <t>Other current liabilities</t>
  </si>
  <si>
    <t>Expenditures for property and equipment</t>
  </si>
  <si>
    <t>Non-cash loss from NJ JV</t>
  </si>
  <si>
    <t>Mountaineer</t>
  </si>
  <si>
    <t>Wheeling</t>
  </si>
  <si>
    <t>2007</t>
  </si>
  <si>
    <t>Initial install of 40 tables and 12 poker tables</t>
  </si>
  <si>
    <t>Initial install of 85 tables and 20 poker tables</t>
  </si>
  <si>
    <t>2. Future slot parlors in Maryland (DC/Baltimore feeder mkts)</t>
  </si>
  <si>
    <t>3. Potential for table games in Maryland</t>
  </si>
  <si>
    <t>TBD</t>
  </si>
  <si>
    <t>US Unemployment</t>
  </si>
  <si>
    <t>National Average</t>
  </si>
  <si>
    <t>Bear Same-Store Rev</t>
  </si>
  <si>
    <t>Bull Same-Store Rev</t>
  </si>
  <si>
    <t>Columbus (est)</t>
  </si>
  <si>
    <t>Toledo (est)</t>
  </si>
  <si>
    <t>% Impact on</t>
  </si>
  <si>
    <t>Base Case:</t>
  </si>
  <si>
    <t>Bear Case:</t>
  </si>
  <si>
    <t>Base Case - Total</t>
  </si>
  <si>
    <t>Bear Case - Total</t>
  </si>
  <si>
    <t>PENN Free Cash Flow</t>
  </si>
  <si>
    <t>- Growth capex (ex cap interest)</t>
  </si>
  <si>
    <t>+ Non cash expenses</t>
  </si>
  <si>
    <t>Total Cash</t>
  </si>
  <si>
    <t>BYD</t>
  </si>
  <si>
    <t>ASCA</t>
  </si>
  <si>
    <t>Restricted assets for sale</t>
  </si>
  <si>
    <t>Penn $250m Term Loan B Facility</t>
  </si>
  <si>
    <t>GLPI $700m Senior Unsecured Credit Facility</t>
  </si>
  <si>
    <t>1Q10</t>
  </si>
  <si>
    <t>2Q10</t>
  </si>
  <si>
    <t>Maintenance as % of revenues</t>
  </si>
  <si>
    <t>Total Growth Capex</t>
  </si>
  <si>
    <t>Total PENN new EBITDA less all cannibalization (all of above)</t>
  </si>
  <si>
    <t>PNK L'Auberge Baton Rouge Casino set to open in summer 2012 though construction has been delayed due to MS River flooding</t>
  </si>
  <si>
    <t>PENN's Wynadotte County is expected to open in 2Q12</t>
  </si>
  <si>
    <t>The Rivers Casino (Des Plaines) opened July 2011.  The casino is located in the northwest Chicago suburb</t>
  </si>
  <si>
    <t>Average diluted shares outstanding</t>
  </si>
  <si>
    <t>Cash flows from operations</t>
  </si>
  <si>
    <t>Net cash provided by operating activities</t>
  </si>
  <si>
    <t>Cash flows from investing activities</t>
  </si>
  <si>
    <t>PENN.O,mscalc:targetPrice,,,,USD</t>
  </si>
  <si>
    <t>PENN.O,mscalc:closePriceCurrencyCalc</t>
  </si>
  <si>
    <t>PENN.O,mscalc:sedolCodeCalc</t>
  </si>
  <si>
    <t>$F$2</t>
  </si>
  <si>
    <t>Kansas JV (KS)</t>
  </si>
  <si>
    <t>INCOME STATEMENT</t>
  </si>
  <si>
    <t>2. Opening of SugarHouse Casino</t>
  </si>
  <si>
    <t>Two hours drive from Penn National</t>
  </si>
  <si>
    <t>Penn National</t>
  </si>
  <si>
    <t>~$40mm expansion for table games</t>
  </si>
  <si>
    <t>85 tables and 20 poker tables</t>
  </si>
  <si>
    <t>With Tables</t>
  </si>
  <si>
    <t>w/o Tables</t>
  </si>
  <si>
    <t>Diff.</t>
  </si>
  <si>
    <t xml:space="preserve">This excludes the results </t>
  </si>
  <si>
    <t>Our Definitions</t>
  </si>
  <si>
    <t>Aurora</t>
  </si>
  <si>
    <t>Des Plaines, IL</t>
  </si>
  <si>
    <t>Riverside</t>
  </si>
  <si>
    <t>Baton Rouge</t>
  </si>
  <si>
    <t>Baton Rouge, LA (PNK)</t>
  </si>
  <si>
    <t>Discounted</t>
  </si>
  <si>
    <t>Equity</t>
  </si>
  <si>
    <t>targeting July 1st to go live</t>
  </si>
  <si>
    <t>3Q09</t>
  </si>
  <si>
    <t>Total Revolver Capacity</t>
  </si>
  <si>
    <t>Average Pay Rate</t>
  </si>
  <si>
    <r>
      <t>(3) PENN "Unaffected Properties" Same Store:</t>
    </r>
    <r>
      <rPr>
        <sz val="12"/>
        <rFont val="Arial"/>
        <family val="2"/>
      </rPr>
      <t xml:space="preserve">  In addition to the exclusions in (2), this excludes properties that will be affected by cannibalization in 2011 and 2012.  We begin to exclude results in the quarter that the new property opens.  For further details, please see Exhibit </t>
    </r>
    <r>
      <rPr>
        <sz val="12"/>
        <color indexed="10"/>
        <rFont val="Arial"/>
        <family val="2"/>
      </rPr>
      <t>X</t>
    </r>
    <r>
      <rPr>
        <sz val="12"/>
        <rFont val="Arial"/>
        <family val="2"/>
      </rPr>
      <t xml:space="preserve"> in the Cannibalization section.</t>
    </r>
  </si>
  <si>
    <r>
      <t>(2) PENN Same-Store:</t>
    </r>
    <r>
      <rPr>
        <sz val="12"/>
        <rFont val="Arial"/>
        <family val="2"/>
      </rPr>
      <t xml:space="preserve">  In addition to (1), we exclude table game revenues from Penn National and Charles Town from 3Q10 through 3Q11.</t>
    </r>
  </si>
  <si>
    <t>$ EBITDA</t>
  </si>
  <si>
    <t>% EBITDA</t>
  </si>
  <si>
    <t>Incremental EBITDA</t>
  </si>
  <si>
    <t>Net Income</t>
  </si>
  <si>
    <t>Assets</t>
  </si>
  <si>
    <t>Lawrenceburg (IN)</t>
  </si>
  <si>
    <t>Riverside (MO)</t>
  </si>
  <si>
    <t>Equity value per share, cannibalization</t>
  </si>
  <si>
    <t>Covenant - Maximum Consolidated Total Leverage Ratio</t>
  </si>
  <si>
    <t>Period</t>
  </si>
  <si>
    <t>Ratio</t>
  </si>
  <si>
    <t>5.50x</t>
  </si>
  <si>
    <t>5.25x</t>
  </si>
  <si>
    <t>Covenant - Maximum Consolidated Senior Secured Leverage Ratio</t>
  </si>
  <si>
    <t>Definition of Covenant EBITDA</t>
  </si>
  <si>
    <t>Less: Interest</t>
  </si>
  <si>
    <t>Less: Income taxes</t>
  </si>
  <si>
    <t>Ohio Dept of Taxation</t>
  </si>
  <si>
    <t>Gaming Rev Estimates</t>
  </si>
  <si>
    <t xml:space="preserve">~1,000.0 </t>
  </si>
  <si>
    <t xml:space="preserve">~1,500.0 </t>
  </si>
  <si>
    <t>Lawrenceburg</t>
  </si>
  <si>
    <t xml:space="preserve">2012E </t>
  </si>
  <si>
    <t xml:space="preserve">2013E </t>
  </si>
  <si>
    <t>Miles from</t>
  </si>
  <si>
    <t>Non-recurring operating expenses</t>
  </si>
  <si>
    <t>+/- Other</t>
  </si>
  <si>
    <t>K.N</t>
  </si>
  <si>
    <t>Income Statement ($MM)</t>
  </si>
  <si>
    <t>COGS</t>
  </si>
  <si>
    <t>Net interest expense</t>
  </si>
  <si>
    <t>Balance Sheet ($MM)</t>
  </si>
  <si>
    <t>Cash &amp; Equivalents</t>
  </si>
  <si>
    <t>A/R</t>
  </si>
  <si>
    <t>2007m12</t>
  </si>
  <si>
    <t>Tier 2</t>
  </si>
  <si>
    <t>Other current assets</t>
  </si>
  <si>
    <t>PP&amp;E</t>
  </si>
  <si>
    <t>Goodwill &amp; Intangibles</t>
  </si>
  <si>
    <t>2007m10</t>
  </si>
  <si>
    <t>2007m11</t>
  </si>
  <si>
    <t>Locations</t>
  </si>
  <si>
    <t>Devices</t>
  </si>
  <si>
    <t>Number of Positions</t>
  </si>
  <si>
    <t>Est. W/U/D</t>
  </si>
  <si>
    <t>Comps</t>
  </si>
  <si>
    <t>Other investing</t>
  </si>
  <si>
    <t>Cash from Investing</t>
  </si>
  <si>
    <t>Net borrowings</t>
  </si>
  <si>
    <t>Other financing</t>
  </si>
  <si>
    <t>Cash from financing</t>
  </si>
  <si>
    <t>Net change in cash</t>
  </si>
  <si>
    <t>D&amp;A and other non-cash expenses</t>
  </si>
  <si>
    <t>Cash Outlay - Total</t>
  </si>
  <si>
    <t>State Level Taxes</t>
  </si>
  <si>
    <t>GLPI Current Price</t>
  </si>
  <si>
    <t>Implied Multiple</t>
  </si>
  <si>
    <t>Implied Div Yield</t>
  </si>
  <si>
    <t>PENN Current Price</t>
  </si>
  <si>
    <t xml:space="preserve">  Revenue Levels</t>
  </si>
  <si>
    <t>$0-150</t>
  </si>
  <si>
    <t>$151-200</t>
  </si>
  <si>
    <t>$201-250</t>
  </si>
  <si>
    <t>$251-300</t>
  </si>
  <si>
    <t>$301+</t>
  </si>
  <si>
    <t>Total Lawrenceburg City Taxes</t>
  </si>
  <si>
    <t>Present Value</t>
  </si>
  <si>
    <t>PENN Harvey</t>
  </si>
  <si>
    <t>Revenues</t>
  </si>
  <si>
    <t>“Consolidated EBITDA” shall mean, for any Test Period, the sum (without duplication) of Adjusted Net Income for such period, plus, in each case to the extent</t>
  </si>
  <si>
    <t>Non-Recurring Operating Expenses</t>
  </si>
  <si>
    <t>Senior secured facility - Term Loan B, due 7/2018</t>
  </si>
  <si>
    <t>Quarterly principal payments - TLA</t>
  </si>
  <si>
    <t>Quarterly principal payments - TLB</t>
  </si>
  <si>
    <t>Hollywood Casino Joliet (IL)</t>
  </si>
  <si>
    <t>Hollywood Perryville (MD)</t>
  </si>
  <si>
    <t>Hollywood at Charles Town Races (WV)</t>
  </si>
  <si>
    <t>Hollywood St. Louis (Maryland Heights, MO)</t>
  </si>
  <si>
    <t xml:space="preserve">Gaming Win per </t>
  </si>
  <si>
    <t>Population per Position</t>
  </si>
  <si>
    <t>Gaming Rev. per Day per Position</t>
  </si>
  <si>
    <t>Gaming Rev. per Person</t>
  </si>
  <si>
    <t>Total, Net</t>
  </si>
  <si>
    <t>(US$ millions, except per-share data)</t>
  </si>
  <si>
    <t>Pop. per Position Metrics</t>
  </si>
  <si>
    <t>Hollywood Kansas 50/50 JV (KS)</t>
  </si>
  <si>
    <t>Investment in joint ventures</t>
  </si>
  <si>
    <t>Empress Joliet (IL)</t>
  </si>
  <si>
    <t>PENN Spend Per Visit</t>
  </si>
  <si>
    <t>Spend per Visit</t>
  </si>
  <si>
    <t>Casino Revs in Millions</t>
  </si>
  <si>
    <t>Admissions in Thousands</t>
  </si>
  <si>
    <t>% Change Y-o-Y (Spend per Visit)</t>
  </si>
  <si>
    <t>% Change (Y-o-Y)</t>
  </si>
  <si>
    <t>FY 2013</t>
  </si>
  <si>
    <t>GGR</t>
  </si>
  <si>
    <t>% GGR</t>
  </si>
  <si>
    <t>PENN: Properties Affected by Cannibalization - Impact on GGR</t>
  </si>
  <si>
    <t>% of Gaming revenue</t>
  </si>
  <si>
    <t>Interest expense to Penn (50%)</t>
  </si>
  <si>
    <t>Margin bef. tax</t>
  </si>
  <si>
    <t xml:space="preserve">Impact on int. exp. </t>
  </si>
  <si>
    <t>Total CIP</t>
  </si>
  <si>
    <t>Interest rate</t>
  </si>
  <si>
    <t>Total Project Capex (excluding JV)</t>
  </si>
  <si>
    <t>Project Capex</t>
  </si>
  <si>
    <t>% of revenue lost: weekday</t>
  </si>
  <si>
    <t>% of revenue lost: weekend</t>
  </si>
  <si>
    <t>Lost weekend rev</t>
  </si>
  <si>
    <t>Lost weekday rev</t>
  </si>
  <si>
    <t>Charlestown Cannibalization Analysis</t>
  </si>
  <si>
    <t>Net loss of non-controlling interest</t>
  </si>
  <si>
    <t>Net income to PENN</t>
  </si>
  <si>
    <t>Plus: Non-recurring expenses, net</t>
  </si>
  <si>
    <t>Corporate expense</t>
  </si>
  <si>
    <t>2Q06</t>
  </si>
  <si>
    <t>Under consideration by legislature</t>
  </si>
  <si>
    <t>3. Future casino in Des Plaines, IL</t>
  </si>
  <si>
    <t>1. Opening of new Empress pavilion</t>
  </si>
  <si>
    <t>PENN</t>
  </si>
  <si>
    <t>PENN Potential Dilution/Cannibalization</t>
  </si>
  <si>
    <t>Property</t>
  </si>
  <si>
    <t>l</t>
  </si>
  <si>
    <t>Sources:  Press reports</t>
  </si>
  <si>
    <t>State</t>
  </si>
  <si>
    <t>Issue</t>
  </si>
  <si>
    <t>WV</t>
  </si>
  <si>
    <t>OH</t>
  </si>
  <si>
    <t>IL</t>
  </si>
  <si>
    <t>TX</t>
  </si>
  <si>
    <t>bill limit</t>
  </si>
  <si>
    <t>Likely</t>
  </si>
  <si>
    <t xml:space="preserve">of </t>
  </si>
  <si>
    <t>Passing</t>
  </si>
  <si>
    <t>VLTs at tracks</t>
  </si>
  <si>
    <t>Unlikely</t>
  </si>
  <si>
    <t>Neutral</t>
  </si>
  <si>
    <t>Gaming tax increase</t>
  </si>
  <si>
    <t>($2-3)</t>
  </si>
  <si>
    <t>Removal of smoking ban</t>
  </si>
  <si>
    <t>Senior secured facility - Revolver, due July 2016</t>
  </si>
  <si>
    <t>slot at tracks</t>
  </si>
  <si>
    <t>Likelihood</t>
  </si>
  <si>
    <t>($mm)</t>
  </si>
  <si>
    <t>$10-15</t>
  </si>
  <si>
    <t>($35)</t>
  </si>
  <si>
    <t>expense, (4) any extraordinary non-cash items (other than cancellation of debt income), (5) other non-cash items of expense, other than to the extent such non-cash items require an accrual or reserve for</t>
  </si>
  <si>
    <t>Interest Rates</t>
  </si>
  <si>
    <t>Total Property EBITDA</t>
  </si>
  <si>
    <t>Total Operating Income</t>
  </si>
  <si>
    <t>Discount on Sr Secured Credit Facility Term B</t>
  </si>
  <si>
    <t>2011A</t>
  </si>
  <si>
    <t>Extraordinary Items</t>
  </si>
  <si>
    <t>New Jersey</t>
  </si>
  <si>
    <t>New York</t>
  </si>
  <si>
    <t>Oregon</t>
  </si>
  <si>
    <t>Rhode Island</t>
  </si>
  <si>
    <t>Texas</t>
  </si>
  <si>
    <t>Hollywood Columbus vs. Other Limited Competition Openings</t>
  </si>
  <si>
    <t>Kansas Star (KS)</t>
  </si>
  <si>
    <t>The Meadows (PA)</t>
  </si>
  <si>
    <t>Days</t>
  </si>
  <si>
    <t>Units</t>
  </si>
  <si>
    <t>Hollywood Columbus W/P/U</t>
  </si>
  <si>
    <t>Horseshoe Cleveland</t>
  </si>
  <si>
    <t>Win / Slot</t>
  </si>
  <si>
    <t>Win / Table</t>
  </si>
  <si>
    <t>Win / Position</t>
  </si>
  <si>
    <t>Horseshoe Cleveland (OH)</t>
  </si>
  <si>
    <t>Future Regional Expansion</t>
  </si>
  <si>
    <t>PENN: Properties Affected by Cannibalization</t>
  </si>
  <si>
    <t xml:space="preserve">50% of C-Town customers live </t>
  </si>
  <si>
    <t>Rev. 4/19/13</t>
  </si>
  <si>
    <t>Maryland Slot Parlors</t>
  </si>
  <si>
    <t>Parlor</t>
  </si>
  <si>
    <t>Budget</t>
  </si>
  <si>
    <t>Location</t>
  </si>
  <si>
    <t>Owner</t>
  </si>
  <si>
    <t>Cecil County</t>
  </si>
  <si>
    <t>Tier 3</t>
  </si>
  <si>
    <t>Margin</t>
  </si>
  <si>
    <t>Other non-current assets</t>
  </si>
  <si>
    <t>A/P and Accrued liabilities</t>
  </si>
  <si>
    <t>Other non-current liabilities</t>
  </si>
  <si>
    <t>Total Liabilities</t>
  </si>
  <si>
    <t xml:space="preserve">S/E </t>
  </si>
  <si>
    <t>Total Liabilities and S/E</t>
  </si>
  <si>
    <t>Cash Flow Statement ($MM)</t>
  </si>
  <si>
    <t>D&amp;A</t>
  </si>
  <si>
    <t>Deferred taxes</t>
  </si>
  <si>
    <t>Change in working capital</t>
  </si>
  <si>
    <t>Cash from Operations</t>
  </si>
  <si>
    <t>EBITDA Valuation Summary</t>
  </si>
  <si>
    <t>Proposed Investment</t>
  </si>
  <si>
    <t>Maryland Analysis - Cecil County</t>
  </si>
  <si>
    <t>Market Comps</t>
  </si>
  <si>
    <t xml:space="preserve">Dover Downs </t>
  </si>
  <si>
    <t>mandatorily payable in cash during such period, (b) the sum of all scheduled principal payments on any Indebtedness of Borrower and its Restricted Subsidiaries</t>
  </si>
  <si>
    <t>% upside / (downside)</t>
  </si>
  <si>
    <t>Properties in Operation</t>
  </si>
  <si>
    <t>Subtotal</t>
  </si>
  <si>
    <t>(including, without duplication, any lease payments in respect of Capital Leases (to the extent such lease payments would constitute a</t>
  </si>
  <si>
    <t>- Per mgmt, 85 card tables and 20 poker tables</t>
  </si>
  <si>
    <t>General Assumptions - Table Games</t>
  </si>
  <si>
    <t>- Tax rate of 35%</t>
  </si>
  <si>
    <t>- Upfront license fee of XXmm (nominal)</t>
  </si>
  <si>
    <t>- Table games operational in Q3 2010</t>
  </si>
  <si>
    <t>7.5% of gaming revenues</t>
  </si>
  <si>
    <t>Hollywood - Columbus, OH</t>
  </si>
  <si>
    <t>Hollywood - Toledo, OH</t>
  </si>
  <si>
    <t>ADD Penn population stats (adjusted for competition)</t>
  </si>
  <si>
    <t>Toledo (MS est.)</t>
  </si>
  <si>
    <t>Columbus (MS est.)</t>
  </si>
  <si>
    <t>Detroit</t>
  </si>
  <si>
    <t>Chicagoland</t>
  </si>
  <si>
    <t>People/</t>
  </si>
  <si>
    <t>$ W/U/D</t>
  </si>
  <si>
    <t>Market</t>
  </si>
  <si>
    <t>Weighted avg interest rate (total)</t>
  </si>
  <si>
    <t>Interest rate on cash</t>
  </si>
  <si>
    <t>Total Assets</t>
  </si>
  <si>
    <t>Liabilities</t>
  </si>
  <si>
    <t>Total Shareholders' Equity</t>
  </si>
  <si>
    <t>EnterpriseValue</t>
  </si>
  <si>
    <t>Capitalization</t>
  </si>
  <si>
    <t>Debt</t>
  </si>
  <si>
    <t>Gaming Market Comps</t>
  </si>
  <si>
    <t xml:space="preserve">Lost rev in SE Indiana if Ohio </t>
  </si>
  <si>
    <t>Tier 1</t>
  </si>
  <si>
    <t>passes casino bill</t>
  </si>
  <si>
    <t>Casino Rama Mgmt Contract (Canada)</t>
  </si>
  <si>
    <t>Unemployment by PENN's Major Markets</t>
  </si>
  <si>
    <t>Multiple upside</t>
  </si>
  <si>
    <t>(Decrease) increase in current liabilities</t>
  </si>
  <si>
    <t>(Increase) decrease in current assets</t>
  </si>
  <si>
    <t>Proceeds from exercise of options</t>
  </si>
  <si>
    <t>Proceeds/payments from insurance fin.</t>
  </si>
  <si>
    <t>Cash and cash equivalents, beginning</t>
  </si>
  <si>
    <t>Cash and cash equivalents, end</t>
  </si>
  <si>
    <t>Interest Coverage Ratio</t>
  </si>
  <si>
    <t>LTM EBITDA</t>
  </si>
  <si>
    <t>Interest coverage covenant</t>
  </si>
  <si>
    <t>Daily Win / Slot</t>
  </si>
  <si>
    <t>Daily Win / Table</t>
  </si>
  <si>
    <t>Slot Revenue</t>
  </si>
  <si>
    <t>Table Revenue</t>
  </si>
  <si>
    <t>Total incremental EBITDA</t>
  </si>
  <si>
    <t>Projection Summary (ex Maryland)</t>
  </si>
  <si>
    <t>Impact on Penn EPS</t>
  </si>
  <si>
    <t>Interest Expense - JV</t>
  </si>
  <si>
    <t>EBITDA - JV</t>
  </si>
  <si>
    <t>Depreciation - JV</t>
  </si>
  <si>
    <t>Income Taxes - JV</t>
  </si>
  <si>
    <t>Net Income - JV</t>
  </si>
  <si>
    <t>Impact on Penn Valuation</t>
  </si>
  <si>
    <t>Base Case</t>
  </si>
  <si>
    <t>Other expense (amort + standby fees)</t>
  </si>
  <si>
    <t>Total Depreciation</t>
  </si>
  <si>
    <r>
      <t>Do not</t>
    </r>
    <r>
      <rPr>
        <sz val="12"/>
        <color indexed="13"/>
        <rFont val="Arial"/>
        <family val="2"/>
      </rPr>
      <t xml:space="preserve"> delete any rows or columns (some gray cells are used for calculations).</t>
    </r>
  </si>
  <si>
    <r>
      <t>You can move the worksheet</t>
    </r>
    <r>
      <rPr>
        <sz val="11"/>
        <color indexed="13"/>
        <rFont val="Arial"/>
        <family val="2"/>
      </rPr>
      <t xml:space="preserve"> into another workbook (please use MOVE; do not COPY)</t>
    </r>
  </si>
  <si>
    <t>Bear Case Calc</t>
  </si>
  <si>
    <t>Base lost revs</t>
  </si>
  <si>
    <t>Base lost EBITDA</t>
  </si>
  <si>
    <t>Bear - Implied lost EBITDA</t>
  </si>
  <si>
    <t>Implied lost Revenue</t>
  </si>
  <si>
    <t>Flow-through</t>
  </si>
  <si>
    <t>Credit Agreements</t>
  </si>
  <si>
    <t>(US$ million)</t>
  </si>
  <si>
    <t>Capital leases</t>
  </si>
  <si>
    <t>Swap expense</t>
  </si>
  <si>
    <t>Other Triple Net Lease REITs</t>
  </si>
  <si>
    <t>Realty Income Corp</t>
  </si>
  <si>
    <t>National Retail Properties</t>
  </si>
  <si>
    <t>EPR Properties</t>
  </si>
  <si>
    <t>Select Income REIT</t>
  </si>
  <si>
    <t>Lexington Realty Trust</t>
  </si>
  <si>
    <t>Company</t>
  </si>
  <si>
    <t>Ticker</t>
  </si>
  <si>
    <t>O</t>
  </si>
  <si>
    <t>NNN</t>
  </si>
  <si>
    <t>EPR</t>
  </si>
  <si>
    <t>SIR</t>
  </si>
  <si>
    <t>LXP</t>
  </si>
  <si>
    <t>Business Description</t>
  </si>
  <si>
    <t>Pro-forma equity value per share (for R/R)</t>
  </si>
  <si>
    <t>Senior secured facility - Term Loan B</t>
  </si>
  <si>
    <t>Other notes payable</t>
  </si>
  <si>
    <t>Total Ending Debt</t>
  </si>
  <si>
    <t>Impact on Valuation</t>
  </si>
  <si>
    <t>- Hiring 300-350 employees at average wage of $35m-$50m/year</t>
  </si>
  <si>
    <t>- Facility will be expanded by 45,000SF in Q4 2010 or Q1 2011</t>
  </si>
  <si>
    <t>Equity value per share, new devs.</t>
  </si>
  <si>
    <t>Adjusted EPS</t>
  </si>
  <si>
    <t>Adjusted EBITDA</t>
  </si>
  <si>
    <t>(US$ in millions, except per share data)</t>
  </si>
  <si>
    <t>Inventories</t>
  </si>
  <si>
    <t>Charles Town</t>
  </si>
  <si>
    <t>Other Operations</t>
  </si>
  <si>
    <t>Property EBITDA</t>
  </si>
  <si>
    <t xml:space="preserve">- </t>
  </si>
  <si>
    <t>Property Depreciation</t>
  </si>
  <si>
    <t>Corporate Expense</t>
  </si>
  <si>
    <t>4Q11E</t>
  </si>
  <si>
    <t>% Margin</t>
  </si>
  <si>
    <t>Income taxes payable</t>
  </si>
  <si>
    <t>Preferred stock</t>
  </si>
  <si>
    <t>Common stock</t>
  </si>
  <si>
    <t>Treasury stock</t>
  </si>
  <si>
    <t>Additional paid-in capital</t>
  </si>
  <si>
    <t>Multiple downside</t>
  </si>
  <si>
    <t>1Q08</t>
  </si>
  <si>
    <t>Total Incremental EBITDA</t>
  </si>
  <si>
    <t>Tier 4</t>
  </si>
  <si>
    <t>Tier 5</t>
  </si>
  <si>
    <t>Cost to build</t>
  </si>
  <si>
    <t>Tier 6</t>
  </si>
  <si>
    <t>Int costs</t>
  </si>
  <si>
    <t>Incremental D&amp;A</t>
  </si>
  <si>
    <t>BALANCE SHEET</t>
  </si>
  <si>
    <t>CASH FLOW STATEMENT</t>
  </si>
  <si>
    <t>OH: Youngstown Analysis</t>
  </si>
  <si>
    <t>Rivers Casino (Pittsburg, PA)</t>
  </si>
  <si>
    <t>The Meadows (Pittsburg, PA)</t>
  </si>
  <si>
    <t>Mountaineer Casino (WV)</t>
  </si>
  <si>
    <t>Horseshoe (Cleveland)</t>
  </si>
  <si>
    <t>3Q13E</t>
  </si>
  <si>
    <t>4Q13E</t>
  </si>
  <si>
    <t>1Q14E</t>
  </si>
  <si>
    <t>2Q14E</t>
  </si>
  <si>
    <t>3Q14E</t>
  </si>
  <si>
    <t>4Q14E</t>
  </si>
  <si>
    <t>2017E</t>
  </si>
  <si>
    <t>2018E</t>
  </si>
  <si>
    <t>2019E</t>
  </si>
  <si>
    <t>2020E</t>
  </si>
  <si>
    <t>Guidance: Net Revenues</t>
  </si>
  <si>
    <t>Rev . 7/23/13</t>
  </si>
  <si>
    <t>Rev. 7/23/13</t>
  </si>
  <si>
    <t>Original Guidance</t>
  </si>
  <si>
    <t>3Q06</t>
  </si>
  <si>
    <t>Operating Free Cash Flow</t>
  </si>
  <si>
    <t>Gross revs</t>
  </si>
  <si>
    <t>Less: promos</t>
  </si>
  <si>
    <t>Columbus</t>
  </si>
  <si>
    <t>Net revs</t>
  </si>
  <si>
    <t>Guidance: GAAP EPS</t>
  </si>
  <si>
    <t>Guidance: Recurring EPS</t>
  </si>
  <si>
    <t>1. Opening of Lawrenceburg expansion project</t>
  </si>
  <si>
    <t>YoY revenue boost through Q2 2010</t>
  </si>
  <si>
    <t>Q4 2012</t>
  </si>
  <si>
    <t>Net property and equipment, at cost</t>
  </si>
  <si>
    <t>Assets held for sale</t>
  </si>
  <si>
    <t>2005m3</t>
  </si>
  <si>
    <t>2005m4</t>
  </si>
  <si>
    <t>2005m5</t>
  </si>
  <si>
    <t>2005m6</t>
  </si>
  <si>
    <t>2005m7</t>
  </si>
  <si>
    <t>2005m8</t>
  </si>
  <si>
    <t>- Growth capex &amp; JV investment (ex cap interest)</t>
  </si>
  <si>
    <t>Minority interest</t>
  </si>
  <si>
    <t>People/Position and Win/Day/Position</t>
  </si>
  <si>
    <t>Boomtown - N.O.</t>
  </si>
  <si>
    <t>Detroit/Windsor</t>
  </si>
  <si>
    <t>Tax Impact of Extraordinary Items</t>
  </si>
  <si>
    <t>Year end</t>
  </si>
  <si>
    <t>Less:</t>
  </si>
  <si>
    <t>Maint</t>
  </si>
  <si>
    <t>Interest</t>
  </si>
  <si>
    <t>FCF</t>
  </si>
  <si>
    <t>PROPERTY DETAIL</t>
  </si>
  <si>
    <t>Quarter-end</t>
  </si>
  <si>
    <t>- Capitalized interest</t>
  </si>
  <si>
    <t>Earnings Model</t>
  </si>
  <si>
    <t xml:space="preserve">Accounts payable  </t>
  </si>
  <si>
    <t>Total current liabilities</t>
  </si>
  <si>
    <t>Other LT liabilities</t>
  </si>
  <si>
    <t>Long-term debt</t>
  </si>
  <si>
    <t>Restricted stock</t>
  </si>
  <si>
    <t>Retained earnings</t>
  </si>
  <si>
    <t>Interest expense</t>
  </si>
  <si>
    <t>2Q11E</t>
  </si>
  <si>
    <t>3Q11E</t>
  </si>
  <si>
    <t>Jan 10</t>
  </si>
  <si>
    <t>Interest income</t>
  </si>
  <si>
    <t>Interest expense, net</t>
  </si>
  <si>
    <t>Income before taxes</t>
  </si>
  <si>
    <t>Cash avail</t>
  </si>
  <si>
    <t>Revolver avail</t>
  </si>
  <si>
    <t>% funded with debt</t>
  </si>
  <si>
    <t>Ohio legislation</t>
  </si>
  <si>
    <t>4 locations</t>
  </si>
  <si>
    <t>$50m license fee per</t>
  </si>
  <si>
    <t>Tranche A Revolver</t>
  </si>
  <si>
    <t>Tranche B Revolver</t>
  </si>
  <si>
    <t>Rev. 1/31/13</t>
  </si>
  <si>
    <t>% Slot Growth (y-o-y)</t>
  </si>
  <si>
    <t>% Table Growth (y-o-y)</t>
  </si>
  <si>
    <t>% Total Casino Growth (y-o-y)</t>
  </si>
  <si>
    <t xml:space="preserve">% Change </t>
  </si>
  <si>
    <t>Average Positions</t>
  </si>
  <si>
    <t>3Q10</t>
  </si>
  <si>
    <t>4Q10</t>
  </si>
  <si>
    <t>Yield</t>
  </si>
  <si>
    <t>1Q11</t>
  </si>
  <si>
    <t>2Q11</t>
  </si>
  <si>
    <t>3Q11</t>
  </si>
  <si>
    <t>4Q11</t>
  </si>
  <si>
    <t>Other Racing Operations - OH/FL/MD</t>
  </si>
  <si>
    <t>Lubbock-Midland</t>
  </si>
  <si>
    <t>M</t>
  </si>
  <si>
    <t>SS Gaming revenue sensitivity</t>
  </si>
  <si>
    <t>Total GGR</t>
  </si>
  <si>
    <t>1% Change in SS GGR</t>
  </si>
  <si>
    <t>EBITDA Impact (40% margin)</t>
  </si>
  <si>
    <t>Reported Diluted EPS</t>
  </si>
  <si>
    <t xml:space="preserve">Recurring Diluted EPS </t>
  </si>
  <si>
    <t>% slot revenue at risk</t>
  </si>
  <si>
    <t>Less: Accumulated depreciation</t>
  </si>
  <si>
    <t>Argosy Baton Rouge - Sold in Oct 2005</t>
  </si>
  <si>
    <t>Net cash provided by investing activities</t>
  </si>
  <si>
    <t>(US$ in millions, except per-share data)</t>
  </si>
  <si>
    <t>LTM scheduled principal payments</t>
  </si>
  <si>
    <t>LTM cash income taxes (paid)</t>
  </si>
  <si>
    <t>Other capex</t>
  </si>
  <si>
    <t>Plus: Non-recurring expenses</t>
  </si>
  <si>
    <t>Extraordinary items</t>
  </si>
  <si>
    <t xml:space="preserve">(1)  Includes Cuyahoga County (Cleveland), Alleghany County (Pittsburg) as well as several other smaller counties within a 90 minute </t>
  </si>
  <si>
    <t>(2)  Includes VLTs in surrounding parishes and estimates for Coushatta Casino Resort</t>
  </si>
  <si>
    <t>(3)  "People per Position" likely overstated for Lake Charles given the 2.5-hour drive time from the Houston metro area (we include the full</t>
  </si>
  <si>
    <r>
      <t>Lake Charles</t>
    </r>
    <r>
      <rPr>
        <vertAlign val="superscript"/>
        <sz val="10"/>
        <rFont val="Arial"/>
        <family val="2"/>
      </rPr>
      <t>2,3</t>
    </r>
  </si>
  <si>
    <r>
      <t>Youngstown (within 90 minute drive)</t>
    </r>
    <r>
      <rPr>
        <vertAlign val="superscript"/>
        <sz val="10"/>
        <rFont val="Arial"/>
        <family val="2"/>
      </rPr>
      <t>1</t>
    </r>
  </si>
  <si>
    <t>Hollywood Maryland Heights (St. Louis, MO)</t>
  </si>
  <si>
    <t>Hollywood Maryland Heights</t>
  </si>
  <si>
    <t>Arundel Mills temporary casino to open June 2012 and full casino to open a year later</t>
  </si>
  <si>
    <t>Slot revenue at risk</t>
  </si>
  <si>
    <t>% weekday</t>
  </si>
  <si>
    <r>
      <t>Less: cost offsets</t>
    </r>
    <r>
      <rPr>
        <vertAlign val="superscript"/>
        <sz val="10"/>
        <rFont val="Arial"/>
        <family val="2"/>
      </rPr>
      <t>2</t>
    </r>
  </si>
  <si>
    <t>(1) Assumes 10% of table revenues lost</t>
  </si>
  <si>
    <t>(2) Assumes ~15% reduction in other op. expenses</t>
  </si>
  <si>
    <t>2011E Charles Town EBITDA</t>
  </si>
  <si>
    <t>Charles Town EBITDA Impact</t>
  </si>
  <si>
    <t>Charles Town Gaming Revenues</t>
  </si>
  <si>
    <t>Basic shares outstanding</t>
  </si>
  <si>
    <t>Diluted shares outstanding</t>
  </si>
  <si>
    <t>Maintenance capex</t>
  </si>
  <si>
    <t xml:space="preserve">Total </t>
  </si>
  <si>
    <t>Raceway Park - OH</t>
  </si>
  <si>
    <t>Sanford Kennel Club - FL</t>
  </si>
  <si>
    <t>Unconsolidated affiliates</t>
  </si>
  <si>
    <t>Tax expense</t>
  </si>
  <si>
    <t>Total expenses</t>
  </si>
  <si>
    <t>Total Slot Revenue Lost</t>
  </si>
  <si>
    <t>Slot levenue lost</t>
  </si>
  <si>
    <t>Less: gaming taxes</t>
  </si>
  <si>
    <t>% Decline</t>
  </si>
  <si>
    <r>
      <t>Table revenue lost</t>
    </r>
    <r>
      <rPr>
        <vertAlign val="superscript"/>
        <sz val="10"/>
        <rFont val="Arial"/>
        <family val="2"/>
      </rPr>
      <t>1</t>
    </r>
  </si>
  <si>
    <t>USD</t>
  </si>
  <si>
    <t>Pricing Grid for Non-Extended Revolver and Term Loan A</t>
  </si>
  <si>
    <t>Level</t>
  </si>
  <si>
    <t>Total Leverage</t>
  </si>
  <si>
    <t>Unused Fee</t>
  </si>
  <si>
    <t>&gt; 5.50x</t>
  </si>
  <si>
    <t>5.00x &lt; X &lt; 5.50x</t>
  </si>
  <si>
    <t>4.50x &lt; X &lt; 5.00x</t>
  </si>
  <si>
    <t>4.00x &lt; X &lt; 4.50x</t>
  </si>
  <si>
    <t>3.50x &lt; X &lt; 4.00x</t>
  </si>
  <si>
    <t>&lt; 3.50x</t>
  </si>
  <si>
    <t>LIBOR</t>
  </si>
  <si>
    <t>Summary Tables: Bull-Bear-Base Case Assumptions</t>
  </si>
  <si>
    <r>
      <t>PENN Same-Store</t>
    </r>
    <r>
      <rPr>
        <vertAlign val="superscript"/>
        <sz val="10"/>
        <rFont val="Arial"/>
        <family val="2"/>
      </rPr>
      <t>3</t>
    </r>
  </si>
  <si>
    <r>
      <t>PENN Unaffected Properties</t>
    </r>
    <r>
      <rPr>
        <vertAlign val="superscript"/>
        <sz val="10"/>
        <rFont val="Arial"/>
        <family val="2"/>
      </rPr>
      <t>4</t>
    </r>
  </si>
  <si>
    <r>
      <t>Excluding New Openings</t>
    </r>
    <r>
      <rPr>
        <vertAlign val="superscript"/>
        <sz val="10"/>
        <rFont val="Arial"/>
        <family val="2"/>
      </rPr>
      <t>1</t>
    </r>
  </si>
  <si>
    <t>Bull Case Summary</t>
  </si>
  <si>
    <t>Bear Case Summary</t>
  </si>
  <si>
    <t>Guidance</t>
  </si>
  <si>
    <t>Aqueduct w/u/d</t>
  </si>
  <si>
    <t>Aqueduct slots</t>
  </si>
  <si>
    <t>Aqueduct gaming revenues</t>
  </si>
  <si>
    <t>Hanover, MD</t>
  </si>
  <si>
    <t>On pace for late 2010/early 2011 opening</t>
  </si>
  <si>
    <t>unknown</t>
  </si>
  <si>
    <t>Rickman</t>
  </si>
  <si>
    <t>Plus: Covenant adjustments (Argosy, etc.)</t>
  </si>
  <si>
    <t>Average</t>
  </si>
  <si>
    <t>Fwd EBITDA</t>
  </si>
  <si>
    <t>Depreciation and amortization</t>
  </si>
  <si>
    <t>ISLE</t>
  </si>
  <si>
    <t>Gaming Revenue</t>
  </si>
  <si>
    <t>http://www.bls.gov/lau/home.htm</t>
  </si>
  <si>
    <t>% of Penn</t>
  </si>
  <si>
    <t>% Change</t>
  </si>
  <si>
    <t>4Q04</t>
  </si>
  <si>
    <t>No more than 5,000 slots per facility</t>
  </si>
  <si>
    <t>Operate 24 / 7</t>
  </si>
  <si>
    <t>Proceeds/payments from long-term debt</t>
  </si>
  <si>
    <t>Cash Dividends</t>
  </si>
  <si>
    <t>Dept of taxation - $643m of revenue, Cleveland and Columbus - only 10% of revs beyond 60 miles; Cincinnati and Toledo - only 5% beyond 60 miles</t>
  </si>
  <si>
    <t>Difference</t>
  </si>
  <si>
    <t>MSe F13 EBITDAR</t>
  </si>
  <si>
    <t>Mse F13 EBITDAR for OpCo</t>
  </si>
  <si>
    <t>TRS operating expenses</t>
  </si>
  <si>
    <t xml:space="preserve">REIT G&amp;A expenses </t>
  </si>
  <si>
    <t>Slot revenue</t>
  </si>
  <si>
    <t>Table revenue</t>
  </si>
  <si>
    <t>None</t>
  </si>
  <si>
    <t>Perryville, MD</t>
  </si>
  <si>
    <t>Berlin, MD</t>
  </si>
  <si>
    <t>Baltimore, MD</t>
  </si>
  <si>
    <t>DCF Valuation Summary</t>
  </si>
  <si>
    <t>4Q09E</t>
  </si>
  <si>
    <t>Baltimore</t>
  </si>
  <si>
    <t>2.00x &lt; X &lt; 2.50x</t>
  </si>
  <si>
    <t>&lt; 2.000x</t>
  </si>
  <si>
    <t>Minimum Fixed Charge Coverage Ratio</t>
  </si>
  <si>
    <t>Operating Income</t>
  </si>
  <si>
    <t>Debt to EBITDA</t>
  </si>
  <si>
    <t>Operating Income to Penn (50%)</t>
  </si>
  <si>
    <t>2Q13</t>
  </si>
  <si>
    <t>MSe</t>
  </si>
  <si>
    <t>Perryville</t>
  </si>
  <si>
    <t>Eastern PA</t>
  </si>
  <si>
    <t>Harvey, LA Casino</t>
  </si>
  <si>
    <t>New Orleans</t>
  </si>
  <si>
    <t>New Orleans Riverboat Casinos</t>
  </si>
  <si>
    <t>New Orleans Land-based Casinos</t>
  </si>
  <si>
    <t>2Q12/13</t>
  </si>
  <si>
    <t>Rock Gaming plans to open its Cincinnati casino in 1Q13</t>
  </si>
  <si>
    <t>Four applicants; license decision expected in May 2010</t>
  </si>
  <si>
    <t>closer to MD Live</t>
  </si>
  <si>
    <t>3Q13</t>
  </si>
  <si>
    <t>Total Gaming</t>
  </si>
  <si>
    <t>Flat 3%</t>
  </si>
  <si>
    <t>Admission Taxes</t>
  </si>
  <si>
    <t>Total Taxes</t>
  </si>
  <si>
    <t>Total Reported Taxes</t>
  </si>
  <si>
    <t>Admisssion Tax</t>
  </si>
  <si>
    <t>Missouri Taxes</t>
  </si>
  <si>
    <t>&gt;30</t>
  </si>
  <si>
    <t>+ Distributions from joint venture / other</t>
  </si>
  <si>
    <t>&gt;250</t>
  </si>
  <si>
    <t>Tax Levels</t>
  </si>
  <si>
    <t>Admission Tax</t>
  </si>
  <si>
    <t>Gaming Revenues</t>
  </si>
  <si>
    <t>40% of revenue generated on</t>
  </si>
  <si>
    <t>weekdays</t>
  </si>
  <si>
    <t xml:space="preserve">60% of revenue generated on </t>
  </si>
  <si>
    <t>weekends</t>
  </si>
  <si>
    <t>Assumed</t>
  </si>
  <si>
    <t>PENN Pro-Forma Valuation (2014E)</t>
  </si>
  <si>
    <t>Components of rent</t>
  </si>
  <si>
    <t>350 new jobs</t>
  </si>
  <si>
    <t>($in millions)</t>
  </si>
  <si>
    <t>MS EBITDA</t>
  </si>
  <si>
    <t>10-'12</t>
  </si>
  <si>
    <t>Same-Store Revenues</t>
  </si>
  <si>
    <t>(US$ millions, except W/U/D)</t>
  </si>
  <si>
    <t>Gaming revenue, net</t>
  </si>
  <si>
    <t>Total Net revenues</t>
  </si>
  <si>
    <t>Gaming taxes</t>
  </si>
  <si>
    <t>Property expenses</t>
  </si>
  <si>
    <t>Base</t>
  </si>
  <si>
    <t>Bull</t>
  </si>
  <si>
    <t>Bear</t>
  </si>
  <si>
    <t>Removal of $5 bet limit and $20</t>
  </si>
  <si>
    <t>2004m7</t>
  </si>
  <si>
    <t>2004m8</t>
  </si>
  <si>
    <t>2004m9</t>
  </si>
  <si>
    <t>2004m10</t>
  </si>
  <si>
    <t>2004m11</t>
  </si>
  <si>
    <t>2004m12</t>
  </si>
  <si>
    <t>2005m1</t>
  </si>
  <si>
    <t>2005m2</t>
  </si>
  <si>
    <t>Revenue</t>
  </si>
  <si>
    <t>Illinois casino revenue</t>
  </si>
  <si>
    <t>Illinois casino EBITDA</t>
  </si>
  <si>
    <t xml:space="preserve">Other </t>
  </si>
  <si>
    <t>(US$ in millions except per-share data)</t>
  </si>
  <si>
    <t>Change</t>
  </si>
  <si>
    <t>4Q14</t>
  </si>
  <si>
    <t>Project capex (including JV &amp; Jamul)</t>
  </si>
  <si>
    <t>Jamul Advances</t>
  </si>
  <si>
    <t>Total Project Capex (including JV &amp; Jamul)</t>
  </si>
  <si>
    <t>Total (excluding Jamul)</t>
  </si>
  <si>
    <t>1Q15</t>
  </si>
  <si>
    <t>Tropicana (Las Vegas)</t>
  </si>
  <si>
    <t>Food and beverage</t>
  </si>
  <si>
    <t>Gross revenue</t>
  </si>
  <si>
    <t>Room</t>
  </si>
  <si>
    <t>SG&amp;A</t>
  </si>
  <si>
    <t>Maintenance and utilities</t>
  </si>
  <si>
    <t>Write down of other assets</t>
  </si>
  <si>
    <t>Loss on asset disposals, net</t>
  </si>
  <si>
    <t>Gain on lease termination</t>
  </si>
  <si>
    <t>Total operating expenses</t>
  </si>
  <si>
    <t>Operating income / (loss)</t>
  </si>
  <si>
    <t>Promo as % of revenue</t>
  </si>
  <si>
    <t>Casino margin</t>
  </si>
  <si>
    <t>Room margin</t>
  </si>
  <si>
    <t>F&amp;B margin</t>
  </si>
  <si>
    <t>Other margin</t>
  </si>
  <si>
    <t>Less: Project cost</t>
  </si>
  <si>
    <t>Free Cash Flow</t>
  </si>
  <si>
    <t>Property EBIT</t>
  </si>
  <si>
    <t>Less: Taxes (39%)</t>
  </si>
  <si>
    <t>Less: Maintenance capex (3% of net revenue)</t>
  </si>
  <si>
    <t>Less: Maintenance capex (3% of revenue)</t>
  </si>
  <si>
    <t>Debt issuance costs</t>
  </si>
  <si>
    <t>Tropicana EBITDA Valuation</t>
  </si>
  <si>
    <t>Tropicana DCF Valuation</t>
  </si>
  <si>
    <t>Less: Interest Expense</t>
  </si>
  <si>
    <t>Interest Rate</t>
  </si>
  <si>
    <t>Terminal Value @ 10.0x Multiple</t>
  </si>
  <si>
    <t>Less: Maintenance capex (3.5% of net revenue)</t>
  </si>
  <si>
    <t>Less: Host Community Payment</t>
  </si>
  <si>
    <t>Less: Real estate taxes</t>
  </si>
  <si>
    <t>Less: Surrounding community payments</t>
  </si>
  <si>
    <t>Implied Friday visitors</t>
  </si>
  <si>
    <t>Implied Saturday visitors</t>
  </si>
  <si>
    <t>Average Friday/Saturday</t>
  </si>
  <si>
    <t>Peak Visitation Capacity</t>
  </si>
  <si>
    <t>Plainridge</t>
  </si>
  <si>
    <t>Developed</t>
  </si>
  <si>
    <t>Mkt Avg</t>
  </si>
  <si>
    <t>Estimates</t>
  </si>
  <si>
    <t>Average Weekend Visitors / Position</t>
  </si>
  <si>
    <t>Plainridge
Estimates</t>
  </si>
  <si>
    <t>Estimated generic Friday visitation vs. avg</t>
  </si>
  <si>
    <t>Estimated generic Saturday visitation vs. avg</t>
  </si>
  <si>
    <t>OH Dept of Taxation Estimate</t>
  </si>
  <si>
    <t>Racetrack VLTs</t>
  </si>
  <si>
    <t>Consultant #1 Estimate</t>
  </si>
  <si>
    <t>Consultant #2 Estimate</t>
  </si>
  <si>
    <t>Four Casino Total</t>
  </si>
  <si>
    <t>2014
Run-Rate</t>
  </si>
  <si>
    <t>2014
Run-Rate vs. Expectations</t>
  </si>
  <si>
    <t>Average
Expectation</t>
  </si>
  <si>
    <t>Total East / Midwest</t>
  </si>
  <si>
    <t>______</t>
  </si>
  <si>
    <t>Total West</t>
  </si>
  <si>
    <t>Total Southern Plains</t>
  </si>
  <si>
    <t>Annual casino visitors (000s)</t>
  </si>
  <si>
    <t>Average casino visitors / day</t>
  </si>
  <si>
    <t>Total Ohio</t>
  </si>
  <si>
    <t>NJ Online Gaming</t>
  </si>
  <si>
    <t>Forecasted</t>
  </si>
  <si>
    <t>2014 Actual</t>
  </si>
  <si>
    <t>OH Racinos</t>
  </si>
  <si>
    <t>2682105</t>
  </si>
  <si>
    <t>FCFF Calculation</t>
  </si>
  <si>
    <t>Less: Maintenance capex</t>
  </si>
  <si>
    <t>Tax Rate</t>
  </si>
  <si>
    <t>Consolidated NOPBT</t>
  </si>
  <si>
    <t>Consolidated NOPAT</t>
  </si>
  <si>
    <t>3Q16E</t>
  </si>
  <si>
    <t>4Q16E</t>
  </si>
  <si>
    <t>2Q15</t>
  </si>
  <si>
    <t>Adjusted Interest Expense</t>
  </si>
  <si>
    <t>FCFE</t>
  </si>
  <si>
    <t>Tropicana Las Vegas</t>
  </si>
  <si>
    <t>Prairie State Gaming</t>
  </si>
  <si>
    <t>Tropicana</t>
  </si>
  <si>
    <t>2021E</t>
  </si>
  <si>
    <t>2022E</t>
  </si>
  <si>
    <t>2023E</t>
  </si>
  <si>
    <t>2024E</t>
  </si>
  <si>
    <t>2025E</t>
  </si>
  <si>
    <t>Combined PENN/GLPI Equity Value</t>
  </si>
  <si>
    <t>% increase</t>
  </si>
  <si>
    <t>Peak (6/19)</t>
  </si>
  <si>
    <t>Tropicana Opportunity</t>
  </si>
  <si>
    <t>PENN Database</t>
  </si>
  <si>
    <t>% that come to Vegas annually</t>
  </si>
  <si>
    <t>Total PENN Customers in Vegas</t>
  </si>
  <si>
    <t>Avg. Nights Spent</t>
  </si>
  <si>
    <t>Avg. Spend/Night</t>
  </si>
  <si>
    <t>Revenue Opportunity ($mm)</t>
  </si>
  <si>
    <t>Incremental Revenue Opportunity</t>
  </si>
  <si>
    <t>Tropicana 2014 Revenue</t>
  </si>
  <si>
    <t>% of Total PENN Customer Revenue</t>
  </si>
  <si>
    <t>Tropicana Target Capture Rate</t>
  </si>
  <si>
    <t>MSe 2018E Revenue</t>
  </si>
  <si>
    <t>3Q15</t>
  </si>
  <si>
    <t>% of Casino revenue</t>
  </si>
  <si>
    <t>Mgmt Fees from Jamul JV</t>
  </si>
  <si>
    <t>Less Cannibalization Impact on WV EBITDA</t>
  </si>
  <si>
    <t>Less: Jamul construction financing</t>
  </si>
  <si>
    <t>Less: OH racino licensing fees</t>
  </si>
  <si>
    <t>Less: Other capex</t>
  </si>
  <si>
    <t>2015e Cash</t>
  </si>
  <si>
    <t>2016e</t>
  </si>
  <si>
    <t>Less: Tropicana capex</t>
  </si>
  <si>
    <t>Plus: Operating FCF (pre-maintenance capex)</t>
  </si>
  <si>
    <t>2016e year-end cash</t>
  </si>
  <si>
    <t>Total net debt (including capitalized rent)</t>
  </si>
  <si>
    <t>Balance sheet debt</t>
  </si>
  <si>
    <t>Plus: Capitalized rent</t>
  </si>
  <si>
    <t>Less: Jamul receivable + accrued interest</t>
  </si>
  <si>
    <t>Net debt / EBITDAR</t>
  </si>
  <si>
    <t>PENN Cash / Leverage Analysis</t>
  </si>
  <si>
    <t>Less: Cash flow items</t>
  </si>
  <si>
    <t>4Q15</t>
  </si>
  <si>
    <t>Adjusted Property EBITDA</t>
  </si>
  <si>
    <t>Total Reported EBITDA (ex-rent expense)</t>
  </si>
  <si>
    <t>Total Morgan Stanley Adj. EBITDA (ex-rent expense)</t>
  </si>
  <si>
    <t>Incremental Margin (same-store)</t>
  </si>
  <si>
    <t>Terminal Value @ 7x EBITDA</t>
  </si>
  <si>
    <t>Terminal Value @ 8x Multiple</t>
  </si>
  <si>
    <t>Terminal Value @ 6x Multiple</t>
  </si>
  <si>
    <t>Beginning Cash</t>
  </si>
  <si>
    <t>Plus: EBITDA</t>
  </si>
  <si>
    <t>Less: Interest expense</t>
  </si>
  <si>
    <t>Less: Taxes</t>
  </si>
  <si>
    <t>Less: Capex (including Jamul)</t>
  </si>
  <si>
    <t>Less: Acquisitions</t>
  </si>
  <si>
    <t>Plus: Change in debt</t>
  </si>
  <si>
    <t>Ending Cash</t>
  </si>
  <si>
    <t>Actual Ending Cash</t>
  </si>
  <si>
    <t>Delta</t>
  </si>
  <si>
    <t>Cash Flow Analysis</t>
  </si>
  <si>
    <t>Cash taxes</t>
  </si>
  <si>
    <t>Cash interest payments on bonds only paid in 2Q / 4Q</t>
  </si>
  <si>
    <t>Part of Jamul spend is cap interest</t>
  </si>
  <si>
    <t>Maintenance capex came in a little bit lower in 4Q</t>
  </si>
  <si>
    <t>Non-operating items for Kanas JV</t>
  </si>
  <si>
    <t>Income from unconsolidated affiliates</t>
  </si>
  <si>
    <t>Restated</t>
  </si>
  <si>
    <t>Depreciation of real assets</t>
  </si>
  <si>
    <t>Interest expense of financing component</t>
  </si>
  <si>
    <t>% financing</t>
  </si>
  <si>
    <t>% depreciation</t>
  </si>
  <si>
    <t>Depreciation of Master Lease Assets</t>
  </si>
  <si>
    <t>Current portion of financing obligation to GLPI</t>
  </si>
  <si>
    <t>Principal payments on financing obligation with GLPI</t>
  </si>
  <si>
    <t>Advances to the Jamul Tribe</t>
  </si>
  <si>
    <t>Other operating expense</t>
  </si>
  <si>
    <t>Long-term financing obligation to GLPI</t>
  </si>
  <si>
    <t xml:space="preserve">             </t>
  </si>
  <si>
    <t>Tax Impact</t>
  </si>
  <si>
    <t>After-GGR Tax Revenue</t>
  </si>
  <si>
    <t>+ Non-cash depreciation</t>
  </si>
  <si>
    <t>WMT Traffic</t>
  </si>
  <si>
    <t>F2Q13</t>
  </si>
  <si>
    <t>F3Q13</t>
  </si>
  <si>
    <t>F4Q13</t>
  </si>
  <si>
    <t>F1Q14</t>
  </si>
  <si>
    <t>F2Q14</t>
  </si>
  <si>
    <t>F3Q14</t>
  </si>
  <si>
    <t>F4Q14</t>
  </si>
  <si>
    <t>F1Q15</t>
  </si>
  <si>
    <t>F2Q15</t>
  </si>
  <si>
    <t>F3Q15</t>
  </si>
  <si>
    <t>F4Q15</t>
  </si>
  <si>
    <t>F1Q16</t>
  </si>
  <si>
    <t>F2Q16</t>
  </si>
  <si>
    <t>F3Q16</t>
  </si>
  <si>
    <t>F4Q16</t>
  </si>
  <si>
    <t>F1Q17</t>
  </si>
  <si>
    <t>MSe Current</t>
  </si>
  <si>
    <t>MSe Prior</t>
  </si>
  <si>
    <t>BURL Traffic</t>
  </si>
  <si>
    <t>F1Q13</t>
  </si>
  <si>
    <t>F1Q12</t>
  </si>
  <si>
    <t>F2Q12</t>
  </si>
  <si>
    <t>F3Q12</t>
  </si>
  <si>
    <t>F4Q12</t>
  </si>
  <si>
    <t>Actual revenue</t>
  </si>
  <si>
    <t>Revenue guidance</t>
  </si>
  <si>
    <t>Beat / (miss) - $</t>
  </si>
  <si>
    <t>Beat / (miss) - %</t>
  </si>
  <si>
    <t>FY revenue guidance increase / (decrease)</t>
  </si>
  <si>
    <t>1Q16</t>
  </si>
  <si>
    <t>PENN stock performance</t>
  </si>
  <si>
    <t>S&amp;P 500 performance</t>
  </si>
  <si>
    <t>PENN vs. S&amp;P 500</t>
  </si>
  <si>
    <t>FY EBITDA guidance increase / (decrease)</t>
  </si>
  <si>
    <t>BYD stock performance</t>
  </si>
  <si>
    <t>BYD vs. S&amp;P 500</t>
  </si>
  <si>
    <t>PENN / BYD Beat and Raise Track Record</t>
  </si>
  <si>
    <t>Actual EBITDA</t>
  </si>
  <si>
    <t>EBITDA guidance</t>
  </si>
  <si>
    <t>BYD Stock Performance vs. S&amp;P</t>
  </si>
  <si>
    <t>BYD 2015 EBITDA Guidance Change</t>
  </si>
  <si>
    <t>PENN 2015 EBITDA Guidance Change</t>
  </si>
  <si>
    <t>PENN Stock Performance vs. S&amp;P</t>
  </si>
  <si>
    <t>Number of Rooms</t>
  </si>
  <si>
    <t>Resort Fee</t>
  </si>
  <si>
    <t>Hollywood Casino Tunica</t>
  </si>
  <si>
    <t>Hollywood Casino Joliet</t>
  </si>
  <si>
    <t>Hollywood Casino Gulf Coast</t>
  </si>
  <si>
    <t>Hollywood Casino St. Louis</t>
  </si>
  <si>
    <t>Northeast (WV, ME, PA, OH, MA, Casino Rama)</t>
  </si>
  <si>
    <t>South/West (NM, NV, MS, Jamul)</t>
  </si>
  <si>
    <t>Northeast</t>
  </si>
  <si>
    <t>Midwest (IL, MS, MO, IN, PSG, KS)</t>
  </si>
  <si>
    <t>South/West</t>
  </si>
  <si>
    <t>Margin - Northeast</t>
  </si>
  <si>
    <t>Margin - South/West</t>
  </si>
  <si>
    <t>Margin - Midwest</t>
  </si>
  <si>
    <t>Rocket Games Acquisition</t>
  </si>
  <si>
    <t>Implied Purchase Multiple</t>
  </si>
  <si>
    <t>Year 1 EBITDA</t>
  </si>
  <si>
    <t>Earn-out multiple</t>
  </si>
  <si>
    <t>Year 2 EBITDA</t>
  </si>
  <si>
    <t>Total Purchase Price</t>
  </si>
  <si>
    <t>Initial Purchase Price</t>
  </si>
  <si>
    <t>Year 1 Earn-out ($40m cap)</t>
  </si>
  <si>
    <t>Year 2 Earn-out ($50m cap)</t>
  </si>
  <si>
    <t>Year 2 Sweetener</t>
  </si>
  <si>
    <t>2Q16</t>
  </si>
  <si>
    <t>1Q17E</t>
  </si>
  <si>
    <t>2Q17E</t>
  </si>
  <si>
    <t>3Q17E</t>
  </si>
  <si>
    <t>4Q17E</t>
  </si>
  <si>
    <t>3Q16A</t>
  </si>
  <si>
    <t>Rocket Games</t>
  </si>
  <si>
    <t>3Q16</t>
  </si>
  <si>
    <t>Organic Gaming Revenue Growth (ex-cannibalization</t>
  </si>
  <si>
    <t>Same-store growth</t>
  </si>
  <si>
    <t xml:space="preserve"> </t>
  </si>
  <si>
    <t>Industry same-store growth</t>
  </si>
  <si>
    <t>% of total PENN</t>
  </si>
  <si>
    <t>2018 - PT</t>
  </si>
  <si>
    <t>2018 - Current</t>
  </si>
  <si>
    <t>YE17</t>
  </si>
  <si>
    <t>$400m 5.625% Senior Notes due 2027</t>
  </si>
  <si>
    <t>Penn $700m Revolving Credit Facility due 2022</t>
  </si>
  <si>
    <t>Penn $300m Term Loan A Facility due 2022</t>
  </si>
  <si>
    <t>Penn $500m Term Loan B Facility due 2024</t>
  </si>
  <si>
    <t>Employee Reimbursement runs through PENN Revenue but Nets Out</t>
  </si>
  <si>
    <t>Total EBT Impact to PENN</t>
  </si>
  <si>
    <t>Stock Price</t>
  </si>
  <si>
    <t>+/- Share repurchases</t>
  </si>
  <si>
    <t>4Q16</t>
  </si>
  <si>
    <t>770-771</t>
  </si>
  <si>
    <t>222-223</t>
  </si>
  <si>
    <t>Impact of Ballys / Resorts Tunica Acquisition</t>
  </si>
  <si>
    <t>LTM EBITDAR</t>
  </si>
  <si>
    <t>Initial Rent</t>
  </si>
  <si>
    <t>Marquee Rewards integration</t>
  </si>
  <si>
    <t>Total Incremental Capex</t>
  </si>
  <si>
    <t>Total Investment</t>
  </si>
  <si>
    <t>Implied All-in Multiple</t>
  </si>
  <si>
    <t>Initial EBITDA Multiple</t>
  </si>
  <si>
    <t>Initial EBITDAR Multiple</t>
  </si>
  <si>
    <t>Multiple Paid</t>
  </si>
  <si>
    <t>Accretion / (Dilution)</t>
  </si>
  <si>
    <t>Marquee Rewards Uplift</t>
  </si>
  <si>
    <t>Pro Forma EBITDA</t>
  </si>
  <si>
    <t>Incremental Enterprise Value</t>
  </si>
  <si>
    <t>Less: Incremental Net Debt</t>
  </si>
  <si>
    <t>Incremental Equity Value</t>
  </si>
  <si>
    <t>Incremental Value per Share</t>
  </si>
  <si>
    <t>Current Share Price</t>
  </si>
  <si>
    <t>Less: Rent</t>
  </si>
  <si>
    <t>Pro Forma EBITDAR</t>
  </si>
  <si>
    <t>Plus: Synergies</t>
  </si>
  <si>
    <t>Pro Forma Multiple</t>
  </si>
  <si>
    <t>Ballys / Resorts Tunica (MS)</t>
  </si>
  <si>
    <t>Ballys / Resorts Tunica</t>
  </si>
  <si>
    <t>1Q17</t>
  </si>
  <si>
    <t>PENN NTM EBITDA Multiple</t>
  </si>
  <si>
    <t xml:space="preserve">PENN Regional GGR Growth </t>
  </si>
  <si>
    <t>% growth (same-store)</t>
  </si>
  <si>
    <t xml:space="preserve">PENN Net Same-store Net Rev Growth </t>
  </si>
  <si>
    <t>Organic SS Net Rev Growth</t>
  </si>
  <si>
    <t>3Q18E</t>
  </si>
  <si>
    <t>4Q18E</t>
  </si>
  <si>
    <t>1Q18E</t>
  </si>
  <si>
    <t>2Q18E</t>
  </si>
  <si>
    <t>2Q17</t>
  </si>
  <si>
    <t>2019 Rent Reset</t>
  </si>
  <si>
    <t>Average revenue over prior 5 years</t>
  </si>
  <si>
    <t>Rent Reset (4% of avg)</t>
  </si>
  <si>
    <t>YE18</t>
  </si>
  <si>
    <t>Less: YE18E Net Debt</t>
  </si>
  <si>
    <t>PNK OpCo</t>
  </si>
  <si>
    <t>Gross Gaming Revenue</t>
  </si>
  <si>
    <t>Other + Promotional Allowances</t>
  </si>
  <si>
    <t>Ameristar Council Bluffs (IA)</t>
  </si>
  <si>
    <t>Ameristar East Chicago (IN)</t>
  </si>
  <si>
    <t>Ameristar Kansas City (MO)</t>
  </si>
  <si>
    <t>Ameristar St. Charles (MO)</t>
  </si>
  <si>
    <t>Belterra Casino Resort (IN)</t>
  </si>
  <si>
    <t>Boomton Bossier City (LA)</t>
  </si>
  <si>
    <t>Boomton New Orleans (LA)</t>
  </si>
  <si>
    <t>L'Auberge Baton Rouge (LA)</t>
  </si>
  <si>
    <t>L'Auberge Lake Charles (LA)</t>
  </si>
  <si>
    <t>Meadows (PA)</t>
  </si>
  <si>
    <t>River City (MO)</t>
  </si>
  <si>
    <t>Belterra Park (OH)</t>
  </si>
  <si>
    <t>State-reported GGR</t>
  </si>
  <si>
    <t>Growth</t>
  </si>
  <si>
    <t>Margin - PNK OpCo</t>
  </si>
  <si>
    <t>PENN Master Lease</t>
  </si>
  <si>
    <t>PNK Master Lease</t>
  </si>
  <si>
    <t>Building Base Rent</t>
  </si>
  <si>
    <t>Fixed Land Rent</t>
  </si>
  <si>
    <t>Variable Land Rent</t>
  </si>
  <si>
    <t>Total Rent from PNK</t>
  </si>
  <si>
    <t>Meadows Lease</t>
  </si>
  <si>
    <t>Base Rent</t>
  </si>
  <si>
    <t>Percentage Rent</t>
  </si>
  <si>
    <t>Total Meadows Rent</t>
  </si>
  <si>
    <t>Total Rent Expense</t>
  </si>
  <si>
    <t>PNK Merger Analysis</t>
  </si>
  <si>
    <t>PNK Shares</t>
  </si>
  <si>
    <t>Cash per share</t>
  </si>
  <si>
    <t>PENN shares issued</t>
  </si>
  <si>
    <t>PENN share ratio</t>
  </si>
  <si>
    <t>PENN stock price</t>
  </si>
  <si>
    <t>Total for PNK Equity</t>
  </si>
  <si>
    <t>Plus: PNK debt</t>
  </si>
  <si>
    <t>Plus: Transaction fees</t>
  </si>
  <si>
    <t>PNK purchase price</t>
  </si>
  <si>
    <t>Less: Proceeds from BYD</t>
  </si>
  <si>
    <t>Less: Proceeds from GLPI</t>
  </si>
  <si>
    <t>Less: Incremental FCF to close</t>
  </si>
  <si>
    <t>Cumulative purchase price</t>
  </si>
  <si>
    <t>Less: Rent step-up to GLPI</t>
  </si>
  <si>
    <t>Cumulative incremental EBITDA</t>
  </si>
  <si>
    <t>Less: EBITDAR of divested properties</t>
  </si>
  <si>
    <t>Cumulative EBITDA Impact</t>
  </si>
  <si>
    <t>Less: Incremental net debt</t>
  </si>
  <si>
    <t>Incremental enterprise value</t>
  </si>
  <si>
    <t>Incremental equity value</t>
  </si>
  <si>
    <t>Pro forma shares</t>
  </si>
  <si>
    <t>Incremental equity per share</t>
  </si>
  <si>
    <t>Less: Dilutive impact from equity offering</t>
  </si>
  <si>
    <t>Pro forma incremental equity value per share</t>
  </si>
  <si>
    <t>% accretion / (dilution)</t>
  </si>
  <si>
    <t>Property operating Expenses</t>
  </si>
  <si>
    <t>Corporate expense - legacy PENN</t>
  </si>
  <si>
    <t>Corporate expense - legacy PNK</t>
  </si>
  <si>
    <t>Synergies</t>
  </si>
  <si>
    <t>Total corporate expense</t>
  </si>
  <si>
    <t>Proceeds / (Repurchase) of common stock</t>
  </si>
  <si>
    <t>New Term Loan B Facility</t>
  </si>
  <si>
    <t>Plus: YE18 Jamul Receivable</t>
  </si>
  <si>
    <t>Assumed PENN valuation multiple</t>
  </si>
  <si>
    <t>Less: PNK existing GLPI ML rent</t>
  </si>
  <si>
    <t>Less: Plainridge Park rent to GLPI</t>
  </si>
  <si>
    <t>Adjusted EBITDA (pre-corporate synergies)</t>
  </si>
  <si>
    <t>Less: Meadows rent</t>
  </si>
  <si>
    <t>Implied post-synergy multiple on purchase price (ex. fees)</t>
  </si>
  <si>
    <t>Implied post-synergy multiple on purchase price (incl. fees)</t>
  </si>
  <si>
    <t>Implied pre-synergy multiple on purchase price (ex. fees)</t>
  </si>
  <si>
    <t>Implied pre-synergy multiple on purchase price (incl. fees)</t>
  </si>
  <si>
    <t>3Q17</t>
  </si>
  <si>
    <t>Interest as a % of EBITDA</t>
  </si>
  <si>
    <t>Cap</t>
  </si>
  <si>
    <t>Lost interest deductibility</t>
  </si>
  <si>
    <t>US EBITDA (ex-rent)</t>
  </si>
  <si>
    <t>US interest expense (ex-financing obligation)</t>
  </si>
  <si>
    <t>Adjusted EBITDA ex-PNK acquisition</t>
  </si>
  <si>
    <t>4Q17A</t>
  </si>
  <si>
    <t>2017A</t>
  </si>
  <si>
    <t>PENN FCF Bridge</t>
  </si>
  <si>
    <t>Rent</t>
  </si>
  <si>
    <t>PENN EBITDAR</t>
  </si>
  <si>
    <t>PNK EBITDAR</t>
  </si>
  <si>
    <t xml:space="preserve">Taxes </t>
  </si>
  <si>
    <t>Capex</t>
  </si>
  <si>
    <t xml:space="preserve">              </t>
  </si>
  <si>
    <t>($m)</t>
  </si>
  <si>
    <t>- Capitalized interest / Non-cash Interest Expense</t>
  </si>
  <si>
    <t>Cash Interest Expense</t>
  </si>
  <si>
    <t>1Q17e net revenue</t>
  </si>
  <si>
    <t>2018e revenue guidance</t>
  </si>
  <si>
    <t>Implied 2Q-4Q18 revenue</t>
  </si>
  <si>
    <t>2Q-4Q17 revenue</t>
  </si>
  <si>
    <t>Implied 2Q-4Q18 growth</t>
  </si>
  <si>
    <t>Plus: Tunica revenue</t>
  </si>
  <si>
    <t>1Q18e same-store revenue</t>
  </si>
  <si>
    <t>Implied 1Q18e total net revenue</t>
  </si>
  <si>
    <t>QTD same-store decline</t>
  </si>
  <si>
    <t>PENN 2018e Revenue Growth</t>
  </si>
  <si>
    <t>SSS Revenue Growth</t>
  </si>
  <si>
    <t>Total Revenue</t>
  </si>
  <si>
    <t>- Jamul</t>
  </si>
  <si>
    <t>- Charles Town</t>
  </si>
  <si>
    <t>- Ballys/Resorts Tunica</t>
  </si>
  <si>
    <t>Total SSS Revenue ex CT</t>
  </si>
  <si>
    <t>Total SSS Revenue incl. CT</t>
  </si>
  <si>
    <t>2Q-4Q18 growth ex Jamul / 1 month of Tunica</t>
  </si>
  <si>
    <t>4Q17</t>
  </si>
  <si>
    <t>Consensus PNK 2018e EBITDAR (at time of acq)</t>
  </si>
  <si>
    <t>31</t>
  </si>
  <si>
    <t>Research</t>
  </si>
  <si>
    <t>MSA12371</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</si>
  <si>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</si>
  <si>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</si>
  <si>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</si>
  <si>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</si>
  <si>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</si>
  <si>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</si>
  <si>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</si>
  <si>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Thomas Allen</t>
  </si>
  <si>
    <t>Date: 24 Apr 2018</t>
  </si>
  <si>
    <t>Ticker: PENN.O</t>
  </si>
  <si>
    <t>Stock Rating: Equal-Weight</t>
  </si>
  <si>
    <t>Industry: Gaming &amp; Lodging</t>
  </si>
  <si>
    <t>Industry View: In-Line</t>
  </si>
  <si>
    <t>Price as of 24 Apr 2018: 27.51</t>
  </si>
  <si>
    <t>Target Price: 29</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</si>
  <si>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</si>
  <si>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</si>
  <si>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</si>
  <si>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</si>
  <si>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Penn National Gaming,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</si>
  <si>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</si>
  <si>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</si>
  <si>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</si>
  <si>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</si>
  <si>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</si>
  <si>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</si>
  <si>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</si>
  <si>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</si>
  <si>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</si>
  <si>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</si>
  <si>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</si>
  <si>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</si>
  <si>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</si>
  <si>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</si>
  <si>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</si>
  <si>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</si>
  <si>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</si>
  <si>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</si>
  <si>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</si>
  <si>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</si>
  <si>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</si>
  <si>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</si>
  <si>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</si>
  <si>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</si>
  <si>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</si>
  <si>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</si>
  <si>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</si>
  <si>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</si>
  <si>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</si>
  <si>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</si>
  <si>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</si>
  <si>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</si>
  <si>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</si>
  <si>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</si>
  <si>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</si>
  <si>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</si>
  <si>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</si>
  <si>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</si>
  <si>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</si>
  <si>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</si>
  <si>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</si>
  <si>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</si>
  <si>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</si>
  <si>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</si>
  <si>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</si>
  <si>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</si>
  <si>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</si>
  <si>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</si>
  <si>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</si>
  <si>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</si>
  <si>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</si>
  <si>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</si>
  <si>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</si>
  <si>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</si>
  <si>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</si>
  <si>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</si>
  <si>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</si>
  <si>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</si>
  <si>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</si>
  <si>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</si>
  <si>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</si>
  <si>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</si>
  <si>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</si>
  <si>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</si>
  <si>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</si>
  <si>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</si>
  <si>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</si>
  <si>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</si>
  <si>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</si>
  <si>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</si>
  <si>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</si>
  <si>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</si>
  <si>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</si>
  <si>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</si>
  <si>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</si>
  <si>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</si>
  <si>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</si>
  <si>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</si>
  <si>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</si>
  <si>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</si>
  <si>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</si>
  <si>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</si>
  <si>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</si>
  <si>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</si>
  <si>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</si>
  <si>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</si>
  <si>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</si>
  <si>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</si>
  <si>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</si>
  <si>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</si>
  <si>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</si>
  <si>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</si>
  <si>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</si>
  <si>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</si>
  <si>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</si>
  <si>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</si>
  <si>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</si>
  <si>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</si>
  <si>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</si>
  <si>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</si>
  <si>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</si>
  <si>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</si>
  <si>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</si>
  <si>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</si>
  <si>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</si>
  <si>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</si>
  <si>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</si>
  <si>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</si>
  <si>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</si>
  <si>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</si>
  <si>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</si>
  <si>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</si>
  <si>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</si>
  <si>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</si>
  <si>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</si>
  <si>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</si>
  <si>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</si>
  <si>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</si>
  <si>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</si>
  <si>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</si>
  <si>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</si>
  <si>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</si>
  <si>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</si>
  <si>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</si>
  <si>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</si>
  <si>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</si>
  <si>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</si>
  <si>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</si>
  <si>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</si>
  <si>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</si>
  <si>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</si>
  <si>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</si>
  <si>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</si>
  <si>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</si>
  <si>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</si>
  <si>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</si>
  <si>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</si>
  <si>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</si>
  <si>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</si>
  <si>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</si>
  <si>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</si>
  <si>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</si>
  <si>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</si>
  <si>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</si>
  <si>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</si>
  <si>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</si>
  <si>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</si>
  <si>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</si>
  <si>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</si>
  <si>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</si>
  <si>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</si>
  <si>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</si>
  <si>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</si>
  <si>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</si>
  <si>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</si>
  <si>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</si>
  <si>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</si>
  <si>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</si>
  <si>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</si>
  <si>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</si>
  <si>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</si>
  <si>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</si>
  <si>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</si>
  <si>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</si>
  <si>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</si>
  <si>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</si>
  <si>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</si>
  <si>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</si>
  <si>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</si>
  <si>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</si>
  <si>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</si>
  <si>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</si>
  <si>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</si>
  <si>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</si>
  <si>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</si>
  <si>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</si>
  <si>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</si>
  <si>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</si>
  <si>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</si>
  <si>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</si>
  <si>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</si>
  <si>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</si>
  <si>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</si>
  <si>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</si>
  <si>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</si>
  <si>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</si>
  <si>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</si>
  <si>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</si>
  <si>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</si>
  <si>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</si>
  <si>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</si>
  <si>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</si>
  <si>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</si>
  <si>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</si>
  <si>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</si>
  <si>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</si>
  <si>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</si>
  <si>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</si>
  <si>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</si>
  <si>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</si>
  <si>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</si>
  <si>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</si>
  <si>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</si>
  <si>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</si>
  <si>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</si>
  <si>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</si>
  <si>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</si>
  <si>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</si>
  <si>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</si>
  <si>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</si>
  <si>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</si>
  <si>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</si>
  <si>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</si>
  <si>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</si>
  <si>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</si>
  <si>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</si>
  <si>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</si>
  <si>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</si>
  <si>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</si>
  <si>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</si>
  <si>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</si>
  <si>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</si>
  <si>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</si>
  <si>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</si>
  <si>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</si>
  <si>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</si>
  <si>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</si>
  <si>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</si>
  <si>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</si>
  <si>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</si>
  <si>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</si>
  <si>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</si>
  <si>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</si>
  <si>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</si>
  <si>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</si>
  <si>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</si>
  <si>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</si>
  <si>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</si>
  <si>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</si>
  <si>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</si>
  <si>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</si>
  <si>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</si>
  <si>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Penn National Gaming, Inc..</t>
  </si>
  <si>
    <t>Within the last 12 months, Morgan Stanley has provided or is providing investment banking services to,</t>
  </si>
  <si>
    <t>or has an investment banking client relationship with, the following company: Penn National Gaming, Inc..</t>
  </si>
  <si>
    <t>Within the last 12 months, Morgan Stanley has received compensation for products and services other than</t>
  </si>
  <si>
    <t>investment banking services from Penn National Gaming, Inc..</t>
  </si>
  <si>
    <t>In the next 3 months, Morgan Stanley expects to receive or intends to seek compensation for investment</t>
  </si>
  <si>
    <t>banking services from Penn National Gaming,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</si>
  <si>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</si>
  <si>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</si>
  <si>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</si>
  <si>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</si>
  <si>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</si>
  <si>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Thomas Allen.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</si>
  <si>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</si>
  <si>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</si>
  <si>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</si>
  <si>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</si>
  <si>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</si>
  <si>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</si>
  <si>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</si>
  <si>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</si>
  <si>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</si>
  <si>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</si>
  <si>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</si>
  <si>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</si>
  <si>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</si>
  <si>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</si>
  <si>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</si>
  <si>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</si>
  <si>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</si>
  <si>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</si>
  <si>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</si>
  <si>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</si>
  <si>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</si>
  <si>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</si>
  <si>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</si>
  <si>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</si>
  <si>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</si>
  <si>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</si>
  <si>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</si>
  <si>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</si>
  <si>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</si>
  <si>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</si>
  <si>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</si>
  <si>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</si>
  <si>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</si>
  <si>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</si>
  <si>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</si>
  <si>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</si>
  <si>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</si>
  <si>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</si>
  <si>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</si>
  <si>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</si>
  <si>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</si>
  <si>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</si>
  <si>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</si>
  <si>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</si>
  <si>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</si>
  <si>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</si>
  <si>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</si>
  <si>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</si>
  <si>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</si>
  <si>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</si>
  <si>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</si>
  <si>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</si>
  <si>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</si>
  <si>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</si>
  <si>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</si>
  <si>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</si>
  <si>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</si>
  <si>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</si>
  <si>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</si>
  <si>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</si>
  <si>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</si>
  <si>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</si>
  <si>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</si>
  <si>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</si>
  <si>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</si>
  <si>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</si>
  <si>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</si>
  <si>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</si>
  <si>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</si>
  <si>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</si>
  <si>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delalio</t>
  </si>
  <si>
    <t>L:\GAMING\Strawn\Gaming\Models\PENN\PENN WIP.xlsm</t>
  </si>
  <si>
    <t>[BRO MSA]</t>
  </si>
  <si>
    <t>[PRODUCT MODEL]</t>
  </si>
  <si>
    <t>[EMAIL_ALERT YES]</t>
  </si>
  <si>
    <t>[DISCIPLINE Company]</t>
  </si>
  <si>
    <t>[SUPPRESSED NO]</t>
  </si>
  <si>
    <t>[DOCDAT 2018-04-24]</t>
  </si>
  <si>
    <t>[DOCTIME 07:37]</t>
  </si>
  <si>
    <t>[PSYM PENN.O(S&amp;P) (None)]</t>
  </si>
  <si>
    <t>[COU 1]</t>
  </si>
  <si>
    <t>[ANA ]</t>
  </si>
  <si>
    <t>[HL PENN.O Model]</t>
  </si>
  <si>
    <t>[IND GAMCAS HOTMOT]</t>
  </si>
  <si>
    <t>[PANA MSA12371]</t>
  </si>
</sst>
</file>

<file path=xl/styles.xml><?xml version="1.0" encoding="utf-8"?>
<styleSheet xmlns="http://schemas.openxmlformats.org/spreadsheetml/2006/main" xmlns:mc="http://schemas.openxmlformats.org/markup-compatibility/2006" xmlns:x14ac="http://schemas.microsoft.com/office/spreadsheetml/2009/9/ac" mc:Ignorable="x14ac">
  <numFmts count="42">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_)"/>
    <numFmt numFmtId="165" formatCode="0.0%"/>
    <numFmt numFmtId="166" formatCode="#,##0.0_);\(#,##0.0\)"/>
    <numFmt numFmtId="167" formatCode="#,##0.000_);\(#,##0.000\)"/>
    <numFmt numFmtId="168" formatCode="&quot;$&quot;#,##0.0_);\(&quot;$&quot;#,##0.0\)"/>
    <numFmt numFmtId="169" formatCode="0.0"/>
    <numFmt numFmtId="170" formatCode="0.0\x"/>
    <numFmt numFmtId="171" formatCode="0.000%"/>
    <numFmt numFmtId="172" formatCode="0.00\x"/>
    <numFmt numFmtId="173" formatCode="\L\ \+\ 0.00%"/>
    <numFmt numFmtId="174" formatCode="_(* #,##0.0_);_(* \(#,##0.0\);_(* &quot;-&quot;_);_(@_)"/>
    <numFmt numFmtId="175" formatCode="mm/dd/yy;@"/>
    <numFmt numFmtId="176" formatCode="0_);\(0\)"/>
    <numFmt numFmtId="177" formatCode="_(* #,##0.00_);_(* \(#,##0.00\);_(* &quot;-&quot;_);_(@_)"/>
    <numFmt numFmtId="178" formatCode="m/d/yy;@"/>
    <numFmt numFmtId="179" formatCode="[$-409]mmm\-yy;@"/>
    <numFmt numFmtId="185" formatCode="#,##0.0000_);\(#,##0.0000\)"/>
    <numFmt numFmtId="186" formatCode="_(* #,##0.000_);_(* \(#,##0.000\);_(* &quot;-&quot;_);_(@_)"/>
    <numFmt numFmtId="187" formatCode="_(* #,##0_);_(* \(#,##0\);_(* &quot;-&quot;??_);_(@_)"/>
    <numFmt numFmtId="188" formatCode="&quot;$&quot;#,##0.000_);\(&quot;$&quot;#,##0.000\)"/>
    <numFmt numFmtId="189" formatCode="#,##0.00\x"/>
    <numFmt numFmtId="190" formatCode="_(* #,##0.0_);_(* \(#,##0.0\);_(* &quot;-&quot;??_);_(@_)"/>
    <numFmt numFmtId="191" formatCode="0.0&quot;x&quot;"/>
    <numFmt numFmtId="192" formatCode="0.0_)"/>
    <numFmt numFmtId="193" formatCode="0.0&quot;x&quot;_)"/>
    <numFmt numFmtId="194" formatCode="0.00&quot;x&quot;"/>
    <numFmt numFmtId="195" formatCode="#,##0.000000000000_);\(#,##0.000000000000\)"/>
    <numFmt numFmtId="196" formatCode="0&quot;E&quot;"/>
    <numFmt numFmtId="197" formatCode="#,##0.0"/>
    <numFmt numFmtId="198" formatCode="#,##0.0000"/>
    <numFmt numFmtId="199" formatCode="0.00&quot;x&quot;_)"/>
    <numFmt numFmtId="200" formatCode="0&quot;e&quot;_)"/>
    <numFmt numFmtId="201" formatCode="#,##0.000"/>
    <numFmt numFmtId="202" formatCode="#,##0.00000000000000_);\(#,##0.00000000000000\)"/>
    <numFmt numFmtId="208" formatCode="mm/dd/yy\ hh:mm"/>
  </numFmts>
  <fonts count="172" x14ac:knownFonts="1">
    <font>
      <sz val="12"/>
      <name val="Times New Roman"/>
    </font>
    <font>
      <sz val="10"/>
      <name val="Arial"/>
      <family val="2"/>
    </font>
    <font>
      <sz val="10"/>
      <name val="Helvetica"/>
      <family val="2"/>
    </font>
    <font>
      <sz val="10"/>
      <color indexed="12"/>
      <name val="Helvetica"/>
      <family val="2"/>
    </font>
    <font>
      <b/>
      <sz val="10"/>
      <name val="helvetica"/>
      <family val="2"/>
    </font>
    <font>
      <sz val="10"/>
      <color indexed="10"/>
      <name val="Helvetica"/>
      <family val="2"/>
    </font>
    <font>
      <b/>
      <u/>
      <sz val="10"/>
      <name val="Helvetica"/>
      <family val="2"/>
    </font>
    <font>
      <sz val="10"/>
      <color indexed="12"/>
      <name val="Helvetica"/>
      <family val="2"/>
    </font>
    <font>
      <sz val="10"/>
      <name val="Times New Roman"/>
      <family val="1"/>
    </font>
    <font>
      <sz val="10"/>
      <name val="Arial"/>
      <family val="2"/>
    </font>
    <font>
      <u/>
      <sz val="9"/>
      <color indexed="12"/>
      <name val="Times New Roman"/>
      <family val="1"/>
    </font>
    <font>
      <b/>
      <sz val="10"/>
      <name val="Arial"/>
      <family val="2"/>
    </font>
    <font>
      <sz val="10"/>
      <name val="Times New Roman"/>
      <family val="1"/>
    </font>
    <font>
      <sz val="8"/>
      <name val="Times New Roman"/>
      <family val="1"/>
    </font>
    <font>
      <b/>
      <sz val="8"/>
      <name val="Arial"/>
      <family val="2"/>
    </font>
    <font>
      <sz val="8"/>
      <name val="Arial"/>
      <family val="2"/>
    </font>
    <font>
      <b/>
      <sz val="11"/>
      <name val="Helvetica"/>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b/>
      <sz val="10"/>
      <name val="Times New Roman"/>
      <family val="1"/>
    </font>
    <font>
      <i/>
      <sz val="10"/>
      <name val="Times New Roman"/>
      <family val="1"/>
    </font>
    <font>
      <b/>
      <u/>
      <sz val="10"/>
      <name val="Times New Roman"/>
      <family val="1"/>
    </font>
    <font>
      <sz val="10"/>
      <color indexed="12"/>
      <name val="Times New Roman"/>
      <family val="1"/>
    </font>
    <font>
      <u/>
      <sz val="10"/>
      <name val="Times New Roman"/>
      <family val="1"/>
    </font>
    <font>
      <i/>
      <sz val="10"/>
      <color indexed="12"/>
      <name val="Times New Roman"/>
      <family val="1"/>
    </font>
    <font>
      <b/>
      <sz val="10"/>
      <name val="Times New Roman"/>
      <family val="1"/>
    </font>
    <font>
      <sz val="10"/>
      <color indexed="12"/>
      <name val="Times New Roman"/>
      <family val="1"/>
    </font>
    <font>
      <b/>
      <sz val="10"/>
      <name val="helvetica"/>
      <family val="2"/>
    </font>
    <font>
      <sz val="10"/>
      <color indexed="14"/>
      <name val="Helvetica"/>
      <family val="2"/>
    </font>
    <font>
      <b/>
      <u/>
      <sz val="10"/>
      <name val="Helvetica"/>
      <family val="2"/>
    </font>
    <font>
      <u/>
      <sz val="10"/>
      <name val="Helvetica"/>
      <family val="2"/>
    </font>
    <font>
      <u/>
      <sz val="10"/>
      <name val="Times New Roman"/>
      <family val="1"/>
    </font>
    <font>
      <u/>
      <sz val="10"/>
      <color indexed="12"/>
      <name val="Times New Roman"/>
      <family val="1"/>
    </font>
    <font>
      <sz val="10"/>
      <name val="Helv"/>
    </font>
    <font>
      <sz val="10"/>
      <name val="Helvetica"/>
      <family val="2"/>
    </font>
    <font>
      <b/>
      <sz val="12"/>
      <name val="Times New Roman"/>
      <family val="1"/>
    </font>
    <font>
      <sz val="8"/>
      <name val="Arial"/>
      <family val="2"/>
    </font>
    <font>
      <sz val="10"/>
      <color indexed="9"/>
      <name val="Arial"/>
      <family val="2"/>
    </font>
    <font>
      <b/>
      <sz val="11"/>
      <color indexed="9"/>
      <name val="Verdana"/>
      <family val="2"/>
    </font>
    <font>
      <b/>
      <sz val="10"/>
      <color indexed="13"/>
      <name val="Arial"/>
      <family val="2"/>
    </font>
    <font>
      <b/>
      <sz val="8"/>
      <color indexed="9"/>
      <name val="Arial"/>
      <family val="2"/>
    </font>
    <font>
      <sz val="10"/>
      <color indexed="9"/>
      <name val="Arial"/>
      <family val="2"/>
    </font>
    <font>
      <sz val="12"/>
      <name val="Arial"/>
      <family val="2"/>
    </font>
    <font>
      <b/>
      <sz val="12"/>
      <name val="Arial"/>
      <family val="2"/>
    </font>
    <font>
      <sz val="10"/>
      <color indexed="12"/>
      <name val="Arial"/>
      <family val="2"/>
    </font>
    <font>
      <u/>
      <sz val="10"/>
      <name val="Arial"/>
      <family val="2"/>
    </font>
    <font>
      <b/>
      <u/>
      <sz val="10"/>
      <name val="Arial"/>
      <family val="2"/>
    </font>
    <font>
      <b/>
      <i/>
      <sz val="10"/>
      <name val="Arial"/>
      <family val="2"/>
    </font>
    <font>
      <i/>
      <sz val="10"/>
      <name val="Arial"/>
      <family val="2"/>
    </font>
    <font>
      <u/>
      <sz val="10"/>
      <color indexed="12"/>
      <name val="Arial"/>
      <family val="2"/>
    </font>
    <font>
      <i/>
      <sz val="10"/>
      <color indexed="12"/>
      <name val="Arial"/>
      <family val="2"/>
    </font>
    <font>
      <b/>
      <sz val="10"/>
      <color indexed="12"/>
      <name val="Arial"/>
      <family val="2"/>
    </font>
    <font>
      <sz val="10"/>
      <color indexed="10"/>
      <name val="Arial"/>
      <family val="2"/>
    </font>
    <font>
      <i/>
      <u/>
      <sz val="10"/>
      <name val="Arial"/>
      <family val="2"/>
    </font>
    <font>
      <b/>
      <sz val="10"/>
      <color indexed="8"/>
      <name val="Arial"/>
      <family val="2"/>
    </font>
    <font>
      <u/>
      <sz val="10"/>
      <color indexed="12"/>
      <name val="Arial"/>
      <family val="2"/>
    </font>
    <font>
      <sz val="10"/>
      <color indexed="55"/>
      <name val="Arial"/>
      <family val="2"/>
    </font>
    <font>
      <sz val="10"/>
      <color indexed="13"/>
      <name val="Arial"/>
      <family val="2"/>
    </font>
    <font>
      <b/>
      <sz val="10"/>
      <color indexed="55"/>
      <name val="Arial"/>
      <family val="2"/>
    </font>
    <font>
      <sz val="10"/>
      <color indexed="23"/>
      <name val="Arial"/>
      <family val="2"/>
    </font>
    <font>
      <b/>
      <u/>
      <sz val="12"/>
      <color indexed="13"/>
      <name val="Arial"/>
      <family val="2"/>
    </font>
    <font>
      <sz val="12"/>
      <color indexed="13"/>
      <name val="Arial"/>
      <family val="2"/>
    </font>
    <font>
      <b/>
      <sz val="12"/>
      <color indexed="13"/>
      <name val="Arial"/>
      <family val="2"/>
    </font>
    <font>
      <sz val="11"/>
      <color indexed="13"/>
      <name val="Arial"/>
      <family val="2"/>
    </font>
    <font>
      <b/>
      <sz val="11"/>
      <color indexed="13"/>
      <name val="Arial"/>
      <family val="2"/>
    </font>
    <font>
      <vertAlign val="superscript"/>
      <sz val="10"/>
      <name val="Arial"/>
      <family val="2"/>
    </font>
    <font>
      <sz val="12"/>
      <name val="Times New Roman"/>
      <family val="1"/>
    </font>
    <font>
      <i/>
      <sz val="10"/>
      <color indexed="8"/>
      <name val="Arial"/>
      <family val="2"/>
    </font>
    <font>
      <b/>
      <sz val="12"/>
      <name val="Times New Roman"/>
      <family val="1"/>
    </font>
    <font>
      <sz val="6"/>
      <name val="Wingdings"/>
      <charset val="2"/>
    </font>
    <font>
      <sz val="10"/>
      <color indexed="8"/>
      <name val="Arial"/>
      <family val="2"/>
    </font>
    <font>
      <b/>
      <sz val="10"/>
      <color indexed="10"/>
      <name val="Arial"/>
      <family val="2"/>
    </font>
    <font>
      <sz val="10"/>
      <color indexed="8"/>
      <name val="Arial"/>
      <family val="2"/>
    </font>
    <font>
      <b/>
      <u/>
      <sz val="12"/>
      <name val="Arial"/>
      <family val="2"/>
    </font>
    <font>
      <vertAlign val="superscript"/>
      <sz val="12"/>
      <name val="Arial"/>
      <family val="2"/>
    </font>
    <font>
      <sz val="12"/>
      <color indexed="10"/>
      <name val="Arial"/>
      <family val="2"/>
    </font>
    <font>
      <i/>
      <sz val="10"/>
      <color indexed="10"/>
      <name val="Arial"/>
      <family val="2"/>
    </font>
    <font>
      <sz val="8"/>
      <color indexed="9"/>
      <name val="Arial"/>
      <family val="2"/>
    </font>
    <font>
      <b/>
      <sz val="10"/>
      <color indexed="17"/>
      <name val="Arial"/>
      <family val="2"/>
    </font>
    <font>
      <sz val="10"/>
      <color indexed="17"/>
      <name val="Arial"/>
      <family val="2"/>
    </font>
    <font>
      <sz val="10"/>
      <color indexed="16"/>
      <name val="Arial"/>
      <family val="2"/>
    </font>
    <font>
      <i/>
      <sz val="10"/>
      <color indexed="17"/>
      <name val="Arial"/>
      <family val="2"/>
    </font>
    <font>
      <b/>
      <i/>
      <u/>
      <sz val="10"/>
      <name val="Arial"/>
      <family val="2"/>
    </font>
    <font>
      <b/>
      <u/>
      <sz val="10"/>
      <color indexed="55"/>
      <name val="Arial"/>
      <family val="2"/>
    </font>
    <font>
      <sz val="10"/>
      <color indexed="55"/>
      <name val="Arial"/>
      <family val="2"/>
    </font>
    <font>
      <b/>
      <sz val="10"/>
      <color indexed="55"/>
      <name val="Arial"/>
      <family val="2"/>
    </font>
    <font>
      <sz val="12"/>
      <color indexed="55"/>
      <name val="Times New Roman"/>
      <family val="1"/>
    </font>
    <font>
      <i/>
      <sz val="10"/>
      <color indexed="55"/>
      <name val="Arial"/>
      <family val="2"/>
    </font>
    <font>
      <sz val="10"/>
      <color indexed="16"/>
      <name val="Arial"/>
      <family val="2"/>
    </font>
    <font>
      <sz val="10"/>
      <color indexed="10"/>
      <name val="Arial"/>
      <family val="2"/>
    </font>
    <font>
      <sz val="10"/>
      <color indexed="12"/>
      <name val="Arial"/>
      <family val="2"/>
    </font>
    <font>
      <i/>
      <sz val="10"/>
      <color indexed="16"/>
      <name val="Arial"/>
      <family val="2"/>
    </font>
    <font>
      <i/>
      <sz val="10"/>
      <color indexed="12"/>
      <name val="Arial"/>
      <family val="2"/>
    </font>
    <font>
      <b/>
      <sz val="10"/>
      <color indexed="10"/>
      <name val="Arial"/>
      <family val="2"/>
    </font>
    <font>
      <sz val="10"/>
      <color indexed="17"/>
      <name val="Arial"/>
      <family val="2"/>
    </font>
    <font>
      <b/>
      <sz val="10"/>
      <color indexed="17"/>
      <name val="Arial"/>
      <family val="2"/>
    </font>
    <font>
      <sz val="10"/>
      <name val="Arial"/>
      <family val="2"/>
    </font>
    <font>
      <sz val="10"/>
      <name val="MS Sans Serif"/>
      <family val="2"/>
    </font>
    <font>
      <b/>
      <sz val="10"/>
      <color indexed="8"/>
      <name val="Times New Roman"/>
      <family val="1"/>
    </font>
    <font>
      <sz val="10"/>
      <color indexed="8"/>
      <name val="Times New Roman"/>
      <family val="1"/>
    </font>
    <font>
      <sz val="10"/>
      <color indexed="12"/>
      <name val="Arial"/>
      <family val="2"/>
    </font>
    <font>
      <sz val="10"/>
      <color indexed="17"/>
      <name val="Arial"/>
      <family val="2"/>
    </font>
    <font>
      <sz val="10"/>
      <color indexed="10"/>
      <name val="Arial"/>
      <family val="2"/>
    </font>
    <font>
      <b/>
      <sz val="10"/>
      <color indexed="12"/>
      <name val="Arial"/>
      <family val="2"/>
    </font>
    <font>
      <i/>
      <sz val="10"/>
      <color indexed="12"/>
      <name val="Arial"/>
      <family val="2"/>
    </font>
    <font>
      <sz val="10"/>
      <color indexed="16"/>
      <name val="Arial"/>
      <family val="2"/>
    </font>
    <font>
      <b/>
      <sz val="10"/>
      <color indexed="17"/>
      <name val="Arial"/>
      <family val="2"/>
    </font>
    <font>
      <sz val="10"/>
      <color indexed="8"/>
      <name val="Arial"/>
      <family val="2"/>
    </font>
    <font>
      <sz val="10"/>
      <color indexed="9"/>
      <name val="Arial"/>
      <family val="2"/>
    </font>
    <font>
      <sz val="10"/>
      <name val="Arial"/>
      <family val="2"/>
    </font>
    <font>
      <sz val="10"/>
      <name val="MS Sans Serif"/>
      <family val="2"/>
    </font>
    <font>
      <b/>
      <sz val="10"/>
      <color indexed="8"/>
      <name val="Times New Roman"/>
      <family val="1"/>
    </font>
    <font>
      <sz val="10"/>
      <color indexed="8"/>
      <name val="Times New Roman"/>
      <family val="1"/>
    </font>
    <font>
      <sz val="8"/>
      <color indexed="81"/>
      <name val="Tahoma"/>
      <family val="2"/>
    </font>
    <font>
      <sz val="9"/>
      <color indexed="81"/>
      <name val="Tahoma"/>
      <family val="2"/>
    </font>
    <font>
      <b/>
      <sz val="9"/>
      <color indexed="81"/>
      <name val="Tahoma"/>
      <family val="2"/>
    </font>
    <font>
      <b/>
      <sz val="8"/>
      <color indexed="81"/>
      <name val="Tahoma"/>
      <family val="2"/>
    </font>
    <font>
      <b/>
      <sz val="10"/>
      <color indexed="81"/>
      <name val="Tahoma"/>
      <family val="2"/>
    </font>
    <font>
      <sz val="10"/>
      <color indexed="81"/>
      <name val="Tahoma"/>
      <family val="2"/>
    </font>
    <font>
      <u/>
      <sz val="8"/>
      <color indexed="81"/>
      <name val="Tahoma"/>
      <family val="2"/>
    </font>
    <font>
      <sz val="10"/>
      <name val="Arial"/>
      <family val="2"/>
    </font>
    <font>
      <sz val="10"/>
      <color indexed="16"/>
      <name val="Arial"/>
      <family val="2"/>
    </font>
    <font>
      <sz val="10"/>
      <color indexed="12"/>
      <name val="Arial"/>
      <family val="2"/>
    </font>
    <font>
      <sz val="10"/>
      <color indexed="17"/>
      <name val="Arial"/>
      <family val="2"/>
    </font>
    <font>
      <sz val="10"/>
      <color indexed="10"/>
      <name val="Arial"/>
      <family val="2"/>
    </font>
    <font>
      <i/>
      <sz val="10"/>
      <color indexed="12"/>
      <name val="Arial"/>
      <family val="2"/>
    </font>
    <font>
      <b/>
      <sz val="10"/>
      <color indexed="17"/>
      <name val="Arial"/>
      <family val="2"/>
    </font>
    <font>
      <i/>
      <sz val="10"/>
      <color indexed="16"/>
      <name val="Arial"/>
      <family val="2"/>
    </font>
    <font>
      <sz val="10"/>
      <name val="Arial"/>
      <family val="2"/>
    </font>
    <font>
      <i/>
      <sz val="12"/>
      <name val="Times New Roman"/>
      <family val="1"/>
    </font>
    <font>
      <sz val="10"/>
      <name val="Segoe UI"/>
      <family val="2"/>
    </font>
    <font>
      <sz val="10"/>
      <color indexed="4"/>
      <name val="Segoe UI"/>
      <family val="2"/>
    </font>
    <font>
      <b/>
      <sz val="10"/>
      <color indexed="0"/>
      <name val="Segoe UI"/>
      <family val="2"/>
    </font>
    <font>
      <sz val="10"/>
      <color indexed="2"/>
      <name val="Segoe UI"/>
      <family val="2"/>
    </font>
    <font>
      <b/>
      <i/>
      <sz val="10"/>
      <color indexed="4"/>
      <name val="Segoe UI"/>
      <family val="2"/>
    </font>
    <font>
      <sz val="10"/>
      <color indexed="12"/>
      <name val="Arial"/>
      <family val="2"/>
    </font>
    <font>
      <i/>
      <sz val="10"/>
      <color indexed="17"/>
      <name val="Arial"/>
      <family val="2"/>
    </font>
    <font>
      <sz val="10"/>
      <color indexed="17"/>
      <name val="Arial"/>
      <family val="2"/>
    </font>
    <font>
      <sz val="10"/>
      <color indexed="16"/>
      <name val="Arial"/>
      <family val="2"/>
    </font>
    <font>
      <sz val="10"/>
      <color indexed="10"/>
      <name val="Arial"/>
      <family val="2"/>
    </font>
    <font>
      <i/>
      <sz val="10"/>
      <color indexed="10"/>
      <name val="Arial"/>
      <family val="2"/>
    </font>
    <font>
      <sz val="10"/>
      <color indexed="17"/>
      <name val="Arial"/>
      <family val="2"/>
    </font>
    <font>
      <i/>
      <sz val="10"/>
      <color indexed="12"/>
      <name val="Arial"/>
      <family val="2"/>
    </font>
    <font>
      <i/>
      <sz val="10"/>
      <color indexed="16"/>
      <name val="Arial"/>
      <family val="2"/>
    </font>
    <font>
      <b/>
      <sz val="10"/>
      <color indexed="12"/>
      <name val="Arial"/>
      <family val="2"/>
    </font>
    <font>
      <b/>
      <sz val="10"/>
      <color indexed="17"/>
      <name val="Arial"/>
      <family val="2"/>
    </font>
    <font>
      <b/>
      <sz val="10"/>
      <color indexed="10"/>
      <name val="Arial"/>
      <family val="2"/>
    </font>
    <font>
      <b/>
      <sz val="10"/>
      <color indexed="8"/>
      <name val="Arial"/>
      <family val="2"/>
    </font>
    <font>
      <sz val="10"/>
      <color indexed="62"/>
      <name val="Arial"/>
      <family val="2"/>
    </font>
    <font>
      <sz val="10"/>
      <color indexed="8"/>
      <name val="Arial"/>
      <family val="2"/>
    </font>
    <font>
      <sz val="10"/>
      <color indexed="55"/>
      <name val="Arial"/>
      <family val="2"/>
    </font>
    <font>
      <b/>
      <sz val="10"/>
      <color indexed="55"/>
      <name val="Arial"/>
      <family val="2"/>
    </font>
    <font>
      <i/>
      <sz val="10"/>
      <color indexed="55"/>
      <name val="Arial"/>
      <family val="2"/>
    </font>
    <font>
      <sz val="10"/>
      <color indexed="60"/>
      <name val="Arial"/>
      <family val="2"/>
    </font>
    <font>
      <sz val="10"/>
      <color indexed="12"/>
      <name val="Arial"/>
      <family val="2"/>
    </font>
    <font>
      <sz val="10"/>
      <color indexed="12"/>
      <name val="Arial"/>
      <family val="2"/>
    </font>
    <font>
      <sz val="10"/>
      <name val="Arial"/>
      <family val="2"/>
    </font>
    <font>
      <sz val="10"/>
      <color indexed="10"/>
      <name val="Arial"/>
      <family val="2"/>
    </font>
    <font>
      <sz val="10"/>
      <color rgb="FF0000FF"/>
      <name val="Arial"/>
      <family val="2"/>
    </font>
    <font>
      <sz val="10"/>
      <color rgb="FF008000"/>
      <name val="Arial"/>
      <family val="2"/>
    </font>
    <font>
      <i/>
      <sz val="10"/>
      <color rgb="FF0000FF"/>
      <name val="Arial"/>
      <family val="2"/>
    </font>
    <font>
      <sz val="10"/>
      <color rgb="FFFF0000"/>
      <name val="Arial"/>
      <family val="2"/>
    </font>
    <font>
      <sz val="10"/>
      <color rgb="FF800000"/>
      <name val="Arial"/>
      <family val="2"/>
    </font>
    <font>
      <sz val="10"/>
      <color theme="0" tint="-0.249977111117893"/>
      <name val="Arial"/>
      <family val="2"/>
    </font>
    <font>
      <b/>
      <sz val="10"/>
      <color rgb="FFFF0000"/>
      <name val="Arial"/>
      <family val="2"/>
    </font>
    <font>
      <sz val="10"/>
      <name val="Courier"/>
      <family val="3"/>
    </font>
    <font>
      <sz val="11"/>
      <name val="Arial"/>
      <family val="2"/>
    </font>
    <font>
      <sz val="10"/>
      <color rgb="FF000000"/>
      <name val="Arial"/>
      <family val="2"/>
    </font>
    <font>
      <b/>
      <sz val="12"/>
      <color rgb="FF000080"/>
      <name val="Arial"/>
      <family val="2"/>
    </font>
  </fonts>
  <fills count="17">
    <fill>
      <patternFill patternType="none"/>
    </fill>
    <fill>
      <patternFill patternType="gray125"/>
    </fill>
    <fill>
      <patternFill patternType="solid">
        <fgColor indexed="48"/>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6"/>
        <bgColor indexed="64"/>
      </patternFill>
    </fill>
    <fill>
      <patternFill patternType="solid">
        <fgColor indexed="42"/>
        <bgColor indexed="64"/>
      </patternFill>
    </fill>
    <fill>
      <patternFill patternType="solid">
        <fgColor indexed="51"/>
        <bgColor indexed="64"/>
      </patternFill>
    </fill>
    <fill>
      <patternFill patternType="solid">
        <fgColor indexed="56"/>
        <bgColor indexed="64"/>
      </patternFill>
    </fill>
    <fill>
      <patternFill patternType="solid">
        <fgColor indexed="55"/>
        <bgColor indexed="64"/>
      </patternFill>
    </fill>
    <fill>
      <patternFill patternType="solid">
        <fgColor indexed="17"/>
        <bgColor indexed="64"/>
      </patternFill>
    </fill>
    <fill>
      <patternFill patternType="solid">
        <fgColor theme="0" tint="-9.9978637043366805E-2"/>
        <bgColor indexed="64"/>
      </patternFill>
    </fill>
    <fill>
      <patternFill patternType="solid">
        <fgColor rgb="FFFFFF00"/>
        <bgColor indexed="64"/>
      </patternFill>
    </fill>
    <fill>
      <patternFill patternType="solid">
        <fgColor indexed="65"/>
        <bgColor indexed="64"/>
      </patternFill>
    </fill>
  </fills>
  <borders count="59">
    <border>
      <left/>
      <right/>
      <top/>
      <bottom/>
      <diagonal/>
    </border>
    <border>
      <left/>
      <right/>
      <top/>
      <bottom style="thin">
        <color indexed="8"/>
      </bottom>
      <diagonal/>
    </border>
    <border>
      <left/>
      <right/>
      <top/>
      <bottom style="thin">
        <color indexed="64"/>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8"/>
      </right>
      <top/>
      <bottom/>
      <diagonal/>
    </border>
    <border>
      <left style="thin">
        <color indexed="8"/>
      </left>
      <right/>
      <top/>
      <bottom/>
      <diagonal/>
    </border>
    <border>
      <left style="thin">
        <color indexed="8"/>
      </left>
      <right/>
      <top/>
      <bottom style="thin">
        <color indexed="8"/>
      </bottom>
      <diagonal/>
    </border>
    <border>
      <left/>
      <right/>
      <top style="thin">
        <color indexed="64"/>
      </top>
      <bottom style="thin">
        <color indexed="64"/>
      </bottom>
      <diagonal/>
    </border>
    <border>
      <left style="thin">
        <color indexed="8"/>
      </left>
      <right/>
      <top/>
      <bottom style="thin">
        <color indexed="64"/>
      </bottom>
      <diagonal/>
    </border>
    <border>
      <left/>
      <right style="thin">
        <color indexed="8"/>
      </right>
      <top/>
      <bottom style="thin">
        <color indexed="64"/>
      </bottom>
      <diagonal/>
    </border>
    <border>
      <left style="thin">
        <color indexed="64"/>
      </left>
      <right/>
      <top style="thin">
        <color indexed="64"/>
      </top>
      <bottom style="thin">
        <color indexed="8"/>
      </bottom>
      <diagonal/>
    </border>
    <border>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dashed">
        <color indexed="64"/>
      </left>
      <right style="thin">
        <color indexed="64"/>
      </right>
      <top style="thin">
        <color indexed="64"/>
      </top>
      <bottom/>
      <diagonal/>
    </border>
    <border>
      <left style="dashed">
        <color indexed="64"/>
      </left>
      <right style="thin">
        <color indexed="64"/>
      </right>
      <top/>
      <bottom/>
      <diagonal/>
    </border>
    <border>
      <left/>
      <right style="dashed">
        <color indexed="64"/>
      </right>
      <top/>
      <bottom/>
      <diagonal/>
    </border>
    <border>
      <left style="medium">
        <color indexed="64"/>
      </left>
      <right style="medium">
        <color indexed="64"/>
      </right>
      <top style="medium">
        <color indexed="64"/>
      </top>
      <bottom/>
      <diagonal/>
    </border>
    <border>
      <left style="dashed">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double">
        <color indexed="64"/>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bottom/>
      <diagonal/>
    </border>
    <border>
      <left style="double">
        <color indexed="64"/>
      </left>
      <right/>
      <top/>
      <bottom/>
      <diagonal/>
    </border>
    <border>
      <left style="double">
        <color indexed="64"/>
      </left>
      <right style="double">
        <color indexed="64"/>
      </right>
      <top/>
      <bottom style="double">
        <color indexed="64"/>
      </bottom>
      <diagonal/>
    </border>
    <border>
      <left style="double">
        <color indexed="64"/>
      </left>
      <right/>
      <top/>
      <bottom style="thin">
        <color indexed="64"/>
      </bottom>
      <diagonal/>
    </border>
    <border>
      <left/>
      <right/>
      <top style="thin">
        <color indexed="64"/>
      </top>
      <bottom style="double">
        <color indexed="64"/>
      </bottom>
      <diagonal/>
    </border>
    <border>
      <left/>
      <right/>
      <top/>
      <bottom style="dotted">
        <color indexed="64"/>
      </bottom>
      <diagonal/>
    </border>
    <border>
      <left style="thin">
        <color indexed="64"/>
      </left>
      <right style="thin">
        <color indexed="64"/>
      </right>
      <top style="thin">
        <color indexed="64"/>
      </top>
      <bottom style="thin">
        <color indexed="8"/>
      </bottom>
      <diagonal/>
    </border>
    <border>
      <left style="medium">
        <color indexed="64"/>
      </left>
      <right/>
      <top/>
      <bottom/>
      <diagonal/>
    </border>
    <border>
      <left style="medium">
        <color indexed="64"/>
      </left>
      <right/>
      <top/>
      <bottom style="medium">
        <color indexed="64"/>
      </bottom>
      <diagonal/>
    </border>
    <border>
      <left/>
      <right style="dashed">
        <color indexed="64"/>
      </right>
      <top style="thin">
        <color indexed="64"/>
      </top>
      <bottom/>
      <diagonal/>
    </border>
    <border>
      <left/>
      <right style="dashed">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6">
    <xf numFmtId="37" fontId="0" fillId="0" borderId="0" applyAlignment="0"/>
    <xf numFmtId="0" fontId="1" fillId="0" borderId="0"/>
    <xf numFmtId="0" fontId="99" fillId="0" borderId="0"/>
    <xf numFmtId="0" fontId="112" fillId="0" borderId="0"/>
    <xf numFmtId="0" fontId="17" fillId="0" borderId="0"/>
    <xf numFmtId="0" fontId="100" fillId="0" borderId="0"/>
    <xf numFmtId="0" fontId="113" fillId="0" borderId="0"/>
    <xf numFmtId="0" fontId="17" fillId="0" borderId="0"/>
    <xf numFmtId="0" fontId="100" fillId="0" borderId="0"/>
    <xf numFmtId="0" fontId="113" fillId="0" borderId="0"/>
    <xf numFmtId="0" fontId="18" fillId="0" borderId="0"/>
    <xf numFmtId="0" fontId="101" fillId="0" borderId="0"/>
    <xf numFmtId="0" fontId="114" fillId="0" borderId="0"/>
    <xf numFmtId="37" fontId="1" fillId="0" borderId="0" applyFont="0" applyFill="0" applyBorder="0" applyAlignment="0" applyProtection="0"/>
    <xf numFmtId="5" fontId="1" fillId="0" borderId="0" applyFont="0" applyFill="0" applyBorder="0" applyAlignment="0" applyProtection="0"/>
    <xf numFmtId="44" fontId="1" fillId="0" borderId="0" applyFont="0" applyFill="0" applyBorder="0" applyAlignment="0" applyProtection="0"/>
    <xf numFmtId="44" fontId="123" fillId="0" borderId="0" applyFont="0" applyFill="0" applyBorder="0" applyAlignment="0" applyProtection="0"/>
    <xf numFmtId="44" fontId="131" fillId="0" borderId="0" applyFont="0" applyFill="0" applyBorder="0" applyAlignment="0" applyProtection="0"/>
    <xf numFmtId="44" fontId="159" fillId="0" borderId="0" applyFont="0" applyFill="0" applyBorder="0" applyAlignment="0" applyProtection="0"/>
    <xf numFmtId="0" fontId="136" fillId="0" borderId="0"/>
    <xf numFmtId="0" fontId="135" fillId="2" borderId="0"/>
    <xf numFmtId="0" fontId="133" fillId="0" borderId="0">
      <alignment wrapText="1"/>
    </xf>
    <xf numFmtId="0" fontId="10"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135" fillId="0" borderId="0"/>
    <xf numFmtId="0" fontId="137" fillId="0" borderId="0"/>
    <xf numFmtId="0" fontId="134" fillId="0" borderId="0"/>
    <xf numFmtId="0" fontId="1" fillId="0" borderId="0"/>
    <xf numFmtId="0" fontId="123" fillId="0" borderId="0"/>
    <xf numFmtId="0" fontId="131" fillId="0" borderId="0"/>
    <xf numFmtId="0" fontId="133" fillId="0" borderId="0"/>
    <xf numFmtId="0" fontId="159" fillId="0" borderId="0"/>
    <xf numFmtId="0" fontId="1" fillId="0" borderId="0"/>
    <xf numFmtId="0" fontId="1" fillId="0" borderId="0"/>
    <xf numFmtId="37" fontId="15" fillId="0" borderId="0" applyAlignment="0"/>
    <xf numFmtId="0" fontId="17" fillId="0" borderId="0"/>
    <xf numFmtId="0" fontId="36" fillId="0" borderId="0"/>
    <xf numFmtId="0" fontId="37" fillId="0" borderId="0"/>
    <xf numFmtId="0" fontId="1" fillId="0" borderId="0"/>
    <xf numFmtId="0" fontId="1" fillId="0" borderId="0"/>
    <xf numFmtId="0" fontId="19" fillId="0" borderId="0">
      <alignment vertical="center"/>
    </xf>
    <xf numFmtId="0" fontId="134" fillId="0" borderId="0"/>
    <xf numFmtId="165"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9" fillId="3" borderId="0" applyNumberFormat="0" applyFont="0" applyBorder="0" applyAlignment="0" applyProtection="0"/>
    <xf numFmtId="0" fontId="1" fillId="3" borderId="0" applyNumberFormat="0" applyFont="0" applyBorder="0" applyAlignment="0" applyProtection="0"/>
    <xf numFmtId="0" fontId="20" fillId="0" borderId="0"/>
    <xf numFmtId="0" fontId="102" fillId="0" borderId="0"/>
    <xf numFmtId="0" fontId="115" fillId="0" borderId="0"/>
    <xf numFmtId="0" fontId="20" fillId="0" borderId="1">
      <alignment horizontal="centerContinuous"/>
    </xf>
    <xf numFmtId="0" fontId="102" fillId="0" borderId="1">
      <alignment horizontal="centerContinuous"/>
    </xf>
    <xf numFmtId="0" fontId="115" fillId="0" borderId="1">
      <alignment horizontal="centerContinuous"/>
    </xf>
    <xf numFmtId="0" fontId="21" fillId="0" borderId="1"/>
    <xf numFmtId="0" fontId="168" fillId="0" borderId="0"/>
  </cellStyleXfs>
  <cellXfs count="3612">
    <xf numFmtId="37" fontId="0" fillId="0" borderId="0" xfId="0"/>
    <xf numFmtId="37" fontId="11" fillId="0" borderId="0" xfId="0" applyFont="1" applyAlignment="1">
      <alignment horizontal="center"/>
    </xf>
    <xf numFmtId="37" fontId="2" fillId="0" borderId="0" xfId="0" applyFont="1"/>
    <xf numFmtId="37" fontId="4" fillId="0" borderId="0" xfId="0" applyFont="1"/>
    <xf numFmtId="37" fontId="2" fillId="0" borderId="0" xfId="0" applyFont="1" applyBorder="1"/>
    <xf numFmtId="5" fontId="2" fillId="0" borderId="0" xfId="14" applyFont="1"/>
    <xf numFmtId="37" fontId="2" fillId="0" borderId="0" xfId="0" applyFont="1" applyFill="1"/>
    <xf numFmtId="166" fontId="2" fillId="0" borderId="0" xfId="0" applyNumberFormat="1" applyFont="1"/>
    <xf numFmtId="37" fontId="12" fillId="0" borderId="0" xfId="0" applyFont="1"/>
    <xf numFmtId="165" fontId="3" fillId="0" borderId="0" xfId="43" applyFont="1"/>
    <xf numFmtId="37" fontId="11" fillId="0" borderId="0" xfId="0" applyFont="1"/>
    <xf numFmtId="37" fontId="9" fillId="0" borderId="0" xfId="0" applyFont="1"/>
    <xf numFmtId="37" fontId="22" fillId="0" borderId="0" xfId="0" applyFont="1"/>
    <xf numFmtId="37" fontId="8" fillId="0" borderId="0" xfId="0" applyFont="1"/>
    <xf numFmtId="37" fontId="8" fillId="0" borderId="2" xfId="0" applyFont="1" applyBorder="1"/>
    <xf numFmtId="37" fontId="22" fillId="0" borderId="0" xfId="0" applyFont="1" applyBorder="1"/>
    <xf numFmtId="37" fontId="24" fillId="0" borderId="0" xfId="0" applyFont="1" applyBorder="1"/>
    <xf numFmtId="37" fontId="8" fillId="0" borderId="0" xfId="0" applyFont="1" applyBorder="1"/>
    <xf numFmtId="37" fontId="12" fillId="0" borderId="2" xfId="0" applyFont="1" applyBorder="1"/>
    <xf numFmtId="37" fontId="8" fillId="0" borderId="3" xfId="0" applyFont="1" applyBorder="1"/>
    <xf numFmtId="166" fontId="12" fillId="0" borderId="0" xfId="0" applyNumberFormat="1" applyFont="1"/>
    <xf numFmtId="37" fontId="12" fillId="0" borderId="0" xfId="0" applyFont="1" applyBorder="1"/>
    <xf numFmtId="168" fontId="12" fillId="0" borderId="0" xfId="0" applyNumberFormat="1" applyFont="1" applyBorder="1"/>
    <xf numFmtId="166" fontId="12" fillId="0" borderId="0" xfId="0" applyNumberFormat="1" applyFont="1" applyBorder="1"/>
    <xf numFmtId="168" fontId="22" fillId="0" borderId="0" xfId="0" applyNumberFormat="1" applyFont="1" applyBorder="1"/>
    <xf numFmtId="166" fontId="22" fillId="0" borderId="0" xfId="0" applyNumberFormat="1" applyFont="1" applyBorder="1"/>
    <xf numFmtId="166" fontId="29" fillId="0" borderId="0" xfId="0" applyNumberFormat="1" applyFont="1" applyBorder="1"/>
    <xf numFmtId="168" fontId="29" fillId="0" borderId="0" xfId="0" applyNumberFormat="1" applyFont="1" applyBorder="1"/>
    <xf numFmtId="37" fontId="12" fillId="0" borderId="4" xfId="0" applyFont="1" applyBorder="1"/>
    <xf numFmtId="165" fontId="12" fillId="0" borderId="0" xfId="43" applyFont="1" applyBorder="1"/>
    <xf numFmtId="37" fontId="12" fillId="0" borderId="0" xfId="0" applyNumberFormat="1" applyFont="1"/>
    <xf numFmtId="37" fontId="28" fillId="0" borderId="0" xfId="0" applyFont="1" applyBorder="1" applyAlignment="1">
      <alignment horizontal="centerContinuous"/>
    </xf>
    <xf numFmtId="166" fontId="8" fillId="0" borderId="0" xfId="0" applyNumberFormat="1" applyFont="1" applyBorder="1"/>
    <xf numFmtId="37" fontId="2" fillId="0" borderId="0" xfId="0" applyNumberFormat="1" applyFont="1"/>
    <xf numFmtId="168" fontId="2" fillId="0" borderId="0" xfId="14" applyNumberFormat="1" applyFont="1"/>
    <xf numFmtId="166" fontId="2" fillId="0" borderId="0" xfId="13" applyNumberFormat="1" applyFont="1"/>
    <xf numFmtId="168" fontId="2" fillId="0" borderId="0" xfId="0" applyNumberFormat="1" applyFont="1"/>
    <xf numFmtId="166" fontId="2" fillId="0" borderId="0" xfId="14" applyNumberFormat="1" applyFont="1"/>
    <xf numFmtId="164" fontId="7" fillId="0" borderId="4" xfId="0" quotePrefix="1" applyNumberFormat="1" applyFont="1" applyFill="1" applyBorder="1" applyAlignment="1" applyProtection="1">
      <alignment horizontal="right"/>
    </xf>
    <xf numFmtId="164" fontId="2" fillId="0" borderId="4" xfId="0" quotePrefix="1" applyNumberFormat="1" applyFont="1" applyFill="1" applyBorder="1" applyAlignment="1" applyProtection="1">
      <alignment horizontal="right"/>
    </xf>
    <xf numFmtId="164" fontId="2" fillId="0" borderId="4" xfId="0" quotePrefix="1" applyNumberFormat="1" applyFont="1" applyBorder="1" applyAlignment="1" applyProtection="1">
      <alignment horizontal="right"/>
    </xf>
    <xf numFmtId="164" fontId="2" fillId="0" borderId="5" xfId="0" applyNumberFormat="1" applyFont="1" applyBorder="1" applyAlignment="1" applyProtection="1">
      <alignment horizontal="right"/>
    </xf>
    <xf numFmtId="14" fontId="3" fillId="0" borderId="2" xfId="13" quotePrefix="1" applyNumberFormat="1" applyFont="1" applyBorder="1" applyAlignment="1" applyProtection="1"/>
    <xf numFmtId="14" fontId="3" fillId="0" borderId="2" xfId="13" applyNumberFormat="1" applyFont="1" applyBorder="1" applyAlignment="1" applyProtection="1"/>
    <xf numFmtId="14" fontId="3" fillId="0" borderId="6" xfId="13" quotePrefix="1" applyNumberFormat="1" applyFont="1" applyBorder="1" applyAlignment="1" applyProtection="1"/>
    <xf numFmtId="14" fontId="3" fillId="0" borderId="7" xfId="13" quotePrefix="1" applyNumberFormat="1" applyFont="1" applyBorder="1" applyAlignment="1" applyProtection="1"/>
    <xf numFmtId="14" fontId="3" fillId="0" borderId="0" xfId="13" quotePrefix="1" applyNumberFormat="1" applyFont="1" applyBorder="1" applyAlignment="1" applyProtection="1"/>
    <xf numFmtId="14" fontId="3" fillId="0" borderId="0" xfId="13" applyNumberFormat="1" applyFont="1" applyBorder="1" applyAlignment="1" applyProtection="1"/>
    <xf numFmtId="168" fontId="2" fillId="0" borderId="7" xfId="14" applyNumberFormat="1" applyFont="1" applyFill="1" applyBorder="1"/>
    <xf numFmtId="5" fontId="3" fillId="0" borderId="7" xfId="14" applyFont="1" applyBorder="1"/>
    <xf numFmtId="37" fontId="3" fillId="0" borderId="7" xfId="0" applyFont="1" applyBorder="1"/>
    <xf numFmtId="37" fontId="16" fillId="0" borderId="0" xfId="0" applyFont="1"/>
    <xf numFmtId="37" fontId="2" fillId="0" borderId="5" xfId="0" applyFont="1" applyBorder="1"/>
    <xf numFmtId="37" fontId="2" fillId="0" borderId="3" xfId="0" applyFont="1" applyBorder="1"/>
    <xf numFmtId="37" fontId="2" fillId="0" borderId="4" xfId="0" applyFont="1" applyBorder="1"/>
    <xf numFmtId="37" fontId="2" fillId="0" borderId="7" xfId="0" applyFont="1" applyBorder="1"/>
    <xf numFmtId="37" fontId="2" fillId="0" borderId="0" xfId="0" applyFont="1" applyAlignment="1">
      <alignment horizontal="left"/>
    </xf>
    <xf numFmtId="5" fontId="3" fillId="0" borderId="0" xfId="14" applyFont="1"/>
    <xf numFmtId="5" fontId="3" fillId="0" borderId="0" xfId="14" applyFont="1" applyBorder="1"/>
    <xf numFmtId="37" fontId="3" fillId="0" borderId="0" xfId="0" applyFont="1"/>
    <xf numFmtId="166" fontId="3" fillId="0" borderId="0" xfId="0" applyNumberFormat="1" applyFont="1"/>
    <xf numFmtId="166" fontId="3" fillId="0" borderId="7" xfId="0" applyNumberFormat="1" applyFont="1" applyBorder="1"/>
    <xf numFmtId="166" fontId="3" fillId="0" borderId="0" xfId="0" applyNumberFormat="1" applyFont="1" applyBorder="1"/>
    <xf numFmtId="37" fontId="3" fillId="0" borderId="0" xfId="0" applyFont="1" applyBorder="1"/>
    <xf numFmtId="37" fontId="31" fillId="0" borderId="0" xfId="0" applyFont="1" applyAlignment="1">
      <alignment horizontal="left"/>
    </xf>
    <xf numFmtId="37" fontId="3" fillId="0" borderId="0" xfId="0" applyFont="1" applyFill="1"/>
    <xf numFmtId="37" fontId="3" fillId="0" borderId="0" xfId="0" applyFont="1" applyFill="1" applyAlignment="1">
      <alignment horizontal="right"/>
    </xf>
    <xf numFmtId="37" fontId="3" fillId="0" borderId="7" xfId="0" applyFont="1" applyFill="1" applyBorder="1" applyAlignment="1">
      <alignment horizontal="right"/>
    </xf>
    <xf numFmtId="37" fontId="3" fillId="0" borderId="0" xfId="0" applyFont="1" applyFill="1" applyBorder="1" applyAlignment="1">
      <alignment horizontal="right"/>
    </xf>
    <xf numFmtId="165" fontId="3" fillId="0" borderId="7" xfId="43" applyFont="1" applyBorder="1"/>
    <xf numFmtId="165" fontId="3" fillId="0" borderId="0" xfId="43" applyFont="1" applyBorder="1"/>
    <xf numFmtId="7" fontId="3" fillId="0" borderId="0" xfId="14" applyNumberFormat="1" applyFont="1"/>
    <xf numFmtId="7" fontId="3" fillId="0" borderId="7" xfId="14" applyNumberFormat="1" applyFont="1" applyBorder="1"/>
    <xf numFmtId="7" fontId="3" fillId="0" borderId="3" xfId="14" applyNumberFormat="1" applyFont="1" applyBorder="1"/>
    <xf numFmtId="7" fontId="3" fillId="0" borderId="0" xfId="14" applyNumberFormat="1" applyFont="1" applyBorder="1"/>
    <xf numFmtId="37" fontId="6" fillId="0" borderId="0" xfId="0" applyFont="1"/>
    <xf numFmtId="166" fontId="2" fillId="0" borderId="3" xfId="0" applyNumberFormat="1" applyFont="1" applyBorder="1"/>
    <xf numFmtId="37" fontId="2" fillId="0" borderId="0" xfId="13" applyFont="1" applyFill="1" applyAlignment="1" applyProtection="1">
      <alignment horizontal="left"/>
    </xf>
    <xf numFmtId="7" fontId="3" fillId="0" borderId="0" xfId="14" applyNumberFormat="1" applyFont="1" applyFill="1"/>
    <xf numFmtId="7" fontId="3" fillId="0" borderId="7" xfId="14" applyNumberFormat="1" applyFont="1" applyFill="1" applyBorder="1"/>
    <xf numFmtId="168" fontId="2" fillId="0" borderId="0" xfId="14" applyNumberFormat="1" applyFont="1" applyFill="1"/>
    <xf numFmtId="37" fontId="2" fillId="0" borderId="0" xfId="13" applyNumberFormat="1" applyFont="1" applyFill="1"/>
    <xf numFmtId="37" fontId="2" fillId="0" borderId="7" xfId="13" applyNumberFormat="1" applyFont="1" applyFill="1" applyBorder="1"/>
    <xf numFmtId="166" fontId="2" fillId="0" borderId="0" xfId="13" applyNumberFormat="1" applyFont="1" applyFill="1"/>
    <xf numFmtId="166" fontId="2" fillId="0" borderId="7" xfId="13" applyNumberFormat="1" applyFont="1" applyFill="1" applyBorder="1"/>
    <xf numFmtId="166" fontId="2" fillId="0" borderId="3" xfId="13" applyNumberFormat="1" applyFont="1" applyFill="1" applyBorder="1"/>
    <xf numFmtId="166" fontId="2" fillId="0" borderId="0" xfId="13" applyNumberFormat="1" applyFont="1" applyFill="1" applyBorder="1"/>
    <xf numFmtId="37" fontId="2" fillId="0" borderId="7" xfId="0" applyFont="1" applyFill="1" applyBorder="1"/>
    <xf numFmtId="37" fontId="2" fillId="0" borderId="3" xfId="0" applyFont="1" applyFill="1" applyBorder="1"/>
    <xf numFmtId="37" fontId="2" fillId="0" borderId="0" xfId="0" applyFont="1" applyFill="1" applyBorder="1"/>
    <xf numFmtId="37" fontId="2" fillId="0" borderId="0" xfId="0" applyFont="1" applyFill="1" applyAlignment="1">
      <alignment horizontal="left" indent="1"/>
    </xf>
    <xf numFmtId="168" fontId="2" fillId="0" borderId="3" xfId="14" applyNumberFormat="1" applyFont="1" applyFill="1" applyBorder="1"/>
    <xf numFmtId="168" fontId="2" fillId="0" borderId="0" xfId="14" applyNumberFormat="1" applyFont="1" applyFill="1" applyBorder="1"/>
    <xf numFmtId="168" fontId="5" fillId="0" borderId="3" xfId="14" applyNumberFormat="1" applyFont="1" applyFill="1" applyBorder="1"/>
    <xf numFmtId="168" fontId="5" fillId="0" borderId="0" xfId="14" applyNumberFormat="1" applyFont="1" applyFill="1" applyBorder="1"/>
    <xf numFmtId="0" fontId="2" fillId="0" borderId="0" xfId="0" applyNumberFormat="1" applyFont="1" applyFill="1" applyAlignment="1">
      <alignment horizontal="left" indent="1"/>
    </xf>
    <xf numFmtId="166" fontId="2" fillId="0" borderId="7" xfId="0" applyNumberFormat="1" applyFont="1" applyFill="1" applyBorder="1"/>
    <xf numFmtId="166" fontId="2" fillId="0" borderId="0" xfId="0" applyNumberFormat="1" applyFont="1" applyFill="1"/>
    <xf numFmtId="166" fontId="2" fillId="0" borderId="3" xfId="0" applyNumberFormat="1" applyFont="1" applyFill="1" applyBorder="1"/>
    <xf numFmtId="166" fontId="2" fillId="0" borderId="0" xfId="0" applyNumberFormat="1" applyFont="1" applyFill="1" applyBorder="1"/>
    <xf numFmtId="166" fontId="5" fillId="0" borderId="3" xfId="0" applyNumberFormat="1" applyFont="1" applyFill="1" applyBorder="1"/>
    <xf numFmtId="166" fontId="5" fillId="0" borderId="0" xfId="0" applyNumberFormat="1" applyFont="1" applyFill="1" applyBorder="1"/>
    <xf numFmtId="166" fontId="2" fillId="0" borderId="0" xfId="14" applyNumberFormat="1" applyFont="1" applyFill="1"/>
    <xf numFmtId="37" fontId="2" fillId="0" borderId="0" xfId="0" applyFont="1" applyFill="1" applyAlignment="1">
      <alignment horizontal="center"/>
    </xf>
    <xf numFmtId="166" fontId="2" fillId="0" borderId="0" xfId="0" applyNumberFormat="1" applyFont="1" applyFill="1" applyBorder="1" applyAlignment="1" applyProtection="1">
      <alignment horizontal="right"/>
    </xf>
    <xf numFmtId="166" fontId="2" fillId="0" borderId="7" xfId="0" applyNumberFormat="1" applyFont="1" applyFill="1" applyBorder="1" applyAlignment="1" applyProtection="1">
      <alignment horizontal="right"/>
    </xf>
    <xf numFmtId="168" fontId="2" fillId="0" borderId="7" xfId="0" applyNumberFormat="1" applyFont="1" applyFill="1" applyBorder="1"/>
    <xf numFmtId="168" fontId="2" fillId="0" borderId="0" xfId="0" applyNumberFormat="1" applyFont="1" applyFill="1"/>
    <xf numFmtId="168" fontId="2" fillId="0" borderId="0" xfId="0" applyNumberFormat="1" applyFont="1" applyFill="1" applyBorder="1"/>
    <xf numFmtId="168" fontId="5" fillId="0" borderId="0" xfId="0" applyNumberFormat="1" applyFont="1" applyFill="1" applyBorder="1"/>
    <xf numFmtId="168" fontId="5" fillId="0" borderId="7" xfId="0" applyNumberFormat="1" applyFont="1" applyFill="1" applyBorder="1"/>
    <xf numFmtId="168" fontId="2" fillId="0" borderId="7" xfId="14" applyNumberFormat="1" applyFont="1" applyBorder="1"/>
    <xf numFmtId="168" fontId="2" fillId="0" borderId="0" xfId="14" applyNumberFormat="1" applyFont="1" applyBorder="1"/>
    <xf numFmtId="168" fontId="3" fillId="0" borderId="0" xfId="0" applyNumberFormat="1" applyFont="1" applyFill="1" applyBorder="1"/>
    <xf numFmtId="37" fontId="2" fillId="0" borderId="0" xfId="0" applyFont="1" applyAlignment="1">
      <alignment horizontal="center"/>
    </xf>
    <xf numFmtId="168" fontId="5" fillId="0" borderId="0" xfId="14" applyNumberFormat="1" applyFont="1" applyFill="1"/>
    <xf numFmtId="168" fontId="5" fillId="0" borderId="7" xfId="14" applyNumberFormat="1" applyFont="1" applyFill="1" applyBorder="1"/>
    <xf numFmtId="168" fontId="3" fillId="0" borderId="0" xfId="14" applyNumberFormat="1" applyFont="1" applyFill="1"/>
    <xf numFmtId="168" fontId="2" fillId="0" borderId="3" xfId="14" applyNumberFormat="1" applyFont="1" applyBorder="1"/>
    <xf numFmtId="168" fontId="3" fillId="0" borderId="0" xfId="14" applyNumberFormat="1" applyFont="1"/>
    <xf numFmtId="37" fontId="2" fillId="0" borderId="0" xfId="13" applyNumberFormat="1" applyFont="1"/>
    <xf numFmtId="37" fontId="2" fillId="0" borderId="7" xfId="13" applyNumberFormat="1" applyFont="1" applyBorder="1"/>
    <xf numFmtId="37" fontId="2" fillId="0" borderId="0" xfId="13" applyNumberFormat="1" applyFont="1" applyBorder="1"/>
    <xf numFmtId="166" fontId="2" fillId="0" borderId="7" xfId="13" applyNumberFormat="1" applyFont="1" applyBorder="1"/>
    <xf numFmtId="166" fontId="2" fillId="0" borderId="3" xfId="13" applyNumberFormat="1" applyFont="1" applyBorder="1"/>
    <xf numFmtId="166" fontId="2" fillId="0" borderId="0" xfId="13" applyNumberFormat="1" applyFont="1" applyBorder="1"/>
    <xf numFmtId="37" fontId="2" fillId="0" borderId="0" xfId="0" applyFont="1" applyAlignment="1">
      <alignment horizontal="left" indent="1"/>
    </xf>
    <xf numFmtId="0" fontId="2" fillId="0" borderId="0" xfId="0" applyNumberFormat="1" applyFont="1" applyAlignment="1">
      <alignment horizontal="left" indent="1"/>
    </xf>
    <xf numFmtId="166" fontId="2" fillId="0" borderId="7" xfId="0" applyNumberFormat="1" applyFont="1" applyBorder="1"/>
    <xf numFmtId="166" fontId="2" fillId="0" borderId="0" xfId="0" applyNumberFormat="1" applyFont="1" applyBorder="1"/>
    <xf numFmtId="166" fontId="2" fillId="4" borderId="0" xfId="0" applyNumberFormat="1" applyFont="1" applyFill="1" applyBorder="1" applyAlignment="1" applyProtection="1">
      <alignment horizontal="right"/>
    </xf>
    <xf numFmtId="166" fontId="2" fillId="4" borderId="7" xfId="0" applyNumberFormat="1" applyFont="1" applyFill="1" applyBorder="1" applyAlignment="1" applyProtection="1">
      <alignment horizontal="right"/>
    </xf>
    <xf numFmtId="168" fontId="2" fillId="0" borderId="7" xfId="0" applyNumberFormat="1" applyFont="1" applyBorder="1"/>
    <xf numFmtId="168" fontId="2" fillId="0" borderId="0" xfId="0" applyNumberFormat="1" applyFont="1" applyBorder="1"/>
    <xf numFmtId="165" fontId="2" fillId="0" borderId="7" xfId="43" applyFont="1" applyBorder="1"/>
    <xf numFmtId="168" fontId="5" fillId="0" borderId="0" xfId="14" applyNumberFormat="1" applyFont="1"/>
    <xf numFmtId="37" fontId="32" fillId="0" borderId="0" xfId="13" applyFont="1" applyAlignment="1" applyProtection="1">
      <alignment horizontal="left"/>
    </xf>
    <xf numFmtId="37" fontId="2" fillId="0" borderId="0" xfId="13" applyFont="1" applyAlignment="1" applyProtection="1">
      <alignment horizontal="left"/>
    </xf>
    <xf numFmtId="37" fontId="30" fillId="0" borderId="0" xfId="13" applyFont="1" applyAlignment="1" applyProtection="1">
      <alignment horizontal="left"/>
    </xf>
    <xf numFmtId="37" fontId="2" fillId="0" borderId="7" xfId="0" applyNumberFormat="1" applyFont="1" applyBorder="1"/>
    <xf numFmtId="37" fontId="2" fillId="0" borderId="0" xfId="0" applyNumberFormat="1" applyFont="1" applyBorder="1"/>
    <xf numFmtId="166" fontId="5" fillId="0" borderId="3" xfId="0" applyNumberFormat="1" applyFont="1" applyBorder="1"/>
    <xf numFmtId="166" fontId="5" fillId="0" borderId="0" xfId="0" applyNumberFormat="1" applyFont="1" applyBorder="1"/>
    <xf numFmtId="37" fontId="3" fillId="0" borderId="0" xfId="0" applyFont="1" applyAlignment="1">
      <alignment horizontal="right"/>
    </xf>
    <xf numFmtId="37" fontId="3" fillId="0" borderId="7" xfId="0" applyFont="1" applyBorder="1" applyAlignment="1">
      <alignment horizontal="right"/>
    </xf>
    <xf numFmtId="37" fontId="3" fillId="0" borderId="0" xfId="0" applyFont="1" applyBorder="1" applyAlignment="1">
      <alignment horizontal="right"/>
    </xf>
    <xf numFmtId="165" fontId="3" fillId="0" borderId="3" xfId="43" applyFont="1" applyBorder="1"/>
    <xf numFmtId="37" fontId="2" fillId="0" borderId="0" xfId="0" applyFont="1" applyFill="1" applyAlignment="1">
      <alignment horizontal="right"/>
    </xf>
    <xf numFmtId="37" fontId="3" fillId="0" borderId="0" xfId="13" applyFont="1"/>
    <xf numFmtId="37" fontId="3" fillId="0" borderId="7" xfId="13" applyFont="1" applyBorder="1"/>
    <xf numFmtId="5" fontId="2" fillId="0" borderId="7" xfId="14" applyFont="1" applyBorder="1"/>
    <xf numFmtId="5" fontId="2" fillId="0" borderId="0" xfId="14" applyFont="1" applyBorder="1"/>
    <xf numFmtId="5" fontId="2" fillId="0" borderId="7" xfId="14" applyFont="1" applyFill="1" applyBorder="1"/>
    <xf numFmtId="5" fontId="2" fillId="0" borderId="0" xfId="14" applyFont="1" applyFill="1" applyBorder="1"/>
    <xf numFmtId="37" fontId="2" fillId="0" borderId="0" xfId="0" applyFont="1" applyAlignment="1">
      <alignment horizontal="right"/>
    </xf>
    <xf numFmtId="165" fontId="2" fillId="0" borderId="0" xfId="43" applyFont="1" applyBorder="1"/>
    <xf numFmtId="37" fontId="3" fillId="0" borderId="7" xfId="13" applyNumberFormat="1" applyFont="1" applyBorder="1"/>
    <xf numFmtId="37" fontId="3" fillId="0" borderId="0" xfId="13" applyNumberFormat="1" applyFont="1"/>
    <xf numFmtId="37" fontId="3" fillId="0" borderId="0" xfId="13" applyNumberFormat="1" applyFont="1" applyBorder="1"/>
    <xf numFmtId="39" fontId="2" fillId="0" borderId="0" xfId="0" applyNumberFormat="1" applyFont="1"/>
    <xf numFmtId="39" fontId="2" fillId="0" borderId="3" xfId="0" applyNumberFormat="1" applyFont="1" applyBorder="1"/>
    <xf numFmtId="39" fontId="2" fillId="0" borderId="0" xfId="0" applyNumberFormat="1" applyFont="1" applyBorder="1"/>
    <xf numFmtId="39" fontId="5" fillId="0" borderId="3" xfId="0" applyNumberFormat="1" applyFont="1" applyBorder="1"/>
    <xf numFmtId="39" fontId="5" fillId="0" borderId="0" xfId="0" applyNumberFormat="1" applyFont="1" applyBorder="1"/>
    <xf numFmtId="166" fontId="5" fillId="0" borderId="0" xfId="0" applyNumberFormat="1" applyFont="1"/>
    <xf numFmtId="37" fontId="33" fillId="0" borderId="0" xfId="0" applyFont="1" applyFill="1"/>
    <xf numFmtId="37" fontId="2" fillId="0" borderId="0" xfId="0" applyFont="1" applyFill="1" applyAlignment="1">
      <alignment horizontal="left"/>
    </xf>
    <xf numFmtId="165" fontId="3" fillId="0" borderId="0" xfId="43" applyFont="1" applyFill="1"/>
    <xf numFmtId="37" fontId="33" fillId="0" borderId="0" xfId="0" applyFont="1" applyFill="1" applyAlignment="1">
      <alignment horizontal="left"/>
    </xf>
    <xf numFmtId="37" fontId="3" fillId="0" borderId="0" xfId="13" applyFont="1" applyFill="1"/>
    <xf numFmtId="37" fontId="8" fillId="0" borderId="0" xfId="0" applyFont="1" applyAlignment="1">
      <alignment horizontal="center"/>
    </xf>
    <xf numFmtId="37" fontId="12" fillId="0" borderId="0" xfId="0" applyFont="1" applyAlignment="1">
      <alignment horizontal="center"/>
    </xf>
    <xf numFmtId="173" fontId="12" fillId="0" borderId="0" xfId="0" applyNumberFormat="1" applyFont="1" applyAlignment="1">
      <alignment horizontal="center"/>
    </xf>
    <xf numFmtId="171" fontId="12" fillId="0" borderId="0" xfId="0" applyNumberFormat="1" applyFont="1" applyAlignment="1">
      <alignment horizontal="center"/>
    </xf>
    <xf numFmtId="14" fontId="8" fillId="0" borderId="0" xfId="0" applyNumberFormat="1" applyFont="1" applyAlignment="1">
      <alignment horizontal="center"/>
    </xf>
    <xf numFmtId="37" fontId="26" fillId="0" borderId="0" xfId="0" applyFont="1" applyAlignment="1">
      <alignment horizontal="center"/>
    </xf>
    <xf numFmtId="37" fontId="24" fillId="0" borderId="8" xfId="0" applyFont="1" applyBorder="1"/>
    <xf numFmtId="166" fontId="12" fillId="0" borderId="9" xfId="0" applyNumberFormat="1" applyFont="1" applyBorder="1"/>
    <xf numFmtId="165" fontId="24" fillId="0" borderId="0" xfId="43" applyFont="1" applyBorder="1"/>
    <xf numFmtId="37" fontId="28" fillId="0" borderId="0" xfId="0" applyFont="1" applyBorder="1" applyAlignment="1">
      <alignment horizontal="right"/>
    </xf>
    <xf numFmtId="37" fontId="12" fillId="0" borderId="3" xfId="0" applyFont="1" applyBorder="1"/>
    <xf numFmtId="37" fontId="29" fillId="0" borderId="0" xfId="0" applyNumberFormat="1" applyFont="1" applyBorder="1"/>
    <xf numFmtId="37" fontId="22" fillId="0" borderId="2" xfId="0" applyFont="1" applyBorder="1" applyAlignment="1">
      <alignment horizontal="right"/>
    </xf>
    <xf numFmtId="37" fontId="34" fillId="0" borderId="3" xfId="0" applyFont="1" applyBorder="1"/>
    <xf numFmtId="37" fontId="22" fillId="0" borderId="3" xfId="0" applyFont="1" applyBorder="1"/>
    <xf numFmtId="168" fontId="22" fillId="0" borderId="10" xfId="0" applyNumberFormat="1" applyFont="1" applyBorder="1"/>
    <xf numFmtId="165" fontId="29" fillId="0" borderId="0" xfId="43" applyFont="1" applyBorder="1"/>
    <xf numFmtId="37" fontId="23" fillId="0" borderId="3" xfId="0" applyFont="1" applyBorder="1"/>
    <xf numFmtId="165" fontId="27" fillId="0" borderId="10" xfId="43" applyFont="1" applyBorder="1"/>
    <xf numFmtId="166" fontId="23" fillId="0" borderId="0" xfId="0" applyNumberFormat="1" applyFont="1" applyBorder="1" applyAlignment="1">
      <alignment horizontal="left" indent="1"/>
    </xf>
    <xf numFmtId="165" fontId="23" fillId="0" borderId="0" xfId="43" applyFont="1" applyBorder="1"/>
    <xf numFmtId="37" fontId="22" fillId="5" borderId="11" xfId="0" applyFont="1" applyFill="1" applyBorder="1"/>
    <xf numFmtId="166" fontId="22" fillId="5" borderId="12" xfId="0" applyNumberFormat="1" applyFont="1" applyFill="1" applyBorder="1"/>
    <xf numFmtId="37" fontId="22" fillId="0" borderId="13" xfId="0" applyFont="1" applyBorder="1"/>
    <xf numFmtId="166" fontId="22" fillId="0" borderId="14" xfId="0" applyNumberFormat="1" applyFont="1" applyBorder="1"/>
    <xf numFmtId="39" fontId="12" fillId="0" borderId="0" xfId="0" applyNumberFormat="1" applyFont="1" applyBorder="1"/>
    <xf numFmtId="37" fontId="12" fillId="0" borderId="9" xfId="0" applyFont="1" applyBorder="1"/>
    <xf numFmtId="37" fontId="12" fillId="0" borderId="10" xfId="0" applyFont="1" applyBorder="1"/>
    <xf numFmtId="166" fontId="12" fillId="0" borderId="13" xfId="0" applyNumberFormat="1" applyFont="1" applyBorder="1"/>
    <xf numFmtId="165" fontId="25" fillId="0" borderId="14" xfId="43" applyFont="1" applyBorder="1"/>
    <xf numFmtId="166" fontId="34" fillId="0" borderId="0" xfId="0" applyNumberFormat="1" applyFont="1" applyBorder="1"/>
    <xf numFmtId="170" fontId="35" fillId="0" borderId="0" xfId="0" applyNumberFormat="1" applyFont="1" applyBorder="1"/>
    <xf numFmtId="166" fontId="35" fillId="0" borderId="0" xfId="0" applyNumberFormat="1" applyFont="1" applyBorder="1"/>
    <xf numFmtId="168" fontId="22" fillId="5" borderId="11" xfId="0" applyNumberFormat="1" applyFont="1" applyFill="1" applyBorder="1"/>
    <xf numFmtId="7" fontId="22" fillId="5" borderId="12" xfId="0" applyNumberFormat="1" applyFont="1" applyFill="1" applyBorder="1"/>
    <xf numFmtId="166" fontId="22" fillId="5" borderId="11" xfId="0" applyNumberFormat="1" applyFont="1" applyFill="1" applyBorder="1"/>
    <xf numFmtId="166" fontId="24" fillId="0" borderId="0" xfId="0" applyNumberFormat="1" applyFont="1" applyBorder="1"/>
    <xf numFmtId="0" fontId="12" fillId="0" borderId="0" xfId="0" applyNumberFormat="1" applyFont="1" applyBorder="1"/>
    <xf numFmtId="0" fontId="8" fillId="0" borderId="0" xfId="0" applyNumberFormat="1" applyFont="1" applyBorder="1"/>
    <xf numFmtId="37" fontId="25" fillId="0" borderId="0" xfId="0" applyNumberFormat="1" applyFont="1" applyBorder="1"/>
    <xf numFmtId="165" fontId="25" fillId="0" borderId="0" xfId="43" applyFont="1" applyBorder="1"/>
    <xf numFmtId="0" fontId="8" fillId="0" borderId="8" xfId="0" applyNumberFormat="1" applyFont="1" applyBorder="1"/>
    <xf numFmtId="166" fontId="8" fillId="0" borderId="4" xfId="43" applyNumberFormat="1" applyFont="1" applyBorder="1" applyAlignment="1">
      <alignment horizontal="right"/>
    </xf>
    <xf numFmtId="0" fontId="8" fillId="0" borderId="4" xfId="0" applyNumberFormat="1" applyFont="1" applyBorder="1"/>
    <xf numFmtId="166" fontId="8" fillId="0" borderId="9" xfId="43" applyNumberFormat="1" applyFont="1" applyBorder="1" applyAlignment="1">
      <alignment horizontal="right"/>
    </xf>
    <xf numFmtId="0" fontId="8" fillId="0" borderId="13" xfId="0" applyNumberFormat="1" applyFont="1" applyBorder="1"/>
    <xf numFmtId="166" fontId="8" fillId="0" borderId="2" xfId="43" applyNumberFormat="1" applyFont="1" applyBorder="1" applyAlignment="1">
      <alignment horizontal="right"/>
    </xf>
    <xf numFmtId="0" fontId="8" fillId="0" borderId="2" xfId="0" applyNumberFormat="1" applyFont="1" applyBorder="1"/>
    <xf numFmtId="166" fontId="8" fillId="0" borderId="14" xfId="43" applyNumberFormat="1" applyFont="1" applyBorder="1" applyAlignment="1">
      <alignment horizontal="right"/>
    </xf>
    <xf numFmtId="166" fontId="8" fillId="0" borderId="0" xfId="43" applyNumberFormat="1" applyFont="1" applyBorder="1"/>
    <xf numFmtId="166" fontId="22" fillId="0" borderId="0" xfId="43" applyNumberFormat="1" applyFont="1" applyBorder="1"/>
    <xf numFmtId="7" fontId="31" fillId="0" borderId="7" xfId="14" applyNumberFormat="1" applyFont="1" applyFill="1" applyBorder="1"/>
    <xf numFmtId="7" fontId="31" fillId="0" borderId="7" xfId="14" applyNumberFormat="1" applyFont="1" applyBorder="1"/>
    <xf numFmtId="5" fontId="3" fillId="0" borderId="7" xfId="14" applyFont="1" applyBorder="1" applyAlignment="1">
      <alignment horizontal="right"/>
    </xf>
    <xf numFmtId="7" fontId="3" fillId="6" borderId="0" xfId="14" applyNumberFormat="1" applyFont="1" applyFill="1" applyBorder="1"/>
    <xf numFmtId="7" fontId="3" fillId="6" borderId="7" xfId="14" applyNumberFormat="1" applyFont="1" applyFill="1" applyBorder="1"/>
    <xf numFmtId="165" fontId="3" fillId="6" borderId="0" xfId="43" applyFont="1" applyFill="1" applyBorder="1"/>
    <xf numFmtId="165" fontId="3" fillId="6" borderId="7" xfId="43" applyFont="1" applyFill="1" applyBorder="1"/>
    <xf numFmtId="37" fontId="24" fillId="0" borderId="0" xfId="0" applyFont="1" applyBorder="1" applyAlignment="1">
      <alignment horizontal="center"/>
    </xf>
    <xf numFmtId="37" fontId="12" fillId="6" borderId="0" xfId="0" applyFont="1" applyFill="1" applyBorder="1"/>
    <xf numFmtId="166" fontId="24" fillId="0" borderId="0" xfId="0" applyNumberFormat="1" applyFont="1" applyBorder="1" applyAlignment="1">
      <alignment horizontal="center"/>
    </xf>
    <xf numFmtId="166" fontId="22" fillId="0" borderId="0" xfId="0" applyNumberFormat="1" applyFont="1" applyBorder="1" applyAlignment="1">
      <alignment horizontal="left"/>
    </xf>
    <xf numFmtId="39" fontId="12" fillId="6" borderId="0" xfId="0" applyNumberFormat="1" applyFont="1" applyFill="1" applyBorder="1"/>
    <xf numFmtId="37" fontId="29" fillId="0" borderId="0" xfId="0" applyNumberFormat="1" applyFont="1" applyFill="1" applyBorder="1"/>
    <xf numFmtId="166" fontId="29" fillId="0" borderId="0" xfId="0" applyNumberFormat="1" applyFont="1" applyFill="1" applyBorder="1"/>
    <xf numFmtId="165" fontId="23" fillId="0" borderId="0" xfId="43" applyFont="1" applyFill="1" applyBorder="1"/>
    <xf numFmtId="39" fontId="29" fillId="0" borderId="0" xfId="0" applyNumberFormat="1" applyFont="1" applyFill="1" applyBorder="1"/>
    <xf numFmtId="166" fontId="12" fillId="6" borderId="0" xfId="0" applyNumberFormat="1" applyFont="1" applyFill="1" applyBorder="1" applyAlignment="1">
      <alignment horizontal="left" indent="1"/>
    </xf>
    <xf numFmtId="166" fontId="12" fillId="6" borderId="0" xfId="0" applyNumberFormat="1" applyFont="1" applyFill="1" applyBorder="1"/>
    <xf numFmtId="165" fontId="12" fillId="6" borderId="0" xfId="43" applyFont="1" applyFill="1" applyBorder="1"/>
    <xf numFmtId="166" fontId="34" fillId="6" borderId="0" xfId="0" applyNumberFormat="1" applyFont="1" applyFill="1" applyBorder="1"/>
    <xf numFmtId="165" fontId="29" fillId="6" borderId="0" xfId="43" applyFont="1" applyFill="1" applyBorder="1"/>
    <xf numFmtId="168" fontId="8" fillId="6" borderId="0" xfId="0" applyNumberFormat="1" applyFont="1" applyFill="1" applyBorder="1"/>
    <xf numFmtId="168" fontId="12" fillId="6" borderId="0" xfId="0" applyNumberFormat="1" applyFont="1" applyFill="1" applyBorder="1"/>
    <xf numFmtId="166" fontId="29" fillId="6" borderId="0" xfId="0" applyNumberFormat="1" applyFont="1" applyFill="1" applyBorder="1"/>
    <xf numFmtId="166" fontId="29" fillId="0" borderId="10" xfId="0" applyNumberFormat="1" applyFont="1" applyBorder="1"/>
    <xf numFmtId="166" fontId="35" fillId="0" borderId="10" xfId="0" applyNumberFormat="1" applyFont="1" applyBorder="1"/>
    <xf numFmtId="14" fontId="3" fillId="0" borderId="3" xfId="13" quotePrefix="1" applyNumberFormat="1" applyFont="1" applyBorder="1" applyAlignment="1" applyProtection="1"/>
    <xf numFmtId="168" fontId="3" fillId="0" borderId="7" xfId="14" applyNumberFormat="1" applyFont="1" applyBorder="1"/>
    <xf numFmtId="37" fontId="34" fillId="0" borderId="0" xfId="0" applyFont="1" applyAlignment="1">
      <alignment horizontal="center"/>
    </xf>
    <xf numFmtId="37" fontId="12" fillId="0" borderId="0" xfId="0" applyFont="1" applyAlignment="1"/>
    <xf numFmtId="165" fontId="12" fillId="0" borderId="0" xfId="43" applyFont="1" applyAlignment="1">
      <alignment horizontal="center"/>
    </xf>
    <xf numFmtId="37" fontId="12" fillId="0" borderId="0" xfId="0" applyFont="1" applyAlignment="1">
      <alignment horizontal="left"/>
    </xf>
    <xf numFmtId="165" fontId="12" fillId="0" borderId="0" xfId="43" applyFont="1" applyAlignment="1">
      <alignment horizontal="left"/>
    </xf>
    <xf numFmtId="5" fontId="12" fillId="0" borderId="0" xfId="14" applyFont="1" applyBorder="1" applyAlignment="1" applyProtection="1">
      <alignment horizontal="left"/>
    </xf>
    <xf numFmtId="5" fontId="12" fillId="0" borderId="0" xfId="14" applyFont="1" applyBorder="1" applyAlignment="1" applyProtection="1">
      <alignment horizontal="left" indent="1"/>
    </xf>
    <xf numFmtId="37" fontId="12" fillId="0" borderId="0" xfId="13" applyFont="1" applyBorder="1" applyAlignment="1" applyProtection="1">
      <alignment horizontal="left"/>
    </xf>
    <xf numFmtId="179" fontId="12" fillId="0" borderId="0" xfId="0" applyNumberFormat="1" applyFont="1"/>
    <xf numFmtId="166" fontId="12" fillId="0" borderId="0" xfId="43" applyNumberFormat="1" applyFont="1" applyBorder="1" applyAlignment="1" applyProtection="1">
      <alignment horizontal="left" indent="1"/>
    </xf>
    <xf numFmtId="166" fontId="12" fillId="0" borderId="0" xfId="43" applyNumberFormat="1" applyFont="1" applyAlignment="1">
      <alignment horizontal="left"/>
    </xf>
    <xf numFmtId="166" fontId="12" fillId="0" borderId="0" xfId="43" applyNumberFormat="1" applyFont="1" applyAlignment="1">
      <alignment horizontal="center"/>
    </xf>
    <xf numFmtId="166" fontId="12" fillId="0" borderId="0" xfId="43" applyNumberFormat="1" applyFont="1"/>
    <xf numFmtId="37" fontId="12" fillId="0" borderId="0" xfId="14" applyNumberFormat="1" applyFont="1" applyBorder="1" applyAlignment="1" applyProtection="1">
      <alignment horizontal="left" indent="1"/>
    </xf>
    <xf numFmtId="37" fontId="12" fillId="0" borderId="0" xfId="43" applyNumberFormat="1" applyFont="1" applyAlignment="1">
      <alignment horizontal="left"/>
    </xf>
    <xf numFmtId="37" fontId="12" fillId="0" borderId="0" xfId="43" applyNumberFormat="1" applyFont="1" applyAlignment="1">
      <alignment horizontal="center"/>
    </xf>
    <xf numFmtId="166" fontId="12" fillId="0" borderId="0" xfId="14" applyNumberFormat="1" applyFont="1" applyBorder="1" applyAlignment="1" applyProtection="1">
      <alignment horizontal="left" indent="1"/>
    </xf>
    <xf numFmtId="165" fontId="12" fillId="6" borderId="0" xfId="43" applyFont="1" applyFill="1" applyAlignment="1">
      <alignment horizontal="left"/>
    </xf>
    <xf numFmtId="0" fontId="3" fillId="0" borderId="0" xfId="38" applyFont="1" applyAlignment="1">
      <alignment horizontal="right" vertical="center"/>
    </xf>
    <xf numFmtId="17" fontId="3" fillId="0" borderId="0" xfId="38" applyNumberFormat="1" applyFont="1" applyBorder="1" applyAlignment="1">
      <alignment horizontal="right"/>
    </xf>
    <xf numFmtId="0" fontId="2" fillId="0" borderId="0" xfId="40" applyFont="1" applyAlignment="1">
      <alignment horizontal="right"/>
    </xf>
    <xf numFmtId="169" fontId="12" fillId="0" borderId="0" xfId="0" applyNumberFormat="1" applyFont="1"/>
    <xf numFmtId="37" fontId="10" fillId="0" borderId="0" xfId="22" applyNumberFormat="1" applyAlignment="1" applyProtection="1"/>
    <xf numFmtId="37" fontId="9" fillId="0" borderId="0" xfId="13" applyFont="1" applyBorder="1" applyAlignment="1" applyProtection="1">
      <alignment horizontal="left"/>
    </xf>
    <xf numFmtId="165" fontId="9" fillId="0" borderId="0" xfId="43" applyFont="1" applyAlignment="1">
      <alignment horizontal="center"/>
    </xf>
    <xf numFmtId="37" fontId="9" fillId="0" borderId="0" xfId="0" applyFont="1" applyAlignment="1">
      <alignment horizontal="center"/>
    </xf>
    <xf numFmtId="37" fontId="48" fillId="0" borderId="0" xfId="0" applyFont="1"/>
    <xf numFmtId="169" fontId="9" fillId="0" borderId="0" xfId="34" applyNumberFormat="1" applyFont="1" applyBorder="1"/>
    <xf numFmtId="37" fontId="9" fillId="0" borderId="0" xfId="0" applyFont="1" applyAlignment="1"/>
    <xf numFmtId="0" fontId="48" fillId="0" borderId="0" xfId="0" applyNumberFormat="1" applyFont="1"/>
    <xf numFmtId="37" fontId="9" fillId="0" borderId="0" xfId="34" applyNumberFormat="1" applyFont="1" applyBorder="1"/>
    <xf numFmtId="165" fontId="9" fillId="0" borderId="0" xfId="43" applyFont="1"/>
    <xf numFmtId="37" fontId="9" fillId="0" borderId="0" xfId="0" applyFont="1" applyBorder="1"/>
    <xf numFmtId="37" fontId="11" fillId="0" borderId="8" xfId="0" applyFont="1" applyBorder="1"/>
    <xf numFmtId="37" fontId="9" fillId="0" borderId="4" xfId="0" applyFont="1" applyBorder="1"/>
    <xf numFmtId="37" fontId="9" fillId="0" borderId="9" xfId="0" applyFont="1" applyBorder="1"/>
    <xf numFmtId="37" fontId="9" fillId="0" borderId="3" xfId="0" applyFont="1" applyBorder="1"/>
    <xf numFmtId="37" fontId="9" fillId="0" borderId="10" xfId="0" applyFont="1" applyBorder="1"/>
    <xf numFmtId="37" fontId="48" fillId="0" borderId="3" xfId="0" applyFont="1" applyBorder="1"/>
    <xf numFmtId="37" fontId="48" fillId="0" borderId="0" xfId="0" applyFont="1" applyBorder="1" applyAlignment="1">
      <alignment horizontal="center"/>
    </xf>
    <xf numFmtId="37" fontId="48" fillId="0" borderId="10" xfId="0" applyFont="1" applyBorder="1" applyAlignment="1">
      <alignment horizontal="center"/>
    </xf>
    <xf numFmtId="37" fontId="47" fillId="0" borderId="0" xfId="0" applyFont="1" applyBorder="1"/>
    <xf numFmtId="37" fontId="48" fillId="0" borderId="0" xfId="0" applyFont="1" applyBorder="1"/>
    <xf numFmtId="37" fontId="48" fillId="0" borderId="10" xfId="0" applyFont="1" applyBorder="1"/>
    <xf numFmtId="37" fontId="9" fillId="0" borderId="13" xfId="0" applyFont="1" applyBorder="1"/>
    <xf numFmtId="37" fontId="9" fillId="0" borderId="2" xfId="0" applyFont="1" applyBorder="1"/>
    <xf numFmtId="37" fontId="9" fillId="0" borderId="14" xfId="0" applyFont="1" applyBorder="1"/>
    <xf numFmtId="37" fontId="9" fillId="0" borderId="0" xfId="0" applyFont="1" applyFill="1"/>
    <xf numFmtId="37" fontId="9" fillId="0" borderId="0" xfId="0" applyFont="1" applyBorder="1" applyAlignment="1">
      <alignment horizontal="center"/>
    </xf>
    <xf numFmtId="37" fontId="9" fillId="0" borderId="2" xfId="0" applyFont="1" applyBorder="1" applyAlignment="1">
      <alignment horizontal="center"/>
    </xf>
    <xf numFmtId="37" fontId="9" fillId="0" borderId="10" xfId="0" applyFont="1" applyBorder="1" applyAlignment="1">
      <alignment horizontal="center"/>
    </xf>
    <xf numFmtId="165" fontId="48" fillId="0" borderId="0" xfId="43" applyFont="1" applyBorder="1" applyAlignment="1">
      <alignment horizontal="center"/>
    </xf>
    <xf numFmtId="37" fontId="9" fillId="0" borderId="0" xfId="0" quotePrefix="1" applyFont="1" applyBorder="1" applyAlignment="1">
      <alignment horizontal="right"/>
    </xf>
    <xf numFmtId="7" fontId="9" fillId="0" borderId="10" xfId="14" applyNumberFormat="1" applyFont="1" applyBorder="1"/>
    <xf numFmtId="7" fontId="48" fillId="0" borderId="10" xfId="14" applyNumberFormat="1" applyFont="1" applyBorder="1"/>
    <xf numFmtId="7" fontId="9" fillId="0" borderId="14" xfId="14" applyNumberFormat="1" applyFont="1" applyBorder="1"/>
    <xf numFmtId="37" fontId="9" fillId="0" borderId="0" xfId="0" applyFont="1" applyBorder="1" applyAlignment="1">
      <alignment horizontal="right"/>
    </xf>
    <xf numFmtId="37" fontId="48" fillId="0" borderId="0" xfId="0" applyFont="1" applyBorder="1" applyAlignment="1">
      <alignment horizontal="right"/>
    </xf>
    <xf numFmtId="0" fontId="48" fillId="0" borderId="0" xfId="0" applyNumberFormat="1" applyFont="1" applyBorder="1" applyAlignment="1">
      <alignment horizontal="right"/>
    </xf>
    <xf numFmtId="165" fontId="9" fillId="0" borderId="0" xfId="43" applyFont="1" applyBorder="1" applyAlignment="1">
      <alignment horizontal="left"/>
    </xf>
    <xf numFmtId="165" fontId="9" fillId="0" borderId="0" xfId="43" applyFont="1" applyBorder="1" applyAlignment="1">
      <alignment horizontal="right"/>
    </xf>
    <xf numFmtId="37" fontId="9" fillId="0" borderId="0" xfId="0" applyNumberFormat="1" applyFont="1" applyBorder="1" applyAlignment="1">
      <alignment horizontal="right"/>
    </xf>
    <xf numFmtId="166" fontId="9" fillId="0" borderId="0" xfId="0" applyNumberFormat="1" applyFont="1" applyBorder="1"/>
    <xf numFmtId="37" fontId="9" fillId="0" borderId="0" xfId="0" applyFont="1" applyBorder="1" applyAlignment="1">
      <alignment horizontal="left"/>
    </xf>
    <xf numFmtId="169" fontId="9" fillId="0" borderId="0" xfId="34" applyNumberFormat="1" applyFont="1"/>
    <xf numFmtId="5" fontId="9" fillId="0" borderId="0" xfId="14" applyFont="1"/>
    <xf numFmtId="37" fontId="9" fillId="0" borderId="2" xfId="0" applyFont="1" applyBorder="1" applyAlignment="1">
      <alignment horizontal="right"/>
    </xf>
    <xf numFmtId="166" fontId="9" fillId="0" borderId="15" xfId="0" applyNumberFormat="1" applyFont="1" applyBorder="1"/>
    <xf numFmtId="37" fontId="9" fillId="0" borderId="1" xfId="0" applyFont="1" applyBorder="1"/>
    <xf numFmtId="5" fontId="9" fillId="0" borderId="0" xfId="0" applyNumberFormat="1" applyFont="1" applyBorder="1" applyAlignment="1">
      <alignment horizontal="right"/>
    </xf>
    <xf numFmtId="5" fontId="9" fillId="0" borderId="1" xfId="0" applyNumberFormat="1" applyFont="1" applyBorder="1" applyAlignment="1">
      <alignment horizontal="right"/>
    </xf>
    <xf numFmtId="37" fontId="9" fillId="0" borderId="16" xfId="0" applyFont="1" applyBorder="1"/>
    <xf numFmtId="37" fontId="9" fillId="0" borderId="8" xfId="0" applyFont="1" applyBorder="1"/>
    <xf numFmtId="37" fontId="48" fillId="0" borderId="16" xfId="0" applyFont="1" applyBorder="1"/>
    <xf numFmtId="37" fontId="9" fillId="0" borderId="17" xfId="0" applyFont="1" applyBorder="1"/>
    <xf numFmtId="37" fontId="9" fillId="0" borderId="1" xfId="0" applyFont="1" applyBorder="1" applyAlignment="1">
      <alignment horizontal="right"/>
    </xf>
    <xf numFmtId="166" fontId="9" fillId="0" borderId="0" xfId="0" applyNumberFormat="1" applyFont="1" applyBorder="1" applyAlignment="1">
      <alignment horizontal="center"/>
    </xf>
    <xf numFmtId="0" fontId="9" fillId="0" borderId="0" xfId="0" applyNumberFormat="1" applyFont="1" applyBorder="1" applyAlignment="1">
      <alignment horizontal="center"/>
    </xf>
    <xf numFmtId="166" fontId="48" fillId="0" borderId="0" xfId="0" applyNumberFormat="1" applyFont="1" applyBorder="1" applyAlignment="1">
      <alignment horizontal="right"/>
    </xf>
    <xf numFmtId="5" fontId="9" fillId="0" borderId="0" xfId="14" applyFont="1" applyBorder="1" applyAlignment="1">
      <alignment horizontal="right"/>
    </xf>
    <xf numFmtId="166" fontId="9" fillId="0" borderId="3" xfId="0" applyNumberFormat="1" applyFont="1" applyBorder="1"/>
    <xf numFmtId="37" fontId="9" fillId="0" borderId="0" xfId="0" applyNumberFormat="1" applyFont="1" applyFill="1" applyBorder="1" applyAlignment="1">
      <alignment horizontal="right"/>
    </xf>
    <xf numFmtId="37" fontId="9" fillId="0" borderId="0" xfId="0" applyFont="1" applyFill="1" applyBorder="1" applyAlignment="1">
      <alignment horizontal="right"/>
    </xf>
    <xf numFmtId="166" fontId="9" fillId="0" borderId="13" xfId="0" applyNumberFormat="1" applyFont="1" applyBorder="1"/>
    <xf numFmtId="37" fontId="11" fillId="0" borderId="0" xfId="0" applyFont="1" applyBorder="1"/>
    <xf numFmtId="7" fontId="9" fillId="0" borderId="0" xfId="14" applyNumberFormat="1" applyFont="1" applyBorder="1" applyAlignment="1">
      <alignment horizontal="right"/>
    </xf>
    <xf numFmtId="7" fontId="9" fillId="0" borderId="0" xfId="14" applyNumberFormat="1" applyFont="1" applyFill="1" applyBorder="1" applyAlignment="1">
      <alignment horizontal="right"/>
    </xf>
    <xf numFmtId="37" fontId="48" fillId="0" borderId="0" xfId="0" applyFont="1" applyAlignment="1">
      <alignment horizontal="right"/>
    </xf>
    <xf numFmtId="37" fontId="47" fillId="0" borderId="0" xfId="0" applyNumberFormat="1" applyFont="1" applyBorder="1" applyAlignment="1">
      <alignment horizontal="right"/>
    </xf>
    <xf numFmtId="37" fontId="47" fillId="0" borderId="0" xfId="0" applyNumberFormat="1" applyFont="1" applyFill="1" applyBorder="1" applyAlignment="1">
      <alignment horizontal="right"/>
    </xf>
    <xf numFmtId="37" fontId="47" fillId="0" borderId="0" xfId="0" applyFont="1" applyFill="1" applyBorder="1" applyAlignment="1">
      <alignment horizontal="right"/>
    </xf>
    <xf numFmtId="37" fontId="47" fillId="0" borderId="0" xfId="0" applyFont="1" applyBorder="1" applyAlignment="1">
      <alignment horizontal="right"/>
    </xf>
    <xf numFmtId="37" fontId="9" fillId="0" borderId="5" xfId="0" applyFont="1" applyBorder="1"/>
    <xf numFmtId="37" fontId="9" fillId="0" borderId="5" xfId="0" applyFont="1" applyBorder="1" applyAlignment="1">
      <alignment horizontal="right"/>
    </xf>
    <xf numFmtId="166" fontId="9" fillId="0" borderId="6" xfId="0" applyNumberFormat="1" applyFont="1" applyBorder="1" applyAlignment="1">
      <alignment horizontal="right"/>
    </xf>
    <xf numFmtId="37" fontId="9" fillId="0" borderId="6" xfId="0" applyFont="1" applyBorder="1" applyAlignment="1">
      <alignment horizontal="right"/>
    </xf>
    <xf numFmtId="37" fontId="9" fillId="0" borderId="7" xfId="0" applyNumberFormat="1" applyFont="1" applyBorder="1" applyAlignment="1">
      <alignment horizontal="right"/>
    </xf>
    <xf numFmtId="37" fontId="9" fillId="0" borderId="7" xfId="0" applyFont="1" applyBorder="1" applyAlignment="1">
      <alignment horizontal="right"/>
    </xf>
    <xf numFmtId="5" fontId="9" fillId="0" borderId="7" xfId="14" applyFont="1" applyBorder="1" applyAlignment="1">
      <alignment horizontal="right"/>
    </xf>
    <xf numFmtId="37" fontId="9" fillId="0" borderId="7" xfId="0" applyNumberFormat="1" applyFont="1" applyFill="1" applyBorder="1" applyAlignment="1">
      <alignment horizontal="right"/>
    </xf>
    <xf numFmtId="37" fontId="9" fillId="0" borderId="7" xfId="0" applyFont="1" applyFill="1" applyBorder="1" applyAlignment="1">
      <alignment horizontal="right"/>
    </xf>
    <xf numFmtId="37" fontId="9" fillId="0" borderId="6" xfId="0" applyNumberFormat="1" applyFont="1" applyBorder="1" applyAlignment="1">
      <alignment horizontal="right"/>
    </xf>
    <xf numFmtId="37" fontId="9" fillId="0" borderId="6" xfId="0" applyNumberFormat="1" applyFont="1" applyFill="1" applyBorder="1" applyAlignment="1">
      <alignment horizontal="right"/>
    </xf>
    <xf numFmtId="37" fontId="11" fillId="5" borderId="7" xfId="0" applyNumberFormat="1" applyFont="1" applyFill="1" applyBorder="1" applyAlignment="1">
      <alignment horizontal="right"/>
    </xf>
    <xf numFmtId="37" fontId="11" fillId="5" borderId="7" xfId="0" applyFont="1" applyFill="1" applyBorder="1" applyAlignment="1">
      <alignment horizontal="right"/>
    </xf>
    <xf numFmtId="5" fontId="9" fillId="0" borderId="0" xfId="14" applyFont="1" applyBorder="1" applyAlignment="1" applyProtection="1">
      <alignment horizontal="left"/>
    </xf>
    <xf numFmtId="37" fontId="9" fillId="0" borderId="0" xfId="13" applyFont="1" applyFill="1" applyBorder="1" applyAlignment="1" applyProtection="1">
      <alignment horizontal="left"/>
    </xf>
    <xf numFmtId="165" fontId="48" fillId="0" borderId="0" xfId="43" applyFont="1"/>
    <xf numFmtId="37" fontId="11" fillId="0" borderId="0" xfId="13" applyFont="1" applyBorder="1" applyAlignment="1" applyProtection="1">
      <alignment horizontal="left" indent="1"/>
    </xf>
    <xf numFmtId="165" fontId="11" fillId="0" borderId="0" xfId="43" applyFont="1"/>
    <xf numFmtId="37" fontId="49" fillId="0" borderId="0" xfId="0" applyFont="1"/>
    <xf numFmtId="0" fontId="49" fillId="0" borderId="0" xfId="0" applyNumberFormat="1" applyFont="1"/>
    <xf numFmtId="5" fontId="49" fillId="0" borderId="0" xfId="14" applyFont="1" applyBorder="1" applyAlignment="1" applyProtection="1">
      <alignment horizontal="left"/>
    </xf>
    <xf numFmtId="0" fontId="49" fillId="0" borderId="0" xfId="0" applyNumberFormat="1" applyFont="1" applyAlignment="1">
      <alignment horizontal="right"/>
    </xf>
    <xf numFmtId="37" fontId="9" fillId="0" borderId="0" xfId="0" applyFont="1" applyAlignment="1">
      <alignment horizontal="right"/>
    </xf>
    <xf numFmtId="166" fontId="9" fillId="0" borderId="0" xfId="0" applyNumberFormat="1" applyFont="1" applyAlignment="1">
      <alignment horizontal="right"/>
    </xf>
    <xf numFmtId="165" fontId="9" fillId="0" borderId="0" xfId="43" applyFont="1" applyAlignment="1">
      <alignment horizontal="right"/>
    </xf>
    <xf numFmtId="7" fontId="9" fillId="0" borderId="0" xfId="14" applyNumberFormat="1" applyFont="1" applyAlignment="1">
      <alignment horizontal="right"/>
    </xf>
    <xf numFmtId="0" fontId="48" fillId="0" borderId="3" xfId="0" applyNumberFormat="1" applyFont="1" applyBorder="1" applyAlignment="1">
      <alignment horizontal="right"/>
    </xf>
    <xf numFmtId="0" fontId="48" fillId="0" borderId="16" xfId="0" applyNumberFormat="1" applyFont="1" applyBorder="1" applyAlignment="1">
      <alignment horizontal="right"/>
    </xf>
    <xf numFmtId="0" fontId="48" fillId="0" borderId="10" xfId="0" applyNumberFormat="1" applyFont="1" applyBorder="1" applyAlignment="1">
      <alignment horizontal="right"/>
    </xf>
    <xf numFmtId="5" fontId="9" fillId="0" borderId="16" xfId="43" applyNumberFormat="1" applyFont="1" applyBorder="1" applyAlignment="1">
      <alignment horizontal="right"/>
    </xf>
    <xf numFmtId="9" fontId="9" fillId="0" borderId="10" xfId="43" applyNumberFormat="1" applyFont="1" applyBorder="1"/>
    <xf numFmtId="37" fontId="9" fillId="0" borderId="16" xfId="0" applyNumberFormat="1" applyFont="1" applyBorder="1" applyAlignment="1">
      <alignment horizontal="right"/>
    </xf>
    <xf numFmtId="37" fontId="9" fillId="0" borderId="16" xfId="43" applyNumberFormat="1" applyFont="1" applyBorder="1" applyAlignment="1">
      <alignment horizontal="right"/>
    </xf>
    <xf numFmtId="170" fontId="9" fillId="0" borderId="0" xfId="0" applyNumberFormat="1" applyFont="1"/>
    <xf numFmtId="165" fontId="9" fillId="0" borderId="0" xfId="43" quotePrefix="1" applyFont="1" applyBorder="1" applyAlignment="1">
      <alignment horizontal="right"/>
    </xf>
    <xf numFmtId="0" fontId="48" fillId="0" borderId="15" xfId="0" applyNumberFormat="1" applyFont="1" applyBorder="1" applyAlignment="1">
      <alignment horizontal="right"/>
    </xf>
    <xf numFmtId="166" fontId="48" fillId="0" borderId="0" xfId="0" applyNumberFormat="1" applyFont="1" applyAlignment="1">
      <alignment horizontal="right"/>
    </xf>
    <xf numFmtId="37" fontId="9" fillId="0" borderId="2" xfId="13" applyFont="1" applyFill="1" applyBorder="1" applyAlignment="1" applyProtection="1">
      <alignment horizontal="left"/>
    </xf>
    <xf numFmtId="166" fontId="9" fillId="0" borderId="2" xfId="0" applyNumberFormat="1" applyFont="1" applyBorder="1" applyAlignment="1">
      <alignment horizontal="right"/>
    </xf>
    <xf numFmtId="37" fontId="48" fillId="0" borderId="2" xfId="0" applyFont="1" applyBorder="1" applyAlignment="1">
      <alignment horizontal="right"/>
    </xf>
    <xf numFmtId="165" fontId="9" fillId="0" borderId="2" xfId="43" applyFont="1" applyBorder="1" applyAlignment="1">
      <alignment horizontal="right"/>
    </xf>
    <xf numFmtId="165" fontId="9" fillId="0" borderId="0" xfId="43" applyFont="1" applyBorder="1"/>
    <xf numFmtId="7" fontId="9" fillId="0" borderId="0" xfId="14" applyNumberFormat="1" applyFont="1" applyBorder="1"/>
    <xf numFmtId="7" fontId="9" fillId="0" borderId="0" xfId="0" applyNumberFormat="1" applyFont="1" applyBorder="1"/>
    <xf numFmtId="37" fontId="9" fillId="0" borderId="18" xfId="0" applyFont="1" applyBorder="1"/>
    <xf numFmtId="0" fontId="9" fillId="0" borderId="2" xfId="0" applyNumberFormat="1" applyFont="1" applyBorder="1" applyAlignment="1">
      <alignment horizontal="right"/>
    </xf>
    <xf numFmtId="37" fontId="9" fillId="0" borderId="2" xfId="0" quotePrefix="1" applyFont="1" applyBorder="1"/>
    <xf numFmtId="5" fontId="9" fillId="0" borderId="0" xfId="0" applyNumberFormat="1" applyFont="1"/>
    <xf numFmtId="37" fontId="48" fillId="0" borderId="3" xfId="0" applyFont="1" applyBorder="1" applyAlignment="1">
      <alignment horizontal="left"/>
    </xf>
    <xf numFmtId="16" fontId="48" fillId="0" borderId="10" xfId="0" quotePrefix="1" applyNumberFormat="1" applyFont="1" applyBorder="1" applyAlignment="1">
      <alignment horizontal="right"/>
    </xf>
    <xf numFmtId="5" fontId="9" fillId="0" borderId="3" xfId="14" applyFont="1" applyBorder="1" applyAlignment="1" applyProtection="1">
      <alignment horizontal="left"/>
    </xf>
    <xf numFmtId="37" fontId="9" fillId="0" borderId="3" xfId="13" applyFont="1" applyBorder="1" applyAlignment="1" applyProtection="1">
      <alignment horizontal="left"/>
    </xf>
    <xf numFmtId="5" fontId="9" fillId="0" borderId="13" xfId="14" applyFont="1" applyBorder="1" applyAlignment="1" applyProtection="1">
      <alignment horizontal="left"/>
    </xf>
    <xf numFmtId="165" fontId="9" fillId="0" borderId="2" xfId="43" applyFont="1" applyBorder="1" applyAlignment="1">
      <alignment horizontal="left"/>
    </xf>
    <xf numFmtId="5" fontId="9" fillId="0" borderId="19" xfId="43" applyNumberFormat="1" applyFont="1" applyBorder="1" applyAlignment="1">
      <alignment horizontal="right"/>
    </xf>
    <xf numFmtId="5" fontId="9" fillId="0" borderId="2" xfId="0" applyNumberFormat="1" applyFont="1" applyBorder="1" applyAlignment="1">
      <alignment horizontal="right"/>
    </xf>
    <xf numFmtId="9" fontId="9" fillId="0" borderId="14" xfId="43" applyNumberFormat="1" applyFont="1" applyBorder="1"/>
    <xf numFmtId="166" fontId="9" fillId="0" borderId="2" xfId="0" applyNumberFormat="1" applyFont="1" applyBorder="1"/>
    <xf numFmtId="166" fontId="9" fillId="0" borderId="20" xfId="0" applyNumberFormat="1" applyFont="1" applyBorder="1"/>
    <xf numFmtId="37" fontId="11" fillId="0" borderId="3" xfId="0" quotePrefix="1" applyFont="1" applyBorder="1"/>
    <xf numFmtId="37" fontId="9" fillId="0" borderId="0" xfId="0" quotePrefix="1" applyFont="1" applyAlignment="1">
      <alignment horizontal="right"/>
    </xf>
    <xf numFmtId="37" fontId="9" fillId="0" borderId="0" xfId="0" quotePrefix="1" applyFont="1"/>
    <xf numFmtId="37" fontId="50" fillId="0" borderId="0" xfId="0" applyFont="1" applyBorder="1"/>
    <xf numFmtId="37" fontId="11" fillId="5" borderId="11" xfId="0" applyFont="1" applyFill="1" applyBorder="1" applyAlignment="1">
      <alignment horizontal="left" indent="1"/>
    </xf>
    <xf numFmtId="37" fontId="11" fillId="5" borderId="18" xfId="0" applyFont="1" applyFill="1" applyBorder="1"/>
    <xf numFmtId="37" fontId="11" fillId="5" borderId="0" xfId="0" applyFont="1" applyFill="1"/>
    <xf numFmtId="166" fontId="11" fillId="5" borderId="18" xfId="0" applyNumberFormat="1" applyFont="1" applyFill="1" applyBorder="1"/>
    <xf numFmtId="7" fontId="11" fillId="5" borderId="12" xfId="14" applyNumberFormat="1" applyFont="1" applyFill="1" applyBorder="1"/>
    <xf numFmtId="37" fontId="9" fillId="5" borderId="18" xfId="0" applyFont="1" applyFill="1" applyBorder="1"/>
    <xf numFmtId="37" fontId="11" fillId="5" borderId="21" xfId="0" applyFont="1" applyFill="1" applyBorder="1" applyAlignment="1">
      <alignment horizontal="left" indent="1"/>
    </xf>
    <xf numFmtId="37" fontId="11" fillId="5" borderId="22" xfId="0" applyFont="1" applyFill="1" applyBorder="1"/>
    <xf numFmtId="166" fontId="11" fillId="5" borderId="22" xfId="0" applyNumberFormat="1" applyFont="1" applyFill="1" applyBorder="1"/>
    <xf numFmtId="7" fontId="11" fillId="5" borderId="23" xfId="14" applyNumberFormat="1" applyFont="1" applyFill="1" applyBorder="1"/>
    <xf numFmtId="166" fontId="9" fillId="0" borderId="0" xfId="0" quotePrefix="1" applyNumberFormat="1" applyFont="1" applyBorder="1"/>
    <xf numFmtId="37" fontId="9" fillId="0" borderId="0" xfId="0" quotePrefix="1" applyFont="1" applyBorder="1"/>
    <xf numFmtId="37" fontId="51" fillId="0" borderId="0" xfId="0" applyFont="1"/>
    <xf numFmtId="165" fontId="51" fillId="0" borderId="0" xfId="43" applyFont="1"/>
    <xf numFmtId="37" fontId="9" fillId="0" borderId="24" xfId="0" applyFont="1" applyBorder="1" applyAlignment="1">
      <alignment horizontal="right"/>
    </xf>
    <xf numFmtId="37" fontId="9" fillId="0" borderId="7" xfId="0" applyFont="1" applyBorder="1"/>
    <xf numFmtId="166" fontId="11" fillId="5" borderId="11" xfId="0" applyNumberFormat="1" applyFont="1" applyFill="1" applyBorder="1"/>
    <xf numFmtId="37" fontId="9" fillId="5" borderId="24" xfId="0" applyFont="1" applyFill="1" applyBorder="1"/>
    <xf numFmtId="5" fontId="9" fillId="0" borderId="7" xfId="0" applyNumberFormat="1" applyFont="1" applyBorder="1"/>
    <xf numFmtId="166" fontId="9" fillId="0" borderId="0" xfId="0" applyNumberFormat="1" applyFont="1"/>
    <xf numFmtId="165" fontId="51" fillId="0" borderId="7" xfId="43" applyFont="1" applyBorder="1"/>
    <xf numFmtId="170" fontId="9" fillId="0" borderId="6" xfId="0" applyNumberFormat="1" applyFont="1" applyBorder="1"/>
    <xf numFmtId="37" fontId="9" fillId="0" borderId="0" xfId="0" applyNumberFormat="1" applyFont="1"/>
    <xf numFmtId="37" fontId="9" fillId="0" borderId="7" xfId="0" applyNumberFormat="1" applyFont="1" applyBorder="1"/>
    <xf numFmtId="37" fontId="9" fillId="0" borderId="0" xfId="0" applyFont="1" applyFill="1" applyBorder="1"/>
    <xf numFmtId="37" fontId="9" fillId="0" borderId="7" xfId="0" applyFont="1" applyFill="1" applyBorder="1"/>
    <xf numFmtId="174" fontId="9" fillId="0" borderId="0" xfId="0" applyNumberFormat="1" applyFont="1" applyFill="1" applyBorder="1"/>
    <xf numFmtId="37" fontId="9" fillId="0" borderId="2" xfId="0" applyFont="1" applyFill="1" applyBorder="1"/>
    <xf numFmtId="37" fontId="11" fillId="5" borderId="11" xfId="0" applyFont="1" applyFill="1" applyBorder="1"/>
    <xf numFmtId="37" fontId="11" fillId="5" borderId="18" xfId="0" applyFont="1" applyFill="1" applyBorder="1" applyAlignment="1">
      <alignment horizontal="right"/>
    </xf>
    <xf numFmtId="0" fontId="11" fillId="5" borderId="24" xfId="0" applyNumberFormat="1" applyFont="1" applyFill="1" applyBorder="1" applyAlignment="1">
      <alignment horizontal="right"/>
    </xf>
    <xf numFmtId="0" fontId="11" fillId="5" borderId="18" xfId="0" applyNumberFormat="1" applyFont="1" applyFill="1" applyBorder="1" applyAlignment="1">
      <alignment horizontal="right"/>
    </xf>
    <xf numFmtId="164" fontId="11" fillId="5" borderId="11" xfId="0" applyNumberFormat="1" applyFont="1" applyFill="1" applyBorder="1" applyAlignment="1" applyProtection="1">
      <alignment horizontal="right"/>
    </xf>
    <xf numFmtId="164" fontId="11" fillId="5" borderId="18" xfId="0" applyNumberFormat="1" applyFont="1" applyFill="1" applyBorder="1" applyAlignment="1" applyProtection="1">
      <alignment horizontal="right"/>
    </xf>
    <xf numFmtId="164" fontId="11" fillId="5" borderId="24" xfId="0" applyNumberFormat="1" applyFont="1" applyFill="1" applyBorder="1" applyAlignment="1" applyProtection="1">
      <alignment horizontal="right"/>
    </xf>
    <xf numFmtId="37" fontId="9" fillId="5" borderId="0" xfId="0" applyFont="1" applyFill="1"/>
    <xf numFmtId="0" fontId="9" fillId="0" borderId="7" xfId="0" applyNumberFormat="1" applyFont="1" applyBorder="1" applyAlignment="1">
      <alignment horizontal="right"/>
    </xf>
    <xf numFmtId="0" fontId="9" fillId="0" borderId="7" xfId="0" applyNumberFormat="1" applyFont="1" applyFill="1" applyBorder="1" applyAlignment="1">
      <alignment horizontal="right"/>
    </xf>
    <xf numFmtId="0" fontId="9" fillId="0" borderId="0" xfId="0" applyNumberFormat="1" applyFont="1" applyFill="1" applyBorder="1" applyAlignment="1">
      <alignment horizontal="right"/>
    </xf>
    <xf numFmtId="37" fontId="9" fillId="0" borderId="3" xfId="0" applyFont="1" applyFill="1" applyBorder="1" applyAlignment="1">
      <alignment horizontal="right"/>
    </xf>
    <xf numFmtId="0" fontId="9" fillId="0" borderId="0" xfId="0" applyNumberFormat="1" applyFont="1" applyBorder="1" applyAlignment="1">
      <alignment horizontal="right"/>
    </xf>
    <xf numFmtId="37" fontId="11" fillId="0" borderId="0" xfId="0" applyFont="1" applyBorder="1" applyAlignment="1">
      <alignment horizontal="right"/>
    </xf>
    <xf numFmtId="174" fontId="9" fillId="0" borderId="0" xfId="0" applyNumberFormat="1" applyFont="1" applyBorder="1" applyAlignment="1">
      <alignment horizontal="right"/>
    </xf>
    <xf numFmtId="174" fontId="9" fillId="0" borderId="7" xfId="0" applyNumberFormat="1" applyFont="1" applyBorder="1" applyAlignment="1">
      <alignment horizontal="right"/>
    </xf>
    <xf numFmtId="168" fontId="9" fillId="0" borderId="7" xfId="0" applyNumberFormat="1" applyFont="1" applyBorder="1" applyAlignment="1">
      <alignment horizontal="right"/>
    </xf>
    <xf numFmtId="168" fontId="9" fillId="0" borderId="0" xfId="0" applyNumberFormat="1" applyFont="1" applyBorder="1" applyAlignment="1">
      <alignment horizontal="right"/>
    </xf>
    <xf numFmtId="168" fontId="9" fillId="0" borderId="0" xfId="0" applyNumberFormat="1" applyFont="1" applyFill="1" applyBorder="1" applyAlignment="1">
      <alignment horizontal="right"/>
    </xf>
    <xf numFmtId="168" fontId="9" fillId="0" borderId="7" xfId="0" applyNumberFormat="1" applyFont="1" applyFill="1" applyBorder="1" applyAlignment="1">
      <alignment horizontal="right"/>
    </xf>
    <xf numFmtId="166" fontId="9" fillId="0" borderId="0" xfId="0" applyNumberFormat="1" applyFont="1" applyBorder="1" applyAlignment="1">
      <alignment horizontal="right"/>
    </xf>
    <xf numFmtId="174" fontId="9" fillId="0" borderId="0" xfId="0" quotePrefix="1" applyNumberFormat="1" applyFont="1" applyBorder="1" applyAlignment="1">
      <alignment horizontal="right"/>
    </xf>
    <xf numFmtId="174" fontId="9" fillId="0" borderId="0" xfId="0" applyNumberFormat="1" applyFont="1" applyFill="1" applyBorder="1" applyAlignment="1">
      <alignment horizontal="right"/>
    </xf>
    <xf numFmtId="174" fontId="9" fillId="0" borderId="7" xfId="0" applyNumberFormat="1" applyFont="1" applyFill="1" applyBorder="1" applyAlignment="1">
      <alignment horizontal="right"/>
    </xf>
    <xf numFmtId="174" fontId="9" fillId="0" borderId="3" xfId="0" applyNumberFormat="1" applyFont="1" applyFill="1" applyBorder="1" applyAlignment="1">
      <alignment horizontal="right"/>
    </xf>
    <xf numFmtId="37" fontId="9" fillId="0" borderId="0" xfId="13" applyFont="1" applyBorder="1" applyAlignment="1" applyProtection="1">
      <alignment horizontal="left" indent="1"/>
    </xf>
    <xf numFmtId="174" fontId="47" fillId="0" borderId="0" xfId="0" quotePrefix="1" applyNumberFormat="1" applyFont="1" applyBorder="1" applyAlignment="1">
      <alignment horizontal="right"/>
    </xf>
    <xf numFmtId="174" fontId="48" fillId="0" borderId="7" xfId="0" applyNumberFormat="1" applyFont="1" applyFill="1" applyBorder="1"/>
    <xf numFmtId="174" fontId="48" fillId="0" borderId="0" xfId="0" applyNumberFormat="1" applyFont="1" applyBorder="1"/>
    <xf numFmtId="174" fontId="48" fillId="0" borderId="7" xfId="0" applyNumberFormat="1" applyFont="1" applyBorder="1"/>
    <xf numFmtId="37" fontId="11" fillId="5" borderId="11" xfId="0" applyFont="1" applyFill="1" applyBorder="1" applyProtection="1"/>
    <xf numFmtId="174" fontId="11" fillId="0" borderId="0" xfId="0" applyNumberFormat="1" applyFont="1" applyFill="1" applyBorder="1" applyAlignment="1">
      <alignment horizontal="right"/>
    </xf>
    <xf numFmtId="174" fontId="11" fillId="0" borderId="7" xfId="0" applyNumberFormat="1" applyFont="1" applyFill="1" applyBorder="1" applyAlignment="1">
      <alignment horizontal="right"/>
    </xf>
    <xf numFmtId="165" fontId="51" fillId="0" borderId="0" xfId="0" applyNumberFormat="1" applyFont="1" applyBorder="1" applyAlignment="1">
      <alignment horizontal="left" indent="1"/>
    </xf>
    <xf numFmtId="165" fontId="51" fillId="0" borderId="0" xfId="0" applyNumberFormat="1" applyFont="1" applyBorder="1"/>
    <xf numFmtId="165" fontId="51" fillId="0" borderId="0" xfId="0" applyNumberFormat="1" applyFont="1" applyBorder="1" applyAlignment="1">
      <alignment horizontal="right"/>
    </xf>
    <xf numFmtId="165" fontId="51" fillId="0" borderId="7" xfId="0" applyNumberFormat="1" applyFont="1" applyBorder="1" applyAlignment="1">
      <alignment horizontal="right"/>
    </xf>
    <xf numFmtId="165" fontId="51" fillId="0" borderId="0" xfId="0" applyNumberFormat="1" applyFont="1" applyFill="1" applyBorder="1" applyAlignment="1">
      <alignment horizontal="right"/>
    </xf>
    <xf numFmtId="165" fontId="51" fillId="0" borderId="7" xfId="0" applyNumberFormat="1" applyFont="1" applyFill="1" applyBorder="1" applyAlignment="1">
      <alignment horizontal="right"/>
    </xf>
    <xf numFmtId="165" fontId="51" fillId="0" borderId="3" xfId="0" applyNumberFormat="1" applyFont="1" applyFill="1" applyBorder="1" applyAlignment="1">
      <alignment horizontal="right"/>
    </xf>
    <xf numFmtId="165" fontId="9" fillId="0" borderId="0" xfId="0" applyNumberFormat="1" applyFont="1" applyBorder="1" applyAlignment="1">
      <alignment horizontal="right"/>
    </xf>
    <xf numFmtId="165" fontId="9" fillId="0" borderId="0" xfId="0" applyNumberFormat="1" applyFont="1"/>
    <xf numFmtId="37" fontId="9" fillId="0" borderId="0" xfId="0" applyFont="1" applyBorder="1" applyProtection="1"/>
    <xf numFmtId="166" fontId="9" fillId="0" borderId="7" xfId="0" applyNumberFormat="1" applyFont="1" applyBorder="1" applyAlignment="1">
      <alignment horizontal="right"/>
    </xf>
    <xf numFmtId="166" fontId="9" fillId="0" borderId="0" xfId="0" applyNumberFormat="1" applyFont="1" applyFill="1" applyBorder="1" applyAlignment="1">
      <alignment horizontal="right"/>
    </xf>
    <xf numFmtId="166" fontId="9" fillId="0" borderId="7" xfId="0" applyNumberFormat="1" applyFont="1" applyFill="1" applyBorder="1" applyAlignment="1">
      <alignment horizontal="right"/>
    </xf>
    <xf numFmtId="166" fontId="9" fillId="0" borderId="3" xfId="0" applyNumberFormat="1" applyFont="1" applyFill="1" applyBorder="1" applyAlignment="1">
      <alignment horizontal="right"/>
    </xf>
    <xf numFmtId="165" fontId="9" fillId="0" borderId="0" xfId="0" applyNumberFormat="1" applyFont="1" applyBorder="1"/>
    <xf numFmtId="174" fontId="47" fillId="0" borderId="0" xfId="0" applyNumberFormat="1" applyFont="1" applyBorder="1"/>
    <xf numFmtId="174" fontId="9" fillId="0" borderId="7" xfId="0" applyNumberFormat="1" applyFont="1" applyFill="1" applyBorder="1"/>
    <xf numFmtId="174" fontId="47" fillId="0" borderId="0" xfId="0" applyNumberFormat="1" applyFont="1" applyFill="1" applyBorder="1"/>
    <xf numFmtId="174" fontId="9" fillId="0" borderId="3" xfId="0" applyNumberFormat="1" applyFont="1" applyFill="1" applyBorder="1"/>
    <xf numFmtId="174" fontId="47" fillId="0" borderId="7" xfId="0" applyNumberFormat="1" applyFont="1" applyFill="1" applyBorder="1"/>
    <xf numFmtId="174" fontId="11" fillId="0" borderId="0" xfId="0" applyNumberFormat="1" applyFont="1" applyFill="1" applyBorder="1"/>
    <xf numFmtId="174" fontId="11" fillId="0" borderId="7" xfId="0" applyNumberFormat="1" applyFont="1" applyFill="1" applyBorder="1"/>
    <xf numFmtId="165" fontId="11" fillId="0" borderId="0" xfId="0" applyNumberFormat="1" applyFont="1" applyBorder="1"/>
    <xf numFmtId="174" fontId="11" fillId="0" borderId="0" xfId="0" applyNumberFormat="1" applyFont="1" applyBorder="1"/>
    <xf numFmtId="174" fontId="11" fillId="0" borderId="7" xfId="0" applyNumberFormat="1" applyFont="1" applyBorder="1"/>
    <xf numFmtId="174" fontId="11" fillId="0" borderId="3" xfId="0" applyNumberFormat="1" applyFont="1" applyFill="1" applyBorder="1"/>
    <xf numFmtId="165" fontId="9" fillId="0" borderId="7" xfId="0" applyNumberFormat="1" applyFont="1" applyBorder="1" applyAlignment="1">
      <alignment horizontal="right"/>
    </xf>
    <xf numFmtId="165" fontId="9" fillId="0" borderId="0" xfId="0" applyNumberFormat="1" applyFont="1" applyFill="1" applyBorder="1" applyAlignment="1">
      <alignment horizontal="right"/>
    </xf>
    <xf numFmtId="165" fontId="9" fillId="0" borderId="7" xfId="0" applyNumberFormat="1" applyFont="1" applyFill="1" applyBorder="1" applyAlignment="1">
      <alignment horizontal="right"/>
    </xf>
    <xf numFmtId="165" fontId="9" fillId="0" borderId="3" xfId="0" applyNumberFormat="1" applyFont="1" applyFill="1" applyBorder="1" applyAlignment="1">
      <alignment horizontal="right"/>
    </xf>
    <xf numFmtId="39" fontId="9" fillId="0" borderId="0" xfId="0" applyNumberFormat="1" applyFont="1" applyBorder="1"/>
    <xf numFmtId="37" fontId="11" fillId="0" borderId="11" xfId="0" applyFont="1" applyBorder="1"/>
    <xf numFmtId="174" fontId="11" fillId="0" borderId="18" xfId="0" applyNumberFormat="1" applyFont="1" applyBorder="1"/>
    <xf numFmtId="174" fontId="11" fillId="0" borderId="24" xfId="0" applyNumberFormat="1" applyFont="1" applyBorder="1"/>
    <xf numFmtId="174" fontId="11" fillId="0" borderId="18" xfId="0" applyNumberFormat="1" applyFont="1" applyFill="1" applyBorder="1"/>
    <xf numFmtId="174" fontId="11" fillId="0" borderId="24" xfId="0" applyNumberFormat="1" applyFont="1" applyFill="1" applyBorder="1"/>
    <xf numFmtId="174" fontId="9" fillId="0" borderId="12" xfId="0" applyNumberFormat="1" applyFont="1" applyFill="1" applyBorder="1"/>
    <xf numFmtId="37" fontId="11" fillId="0" borderId="0" xfId="0" applyFont="1" applyFill="1" applyBorder="1" applyAlignment="1">
      <alignment horizontal="right"/>
    </xf>
    <xf numFmtId="0" fontId="11" fillId="0" borderId="0" xfId="0" applyNumberFormat="1" applyFont="1" applyFill="1" applyBorder="1" applyAlignment="1">
      <alignment horizontal="right"/>
    </xf>
    <xf numFmtId="7" fontId="11" fillId="0" borderId="0" xfId="0" applyNumberFormat="1" applyFont="1" applyBorder="1"/>
    <xf numFmtId="7" fontId="11" fillId="0" borderId="7" xfId="0" applyNumberFormat="1" applyFont="1" applyBorder="1"/>
    <xf numFmtId="7" fontId="11" fillId="0" borderId="0" xfId="0" applyNumberFormat="1" applyFont="1" applyFill="1" applyBorder="1"/>
    <xf numFmtId="7" fontId="11" fillId="0" borderId="7" xfId="0" applyNumberFormat="1" applyFont="1" applyFill="1" applyBorder="1"/>
    <xf numFmtId="7" fontId="11" fillId="0" borderId="3" xfId="0" applyNumberFormat="1" applyFont="1" applyFill="1" applyBorder="1"/>
    <xf numFmtId="174" fontId="9" fillId="0" borderId="0" xfId="0" applyNumberFormat="1" applyFont="1" applyBorder="1"/>
    <xf numFmtId="174" fontId="9" fillId="0" borderId="7" xfId="0" applyNumberFormat="1" applyFont="1" applyBorder="1"/>
    <xf numFmtId="37" fontId="9" fillId="0" borderId="0" xfId="0" applyFont="1" applyBorder="1" applyAlignment="1">
      <alignment horizontal="left" indent="1"/>
    </xf>
    <xf numFmtId="168" fontId="11" fillId="0" borderId="0" xfId="0" applyNumberFormat="1" applyFont="1" applyBorder="1"/>
    <xf numFmtId="168" fontId="11" fillId="0" borderId="7" xfId="0" applyNumberFormat="1" applyFont="1" applyBorder="1"/>
    <xf numFmtId="168" fontId="11" fillId="0" borderId="0" xfId="0" applyNumberFormat="1" applyFont="1" applyFill="1" applyBorder="1"/>
    <xf numFmtId="168" fontId="11" fillId="0" borderId="7" xfId="0" applyNumberFormat="1" applyFont="1" applyFill="1" applyBorder="1"/>
    <xf numFmtId="168" fontId="11" fillId="0" borderId="3" xfId="0" applyNumberFormat="1" applyFont="1" applyFill="1" applyBorder="1"/>
    <xf numFmtId="165" fontId="51" fillId="0" borderId="0" xfId="43" applyFont="1" applyBorder="1" applyAlignment="1">
      <alignment horizontal="right"/>
    </xf>
    <xf numFmtId="166" fontId="9" fillId="0" borderId="7" xfId="0" applyNumberFormat="1" applyFont="1" applyBorder="1"/>
    <xf numFmtId="165" fontId="51" fillId="0" borderId="0" xfId="43" applyFont="1" applyFill="1" applyBorder="1" applyAlignment="1">
      <alignment horizontal="right"/>
    </xf>
    <xf numFmtId="37" fontId="9" fillId="0" borderId="3" xfId="0" applyFont="1" applyFill="1" applyBorder="1"/>
    <xf numFmtId="37" fontId="9" fillId="0" borderId="3" xfId="13" applyFont="1" applyBorder="1" applyAlignment="1" applyProtection="1">
      <alignment horizontal="left" indent="1"/>
    </xf>
    <xf numFmtId="37" fontId="11" fillId="5" borderId="18" xfId="0" applyFont="1" applyFill="1" applyBorder="1" applyAlignment="1">
      <alignment horizontal="center"/>
    </xf>
    <xf numFmtId="37" fontId="9" fillId="0" borderId="4" xfId="0" applyFont="1" applyFill="1" applyBorder="1"/>
    <xf numFmtId="37" fontId="9" fillId="0" borderId="5" xfId="0" applyFont="1" applyFill="1" applyBorder="1"/>
    <xf numFmtId="37" fontId="9" fillId="0" borderId="8" xfId="0" applyFont="1" applyFill="1" applyBorder="1"/>
    <xf numFmtId="166" fontId="9" fillId="0" borderId="0" xfId="0" applyNumberFormat="1" applyFont="1" applyFill="1" applyBorder="1"/>
    <xf numFmtId="166" fontId="9" fillId="0" borderId="7" xfId="0" applyNumberFormat="1" applyFont="1" applyFill="1" applyBorder="1"/>
    <xf numFmtId="166" fontId="9" fillId="0" borderId="3" xfId="0" applyNumberFormat="1" applyFont="1" applyFill="1" applyBorder="1"/>
    <xf numFmtId="166" fontId="9" fillId="0" borderId="6" xfId="0" applyNumberFormat="1" applyFont="1" applyBorder="1"/>
    <xf numFmtId="166" fontId="9" fillId="0" borderId="2" xfId="0" applyNumberFormat="1" applyFont="1" applyFill="1" applyBorder="1"/>
    <xf numFmtId="166" fontId="9" fillId="0" borderId="6" xfId="0" applyNumberFormat="1" applyFont="1" applyFill="1" applyBorder="1"/>
    <xf numFmtId="166" fontId="9" fillId="0" borderId="13" xfId="0" applyNumberFormat="1" applyFont="1" applyFill="1" applyBorder="1"/>
    <xf numFmtId="37" fontId="11" fillId="0" borderId="0" xfId="0" applyFont="1" applyFill="1" applyBorder="1"/>
    <xf numFmtId="0" fontId="11" fillId="0" borderId="7" xfId="0" applyNumberFormat="1" applyFont="1" applyFill="1" applyBorder="1" applyAlignment="1">
      <alignment horizontal="right"/>
    </xf>
    <xf numFmtId="164" fontId="11" fillId="0" borderId="3" xfId="0" applyNumberFormat="1" applyFont="1" applyFill="1" applyBorder="1" applyAlignment="1" applyProtection="1">
      <alignment horizontal="right"/>
    </xf>
    <xf numFmtId="164" fontId="11" fillId="0" borderId="7" xfId="0" applyNumberFormat="1" applyFont="1" applyFill="1" applyBorder="1" applyAlignment="1" applyProtection="1">
      <alignment horizontal="right"/>
    </xf>
    <xf numFmtId="164" fontId="11" fillId="0" borderId="0" xfId="0" applyNumberFormat="1" applyFont="1" applyFill="1" applyBorder="1" applyAlignment="1" applyProtection="1">
      <alignment horizontal="right"/>
    </xf>
    <xf numFmtId="165" fontId="53" fillId="0" borderId="0" xfId="0" applyNumberFormat="1" applyFont="1" applyBorder="1" applyAlignment="1">
      <alignment horizontal="right"/>
    </xf>
    <xf numFmtId="165" fontId="53" fillId="0" borderId="7" xfId="0" applyNumberFormat="1" applyFont="1" applyFill="1" applyBorder="1" applyAlignment="1">
      <alignment horizontal="right"/>
    </xf>
    <xf numFmtId="165" fontId="53" fillId="0" borderId="0" xfId="0" applyNumberFormat="1" applyFont="1" applyFill="1" applyBorder="1" applyAlignment="1">
      <alignment horizontal="right"/>
    </xf>
    <xf numFmtId="165" fontId="48" fillId="0" borderId="0" xfId="0" applyNumberFormat="1" applyFont="1" applyBorder="1"/>
    <xf numFmtId="174" fontId="11" fillId="0" borderId="0" xfId="0" applyNumberFormat="1" applyFont="1" applyBorder="1" applyAlignment="1">
      <alignment horizontal="right"/>
    </xf>
    <xf numFmtId="174" fontId="9" fillId="0" borderId="0" xfId="0" applyNumberFormat="1" applyFont="1"/>
    <xf numFmtId="174" fontId="48" fillId="0" borderId="0" xfId="0" applyNumberFormat="1" applyFont="1"/>
    <xf numFmtId="37" fontId="47" fillId="0" borderId="0" xfId="13" quotePrefix="1" applyFont="1" applyFill="1" applyBorder="1" applyAlignment="1" applyProtection="1"/>
    <xf numFmtId="0" fontId="47" fillId="0" borderId="0" xfId="0" applyNumberFormat="1" applyFont="1" applyBorder="1" applyAlignment="1">
      <alignment horizontal="right"/>
    </xf>
    <xf numFmtId="37" fontId="9" fillId="0" borderId="0" xfId="13" quotePrefix="1" applyFont="1" applyFill="1" applyBorder="1" applyAlignment="1" applyProtection="1"/>
    <xf numFmtId="37" fontId="9" fillId="0" borderId="7" xfId="13" quotePrefix="1" applyFont="1" applyFill="1" applyBorder="1" applyAlignment="1" applyProtection="1"/>
    <xf numFmtId="41" fontId="9" fillId="0" borderId="0" xfId="0" applyNumberFormat="1" applyFont="1" applyBorder="1" applyAlignment="1">
      <alignment horizontal="right"/>
    </xf>
    <xf numFmtId="41" fontId="9" fillId="0" borderId="7" xfId="0" applyNumberFormat="1" applyFont="1" applyBorder="1" applyAlignment="1">
      <alignment horizontal="right"/>
    </xf>
    <xf numFmtId="41" fontId="9" fillId="0" borderId="0" xfId="0" applyNumberFormat="1" applyFont="1" applyFill="1" applyBorder="1" applyAlignment="1">
      <alignment horizontal="right"/>
    </xf>
    <xf numFmtId="41" fontId="9" fillId="0" borderId="7" xfId="0" applyNumberFormat="1" applyFont="1" applyFill="1" applyBorder="1" applyAlignment="1">
      <alignment horizontal="right"/>
    </xf>
    <xf numFmtId="41" fontId="9" fillId="0" borderId="3" xfId="0" applyNumberFormat="1" applyFont="1" applyFill="1" applyBorder="1" applyAlignment="1">
      <alignment horizontal="right"/>
    </xf>
    <xf numFmtId="41" fontId="47" fillId="0" borderId="0" xfId="0" applyNumberFormat="1" applyFont="1" applyBorder="1" applyAlignment="1">
      <alignment horizontal="right"/>
    </xf>
    <xf numFmtId="41" fontId="47" fillId="0" borderId="0" xfId="0" applyNumberFormat="1" applyFont="1" applyFill="1" applyBorder="1" applyAlignment="1">
      <alignment horizontal="right"/>
    </xf>
    <xf numFmtId="41" fontId="47" fillId="0" borderId="7" xfId="0" applyNumberFormat="1" applyFont="1" applyFill="1" applyBorder="1" applyAlignment="1">
      <alignment horizontal="right"/>
    </xf>
    <xf numFmtId="5" fontId="11" fillId="0" borderId="0" xfId="0" applyNumberFormat="1" applyFont="1" applyBorder="1"/>
    <xf numFmtId="5" fontId="9" fillId="0" borderId="0" xfId="0" applyNumberFormat="1" applyFont="1" applyBorder="1"/>
    <xf numFmtId="5" fontId="9" fillId="0" borderId="7" xfId="0" applyNumberFormat="1" applyFont="1" applyBorder="1" applyAlignment="1">
      <alignment horizontal="right"/>
    </xf>
    <xf numFmtId="5" fontId="9" fillId="0" borderId="0" xfId="0" applyNumberFormat="1" applyFont="1" applyFill="1" applyBorder="1" applyAlignment="1">
      <alignment horizontal="right"/>
    </xf>
    <xf numFmtId="5" fontId="9" fillId="0" borderId="7" xfId="0" applyNumberFormat="1" applyFont="1" applyFill="1" applyBorder="1" applyAlignment="1">
      <alignment horizontal="right"/>
    </xf>
    <xf numFmtId="5" fontId="9" fillId="0" borderId="3" xfId="0" applyNumberFormat="1" applyFont="1" applyFill="1" applyBorder="1" applyAlignment="1">
      <alignment horizontal="right"/>
    </xf>
    <xf numFmtId="174" fontId="47" fillId="0" borderId="0" xfId="0" applyNumberFormat="1" applyFont="1" applyFill="1" applyBorder="1" applyAlignment="1">
      <alignment horizontal="right"/>
    </xf>
    <xf numFmtId="174" fontId="47" fillId="0" borderId="7" xfId="0" applyNumberFormat="1" applyFont="1" applyFill="1" applyBorder="1" applyAlignment="1">
      <alignment horizontal="right"/>
    </xf>
    <xf numFmtId="174" fontId="47" fillId="0" borderId="0" xfId="0" applyNumberFormat="1" applyFont="1" applyBorder="1" applyAlignment="1">
      <alignment horizontal="right"/>
    </xf>
    <xf numFmtId="165" fontId="53" fillId="0" borderId="7" xfId="0" applyNumberFormat="1" applyFont="1" applyBorder="1" applyAlignment="1">
      <alignment horizontal="right"/>
    </xf>
    <xf numFmtId="166" fontId="11" fillId="0" borderId="0" xfId="0" applyNumberFormat="1" applyFont="1" applyBorder="1"/>
    <xf numFmtId="37" fontId="9" fillId="0" borderId="3" xfId="0" applyNumberFormat="1" applyFont="1" applyFill="1" applyBorder="1" applyAlignment="1">
      <alignment horizontal="right"/>
    </xf>
    <xf numFmtId="0" fontId="9" fillId="0" borderId="3" xfId="0" applyNumberFormat="1" applyFont="1" applyFill="1" applyBorder="1" applyAlignment="1">
      <alignment horizontal="right"/>
    </xf>
    <xf numFmtId="166" fontId="47" fillId="0" borderId="0" xfId="0" applyNumberFormat="1" applyFont="1" applyBorder="1" applyAlignment="1">
      <alignment horizontal="right"/>
    </xf>
    <xf numFmtId="166" fontId="47" fillId="0" borderId="7" xfId="0" applyNumberFormat="1" applyFont="1" applyBorder="1" applyAlignment="1">
      <alignment horizontal="right"/>
    </xf>
    <xf numFmtId="166" fontId="47" fillId="0" borderId="0" xfId="0" applyNumberFormat="1" applyFont="1" applyFill="1" applyBorder="1" applyAlignment="1">
      <alignment horizontal="right"/>
    </xf>
    <xf numFmtId="166" fontId="47" fillId="0" borderId="7" xfId="0" applyNumberFormat="1" applyFont="1" applyFill="1" applyBorder="1" applyAlignment="1">
      <alignment horizontal="right"/>
    </xf>
    <xf numFmtId="174" fontId="47" fillId="0" borderId="7" xfId="0" applyNumberFormat="1" applyFont="1" applyBorder="1" applyAlignment="1">
      <alignment horizontal="right"/>
    </xf>
    <xf numFmtId="37" fontId="9" fillId="0" borderId="4" xfId="0" applyFont="1" applyBorder="1" applyAlignment="1">
      <alignment horizontal="right"/>
    </xf>
    <xf numFmtId="37" fontId="11" fillId="0" borderId="2" xfId="0" applyFont="1" applyFill="1" applyBorder="1" applyAlignment="1">
      <alignment horizontal="right"/>
    </xf>
    <xf numFmtId="165" fontId="47" fillId="0" borderId="0" xfId="0" applyNumberFormat="1" applyFont="1" applyBorder="1" applyAlignment="1">
      <alignment horizontal="right"/>
    </xf>
    <xf numFmtId="165" fontId="47" fillId="0" borderId="7" xfId="0" applyNumberFormat="1" applyFont="1" applyFill="1" applyBorder="1" applyAlignment="1">
      <alignment horizontal="right"/>
    </xf>
    <xf numFmtId="37" fontId="51" fillId="0" borderId="0" xfId="0" applyFont="1" applyBorder="1"/>
    <xf numFmtId="5" fontId="9" fillId="0" borderId="3" xfId="0" applyNumberFormat="1" applyFont="1" applyBorder="1" applyAlignment="1">
      <alignment horizontal="right"/>
    </xf>
    <xf numFmtId="165" fontId="51" fillId="0" borderId="3" xfId="0" applyNumberFormat="1" applyFont="1" applyBorder="1" applyAlignment="1">
      <alignment horizontal="right"/>
    </xf>
    <xf numFmtId="174" fontId="9" fillId="0" borderId="3" xfId="0" applyNumberFormat="1" applyFont="1" applyBorder="1" applyAlignment="1">
      <alignment horizontal="right"/>
    </xf>
    <xf numFmtId="37" fontId="47" fillId="0" borderId="7" xfId="0" applyFont="1" applyBorder="1" applyAlignment="1">
      <alignment horizontal="right"/>
    </xf>
    <xf numFmtId="166" fontId="9" fillId="0" borderId="3" xfId="0" applyNumberFormat="1" applyFont="1" applyBorder="1" applyAlignment="1">
      <alignment horizontal="right"/>
    </xf>
    <xf numFmtId="37" fontId="11" fillId="0" borderId="0" xfId="0" applyFont="1" applyBorder="1" applyProtection="1"/>
    <xf numFmtId="37" fontId="9" fillId="0" borderId="3" xfId="0" applyFont="1" applyBorder="1" applyAlignment="1">
      <alignment horizontal="right"/>
    </xf>
    <xf numFmtId="165" fontId="9" fillId="0" borderId="7" xfId="43" applyFont="1" applyFill="1" applyBorder="1" applyAlignment="1">
      <alignment horizontal="right"/>
    </xf>
    <xf numFmtId="165" fontId="9" fillId="0" borderId="0" xfId="43" applyFont="1" applyFill="1" applyBorder="1" applyAlignment="1">
      <alignment horizontal="right"/>
    </xf>
    <xf numFmtId="165" fontId="9" fillId="0" borderId="3" xfId="0" applyNumberFormat="1" applyFont="1" applyBorder="1" applyAlignment="1">
      <alignment horizontal="right"/>
    </xf>
    <xf numFmtId="0" fontId="9" fillId="0" borderId="6" xfId="0" applyNumberFormat="1" applyFont="1" applyFill="1" applyBorder="1" applyAlignment="1">
      <alignment horizontal="right"/>
    </xf>
    <xf numFmtId="165" fontId="51" fillId="0" borderId="7" xfId="43" applyFont="1" applyFill="1" applyBorder="1" applyAlignment="1">
      <alignment horizontal="right"/>
    </xf>
    <xf numFmtId="166" fontId="47" fillId="0" borderId="3" xfId="0" applyNumberFormat="1" applyFont="1" applyFill="1" applyBorder="1" applyAlignment="1">
      <alignment horizontal="right"/>
    </xf>
    <xf numFmtId="166" fontId="54" fillId="0" borderId="0" xfId="0" applyNumberFormat="1" applyFont="1" applyBorder="1" applyAlignment="1">
      <alignment horizontal="right"/>
    </xf>
    <xf numFmtId="166" fontId="11" fillId="0" borderId="7" xfId="0" applyNumberFormat="1" applyFont="1" applyBorder="1" applyAlignment="1">
      <alignment horizontal="right"/>
    </xf>
    <xf numFmtId="166" fontId="54" fillId="0" borderId="0" xfId="0" applyNumberFormat="1" applyFont="1" applyFill="1" applyBorder="1" applyAlignment="1">
      <alignment horizontal="right"/>
    </xf>
    <xf numFmtId="166" fontId="11" fillId="0" borderId="7" xfId="0" applyNumberFormat="1" applyFont="1" applyFill="1" applyBorder="1" applyAlignment="1">
      <alignment horizontal="right"/>
    </xf>
    <xf numFmtId="166" fontId="11" fillId="0" borderId="3" xfId="0" applyNumberFormat="1" applyFont="1" applyFill="1" applyBorder="1" applyAlignment="1">
      <alignment horizontal="right"/>
    </xf>
    <xf numFmtId="166" fontId="11" fillId="0" borderId="0" xfId="0" applyNumberFormat="1" applyFont="1" applyFill="1" applyBorder="1" applyAlignment="1">
      <alignment horizontal="right"/>
    </xf>
    <xf numFmtId="165" fontId="53" fillId="0" borderId="7" xfId="43" applyFont="1" applyFill="1" applyBorder="1" applyAlignment="1">
      <alignment horizontal="right"/>
    </xf>
    <xf numFmtId="39" fontId="9" fillId="0" borderId="0" xfId="0" applyNumberFormat="1" applyFont="1" applyFill="1" applyBorder="1" applyAlignment="1">
      <alignment horizontal="right"/>
    </xf>
    <xf numFmtId="174" fontId="47" fillId="0" borderId="7" xfId="0" applyNumberFormat="1" applyFont="1" applyBorder="1"/>
    <xf numFmtId="174" fontId="55" fillId="0" borderId="0" xfId="0" applyNumberFormat="1" applyFont="1" applyFill="1" applyBorder="1"/>
    <xf numFmtId="165" fontId="9" fillId="0" borderId="0" xfId="0" applyNumberFormat="1" applyFont="1" applyFill="1" applyBorder="1"/>
    <xf numFmtId="37" fontId="49" fillId="0" borderId="0" xfId="0" applyFont="1" applyBorder="1" applyAlignment="1" applyProtection="1">
      <alignment horizontal="left"/>
    </xf>
    <xf numFmtId="174" fontId="9" fillId="6" borderId="0" xfId="0" applyNumberFormat="1" applyFont="1" applyFill="1" applyBorder="1"/>
    <xf numFmtId="37" fontId="11" fillId="0" borderId="0" xfId="0" applyFont="1" applyBorder="1" applyAlignment="1">
      <alignment horizontal="center"/>
    </xf>
    <xf numFmtId="174" fontId="47" fillId="0" borderId="0" xfId="0" applyNumberFormat="1" applyFont="1"/>
    <xf numFmtId="174" fontId="9" fillId="0" borderId="0" xfId="0" applyNumberFormat="1" applyFont="1" applyFill="1"/>
    <xf numFmtId="174" fontId="48" fillId="0" borderId="0" xfId="0" applyNumberFormat="1" applyFont="1" applyFill="1"/>
    <xf numFmtId="174" fontId="11" fillId="0" borderId="0" xfId="0" applyNumberFormat="1" applyFont="1"/>
    <xf numFmtId="174" fontId="11" fillId="0" borderId="0" xfId="0" applyNumberFormat="1" applyFont="1" applyFill="1"/>
    <xf numFmtId="174" fontId="47" fillId="0" borderId="0" xfId="0" applyNumberFormat="1" applyFont="1" applyFill="1"/>
    <xf numFmtId="174" fontId="51" fillId="0" borderId="0" xfId="0" applyNumberFormat="1" applyFont="1"/>
    <xf numFmtId="174" fontId="51" fillId="0" borderId="7" xfId="0" applyNumberFormat="1" applyFont="1" applyBorder="1"/>
    <xf numFmtId="174" fontId="51" fillId="0" borderId="0" xfId="0" applyNumberFormat="1" applyFont="1" applyFill="1"/>
    <xf numFmtId="174" fontId="51" fillId="0" borderId="3" xfId="0" applyNumberFormat="1" applyFont="1" applyFill="1" applyBorder="1"/>
    <xf numFmtId="174" fontId="51" fillId="0" borderId="7" xfId="0" applyNumberFormat="1" applyFont="1" applyFill="1" applyBorder="1"/>
    <xf numFmtId="174" fontId="51" fillId="0" borderId="0" xfId="0" applyNumberFormat="1" applyFont="1" applyFill="1" applyBorder="1"/>
    <xf numFmtId="171" fontId="9" fillId="0" borderId="0" xfId="0" applyNumberFormat="1" applyFont="1"/>
    <xf numFmtId="171" fontId="47" fillId="0" borderId="0" xfId="43" applyNumberFormat="1" applyFont="1" applyFill="1"/>
    <xf numFmtId="171" fontId="9" fillId="0" borderId="7" xfId="43" applyNumberFormat="1" applyFont="1" applyFill="1" applyBorder="1"/>
    <xf numFmtId="171" fontId="9" fillId="0" borderId="3" xfId="43" applyNumberFormat="1" applyFont="1" applyFill="1" applyBorder="1"/>
    <xf numFmtId="171" fontId="47" fillId="0" borderId="7" xfId="43" applyNumberFormat="1" applyFont="1" applyFill="1" applyBorder="1"/>
    <xf numFmtId="171" fontId="47" fillId="0" borderId="0" xfId="43" applyNumberFormat="1" applyFont="1" applyFill="1" applyBorder="1"/>
    <xf numFmtId="171" fontId="9" fillId="0" borderId="0" xfId="43" applyNumberFormat="1" applyFont="1" applyFill="1" applyBorder="1"/>
    <xf numFmtId="171" fontId="47" fillId="0" borderId="3" xfId="43" applyNumberFormat="1" applyFont="1" applyFill="1" applyBorder="1"/>
    <xf numFmtId="173" fontId="47" fillId="0" borderId="0" xfId="43" applyNumberFormat="1" applyFont="1" applyFill="1" applyAlignment="1">
      <alignment horizontal="center"/>
    </xf>
    <xf numFmtId="171" fontId="47" fillId="0" borderId="0" xfId="43" applyNumberFormat="1" applyFont="1" applyAlignment="1">
      <alignment horizontal="right"/>
    </xf>
    <xf numFmtId="171" fontId="47" fillId="0" borderId="7" xfId="43" applyNumberFormat="1" applyFont="1" applyBorder="1" applyAlignment="1">
      <alignment horizontal="right"/>
    </xf>
    <xf numFmtId="171" fontId="9" fillId="0" borderId="0" xfId="0" applyNumberFormat="1" applyFont="1" applyFill="1"/>
    <xf numFmtId="171" fontId="9" fillId="0" borderId="7" xfId="0" applyNumberFormat="1" applyFont="1" applyFill="1" applyBorder="1"/>
    <xf numFmtId="171" fontId="9" fillId="0" borderId="0" xfId="0" applyNumberFormat="1" applyFont="1" applyFill="1" applyBorder="1"/>
    <xf numFmtId="171" fontId="47" fillId="0" borderId="0" xfId="43" applyNumberFormat="1" applyFont="1" applyFill="1" applyAlignment="1">
      <alignment horizontal="center"/>
    </xf>
    <xf numFmtId="171" fontId="47" fillId="0" borderId="0" xfId="43" applyNumberFormat="1" applyFont="1" applyAlignment="1">
      <alignment horizontal="center"/>
    </xf>
    <xf numFmtId="171" fontId="9" fillId="0" borderId="3" xfId="0" applyNumberFormat="1" applyFont="1" applyFill="1" applyBorder="1"/>
    <xf numFmtId="171" fontId="47" fillId="0" borderId="3" xfId="43" applyNumberFormat="1" applyFont="1" applyFill="1" applyBorder="1" applyAlignment="1">
      <alignment horizontal="center"/>
    </xf>
    <xf numFmtId="171" fontId="47" fillId="0" borderId="7" xfId="43" applyNumberFormat="1" applyFont="1" applyFill="1" applyBorder="1" applyAlignment="1">
      <alignment horizontal="center"/>
    </xf>
    <xf numFmtId="171" fontId="47" fillId="0" borderId="0" xfId="43" applyNumberFormat="1" applyFont="1" applyFill="1" applyBorder="1" applyAlignment="1">
      <alignment horizontal="center"/>
    </xf>
    <xf numFmtId="171" fontId="47" fillId="0" borderId="0" xfId="0" applyNumberFormat="1" applyFont="1"/>
    <xf numFmtId="171" fontId="47" fillId="0" borderId="0" xfId="0" applyNumberFormat="1" applyFont="1" applyFill="1"/>
    <xf numFmtId="171" fontId="47" fillId="0" borderId="3" xfId="0" applyNumberFormat="1" applyFont="1" applyFill="1" applyBorder="1"/>
    <xf numFmtId="171" fontId="47" fillId="0" borderId="7" xfId="0" applyNumberFormat="1" applyFont="1" applyFill="1" applyBorder="1"/>
    <xf numFmtId="171" fontId="47" fillId="0" borderId="0" xfId="0" applyNumberFormat="1" applyFont="1" applyFill="1" applyBorder="1"/>
    <xf numFmtId="171" fontId="47" fillId="0" borderId="0" xfId="43" applyNumberFormat="1" applyFont="1" applyFill="1" applyAlignment="1">
      <alignment horizontal="right"/>
    </xf>
    <xf numFmtId="165" fontId="47" fillId="0" borderId="0" xfId="43" applyFont="1" applyFill="1"/>
    <xf numFmtId="165" fontId="9" fillId="0" borderId="0" xfId="43" applyFont="1" applyFill="1"/>
    <xf numFmtId="165" fontId="47" fillId="0" borderId="0" xfId="43" applyFont="1"/>
    <xf numFmtId="41" fontId="9" fillId="0" borderId="0" xfId="0" applyNumberFormat="1" applyFont="1"/>
    <xf numFmtId="41" fontId="9" fillId="0" borderId="0" xfId="0" applyNumberFormat="1" applyFont="1" applyFill="1"/>
    <xf numFmtId="41" fontId="9" fillId="0" borderId="7" xfId="0" applyNumberFormat="1" applyFont="1" applyFill="1" applyBorder="1"/>
    <xf numFmtId="41" fontId="9" fillId="0" borderId="0" xfId="0" applyNumberFormat="1" applyFont="1" applyFill="1" applyBorder="1"/>
    <xf numFmtId="41" fontId="9" fillId="0" borderId="3" xfId="0" applyNumberFormat="1" applyFont="1" applyFill="1" applyBorder="1"/>
    <xf numFmtId="166" fontId="11" fillId="0" borderId="0" xfId="0" applyNumberFormat="1" applyFont="1"/>
    <xf numFmtId="166" fontId="11" fillId="0" borderId="0" xfId="0" applyNumberFormat="1" applyFont="1" applyFill="1"/>
    <xf numFmtId="166" fontId="11" fillId="0" borderId="7" xfId="0" applyNumberFormat="1" applyFont="1" applyFill="1" applyBorder="1"/>
    <xf numFmtId="166" fontId="11" fillId="0" borderId="0" xfId="0" applyNumberFormat="1" applyFont="1" applyFill="1" applyBorder="1"/>
    <xf numFmtId="171" fontId="9" fillId="0" borderId="7" xfId="0" applyNumberFormat="1" applyFont="1" applyBorder="1"/>
    <xf numFmtId="166" fontId="11" fillId="0" borderId="3" xfId="0" applyNumberFormat="1" applyFont="1" applyFill="1" applyBorder="1"/>
    <xf numFmtId="37" fontId="49" fillId="0" borderId="0" xfId="0" applyFont="1" applyBorder="1"/>
    <xf numFmtId="166" fontId="9" fillId="0" borderId="0" xfId="0" applyNumberFormat="1" applyFont="1" applyFill="1"/>
    <xf numFmtId="166" fontId="47" fillId="0" borderId="0" xfId="0" applyNumberFormat="1" applyFont="1"/>
    <xf numFmtId="169" fontId="9" fillId="0" borderId="0" xfId="0" applyNumberFormat="1" applyFont="1" applyBorder="1"/>
    <xf numFmtId="169" fontId="9" fillId="0" borderId="0" xfId="0" applyNumberFormat="1" applyFont="1"/>
    <xf numFmtId="169" fontId="47" fillId="0" borderId="0" xfId="43" applyNumberFormat="1" applyFont="1" applyAlignment="1">
      <alignment horizontal="center"/>
    </xf>
    <xf numFmtId="169" fontId="47" fillId="0" borderId="0" xfId="0" applyNumberFormat="1" applyFont="1"/>
    <xf numFmtId="169" fontId="9" fillId="0" borderId="7" xfId="0" applyNumberFormat="1" applyFont="1" applyBorder="1"/>
    <xf numFmtId="169" fontId="9" fillId="0" borderId="0" xfId="0" applyNumberFormat="1" applyFont="1" applyFill="1"/>
    <xf numFmtId="169" fontId="9" fillId="0" borderId="7" xfId="0" applyNumberFormat="1" applyFont="1" applyFill="1" applyBorder="1"/>
    <xf numFmtId="169" fontId="9" fillId="0" borderId="0" xfId="0" applyNumberFormat="1" applyFont="1" applyFill="1" applyBorder="1"/>
    <xf numFmtId="169" fontId="9" fillId="0" borderId="3" xfId="0" applyNumberFormat="1" applyFont="1" applyFill="1" applyBorder="1"/>
    <xf numFmtId="37" fontId="9" fillId="0" borderId="0" xfId="0" applyFont="1" applyBorder="1" applyAlignment="1" applyProtection="1"/>
    <xf numFmtId="174" fontId="9" fillId="0" borderId="3" xfId="0" applyNumberFormat="1" applyFont="1" applyBorder="1"/>
    <xf numFmtId="174" fontId="48" fillId="0" borderId="0" xfId="0" applyNumberFormat="1" applyFont="1" applyFill="1" applyBorder="1" applyAlignment="1">
      <alignment horizontal="right"/>
    </xf>
    <xf numFmtId="174" fontId="9" fillId="6" borderId="0" xfId="0" applyNumberFormat="1" applyFont="1" applyFill="1" applyBorder="1" applyAlignment="1">
      <alignment horizontal="right"/>
    </xf>
    <xf numFmtId="172" fontId="47" fillId="0" borderId="0" xfId="0" applyNumberFormat="1" applyFont="1" applyBorder="1"/>
    <xf numFmtId="172" fontId="9" fillId="0" borderId="7" xfId="0" applyNumberFormat="1" applyFont="1" applyBorder="1"/>
    <xf numFmtId="172" fontId="47" fillId="0" borderId="0" xfId="0" applyNumberFormat="1" applyFont="1" applyFill="1" applyBorder="1"/>
    <xf numFmtId="172" fontId="9" fillId="0" borderId="0" xfId="0" applyNumberFormat="1" applyFont="1" applyFill="1" applyBorder="1"/>
    <xf numFmtId="172" fontId="9" fillId="0" borderId="3" xfId="0" applyNumberFormat="1" applyFont="1" applyBorder="1"/>
    <xf numFmtId="172" fontId="9" fillId="0" borderId="0" xfId="0" applyNumberFormat="1" applyFont="1" applyBorder="1"/>
    <xf numFmtId="172" fontId="9" fillId="0" borderId="7" xfId="0" applyNumberFormat="1" applyFont="1" applyFill="1" applyBorder="1"/>
    <xf numFmtId="166" fontId="9" fillId="0" borderId="10" xfId="0" applyNumberFormat="1" applyFont="1" applyFill="1" applyBorder="1" applyAlignment="1">
      <alignment horizontal="right"/>
    </xf>
    <xf numFmtId="166" fontId="9" fillId="0" borderId="10" xfId="0" applyNumberFormat="1" applyFont="1" applyBorder="1" applyAlignment="1">
      <alignment horizontal="right"/>
    </xf>
    <xf numFmtId="166" fontId="9" fillId="0" borderId="10" xfId="0" applyNumberFormat="1" applyFont="1" applyFill="1" applyBorder="1"/>
    <xf numFmtId="39" fontId="9" fillId="0" borderId="0" xfId="0" applyNumberFormat="1" applyFont="1" applyFill="1"/>
    <xf numFmtId="39" fontId="9" fillId="0" borderId="0" xfId="0" applyNumberFormat="1" applyFont="1" applyFill="1" applyBorder="1"/>
    <xf numFmtId="39" fontId="9" fillId="0" borderId="0" xfId="0" applyNumberFormat="1" applyFont="1"/>
    <xf numFmtId="37" fontId="11" fillId="0" borderId="0" xfId="0" applyFont="1" applyFill="1" applyBorder="1" applyAlignment="1">
      <alignment horizontal="center"/>
    </xf>
    <xf numFmtId="37" fontId="11" fillId="0" borderId="2" xfId="0" applyFont="1" applyFill="1" applyBorder="1"/>
    <xf numFmtId="37" fontId="11" fillId="0" borderId="2" xfId="0" applyNumberFormat="1" applyFont="1" applyFill="1" applyBorder="1" applyAlignment="1">
      <alignment horizontal="right"/>
    </xf>
    <xf numFmtId="37" fontId="11" fillId="0" borderId="2" xfId="0" applyFont="1" applyFill="1" applyBorder="1" applyAlignment="1">
      <alignment horizontal="center"/>
    </xf>
    <xf numFmtId="5" fontId="9" fillId="0" borderId="0" xfId="0" applyNumberFormat="1" applyFont="1" applyFill="1" applyBorder="1"/>
    <xf numFmtId="37" fontId="9" fillId="0" borderId="0" xfId="0" applyFont="1" applyFill="1" applyBorder="1" applyAlignment="1">
      <alignment horizontal="center"/>
    </xf>
    <xf numFmtId="172" fontId="47" fillId="0" borderId="0" xfId="0" applyNumberFormat="1" applyFont="1" applyFill="1" applyBorder="1" applyAlignment="1">
      <alignment horizontal="center"/>
    </xf>
    <xf numFmtId="37" fontId="9" fillId="0" borderId="0" xfId="0" quotePrefix="1" applyFont="1" applyFill="1" applyBorder="1" applyAlignment="1">
      <alignment horizontal="center"/>
    </xf>
    <xf numFmtId="175" fontId="48" fillId="0" borderId="0" xfId="0" applyNumberFormat="1" applyFont="1"/>
    <xf numFmtId="37" fontId="9" fillId="0" borderId="0" xfId="0" applyNumberFormat="1" applyFont="1" applyFill="1" applyBorder="1"/>
    <xf numFmtId="37" fontId="9" fillId="0" borderId="2" xfId="13" applyFont="1" applyBorder="1" applyAlignment="1" applyProtection="1">
      <alignment horizontal="left"/>
    </xf>
    <xf numFmtId="37" fontId="9" fillId="0" borderId="2" xfId="0" applyNumberFormat="1" applyFont="1" applyFill="1" applyBorder="1"/>
    <xf numFmtId="37" fontId="9" fillId="0" borderId="2" xfId="0" applyFont="1" applyFill="1" applyBorder="1" applyAlignment="1">
      <alignment horizontal="center"/>
    </xf>
    <xf numFmtId="172" fontId="47" fillId="0" borderId="2" xfId="0" applyNumberFormat="1" applyFont="1" applyFill="1" applyBorder="1" applyAlignment="1">
      <alignment horizontal="center"/>
    </xf>
    <xf numFmtId="37" fontId="9" fillId="0" borderId="2" xfId="0" quotePrefix="1" applyFont="1" applyFill="1" applyBorder="1" applyAlignment="1">
      <alignment horizontal="center"/>
    </xf>
    <xf numFmtId="5" fontId="11" fillId="0" borderId="0" xfId="0" applyNumberFormat="1" applyFont="1" applyFill="1" applyBorder="1"/>
    <xf numFmtId="172" fontId="11" fillId="0" borderId="0" xfId="0" applyNumberFormat="1" applyFont="1" applyFill="1" applyBorder="1" applyAlignment="1">
      <alignment horizontal="center"/>
    </xf>
    <xf numFmtId="37" fontId="9" fillId="0" borderId="0" xfId="0" applyFont="1" applyFill="1" applyBorder="1" applyAlignment="1">
      <alignment horizontal="left"/>
    </xf>
    <xf numFmtId="37" fontId="9" fillId="0" borderId="2" xfId="0" applyFont="1" applyFill="1" applyBorder="1" applyAlignment="1">
      <alignment horizontal="left"/>
    </xf>
    <xf numFmtId="5" fontId="11" fillId="0" borderId="0" xfId="0" applyNumberFormat="1" applyFont="1" applyFill="1" applyBorder="1" applyAlignment="1">
      <alignment horizontal="right"/>
    </xf>
    <xf numFmtId="37" fontId="9" fillId="0" borderId="2" xfId="0" applyNumberFormat="1" applyFont="1" applyBorder="1"/>
    <xf numFmtId="37" fontId="48" fillId="0" borderId="0" xfId="0" applyNumberFormat="1" applyFont="1" applyFill="1" applyBorder="1"/>
    <xf numFmtId="37" fontId="48" fillId="0" borderId="0" xfId="0" applyFont="1" applyFill="1" applyBorder="1"/>
    <xf numFmtId="37" fontId="11" fillId="0" borderId="0" xfId="0" applyNumberFormat="1" applyFont="1" applyFill="1" applyBorder="1"/>
    <xf numFmtId="37" fontId="9" fillId="5" borderId="18" xfId="0" applyNumberFormat="1" applyFont="1" applyFill="1" applyBorder="1"/>
    <xf numFmtId="174" fontId="9" fillId="5" borderId="18" xfId="0" applyNumberFormat="1" applyFont="1" applyFill="1" applyBorder="1"/>
    <xf numFmtId="7" fontId="11" fillId="5" borderId="12" xfId="0" applyNumberFormat="1" applyFont="1" applyFill="1" applyBorder="1"/>
    <xf numFmtId="7" fontId="9" fillId="0" borderId="0" xfId="14" applyNumberFormat="1" applyFont="1" applyFill="1"/>
    <xf numFmtId="7" fontId="9" fillId="0" borderId="0" xfId="0" applyNumberFormat="1" applyFont="1" applyFill="1" applyBorder="1"/>
    <xf numFmtId="165" fontId="51" fillId="0" borderId="0" xfId="43" applyFont="1" applyFill="1" applyBorder="1"/>
    <xf numFmtId="37" fontId="51" fillId="0" borderId="0" xfId="0" applyFont="1" applyFill="1" applyBorder="1" applyAlignment="1">
      <alignment horizontal="left" indent="1"/>
    </xf>
    <xf numFmtId="37" fontId="11" fillId="0" borderId="0" xfId="0" applyFont="1" applyFill="1"/>
    <xf numFmtId="170" fontId="9" fillId="0" borderId="0" xfId="0" applyNumberFormat="1" applyFont="1" applyAlignment="1">
      <alignment horizontal="center"/>
    </xf>
    <xf numFmtId="37" fontId="11" fillId="5" borderId="7" xfId="14" applyNumberFormat="1" applyFont="1" applyFill="1" applyBorder="1" applyAlignment="1">
      <alignment horizontal="right"/>
    </xf>
    <xf numFmtId="37" fontId="9" fillId="0" borderId="7" xfId="14" applyNumberFormat="1" applyFont="1" applyBorder="1" applyAlignment="1">
      <alignment horizontal="right"/>
    </xf>
    <xf numFmtId="37" fontId="9" fillId="0" borderId="6" xfId="14" applyNumberFormat="1" applyFont="1" applyBorder="1" applyAlignment="1">
      <alignment horizontal="right"/>
    </xf>
    <xf numFmtId="9" fontId="51" fillId="0" borderId="0" xfId="43" applyNumberFormat="1" applyFont="1" applyFill="1" applyBorder="1"/>
    <xf numFmtId="37" fontId="51" fillId="0" borderId="3" xfId="0" applyFont="1" applyBorder="1" applyAlignment="1">
      <alignment horizontal="left"/>
    </xf>
    <xf numFmtId="37" fontId="56" fillId="0" borderId="0" xfId="0" applyFont="1" applyBorder="1" applyAlignment="1">
      <alignment horizontal="center"/>
    </xf>
    <xf numFmtId="37" fontId="56" fillId="0" borderId="0" xfId="0" applyFont="1" applyBorder="1" applyAlignment="1">
      <alignment horizontal="right"/>
    </xf>
    <xf numFmtId="0" fontId="56" fillId="0" borderId="16" xfId="0" applyNumberFormat="1" applyFont="1" applyBorder="1" applyAlignment="1">
      <alignment horizontal="right"/>
    </xf>
    <xf numFmtId="0" fontId="56" fillId="0" borderId="0" xfId="0" applyNumberFormat="1" applyFont="1" applyBorder="1" applyAlignment="1">
      <alignment horizontal="right"/>
    </xf>
    <xf numFmtId="0" fontId="56" fillId="0" borderId="10" xfId="0" applyNumberFormat="1" applyFont="1" applyBorder="1" applyAlignment="1">
      <alignment horizontal="right"/>
    </xf>
    <xf numFmtId="166" fontId="51" fillId="0" borderId="3" xfId="0" applyNumberFormat="1" applyFont="1" applyBorder="1"/>
    <xf numFmtId="166" fontId="51" fillId="0" borderId="0" xfId="0" applyNumberFormat="1" applyFont="1" applyBorder="1"/>
    <xf numFmtId="166" fontId="51" fillId="0" borderId="15" xfId="0" applyNumberFormat="1" applyFont="1" applyBorder="1"/>
    <xf numFmtId="37" fontId="15" fillId="0" borderId="0" xfId="0" quotePrefix="1" applyNumberFormat="1" applyFont="1" applyFill="1"/>
    <xf numFmtId="37" fontId="9" fillId="7" borderId="0" xfId="0" applyFont="1" applyFill="1" applyBorder="1" applyAlignment="1">
      <alignment horizontal="right"/>
    </xf>
    <xf numFmtId="165" fontId="47" fillId="0" borderId="0" xfId="43" applyFont="1" applyBorder="1" applyAlignment="1">
      <alignment horizontal="right"/>
    </xf>
    <xf numFmtId="165" fontId="47" fillId="0" borderId="0" xfId="43" applyFont="1" applyFill="1" applyBorder="1" applyAlignment="1">
      <alignment horizontal="right"/>
    </xf>
    <xf numFmtId="0" fontId="47" fillId="0" borderId="0" xfId="0" applyNumberFormat="1" applyFont="1" applyFill="1" applyBorder="1" applyAlignment="1">
      <alignment horizontal="right"/>
    </xf>
    <xf numFmtId="177" fontId="9" fillId="0" borderId="7" xfId="0" applyNumberFormat="1" applyFont="1" applyFill="1" applyBorder="1"/>
    <xf numFmtId="37" fontId="48" fillId="0" borderId="0" xfId="0" applyFont="1" applyFill="1"/>
    <xf numFmtId="37" fontId="48" fillId="0" borderId="0" xfId="0" applyFont="1" applyFill="1" applyBorder="1" applyAlignment="1">
      <alignment horizontal="right"/>
    </xf>
    <xf numFmtId="37" fontId="49" fillId="0" borderId="0" xfId="0" applyFont="1" applyFill="1" applyBorder="1" applyAlignment="1">
      <alignment horizontal="right"/>
    </xf>
    <xf numFmtId="0" fontId="49" fillId="0" borderId="0" xfId="0" applyNumberFormat="1" applyFont="1" applyFill="1" applyBorder="1" applyAlignment="1">
      <alignment horizontal="right"/>
    </xf>
    <xf numFmtId="37" fontId="11" fillId="0" borderId="0" xfId="0" quotePrefix="1" applyFont="1" applyAlignment="1">
      <alignment horizontal="left"/>
    </xf>
    <xf numFmtId="37" fontId="11" fillId="0" borderId="0" xfId="0" applyFont="1" applyAlignment="1">
      <alignment horizontal="right"/>
    </xf>
    <xf numFmtId="37" fontId="11" fillId="0" borderId="2" xfId="0" applyFont="1" applyBorder="1" applyAlignment="1">
      <alignment horizontal="left"/>
    </xf>
    <xf numFmtId="37" fontId="11" fillId="0" borderId="2" xfId="0" applyFont="1" applyBorder="1" applyAlignment="1">
      <alignment horizontal="right"/>
    </xf>
    <xf numFmtId="37" fontId="11" fillId="0" borderId="0" xfId="13" applyFont="1" applyFill="1" applyBorder="1" applyAlignment="1" applyProtection="1">
      <alignment horizontal="left" indent="1"/>
    </xf>
    <xf numFmtId="166" fontId="11" fillId="0" borderId="0" xfId="0" applyNumberFormat="1" applyFont="1" applyAlignment="1">
      <alignment horizontal="right"/>
    </xf>
    <xf numFmtId="165" fontId="11" fillId="0" borderId="0" xfId="43" applyFont="1" applyAlignment="1">
      <alignment horizontal="right"/>
    </xf>
    <xf numFmtId="165" fontId="9" fillId="0" borderId="3" xfId="43" applyFont="1" applyFill="1" applyBorder="1" applyAlignment="1">
      <alignment horizontal="right"/>
    </xf>
    <xf numFmtId="7" fontId="47" fillId="0" borderId="0" xfId="14" applyNumberFormat="1" applyFont="1" applyFill="1" applyBorder="1"/>
    <xf numFmtId="37" fontId="9" fillId="0" borderId="0" xfId="0" applyFont="1" applyAlignment="1">
      <alignment horizontal="left"/>
    </xf>
    <xf numFmtId="5" fontId="47" fillId="0" borderId="0" xfId="14" applyFont="1" applyBorder="1" applyAlignment="1">
      <alignment horizontal="right"/>
    </xf>
    <xf numFmtId="7" fontId="47" fillId="0" borderId="0" xfId="14" applyNumberFormat="1" applyFont="1" applyBorder="1" applyAlignment="1">
      <alignment horizontal="right"/>
    </xf>
    <xf numFmtId="5" fontId="47" fillId="0" borderId="0" xfId="14" applyFont="1" applyFill="1" applyBorder="1" applyAlignment="1">
      <alignment horizontal="right"/>
    </xf>
    <xf numFmtId="16" fontId="48" fillId="0" borderId="0" xfId="0" quotePrefix="1" applyNumberFormat="1" applyFont="1" applyBorder="1" applyAlignment="1">
      <alignment horizontal="right"/>
    </xf>
    <xf numFmtId="166" fontId="53" fillId="0" borderId="10" xfId="0" applyNumberFormat="1" applyFont="1" applyBorder="1"/>
    <xf numFmtId="166" fontId="47" fillId="0" borderId="10" xfId="0" applyNumberFormat="1" applyFont="1" applyBorder="1"/>
    <xf numFmtId="166" fontId="47" fillId="0" borderId="14" xfId="0" applyNumberFormat="1" applyFont="1" applyBorder="1"/>
    <xf numFmtId="37" fontId="9" fillId="0" borderId="4" xfId="0" applyFont="1" applyBorder="1" applyAlignment="1">
      <alignment horizontal="center"/>
    </xf>
    <xf numFmtId="37" fontId="49" fillId="0" borderId="8" xfId="0" applyFont="1" applyBorder="1" applyAlignment="1">
      <alignment horizontal="left"/>
    </xf>
    <xf numFmtId="37" fontId="49" fillId="0" borderId="9" xfId="0" applyFont="1" applyBorder="1" applyAlignment="1">
      <alignment horizontal="left"/>
    </xf>
    <xf numFmtId="0" fontId="1" fillId="8" borderId="0" xfId="39" applyFill="1"/>
    <xf numFmtId="0" fontId="40" fillId="8" borderId="0" xfId="39" applyFont="1" applyFill="1" applyAlignment="1">
      <alignment vertical="center"/>
    </xf>
    <xf numFmtId="0" fontId="59" fillId="8" borderId="0" xfId="39" applyFont="1" applyFill="1" applyAlignment="1">
      <alignment vertical="center"/>
    </xf>
    <xf numFmtId="0" fontId="59" fillId="8" borderId="0" xfId="39" applyFont="1" applyFill="1"/>
    <xf numFmtId="0" fontId="41" fillId="8" borderId="0" xfId="39" applyFont="1" applyFill="1" applyAlignment="1">
      <alignment vertical="center"/>
    </xf>
    <xf numFmtId="0" fontId="1" fillId="0" borderId="0" xfId="39"/>
    <xf numFmtId="0" fontId="1" fillId="4" borderId="0" xfId="39" applyFill="1"/>
    <xf numFmtId="0" fontId="59" fillId="4" borderId="0" xfId="39" applyFont="1" applyFill="1"/>
    <xf numFmtId="0" fontId="1" fillId="5" borderId="0" xfId="39" applyFill="1"/>
    <xf numFmtId="0" fontId="59" fillId="5" borderId="0" xfId="39" applyFont="1" applyFill="1"/>
    <xf numFmtId="0" fontId="58" fillId="5" borderId="0" xfId="23" applyFill="1" applyAlignment="1" applyProtection="1"/>
    <xf numFmtId="0" fontId="42" fillId="5" borderId="0" xfId="39" applyFont="1" applyFill="1"/>
    <xf numFmtId="0" fontId="9" fillId="5" borderId="0" xfId="39" applyFont="1" applyFill="1"/>
    <xf numFmtId="0" fontId="60" fillId="5" borderId="0" xfId="39" applyFont="1" applyFill="1"/>
    <xf numFmtId="0" fontId="9" fillId="0" borderId="0" xfId="39" applyFont="1" applyFill="1"/>
    <xf numFmtId="0" fontId="61" fillId="5" borderId="0" xfId="39" applyFont="1" applyFill="1"/>
    <xf numFmtId="0" fontId="62" fillId="5" borderId="0" xfId="39" applyFont="1" applyFill="1"/>
    <xf numFmtId="0" fontId="65" fillId="5" borderId="0" xfId="39" applyFont="1" applyFill="1" applyAlignment="1">
      <alignment horizontal="left"/>
    </xf>
    <xf numFmtId="0" fontId="45" fillId="5" borderId="0" xfId="39" applyFont="1" applyFill="1"/>
    <xf numFmtId="0" fontId="67" fillId="5" borderId="0" xfId="39" applyFont="1" applyFill="1" applyAlignment="1">
      <alignment horizontal="left"/>
    </xf>
    <xf numFmtId="0" fontId="9" fillId="0" borderId="0" xfId="0" applyNumberFormat="1" applyFont="1" applyAlignment="1">
      <alignment horizontal="right"/>
    </xf>
    <xf numFmtId="37" fontId="11" fillId="0" borderId="4" xfId="0" applyFont="1" applyBorder="1"/>
    <xf numFmtId="37" fontId="11" fillId="0" borderId="4" xfId="0" applyFont="1" applyBorder="1" applyAlignment="1">
      <alignment horizontal="center"/>
    </xf>
    <xf numFmtId="9" fontId="11" fillId="0" borderId="4" xfId="0" applyNumberFormat="1" applyFont="1" applyBorder="1" applyAlignment="1">
      <alignment horizontal="center"/>
    </xf>
    <xf numFmtId="175" fontId="9" fillId="0" borderId="4" xfId="0" applyNumberFormat="1" applyFont="1" applyBorder="1" applyAlignment="1">
      <alignment horizontal="center"/>
    </xf>
    <xf numFmtId="37" fontId="49" fillId="0" borderId="13" xfId="0" applyFont="1" applyBorder="1"/>
    <xf numFmtId="37" fontId="49" fillId="0" borderId="2" xfId="0" applyFont="1" applyBorder="1"/>
    <xf numFmtId="37" fontId="49" fillId="0" borderId="2" xfId="0" applyFont="1" applyBorder="1" applyAlignment="1">
      <alignment horizontal="center"/>
    </xf>
    <xf numFmtId="9" fontId="49" fillId="0" borderId="2" xfId="0" applyNumberFormat="1" applyFont="1" applyBorder="1" applyAlignment="1">
      <alignment horizontal="center"/>
    </xf>
    <xf numFmtId="175" fontId="49" fillId="0" borderId="2" xfId="0" applyNumberFormat="1" applyFont="1" applyBorder="1" applyAlignment="1">
      <alignment horizontal="center"/>
    </xf>
    <xf numFmtId="37" fontId="49" fillId="0" borderId="14" xfId="0" applyFont="1" applyBorder="1"/>
    <xf numFmtId="5" fontId="11" fillId="5" borderId="8" xfId="14" applyFont="1" applyFill="1" applyBorder="1" applyAlignment="1" applyProtection="1">
      <alignment horizontal="left"/>
    </xf>
    <xf numFmtId="165" fontId="9" fillId="5" borderId="4" xfId="43" applyFont="1" applyFill="1" applyBorder="1" applyAlignment="1" applyProtection="1">
      <alignment horizontal="left"/>
    </xf>
    <xf numFmtId="37" fontId="9" fillId="5" borderId="4" xfId="0" applyFont="1" applyFill="1" applyBorder="1"/>
    <xf numFmtId="37" fontId="9" fillId="5" borderId="4" xfId="0" applyFont="1" applyFill="1" applyBorder="1" applyAlignment="1">
      <alignment horizontal="center"/>
    </xf>
    <xf numFmtId="9" fontId="9" fillId="5" borderId="4" xfId="0" applyNumberFormat="1" applyFont="1" applyFill="1" applyBorder="1" applyAlignment="1">
      <alignment horizontal="center"/>
    </xf>
    <xf numFmtId="175" fontId="9" fillId="5" borderId="4" xfId="0" applyNumberFormat="1" applyFont="1" applyFill="1" applyBorder="1" applyAlignment="1">
      <alignment horizontal="center"/>
    </xf>
    <xf numFmtId="37" fontId="9" fillId="5" borderId="9" xfId="0" applyFont="1" applyFill="1" applyBorder="1"/>
    <xf numFmtId="5" fontId="9" fillId="5" borderId="3" xfId="14" applyFont="1" applyFill="1" applyBorder="1" applyAlignment="1" applyProtection="1">
      <alignment horizontal="left"/>
    </xf>
    <xf numFmtId="5" fontId="9" fillId="5" borderId="0" xfId="14" applyFont="1" applyFill="1" applyBorder="1" applyAlignment="1" applyProtection="1">
      <alignment horizontal="left"/>
    </xf>
    <xf numFmtId="37" fontId="9" fillId="5" borderId="0" xfId="0" applyFont="1" applyFill="1" applyBorder="1"/>
    <xf numFmtId="37" fontId="9" fillId="5" borderId="0" xfId="0" applyFont="1" applyFill="1" applyBorder="1" applyAlignment="1">
      <alignment horizontal="center"/>
    </xf>
    <xf numFmtId="9" fontId="9" fillId="5" borderId="0" xfId="0" applyNumberFormat="1" applyFont="1" applyFill="1" applyBorder="1" applyAlignment="1">
      <alignment horizontal="center"/>
    </xf>
    <xf numFmtId="175" fontId="9" fillId="5" borderId="0" xfId="0" quotePrefix="1" applyNumberFormat="1" applyFont="1" applyFill="1" applyBorder="1" applyAlignment="1">
      <alignment horizontal="center"/>
    </xf>
    <xf numFmtId="37" fontId="9" fillId="5" borderId="10" xfId="0" applyFont="1" applyFill="1" applyBorder="1"/>
    <xf numFmtId="5" fontId="9" fillId="5" borderId="13" xfId="14" applyFont="1" applyFill="1" applyBorder="1" applyAlignment="1" applyProtection="1">
      <alignment horizontal="left"/>
    </xf>
    <xf numFmtId="5" fontId="9" fillId="5" borderId="2" xfId="14" applyFont="1" applyFill="1" applyBorder="1" applyAlignment="1" applyProtection="1">
      <alignment horizontal="left"/>
    </xf>
    <xf numFmtId="37" fontId="9" fillId="5" borderId="2" xfId="0" applyFont="1" applyFill="1" applyBorder="1"/>
    <xf numFmtId="37" fontId="9" fillId="5" borderId="2" xfId="0" applyFont="1" applyFill="1" applyBorder="1" applyAlignment="1">
      <alignment horizontal="center"/>
    </xf>
    <xf numFmtId="9" fontId="9" fillId="5" borderId="2" xfId="0" applyNumberFormat="1" applyFont="1" applyFill="1" applyBorder="1" applyAlignment="1">
      <alignment horizontal="center"/>
    </xf>
    <xf numFmtId="175" fontId="9" fillId="5" borderId="2" xfId="0" applyNumberFormat="1" applyFont="1" applyFill="1" applyBorder="1" applyAlignment="1">
      <alignment horizontal="center"/>
    </xf>
    <xf numFmtId="37" fontId="9" fillId="5" borderId="14" xfId="0" applyFont="1" applyFill="1" applyBorder="1"/>
    <xf numFmtId="5" fontId="11" fillId="0" borderId="8" xfId="14" applyFont="1" applyBorder="1" applyAlignment="1" applyProtection="1">
      <alignment horizontal="left"/>
    </xf>
    <xf numFmtId="165" fontId="9" fillId="0" borderId="4" xfId="43" applyFont="1" applyBorder="1" applyAlignment="1" applyProtection="1">
      <alignment horizontal="left"/>
    </xf>
    <xf numFmtId="9" fontId="9" fillId="0" borderId="4" xfId="0" applyNumberFormat="1" applyFont="1" applyBorder="1" applyAlignment="1">
      <alignment horizontal="center"/>
    </xf>
    <xf numFmtId="5" fontId="9" fillId="0" borderId="2" xfId="14" applyFont="1" applyBorder="1" applyAlignment="1" applyProtection="1">
      <alignment horizontal="left"/>
    </xf>
    <xf numFmtId="9" fontId="9" fillId="0" borderId="2" xfId="0" applyNumberFormat="1" applyFont="1" applyBorder="1" applyAlignment="1">
      <alignment horizontal="center"/>
    </xf>
    <xf numFmtId="175" fontId="9" fillId="0" borderId="2" xfId="0" applyNumberFormat="1" applyFont="1" applyBorder="1" applyAlignment="1">
      <alignment horizontal="center"/>
    </xf>
    <xf numFmtId="37" fontId="11" fillId="5" borderId="8" xfId="13" applyFont="1" applyFill="1" applyBorder="1" applyAlignment="1" applyProtection="1">
      <alignment horizontal="left"/>
    </xf>
    <xf numFmtId="37" fontId="11" fillId="5" borderId="3" xfId="13" applyFont="1" applyFill="1" applyBorder="1" applyAlignment="1" applyProtection="1">
      <alignment horizontal="left"/>
    </xf>
    <xf numFmtId="37" fontId="9" fillId="5" borderId="0" xfId="13" applyFont="1" applyFill="1" applyBorder="1" applyAlignment="1" applyProtection="1">
      <alignment horizontal="left"/>
    </xf>
    <xf numFmtId="175" fontId="9" fillId="5" borderId="0" xfId="0" applyNumberFormat="1" applyFont="1" applyFill="1" applyBorder="1" applyAlignment="1">
      <alignment horizontal="center"/>
    </xf>
    <xf numFmtId="37" fontId="9" fillId="5" borderId="13" xfId="13" applyFont="1" applyFill="1" applyBorder="1" applyAlignment="1" applyProtection="1">
      <alignment horizontal="left"/>
    </xf>
    <xf numFmtId="37" fontId="9" fillId="5" borderId="2" xfId="13" applyFont="1" applyFill="1" applyBorder="1" applyAlignment="1" applyProtection="1">
      <alignment horizontal="left"/>
    </xf>
    <xf numFmtId="175" fontId="9" fillId="5" borderId="2" xfId="0" quotePrefix="1" applyNumberFormat="1" applyFont="1" applyFill="1" applyBorder="1" applyAlignment="1">
      <alignment horizontal="center"/>
    </xf>
    <xf numFmtId="37" fontId="9" fillId="0" borderId="9" xfId="0" applyFont="1" applyFill="1" applyBorder="1"/>
    <xf numFmtId="175" fontId="9" fillId="0" borderId="2" xfId="0" quotePrefix="1" applyNumberFormat="1" applyFont="1" applyBorder="1" applyAlignment="1">
      <alignment horizontal="center"/>
    </xf>
    <xf numFmtId="37" fontId="11" fillId="0" borderId="8" xfId="13" applyFont="1" applyBorder="1" applyAlignment="1" applyProtection="1">
      <alignment horizontal="left"/>
    </xf>
    <xf numFmtId="37" fontId="11" fillId="0" borderId="13" xfId="13" applyFont="1" applyBorder="1" applyAlignment="1" applyProtection="1">
      <alignment horizontal="left"/>
    </xf>
    <xf numFmtId="37" fontId="9" fillId="0" borderId="14" xfId="0" applyFont="1" applyFill="1" applyBorder="1"/>
    <xf numFmtId="5" fontId="11" fillId="5" borderId="11" xfId="14" applyFont="1" applyFill="1" applyBorder="1" applyAlignment="1" applyProtection="1">
      <alignment horizontal="left"/>
    </xf>
    <xf numFmtId="165" fontId="9" fillId="5" borderId="18" xfId="43" applyFont="1" applyFill="1" applyBorder="1" applyAlignment="1" applyProtection="1">
      <alignment horizontal="left"/>
    </xf>
    <xf numFmtId="37" fontId="9" fillId="5" borderId="18" xfId="0" applyFont="1" applyFill="1" applyBorder="1" applyAlignment="1">
      <alignment horizontal="center"/>
    </xf>
    <xf numFmtId="9" fontId="9" fillId="5" borderId="18" xfId="0" applyNumberFormat="1" applyFont="1" applyFill="1" applyBorder="1" applyAlignment="1">
      <alignment horizontal="center"/>
    </xf>
    <xf numFmtId="175" fontId="9" fillId="5" borderId="18" xfId="0" quotePrefix="1" applyNumberFormat="1" applyFont="1" applyFill="1" applyBorder="1" applyAlignment="1">
      <alignment horizontal="center"/>
    </xf>
    <xf numFmtId="37" fontId="9" fillId="5" borderId="12" xfId="0" applyFont="1" applyFill="1" applyBorder="1"/>
    <xf numFmtId="37" fontId="9" fillId="0" borderId="10" xfId="0" applyFont="1" applyFill="1" applyBorder="1"/>
    <xf numFmtId="175" fontId="9" fillId="5" borderId="4" xfId="0" quotePrefix="1" applyNumberFormat="1" applyFont="1" applyFill="1" applyBorder="1" applyAlignment="1">
      <alignment horizontal="center"/>
    </xf>
    <xf numFmtId="5" fontId="11" fillId="5" borderId="3" xfId="14" applyFont="1" applyFill="1" applyBorder="1" applyAlignment="1" applyProtection="1">
      <alignment horizontal="left"/>
    </xf>
    <xf numFmtId="175" fontId="9" fillId="0" borderId="4" xfId="0" quotePrefix="1" applyNumberFormat="1" applyFont="1" applyBorder="1" applyAlignment="1">
      <alignment horizontal="center"/>
    </xf>
    <xf numFmtId="37" fontId="11" fillId="5" borderId="11" xfId="13" applyFont="1" applyFill="1" applyBorder="1" applyAlignment="1" applyProtection="1">
      <alignment horizontal="left"/>
    </xf>
    <xf numFmtId="5" fontId="11" fillId="0" borderId="13" xfId="14" applyFont="1" applyBorder="1" applyAlignment="1" applyProtection="1">
      <alignment horizontal="left"/>
    </xf>
    <xf numFmtId="37" fontId="11" fillId="0" borderId="11" xfId="13" applyFont="1" applyBorder="1" applyAlignment="1" applyProtection="1">
      <alignment horizontal="left"/>
    </xf>
    <xf numFmtId="165" fontId="9" fillId="0" borderId="18" xfId="43" applyFont="1" applyBorder="1" applyAlignment="1" applyProtection="1">
      <alignment horizontal="left"/>
    </xf>
    <xf numFmtId="37" fontId="9" fillId="0" borderId="18" xfId="0" applyFont="1" applyBorder="1" applyAlignment="1">
      <alignment horizontal="center"/>
    </xf>
    <xf numFmtId="9" fontId="9" fillId="0" borderId="18" xfId="0" applyNumberFormat="1" applyFont="1" applyBorder="1" applyAlignment="1">
      <alignment horizontal="center"/>
    </xf>
    <xf numFmtId="175" fontId="9" fillId="0" borderId="18" xfId="0" applyNumberFormat="1" applyFont="1" applyBorder="1" applyAlignment="1">
      <alignment horizontal="center"/>
    </xf>
    <xf numFmtId="37" fontId="9" fillId="0" borderId="12" xfId="0" applyFont="1" applyBorder="1"/>
    <xf numFmtId="185" fontId="9" fillId="0" borderId="5" xfId="13" applyNumberFormat="1" applyFont="1" applyFill="1" applyBorder="1"/>
    <xf numFmtId="174" fontId="9" fillId="0" borderId="10" xfId="0" applyNumberFormat="1" applyFont="1" applyFill="1" applyBorder="1"/>
    <xf numFmtId="174" fontId="11" fillId="0" borderId="10" xfId="0" applyNumberFormat="1" applyFont="1" applyFill="1" applyBorder="1"/>
    <xf numFmtId="185" fontId="9" fillId="0" borderId="4" xfId="13" applyNumberFormat="1" applyFont="1" applyFill="1" applyBorder="1"/>
    <xf numFmtId="174" fontId="9" fillId="0" borderId="10" xfId="0" applyNumberFormat="1" applyFont="1" applyBorder="1" applyAlignment="1">
      <alignment horizontal="right"/>
    </xf>
    <xf numFmtId="172" fontId="9" fillId="0" borderId="10" xfId="0" applyNumberFormat="1" applyFont="1" applyBorder="1"/>
    <xf numFmtId="166" fontId="9" fillId="0" borderId="10" xfId="0" applyNumberFormat="1" applyFont="1" applyBorder="1"/>
    <xf numFmtId="166" fontId="47" fillId="0" borderId="0" xfId="0" applyNumberFormat="1" applyFont="1" applyBorder="1"/>
    <xf numFmtId="7" fontId="47" fillId="0" borderId="0" xfId="0" applyNumberFormat="1" applyFont="1" applyBorder="1"/>
    <xf numFmtId="164" fontId="11" fillId="5" borderId="12" xfId="0" applyNumberFormat="1" applyFont="1" applyFill="1" applyBorder="1" applyAlignment="1" applyProtection="1">
      <alignment horizontal="right"/>
    </xf>
    <xf numFmtId="174" fontId="47" fillId="0" borderId="10" xfId="0" applyNumberFormat="1" applyFont="1" applyFill="1" applyBorder="1"/>
    <xf numFmtId="37" fontId="47" fillId="0" borderId="0" xfId="0" applyNumberFormat="1" applyFont="1" applyFill="1" applyBorder="1"/>
    <xf numFmtId="37" fontId="11" fillId="0" borderId="3" xfId="0" applyFont="1" applyBorder="1"/>
    <xf numFmtId="165" fontId="51" fillId="0" borderId="3" xfId="0" applyNumberFormat="1" applyFont="1" applyBorder="1" applyAlignment="1">
      <alignment horizontal="left" indent="1"/>
    </xf>
    <xf numFmtId="37" fontId="9" fillId="0" borderId="3" xfId="0" applyFont="1" applyBorder="1" applyProtection="1"/>
    <xf numFmtId="165" fontId="9" fillId="0" borderId="3" xfId="0" applyNumberFormat="1" applyFont="1" applyBorder="1"/>
    <xf numFmtId="37" fontId="9" fillId="0" borderId="3" xfId="0" applyFont="1" applyBorder="1" applyAlignment="1">
      <alignment horizontal="left" indent="1"/>
    </xf>
    <xf numFmtId="37" fontId="11" fillId="0" borderId="3" xfId="0" applyFont="1" applyBorder="1" applyAlignment="1">
      <alignment horizontal="left"/>
    </xf>
    <xf numFmtId="37" fontId="51" fillId="0" borderId="3" xfId="0" applyFont="1" applyBorder="1" applyAlignment="1">
      <alignment horizontal="left" indent="1"/>
    </xf>
    <xf numFmtId="165" fontId="9" fillId="0" borderId="3" xfId="0" applyNumberFormat="1" applyFont="1" applyFill="1" applyBorder="1" applyAlignment="1">
      <alignment horizontal="left" indent="1"/>
    </xf>
    <xf numFmtId="165" fontId="9" fillId="0" borderId="3" xfId="0" applyNumberFormat="1" applyFont="1" applyFill="1" applyBorder="1"/>
    <xf numFmtId="37" fontId="11" fillId="0" borderId="2" xfId="0" applyFont="1" applyBorder="1"/>
    <xf numFmtId="168" fontId="9" fillId="0" borderId="0" xfId="0" applyNumberFormat="1" applyFont="1" applyAlignment="1">
      <alignment horizontal="right"/>
    </xf>
    <xf numFmtId="168" fontId="11" fillId="0" borderId="0" xfId="0" applyNumberFormat="1" applyFont="1" applyAlignment="1">
      <alignment horizontal="right"/>
    </xf>
    <xf numFmtId="39" fontId="9" fillId="0" borderId="0" xfId="0" applyNumberFormat="1" applyFont="1" applyAlignment="1">
      <alignment horizontal="center"/>
    </xf>
    <xf numFmtId="174" fontId="9" fillId="0" borderId="0" xfId="0" applyNumberFormat="1" applyFont="1" applyFill="1" applyBorder="1" applyAlignment="1">
      <alignment horizontal="center"/>
    </xf>
    <xf numFmtId="37" fontId="48" fillId="0" borderId="0" xfId="0" applyFont="1" applyFill="1" applyBorder="1" applyAlignment="1">
      <alignment horizontal="center"/>
    </xf>
    <xf numFmtId="174" fontId="9" fillId="5" borderId="18" xfId="0" applyNumberFormat="1" applyFont="1" applyFill="1" applyBorder="1" applyAlignment="1">
      <alignment horizontal="center"/>
    </xf>
    <xf numFmtId="37" fontId="9" fillId="0" borderId="0" xfId="0" applyFont="1" applyFill="1" applyAlignment="1">
      <alignment horizontal="center"/>
    </xf>
    <xf numFmtId="168" fontId="9" fillId="0" borderId="7" xfId="0" applyNumberFormat="1" applyFont="1" applyBorder="1"/>
    <xf numFmtId="168" fontId="9" fillId="0" borderId="0" xfId="0" applyNumberFormat="1" applyFont="1" applyBorder="1"/>
    <xf numFmtId="168" fontId="9" fillId="0" borderId="0" xfId="0" applyNumberFormat="1" applyFont="1" applyFill="1" applyBorder="1"/>
    <xf numFmtId="168" fontId="9" fillId="0" borderId="7" xfId="0" applyNumberFormat="1" applyFont="1" applyFill="1" applyBorder="1"/>
    <xf numFmtId="168" fontId="9" fillId="0" borderId="3" xfId="0" applyNumberFormat="1" applyFont="1" applyFill="1" applyBorder="1"/>
    <xf numFmtId="168" fontId="9" fillId="0" borderId="10" xfId="0" applyNumberFormat="1" applyFont="1" applyFill="1" applyBorder="1"/>
    <xf numFmtId="168" fontId="47" fillId="0" borderId="0" xfId="0" applyNumberFormat="1" applyFont="1" applyBorder="1"/>
    <xf numFmtId="168" fontId="47" fillId="0" borderId="0" xfId="0" applyNumberFormat="1" applyFont="1" applyFill="1" applyBorder="1"/>
    <xf numFmtId="168" fontId="9" fillId="0" borderId="3" xfId="0" applyNumberFormat="1" applyFont="1" applyBorder="1"/>
    <xf numFmtId="166" fontId="47" fillId="0" borderId="0" xfId="0" applyNumberFormat="1" applyFont="1" applyFill="1"/>
    <xf numFmtId="37" fontId="11" fillId="0" borderId="0" xfId="0" applyFont="1" applyBorder="1" applyAlignment="1">
      <alignment horizontal="centerContinuous"/>
    </xf>
    <xf numFmtId="37" fontId="9" fillId="0" borderId="2" xfId="0" applyFont="1" applyBorder="1" applyAlignment="1">
      <alignment horizontal="centerContinuous"/>
    </xf>
    <xf numFmtId="37" fontId="11" fillId="0" borderId="2" xfId="0" applyFont="1" applyBorder="1" applyAlignment="1">
      <alignment horizontal="centerContinuous"/>
    </xf>
    <xf numFmtId="37" fontId="11" fillId="0" borderId="6" xfId="0" applyFont="1" applyBorder="1" applyAlignment="1">
      <alignment horizontal="right"/>
    </xf>
    <xf numFmtId="168" fontId="9" fillId="0" borderId="0" xfId="0" applyNumberFormat="1" applyFont="1"/>
    <xf numFmtId="37" fontId="9" fillId="0" borderId="6" xfId="0" applyFont="1" applyBorder="1"/>
    <xf numFmtId="37" fontId="51" fillId="0" borderId="0" xfId="0" applyFont="1" applyAlignment="1">
      <alignment horizontal="left" indent="1"/>
    </xf>
    <xf numFmtId="165" fontId="51" fillId="0" borderId="0" xfId="43" applyFont="1" applyBorder="1"/>
    <xf numFmtId="9" fontId="9" fillId="0" borderId="0" xfId="43" applyNumberFormat="1" applyFont="1"/>
    <xf numFmtId="165" fontId="53" fillId="0" borderId="0" xfId="43" applyFont="1" applyBorder="1"/>
    <xf numFmtId="174" fontId="54" fillId="0" borderId="0" xfId="0" applyNumberFormat="1" applyFont="1" applyBorder="1"/>
    <xf numFmtId="37" fontId="47" fillId="0" borderId="0" xfId="0" applyNumberFormat="1" applyFont="1" applyBorder="1"/>
    <xf numFmtId="9" fontId="9" fillId="0" borderId="0" xfId="43" applyNumberFormat="1" applyFont="1" applyBorder="1"/>
    <xf numFmtId="37" fontId="11" fillId="0" borderId="18" xfId="0" applyFont="1" applyBorder="1" applyAlignment="1">
      <alignment horizontal="centerContinuous"/>
    </xf>
    <xf numFmtId="37" fontId="0" fillId="0" borderId="0" xfId="0" applyBorder="1"/>
    <xf numFmtId="37" fontId="11" fillId="7" borderId="11" xfId="0" applyFont="1" applyFill="1" applyBorder="1"/>
    <xf numFmtId="37" fontId="9" fillId="7" borderId="18" xfId="0" applyFont="1" applyFill="1" applyBorder="1"/>
    <xf numFmtId="165" fontId="11" fillId="7" borderId="12" xfId="43" applyFont="1" applyFill="1" applyBorder="1"/>
    <xf numFmtId="37" fontId="11" fillId="7" borderId="18" xfId="0" applyFont="1" applyFill="1" applyBorder="1"/>
    <xf numFmtId="7" fontId="11" fillId="7" borderId="18" xfId="0" applyNumberFormat="1" applyFont="1" applyFill="1" applyBorder="1"/>
    <xf numFmtId="9" fontId="11" fillId="7" borderId="18" xfId="43" applyNumberFormat="1" applyFont="1" applyFill="1" applyBorder="1"/>
    <xf numFmtId="174" fontId="54" fillId="0" borderId="0" xfId="0" applyNumberFormat="1" applyFont="1" applyBorder="1" applyAlignment="1">
      <alignment horizontal="right"/>
    </xf>
    <xf numFmtId="174" fontId="11" fillId="0" borderId="7" xfId="0" applyNumberFormat="1" applyFont="1" applyBorder="1" applyAlignment="1">
      <alignment horizontal="right"/>
    </xf>
    <xf numFmtId="174" fontId="54" fillId="0" borderId="0" xfId="0" applyNumberFormat="1" applyFont="1" applyFill="1" applyBorder="1" applyAlignment="1">
      <alignment horizontal="right"/>
    </xf>
    <xf numFmtId="176" fontId="11" fillId="0" borderId="2" xfId="0" applyNumberFormat="1" applyFont="1" applyBorder="1"/>
    <xf numFmtId="37" fontId="11" fillId="0" borderId="5" xfId="0" applyFont="1" applyBorder="1" applyAlignment="1">
      <alignment horizontal="right"/>
    </xf>
    <xf numFmtId="37" fontId="11" fillId="0" borderId="4" xfId="0" applyFont="1" applyBorder="1" applyAlignment="1">
      <alignment horizontal="right"/>
    </xf>
    <xf numFmtId="7" fontId="11" fillId="0" borderId="0" xfId="14" applyNumberFormat="1" applyFont="1" applyBorder="1"/>
    <xf numFmtId="7" fontId="11" fillId="0" borderId="12" xfId="14" applyNumberFormat="1" applyFont="1" applyBorder="1"/>
    <xf numFmtId="170" fontId="47" fillId="0" borderId="2" xfId="0" applyNumberFormat="1" applyFont="1" applyBorder="1"/>
    <xf numFmtId="37" fontId="22" fillId="6" borderId="0" xfId="0" applyFont="1" applyFill="1"/>
    <xf numFmtId="37" fontId="11" fillId="5" borderId="7" xfId="0" applyFont="1" applyFill="1" applyBorder="1"/>
    <xf numFmtId="166" fontId="9" fillId="0" borderId="0" xfId="0" applyNumberFormat="1" applyFont="1" applyAlignment="1">
      <alignment horizontal="center"/>
    </xf>
    <xf numFmtId="165" fontId="9" fillId="0" borderId="0" xfId="43" applyFont="1" applyFill="1" applyBorder="1"/>
    <xf numFmtId="37" fontId="9" fillId="0" borderId="0" xfId="0" applyFont="1" applyBorder="1" applyAlignment="1">
      <alignment horizontal="centerContinuous"/>
    </xf>
    <xf numFmtId="168" fontId="11" fillId="0" borderId="0" xfId="0" applyNumberFormat="1" applyFont="1"/>
    <xf numFmtId="7" fontId="9" fillId="0" borderId="0" xfId="43" applyNumberFormat="1" applyFont="1"/>
    <xf numFmtId="9" fontId="9" fillId="0" borderId="2" xfId="43" applyNumberFormat="1" applyFont="1" applyBorder="1"/>
    <xf numFmtId="39" fontId="9" fillId="0" borderId="0" xfId="43" applyNumberFormat="1" applyFont="1"/>
    <xf numFmtId="39" fontId="9" fillId="0" borderId="2" xfId="43" applyNumberFormat="1" applyFont="1" applyBorder="1"/>
    <xf numFmtId="7" fontId="11" fillId="0" borderId="0" xfId="0" applyNumberFormat="1" applyFont="1"/>
    <xf numFmtId="7" fontId="9" fillId="0" borderId="0" xfId="0" applyNumberFormat="1" applyFont="1"/>
    <xf numFmtId="37" fontId="9" fillId="0" borderId="0" xfId="0" applyNumberFormat="1" applyFont="1" applyBorder="1"/>
    <xf numFmtId="185" fontId="9" fillId="0" borderId="0" xfId="0" applyNumberFormat="1" applyFont="1" applyFill="1"/>
    <xf numFmtId="186" fontId="9" fillId="0" borderId="0" xfId="0" applyNumberFormat="1" applyFont="1" applyFill="1" applyBorder="1"/>
    <xf numFmtId="165" fontId="47" fillId="0" borderId="0" xfId="0" applyNumberFormat="1" applyFont="1" applyFill="1" applyBorder="1" applyAlignment="1">
      <alignment horizontal="right"/>
    </xf>
    <xf numFmtId="39" fontId="9" fillId="0" borderId="0" xfId="14" applyNumberFormat="1" applyFont="1" applyFill="1"/>
    <xf numFmtId="37" fontId="9" fillId="7" borderId="4" xfId="0" applyFont="1" applyFill="1" applyBorder="1"/>
    <xf numFmtId="37" fontId="11" fillId="7" borderId="11" xfId="0" applyFont="1" applyFill="1" applyBorder="1" applyAlignment="1">
      <alignment horizontal="left"/>
    </xf>
    <xf numFmtId="174" fontId="11" fillId="0" borderId="6" xfId="0" applyNumberFormat="1" applyFont="1" applyBorder="1"/>
    <xf numFmtId="174" fontId="11" fillId="0" borderId="2" xfId="0" applyNumberFormat="1" applyFont="1" applyFill="1" applyBorder="1"/>
    <xf numFmtId="174" fontId="11" fillId="0" borderId="6" xfId="0" applyNumberFormat="1" applyFont="1" applyFill="1" applyBorder="1"/>
    <xf numFmtId="165" fontId="11" fillId="0" borderId="3" xfId="0" applyNumberFormat="1" applyFont="1" applyBorder="1"/>
    <xf numFmtId="165" fontId="11" fillId="0" borderId="3" xfId="0" applyNumberFormat="1" applyFont="1" applyFill="1" applyBorder="1"/>
    <xf numFmtId="165" fontId="11" fillId="0" borderId="0" xfId="0" applyNumberFormat="1" applyFont="1" applyFill="1" applyBorder="1"/>
    <xf numFmtId="165" fontId="11" fillId="0" borderId="11" xfId="0" applyNumberFormat="1" applyFont="1" applyFill="1" applyBorder="1"/>
    <xf numFmtId="165" fontId="11" fillId="0" borderId="18" xfId="0" applyNumberFormat="1" applyFont="1" applyFill="1" applyBorder="1"/>
    <xf numFmtId="174" fontId="11" fillId="0" borderId="12" xfId="0" applyNumberFormat="1" applyFont="1" applyFill="1" applyBorder="1"/>
    <xf numFmtId="165" fontId="11" fillId="0" borderId="11" xfId="0" applyNumberFormat="1" applyFont="1" applyBorder="1"/>
    <xf numFmtId="165" fontId="11" fillId="0" borderId="18" xfId="0" applyNumberFormat="1" applyFont="1" applyBorder="1"/>
    <xf numFmtId="174" fontId="54" fillId="0" borderId="18" xfId="0" applyNumberFormat="1" applyFont="1" applyBorder="1"/>
    <xf numFmtId="165" fontId="9" fillId="0" borderId="3" xfId="0" applyNumberFormat="1" applyFont="1" applyFill="1" applyBorder="1" applyAlignment="1">
      <alignment horizontal="left"/>
    </xf>
    <xf numFmtId="165" fontId="9" fillId="0" borderId="3" xfId="0" applyNumberFormat="1" applyFont="1" applyBorder="1" applyAlignment="1">
      <alignment horizontal="left"/>
    </xf>
    <xf numFmtId="174" fontId="11" fillId="0" borderId="14" xfId="0" applyNumberFormat="1" applyFont="1" applyFill="1" applyBorder="1"/>
    <xf numFmtId="37" fontId="48" fillId="0" borderId="0" xfId="13" applyFont="1" applyBorder="1" applyAlignment="1" applyProtection="1">
      <alignment horizontal="left"/>
    </xf>
    <xf numFmtId="37" fontId="48" fillId="0" borderId="0" xfId="0" applyFont="1" applyBorder="1" applyAlignment="1">
      <alignment horizontal="left"/>
    </xf>
    <xf numFmtId="171" fontId="51" fillId="0" borderId="0" xfId="0" applyNumberFormat="1" applyFont="1"/>
    <xf numFmtId="171" fontId="51" fillId="0" borderId="7" xfId="0" applyNumberFormat="1" applyFont="1" applyBorder="1"/>
    <xf numFmtId="174" fontId="11" fillId="0" borderId="3" xfId="0" applyNumberFormat="1" applyFont="1" applyBorder="1" applyAlignment="1">
      <alignment horizontal="right"/>
    </xf>
    <xf numFmtId="174" fontId="11" fillId="0" borderId="3" xfId="0" applyNumberFormat="1" applyFont="1" applyBorder="1"/>
    <xf numFmtId="174" fontId="47" fillId="6" borderId="0" xfId="0" applyNumberFormat="1" applyFont="1" applyFill="1" applyBorder="1"/>
    <xf numFmtId="165" fontId="11" fillId="0" borderId="0" xfId="0" applyNumberFormat="1" applyFont="1" applyFill="1" applyBorder="1" applyAlignment="1">
      <alignment horizontal="right"/>
    </xf>
    <xf numFmtId="165" fontId="9" fillId="0" borderId="0" xfId="0" applyNumberFormat="1" applyFont="1" applyFill="1"/>
    <xf numFmtId="165" fontId="11" fillId="0" borderId="0" xfId="43" applyFont="1" applyFill="1" applyBorder="1" applyAlignment="1">
      <alignment horizontal="right"/>
    </xf>
    <xf numFmtId="174" fontId="49" fillId="0" borderId="0" xfId="0" applyNumberFormat="1" applyFont="1" applyFill="1" applyBorder="1" applyAlignment="1">
      <alignment horizontal="right"/>
    </xf>
    <xf numFmtId="37" fontId="54" fillId="0" borderId="0" xfId="0" applyFont="1" applyFill="1" applyBorder="1" applyAlignment="1">
      <alignment horizontal="right"/>
    </xf>
    <xf numFmtId="0" fontId="54" fillId="0" borderId="0" xfId="0" applyNumberFormat="1" applyFont="1" applyFill="1" applyBorder="1" applyAlignment="1">
      <alignment horizontal="right"/>
    </xf>
    <xf numFmtId="5" fontId="9" fillId="0" borderId="0" xfId="0" applyNumberFormat="1" applyFont="1" applyFill="1"/>
    <xf numFmtId="166" fontId="48" fillId="0" borderId="0" xfId="0" applyNumberFormat="1" applyFont="1" applyFill="1" applyBorder="1" applyAlignment="1">
      <alignment horizontal="right"/>
    </xf>
    <xf numFmtId="166" fontId="49" fillId="0" borderId="0" xfId="0" applyNumberFormat="1" applyFont="1" applyFill="1" applyBorder="1" applyAlignment="1">
      <alignment horizontal="right"/>
    </xf>
    <xf numFmtId="166" fontId="48" fillId="0" borderId="0" xfId="0" applyNumberFormat="1" applyFont="1" applyFill="1"/>
    <xf numFmtId="37" fontId="51" fillId="0" borderId="0" xfId="0" applyFont="1" applyFill="1" applyBorder="1" applyAlignment="1">
      <alignment horizontal="right"/>
    </xf>
    <xf numFmtId="0" fontId="51" fillId="0" borderId="0" xfId="0" applyNumberFormat="1" applyFont="1" applyFill="1" applyBorder="1" applyAlignment="1">
      <alignment horizontal="right"/>
    </xf>
    <xf numFmtId="37" fontId="50" fillId="0" borderId="0" xfId="0" applyFont="1" applyFill="1" applyBorder="1" applyAlignment="1">
      <alignment horizontal="right"/>
    </xf>
    <xf numFmtId="0" fontId="50" fillId="0" borderId="0" xfId="0" applyNumberFormat="1" applyFont="1" applyFill="1" applyBorder="1" applyAlignment="1">
      <alignment horizontal="right"/>
    </xf>
    <xf numFmtId="37" fontId="51" fillId="0" borderId="0" xfId="0" applyFont="1" applyFill="1"/>
    <xf numFmtId="37" fontId="51" fillId="0" borderId="0" xfId="0" applyNumberFormat="1" applyFont="1" applyFill="1" applyBorder="1" applyAlignment="1">
      <alignment horizontal="right"/>
    </xf>
    <xf numFmtId="37" fontId="50" fillId="0" borderId="0" xfId="0" applyNumberFormat="1" applyFont="1" applyFill="1" applyBorder="1" applyAlignment="1">
      <alignment horizontal="right"/>
    </xf>
    <xf numFmtId="37" fontId="51" fillId="0" borderId="0" xfId="0" applyNumberFormat="1" applyFont="1" applyFill="1"/>
    <xf numFmtId="171" fontId="9" fillId="0" borderId="0" xfId="0" applyNumberFormat="1" applyFont="1" applyFill="1" applyBorder="1" applyAlignment="1">
      <alignment horizontal="right"/>
    </xf>
    <xf numFmtId="171" fontId="11" fillId="0" borderId="0" xfId="0" applyNumberFormat="1" applyFont="1" applyFill="1" applyBorder="1" applyAlignment="1">
      <alignment horizontal="right"/>
    </xf>
    <xf numFmtId="169" fontId="9" fillId="0" borderId="0" xfId="0" applyNumberFormat="1" applyFont="1" applyFill="1" applyBorder="1" applyAlignment="1">
      <alignment horizontal="right"/>
    </xf>
    <xf numFmtId="169" fontId="11" fillId="0" borderId="0" xfId="0" applyNumberFormat="1" applyFont="1" applyFill="1" applyBorder="1" applyAlignment="1">
      <alignment horizontal="right"/>
    </xf>
    <xf numFmtId="165" fontId="51" fillId="0" borderId="6" xfId="0" applyNumberFormat="1" applyFont="1" applyFill="1" applyBorder="1" applyAlignment="1">
      <alignment horizontal="right"/>
    </xf>
    <xf numFmtId="165" fontId="51" fillId="0" borderId="6" xfId="0" applyNumberFormat="1" applyFont="1" applyBorder="1" applyAlignment="1">
      <alignment horizontal="right"/>
    </xf>
    <xf numFmtId="172" fontId="9" fillId="0" borderId="6" xfId="0" applyNumberFormat="1" applyFont="1" applyBorder="1"/>
    <xf numFmtId="166" fontId="9" fillId="0" borderId="6" xfId="0" applyNumberFormat="1" applyFont="1" applyFill="1" applyBorder="1" applyAlignment="1">
      <alignment horizontal="right"/>
    </xf>
    <xf numFmtId="39" fontId="9" fillId="0" borderId="6" xfId="0" applyNumberFormat="1" applyFont="1" applyFill="1" applyBorder="1" applyAlignment="1">
      <alignment horizontal="right"/>
    </xf>
    <xf numFmtId="37" fontId="11" fillId="0" borderId="0" xfId="0" applyFont="1" applyBorder="1" applyAlignment="1">
      <alignment horizontal="left"/>
    </xf>
    <xf numFmtId="174" fontId="51" fillId="0" borderId="0" xfId="0" applyNumberFormat="1" applyFont="1" applyBorder="1"/>
    <xf numFmtId="37" fontId="51" fillId="0" borderId="0" xfId="0" applyFont="1" applyBorder="1" applyAlignment="1">
      <alignment horizontal="left" indent="1"/>
    </xf>
    <xf numFmtId="174" fontId="51" fillId="0" borderId="6" xfId="0" applyNumberFormat="1" applyFont="1" applyBorder="1"/>
    <xf numFmtId="174" fontId="51" fillId="0" borderId="6" xfId="0" applyNumberFormat="1" applyFont="1" applyFill="1" applyBorder="1"/>
    <xf numFmtId="37" fontId="11" fillId="0" borderId="0" xfId="0" applyFont="1" applyFill="1" applyBorder="1" applyAlignment="1"/>
    <xf numFmtId="37" fontId="9" fillId="0" borderId="3" xfId="13" applyFont="1" applyFill="1" applyBorder="1" applyAlignment="1" applyProtection="1">
      <alignment horizontal="left"/>
    </xf>
    <xf numFmtId="37" fontId="9" fillId="0" borderId="0" xfId="0" applyFont="1" applyBorder="1" applyAlignment="1"/>
    <xf numFmtId="37" fontId="11" fillId="7" borderId="18" xfId="0" applyFont="1" applyFill="1" applyBorder="1" applyAlignment="1">
      <alignment horizontal="right"/>
    </xf>
    <xf numFmtId="0" fontId="11" fillId="7" borderId="24" xfId="0" applyNumberFormat="1" applyFont="1" applyFill="1" applyBorder="1" applyAlignment="1">
      <alignment horizontal="right"/>
    </xf>
    <xf numFmtId="166" fontId="11" fillId="0" borderId="11" xfId="0" applyNumberFormat="1" applyFont="1" applyBorder="1"/>
    <xf numFmtId="166" fontId="11" fillId="0" borderId="18" xfId="0" applyNumberFormat="1" applyFont="1" applyBorder="1"/>
    <xf numFmtId="174" fontId="54" fillId="0" borderId="18" xfId="0" applyNumberFormat="1" applyFont="1" applyBorder="1" applyAlignment="1">
      <alignment horizontal="right"/>
    </xf>
    <xf numFmtId="174" fontId="11" fillId="0" borderId="24" xfId="0" applyNumberFormat="1" applyFont="1" applyBorder="1" applyAlignment="1">
      <alignment horizontal="right"/>
    </xf>
    <xf numFmtId="174" fontId="54" fillId="0" borderId="18" xfId="0" applyNumberFormat="1" applyFont="1" applyFill="1" applyBorder="1" applyAlignment="1">
      <alignment horizontal="right"/>
    </xf>
    <xf numFmtId="174" fontId="11" fillId="0" borderId="24" xfId="0" applyNumberFormat="1" applyFont="1" applyFill="1" applyBorder="1" applyAlignment="1">
      <alignment horizontal="right"/>
    </xf>
    <xf numFmtId="174" fontId="11" fillId="0" borderId="18" xfId="0" applyNumberFormat="1" applyFont="1" applyBorder="1" applyAlignment="1">
      <alignment horizontal="right"/>
    </xf>
    <xf numFmtId="174" fontId="11" fillId="0" borderId="11" xfId="0" applyNumberFormat="1" applyFont="1" applyFill="1" applyBorder="1" applyAlignment="1">
      <alignment horizontal="right"/>
    </xf>
    <xf numFmtId="37" fontId="11" fillId="0" borderId="18" xfId="0" applyFont="1" applyBorder="1"/>
    <xf numFmtId="166" fontId="54" fillId="0" borderId="18" xfId="0" applyNumberFormat="1" applyFont="1" applyBorder="1" applyAlignment="1">
      <alignment horizontal="right"/>
    </xf>
    <xf numFmtId="166" fontId="11" fillId="0" borderId="24" xfId="0" applyNumberFormat="1" applyFont="1" applyBorder="1" applyAlignment="1">
      <alignment horizontal="right"/>
    </xf>
    <xf numFmtId="166" fontId="54" fillId="0" borderId="18" xfId="0" applyNumberFormat="1" applyFont="1" applyFill="1" applyBorder="1" applyAlignment="1">
      <alignment horizontal="right"/>
    </xf>
    <xf numFmtId="166" fontId="11" fillId="0" borderId="24" xfId="0" applyNumberFormat="1" applyFont="1" applyFill="1" applyBorder="1" applyAlignment="1">
      <alignment horizontal="right"/>
    </xf>
    <xf numFmtId="166" fontId="11" fillId="0" borderId="18" xfId="0" applyNumberFormat="1" applyFont="1" applyFill="1" applyBorder="1" applyAlignment="1">
      <alignment horizontal="right"/>
    </xf>
    <xf numFmtId="166" fontId="11" fillId="0" borderId="11" xfId="0" applyNumberFormat="1" applyFont="1" applyFill="1" applyBorder="1" applyAlignment="1">
      <alignment horizontal="right"/>
    </xf>
    <xf numFmtId="166" fontId="11" fillId="0" borderId="18" xfId="0" applyNumberFormat="1" applyFont="1" applyBorder="1" applyAlignment="1">
      <alignment horizontal="right"/>
    </xf>
    <xf numFmtId="174" fontId="11" fillId="0" borderId="18" xfId="0" applyNumberFormat="1" applyFont="1" applyFill="1" applyBorder="1" applyAlignment="1">
      <alignment horizontal="right"/>
    </xf>
    <xf numFmtId="166" fontId="47" fillId="0" borderId="18" xfId="0" applyNumberFormat="1" applyFont="1" applyBorder="1" applyAlignment="1">
      <alignment horizontal="right"/>
    </xf>
    <xf numFmtId="166" fontId="9" fillId="0" borderId="24" xfId="0" applyNumberFormat="1" applyFont="1" applyBorder="1" applyAlignment="1">
      <alignment horizontal="right"/>
    </xf>
    <xf numFmtId="166" fontId="9" fillId="0" borderId="18" xfId="0" applyNumberFormat="1" applyFont="1" applyBorder="1" applyAlignment="1">
      <alignment horizontal="right"/>
    </xf>
    <xf numFmtId="166" fontId="9" fillId="0" borderId="18" xfId="0" applyNumberFormat="1" applyFont="1" applyFill="1" applyBorder="1" applyAlignment="1">
      <alignment horizontal="right"/>
    </xf>
    <xf numFmtId="166" fontId="9" fillId="0" borderId="24" xfId="0" applyNumberFormat="1" applyFont="1" applyFill="1" applyBorder="1" applyAlignment="1">
      <alignment horizontal="right"/>
    </xf>
    <xf numFmtId="166" fontId="11" fillId="0" borderId="11" xfId="0" applyNumberFormat="1" applyFont="1" applyBorder="1" applyAlignment="1">
      <alignment horizontal="right"/>
    </xf>
    <xf numFmtId="166" fontId="9" fillId="0" borderId="11" xfId="0" applyNumberFormat="1" applyFont="1" applyFill="1" applyBorder="1" applyAlignment="1">
      <alignment horizontal="right"/>
    </xf>
    <xf numFmtId="165" fontId="51" fillId="0" borderId="0" xfId="0" applyNumberFormat="1" applyFont="1" applyFill="1"/>
    <xf numFmtId="165" fontId="51" fillId="0" borderId="7" xfId="0" applyNumberFormat="1" applyFont="1" applyFill="1" applyBorder="1"/>
    <xf numFmtId="165" fontId="53" fillId="0" borderId="7" xfId="0" applyNumberFormat="1" applyFont="1" applyFill="1" applyBorder="1"/>
    <xf numFmtId="10" fontId="9" fillId="0" borderId="0" xfId="0" applyNumberFormat="1" applyFont="1"/>
    <xf numFmtId="10" fontId="9" fillId="0" borderId="7" xfId="0" applyNumberFormat="1" applyFont="1" applyBorder="1"/>
    <xf numFmtId="10" fontId="9" fillId="0" borderId="7" xfId="0" applyNumberFormat="1" applyFont="1" applyFill="1" applyBorder="1"/>
    <xf numFmtId="10" fontId="47" fillId="0" borderId="0" xfId="0" applyNumberFormat="1" applyFont="1" applyFill="1"/>
    <xf numFmtId="10" fontId="9" fillId="0" borderId="0" xfId="0" applyNumberFormat="1" applyFont="1" applyFill="1"/>
    <xf numFmtId="10" fontId="9" fillId="0" borderId="3" xfId="0" applyNumberFormat="1" applyFont="1" applyFill="1" applyBorder="1"/>
    <xf numFmtId="10" fontId="47" fillId="0" borderId="0" xfId="0" applyNumberFormat="1" applyFont="1" applyFill="1" applyBorder="1"/>
    <xf numFmtId="10" fontId="47" fillId="0" borderId="0" xfId="43" applyNumberFormat="1" applyFont="1" applyAlignment="1">
      <alignment horizontal="right"/>
    </xf>
    <xf numFmtId="10" fontId="47" fillId="0" borderId="7" xfId="43" applyNumberFormat="1" applyFont="1" applyBorder="1" applyAlignment="1">
      <alignment horizontal="right"/>
    </xf>
    <xf numFmtId="10" fontId="9" fillId="0" borderId="0" xfId="43" applyNumberFormat="1" applyFont="1"/>
    <xf numFmtId="10" fontId="9" fillId="0" borderId="7" xfId="43" applyNumberFormat="1" applyFont="1" applyFill="1" applyBorder="1"/>
    <xf numFmtId="10" fontId="9" fillId="0" borderId="0" xfId="43" applyNumberFormat="1" applyFont="1" applyFill="1"/>
    <xf numFmtId="10" fontId="9" fillId="0" borderId="3" xfId="43" applyNumberFormat="1" applyFont="1" applyFill="1" applyBorder="1"/>
    <xf numFmtId="10" fontId="9" fillId="0" borderId="0" xfId="43" applyNumberFormat="1" applyFont="1" applyFill="1" applyBorder="1"/>
    <xf numFmtId="10" fontId="47" fillId="0" borderId="0" xfId="43" applyNumberFormat="1" applyFont="1" applyAlignment="1">
      <alignment horizontal="center"/>
    </xf>
    <xf numFmtId="10" fontId="47" fillId="0" borderId="0" xfId="43" applyNumberFormat="1" applyFont="1" applyFill="1" applyAlignment="1">
      <alignment horizontal="center"/>
    </xf>
    <xf numFmtId="10" fontId="47" fillId="0" borderId="3" xfId="43" applyNumberFormat="1" applyFont="1" applyFill="1" applyBorder="1" applyAlignment="1">
      <alignment horizontal="center"/>
    </xf>
    <xf numFmtId="10" fontId="47" fillId="0" borderId="7" xfId="43" applyNumberFormat="1" applyFont="1" applyFill="1" applyBorder="1" applyAlignment="1">
      <alignment horizontal="center"/>
    </xf>
    <xf numFmtId="10" fontId="47" fillId="0" borderId="0" xfId="43" applyNumberFormat="1" applyFont="1" applyFill="1" applyBorder="1" applyAlignment="1">
      <alignment horizontal="center"/>
    </xf>
    <xf numFmtId="37" fontId="11" fillId="0" borderId="0" xfId="0" applyFont="1" applyAlignment="1">
      <alignment horizontal="centerContinuous"/>
    </xf>
    <xf numFmtId="37" fontId="11" fillId="0" borderId="2" xfId="0" applyFont="1" applyBorder="1" applyAlignment="1">
      <alignment horizontal="center"/>
    </xf>
    <xf numFmtId="37" fontId="11" fillId="0" borderId="10" xfId="0" applyFont="1" applyBorder="1" applyAlignment="1">
      <alignment horizontal="center" wrapText="1"/>
    </xf>
    <xf numFmtId="37" fontId="11" fillId="0" borderId="14" xfId="0" applyFont="1" applyBorder="1" applyAlignment="1">
      <alignment horizontal="center" wrapText="1"/>
    </xf>
    <xf numFmtId="37" fontId="0" fillId="0" borderId="0" xfId="0" applyFill="1"/>
    <xf numFmtId="37" fontId="69" fillId="0" borderId="0" xfId="0" applyFont="1"/>
    <xf numFmtId="166" fontId="47" fillId="0" borderId="0" xfId="0" applyNumberFormat="1" applyFont="1" applyFill="1" applyBorder="1"/>
    <xf numFmtId="186" fontId="47" fillId="0" borderId="0" xfId="0" applyNumberFormat="1" applyFont="1" applyFill="1" applyBorder="1"/>
    <xf numFmtId="177" fontId="9" fillId="0" borderId="0" xfId="0" applyNumberFormat="1" applyFont="1" applyBorder="1" applyAlignment="1">
      <alignment horizontal="right"/>
    </xf>
    <xf numFmtId="174" fontId="53" fillId="0" borderId="0" xfId="0" applyNumberFormat="1" applyFont="1" applyFill="1" applyBorder="1"/>
    <xf numFmtId="43" fontId="9" fillId="0" borderId="0" xfId="0" applyNumberFormat="1" applyFont="1" applyFill="1" applyBorder="1" applyAlignment="1">
      <alignment horizontal="right"/>
    </xf>
    <xf numFmtId="165" fontId="51" fillId="7" borderId="0" xfId="0" applyNumberFormat="1" applyFont="1" applyFill="1" applyBorder="1" applyAlignment="1">
      <alignment horizontal="right"/>
    </xf>
    <xf numFmtId="174" fontId="9" fillId="0" borderId="2" xfId="0" applyNumberFormat="1" applyFont="1" applyFill="1" applyBorder="1"/>
    <xf numFmtId="165" fontId="9" fillId="0" borderId="0" xfId="43" applyNumberFormat="1" applyFont="1" applyAlignment="1">
      <alignment horizontal="right"/>
    </xf>
    <xf numFmtId="165" fontId="51" fillId="0" borderId="0" xfId="43" applyNumberFormat="1" applyFont="1"/>
    <xf numFmtId="37" fontId="11" fillId="0" borderId="18" xfId="0" applyFont="1" applyBorder="1" applyAlignment="1">
      <alignment horizontal="right"/>
    </xf>
    <xf numFmtId="37" fontId="11" fillId="7" borderId="11" xfId="0" applyFont="1" applyFill="1" applyBorder="1" applyAlignment="1">
      <alignment horizontal="right"/>
    </xf>
    <xf numFmtId="37" fontId="11" fillId="7" borderId="12" xfId="0" applyFont="1" applyFill="1" applyBorder="1" applyAlignment="1">
      <alignment horizontal="right"/>
    </xf>
    <xf numFmtId="42" fontId="9" fillId="0" borderId="7" xfId="0" applyNumberFormat="1" applyFont="1" applyBorder="1"/>
    <xf numFmtId="165" fontId="9" fillId="0" borderId="6" xfId="43" applyFont="1" applyBorder="1"/>
    <xf numFmtId="42" fontId="9" fillId="0" borderId="2" xfId="0" applyNumberFormat="1" applyFont="1" applyBorder="1"/>
    <xf numFmtId="42" fontId="9" fillId="0" borderId="6" xfId="0" applyNumberFormat="1" applyFont="1" applyBorder="1"/>
    <xf numFmtId="165" fontId="9" fillId="0" borderId="2" xfId="43" applyFont="1" applyBorder="1"/>
    <xf numFmtId="42" fontId="9" fillId="0" borderId="0" xfId="0" applyNumberFormat="1" applyFont="1" applyBorder="1"/>
    <xf numFmtId="37" fontId="45" fillId="0" borderId="0" xfId="0" applyFont="1"/>
    <xf numFmtId="37" fontId="49" fillId="0" borderId="0" xfId="0" applyFont="1" applyFill="1" applyBorder="1"/>
    <xf numFmtId="177" fontId="9" fillId="0" borderId="0" xfId="0" applyNumberFormat="1" applyFont="1" applyFill="1" applyBorder="1"/>
    <xf numFmtId="7" fontId="9" fillId="0" borderId="0" xfId="14" applyNumberFormat="1" applyFont="1" applyFill="1" applyBorder="1"/>
    <xf numFmtId="0" fontId="9" fillId="0" borderId="8" xfId="37" applyFont="1" applyBorder="1" applyAlignment="1">
      <alignment vertical="center"/>
    </xf>
    <xf numFmtId="0" fontId="9" fillId="0" borderId="3" xfId="37" applyFont="1" applyBorder="1" applyAlignment="1">
      <alignment vertical="center"/>
    </xf>
    <xf numFmtId="165" fontId="47" fillId="0" borderId="10" xfId="43" applyFont="1" applyFill="1" applyBorder="1"/>
    <xf numFmtId="170" fontId="9" fillId="0" borderId="10" xfId="0" applyNumberFormat="1" applyFont="1" applyFill="1" applyBorder="1"/>
    <xf numFmtId="37" fontId="9" fillId="0" borderId="13" xfId="0" applyFont="1" applyFill="1" applyBorder="1"/>
    <xf numFmtId="170" fontId="9" fillId="0" borderId="14" xfId="0" applyNumberFormat="1" applyFont="1" applyFill="1" applyBorder="1"/>
    <xf numFmtId="165" fontId="9" fillId="0" borderId="10" xfId="43" applyFont="1" applyBorder="1"/>
    <xf numFmtId="39" fontId="47" fillId="0" borderId="10" xfId="0" applyNumberFormat="1" applyFont="1" applyFill="1" applyBorder="1"/>
    <xf numFmtId="37" fontId="11" fillId="0" borderId="13" xfId="0" applyFont="1" applyBorder="1"/>
    <xf numFmtId="165" fontId="11" fillId="0" borderId="14" xfId="43" applyFont="1" applyBorder="1"/>
    <xf numFmtId="5" fontId="11" fillId="7" borderId="18" xfId="0" applyNumberFormat="1" applyFont="1" applyFill="1" applyBorder="1"/>
    <xf numFmtId="5" fontId="11" fillId="7" borderId="12" xfId="0" applyNumberFormat="1" applyFont="1" applyFill="1" applyBorder="1"/>
    <xf numFmtId="7" fontId="11" fillId="7" borderId="12" xfId="0" applyNumberFormat="1" applyFont="1" applyFill="1" applyBorder="1"/>
    <xf numFmtId="165" fontId="47" fillId="0" borderId="9" xfId="43" applyFont="1" applyFill="1" applyBorder="1"/>
    <xf numFmtId="37" fontId="11" fillId="5" borderId="25" xfId="0" applyFont="1" applyFill="1" applyBorder="1"/>
    <xf numFmtId="37" fontId="9" fillId="5" borderId="26" xfId="0" applyFont="1" applyFill="1" applyBorder="1"/>
    <xf numFmtId="37" fontId="11" fillId="0" borderId="0" xfId="0" applyFont="1" applyFill="1" applyProtection="1"/>
    <xf numFmtId="176" fontId="11" fillId="0" borderId="2" xfId="0" applyNumberFormat="1" applyFont="1" applyBorder="1" applyAlignment="1">
      <alignment horizontal="left"/>
    </xf>
    <xf numFmtId="176" fontId="11" fillId="0" borderId="2" xfId="0" applyNumberFormat="1" applyFont="1" applyBorder="1" applyAlignment="1">
      <alignment horizontal="center"/>
    </xf>
    <xf numFmtId="7" fontId="9" fillId="0" borderId="0" xfId="14" applyNumberFormat="1" applyFont="1"/>
    <xf numFmtId="172" fontId="47" fillId="0" borderId="0" xfId="43" applyNumberFormat="1" applyFont="1"/>
    <xf numFmtId="7" fontId="11" fillId="0" borderId="0" xfId="14" applyNumberFormat="1" applyFont="1"/>
    <xf numFmtId="7" fontId="11" fillId="0" borderId="0" xfId="14" applyNumberFormat="1" applyFont="1" applyAlignment="1">
      <alignment horizontal="right"/>
    </xf>
    <xf numFmtId="170" fontId="11" fillId="0" borderId="0" xfId="0" applyNumberFormat="1" applyFont="1"/>
    <xf numFmtId="37" fontId="9" fillId="0" borderId="13" xfId="0" applyFont="1" applyBorder="1" applyAlignment="1">
      <alignment horizontal="left" indent="1"/>
    </xf>
    <xf numFmtId="165" fontId="47" fillId="0" borderId="2" xfId="43" applyFont="1" applyBorder="1"/>
    <xf numFmtId="7" fontId="11" fillId="0" borderId="14" xfId="14" applyNumberFormat="1" applyFont="1" applyBorder="1"/>
    <xf numFmtId="37" fontId="9" fillId="0" borderId="11" xfId="0" applyFont="1" applyBorder="1"/>
    <xf numFmtId="37" fontId="47" fillId="0" borderId="0" xfId="0" applyFont="1"/>
    <xf numFmtId="37" fontId="9" fillId="0" borderId="27" xfId="0" applyFont="1" applyBorder="1"/>
    <xf numFmtId="37" fontId="48" fillId="0" borderId="28" xfId="0" applyFont="1" applyBorder="1"/>
    <xf numFmtId="7" fontId="9" fillId="0" borderId="29" xfId="14" applyNumberFormat="1" applyFont="1" applyBorder="1"/>
    <xf numFmtId="7" fontId="11" fillId="0" borderId="29" xfId="14" applyNumberFormat="1" applyFont="1" applyBorder="1"/>
    <xf numFmtId="7" fontId="9" fillId="0" borderId="30" xfId="14" applyNumberFormat="1" applyFont="1" applyBorder="1"/>
    <xf numFmtId="9" fontId="9" fillId="0" borderId="0" xfId="0" applyNumberFormat="1" applyFont="1" applyFill="1" applyBorder="1" applyAlignment="1">
      <alignment horizontal="center"/>
    </xf>
    <xf numFmtId="175" fontId="9" fillId="0" borderId="0" xfId="0" applyNumberFormat="1" applyFont="1" applyFill="1" applyBorder="1" applyAlignment="1">
      <alignment horizontal="center"/>
    </xf>
    <xf numFmtId="37" fontId="49" fillId="0" borderId="8" xfId="0" applyFont="1" applyFill="1" applyBorder="1"/>
    <xf numFmtId="37" fontId="48" fillId="0" borderId="9" xfId="0" applyFont="1" applyFill="1" applyBorder="1" applyAlignment="1">
      <alignment horizontal="center"/>
    </xf>
    <xf numFmtId="37" fontId="11" fillId="0" borderId="24" xfId="0" applyFont="1" applyFill="1" applyBorder="1" applyAlignment="1">
      <alignment horizontal="right"/>
    </xf>
    <xf numFmtId="0" fontId="11" fillId="0" borderId="24" xfId="0" applyNumberFormat="1" applyFont="1" applyFill="1" applyBorder="1" applyAlignment="1">
      <alignment horizontal="right"/>
    </xf>
    <xf numFmtId="37" fontId="11" fillId="0" borderId="18" xfId="0" applyFont="1" applyFill="1" applyBorder="1" applyAlignment="1">
      <alignment horizontal="right"/>
    </xf>
    <xf numFmtId="164" fontId="11" fillId="0" borderId="24" xfId="0" applyNumberFormat="1" applyFont="1" applyFill="1" applyBorder="1" applyAlignment="1" applyProtection="1">
      <alignment horizontal="right"/>
    </xf>
    <xf numFmtId="37" fontId="48" fillId="0" borderId="3" xfId="0" applyFont="1" applyFill="1" applyBorder="1"/>
    <xf numFmtId="49" fontId="48" fillId="0" borderId="0" xfId="0" applyNumberFormat="1" applyFont="1" applyFill="1" applyBorder="1" applyAlignment="1">
      <alignment horizontal="center"/>
    </xf>
    <xf numFmtId="49" fontId="48" fillId="0" borderId="10" xfId="0" applyNumberFormat="1" applyFont="1" applyFill="1" applyBorder="1" applyAlignment="1">
      <alignment horizontal="center"/>
    </xf>
    <xf numFmtId="37" fontId="9" fillId="0" borderId="3" xfId="0" applyFont="1" applyFill="1" applyBorder="1" applyAlignment="1">
      <alignment horizontal="left" indent="1"/>
    </xf>
    <xf numFmtId="37" fontId="47" fillId="0" borderId="0" xfId="0" applyFont="1" applyFill="1" applyBorder="1" applyAlignment="1">
      <alignment horizontal="center"/>
    </xf>
    <xf numFmtId="37" fontId="9" fillId="0" borderId="10" xfId="0" applyFont="1" applyFill="1" applyBorder="1" applyAlignment="1">
      <alignment horizontal="center"/>
    </xf>
    <xf numFmtId="166" fontId="47" fillId="0" borderId="0" xfId="0" applyNumberFormat="1" applyFont="1" applyFill="1" applyBorder="1" applyAlignment="1">
      <alignment horizontal="center"/>
    </xf>
    <xf numFmtId="166" fontId="9" fillId="0" borderId="0" xfId="0" applyNumberFormat="1" applyFont="1" applyFill="1" applyBorder="1" applyAlignment="1">
      <alignment horizontal="center"/>
    </xf>
    <xf numFmtId="166" fontId="9" fillId="0" borderId="10" xfId="0" applyNumberFormat="1" applyFont="1" applyFill="1" applyBorder="1" applyAlignment="1">
      <alignment horizontal="center"/>
    </xf>
    <xf numFmtId="165" fontId="9" fillId="0" borderId="0" xfId="43" applyFont="1" applyFill="1" applyBorder="1" applyAlignment="1">
      <alignment horizontal="center"/>
    </xf>
    <xf numFmtId="165" fontId="9" fillId="0" borderId="10" xfId="43" applyFont="1" applyFill="1" applyBorder="1" applyAlignment="1">
      <alignment horizontal="center"/>
    </xf>
    <xf numFmtId="5" fontId="9" fillId="0" borderId="0" xfId="14" applyFont="1" applyFill="1" applyBorder="1" applyAlignment="1">
      <alignment horizontal="center"/>
    </xf>
    <xf numFmtId="5" fontId="9" fillId="0" borderId="10" xfId="14" applyFont="1" applyFill="1" applyBorder="1" applyAlignment="1">
      <alignment horizontal="center"/>
    </xf>
    <xf numFmtId="5" fontId="9" fillId="0" borderId="2" xfId="14" applyFont="1" applyFill="1" applyBorder="1" applyAlignment="1">
      <alignment horizontal="center"/>
    </xf>
    <xf numFmtId="5" fontId="9" fillId="0" borderId="14" xfId="14" applyFont="1" applyFill="1" applyBorder="1" applyAlignment="1">
      <alignment horizontal="center"/>
    </xf>
    <xf numFmtId="37" fontId="48" fillId="0" borderId="8" xfId="0" applyFont="1" applyFill="1" applyBorder="1"/>
    <xf numFmtId="5" fontId="48" fillId="0" borderId="4" xfId="14" applyFont="1" applyFill="1" applyBorder="1" applyAlignment="1">
      <alignment horizontal="center"/>
    </xf>
    <xf numFmtId="175" fontId="48" fillId="0" borderId="0" xfId="0" applyNumberFormat="1" applyFont="1" applyFill="1" applyBorder="1" applyAlignment="1">
      <alignment horizontal="left"/>
    </xf>
    <xf numFmtId="5" fontId="48" fillId="0" borderId="8" xfId="14" applyFont="1" applyFill="1" applyBorder="1" applyAlignment="1">
      <alignment horizontal="left"/>
    </xf>
    <xf numFmtId="5" fontId="9" fillId="0" borderId="4" xfId="14" applyFont="1" applyFill="1" applyBorder="1" applyAlignment="1">
      <alignment horizontal="center"/>
    </xf>
    <xf numFmtId="5" fontId="9" fillId="0" borderId="9" xfId="14" applyFont="1" applyFill="1" applyBorder="1" applyAlignment="1">
      <alignment horizontal="center"/>
    </xf>
    <xf numFmtId="37" fontId="9" fillId="0" borderId="0" xfId="14" applyNumberFormat="1" applyFont="1" applyFill="1" applyBorder="1" applyAlignment="1">
      <alignment horizontal="center"/>
    </xf>
    <xf numFmtId="5" fontId="9" fillId="0" borderId="0" xfId="14" quotePrefix="1" applyFont="1" applyFill="1" applyBorder="1" applyAlignment="1"/>
    <xf numFmtId="175" fontId="9" fillId="0" borderId="0" xfId="0" applyNumberFormat="1" applyFont="1" applyFill="1" applyBorder="1" applyAlignment="1">
      <alignment horizontal="left" indent="1"/>
    </xf>
    <xf numFmtId="175" fontId="9" fillId="0" borderId="3" xfId="0" quotePrefix="1" applyNumberFormat="1" applyFont="1" applyFill="1" applyBorder="1" applyAlignment="1">
      <alignment horizontal="left"/>
    </xf>
    <xf numFmtId="166" fontId="9" fillId="0" borderId="0" xfId="14" applyNumberFormat="1" applyFont="1" applyFill="1" applyBorder="1" applyAlignment="1">
      <alignment horizontal="center"/>
    </xf>
    <xf numFmtId="165" fontId="9" fillId="0" borderId="10" xfId="43" applyFont="1" applyFill="1" applyBorder="1"/>
    <xf numFmtId="5" fontId="9" fillId="0" borderId="0" xfId="14" applyFont="1" applyFill="1" applyBorder="1" applyAlignment="1"/>
    <xf numFmtId="175" fontId="9" fillId="6" borderId="3" xfId="0" quotePrefix="1" applyNumberFormat="1" applyFont="1" applyFill="1" applyBorder="1" applyAlignment="1">
      <alignment horizontal="left"/>
    </xf>
    <xf numFmtId="166" fontId="9" fillId="6" borderId="0" xfId="14" applyNumberFormat="1" applyFont="1" applyFill="1" applyBorder="1" applyAlignment="1">
      <alignment horizontal="center"/>
    </xf>
    <xf numFmtId="5" fontId="9" fillId="6" borderId="0" xfId="14" applyFont="1" applyFill="1" applyBorder="1" applyAlignment="1">
      <alignment horizontal="center"/>
    </xf>
    <xf numFmtId="5" fontId="9" fillId="6" borderId="10" xfId="14" applyFont="1" applyFill="1" applyBorder="1" applyAlignment="1">
      <alignment horizontal="center"/>
    </xf>
    <xf numFmtId="166" fontId="47" fillId="0" borderId="0" xfId="14" applyNumberFormat="1" applyFont="1" applyFill="1" applyBorder="1" applyAlignment="1">
      <alignment horizontal="center"/>
    </xf>
    <xf numFmtId="175" fontId="9" fillId="0" borderId="0" xfId="0" applyNumberFormat="1" applyFont="1" applyFill="1" applyBorder="1" applyAlignment="1">
      <alignment horizontal="left"/>
    </xf>
    <xf numFmtId="37" fontId="11" fillId="0" borderId="3" xfId="0" applyFont="1" applyFill="1" applyBorder="1"/>
    <xf numFmtId="166" fontId="11" fillId="0" borderId="0" xfId="14" applyNumberFormat="1" applyFont="1" applyFill="1" applyBorder="1" applyAlignment="1">
      <alignment horizontal="center"/>
    </xf>
    <xf numFmtId="175" fontId="9" fillId="0" borderId="13" xfId="0" quotePrefix="1" applyNumberFormat="1" applyFont="1" applyFill="1" applyBorder="1" applyAlignment="1">
      <alignment horizontal="left"/>
    </xf>
    <xf numFmtId="166" fontId="9" fillId="0" borderId="2" xfId="14" applyNumberFormat="1" applyFont="1" applyFill="1" applyBorder="1" applyAlignment="1">
      <alignment horizontal="center"/>
    </xf>
    <xf numFmtId="175" fontId="9" fillId="0" borderId="3" xfId="0" applyNumberFormat="1" applyFont="1" applyFill="1" applyBorder="1" applyAlignment="1">
      <alignment horizontal="left" indent="1"/>
    </xf>
    <xf numFmtId="165" fontId="9" fillId="0" borderId="2" xfId="43" applyFont="1" applyFill="1" applyBorder="1" applyAlignment="1">
      <alignment horizontal="center"/>
    </xf>
    <xf numFmtId="5" fontId="9" fillId="0" borderId="2" xfId="14" quotePrefix="1" applyFont="1" applyFill="1" applyBorder="1" applyAlignment="1"/>
    <xf numFmtId="49" fontId="48" fillId="0" borderId="4" xfId="0" applyNumberFormat="1" applyFont="1" applyFill="1" applyBorder="1" applyAlignment="1">
      <alignment horizontal="center"/>
    </xf>
    <xf numFmtId="49" fontId="48" fillId="0" borderId="9" xfId="0" applyNumberFormat="1" applyFont="1" applyFill="1" applyBorder="1" applyAlignment="1">
      <alignment horizontal="center"/>
    </xf>
    <xf numFmtId="49" fontId="9" fillId="0" borderId="0" xfId="0" applyNumberFormat="1" applyFont="1" applyFill="1" applyBorder="1" applyAlignment="1">
      <alignment horizontal="center"/>
    </xf>
    <xf numFmtId="175" fontId="48" fillId="0" borderId="8" xfId="0" applyNumberFormat="1" applyFont="1" applyFill="1" applyBorder="1" applyAlignment="1">
      <alignment horizontal="left"/>
    </xf>
    <xf numFmtId="37" fontId="9" fillId="0" borderId="4" xfId="0" applyFont="1" applyFill="1" applyBorder="1" applyAlignment="1">
      <alignment horizontal="center"/>
    </xf>
    <xf numFmtId="49" fontId="9" fillId="0" borderId="9" xfId="0" applyNumberFormat="1" applyFont="1" applyFill="1" applyBorder="1" applyAlignment="1">
      <alignment horizontal="center"/>
    </xf>
    <xf numFmtId="175" fontId="9" fillId="0" borderId="3" xfId="0" applyNumberFormat="1" applyFont="1" applyFill="1" applyBorder="1" applyAlignment="1">
      <alignment horizontal="left"/>
    </xf>
    <xf numFmtId="170" fontId="9" fillId="0" borderId="0" xfId="0" applyNumberFormat="1" applyFont="1" applyFill="1" applyBorder="1" applyAlignment="1">
      <alignment horizontal="center"/>
    </xf>
    <xf numFmtId="170" fontId="9" fillId="0" borderId="10" xfId="0" applyNumberFormat="1" applyFont="1" applyFill="1" applyBorder="1" applyAlignment="1">
      <alignment horizontal="center"/>
    </xf>
    <xf numFmtId="37" fontId="47" fillId="0" borderId="0" xfId="0" applyFont="1" applyFill="1" applyBorder="1"/>
    <xf numFmtId="37" fontId="47" fillId="0" borderId="10" xfId="0" applyFont="1" applyFill="1" applyBorder="1"/>
    <xf numFmtId="37" fontId="9" fillId="0" borderId="3" xfId="0" applyFont="1" applyBorder="1" applyAlignment="1">
      <alignment horizontal="left"/>
    </xf>
    <xf numFmtId="37" fontId="47" fillId="0" borderId="31" xfId="0" applyFont="1" applyFill="1" applyBorder="1"/>
    <xf numFmtId="5" fontId="9" fillId="0" borderId="3" xfId="0" applyNumberFormat="1" applyFont="1" applyBorder="1" applyAlignment="1">
      <alignment horizontal="left" indent="1"/>
    </xf>
    <xf numFmtId="5" fontId="9" fillId="0" borderId="0" xfId="14" applyFont="1" applyFill="1" applyBorder="1"/>
    <xf numFmtId="5" fontId="9" fillId="0" borderId="10" xfId="14" applyFont="1" applyFill="1" applyBorder="1"/>
    <xf numFmtId="5" fontId="9" fillId="0" borderId="0" xfId="14" applyFont="1" applyFill="1" applyBorder="1" applyAlignment="1">
      <alignment horizontal="right"/>
    </xf>
    <xf numFmtId="5" fontId="47" fillId="0" borderId="0" xfId="14" applyFont="1" applyFill="1" applyBorder="1"/>
    <xf numFmtId="5" fontId="47" fillId="0" borderId="10" xfId="14" applyFont="1" applyFill="1" applyBorder="1"/>
    <xf numFmtId="5" fontId="9" fillId="0" borderId="3" xfId="0" applyNumberFormat="1" applyFont="1" applyBorder="1"/>
    <xf numFmtId="175" fontId="11" fillId="0" borderId="13" xfId="0" applyNumberFormat="1" applyFont="1" applyFill="1" applyBorder="1" applyAlignment="1">
      <alignment horizontal="left"/>
    </xf>
    <xf numFmtId="7" fontId="11" fillId="0" borderId="2" xfId="14" applyNumberFormat="1" applyFont="1" applyFill="1" applyBorder="1" applyAlignment="1">
      <alignment horizontal="center"/>
    </xf>
    <xf numFmtId="7" fontId="11" fillId="0" borderId="14" xfId="14" applyNumberFormat="1" applyFont="1" applyFill="1" applyBorder="1" applyAlignment="1">
      <alignment horizontal="center"/>
    </xf>
    <xf numFmtId="166" fontId="47" fillId="0" borderId="10" xfId="0" applyNumberFormat="1" applyFont="1" applyFill="1" applyBorder="1"/>
    <xf numFmtId="166" fontId="51" fillId="0" borderId="0" xfId="0" applyNumberFormat="1" applyFont="1" applyFill="1" applyBorder="1" applyAlignment="1">
      <alignment horizontal="right"/>
    </xf>
    <xf numFmtId="165" fontId="51" fillId="0" borderId="10" xfId="43" applyFont="1" applyFill="1" applyBorder="1"/>
    <xf numFmtId="37" fontId="51" fillId="0" borderId="0" xfId="0" applyFont="1" applyFill="1" applyBorder="1" applyAlignment="1">
      <alignment horizontal="center"/>
    </xf>
    <xf numFmtId="9" fontId="51" fillId="0" borderId="0" xfId="0" applyNumberFormat="1" applyFont="1" applyFill="1" applyBorder="1" applyAlignment="1">
      <alignment horizontal="center"/>
    </xf>
    <xf numFmtId="175" fontId="51" fillId="0" borderId="0" xfId="0" applyNumberFormat="1" applyFont="1" applyFill="1" applyBorder="1" applyAlignment="1">
      <alignment horizontal="center"/>
    </xf>
    <xf numFmtId="37" fontId="51" fillId="0" borderId="0" xfId="0" applyFont="1" applyFill="1" applyBorder="1"/>
    <xf numFmtId="166" fontId="11" fillId="0" borderId="3" xfId="0" applyNumberFormat="1" applyFont="1" applyBorder="1"/>
    <xf numFmtId="165" fontId="51" fillId="0" borderId="13" xfId="0" applyNumberFormat="1" applyFont="1" applyBorder="1" applyAlignment="1">
      <alignment horizontal="left" indent="1"/>
    </xf>
    <xf numFmtId="165" fontId="9" fillId="0" borderId="2" xfId="43" applyFont="1" applyFill="1" applyBorder="1"/>
    <xf numFmtId="165" fontId="9" fillId="0" borderId="14" xfId="43" applyFont="1" applyFill="1" applyBorder="1"/>
    <xf numFmtId="5" fontId="48" fillId="0" borderId="0" xfId="14" applyFont="1" applyFill="1" applyBorder="1" applyAlignment="1" applyProtection="1">
      <alignment horizontal="left"/>
    </xf>
    <xf numFmtId="5" fontId="9" fillId="0" borderId="0" xfId="14" applyFont="1" applyFill="1" applyBorder="1" applyAlignment="1" applyProtection="1">
      <alignment horizontal="left"/>
    </xf>
    <xf numFmtId="37" fontId="48" fillId="0" borderId="0" xfId="13" applyFont="1" applyFill="1" applyBorder="1" applyAlignment="1" applyProtection="1">
      <alignment horizontal="left"/>
    </xf>
    <xf numFmtId="37" fontId="9" fillId="0" borderId="9" xfId="0" applyFont="1" applyFill="1" applyBorder="1" applyAlignment="1">
      <alignment horizontal="center"/>
    </xf>
    <xf numFmtId="37" fontId="48" fillId="0" borderId="10" xfId="0" applyFont="1" applyFill="1" applyBorder="1" applyAlignment="1">
      <alignment horizontal="center"/>
    </xf>
    <xf numFmtId="37" fontId="47" fillId="0" borderId="10" xfId="0" applyFont="1" applyFill="1" applyBorder="1" applyAlignment="1">
      <alignment horizontal="right"/>
    </xf>
    <xf numFmtId="5" fontId="47" fillId="0" borderId="10" xfId="14" applyFont="1" applyFill="1" applyBorder="1" applyAlignment="1">
      <alignment horizontal="right"/>
    </xf>
    <xf numFmtId="165" fontId="9" fillId="0" borderId="10" xfId="43" applyFont="1" applyFill="1" applyBorder="1" applyAlignment="1">
      <alignment horizontal="right"/>
    </xf>
    <xf numFmtId="5" fontId="9" fillId="0" borderId="2" xfId="14" applyFont="1" applyFill="1" applyBorder="1" applyAlignment="1">
      <alignment horizontal="right"/>
    </xf>
    <xf numFmtId="166" fontId="9" fillId="0" borderId="14" xfId="0" applyNumberFormat="1" applyFont="1" applyFill="1" applyBorder="1" applyAlignment="1">
      <alignment horizontal="right"/>
    </xf>
    <xf numFmtId="165" fontId="48" fillId="0" borderId="4" xfId="43" applyFont="1" applyFill="1" applyBorder="1" applyAlignment="1">
      <alignment horizontal="center"/>
    </xf>
    <xf numFmtId="37" fontId="48" fillId="0" borderId="4" xfId="0" applyFont="1" applyFill="1" applyBorder="1" applyAlignment="1">
      <alignment horizontal="left"/>
    </xf>
    <xf numFmtId="37" fontId="48" fillId="0" borderId="9" xfId="0" applyFont="1" applyFill="1" applyBorder="1" applyAlignment="1">
      <alignment horizontal="left" indent="1"/>
    </xf>
    <xf numFmtId="37" fontId="9" fillId="0" borderId="10" xfId="0" applyFont="1" applyFill="1" applyBorder="1" applyAlignment="1">
      <alignment horizontal="left" indent="1"/>
    </xf>
    <xf numFmtId="37" fontId="47" fillId="0" borderId="25" xfId="0" applyFont="1" applyFill="1" applyBorder="1"/>
    <xf numFmtId="37" fontId="47" fillId="0" borderId="26" xfId="0" applyFont="1" applyFill="1" applyBorder="1"/>
    <xf numFmtId="175" fontId="11" fillId="0" borderId="3" xfId="0" applyNumberFormat="1" applyFont="1" applyFill="1" applyBorder="1" applyAlignment="1">
      <alignment horizontal="left"/>
    </xf>
    <xf numFmtId="37" fontId="47" fillId="0" borderId="10" xfId="0" applyNumberFormat="1" applyFont="1" applyFill="1" applyBorder="1"/>
    <xf numFmtId="37" fontId="9" fillId="0" borderId="10" xfId="0" applyNumberFormat="1" applyFont="1" applyFill="1" applyBorder="1"/>
    <xf numFmtId="175" fontId="9" fillId="0" borderId="13" xfId="0" applyNumberFormat="1" applyFont="1" applyFill="1" applyBorder="1" applyAlignment="1">
      <alignment horizontal="left"/>
    </xf>
    <xf numFmtId="165" fontId="9" fillId="0" borderId="2" xfId="43" applyFont="1" applyFill="1" applyBorder="1" applyAlignment="1">
      <alignment horizontal="right"/>
    </xf>
    <xf numFmtId="37" fontId="9" fillId="0" borderId="14" xfId="0" applyFont="1" applyFill="1" applyBorder="1" applyAlignment="1">
      <alignment horizontal="left" indent="1"/>
    </xf>
    <xf numFmtId="9" fontId="11" fillId="0" borderId="0" xfId="0" applyNumberFormat="1" applyFont="1" applyFill="1" applyBorder="1" applyAlignment="1">
      <alignment horizontal="center"/>
    </xf>
    <xf numFmtId="37" fontId="11" fillId="0" borderId="10" xfId="0" applyNumberFormat="1" applyFont="1" applyFill="1" applyBorder="1"/>
    <xf numFmtId="0" fontId="11" fillId="0" borderId="4" xfId="0" applyNumberFormat="1" applyFont="1" applyBorder="1" applyAlignment="1">
      <alignment horizontal="center"/>
    </xf>
    <xf numFmtId="0" fontId="11" fillId="0" borderId="32" xfId="0" applyNumberFormat="1" applyFont="1" applyBorder="1" applyAlignment="1">
      <alignment horizontal="center"/>
    </xf>
    <xf numFmtId="0" fontId="11" fillId="0" borderId="5" xfId="0" applyNumberFormat="1" applyFont="1" applyBorder="1" applyAlignment="1">
      <alignment horizontal="center"/>
    </xf>
    <xf numFmtId="37" fontId="11" fillId="0" borderId="8" xfId="0" applyFont="1" applyFill="1" applyBorder="1" applyAlignment="1">
      <alignment horizontal="center"/>
    </xf>
    <xf numFmtId="37" fontId="11" fillId="0" borderId="4" xfId="0" applyFont="1" applyFill="1" applyBorder="1" applyAlignment="1">
      <alignment horizontal="center"/>
    </xf>
    <xf numFmtId="37" fontId="11" fillId="0" borderId="32" xfId="0" applyFont="1" applyFill="1" applyBorder="1" applyAlignment="1">
      <alignment horizontal="center"/>
    </xf>
    <xf numFmtId="37" fontId="49" fillId="0" borderId="3" xfId="0" applyFont="1" applyBorder="1"/>
    <xf numFmtId="166" fontId="49" fillId="0" borderId="0" xfId="0" applyNumberFormat="1" applyFont="1" applyBorder="1" applyAlignment="1">
      <alignment horizontal="center"/>
    </xf>
    <xf numFmtId="37" fontId="49" fillId="0" borderId="33" xfId="0" applyFont="1" applyBorder="1" applyAlignment="1">
      <alignment horizontal="center"/>
    </xf>
    <xf numFmtId="37" fontId="49" fillId="0" borderId="7" xfId="0" applyFont="1" applyBorder="1" applyAlignment="1">
      <alignment horizontal="center"/>
    </xf>
    <xf numFmtId="37" fontId="49" fillId="0" borderId="3" xfId="0" applyFont="1" applyBorder="1" applyAlignment="1">
      <alignment horizontal="center"/>
    </xf>
    <xf numFmtId="37" fontId="49" fillId="0" borderId="0" xfId="0" applyFont="1" applyFill="1" applyBorder="1" applyAlignment="1">
      <alignment horizontal="center"/>
    </xf>
    <xf numFmtId="37" fontId="49" fillId="0" borderId="33" xfId="0" applyFont="1" applyFill="1" applyBorder="1" applyAlignment="1">
      <alignment horizontal="center"/>
    </xf>
    <xf numFmtId="37" fontId="9" fillId="0" borderId="0" xfId="0" quotePrefix="1" applyFont="1" applyFill="1" applyBorder="1"/>
    <xf numFmtId="37" fontId="9" fillId="0" borderId="33" xfId="0" applyNumberFormat="1" applyFont="1" applyBorder="1"/>
    <xf numFmtId="37" fontId="47" fillId="0" borderId="10" xfId="0" applyNumberFormat="1" applyFont="1" applyBorder="1"/>
    <xf numFmtId="37" fontId="47" fillId="0" borderId="3" xfId="0" applyNumberFormat="1" applyFont="1" applyBorder="1"/>
    <xf numFmtId="37" fontId="47" fillId="0" borderId="33" xfId="0" applyNumberFormat="1" applyFont="1" applyBorder="1" applyAlignment="1">
      <alignment horizontal="right"/>
    </xf>
    <xf numFmtId="37" fontId="9" fillId="0" borderId="10" xfId="0" applyNumberFormat="1" applyFont="1" applyBorder="1"/>
    <xf numFmtId="37" fontId="9" fillId="0" borderId="3" xfId="0" applyNumberFormat="1" applyFont="1" applyBorder="1"/>
    <xf numFmtId="165" fontId="53" fillId="0" borderId="0" xfId="43" applyFont="1" applyBorder="1" applyAlignment="1">
      <alignment horizontal="right"/>
    </xf>
    <xf numFmtId="166" fontId="9" fillId="0" borderId="3" xfId="0" applyNumberFormat="1" applyFont="1" applyBorder="1" applyAlignment="1">
      <alignment horizontal="left"/>
    </xf>
    <xf numFmtId="166" fontId="9" fillId="0" borderId="33" xfId="0" applyNumberFormat="1" applyFont="1" applyBorder="1"/>
    <xf numFmtId="166" fontId="9" fillId="0" borderId="34" xfId="0" applyNumberFormat="1" applyFont="1" applyFill="1" applyBorder="1"/>
    <xf numFmtId="166" fontId="9" fillId="0" borderId="34" xfId="0" applyNumberFormat="1" applyFont="1" applyBorder="1"/>
    <xf numFmtId="166" fontId="47" fillId="0" borderId="33" xfId="0" applyNumberFormat="1" applyFont="1" applyBorder="1"/>
    <xf numFmtId="166" fontId="51" fillId="0" borderId="3" xfId="0" applyNumberFormat="1" applyFont="1" applyBorder="1" applyAlignment="1">
      <alignment horizontal="left" indent="1"/>
    </xf>
    <xf numFmtId="165" fontId="53" fillId="0" borderId="0" xfId="43" applyFont="1" applyFill="1" applyBorder="1"/>
    <xf numFmtId="165" fontId="53" fillId="0" borderId="33" xfId="43" applyFont="1" applyFill="1" applyBorder="1"/>
    <xf numFmtId="165" fontId="51" fillId="0" borderId="3" xfId="43" applyFont="1" applyFill="1" applyBorder="1"/>
    <xf numFmtId="165" fontId="51" fillId="0" borderId="33" xfId="43" applyFont="1" applyFill="1" applyBorder="1"/>
    <xf numFmtId="165" fontId="53" fillId="0" borderId="0" xfId="43" applyFont="1" applyFill="1" applyBorder="1" applyAlignment="1">
      <alignment horizontal="right"/>
    </xf>
    <xf numFmtId="165" fontId="53" fillId="0" borderId="33" xfId="43" applyFont="1" applyFill="1" applyBorder="1" applyAlignment="1">
      <alignment horizontal="right"/>
    </xf>
    <xf numFmtId="165" fontId="51" fillId="0" borderId="31" xfId="43" applyFont="1" applyFill="1" applyBorder="1"/>
    <xf numFmtId="166" fontId="9" fillId="0" borderId="33" xfId="0" applyNumberFormat="1" applyFont="1" applyFill="1" applyBorder="1"/>
    <xf numFmtId="166" fontId="47" fillId="0" borderId="3" xfId="0" applyNumberFormat="1" applyFont="1" applyFill="1" applyBorder="1"/>
    <xf numFmtId="165" fontId="51" fillId="0" borderId="33" xfId="43" applyFont="1" applyBorder="1"/>
    <xf numFmtId="165" fontId="51" fillId="0" borderId="10" xfId="43" applyFont="1" applyBorder="1"/>
    <xf numFmtId="165" fontId="51" fillId="0" borderId="3" xfId="43" applyFont="1" applyBorder="1"/>
    <xf numFmtId="165" fontId="53" fillId="3" borderId="0" xfId="43" applyFont="1" applyFill="1" applyBorder="1"/>
    <xf numFmtId="166" fontId="50" fillId="0" borderId="3" xfId="0" applyNumberFormat="1" applyFont="1" applyBorder="1" applyAlignment="1">
      <alignment horizontal="left" indent="1"/>
    </xf>
    <xf numFmtId="166" fontId="53" fillId="0" borderId="0" xfId="0" applyNumberFormat="1" applyFont="1" applyFill="1" applyBorder="1" applyAlignment="1">
      <alignment horizontal="right"/>
    </xf>
    <xf numFmtId="166" fontId="53" fillId="0" borderId="33" xfId="0" applyNumberFormat="1" applyFont="1" applyBorder="1" applyAlignment="1">
      <alignment horizontal="right"/>
    </xf>
    <xf numFmtId="166" fontId="53" fillId="0" borderId="10" xfId="0" applyNumberFormat="1" applyFont="1" applyBorder="1" applyAlignment="1">
      <alignment horizontal="right"/>
    </xf>
    <xf numFmtId="166" fontId="53" fillId="0" borderId="3" xfId="0" applyNumberFormat="1" applyFont="1" applyBorder="1" applyAlignment="1">
      <alignment horizontal="right"/>
    </xf>
    <xf numFmtId="5" fontId="9" fillId="0" borderId="33" xfId="14" applyFont="1" applyFill="1" applyBorder="1"/>
    <xf numFmtId="5" fontId="9" fillId="0" borderId="3" xfId="14" applyFont="1" applyFill="1" applyBorder="1"/>
    <xf numFmtId="5" fontId="47" fillId="0" borderId="35" xfId="14" applyFont="1" applyFill="1" applyBorder="1"/>
    <xf numFmtId="37" fontId="11" fillId="0" borderId="13" xfId="0" applyFont="1" applyFill="1" applyBorder="1"/>
    <xf numFmtId="5" fontId="9" fillId="0" borderId="2" xfId="14" applyFont="1" applyFill="1" applyBorder="1"/>
    <xf numFmtId="5" fontId="9" fillId="0" borderId="36" xfId="14" applyFont="1" applyFill="1" applyBorder="1"/>
    <xf numFmtId="5" fontId="9" fillId="0" borderId="14" xfId="14" applyFont="1" applyFill="1" applyBorder="1"/>
    <xf numFmtId="5" fontId="9" fillId="0" borderId="13" xfId="14" applyFont="1" applyFill="1" applyBorder="1"/>
    <xf numFmtId="5" fontId="47" fillId="0" borderId="37" xfId="14" applyFont="1" applyFill="1" applyBorder="1"/>
    <xf numFmtId="169" fontId="9" fillId="0" borderId="0" xfId="43" applyNumberFormat="1" applyFont="1" applyFill="1" applyBorder="1"/>
    <xf numFmtId="37" fontId="49" fillId="0" borderId="8" xfId="0" applyFont="1" applyBorder="1"/>
    <xf numFmtId="0" fontId="49" fillId="0" borderId="9" xfId="0" quotePrefix="1" applyNumberFormat="1" applyFont="1" applyBorder="1" applyAlignment="1">
      <alignment horizontal="right"/>
    </xf>
    <xf numFmtId="166" fontId="9" fillId="0" borderId="9" xfId="0" applyNumberFormat="1" applyFont="1" applyFill="1" applyBorder="1"/>
    <xf numFmtId="166" fontId="49" fillId="0" borderId="9" xfId="0" applyNumberFormat="1" applyFont="1" applyFill="1" applyBorder="1" applyAlignment="1">
      <alignment horizontal="center"/>
    </xf>
    <xf numFmtId="37" fontId="49" fillId="0" borderId="3" xfId="0" applyFont="1" applyFill="1" applyBorder="1" applyAlignment="1">
      <alignment horizontal="center"/>
    </xf>
    <xf numFmtId="37" fontId="9" fillId="0" borderId="3" xfId="0" applyFont="1" applyBorder="1" applyAlignment="1"/>
    <xf numFmtId="166" fontId="47" fillId="0" borderId="10" xfId="0" applyNumberFormat="1" applyFont="1" applyFill="1" applyBorder="1" applyAlignment="1">
      <alignment horizontal="center"/>
    </xf>
    <xf numFmtId="166" fontId="9" fillId="0" borderId="3" xfId="0" applyNumberFormat="1" applyFont="1" applyBorder="1" applyAlignment="1"/>
    <xf numFmtId="5" fontId="9" fillId="0" borderId="3" xfId="14" applyFont="1" applyFill="1" applyBorder="1" applyAlignment="1" applyProtection="1">
      <alignment horizontal="left"/>
    </xf>
    <xf numFmtId="166" fontId="52" fillId="0" borderId="10" xfId="0" applyNumberFormat="1" applyFont="1" applyFill="1" applyBorder="1"/>
    <xf numFmtId="166" fontId="52" fillId="0" borderId="10" xfId="0" applyNumberFormat="1" applyFont="1" applyFill="1" applyBorder="1" applyAlignment="1">
      <alignment horizontal="center"/>
    </xf>
    <xf numFmtId="166" fontId="48" fillId="0" borderId="3" xfId="0" applyNumberFormat="1" applyFont="1" applyFill="1" applyBorder="1"/>
    <xf numFmtId="166" fontId="48" fillId="0" borderId="0" xfId="0" applyNumberFormat="1" applyFont="1" applyFill="1" applyBorder="1"/>
    <xf numFmtId="5" fontId="11" fillId="0" borderId="3" xfId="14" applyFont="1" applyFill="1" applyBorder="1" applyAlignment="1" applyProtection="1">
      <alignment horizontal="left"/>
    </xf>
    <xf numFmtId="166" fontId="11" fillId="0" borderId="10" xfId="0" applyNumberFormat="1" applyFont="1" applyFill="1" applyBorder="1"/>
    <xf numFmtId="166" fontId="9" fillId="0" borderId="14" xfId="0" applyNumberFormat="1" applyFont="1" applyFill="1" applyBorder="1"/>
    <xf numFmtId="166" fontId="9" fillId="0" borderId="14" xfId="0" applyNumberFormat="1" applyFont="1" applyFill="1" applyBorder="1" applyAlignment="1">
      <alignment horizontal="center"/>
    </xf>
    <xf numFmtId="166" fontId="9" fillId="0" borderId="10" xfId="43" applyNumberFormat="1" applyFont="1" applyFill="1" applyBorder="1"/>
    <xf numFmtId="166" fontId="53" fillId="0" borderId="0" xfId="43" applyNumberFormat="1" applyFont="1" applyBorder="1"/>
    <xf numFmtId="166" fontId="48" fillId="0" borderId="10" xfId="0" applyNumberFormat="1" applyFont="1" applyFill="1" applyBorder="1"/>
    <xf numFmtId="37" fontId="49" fillId="0" borderId="11" xfId="0" applyFont="1" applyBorder="1"/>
    <xf numFmtId="166" fontId="9" fillId="0" borderId="12" xfId="0" applyNumberFormat="1" applyFont="1" applyBorder="1"/>
    <xf numFmtId="37" fontId="11" fillId="0" borderId="3" xfId="13" applyFont="1" applyFill="1" applyBorder="1" applyAlignment="1" applyProtection="1">
      <alignment horizontal="left"/>
    </xf>
    <xf numFmtId="5" fontId="51" fillId="0" borderId="3" xfId="14" applyFont="1" applyFill="1" applyBorder="1" applyAlignment="1" applyProtection="1">
      <alignment horizontal="left"/>
    </xf>
    <xf numFmtId="37" fontId="11" fillId="0" borderId="13" xfId="0" applyFont="1" applyFill="1" applyBorder="1" applyAlignment="1">
      <alignment horizontal="left"/>
    </xf>
    <xf numFmtId="5" fontId="11" fillId="0" borderId="13" xfId="14" applyFont="1" applyFill="1" applyBorder="1" applyAlignment="1" applyProtection="1">
      <alignment horizontal="left"/>
    </xf>
    <xf numFmtId="166" fontId="11" fillId="0" borderId="14" xfId="0" applyNumberFormat="1" applyFont="1" applyFill="1" applyBorder="1"/>
    <xf numFmtId="5" fontId="11" fillId="0" borderId="4" xfId="14" applyFont="1" applyFill="1" applyBorder="1" applyAlignment="1" applyProtection="1">
      <alignment horizontal="left"/>
    </xf>
    <xf numFmtId="166" fontId="11" fillId="0" borderId="4" xfId="0" applyNumberFormat="1" applyFont="1" applyFill="1" applyBorder="1"/>
    <xf numFmtId="5" fontId="49" fillId="0" borderId="8" xfId="14" applyFont="1" applyFill="1" applyBorder="1" applyAlignment="1" applyProtection="1">
      <alignment horizontal="left"/>
    </xf>
    <xf numFmtId="166" fontId="11" fillId="0" borderId="9" xfId="0" applyNumberFormat="1" applyFont="1" applyFill="1" applyBorder="1"/>
    <xf numFmtId="170" fontId="47" fillId="0" borderId="10" xfId="0" applyNumberFormat="1" applyFont="1" applyFill="1" applyBorder="1"/>
    <xf numFmtId="165" fontId="47" fillId="0" borderId="0" xfId="43" applyFont="1" applyFill="1" applyBorder="1"/>
    <xf numFmtId="7" fontId="11" fillId="0" borderId="14" xfId="14" applyNumberFormat="1" applyFont="1" applyFill="1" applyBorder="1"/>
    <xf numFmtId="37" fontId="11" fillId="0" borderId="13" xfId="13" applyFont="1" applyFill="1" applyBorder="1" applyAlignment="1" applyProtection="1">
      <alignment horizontal="left"/>
    </xf>
    <xf numFmtId="164" fontId="49" fillId="0" borderId="4" xfId="0" applyNumberFormat="1" applyFont="1" applyFill="1" applyBorder="1" applyAlignment="1" applyProtection="1">
      <alignment horizontal="right"/>
    </xf>
    <xf numFmtId="164" fontId="49" fillId="0" borderId="9" xfId="0" applyNumberFormat="1" applyFont="1" applyFill="1" applyBorder="1" applyAlignment="1" applyProtection="1">
      <alignment horizontal="right"/>
    </xf>
    <xf numFmtId="37" fontId="9" fillId="0" borderId="10" xfId="0" applyFont="1" applyFill="1" applyBorder="1" applyAlignment="1">
      <alignment horizontal="right"/>
    </xf>
    <xf numFmtId="5" fontId="11" fillId="0" borderId="3" xfId="0" applyNumberFormat="1" applyFont="1" applyFill="1" applyBorder="1"/>
    <xf numFmtId="5" fontId="47" fillId="0" borderId="0" xfId="0" applyNumberFormat="1" applyFont="1" applyFill="1" applyBorder="1" applyAlignment="1">
      <alignment horizontal="right"/>
    </xf>
    <xf numFmtId="5" fontId="47" fillId="0" borderId="10" xfId="0" applyNumberFormat="1" applyFont="1" applyFill="1" applyBorder="1" applyAlignment="1">
      <alignment horizontal="right"/>
    </xf>
    <xf numFmtId="165" fontId="51" fillId="0" borderId="3" xfId="0" applyNumberFormat="1" applyFont="1" applyFill="1" applyBorder="1" applyAlignment="1">
      <alignment horizontal="left" indent="1"/>
    </xf>
    <xf numFmtId="165" fontId="9" fillId="0" borderId="10" xfId="0" applyNumberFormat="1" applyFont="1" applyFill="1" applyBorder="1" applyAlignment="1">
      <alignment horizontal="right"/>
    </xf>
    <xf numFmtId="0" fontId="9" fillId="0" borderId="10" xfId="0" applyNumberFormat="1" applyFont="1" applyFill="1" applyBorder="1" applyAlignment="1">
      <alignment horizontal="right"/>
    </xf>
    <xf numFmtId="166" fontId="47" fillId="0" borderId="10" xfId="0" applyNumberFormat="1" applyFont="1" applyFill="1" applyBorder="1" applyAlignment="1">
      <alignment horizontal="right"/>
    </xf>
    <xf numFmtId="165" fontId="47" fillId="0" borderId="10" xfId="0" applyNumberFormat="1" applyFont="1" applyFill="1" applyBorder="1" applyAlignment="1">
      <alignment horizontal="right"/>
    </xf>
    <xf numFmtId="166" fontId="9" fillId="0" borderId="3" xfId="0" applyNumberFormat="1" applyFont="1" applyFill="1" applyBorder="1" applyAlignment="1">
      <alignment horizontal="left" indent="1"/>
    </xf>
    <xf numFmtId="5" fontId="49" fillId="0" borderId="11" xfId="14" applyFont="1" applyFill="1" applyBorder="1" applyAlignment="1" applyProtection="1">
      <alignment horizontal="left"/>
    </xf>
    <xf numFmtId="37" fontId="49" fillId="0" borderId="38" xfId="0" applyFont="1" applyFill="1" applyBorder="1" applyAlignment="1">
      <alignment horizontal="center"/>
    </xf>
    <xf numFmtId="37" fontId="49" fillId="0" borderId="39" xfId="0" applyFont="1" applyFill="1" applyBorder="1" applyAlignment="1">
      <alignment horizontal="center"/>
    </xf>
    <xf numFmtId="37" fontId="49" fillId="0" borderId="18" xfId="0" applyFont="1" applyFill="1" applyBorder="1" applyAlignment="1">
      <alignment horizontal="center"/>
    </xf>
    <xf numFmtId="37" fontId="49" fillId="0" borderId="12" xfId="0" applyFont="1" applyFill="1" applyBorder="1" applyAlignment="1">
      <alignment horizontal="center"/>
    </xf>
    <xf numFmtId="166" fontId="47" fillId="0" borderId="40" xfId="0" applyNumberFormat="1" applyFont="1" applyFill="1" applyBorder="1"/>
    <xf numFmtId="166" fontId="47" fillId="0" borderId="41" xfId="0" applyNumberFormat="1" applyFont="1" applyFill="1" applyBorder="1" applyAlignment="1">
      <alignment horizontal="right"/>
    </xf>
    <xf numFmtId="166" fontId="47" fillId="0" borderId="9" xfId="0" applyNumberFormat="1" applyFont="1" applyFill="1" applyBorder="1" applyAlignment="1">
      <alignment horizontal="right"/>
    </xf>
    <xf numFmtId="37" fontId="47" fillId="0" borderId="40" xfId="0" applyFont="1" applyFill="1" applyBorder="1"/>
    <xf numFmtId="37" fontId="47" fillId="0" borderId="41" xfId="0" applyFont="1" applyFill="1" applyBorder="1"/>
    <xf numFmtId="5" fontId="47" fillId="0" borderId="40" xfId="14" applyFont="1" applyFill="1" applyBorder="1"/>
    <xf numFmtId="5" fontId="9" fillId="0" borderId="41" xfId="14" applyFont="1" applyFill="1" applyBorder="1"/>
    <xf numFmtId="37" fontId="9" fillId="0" borderId="3" xfId="13" applyNumberFormat="1" applyFont="1" applyFill="1" applyBorder="1" applyAlignment="1" applyProtection="1">
      <alignment horizontal="left"/>
    </xf>
    <xf numFmtId="166" fontId="9" fillId="0" borderId="40" xfId="14" applyNumberFormat="1" applyFont="1" applyFill="1" applyBorder="1"/>
    <xf numFmtId="37" fontId="47" fillId="0" borderId="41" xfId="14" applyNumberFormat="1" applyFont="1" applyFill="1" applyBorder="1"/>
    <xf numFmtId="37" fontId="47" fillId="0" borderId="0" xfId="14" applyNumberFormat="1" applyFont="1" applyFill="1" applyBorder="1"/>
    <xf numFmtId="37" fontId="47" fillId="0" borderId="10" xfId="14" applyNumberFormat="1" applyFont="1" applyFill="1" applyBorder="1"/>
    <xf numFmtId="9" fontId="47" fillId="0" borderId="40" xfId="43" applyNumberFormat="1" applyFont="1" applyFill="1" applyBorder="1"/>
    <xf numFmtId="9" fontId="47" fillId="0" borderId="41" xfId="43" applyNumberFormat="1" applyFont="1" applyFill="1" applyBorder="1"/>
    <xf numFmtId="9" fontId="47" fillId="0" borderId="0" xfId="43" applyNumberFormat="1" applyFont="1" applyFill="1" applyBorder="1"/>
    <xf numFmtId="9" fontId="47" fillId="0" borderId="10" xfId="43" applyNumberFormat="1" applyFont="1" applyFill="1" applyBorder="1"/>
    <xf numFmtId="37" fontId="9" fillId="0" borderId="13" xfId="13" applyNumberFormat="1" applyFont="1" applyFill="1" applyBorder="1" applyAlignment="1" applyProtection="1">
      <alignment horizontal="left"/>
    </xf>
    <xf numFmtId="9" fontId="47" fillId="0" borderId="42" xfId="43" applyNumberFormat="1" applyFont="1" applyFill="1" applyBorder="1"/>
    <xf numFmtId="9" fontId="47" fillId="0" borderId="43" xfId="43" applyNumberFormat="1" applyFont="1" applyFill="1" applyBorder="1" applyAlignment="1">
      <alignment horizontal="right"/>
    </xf>
    <xf numFmtId="9" fontId="47" fillId="0" borderId="2" xfId="43" applyNumberFormat="1" applyFont="1" applyFill="1" applyBorder="1"/>
    <xf numFmtId="9" fontId="47" fillId="0" borderId="2" xfId="43" applyNumberFormat="1" applyFont="1" applyFill="1" applyBorder="1" applyAlignment="1">
      <alignment horizontal="right"/>
    </xf>
    <xf numFmtId="9" fontId="47" fillId="0" borderId="14" xfId="14" applyNumberFormat="1" applyFont="1" applyFill="1" applyBorder="1" applyAlignment="1">
      <alignment horizontal="right"/>
    </xf>
    <xf numFmtId="37" fontId="9" fillId="0" borderId="0" xfId="13" applyNumberFormat="1" applyFont="1" applyFill="1" applyBorder="1" applyAlignment="1" applyProtection="1">
      <alignment horizontal="left"/>
    </xf>
    <xf numFmtId="5" fontId="51" fillId="0" borderId="0" xfId="14" quotePrefix="1" applyFont="1" applyFill="1" applyBorder="1" applyAlignment="1" applyProtection="1">
      <alignment horizontal="left"/>
    </xf>
    <xf numFmtId="37" fontId="49" fillId="0" borderId="0" xfId="0" applyFont="1" applyBorder="1" applyAlignment="1">
      <alignment horizontal="center"/>
    </xf>
    <xf numFmtId="37" fontId="49" fillId="0" borderId="4" xfId="0" applyFont="1" applyBorder="1" applyAlignment="1">
      <alignment horizontal="center"/>
    </xf>
    <xf numFmtId="37" fontId="9" fillId="0" borderId="3" xfId="0" quotePrefix="1" applyFont="1" applyBorder="1"/>
    <xf numFmtId="166" fontId="9" fillId="0" borderId="3" xfId="0" quotePrefix="1" applyNumberFormat="1" applyFont="1" applyBorder="1"/>
    <xf numFmtId="37" fontId="9" fillId="0" borderId="3" xfId="0" quotePrefix="1" applyFont="1" applyFill="1" applyBorder="1" applyAlignment="1">
      <alignment horizontal="left"/>
    </xf>
    <xf numFmtId="175" fontId="9" fillId="0" borderId="10" xfId="0" applyNumberFormat="1" applyFont="1" applyFill="1" applyBorder="1" applyAlignment="1">
      <alignment horizontal="center"/>
    </xf>
    <xf numFmtId="37" fontId="9" fillId="0" borderId="13" xfId="0" quotePrefix="1" applyFont="1" applyFill="1" applyBorder="1" applyAlignment="1">
      <alignment horizontal="left"/>
    </xf>
    <xf numFmtId="9" fontId="9" fillId="0" borderId="2" xfId="0" applyNumberFormat="1" applyFont="1" applyFill="1" applyBorder="1" applyAlignment="1">
      <alignment horizontal="center"/>
    </xf>
    <xf numFmtId="175" fontId="9" fillId="0" borderId="14" xfId="0" applyNumberFormat="1" applyFont="1" applyFill="1" applyBorder="1" applyAlignment="1">
      <alignment horizontal="center"/>
    </xf>
    <xf numFmtId="37" fontId="49" fillId="0" borderId="8" xfId="13" applyFont="1" applyFill="1" applyBorder="1" applyAlignment="1" applyProtection="1">
      <alignment horizontal="left"/>
    </xf>
    <xf numFmtId="37" fontId="9" fillId="6" borderId="3" xfId="0" applyFont="1" applyFill="1" applyBorder="1"/>
    <xf numFmtId="166" fontId="47" fillId="6" borderId="10" xfId="0" applyNumberFormat="1" applyFont="1" applyFill="1" applyBorder="1"/>
    <xf numFmtId="166" fontId="9" fillId="0" borderId="10" xfId="14" applyNumberFormat="1" applyFont="1" applyFill="1" applyBorder="1"/>
    <xf numFmtId="7" fontId="9" fillId="0" borderId="14" xfId="14" applyNumberFormat="1" applyFont="1" applyFill="1" applyBorder="1" applyAlignment="1" applyProtection="1">
      <alignment horizontal="right"/>
    </xf>
    <xf numFmtId="0" fontId="49" fillId="0" borderId="4" xfId="0" applyNumberFormat="1" applyFont="1" applyFill="1" applyBorder="1" applyAlignment="1">
      <alignment horizontal="right"/>
    </xf>
    <xf numFmtId="37" fontId="48" fillId="0" borderId="8" xfId="0" applyFont="1" applyBorder="1"/>
    <xf numFmtId="37" fontId="48" fillId="0" borderId="4" xfId="0" applyFont="1" applyBorder="1" applyAlignment="1">
      <alignment horizontal="center"/>
    </xf>
    <xf numFmtId="37" fontId="48" fillId="0" borderId="9" xfId="0" applyFont="1" applyBorder="1" applyAlignment="1">
      <alignment horizontal="center"/>
    </xf>
    <xf numFmtId="166" fontId="48" fillId="0" borderId="4" xfId="0" applyNumberFormat="1" applyFont="1" applyBorder="1" applyAlignment="1">
      <alignment horizontal="center"/>
    </xf>
    <xf numFmtId="37" fontId="9" fillId="0" borderId="11" xfId="0" applyFont="1" applyFill="1" applyBorder="1" applyAlignment="1">
      <alignment horizontal="right"/>
    </xf>
    <xf numFmtId="0" fontId="9" fillId="0" borderId="24" xfId="0" applyNumberFormat="1" applyFont="1" applyFill="1" applyBorder="1" applyAlignment="1">
      <alignment horizontal="right"/>
    </xf>
    <xf numFmtId="37" fontId="9" fillId="0" borderId="18" xfId="0" applyFont="1" applyFill="1" applyBorder="1" applyAlignment="1">
      <alignment horizontal="right"/>
    </xf>
    <xf numFmtId="0" fontId="9" fillId="0" borderId="18" xfId="0" applyNumberFormat="1" applyFont="1" applyFill="1" applyBorder="1" applyAlignment="1">
      <alignment horizontal="right"/>
    </xf>
    <xf numFmtId="164" fontId="9" fillId="0" borderId="24" xfId="0" applyNumberFormat="1" applyFont="1" applyFill="1" applyBorder="1" applyAlignment="1" applyProtection="1">
      <alignment horizontal="right"/>
    </xf>
    <xf numFmtId="164" fontId="9" fillId="0" borderId="12" xfId="0" applyNumberFormat="1" applyFont="1" applyFill="1" applyBorder="1" applyAlignment="1" applyProtection="1">
      <alignment horizontal="right"/>
    </xf>
    <xf numFmtId="166" fontId="47" fillId="0" borderId="4" xfId="0" applyNumberFormat="1" applyFont="1" applyBorder="1"/>
    <xf numFmtId="166" fontId="9" fillId="0" borderId="9" xfId="0" applyNumberFormat="1" applyFont="1" applyBorder="1"/>
    <xf numFmtId="37" fontId="9" fillId="0" borderId="0" xfId="43" applyNumberFormat="1" applyFont="1" applyBorder="1"/>
    <xf numFmtId="37" fontId="9" fillId="0" borderId="10" xfId="43" applyNumberFormat="1" applyFont="1" applyBorder="1"/>
    <xf numFmtId="37" fontId="47" fillId="0" borderId="0" xfId="43" applyNumberFormat="1" applyFont="1" applyBorder="1"/>
    <xf numFmtId="166" fontId="47" fillId="0" borderId="2" xfId="0" applyNumberFormat="1" applyFont="1" applyBorder="1" applyAlignment="1">
      <alignment horizontal="right"/>
    </xf>
    <xf numFmtId="166" fontId="47" fillId="0" borderId="14" xfId="0" applyNumberFormat="1" applyFont="1" applyBorder="1" applyAlignment="1">
      <alignment horizontal="right"/>
    </xf>
    <xf numFmtId="37" fontId="9" fillId="0" borderId="14" xfId="0" applyNumberFormat="1" applyFont="1" applyBorder="1"/>
    <xf numFmtId="37" fontId="9" fillId="0" borderId="0" xfId="0" applyFont="1" applyAlignment="1">
      <alignment horizontal="left" indent="1"/>
    </xf>
    <xf numFmtId="37" fontId="48" fillId="0" borderId="8" xfId="0" applyFont="1" applyBorder="1" applyAlignment="1">
      <alignment horizontal="left"/>
    </xf>
    <xf numFmtId="7" fontId="11" fillId="0" borderId="2" xfId="14" applyNumberFormat="1" applyFont="1" applyBorder="1"/>
    <xf numFmtId="37" fontId="9" fillId="0" borderId="3" xfId="0" quotePrefix="1" applyFont="1" applyFill="1" applyBorder="1"/>
    <xf numFmtId="166" fontId="9" fillId="0" borderId="14" xfId="0" applyNumberFormat="1" applyFont="1" applyBorder="1"/>
    <xf numFmtId="0" fontId="48" fillId="0" borderId="0" xfId="0" applyNumberFormat="1" applyFont="1" applyAlignment="1">
      <alignment horizontal="center"/>
    </xf>
    <xf numFmtId="37" fontId="51" fillId="0" borderId="3" xfId="0" applyFont="1" applyBorder="1"/>
    <xf numFmtId="5" fontId="53" fillId="0" borderId="0" xfId="14" applyFont="1" applyBorder="1"/>
    <xf numFmtId="5" fontId="51" fillId="0" borderId="10" xfId="14" applyFont="1" applyBorder="1"/>
    <xf numFmtId="170" fontId="47" fillId="0" borderId="0" xfId="0" applyNumberFormat="1" applyFont="1" applyBorder="1"/>
    <xf numFmtId="170" fontId="9" fillId="0" borderId="10" xfId="0" applyNumberFormat="1" applyFont="1" applyBorder="1"/>
    <xf numFmtId="3" fontId="9" fillId="0" borderId="0" xfId="36" quotePrefix="1" applyNumberFormat="1" applyFont="1" applyBorder="1" applyAlignment="1" applyProtection="1">
      <alignment horizontal="right"/>
      <protection locked="0"/>
    </xf>
    <xf numFmtId="37" fontId="9" fillId="6" borderId="0" xfId="0" applyFont="1" applyFill="1"/>
    <xf numFmtId="165" fontId="49" fillId="0" borderId="0" xfId="43" applyFont="1" applyFill="1" applyBorder="1"/>
    <xf numFmtId="168" fontId="47" fillId="0" borderId="0" xfId="0" applyNumberFormat="1" applyFont="1" applyFill="1" applyBorder="1" applyAlignment="1">
      <alignment horizontal="right"/>
    </xf>
    <xf numFmtId="7" fontId="47" fillId="0" borderId="0" xfId="0" applyNumberFormat="1" applyFont="1" applyFill="1" applyBorder="1"/>
    <xf numFmtId="166" fontId="54" fillId="0" borderId="12" xfId="0" applyNumberFormat="1" applyFont="1" applyBorder="1" applyAlignment="1">
      <alignment horizontal="right"/>
    </xf>
    <xf numFmtId="39" fontId="47" fillId="0" borderId="0" xfId="0" applyNumberFormat="1" applyFont="1" applyFill="1" applyBorder="1" applyAlignment="1">
      <alignment horizontal="right"/>
    </xf>
    <xf numFmtId="172" fontId="9" fillId="0" borderId="0" xfId="0" applyNumberFormat="1" applyFont="1" applyFill="1" applyBorder="1" applyAlignment="1">
      <alignment horizontal="center"/>
    </xf>
    <xf numFmtId="7" fontId="9" fillId="0" borderId="0" xfId="0" applyNumberFormat="1" applyFont="1" applyFill="1"/>
    <xf numFmtId="9" fontId="11" fillId="0" borderId="0" xfId="43" applyNumberFormat="1" applyFont="1" applyBorder="1"/>
    <xf numFmtId="9" fontId="11" fillId="0" borderId="0" xfId="43" applyNumberFormat="1" applyFont="1"/>
    <xf numFmtId="5" fontId="11" fillId="0" borderId="0" xfId="14" applyFont="1" applyBorder="1" applyAlignment="1">
      <alignment horizontal="right"/>
    </xf>
    <xf numFmtId="37" fontId="9" fillId="3" borderId="0" xfId="0" applyFont="1" applyFill="1"/>
    <xf numFmtId="5" fontId="11" fillId="0" borderId="0" xfId="14" applyFont="1"/>
    <xf numFmtId="37" fontId="9" fillId="0" borderId="0" xfId="0" applyFont="1" applyAlignment="1">
      <alignment wrapText="1"/>
    </xf>
    <xf numFmtId="166" fontId="53" fillId="0" borderId="0" xfId="13" applyNumberFormat="1" applyFont="1" applyFill="1" applyBorder="1" applyAlignment="1">
      <alignment horizontal="right"/>
    </xf>
    <xf numFmtId="37" fontId="47" fillId="0" borderId="10" xfId="0" applyFont="1" applyBorder="1"/>
    <xf numFmtId="37" fontId="47" fillId="0" borderId="14" xfId="0" applyFont="1" applyBorder="1"/>
    <xf numFmtId="37" fontId="47" fillId="0" borderId="9" xfId="0" applyFont="1" applyBorder="1"/>
    <xf numFmtId="42" fontId="9" fillId="0" borderId="10" xfId="0" applyNumberFormat="1" applyFont="1" applyBorder="1"/>
    <xf numFmtId="37" fontId="11" fillId="0" borderId="10" xfId="0" applyFont="1" applyBorder="1"/>
    <xf numFmtId="37" fontId="11" fillId="0" borderId="14" xfId="0" applyFont="1" applyBorder="1"/>
    <xf numFmtId="5" fontId="9" fillId="0" borderId="10" xfId="14" applyNumberFormat="1" applyFont="1" applyBorder="1"/>
    <xf numFmtId="165" fontId="9" fillId="0" borderId="14" xfId="43" applyFont="1" applyBorder="1"/>
    <xf numFmtId="5" fontId="9" fillId="0" borderId="0" xfId="14" applyFont="1" applyBorder="1"/>
    <xf numFmtId="5" fontId="11" fillId="0" borderId="0" xfId="14" applyFont="1" applyBorder="1"/>
    <xf numFmtId="41" fontId="9" fillId="0" borderId="0" xfId="0" applyNumberFormat="1" applyFont="1" applyBorder="1"/>
    <xf numFmtId="41" fontId="11" fillId="0" borderId="0" xfId="0" applyNumberFormat="1" applyFont="1" applyBorder="1"/>
    <xf numFmtId="37" fontId="48" fillId="0" borderId="0" xfId="0" applyFont="1" applyBorder="1" applyAlignment="1">
      <alignment horizontal="right" wrapText="1"/>
    </xf>
    <xf numFmtId="166" fontId="48" fillId="0" borderId="0" xfId="0" applyNumberFormat="1" applyFont="1" applyBorder="1" applyAlignment="1">
      <alignment horizontal="center"/>
    </xf>
    <xf numFmtId="37" fontId="9" fillId="0" borderId="0" xfId="0" applyNumberFormat="1" applyFont="1" applyBorder="1" applyAlignment="1">
      <alignment horizontal="center"/>
    </xf>
    <xf numFmtId="37" fontId="9" fillId="0" borderId="0" xfId="0" applyNumberFormat="1" applyFont="1" applyFill="1" applyBorder="1" applyAlignment="1">
      <alignment horizontal="center"/>
    </xf>
    <xf numFmtId="5" fontId="9" fillId="0" borderId="0" xfId="14" applyFont="1" applyBorder="1" applyAlignment="1">
      <alignment horizontal="center"/>
    </xf>
    <xf numFmtId="7" fontId="9" fillId="0" borderId="0" xfId="14" applyNumberFormat="1" applyFont="1" applyBorder="1" applyAlignment="1">
      <alignment horizontal="center"/>
    </xf>
    <xf numFmtId="37" fontId="48" fillId="0" borderId="0" xfId="0" applyNumberFormat="1" applyFont="1" applyBorder="1"/>
    <xf numFmtId="5" fontId="47" fillId="0" borderId="0" xfId="0" applyNumberFormat="1" applyFont="1" applyBorder="1"/>
    <xf numFmtId="170" fontId="52" fillId="0" borderId="0" xfId="0" applyNumberFormat="1" applyFont="1" applyBorder="1"/>
    <xf numFmtId="170" fontId="48" fillId="0" borderId="0" xfId="0" applyNumberFormat="1" applyFont="1" applyBorder="1"/>
    <xf numFmtId="37" fontId="11" fillId="0" borderId="24" xfId="0" applyFont="1" applyBorder="1" applyAlignment="1">
      <alignment horizontal="right"/>
    </xf>
    <xf numFmtId="170" fontId="48" fillId="0" borderId="7" xfId="0" applyNumberFormat="1" applyFont="1" applyBorder="1"/>
    <xf numFmtId="5" fontId="11" fillId="0" borderId="7" xfId="0" applyNumberFormat="1" applyFont="1" applyBorder="1"/>
    <xf numFmtId="7" fontId="9" fillId="0" borderId="7" xfId="0" applyNumberFormat="1" applyFont="1" applyBorder="1"/>
    <xf numFmtId="37" fontId="52" fillId="0" borderId="0" xfId="0" applyFont="1" applyBorder="1" applyAlignment="1">
      <alignment horizontal="right"/>
    </xf>
    <xf numFmtId="5" fontId="11" fillId="0" borderId="0" xfId="14" applyFont="1" applyBorder="1" applyAlignment="1">
      <alignment horizontal="center"/>
    </xf>
    <xf numFmtId="37" fontId="48" fillId="0" borderId="0" xfId="0" applyNumberFormat="1" applyFont="1" applyFill="1" applyBorder="1" applyAlignment="1">
      <alignment horizontal="right"/>
    </xf>
    <xf numFmtId="37" fontId="48" fillId="0" borderId="0" xfId="0" applyNumberFormat="1" applyFont="1" applyFill="1" applyBorder="1" applyAlignment="1">
      <alignment horizontal="center"/>
    </xf>
    <xf numFmtId="166" fontId="9" fillId="7" borderId="0" xfId="0" applyNumberFormat="1" applyFont="1" applyFill="1" applyBorder="1"/>
    <xf numFmtId="37" fontId="9" fillId="7" borderId="0" xfId="0" applyNumberFormat="1" applyFont="1" applyFill="1" applyBorder="1" applyAlignment="1">
      <alignment horizontal="center"/>
    </xf>
    <xf numFmtId="37" fontId="9" fillId="7" borderId="0" xfId="0" applyNumberFormat="1" applyFont="1" applyFill="1" applyBorder="1" applyAlignment="1">
      <alignment horizontal="right"/>
    </xf>
    <xf numFmtId="5" fontId="9" fillId="7" borderId="0" xfId="14" applyFont="1" applyFill="1" applyBorder="1" applyAlignment="1">
      <alignment horizontal="right"/>
    </xf>
    <xf numFmtId="5" fontId="11" fillId="0" borderId="0" xfId="14" applyFont="1" applyFill="1" applyBorder="1" applyAlignment="1">
      <alignment horizontal="right"/>
    </xf>
    <xf numFmtId="37" fontId="9" fillId="7" borderId="0" xfId="14" applyNumberFormat="1" applyFont="1" applyFill="1" applyBorder="1" applyAlignment="1">
      <alignment horizontal="right"/>
    </xf>
    <xf numFmtId="37" fontId="9" fillId="0" borderId="0" xfId="14" applyNumberFormat="1" applyFont="1" applyBorder="1" applyAlignment="1">
      <alignment horizontal="right"/>
    </xf>
    <xf numFmtId="37" fontId="9" fillId="0" borderId="0" xfId="14" applyNumberFormat="1" applyFont="1" applyFill="1" applyBorder="1" applyAlignment="1">
      <alignment horizontal="right"/>
    </xf>
    <xf numFmtId="5" fontId="9" fillId="0" borderId="0" xfId="14" applyNumberFormat="1" applyFont="1" applyBorder="1" applyAlignment="1">
      <alignment horizontal="right"/>
    </xf>
    <xf numFmtId="166" fontId="11" fillId="0" borderId="2" xfId="0" applyNumberFormat="1" applyFont="1" applyBorder="1" applyAlignment="1">
      <alignment horizontal="right"/>
    </xf>
    <xf numFmtId="37" fontId="9" fillId="7" borderId="0" xfId="0" applyFont="1" applyFill="1"/>
    <xf numFmtId="37" fontId="9" fillId="7" borderId="0" xfId="0" applyNumberFormat="1" applyFont="1" applyFill="1"/>
    <xf numFmtId="37" fontId="11" fillId="0" borderId="2" xfId="0" applyFont="1" applyBorder="1" applyAlignment="1">
      <alignment wrapText="1"/>
    </xf>
    <xf numFmtId="166" fontId="11" fillId="0" borderId="2" xfId="0" applyNumberFormat="1" applyFont="1" applyBorder="1" applyAlignment="1">
      <alignment horizontal="center" wrapText="1"/>
    </xf>
    <xf numFmtId="166" fontId="11" fillId="0" borderId="2" xfId="0" applyNumberFormat="1" applyFont="1" applyBorder="1" applyAlignment="1">
      <alignment horizontal="right" wrapText="1"/>
    </xf>
    <xf numFmtId="37" fontId="11" fillId="0" borderId="2" xfId="0" applyFont="1" applyBorder="1" applyAlignment="1">
      <alignment horizontal="right" wrapText="1"/>
    </xf>
    <xf numFmtId="176" fontId="49" fillId="0" borderId="0" xfId="0" applyNumberFormat="1" applyFont="1"/>
    <xf numFmtId="187" fontId="9" fillId="0" borderId="0" xfId="0" applyNumberFormat="1" applyFont="1" applyFill="1" applyBorder="1" applyAlignment="1">
      <alignment horizontal="right"/>
    </xf>
    <xf numFmtId="37" fontId="71" fillId="0" borderId="0" xfId="0" applyFont="1"/>
    <xf numFmtId="37" fontId="1" fillId="0" borderId="0" xfId="0" applyFont="1"/>
    <xf numFmtId="37" fontId="72" fillId="0" borderId="0" xfId="0" applyFont="1" applyAlignment="1">
      <alignment horizontal="center" vertical="center"/>
    </xf>
    <xf numFmtId="5" fontId="9" fillId="0" borderId="0" xfId="14" quotePrefix="1" applyFont="1" applyAlignment="1">
      <alignment horizontal="right"/>
    </xf>
    <xf numFmtId="5" fontId="9" fillId="0" borderId="0" xfId="14" applyFont="1" applyAlignment="1">
      <alignment horizontal="right"/>
    </xf>
    <xf numFmtId="165" fontId="9" fillId="0" borderId="0" xfId="43" applyNumberFormat="1" applyFont="1"/>
    <xf numFmtId="166" fontId="54" fillId="0" borderId="11" xfId="0" applyNumberFormat="1" applyFont="1" applyBorder="1" applyAlignment="1">
      <alignment horizontal="right"/>
    </xf>
    <xf numFmtId="5" fontId="47" fillId="0" borderId="7" xfId="0" applyNumberFormat="1" applyFont="1" applyFill="1" applyBorder="1" applyAlignment="1">
      <alignment horizontal="right"/>
    </xf>
    <xf numFmtId="166" fontId="9" fillId="0" borderId="13" xfId="0" applyNumberFormat="1" applyFont="1" applyFill="1" applyBorder="1" applyAlignment="1">
      <alignment horizontal="right"/>
    </xf>
    <xf numFmtId="165" fontId="51" fillId="0" borderId="10" xfId="43" applyFont="1" applyFill="1" applyBorder="1" applyAlignment="1">
      <alignment horizontal="right"/>
    </xf>
    <xf numFmtId="165" fontId="51" fillId="0" borderId="10" xfId="0" applyNumberFormat="1" applyFont="1" applyFill="1" applyBorder="1" applyAlignment="1">
      <alignment horizontal="right"/>
    </xf>
    <xf numFmtId="166" fontId="73" fillId="0" borderId="7" xfId="0" applyNumberFormat="1" applyFont="1" applyFill="1" applyBorder="1" applyAlignment="1">
      <alignment horizontal="right"/>
    </xf>
    <xf numFmtId="165" fontId="70" fillId="0" borderId="0" xfId="0" applyNumberFormat="1" applyFont="1" applyFill="1" applyBorder="1" applyAlignment="1">
      <alignment horizontal="right"/>
    </xf>
    <xf numFmtId="167" fontId="9" fillId="0" borderId="0" xfId="0" applyNumberFormat="1" applyFont="1" applyFill="1" applyBorder="1" applyAlignment="1">
      <alignment horizontal="right"/>
    </xf>
    <xf numFmtId="37" fontId="11" fillId="0" borderId="0" xfId="0" applyFont="1" applyFill="1" applyBorder="1" applyAlignment="1">
      <alignment horizontal="left"/>
    </xf>
    <xf numFmtId="165" fontId="70" fillId="0" borderId="7" xfId="0" applyNumberFormat="1" applyFont="1" applyBorder="1" applyAlignment="1">
      <alignment horizontal="right"/>
    </xf>
    <xf numFmtId="39" fontId="11" fillId="7" borderId="24" xfId="0" applyNumberFormat="1" applyFont="1" applyFill="1" applyBorder="1"/>
    <xf numFmtId="37" fontId="9" fillId="0" borderId="0" xfId="0" applyFont="1" applyAlignment="1">
      <alignment horizontal="centerContinuous"/>
    </xf>
    <xf numFmtId="37" fontId="11" fillId="7" borderId="0" xfId="0" applyFont="1" applyFill="1" applyBorder="1" applyAlignment="1">
      <alignment horizontal="left"/>
    </xf>
    <xf numFmtId="49" fontId="11" fillId="7" borderId="0" xfId="0" applyNumberFormat="1" applyFont="1" applyFill="1" applyAlignment="1">
      <alignment horizontal="right"/>
    </xf>
    <xf numFmtId="37" fontId="11" fillId="7" borderId="0" xfId="0" applyFont="1" applyFill="1" applyAlignment="1">
      <alignment horizontal="right"/>
    </xf>
    <xf numFmtId="166" fontId="9" fillId="0" borderId="0" xfId="13" applyNumberFormat="1" applyFont="1" applyBorder="1" applyAlignment="1" applyProtection="1">
      <alignment horizontal="right"/>
    </xf>
    <xf numFmtId="166" fontId="9" fillId="0" borderId="0" xfId="14" applyNumberFormat="1" applyFont="1" applyBorder="1" applyAlignment="1" applyProtection="1">
      <alignment horizontal="right"/>
    </xf>
    <xf numFmtId="165" fontId="9" fillId="3" borderId="0" xfId="43" applyFont="1" applyFill="1"/>
    <xf numFmtId="5" fontId="9" fillId="3" borderId="0" xfId="14" applyFont="1" applyFill="1" applyBorder="1" applyAlignment="1" applyProtection="1">
      <alignment horizontal="left"/>
    </xf>
    <xf numFmtId="166" fontId="9" fillId="3" borderId="0" xfId="14" applyNumberFormat="1" applyFont="1" applyFill="1" applyBorder="1" applyAlignment="1" applyProtection="1">
      <alignment horizontal="right"/>
    </xf>
    <xf numFmtId="37" fontId="9" fillId="3" borderId="0" xfId="13" applyFont="1" applyFill="1" applyBorder="1" applyAlignment="1" applyProtection="1">
      <alignment horizontal="left"/>
    </xf>
    <xf numFmtId="166" fontId="9" fillId="3" borderId="0" xfId="13" applyNumberFormat="1" applyFont="1" applyFill="1" applyBorder="1" applyAlignment="1" applyProtection="1">
      <alignment horizontal="right"/>
    </xf>
    <xf numFmtId="172" fontId="11" fillId="7" borderId="12" xfId="0" applyNumberFormat="1" applyFont="1" applyFill="1" applyBorder="1" applyAlignment="1">
      <alignment horizontal="center"/>
    </xf>
    <xf numFmtId="165" fontId="9" fillId="0" borderId="7" xfId="43" applyFont="1" applyBorder="1" applyAlignment="1">
      <alignment horizontal="right"/>
    </xf>
    <xf numFmtId="165" fontId="11" fillId="0" borderId="0" xfId="43" applyFont="1" applyBorder="1"/>
    <xf numFmtId="49" fontId="11" fillId="0" borderId="2" xfId="0" applyNumberFormat="1" applyFont="1" applyBorder="1" applyAlignment="1">
      <alignment horizontal="right"/>
    </xf>
    <xf numFmtId="165" fontId="11" fillId="7" borderId="11" xfId="43" applyFont="1" applyFill="1" applyBorder="1"/>
    <xf numFmtId="165" fontId="11" fillId="0" borderId="4" xfId="43" applyFont="1" applyBorder="1"/>
    <xf numFmtId="165" fontId="11" fillId="0" borderId="2" xfId="43" applyFont="1" applyBorder="1"/>
    <xf numFmtId="165" fontId="11" fillId="3" borderId="0" xfId="43" applyFont="1" applyFill="1" applyBorder="1"/>
    <xf numFmtId="37" fontId="9" fillId="3" borderId="10" xfId="0" applyFont="1" applyFill="1" applyBorder="1"/>
    <xf numFmtId="165" fontId="74" fillId="3" borderId="2" xfId="43" applyFont="1" applyFill="1" applyBorder="1"/>
    <xf numFmtId="165" fontId="74" fillId="3" borderId="14" xfId="43" applyFont="1" applyFill="1" applyBorder="1"/>
    <xf numFmtId="167" fontId="9" fillId="0" borderId="0" xfId="0" applyNumberFormat="1" applyFont="1"/>
    <xf numFmtId="37" fontId="9" fillId="0" borderId="0" xfId="13" applyFont="1"/>
    <xf numFmtId="165" fontId="9" fillId="0" borderId="3" xfId="43" applyFont="1" applyBorder="1" applyAlignment="1">
      <alignment horizontal="right"/>
    </xf>
    <xf numFmtId="165" fontId="9" fillId="0" borderId="10" xfId="43" applyFont="1" applyBorder="1" applyAlignment="1">
      <alignment horizontal="right"/>
    </xf>
    <xf numFmtId="49" fontId="9" fillId="0" borderId="2" xfId="0" applyNumberFormat="1" applyFont="1" applyBorder="1" applyAlignment="1">
      <alignment horizontal="right"/>
    </xf>
    <xf numFmtId="49" fontId="9" fillId="0" borderId="0" xfId="0" applyNumberFormat="1" applyFont="1" applyBorder="1"/>
    <xf numFmtId="37" fontId="11" fillId="3" borderId="0" xfId="0" applyFont="1" applyFill="1" applyAlignment="1">
      <alignment horizontal="right"/>
    </xf>
    <xf numFmtId="49" fontId="11" fillId="7" borderId="18" xfId="0" applyNumberFormat="1" applyFont="1" applyFill="1" applyBorder="1" applyAlignment="1">
      <alignment horizontal="right"/>
    </xf>
    <xf numFmtId="49" fontId="11" fillId="7" borderId="24" xfId="0" applyNumberFormat="1" applyFont="1" applyFill="1" applyBorder="1" applyAlignment="1">
      <alignment horizontal="right"/>
    </xf>
    <xf numFmtId="37" fontId="9" fillId="3" borderId="10" xfId="0" applyFont="1" applyFill="1" applyBorder="1" applyAlignment="1">
      <alignment horizontal="center"/>
    </xf>
    <xf numFmtId="37" fontId="9" fillId="3" borderId="0" xfId="0" applyFont="1" applyFill="1" applyBorder="1" applyAlignment="1">
      <alignment horizontal="centerContinuous"/>
    </xf>
    <xf numFmtId="37" fontId="9" fillId="3" borderId="10" xfId="0" applyFont="1" applyFill="1" applyBorder="1" applyAlignment="1">
      <alignment horizontal="centerContinuous"/>
    </xf>
    <xf numFmtId="37" fontId="9" fillId="3" borderId="2" xfId="0" applyFont="1" applyFill="1" applyBorder="1" applyAlignment="1">
      <alignment horizontal="centerContinuous"/>
    </xf>
    <xf numFmtId="37" fontId="9" fillId="3" borderId="0" xfId="0" applyFont="1" applyFill="1" applyBorder="1" applyAlignment="1">
      <alignment horizontal="left"/>
    </xf>
    <xf numFmtId="49" fontId="9" fillId="0" borderId="10" xfId="0" applyNumberFormat="1" applyFont="1" applyBorder="1"/>
    <xf numFmtId="37" fontId="9" fillId="3" borderId="2" xfId="0" applyFont="1" applyFill="1" applyBorder="1" applyAlignment="1">
      <alignment horizontal="left"/>
    </xf>
    <xf numFmtId="49" fontId="9" fillId="0" borderId="14" xfId="0" applyNumberFormat="1" applyFont="1" applyBorder="1"/>
    <xf numFmtId="37" fontId="9" fillId="3" borderId="14" xfId="0" applyFont="1" applyFill="1" applyBorder="1"/>
    <xf numFmtId="37" fontId="9" fillId="3" borderId="4" xfId="0" applyFont="1" applyFill="1" applyBorder="1" applyAlignment="1">
      <alignment horizontal="centerContinuous"/>
    </xf>
    <xf numFmtId="37" fontId="9" fillId="3" borderId="9" xfId="0" applyFont="1" applyFill="1" applyBorder="1" applyAlignment="1">
      <alignment horizontal="centerContinuous"/>
    </xf>
    <xf numFmtId="37" fontId="9" fillId="3" borderId="4" xfId="0" applyFont="1" applyFill="1" applyBorder="1" applyAlignment="1">
      <alignment horizontal="centerContinuous" wrapText="1"/>
    </xf>
    <xf numFmtId="37" fontId="9" fillId="3" borderId="9" xfId="0" applyFont="1" applyFill="1" applyBorder="1" applyAlignment="1">
      <alignment horizontal="centerContinuous" wrapText="1"/>
    </xf>
    <xf numFmtId="37" fontId="9" fillId="3" borderId="0" xfId="0" applyFont="1" applyFill="1" applyBorder="1" applyAlignment="1">
      <alignment horizontal="centerContinuous" wrapText="1"/>
    </xf>
    <xf numFmtId="37" fontId="9" fillId="3" borderId="10" xfId="0" applyFont="1" applyFill="1" applyBorder="1" applyAlignment="1">
      <alignment horizontal="centerContinuous" wrapText="1"/>
    </xf>
    <xf numFmtId="37" fontId="49" fillId="7" borderId="8" xfId="0" applyFont="1" applyFill="1" applyBorder="1"/>
    <xf numFmtId="37" fontId="9" fillId="7" borderId="9" xfId="0" applyFont="1" applyFill="1" applyBorder="1"/>
    <xf numFmtId="37" fontId="9" fillId="7" borderId="3" xfId="0" applyFont="1" applyFill="1" applyBorder="1"/>
    <xf numFmtId="49" fontId="49" fillId="7" borderId="0" xfId="0" applyNumberFormat="1" applyFont="1" applyFill="1" applyBorder="1" applyAlignment="1">
      <alignment horizontal="right"/>
    </xf>
    <xf numFmtId="49" fontId="49" fillId="7" borderId="10" xfId="0" applyNumberFormat="1" applyFont="1" applyFill="1" applyBorder="1" applyAlignment="1">
      <alignment horizontal="right"/>
    </xf>
    <xf numFmtId="37" fontId="9" fillId="7" borderId="13" xfId="0" applyFont="1" applyFill="1" applyBorder="1"/>
    <xf numFmtId="165" fontId="9" fillId="7" borderId="2" xfId="43" applyFont="1" applyFill="1" applyBorder="1"/>
    <xf numFmtId="165" fontId="9" fillId="7" borderId="14" xfId="43" applyFont="1" applyFill="1" applyBorder="1"/>
    <xf numFmtId="165" fontId="9" fillId="7" borderId="0" xfId="43" applyFont="1" applyFill="1" applyBorder="1"/>
    <xf numFmtId="165" fontId="9" fillId="7" borderId="10" xfId="43" applyFont="1" applyFill="1" applyBorder="1"/>
    <xf numFmtId="49" fontId="9" fillId="3" borderId="10" xfId="0" applyNumberFormat="1" applyFont="1" applyFill="1" applyBorder="1"/>
    <xf numFmtId="49" fontId="9" fillId="9" borderId="9" xfId="0" applyNumberFormat="1" applyFont="1" applyFill="1" applyBorder="1"/>
    <xf numFmtId="37" fontId="9" fillId="9" borderId="0" xfId="0" applyFont="1" applyFill="1"/>
    <xf numFmtId="37" fontId="9" fillId="0" borderId="0" xfId="13" applyFont="1" applyFill="1" applyBorder="1"/>
    <xf numFmtId="49" fontId="11" fillId="0" borderId="0" xfId="0" applyNumberFormat="1" applyFont="1" applyAlignment="1">
      <alignment horizontal="right"/>
    </xf>
    <xf numFmtId="49" fontId="49" fillId="0" borderId="0" xfId="0" applyNumberFormat="1" applyFont="1" applyAlignment="1">
      <alignment horizontal="right"/>
    </xf>
    <xf numFmtId="37" fontId="11" fillId="0" borderId="0" xfId="0" applyFont="1" applyAlignment="1"/>
    <xf numFmtId="37" fontId="9" fillId="0" borderId="11" xfId="0" applyFont="1" applyBorder="1" applyAlignment="1">
      <alignment wrapText="1"/>
    </xf>
    <xf numFmtId="165" fontId="9" fillId="0" borderId="18" xfId="43" applyFont="1" applyBorder="1"/>
    <xf numFmtId="165" fontId="9" fillId="0" borderId="12" xfId="43" applyFont="1" applyBorder="1"/>
    <xf numFmtId="37" fontId="9" fillId="0" borderId="0" xfId="0" applyFont="1" applyBorder="1" applyAlignment="1">
      <alignment wrapText="1"/>
    </xf>
    <xf numFmtId="17" fontId="11" fillId="0" borderId="0" xfId="0" applyNumberFormat="1" applyFont="1"/>
    <xf numFmtId="17" fontId="11" fillId="0" borderId="0" xfId="0" applyNumberFormat="1" applyFont="1" applyAlignment="1">
      <alignment horizontal="center"/>
    </xf>
    <xf numFmtId="169" fontId="9" fillId="0" borderId="0" xfId="0" applyNumberFormat="1" applyFont="1" applyAlignment="1">
      <alignment horizontal="right"/>
    </xf>
    <xf numFmtId="39" fontId="11" fillId="3" borderId="0" xfId="0" applyNumberFormat="1" applyFont="1" applyFill="1"/>
    <xf numFmtId="37" fontId="9" fillId="5" borderId="0" xfId="0" applyFont="1" applyFill="1" applyAlignment="1">
      <alignment horizontal="centerContinuous"/>
    </xf>
    <xf numFmtId="37" fontId="11" fillId="5" borderId="0" xfId="0" applyFont="1" applyFill="1" applyAlignment="1">
      <alignment horizontal="centerContinuous"/>
    </xf>
    <xf numFmtId="37" fontId="9" fillId="5" borderId="0" xfId="0" applyFont="1" applyFill="1" applyAlignment="1">
      <alignment horizontal="left"/>
    </xf>
    <xf numFmtId="37" fontId="75" fillId="0" borderId="0" xfId="0" applyFont="1" applyAlignment="1">
      <alignment horizontal="right"/>
    </xf>
    <xf numFmtId="37" fontId="75" fillId="0" borderId="0" xfId="0" applyFont="1" applyFill="1" applyAlignment="1">
      <alignment horizontal="right"/>
    </xf>
    <xf numFmtId="37" fontId="11" fillId="0" borderId="0" xfId="0" applyFont="1" applyAlignment="1">
      <alignment horizontal="left"/>
    </xf>
    <xf numFmtId="37" fontId="75" fillId="0" borderId="0" xfId="0" applyFont="1" applyAlignment="1">
      <alignment horizontal="left"/>
    </xf>
    <xf numFmtId="37" fontId="75" fillId="0" borderId="0" xfId="0" applyFont="1" applyFill="1" applyAlignment="1">
      <alignment horizontal="left"/>
    </xf>
    <xf numFmtId="49" fontId="9" fillId="0" borderId="0" xfId="0" applyNumberFormat="1" applyFont="1" applyBorder="1" applyAlignment="1">
      <alignment horizontal="right"/>
    </xf>
    <xf numFmtId="37" fontId="44" fillId="0" borderId="0" xfId="0" applyFont="1" applyFill="1" applyBorder="1"/>
    <xf numFmtId="165" fontId="44" fillId="0" borderId="0" xfId="43" applyFont="1" applyFill="1" applyBorder="1"/>
    <xf numFmtId="37" fontId="9" fillId="3" borderId="0" xfId="0" applyFont="1" applyFill="1" applyBorder="1"/>
    <xf numFmtId="37" fontId="46" fillId="7" borderId="0" xfId="0" applyFont="1" applyFill="1"/>
    <xf numFmtId="49" fontId="76" fillId="0" borderId="0" xfId="0" applyNumberFormat="1" applyFont="1" applyAlignment="1">
      <alignment horizontal="right"/>
    </xf>
    <xf numFmtId="49" fontId="46" fillId="0" borderId="0" xfId="0" applyNumberFormat="1" applyFont="1" applyAlignment="1">
      <alignment horizontal="right"/>
    </xf>
    <xf numFmtId="49" fontId="45" fillId="0" borderId="0" xfId="0" applyNumberFormat="1" applyFont="1" applyAlignment="1">
      <alignment horizontal="right"/>
    </xf>
    <xf numFmtId="37" fontId="45" fillId="0" borderId="0" xfId="0" applyFont="1" applyAlignment="1">
      <alignment wrapText="1"/>
    </xf>
    <xf numFmtId="165" fontId="45" fillId="0" borderId="0" xfId="43" applyFont="1"/>
    <xf numFmtId="37" fontId="45" fillId="0" borderId="11" xfId="0" applyFont="1" applyBorder="1" applyAlignment="1">
      <alignment wrapText="1"/>
    </xf>
    <xf numFmtId="37" fontId="45" fillId="0" borderId="18" xfId="0" applyFont="1" applyBorder="1" applyAlignment="1">
      <alignment wrapText="1"/>
    </xf>
    <xf numFmtId="165" fontId="45" fillId="0" borderId="18" xfId="43" applyFont="1" applyBorder="1"/>
    <xf numFmtId="165" fontId="45" fillId="0" borderId="12" xfId="43" applyFont="1" applyBorder="1"/>
    <xf numFmtId="37" fontId="45" fillId="0" borderId="18" xfId="0" applyFont="1" applyBorder="1"/>
    <xf numFmtId="37" fontId="45" fillId="0" borderId="0" xfId="0" applyFont="1" applyBorder="1" applyAlignment="1">
      <alignment wrapText="1"/>
    </xf>
    <xf numFmtId="165" fontId="45" fillId="0" borderId="0" xfId="43" applyFont="1" applyBorder="1"/>
    <xf numFmtId="37" fontId="45" fillId="0" borderId="0" xfId="0" applyFont="1" applyBorder="1"/>
    <xf numFmtId="37" fontId="45" fillId="7" borderId="0" xfId="0" applyFont="1" applyFill="1"/>
    <xf numFmtId="37" fontId="46" fillId="0" borderId="0" xfId="0" applyFont="1" applyBorder="1" applyAlignment="1">
      <alignment wrapText="1"/>
    </xf>
    <xf numFmtId="37" fontId="46" fillId="0" borderId="0" xfId="0" applyFont="1"/>
    <xf numFmtId="37" fontId="11" fillId="0" borderId="44" xfId="0" applyFont="1" applyFill="1" applyBorder="1" applyAlignment="1">
      <alignment horizontal="right"/>
    </xf>
    <xf numFmtId="7" fontId="9" fillId="0" borderId="0" xfId="14" applyNumberFormat="1" applyFont="1" applyAlignment="1">
      <alignment horizontal="center"/>
    </xf>
    <xf numFmtId="37" fontId="9" fillId="5" borderId="0" xfId="0" applyFont="1" applyFill="1" applyBorder="1" applyAlignment="1">
      <alignment horizontal="right"/>
    </xf>
    <xf numFmtId="37" fontId="47" fillId="5" borderId="0" xfId="0" applyFont="1" applyFill="1"/>
    <xf numFmtId="165" fontId="48" fillId="0" borderId="0" xfId="43" applyFont="1" applyFill="1" applyBorder="1" applyAlignment="1">
      <alignment horizontal="right"/>
    </xf>
    <xf numFmtId="37" fontId="9" fillId="0" borderId="0" xfId="0" applyFont="1" applyFill="1" applyBorder="1" applyAlignment="1"/>
    <xf numFmtId="188" fontId="11" fillId="0" borderId="0" xfId="0" applyNumberFormat="1" applyFont="1" applyFill="1" applyBorder="1"/>
    <xf numFmtId="174" fontId="51" fillId="0" borderId="0" xfId="0" applyNumberFormat="1" applyFont="1" applyBorder="1" applyAlignment="1">
      <alignment horizontal="right"/>
    </xf>
    <xf numFmtId="174" fontId="51" fillId="0" borderId="7" xfId="0" applyNumberFormat="1" applyFont="1" applyBorder="1" applyAlignment="1">
      <alignment horizontal="right"/>
    </xf>
    <xf numFmtId="174" fontId="51" fillId="0" borderId="0" xfId="0" applyNumberFormat="1" applyFont="1" applyFill="1" applyBorder="1" applyAlignment="1">
      <alignment horizontal="right"/>
    </xf>
    <xf numFmtId="174" fontId="51" fillId="0" borderId="7" xfId="0" applyNumberFormat="1" applyFont="1" applyFill="1" applyBorder="1" applyAlignment="1">
      <alignment horizontal="right"/>
    </xf>
    <xf numFmtId="174" fontId="51" fillId="0" borderId="3" xfId="0" applyNumberFormat="1" applyFont="1" applyFill="1" applyBorder="1" applyAlignment="1">
      <alignment horizontal="right"/>
    </xf>
    <xf numFmtId="5" fontId="47" fillId="0" borderId="0" xfId="0" applyNumberFormat="1" applyFont="1"/>
    <xf numFmtId="189" fontId="9" fillId="0" borderId="0" xfId="0" applyNumberFormat="1" applyFont="1"/>
    <xf numFmtId="7" fontId="9" fillId="0" borderId="18" xfId="0" applyNumberFormat="1" applyFont="1" applyBorder="1"/>
    <xf numFmtId="7" fontId="9" fillId="0" borderId="12" xfId="0" applyNumberFormat="1" applyFont="1" applyBorder="1"/>
    <xf numFmtId="186" fontId="9" fillId="0" borderId="0" xfId="0" applyNumberFormat="1" applyFont="1" applyFill="1" applyBorder="1" applyAlignment="1">
      <alignment horizontal="right"/>
    </xf>
    <xf numFmtId="37" fontId="51" fillId="10" borderId="0" xfId="0" applyNumberFormat="1" applyFont="1" applyFill="1" applyBorder="1"/>
    <xf numFmtId="0" fontId="11" fillId="0" borderId="0" xfId="0" applyNumberFormat="1" applyFont="1" applyAlignment="1">
      <alignment horizontal="right"/>
    </xf>
    <xf numFmtId="7" fontId="11" fillId="0" borderId="10" xfId="0" applyNumberFormat="1" applyFont="1" applyFill="1" applyBorder="1"/>
    <xf numFmtId="168" fontId="11" fillId="0" borderId="10" xfId="0" applyNumberFormat="1" applyFont="1" applyFill="1" applyBorder="1"/>
    <xf numFmtId="166" fontId="9" fillId="0" borderId="0" xfId="13" applyNumberFormat="1" applyFont="1" applyFill="1" applyBorder="1" applyAlignment="1">
      <alignment horizontal="right"/>
    </xf>
    <xf numFmtId="174" fontId="11" fillId="6" borderId="18" xfId="0" applyNumberFormat="1" applyFont="1" applyFill="1" applyBorder="1" applyAlignment="1">
      <alignment horizontal="right"/>
    </xf>
    <xf numFmtId="166" fontId="11" fillId="6" borderId="18" xfId="0" applyNumberFormat="1" applyFont="1" applyFill="1" applyBorder="1" applyAlignment="1">
      <alignment horizontal="right"/>
    </xf>
    <xf numFmtId="166" fontId="9" fillId="6" borderId="0" xfId="0" applyNumberFormat="1" applyFont="1" applyFill="1" applyBorder="1" applyAlignment="1">
      <alignment horizontal="right"/>
    </xf>
    <xf numFmtId="174" fontId="47" fillId="6" borderId="0" xfId="0" applyNumberFormat="1" applyFont="1" applyFill="1" applyBorder="1" applyAlignment="1">
      <alignment horizontal="right"/>
    </xf>
    <xf numFmtId="190" fontId="9" fillId="0" borderId="0" xfId="0" applyNumberFormat="1" applyFont="1" applyFill="1" applyBorder="1" applyAlignment="1">
      <alignment horizontal="right"/>
    </xf>
    <xf numFmtId="190" fontId="9" fillId="0" borderId="7" xfId="0" applyNumberFormat="1" applyFont="1" applyFill="1" applyBorder="1" applyAlignment="1">
      <alignment horizontal="right"/>
    </xf>
    <xf numFmtId="174" fontId="9" fillId="0" borderId="6" xfId="0" applyNumberFormat="1" applyFont="1" applyFill="1" applyBorder="1" applyAlignment="1">
      <alignment horizontal="right"/>
    </xf>
    <xf numFmtId="37" fontId="11" fillId="0" borderId="2" xfId="0" applyFont="1" applyFill="1" applyBorder="1" applyAlignment="1">
      <alignment horizontal="left"/>
    </xf>
    <xf numFmtId="5" fontId="9" fillId="0" borderId="0" xfId="14" applyFont="1" applyBorder="1" applyAlignment="1" applyProtection="1">
      <alignment horizontal="left" vertical="top"/>
    </xf>
    <xf numFmtId="37" fontId="9" fillId="0" borderId="0" xfId="0" applyFont="1" applyAlignment="1">
      <alignment horizontal="right" vertical="top"/>
    </xf>
    <xf numFmtId="37" fontId="9" fillId="0" borderId="0" xfId="0" applyFont="1" applyAlignment="1">
      <alignment vertical="top"/>
    </xf>
    <xf numFmtId="5" fontId="9" fillId="0" borderId="0" xfId="14" applyFont="1" applyAlignment="1">
      <alignment vertical="top"/>
    </xf>
    <xf numFmtId="37" fontId="9" fillId="0" borderId="0" xfId="13" applyFont="1" applyAlignment="1">
      <alignment vertical="top"/>
    </xf>
    <xf numFmtId="37" fontId="9" fillId="0" borderId="0" xfId="13" applyFont="1" applyBorder="1" applyAlignment="1" applyProtection="1">
      <alignment horizontal="left" vertical="top"/>
    </xf>
    <xf numFmtId="37" fontId="9" fillId="0" borderId="0" xfId="0" applyFont="1" applyFill="1" applyAlignment="1">
      <alignment horizontal="right" vertical="top"/>
    </xf>
    <xf numFmtId="37" fontId="11" fillId="7" borderId="18" xfId="13" applyFont="1" applyFill="1" applyBorder="1"/>
    <xf numFmtId="37" fontId="9" fillId="0" borderId="0" xfId="0" applyFont="1" applyAlignment="1">
      <alignment vertical="top" wrapText="1"/>
    </xf>
    <xf numFmtId="5" fontId="9" fillId="0" borderId="7" xfId="14" applyFont="1" applyBorder="1" applyAlignment="1">
      <alignment vertical="top"/>
    </xf>
    <xf numFmtId="37" fontId="9" fillId="0" borderId="7" xfId="13" applyFont="1" applyBorder="1" applyAlignment="1">
      <alignment vertical="top"/>
    </xf>
    <xf numFmtId="37" fontId="11" fillId="7" borderId="24" xfId="0" applyFont="1" applyFill="1" applyBorder="1"/>
    <xf numFmtId="9" fontId="9" fillId="0" borderId="7" xfId="43" applyNumberFormat="1" applyFont="1" applyBorder="1" applyAlignment="1">
      <alignment vertical="top"/>
    </xf>
    <xf numFmtId="9" fontId="9" fillId="0" borderId="7" xfId="43" applyNumberFormat="1" applyFont="1" applyBorder="1" applyAlignment="1">
      <alignment horizontal="right" vertical="top"/>
    </xf>
    <xf numFmtId="9" fontId="11" fillId="7" borderId="24" xfId="43" applyNumberFormat="1" applyFont="1" applyFill="1" applyBorder="1"/>
    <xf numFmtId="7" fontId="49" fillId="0" borderId="14" xfId="14" applyNumberFormat="1" applyFont="1" applyFill="1" applyBorder="1"/>
    <xf numFmtId="168" fontId="9" fillId="0" borderId="3" xfId="0" applyNumberFormat="1" applyFont="1" applyFill="1" applyBorder="1" applyAlignment="1">
      <alignment horizontal="right"/>
    </xf>
    <xf numFmtId="37" fontId="51" fillId="0" borderId="3" xfId="0" applyFont="1" applyFill="1" applyBorder="1" applyAlignment="1">
      <alignment horizontal="left" indent="1"/>
    </xf>
    <xf numFmtId="165" fontId="51" fillId="0" borderId="3" xfId="43" applyFont="1" applyFill="1" applyBorder="1" applyAlignment="1">
      <alignment horizontal="right"/>
    </xf>
    <xf numFmtId="165" fontId="51" fillId="0" borderId="5" xfId="43" applyFont="1" applyFill="1" applyBorder="1" applyAlignment="1">
      <alignment horizontal="right"/>
    </xf>
    <xf numFmtId="166" fontId="51" fillId="0" borderId="0" xfId="0" applyNumberFormat="1" applyFont="1" applyFill="1" applyBorder="1" applyAlignment="1">
      <alignment horizontal="left" indent="1"/>
    </xf>
    <xf numFmtId="7" fontId="51" fillId="0" borderId="0" xfId="0" applyNumberFormat="1" applyFont="1" applyFill="1" applyBorder="1"/>
    <xf numFmtId="7" fontId="51" fillId="0" borderId="5" xfId="0" applyNumberFormat="1" applyFont="1" applyFill="1" applyBorder="1"/>
    <xf numFmtId="165" fontId="51" fillId="0" borderId="6" xfId="43" applyFont="1" applyFill="1" applyBorder="1" applyAlignment="1">
      <alignment horizontal="right"/>
    </xf>
    <xf numFmtId="7" fontId="51" fillId="0" borderId="9" xfId="0" applyNumberFormat="1" applyFont="1" applyFill="1" applyBorder="1"/>
    <xf numFmtId="165" fontId="51" fillId="0" borderId="14" xfId="43" applyFont="1" applyFill="1" applyBorder="1" applyAlignment="1">
      <alignment horizontal="right"/>
    </xf>
    <xf numFmtId="0" fontId="79" fillId="0" borderId="0" xfId="0" applyNumberFormat="1" applyFont="1" applyFill="1" applyBorder="1" applyAlignment="1">
      <alignment horizontal="left"/>
    </xf>
    <xf numFmtId="37" fontId="11" fillId="10" borderId="0" xfId="0" applyFont="1" applyFill="1"/>
    <xf numFmtId="37" fontId="9" fillId="10" borderId="0" xfId="0" applyFont="1" applyFill="1"/>
    <xf numFmtId="170" fontId="47" fillId="0" borderId="0" xfId="0" applyNumberFormat="1" applyFont="1" applyFill="1" applyBorder="1" applyAlignment="1">
      <alignment horizontal="right"/>
    </xf>
    <xf numFmtId="37" fontId="48" fillId="0" borderId="0" xfId="0" applyNumberFormat="1" applyFont="1"/>
    <xf numFmtId="37" fontId="11" fillId="0" borderId="0" xfId="0" applyNumberFormat="1" applyFont="1"/>
    <xf numFmtId="174" fontId="73" fillId="0" borderId="7" xfId="0" applyNumberFormat="1" applyFont="1" applyBorder="1"/>
    <xf numFmtId="37" fontId="51" fillId="0" borderId="13" xfId="0" applyFont="1" applyBorder="1" applyAlignment="1">
      <alignment horizontal="left" indent="1"/>
    </xf>
    <xf numFmtId="174" fontId="51" fillId="0" borderId="2" xfId="0" applyNumberFormat="1" applyFont="1" applyBorder="1"/>
    <xf numFmtId="174" fontId="51" fillId="0" borderId="2" xfId="0" applyNumberFormat="1" applyFont="1" applyFill="1" applyBorder="1"/>
    <xf numFmtId="37" fontId="49" fillId="0" borderId="0" xfId="0" applyFont="1" applyAlignment="1">
      <alignment horizontal="right"/>
    </xf>
    <xf numFmtId="9" fontId="47" fillId="0" borderId="0" xfId="43" applyNumberFormat="1" applyFont="1"/>
    <xf numFmtId="5" fontId="9" fillId="0" borderId="0" xfId="0" applyNumberFormat="1" applyFont="1" applyAlignment="1">
      <alignment vertical="top"/>
    </xf>
    <xf numFmtId="5" fontId="9" fillId="0" borderId="0" xfId="13" applyNumberFormat="1" applyFont="1" applyAlignment="1">
      <alignment vertical="top"/>
    </xf>
    <xf numFmtId="37" fontId="50" fillId="7" borderId="11" xfId="0" applyFont="1" applyFill="1" applyBorder="1" applyAlignment="1">
      <alignment horizontal="left" indent="1"/>
    </xf>
    <xf numFmtId="9" fontId="50" fillId="7" borderId="12" xfId="43" applyNumberFormat="1" applyFont="1" applyFill="1" applyBorder="1"/>
    <xf numFmtId="167" fontId="9" fillId="0" borderId="3" xfId="0" applyNumberFormat="1" applyFont="1" applyFill="1" applyBorder="1" applyAlignment="1">
      <alignment horizontal="right"/>
    </xf>
    <xf numFmtId="39" fontId="9" fillId="0" borderId="0" xfId="13" applyNumberFormat="1" applyFont="1"/>
    <xf numFmtId="187" fontId="9" fillId="0" borderId="0" xfId="0" applyNumberFormat="1" applyFont="1"/>
    <xf numFmtId="187" fontId="48" fillId="0" borderId="0" xfId="0" applyNumberFormat="1" applyFont="1"/>
    <xf numFmtId="165" fontId="9" fillId="0" borderId="0" xfId="43" applyFont="1" applyAlignment="1">
      <alignment horizontal="left" indent="1"/>
    </xf>
    <xf numFmtId="187" fontId="11" fillId="0" borderId="0" xfId="0" applyNumberFormat="1" applyFont="1" applyFill="1" applyBorder="1"/>
    <xf numFmtId="9" fontId="51" fillId="0" borderId="0" xfId="43" applyNumberFormat="1" applyFont="1"/>
    <xf numFmtId="37" fontId="11" fillId="0" borderId="0" xfId="0" applyFont="1" applyBorder="1" applyAlignment="1">
      <alignment horizontal="right" wrapText="1"/>
    </xf>
    <xf numFmtId="37" fontId="47" fillId="0" borderId="0" xfId="13" applyFont="1"/>
    <xf numFmtId="187" fontId="9" fillId="0" borderId="0" xfId="0" applyNumberFormat="1" applyFont="1" applyFill="1" applyBorder="1"/>
    <xf numFmtId="37" fontId="79" fillId="0" borderId="0" xfId="0" applyFont="1"/>
    <xf numFmtId="37" fontId="11" fillId="0" borderId="0" xfId="13" applyFont="1" applyFill="1" applyBorder="1"/>
    <xf numFmtId="5" fontId="11" fillId="7" borderId="12" xfId="13" applyNumberFormat="1" applyFont="1" applyFill="1" applyBorder="1"/>
    <xf numFmtId="5" fontId="11" fillId="0" borderId="0" xfId="0" applyNumberFormat="1" applyFont="1"/>
    <xf numFmtId="37" fontId="49" fillId="0" borderId="0" xfId="0" applyFont="1" applyBorder="1" applyAlignment="1">
      <alignment horizontal="right"/>
    </xf>
    <xf numFmtId="37" fontId="9" fillId="0" borderId="45" xfId="0" applyFont="1" applyBorder="1"/>
    <xf numFmtId="9" fontId="9" fillId="0" borderId="45" xfId="0" applyNumberFormat="1" applyFont="1" applyBorder="1"/>
    <xf numFmtId="165" fontId="51" fillId="0" borderId="0" xfId="0" applyNumberFormat="1" applyFont="1" applyFill="1" applyBorder="1"/>
    <xf numFmtId="7" fontId="51" fillId="0" borderId="8" xfId="0" applyNumberFormat="1" applyFont="1" applyFill="1" applyBorder="1"/>
    <xf numFmtId="7" fontId="51" fillId="0" borderId="4" xfId="0" applyNumberFormat="1" applyFont="1" applyFill="1" applyBorder="1"/>
    <xf numFmtId="174" fontId="51" fillId="0" borderId="3" xfId="0" applyNumberFormat="1" applyFont="1" applyBorder="1"/>
    <xf numFmtId="174" fontId="51" fillId="0" borderId="10" xfId="0" applyNumberFormat="1" applyFont="1" applyBorder="1"/>
    <xf numFmtId="174" fontId="51" fillId="0" borderId="13" xfId="0" applyNumberFormat="1" applyFont="1" applyBorder="1"/>
    <xf numFmtId="174" fontId="51" fillId="0" borderId="14" xfId="0" applyNumberFormat="1" applyFont="1" applyBorder="1"/>
    <xf numFmtId="174" fontId="9" fillId="0" borderId="10" xfId="0" applyNumberFormat="1" applyFont="1" applyFill="1" applyBorder="1" applyAlignment="1">
      <alignment horizontal="right"/>
    </xf>
    <xf numFmtId="165" fontId="53" fillId="0" borderId="3" xfId="0" applyNumberFormat="1" applyFont="1" applyFill="1" applyBorder="1" applyAlignment="1">
      <alignment horizontal="right"/>
    </xf>
    <xf numFmtId="165" fontId="53" fillId="0" borderId="10" xfId="0" applyNumberFormat="1" applyFont="1" applyFill="1" applyBorder="1" applyAlignment="1">
      <alignment horizontal="right"/>
    </xf>
    <xf numFmtId="165" fontId="51" fillId="0" borderId="10" xfId="0" applyNumberFormat="1" applyFont="1" applyBorder="1" applyAlignment="1">
      <alignment horizontal="right"/>
    </xf>
    <xf numFmtId="165" fontId="9" fillId="0" borderId="10" xfId="0" applyNumberFormat="1" applyFont="1" applyBorder="1" applyAlignment="1">
      <alignment horizontal="right"/>
    </xf>
    <xf numFmtId="174" fontId="11" fillId="0" borderId="11" xfId="0" applyNumberFormat="1" applyFont="1" applyBorder="1" applyAlignment="1">
      <alignment horizontal="right"/>
    </xf>
    <xf numFmtId="174" fontId="11" fillId="0" borderId="12" xfId="0" applyNumberFormat="1" applyFont="1" applyBorder="1" applyAlignment="1">
      <alignment horizontal="right"/>
    </xf>
    <xf numFmtId="166" fontId="9" fillId="0" borderId="2" xfId="0" applyNumberFormat="1" applyFont="1" applyFill="1" applyBorder="1" applyAlignment="1">
      <alignment horizontal="right"/>
    </xf>
    <xf numFmtId="10" fontId="9" fillId="0" borderId="10" xfId="43" applyNumberFormat="1" applyFont="1" applyFill="1" applyBorder="1"/>
    <xf numFmtId="10" fontId="9" fillId="0" borderId="0" xfId="0" applyNumberFormat="1" applyFont="1" applyFill="1" applyBorder="1"/>
    <xf numFmtId="174" fontId="47" fillId="0" borderId="3" xfId="0" applyNumberFormat="1" applyFont="1" applyFill="1" applyBorder="1"/>
    <xf numFmtId="37" fontId="47" fillId="0" borderId="3" xfId="0" applyNumberFormat="1" applyFont="1" applyFill="1" applyBorder="1" applyAlignment="1">
      <alignment horizontal="right"/>
    </xf>
    <xf numFmtId="14" fontId="3" fillId="0" borderId="10" xfId="13" quotePrefix="1" applyNumberFormat="1" applyFont="1" applyBorder="1" applyAlignment="1" applyProtection="1"/>
    <xf numFmtId="37" fontId="2" fillId="0" borderId="10" xfId="0" applyFont="1" applyBorder="1"/>
    <xf numFmtId="165" fontId="47" fillId="0" borderId="3" xfId="0" applyNumberFormat="1" applyFont="1" applyFill="1" applyBorder="1" applyAlignment="1">
      <alignment horizontal="right"/>
    </xf>
    <xf numFmtId="165" fontId="53" fillId="0" borderId="3" xfId="43" applyFont="1" applyFill="1" applyBorder="1" applyAlignment="1">
      <alignment horizontal="right"/>
    </xf>
    <xf numFmtId="174" fontId="47" fillId="0" borderId="3" xfId="0" applyNumberFormat="1" applyFont="1" applyFill="1" applyBorder="1" applyAlignment="1">
      <alignment horizontal="right"/>
    </xf>
    <xf numFmtId="165" fontId="47" fillId="0" borderId="3" xfId="0" applyNumberFormat="1" applyFont="1" applyBorder="1" applyAlignment="1">
      <alignment horizontal="right"/>
    </xf>
    <xf numFmtId="174" fontId="73" fillId="0" borderId="7" xfId="0" applyNumberFormat="1" applyFont="1" applyFill="1" applyBorder="1"/>
    <xf numFmtId="37" fontId="9" fillId="0" borderId="6" xfId="0" applyFont="1" applyFill="1" applyBorder="1" applyAlignment="1">
      <alignment horizontal="right"/>
    </xf>
    <xf numFmtId="37" fontId="73" fillId="0" borderId="7" xfId="0" applyFont="1" applyFill="1" applyBorder="1" applyAlignment="1">
      <alignment horizontal="right"/>
    </xf>
    <xf numFmtId="37" fontId="73" fillId="0" borderId="7" xfId="0" applyNumberFormat="1" applyFont="1" applyFill="1" applyBorder="1" applyAlignment="1">
      <alignment horizontal="right"/>
    </xf>
    <xf numFmtId="5" fontId="73" fillId="0" borderId="7" xfId="0" applyNumberFormat="1" applyFont="1" applyFill="1" applyBorder="1" applyAlignment="1">
      <alignment horizontal="right"/>
    </xf>
    <xf numFmtId="165" fontId="70" fillId="0" borderId="7" xfId="0" applyNumberFormat="1" applyFont="1" applyFill="1" applyBorder="1" applyAlignment="1">
      <alignment horizontal="right"/>
    </xf>
    <xf numFmtId="0" fontId="73" fillId="0" borderId="7" xfId="0" applyNumberFormat="1" applyFont="1" applyFill="1" applyBorder="1" applyAlignment="1">
      <alignment horizontal="right"/>
    </xf>
    <xf numFmtId="166" fontId="57" fillId="0" borderId="24" xfId="0" applyNumberFormat="1" applyFont="1" applyFill="1" applyBorder="1" applyAlignment="1">
      <alignment horizontal="right"/>
    </xf>
    <xf numFmtId="41" fontId="73" fillId="0" borderId="7" xfId="0" applyNumberFormat="1" applyFont="1" applyFill="1" applyBorder="1" applyAlignment="1">
      <alignment horizontal="right"/>
    </xf>
    <xf numFmtId="174" fontId="73" fillId="0" borderId="7" xfId="0" applyNumberFormat="1" applyFont="1" applyFill="1" applyBorder="1" applyAlignment="1">
      <alignment horizontal="right"/>
    </xf>
    <xf numFmtId="166" fontId="57" fillId="0" borderId="24" xfId="0" applyNumberFormat="1" applyFont="1" applyBorder="1" applyAlignment="1">
      <alignment horizontal="right"/>
    </xf>
    <xf numFmtId="166" fontId="73" fillId="0" borderId="7" xfId="0" applyNumberFormat="1" applyFont="1" applyBorder="1" applyAlignment="1">
      <alignment horizontal="right"/>
    </xf>
    <xf numFmtId="165" fontId="73" fillId="0" borderId="7" xfId="0" applyNumberFormat="1" applyFont="1" applyFill="1" applyBorder="1" applyAlignment="1">
      <alignment horizontal="right"/>
    </xf>
    <xf numFmtId="165" fontId="73" fillId="0" borderId="7" xfId="0" applyNumberFormat="1" applyFont="1" applyBorder="1" applyAlignment="1">
      <alignment horizontal="right"/>
    </xf>
    <xf numFmtId="174" fontId="57" fillId="0" borderId="24" xfId="0" applyNumberFormat="1" applyFont="1" applyFill="1" applyBorder="1" applyAlignment="1">
      <alignment horizontal="right"/>
    </xf>
    <xf numFmtId="5" fontId="73" fillId="0" borderId="7" xfId="0" applyNumberFormat="1" applyFont="1" applyBorder="1" applyAlignment="1">
      <alignment horizontal="right"/>
    </xf>
    <xf numFmtId="174" fontId="73" fillId="0" borderId="7" xfId="0" applyNumberFormat="1" applyFont="1" applyBorder="1" applyAlignment="1">
      <alignment horizontal="right"/>
    </xf>
    <xf numFmtId="165" fontId="70" fillId="0" borderId="5" xfId="43" applyFont="1" applyBorder="1" applyAlignment="1">
      <alignment horizontal="right"/>
    </xf>
    <xf numFmtId="165" fontId="73" fillId="0" borderId="7" xfId="43" applyFont="1" applyFill="1" applyBorder="1" applyAlignment="1">
      <alignment horizontal="right"/>
    </xf>
    <xf numFmtId="174" fontId="9" fillId="0" borderId="5" xfId="0" applyNumberFormat="1" applyFont="1" applyFill="1" applyBorder="1"/>
    <xf numFmtId="10" fontId="73" fillId="0" borderId="7" xfId="0" applyNumberFormat="1" applyFont="1" applyFill="1" applyBorder="1"/>
    <xf numFmtId="166" fontId="57" fillId="0" borderId="7" xfId="0" applyNumberFormat="1" applyFont="1" applyFill="1" applyBorder="1"/>
    <xf numFmtId="166" fontId="73" fillId="0" borderId="7" xfId="0" applyNumberFormat="1" applyFont="1" applyFill="1" applyBorder="1"/>
    <xf numFmtId="165" fontId="70" fillId="0" borderId="7" xfId="0" applyNumberFormat="1" applyFont="1" applyFill="1" applyBorder="1"/>
    <xf numFmtId="166" fontId="73" fillId="0" borderId="7" xfId="0" applyNumberFormat="1" applyFont="1" applyBorder="1"/>
    <xf numFmtId="171" fontId="73" fillId="0" borderId="7" xfId="0" applyNumberFormat="1" applyFont="1" applyFill="1" applyBorder="1"/>
    <xf numFmtId="168" fontId="73" fillId="0" borderId="7" xfId="0" applyNumberFormat="1" applyFont="1" applyFill="1" applyBorder="1"/>
    <xf numFmtId="174" fontId="57" fillId="0" borderId="7" xfId="0" applyNumberFormat="1" applyFont="1" applyFill="1" applyBorder="1"/>
    <xf numFmtId="174" fontId="57" fillId="0" borderId="7" xfId="0" applyNumberFormat="1" applyFont="1" applyFill="1" applyBorder="1" applyAlignment="1">
      <alignment horizontal="right"/>
    </xf>
    <xf numFmtId="174" fontId="57" fillId="0" borderId="7" xfId="0" applyNumberFormat="1" applyFont="1" applyBorder="1" applyAlignment="1">
      <alignment horizontal="right"/>
    </xf>
    <xf numFmtId="172" fontId="73" fillId="0" borderId="7" xfId="0" applyNumberFormat="1" applyFont="1" applyBorder="1"/>
    <xf numFmtId="172" fontId="73" fillId="0" borderId="7" xfId="0" applyNumberFormat="1" applyFont="1" applyFill="1" applyBorder="1"/>
    <xf numFmtId="172" fontId="73" fillId="0" borderId="6" xfId="0" applyNumberFormat="1" applyFont="1" applyBorder="1"/>
    <xf numFmtId="165" fontId="70" fillId="0" borderId="7" xfId="43" applyFont="1" applyBorder="1" applyAlignment="1">
      <alignment horizontal="right"/>
    </xf>
    <xf numFmtId="39" fontId="9" fillId="0" borderId="0" xfId="43" applyNumberFormat="1" applyFont="1" applyBorder="1"/>
    <xf numFmtId="166" fontId="48" fillId="0" borderId="0" xfId="0" applyNumberFormat="1" applyFont="1" applyBorder="1"/>
    <xf numFmtId="174" fontId="9" fillId="0" borderId="2" xfId="0" applyNumberFormat="1" applyFont="1" applyFill="1" applyBorder="1" applyAlignment="1">
      <alignment horizontal="center"/>
    </xf>
    <xf numFmtId="5" fontId="11" fillId="5" borderId="12" xfId="0" applyNumberFormat="1" applyFont="1" applyFill="1" applyBorder="1"/>
    <xf numFmtId="190" fontId="47" fillId="0" borderId="0" xfId="0" applyNumberFormat="1" applyFont="1" applyFill="1" applyBorder="1" applyAlignment="1">
      <alignment horizontal="right"/>
    </xf>
    <xf numFmtId="177" fontId="9" fillId="0" borderId="3" xfId="0" applyNumberFormat="1" applyFont="1" applyFill="1" applyBorder="1" applyAlignment="1">
      <alignment horizontal="right"/>
    </xf>
    <xf numFmtId="177" fontId="9" fillId="0" borderId="0" xfId="0" applyNumberFormat="1" applyFont="1" applyFill="1" applyBorder="1" applyAlignment="1">
      <alignment horizontal="right"/>
    </xf>
    <xf numFmtId="177" fontId="11" fillId="0" borderId="0" xfId="0" applyNumberFormat="1" applyFont="1" applyFill="1" applyBorder="1"/>
    <xf numFmtId="174" fontId="73" fillId="0" borderId="10" xfId="0" applyNumberFormat="1" applyFont="1" applyFill="1" applyBorder="1"/>
    <xf numFmtId="165" fontId="51" fillId="0" borderId="6" xfId="43" applyNumberFormat="1" applyFont="1" applyFill="1" applyBorder="1" applyAlignment="1">
      <alignment horizontal="right"/>
    </xf>
    <xf numFmtId="37" fontId="9" fillId="0" borderId="0" xfId="0" applyNumberFormat="1" applyFont="1" applyAlignment="1">
      <alignment horizontal="left"/>
    </xf>
    <xf numFmtId="172" fontId="47" fillId="0" borderId="0" xfId="0" applyNumberFormat="1" applyFont="1" applyFill="1" applyBorder="1" applyAlignment="1">
      <alignment horizontal="right"/>
    </xf>
    <xf numFmtId="165" fontId="70" fillId="0" borderId="3" xfId="0" applyNumberFormat="1" applyFont="1" applyFill="1" applyBorder="1" applyAlignment="1">
      <alignment horizontal="right"/>
    </xf>
    <xf numFmtId="166" fontId="47" fillId="0" borderId="3" xfId="0" applyNumberFormat="1" applyFont="1" applyBorder="1" applyAlignment="1">
      <alignment horizontal="right"/>
    </xf>
    <xf numFmtId="5" fontId="73" fillId="0" borderId="3" xfId="0" applyNumberFormat="1" applyFont="1" applyFill="1" applyBorder="1" applyAlignment="1">
      <alignment horizontal="right"/>
    </xf>
    <xf numFmtId="7" fontId="47" fillId="0" borderId="0" xfId="0" applyNumberFormat="1" applyFont="1"/>
    <xf numFmtId="165" fontId="73" fillId="0" borderId="3" xfId="0" applyNumberFormat="1" applyFont="1" applyFill="1" applyBorder="1" applyAlignment="1">
      <alignment horizontal="right"/>
    </xf>
    <xf numFmtId="165" fontId="73" fillId="0" borderId="0" xfId="0" applyNumberFormat="1" applyFont="1" applyFill="1" applyBorder="1" applyAlignment="1">
      <alignment horizontal="right"/>
    </xf>
    <xf numFmtId="167" fontId="9" fillId="0" borderId="0" xfId="13" applyNumberFormat="1" applyFont="1" applyFill="1" applyBorder="1"/>
    <xf numFmtId="176" fontId="11" fillId="0" borderId="0" xfId="0" applyNumberFormat="1" applyFont="1" applyAlignment="1">
      <alignment horizontal="right"/>
    </xf>
    <xf numFmtId="9" fontId="9" fillId="0" borderId="0" xfId="0" applyNumberFormat="1" applyFont="1"/>
    <xf numFmtId="9" fontId="9" fillId="0" borderId="7" xfId="43" applyNumberFormat="1" applyFont="1" applyBorder="1"/>
    <xf numFmtId="9" fontId="9" fillId="0" borderId="7" xfId="0" applyNumberFormat="1" applyFont="1" applyBorder="1"/>
    <xf numFmtId="170" fontId="9" fillId="0" borderId="0" xfId="0" applyNumberFormat="1" applyFont="1" applyBorder="1"/>
    <xf numFmtId="167" fontId="9" fillId="0" borderId="10" xfId="0" applyNumberFormat="1" applyFont="1" applyFill="1" applyBorder="1" applyAlignment="1">
      <alignment horizontal="right"/>
    </xf>
    <xf numFmtId="176" fontId="11" fillId="0" borderId="2" xfId="0" applyNumberFormat="1" applyFont="1" applyFill="1" applyBorder="1" applyAlignment="1">
      <alignment horizontal="right"/>
    </xf>
    <xf numFmtId="165" fontId="3" fillId="0" borderId="0" xfId="43" applyFont="1" applyFill="1" applyBorder="1"/>
    <xf numFmtId="165" fontId="3" fillId="0" borderId="7" xfId="43" applyFont="1" applyFill="1" applyBorder="1"/>
    <xf numFmtId="7" fontId="3" fillId="0" borderId="0" xfId="14" applyNumberFormat="1" applyFont="1" applyFill="1" applyBorder="1"/>
    <xf numFmtId="174" fontId="73" fillId="0" borderId="3" xfId="0" applyNumberFormat="1" applyFont="1" applyBorder="1"/>
    <xf numFmtId="0" fontId="80" fillId="0" borderId="0" xfId="33" applyFont="1"/>
    <xf numFmtId="0" fontId="39" fillId="0" borderId="0" xfId="33" applyFont="1" applyAlignment="1">
      <alignment horizontal="right"/>
    </xf>
    <xf numFmtId="0" fontId="39" fillId="0" borderId="0" xfId="33" applyFont="1"/>
    <xf numFmtId="0" fontId="43" fillId="11" borderId="0" xfId="33" applyFont="1" applyFill="1"/>
    <xf numFmtId="0" fontId="43" fillId="11" borderId="0" xfId="33" applyFont="1" applyFill="1" applyAlignment="1">
      <alignment horizontal="right"/>
    </xf>
    <xf numFmtId="0" fontId="14" fillId="0" borderId="0" xfId="33" applyFont="1"/>
    <xf numFmtId="5" fontId="14" fillId="0" borderId="0" xfId="33" applyNumberFormat="1" applyFont="1" applyAlignment="1">
      <alignment horizontal="right"/>
    </xf>
    <xf numFmtId="0" fontId="39" fillId="0" borderId="2" xfId="33" applyFont="1" applyBorder="1"/>
    <xf numFmtId="41" fontId="39" fillId="0" borderId="2" xfId="33" applyNumberFormat="1" applyFont="1" applyBorder="1" applyAlignment="1">
      <alignment horizontal="right"/>
    </xf>
    <xf numFmtId="41" fontId="14" fillId="0" borderId="0" xfId="33" applyNumberFormat="1" applyFont="1" applyAlignment="1">
      <alignment horizontal="right"/>
    </xf>
    <xf numFmtId="41" fontId="39" fillId="0" borderId="0" xfId="33" applyNumberFormat="1" applyFont="1" applyAlignment="1">
      <alignment horizontal="right"/>
    </xf>
    <xf numFmtId="7" fontId="14" fillId="0" borderId="0" xfId="33" applyNumberFormat="1" applyFont="1" applyAlignment="1">
      <alignment horizontal="right"/>
    </xf>
    <xf numFmtId="0" fontId="43" fillId="0" borderId="0" xfId="33" applyFont="1" applyFill="1"/>
    <xf numFmtId="0" fontId="43" fillId="0" borderId="0" xfId="33" applyFont="1" applyFill="1" applyAlignment="1">
      <alignment horizontal="right"/>
    </xf>
    <xf numFmtId="5" fontId="39" fillId="0" borderId="0" xfId="33" applyNumberFormat="1" applyFont="1" applyAlignment="1">
      <alignment horizontal="right"/>
    </xf>
    <xf numFmtId="0" fontId="14" fillId="0" borderId="4" xfId="33" applyFont="1" applyBorder="1"/>
    <xf numFmtId="41" fontId="14" fillId="0" borderId="4" xfId="33" applyNumberFormat="1" applyFont="1" applyBorder="1" applyAlignment="1">
      <alignment horizontal="right"/>
    </xf>
    <xf numFmtId="165" fontId="70" fillId="0" borderId="10" xfId="0" applyNumberFormat="1" applyFont="1" applyBorder="1" applyAlignment="1">
      <alignment horizontal="right"/>
    </xf>
    <xf numFmtId="5" fontId="73" fillId="0" borderId="0" xfId="0" applyNumberFormat="1" applyFont="1" applyFill="1" applyBorder="1" applyAlignment="1">
      <alignment horizontal="right"/>
    </xf>
    <xf numFmtId="39" fontId="9" fillId="0" borderId="2" xfId="0" applyNumberFormat="1" applyFont="1" applyFill="1" applyBorder="1" applyAlignment="1">
      <alignment horizontal="right"/>
    </xf>
    <xf numFmtId="39" fontId="9" fillId="0" borderId="7" xfId="0" applyNumberFormat="1" applyFont="1" applyFill="1" applyBorder="1" applyAlignment="1">
      <alignment horizontal="right"/>
    </xf>
    <xf numFmtId="39" fontId="9" fillId="0" borderId="10" xfId="0" applyNumberFormat="1" applyFont="1" applyFill="1" applyBorder="1" applyAlignment="1">
      <alignment horizontal="right"/>
    </xf>
    <xf numFmtId="166" fontId="47" fillId="0" borderId="2" xfId="0" applyNumberFormat="1" applyFont="1" applyFill="1" applyBorder="1" applyAlignment="1">
      <alignment horizontal="right"/>
    </xf>
    <xf numFmtId="166" fontId="73" fillId="0" borderId="0" xfId="0" applyNumberFormat="1" applyFont="1" applyFill="1" applyBorder="1" applyAlignment="1">
      <alignment horizontal="right"/>
    </xf>
    <xf numFmtId="174" fontId="47" fillId="0" borderId="6" xfId="0" applyNumberFormat="1" applyFont="1" applyFill="1" applyBorder="1"/>
    <xf numFmtId="174" fontId="9" fillId="0" borderId="6" xfId="0" applyNumberFormat="1" applyFont="1" applyFill="1" applyBorder="1"/>
    <xf numFmtId="37" fontId="73" fillId="0" borderId="0" xfId="0" applyFont="1" applyFill="1" applyBorder="1" applyAlignment="1">
      <alignment horizontal="right"/>
    </xf>
    <xf numFmtId="165" fontId="53" fillId="0" borderId="10" xfId="43" applyFont="1" applyFill="1" applyBorder="1" applyAlignment="1">
      <alignment horizontal="right"/>
    </xf>
    <xf numFmtId="37" fontId="32" fillId="0" borderId="0" xfId="0" applyFont="1"/>
    <xf numFmtId="49" fontId="0" fillId="0" borderId="0" xfId="0" applyNumberFormat="1"/>
    <xf numFmtId="179" fontId="11" fillId="0" borderId="0" xfId="0" applyNumberFormat="1" applyFont="1"/>
    <xf numFmtId="39" fontId="0" fillId="0" borderId="0" xfId="0" applyNumberFormat="1"/>
    <xf numFmtId="37" fontId="11" fillId="5" borderId="8" xfId="0" applyFont="1" applyFill="1" applyBorder="1"/>
    <xf numFmtId="7" fontId="11" fillId="5" borderId="4" xfId="0" applyNumberFormat="1" applyFont="1" applyFill="1" applyBorder="1"/>
    <xf numFmtId="7" fontId="11" fillId="5" borderId="5" xfId="0" applyNumberFormat="1" applyFont="1" applyFill="1" applyBorder="1"/>
    <xf numFmtId="7" fontId="11" fillId="5" borderId="8" xfId="0" applyNumberFormat="1" applyFont="1" applyFill="1" applyBorder="1"/>
    <xf numFmtId="7" fontId="11" fillId="5" borderId="9" xfId="0" applyNumberFormat="1" applyFont="1" applyFill="1" applyBorder="1"/>
    <xf numFmtId="37" fontId="11" fillId="5" borderId="13" xfId="0" applyFont="1" applyFill="1" applyBorder="1"/>
    <xf numFmtId="7" fontId="11" fillId="5" borderId="2" xfId="0" applyNumberFormat="1" applyFont="1" applyFill="1" applyBorder="1"/>
    <xf numFmtId="7" fontId="11" fillId="5" borderId="6" xfId="0" applyNumberFormat="1" applyFont="1" applyFill="1" applyBorder="1"/>
    <xf numFmtId="7" fontId="11" fillId="5" borderId="13" xfId="0" applyNumberFormat="1" applyFont="1" applyFill="1" applyBorder="1"/>
    <xf numFmtId="7" fontId="11" fillId="5" borderId="14" xfId="0" applyNumberFormat="1" applyFont="1" applyFill="1" applyBorder="1"/>
    <xf numFmtId="37" fontId="9" fillId="5" borderId="3" xfId="13" applyFont="1" applyFill="1" applyBorder="1" applyAlignment="1" applyProtection="1">
      <alignment horizontal="left"/>
    </xf>
    <xf numFmtId="165" fontId="9" fillId="5" borderId="0" xfId="0" applyNumberFormat="1" applyFont="1" applyFill="1" applyBorder="1"/>
    <xf numFmtId="174" fontId="9" fillId="5" borderId="0" xfId="0" applyNumberFormat="1" applyFont="1" applyFill="1" applyBorder="1" applyAlignment="1">
      <alignment horizontal="right"/>
    </xf>
    <xf numFmtId="174" fontId="9" fillId="5" borderId="7" xfId="0" applyNumberFormat="1" applyFont="1" applyFill="1" applyBorder="1" applyAlignment="1">
      <alignment horizontal="right"/>
    </xf>
    <xf numFmtId="174" fontId="9" fillId="5" borderId="3" xfId="0" applyNumberFormat="1" applyFont="1" applyFill="1" applyBorder="1" applyAlignment="1">
      <alignment horizontal="right"/>
    </xf>
    <xf numFmtId="174" fontId="9" fillId="5" borderId="10" xfId="0" applyNumberFormat="1" applyFont="1" applyFill="1" applyBorder="1" applyAlignment="1">
      <alignment horizontal="right"/>
    </xf>
    <xf numFmtId="37" fontId="11" fillId="5" borderId="3" xfId="0" applyFont="1" applyFill="1" applyBorder="1" applyAlignment="1"/>
    <xf numFmtId="165" fontId="11" fillId="5" borderId="0" xfId="0" applyNumberFormat="1" applyFont="1" applyFill="1" applyBorder="1"/>
    <xf numFmtId="174" fontId="11" fillId="5" borderId="0" xfId="0" applyNumberFormat="1" applyFont="1" applyFill="1" applyBorder="1" applyAlignment="1">
      <alignment horizontal="right"/>
    </xf>
    <xf numFmtId="168" fontId="11" fillId="5" borderId="0" xfId="0" applyNumberFormat="1" applyFont="1" applyFill="1" applyBorder="1" applyAlignment="1">
      <alignment horizontal="right"/>
    </xf>
    <xf numFmtId="168" fontId="11" fillId="5" borderId="7" xfId="0" applyNumberFormat="1" applyFont="1" applyFill="1" applyBorder="1" applyAlignment="1">
      <alignment horizontal="right"/>
    </xf>
    <xf numFmtId="168" fontId="11" fillId="5" borderId="3" xfId="0" applyNumberFormat="1" applyFont="1" applyFill="1" applyBorder="1" applyAlignment="1">
      <alignment horizontal="right"/>
    </xf>
    <xf numFmtId="168" fontId="11" fillId="5" borderId="10" xfId="0" applyNumberFormat="1" applyFont="1" applyFill="1" applyBorder="1" applyAlignment="1">
      <alignment horizontal="right"/>
    </xf>
    <xf numFmtId="37" fontId="51" fillId="5" borderId="3" xfId="0" applyFont="1" applyFill="1" applyBorder="1" applyAlignment="1">
      <alignment horizontal="left" indent="1"/>
    </xf>
    <xf numFmtId="165" fontId="51" fillId="5" borderId="7" xfId="43" applyFont="1" applyFill="1" applyBorder="1" applyAlignment="1">
      <alignment horizontal="right"/>
    </xf>
    <xf numFmtId="165" fontId="51" fillId="5" borderId="0" xfId="43" applyFont="1" applyFill="1" applyBorder="1" applyAlignment="1">
      <alignment horizontal="right"/>
    </xf>
    <xf numFmtId="165" fontId="51" fillId="5" borderId="3" xfId="43" applyFont="1" applyFill="1" applyBorder="1" applyAlignment="1">
      <alignment horizontal="right"/>
    </xf>
    <xf numFmtId="165" fontId="51" fillId="5" borderId="10" xfId="43" applyFont="1" applyFill="1" applyBorder="1" applyAlignment="1">
      <alignment horizontal="right"/>
    </xf>
    <xf numFmtId="166" fontId="9" fillId="5" borderId="18" xfId="0" applyNumberFormat="1" applyFont="1" applyFill="1" applyBorder="1"/>
    <xf numFmtId="166" fontId="11" fillId="5" borderId="24" xfId="0" applyNumberFormat="1" applyFont="1" applyFill="1" applyBorder="1"/>
    <xf numFmtId="166" fontId="11" fillId="5" borderId="12" xfId="0" applyNumberFormat="1" applyFont="1" applyFill="1" applyBorder="1"/>
    <xf numFmtId="168" fontId="11" fillId="5" borderId="24" xfId="0" applyNumberFormat="1" applyFont="1" applyFill="1" applyBorder="1"/>
    <xf numFmtId="168" fontId="11" fillId="5" borderId="18" xfId="0" applyNumberFormat="1" applyFont="1" applyFill="1" applyBorder="1"/>
    <xf numFmtId="168" fontId="11" fillId="5" borderId="11" xfId="0" applyNumberFormat="1" applyFont="1" applyFill="1" applyBorder="1"/>
    <xf numFmtId="168" fontId="11" fillId="5" borderId="12" xfId="0" applyNumberFormat="1" applyFont="1" applyFill="1" applyBorder="1"/>
    <xf numFmtId="37" fontId="11" fillId="5" borderId="24" xfId="0" applyFont="1" applyFill="1" applyBorder="1" applyProtection="1"/>
    <xf numFmtId="5" fontId="11" fillId="5" borderId="18" xfId="0" applyNumberFormat="1" applyFont="1" applyFill="1" applyBorder="1"/>
    <xf numFmtId="165" fontId="11" fillId="5" borderId="18" xfId="43" applyFont="1" applyFill="1" applyBorder="1"/>
    <xf numFmtId="165" fontId="11" fillId="5" borderId="12" xfId="43" applyFont="1" applyFill="1" applyBorder="1"/>
    <xf numFmtId="166" fontId="48" fillId="0" borderId="0" xfId="0" applyNumberFormat="1" applyFont="1"/>
    <xf numFmtId="37" fontId="11" fillId="12" borderId="11" xfId="0" applyFont="1" applyFill="1" applyBorder="1"/>
    <xf numFmtId="7" fontId="11" fillId="12" borderId="12" xfId="0" applyNumberFormat="1" applyFont="1" applyFill="1" applyBorder="1"/>
    <xf numFmtId="170" fontId="73" fillId="0" borderId="0" xfId="0" applyNumberFormat="1" applyFont="1" applyFill="1" applyBorder="1" applyAlignment="1">
      <alignment horizontal="right"/>
    </xf>
    <xf numFmtId="39" fontId="47" fillId="0" borderId="0" xfId="0" applyNumberFormat="1" applyFont="1"/>
    <xf numFmtId="165" fontId="47" fillId="0" borderId="0" xfId="43" applyNumberFormat="1" applyFont="1"/>
    <xf numFmtId="165" fontId="73" fillId="0" borderId="0" xfId="43" applyNumberFormat="1" applyFont="1"/>
    <xf numFmtId="166" fontId="9" fillId="6" borderId="0" xfId="0" applyNumberFormat="1" applyFont="1" applyFill="1"/>
    <xf numFmtId="166" fontId="73" fillId="0" borderId="0" xfId="0" applyNumberFormat="1" applyFont="1"/>
    <xf numFmtId="7" fontId="73" fillId="0" borderId="0" xfId="14" applyNumberFormat="1" applyFont="1"/>
    <xf numFmtId="37" fontId="2" fillId="0" borderId="3" xfId="0" applyNumberFormat="1" applyFont="1" applyBorder="1"/>
    <xf numFmtId="37" fontId="2" fillId="0" borderId="2" xfId="0" applyFont="1" applyBorder="1"/>
    <xf numFmtId="168" fontId="2" fillId="0" borderId="2" xfId="14" applyNumberFormat="1" applyFont="1" applyBorder="1"/>
    <xf numFmtId="7" fontId="9" fillId="0" borderId="0" xfId="43" applyNumberFormat="1" applyFont="1" applyBorder="1" applyAlignment="1">
      <alignment horizontal="right"/>
    </xf>
    <xf numFmtId="7" fontId="9" fillId="0" borderId="7" xfId="43" applyNumberFormat="1" applyFont="1" applyBorder="1" applyAlignment="1">
      <alignment horizontal="right"/>
    </xf>
    <xf numFmtId="7" fontId="47" fillId="0" borderId="0" xfId="43" applyNumberFormat="1" applyFont="1" applyBorder="1" applyAlignment="1">
      <alignment horizontal="right"/>
    </xf>
    <xf numFmtId="7" fontId="47" fillId="0" borderId="7" xfId="43" applyNumberFormat="1" applyFont="1" applyBorder="1" applyAlignment="1">
      <alignment horizontal="right"/>
    </xf>
    <xf numFmtId="37" fontId="73" fillId="0" borderId="0" xfId="0" applyNumberFormat="1" applyFont="1" applyFill="1" applyBorder="1" applyAlignment="1">
      <alignment horizontal="right"/>
    </xf>
    <xf numFmtId="0" fontId="73" fillId="0" borderId="0" xfId="0" applyNumberFormat="1" applyFont="1" applyFill="1" applyBorder="1" applyAlignment="1">
      <alignment horizontal="right"/>
    </xf>
    <xf numFmtId="166" fontId="57" fillId="0" borderId="18" xfId="0" applyNumberFormat="1" applyFont="1" applyFill="1" applyBorder="1" applyAlignment="1">
      <alignment horizontal="right"/>
    </xf>
    <xf numFmtId="41" fontId="73" fillId="0" borderId="0" xfId="0" applyNumberFormat="1" applyFont="1" applyFill="1" applyBorder="1" applyAlignment="1">
      <alignment horizontal="right"/>
    </xf>
    <xf numFmtId="166" fontId="57" fillId="0" borderId="18" xfId="0" applyNumberFormat="1" applyFont="1" applyBorder="1" applyAlignment="1">
      <alignment horizontal="right"/>
    </xf>
    <xf numFmtId="174" fontId="73" fillId="0" borderId="0" xfId="0" applyNumberFormat="1" applyFont="1" applyFill="1" applyBorder="1" applyAlignment="1">
      <alignment horizontal="right"/>
    </xf>
    <xf numFmtId="166" fontId="73" fillId="0" borderId="0" xfId="0" applyNumberFormat="1" applyFont="1" applyBorder="1" applyAlignment="1">
      <alignment horizontal="right"/>
    </xf>
    <xf numFmtId="174" fontId="57" fillId="0" borderId="18" xfId="0" applyNumberFormat="1" applyFont="1" applyFill="1" applyBorder="1" applyAlignment="1">
      <alignment horizontal="right"/>
    </xf>
    <xf numFmtId="5" fontId="73" fillId="0" borderId="0" xfId="0" applyNumberFormat="1" applyFont="1" applyBorder="1" applyAlignment="1">
      <alignment horizontal="right"/>
    </xf>
    <xf numFmtId="174" fontId="73" fillId="0" borderId="0" xfId="0" applyNumberFormat="1" applyFont="1" applyBorder="1" applyAlignment="1">
      <alignment horizontal="right"/>
    </xf>
    <xf numFmtId="165" fontId="70" fillId="0" borderId="0" xfId="0" applyNumberFormat="1" applyFont="1" applyBorder="1" applyAlignment="1">
      <alignment horizontal="right"/>
    </xf>
    <xf numFmtId="165" fontId="73" fillId="0" borderId="0" xfId="0" applyNumberFormat="1" applyFont="1" applyBorder="1" applyAlignment="1">
      <alignment horizontal="right"/>
    </xf>
    <xf numFmtId="166" fontId="57" fillId="0" borderId="0" xfId="0" applyNumberFormat="1" applyFont="1" applyFill="1" applyBorder="1"/>
    <xf numFmtId="166" fontId="73" fillId="0" borderId="0" xfId="0" applyNumberFormat="1" applyFont="1" applyFill="1" applyBorder="1"/>
    <xf numFmtId="174" fontId="73" fillId="0" borderId="0" xfId="0" applyNumberFormat="1" applyFont="1" applyFill="1" applyBorder="1"/>
    <xf numFmtId="171" fontId="73" fillId="0" borderId="0" xfId="0" applyNumberFormat="1" applyFont="1" applyFill="1" applyBorder="1"/>
    <xf numFmtId="174" fontId="57" fillId="0" borderId="0" xfId="0" applyNumberFormat="1" applyFont="1" applyFill="1" applyBorder="1"/>
    <xf numFmtId="174" fontId="73" fillId="0" borderId="0" xfId="0" applyNumberFormat="1" applyFont="1" applyBorder="1"/>
    <xf numFmtId="174" fontId="57" fillId="0" borderId="0" xfId="0" applyNumberFormat="1" applyFont="1" applyFill="1" applyBorder="1" applyAlignment="1">
      <alignment horizontal="right"/>
    </xf>
    <xf numFmtId="174" fontId="57" fillId="0" borderId="0" xfId="0" applyNumberFormat="1" applyFont="1" applyBorder="1" applyAlignment="1">
      <alignment horizontal="right"/>
    </xf>
    <xf numFmtId="166" fontId="73" fillId="0" borderId="0" xfId="0" applyNumberFormat="1" applyFont="1" applyBorder="1"/>
    <xf numFmtId="172" fontId="73" fillId="0" borderId="0" xfId="0" applyNumberFormat="1" applyFont="1" applyBorder="1"/>
    <xf numFmtId="172" fontId="73" fillId="0" borderId="0" xfId="0" applyNumberFormat="1" applyFont="1" applyFill="1" applyBorder="1"/>
    <xf numFmtId="174" fontId="73" fillId="0" borderId="10" xfId="0" applyNumberFormat="1" applyFont="1" applyBorder="1" applyAlignment="1">
      <alignment horizontal="right"/>
    </xf>
    <xf numFmtId="165" fontId="53" fillId="0" borderId="0" xfId="0" applyNumberFormat="1" applyFont="1" applyFill="1" applyBorder="1"/>
    <xf numFmtId="168" fontId="9" fillId="0" borderId="10" xfId="0" applyNumberFormat="1" applyFont="1" applyFill="1" applyBorder="1" applyAlignment="1">
      <alignment horizontal="right"/>
    </xf>
    <xf numFmtId="165" fontId="70" fillId="0" borderId="3" xfId="0" applyNumberFormat="1" applyFont="1" applyBorder="1" applyAlignment="1">
      <alignment horizontal="right"/>
    </xf>
    <xf numFmtId="174" fontId="73" fillId="0" borderId="3" xfId="0" applyNumberFormat="1" applyFont="1" applyFill="1" applyBorder="1" applyAlignment="1">
      <alignment horizontal="right"/>
    </xf>
    <xf numFmtId="174" fontId="73" fillId="0" borderId="10" xfId="0" applyNumberFormat="1" applyFont="1" applyFill="1" applyBorder="1" applyAlignment="1">
      <alignment horizontal="right"/>
    </xf>
    <xf numFmtId="166" fontId="73" fillId="0" borderId="3" xfId="0" applyNumberFormat="1" applyFont="1" applyFill="1" applyBorder="1" applyAlignment="1">
      <alignment horizontal="right"/>
    </xf>
    <xf numFmtId="166" fontId="73" fillId="0" borderId="10" xfId="0" applyNumberFormat="1" applyFont="1" applyFill="1" applyBorder="1" applyAlignment="1">
      <alignment horizontal="right"/>
    </xf>
    <xf numFmtId="37" fontId="73" fillId="0" borderId="10" xfId="0" applyNumberFormat="1" applyFont="1" applyFill="1" applyBorder="1" applyAlignment="1">
      <alignment horizontal="right"/>
    </xf>
    <xf numFmtId="165" fontId="70" fillId="0" borderId="10" xfId="0" applyNumberFormat="1" applyFont="1" applyFill="1" applyBorder="1" applyAlignment="1">
      <alignment horizontal="right"/>
    </xf>
    <xf numFmtId="165" fontId="73" fillId="0" borderId="3" xfId="0" applyNumberFormat="1" applyFont="1" applyBorder="1" applyAlignment="1">
      <alignment horizontal="right"/>
    </xf>
    <xf numFmtId="165" fontId="73" fillId="0" borderId="10" xfId="0" applyNumberFormat="1" applyFont="1" applyBorder="1" applyAlignment="1">
      <alignment horizontal="right"/>
    </xf>
    <xf numFmtId="174" fontId="11" fillId="0" borderId="12" xfId="0" applyNumberFormat="1" applyFont="1" applyFill="1" applyBorder="1" applyAlignment="1">
      <alignment horizontal="right"/>
    </xf>
    <xf numFmtId="165" fontId="70" fillId="0" borderId="9" xfId="43" applyFont="1" applyBorder="1" applyAlignment="1">
      <alignment horizontal="right"/>
    </xf>
    <xf numFmtId="165" fontId="70" fillId="0" borderId="10" xfId="43" applyFont="1" applyBorder="1" applyAlignment="1">
      <alignment horizontal="right"/>
    </xf>
    <xf numFmtId="165" fontId="51" fillId="0" borderId="8" xfId="43" applyFont="1" applyFill="1" applyBorder="1" applyAlignment="1">
      <alignment horizontal="right"/>
    </xf>
    <xf numFmtId="165" fontId="51" fillId="0" borderId="4" xfId="43" applyFont="1" applyFill="1" applyBorder="1" applyAlignment="1">
      <alignment horizontal="right"/>
    </xf>
    <xf numFmtId="165" fontId="51" fillId="0" borderId="9" xfId="43" applyFont="1" applyFill="1" applyBorder="1" applyAlignment="1">
      <alignment horizontal="right"/>
    </xf>
    <xf numFmtId="166" fontId="11" fillId="0" borderId="12" xfId="0" applyNumberFormat="1" applyFont="1" applyFill="1" applyBorder="1" applyAlignment="1">
      <alignment horizontal="right"/>
    </xf>
    <xf numFmtId="5" fontId="9" fillId="0" borderId="10" xfId="0" applyNumberFormat="1" applyFont="1" applyFill="1" applyBorder="1" applyAlignment="1">
      <alignment horizontal="right"/>
    </xf>
    <xf numFmtId="166" fontId="73" fillId="0" borderId="3" xfId="0" applyNumberFormat="1" applyFont="1" applyFill="1" applyBorder="1"/>
    <xf numFmtId="166" fontId="73" fillId="0" borderId="10" xfId="0" applyNumberFormat="1" applyFont="1" applyFill="1" applyBorder="1"/>
    <xf numFmtId="165" fontId="70" fillId="0" borderId="10" xfId="0" applyNumberFormat="1" applyFont="1" applyFill="1" applyBorder="1"/>
    <xf numFmtId="166" fontId="73" fillId="0" borderId="3" xfId="0" applyNumberFormat="1" applyFont="1" applyBorder="1"/>
    <xf numFmtId="166" fontId="73" fillId="0" borderId="10" xfId="0" applyNumberFormat="1" applyFont="1" applyBorder="1"/>
    <xf numFmtId="165" fontId="51" fillId="0" borderId="14" xfId="0" applyNumberFormat="1" applyFont="1" applyFill="1" applyBorder="1" applyAlignment="1">
      <alignment horizontal="right"/>
    </xf>
    <xf numFmtId="168" fontId="73" fillId="0" borderId="3" xfId="0" applyNumberFormat="1" applyFont="1" applyFill="1" applyBorder="1"/>
    <xf numFmtId="168" fontId="73" fillId="0" borderId="0" xfId="0" applyNumberFormat="1" applyFont="1" applyFill="1" applyBorder="1"/>
    <xf numFmtId="168" fontId="73" fillId="0" borderId="10" xfId="0" applyNumberFormat="1" applyFont="1" applyFill="1" applyBorder="1"/>
    <xf numFmtId="37" fontId="9" fillId="0" borderId="10" xfId="0" applyNumberFormat="1" applyFont="1" applyFill="1" applyBorder="1" applyAlignment="1">
      <alignment horizontal="right"/>
    </xf>
    <xf numFmtId="165" fontId="53" fillId="0" borderId="8" xfId="43" applyFont="1" applyBorder="1" applyAlignment="1">
      <alignment horizontal="right"/>
    </xf>
    <xf numFmtId="165" fontId="53" fillId="0" borderId="4" xfId="43" applyFont="1" applyBorder="1" applyAlignment="1">
      <alignment horizontal="right"/>
    </xf>
    <xf numFmtId="165" fontId="53" fillId="0" borderId="9" xfId="43" applyFont="1" applyBorder="1" applyAlignment="1">
      <alignment horizontal="right"/>
    </xf>
    <xf numFmtId="165" fontId="53" fillId="0" borderId="3" xfId="43" applyFont="1" applyBorder="1" applyAlignment="1">
      <alignment horizontal="right"/>
    </xf>
    <xf numFmtId="165" fontId="53" fillId="0" borderId="10" xfId="43" applyFont="1" applyBorder="1" applyAlignment="1">
      <alignment horizontal="right"/>
    </xf>
    <xf numFmtId="171" fontId="47" fillId="0" borderId="10" xfId="43" applyNumberFormat="1" applyFont="1" applyFill="1" applyBorder="1"/>
    <xf numFmtId="41" fontId="9" fillId="0" borderId="10" xfId="0" applyNumberFormat="1" applyFont="1" applyFill="1" applyBorder="1" applyAlignment="1">
      <alignment horizontal="right"/>
    </xf>
    <xf numFmtId="37" fontId="9" fillId="0" borderId="13" xfId="0" applyFont="1" applyFill="1" applyBorder="1" applyAlignment="1">
      <alignment horizontal="right"/>
    </xf>
    <xf numFmtId="37" fontId="9" fillId="0" borderId="2" xfId="0" applyFont="1" applyFill="1" applyBorder="1" applyAlignment="1">
      <alignment horizontal="right"/>
    </xf>
    <xf numFmtId="37" fontId="9" fillId="0" borderId="14" xfId="0" applyFont="1" applyFill="1" applyBorder="1" applyAlignment="1">
      <alignment horizontal="right"/>
    </xf>
    <xf numFmtId="37" fontId="73" fillId="0" borderId="3" xfId="0" applyFont="1" applyFill="1" applyBorder="1" applyAlignment="1">
      <alignment horizontal="right"/>
    </xf>
    <xf numFmtId="37" fontId="73" fillId="0" borderId="10" xfId="0" applyFont="1" applyFill="1" applyBorder="1" applyAlignment="1">
      <alignment horizontal="right"/>
    </xf>
    <xf numFmtId="5" fontId="73" fillId="0" borderId="10" xfId="0" applyNumberFormat="1" applyFont="1" applyFill="1" applyBorder="1" applyAlignment="1">
      <alignment horizontal="right"/>
    </xf>
    <xf numFmtId="0" fontId="73" fillId="0" borderId="3" xfId="0" applyNumberFormat="1" applyFont="1" applyFill="1" applyBorder="1" applyAlignment="1">
      <alignment horizontal="right"/>
    </xf>
    <xf numFmtId="0" fontId="73" fillId="0" borderId="10" xfId="0" applyNumberFormat="1" applyFont="1" applyFill="1" applyBorder="1" applyAlignment="1">
      <alignment horizontal="right"/>
    </xf>
    <xf numFmtId="166" fontId="57" fillId="0" borderId="11" xfId="0" applyNumberFormat="1" applyFont="1" applyFill="1" applyBorder="1" applyAlignment="1">
      <alignment horizontal="right"/>
    </xf>
    <xf numFmtId="166" fontId="57" fillId="0" borderId="12" xfId="0" applyNumberFormat="1" applyFont="1" applyFill="1" applyBorder="1" applyAlignment="1">
      <alignment horizontal="right"/>
    </xf>
    <xf numFmtId="41" fontId="73" fillId="0" borderId="10" xfId="0" applyNumberFormat="1" applyFont="1" applyFill="1" applyBorder="1" applyAlignment="1">
      <alignment horizontal="right"/>
    </xf>
    <xf numFmtId="166" fontId="57" fillId="0" borderId="12" xfId="0" applyNumberFormat="1" applyFont="1" applyBorder="1" applyAlignment="1">
      <alignment horizontal="right"/>
    </xf>
    <xf numFmtId="166" fontId="73" fillId="0" borderId="10" xfId="0" applyNumberFormat="1" applyFont="1" applyBorder="1" applyAlignment="1">
      <alignment horizontal="right"/>
    </xf>
    <xf numFmtId="165" fontId="73" fillId="0" borderId="10" xfId="0" applyNumberFormat="1" applyFont="1" applyFill="1" applyBorder="1" applyAlignment="1">
      <alignment horizontal="right"/>
    </xf>
    <xf numFmtId="174" fontId="57" fillId="0" borderId="12" xfId="0" applyNumberFormat="1" applyFont="1" applyFill="1" applyBorder="1" applyAlignment="1">
      <alignment horizontal="right"/>
    </xf>
    <xf numFmtId="5" fontId="73" fillId="0" borderId="10" xfId="0" applyNumberFormat="1" applyFont="1" applyBorder="1" applyAlignment="1">
      <alignment horizontal="right"/>
    </xf>
    <xf numFmtId="41" fontId="73" fillId="0" borderId="3" xfId="0" applyNumberFormat="1" applyFont="1" applyFill="1" applyBorder="1" applyAlignment="1">
      <alignment horizontal="right"/>
    </xf>
    <xf numFmtId="166" fontId="57" fillId="0" borderId="11" xfId="0" applyNumberFormat="1" applyFont="1" applyBorder="1" applyAlignment="1">
      <alignment horizontal="right"/>
    </xf>
    <xf numFmtId="166" fontId="73" fillId="0" borderId="3" xfId="0" applyNumberFormat="1" applyFont="1" applyBorder="1" applyAlignment="1">
      <alignment horizontal="right"/>
    </xf>
    <xf numFmtId="174" fontId="57" fillId="0" borderId="11" xfId="0" applyNumberFormat="1" applyFont="1" applyFill="1" applyBorder="1" applyAlignment="1">
      <alignment horizontal="right"/>
    </xf>
    <xf numFmtId="5" fontId="73" fillId="0" borderId="3" xfId="0" applyNumberFormat="1" applyFont="1" applyBorder="1" applyAlignment="1">
      <alignment horizontal="right"/>
    </xf>
    <xf numFmtId="174" fontId="73" fillId="0" borderId="3" xfId="0" applyNumberFormat="1" applyFont="1" applyBorder="1" applyAlignment="1">
      <alignment horizontal="right"/>
    </xf>
    <xf numFmtId="37" fontId="9" fillId="0" borderId="10" xfId="13" quotePrefix="1" applyFont="1" applyFill="1" applyBorder="1" applyAlignment="1" applyProtection="1"/>
    <xf numFmtId="37" fontId="9" fillId="0" borderId="3" xfId="13" quotePrefix="1" applyFont="1" applyFill="1" applyBorder="1" applyAlignment="1" applyProtection="1"/>
    <xf numFmtId="166" fontId="11" fillId="0" borderId="12" xfId="0" applyNumberFormat="1" applyFont="1" applyBorder="1" applyAlignment="1">
      <alignment horizontal="right"/>
    </xf>
    <xf numFmtId="5" fontId="47" fillId="0" borderId="3" xfId="0" applyNumberFormat="1" applyFont="1" applyFill="1" applyBorder="1" applyAlignment="1">
      <alignment horizontal="right"/>
    </xf>
    <xf numFmtId="166" fontId="11" fillId="0" borderId="10" xfId="0" applyNumberFormat="1" applyFont="1" applyFill="1" applyBorder="1" applyAlignment="1">
      <alignment horizontal="right"/>
    </xf>
    <xf numFmtId="39" fontId="9" fillId="0" borderId="3" xfId="0" applyNumberFormat="1" applyFont="1" applyFill="1" applyBorder="1" applyAlignment="1">
      <alignment horizontal="right"/>
    </xf>
    <xf numFmtId="39" fontId="9" fillId="0" borderId="13" xfId="0" applyNumberFormat="1" applyFont="1" applyFill="1" applyBorder="1" applyAlignment="1">
      <alignment horizontal="right"/>
    </xf>
    <xf numFmtId="39" fontId="9" fillId="0" borderId="14" xfId="0" applyNumberFormat="1" applyFont="1" applyFill="1" applyBorder="1" applyAlignment="1">
      <alignment horizontal="right"/>
    </xf>
    <xf numFmtId="164" fontId="11" fillId="0" borderId="10" xfId="0" applyNumberFormat="1" applyFont="1" applyFill="1" applyBorder="1" applyAlignment="1" applyProtection="1">
      <alignment horizontal="right"/>
    </xf>
    <xf numFmtId="174" fontId="11" fillId="0" borderId="10" xfId="0" applyNumberFormat="1" applyFont="1" applyFill="1" applyBorder="1" applyAlignment="1">
      <alignment horizontal="right"/>
    </xf>
    <xf numFmtId="174" fontId="51" fillId="0" borderId="10" xfId="0" applyNumberFormat="1" applyFont="1" applyFill="1" applyBorder="1"/>
    <xf numFmtId="10" fontId="47" fillId="0" borderId="10" xfId="43" applyNumberFormat="1" applyFont="1" applyFill="1" applyBorder="1" applyAlignment="1">
      <alignment horizontal="center"/>
    </xf>
    <xf numFmtId="171" fontId="47" fillId="0" borderId="10" xfId="43" applyNumberFormat="1" applyFont="1" applyFill="1" applyBorder="1" applyAlignment="1">
      <alignment horizontal="center"/>
    </xf>
    <xf numFmtId="171" fontId="47" fillId="0" borderId="10" xfId="0" applyNumberFormat="1" applyFont="1" applyFill="1" applyBorder="1"/>
    <xf numFmtId="41" fontId="9" fillId="0" borderId="10" xfId="0" applyNumberFormat="1" applyFont="1" applyFill="1" applyBorder="1"/>
    <xf numFmtId="166" fontId="57" fillId="0" borderId="3" xfId="0" applyNumberFormat="1" applyFont="1" applyFill="1" applyBorder="1"/>
    <xf numFmtId="166" fontId="57" fillId="0" borderId="10" xfId="0" applyNumberFormat="1" applyFont="1" applyFill="1" applyBorder="1"/>
    <xf numFmtId="174" fontId="73" fillId="0" borderId="3" xfId="0" applyNumberFormat="1" applyFont="1" applyFill="1" applyBorder="1"/>
    <xf numFmtId="171" fontId="73" fillId="0" borderId="3" xfId="0" applyNumberFormat="1" applyFont="1" applyFill="1" applyBorder="1"/>
    <xf numFmtId="169" fontId="9" fillId="0" borderId="10" xfId="0" applyNumberFormat="1" applyFont="1" applyFill="1" applyBorder="1"/>
    <xf numFmtId="10" fontId="47" fillId="0" borderId="3" xfId="0" applyNumberFormat="1" applyFont="1" applyFill="1" applyBorder="1"/>
    <xf numFmtId="10" fontId="47" fillId="0" borderId="10" xfId="0" applyNumberFormat="1" applyFont="1" applyFill="1" applyBorder="1"/>
    <xf numFmtId="174" fontId="57" fillId="0" borderId="3" xfId="0" applyNumberFormat="1" applyFont="1" applyFill="1" applyBorder="1"/>
    <xf numFmtId="174" fontId="57" fillId="0" borderId="10" xfId="0" applyNumberFormat="1" applyFont="1" applyFill="1" applyBorder="1"/>
    <xf numFmtId="174" fontId="73" fillId="0" borderId="10" xfId="0" applyNumberFormat="1" applyFont="1" applyBorder="1"/>
    <xf numFmtId="174" fontId="57" fillId="0" borderId="3" xfId="0" applyNumberFormat="1" applyFont="1" applyFill="1" applyBorder="1" applyAlignment="1">
      <alignment horizontal="right"/>
    </xf>
    <xf numFmtId="174" fontId="57" fillId="0" borderId="10" xfId="0" applyNumberFormat="1" applyFont="1" applyFill="1" applyBorder="1" applyAlignment="1">
      <alignment horizontal="right"/>
    </xf>
    <xf numFmtId="174" fontId="57" fillId="0" borderId="3" xfId="0" applyNumberFormat="1" applyFont="1" applyBorder="1" applyAlignment="1">
      <alignment horizontal="right"/>
    </xf>
    <xf numFmtId="174" fontId="57" fillId="0" borderId="10" xfId="0" applyNumberFormat="1" applyFont="1" applyBorder="1" applyAlignment="1">
      <alignment horizontal="right"/>
    </xf>
    <xf numFmtId="172" fontId="73" fillId="0" borderId="3" xfId="0" applyNumberFormat="1" applyFont="1" applyFill="1" applyBorder="1"/>
    <xf numFmtId="172" fontId="73" fillId="0" borderId="10" xfId="0" applyNumberFormat="1" applyFont="1" applyFill="1" applyBorder="1"/>
    <xf numFmtId="172" fontId="73" fillId="0" borderId="3" xfId="0" applyNumberFormat="1" applyFont="1" applyBorder="1"/>
    <xf numFmtId="166" fontId="9" fillId="0" borderId="0" xfId="13" applyNumberFormat="1" applyFont="1" applyFill="1" applyBorder="1" applyAlignment="1" applyProtection="1">
      <alignment horizontal="left"/>
    </xf>
    <xf numFmtId="168" fontId="9" fillId="0" borderId="0" xfId="13" applyNumberFormat="1" applyFont="1" applyFill="1" applyBorder="1" applyAlignment="1" applyProtection="1">
      <alignment horizontal="left"/>
    </xf>
    <xf numFmtId="37" fontId="11" fillId="0" borderId="0" xfId="13" applyFont="1" applyFill="1" applyBorder="1" applyAlignment="1" applyProtection="1">
      <alignment horizontal="left"/>
    </xf>
    <xf numFmtId="37" fontId="48" fillId="0" borderId="0" xfId="0" applyFont="1" applyFill="1" applyBorder="1" applyAlignment="1">
      <alignment horizontal="left"/>
    </xf>
    <xf numFmtId="171" fontId="9" fillId="0" borderId="0" xfId="13" applyNumberFormat="1" applyFont="1" applyFill="1" applyBorder="1" applyAlignment="1" applyProtection="1">
      <alignment horizontal="left"/>
    </xf>
    <xf numFmtId="171" fontId="51" fillId="0" borderId="0" xfId="0" applyNumberFormat="1" applyFont="1" applyFill="1" applyBorder="1" applyAlignment="1">
      <alignment horizontal="left" indent="1"/>
    </xf>
    <xf numFmtId="171" fontId="51" fillId="0" borderId="0" xfId="13" applyNumberFormat="1" applyFont="1" applyFill="1" applyBorder="1" applyAlignment="1" applyProtection="1">
      <alignment horizontal="left"/>
    </xf>
    <xf numFmtId="174" fontId="47" fillId="0" borderId="0" xfId="14" applyNumberFormat="1" applyFont="1" applyFill="1" applyBorder="1" applyProtection="1"/>
    <xf numFmtId="177" fontId="47" fillId="0" borderId="0" xfId="13" applyNumberFormat="1" applyFont="1" applyFill="1" applyBorder="1"/>
    <xf numFmtId="165" fontId="51" fillId="0" borderId="3" xfId="43" applyNumberFormat="1" applyFont="1" applyFill="1" applyBorder="1" applyAlignment="1">
      <alignment horizontal="right"/>
    </xf>
    <xf numFmtId="165" fontId="51" fillId="0" borderId="0" xfId="43" applyNumberFormat="1" applyFont="1" applyFill="1" applyBorder="1" applyAlignment="1">
      <alignment horizontal="right"/>
    </xf>
    <xf numFmtId="165" fontId="51" fillId="0" borderId="10" xfId="43" applyNumberFormat="1" applyFont="1" applyFill="1" applyBorder="1" applyAlignment="1">
      <alignment horizontal="right"/>
    </xf>
    <xf numFmtId="174" fontId="9" fillId="0" borderId="5" xfId="0" applyNumberFormat="1" applyFont="1" applyBorder="1"/>
    <xf numFmtId="174" fontId="47" fillId="0" borderId="5" xfId="0" applyNumberFormat="1" applyFont="1" applyFill="1" applyBorder="1"/>
    <xf numFmtId="177" fontId="47" fillId="0" borderId="6" xfId="13" applyNumberFormat="1" applyFont="1" applyFill="1" applyBorder="1"/>
    <xf numFmtId="166" fontId="53" fillId="10" borderId="0" xfId="0" applyNumberFormat="1" applyFont="1" applyFill="1" applyBorder="1"/>
    <xf numFmtId="166" fontId="51" fillId="10" borderId="0" xfId="0" applyNumberFormat="1" applyFont="1" applyFill="1" applyBorder="1"/>
    <xf numFmtId="166" fontId="51" fillId="10" borderId="0" xfId="13" applyNumberFormat="1" applyFont="1" applyFill="1" applyBorder="1"/>
    <xf numFmtId="168" fontId="2" fillId="0" borderId="6" xfId="14" applyNumberFormat="1" applyFont="1" applyBorder="1"/>
    <xf numFmtId="14" fontId="9" fillId="0" borderId="0" xfId="0" applyNumberFormat="1" applyFont="1"/>
    <xf numFmtId="14" fontId="9" fillId="0" borderId="0" xfId="0" applyNumberFormat="1" applyFont="1" applyFill="1"/>
    <xf numFmtId="14" fontId="9" fillId="0" borderId="2" xfId="0" applyNumberFormat="1" applyFont="1" applyFill="1" applyBorder="1"/>
    <xf numFmtId="14" fontId="9" fillId="0" borderId="0" xfId="0" applyNumberFormat="1" applyFont="1" applyFill="1" applyBorder="1"/>
    <xf numFmtId="14" fontId="9" fillId="0" borderId="0" xfId="43" applyNumberFormat="1" applyFont="1" applyFill="1" applyBorder="1"/>
    <xf numFmtId="14" fontId="47" fillId="0" borderId="0" xfId="0" applyNumberFormat="1" applyFont="1"/>
    <xf numFmtId="14" fontId="47" fillId="0" borderId="0" xfId="0" applyNumberFormat="1" applyFont="1" applyFill="1"/>
    <xf numFmtId="14" fontId="47" fillId="0" borderId="0" xfId="0" applyNumberFormat="1" applyFont="1" applyFill="1" applyBorder="1"/>
    <xf numFmtId="14" fontId="47" fillId="0" borderId="0" xfId="43" applyNumberFormat="1" applyFont="1" applyFill="1" applyBorder="1"/>
    <xf numFmtId="166" fontId="51" fillId="0" borderId="0" xfId="0" applyNumberFormat="1" applyFont="1" applyFill="1" applyBorder="1"/>
    <xf numFmtId="166" fontId="53" fillId="0" borderId="7" xfId="0" applyNumberFormat="1" applyFont="1" applyFill="1" applyBorder="1" applyAlignment="1">
      <alignment horizontal="right"/>
    </xf>
    <xf numFmtId="165" fontId="50" fillId="0" borderId="0" xfId="0" applyNumberFormat="1" applyFont="1" applyFill="1" applyBorder="1"/>
    <xf numFmtId="166" fontId="54" fillId="0" borderId="7" xfId="0" applyNumberFormat="1" applyFont="1" applyFill="1" applyBorder="1" applyAlignment="1">
      <alignment horizontal="right"/>
    </xf>
    <xf numFmtId="166" fontId="54" fillId="0" borderId="3" xfId="0" applyNumberFormat="1" applyFont="1" applyFill="1" applyBorder="1" applyAlignment="1">
      <alignment horizontal="right"/>
    </xf>
    <xf numFmtId="37" fontId="9" fillId="0" borderId="0" xfId="13" applyFont="1" applyFill="1" applyBorder="1" applyProtection="1"/>
    <xf numFmtId="165" fontId="50" fillId="0" borderId="3" xfId="0" applyNumberFormat="1" applyFont="1" applyFill="1" applyBorder="1" applyAlignment="1">
      <alignment horizontal="left"/>
    </xf>
    <xf numFmtId="7" fontId="54" fillId="0" borderId="0" xfId="0" applyNumberFormat="1" applyFont="1" applyFill="1" applyBorder="1" applyAlignment="1">
      <alignment horizontal="right"/>
    </xf>
    <xf numFmtId="7" fontId="54" fillId="0" borderId="7" xfId="0" applyNumberFormat="1" applyFont="1" applyFill="1" applyBorder="1" applyAlignment="1">
      <alignment horizontal="right"/>
    </xf>
    <xf numFmtId="7" fontId="53" fillId="0" borderId="0" xfId="0" applyNumberFormat="1" applyFont="1" applyFill="1" applyBorder="1" applyAlignment="1">
      <alignment horizontal="right"/>
    </xf>
    <xf numFmtId="7" fontId="53" fillId="0" borderId="7" xfId="0" applyNumberFormat="1" applyFont="1" applyFill="1" applyBorder="1" applyAlignment="1">
      <alignment horizontal="right"/>
    </xf>
    <xf numFmtId="7" fontId="53" fillId="0" borderId="3" xfId="0" applyNumberFormat="1" applyFont="1" applyFill="1" applyBorder="1" applyAlignment="1">
      <alignment horizontal="right"/>
    </xf>
    <xf numFmtId="165" fontId="51" fillId="0" borderId="4" xfId="0" applyNumberFormat="1" applyFont="1" applyFill="1" applyBorder="1"/>
    <xf numFmtId="166" fontId="53" fillId="0" borderId="4" xfId="0" applyNumberFormat="1" applyFont="1" applyFill="1" applyBorder="1" applyAlignment="1">
      <alignment horizontal="right"/>
    </xf>
    <xf numFmtId="166" fontId="53" fillId="0" borderId="5" xfId="0" applyNumberFormat="1" applyFont="1" applyFill="1" applyBorder="1" applyAlignment="1">
      <alignment horizontal="right"/>
    </xf>
    <xf numFmtId="166" fontId="53" fillId="0" borderId="8" xfId="0" applyNumberFormat="1" applyFont="1" applyFill="1" applyBorder="1" applyAlignment="1">
      <alignment horizontal="right"/>
    </xf>
    <xf numFmtId="37" fontId="11" fillId="5" borderId="6" xfId="0" applyFont="1" applyFill="1" applyBorder="1" applyAlignment="1">
      <alignment horizontal="right"/>
    </xf>
    <xf numFmtId="174" fontId="47" fillId="0" borderId="10" xfId="0" applyNumberFormat="1" applyFont="1" applyBorder="1"/>
    <xf numFmtId="37" fontId="48" fillId="0" borderId="0" xfId="0" applyFont="1" applyFill="1" applyBorder="1" applyAlignment="1">
      <alignment horizontal="left" indent="1"/>
    </xf>
    <xf numFmtId="37" fontId="48" fillId="0" borderId="0" xfId="0" applyFont="1" applyFill="1" applyBorder="1" applyAlignment="1"/>
    <xf numFmtId="37" fontId="11" fillId="0" borderId="0" xfId="0" applyFont="1" applyFill="1" applyBorder="1" applyProtection="1"/>
    <xf numFmtId="174" fontId="54" fillId="0" borderId="0" xfId="0" applyNumberFormat="1" applyFont="1" applyFill="1" applyBorder="1"/>
    <xf numFmtId="37" fontId="9" fillId="0" borderId="0" xfId="0" applyFont="1" applyFill="1" applyBorder="1" applyProtection="1"/>
    <xf numFmtId="37" fontId="9" fillId="0" borderId="0" xfId="0" applyFont="1" applyFill="1" applyBorder="1" applyAlignment="1" applyProtection="1">
      <alignment horizontal="left" indent="1"/>
    </xf>
    <xf numFmtId="174" fontId="9" fillId="0" borderId="0" xfId="22" applyNumberFormat="1" applyFont="1" applyBorder="1" applyAlignment="1" applyProtection="1">
      <alignment horizontal="right"/>
    </xf>
    <xf numFmtId="174" fontId="47" fillId="0" borderId="0" xfId="22" applyNumberFormat="1" applyFont="1" applyFill="1" applyBorder="1" applyAlignment="1" applyProtection="1">
      <alignment horizontal="right"/>
    </xf>
    <xf numFmtId="174" fontId="9" fillId="0" borderId="0" xfId="22" applyNumberFormat="1" applyFont="1" applyFill="1" applyBorder="1" applyAlignment="1" applyProtection="1">
      <alignment horizontal="right"/>
    </xf>
    <xf numFmtId="174" fontId="9" fillId="0" borderId="7" xfId="22" applyNumberFormat="1" applyFont="1" applyBorder="1" applyAlignment="1" applyProtection="1">
      <alignment horizontal="right"/>
    </xf>
    <xf numFmtId="37" fontId="9" fillId="0" borderId="0" xfId="0" applyFont="1" applyFill="1" applyBorder="1" applyAlignment="1" applyProtection="1"/>
    <xf numFmtId="37" fontId="48" fillId="0" borderId="0" xfId="0" applyFont="1" applyFill="1" applyBorder="1" applyAlignment="1" applyProtection="1"/>
    <xf numFmtId="37" fontId="11" fillId="0" borderId="0" xfId="0" applyFont="1" applyFill="1" applyBorder="1" applyAlignment="1" applyProtection="1">
      <alignment horizontal="left"/>
    </xf>
    <xf numFmtId="166" fontId="51" fillId="0" borderId="4" xfId="0" applyNumberFormat="1" applyFont="1" applyFill="1" applyBorder="1" applyAlignment="1">
      <alignment horizontal="right"/>
    </xf>
    <xf numFmtId="7" fontId="51" fillId="0" borderId="0" xfId="0" applyNumberFormat="1" applyFont="1" applyFill="1" applyBorder="1" applyAlignment="1">
      <alignment horizontal="right"/>
    </xf>
    <xf numFmtId="7" fontId="11" fillId="0" borderId="0" xfId="0" applyNumberFormat="1" applyFont="1" applyFill="1" applyBorder="1" applyAlignment="1">
      <alignment horizontal="right"/>
    </xf>
    <xf numFmtId="177" fontId="9" fillId="0" borderId="0" xfId="13" applyNumberFormat="1" applyFont="1" applyFill="1" applyBorder="1"/>
    <xf numFmtId="10" fontId="9" fillId="0" borderId="0" xfId="43" applyNumberFormat="1" applyFont="1" applyFill="1" applyBorder="1" applyAlignment="1">
      <alignment horizontal="center"/>
    </xf>
    <xf numFmtId="171" fontId="9" fillId="0" borderId="0" xfId="43" applyNumberFormat="1" applyFont="1" applyFill="1" applyBorder="1" applyAlignment="1">
      <alignment horizontal="center"/>
    </xf>
    <xf numFmtId="165" fontId="51" fillId="0" borderId="3" xfId="0" applyNumberFormat="1" applyFont="1" applyFill="1" applyBorder="1" applyAlignment="1">
      <alignment horizontal="left"/>
    </xf>
    <xf numFmtId="166" fontId="51" fillId="0" borderId="10" xfId="0" applyNumberFormat="1" applyFont="1" applyFill="1" applyBorder="1" applyAlignment="1">
      <alignment horizontal="right"/>
    </xf>
    <xf numFmtId="165" fontId="51" fillId="0" borderId="8" xfId="0" applyNumberFormat="1" applyFont="1" applyFill="1" applyBorder="1" applyAlignment="1">
      <alignment horizontal="left"/>
    </xf>
    <xf numFmtId="166" fontId="51" fillId="0" borderId="9" xfId="0" applyNumberFormat="1" applyFont="1" applyFill="1" applyBorder="1" applyAlignment="1">
      <alignment horizontal="right"/>
    </xf>
    <xf numFmtId="7" fontId="51" fillId="0" borderId="10" xfId="0" applyNumberFormat="1" applyFont="1" applyFill="1" applyBorder="1" applyAlignment="1">
      <alignment horizontal="right"/>
    </xf>
    <xf numFmtId="7" fontId="11" fillId="0" borderId="10" xfId="0" applyNumberFormat="1" applyFont="1" applyFill="1" applyBorder="1" applyAlignment="1">
      <alignment horizontal="right"/>
    </xf>
    <xf numFmtId="166" fontId="51" fillId="0" borderId="3" xfId="0" applyNumberFormat="1" applyFont="1" applyFill="1" applyBorder="1" applyAlignment="1">
      <alignment horizontal="left" indent="1"/>
    </xf>
    <xf numFmtId="166" fontId="51" fillId="0" borderId="13" xfId="0" applyNumberFormat="1" applyFont="1" applyFill="1" applyBorder="1" applyAlignment="1">
      <alignment horizontal="left" indent="1"/>
    </xf>
    <xf numFmtId="165" fontId="51" fillId="0" borderId="2" xfId="43" applyFont="1" applyFill="1" applyBorder="1" applyAlignment="1">
      <alignment horizontal="right"/>
    </xf>
    <xf numFmtId="177" fontId="9" fillId="0" borderId="10" xfId="0" applyNumberFormat="1" applyFont="1" applyFill="1" applyBorder="1" applyAlignment="1">
      <alignment horizontal="right"/>
    </xf>
    <xf numFmtId="37" fontId="9" fillId="0" borderId="3" xfId="0" applyFont="1" applyFill="1" applyBorder="1" applyAlignment="1">
      <alignment horizontal="left"/>
    </xf>
    <xf numFmtId="174" fontId="51" fillId="0" borderId="10" xfId="0" applyNumberFormat="1" applyFont="1" applyFill="1" applyBorder="1" applyAlignment="1">
      <alignment horizontal="right"/>
    </xf>
    <xf numFmtId="37" fontId="48" fillId="0" borderId="3" xfId="0" applyFont="1" applyFill="1" applyBorder="1" applyAlignment="1">
      <alignment horizontal="left"/>
    </xf>
    <xf numFmtId="37" fontId="48" fillId="0" borderId="3" xfId="0" applyFont="1" applyFill="1" applyBorder="1" applyAlignment="1">
      <alignment horizontal="left" indent="1"/>
    </xf>
    <xf numFmtId="174" fontId="48" fillId="0" borderId="0" xfId="0" applyNumberFormat="1" applyFont="1" applyFill="1" applyBorder="1"/>
    <xf numFmtId="174" fontId="48" fillId="0" borderId="10" xfId="0" applyNumberFormat="1" applyFont="1" applyFill="1" applyBorder="1"/>
    <xf numFmtId="37" fontId="9" fillId="0" borderId="3" xfId="0" applyFont="1" applyFill="1" applyBorder="1" applyAlignment="1"/>
    <xf numFmtId="37" fontId="48" fillId="0" borderId="3" xfId="0" applyFont="1" applyFill="1" applyBorder="1" applyAlignment="1"/>
    <xf numFmtId="166" fontId="9" fillId="0" borderId="12" xfId="0" applyNumberFormat="1" applyFont="1" applyFill="1" applyBorder="1" applyAlignment="1">
      <alignment horizontal="right"/>
    </xf>
    <xf numFmtId="177" fontId="9" fillId="0" borderId="10" xfId="13" applyNumberFormat="1" applyFont="1" applyFill="1" applyBorder="1"/>
    <xf numFmtId="37" fontId="48" fillId="0" borderId="3" xfId="13" applyFont="1" applyFill="1" applyBorder="1" applyAlignment="1" applyProtection="1">
      <alignment horizontal="left"/>
    </xf>
    <xf numFmtId="37" fontId="11" fillId="0" borderId="3" xfId="0" applyFont="1" applyFill="1" applyBorder="1" applyProtection="1"/>
    <xf numFmtId="37" fontId="9" fillId="0" borderId="3" xfId="0" applyFont="1" applyFill="1" applyBorder="1" applyProtection="1"/>
    <xf numFmtId="37" fontId="9" fillId="0" borderId="3" xfId="0" applyFont="1" applyFill="1" applyBorder="1" applyAlignment="1" applyProtection="1">
      <alignment horizontal="left" indent="1"/>
    </xf>
    <xf numFmtId="166" fontId="9" fillId="0" borderId="3" xfId="13" applyNumberFormat="1" applyFont="1" applyFill="1" applyBorder="1" applyAlignment="1" applyProtection="1">
      <alignment horizontal="left"/>
    </xf>
    <xf numFmtId="168" fontId="9" fillId="0" borderId="3" xfId="13" applyNumberFormat="1" applyFont="1" applyFill="1" applyBorder="1" applyAlignment="1" applyProtection="1">
      <alignment horizontal="left"/>
    </xf>
    <xf numFmtId="171" fontId="9" fillId="0" borderId="10" xfId="43" applyNumberFormat="1" applyFont="1" applyFill="1" applyBorder="1"/>
    <xf numFmtId="37" fontId="49" fillId="0" borderId="3" xfId="0" applyFont="1" applyFill="1" applyBorder="1"/>
    <xf numFmtId="171" fontId="9" fillId="0" borderId="3" xfId="13" applyNumberFormat="1" applyFont="1" applyFill="1" applyBorder="1" applyAlignment="1" applyProtection="1">
      <alignment horizontal="left"/>
    </xf>
    <xf numFmtId="10" fontId="9" fillId="0" borderId="10" xfId="43" applyNumberFormat="1" applyFont="1" applyFill="1" applyBorder="1" applyAlignment="1">
      <alignment horizontal="center"/>
    </xf>
    <xf numFmtId="171" fontId="9" fillId="0" borderId="10" xfId="43" applyNumberFormat="1" applyFont="1" applyFill="1" applyBorder="1" applyAlignment="1">
      <alignment horizontal="center"/>
    </xf>
    <xf numFmtId="171" fontId="9" fillId="0" borderId="10" xfId="0" applyNumberFormat="1" applyFont="1" applyFill="1" applyBorder="1"/>
    <xf numFmtId="171" fontId="51" fillId="0" borderId="3" xfId="0" applyNumberFormat="1" applyFont="1" applyFill="1" applyBorder="1" applyAlignment="1">
      <alignment horizontal="left" indent="1"/>
    </xf>
    <xf numFmtId="10" fontId="9" fillId="0" borderId="10" xfId="0" applyNumberFormat="1" applyFont="1" applyFill="1" applyBorder="1"/>
    <xf numFmtId="171" fontId="51" fillId="0" borderId="3" xfId="13" applyNumberFormat="1" applyFont="1" applyFill="1" applyBorder="1" applyAlignment="1" applyProtection="1">
      <alignment horizontal="left"/>
    </xf>
    <xf numFmtId="165" fontId="51" fillId="0" borderId="10" xfId="0" applyNumberFormat="1" applyFont="1" applyFill="1" applyBorder="1"/>
    <xf numFmtId="37" fontId="9" fillId="0" borderId="3" xfId="0" applyFont="1" applyFill="1" applyBorder="1" applyAlignment="1" applyProtection="1"/>
    <xf numFmtId="37" fontId="48" fillId="0" borderId="3" xfId="0" applyFont="1" applyFill="1" applyBorder="1" applyAlignment="1" applyProtection="1"/>
    <xf numFmtId="37" fontId="11" fillId="0" borderId="3" xfId="0" applyFont="1" applyFill="1" applyBorder="1" applyAlignment="1" applyProtection="1">
      <alignment horizontal="left"/>
    </xf>
    <xf numFmtId="167" fontId="9" fillId="0" borderId="0" xfId="0" applyNumberFormat="1" applyFont="1" applyFill="1" applyBorder="1"/>
    <xf numFmtId="9" fontId="11" fillId="5" borderId="18" xfId="43" applyNumberFormat="1" applyFont="1" applyFill="1" applyBorder="1"/>
    <xf numFmtId="168" fontId="9" fillId="5" borderId="18" xfId="0" applyNumberFormat="1" applyFont="1" applyFill="1" applyBorder="1"/>
    <xf numFmtId="7" fontId="11" fillId="5" borderId="12" xfId="43" applyNumberFormat="1" applyFont="1" applyFill="1" applyBorder="1"/>
    <xf numFmtId="37" fontId="11" fillId="5" borderId="5" xfId="0" applyFont="1" applyFill="1" applyBorder="1" applyAlignment="1">
      <alignment horizontal="right"/>
    </xf>
    <xf numFmtId="7" fontId="9" fillId="5" borderId="7" xfId="14" applyNumberFormat="1" applyFont="1" applyFill="1" applyBorder="1" applyAlignment="1">
      <alignment horizontal="right"/>
    </xf>
    <xf numFmtId="39" fontId="9" fillId="5" borderId="7" xfId="14" applyNumberFormat="1" applyFont="1" applyFill="1" applyBorder="1" applyAlignment="1">
      <alignment horizontal="right"/>
    </xf>
    <xf numFmtId="165" fontId="9" fillId="5" borderId="18" xfId="43" applyFont="1" applyFill="1" applyBorder="1"/>
    <xf numFmtId="39" fontId="48" fillId="5" borderId="7" xfId="14" applyNumberFormat="1" applyFont="1" applyFill="1" applyBorder="1" applyAlignment="1">
      <alignment horizontal="right"/>
    </xf>
    <xf numFmtId="7" fontId="11" fillId="5" borderId="7" xfId="14" applyNumberFormat="1" applyFont="1" applyFill="1" applyBorder="1" applyAlignment="1">
      <alignment horizontal="right"/>
    </xf>
    <xf numFmtId="37" fontId="48" fillId="5" borderId="6" xfId="0" applyFont="1" applyFill="1" applyBorder="1" applyAlignment="1">
      <alignment horizontal="right"/>
    </xf>
    <xf numFmtId="39" fontId="11" fillId="5" borderId="7" xfId="14" applyNumberFormat="1" applyFont="1" applyFill="1" applyBorder="1" applyAlignment="1">
      <alignment horizontal="right"/>
    </xf>
    <xf numFmtId="7" fontId="11" fillId="5" borderId="46" xfId="14" applyNumberFormat="1" applyFont="1" applyFill="1" applyBorder="1" applyAlignment="1">
      <alignment horizontal="right"/>
    </xf>
    <xf numFmtId="37" fontId="11" fillId="5" borderId="21" xfId="13" applyFont="1" applyFill="1" applyBorder="1" applyAlignment="1" applyProtection="1">
      <alignment horizontal="left"/>
    </xf>
    <xf numFmtId="166" fontId="11" fillId="5" borderId="22" xfId="0" applyNumberFormat="1" applyFont="1" applyFill="1" applyBorder="1" applyAlignment="1">
      <alignment horizontal="right"/>
    </xf>
    <xf numFmtId="37" fontId="11" fillId="5" borderId="22" xfId="0" applyFont="1" applyFill="1" applyBorder="1" applyAlignment="1">
      <alignment horizontal="right"/>
    </xf>
    <xf numFmtId="168" fontId="11" fillId="5" borderId="22" xfId="0" applyNumberFormat="1" applyFont="1" applyFill="1" applyBorder="1" applyAlignment="1">
      <alignment horizontal="right"/>
    </xf>
    <xf numFmtId="165" fontId="11" fillId="5" borderId="22" xfId="43" applyFont="1" applyFill="1" applyBorder="1" applyAlignment="1">
      <alignment horizontal="right"/>
    </xf>
    <xf numFmtId="165" fontId="54" fillId="0" borderId="0" xfId="43" applyFont="1" applyFill="1" applyBorder="1" applyAlignment="1">
      <alignment horizontal="right"/>
    </xf>
    <xf numFmtId="174" fontId="81" fillId="0" borderId="0" xfId="0" applyNumberFormat="1" applyFont="1" applyBorder="1" applyAlignment="1">
      <alignment horizontal="right"/>
    </xf>
    <xf numFmtId="174" fontId="81" fillId="0" borderId="3" xfId="0" applyNumberFormat="1" applyFont="1" applyBorder="1" applyAlignment="1">
      <alignment horizontal="right"/>
    </xf>
    <xf numFmtId="174" fontId="82" fillId="0" borderId="0" xfId="22" applyNumberFormat="1" applyFont="1" applyFill="1" applyBorder="1" applyAlignment="1" applyProtection="1">
      <alignment horizontal="right"/>
    </xf>
    <xf numFmtId="174" fontId="82" fillId="0" borderId="0" xfId="0" applyNumberFormat="1" applyFont="1" applyFill="1" applyBorder="1" applyAlignment="1">
      <alignment horizontal="right"/>
    </xf>
    <xf numFmtId="174" fontId="47" fillId="0" borderId="10" xfId="0" applyNumberFormat="1" applyFont="1" applyFill="1" applyBorder="1" applyAlignment="1">
      <alignment horizontal="right"/>
    </xf>
    <xf numFmtId="5" fontId="55" fillId="0" borderId="0" xfId="0" applyNumberFormat="1" applyFont="1" applyFill="1" applyBorder="1" applyAlignment="1">
      <alignment horizontal="right"/>
    </xf>
    <xf numFmtId="37" fontId="83" fillId="0" borderId="0" xfId="0" applyNumberFormat="1" applyFont="1" applyFill="1" applyBorder="1" applyAlignment="1">
      <alignment horizontal="right"/>
    </xf>
    <xf numFmtId="174" fontId="82" fillId="0" borderId="0" xfId="0" applyNumberFormat="1" applyFont="1" applyFill="1" applyBorder="1"/>
    <xf numFmtId="5" fontId="82" fillId="0" borderId="0" xfId="0" applyNumberFormat="1" applyFont="1" applyBorder="1" applyAlignment="1">
      <alignment horizontal="right"/>
    </xf>
    <xf numFmtId="174" fontId="83" fillId="0" borderId="0" xfId="0" applyNumberFormat="1" applyFont="1" applyFill="1" applyBorder="1"/>
    <xf numFmtId="174" fontId="82" fillId="0" borderId="3" xfId="0" applyNumberFormat="1" applyFont="1" applyFill="1" applyBorder="1"/>
    <xf numFmtId="5" fontId="53" fillId="0" borderId="0" xfId="14" applyFont="1" applyFill="1" applyBorder="1"/>
    <xf numFmtId="166" fontId="11" fillId="13" borderId="0" xfId="0" applyNumberFormat="1" applyFont="1" applyFill="1" applyBorder="1"/>
    <xf numFmtId="37" fontId="9" fillId="13" borderId="3" xfId="13" applyFont="1" applyFill="1" applyBorder="1" applyAlignment="1" applyProtection="1">
      <alignment horizontal="left"/>
    </xf>
    <xf numFmtId="166" fontId="9" fillId="13" borderId="0" xfId="0" applyNumberFormat="1" applyFont="1" applyFill="1" applyBorder="1"/>
    <xf numFmtId="166" fontId="9" fillId="13" borderId="0" xfId="0" applyNumberFormat="1" applyFont="1" applyFill="1" applyBorder="1" applyAlignment="1">
      <alignment horizontal="right"/>
    </xf>
    <xf numFmtId="39" fontId="9" fillId="13" borderId="0" xfId="0" applyNumberFormat="1" applyFont="1" applyFill="1" applyBorder="1" applyAlignment="1">
      <alignment horizontal="right"/>
    </xf>
    <xf numFmtId="174" fontId="47" fillId="0" borderId="3" xfId="0" applyNumberFormat="1" applyFont="1" applyBorder="1" applyAlignment="1">
      <alignment horizontal="right"/>
    </xf>
    <xf numFmtId="165" fontId="70" fillId="0" borderId="0" xfId="43" applyFont="1" applyFill="1" applyBorder="1" applyAlignment="1">
      <alignment horizontal="right"/>
    </xf>
    <xf numFmtId="0" fontId="9" fillId="0" borderId="2" xfId="0" applyNumberFormat="1" applyFont="1" applyFill="1" applyBorder="1" applyAlignment="1">
      <alignment horizontal="right"/>
    </xf>
    <xf numFmtId="0" fontId="11" fillId="0" borderId="2" xfId="0" applyNumberFormat="1" applyFont="1" applyFill="1" applyBorder="1" applyAlignment="1">
      <alignment horizontal="right"/>
    </xf>
    <xf numFmtId="176" fontId="11" fillId="0" borderId="0" xfId="0" applyNumberFormat="1" applyFont="1" applyFill="1" applyBorder="1"/>
    <xf numFmtId="37" fontId="11" fillId="0" borderId="11" xfId="0" quotePrefix="1" applyFont="1" applyFill="1" applyBorder="1"/>
    <xf numFmtId="37" fontId="47" fillId="0" borderId="18" xfId="0" applyFont="1" applyFill="1" applyBorder="1"/>
    <xf numFmtId="5" fontId="11" fillId="0" borderId="18" xfId="0" applyNumberFormat="1" applyFont="1" applyFill="1" applyBorder="1"/>
    <xf numFmtId="5" fontId="11" fillId="0" borderId="12" xfId="0" applyNumberFormat="1" applyFont="1" applyFill="1" applyBorder="1"/>
    <xf numFmtId="41" fontId="47" fillId="0" borderId="0" xfId="0" applyNumberFormat="1" applyFont="1" applyFill="1"/>
    <xf numFmtId="41" fontId="11" fillId="0" borderId="18" xfId="0" applyNumberFormat="1" applyFont="1" applyFill="1" applyBorder="1"/>
    <xf numFmtId="41" fontId="11" fillId="0" borderId="12" xfId="0" applyNumberFormat="1" applyFont="1" applyFill="1" applyBorder="1"/>
    <xf numFmtId="37" fontId="11" fillId="0" borderId="11" xfId="0" applyFont="1" applyFill="1" applyBorder="1"/>
    <xf numFmtId="41" fontId="11" fillId="0" borderId="0" xfId="0" applyNumberFormat="1" applyFont="1" applyFill="1" applyBorder="1"/>
    <xf numFmtId="165" fontId="84" fillId="0" borderId="0" xfId="0" applyNumberFormat="1" applyFont="1" applyBorder="1" applyAlignment="1">
      <alignment horizontal="right"/>
    </xf>
    <xf numFmtId="165" fontId="51" fillId="5" borderId="3" xfId="0" applyNumberFormat="1" applyFont="1" applyFill="1" applyBorder="1" applyAlignment="1">
      <alignment horizontal="left" indent="1"/>
    </xf>
    <xf numFmtId="165" fontId="51" fillId="5" borderId="0" xfId="0" applyNumberFormat="1" applyFont="1" applyFill="1" applyBorder="1"/>
    <xf numFmtId="165" fontId="51" fillId="5" borderId="0" xfId="0" applyNumberFormat="1" applyFont="1" applyFill="1" applyBorder="1" applyAlignment="1">
      <alignment horizontal="right"/>
    </xf>
    <xf numFmtId="165" fontId="51" fillId="5" borderId="7" xfId="0" applyNumberFormat="1" applyFont="1" applyFill="1" applyBorder="1" applyAlignment="1">
      <alignment horizontal="right"/>
    </xf>
    <xf numFmtId="165" fontId="51" fillId="5" borderId="13" xfId="0" applyNumberFormat="1" applyFont="1" applyFill="1" applyBorder="1" applyAlignment="1">
      <alignment horizontal="left"/>
    </xf>
    <xf numFmtId="165" fontId="51" fillId="5" borderId="2" xfId="0" applyNumberFormat="1" applyFont="1" applyFill="1" applyBorder="1"/>
    <xf numFmtId="166" fontId="53" fillId="5" borderId="2" xfId="0" applyNumberFormat="1" applyFont="1" applyFill="1" applyBorder="1" applyAlignment="1">
      <alignment horizontal="right"/>
    </xf>
    <xf numFmtId="166" fontId="53" fillId="5" borderId="6" xfId="0" applyNumberFormat="1" applyFont="1" applyFill="1" applyBorder="1" applyAlignment="1">
      <alignment horizontal="right"/>
    </xf>
    <xf numFmtId="166" fontId="53" fillId="5" borderId="13" xfId="0" applyNumberFormat="1" applyFont="1" applyFill="1" applyBorder="1" applyAlignment="1">
      <alignment horizontal="right"/>
    </xf>
    <xf numFmtId="174" fontId="11" fillId="5" borderId="7" xfId="0" applyNumberFormat="1" applyFont="1" applyFill="1" applyBorder="1" applyAlignment="1">
      <alignment horizontal="right"/>
    </xf>
    <xf numFmtId="37" fontId="11" fillId="0" borderId="8" xfId="0" applyFont="1" applyFill="1" applyBorder="1" applyProtection="1"/>
    <xf numFmtId="37" fontId="11" fillId="0" borderId="4" xfId="0" applyFont="1" applyFill="1" applyBorder="1" applyAlignment="1">
      <alignment horizontal="right"/>
    </xf>
    <xf numFmtId="0" fontId="11" fillId="0" borderId="5" xfId="0" applyNumberFormat="1" applyFont="1" applyFill="1" applyBorder="1" applyAlignment="1">
      <alignment horizontal="right"/>
    </xf>
    <xf numFmtId="0" fontId="11" fillId="0" borderId="4" xfId="0" applyNumberFormat="1" applyFont="1" applyFill="1" applyBorder="1" applyAlignment="1">
      <alignment horizontal="right"/>
    </xf>
    <xf numFmtId="164" fontId="11" fillId="0" borderId="8" xfId="0" applyNumberFormat="1" applyFont="1" applyFill="1" applyBorder="1" applyAlignment="1" applyProtection="1">
      <alignment horizontal="right"/>
    </xf>
    <xf numFmtId="164" fontId="11" fillId="0" borderId="4" xfId="0" applyNumberFormat="1" applyFont="1" applyFill="1" applyBorder="1" applyAlignment="1" applyProtection="1">
      <alignment horizontal="right"/>
    </xf>
    <xf numFmtId="164" fontId="11" fillId="0" borderId="5" xfId="0" applyNumberFormat="1" applyFont="1" applyFill="1" applyBorder="1" applyAlignment="1" applyProtection="1">
      <alignment horizontal="right"/>
    </xf>
    <xf numFmtId="164" fontId="11" fillId="0" borderId="9" xfId="0" applyNumberFormat="1" applyFont="1" applyFill="1" applyBorder="1" applyAlignment="1" applyProtection="1">
      <alignment horizontal="right"/>
    </xf>
    <xf numFmtId="37" fontId="49" fillId="0" borderId="8" xfId="0" applyFont="1" applyFill="1" applyBorder="1" applyProtection="1"/>
    <xf numFmtId="0" fontId="11" fillId="0" borderId="10" xfId="0" applyNumberFormat="1" applyFont="1" applyFill="1" applyBorder="1" applyAlignment="1">
      <alignment horizontal="right"/>
    </xf>
    <xf numFmtId="37" fontId="49" fillId="0" borderId="3" xfId="0" applyFont="1" applyFill="1" applyBorder="1" applyProtection="1"/>
    <xf numFmtId="37" fontId="49" fillId="0" borderId="0" xfId="0" applyFont="1" applyFill="1" applyBorder="1" applyProtection="1"/>
    <xf numFmtId="37" fontId="49" fillId="0" borderId="7" xfId="0" applyFont="1" applyFill="1" applyBorder="1" applyProtection="1"/>
    <xf numFmtId="166" fontId="47" fillId="0" borderId="0" xfId="0" applyNumberFormat="1" applyFont="1" applyAlignment="1">
      <alignment horizontal="left"/>
    </xf>
    <xf numFmtId="7" fontId="47" fillId="0" borderId="0" xfId="0" applyNumberFormat="1" applyFont="1" applyAlignment="1">
      <alignment horizontal="left"/>
    </xf>
    <xf numFmtId="37" fontId="47" fillId="0" borderId="0" xfId="0" applyFont="1" applyAlignment="1">
      <alignment horizontal="left"/>
    </xf>
    <xf numFmtId="37" fontId="9" fillId="0" borderId="0" xfId="0" applyFont="1" applyFill="1" applyAlignment="1">
      <alignment horizontal="left"/>
    </xf>
    <xf numFmtId="37" fontId="51" fillId="0" borderId="0" xfId="0" applyFont="1" applyAlignment="1">
      <alignment horizontal="left"/>
    </xf>
    <xf numFmtId="0" fontId="11" fillId="0" borderId="0" xfId="0" applyNumberFormat="1" applyFont="1" applyFill="1"/>
    <xf numFmtId="166" fontId="54" fillId="0" borderId="0" xfId="0" applyNumberFormat="1" applyFont="1" applyFill="1" applyBorder="1"/>
    <xf numFmtId="166" fontId="54" fillId="0" borderId="0" xfId="0" applyNumberFormat="1" applyFont="1" applyFill="1"/>
    <xf numFmtId="168" fontId="47" fillId="0" borderId="0" xfId="0" applyNumberFormat="1" applyFont="1" applyFill="1"/>
    <xf numFmtId="168" fontId="11" fillId="5" borderId="8" xfId="0" applyNumberFormat="1" applyFont="1" applyFill="1" applyBorder="1" applyAlignment="1"/>
    <xf numFmtId="168" fontId="9" fillId="5" borderId="4" xfId="0" applyNumberFormat="1" applyFont="1" applyFill="1" applyBorder="1"/>
    <xf numFmtId="168" fontId="11" fillId="5" borderId="4" xfId="0" applyNumberFormat="1" applyFont="1" applyFill="1" applyBorder="1"/>
    <xf numFmtId="168" fontId="11" fillId="5" borderId="5" xfId="0" applyNumberFormat="1" applyFont="1" applyFill="1" applyBorder="1"/>
    <xf numFmtId="168" fontId="11" fillId="5" borderId="8" xfId="0" applyNumberFormat="1" applyFont="1" applyFill="1" applyBorder="1"/>
    <xf numFmtId="168" fontId="11" fillId="5" borderId="9" xfId="0" applyNumberFormat="1" applyFont="1" applyFill="1" applyBorder="1"/>
    <xf numFmtId="168" fontId="9" fillId="0" borderId="0" xfId="43" applyNumberFormat="1" applyFont="1" applyFill="1" applyBorder="1" applyAlignment="1">
      <alignment horizontal="right"/>
    </xf>
    <xf numFmtId="168" fontId="11" fillId="0" borderId="0" xfId="0" applyNumberFormat="1" applyFont="1" applyFill="1" applyBorder="1" applyAlignment="1">
      <alignment horizontal="right"/>
    </xf>
    <xf numFmtId="168" fontId="9" fillId="0" borderId="0" xfId="0" applyNumberFormat="1" applyFont="1" applyFill="1"/>
    <xf numFmtId="168" fontId="9" fillId="5" borderId="18" xfId="0" applyNumberFormat="1" applyFont="1" applyFill="1" applyBorder="1" applyAlignment="1">
      <alignment horizontal="right"/>
    </xf>
    <xf numFmtId="168" fontId="9" fillId="5" borderId="24" xfId="0" applyNumberFormat="1" applyFont="1" applyFill="1" applyBorder="1" applyAlignment="1">
      <alignment horizontal="right"/>
    </xf>
    <xf numFmtId="168" fontId="11" fillId="5" borderId="18" xfId="0" applyNumberFormat="1" applyFont="1" applyFill="1" applyBorder="1" applyAlignment="1">
      <alignment horizontal="right"/>
    </xf>
    <xf numFmtId="168" fontId="11" fillId="5" borderId="24" xfId="0" applyNumberFormat="1" applyFont="1" applyFill="1" applyBorder="1" applyAlignment="1">
      <alignment horizontal="right"/>
    </xf>
    <xf numFmtId="168" fontId="11" fillId="5" borderId="18" xfId="13" applyNumberFormat="1" applyFont="1" applyFill="1" applyBorder="1" applyAlignment="1">
      <alignment horizontal="right"/>
    </xf>
    <xf numFmtId="168" fontId="11" fillId="5" borderId="11" xfId="0" applyNumberFormat="1" applyFont="1" applyFill="1" applyBorder="1" applyAlignment="1">
      <alignment horizontal="right"/>
    </xf>
    <xf numFmtId="168" fontId="11" fillId="5" borderId="12" xfId="0" applyNumberFormat="1" applyFont="1" applyFill="1" applyBorder="1" applyAlignment="1">
      <alignment horizontal="right"/>
    </xf>
    <xf numFmtId="168" fontId="11" fillId="0" borderId="3" xfId="0" applyNumberFormat="1" applyFont="1" applyBorder="1" applyAlignment="1"/>
    <xf numFmtId="168" fontId="11" fillId="0" borderId="0" xfId="0" applyNumberFormat="1" applyFont="1" applyFill="1"/>
    <xf numFmtId="168" fontId="11" fillId="0" borderId="3" xfId="0" applyNumberFormat="1" applyFont="1" applyBorder="1"/>
    <xf numFmtId="168" fontId="11" fillId="0" borderId="11" xfId="0" applyNumberFormat="1" applyFont="1" applyBorder="1"/>
    <xf numFmtId="168" fontId="9" fillId="0" borderId="18" xfId="0" applyNumberFormat="1" applyFont="1" applyBorder="1"/>
    <xf numFmtId="168" fontId="11" fillId="0" borderId="18" xfId="0" applyNumberFormat="1" applyFont="1" applyBorder="1"/>
    <xf numFmtId="168" fontId="11" fillId="0" borderId="24" xfId="0" applyNumberFormat="1" applyFont="1" applyBorder="1"/>
    <xf numFmtId="168" fontId="11" fillId="0" borderId="18" xfId="0" applyNumberFormat="1" applyFont="1" applyFill="1" applyBorder="1"/>
    <xf numFmtId="168" fontId="11" fillId="0" borderId="24" xfId="0" applyNumberFormat="1" applyFont="1" applyFill="1" applyBorder="1"/>
    <xf numFmtId="168" fontId="11" fillId="0" borderId="11" xfId="0" applyNumberFormat="1" applyFont="1" applyFill="1" applyBorder="1"/>
    <xf numFmtId="168" fontId="11" fillId="0" borderId="12" xfId="0" applyNumberFormat="1" applyFont="1" applyFill="1" applyBorder="1"/>
    <xf numFmtId="168" fontId="11" fillId="5" borderId="11" xfId="0" applyNumberFormat="1" applyFont="1" applyFill="1" applyBorder="1" applyAlignment="1">
      <alignment horizontal="left"/>
    </xf>
    <xf numFmtId="37" fontId="85" fillId="0" borderId="3" xfId="0" applyFont="1" applyBorder="1"/>
    <xf numFmtId="37" fontId="85" fillId="0" borderId="3" xfId="13" applyFont="1" applyBorder="1" applyAlignment="1" applyProtection="1">
      <alignment horizontal="left"/>
    </xf>
    <xf numFmtId="165" fontId="53" fillId="0" borderId="8" xfId="0" applyNumberFormat="1" applyFont="1" applyFill="1" applyBorder="1" applyAlignment="1">
      <alignment horizontal="right"/>
    </xf>
    <xf numFmtId="174" fontId="82" fillId="0" borderId="0" xfId="0" applyNumberFormat="1" applyFont="1" applyBorder="1" applyAlignment="1">
      <alignment horizontal="right"/>
    </xf>
    <xf numFmtId="166" fontId="82" fillId="0" borderId="0" xfId="0" applyNumberFormat="1" applyFont="1" applyFill="1" applyBorder="1" applyAlignment="1">
      <alignment horizontal="right"/>
    </xf>
    <xf numFmtId="174" fontId="47" fillId="0" borderId="2" xfId="0" applyNumberFormat="1" applyFont="1" applyFill="1" applyBorder="1" applyAlignment="1">
      <alignment horizontal="right"/>
    </xf>
    <xf numFmtId="174" fontId="47" fillId="0" borderId="14" xfId="0" applyNumberFormat="1" applyFont="1" applyFill="1" applyBorder="1" applyAlignment="1">
      <alignment horizontal="right"/>
    </xf>
    <xf numFmtId="174" fontId="47" fillId="0" borderId="13" xfId="0" applyNumberFormat="1" applyFont="1" applyFill="1" applyBorder="1" applyAlignment="1">
      <alignment horizontal="right"/>
    </xf>
    <xf numFmtId="166" fontId="47" fillId="0" borderId="10" xfId="0" applyNumberFormat="1" applyFont="1" applyBorder="1" applyAlignment="1">
      <alignment horizontal="right"/>
    </xf>
    <xf numFmtId="37" fontId="9" fillId="0" borderId="5" xfId="0" applyFont="1" applyFill="1" applyBorder="1" applyAlignment="1">
      <alignment horizontal="right"/>
    </xf>
    <xf numFmtId="37" fontId="9" fillId="0" borderId="9" xfId="0" applyFont="1" applyFill="1" applyBorder="1" applyAlignment="1">
      <alignment horizontal="right"/>
    </xf>
    <xf numFmtId="37" fontId="9" fillId="0" borderId="0" xfId="0" applyFont="1" applyFill="1" applyBorder="1" applyAlignment="1">
      <alignment horizontal="left" indent="1"/>
    </xf>
    <xf numFmtId="165" fontId="9" fillId="0" borderId="7" xfId="43" applyFont="1" applyFill="1" applyBorder="1"/>
    <xf numFmtId="165" fontId="9" fillId="0" borderId="3" xfId="43" applyFont="1" applyFill="1" applyBorder="1"/>
    <xf numFmtId="165" fontId="82" fillId="0" borderId="0" xfId="43" applyFont="1" applyFill="1"/>
    <xf numFmtId="165" fontId="82" fillId="0" borderId="7" xfId="43" applyFont="1" applyFill="1" applyBorder="1"/>
    <xf numFmtId="165" fontId="82" fillId="0" borderId="3" xfId="43" applyFont="1" applyFill="1" applyBorder="1"/>
    <xf numFmtId="165" fontId="82" fillId="0" borderId="0" xfId="43" applyFont="1" applyFill="1" applyBorder="1"/>
    <xf numFmtId="165" fontId="82" fillId="0" borderId="7" xfId="43" applyFont="1" applyBorder="1"/>
    <xf numFmtId="165" fontId="82" fillId="0" borderId="3" xfId="43" applyFont="1" applyBorder="1"/>
    <xf numFmtId="165" fontId="47" fillId="0" borderId="0" xfId="43" applyFont="1" applyBorder="1"/>
    <xf numFmtId="165" fontId="83" fillId="0" borderId="7" xfId="43" applyFont="1" applyBorder="1"/>
    <xf numFmtId="166" fontId="9" fillId="0" borderId="3" xfId="14" applyNumberFormat="1" applyFont="1" applyBorder="1" applyAlignment="1" applyProtection="1">
      <alignment horizontal="left"/>
    </xf>
    <xf numFmtId="166" fontId="9" fillId="0" borderId="0" xfId="43" applyNumberFormat="1" applyFont="1" applyFill="1" applyBorder="1" applyAlignment="1">
      <alignment horizontal="right"/>
    </xf>
    <xf numFmtId="168" fontId="9" fillId="0" borderId="3" xfId="14" applyNumberFormat="1" applyFont="1" applyBorder="1" applyAlignment="1" applyProtection="1">
      <alignment horizontal="left"/>
    </xf>
    <xf numFmtId="168" fontId="9" fillId="0" borderId="0" xfId="0" quotePrefix="1" applyNumberFormat="1" applyFont="1" applyBorder="1" applyAlignment="1">
      <alignment horizontal="right"/>
    </xf>
    <xf numFmtId="168" fontId="11" fillId="5" borderId="11" xfId="0" applyNumberFormat="1" applyFont="1" applyFill="1" applyBorder="1" applyProtection="1"/>
    <xf numFmtId="168" fontId="81" fillId="5" borderId="18" xfId="0" applyNumberFormat="1" applyFont="1" applyFill="1" applyBorder="1" applyAlignment="1">
      <alignment horizontal="right"/>
    </xf>
    <xf numFmtId="168" fontId="81" fillId="5" borderId="11" xfId="0" applyNumberFormat="1" applyFont="1" applyFill="1" applyBorder="1" applyAlignment="1">
      <alignment horizontal="right"/>
    </xf>
    <xf numFmtId="174" fontId="83" fillId="0" borderId="7" xfId="22" applyNumberFormat="1" applyFont="1" applyFill="1" applyBorder="1" applyAlignment="1" applyProtection="1">
      <alignment horizontal="right"/>
    </xf>
    <xf numFmtId="166" fontId="82" fillId="0" borderId="0" xfId="0" applyNumberFormat="1" applyFont="1" applyBorder="1" applyAlignment="1">
      <alignment horizontal="right"/>
    </xf>
    <xf numFmtId="166" fontId="47" fillId="0" borderId="13" xfId="0" applyNumberFormat="1" applyFont="1" applyFill="1" applyBorder="1" applyAlignment="1">
      <alignment horizontal="right"/>
    </xf>
    <xf numFmtId="166" fontId="47" fillId="0" borderId="14" xfId="0" applyNumberFormat="1" applyFont="1" applyFill="1" applyBorder="1" applyAlignment="1">
      <alignment horizontal="right"/>
    </xf>
    <xf numFmtId="41" fontId="9" fillId="13" borderId="0" xfId="13" applyNumberFormat="1" applyFont="1" applyFill="1" applyBorder="1" applyAlignment="1">
      <alignment horizontal="right"/>
    </xf>
    <xf numFmtId="0" fontId="11" fillId="0" borderId="18" xfId="0" applyNumberFormat="1" applyFont="1" applyFill="1" applyBorder="1" applyAlignment="1">
      <alignment horizontal="right"/>
    </xf>
    <xf numFmtId="0" fontId="11" fillId="0" borderId="12" xfId="0" applyNumberFormat="1" applyFont="1" applyFill="1" applyBorder="1" applyAlignment="1">
      <alignment horizontal="right"/>
    </xf>
    <xf numFmtId="168" fontId="11" fillId="0" borderId="18" xfId="0" applyNumberFormat="1" applyFont="1" applyFill="1" applyBorder="1" applyAlignment="1">
      <alignment horizontal="right"/>
    </xf>
    <xf numFmtId="168" fontId="11" fillId="0" borderId="12" xfId="0" applyNumberFormat="1" applyFont="1" applyFill="1" applyBorder="1" applyAlignment="1">
      <alignment horizontal="right"/>
    </xf>
    <xf numFmtId="168" fontId="9" fillId="0" borderId="3" xfId="0" applyNumberFormat="1" applyFont="1" applyFill="1" applyBorder="1" applyAlignment="1">
      <alignment horizontal="left" indent="1"/>
    </xf>
    <xf numFmtId="168" fontId="11" fillId="0" borderId="11" xfId="0" applyNumberFormat="1" applyFont="1" applyFill="1" applyBorder="1" applyAlignment="1"/>
    <xf numFmtId="37" fontId="51" fillId="0" borderId="13" xfId="0" applyFont="1" applyFill="1" applyBorder="1" applyAlignment="1">
      <alignment horizontal="left" indent="1"/>
    </xf>
    <xf numFmtId="37" fontId="11" fillId="0" borderId="3" xfId="0" applyFont="1" applyFill="1" applyBorder="1" applyAlignment="1"/>
    <xf numFmtId="168" fontId="11" fillId="0" borderId="10" xfId="0" applyNumberFormat="1" applyFont="1" applyFill="1" applyBorder="1" applyAlignment="1">
      <alignment horizontal="right"/>
    </xf>
    <xf numFmtId="168" fontId="11" fillId="0" borderId="3" xfId="0" applyNumberFormat="1" applyFont="1" applyFill="1" applyBorder="1" applyAlignment="1"/>
    <xf numFmtId="37" fontId="9" fillId="0" borderId="3" xfId="13" applyFont="1" applyFill="1" applyBorder="1" applyAlignment="1" applyProtection="1">
      <alignment horizontal="left" indent="1"/>
    </xf>
    <xf numFmtId="168" fontId="11" fillId="0" borderId="11" xfId="0" applyNumberFormat="1" applyFont="1" applyFill="1" applyBorder="1" applyAlignment="1">
      <alignment horizontal="left"/>
    </xf>
    <xf numFmtId="37" fontId="11" fillId="0" borderId="3" xfId="0" applyFont="1" applyFill="1" applyBorder="1" applyAlignment="1">
      <alignment horizontal="left"/>
    </xf>
    <xf numFmtId="37" fontId="11" fillId="0" borderId="8" xfId="0" applyFont="1" applyFill="1" applyBorder="1"/>
    <xf numFmtId="7" fontId="11" fillId="0" borderId="4" xfId="0" applyNumberFormat="1" applyFont="1" applyFill="1" applyBorder="1"/>
    <xf numFmtId="7" fontId="11" fillId="0" borderId="9" xfId="0" applyNumberFormat="1" applyFont="1" applyFill="1" applyBorder="1"/>
    <xf numFmtId="7" fontId="11" fillId="0" borderId="2" xfId="0" applyNumberFormat="1" applyFont="1" applyFill="1" applyBorder="1"/>
    <xf numFmtId="7" fontId="11" fillId="0" borderId="14" xfId="0" applyNumberFormat="1" applyFont="1" applyFill="1" applyBorder="1"/>
    <xf numFmtId="7" fontId="9" fillId="0" borderId="0" xfId="43" applyNumberFormat="1" applyFont="1" applyFill="1" applyBorder="1" applyAlignment="1">
      <alignment horizontal="right"/>
    </xf>
    <xf numFmtId="7" fontId="9" fillId="0" borderId="10" xfId="43" applyNumberFormat="1" applyFont="1" applyFill="1" applyBorder="1" applyAlignment="1">
      <alignment horizontal="right"/>
    </xf>
    <xf numFmtId="37" fontId="11" fillId="0" borderId="12" xfId="0" applyFont="1" applyFill="1" applyBorder="1" applyAlignment="1">
      <alignment horizontal="right"/>
    </xf>
    <xf numFmtId="166" fontId="9" fillId="0" borderId="3" xfId="0" quotePrefix="1" applyNumberFormat="1" applyFont="1" applyFill="1" applyBorder="1"/>
    <xf numFmtId="166" fontId="11" fillId="0" borderId="11" xfId="0" applyNumberFormat="1" applyFont="1" applyFill="1" applyBorder="1"/>
    <xf numFmtId="166" fontId="11" fillId="0" borderId="18" xfId="0" applyNumberFormat="1" applyFont="1" applyFill="1" applyBorder="1"/>
    <xf numFmtId="166" fontId="11" fillId="0" borderId="12" xfId="0" applyNumberFormat="1" applyFont="1" applyFill="1" applyBorder="1"/>
    <xf numFmtId="174" fontId="51" fillId="0" borderId="14" xfId="0" applyNumberFormat="1" applyFont="1" applyFill="1" applyBorder="1"/>
    <xf numFmtId="37" fontId="11" fillId="0" borderId="11" xfId="0" applyFont="1" applyFill="1" applyBorder="1" applyProtection="1"/>
    <xf numFmtId="168" fontId="9" fillId="0" borderId="3" xfId="14" applyNumberFormat="1" applyFont="1" applyFill="1" applyBorder="1" applyAlignment="1" applyProtection="1">
      <alignment horizontal="left"/>
    </xf>
    <xf numFmtId="166" fontId="9" fillId="0" borderId="3" xfId="14" applyNumberFormat="1" applyFont="1" applyFill="1" applyBorder="1" applyAlignment="1" applyProtection="1">
      <alignment horizontal="left"/>
    </xf>
    <xf numFmtId="168" fontId="11" fillId="0" borderId="11" xfId="0" applyNumberFormat="1" applyFont="1" applyFill="1" applyBorder="1" applyProtection="1"/>
    <xf numFmtId="164" fontId="11" fillId="0" borderId="18" xfId="0" applyNumberFormat="1" applyFont="1" applyFill="1" applyBorder="1" applyAlignment="1" applyProtection="1">
      <alignment horizontal="right"/>
    </xf>
    <xf numFmtId="164" fontId="11" fillId="0" borderId="12" xfId="0" applyNumberFormat="1" applyFont="1" applyFill="1" applyBorder="1" applyAlignment="1" applyProtection="1">
      <alignment horizontal="right"/>
    </xf>
    <xf numFmtId="165" fontId="11" fillId="0" borderId="13" xfId="0" applyNumberFormat="1" applyFont="1" applyFill="1" applyBorder="1"/>
    <xf numFmtId="37" fontId="49" fillId="0" borderId="3" xfId="0" applyFont="1" applyFill="1" applyBorder="1" applyAlignment="1" applyProtection="1">
      <alignment horizontal="left"/>
    </xf>
    <xf numFmtId="37" fontId="51" fillId="0" borderId="0" xfId="0" applyNumberFormat="1" applyFont="1" applyFill="1" applyBorder="1"/>
    <xf numFmtId="166" fontId="51" fillId="0" borderId="0" xfId="13" applyNumberFormat="1" applyFont="1" applyFill="1" applyBorder="1"/>
    <xf numFmtId="171" fontId="51" fillId="0" borderId="0" xfId="0" applyNumberFormat="1" applyFont="1" applyFill="1" applyBorder="1"/>
    <xf numFmtId="171" fontId="51" fillId="0" borderId="10" xfId="0" applyNumberFormat="1" applyFont="1" applyFill="1" applyBorder="1"/>
    <xf numFmtId="165" fontId="51" fillId="0" borderId="13" xfId="0" applyNumberFormat="1" applyFont="1" applyFill="1" applyBorder="1" applyAlignment="1">
      <alignment horizontal="left" indent="1"/>
    </xf>
    <xf numFmtId="165" fontId="51" fillId="0" borderId="2" xfId="0" applyNumberFormat="1" applyFont="1" applyFill="1" applyBorder="1" applyAlignment="1">
      <alignment horizontal="right"/>
    </xf>
    <xf numFmtId="165" fontId="51" fillId="0" borderId="0" xfId="0" applyNumberFormat="1" applyFont="1" applyFill="1" applyBorder="1" applyAlignment="1">
      <alignment horizontal="left" indent="1"/>
    </xf>
    <xf numFmtId="172" fontId="9" fillId="0" borderId="10" xfId="0" applyNumberFormat="1" applyFont="1" applyFill="1" applyBorder="1"/>
    <xf numFmtId="172" fontId="9" fillId="0" borderId="2" xfId="0" applyNumberFormat="1" applyFont="1" applyFill="1" applyBorder="1"/>
    <xf numFmtId="172" fontId="9" fillId="0" borderId="14" xfId="0" applyNumberFormat="1" applyFont="1" applyFill="1" applyBorder="1"/>
    <xf numFmtId="5" fontId="9" fillId="0" borderId="10" xfId="0" applyNumberFormat="1" applyFont="1" applyFill="1" applyBorder="1"/>
    <xf numFmtId="166" fontId="82" fillId="0" borderId="0" xfId="0" applyNumberFormat="1" applyFont="1"/>
    <xf numFmtId="166" fontId="55" fillId="0" borderId="0" xfId="0" applyNumberFormat="1" applyFont="1"/>
    <xf numFmtId="7" fontId="82" fillId="0" borderId="0" xfId="0" applyNumberFormat="1" applyFont="1" applyFill="1" applyBorder="1"/>
    <xf numFmtId="170" fontId="82" fillId="0" borderId="0" xfId="0" applyNumberFormat="1" applyFont="1" applyFill="1" applyBorder="1" applyAlignment="1">
      <alignment horizontal="right"/>
    </xf>
    <xf numFmtId="7" fontId="82" fillId="0" borderId="0" xfId="0" applyNumberFormat="1" applyFont="1" applyFill="1"/>
    <xf numFmtId="165" fontId="82" fillId="0" borderId="0" xfId="0" applyNumberFormat="1" applyFont="1" applyBorder="1" applyAlignment="1">
      <alignment horizontal="right"/>
    </xf>
    <xf numFmtId="37" fontId="55" fillId="0" borderId="0" xfId="0" applyFont="1" applyFill="1" applyBorder="1"/>
    <xf numFmtId="37" fontId="11" fillId="0" borderId="0" xfId="0" applyFont="1" applyFill="1" applyAlignment="1">
      <alignment horizontal="right"/>
    </xf>
    <xf numFmtId="37" fontId="9" fillId="0" borderId="0" xfId="0" quotePrefix="1" applyFont="1" applyFill="1"/>
    <xf numFmtId="0" fontId="11" fillId="0" borderId="11" xfId="0" applyNumberFormat="1" applyFont="1" applyFill="1" applyBorder="1" applyAlignment="1">
      <alignment horizontal="centerContinuous"/>
    </xf>
    <xf numFmtId="0" fontId="11" fillId="0" borderId="12" xfId="0" applyNumberFormat="1" applyFont="1" applyFill="1" applyBorder="1" applyAlignment="1">
      <alignment horizontal="centerContinuous"/>
    </xf>
    <xf numFmtId="166" fontId="55" fillId="0" borderId="3" xfId="0" applyNumberFormat="1" applyFont="1" applyFill="1" applyBorder="1"/>
    <xf numFmtId="166" fontId="55" fillId="0" borderId="10" xfId="0" applyNumberFormat="1" applyFont="1" applyFill="1" applyBorder="1"/>
    <xf numFmtId="166" fontId="55" fillId="0" borderId="3" xfId="0" applyNumberFormat="1" applyFont="1" applyBorder="1"/>
    <xf numFmtId="166" fontId="55" fillId="0" borderId="10" xfId="0" applyNumberFormat="1" applyFont="1" applyBorder="1"/>
    <xf numFmtId="7" fontId="9" fillId="0" borderId="3" xfId="0" applyNumberFormat="1" applyFont="1" applyBorder="1"/>
    <xf numFmtId="7" fontId="9" fillId="0" borderId="10" xfId="0" applyNumberFormat="1" applyFont="1" applyBorder="1"/>
    <xf numFmtId="5" fontId="9" fillId="0" borderId="3" xfId="0" applyNumberFormat="1" applyFont="1" applyFill="1" applyBorder="1"/>
    <xf numFmtId="7" fontId="47" fillId="0" borderId="0" xfId="0" applyNumberFormat="1" applyFont="1" applyFill="1" applyAlignment="1">
      <alignment horizontal="left"/>
    </xf>
    <xf numFmtId="166" fontId="82" fillId="0" borderId="0" xfId="0" applyNumberFormat="1" applyFont="1" applyFill="1"/>
    <xf numFmtId="37" fontId="49" fillId="6" borderId="0" xfId="0" applyFont="1" applyFill="1"/>
    <xf numFmtId="37" fontId="9" fillId="0" borderId="8" xfId="0" applyFont="1" applyBorder="1" applyAlignment="1">
      <alignment vertical="top"/>
    </xf>
    <xf numFmtId="37" fontId="9" fillId="0" borderId="4" xfId="0" applyFont="1" applyBorder="1" applyAlignment="1">
      <alignment vertical="top"/>
    </xf>
    <xf numFmtId="37" fontId="9" fillId="0" borderId="9" xfId="0" applyFont="1" applyBorder="1" applyAlignment="1">
      <alignment vertical="top" wrapText="1"/>
    </xf>
    <xf numFmtId="37" fontId="9" fillId="0" borderId="3" xfId="0" applyFont="1" applyBorder="1" applyAlignment="1">
      <alignment vertical="top"/>
    </xf>
    <xf numFmtId="37" fontId="9" fillId="0" borderId="0" xfId="0" applyFont="1" applyBorder="1" applyAlignment="1">
      <alignment vertical="top"/>
    </xf>
    <xf numFmtId="37" fontId="9" fillId="0" borderId="10" xfId="0" applyFont="1" applyBorder="1" applyAlignment="1">
      <alignment vertical="top" wrapText="1"/>
    </xf>
    <xf numFmtId="37" fontId="9" fillId="0" borderId="13" xfId="0" applyFont="1" applyBorder="1" applyAlignment="1">
      <alignment vertical="top"/>
    </xf>
    <xf numFmtId="37" fontId="9" fillId="0" borderId="2" xfId="0" applyFont="1" applyBorder="1" applyAlignment="1">
      <alignment vertical="top"/>
    </xf>
    <xf numFmtId="37" fontId="9" fillId="0" borderId="14" xfId="0" applyFont="1" applyBorder="1" applyAlignment="1">
      <alignment vertical="top" wrapText="1"/>
    </xf>
    <xf numFmtId="37" fontId="11" fillId="0" borderId="12" xfId="0" applyFont="1" applyBorder="1"/>
    <xf numFmtId="168" fontId="9" fillId="0" borderId="0" xfId="0" applyNumberFormat="1" applyFont="1" applyAlignment="1">
      <alignment horizontal="left"/>
    </xf>
    <xf numFmtId="165" fontId="9" fillId="0" borderId="0" xfId="43" applyFont="1" applyAlignment="1">
      <alignment horizontal="left"/>
    </xf>
    <xf numFmtId="165" fontId="51" fillId="0" borderId="0" xfId="43" applyFont="1" applyAlignment="1">
      <alignment horizontal="left" indent="1"/>
    </xf>
    <xf numFmtId="170" fontId="9" fillId="0" borderId="0" xfId="0" applyNumberFormat="1" applyFont="1" applyFill="1" applyBorder="1" applyAlignment="1">
      <alignment horizontal="right"/>
    </xf>
    <xf numFmtId="37" fontId="9" fillId="0" borderId="11" xfId="0" applyFont="1" applyFill="1" applyBorder="1"/>
    <xf numFmtId="7" fontId="11" fillId="12" borderId="18" xfId="0" applyNumberFormat="1" applyFont="1" applyFill="1" applyBorder="1"/>
    <xf numFmtId="174" fontId="48" fillId="0" borderId="0" xfId="0" applyNumberFormat="1" applyFont="1" applyBorder="1" applyAlignment="1">
      <alignment horizontal="right"/>
    </xf>
    <xf numFmtId="0" fontId="11" fillId="0" borderId="9" xfId="0" applyNumberFormat="1" applyFont="1" applyBorder="1" applyAlignment="1">
      <alignment horizontal="right"/>
    </xf>
    <xf numFmtId="0" fontId="11" fillId="0" borderId="10" xfId="0" applyNumberFormat="1" applyFont="1" applyBorder="1" applyAlignment="1">
      <alignment horizontal="right"/>
    </xf>
    <xf numFmtId="168" fontId="9" fillId="0" borderId="10" xfId="0" applyNumberFormat="1" applyFont="1" applyBorder="1"/>
    <xf numFmtId="174" fontId="48" fillId="0" borderId="10" xfId="0" applyNumberFormat="1" applyFont="1" applyBorder="1" applyAlignment="1">
      <alignment horizontal="right"/>
    </xf>
    <xf numFmtId="166" fontId="11" fillId="0" borderId="10" xfId="0" applyNumberFormat="1" applyFont="1" applyBorder="1"/>
    <xf numFmtId="39" fontId="9" fillId="0" borderId="10" xfId="0" applyNumberFormat="1" applyFont="1" applyBorder="1"/>
    <xf numFmtId="165" fontId="9" fillId="0" borderId="10" xfId="0" applyNumberFormat="1" applyFont="1" applyBorder="1"/>
    <xf numFmtId="7" fontId="9" fillId="0" borderId="14" xfId="0" applyNumberFormat="1" applyFont="1" applyBorder="1"/>
    <xf numFmtId="37" fontId="9" fillId="0" borderId="12" xfId="0" applyFont="1" applyFill="1" applyBorder="1"/>
    <xf numFmtId="0" fontId="11" fillId="0" borderId="18" xfId="0" applyNumberFormat="1" applyFont="1" applyFill="1" applyBorder="1"/>
    <xf numFmtId="0" fontId="11" fillId="0" borderId="12" xfId="0" applyNumberFormat="1" applyFont="1" applyFill="1" applyBorder="1"/>
    <xf numFmtId="0" fontId="11" fillId="0" borderId="12" xfId="0" applyNumberFormat="1" applyFont="1" applyBorder="1" applyAlignment="1">
      <alignment horizontal="right"/>
    </xf>
    <xf numFmtId="176" fontId="9" fillId="0" borderId="0" xfId="0" applyNumberFormat="1" applyFont="1" applyFill="1" applyBorder="1" applyAlignment="1">
      <alignment horizontal="left"/>
    </xf>
    <xf numFmtId="37" fontId="47" fillId="0" borderId="3" xfId="0" applyFont="1" applyFill="1" applyBorder="1" applyAlignment="1">
      <alignment horizontal="right"/>
    </xf>
    <xf numFmtId="0" fontId="49" fillId="0" borderId="0" xfId="0" applyNumberFormat="1" applyFont="1" applyBorder="1" applyAlignment="1">
      <alignment horizontal="left"/>
    </xf>
    <xf numFmtId="0" fontId="11" fillId="0" borderId="8" xfId="0" applyNumberFormat="1" applyFont="1" applyBorder="1" applyAlignment="1">
      <alignment horizontal="right"/>
    </xf>
    <xf numFmtId="174" fontId="48" fillId="0" borderId="3" xfId="0" applyNumberFormat="1" applyFont="1" applyBorder="1" applyAlignment="1">
      <alignment horizontal="right"/>
    </xf>
    <xf numFmtId="7" fontId="11" fillId="12" borderId="11" xfId="0" applyNumberFormat="1" applyFont="1" applyFill="1" applyBorder="1"/>
    <xf numFmtId="39" fontId="9" fillId="0" borderId="3" xfId="0" applyNumberFormat="1" applyFont="1" applyBorder="1"/>
    <xf numFmtId="0" fontId="11" fillId="0" borderId="3" xfId="0" applyNumberFormat="1" applyFont="1" applyBorder="1" applyAlignment="1">
      <alignment horizontal="right"/>
    </xf>
    <xf numFmtId="7" fontId="11" fillId="0" borderId="11" xfId="0" applyNumberFormat="1" applyFont="1" applyFill="1" applyBorder="1" applyAlignment="1">
      <alignment horizontal="centerContinuous"/>
    </xf>
    <xf numFmtId="7" fontId="11" fillId="0" borderId="12" xfId="0" applyNumberFormat="1" applyFont="1" applyFill="1" applyBorder="1" applyAlignment="1">
      <alignment horizontal="centerContinuous"/>
    </xf>
    <xf numFmtId="5" fontId="9" fillId="0" borderId="0" xfId="0" applyNumberFormat="1" applyFont="1" applyAlignment="1">
      <alignment horizontal="left"/>
    </xf>
    <xf numFmtId="191" fontId="9" fillId="0" borderId="0" xfId="0" applyNumberFormat="1" applyFont="1" applyAlignment="1">
      <alignment horizontal="left"/>
    </xf>
    <xf numFmtId="191" fontId="9" fillId="0" borderId="0" xfId="0" applyNumberFormat="1" applyFont="1"/>
    <xf numFmtId="191" fontId="9" fillId="0" borderId="0" xfId="0" applyNumberFormat="1" applyFont="1" applyBorder="1"/>
    <xf numFmtId="191" fontId="9" fillId="0" borderId="0" xfId="0" applyNumberFormat="1" applyFont="1" applyFill="1"/>
    <xf numFmtId="191" fontId="47" fillId="0" borderId="8" xfId="0" applyNumberFormat="1" applyFont="1" applyBorder="1"/>
    <xf numFmtId="191" fontId="47" fillId="0" borderId="9" xfId="0" applyNumberFormat="1" applyFont="1" applyBorder="1"/>
    <xf numFmtId="5" fontId="9" fillId="0" borderId="10" xfId="0" applyNumberFormat="1" applyFont="1" applyBorder="1"/>
    <xf numFmtId="191" fontId="47" fillId="0" borderId="3" xfId="0" applyNumberFormat="1" applyFont="1" applyBorder="1"/>
    <xf numFmtId="191" fontId="47" fillId="0" borderId="10" xfId="0" applyNumberFormat="1" applyFont="1" applyBorder="1"/>
    <xf numFmtId="168" fontId="9" fillId="0" borderId="13" xfId="0" applyNumberFormat="1" applyFont="1" applyBorder="1"/>
    <xf numFmtId="168" fontId="9" fillId="0" borderId="14" xfId="0" applyNumberFormat="1" applyFont="1" applyBorder="1"/>
    <xf numFmtId="191" fontId="9" fillId="0" borderId="9" xfId="0" applyNumberFormat="1" applyFont="1" applyBorder="1"/>
    <xf numFmtId="191" fontId="9" fillId="0" borderId="5" xfId="0" applyNumberFormat="1" applyFont="1" applyBorder="1"/>
    <xf numFmtId="191" fontId="9" fillId="0" borderId="7" xfId="0" applyNumberFormat="1" applyFont="1" applyBorder="1"/>
    <xf numFmtId="5" fontId="9" fillId="0" borderId="6" xfId="0" applyNumberFormat="1" applyFont="1" applyBorder="1"/>
    <xf numFmtId="5" fontId="9" fillId="0" borderId="11" xfId="0" applyNumberFormat="1" applyFont="1" applyBorder="1"/>
    <xf numFmtId="5" fontId="47" fillId="0" borderId="18" xfId="0" applyNumberFormat="1" applyFont="1" applyBorder="1"/>
    <xf numFmtId="5" fontId="9" fillId="0" borderId="18" xfId="0" applyNumberFormat="1" applyFont="1" applyBorder="1"/>
    <xf numFmtId="168" fontId="9" fillId="0" borderId="0" xfId="14" applyNumberFormat="1" applyFont="1" applyFill="1"/>
    <xf numFmtId="5" fontId="9" fillId="0" borderId="12" xfId="0" applyNumberFormat="1" applyFont="1" applyBorder="1"/>
    <xf numFmtId="5" fontId="9" fillId="0" borderId="0" xfId="14" applyNumberFormat="1" applyFont="1" applyFill="1"/>
    <xf numFmtId="39" fontId="47" fillId="0" borderId="0" xfId="0" applyNumberFormat="1" applyFont="1" applyBorder="1" applyAlignment="1">
      <alignment horizontal="left"/>
    </xf>
    <xf numFmtId="165" fontId="47" fillId="0" borderId="0" xfId="43" applyFont="1" applyBorder="1" applyAlignment="1">
      <alignment horizontal="left"/>
    </xf>
    <xf numFmtId="7" fontId="47" fillId="0" borderId="0" xfId="0" applyNumberFormat="1" applyFont="1" applyBorder="1" applyAlignment="1">
      <alignment horizontal="left"/>
    </xf>
    <xf numFmtId="166" fontId="47" fillId="0" borderId="0" xfId="0" applyNumberFormat="1" applyFont="1" applyBorder="1" applyAlignment="1">
      <alignment horizontal="left"/>
    </xf>
    <xf numFmtId="166" fontId="47" fillId="0" borderId="0" xfId="0" applyNumberFormat="1" applyFont="1" applyFill="1" applyAlignment="1">
      <alignment horizontal="left"/>
    </xf>
    <xf numFmtId="37" fontId="9" fillId="0" borderId="0" xfId="35" applyFont="1"/>
    <xf numFmtId="37" fontId="74" fillId="0" borderId="0" xfId="35" applyFont="1"/>
    <xf numFmtId="37" fontId="11" fillId="0" borderId="2" xfId="35" applyFont="1" applyBorder="1"/>
    <xf numFmtId="176" fontId="11" fillId="0" borderId="2" xfId="35" applyNumberFormat="1" applyFont="1" applyBorder="1" applyAlignment="1">
      <alignment horizontal="right"/>
    </xf>
    <xf numFmtId="37" fontId="51" fillId="0" borderId="0" xfId="35" applyFont="1"/>
    <xf numFmtId="37" fontId="11" fillId="0" borderId="0" xfId="35" applyFont="1"/>
    <xf numFmtId="7" fontId="9" fillId="0" borderId="0" xfId="35" applyNumberFormat="1" applyFont="1" applyFill="1"/>
    <xf numFmtId="37" fontId="9" fillId="0" borderId="0" xfId="35" applyFont="1" applyFill="1"/>
    <xf numFmtId="37" fontId="51" fillId="0" borderId="0" xfId="35" applyFont="1" applyFill="1"/>
    <xf numFmtId="37" fontId="9" fillId="0" borderId="2" xfId="35" applyFont="1" applyFill="1" applyBorder="1"/>
    <xf numFmtId="170" fontId="9" fillId="0" borderId="0" xfId="35" applyNumberFormat="1" applyFont="1" applyFill="1"/>
    <xf numFmtId="168" fontId="9" fillId="0" borderId="14" xfId="0" applyNumberFormat="1" applyFont="1" applyFill="1" applyBorder="1"/>
    <xf numFmtId="7" fontId="9" fillId="0" borderId="2" xfId="0" applyNumberFormat="1" applyFont="1" applyBorder="1"/>
    <xf numFmtId="168" fontId="11" fillId="0" borderId="10" xfId="0" applyNumberFormat="1" applyFont="1" applyBorder="1"/>
    <xf numFmtId="0" fontId="11" fillId="0" borderId="0" xfId="0" applyNumberFormat="1" applyFont="1" applyFill="1" applyBorder="1"/>
    <xf numFmtId="174" fontId="48" fillId="0" borderId="3" xfId="0" applyNumberFormat="1" applyFont="1" applyFill="1" applyBorder="1"/>
    <xf numFmtId="166" fontId="47" fillId="0" borderId="13" xfId="0" applyNumberFormat="1" applyFont="1" applyFill="1" applyBorder="1"/>
    <xf numFmtId="166" fontId="47" fillId="0" borderId="14" xfId="0" applyNumberFormat="1" applyFont="1" applyFill="1" applyBorder="1"/>
    <xf numFmtId="166" fontId="47" fillId="6" borderId="0" xfId="0" applyNumberFormat="1" applyFont="1" applyFill="1"/>
    <xf numFmtId="5" fontId="9" fillId="0" borderId="2" xfId="0" applyNumberFormat="1" applyFont="1" applyFill="1" applyBorder="1"/>
    <xf numFmtId="5" fontId="9" fillId="0" borderId="14" xfId="0" applyNumberFormat="1" applyFont="1" applyFill="1" applyBorder="1"/>
    <xf numFmtId="37" fontId="55" fillId="0" borderId="14" xfId="0" applyFont="1" applyFill="1" applyBorder="1"/>
    <xf numFmtId="168" fontId="47" fillId="0" borderId="9" xfId="0" applyNumberFormat="1" applyFont="1" applyFill="1" applyBorder="1"/>
    <xf numFmtId="0" fontId="11" fillId="0" borderId="4" xfId="0" applyNumberFormat="1" applyFont="1" applyBorder="1" applyAlignment="1">
      <alignment horizontal="right"/>
    </xf>
    <xf numFmtId="0" fontId="11" fillId="0" borderId="0" xfId="0" applyNumberFormat="1" applyFont="1" applyBorder="1" applyAlignment="1">
      <alignment horizontal="right"/>
    </xf>
    <xf numFmtId="5" fontId="9" fillId="0" borderId="13" xfId="0" applyNumberFormat="1" applyFont="1" applyFill="1" applyBorder="1"/>
    <xf numFmtId="176" fontId="11" fillId="0" borderId="24" xfId="35" applyNumberFormat="1" applyFont="1" applyBorder="1" applyAlignment="1">
      <alignment horizontal="right"/>
    </xf>
    <xf numFmtId="37" fontId="9" fillId="0" borderId="7" xfId="35" applyFont="1" applyBorder="1"/>
    <xf numFmtId="37" fontId="51" fillId="0" borderId="7" xfId="35" applyFont="1" applyBorder="1"/>
    <xf numFmtId="37" fontId="51" fillId="0" borderId="7" xfId="0" applyFont="1" applyBorder="1"/>
    <xf numFmtId="7" fontId="9" fillId="0" borderId="7" xfId="35" applyNumberFormat="1" applyFont="1" applyFill="1" applyBorder="1"/>
    <xf numFmtId="37" fontId="51" fillId="0" borderId="7" xfId="35" applyFont="1" applyFill="1" applyBorder="1"/>
    <xf numFmtId="37" fontId="51" fillId="0" borderId="7" xfId="0" applyFont="1" applyFill="1" applyBorder="1"/>
    <xf numFmtId="37" fontId="9" fillId="0" borderId="7" xfId="35" applyFont="1" applyFill="1" applyBorder="1"/>
    <xf numFmtId="37" fontId="9" fillId="0" borderId="6" xfId="35" applyFont="1" applyFill="1" applyBorder="1"/>
    <xf numFmtId="170" fontId="9" fillId="0" borderId="7" xfId="35" applyNumberFormat="1" applyFont="1" applyFill="1" applyBorder="1"/>
    <xf numFmtId="9" fontId="51" fillId="0" borderId="7" xfId="45" applyFont="1" applyBorder="1"/>
    <xf numFmtId="166" fontId="9" fillId="0" borderId="0" xfId="0" applyNumberFormat="1" applyFont="1" applyAlignment="1">
      <alignment horizontal="left"/>
    </xf>
    <xf numFmtId="166" fontId="11" fillId="0" borderId="0" xfId="0" applyNumberFormat="1" applyFont="1" applyAlignment="1">
      <alignment horizontal="left"/>
    </xf>
    <xf numFmtId="166" fontId="55" fillId="0" borderId="0" xfId="0" applyNumberFormat="1" applyFont="1" applyBorder="1"/>
    <xf numFmtId="168" fontId="9" fillId="0" borderId="12" xfId="43" applyNumberFormat="1" applyFont="1" applyFill="1" applyBorder="1"/>
    <xf numFmtId="7" fontId="9" fillId="0" borderId="0" xfId="0" applyNumberFormat="1" applyFont="1" applyAlignment="1">
      <alignment horizontal="left"/>
    </xf>
    <xf numFmtId="166" fontId="84" fillId="5" borderId="2" xfId="0" applyNumberFormat="1" applyFont="1" applyFill="1" applyBorder="1" applyAlignment="1">
      <alignment horizontal="right"/>
    </xf>
    <xf numFmtId="166" fontId="84" fillId="0" borderId="0" xfId="0" applyNumberFormat="1" applyFont="1" applyFill="1" applyBorder="1" applyAlignment="1">
      <alignment horizontal="right"/>
    </xf>
    <xf numFmtId="37" fontId="86" fillId="0" borderId="8" xfId="0" applyFont="1" applyFill="1" applyBorder="1" applyProtection="1"/>
    <xf numFmtId="37" fontId="87" fillId="0" borderId="4" xfId="0" applyFont="1" applyFill="1" applyBorder="1"/>
    <xf numFmtId="37" fontId="88" fillId="0" borderId="4" xfId="0" applyFont="1" applyFill="1" applyBorder="1" applyAlignment="1">
      <alignment horizontal="right"/>
    </xf>
    <xf numFmtId="0" fontId="88" fillId="0" borderId="5" xfId="0" applyNumberFormat="1" applyFont="1" applyFill="1" applyBorder="1" applyAlignment="1">
      <alignment horizontal="right"/>
    </xf>
    <xf numFmtId="0" fontId="88" fillId="0" borderId="4" xfId="0" applyNumberFormat="1" applyFont="1" applyFill="1" applyBorder="1" applyAlignment="1">
      <alignment horizontal="right"/>
    </xf>
    <xf numFmtId="164" fontId="88" fillId="0" borderId="8" xfId="0" applyNumberFormat="1" applyFont="1" applyFill="1" applyBorder="1" applyAlignment="1" applyProtection="1">
      <alignment horizontal="right"/>
    </xf>
    <xf numFmtId="164" fontId="88" fillId="0" borderId="4" xfId="0" applyNumberFormat="1" applyFont="1" applyFill="1" applyBorder="1" applyAlignment="1" applyProtection="1">
      <alignment horizontal="right"/>
    </xf>
    <xf numFmtId="164" fontId="88" fillId="0" borderId="5" xfId="0" applyNumberFormat="1" applyFont="1" applyFill="1" applyBorder="1" applyAlignment="1" applyProtection="1">
      <alignment horizontal="right"/>
    </xf>
    <xf numFmtId="164" fontId="88" fillId="0" borderId="4" xfId="0" applyNumberFormat="1" applyFont="1" applyFill="1" applyBorder="1" applyAlignment="1" applyProtection="1">
      <alignment horizontal="left"/>
    </xf>
    <xf numFmtId="164" fontId="88" fillId="0" borderId="9" xfId="0" applyNumberFormat="1" applyFont="1" applyFill="1" applyBorder="1" applyAlignment="1" applyProtection="1">
      <alignment horizontal="right"/>
    </xf>
    <xf numFmtId="37" fontId="87" fillId="0" borderId="0" xfId="0" applyFont="1" applyFill="1" applyBorder="1" applyAlignment="1">
      <alignment horizontal="right"/>
    </xf>
    <xf numFmtId="0" fontId="87" fillId="0" borderId="0" xfId="0" applyNumberFormat="1" applyFont="1" applyFill="1" applyBorder="1" applyAlignment="1">
      <alignment horizontal="right"/>
    </xf>
    <xf numFmtId="37" fontId="88" fillId="0" borderId="8" xfId="0" applyFont="1" applyFill="1" applyBorder="1" applyProtection="1"/>
    <xf numFmtId="37" fontId="88" fillId="0" borderId="0" xfId="0" applyFont="1" applyFill="1" applyBorder="1" applyAlignment="1">
      <alignment horizontal="right"/>
    </xf>
    <xf numFmtId="0" fontId="88" fillId="0" borderId="0" xfId="0" applyNumberFormat="1" applyFont="1" applyFill="1" applyBorder="1" applyAlignment="1">
      <alignment horizontal="right"/>
    </xf>
    <xf numFmtId="37" fontId="87" fillId="0" borderId="0" xfId="0" applyFont="1" applyFill="1" applyBorder="1"/>
    <xf numFmtId="37" fontId="89" fillId="0" borderId="0" xfId="0" applyFont="1"/>
    <xf numFmtId="37" fontId="87" fillId="0" borderId="0" xfId="0" applyFont="1" applyBorder="1"/>
    <xf numFmtId="41" fontId="87" fillId="0" borderId="0" xfId="0" applyNumberFormat="1" applyFont="1" applyBorder="1" applyAlignment="1">
      <alignment horizontal="right"/>
    </xf>
    <xf numFmtId="41" fontId="87" fillId="0" borderId="7" xfId="0" applyNumberFormat="1" applyFont="1" applyBorder="1" applyAlignment="1">
      <alignment horizontal="right"/>
    </xf>
    <xf numFmtId="41" fontId="87" fillId="0" borderId="0" xfId="0" applyNumberFormat="1" applyFont="1" applyFill="1" applyBorder="1" applyAlignment="1">
      <alignment horizontal="right"/>
    </xf>
    <xf numFmtId="41" fontId="87" fillId="0" borderId="7" xfId="0" applyNumberFormat="1" applyFont="1" applyFill="1" applyBorder="1" applyAlignment="1">
      <alignment horizontal="right"/>
    </xf>
    <xf numFmtId="41" fontId="87" fillId="0" borderId="3" xfId="0" applyNumberFormat="1" applyFont="1" applyFill="1" applyBorder="1" applyAlignment="1">
      <alignment horizontal="right"/>
    </xf>
    <xf numFmtId="41" fontId="87" fillId="0" borderId="10" xfId="0" applyNumberFormat="1" applyFont="1" applyFill="1" applyBorder="1" applyAlignment="1">
      <alignment horizontal="right"/>
    </xf>
    <xf numFmtId="37" fontId="87" fillId="0" borderId="3" xfId="0" applyFont="1" applyFill="1" applyBorder="1"/>
    <xf numFmtId="37" fontId="87" fillId="0" borderId="0" xfId="0" applyFont="1" applyFill="1"/>
    <xf numFmtId="37" fontId="87" fillId="0" borderId="0" xfId="0" applyFont="1" applyBorder="1" applyAlignment="1">
      <alignment horizontal="left" indent="1"/>
    </xf>
    <xf numFmtId="37" fontId="87" fillId="0" borderId="3" xfId="0" applyFont="1" applyFill="1" applyBorder="1" applyAlignment="1">
      <alignment horizontal="left" indent="1"/>
    </xf>
    <xf numFmtId="5" fontId="88" fillId="0" borderId="0" xfId="0" applyNumberFormat="1" applyFont="1" applyBorder="1"/>
    <xf numFmtId="5" fontId="87" fillId="0" borderId="0" xfId="0" applyNumberFormat="1" applyFont="1" applyBorder="1"/>
    <xf numFmtId="5" fontId="87" fillId="0" borderId="0" xfId="0" applyNumberFormat="1" applyFont="1" applyBorder="1" applyAlignment="1">
      <alignment horizontal="right"/>
    </xf>
    <xf numFmtId="5" fontId="87" fillId="0" borderId="7" xfId="0" applyNumberFormat="1" applyFont="1" applyBorder="1" applyAlignment="1">
      <alignment horizontal="right"/>
    </xf>
    <xf numFmtId="5" fontId="87" fillId="0" borderId="0" xfId="0" applyNumberFormat="1" applyFont="1" applyFill="1" applyBorder="1" applyAlignment="1">
      <alignment horizontal="right"/>
    </xf>
    <xf numFmtId="5" fontId="87" fillId="0" borderId="7" xfId="0" applyNumberFormat="1" applyFont="1" applyFill="1" applyBorder="1" applyAlignment="1">
      <alignment horizontal="right"/>
    </xf>
    <xf numFmtId="5" fontId="87" fillId="0" borderId="3" xfId="0" applyNumberFormat="1" applyFont="1" applyFill="1" applyBorder="1" applyAlignment="1">
      <alignment horizontal="right"/>
    </xf>
    <xf numFmtId="5" fontId="87" fillId="0" borderId="10" xfId="0" applyNumberFormat="1" applyFont="1" applyFill="1" applyBorder="1" applyAlignment="1">
      <alignment horizontal="right"/>
    </xf>
    <xf numFmtId="5" fontId="88" fillId="0" borderId="3" xfId="0" applyNumberFormat="1" applyFont="1" applyFill="1" applyBorder="1"/>
    <xf numFmtId="5" fontId="88" fillId="0" borderId="0" xfId="0" applyNumberFormat="1" applyFont="1" applyFill="1" applyBorder="1" applyAlignment="1">
      <alignment horizontal="right"/>
    </xf>
    <xf numFmtId="5" fontId="87" fillId="0" borderId="0" xfId="0" applyNumberFormat="1" applyFont="1" applyFill="1"/>
    <xf numFmtId="165" fontId="90" fillId="0" borderId="0" xfId="0" applyNumberFormat="1" applyFont="1" applyBorder="1" applyAlignment="1">
      <alignment horizontal="left" indent="1"/>
    </xf>
    <xf numFmtId="165" fontId="90" fillId="0" borderId="0" xfId="0" applyNumberFormat="1" applyFont="1" applyBorder="1"/>
    <xf numFmtId="165" fontId="90" fillId="0" borderId="0" xfId="0" applyNumberFormat="1" applyFont="1" applyBorder="1" applyAlignment="1">
      <alignment horizontal="right"/>
    </xf>
    <xf numFmtId="165" fontId="90" fillId="0" borderId="7" xfId="0" applyNumberFormat="1" applyFont="1" applyBorder="1" applyAlignment="1">
      <alignment horizontal="right"/>
    </xf>
    <xf numFmtId="165" fontId="90" fillId="0" borderId="0" xfId="0" applyNumberFormat="1" applyFont="1" applyFill="1" applyBorder="1" applyAlignment="1">
      <alignment horizontal="right"/>
    </xf>
    <xf numFmtId="165" fontId="90" fillId="0" borderId="7" xfId="0" applyNumberFormat="1" applyFont="1" applyFill="1" applyBorder="1" applyAlignment="1">
      <alignment horizontal="right"/>
    </xf>
    <xf numFmtId="165" fontId="90" fillId="0" borderId="3" xfId="0" applyNumberFormat="1" applyFont="1" applyFill="1" applyBorder="1" applyAlignment="1">
      <alignment horizontal="right"/>
    </xf>
    <xf numFmtId="165" fontId="90" fillId="0" borderId="10" xfId="0" applyNumberFormat="1" applyFont="1" applyFill="1" applyBorder="1" applyAlignment="1">
      <alignment horizontal="right"/>
    </xf>
    <xf numFmtId="165" fontId="90" fillId="0" borderId="3" xfId="0" applyNumberFormat="1" applyFont="1" applyFill="1" applyBorder="1" applyAlignment="1">
      <alignment horizontal="left" indent="1"/>
    </xf>
    <xf numFmtId="37" fontId="87" fillId="0" borderId="0" xfId="0" applyFont="1" applyBorder="1" applyAlignment="1">
      <alignment horizontal="right"/>
    </xf>
    <xf numFmtId="0" fontId="87" fillId="0" borderId="7" xfId="0" applyNumberFormat="1" applyFont="1" applyBorder="1" applyAlignment="1">
      <alignment horizontal="right"/>
    </xf>
    <xf numFmtId="0" fontId="87" fillId="0" borderId="7" xfId="0" applyNumberFormat="1" applyFont="1" applyFill="1" applyBorder="1" applyAlignment="1">
      <alignment horizontal="right"/>
    </xf>
    <xf numFmtId="0" fontId="87" fillId="0" borderId="3" xfId="0" applyNumberFormat="1" applyFont="1" applyFill="1" applyBorder="1" applyAlignment="1">
      <alignment horizontal="right"/>
    </xf>
    <xf numFmtId="0" fontId="87" fillId="0" borderId="10" xfId="0" applyNumberFormat="1" applyFont="1" applyFill="1" applyBorder="1" applyAlignment="1">
      <alignment horizontal="right"/>
    </xf>
    <xf numFmtId="37" fontId="88" fillId="0" borderId="11" xfId="0" applyFont="1" applyBorder="1"/>
    <xf numFmtId="37" fontId="88" fillId="0" borderId="18" xfId="0" applyFont="1" applyBorder="1"/>
    <xf numFmtId="174" fontId="88" fillId="0" borderId="18" xfId="0" applyNumberFormat="1" applyFont="1" applyBorder="1" applyAlignment="1">
      <alignment horizontal="right"/>
    </xf>
    <xf numFmtId="174" fontId="88" fillId="0" borderId="24" xfId="0" applyNumberFormat="1" applyFont="1" applyBorder="1" applyAlignment="1">
      <alignment horizontal="right"/>
    </xf>
    <xf numFmtId="174" fontId="88" fillId="0" borderId="18" xfId="0" applyNumberFormat="1" applyFont="1" applyFill="1" applyBorder="1" applyAlignment="1">
      <alignment horizontal="right"/>
    </xf>
    <xf numFmtId="174" fontId="88" fillId="0" borderId="24" xfId="0" applyNumberFormat="1" applyFont="1" applyFill="1" applyBorder="1" applyAlignment="1">
      <alignment horizontal="right"/>
    </xf>
    <xf numFmtId="174" fontId="88" fillId="6" borderId="18" xfId="0" applyNumberFormat="1" applyFont="1" applyFill="1" applyBorder="1" applyAlignment="1">
      <alignment horizontal="right"/>
    </xf>
    <xf numFmtId="174" fontId="88" fillId="0" borderId="11" xfId="0" applyNumberFormat="1" applyFont="1" applyFill="1" applyBorder="1" applyAlignment="1">
      <alignment horizontal="right"/>
    </xf>
    <xf numFmtId="174" fontId="88" fillId="0" borderId="12" xfId="0" applyNumberFormat="1" applyFont="1" applyFill="1" applyBorder="1" applyAlignment="1">
      <alignment horizontal="right"/>
    </xf>
    <xf numFmtId="37" fontId="88" fillId="0" borderId="11" xfId="0" applyFont="1" applyFill="1" applyBorder="1"/>
    <xf numFmtId="37" fontId="88" fillId="0" borderId="0" xfId="0" applyFont="1" applyFill="1"/>
    <xf numFmtId="166" fontId="87" fillId="0" borderId="0" xfId="0" applyNumberFormat="1" applyFont="1" applyBorder="1"/>
    <xf numFmtId="174" fontId="87" fillId="0" borderId="0" xfId="0" applyNumberFormat="1" applyFont="1" applyBorder="1" applyAlignment="1">
      <alignment horizontal="right"/>
    </xf>
    <xf numFmtId="174" fontId="87" fillId="0" borderId="7" xfId="0" applyNumberFormat="1" applyFont="1" applyBorder="1" applyAlignment="1">
      <alignment horizontal="right"/>
    </xf>
    <xf numFmtId="174" fontId="87" fillId="0" borderId="7" xfId="0" applyNumberFormat="1" applyFont="1" applyFill="1" applyBorder="1" applyAlignment="1">
      <alignment horizontal="right"/>
    </xf>
    <xf numFmtId="174" fontId="87" fillId="0" borderId="3" xfId="0" applyNumberFormat="1" applyFont="1" applyFill="1" applyBorder="1" applyAlignment="1">
      <alignment horizontal="right"/>
    </xf>
    <xf numFmtId="174" fontId="87" fillId="0" borderId="0" xfId="0" applyNumberFormat="1" applyFont="1" applyFill="1" applyBorder="1" applyAlignment="1">
      <alignment horizontal="right"/>
    </xf>
    <xf numFmtId="174" fontId="87" fillId="0" borderId="10" xfId="0" applyNumberFormat="1" applyFont="1" applyFill="1" applyBorder="1" applyAlignment="1">
      <alignment horizontal="right"/>
    </xf>
    <xf numFmtId="166" fontId="87" fillId="0" borderId="3" xfId="0" applyNumberFormat="1" applyFont="1" applyFill="1" applyBorder="1"/>
    <xf numFmtId="166" fontId="88" fillId="0" borderId="11" xfId="0" applyNumberFormat="1" applyFont="1" applyBorder="1"/>
    <xf numFmtId="166" fontId="88" fillId="0" borderId="11" xfId="0" applyNumberFormat="1" applyFont="1" applyFill="1" applyBorder="1"/>
    <xf numFmtId="174" fontId="87" fillId="6" borderId="0" xfId="0" applyNumberFormat="1" applyFont="1" applyFill="1" applyBorder="1" applyAlignment="1">
      <alignment horizontal="right"/>
    </xf>
    <xf numFmtId="5" fontId="55" fillId="0" borderId="10" xfId="0" applyNumberFormat="1" applyFont="1" applyFill="1" applyBorder="1" applyAlignment="1">
      <alignment horizontal="right"/>
    </xf>
    <xf numFmtId="165" fontId="82" fillId="0" borderId="0" xfId="0" applyNumberFormat="1" applyFont="1" applyFill="1" applyBorder="1" applyAlignment="1">
      <alignment horizontal="right"/>
    </xf>
    <xf numFmtId="165" fontId="82" fillId="0" borderId="7" xfId="0" applyNumberFormat="1" applyFont="1" applyFill="1" applyBorder="1" applyAlignment="1">
      <alignment horizontal="right"/>
    </xf>
    <xf numFmtId="37" fontId="9" fillId="0" borderId="9" xfId="0" applyFont="1" applyBorder="1" applyAlignment="1">
      <alignment horizontal="right"/>
    </xf>
    <xf numFmtId="37" fontId="47" fillId="0" borderId="2" xfId="0" applyFont="1" applyFill="1" applyBorder="1"/>
    <xf numFmtId="166" fontId="82" fillId="0" borderId="0" xfId="0" applyNumberFormat="1" applyFont="1" applyFill="1" applyAlignment="1">
      <alignment horizontal="left"/>
    </xf>
    <xf numFmtId="174" fontId="52" fillId="0" borderId="0" xfId="0" applyNumberFormat="1" applyFont="1" applyFill="1"/>
    <xf numFmtId="165" fontId="82" fillId="0" borderId="0" xfId="43" applyFont="1" applyBorder="1"/>
    <xf numFmtId="37" fontId="11" fillId="5" borderId="11" xfId="0" applyFont="1" applyFill="1" applyBorder="1" applyAlignment="1" applyProtection="1">
      <alignment horizontal="left"/>
    </xf>
    <xf numFmtId="164" fontId="11" fillId="5" borderId="18" xfId="0" quotePrefix="1" applyNumberFormat="1" applyFont="1" applyFill="1" applyBorder="1" applyAlignment="1" applyProtection="1">
      <alignment horizontal="right"/>
    </xf>
    <xf numFmtId="164" fontId="11" fillId="5" borderId="24" xfId="0" quotePrefix="1" applyNumberFormat="1" applyFont="1" applyFill="1" applyBorder="1" applyAlignment="1" applyProtection="1">
      <alignment horizontal="right"/>
    </xf>
    <xf numFmtId="164" fontId="11" fillId="5" borderId="11" xfId="0" quotePrefix="1" applyNumberFormat="1" applyFont="1" applyFill="1" applyBorder="1" applyAlignment="1" applyProtection="1">
      <alignment horizontal="right"/>
    </xf>
    <xf numFmtId="164" fontId="11" fillId="5" borderId="12" xfId="0" quotePrefix="1" applyNumberFormat="1" applyFont="1" applyFill="1" applyBorder="1" applyAlignment="1" applyProtection="1">
      <alignment horizontal="right"/>
    </xf>
    <xf numFmtId="168" fontId="9" fillId="0" borderId="0" xfId="43" quotePrefix="1" applyNumberFormat="1" applyFont="1" applyFill="1" applyBorder="1" applyAlignment="1" applyProtection="1"/>
    <xf numFmtId="168" fontId="9" fillId="0" borderId="0" xfId="43" applyNumberFormat="1" applyFont="1" applyBorder="1" applyAlignment="1" applyProtection="1">
      <alignment horizontal="left"/>
    </xf>
    <xf numFmtId="166" fontId="9" fillId="0" borderId="0" xfId="43" applyNumberFormat="1" applyFont="1" applyBorder="1" applyAlignment="1" applyProtection="1">
      <alignment horizontal="left"/>
    </xf>
    <xf numFmtId="174" fontId="48" fillId="0" borderId="0" xfId="0" applyNumberFormat="1" applyFont="1" applyFill="1" applyBorder="1" applyAlignment="1" applyProtection="1">
      <alignment horizontal="right"/>
    </xf>
    <xf numFmtId="174" fontId="48" fillId="0" borderId="7" xfId="0" applyNumberFormat="1" applyFont="1" applyFill="1" applyBorder="1" applyAlignment="1" applyProtection="1">
      <alignment horizontal="right"/>
    </xf>
    <xf numFmtId="37" fontId="49" fillId="0" borderId="0" xfId="0" applyFont="1" applyFill="1" applyAlignment="1" applyProtection="1">
      <alignment horizontal="left"/>
    </xf>
    <xf numFmtId="0" fontId="9" fillId="0" borderId="0" xfId="43" applyNumberFormat="1" applyFont="1" applyBorder="1" applyAlignment="1" applyProtection="1">
      <alignment horizontal="left"/>
    </xf>
    <xf numFmtId="165" fontId="9" fillId="0" borderId="0" xfId="43" applyFont="1" applyFill="1" applyBorder="1" applyProtection="1"/>
    <xf numFmtId="165" fontId="73" fillId="0" borderId="7" xfId="43" applyFont="1" applyFill="1" applyBorder="1" applyProtection="1"/>
    <xf numFmtId="165" fontId="73" fillId="0" borderId="0" xfId="43" applyFont="1" applyFill="1" applyBorder="1" applyProtection="1"/>
    <xf numFmtId="174" fontId="48" fillId="0" borderId="3" xfId="0" applyNumberFormat="1" applyFont="1" applyFill="1" applyBorder="1" applyAlignment="1" applyProtection="1">
      <alignment horizontal="right"/>
    </xf>
    <xf numFmtId="165" fontId="11" fillId="0" borderId="0" xfId="43" applyFont="1" applyFill="1" applyBorder="1" applyProtection="1"/>
    <xf numFmtId="165" fontId="57" fillId="0" borderId="7" xfId="43" applyFont="1" applyFill="1" applyBorder="1" applyProtection="1"/>
    <xf numFmtId="165" fontId="9" fillId="0" borderId="0" xfId="0" applyNumberFormat="1" applyFont="1" applyFill="1" applyAlignment="1" applyProtection="1">
      <alignment horizontal="left"/>
    </xf>
    <xf numFmtId="165" fontId="9" fillId="0" borderId="7" xfId="0" applyNumberFormat="1" applyFont="1" applyFill="1" applyBorder="1" applyAlignment="1" applyProtection="1">
      <alignment horizontal="right"/>
    </xf>
    <xf numFmtId="165" fontId="57" fillId="0" borderId="0" xfId="13" applyNumberFormat="1" applyFont="1" applyFill="1" applyBorder="1" applyProtection="1"/>
    <xf numFmtId="165" fontId="57" fillId="0" borderId="7" xfId="13" applyNumberFormat="1" applyFont="1" applyFill="1" applyBorder="1" applyProtection="1"/>
    <xf numFmtId="165" fontId="47" fillId="0" borderId="0" xfId="43" applyFont="1" applyFill="1" applyBorder="1" applyAlignment="1" applyProtection="1">
      <alignment horizontal="right"/>
    </xf>
    <xf numFmtId="192" fontId="11" fillId="0" borderId="0" xfId="0" applyNumberFormat="1" applyFont="1" applyFill="1" applyBorder="1" applyAlignment="1" applyProtection="1">
      <alignment horizontal="right"/>
    </xf>
    <xf numFmtId="192" fontId="11" fillId="0" borderId="10" xfId="0" applyNumberFormat="1" applyFont="1" applyFill="1" applyBorder="1" applyAlignment="1" applyProtection="1">
      <alignment horizontal="right"/>
    </xf>
    <xf numFmtId="192" fontId="11" fillId="0" borderId="7" xfId="0" applyNumberFormat="1" applyFont="1" applyFill="1" applyBorder="1" applyAlignment="1" applyProtection="1">
      <alignment horizontal="right"/>
    </xf>
    <xf numFmtId="192" fontId="11" fillId="0" borderId="3" xfId="0" applyNumberFormat="1" applyFont="1" applyFill="1" applyBorder="1" applyAlignment="1" applyProtection="1">
      <alignment horizontal="right"/>
    </xf>
    <xf numFmtId="37" fontId="83" fillId="0" borderId="7" xfId="0" applyNumberFormat="1" applyFont="1" applyFill="1" applyBorder="1" applyAlignment="1">
      <alignment horizontal="right"/>
    </xf>
    <xf numFmtId="166" fontId="55" fillId="0" borderId="0" xfId="0" applyNumberFormat="1" applyFont="1" applyFill="1"/>
    <xf numFmtId="41" fontId="47" fillId="0" borderId="3" xfId="0" applyNumberFormat="1" applyFont="1" applyFill="1" applyBorder="1" applyAlignment="1">
      <alignment horizontal="right"/>
    </xf>
    <xf numFmtId="165" fontId="84" fillId="0" borderId="0" xfId="0" applyNumberFormat="1" applyFont="1" applyFill="1" applyBorder="1" applyAlignment="1">
      <alignment horizontal="right"/>
    </xf>
    <xf numFmtId="165" fontId="84" fillId="0" borderId="7" xfId="0" applyNumberFormat="1" applyFont="1" applyFill="1" applyBorder="1" applyAlignment="1">
      <alignment horizontal="right"/>
    </xf>
    <xf numFmtId="193" fontId="9" fillId="0" borderId="0" xfId="0" applyNumberFormat="1" applyFont="1"/>
    <xf numFmtId="165" fontId="47" fillId="0" borderId="10" xfId="0" applyNumberFormat="1" applyFont="1" applyBorder="1"/>
    <xf numFmtId="174" fontId="83" fillId="0" borderId="7" xfId="0" applyNumberFormat="1" applyFont="1" applyFill="1" applyBorder="1"/>
    <xf numFmtId="37" fontId="56" fillId="0" borderId="0" xfId="13" applyFont="1" applyFill="1" applyBorder="1" applyAlignment="1" applyProtection="1">
      <alignment horizontal="left"/>
    </xf>
    <xf numFmtId="10" fontId="55" fillId="0" borderId="10" xfId="43" applyNumberFormat="1" applyFont="1" applyFill="1" applyBorder="1"/>
    <xf numFmtId="37" fontId="55" fillId="0" borderId="3" xfId="0" applyFont="1" applyFill="1" applyBorder="1" applyAlignment="1">
      <alignment horizontal="left"/>
    </xf>
    <xf numFmtId="37" fontId="55" fillId="0" borderId="10" xfId="0" applyFont="1" applyFill="1" applyBorder="1" applyAlignment="1">
      <alignment horizontal="right"/>
    </xf>
    <xf numFmtId="166" fontId="55" fillId="0" borderId="10" xfId="0" applyNumberFormat="1" applyFont="1" applyBorder="1" applyAlignment="1">
      <alignment horizontal="right"/>
    </xf>
    <xf numFmtId="168" fontId="0" fillId="0" borderId="0" xfId="0" applyNumberFormat="1"/>
    <xf numFmtId="168" fontId="55" fillId="0" borderId="10" xfId="0" applyNumberFormat="1" applyFont="1" applyFill="1" applyBorder="1" applyAlignment="1">
      <alignment horizontal="right"/>
    </xf>
    <xf numFmtId="165" fontId="51" fillId="0" borderId="0" xfId="43" applyFont="1" applyBorder="1" applyAlignment="1">
      <alignment horizontal="left" indent="1"/>
    </xf>
    <xf numFmtId="165" fontId="0" fillId="0" borderId="0" xfId="43" applyFont="1"/>
    <xf numFmtId="166" fontId="0" fillId="0" borderId="0" xfId="0" applyNumberFormat="1"/>
    <xf numFmtId="166" fontId="55" fillId="0" borderId="10" xfId="0" applyNumberFormat="1" applyFont="1" applyFill="1" applyBorder="1" applyAlignment="1">
      <alignment horizontal="right"/>
    </xf>
    <xf numFmtId="191" fontId="9" fillId="0" borderId="0" xfId="0" applyNumberFormat="1" applyFont="1" applyFill="1" applyBorder="1" applyAlignment="1">
      <alignment horizontal="right"/>
    </xf>
    <xf numFmtId="191" fontId="9" fillId="0" borderId="10" xfId="0" applyNumberFormat="1" applyFont="1" applyFill="1" applyBorder="1" applyAlignment="1">
      <alignment horizontal="right"/>
    </xf>
    <xf numFmtId="191" fontId="9" fillId="0" borderId="3" xfId="0" applyNumberFormat="1" applyFont="1" applyFill="1" applyBorder="1"/>
    <xf numFmtId="191" fontId="11" fillId="0" borderId="0" xfId="0" applyNumberFormat="1" applyFont="1" applyFill="1" applyBorder="1" applyAlignment="1">
      <alignment horizontal="right"/>
    </xf>
    <xf numFmtId="174" fontId="81" fillId="0" borderId="0" xfId="0" applyNumberFormat="1" applyFont="1" applyFill="1" applyBorder="1"/>
    <xf numFmtId="174" fontId="81" fillId="0" borderId="3" xfId="0" applyNumberFormat="1" applyFont="1" applyFill="1" applyBorder="1"/>
    <xf numFmtId="191" fontId="69" fillId="0" borderId="0" xfId="0" applyNumberFormat="1" applyFont="1"/>
    <xf numFmtId="194" fontId="9" fillId="0" borderId="0" xfId="0" applyNumberFormat="1" applyFont="1" applyFill="1" applyBorder="1" applyAlignment="1">
      <alignment horizontal="right"/>
    </xf>
    <xf numFmtId="194" fontId="9" fillId="0" borderId="10" xfId="0" applyNumberFormat="1" applyFont="1" applyFill="1" applyBorder="1" applyAlignment="1">
      <alignment horizontal="right"/>
    </xf>
    <xf numFmtId="194" fontId="47" fillId="0" borderId="7" xfId="0" applyNumberFormat="1" applyFont="1" applyFill="1" applyBorder="1" applyAlignment="1">
      <alignment horizontal="right"/>
    </xf>
    <xf numFmtId="194" fontId="9" fillId="0" borderId="3" xfId="0" applyNumberFormat="1" applyFont="1" applyFill="1" applyBorder="1"/>
    <xf numFmtId="194" fontId="11" fillId="0" borderId="0" xfId="0" applyNumberFormat="1" applyFont="1" applyFill="1" applyBorder="1" applyAlignment="1">
      <alignment horizontal="right"/>
    </xf>
    <xf numFmtId="194" fontId="9" fillId="0" borderId="0" xfId="0" applyNumberFormat="1" applyFont="1" applyFill="1"/>
    <xf numFmtId="194" fontId="0" fillId="0" borderId="0" xfId="0" applyNumberFormat="1"/>
    <xf numFmtId="194" fontId="47" fillId="0" borderId="10" xfId="0" applyNumberFormat="1" applyFont="1" applyFill="1" applyBorder="1" applyAlignment="1">
      <alignment horizontal="right"/>
    </xf>
    <xf numFmtId="194" fontId="83" fillId="0" borderId="7" xfId="0" applyNumberFormat="1" applyFont="1" applyFill="1" applyBorder="1" applyAlignment="1">
      <alignment horizontal="right"/>
    </xf>
    <xf numFmtId="37" fontId="9" fillId="6" borderId="0" xfId="0" applyFont="1" applyFill="1" applyAlignment="1">
      <alignment horizontal="left"/>
    </xf>
    <xf numFmtId="7" fontId="11" fillId="5" borderId="0" xfId="0" applyNumberFormat="1" applyFont="1" applyFill="1" applyBorder="1"/>
    <xf numFmtId="172" fontId="83" fillId="0" borderId="0" xfId="0" applyNumberFormat="1" applyFont="1" applyFill="1" applyBorder="1"/>
    <xf numFmtId="172" fontId="83" fillId="0" borderId="10" xfId="0" applyNumberFormat="1" applyFont="1" applyFill="1" applyBorder="1"/>
    <xf numFmtId="172" fontId="83" fillId="0" borderId="7" xfId="0" applyNumberFormat="1" applyFont="1" applyFill="1" applyBorder="1"/>
    <xf numFmtId="172" fontId="9" fillId="0" borderId="10" xfId="0" applyNumberFormat="1" applyFont="1" applyBorder="1" applyAlignment="1">
      <alignment horizontal="right"/>
    </xf>
    <xf numFmtId="172" fontId="9" fillId="0" borderId="7" xfId="0" applyNumberFormat="1" applyFont="1" applyBorder="1" applyAlignment="1">
      <alignment horizontal="right"/>
    </xf>
    <xf numFmtId="172" fontId="9" fillId="0" borderId="0" xfId="0" applyNumberFormat="1" applyFont="1" applyBorder="1" applyAlignment="1">
      <alignment horizontal="right"/>
    </xf>
    <xf numFmtId="172" fontId="9" fillId="0" borderId="0" xfId="0" applyNumberFormat="1" applyFont="1" applyFill="1" applyBorder="1" applyAlignment="1">
      <alignment horizontal="right"/>
    </xf>
    <xf numFmtId="165" fontId="51" fillId="0" borderId="0" xfId="43" applyNumberFormat="1" applyFont="1" applyFill="1" applyBorder="1"/>
    <xf numFmtId="0" fontId="9" fillId="0" borderId="0" xfId="0" applyNumberFormat="1" applyFont="1" applyAlignment="1">
      <alignment horizontal="left"/>
    </xf>
    <xf numFmtId="191" fontId="9" fillId="0" borderId="0" xfId="0" applyNumberFormat="1" applyFont="1" applyAlignment="1">
      <alignment horizontal="center"/>
    </xf>
    <xf numFmtId="37" fontId="11" fillId="0" borderId="47" xfId="0" applyFont="1" applyBorder="1" applyAlignment="1">
      <alignment horizontal="left"/>
    </xf>
    <xf numFmtId="37" fontId="9" fillId="0" borderId="47" xfId="0" applyFont="1" applyBorder="1" applyAlignment="1">
      <alignment horizontal="left"/>
    </xf>
    <xf numFmtId="37" fontId="9" fillId="0" borderId="48" xfId="0" applyFont="1" applyBorder="1" applyAlignment="1">
      <alignment horizontal="left"/>
    </xf>
    <xf numFmtId="165" fontId="51" fillId="0" borderId="0" xfId="43" applyNumberFormat="1" applyFont="1" applyBorder="1" applyAlignment="1">
      <alignment horizontal="left" indent="1"/>
    </xf>
    <xf numFmtId="165" fontId="47" fillId="0" borderId="7" xfId="43" applyNumberFormat="1" applyFont="1" applyFill="1" applyBorder="1" applyAlignment="1">
      <alignment horizontal="right"/>
    </xf>
    <xf numFmtId="165" fontId="0" fillId="0" borderId="0" xfId="0" applyNumberFormat="1"/>
    <xf numFmtId="165" fontId="51" fillId="0" borderId="3" xfId="0" applyNumberFormat="1" applyFont="1" applyFill="1" applyBorder="1"/>
    <xf numFmtId="166" fontId="82" fillId="0" borderId="0" xfId="0" applyNumberFormat="1" applyFont="1" applyAlignment="1">
      <alignment horizontal="left"/>
    </xf>
    <xf numFmtId="178" fontId="11" fillId="0" borderId="2" xfId="0" applyNumberFormat="1" applyFont="1" applyBorder="1" applyAlignment="1">
      <alignment horizontal="right"/>
    </xf>
    <xf numFmtId="178" fontId="11" fillId="0" borderId="14" xfId="0" applyNumberFormat="1" applyFont="1" applyBorder="1" applyAlignment="1">
      <alignment horizontal="right"/>
    </xf>
    <xf numFmtId="5" fontId="47" fillId="0" borderId="10" xfId="0" applyNumberFormat="1" applyFont="1" applyBorder="1"/>
    <xf numFmtId="166" fontId="82" fillId="0" borderId="10" xfId="0" applyNumberFormat="1" applyFont="1" applyBorder="1" applyAlignment="1">
      <alignment horizontal="right"/>
    </xf>
    <xf numFmtId="7" fontId="47" fillId="0" borderId="0" xfId="0" applyNumberFormat="1" applyFont="1" applyBorder="1" applyAlignment="1">
      <alignment horizontal="right"/>
    </xf>
    <xf numFmtId="7" fontId="47" fillId="0" borderId="10" xfId="0" applyNumberFormat="1" applyFont="1" applyBorder="1" applyAlignment="1">
      <alignment horizontal="right"/>
    </xf>
    <xf numFmtId="168" fontId="47" fillId="0" borderId="10" xfId="0" applyNumberFormat="1" applyFont="1" applyBorder="1"/>
    <xf numFmtId="165" fontId="51" fillId="0" borderId="2" xfId="43" applyFont="1" applyBorder="1"/>
    <xf numFmtId="165" fontId="51" fillId="0" borderId="14" xfId="43" applyFont="1" applyBorder="1"/>
    <xf numFmtId="5" fontId="52" fillId="0" borderId="0" xfId="0" applyNumberFormat="1" applyFont="1"/>
    <xf numFmtId="37" fontId="48" fillId="0" borderId="0" xfId="0" applyFont="1" applyAlignment="1">
      <alignment horizontal="left"/>
    </xf>
    <xf numFmtId="37" fontId="57" fillId="0" borderId="11" xfId="0" applyFont="1" applyFill="1" applyBorder="1"/>
    <xf numFmtId="2" fontId="47" fillId="0" borderId="24" xfId="43" applyNumberFormat="1" applyFont="1" applyBorder="1" applyAlignment="1">
      <alignment horizontal="center"/>
    </xf>
    <xf numFmtId="191" fontId="47" fillId="0" borderId="0" xfId="0" applyNumberFormat="1" applyFont="1"/>
    <xf numFmtId="7" fontId="11" fillId="0" borderId="18" xfId="0" applyNumberFormat="1" applyFont="1" applyBorder="1"/>
    <xf numFmtId="7" fontId="11" fillId="0" borderId="12" xfId="0" applyNumberFormat="1" applyFont="1" applyBorder="1"/>
    <xf numFmtId="5" fontId="1" fillId="0" borderId="10" xfId="0" applyNumberFormat="1" applyFont="1" applyFill="1" applyBorder="1" applyAlignment="1">
      <alignment horizontal="right"/>
    </xf>
    <xf numFmtId="37" fontId="47" fillId="0" borderId="10" xfId="0" applyNumberFormat="1" applyFont="1" applyFill="1" applyBorder="1" applyAlignment="1">
      <alignment horizontal="right"/>
    </xf>
    <xf numFmtId="41" fontId="91" fillId="0" borderId="7" xfId="0" applyNumberFormat="1" applyFont="1" applyFill="1" applyBorder="1" applyAlignment="1">
      <alignment horizontal="right"/>
    </xf>
    <xf numFmtId="5" fontId="92" fillId="0" borderId="0" xfId="0" applyNumberFormat="1" applyFont="1" applyBorder="1" applyAlignment="1">
      <alignment horizontal="right"/>
    </xf>
    <xf numFmtId="165" fontId="1" fillId="0" borderId="10" xfId="43" applyFont="1" applyFill="1" applyBorder="1" applyAlignment="1">
      <alignment horizontal="right"/>
    </xf>
    <xf numFmtId="165" fontId="93" fillId="0" borderId="7" xfId="0" applyNumberFormat="1" applyFont="1" applyFill="1" applyBorder="1" applyAlignment="1">
      <alignment horizontal="right"/>
    </xf>
    <xf numFmtId="165" fontId="94" fillId="0" borderId="7" xfId="0" applyNumberFormat="1" applyFont="1" applyFill="1" applyBorder="1" applyAlignment="1">
      <alignment horizontal="right"/>
    </xf>
    <xf numFmtId="165" fontId="95" fillId="0" borderId="7" xfId="0" applyNumberFormat="1" applyFont="1" applyFill="1" applyBorder="1" applyAlignment="1">
      <alignment horizontal="right"/>
    </xf>
    <xf numFmtId="37" fontId="91" fillId="0" borderId="7" xfId="0" applyNumberFormat="1" applyFont="1" applyFill="1" applyBorder="1" applyAlignment="1">
      <alignment horizontal="right"/>
    </xf>
    <xf numFmtId="165" fontId="53" fillId="0" borderId="4" xfId="0" applyNumberFormat="1" applyFont="1" applyFill="1" applyBorder="1" applyAlignment="1">
      <alignment horizontal="right"/>
    </xf>
    <xf numFmtId="168" fontId="11" fillId="0" borderId="7" xfId="0" applyNumberFormat="1" applyFont="1" applyFill="1" applyBorder="1" applyAlignment="1">
      <alignment horizontal="right"/>
    </xf>
    <xf numFmtId="168" fontId="11" fillId="0" borderId="0" xfId="13" applyNumberFormat="1" applyFont="1" applyFill="1" applyBorder="1" applyAlignment="1">
      <alignment horizontal="right"/>
    </xf>
    <xf numFmtId="168" fontId="11" fillId="0" borderId="3" xfId="0" applyNumberFormat="1" applyFont="1" applyFill="1" applyBorder="1" applyAlignment="1">
      <alignment horizontal="right"/>
    </xf>
    <xf numFmtId="168" fontId="11" fillId="0" borderId="5" xfId="0" applyNumberFormat="1" applyFont="1" applyFill="1" applyBorder="1" applyAlignment="1">
      <alignment horizontal="right"/>
    </xf>
    <xf numFmtId="168" fontId="96" fillId="0" borderId="0" xfId="0" applyNumberFormat="1" applyFont="1" applyFill="1" applyBorder="1" applyAlignment="1">
      <alignment horizontal="right"/>
    </xf>
    <xf numFmtId="174" fontId="91" fillId="0" borderId="7" xfId="0" applyNumberFormat="1" applyFont="1" applyFill="1" applyBorder="1"/>
    <xf numFmtId="37" fontId="0" fillId="0" borderId="0" xfId="0" applyFill="1" applyBorder="1"/>
    <xf numFmtId="37" fontId="93" fillId="0" borderId="7" xfId="0" applyNumberFormat="1" applyFont="1" applyFill="1" applyBorder="1" applyAlignment="1">
      <alignment horizontal="right"/>
    </xf>
    <xf numFmtId="166" fontId="91" fillId="0" borderId="7" xfId="0" applyNumberFormat="1" applyFont="1" applyFill="1" applyBorder="1" applyAlignment="1">
      <alignment horizontal="right"/>
    </xf>
    <xf numFmtId="37" fontId="1" fillId="0" borderId="0" xfId="0" applyFont="1" applyBorder="1"/>
    <xf numFmtId="37" fontId="1" fillId="0" borderId="0" xfId="13" applyFont="1" applyFill="1" applyBorder="1" applyAlignment="1" applyProtection="1">
      <alignment horizontal="left"/>
    </xf>
    <xf numFmtId="166" fontId="1" fillId="0" borderId="0" xfId="0" applyNumberFormat="1" applyFont="1" applyFill="1" applyBorder="1" applyAlignment="1">
      <alignment horizontal="right"/>
    </xf>
    <xf numFmtId="174" fontId="93" fillId="0" borderId="0" xfId="0" applyNumberFormat="1" applyFont="1" applyFill="1" applyBorder="1"/>
    <xf numFmtId="174" fontId="93" fillId="0" borderId="10" xfId="0" applyNumberFormat="1" applyFont="1" applyFill="1" applyBorder="1"/>
    <xf numFmtId="174" fontId="97" fillId="0" borderId="10" xfId="0" applyNumberFormat="1" applyFont="1" applyFill="1" applyBorder="1"/>
    <xf numFmtId="168" fontId="98" fillId="5" borderId="12" xfId="0" applyNumberFormat="1" applyFont="1" applyFill="1" applyBorder="1" applyAlignment="1">
      <alignment horizontal="right"/>
    </xf>
    <xf numFmtId="174" fontId="98" fillId="0" borderId="10" xfId="0" applyNumberFormat="1" applyFont="1" applyFill="1" applyBorder="1" applyAlignment="1">
      <alignment horizontal="right"/>
    </xf>
    <xf numFmtId="174" fontId="97" fillId="0" borderId="10" xfId="22" applyNumberFormat="1" applyFont="1" applyBorder="1" applyAlignment="1" applyProtection="1">
      <alignment horizontal="right"/>
    </xf>
    <xf numFmtId="166" fontId="93" fillId="0" borderId="10" xfId="0" applyNumberFormat="1" applyFont="1" applyFill="1" applyBorder="1" applyAlignment="1">
      <alignment horizontal="right"/>
    </xf>
    <xf numFmtId="166" fontId="1" fillId="0" borderId="0" xfId="0" applyNumberFormat="1" applyFont="1" applyFill="1" applyBorder="1"/>
    <xf numFmtId="174" fontId="98" fillId="0" borderId="10" xfId="0" applyNumberFormat="1" applyFont="1" applyFill="1" applyBorder="1"/>
    <xf numFmtId="174" fontId="1" fillId="0" borderId="7" xfId="0" applyNumberFormat="1" applyFont="1" applyFill="1" applyBorder="1"/>
    <xf numFmtId="5" fontId="1" fillId="0" borderId="0" xfId="0" applyNumberFormat="1" applyFont="1" applyFill="1" applyBorder="1" applyAlignment="1">
      <alignment horizontal="right"/>
    </xf>
    <xf numFmtId="5" fontId="1" fillId="0" borderId="7" xfId="0" applyNumberFormat="1" applyFont="1" applyFill="1" applyBorder="1" applyAlignment="1">
      <alignment horizontal="right"/>
    </xf>
    <xf numFmtId="37" fontId="1" fillId="0" borderId="0" xfId="0" applyFont="1" applyAlignment="1">
      <alignment horizontal="right"/>
    </xf>
    <xf numFmtId="168" fontId="11" fillId="0" borderId="13" xfId="0" applyNumberFormat="1" applyFont="1" applyBorder="1"/>
    <xf numFmtId="168" fontId="11" fillId="0" borderId="2" xfId="0" applyNumberFormat="1" applyFont="1" applyBorder="1"/>
    <xf numFmtId="168" fontId="54" fillId="0" borderId="2" xfId="0" applyNumberFormat="1" applyFont="1" applyBorder="1"/>
    <xf numFmtId="168" fontId="11" fillId="0" borderId="6" xfId="0" applyNumberFormat="1" applyFont="1" applyBorder="1"/>
    <xf numFmtId="168" fontId="11" fillId="0" borderId="2" xfId="0" applyNumberFormat="1" applyFont="1" applyFill="1" applyBorder="1"/>
    <xf numFmtId="168" fontId="11" fillId="0" borderId="6" xfId="0" applyNumberFormat="1" applyFont="1" applyFill="1" applyBorder="1"/>
    <xf numFmtId="168" fontId="11" fillId="0" borderId="14" xfId="0" applyNumberFormat="1" applyFont="1" applyFill="1" applyBorder="1"/>
    <xf numFmtId="168" fontId="11" fillId="0" borderId="13" xfId="0" applyNumberFormat="1" applyFont="1" applyFill="1" applyBorder="1"/>
    <xf numFmtId="168" fontId="54" fillId="0" borderId="0" xfId="0" applyNumberFormat="1" applyFont="1" applyBorder="1"/>
    <xf numFmtId="165" fontId="9" fillId="0" borderId="6" xfId="43" applyFont="1" applyFill="1" applyBorder="1"/>
    <xf numFmtId="37" fontId="1" fillId="0" borderId="0" xfId="0" applyFont="1" applyFill="1" applyBorder="1" applyAlignment="1">
      <alignment horizontal="right"/>
    </xf>
    <xf numFmtId="166" fontId="83" fillId="0" borderId="7" xfId="43" applyNumberFormat="1" applyFont="1" applyFill="1" applyBorder="1" applyAlignment="1">
      <alignment horizontal="right"/>
    </xf>
    <xf numFmtId="177" fontId="9" fillId="0" borderId="7" xfId="0" applyNumberFormat="1" applyFont="1" applyFill="1" applyBorder="1" applyAlignment="1">
      <alignment horizontal="right"/>
    </xf>
    <xf numFmtId="166" fontId="1" fillId="0" borderId="7" xfId="0" applyNumberFormat="1" applyFont="1" applyFill="1" applyBorder="1" applyAlignment="1">
      <alignment horizontal="right"/>
    </xf>
    <xf numFmtId="37" fontId="1" fillId="0" borderId="3" xfId="13" applyFont="1" applyBorder="1" applyAlignment="1" applyProtection="1">
      <alignment horizontal="left"/>
    </xf>
    <xf numFmtId="5" fontId="1" fillId="0" borderId="3" xfId="0" applyNumberFormat="1" applyFont="1" applyBorder="1"/>
    <xf numFmtId="165" fontId="1" fillId="0" borderId="3" xfId="43" applyFont="1" applyBorder="1" applyAlignment="1">
      <alignment horizontal="left" indent="1"/>
    </xf>
    <xf numFmtId="165" fontId="1" fillId="0" borderId="13" xfId="43" applyFont="1" applyBorder="1" applyAlignment="1">
      <alignment horizontal="left" indent="1"/>
    </xf>
    <xf numFmtId="165" fontId="1" fillId="0" borderId="0" xfId="43" applyFont="1" applyBorder="1" applyAlignment="1">
      <alignment horizontal="left" indent="1"/>
    </xf>
    <xf numFmtId="165" fontId="1" fillId="0" borderId="0" xfId="43" applyFont="1"/>
    <xf numFmtId="37" fontId="1" fillId="0" borderId="8" xfId="0" applyFont="1" applyBorder="1"/>
    <xf numFmtId="37" fontId="1" fillId="0" borderId="3" xfId="0" applyFont="1" applyBorder="1"/>
    <xf numFmtId="37" fontId="48" fillId="0" borderId="10" xfId="0" applyFont="1" applyBorder="1" applyAlignment="1">
      <alignment horizontal="right"/>
    </xf>
    <xf numFmtId="37" fontId="1" fillId="0" borderId="13" xfId="0" applyFont="1" applyBorder="1" applyAlignment="1">
      <alignment horizontal="left" indent="1"/>
    </xf>
    <xf numFmtId="37" fontId="1" fillId="0" borderId="11" xfId="0" applyFont="1" applyBorder="1"/>
    <xf numFmtId="0" fontId="11" fillId="5" borderId="18" xfId="0" quotePrefix="1" applyNumberFormat="1" applyFont="1" applyFill="1" applyBorder="1" applyAlignment="1">
      <alignment horizontal="right"/>
    </xf>
    <xf numFmtId="37" fontId="1" fillId="0" borderId="2" xfId="0" applyFont="1" applyBorder="1"/>
    <xf numFmtId="165" fontId="1" fillId="0" borderId="0" xfId="43" applyNumberFormat="1" applyFont="1"/>
    <xf numFmtId="39" fontId="1" fillId="0" borderId="0" xfId="0" applyNumberFormat="1" applyFont="1"/>
    <xf numFmtId="178" fontId="1" fillId="0" borderId="0" xfId="0" applyNumberFormat="1" applyFont="1"/>
    <xf numFmtId="168" fontId="1" fillId="0" borderId="0" xfId="0" applyNumberFormat="1" applyFont="1"/>
    <xf numFmtId="166" fontId="1" fillId="0" borderId="0" xfId="0" applyNumberFormat="1" applyFont="1"/>
    <xf numFmtId="37" fontId="1" fillId="0" borderId="4" xfId="0" applyFont="1" applyBorder="1"/>
    <xf numFmtId="37" fontId="1" fillId="0" borderId="9" xfId="0" applyFont="1" applyBorder="1"/>
    <xf numFmtId="37" fontId="1" fillId="0" borderId="13" xfId="0" applyFont="1" applyBorder="1"/>
    <xf numFmtId="37" fontId="1" fillId="0" borderId="10" xfId="0" applyFont="1" applyBorder="1"/>
    <xf numFmtId="5" fontId="1" fillId="0" borderId="0" xfId="0" applyNumberFormat="1" applyFont="1" applyBorder="1"/>
    <xf numFmtId="5" fontId="1" fillId="0" borderId="2" xfId="0" applyNumberFormat="1" applyFont="1" applyBorder="1"/>
    <xf numFmtId="191" fontId="1" fillId="0" borderId="0" xfId="0" applyNumberFormat="1" applyFont="1"/>
    <xf numFmtId="0" fontId="1" fillId="0" borderId="0" xfId="0" applyNumberFormat="1" applyFont="1"/>
    <xf numFmtId="0" fontId="1" fillId="0" borderId="11" xfId="0" applyNumberFormat="1" applyFont="1" applyBorder="1"/>
    <xf numFmtId="0" fontId="1" fillId="0" borderId="18" xfId="0" applyNumberFormat="1" applyFont="1" applyBorder="1"/>
    <xf numFmtId="0" fontId="1" fillId="0" borderId="12" xfId="0" applyNumberFormat="1" applyFont="1" applyBorder="1"/>
    <xf numFmtId="5" fontId="1" fillId="0" borderId="0" xfId="0" applyNumberFormat="1" applyFont="1"/>
    <xf numFmtId="5" fontId="1" fillId="0" borderId="10" xfId="0" applyNumberFormat="1" applyFont="1" applyBorder="1"/>
    <xf numFmtId="165" fontId="1" fillId="0" borderId="10" xfId="43" applyFont="1" applyBorder="1"/>
    <xf numFmtId="165" fontId="1" fillId="0" borderId="2" xfId="43" applyFont="1" applyBorder="1"/>
    <xf numFmtId="165" fontId="1" fillId="0" borderId="14" xfId="43" applyFont="1" applyBorder="1"/>
    <xf numFmtId="165" fontId="1" fillId="0" borderId="0" xfId="43" applyFont="1" applyBorder="1"/>
    <xf numFmtId="37" fontId="11" fillId="0" borderId="12" xfId="0" applyFont="1" applyBorder="1" applyAlignment="1">
      <alignment horizontal="centerContinuous"/>
    </xf>
    <xf numFmtId="37" fontId="11" fillId="0" borderId="10" xfId="0" applyFont="1" applyBorder="1" applyAlignment="1">
      <alignment horizontal="center"/>
    </xf>
    <xf numFmtId="5" fontId="103" fillId="0" borderId="0" xfId="0" applyNumberFormat="1" applyFont="1" applyBorder="1"/>
    <xf numFmtId="37" fontId="103" fillId="0" borderId="0" xfId="0" applyFont="1" applyBorder="1"/>
    <xf numFmtId="37" fontId="103" fillId="0" borderId="10" xfId="0" applyFont="1" applyBorder="1"/>
    <xf numFmtId="165" fontId="103" fillId="0" borderId="0" xfId="43" applyFont="1" applyBorder="1"/>
    <xf numFmtId="165" fontId="103" fillId="0" borderId="10" xfId="43" applyFont="1" applyBorder="1"/>
    <xf numFmtId="9" fontId="103" fillId="0" borderId="0" xfId="43" applyNumberFormat="1" applyFont="1" applyBorder="1"/>
    <xf numFmtId="9" fontId="103" fillId="0" borderId="10" xfId="43" applyNumberFormat="1" applyFont="1" applyBorder="1"/>
    <xf numFmtId="166" fontId="1" fillId="0" borderId="0" xfId="0" applyNumberFormat="1" applyFont="1" applyBorder="1"/>
    <xf numFmtId="166" fontId="1" fillId="0" borderId="10" xfId="0" applyNumberFormat="1" applyFont="1" applyBorder="1"/>
    <xf numFmtId="37" fontId="103" fillId="0" borderId="3" xfId="0" applyNumberFormat="1" applyFont="1" applyFill="1" applyBorder="1" applyAlignment="1">
      <alignment horizontal="right"/>
    </xf>
    <xf numFmtId="166" fontId="103" fillId="0" borderId="3" xfId="0" applyNumberFormat="1" applyFont="1" applyFill="1" applyBorder="1" applyAlignment="1">
      <alignment horizontal="right"/>
    </xf>
    <xf numFmtId="165" fontId="1" fillId="0" borderId="0" xfId="0" applyNumberFormat="1" applyFont="1" applyFill="1" applyBorder="1" applyAlignment="1">
      <alignment horizontal="right"/>
    </xf>
    <xf numFmtId="166" fontId="103" fillId="0" borderId="0" xfId="0" applyNumberFormat="1" applyFont="1" applyFill="1" applyBorder="1" applyAlignment="1">
      <alignment horizontal="right"/>
    </xf>
    <xf numFmtId="37" fontId="103" fillId="0" borderId="0" xfId="0" applyNumberFormat="1" applyFont="1" applyFill="1" applyBorder="1" applyAlignment="1">
      <alignment horizontal="right"/>
    </xf>
    <xf numFmtId="5" fontId="104" fillId="0" borderId="0" xfId="0" applyNumberFormat="1" applyFont="1" applyFill="1" applyBorder="1" applyAlignment="1">
      <alignment horizontal="right"/>
    </xf>
    <xf numFmtId="5" fontId="104" fillId="0" borderId="10" xfId="0" applyNumberFormat="1" applyFont="1" applyFill="1" applyBorder="1" applyAlignment="1">
      <alignment horizontal="right"/>
    </xf>
    <xf numFmtId="5" fontId="104" fillId="0" borderId="3" xfId="0" applyNumberFormat="1" applyFont="1" applyFill="1" applyBorder="1" applyAlignment="1">
      <alignment horizontal="right"/>
    </xf>
    <xf numFmtId="174" fontId="103" fillId="0" borderId="3" xfId="0" applyNumberFormat="1" applyFont="1" applyFill="1" applyBorder="1" applyAlignment="1">
      <alignment horizontal="right"/>
    </xf>
    <xf numFmtId="41" fontId="103" fillId="0" borderId="3" xfId="0" applyNumberFormat="1" applyFont="1" applyFill="1" applyBorder="1" applyAlignment="1">
      <alignment horizontal="right"/>
    </xf>
    <xf numFmtId="41" fontId="103" fillId="0" borderId="0" xfId="0" applyNumberFormat="1" applyFont="1" applyFill="1" applyBorder="1" applyAlignment="1">
      <alignment horizontal="right"/>
    </xf>
    <xf numFmtId="41" fontId="103" fillId="0" borderId="10" xfId="0" applyNumberFormat="1" applyFont="1" applyFill="1" applyBorder="1" applyAlignment="1">
      <alignment horizontal="right"/>
    </xf>
    <xf numFmtId="37" fontId="103" fillId="0" borderId="10" xfId="0" applyNumberFormat="1" applyFont="1" applyFill="1" applyBorder="1" applyAlignment="1">
      <alignment horizontal="right"/>
    </xf>
    <xf numFmtId="174" fontId="1" fillId="0" borderId="0" xfId="0" applyNumberFormat="1" applyFont="1" applyBorder="1"/>
    <xf numFmtId="165" fontId="1" fillId="0" borderId="0" xfId="43" applyFont="1" applyBorder="1" applyAlignment="1">
      <alignment horizontal="right"/>
    </xf>
    <xf numFmtId="5" fontId="1" fillId="0" borderId="3" xfId="14" applyFont="1" applyBorder="1" applyAlignment="1" applyProtection="1">
      <alignment horizontal="left"/>
    </xf>
    <xf numFmtId="168" fontId="103" fillId="0" borderId="3" xfId="0" applyNumberFormat="1" applyFont="1" applyFill="1" applyBorder="1" applyAlignment="1">
      <alignment horizontal="right"/>
    </xf>
    <xf numFmtId="166" fontId="9" fillId="0" borderId="0" xfId="0" quotePrefix="1" applyNumberFormat="1" applyFont="1" applyBorder="1" applyAlignment="1">
      <alignment horizontal="right"/>
    </xf>
    <xf numFmtId="37" fontId="1" fillId="0" borderId="3" xfId="0" applyFont="1" applyFill="1" applyBorder="1" applyAlignment="1">
      <alignment horizontal="left" indent="1"/>
    </xf>
    <xf numFmtId="168" fontId="1" fillId="0" borderId="3" xfId="0" applyNumberFormat="1" applyFont="1" applyFill="1" applyBorder="1" applyAlignment="1">
      <alignment horizontal="right"/>
    </xf>
    <xf numFmtId="168" fontId="1" fillId="0" borderId="0" xfId="0" applyNumberFormat="1" applyFont="1" applyFill="1" applyBorder="1" applyAlignment="1">
      <alignment horizontal="right"/>
    </xf>
    <xf numFmtId="174" fontId="104" fillId="0" borderId="0" xfId="0" applyNumberFormat="1" applyFont="1" applyFill="1" applyBorder="1"/>
    <xf numFmtId="166" fontId="1" fillId="0" borderId="3" xfId="0" applyNumberFormat="1" applyFont="1" applyFill="1" applyBorder="1" applyAlignment="1">
      <alignment horizontal="right"/>
    </xf>
    <xf numFmtId="168" fontId="1" fillId="0" borderId="3" xfId="0" applyNumberFormat="1" applyFont="1" applyFill="1" applyBorder="1" applyAlignment="1">
      <alignment horizontal="left" indent="1"/>
    </xf>
    <xf numFmtId="174" fontId="103" fillId="0" borderId="0" xfId="0" applyNumberFormat="1" applyFont="1" applyFill="1" applyBorder="1"/>
    <xf numFmtId="168" fontId="106" fillId="5" borderId="18" xfId="13" applyNumberFormat="1" applyFont="1" applyFill="1" applyBorder="1" applyAlignment="1">
      <alignment horizontal="right"/>
    </xf>
    <xf numFmtId="166" fontId="104" fillId="0" borderId="0" xfId="13" applyNumberFormat="1" applyFont="1" applyFill="1" applyBorder="1" applyAlignment="1">
      <alignment horizontal="right"/>
    </xf>
    <xf numFmtId="168" fontId="106" fillId="5" borderId="18" xfId="0" applyNumberFormat="1" applyFont="1" applyFill="1" applyBorder="1" applyAlignment="1">
      <alignment horizontal="right"/>
    </xf>
    <xf numFmtId="166" fontId="104" fillId="0" borderId="3" xfId="0" applyNumberFormat="1" applyFont="1" applyFill="1" applyBorder="1" applyAlignment="1">
      <alignment horizontal="right"/>
    </xf>
    <xf numFmtId="166" fontId="104" fillId="0" borderId="0" xfId="0" applyNumberFormat="1" applyFont="1" applyFill="1" applyBorder="1" applyAlignment="1">
      <alignment horizontal="right"/>
    </xf>
    <xf numFmtId="168" fontId="106" fillId="5" borderId="11" xfId="0" applyNumberFormat="1" applyFont="1" applyFill="1" applyBorder="1" applyAlignment="1">
      <alignment horizontal="right"/>
    </xf>
    <xf numFmtId="165" fontId="9" fillId="0" borderId="18" xfId="0" applyNumberFormat="1" applyFont="1" applyBorder="1" applyAlignment="1">
      <alignment horizontal="right"/>
    </xf>
    <xf numFmtId="165" fontId="9" fillId="0" borderId="24" xfId="0" applyNumberFormat="1" applyFont="1" applyBorder="1" applyAlignment="1">
      <alignment horizontal="right"/>
    </xf>
    <xf numFmtId="165" fontId="9" fillId="0" borderId="18" xfId="0" applyNumberFormat="1" applyFont="1" applyFill="1" applyBorder="1" applyAlignment="1">
      <alignment horizontal="right"/>
    </xf>
    <xf numFmtId="165" fontId="9" fillId="0" borderId="24" xfId="0" applyNumberFormat="1" applyFont="1" applyFill="1" applyBorder="1" applyAlignment="1">
      <alignment horizontal="right"/>
    </xf>
    <xf numFmtId="165" fontId="9" fillId="0" borderId="11" xfId="0" applyNumberFormat="1" applyFont="1" applyFill="1" applyBorder="1" applyAlignment="1">
      <alignment horizontal="right"/>
    </xf>
    <xf numFmtId="165" fontId="9" fillId="0" borderId="12" xfId="0" applyNumberFormat="1" applyFont="1" applyFill="1" applyBorder="1" applyAlignment="1">
      <alignment horizontal="right"/>
    </xf>
    <xf numFmtId="165" fontId="51" fillId="0" borderId="24" xfId="0" applyNumberFormat="1" applyFont="1" applyFill="1" applyBorder="1" applyAlignment="1">
      <alignment horizontal="right"/>
    </xf>
    <xf numFmtId="165" fontId="51" fillId="0" borderId="11" xfId="0" applyNumberFormat="1" applyFont="1" applyFill="1" applyBorder="1" applyAlignment="1">
      <alignment horizontal="right"/>
    </xf>
    <xf numFmtId="165" fontId="51" fillId="0" borderId="18" xfId="0" applyNumberFormat="1" applyFont="1" applyFill="1" applyBorder="1" applyAlignment="1">
      <alignment horizontal="right"/>
    </xf>
    <xf numFmtId="165" fontId="51" fillId="0" borderId="12" xfId="0" applyNumberFormat="1" applyFont="1" applyFill="1" applyBorder="1" applyAlignment="1">
      <alignment horizontal="right"/>
    </xf>
    <xf numFmtId="165" fontId="70" fillId="0" borderId="12" xfId="0" applyNumberFormat="1" applyFont="1" applyFill="1" applyBorder="1" applyAlignment="1">
      <alignment horizontal="right"/>
    </xf>
    <xf numFmtId="165" fontId="1" fillId="0" borderId="7" xfId="0" applyNumberFormat="1" applyFont="1" applyFill="1" applyBorder="1" applyAlignment="1">
      <alignment horizontal="right"/>
    </xf>
    <xf numFmtId="37" fontId="1" fillId="0" borderId="3" xfId="0" applyFont="1" applyBorder="1" applyAlignment="1">
      <alignment horizontal="left"/>
    </xf>
    <xf numFmtId="166" fontId="103" fillId="0" borderId="10" xfId="0" applyNumberFormat="1" applyFont="1" applyFill="1" applyBorder="1" applyAlignment="1">
      <alignment horizontal="right"/>
    </xf>
    <xf numFmtId="37" fontId="103" fillId="0" borderId="0" xfId="0" applyFont="1"/>
    <xf numFmtId="166" fontId="103" fillId="0" borderId="0" xfId="0" applyNumberFormat="1" applyFont="1"/>
    <xf numFmtId="166" fontId="104" fillId="0" borderId="0" xfId="0" applyNumberFormat="1" applyFont="1"/>
    <xf numFmtId="166" fontId="1" fillId="0" borderId="0" xfId="0" applyNumberFormat="1" applyFont="1" applyAlignment="1">
      <alignment horizontal="right"/>
    </xf>
    <xf numFmtId="37" fontId="11" fillId="0" borderId="14" xfId="0" applyFont="1" applyBorder="1" applyAlignment="1">
      <alignment horizontal="right"/>
    </xf>
    <xf numFmtId="37" fontId="105" fillId="0" borderId="0" xfId="0" applyFont="1" applyBorder="1"/>
    <xf numFmtId="5" fontId="104" fillId="0" borderId="4" xfId="0" applyNumberFormat="1" applyFont="1" applyBorder="1"/>
    <xf numFmtId="5" fontId="1" fillId="0" borderId="4" xfId="0" applyNumberFormat="1" applyFont="1" applyBorder="1"/>
    <xf numFmtId="5" fontId="105" fillId="0" borderId="0" xfId="0" applyNumberFormat="1" applyFont="1" applyBorder="1"/>
    <xf numFmtId="37" fontId="11" fillId="0" borderId="14" xfId="0" applyFont="1" applyBorder="1" applyAlignment="1">
      <alignment horizontal="centerContinuous"/>
    </xf>
    <xf numFmtId="37" fontId="105" fillId="0" borderId="10" xfId="0" applyFont="1" applyBorder="1"/>
    <xf numFmtId="37" fontId="1" fillId="0" borderId="0" xfId="0" applyFont="1" applyBorder="1" applyAlignment="1">
      <alignment horizontal="right"/>
    </xf>
    <xf numFmtId="37" fontId="1" fillId="0" borderId="10" xfId="0" applyFont="1" applyBorder="1" applyAlignment="1">
      <alignment horizontal="right"/>
    </xf>
    <xf numFmtId="5" fontId="11" fillId="0" borderId="10" xfId="0" applyNumberFormat="1" applyFont="1" applyBorder="1"/>
    <xf numFmtId="5" fontId="104" fillId="0" borderId="0" xfId="0" applyNumberFormat="1" applyFont="1" applyBorder="1"/>
    <xf numFmtId="5" fontId="108" fillId="0" borderId="0" xfId="0" applyNumberFormat="1" applyFont="1" applyBorder="1"/>
    <xf numFmtId="5" fontId="104" fillId="0" borderId="10" xfId="0" applyNumberFormat="1" applyFont="1" applyBorder="1"/>
    <xf numFmtId="5" fontId="108" fillId="0" borderId="10" xfId="0" applyNumberFormat="1" applyFont="1" applyBorder="1"/>
    <xf numFmtId="37" fontId="11" fillId="0" borderId="10" xfId="0" applyFont="1" applyBorder="1" applyAlignment="1">
      <alignment horizontal="right"/>
    </xf>
    <xf numFmtId="5" fontId="52" fillId="0" borderId="10" xfId="0" applyNumberFormat="1" applyFont="1" applyBorder="1"/>
    <xf numFmtId="174" fontId="104" fillId="0" borderId="3" xfId="0" applyNumberFormat="1" applyFont="1" applyFill="1" applyBorder="1"/>
    <xf numFmtId="168" fontId="104" fillId="0" borderId="10" xfId="0" applyNumberFormat="1" applyFont="1" applyBorder="1"/>
    <xf numFmtId="168" fontId="1" fillId="0" borderId="10" xfId="0" applyNumberFormat="1" applyFont="1" applyBorder="1"/>
    <xf numFmtId="174" fontId="109" fillId="0" borderId="3" xfId="0" applyNumberFormat="1" applyFont="1" applyFill="1" applyBorder="1"/>
    <xf numFmtId="5" fontId="11" fillId="0" borderId="8" xfId="0" applyNumberFormat="1" applyFont="1" applyBorder="1"/>
    <xf numFmtId="5" fontId="11" fillId="0" borderId="4" xfId="0" applyNumberFormat="1" applyFont="1" applyBorder="1"/>
    <xf numFmtId="5" fontId="11" fillId="0" borderId="9" xfId="0" applyNumberFormat="1" applyFont="1" applyBorder="1"/>
    <xf numFmtId="166" fontId="1" fillId="0" borderId="10" xfId="0" applyNumberFormat="1" applyFont="1" applyBorder="1" applyAlignment="1">
      <alignment horizontal="right"/>
    </xf>
    <xf numFmtId="193" fontId="1" fillId="0" borderId="10" xfId="0" applyNumberFormat="1" applyFont="1" applyBorder="1"/>
    <xf numFmtId="37" fontId="1" fillId="0" borderId="3" xfId="13" applyFont="1" applyFill="1" applyBorder="1" applyAlignment="1" applyProtection="1">
      <alignment horizontal="left"/>
    </xf>
    <xf numFmtId="195" fontId="1" fillId="0" borderId="0" xfId="0" applyNumberFormat="1" applyFont="1"/>
    <xf numFmtId="37" fontId="1" fillId="0" borderId="3" xfId="0" applyFont="1" applyBorder="1" applyAlignment="1">
      <alignment horizontal="left" indent="1"/>
    </xf>
    <xf numFmtId="37" fontId="1" fillId="0" borderId="0" xfId="0" applyNumberFormat="1" applyFont="1" applyBorder="1"/>
    <xf numFmtId="37" fontId="1" fillId="0" borderId="10" xfId="0" applyNumberFormat="1" applyFont="1" applyBorder="1"/>
    <xf numFmtId="37" fontId="51" fillId="0" borderId="0" xfId="0" applyNumberFormat="1" applyFont="1" applyBorder="1"/>
    <xf numFmtId="176" fontId="11" fillId="0" borderId="14" xfId="0" applyNumberFormat="1" applyFont="1" applyBorder="1"/>
    <xf numFmtId="5" fontId="104" fillId="0" borderId="9" xfId="0" applyNumberFormat="1" applyFont="1" applyBorder="1"/>
    <xf numFmtId="37" fontId="51" fillId="0" borderId="10" xfId="0" applyNumberFormat="1" applyFont="1" applyBorder="1"/>
    <xf numFmtId="179" fontId="1" fillId="0" borderId="0" xfId="0" applyNumberFormat="1" applyFont="1"/>
    <xf numFmtId="168" fontId="104" fillId="0" borderId="0" xfId="0" applyNumberFormat="1" applyFont="1"/>
    <xf numFmtId="179" fontId="1" fillId="0" borderId="0" xfId="0" applyNumberFormat="1" applyFont="1" applyAlignment="1">
      <alignment horizontal="right"/>
    </xf>
    <xf numFmtId="179" fontId="1" fillId="0" borderId="0" xfId="0" applyNumberFormat="1" applyFont="1" applyBorder="1"/>
    <xf numFmtId="179" fontId="1" fillId="0" borderId="10" xfId="0" applyNumberFormat="1" applyFont="1" applyBorder="1"/>
    <xf numFmtId="168" fontId="103" fillId="0" borderId="0" xfId="0" applyNumberFormat="1" applyFont="1" applyBorder="1"/>
    <xf numFmtId="168" fontId="103" fillId="0" borderId="10" xfId="0" applyNumberFormat="1" applyFont="1" applyBorder="1"/>
    <xf numFmtId="165" fontId="107" fillId="0" borderId="0" xfId="43" applyFont="1" applyBorder="1"/>
    <xf numFmtId="37" fontId="50" fillId="0" borderId="13" xfId="0" applyFont="1" applyBorder="1" applyAlignment="1">
      <alignment horizontal="left" indent="1"/>
    </xf>
    <xf numFmtId="165" fontId="50" fillId="0" borderId="2" xfId="43" applyFont="1" applyBorder="1"/>
    <xf numFmtId="165" fontId="50" fillId="6" borderId="14" xfId="43" applyFont="1" applyFill="1" applyBorder="1"/>
    <xf numFmtId="166" fontId="104" fillId="0" borderId="10" xfId="0" applyNumberFormat="1" applyFont="1" applyBorder="1"/>
    <xf numFmtId="165" fontId="103" fillId="0" borderId="10" xfId="43" applyNumberFormat="1" applyFont="1" applyBorder="1"/>
    <xf numFmtId="193" fontId="104" fillId="0" borderId="10" xfId="0" applyNumberFormat="1" applyFont="1" applyBorder="1"/>
    <xf numFmtId="165" fontId="103" fillId="0" borderId="0" xfId="43" applyFont="1"/>
    <xf numFmtId="37" fontId="1" fillId="0" borderId="0" xfId="0" applyFont="1" applyAlignment="1">
      <alignment horizontal="centerContinuous"/>
    </xf>
    <xf numFmtId="39" fontId="110" fillId="0" borderId="0" xfId="0" applyNumberFormat="1" applyFont="1"/>
    <xf numFmtId="165" fontId="103" fillId="0" borderId="18" xfId="43" applyFont="1" applyBorder="1"/>
    <xf numFmtId="165" fontId="1" fillId="0" borderId="18" xfId="43" applyFont="1" applyBorder="1"/>
    <xf numFmtId="37" fontId="11" fillId="0" borderId="0" xfId="0" applyFont="1" applyAlignment="1">
      <alignment wrapText="1"/>
    </xf>
    <xf numFmtId="7" fontId="11" fillId="0" borderId="8" xfId="0" applyNumberFormat="1" applyFont="1" applyBorder="1" applyAlignment="1">
      <alignment horizontal="right" vertical="center"/>
    </xf>
    <xf numFmtId="7" fontId="11" fillId="0" borderId="0" xfId="0" applyNumberFormat="1" applyFont="1" applyAlignment="1">
      <alignment horizontal="right" vertical="center"/>
    </xf>
    <xf numFmtId="193" fontId="103" fillId="0" borderId="0" xfId="43" applyNumberFormat="1" applyFont="1"/>
    <xf numFmtId="37" fontId="1" fillId="0" borderId="7" xfId="0" applyFont="1" applyBorder="1"/>
    <xf numFmtId="168" fontId="1" fillId="0" borderId="0" xfId="0" applyNumberFormat="1" applyFont="1" applyBorder="1"/>
    <xf numFmtId="37" fontId="1" fillId="0" borderId="14" xfId="0" applyFont="1" applyBorder="1"/>
    <xf numFmtId="196" fontId="11" fillId="0" borderId="2" xfId="0" applyNumberFormat="1" applyFont="1" applyBorder="1"/>
    <xf numFmtId="37" fontId="0" fillId="0" borderId="8" xfId="0" applyBorder="1"/>
    <xf numFmtId="37" fontId="11" fillId="0" borderId="4" xfId="0" applyNumberFormat="1" applyFont="1" applyFill="1" applyBorder="1" applyAlignment="1">
      <alignment horizontal="right"/>
    </xf>
    <xf numFmtId="0" fontId="11" fillId="0" borderId="4" xfId="0" applyNumberFormat="1" applyFont="1" applyFill="1" applyBorder="1" applyAlignment="1">
      <alignment horizontal="center"/>
    </xf>
    <xf numFmtId="0" fontId="11" fillId="0" borderId="9" xfId="0" applyNumberFormat="1" applyFont="1" applyFill="1" applyBorder="1" applyAlignment="1">
      <alignment horizontal="right"/>
    </xf>
    <xf numFmtId="37" fontId="11" fillId="0" borderId="0" xfId="0" applyNumberFormat="1" applyFont="1" applyBorder="1" applyAlignment="1">
      <alignment horizontal="right"/>
    </xf>
    <xf numFmtId="37" fontId="11" fillId="0" borderId="10" xfId="0" applyFont="1" applyFill="1" applyBorder="1" applyAlignment="1">
      <alignment horizontal="right"/>
    </xf>
    <xf numFmtId="37" fontId="11" fillId="0" borderId="14" xfId="0" applyFont="1" applyFill="1" applyBorder="1" applyAlignment="1">
      <alignment horizontal="right"/>
    </xf>
    <xf numFmtId="5" fontId="9" fillId="0" borderId="8" xfId="14" applyFont="1" applyBorder="1" applyAlignment="1" applyProtection="1">
      <alignment horizontal="left"/>
    </xf>
    <xf numFmtId="37" fontId="9" fillId="0" borderId="13" xfId="13" applyFont="1" applyBorder="1" applyAlignment="1" applyProtection="1">
      <alignment horizontal="left"/>
    </xf>
    <xf numFmtId="37" fontId="9" fillId="0" borderId="14" xfId="0" applyNumberFormat="1" applyFont="1" applyFill="1" applyBorder="1"/>
    <xf numFmtId="5" fontId="11" fillId="0" borderId="10" xfId="0" applyNumberFormat="1" applyFont="1" applyFill="1" applyBorder="1"/>
    <xf numFmtId="37" fontId="9" fillId="0" borderId="13" xfId="0" applyFont="1" applyFill="1" applyBorder="1" applyAlignment="1">
      <alignment horizontal="left"/>
    </xf>
    <xf numFmtId="5" fontId="11" fillId="0" borderId="10" xfId="0" applyNumberFormat="1" applyFont="1" applyFill="1" applyBorder="1" applyAlignment="1">
      <alignment horizontal="right"/>
    </xf>
    <xf numFmtId="37" fontId="1" fillId="0" borderId="3" xfId="0" applyFont="1" applyFill="1" applyBorder="1"/>
    <xf numFmtId="37" fontId="104" fillId="0" borderId="10" xfId="0" applyNumberFormat="1" applyFont="1" applyBorder="1"/>
    <xf numFmtId="39" fontId="9" fillId="0" borderId="10" xfId="0" applyNumberFormat="1" applyFont="1" applyFill="1" applyBorder="1"/>
    <xf numFmtId="166" fontId="105" fillId="0" borderId="0" xfId="0" applyNumberFormat="1" applyFont="1" applyFill="1" applyBorder="1" applyAlignment="1">
      <alignment horizontal="right"/>
    </xf>
    <xf numFmtId="5" fontId="103" fillId="0" borderId="0" xfId="0" applyNumberFormat="1" applyFont="1"/>
    <xf numFmtId="5" fontId="104" fillId="0" borderId="0" xfId="0" applyNumberFormat="1" applyFont="1"/>
    <xf numFmtId="37" fontId="1" fillId="0" borderId="0" xfId="0" applyFont="1" applyAlignment="1">
      <alignment horizontal="center"/>
    </xf>
    <xf numFmtId="37" fontId="1" fillId="0" borderId="0" xfId="0" applyFont="1" applyBorder="1" applyAlignment="1">
      <alignment horizontal="center"/>
    </xf>
    <xf numFmtId="37" fontId="1" fillId="0" borderId="4" xfId="0" applyFont="1" applyBorder="1" applyAlignment="1">
      <alignment horizontal="center"/>
    </xf>
    <xf numFmtId="166" fontId="1" fillId="0" borderId="3" xfId="0" applyNumberFormat="1" applyFont="1" applyBorder="1" applyAlignment="1">
      <alignment horizontal="left"/>
    </xf>
    <xf numFmtId="168" fontId="1" fillId="0" borderId="0" xfId="0" applyNumberFormat="1" applyFont="1" applyBorder="1" applyAlignment="1">
      <alignment horizontal="right"/>
    </xf>
    <xf numFmtId="166" fontId="1" fillId="0" borderId="0" xfId="0" applyNumberFormat="1" applyFont="1" applyBorder="1" applyAlignment="1">
      <alignment horizontal="right"/>
    </xf>
    <xf numFmtId="166" fontId="1" fillId="0" borderId="13" xfId="0" applyNumberFormat="1" applyFont="1" applyBorder="1" applyAlignment="1">
      <alignment horizontal="left"/>
    </xf>
    <xf numFmtId="166" fontId="1" fillId="0" borderId="2" xfId="0" applyNumberFormat="1" applyFont="1" applyBorder="1" applyAlignment="1">
      <alignment horizontal="right"/>
    </xf>
    <xf numFmtId="166" fontId="51" fillId="0" borderId="13" xfId="0" applyNumberFormat="1" applyFont="1" applyBorder="1" applyAlignment="1">
      <alignment horizontal="left"/>
    </xf>
    <xf numFmtId="193" fontId="1" fillId="0" borderId="0" xfId="0" applyNumberFormat="1" applyFont="1" applyBorder="1"/>
    <xf numFmtId="5" fontId="1" fillId="0" borderId="10" xfId="0" applyNumberFormat="1" applyFont="1" applyBorder="1" applyAlignment="1">
      <alignment horizontal="right"/>
    </xf>
    <xf numFmtId="37" fontId="1" fillId="0" borderId="10" xfId="0" applyNumberFormat="1" applyFont="1" applyBorder="1" applyAlignment="1">
      <alignment horizontal="right"/>
    </xf>
    <xf numFmtId="37" fontId="1" fillId="0" borderId="14" xfId="0" applyNumberFormat="1" applyFont="1" applyBorder="1" applyAlignment="1">
      <alignment horizontal="right"/>
    </xf>
    <xf numFmtId="166" fontId="11" fillId="0" borderId="8" xfId="0" applyNumberFormat="1" applyFont="1" applyBorder="1" applyAlignment="1">
      <alignment horizontal="left"/>
    </xf>
    <xf numFmtId="168" fontId="11" fillId="0" borderId="4" xfId="0" applyNumberFormat="1" applyFont="1" applyBorder="1" applyAlignment="1">
      <alignment horizontal="right"/>
    </xf>
    <xf numFmtId="5" fontId="11" fillId="0" borderId="9" xfId="0" applyNumberFormat="1" applyFont="1" applyBorder="1" applyAlignment="1">
      <alignment horizontal="right"/>
    </xf>
    <xf numFmtId="166" fontId="11" fillId="5" borderId="11" xfId="0" applyNumberFormat="1" applyFont="1" applyFill="1" applyBorder="1" applyAlignment="1">
      <alignment horizontal="left"/>
    </xf>
    <xf numFmtId="37" fontId="1" fillId="0" borderId="13" xfId="0" applyFont="1" applyFill="1" applyBorder="1" applyAlignment="1">
      <alignment horizontal="left"/>
    </xf>
    <xf numFmtId="193" fontId="11" fillId="0" borderId="4" xfId="0" applyNumberFormat="1" applyFont="1" applyBorder="1"/>
    <xf numFmtId="174" fontId="97" fillId="0" borderId="13" xfId="0" applyNumberFormat="1" applyFont="1" applyFill="1" applyBorder="1"/>
    <xf numFmtId="174" fontId="103" fillId="0" borderId="3" xfId="0" applyNumberFormat="1" applyFont="1" applyFill="1" applyBorder="1"/>
    <xf numFmtId="166" fontId="103" fillId="0" borderId="3" xfId="0" applyNumberFormat="1" applyFont="1" applyFill="1" applyBorder="1"/>
    <xf numFmtId="172" fontId="1" fillId="0" borderId="3" xfId="0" applyNumberFormat="1" applyFont="1" applyFill="1" applyBorder="1"/>
    <xf numFmtId="166" fontId="108" fillId="0" borderId="7" xfId="0" applyNumberFormat="1" applyFont="1" applyFill="1" applyBorder="1" applyAlignment="1">
      <alignment horizontal="right"/>
    </xf>
    <xf numFmtId="37" fontId="51" fillId="0" borderId="13" xfId="0" applyFont="1" applyBorder="1"/>
    <xf numFmtId="191" fontId="1" fillId="0" borderId="0" xfId="0" applyNumberFormat="1" applyFont="1" applyBorder="1"/>
    <xf numFmtId="191" fontId="47" fillId="0" borderId="0" xfId="0" applyNumberFormat="1" applyFont="1" applyBorder="1"/>
    <xf numFmtId="191" fontId="1" fillId="0" borderId="10" xfId="0" applyNumberFormat="1" applyFont="1" applyBorder="1"/>
    <xf numFmtId="5" fontId="11" fillId="0" borderId="3" xfId="0" applyNumberFormat="1" applyFont="1" applyBorder="1"/>
    <xf numFmtId="37" fontId="57" fillId="5" borderId="11" xfId="0" applyFont="1" applyFill="1" applyBorder="1"/>
    <xf numFmtId="176" fontId="1" fillId="0" borderId="0" xfId="0" applyNumberFormat="1" applyFont="1"/>
    <xf numFmtId="196" fontId="11" fillId="0" borderId="14" xfId="0" applyNumberFormat="1" applyFont="1" applyBorder="1"/>
    <xf numFmtId="5" fontId="11" fillId="5" borderId="4" xfId="0" applyNumberFormat="1" applyFont="1" applyFill="1" applyBorder="1"/>
    <xf numFmtId="5" fontId="11" fillId="5" borderId="9" xfId="0" applyNumberFormat="1" applyFont="1" applyFill="1" applyBorder="1"/>
    <xf numFmtId="37" fontId="50" fillId="5" borderId="13" xfId="0" applyFont="1" applyFill="1" applyBorder="1" applyAlignment="1">
      <alignment horizontal="left" indent="1"/>
    </xf>
    <xf numFmtId="37" fontId="11" fillId="5" borderId="2" xfId="0" applyFont="1" applyFill="1" applyBorder="1"/>
    <xf numFmtId="165" fontId="50" fillId="5" borderId="2" xfId="43" applyFont="1" applyFill="1" applyBorder="1"/>
    <xf numFmtId="165" fontId="50" fillId="5" borderId="14" xfId="43" applyFont="1" applyFill="1" applyBorder="1"/>
    <xf numFmtId="9" fontId="1" fillId="0" borderId="0" xfId="43" applyNumberFormat="1" applyFont="1"/>
    <xf numFmtId="9" fontId="11" fillId="0" borderId="10" xfId="43" applyNumberFormat="1" applyFont="1" applyBorder="1"/>
    <xf numFmtId="37" fontId="1" fillId="0" borderId="2" xfId="0" applyFont="1" applyBorder="1" applyAlignment="1">
      <alignment horizontal="centerContinuous"/>
    </xf>
    <xf numFmtId="165" fontId="111" fillId="0" borderId="0" xfId="43" applyFont="1" applyBorder="1"/>
    <xf numFmtId="9" fontId="11" fillId="0" borderId="14" xfId="43" applyNumberFormat="1" applyFont="1" applyBorder="1"/>
    <xf numFmtId="9" fontId="1" fillId="0" borderId="8" xfId="43" applyNumberFormat="1" applyFont="1" applyBorder="1"/>
    <xf numFmtId="9" fontId="1" fillId="0" borderId="4" xfId="43" applyNumberFormat="1" applyFont="1" applyBorder="1"/>
    <xf numFmtId="9" fontId="1" fillId="0" borderId="9" xfId="43" applyNumberFormat="1" applyFont="1" applyBorder="1"/>
    <xf numFmtId="9" fontId="1" fillId="0" borderId="3" xfId="43" applyNumberFormat="1" applyFont="1" applyBorder="1"/>
    <xf numFmtId="9" fontId="1" fillId="0" borderId="0" xfId="43" applyNumberFormat="1" applyFont="1" applyBorder="1"/>
    <xf numFmtId="9" fontId="1" fillId="0" borderId="10" xfId="43" applyNumberFormat="1" applyFont="1" applyBorder="1"/>
    <xf numFmtId="9" fontId="1" fillId="0" borderId="13" xfId="43" applyNumberFormat="1" applyFont="1" applyBorder="1"/>
    <xf numFmtId="9" fontId="1" fillId="0" borderId="2" xfId="43" applyNumberFormat="1" applyFont="1" applyBorder="1"/>
    <xf numFmtId="9" fontId="1" fillId="0" borderId="14" xfId="43" applyNumberFormat="1" applyFont="1" applyBorder="1"/>
    <xf numFmtId="37" fontId="1" fillId="0" borderId="14" xfId="0" applyFont="1" applyBorder="1" applyAlignment="1">
      <alignment horizontal="centerContinuous"/>
    </xf>
    <xf numFmtId="37" fontId="103" fillId="0" borderId="0" xfId="0" applyNumberFormat="1" applyFont="1"/>
    <xf numFmtId="170" fontId="47" fillId="0" borderId="2" xfId="0" applyNumberFormat="1" applyFont="1" applyFill="1" applyBorder="1" applyAlignment="1">
      <alignment horizontal="center"/>
    </xf>
    <xf numFmtId="170" fontId="11" fillId="0" borderId="0" xfId="0" applyNumberFormat="1" applyFont="1" applyFill="1" applyBorder="1" applyAlignment="1">
      <alignment horizontal="center"/>
    </xf>
    <xf numFmtId="37" fontId="11" fillId="0" borderId="2" xfId="0" quotePrefix="1" applyFont="1" applyBorder="1" applyAlignment="1">
      <alignment horizontal="right" wrapText="1"/>
    </xf>
    <xf numFmtId="37" fontId="1" fillId="0" borderId="0" xfId="0" applyFont="1" applyFill="1" applyBorder="1" applyProtection="1"/>
    <xf numFmtId="174" fontId="48" fillId="0" borderId="7" xfId="0" applyNumberFormat="1" applyFont="1" applyBorder="1" applyAlignment="1">
      <alignment horizontal="right"/>
    </xf>
    <xf numFmtId="174" fontId="48" fillId="0" borderId="0" xfId="0" applyNumberFormat="1" applyFont="1" applyAlignment="1">
      <alignment horizontal="right"/>
    </xf>
    <xf numFmtId="174" fontId="1" fillId="0" borderId="0" xfId="0" applyNumberFormat="1" applyFont="1" applyFill="1" applyBorder="1"/>
    <xf numFmtId="37" fontId="1" fillId="0" borderId="0" xfId="0" applyFont="1" applyFill="1" applyBorder="1" applyAlignment="1">
      <alignment horizontal="left"/>
    </xf>
    <xf numFmtId="174" fontId="1" fillId="0" borderId="7" xfId="0" applyNumberFormat="1" applyFont="1" applyBorder="1"/>
    <xf numFmtId="174" fontId="1" fillId="0" borderId="3" xfId="0" applyNumberFormat="1" applyFont="1" applyBorder="1"/>
    <xf numFmtId="174" fontId="1" fillId="0" borderId="10" xfId="0" applyNumberFormat="1" applyFont="1" applyBorder="1"/>
    <xf numFmtId="168" fontId="103" fillId="0" borderId="0" xfId="0" applyNumberFormat="1" applyFont="1"/>
    <xf numFmtId="37" fontId="1" fillId="0" borderId="0" xfId="0" applyNumberFormat="1" applyFont="1"/>
    <xf numFmtId="5" fontId="11" fillId="0" borderId="12" xfId="0" applyNumberFormat="1" applyFont="1" applyBorder="1"/>
    <xf numFmtId="5" fontId="11" fillId="0" borderId="18" xfId="0" applyNumberFormat="1" applyFont="1" applyBorder="1"/>
    <xf numFmtId="168" fontId="11" fillId="0" borderId="12" xfId="0" applyNumberFormat="1" applyFont="1" applyBorder="1"/>
    <xf numFmtId="37" fontId="11" fillId="0" borderId="10" xfId="0" applyFont="1" applyBorder="1" applyAlignment="1">
      <alignment horizontal="right" wrapText="1"/>
    </xf>
    <xf numFmtId="166" fontId="103" fillId="0" borderId="0" xfId="0" applyNumberFormat="1" applyFont="1" applyBorder="1"/>
    <xf numFmtId="174" fontId="103" fillId="0" borderId="0" xfId="0" applyNumberFormat="1" applyFont="1" applyFill="1" applyBorder="1" applyAlignment="1">
      <alignment horizontal="right"/>
    </xf>
    <xf numFmtId="37" fontId="108" fillId="0" borderId="0" xfId="0" applyNumberFormat="1" applyFont="1" applyFill="1" applyBorder="1" applyAlignment="1">
      <alignment horizontal="right"/>
    </xf>
    <xf numFmtId="37" fontId="108" fillId="0" borderId="7" xfId="0" applyNumberFormat="1" applyFont="1" applyFill="1" applyBorder="1" applyAlignment="1">
      <alignment horizontal="right"/>
    </xf>
    <xf numFmtId="41" fontId="108" fillId="0" borderId="0" xfId="0" applyNumberFormat="1" applyFont="1" applyFill="1" applyBorder="1" applyAlignment="1">
      <alignment horizontal="right"/>
    </xf>
    <xf numFmtId="41" fontId="108" fillId="0" borderId="10" xfId="0" applyNumberFormat="1" applyFont="1" applyFill="1" applyBorder="1" applyAlignment="1">
      <alignment horizontal="right"/>
    </xf>
    <xf numFmtId="41" fontId="108" fillId="0" borderId="7" xfId="0" applyNumberFormat="1" applyFont="1" applyFill="1" applyBorder="1" applyAlignment="1">
      <alignment horizontal="right"/>
    </xf>
    <xf numFmtId="37" fontId="103" fillId="0" borderId="0" xfId="0" applyFont="1" applyFill="1" applyBorder="1" applyAlignment="1">
      <alignment horizontal="right"/>
    </xf>
    <xf numFmtId="37" fontId="1" fillId="0" borderId="0" xfId="0" applyFont="1" applyFill="1"/>
    <xf numFmtId="166" fontId="103" fillId="0" borderId="10" xfId="0" applyNumberFormat="1" applyFont="1" applyBorder="1"/>
    <xf numFmtId="193" fontId="103" fillId="0" borderId="10" xfId="0" applyNumberFormat="1" applyFont="1" applyBorder="1"/>
    <xf numFmtId="37" fontId="11" fillId="0" borderId="14" xfId="0" applyFont="1" applyBorder="1" applyAlignment="1">
      <alignment horizontal="right" wrapText="1"/>
    </xf>
    <xf numFmtId="168" fontId="11" fillId="0" borderId="14" xfId="0" applyNumberFormat="1" applyFont="1" applyBorder="1"/>
    <xf numFmtId="168" fontId="11" fillId="0" borderId="0" xfId="0" applyNumberFormat="1" applyFont="1" applyBorder="1" applyAlignment="1">
      <alignment horizontal="right"/>
    </xf>
    <xf numFmtId="168" fontId="1" fillId="0" borderId="10" xfId="0" applyNumberFormat="1" applyFont="1" applyBorder="1" applyAlignment="1">
      <alignment horizontal="right"/>
    </xf>
    <xf numFmtId="168" fontId="11" fillId="0" borderId="10" xfId="0" applyNumberFormat="1" applyFont="1" applyBorder="1" applyAlignment="1">
      <alignment horizontal="right"/>
    </xf>
    <xf numFmtId="165" fontId="51" fillId="0" borderId="14" xfId="43" applyNumberFormat="1" applyFont="1" applyBorder="1"/>
    <xf numFmtId="37" fontId="11" fillId="0" borderId="18" xfId="0" applyFont="1" applyBorder="1" applyAlignment="1">
      <alignment horizontal="right" wrapText="1"/>
    </xf>
    <xf numFmtId="37" fontId="11" fillId="0" borderId="12" xfId="0" applyFont="1" applyBorder="1" applyAlignment="1">
      <alignment horizontal="right" wrapText="1"/>
    </xf>
    <xf numFmtId="37" fontId="51" fillId="0" borderId="2" xfId="0" applyFont="1" applyBorder="1" applyAlignment="1">
      <alignment horizontal="left" indent="1"/>
    </xf>
    <xf numFmtId="165" fontId="103" fillId="0" borderId="0" xfId="43" applyFont="1" applyBorder="1" applyAlignment="1">
      <alignment horizontal="right"/>
    </xf>
    <xf numFmtId="168" fontId="103" fillId="0" borderId="0" xfId="0" applyNumberFormat="1" applyFont="1" applyFill="1" applyBorder="1" applyAlignment="1">
      <alignment horizontal="right"/>
    </xf>
    <xf numFmtId="190" fontId="103" fillId="0" borderId="0" xfId="0" applyNumberFormat="1" applyFont="1" applyFill="1" applyBorder="1" applyAlignment="1">
      <alignment horizontal="right"/>
    </xf>
    <xf numFmtId="166" fontId="103" fillId="0" borderId="2" xfId="0" applyNumberFormat="1" applyFont="1" applyFill="1" applyBorder="1" applyAlignment="1">
      <alignment horizontal="right"/>
    </xf>
    <xf numFmtId="166" fontId="104" fillId="0" borderId="0" xfId="0" applyNumberFormat="1" applyFont="1" applyBorder="1" applyAlignment="1">
      <alignment horizontal="right"/>
    </xf>
    <xf numFmtId="174" fontId="97" fillId="0" borderId="2" xfId="0" applyNumberFormat="1" applyFont="1" applyFill="1" applyBorder="1"/>
    <xf numFmtId="37" fontId="11" fillId="0" borderId="18" xfId="0" applyFont="1" applyBorder="1" applyAlignment="1">
      <alignment wrapText="1"/>
    </xf>
    <xf numFmtId="165" fontId="103" fillId="0" borderId="0" xfId="43" applyFont="1" applyBorder="1" applyAlignment="1">
      <alignment horizontal="left"/>
    </xf>
    <xf numFmtId="168" fontId="104" fillId="0" borderId="0" xfId="0" applyNumberFormat="1" applyFont="1" applyBorder="1"/>
    <xf numFmtId="166" fontId="104" fillId="0" borderId="0" xfId="0" applyNumberFormat="1" applyFont="1" applyBorder="1"/>
    <xf numFmtId="174" fontId="109" fillId="0" borderId="0" xfId="0" applyNumberFormat="1" applyFont="1" applyFill="1" applyBorder="1"/>
    <xf numFmtId="165" fontId="96" fillId="0" borderId="0" xfId="0" applyNumberFormat="1" applyFont="1" applyFill="1" applyBorder="1" applyAlignment="1">
      <alignment horizontal="right"/>
    </xf>
    <xf numFmtId="37" fontId="105" fillId="0" borderId="0" xfId="0" applyNumberFormat="1" applyFont="1" applyFill="1" applyBorder="1" applyAlignment="1">
      <alignment horizontal="right"/>
    </xf>
    <xf numFmtId="4" fontId="9" fillId="0" borderId="0" xfId="0" applyNumberFormat="1" applyFont="1" applyFill="1" applyBorder="1" applyAlignment="1">
      <alignment horizontal="right"/>
    </xf>
    <xf numFmtId="166" fontId="53" fillId="0" borderId="10" xfId="0" applyNumberFormat="1" applyFont="1" applyFill="1" applyBorder="1" applyAlignment="1">
      <alignment horizontal="right"/>
    </xf>
    <xf numFmtId="166" fontId="54" fillId="0" borderId="10" xfId="0" applyNumberFormat="1" applyFont="1" applyFill="1" applyBorder="1" applyAlignment="1">
      <alignment horizontal="right"/>
    </xf>
    <xf numFmtId="165" fontId="51" fillId="5" borderId="10" xfId="0" applyNumberFormat="1" applyFont="1" applyFill="1" applyBorder="1" applyAlignment="1">
      <alignment horizontal="right"/>
    </xf>
    <xf numFmtId="174" fontId="48" fillId="0" borderId="10" xfId="0" applyNumberFormat="1" applyFont="1" applyBorder="1"/>
    <xf numFmtId="166" fontId="53" fillId="0" borderId="9" xfId="0" applyNumberFormat="1" applyFont="1" applyFill="1" applyBorder="1" applyAlignment="1">
      <alignment horizontal="right"/>
    </xf>
    <xf numFmtId="7" fontId="53" fillId="0" borderId="10" xfId="0" applyNumberFormat="1" applyFont="1" applyFill="1" applyBorder="1" applyAlignment="1">
      <alignment horizontal="right"/>
    </xf>
    <xf numFmtId="7" fontId="54" fillId="0" borderId="10" xfId="0" applyNumberFormat="1" applyFont="1" applyFill="1" applyBorder="1" applyAlignment="1">
      <alignment horizontal="right"/>
    </xf>
    <xf numFmtId="7" fontId="47" fillId="0" borderId="10" xfId="43" applyNumberFormat="1" applyFont="1" applyBorder="1" applyAlignment="1">
      <alignment horizontal="right"/>
    </xf>
    <xf numFmtId="0" fontId="11" fillId="5" borderId="12" xfId="0" applyNumberFormat="1" applyFont="1" applyFill="1" applyBorder="1" applyAlignment="1">
      <alignment horizontal="right"/>
    </xf>
    <xf numFmtId="166" fontId="2" fillId="0" borderId="10" xfId="13" applyNumberFormat="1" applyFont="1" applyBorder="1"/>
    <xf numFmtId="7" fontId="3" fillId="0" borderId="10" xfId="14" applyNumberFormat="1" applyFont="1" applyBorder="1"/>
    <xf numFmtId="5" fontId="2" fillId="0" borderId="10" xfId="14" applyFont="1" applyBorder="1"/>
    <xf numFmtId="168" fontId="2" fillId="0" borderId="10" xfId="14" applyNumberFormat="1" applyFont="1" applyBorder="1"/>
    <xf numFmtId="37" fontId="2" fillId="0" borderId="10" xfId="13" applyNumberFormat="1" applyFont="1" applyBorder="1"/>
    <xf numFmtId="5" fontId="2" fillId="0" borderId="10" xfId="14" applyFont="1" applyFill="1" applyBorder="1"/>
    <xf numFmtId="166" fontId="2" fillId="0" borderId="10" xfId="0" applyNumberFormat="1" applyFont="1" applyBorder="1"/>
    <xf numFmtId="168" fontId="2" fillId="0" borderId="10" xfId="14" applyNumberFormat="1" applyFont="1" applyFill="1" applyBorder="1"/>
    <xf numFmtId="166" fontId="2" fillId="0" borderId="10" xfId="0" applyNumberFormat="1" applyFont="1" applyFill="1" applyBorder="1"/>
    <xf numFmtId="7" fontId="31" fillId="0" borderId="10" xfId="14" applyNumberFormat="1" applyFont="1" applyBorder="1"/>
    <xf numFmtId="7" fontId="3" fillId="0" borderId="10" xfId="14" applyNumberFormat="1" applyFont="1" applyFill="1" applyBorder="1"/>
    <xf numFmtId="7" fontId="31" fillId="0" borderId="10" xfId="14" applyNumberFormat="1" applyFont="1" applyFill="1" applyBorder="1"/>
    <xf numFmtId="166" fontId="2" fillId="0" borderId="10" xfId="13" applyNumberFormat="1" applyFont="1" applyFill="1" applyBorder="1"/>
    <xf numFmtId="37" fontId="2" fillId="0" borderId="10" xfId="0" applyFont="1" applyFill="1" applyBorder="1"/>
    <xf numFmtId="166" fontId="2" fillId="0" borderId="10" xfId="14" applyNumberFormat="1" applyFont="1" applyFill="1" applyBorder="1"/>
    <xf numFmtId="37" fontId="1" fillId="0" borderId="0" xfId="0" applyNumberFormat="1" applyFont="1" applyFill="1" applyBorder="1" applyAlignment="1">
      <alignment horizontal="right"/>
    </xf>
    <xf numFmtId="37" fontId="1" fillId="0" borderId="10" xfId="0" applyNumberFormat="1" applyFont="1" applyFill="1" applyBorder="1" applyAlignment="1">
      <alignment horizontal="right"/>
    </xf>
    <xf numFmtId="166" fontId="1" fillId="0" borderId="10" xfId="0" applyNumberFormat="1" applyFont="1" applyFill="1" applyBorder="1" applyAlignment="1">
      <alignment horizontal="right"/>
    </xf>
    <xf numFmtId="166" fontId="1" fillId="0" borderId="18" xfId="13" applyNumberFormat="1" applyFont="1" applyFill="1" applyBorder="1" applyAlignment="1">
      <alignment horizontal="right"/>
    </xf>
    <xf numFmtId="166" fontId="1" fillId="0" borderId="12" xfId="13" applyNumberFormat="1" applyFont="1" applyFill="1" applyBorder="1" applyAlignment="1">
      <alignment horizontal="right"/>
    </xf>
    <xf numFmtId="166" fontId="73" fillId="0" borderId="12" xfId="13" applyNumberFormat="1" applyFont="1" applyFill="1" applyBorder="1" applyAlignment="1">
      <alignment horizontal="right"/>
    </xf>
    <xf numFmtId="174" fontId="1" fillId="0" borderId="0" xfId="0" applyNumberFormat="1" applyFont="1" applyFill="1" applyBorder="1" applyAlignment="1">
      <alignment horizontal="right"/>
    </xf>
    <xf numFmtId="166" fontId="73" fillId="0" borderId="6" xfId="0" applyNumberFormat="1" applyFont="1" applyFill="1" applyBorder="1" applyAlignment="1">
      <alignment horizontal="right"/>
    </xf>
    <xf numFmtId="166" fontId="125" fillId="0" borderId="0" xfId="0" applyNumberFormat="1" applyFont="1" applyFill="1" applyBorder="1" applyAlignment="1">
      <alignment horizontal="right"/>
    </xf>
    <xf numFmtId="174" fontId="124" fillId="0" borderId="7" xfId="0" applyNumberFormat="1" applyFont="1" applyFill="1" applyBorder="1"/>
    <xf numFmtId="166" fontId="124" fillId="0" borderId="10" xfId="0" applyNumberFormat="1" applyFont="1" applyFill="1" applyBorder="1" applyAlignment="1">
      <alignment horizontal="right"/>
    </xf>
    <xf numFmtId="166" fontId="103" fillId="0" borderId="0" xfId="0" applyNumberFormat="1" applyFont="1" applyFill="1" applyBorder="1"/>
    <xf numFmtId="5" fontId="126" fillId="0" borderId="0" xfId="0" applyNumberFormat="1" applyFont="1" applyFill="1" applyBorder="1" applyAlignment="1">
      <alignment horizontal="right"/>
    </xf>
    <xf numFmtId="37" fontId="127" fillId="0" borderId="0" xfId="0" applyNumberFormat="1" applyFont="1" applyFill="1" applyBorder="1" applyAlignment="1">
      <alignment horizontal="right"/>
    </xf>
    <xf numFmtId="37" fontId="125" fillId="0" borderId="0" xfId="0" applyNumberFormat="1" applyFont="1" applyFill="1" applyBorder="1" applyAlignment="1">
      <alignment horizontal="right"/>
    </xf>
    <xf numFmtId="174" fontId="125" fillId="0" borderId="0" xfId="0" applyNumberFormat="1" applyFont="1" applyFill="1" applyBorder="1"/>
    <xf numFmtId="165" fontId="1" fillId="0" borderId="3" xfId="0" applyNumberFormat="1" applyFont="1" applyFill="1" applyBorder="1" applyAlignment="1">
      <alignment horizontal="left"/>
    </xf>
    <xf numFmtId="174" fontId="124" fillId="0" borderId="0" xfId="0" applyNumberFormat="1" applyFont="1" applyFill="1" applyBorder="1"/>
    <xf numFmtId="168" fontId="125" fillId="0" borderId="0" xfId="0" applyNumberFormat="1" applyFont="1" applyFill="1" applyBorder="1" applyAlignment="1">
      <alignment horizontal="right"/>
    </xf>
    <xf numFmtId="174" fontId="125" fillId="0" borderId="0" xfId="0" applyNumberFormat="1" applyFont="1" applyFill="1" applyBorder="1" applyAlignment="1">
      <alignment horizontal="right"/>
    </xf>
    <xf numFmtId="190" fontId="125" fillId="0" borderId="0" xfId="0" applyNumberFormat="1" applyFont="1" applyFill="1" applyBorder="1" applyAlignment="1">
      <alignment horizontal="right"/>
    </xf>
    <xf numFmtId="166" fontId="128" fillId="0" borderId="0" xfId="0" applyNumberFormat="1" applyFont="1" applyFill="1" applyBorder="1" applyAlignment="1">
      <alignment horizontal="right"/>
    </xf>
    <xf numFmtId="174" fontId="129" fillId="0" borderId="0" xfId="0" applyNumberFormat="1" applyFont="1" applyFill="1" applyBorder="1"/>
    <xf numFmtId="37" fontId="51" fillId="0" borderId="3" xfId="0" applyFont="1" applyFill="1" applyBorder="1" applyAlignment="1">
      <alignment horizontal="left" indent="2"/>
    </xf>
    <xf numFmtId="7" fontId="11" fillId="0" borderId="24" xfId="14" applyNumberFormat="1" applyFont="1" applyBorder="1" applyAlignment="1">
      <alignment horizontal="right"/>
    </xf>
    <xf numFmtId="4" fontId="9" fillId="0" borderId="0" xfId="43" applyNumberFormat="1" applyFont="1"/>
    <xf numFmtId="176" fontId="48" fillId="0" borderId="0" xfId="43" applyNumberFormat="1" applyFont="1"/>
    <xf numFmtId="165" fontId="130" fillId="0" borderId="7" xfId="0" applyNumberFormat="1" applyFont="1" applyFill="1" applyBorder="1" applyAlignment="1">
      <alignment horizontal="right"/>
    </xf>
    <xf numFmtId="37" fontId="1" fillId="0" borderId="0" xfId="0" quotePrefix="1" applyFont="1"/>
    <xf numFmtId="174" fontId="73" fillId="0" borderId="6" xfId="0" applyNumberFormat="1" applyFont="1" applyFill="1" applyBorder="1" applyAlignment="1">
      <alignment horizontal="right"/>
    </xf>
    <xf numFmtId="37" fontId="138" fillId="0" borderId="10" xfId="0" applyNumberFormat="1" applyFont="1" applyFill="1" applyBorder="1" applyAlignment="1">
      <alignment horizontal="right"/>
    </xf>
    <xf numFmtId="165" fontId="139" fillId="0" borderId="10" xfId="0" applyNumberFormat="1" applyFont="1" applyFill="1" applyBorder="1" applyAlignment="1">
      <alignment horizontal="right"/>
    </xf>
    <xf numFmtId="166" fontId="138" fillId="0" borderId="0" xfId="0" applyNumberFormat="1" applyFont="1" applyFill="1" applyBorder="1" applyAlignment="1">
      <alignment horizontal="right"/>
    </xf>
    <xf numFmtId="37" fontId="138" fillId="0" borderId="0" xfId="0" applyNumberFormat="1" applyFont="1" applyFill="1" applyBorder="1" applyAlignment="1">
      <alignment horizontal="right"/>
    </xf>
    <xf numFmtId="5" fontId="140" fillId="0" borderId="0" xfId="0" applyNumberFormat="1" applyFont="1" applyFill="1" applyBorder="1" applyAlignment="1">
      <alignment horizontal="right"/>
    </xf>
    <xf numFmtId="166" fontId="138" fillId="0" borderId="10" xfId="0" applyNumberFormat="1" applyFont="1" applyFill="1" applyBorder="1" applyAlignment="1">
      <alignment horizontal="right"/>
    </xf>
    <xf numFmtId="37" fontId="141" fillId="0" borderId="0" xfId="0" applyNumberFormat="1" applyFont="1" applyFill="1" applyBorder="1" applyAlignment="1">
      <alignment horizontal="right"/>
    </xf>
    <xf numFmtId="5" fontId="140" fillId="0" borderId="10" xfId="0" applyNumberFormat="1" applyFont="1" applyFill="1" applyBorder="1" applyAlignment="1">
      <alignment horizontal="right"/>
    </xf>
    <xf numFmtId="37" fontId="141" fillId="0" borderId="10" xfId="0" applyNumberFormat="1" applyFont="1" applyFill="1" applyBorder="1" applyAlignment="1">
      <alignment horizontal="right"/>
    </xf>
    <xf numFmtId="37" fontId="138" fillId="0" borderId="10" xfId="0" applyFont="1" applyFill="1" applyBorder="1" applyAlignment="1">
      <alignment horizontal="right"/>
    </xf>
    <xf numFmtId="41" fontId="138" fillId="0" borderId="10" xfId="0" applyNumberFormat="1" applyFont="1" applyFill="1" applyBorder="1" applyAlignment="1">
      <alignment horizontal="right"/>
    </xf>
    <xf numFmtId="165" fontId="1" fillId="0" borderId="10" xfId="0" applyNumberFormat="1" applyFont="1" applyFill="1" applyBorder="1" applyAlignment="1">
      <alignment horizontal="right"/>
    </xf>
    <xf numFmtId="4" fontId="9" fillId="0" borderId="0" xfId="43" applyNumberFormat="1" applyFont="1" applyFill="1" applyBorder="1" applyAlignment="1">
      <alignment horizontal="right"/>
    </xf>
    <xf numFmtId="174" fontId="138" fillId="0" borderId="10" xfId="0" applyNumberFormat="1" applyFont="1" applyFill="1" applyBorder="1"/>
    <xf numFmtId="174" fontId="138" fillId="0" borderId="0" xfId="0" applyNumberFormat="1" applyFont="1" applyFill="1" applyBorder="1"/>
    <xf numFmtId="166" fontId="142" fillId="0" borderId="10" xfId="0" applyNumberFormat="1" applyFont="1" applyFill="1" applyBorder="1" applyAlignment="1">
      <alignment horizontal="right"/>
    </xf>
    <xf numFmtId="165" fontId="143" fillId="0" borderId="0" xfId="0" applyNumberFormat="1" applyFont="1" applyFill="1" applyBorder="1" applyAlignment="1">
      <alignment horizontal="right"/>
    </xf>
    <xf numFmtId="165" fontId="74" fillId="0" borderId="0" xfId="0" applyNumberFormat="1" applyFont="1" applyFill="1" applyBorder="1" applyAlignment="1">
      <alignment horizontal="right"/>
    </xf>
    <xf numFmtId="4" fontId="96" fillId="0" borderId="0" xfId="0" applyNumberFormat="1" applyFont="1" applyFill="1" applyBorder="1" applyAlignment="1">
      <alignment horizontal="right"/>
    </xf>
    <xf numFmtId="188" fontId="96" fillId="0" borderId="7" xfId="0" applyNumberFormat="1" applyFont="1" applyFill="1" applyBorder="1" applyAlignment="1">
      <alignment horizontal="right"/>
    </xf>
    <xf numFmtId="165" fontId="96" fillId="0" borderId="10" xfId="0" applyNumberFormat="1" applyFont="1" applyFill="1" applyBorder="1" applyAlignment="1">
      <alignment horizontal="right"/>
    </xf>
    <xf numFmtId="4" fontId="96" fillId="0" borderId="7" xfId="0" applyNumberFormat="1" applyFont="1" applyFill="1" applyBorder="1" applyAlignment="1">
      <alignment horizontal="right"/>
    </xf>
    <xf numFmtId="37" fontId="142" fillId="0" borderId="0" xfId="0" applyFont="1"/>
    <xf numFmtId="168" fontId="138" fillId="0" borderId="0" xfId="0" applyNumberFormat="1" applyFont="1" applyFill="1" applyBorder="1" applyAlignment="1">
      <alignment horizontal="right"/>
    </xf>
    <xf numFmtId="190" fontId="138" fillId="0" borderId="10" xfId="0" applyNumberFormat="1" applyFont="1" applyFill="1" applyBorder="1" applyAlignment="1">
      <alignment horizontal="right"/>
    </xf>
    <xf numFmtId="174" fontId="138" fillId="0" borderId="10" xfId="0" applyNumberFormat="1" applyFont="1" applyFill="1" applyBorder="1" applyAlignment="1">
      <alignment horizontal="right"/>
    </xf>
    <xf numFmtId="168" fontId="138" fillId="0" borderId="10" xfId="0" applyNumberFormat="1" applyFont="1" applyFill="1" applyBorder="1" applyAlignment="1">
      <alignment horizontal="right"/>
    </xf>
    <xf numFmtId="166" fontId="141" fillId="0" borderId="7" xfId="0" applyNumberFormat="1" applyFont="1" applyFill="1" applyBorder="1" applyAlignment="1">
      <alignment horizontal="right"/>
    </xf>
    <xf numFmtId="4" fontId="9" fillId="0" borderId="0" xfId="0" applyNumberFormat="1" applyFont="1" applyAlignment="1">
      <alignment horizontal="center"/>
    </xf>
    <xf numFmtId="5" fontId="103" fillId="0" borderId="10" xfId="0" applyNumberFormat="1" applyFont="1" applyBorder="1"/>
    <xf numFmtId="37" fontId="11" fillId="0" borderId="14" xfId="0" applyFont="1" applyBorder="1" applyAlignment="1">
      <alignment horizontal="center"/>
    </xf>
    <xf numFmtId="174" fontId="138" fillId="0" borderId="0" xfId="0" applyNumberFormat="1" applyFont="1" applyFill="1" applyBorder="1" applyAlignment="1">
      <alignment horizontal="right"/>
    </xf>
    <xf numFmtId="41" fontId="138" fillId="0" borderId="0" xfId="0" applyNumberFormat="1" applyFont="1" applyFill="1" applyBorder="1" applyAlignment="1">
      <alignment horizontal="right"/>
    </xf>
    <xf numFmtId="37" fontId="138" fillId="0" borderId="3" xfId="0" applyNumberFormat="1" applyFont="1" applyFill="1" applyBorder="1" applyAlignment="1">
      <alignment horizontal="right"/>
    </xf>
    <xf numFmtId="166" fontId="138" fillId="0" borderId="3" xfId="0" applyNumberFormat="1" applyFont="1" applyFill="1" applyBorder="1" applyAlignment="1">
      <alignment horizontal="right"/>
    </xf>
    <xf numFmtId="37" fontId="138" fillId="0" borderId="0" xfId="0" applyFont="1" applyFill="1" applyBorder="1" applyAlignment="1">
      <alignment horizontal="right"/>
    </xf>
    <xf numFmtId="168" fontId="47" fillId="0" borderId="3" xfId="0" applyNumberFormat="1" applyFont="1" applyFill="1" applyBorder="1" applyAlignment="1">
      <alignment horizontal="right"/>
    </xf>
    <xf numFmtId="4" fontId="74" fillId="0" borderId="0" xfId="0" applyNumberFormat="1" applyFont="1" applyFill="1" applyBorder="1" applyAlignment="1">
      <alignment horizontal="right"/>
    </xf>
    <xf numFmtId="165" fontId="1" fillId="0" borderId="0" xfId="43" applyFont="1" applyFill="1" applyBorder="1" applyAlignment="1">
      <alignment horizontal="right"/>
    </xf>
    <xf numFmtId="174" fontId="1" fillId="5" borderId="0" xfId="0" applyNumberFormat="1" applyFont="1" applyFill="1" applyBorder="1" applyAlignment="1">
      <alignment horizontal="right"/>
    </xf>
    <xf numFmtId="174" fontId="144" fillId="0" borderId="0" xfId="0" applyNumberFormat="1" applyFont="1" applyFill="1" applyBorder="1"/>
    <xf numFmtId="168" fontId="73" fillId="0" borderId="10" xfId="0" applyNumberFormat="1" applyFont="1" applyFill="1" applyBorder="1" applyAlignment="1">
      <alignment horizontal="right"/>
    </xf>
    <xf numFmtId="168" fontId="57" fillId="0" borderId="12" xfId="0" applyNumberFormat="1" applyFont="1" applyFill="1" applyBorder="1" applyAlignment="1">
      <alignment horizontal="right"/>
    </xf>
    <xf numFmtId="168" fontId="138" fillId="0" borderId="7" xfId="0" applyNumberFormat="1" applyFont="1" applyFill="1" applyBorder="1" applyAlignment="1">
      <alignment horizontal="right"/>
    </xf>
    <xf numFmtId="166" fontId="138" fillId="0" borderId="7" xfId="0" applyNumberFormat="1" applyFont="1" applyFill="1" applyBorder="1" applyAlignment="1">
      <alignment horizontal="right"/>
    </xf>
    <xf numFmtId="168" fontId="73" fillId="0" borderId="7" xfId="0" applyNumberFormat="1" applyFont="1" applyFill="1" applyBorder="1" applyAlignment="1">
      <alignment horizontal="right"/>
    </xf>
    <xf numFmtId="168" fontId="57" fillId="0" borderId="24" xfId="0" applyNumberFormat="1" applyFont="1" applyFill="1" applyBorder="1" applyAlignment="1">
      <alignment horizontal="right"/>
    </xf>
    <xf numFmtId="168" fontId="138" fillId="0" borderId="3" xfId="0" applyNumberFormat="1" applyFont="1" applyFill="1" applyBorder="1" applyAlignment="1">
      <alignment horizontal="right"/>
    </xf>
    <xf numFmtId="168" fontId="73" fillId="0" borderId="3" xfId="0" applyNumberFormat="1" applyFont="1" applyFill="1" applyBorder="1" applyAlignment="1">
      <alignment horizontal="right"/>
    </xf>
    <xf numFmtId="168" fontId="57" fillId="0" borderId="11" xfId="0" applyNumberFormat="1" applyFont="1" applyFill="1" applyBorder="1" applyAlignment="1">
      <alignment horizontal="right"/>
    </xf>
    <xf numFmtId="168" fontId="1" fillId="0" borderId="10" xfId="0" applyNumberFormat="1" applyFont="1" applyFill="1" applyBorder="1" applyAlignment="1">
      <alignment horizontal="right"/>
    </xf>
    <xf numFmtId="166" fontId="1" fillId="0" borderId="10" xfId="0" applyNumberFormat="1" applyFont="1" applyFill="1" applyBorder="1" applyAlignment="1"/>
    <xf numFmtId="165" fontId="145" fillId="0" borderId="10" xfId="43" applyFont="1" applyFill="1" applyBorder="1" applyAlignment="1">
      <alignment horizontal="right"/>
    </xf>
    <xf numFmtId="166" fontId="141" fillId="0" borderId="10" xfId="0" applyNumberFormat="1" applyFont="1" applyFill="1" applyBorder="1" applyAlignment="1">
      <alignment horizontal="right"/>
    </xf>
    <xf numFmtId="165" fontId="146" fillId="0" borderId="10" xfId="43" applyFont="1" applyFill="1" applyBorder="1" applyAlignment="1">
      <alignment horizontal="right"/>
    </xf>
    <xf numFmtId="37" fontId="11" fillId="0" borderId="3" xfId="0" applyFont="1" applyBorder="1" applyAlignment="1"/>
    <xf numFmtId="168" fontId="11" fillId="0" borderId="0" xfId="0" applyNumberFormat="1" applyFont="1" applyBorder="1" applyAlignment="1"/>
    <xf numFmtId="37" fontId="1" fillId="0" borderId="0" xfId="0" applyFont="1" applyBorder="1" applyAlignment="1"/>
    <xf numFmtId="37" fontId="1" fillId="0" borderId="0" xfId="0" applyFont="1" applyAlignment="1"/>
    <xf numFmtId="37" fontId="1" fillId="0" borderId="3" xfId="0" applyFont="1" applyBorder="1" applyAlignment="1"/>
    <xf numFmtId="166" fontId="1" fillId="0" borderId="0" xfId="0" applyNumberFormat="1" applyFont="1" applyBorder="1" applyAlignment="1"/>
    <xf numFmtId="193" fontId="1" fillId="0" borderId="0" xfId="43" applyNumberFormat="1" applyFont="1"/>
    <xf numFmtId="166" fontId="140" fillId="0" borderId="0" xfId="0" applyNumberFormat="1" applyFont="1" applyBorder="1"/>
    <xf numFmtId="166" fontId="140" fillId="0" borderId="10" xfId="0" applyNumberFormat="1" applyFont="1" applyBorder="1"/>
    <xf numFmtId="193" fontId="138" fillId="0" borderId="0" xfId="0" applyNumberFormat="1" applyFont="1" applyBorder="1"/>
    <xf numFmtId="193" fontId="138" fillId="0" borderId="10" xfId="0" applyNumberFormat="1" applyFont="1" applyBorder="1"/>
    <xf numFmtId="166" fontId="138" fillId="0" borderId="0" xfId="0" applyNumberFormat="1" applyFont="1" applyBorder="1"/>
    <xf numFmtId="168" fontId="1" fillId="0" borderId="2" xfId="0" applyNumberFormat="1" applyFont="1" applyBorder="1"/>
    <xf numFmtId="168" fontId="1" fillId="0" borderId="14" xfId="0" applyNumberFormat="1" applyFont="1" applyBorder="1"/>
    <xf numFmtId="167" fontId="9" fillId="0" borderId="7" xfId="0" applyNumberFormat="1" applyFont="1" applyFill="1" applyBorder="1" applyAlignment="1">
      <alignment horizontal="right"/>
    </xf>
    <xf numFmtId="37" fontId="138" fillId="0" borderId="7" xfId="0" applyNumberFormat="1" applyFont="1" applyFill="1" applyBorder="1" applyAlignment="1">
      <alignment horizontal="right"/>
    </xf>
    <xf numFmtId="7" fontId="1" fillId="0" borderId="10" xfId="0" applyNumberFormat="1" applyFont="1" applyFill="1" applyBorder="1" applyAlignment="1">
      <alignment horizontal="right"/>
    </xf>
    <xf numFmtId="37" fontId="1" fillId="0" borderId="0" xfId="0" applyFont="1" applyFill="1" applyBorder="1"/>
    <xf numFmtId="168" fontId="73" fillId="0" borderId="0" xfId="0" applyNumberFormat="1" applyFont="1" applyFill="1" applyBorder="1" applyAlignment="1">
      <alignment horizontal="right"/>
    </xf>
    <xf numFmtId="37" fontId="1" fillId="0" borderId="0" xfId="0" applyFont="1" applyFill="1" applyBorder="1" applyAlignment="1">
      <alignment horizontal="left" indent="1"/>
    </xf>
    <xf numFmtId="168" fontId="138" fillId="0" borderId="24" xfId="0" applyNumberFormat="1" applyFont="1" applyFill="1" applyBorder="1" applyAlignment="1">
      <alignment horizontal="right"/>
    </xf>
    <xf numFmtId="168" fontId="57" fillId="0" borderId="18" xfId="0" applyNumberFormat="1" applyFont="1" applyFill="1" applyBorder="1" applyAlignment="1">
      <alignment horizontal="right"/>
    </xf>
    <xf numFmtId="0" fontId="1" fillId="0" borderId="10" xfId="0" applyNumberFormat="1" applyFont="1" applyFill="1" applyBorder="1" applyAlignment="1">
      <alignment horizontal="right"/>
    </xf>
    <xf numFmtId="166" fontId="49" fillId="0" borderId="0" xfId="0" applyNumberFormat="1" applyFont="1" applyFill="1" applyBorder="1"/>
    <xf numFmtId="166" fontId="1" fillId="0" borderId="0" xfId="0" applyNumberFormat="1" applyFont="1" applyFill="1" applyBorder="1" applyAlignment="1">
      <alignment horizontal="left" indent="1"/>
    </xf>
    <xf numFmtId="37" fontId="141" fillId="0" borderId="3" xfId="0" applyNumberFormat="1" applyFont="1" applyFill="1" applyBorder="1" applyAlignment="1">
      <alignment horizontal="right"/>
    </xf>
    <xf numFmtId="37" fontId="50" fillId="0" borderId="3" xfId="0" applyFont="1" applyFill="1" applyBorder="1" applyProtection="1"/>
    <xf numFmtId="37" fontId="132" fillId="0" borderId="0" xfId="0" applyFont="1" applyFill="1"/>
    <xf numFmtId="165" fontId="145" fillId="0" borderId="0" xfId="0" applyNumberFormat="1" applyFont="1" applyFill="1" applyBorder="1" applyAlignment="1">
      <alignment horizontal="right"/>
    </xf>
    <xf numFmtId="168" fontId="1" fillId="0" borderId="7" xfId="0" applyNumberFormat="1" applyFont="1" applyFill="1" applyBorder="1" applyAlignment="1">
      <alignment horizontal="right"/>
    </xf>
    <xf numFmtId="166" fontId="1" fillId="0" borderId="7" xfId="0" applyNumberFormat="1" applyFont="1" applyFill="1" applyBorder="1" applyAlignment="1"/>
    <xf numFmtId="165" fontId="141" fillId="0" borderId="0" xfId="0" applyNumberFormat="1" applyFont="1" applyFill="1" applyBorder="1" applyAlignment="1">
      <alignment horizontal="right"/>
    </xf>
    <xf numFmtId="166" fontId="1" fillId="0" borderId="6" xfId="0" applyNumberFormat="1" applyFont="1" applyFill="1" applyBorder="1" applyAlignment="1"/>
    <xf numFmtId="165" fontId="145" fillId="0" borderId="0" xfId="43" applyFont="1" applyFill="1" applyBorder="1" applyAlignment="1">
      <alignment horizontal="right"/>
    </xf>
    <xf numFmtId="39" fontId="1" fillId="0" borderId="0" xfId="0" applyNumberFormat="1" applyFont="1" applyFill="1" applyBorder="1" applyAlignment="1">
      <alignment horizontal="right"/>
    </xf>
    <xf numFmtId="39" fontId="1" fillId="0" borderId="10" xfId="0" applyNumberFormat="1" applyFont="1" applyFill="1" applyBorder="1" applyAlignment="1">
      <alignment horizontal="right"/>
    </xf>
    <xf numFmtId="166" fontId="141" fillId="0" borderId="0" xfId="0" applyNumberFormat="1" applyFont="1" applyFill="1" applyBorder="1" applyAlignment="1">
      <alignment horizontal="right"/>
    </xf>
    <xf numFmtId="166" fontId="138" fillId="0" borderId="0" xfId="0" applyNumberFormat="1" applyFont="1" applyBorder="1" applyAlignment="1"/>
    <xf numFmtId="168" fontId="1" fillId="0" borderId="0" xfId="0" applyNumberFormat="1" applyFont="1" applyBorder="1" applyAlignment="1"/>
    <xf numFmtId="7" fontId="11" fillId="0" borderId="6" xfId="0" applyNumberFormat="1" applyFont="1" applyBorder="1"/>
    <xf numFmtId="193" fontId="103" fillId="0" borderId="0" xfId="43" applyNumberFormat="1" applyFont="1" applyBorder="1"/>
    <xf numFmtId="168" fontId="138" fillId="0" borderId="0" xfId="0" applyNumberFormat="1" applyFont="1"/>
    <xf numFmtId="37" fontId="1" fillId="0" borderId="10" xfId="0" applyFont="1" applyBorder="1" applyAlignment="1"/>
    <xf numFmtId="37" fontId="1" fillId="0" borderId="14" xfId="0" applyFont="1" applyBorder="1" applyAlignment="1"/>
    <xf numFmtId="37" fontId="0" fillId="0" borderId="10" xfId="0" applyBorder="1" applyAlignment="1">
      <alignment horizontal="center" wrapText="1"/>
    </xf>
    <xf numFmtId="4" fontId="9" fillId="0" borderId="7" xfId="43" applyNumberFormat="1" applyFont="1" applyFill="1" applyBorder="1" applyAlignment="1">
      <alignment horizontal="right"/>
    </xf>
    <xf numFmtId="37" fontId="138" fillId="0" borderId="0" xfId="0" applyFont="1"/>
    <xf numFmtId="37" fontId="138" fillId="0" borderId="10" xfId="0" applyFont="1" applyBorder="1"/>
    <xf numFmtId="37" fontId="11" fillId="0" borderId="0" xfId="0" applyNumberFormat="1" applyFont="1" applyBorder="1"/>
    <xf numFmtId="9" fontId="138" fillId="0" borderId="0" xfId="43" applyNumberFormat="1" applyFont="1" applyBorder="1"/>
    <xf numFmtId="37" fontId="11" fillId="0" borderId="9" xfId="0" applyFont="1" applyBorder="1" applyAlignment="1">
      <alignment horizontal="right"/>
    </xf>
    <xf numFmtId="193" fontId="1" fillId="0" borderId="2" xfId="0" applyNumberFormat="1" applyFont="1" applyBorder="1"/>
    <xf numFmtId="193" fontId="11" fillId="12" borderId="11" xfId="0" applyNumberFormat="1" applyFont="1" applyFill="1" applyBorder="1"/>
    <xf numFmtId="193" fontId="11" fillId="12" borderId="12" xfId="0" applyNumberFormat="1" applyFont="1" applyFill="1" applyBorder="1"/>
    <xf numFmtId="37" fontId="1" fillId="0" borderId="0" xfId="0" applyFont="1" applyAlignment="1">
      <alignment wrapText="1"/>
    </xf>
    <xf numFmtId="37" fontId="11" fillId="0" borderId="4" xfId="0" applyFont="1" applyBorder="1" applyAlignment="1">
      <alignment horizontal="right" wrapText="1"/>
    </xf>
    <xf numFmtId="37" fontId="11" fillId="0" borderId="9" xfId="0" applyFont="1" applyBorder="1" applyAlignment="1">
      <alignment horizontal="right" wrapText="1"/>
    </xf>
    <xf numFmtId="5" fontId="138" fillId="0" borderId="0" xfId="0" applyNumberFormat="1" applyFont="1" applyBorder="1"/>
    <xf numFmtId="37" fontId="138" fillId="0" borderId="0" xfId="0" applyFont="1" applyBorder="1"/>
    <xf numFmtId="5" fontId="147" fillId="0" borderId="0" xfId="0" applyNumberFormat="1" applyFont="1" applyBorder="1"/>
    <xf numFmtId="165" fontId="11" fillId="0" borderId="10" xfId="43" applyFont="1" applyBorder="1"/>
    <xf numFmtId="37" fontId="138" fillId="0" borderId="0" xfId="0" applyNumberFormat="1" applyFont="1" applyBorder="1"/>
    <xf numFmtId="5" fontId="11" fillId="0" borderId="2" xfId="0" applyNumberFormat="1" applyFont="1" applyBorder="1"/>
    <xf numFmtId="5" fontId="147" fillId="0" borderId="2" xfId="0" applyNumberFormat="1" applyFont="1" applyBorder="1"/>
    <xf numFmtId="37" fontId="11" fillId="0" borderId="49" xfId="0" applyFont="1" applyBorder="1" applyAlignment="1">
      <alignment horizontal="right" wrapText="1"/>
    </xf>
    <xf numFmtId="37" fontId="1" fillId="0" borderId="34" xfId="0" applyFont="1" applyBorder="1"/>
    <xf numFmtId="37" fontId="1" fillId="0" borderId="34" xfId="0" applyFont="1" applyBorder="1" applyAlignment="1">
      <alignment horizontal="right"/>
    </xf>
    <xf numFmtId="5" fontId="147" fillId="0" borderId="50" xfId="0" applyNumberFormat="1" applyFont="1" applyBorder="1"/>
    <xf numFmtId="165" fontId="11" fillId="12" borderId="24" xfId="43" applyFont="1" applyFill="1" applyBorder="1"/>
    <xf numFmtId="37" fontId="11" fillId="0" borderId="3" xfId="13" applyFont="1" applyBorder="1" applyAlignment="1" applyProtection="1">
      <alignment horizontal="left"/>
    </xf>
    <xf numFmtId="174" fontId="104" fillId="0" borderId="0" xfId="0" applyNumberFormat="1" applyFont="1" applyFill="1" applyBorder="1" applyAlignment="1">
      <alignment horizontal="right"/>
    </xf>
    <xf numFmtId="174" fontId="1" fillId="0" borderId="10" xfId="0" applyNumberFormat="1" applyFont="1" applyFill="1" applyBorder="1"/>
    <xf numFmtId="174" fontId="1" fillId="0" borderId="7" xfId="0" applyNumberFormat="1" applyFont="1" applyFill="1" applyBorder="1" applyAlignment="1">
      <alignment horizontal="right"/>
    </xf>
    <xf numFmtId="174" fontId="1" fillId="0" borderId="0" xfId="0" applyNumberFormat="1" applyFont="1" applyBorder="1" applyAlignment="1">
      <alignment horizontal="right"/>
    </xf>
    <xf numFmtId="174" fontId="1" fillId="0" borderId="7" xfId="0" applyNumberFormat="1" applyFont="1" applyBorder="1" applyAlignment="1">
      <alignment horizontal="right"/>
    </xf>
    <xf numFmtId="186" fontId="1" fillId="0" borderId="0" xfId="0" applyNumberFormat="1" applyFont="1" applyFill="1" applyBorder="1" applyAlignment="1">
      <alignment horizontal="right"/>
    </xf>
    <xf numFmtId="174" fontId="1" fillId="0" borderId="10" xfId="0" applyNumberFormat="1" applyFont="1" applyFill="1" applyBorder="1" applyAlignment="1">
      <alignment horizontal="right"/>
    </xf>
    <xf numFmtId="197" fontId="96" fillId="0" borderId="0" xfId="0" applyNumberFormat="1" applyFont="1" applyFill="1" applyBorder="1" applyAlignment="1">
      <alignment horizontal="right"/>
    </xf>
    <xf numFmtId="197" fontId="96" fillId="0" borderId="10" xfId="0" applyNumberFormat="1" applyFont="1" applyFill="1" applyBorder="1" applyAlignment="1">
      <alignment horizontal="right"/>
    </xf>
    <xf numFmtId="5" fontId="1" fillId="0" borderId="7" xfId="0" applyNumberFormat="1" applyFont="1" applyBorder="1"/>
    <xf numFmtId="37" fontId="1" fillId="0" borderId="7" xfId="0" applyNumberFormat="1" applyFont="1" applyBorder="1"/>
    <xf numFmtId="37" fontId="1" fillId="0" borderId="7" xfId="0" applyFont="1" applyBorder="1" applyAlignment="1">
      <alignment horizontal="right"/>
    </xf>
    <xf numFmtId="37" fontId="1" fillId="0" borderId="0" xfId="0" applyFont="1" applyBorder="1" applyAlignment="1">
      <alignment horizontal="left" indent="1"/>
    </xf>
    <xf numFmtId="165" fontId="1" fillId="0" borderId="7" xfId="44" applyFont="1" applyBorder="1"/>
    <xf numFmtId="165" fontId="1" fillId="0" borderId="0" xfId="44" applyFont="1" applyBorder="1"/>
    <xf numFmtId="37" fontId="1" fillId="0" borderId="6" xfId="0" applyFont="1" applyBorder="1"/>
    <xf numFmtId="37" fontId="9" fillId="0" borderId="0" xfId="35" applyFont="1" applyFill="1" applyBorder="1"/>
    <xf numFmtId="37" fontId="1" fillId="0" borderId="7" xfId="0" applyNumberFormat="1" applyFont="1" applyFill="1" applyBorder="1" applyAlignment="1">
      <alignment horizontal="right"/>
    </xf>
    <xf numFmtId="166" fontId="93" fillId="0" borderId="3" xfId="0" applyNumberFormat="1" applyFont="1" applyFill="1" applyBorder="1" applyAlignment="1">
      <alignment horizontal="right"/>
    </xf>
    <xf numFmtId="174" fontId="48" fillId="0" borderId="0" xfId="0" applyNumberFormat="1" applyFont="1" applyFill="1" applyAlignment="1">
      <alignment horizontal="right"/>
    </xf>
    <xf numFmtId="171" fontId="51" fillId="0" borderId="0" xfId="0" applyNumberFormat="1" applyFont="1" applyFill="1"/>
    <xf numFmtId="174" fontId="48" fillId="0" borderId="3" xfId="0" applyNumberFormat="1" applyFont="1" applyBorder="1"/>
    <xf numFmtId="174" fontId="9" fillId="0" borderId="13" xfId="0" applyNumberFormat="1" applyFont="1" applyFill="1" applyBorder="1" applyAlignment="1">
      <alignment horizontal="right"/>
    </xf>
    <xf numFmtId="165" fontId="51" fillId="0" borderId="8" xfId="0" applyNumberFormat="1" applyFont="1" applyFill="1" applyBorder="1" applyAlignment="1">
      <alignment horizontal="right"/>
    </xf>
    <xf numFmtId="165" fontId="138" fillId="0" borderId="0" xfId="0" applyNumberFormat="1" applyFont="1" applyFill="1" applyBorder="1" applyAlignment="1">
      <alignment horizontal="right"/>
    </xf>
    <xf numFmtId="165" fontId="139" fillId="0" borderId="0" xfId="0" applyNumberFormat="1" applyFont="1" applyFill="1" applyBorder="1" applyAlignment="1">
      <alignment horizontal="right"/>
    </xf>
    <xf numFmtId="190" fontId="138" fillId="0" borderId="0" xfId="0" applyNumberFormat="1" applyFont="1" applyFill="1" applyBorder="1" applyAlignment="1">
      <alignment horizontal="right"/>
    </xf>
    <xf numFmtId="4" fontId="53" fillId="0" borderId="0" xfId="0" applyNumberFormat="1" applyFont="1" applyFill="1" applyBorder="1" applyAlignment="1">
      <alignment horizontal="right"/>
    </xf>
    <xf numFmtId="174" fontId="148" fillId="0" borderId="0" xfId="0" applyNumberFormat="1" applyFont="1" applyFill="1" applyBorder="1"/>
    <xf numFmtId="4" fontId="51" fillId="0" borderId="0" xfId="0" applyNumberFormat="1" applyFont="1" applyFill="1" applyBorder="1" applyAlignment="1">
      <alignment horizontal="right"/>
    </xf>
    <xf numFmtId="166" fontId="143" fillId="0" borderId="9" xfId="0" applyNumberFormat="1" applyFont="1" applyFill="1" applyBorder="1" applyAlignment="1">
      <alignment horizontal="right"/>
    </xf>
    <xf numFmtId="7" fontId="143" fillId="0" borderId="10" xfId="0" applyNumberFormat="1" applyFont="1" applyFill="1" applyBorder="1" applyAlignment="1">
      <alignment horizontal="right"/>
    </xf>
    <xf numFmtId="174" fontId="149" fillId="0" borderId="7" xfId="0" applyNumberFormat="1" applyFont="1" applyFill="1" applyBorder="1"/>
    <xf numFmtId="171" fontId="141" fillId="0" borderId="7" xfId="43" applyNumberFormat="1" applyFont="1" applyFill="1" applyBorder="1"/>
    <xf numFmtId="174" fontId="97" fillId="0" borderId="0" xfId="0" applyNumberFormat="1" applyFont="1" applyFill="1" applyBorder="1"/>
    <xf numFmtId="174" fontId="138" fillId="0" borderId="7" xfId="0" applyNumberFormat="1" applyFont="1" applyFill="1" applyBorder="1" applyAlignment="1">
      <alignment horizontal="right"/>
    </xf>
    <xf numFmtId="165" fontId="138" fillId="0" borderId="7" xfId="43" applyFont="1" applyFill="1" applyBorder="1" applyAlignment="1">
      <alignment horizontal="right"/>
    </xf>
    <xf numFmtId="165" fontId="145" fillId="0" borderId="7" xfId="0" applyNumberFormat="1" applyFont="1" applyFill="1" applyBorder="1" applyAlignment="1">
      <alignment horizontal="right"/>
    </xf>
    <xf numFmtId="7" fontId="103" fillId="0" borderId="10" xfId="0" applyNumberFormat="1" applyFont="1" applyBorder="1"/>
    <xf numFmtId="37" fontId="103" fillId="0" borderId="10" xfId="0" applyNumberFormat="1" applyFont="1" applyBorder="1"/>
    <xf numFmtId="37" fontId="11" fillId="4" borderId="8" xfId="0" applyFont="1" applyFill="1" applyBorder="1"/>
    <xf numFmtId="37" fontId="1" fillId="4" borderId="13" xfId="0" applyFont="1" applyFill="1" applyBorder="1" applyAlignment="1">
      <alignment horizontal="left" indent="1"/>
    </xf>
    <xf numFmtId="165" fontId="1" fillId="4" borderId="14" xfId="43" applyFont="1" applyFill="1" applyBorder="1"/>
    <xf numFmtId="5" fontId="11" fillId="4" borderId="9" xfId="0" applyNumberFormat="1" applyFont="1" applyFill="1" applyBorder="1"/>
    <xf numFmtId="7" fontId="103" fillId="0" borderId="0" xfId="0" applyNumberFormat="1" applyFont="1" applyBorder="1"/>
    <xf numFmtId="37" fontId="103" fillId="0" borderId="0" xfId="0" applyNumberFormat="1" applyFont="1" applyBorder="1"/>
    <xf numFmtId="5" fontId="11" fillId="4" borderId="4" xfId="0" applyNumberFormat="1" applyFont="1" applyFill="1" applyBorder="1"/>
    <xf numFmtId="165" fontId="1" fillId="4" borderId="2" xfId="43" applyFont="1" applyFill="1" applyBorder="1"/>
    <xf numFmtId="165" fontId="70" fillId="0" borderId="5" xfId="0" applyNumberFormat="1" applyFont="1" applyFill="1" applyBorder="1" applyAlignment="1">
      <alignment horizontal="right"/>
    </xf>
    <xf numFmtId="165" fontId="138" fillId="0" borderId="10" xfId="43" applyFont="1" applyBorder="1"/>
    <xf numFmtId="166" fontId="138" fillId="0" borderId="10" xfId="0" applyNumberFormat="1" applyFont="1" applyBorder="1"/>
    <xf numFmtId="5" fontId="138" fillId="0" borderId="10" xfId="0" applyNumberFormat="1" applyFont="1" applyBorder="1"/>
    <xf numFmtId="4" fontId="53" fillId="0" borderId="10" xfId="43" applyNumberFormat="1" applyFont="1" applyFill="1" applyBorder="1" applyAlignment="1">
      <alignment horizontal="right"/>
    </xf>
    <xf numFmtId="166" fontId="145" fillId="0" borderId="10" xfId="0" applyNumberFormat="1" applyFont="1" applyFill="1" applyBorder="1" applyAlignment="1">
      <alignment horizontal="right"/>
    </xf>
    <xf numFmtId="165" fontId="138" fillId="0" borderId="0" xfId="43" applyFont="1" applyFill="1" applyBorder="1" applyAlignment="1">
      <alignment horizontal="right"/>
    </xf>
    <xf numFmtId="165" fontId="138" fillId="0" borderId="10" xfId="43" applyFont="1" applyFill="1" applyBorder="1" applyAlignment="1">
      <alignment horizontal="right"/>
    </xf>
    <xf numFmtId="165" fontId="51" fillId="0" borderId="3" xfId="43" applyFont="1" applyFill="1" applyBorder="1" applyAlignment="1">
      <alignment horizontal="left" indent="1"/>
    </xf>
    <xf numFmtId="165" fontId="1" fillId="0" borderId="7" xfId="43" applyFont="1" applyBorder="1" applyAlignment="1">
      <alignment horizontal="right"/>
    </xf>
    <xf numFmtId="165" fontId="1" fillId="0" borderId="7" xfId="43" applyFont="1" applyFill="1" applyBorder="1" applyAlignment="1">
      <alignment horizontal="right"/>
    </xf>
    <xf numFmtId="165" fontId="1" fillId="0" borderId="3" xfId="43" applyFont="1" applyFill="1" applyBorder="1" applyAlignment="1">
      <alignment horizontal="right"/>
    </xf>
    <xf numFmtId="165" fontId="1" fillId="0" borderId="0" xfId="43" applyFont="1" applyFill="1"/>
    <xf numFmtId="165" fontId="69" fillId="0" borderId="0" xfId="43" applyFont="1"/>
    <xf numFmtId="4" fontId="9" fillId="0" borderId="10" xfId="0" applyNumberFormat="1" applyFont="1" applyFill="1" applyBorder="1" applyAlignment="1">
      <alignment horizontal="right"/>
    </xf>
    <xf numFmtId="4" fontId="9" fillId="0" borderId="7" xfId="0" applyNumberFormat="1" applyFont="1" applyFill="1" applyBorder="1" applyAlignment="1">
      <alignment horizontal="right"/>
    </xf>
    <xf numFmtId="165" fontId="47" fillId="0" borderId="7" xfId="0" applyNumberFormat="1" applyFont="1" applyBorder="1" applyAlignment="1">
      <alignment horizontal="right"/>
    </xf>
    <xf numFmtId="166" fontId="74" fillId="0" borderId="10" xfId="0" applyNumberFormat="1" applyFont="1" applyFill="1" applyBorder="1" applyAlignment="1">
      <alignment horizontal="right"/>
    </xf>
    <xf numFmtId="10" fontId="9" fillId="0" borderId="10" xfId="43" applyNumberFormat="1" applyFont="1" applyFill="1" applyBorder="1" applyAlignment="1">
      <alignment horizontal="right"/>
    </xf>
    <xf numFmtId="193" fontId="11" fillId="0" borderId="12" xfId="0" applyNumberFormat="1" applyFont="1" applyBorder="1"/>
    <xf numFmtId="37" fontId="140" fillId="0" borderId="10" xfId="0" applyNumberFormat="1" applyFont="1" applyBorder="1"/>
    <xf numFmtId="165" fontId="96" fillId="0" borderId="7" xfId="43" applyFont="1" applyFill="1" applyBorder="1" applyAlignment="1">
      <alignment horizontal="right"/>
    </xf>
    <xf numFmtId="170" fontId="47" fillId="0" borderId="0" xfId="0" applyNumberFormat="1" applyFont="1" applyFill="1" applyBorder="1" applyAlignment="1">
      <alignment horizontal="center"/>
    </xf>
    <xf numFmtId="37" fontId="104" fillId="0" borderId="10" xfId="0" applyNumberFormat="1" applyFont="1" applyFill="1" applyBorder="1"/>
    <xf numFmtId="174" fontId="140" fillId="0" borderId="0" xfId="0" applyNumberFormat="1" applyFont="1" applyFill="1" applyBorder="1" applyAlignment="1">
      <alignment horizontal="right"/>
    </xf>
    <xf numFmtId="1" fontId="11" fillId="0" borderId="2" xfId="0" applyNumberFormat="1" applyFont="1" applyBorder="1"/>
    <xf numFmtId="166" fontId="142" fillId="0" borderId="0" xfId="0" applyNumberFormat="1" applyFont="1" applyFill="1" applyBorder="1" applyAlignment="1">
      <alignment horizontal="right"/>
    </xf>
    <xf numFmtId="37" fontId="11" fillId="0" borderId="12" xfId="0" applyFont="1" applyBorder="1" applyAlignment="1">
      <alignment horizontal="right"/>
    </xf>
    <xf numFmtId="4" fontId="96" fillId="0" borderId="10" xfId="0" applyNumberFormat="1" applyFont="1" applyFill="1" applyBorder="1" applyAlignment="1">
      <alignment horizontal="right"/>
    </xf>
    <xf numFmtId="4" fontId="9" fillId="0" borderId="0" xfId="43" applyNumberFormat="1" applyFont="1" applyFill="1" applyBorder="1"/>
    <xf numFmtId="198" fontId="9" fillId="0" borderId="0" xfId="0" applyNumberFormat="1" applyFont="1" applyFill="1" applyBorder="1" applyAlignment="1">
      <alignment horizontal="right"/>
    </xf>
    <xf numFmtId="39" fontId="149" fillId="6" borderId="0" xfId="0" applyNumberFormat="1" applyFont="1" applyFill="1" applyBorder="1"/>
    <xf numFmtId="166" fontId="140" fillId="0" borderId="3" xfId="0" applyNumberFormat="1" applyFont="1" applyFill="1" applyBorder="1" applyAlignment="1">
      <alignment horizontal="right"/>
    </xf>
    <xf numFmtId="166" fontId="140" fillId="0" borderId="0" xfId="0" applyNumberFormat="1" applyFont="1" applyFill="1" applyBorder="1" applyAlignment="1">
      <alignment horizontal="right"/>
    </xf>
    <xf numFmtId="166" fontId="148" fillId="0" borderId="11" xfId="0" applyNumberFormat="1" applyFont="1" applyFill="1" applyBorder="1" applyAlignment="1">
      <alignment horizontal="right"/>
    </xf>
    <xf numFmtId="166" fontId="148" fillId="0" borderId="18" xfId="0" applyNumberFormat="1" applyFont="1" applyFill="1" applyBorder="1" applyAlignment="1">
      <alignment horizontal="right"/>
    </xf>
    <xf numFmtId="166" fontId="148" fillId="0" borderId="12" xfId="0" applyNumberFormat="1" applyFont="1" applyFill="1" applyBorder="1" applyAlignment="1">
      <alignment horizontal="right"/>
    </xf>
    <xf numFmtId="166" fontId="148" fillId="0" borderId="24" xfId="0" applyNumberFormat="1" applyFont="1" applyFill="1" applyBorder="1" applyAlignment="1">
      <alignment horizontal="right"/>
    </xf>
    <xf numFmtId="166" fontId="140" fillId="0" borderId="10" xfId="0" applyNumberFormat="1" applyFont="1" applyFill="1" applyBorder="1" applyAlignment="1">
      <alignment horizontal="right"/>
    </xf>
    <xf numFmtId="168" fontId="1" fillId="0" borderId="0" xfId="0" applyNumberFormat="1" applyFont="1" applyFill="1" applyBorder="1"/>
    <xf numFmtId="37" fontId="1" fillId="0" borderId="0" xfId="0" applyFont="1" applyBorder="1" applyAlignment="1" applyProtection="1"/>
    <xf numFmtId="174" fontId="140" fillId="0" borderId="7" xfId="0" applyNumberFormat="1" applyFont="1" applyFill="1" applyBorder="1" applyAlignment="1">
      <alignment horizontal="right"/>
    </xf>
    <xf numFmtId="174" fontId="138" fillId="0" borderId="7" xfId="0" applyNumberFormat="1" applyFont="1" applyFill="1" applyBorder="1"/>
    <xf numFmtId="37" fontId="1" fillId="0" borderId="0" xfId="35" applyFont="1"/>
    <xf numFmtId="37" fontId="149" fillId="6" borderId="0" xfId="35" applyFont="1" applyFill="1"/>
    <xf numFmtId="37" fontId="10" fillId="0" borderId="0" xfId="22" applyNumberFormat="1" applyFill="1" applyBorder="1" applyAlignment="1" applyProtection="1"/>
    <xf numFmtId="5" fontId="11" fillId="0" borderId="4" xfId="0" applyNumberFormat="1" applyFont="1" applyFill="1" applyBorder="1"/>
    <xf numFmtId="170" fontId="11" fillId="0" borderId="4" xfId="0" applyNumberFormat="1" applyFont="1" applyFill="1" applyBorder="1" applyAlignment="1">
      <alignment horizontal="center"/>
    </xf>
    <xf numFmtId="37" fontId="11" fillId="0" borderId="4" xfId="0" quotePrefix="1" applyFont="1" applyFill="1" applyBorder="1" applyAlignment="1">
      <alignment horizontal="center"/>
    </xf>
    <xf numFmtId="5" fontId="11" fillId="0" borderId="9" xfId="0" applyNumberFormat="1" applyFont="1" applyFill="1" applyBorder="1"/>
    <xf numFmtId="170" fontId="1" fillId="0" borderId="2" xfId="0" applyNumberFormat="1" applyFont="1" applyFill="1" applyBorder="1" applyAlignment="1">
      <alignment horizontal="center"/>
    </xf>
    <xf numFmtId="172" fontId="9" fillId="0" borderId="3" xfId="0" applyNumberFormat="1" applyFont="1" applyFill="1" applyBorder="1"/>
    <xf numFmtId="172" fontId="140" fillId="0" borderId="10" xfId="0" applyNumberFormat="1" applyFont="1" applyFill="1" applyBorder="1"/>
    <xf numFmtId="172" fontId="140" fillId="0" borderId="0" xfId="0" applyNumberFormat="1" applyFont="1" applyFill="1" applyBorder="1"/>
    <xf numFmtId="172" fontId="140" fillId="0" borderId="7" xfId="0" applyNumberFormat="1" applyFont="1" applyFill="1" applyBorder="1"/>
    <xf numFmtId="166" fontId="140" fillId="0" borderId="7" xfId="0" applyNumberFormat="1" applyFont="1" applyFill="1" applyBorder="1" applyAlignment="1">
      <alignment horizontal="right"/>
    </xf>
    <xf numFmtId="174" fontId="138" fillId="0" borderId="13" xfId="0" applyNumberFormat="1" applyFont="1" applyFill="1" applyBorder="1" applyAlignment="1">
      <alignment horizontal="right"/>
    </xf>
    <xf numFmtId="5" fontId="140" fillId="0" borderId="3" xfId="0" applyNumberFormat="1" applyFont="1" applyFill="1" applyBorder="1" applyAlignment="1">
      <alignment horizontal="right"/>
    </xf>
    <xf numFmtId="165" fontId="138" fillId="0" borderId="0" xfId="43" applyFont="1" applyBorder="1"/>
    <xf numFmtId="166" fontId="1" fillId="0" borderId="14" xfId="0" applyNumberFormat="1" applyFont="1" applyBorder="1"/>
    <xf numFmtId="37" fontId="1" fillId="0" borderId="18" xfId="0" applyFont="1" applyBorder="1" applyAlignment="1">
      <alignment horizontal="right"/>
    </xf>
    <xf numFmtId="37" fontId="1" fillId="0" borderId="12" xfId="0" applyFont="1" applyBorder="1"/>
    <xf numFmtId="166" fontId="1" fillId="0" borderId="0" xfId="0" quotePrefix="1" applyNumberFormat="1" applyFont="1" applyBorder="1"/>
    <xf numFmtId="37" fontId="1" fillId="0" borderId="12" xfId="0" applyFont="1" applyBorder="1" applyAlignment="1">
      <alignment horizontal="right"/>
    </xf>
    <xf numFmtId="166" fontId="51" fillId="0" borderId="10" xfId="0" applyNumberFormat="1" applyFont="1" applyBorder="1"/>
    <xf numFmtId="9" fontId="51" fillId="0" borderId="0" xfId="43" applyNumberFormat="1" applyFont="1" applyBorder="1"/>
    <xf numFmtId="9" fontId="1" fillId="4" borderId="11" xfId="43" applyNumberFormat="1" applyFont="1" applyFill="1" applyBorder="1"/>
    <xf numFmtId="9" fontId="1" fillId="4" borderId="18" xfId="43" applyNumberFormat="1" applyFont="1" applyFill="1" applyBorder="1"/>
    <xf numFmtId="9" fontId="1" fillId="4" borderId="12" xfId="43" applyNumberFormat="1" applyFont="1" applyFill="1" applyBorder="1"/>
    <xf numFmtId="9" fontId="51" fillId="0" borderId="10" xfId="43" applyNumberFormat="1" applyFont="1" applyBorder="1"/>
    <xf numFmtId="9" fontId="1" fillId="0" borderId="0" xfId="0" applyNumberFormat="1" applyFont="1" applyBorder="1" applyAlignment="1">
      <alignment horizontal="right"/>
    </xf>
    <xf numFmtId="9" fontId="51" fillId="0" borderId="14" xfId="43" applyNumberFormat="1" applyFont="1" applyBorder="1"/>
    <xf numFmtId="9" fontId="51" fillId="4" borderId="11" xfId="43" applyNumberFormat="1" applyFont="1" applyFill="1" applyBorder="1"/>
    <xf numFmtId="9" fontId="51" fillId="4" borderId="18" xfId="43" applyNumberFormat="1" applyFont="1" applyFill="1" applyBorder="1"/>
    <xf numFmtId="9" fontId="51" fillId="4" borderId="12" xfId="43" applyNumberFormat="1" applyFont="1" applyFill="1" applyBorder="1"/>
    <xf numFmtId="37" fontId="1" fillId="0" borderId="2" xfId="35" applyFont="1" applyFill="1" applyBorder="1"/>
    <xf numFmtId="37" fontId="150" fillId="0" borderId="8" xfId="0" applyFont="1" applyBorder="1"/>
    <xf numFmtId="37" fontId="150" fillId="0" borderId="4" xfId="0" applyFont="1" applyBorder="1" applyAlignment="1">
      <alignment wrapText="1"/>
    </xf>
    <xf numFmtId="37" fontId="150" fillId="0" borderId="9" xfId="0" applyFont="1" applyBorder="1"/>
    <xf numFmtId="37" fontId="151" fillId="0" borderId="0" xfId="0" applyFont="1" applyBorder="1"/>
    <xf numFmtId="0" fontId="152" fillId="0" borderId="3" xfId="0" applyNumberFormat="1" applyFont="1" applyBorder="1"/>
    <xf numFmtId="8" fontId="151" fillId="0" borderId="10" xfId="0" applyNumberFormat="1" applyFont="1" applyBorder="1"/>
    <xf numFmtId="8" fontId="1" fillId="0" borderId="10" xfId="0" applyNumberFormat="1" applyFont="1" applyBorder="1"/>
    <xf numFmtId="8" fontId="1" fillId="0" borderId="14" xfId="0" applyNumberFormat="1" applyFont="1" applyBorder="1"/>
    <xf numFmtId="4" fontId="96" fillId="0" borderId="7" xfId="43" applyNumberFormat="1" applyFont="1" applyFill="1" applyBorder="1" applyAlignment="1">
      <alignment horizontal="right"/>
    </xf>
    <xf numFmtId="4" fontId="96" fillId="0" borderId="3" xfId="0" applyNumberFormat="1" applyFont="1" applyFill="1" applyBorder="1" applyAlignment="1">
      <alignment horizontal="right"/>
    </xf>
    <xf numFmtId="166" fontId="138" fillId="0" borderId="2" xfId="0" applyNumberFormat="1" applyFont="1" applyFill="1" applyBorder="1" applyAlignment="1">
      <alignment horizontal="right"/>
    </xf>
    <xf numFmtId="4" fontId="149" fillId="0" borderId="7" xfId="43" applyNumberFormat="1" applyFont="1" applyFill="1" applyBorder="1"/>
    <xf numFmtId="165" fontId="96" fillId="0" borderId="0" xfId="43" applyFont="1" applyFill="1" applyBorder="1" applyAlignment="1">
      <alignment horizontal="right"/>
    </xf>
    <xf numFmtId="165" fontId="138" fillId="0" borderId="0" xfId="43" applyFont="1"/>
    <xf numFmtId="168" fontId="138" fillId="0" borderId="10" xfId="0" applyNumberFormat="1" applyFont="1" applyBorder="1"/>
    <xf numFmtId="199" fontId="138" fillId="0" borderId="10" xfId="0" applyNumberFormat="1" applyFont="1" applyBorder="1"/>
    <xf numFmtId="193" fontId="1" fillId="0" borderId="14" xfId="0" applyNumberFormat="1" applyFont="1" applyBorder="1"/>
    <xf numFmtId="168" fontId="1" fillId="0" borderId="7" xfId="0" applyNumberFormat="1" applyFont="1" applyFill="1" applyBorder="1"/>
    <xf numFmtId="174" fontId="1" fillId="0" borderId="5" xfId="0" applyNumberFormat="1" applyFont="1" applyFill="1" applyBorder="1"/>
    <xf numFmtId="165" fontId="95" fillId="0" borderId="10" xfId="0" applyNumberFormat="1" applyFont="1" applyFill="1" applyBorder="1" applyAlignment="1">
      <alignment horizontal="right"/>
    </xf>
    <xf numFmtId="165" fontId="145" fillId="0" borderId="10" xfId="0" applyNumberFormat="1" applyFont="1" applyFill="1" applyBorder="1" applyAlignment="1">
      <alignment horizontal="right"/>
    </xf>
    <xf numFmtId="165" fontId="138" fillId="0" borderId="10" xfId="0" applyNumberFormat="1" applyFont="1" applyFill="1" applyBorder="1" applyAlignment="1">
      <alignment horizontal="right"/>
    </xf>
    <xf numFmtId="39" fontId="51" fillId="0" borderId="0" xfId="13" applyNumberFormat="1" applyFont="1" applyFill="1" applyBorder="1" applyAlignment="1">
      <alignment horizontal="right"/>
    </xf>
    <xf numFmtId="39" fontId="1" fillId="0" borderId="0" xfId="13" applyNumberFormat="1" applyFont="1" applyFill="1" applyBorder="1"/>
    <xf numFmtId="39" fontId="47" fillId="0" borderId="0" xfId="13" applyNumberFormat="1" applyFont="1" applyFill="1" applyBorder="1" applyAlignment="1">
      <alignment horizontal="right"/>
    </xf>
    <xf numFmtId="39" fontId="1" fillId="0" borderId="0" xfId="13" applyNumberFormat="1" applyFont="1" applyFill="1" applyBorder="1" applyAlignment="1">
      <alignment horizontal="right"/>
    </xf>
    <xf numFmtId="39" fontId="1" fillId="0" borderId="0" xfId="13" quotePrefix="1" applyNumberFormat="1" applyFont="1" applyFill="1" applyBorder="1" applyAlignment="1" applyProtection="1"/>
    <xf numFmtId="39" fontId="48" fillId="0" borderId="0" xfId="13" applyNumberFormat="1" applyFont="1" applyFill="1" applyBorder="1" applyAlignment="1">
      <alignment horizontal="right"/>
    </xf>
    <xf numFmtId="39" fontId="59" fillId="0" borderId="0" xfId="13" applyNumberFormat="1" applyFont="1" applyFill="1" applyBorder="1" applyAlignment="1">
      <alignment horizontal="right"/>
    </xf>
    <xf numFmtId="37" fontId="1" fillId="0" borderId="10" xfId="0" applyFont="1" applyFill="1" applyBorder="1" applyAlignment="1">
      <alignment horizontal="right"/>
    </xf>
    <xf numFmtId="41" fontId="1" fillId="0" borderId="10" xfId="0" applyNumberFormat="1" applyFont="1" applyFill="1" applyBorder="1" applyAlignment="1">
      <alignment horizontal="right"/>
    </xf>
    <xf numFmtId="165" fontId="95" fillId="0" borderId="3" xfId="0" applyNumberFormat="1" applyFont="1" applyFill="1" applyBorder="1" applyAlignment="1">
      <alignment horizontal="right"/>
    </xf>
    <xf numFmtId="165" fontId="95" fillId="0" borderId="0" xfId="0" applyNumberFormat="1" applyFont="1" applyFill="1" applyBorder="1" applyAlignment="1">
      <alignment horizontal="right"/>
    </xf>
    <xf numFmtId="190" fontId="1" fillId="0" borderId="7" xfId="0" applyNumberFormat="1" applyFont="1" applyFill="1" applyBorder="1" applyAlignment="1">
      <alignment horizontal="right"/>
    </xf>
    <xf numFmtId="37" fontId="1" fillId="0" borderId="7" xfId="0" applyFont="1" applyFill="1" applyBorder="1" applyAlignment="1">
      <alignment horizontal="right"/>
    </xf>
    <xf numFmtId="4" fontId="11" fillId="0" borderId="10" xfId="0" applyNumberFormat="1" applyFont="1" applyFill="1" applyBorder="1" applyAlignment="1">
      <alignment horizontal="right"/>
    </xf>
    <xf numFmtId="174" fontId="1" fillId="5" borderId="10" xfId="0" applyNumberFormat="1" applyFont="1" applyFill="1" applyBorder="1" applyAlignment="1">
      <alignment horizontal="right"/>
    </xf>
    <xf numFmtId="166" fontId="51" fillId="5" borderId="6" xfId="0" applyNumberFormat="1" applyFont="1" applyFill="1" applyBorder="1" applyAlignment="1">
      <alignment horizontal="right"/>
    </xf>
    <xf numFmtId="7" fontId="51" fillId="0" borderId="7" xfId="0" applyNumberFormat="1" applyFont="1" applyFill="1" applyBorder="1" applyAlignment="1">
      <alignment horizontal="right"/>
    </xf>
    <xf numFmtId="7" fontId="11" fillId="0" borderId="7" xfId="0" applyNumberFormat="1" applyFont="1" applyFill="1" applyBorder="1" applyAlignment="1">
      <alignment horizontal="right"/>
    </xf>
    <xf numFmtId="7" fontId="1" fillId="0" borderId="7" xfId="43" applyNumberFormat="1" applyFont="1" applyBorder="1" applyAlignment="1">
      <alignment horizontal="right"/>
    </xf>
    <xf numFmtId="37" fontId="1" fillId="0" borderId="5" xfId="0" applyFont="1" applyFill="1" applyBorder="1"/>
    <xf numFmtId="166" fontId="1" fillId="0" borderId="7" xfId="0" applyNumberFormat="1" applyFont="1" applyFill="1" applyBorder="1"/>
    <xf numFmtId="166" fontId="1" fillId="0" borderId="7" xfId="0" applyNumberFormat="1" applyFont="1" applyBorder="1"/>
    <xf numFmtId="166" fontId="1" fillId="0" borderId="6" xfId="0" applyNumberFormat="1" applyFont="1" applyFill="1" applyBorder="1"/>
    <xf numFmtId="37" fontId="1" fillId="0" borderId="7" xfId="13" quotePrefix="1" applyFont="1" applyFill="1" applyBorder="1" applyAlignment="1" applyProtection="1"/>
    <xf numFmtId="41" fontId="1" fillId="0" borderId="7" xfId="0" applyNumberFormat="1" applyFont="1" applyFill="1" applyBorder="1" applyAlignment="1">
      <alignment horizontal="right"/>
    </xf>
    <xf numFmtId="5" fontId="1" fillId="0" borderId="7" xfId="0" applyNumberFormat="1" applyFont="1" applyBorder="1" applyAlignment="1">
      <alignment horizontal="right"/>
    </xf>
    <xf numFmtId="0" fontId="1" fillId="0" borderId="7" xfId="0" applyNumberFormat="1" applyFont="1" applyFill="1" applyBorder="1" applyAlignment="1">
      <alignment horizontal="right"/>
    </xf>
    <xf numFmtId="166" fontId="1" fillId="0" borderId="24" xfId="0" applyNumberFormat="1" applyFont="1" applyFill="1" applyBorder="1" applyAlignment="1">
      <alignment horizontal="right"/>
    </xf>
    <xf numFmtId="4" fontId="1" fillId="0" borderId="7" xfId="0" applyNumberFormat="1" applyFont="1" applyFill="1" applyBorder="1" applyAlignment="1">
      <alignment horizontal="right"/>
    </xf>
    <xf numFmtId="166" fontId="1" fillId="0" borderId="7" xfId="0" applyNumberFormat="1" applyFont="1" applyBorder="1" applyAlignment="1">
      <alignment horizontal="right"/>
    </xf>
    <xf numFmtId="165" fontId="1" fillId="0" borderId="7" xfId="0" applyNumberFormat="1" applyFont="1" applyBorder="1" applyAlignment="1">
      <alignment horizontal="right"/>
    </xf>
    <xf numFmtId="165" fontId="51" fillId="0" borderId="5" xfId="43" applyFont="1" applyBorder="1" applyAlignment="1">
      <alignment horizontal="right"/>
    </xf>
    <xf numFmtId="165" fontId="51" fillId="0" borderId="7" xfId="43" applyFont="1" applyBorder="1" applyAlignment="1">
      <alignment horizontal="right"/>
    </xf>
    <xf numFmtId="37" fontId="1" fillId="0" borderId="5" xfId="0" applyFont="1" applyFill="1" applyBorder="1" applyAlignment="1">
      <alignment horizontal="right"/>
    </xf>
    <xf numFmtId="39" fontId="1" fillId="0" borderId="7" xfId="0" applyNumberFormat="1" applyFont="1" applyFill="1" applyBorder="1" applyAlignment="1">
      <alignment horizontal="right"/>
    </xf>
    <xf numFmtId="39" fontId="1" fillId="0" borderId="6" xfId="0" applyNumberFormat="1" applyFont="1" applyFill="1" applyBorder="1" applyAlignment="1">
      <alignment horizontal="right"/>
    </xf>
    <xf numFmtId="165" fontId="1" fillId="0" borderId="7" xfId="43" applyNumberFormat="1" applyFont="1" applyFill="1" applyBorder="1" applyAlignment="1">
      <alignment horizontal="right"/>
    </xf>
    <xf numFmtId="166" fontId="1" fillId="0" borderId="7" xfId="43" applyNumberFormat="1" applyFont="1" applyFill="1" applyBorder="1" applyAlignment="1">
      <alignment horizontal="right"/>
    </xf>
    <xf numFmtId="168" fontId="1" fillId="0" borderId="7" xfId="43" applyNumberFormat="1" applyFont="1" applyFill="1" applyBorder="1" applyAlignment="1">
      <alignment horizontal="right"/>
    </xf>
    <xf numFmtId="194" fontId="1" fillId="0" borderId="7" xfId="0" applyNumberFormat="1" applyFont="1" applyFill="1" applyBorder="1" applyAlignment="1">
      <alignment horizontal="right"/>
    </xf>
    <xf numFmtId="191" fontId="1" fillId="0" borderId="7" xfId="0" applyNumberFormat="1" applyFont="1" applyFill="1" applyBorder="1" applyAlignment="1">
      <alignment horizontal="right"/>
    </xf>
    <xf numFmtId="174" fontId="1" fillId="0" borderId="6" xfId="0" applyNumberFormat="1" applyFont="1" applyFill="1" applyBorder="1"/>
    <xf numFmtId="37" fontId="1" fillId="0" borderId="7" xfId="0" applyFont="1" applyFill="1" applyBorder="1"/>
    <xf numFmtId="186" fontId="1" fillId="0" borderId="0" xfId="0" applyNumberFormat="1" applyFont="1" applyFill="1" applyBorder="1"/>
    <xf numFmtId="171" fontId="1" fillId="0" borderId="7" xfId="43" applyNumberFormat="1" applyFont="1" applyFill="1" applyBorder="1"/>
    <xf numFmtId="10" fontId="1" fillId="0" borderId="7" xfId="43" applyNumberFormat="1" applyFont="1" applyFill="1" applyBorder="1"/>
    <xf numFmtId="10" fontId="1" fillId="0" borderId="7" xfId="43" applyNumberFormat="1" applyFont="1" applyFill="1" applyBorder="1" applyAlignment="1">
      <alignment horizontal="center"/>
    </xf>
    <xf numFmtId="171" fontId="1" fillId="0" borderId="7" xfId="43" applyNumberFormat="1" applyFont="1" applyFill="1" applyBorder="1" applyAlignment="1">
      <alignment horizontal="center"/>
    </xf>
    <xf numFmtId="171" fontId="1" fillId="0" borderId="7" xfId="0" applyNumberFormat="1" applyFont="1" applyFill="1" applyBorder="1"/>
    <xf numFmtId="41" fontId="1" fillId="0" borderId="7" xfId="0" applyNumberFormat="1" applyFont="1" applyFill="1" applyBorder="1"/>
    <xf numFmtId="10" fontId="1" fillId="0" borderId="7" xfId="0" applyNumberFormat="1" applyFont="1" applyFill="1" applyBorder="1"/>
    <xf numFmtId="165" fontId="1" fillId="0" borderId="7" xfId="43" applyFont="1" applyFill="1" applyBorder="1"/>
    <xf numFmtId="169" fontId="1" fillId="0" borderId="7" xfId="0" applyNumberFormat="1" applyFont="1" applyFill="1" applyBorder="1"/>
    <xf numFmtId="174" fontId="1" fillId="0" borderId="7" xfId="22" applyNumberFormat="1" applyFont="1" applyFill="1" applyBorder="1" applyAlignment="1" applyProtection="1">
      <alignment horizontal="right"/>
    </xf>
    <xf numFmtId="172" fontId="1" fillId="0" borderId="7" xfId="0" applyNumberFormat="1" applyFont="1" applyFill="1" applyBorder="1"/>
    <xf numFmtId="172" fontId="1" fillId="0" borderId="7" xfId="0" applyNumberFormat="1" applyFont="1" applyBorder="1" applyAlignment="1">
      <alignment horizontal="right"/>
    </xf>
    <xf numFmtId="172" fontId="1" fillId="0" borderId="7" xfId="0" applyNumberFormat="1" applyFont="1" applyBorder="1"/>
    <xf numFmtId="172" fontId="1" fillId="0" borderId="6" xfId="0" applyNumberFormat="1" applyFont="1" applyBorder="1"/>
    <xf numFmtId="166" fontId="1" fillId="13" borderId="0" xfId="0" applyNumberFormat="1" applyFont="1" applyFill="1" applyBorder="1" applyAlignment="1">
      <alignment horizontal="right"/>
    </xf>
    <xf numFmtId="41" fontId="1" fillId="13" borderId="0" xfId="13" applyNumberFormat="1" applyFont="1" applyFill="1" applyBorder="1" applyAlignment="1">
      <alignment horizontal="right"/>
    </xf>
    <xf numFmtId="39" fontId="1" fillId="13" borderId="0" xfId="0" applyNumberFormat="1" applyFont="1" applyFill="1" applyBorder="1" applyAlignment="1">
      <alignment horizontal="right"/>
    </xf>
    <xf numFmtId="174" fontId="11" fillId="0" borderId="10" xfId="0" applyNumberFormat="1" applyFont="1" applyBorder="1"/>
    <xf numFmtId="174" fontId="1" fillId="0" borderId="9" xfId="0" applyNumberFormat="1" applyFont="1" applyFill="1" applyBorder="1"/>
    <xf numFmtId="174" fontId="144" fillId="0" borderId="10" xfId="0" applyNumberFormat="1" applyFont="1" applyFill="1" applyBorder="1"/>
    <xf numFmtId="174" fontId="124" fillId="0" borderId="10" xfId="0" applyNumberFormat="1" applyFont="1" applyFill="1" applyBorder="1"/>
    <xf numFmtId="165" fontId="11" fillId="0" borderId="10" xfId="43" applyFont="1" applyFill="1" applyBorder="1" applyProtection="1"/>
    <xf numFmtId="174" fontId="48" fillId="0" borderId="10" xfId="0" applyNumberFormat="1" applyFont="1" applyFill="1" applyBorder="1" applyAlignment="1" applyProtection="1">
      <alignment horizontal="right"/>
    </xf>
    <xf numFmtId="165" fontId="9" fillId="0" borderId="10" xfId="43" applyFont="1" applyFill="1" applyBorder="1" applyProtection="1"/>
    <xf numFmtId="165" fontId="73" fillId="0" borderId="10" xfId="43" applyFont="1" applyFill="1" applyBorder="1" applyProtection="1"/>
    <xf numFmtId="165" fontId="57" fillId="0" borderId="10" xfId="13" applyNumberFormat="1" applyFont="1" applyFill="1" applyBorder="1" applyProtection="1"/>
    <xf numFmtId="174" fontId="1" fillId="0" borderId="24" xfId="0" applyNumberFormat="1" applyFont="1" applyFill="1" applyBorder="1"/>
    <xf numFmtId="167" fontId="51" fillId="10" borderId="0" xfId="0" applyNumberFormat="1" applyFont="1" applyFill="1" applyBorder="1"/>
    <xf numFmtId="167" fontId="51" fillId="10" borderId="0" xfId="13" applyNumberFormat="1" applyFont="1" applyFill="1" applyBorder="1"/>
    <xf numFmtId="39" fontId="2" fillId="0" borderId="0" xfId="0" applyNumberFormat="1" applyFont="1" applyFill="1" applyBorder="1"/>
    <xf numFmtId="41" fontId="1" fillId="0" borderId="0" xfId="13" applyNumberFormat="1" applyFont="1" applyFill="1" applyBorder="1" applyAlignment="1">
      <alignment horizontal="right"/>
    </xf>
    <xf numFmtId="39" fontId="69" fillId="0" borderId="0" xfId="13" applyNumberFormat="1" applyFont="1" applyFill="1" applyBorder="1"/>
    <xf numFmtId="14" fontId="142" fillId="0" borderId="0" xfId="0" applyNumberFormat="1" applyFont="1" applyFill="1" applyBorder="1"/>
    <xf numFmtId="39" fontId="142" fillId="0" borderId="0" xfId="13" applyNumberFormat="1" applyFont="1" applyFill="1" applyBorder="1"/>
    <xf numFmtId="190" fontId="1" fillId="0" borderId="0" xfId="0" applyNumberFormat="1" applyFont="1" applyFill="1" applyBorder="1" applyAlignment="1">
      <alignment horizontal="right"/>
    </xf>
    <xf numFmtId="4" fontId="11" fillId="0" borderId="0" xfId="0" applyNumberFormat="1" applyFont="1" applyFill="1" applyBorder="1" applyAlignment="1">
      <alignment horizontal="right"/>
    </xf>
    <xf numFmtId="4" fontId="149" fillId="0" borderId="0" xfId="43" applyNumberFormat="1" applyFont="1" applyFill="1" applyBorder="1"/>
    <xf numFmtId="7" fontId="1" fillId="0" borderId="0" xfId="43" applyNumberFormat="1" applyFont="1" applyFill="1" applyBorder="1" applyAlignment="1">
      <alignment horizontal="right"/>
    </xf>
    <xf numFmtId="164" fontId="11" fillId="0" borderId="0" xfId="0" quotePrefix="1" applyNumberFormat="1" applyFont="1" applyFill="1" applyBorder="1" applyAlignment="1" applyProtection="1">
      <alignment horizontal="right"/>
    </xf>
    <xf numFmtId="165" fontId="1" fillId="0" borderId="0" xfId="43" applyFont="1" applyFill="1" applyBorder="1" applyProtection="1"/>
    <xf numFmtId="165" fontId="1" fillId="0" borderId="0" xfId="0" applyNumberFormat="1" applyFont="1" applyFill="1" applyBorder="1" applyAlignment="1" applyProtection="1">
      <alignment horizontal="right"/>
    </xf>
    <xf numFmtId="165" fontId="11" fillId="0" borderId="0" xfId="13" applyNumberFormat="1" applyFont="1" applyFill="1" applyBorder="1" applyProtection="1"/>
    <xf numFmtId="37" fontId="1" fillId="0" borderId="0" xfId="13" quotePrefix="1" applyFont="1" applyFill="1" applyBorder="1" applyAlignment="1" applyProtection="1"/>
    <xf numFmtId="41" fontId="1" fillId="0" borderId="0" xfId="0" applyNumberFormat="1" applyFont="1" applyFill="1" applyBorder="1" applyAlignment="1">
      <alignment horizontal="right"/>
    </xf>
    <xf numFmtId="0" fontId="1" fillId="0" borderId="0" xfId="0" applyNumberFormat="1" applyFont="1" applyFill="1" applyBorder="1" applyAlignment="1">
      <alignment horizontal="right"/>
    </xf>
    <xf numFmtId="4" fontId="1" fillId="0" borderId="0" xfId="0" applyNumberFormat="1" applyFont="1" applyFill="1" applyBorder="1" applyAlignment="1">
      <alignment horizontal="right"/>
    </xf>
    <xf numFmtId="166" fontId="1" fillId="0" borderId="0" xfId="0" applyNumberFormat="1" applyFont="1" applyFill="1" applyBorder="1" applyAlignment="1"/>
    <xf numFmtId="165" fontId="1" fillId="0" borderId="0" xfId="43" applyNumberFormat="1" applyFont="1" applyFill="1" applyBorder="1" applyAlignment="1">
      <alignment horizontal="right"/>
    </xf>
    <xf numFmtId="166" fontId="1" fillId="0" borderId="0" xfId="43" applyNumberFormat="1" applyFont="1" applyFill="1" applyBorder="1" applyAlignment="1">
      <alignment horizontal="right"/>
    </xf>
    <xf numFmtId="168" fontId="1" fillId="0" borderId="0" xfId="43" applyNumberFormat="1" applyFont="1" applyFill="1" applyBorder="1" applyAlignment="1">
      <alignment horizontal="right"/>
    </xf>
    <xf numFmtId="194" fontId="1" fillId="0" borderId="0" xfId="0" applyNumberFormat="1" applyFont="1" applyFill="1" applyBorder="1" applyAlignment="1">
      <alignment horizontal="right"/>
    </xf>
    <xf numFmtId="191" fontId="1" fillId="0" borderId="0" xfId="0" applyNumberFormat="1" applyFont="1" applyFill="1" applyBorder="1" applyAlignment="1">
      <alignment horizontal="right"/>
    </xf>
    <xf numFmtId="171" fontId="1" fillId="0" borderId="0" xfId="43" applyNumberFormat="1" applyFont="1" applyFill="1" applyBorder="1"/>
    <xf numFmtId="10" fontId="1" fillId="0" borderId="0" xfId="43" applyNumberFormat="1" applyFont="1" applyFill="1" applyBorder="1"/>
    <xf numFmtId="10" fontId="1" fillId="0" borderId="0" xfId="43" applyNumberFormat="1" applyFont="1" applyFill="1" applyBorder="1" applyAlignment="1">
      <alignment horizontal="center"/>
    </xf>
    <xf numFmtId="171" fontId="1" fillId="0" borderId="0" xfId="43" applyNumberFormat="1" applyFont="1" applyFill="1" applyBorder="1" applyAlignment="1">
      <alignment horizontal="center"/>
    </xf>
    <xf numFmtId="171" fontId="1" fillId="0" borderId="0" xfId="0" applyNumberFormat="1" applyFont="1" applyFill="1" applyBorder="1"/>
    <xf numFmtId="41" fontId="1" fillId="0" borderId="0" xfId="0" applyNumberFormat="1" applyFont="1" applyFill="1" applyBorder="1"/>
    <xf numFmtId="10" fontId="1" fillId="0" borderId="0" xfId="0" applyNumberFormat="1" applyFont="1" applyFill="1" applyBorder="1"/>
    <xf numFmtId="165" fontId="1" fillId="0" borderId="0" xfId="43" applyFont="1" applyFill="1" applyBorder="1"/>
    <xf numFmtId="169" fontId="1" fillId="0" borderId="0" xfId="0" applyNumberFormat="1" applyFont="1" applyFill="1" applyBorder="1"/>
    <xf numFmtId="174" fontId="1" fillId="0" borderId="0" xfId="22" applyNumberFormat="1" applyFont="1" applyFill="1" applyBorder="1" applyAlignment="1" applyProtection="1">
      <alignment horizontal="right"/>
    </xf>
    <xf numFmtId="172" fontId="1" fillId="0" borderId="0" xfId="0" applyNumberFormat="1" applyFont="1" applyFill="1" applyBorder="1"/>
    <xf numFmtId="172" fontId="1" fillId="0" borderId="0" xfId="0" applyNumberFormat="1" applyFont="1" applyFill="1" applyBorder="1" applyAlignment="1">
      <alignment horizontal="right"/>
    </xf>
    <xf numFmtId="5" fontId="142" fillId="0" borderId="7" xfId="0" applyNumberFormat="1" applyFont="1" applyFill="1" applyBorder="1" applyAlignment="1">
      <alignment horizontal="right"/>
    </xf>
    <xf numFmtId="5" fontId="138" fillId="0" borderId="7" xfId="0" applyNumberFormat="1" applyFont="1" applyFill="1" applyBorder="1" applyAlignment="1">
      <alignment horizontal="right"/>
    </xf>
    <xf numFmtId="174" fontId="142" fillId="0" borderId="0" xfId="0" applyNumberFormat="1" applyFont="1" applyFill="1" applyBorder="1" applyAlignment="1">
      <alignment horizontal="right"/>
    </xf>
    <xf numFmtId="164" fontId="11" fillId="0" borderId="10" xfId="0" applyNumberFormat="1" applyFont="1" applyFill="1" applyBorder="1" applyAlignment="1" applyProtection="1">
      <alignment horizontal="left"/>
    </xf>
    <xf numFmtId="37" fontId="1" fillId="0" borderId="0" xfId="0" applyNumberFormat="1" applyFont="1" applyFill="1" applyBorder="1"/>
    <xf numFmtId="168" fontId="140" fillId="0" borderId="10" xfId="0" applyNumberFormat="1" applyFont="1" applyBorder="1"/>
    <xf numFmtId="168" fontId="9" fillId="0" borderId="0" xfId="14" applyNumberFormat="1" applyFont="1" applyBorder="1" applyAlignment="1" applyProtection="1">
      <alignment horizontal="right"/>
    </xf>
    <xf numFmtId="166" fontId="142" fillId="0" borderId="0" xfId="13" applyNumberFormat="1" applyFont="1" applyBorder="1" applyAlignment="1" applyProtection="1">
      <alignment horizontal="right"/>
    </xf>
    <xf numFmtId="168" fontId="9" fillId="0" borderId="10" xfId="14" applyNumberFormat="1" applyFont="1" applyBorder="1" applyAlignment="1" applyProtection="1">
      <alignment horizontal="right"/>
    </xf>
    <xf numFmtId="166" fontId="9" fillId="0" borderId="10" xfId="13" applyNumberFormat="1" applyFont="1" applyBorder="1" applyAlignment="1" applyProtection="1">
      <alignment horizontal="right"/>
    </xf>
    <xf numFmtId="37" fontId="51" fillId="4" borderId="13" xfId="0" applyFont="1" applyFill="1" applyBorder="1" applyAlignment="1">
      <alignment horizontal="left" indent="1"/>
    </xf>
    <xf numFmtId="166" fontId="1" fillId="4" borderId="2" xfId="0" applyNumberFormat="1" applyFont="1" applyFill="1" applyBorder="1"/>
    <xf numFmtId="168" fontId="11" fillId="4" borderId="4" xfId="0" applyNumberFormat="1" applyFont="1" applyFill="1" applyBorder="1"/>
    <xf numFmtId="168" fontId="11" fillId="4" borderId="9" xfId="0" applyNumberFormat="1" applyFont="1" applyFill="1" applyBorder="1"/>
    <xf numFmtId="37" fontId="1" fillId="0" borderId="5" xfId="0" applyFont="1" applyBorder="1"/>
    <xf numFmtId="176" fontId="11" fillId="0" borderId="6" xfId="0" applyNumberFormat="1" applyFont="1" applyBorder="1" applyAlignment="1">
      <alignment horizontal="right"/>
    </xf>
    <xf numFmtId="168" fontId="9" fillId="0" borderId="7" xfId="14" applyNumberFormat="1" applyFont="1" applyBorder="1" applyAlignment="1" applyProtection="1">
      <alignment horizontal="right"/>
    </xf>
    <xf numFmtId="166" fontId="9" fillId="0" borderId="7" xfId="13" applyNumberFormat="1" applyFont="1" applyBorder="1" applyAlignment="1" applyProtection="1">
      <alignment horizontal="right"/>
    </xf>
    <xf numFmtId="166" fontId="142" fillId="0" borderId="7" xfId="13" applyNumberFormat="1" applyFont="1" applyBorder="1" applyAlignment="1" applyProtection="1">
      <alignment horizontal="right"/>
    </xf>
    <xf numFmtId="168" fontId="11" fillId="4" borderId="5" xfId="0" applyNumberFormat="1" applyFont="1" applyFill="1" applyBorder="1"/>
    <xf numFmtId="37" fontId="51" fillId="4" borderId="3" xfId="0" applyFont="1" applyFill="1" applyBorder="1" applyAlignment="1">
      <alignment horizontal="left" indent="1"/>
    </xf>
    <xf numFmtId="166" fontId="1" fillId="4" borderId="7" xfId="0" applyNumberFormat="1" applyFont="1" applyFill="1" applyBorder="1"/>
    <xf numFmtId="166" fontId="1" fillId="4" borderId="0" xfId="0" applyNumberFormat="1" applyFont="1" applyFill="1" applyBorder="1"/>
    <xf numFmtId="165" fontId="51" fillId="4" borderId="7" xfId="43" applyFont="1" applyFill="1" applyBorder="1"/>
    <xf numFmtId="165" fontId="51" fillId="4" borderId="0" xfId="43" applyFont="1" applyFill="1" applyBorder="1"/>
    <xf numFmtId="165" fontId="51" fillId="4" borderId="10" xfId="43" applyFont="1" applyFill="1" applyBorder="1"/>
    <xf numFmtId="166" fontId="1" fillId="4" borderId="6" xfId="0" applyNumberFormat="1" applyFont="1" applyFill="1" applyBorder="1"/>
    <xf numFmtId="166" fontId="1" fillId="4" borderId="13" xfId="0" applyNumberFormat="1" applyFont="1" applyFill="1" applyBorder="1"/>
    <xf numFmtId="165" fontId="145" fillId="4" borderId="2" xfId="43" applyFont="1" applyFill="1" applyBorder="1"/>
    <xf numFmtId="165" fontId="51" fillId="4" borderId="6" xfId="43" applyFont="1" applyFill="1" applyBorder="1"/>
    <xf numFmtId="165" fontId="145" fillId="4" borderId="14" xfId="43" applyFont="1" applyFill="1" applyBorder="1"/>
    <xf numFmtId="4" fontId="51" fillId="0" borderId="0" xfId="43" applyNumberFormat="1" applyFont="1" applyFill="1" applyBorder="1" applyAlignment="1">
      <alignment horizontal="right"/>
    </xf>
    <xf numFmtId="0" fontId="1" fillId="0" borderId="0" xfId="0" applyNumberFormat="1" applyFont="1" applyAlignment="1">
      <alignment horizontal="left"/>
    </xf>
    <xf numFmtId="10" fontId="47" fillId="0" borderId="0" xfId="43" applyNumberFormat="1" applyFont="1" applyFill="1" applyAlignment="1">
      <alignment horizontal="right"/>
    </xf>
    <xf numFmtId="10" fontId="47" fillId="0" borderId="7" xfId="43" applyNumberFormat="1" applyFont="1" applyFill="1" applyBorder="1" applyAlignment="1">
      <alignment horizontal="right"/>
    </xf>
    <xf numFmtId="10" fontId="138" fillId="0" borderId="0" xfId="43" applyNumberFormat="1" applyFont="1" applyFill="1" applyBorder="1"/>
    <xf numFmtId="41" fontId="103" fillId="0" borderId="51" xfId="0" applyNumberFormat="1" applyFont="1" applyFill="1" applyBorder="1" applyAlignment="1">
      <alignment horizontal="right"/>
    </xf>
    <xf numFmtId="41" fontId="138" fillId="0" borderId="52" xfId="0" applyNumberFormat="1" applyFont="1" applyFill="1" applyBorder="1" applyAlignment="1">
      <alignment horizontal="right"/>
    </xf>
    <xf numFmtId="166" fontId="1" fillId="0" borderId="0" xfId="13" applyNumberFormat="1" applyFont="1" applyFill="1" applyBorder="1" applyAlignment="1">
      <alignment horizontal="right"/>
    </xf>
    <xf numFmtId="165" fontId="1" fillId="0" borderId="3" xfId="0" applyNumberFormat="1" applyFont="1" applyBorder="1"/>
    <xf numFmtId="7" fontId="1" fillId="0" borderId="0" xfId="43" applyNumberFormat="1" applyFont="1" applyBorder="1" applyAlignment="1">
      <alignment horizontal="right"/>
    </xf>
    <xf numFmtId="174" fontId="142" fillId="0" borderId="7" xfId="0" applyNumberFormat="1" applyFont="1" applyFill="1" applyBorder="1"/>
    <xf numFmtId="174" fontId="82" fillId="0" borderId="10" xfId="0" applyNumberFormat="1" applyFont="1" applyFill="1" applyBorder="1"/>
    <xf numFmtId="7" fontId="11" fillId="4" borderId="9" xfId="0" applyNumberFormat="1" applyFont="1" applyFill="1" applyBorder="1"/>
    <xf numFmtId="37" fontId="11" fillId="4" borderId="3" xfId="0" applyFont="1" applyFill="1" applyBorder="1"/>
    <xf numFmtId="39" fontId="11" fillId="4" borderId="10" xfId="0" applyNumberFormat="1" applyFont="1" applyFill="1" applyBorder="1"/>
    <xf numFmtId="37" fontId="11" fillId="4" borderId="13" xfId="0" applyFont="1" applyFill="1" applyBorder="1"/>
    <xf numFmtId="165" fontId="11" fillId="4" borderId="14" xfId="43" applyFont="1" applyFill="1" applyBorder="1"/>
    <xf numFmtId="41" fontId="153" fillId="0" borderId="0" xfId="0" applyNumberFormat="1" applyFont="1" applyFill="1" applyBorder="1" applyAlignment="1">
      <alignment horizontal="right"/>
    </xf>
    <xf numFmtId="41" fontId="153" fillId="0" borderId="7" xfId="0" applyNumberFormat="1" applyFont="1" applyFill="1" applyBorder="1" applyAlignment="1">
      <alignment horizontal="right"/>
    </xf>
    <xf numFmtId="41" fontId="153" fillId="0" borderId="10" xfId="0" applyNumberFormat="1" applyFont="1" applyFill="1" applyBorder="1" applyAlignment="1">
      <alignment horizontal="right"/>
    </xf>
    <xf numFmtId="0" fontId="153" fillId="0" borderId="0" xfId="0" applyNumberFormat="1" applyFont="1" applyFill="1" applyBorder="1" applyAlignment="1">
      <alignment horizontal="right"/>
    </xf>
    <xf numFmtId="0" fontId="153" fillId="0" borderId="10" xfId="0" applyNumberFormat="1" applyFont="1" applyFill="1" applyBorder="1" applyAlignment="1">
      <alignment horizontal="right"/>
    </xf>
    <xf numFmtId="174" fontId="154" fillId="0" borderId="18" xfId="0" applyNumberFormat="1" applyFont="1" applyFill="1" applyBorder="1" applyAlignment="1">
      <alignment horizontal="right"/>
    </xf>
    <xf numFmtId="174" fontId="154" fillId="0" borderId="12" xfId="0" applyNumberFormat="1" applyFont="1" applyFill="1" applyBorder="1" applyAlignment="1">
      <alignment horizontal="right"/>
    </xf>
    <xf numFmtId="165" fontId="155" fillId="0" borderId="0" xfId="0" applyNumberFormat="1" applyFont="1" applyFill="1" applyBorder="1" applyAlignment="1">
      <alignment horizontal="right"/>
    </xf>
    <xf numFmtId="165" fontId="155" fillId="0" borderId="5" xfId="0" applyNumberFormat="1" applyFont="1" applyFill="1" applyBorder="1" applyAlignment="1">
      <alignment horizontal="right"/>
    </xf>
    <xf numFmtId="174" fontId="153" fillId="0" borderId="0" xfId="0" applyNumberFormat="1" applyFont="1" applyFill="1" applyBorder="1" applyAlignment="1">
      <alignment horizontal="right"/>
    </xf>
    <xf numFmtId="174" fontId="153" fillId="0" borderId="10" xfId="0" applyNumberFormat="1" applyFont="1" applyFill="1" applyBorder="1" applyAlignment="1">
      <alignment horizontal="right"/>
    </xf>
    <xf numFmtId="165" fontId="155" fillId="0" borderId="10" xfId="0" applyNumberFormat="1" applyFont="1" applyFill="1" applyBorder="1" applyAlignment="1">
      <alignment horizontal="right"/>
    </xf>
    <xf numFmtId="165" fontId="155" fillId="0" borderId="7" xfId="0" applyNumberFormat="1" applyFont="1" applyFill="1" applyBorder="1" applyAlignment="1">
      <alignment horizontal="right"/>
    </xf>
    <xf numFmtId="174" fontId="154" fillId="0" borderId="24" xfId="0" applyNumberFormat="1" applyFont="1" applyFill="1" applyBorder="1" applyAlignment="1">
      <alignment horizontal="right"/>
    </xf>
    <xf numFmtId="37" fontId="138" fillId="0" borderId="0" xfId="0" applyNumberFormat="1" applyFont="1" applyFill="1"/>
    <xf numFmtId="37" fontId="47" fillId="0" borderId="0" xfId="0" applyNumberFormat="1" applyFont="1"/>
    <xf numFmtId="174" fontId="156" fillId="0" borderId="7" xfId="0" applyNumberFormat="1" applyFont="1" applyFill="1" applyBorder="1"/>
    <xf numFmtId="5" fontId="1" fillId="0" borderId="3" xfId="14" applyFont="1" applyFill="1" applyBorder="1" applyAlignment="1" applyProtection="1">
      <alignment horizontal="left"/>
    </xf>
    <xf numFmtId="165" fontId="1" fillId="0" borderId="0" xfId="0" applyNumberFormat="1" applyFont="1"/>
    <xf numFmtId="170" fontId="1" fillId="0" borderId="0" xfId="0" applyNumberFormat="1" applyFont="1"/>
    <xf numFmtId="170" fontId="142" fillId="0" borderId="0" xfId="0" applyNumberFormat="1" applyFont="1"/>
    <xf numFmtId="166" fontId="141" fillId="0" borderId="13" xfId="0" applyNumberFormat="1" applyFont="1" applyFill="1" applyBorder="1" applyAlignment="1">
      <alignment horizontal="right"/>
    </xf>
    <xf numFmtId="166" fontId="141" fillId="0" borderId="2" xfId="0" applyNumberFormat="1" applyFont="1" applyFill="1" applyBorder="1" applyAlignment="1">
      <alignment horizontal="right"/>
    </xf>
    <xf numFmtId="165" fontId="11" fillId="0" borderId="0" xfId="43" applyFont="1" applyFill="1" applyBorder="1" applyAlignment="1" applyProtection="1">
      <alignment horizontal="right"/>
    </xf>
    <xf numFmtId="4" fontId="1" fillId="0" borderId="7" xfId="43" applyNumberFormat="1" applyFont="1" applyFill="1" applyBorder="1" applyAlignment="1">
      <alignment horizontal="right"/>
    </xf>
    <xf numFmtId="174" fontId="1" fillId="0" borderId="3" xfId="0" applyNumberFormat="1" applyFont="1" applyFill="1" applyBorder="1" applyAlignment="1">
      <alignment horizontal="right"/>
    </xf>
    <xf numFmtId="4" fontId="1" fillId="0" borderId="0" xfId="43" applyNumberFormat="1" applyFont="1" applyFill="1" applyBorder="1" applyAlignment="1">
      <alignment horizontal="right"/>
    </xf>
    <xf numFmtId="37" fontId="1" fillId="0" borderId="3" xfId="0" applyFont="1" applyFill="1" applyBorder="1" applyAlignment="1">
      <alignment horizontal="right"/>
    </xf>
    <xf numFmtId="166" fontId="51" fillId="5" borderId="13" xfId="0" applyNumberFormat="1" applyFont="1" applyFill="1" applyBorder="1" applyAlignment="1">
      <alignment horizontal="right"/>
    </xf>
    <xf numFmtId="166" fontId="51" fillId="5" borderId="2" xfId="0" applyNumberFormat="1" applyFont="1" applyFill="1" applyBorder="1" applyAlignment="1">
      <alignment horizontal="right"/>
    </xf>
    <xf numFmtId="165" fontId="1" fillId="0" borderId="3" xfId="43" applyFont="1" applyBorder="1" applyAlignment="1">
      <alignment horizontal="right"/>
    </xf>
    <xf numFmtId="174" fontId="1" fillId="0" borderId="3" xfId="0" applyNumberFormat="1" applyFont="1" applyFill="1" applyBorder="1"/>
    <xf numFmtId="165" fontId="1" fillId="0" borderId="3" xfId="0" applyNumberFormat="1" applyFont="1" applyFill="1" applyBorder="1" applyAlignment="1">
      <alignment horizontal="right"/>
    </xf>
    <xf numFmtId="37" fontId="1" fillId="0" borderId="8" xfId="0" applyFont="1" applyFill="1" applyBorder="1"/>
    <xf numFmtId="37" fontId="1" fillId="0" borderId="4" xfId="0" applyFont="1" applyFill="1" applyBorder="1"/>
    <xf numFmtId="166" fontId="1" fillId="0" borderId="3" xfId="0" applyNumberFormat="1" applyFont="1" applyFill="1" applyBorder="1"/>
    <xf numFmtId="166" fontId="1" fillId="0" borderId="3" xfId="0" applyNumberFormat="1" applyFont="1" applyBorder="1"/>
    <xf numFmtId="174" fontId="1" fillId="0" borderId="4" xfId="0" applyNumberFormat="1" applyFont="1" applyFill="1" applyBorder="1"/>
    <xf numFmtId="41" fontId="1" fillId="0" borderId="3" xfId="0" applyNumberFormat="1" applyFont="1" applyFill="1" applyBorder="1" applyAlignment="1">
      <alignment horizontal="right"/>
    </xf>
    <xf numFmtId="5" fontId="1" fillId="0" borderId="3" xfId="0" applyNumberFormat="1" applyFont="1" applyFill="1" applyBorder="1" applyAlignment="1">
      <alignment horizontal="right"/>
    </xf>
    <xf numFmtId="174" fontId="1" fillId="0" borderId="3" xfId="0" applyNumberFormat="1" applyFont="1" applyBorder="1" applyAlignment="1">
      <alignment horizontal="right"/>
    </xf>
    <xf numFmtId="5" fontId="1" fillId="0" borderId="3" xfId="0" applyNumberFormat="1" applyFont="1" applyBorder="1" applyAlignment="1">
      <alignment horizontal="right"/>
    </xf>
    <xf numFmtId="5" fontId="1" fillId="0" borderId="0" xfId="0" applyNumberFormat="1" applyFont="1" applyBorder="1" applyAlignment="1">
      <alignment horizontal="right"/>
    </xf>
    <xf numFmtId="0" fontId="1" fillId="0" borderId="3" xfId="0" applyNumberFormat="1" applyFont="1" applyFill="1" applyBorder="1" applyAlignment="1">
      <alignment horizontal="right"/>
    </xf>
    <xf numFmtId="37" fontId="1" fillId="0" borderId="3" xfId="0" applyNumberFormat="1" applyFont="1" applyFill="1" applyBorder="1" applyAlignment="1">
      <alignment horizontal="right"/>
    </xf>
    <xf numFmtId="4" fontId="1" fillId="0" borderId="3" xfId="0" applyNumberFormat="1" applyFont="1" applyFill="1" applyBorder="1" applyAlignment="1">
      <alignment horizontal="right"/>
    </xf>
    <xf numFmtId="37" fontId="1" fillId="0" borderId="3" xfId="0" applyFont="1" applyBorder="1" applyAlignment="1">
      <alignment horizontal="right"/>
    </xf>
    <xf numFmtId="166" fontId="1" fillId="0" borderId="3" xfId="0" applyNumberFormat="1" applyFont="1" applyBorder="1" applyAlignment="1">
      <alignment horizontal="right"/>
    </xf>
    <xf numFmtId="165" fontId="1" fillId="0" borderId="3" xfId="0" applyNumberFormat="1" applyFont="1" applyBorder="1" applyAlignment="1">
      <alignment horizontal="right"/>
    </xf>
    <xf numFmtId="165" fontId="1" fillId="0" borderId="0" xfId="0" applyNumberFormat="1" applyFont="1" applyBorder="1" applyAlignment="1">
      <alignment horizontal="right"/>
    </xf>
    <xf numFmtId="39" fontId="1" fillId="0" borderId="3" xfId="0" applyNumberFormat="1" applyFont="1" applyFill="1" applyBorder="1" applyAlignment="1">
      <alignment horizontal="right"/>
    </xf>
    <xf numFmtId="39" fontId="1" fillId="0" borderId="13" xfId="0" applyNumberFormat="1" applyFont="1" applyFill="1" applyBorder="1" applyAlignment="1">
      <alignment horizontal="right"/>
    </xf>
    <xf numFmtId="39" fontId="1" fillId="0" borderId="2" xfId="0" applyNumberFormat="1" applyFont="1" applyFill="1" applyBorder="1" applyAlignment="1">
      <alignment horizontal="right"/>
    </xf>
    <xf numFmtId="194" fontId="1" fillId="0" borderId="3" xfId="0" applyNumberFormat="1" applyFont="1" applyFill="1" applyBorder="1" applyAlignment="1">
      <alignment horizontal="right"/>
    </xf>
    <xf numFmtId="191" fontId="1" fillId="0" borderId="3" xfId="0" applyNumberFormat="1" applyFont="1" applyFill="1" applyBorder="1" applyAlignment="1">
      <alignment horizontal="right"/>
    </xf>
    <xf numFmtId="174" fontId="1" fillId="0" borderId="13" xfId="0" applyNumberFormat="1" applyFont="1" applyFill="1" applyBorder="1"/>
    <xf numFmtId="174" fontId="1" fillId="0" borderId="2" xfId="0" applyNumberFormat="1" applyFont="1" applyFill="1" applyBorder="1"/>
    <xf numFmtId="174" fontId="1" fillId="0" borderId="8" xfId="0" applyNumberFormat="1" applyFont="1" applyFill="1" applyBorder="1"/>
    <xf numFmtId="171" fontId="1" fillId="0" borderId="3" xfId="43" applyNumberFormat="1" applyFont="1" applyFill="1" applyBorder="1"/>
    <xf numFmtId="10" fontId="1" fillId="0" borderId="3" xfId="43" applyNumberFormat="1" applyFont="1" applyFill="1" applyBorder="1"/>
    <xf numFmtId="10" fontId="1" fillId="0" borderId="3" xfId="43" applyNumberFormat="1" applyFont="1" applyFill="1" applyBorder="1" applyAlignment="1">
      <alignment horizontal="center"/>
    </xf>
    <xf numFmtId="171" fontId="1" fillId="0" borderId="3" xfId="43" applyNumberFormat="1" applyFont="1" applyFill="1" applyBorder="1" applyAlignment="1">
      <alignment horizontal="center"/>
    </xf>
    <xf numFmtId="171" fontId="1" fillId="0" borderId="3" xfId="0" applyNumberFormat="1" applyFont="1" applyFill="1" applyBorder="1"/>
    <xf numFmtId="41" fontId="1" fillId="0" borderId="3" xfId="0" applyNumberFormat="1" applyFont="1" applyFill="1" applyBorder="1"/>
    <xf numFmtId="169" fontId="1" fillId="0" borderId="3" xfId="0" applyNumberFormat="1" applyFont="1" applyFill="1" applyBorder="1"/>
    <xf numFmtId="165" fontId="1" fillId="0" borderId="7" xfId="0" applyNumberFormat="1" applyFont="1" applyFill="1" applyBorder="1" applyAlignment="1" applyProtection="1">
      <alignment horizontal="right"/>
    </xf>
    <xf numFmtId="37" fontId="1" fillId="0" borderId="0" xfId="13" applyFont="1" applyFill="1" applyBorder="1" applyProtection="1"/>
    <xf numFmtId="174" fontId="1" fillId="5" borderId="7" xfId="0" applyNumberFormat="1" applyFont="1" applyFill="1" applyBorder="1" applyAlignment="1">
      <alignment horizontal="right"/>
    </xf>
    <xf numFmtId="164" fontId="61" fillId="0" borderId="5" xfId="0" applyNumberFormat="1" applyFont="1" applyFill="1" applyBorder="1" applyAlignment="1" applyProtection="1">
      <alignment horizontal="right"/>
    </xf>
    <xf numFmtId="41" fontId="59" fillId="0" borderId="7" xfId="0" applyNumberFormat="1" applyFont="1" applyFill="1" applyBorder="1" applyAlignment="1">
      <alignment horizontal="right"/>
    </xf>
    <xf numFmtId="5" fontId="59" fillId="0" borderId="7" xfId="0" applyNumberFormat="1" applyFont="1" applyFill="1" applyBorder="1" applyAlignment="1">
      <alignment horizontal="right"/>
    </xf>
    <xf numFmtId="0" fontId="59" fillId="0" borderId="7" xfId="0" applyNumberFormat="1" applyFont="1" applyFill="1" applyBorder="1" applyAlignment="1">
      <alignment horizontal="right"/>
    </xf>
    <xf numFmtId="174" fontId="61" fillId="0" borderId="24" xfId="0" applyNumberFormat="1" applyFont="1" applyFill="1" applyBorder="1" applyAlignment="1">
      <alignment horizontal="right"/>
    </xf>
    <xf numFmtId="174" fontId="59" fillId="0" borderId="7" xfId="0" applyNumberFormat="1" applyFont="1" applyFill="1" applyBorder="1" applyAlignment="1">
      <alignment horizontal="right"/>
    </xf>
    <xf numFmtId="168" fontId="11" fillId="0" borderId="24" xfId="0" applyNumberFormat="1" applyFont="1" applyFill="1" applyBorder="1" applyAlignment="1">
      <alignment horizontal="right"/>
    </xf>
    <xf numFmtId="166" fontId="1" fillId="0" borderId="2" xfId="0" applyNumberFormat="1" applyFont="1" applyFill="1" applyBorder="1"/>
    <xf numFmtId="166" fontId="1" fillId="0" borderId="10" xfId="0" applyNumberFormat="1" applyFont="1" applyFill="1" applyBorder="1"/>
    <xf numFmtId="165" fontId="1" fillId="0" borderId="10" xfId="43" applyFont="1" applyFill="1" applyBorder="1" applyProtection="1"/>
    <xf numFmtId="41" fontId="83" fillId="0" borderId="0" xfId="0" applyNumberFormat="1" applyFont="1" applyFill="1" applyBorder="1" applyAlignment="1">
      <alignment horizontal="right"/>
    </xf>
    <xf numFmtId="166" fontId="83" fillId="0" borderId="0" xfId="0" applyNumberFormat="1" applyFont="1" applyFill="1" applyBorder="1" applyAlignment="1">
      <alignment horizontal="right"/>
    </xf>
    <xf numFmtId="166" fontId="83" fillId="0" borderId="2" xfId="0" applyNumberFormat="1" applyFont="1" applyFill="1" applyBorder="1" applyAlignment="1">
      <alignment horizontal="right"/>
    </xf>
    <xf numFmtId="165" fontId="83" fillId="0" borderId="0" xfId="43" applyFont="1" applyFill="1" applyBorder="1" applyAlignment="1">
      <alignment horizontal="right"/>
    </xf>
    <xf numFmtId="165" fontId="82" fillId="0" borderId="0" xfId="43" applyFont="1" applyFill="1" applyBorder="1" applyAlignment="1">
      <alignment horizontal="right"/>
    </xf>
    <xf numFmtId="172" fontId="82" fillId="0" borderId="0" xfId="0" applyNumberFormat="1" applyFont="1" applyFill="1" applyBorder="1"/>
    <xf numFmtId="172" fontId="1" fillId="0" borderId="0" xfId="0" applyNumberFormat="1" applyFont="1" applyBorder="1"/>
    <xf numFmtId="174" fontId="157" fillId="0" borderId="0" xfId="0" applyNumberFormat="1" applyFont="1" applyFill="1" applyBorder="1"/>
    <xf numFmtId="37" fontId="157" fillId="0" borderId="7" xfId="0" applyFont="1" applyFill="1" applyBorder="1" applyAlignment="1">
      <alignment horizontal="right"/>
    </xf>
    <xf numFmtId="37" fontId="157" fillId="0" borderId="7" xfId="0" applyNumberFormat="1" applyFont="1" applyFill="1" applyBorder="1" applyAlignment="1">
      <alignment horizontal="right"/>
    </xf>
    <xf numFmtId="174" fontId="158" fillId="0" borderId="0" xfId="0" applyNumberFormat="1" applyFont="1" applyFill="1" applyBorder="1" applyAlignment="1">
      <alignment horizontal="right"/>
    </xf>
    <xf numFmtId="165" fontId="158" fillId="0" borderId="3" xfId="43" applyFont="1" applyFill="1" applyBorder="1"/>
    <xf numFmtId="166" fontId="1" fillId="0" borderId="0" xfId="0" applyNumberFormat="1" applyFont="1" applyFill="1"/>
    <xf numFmtId="166" fontId="1" fillId="0" borderId="6" xfId="0" applyNumberFormat="1" applyFont="1" applyFill="1" applyBorder="1" applyAlignment="1">
      <alignment horizontal="right"/>
    </xf>
    <xf numFmtId="200" fontId="11" fillId="0" borderId="2" xfId="0" applyNumberFormat="1" applyFont="1" applyBorder="1"/>
    <xf numFmtId="165" fontId="160" fillId="0" borderId="0" xfId="43" applyFont="1" applyBorder="1"/>
    <xf numFmtId="166" fontId="161" fillId="0" borderId="0" xfId="0" applyNumberFormat="1" applyFont="1"/>
    <xf numFmtId="165" fontId="161" fillId="0" borderId="0" xfId="43" applyFont="1"/>
    <xf numFmtId="166" fontId="162" fillId="0" borderId="0" xfId="0" applyNumberFormat="1" applyFont="1"/>
    <xf numFmtId="166" fontId="162" fillId="0" borderId="7" xfId="0" applyNumberFormat="1" applyFont="1" applyBorder="1"/>
    <xf numFmtId="165" fontId="163" fillId="0" borderId="0" xfId="43" applyFont="1"/>
    <xf numFmtId="168" fontId="161" fillId="0" borderId="0" xfId="0" applyNumberFormat="1" applyFont="1" applyFill="1" applyBorder="1" applyAlignment="1">
      <alignment horizontal="right"/>
    </xf>
    <xf numFmtId="168" fontId="161" fillId="0" borderId="7" xfId="0" applyNumberFormat="1" applyFont="1" applyFill="1" applyBorder="1" applyAlignment="1">
      <alignment horizontal="right"/>
    </xf>
    <xf numFmtId="166" fontId="161" fillId="0" borderId="7" xfId="0" applyNumberFormat="1" applyFont="1" applyBorder="1"/>
    <xf numFmtId="37" fontId="0" fillId="0" borderId="7" xfId="0" applyBorder="1"/>
    <xf numFmtId="165" fontId="161" fillId="0" borderId="7" xfId="43" applyFont="1" applyBorder="1"/>
    <xf numFmtId="165" fontId="163" fillId="0" borderId="7" xfId="43" applyFont="1" applyBorder="1"/>
    <xf numFmtId="37" fontId="47" fillId="0" borderId="2" xfId="0" applyNumberFormat="1" applyFont="1" applyBorder="1"/>
    <xf numFmtId="37" fontId="104" fillId="0" borderId="14" xfId="0" applyNumberFormat="1" applyFont="1" applyFill="1" applyBorder="1"/>
    <xf numFmtId="37" fontId="164" fillId="0" borderId="0" xfId="0" applyNumberFormat="1" applyFont="1" applyFill="1" applyBorder="1"/>
    <xf numFmtId="166" fontId="161" fillId="0" borderId="10" xfId="0" applyNumberFormat="1" applyFont="1" applyBorder="1"/>
    <xf numFmtId="7" fontId="1" fillId="0" borderId="10" xfId="0" applyNumberFormat="1" applyFont="1" applyBorder="1"/>
    <xf numFmtId="7" fontId="161" fillId="0" borderId="10" xfId="0" applyNumberFormat="1" applyFont="1" applyBorder="1"/>
    <xf numFmtId="39" fontId="161" fillId="0" borderId="10" xfId="0" applyNumberFormat="1" applyFont="1" applyBorder="1"/>
    <xf numFmtId="37" fontId="161" fillId="0" borderId="10" xfId="0" applyFont="1" applyBorder="1"/>
    <xf numFmtId="193" fontId="162" fillId="0" borderId="10" xfId="0" applyNumberFormat="1" applyFont="1" applyBorder="1"/>
    <xf numFmtId="37" fontId="11" fillId="14" borderId="8" xfId="0" applyFont="1" applyFill="1" applyBorder="1"/>
    <xf numFmtId="7" fontId="11" fillId="14" borderId="9" xfId="0" applyNumberFormat="1" applyFont="1" applyFill="1" applyBorder="1"/>
    <xf numFmtId="165" fontId="11" fillId="14" borderId="14" xfId="43" applyFont="1" applyFill="1" applyBorder="1"/>
    <xf numFmtId="37" fontId="11" fillId="14" borderId="13" xfId="0" applyFont="1" applyFill="1" applyBorder="1" applyAlignment="1">
      <alignment horizontal="left" indent="1"/>
    </xf>
    <xf numFmtId="37" fontId="0" fillId="0" borderId="9" xfId="0" applyBorder="1"/>
    <xf numFmtId="37" fontId="0" fillId="0" borderId="14" xfId="0" applyBorder="1"/>
    <xf numFmtId="166" fontId="55" fillId="0" borderId="0" xfId="0" applyNumberFormat="1" applyFont="1" applyFill="1" applyBorder="1" applyAlignment="1">
      <alignment horizontal="right"/>
    </xf>
    <xf numFmtId="166" fontId="83" fillId="0" borderId="7" xfId="0" applyNumberFormat="1" applyFont="1" applyFill="1" applyBorder="1" applyAlignment="1">
      <alignment horizontal="right"/>
    </xf>
    <xf numFmtId="165" fontId="1" fillId="0" borderId="0" xfId="0" applyNumberFormat="1" applyFont="1" applyFill="1" applyBorder="1"/>
    <xf numFmtId="166" fontId="82" fillId="0" borderId="10" xfId="0" applyNumberFormat="1" applyFont="1" applyFill="1" applyBorder="1" applyAlignment="1">
      <alignment horizontal="right"/>
    </xf>
    <xf numFmtId="166" fontId="82" fillId="0" borderId="3" xfId="0" applyNumberFormat="1" applyFont="1" applyFill="1" applyBorder="1" applyAlignment="1">
      <alignment horizontal="right"/>
    </xf>
    <xf numFmtId="168" fontId="82" fillId="0" borderId="10" xfId="0" applyNumberFormat="1" applyFont="1" applyFill="1" applyBorder="1" applyAlignment="1">
      <alignment horizontal="right"/>
    </xf>
    <xf numFmtId="168" fontId="82" fillId="0" borderId="3" xfId="0" applyNumberFormat="1" applyFont="1" applyFill="1" applyBorder="1" applyAlignment="1">
      <alignment horizontal="right"/>
    </xf>
    <xf numFmtId="168" fontId="82" fillId="0" borderId="0" xfId="0" applyNumberFormat="1" applyFont="1" applyFill="1" applyBorder="1" applyAlignment="1">
      <alignment horizontal="right"/>
    </xf>
    <xf numFmtId="166" fontId="79" fillId="0" borderId="10" xfId="0" applyNumberFormat="1" applyFont="1" applyFill="1" applyBorder="1" applyAlignment="1">
      <alignment horizontal="right"/>
    </xf>
    <xf numFmtId="165" fontId="83" fillId="0" borderId="7" xfId="43" applyFont="1" applyFill="1" applyBorder="1" applyAlignment="1">
      <alignment horizontal="right"/>
    </xf>
    <xf numFmtId="165" fontId="82" fillId="0" borderId="7" xfId="43" applyFont="1" applyFill="1" applyBorder="1" applyAlignment="1">
      <alignment horizontal="right"/>
    </xf>
    <xf numFmtId="194" fontId="1" fillId="0" borderId="0" xfId="0" applyNumberFormat="1" applyFont="1" applyFill="1" applyBorder="1" applyAlignment="1">
      <alignment horizontal="left" indent="1"/>
    </xf>
    <xf numFmtId="194" fontId="1" fillId="0" borderId="0" xfId="0" applyNumberFormat="1" applyFont="1" applyFill="1" applyBorder="1"/>
    <xf numFmtId="194" fontId="1" fillId="0" borderId="10" xfId="0" applyNumberFormat="1" applyFont="1" applyFill="1" applyBorder="1" applyAlignment="1">
      <alignment horizontal="right"/>
    </xf>
    <xf numFmtId="191" fontId="1" fillId="0" borderId="0" xfId="0" applyNumberFormat="1" applyFont="1" applyFill="1" applyBorder="1" applyAlignment="1">
      <alignment horizontal="left" indent="1"/>
    </xf>
    <xf numFmtId="191" fontId="1" fillId="0" borderId="0" xfId="0" applyNumberFormat="1" applyFont="1" applyFill="1" applyBorder="1"/>
    <xf numFmtId="191" fontId="1" fillId="0" borderId="10" xfId="0" applyNumberFormat="1" applyFont="1" applyFill="1" applyBorder="1" applyAlignment="1">
      <alignment horizontal="right"/>
    </xf>
    <xf numFmtId="168" fontId="164" fillId="0" borderId="0" xfId="0" applyNumberFormat="1" applyFont="1" applyFill="1" applyBorder="1" applyAlignment="1">
      <alignment horizontal="right"/>
    </xf>
    <xf numFmtId="168" fontId="165" fillId="0" borderId="0" xfId="0" applyNumberFormat="1" applyFont="1" applyFill="1" applyBorder="1" applyAlignment="1">
      <alignment horizontal="right"/>
    </xf>
    <xf numFmtId="166" fontId="161" fillId="0" borderId="7" xfId="0" applyNumberFormat="1" applyFont="1" applyFill="1" applyBorder="1" applyAlignment="1">
      <alignment horizontal="right"/>
    </xf>
    <xf numFmtId="166" fontId="164" fillId="0" borderId="0" xfId="0" applyNumberFormat="1" applyFont="1" applyFill="1" applyBorder="1" applyAlignment="1">
      <alignment horizontal="right"/>
    </xf>
    <xf numFmtId="166" fontId="165" fillId="0" borderId="0" xfId="0" applyNumberFormat="1" applyFont="1" applyFill="1" applyBorder="1" applyAlignment="1">
      <alignment horizontal="right"/>
    </xf>
    <xf numFmtId="174" fontId="161" fillId="0" borderId="0" xfId="0" applyNumberFormat="1" applyFont="1" applyFill="1" applyBorder="1"/>
    <xf numFmtId="174" fontId="162" fillId="0" borderId="0" xfId="0" applyNumberFormat="1" applyFont="1" applyFill="1" applyBorder="1"/>
    <xf numFmtId="37" fontId="0" fillId="0" borderId="7" xfId="0" applyBorder="1" applyAlignment="1">
      <alignment horizontal="center" wrapText="1"/>
    </xf>
    <xf numFmtId="174" fontId="164" fillId="0" borderId="0" xfId="0" applyNumberFormat="1" applyFont="1" applyFill="1" applyBorder="1"/>
    <xf numFmtId="166" fontId="164" fillId="0" borderId="0" xfId="0" applyNumberFormat="1" applyFont="1"/>
    <xf numFmtId="166" fontId="165" fillId="0" borderId="7" xfId="0" applyNumberFormat="1" applyFont="1" applyBorder="1"/>
    <xf numFmtId="174" fontId="166" fillId="0" borderId="7" xfId="0" applyNumberFormat="1" applyFont="1" applyFill="1" applyBorder="1"/>
    <xf numFmtId="174" fontId="166" fillId="0" borderId="0" xfId="0" applyNumberFormat="1" applyFont="1" applyFill="1" applyBorder="1"/>
    <xf numFmtId="174" fontId="166" fillId="0" borderId="0" xfId="0" applyNumberFormat="1" applyFont="1" applyFill="1" applyBorder="1" applyAlignment="1">
      <alignment horizontal="right"/>
    </xf>
    <xf numFmtId="168" fontId="167" fillId="5" borderId="4" xfId="0" applyNumberFormat="1" applyFont="1" applyFill="1" applyBorder="1"/>
    <xf numFmtId="185" fontId="1" fillId="0" borderId="0" xfId="0" applyNumberFormat="1" applyFont="1"/>
    <xf numFmtId="37" fontId="161" fillId="0" borderId="10" xfId="0" applyFont="1" applyFill="1" applyBorder="1"/>
    <xf numFmtId="193" fontId="11" fillId="0" borderId="9" xfId="0" applyNumberFormat="1" applyFont="1" applyBorder="1"/>
    <xf numFmtId="193" fontId="11" fillId="0" borderId="14" xfId="0" applyNumberFormat="1" applyFont="1" applyBorder="1"/>
    <xf numFmtId="166" fontId="161" fillId="0" borderId="0" xfId="0" applyNumberFormat="1" applyFont="1" applyBorder="1" applyAlignment="1"/>
    <xf numFmtId="193" fontId="11" fillId="0" borderId="10" xfId="0" applyNumberFormat="1" applyFont="1" applyBorder="1"/>
    <xf numFmtId="201" fontId="9" fillId="0" borderId="0" xfId="43" applyNumberFormat="1" applyFont="1" applyFill="1" applyBorder="1" applyAlignment="1">
      <alignment horizontal="right"/>
    </xf>
    <xf numFmtId="165" fontId="9" fillId="0" borderId="2" xfId="0" applyNumberFormat="1" applyFont="1" applyBorder="1"/>
    <xf numFmtId="174" fontId="47" fillId="0" borderId="2" xfId="0" applyNumberFormat="1" applyFont="1" applyBorder="1"/>
    <xf numFmtId="174" fontId="47" fillId="0" borderId="2" xfId="0" applyNumberFormat="1" applyFont="1" applyFill="1" applyBorder="1"/>
    <xf numFmtId="177" fontId="9" fillId="0" borderId="6" xfId="0" applyNumberFormat="1" applyFont="1" applyFill="1" applyBorder="1"/>
    <xf numFmtId="186" fontId="9" fillId="0" borderId="2" xfId="0" applyNumberFormat="1" applyFont="1" applyFill="1" applyBorder="1"/>
    <xf numFmtId="174" fontId="9" fillId="0" borderId="13" xfId="0" applyNumberFormat="1" applyFont="1" applyFill="1" applyBorder="1"/>
    <xf numFmtId="174" fontId="9" fillId="0" borderId="14" xfId="0" applyNumberFormat="1" applyFont="1" applyFill="1" applyBorder="1"/>
    <xf numFmtId="168" fontId="167" fillId="5" borderId="18" xfId="0" applyNumberFormat="1" applyFont="1" applyFill="1" applyBorder="1" applyAlignment="1">
      <alignment horizontal="right"/>
    </xf>
    <xf numFmtId="37" fontId="0" fillId="0" borderId="0" xfId="0"/>
    <xf numFmtId="165" fontId="1" fillId="0" borderId="3" xfId="43" applyFont="1" applyFill="1" applyBorder="1"/>
    <xf numFmtId="165" fontId="161" fillId="0" borderId="3" xfId="43" applyFont="1" applyFill="1" applyBorder="1"/>
    <xf numFmtId="165" fontId="165" fillId="0" borderId="0" xfId="43" applyFont="1" applyFill="1" applyBorder="1"/>
    <xf numFmtId="165" fontId="165" fillId="0" borderId="7" xfId="43" applyFont="1" applyFill="1" applyBorder="1"/>
    <xf numFmtId="168" fontId="1" fillId="0" borderId="0" xfId="43" applyNumberFormat="1" applyFont="1" applyFill="1" applyBorder="1"/>
    <xf numFmtId="166" fontId="161" fillId="0" borderId="10" xfId="0" applyNumberFormat="1" applyFont="1" applyFill="1" applyBorder="1" applyAlignment="1">
      <alignment horizontal="right"/>
    </xf>
    <xf numFmtId="166" fontId="161" fillId="0" borderId="0" xfId="0" applyNumberFormat="1" applyFont="1" applyFill="1" applyBorder="1" applyAlignment="1">
      <alignment horizontal="right"/>
    </xf>
    <xf numFmtId="37" fontId="161" fillId="0" borderId="0" xfId="0" applyNumberFormat="1" applyFont="1" applyFill="1" applyBorder="1" applyAlignment="1">
      <alignment horizontal="right"/>
    </xf>
    <xf numFmtId="202" fontId="1" fillId="0" borderId="0" xfId="0" applyNumberFormat="1" applyFont="1" applyFill="1" applyBorder="1" applyAlignment="1">
      <alignment horizontal="right"/>
    </xf>
    <xf numFmtId="174" fontId="165" fillId="0" borderId="0" xfId="0" applyNumberFormat="1" applyFont="1" applyFill="1" applyBorder="1" applyAlignment="1">
      <alignment horizontal="right"/>
    </xf>
    <xf numFmtId="166" fontId="165" fillId="0" borderId="7" xfId="0" applyNumberFormat="1" applyFont="1" applyFill="1" applyBorder="1" applyAlignment="1">
      <alignment horizontal="right"/>
    </xf>
    <xf numFmtId="166" fontId="161" fillId="0" borderId="0" xfId="0" applyNumberFormat="1" applyFont="1" applyFill="1"/>
    <xf numFmtId="37" fontId="161" fillId="0" borderId="10" xfId="0" applyNumberFormat="1" applyFont="1" applyFill="1" applyBorder="1"/>
    <xf numFmtId="174" fontId="161" fillId="0" borderId="7" xfId="0" applyNumberFormat="1" applyFont="1" applyFill="1" applyBorder="1"/>
    <xf numFmtId="5" fontId="1" fillId="0" borderId="14" xfId="0" applyNumberFormat="1" applyFont="1" applyBorder="1"/>
    <xf numFmtId="165" fontId="161" fillId="0" borderId="10" xfId="43" applyFont="1" applyBorder="1"/>
    <xf numFmtId="165" fontId="1" fillId="0" borderId="10" xfId="43" applyFont="1" applyBorder="1" applyAlignment="1">
      <alignment horizontal="right"/>
    </xf>
    <xf numFmtId="37" fontId="1" fillId="0" borderId="3" xfId="0" quotePrefix="1" applyFont="1" applyBorder="1"/>
    <xf numFmtId="37" fontId="1" fillId="0" borderId="24" xfId="0" applyFont="1" applyBorder="1" applyAlignment="1">
      <alignment horizontal="right"/>
    </xf>
    <xf numFmtId="37" fontId="48" fillId="0" borderId="7" xfId="0" applyFont="1" applyBorder="1" applyAlignment="1">
      <alignment horizontal="right"/>
    </xf>
    <xf numFmtId="165" fontId="1" fillId="0" borderId="7" xfId="43" applyFont="1" applyBorder="1"/>
    <xf numFmtId="0" fontId="1" fillId="0" borderId="24" xfId="0" applyNumberFormat="1" applyFont="1" applyBorder="1" applyAlignment="1">
      <alignment horizontal="right"/>
    </xf>
    <xf numFmtId="168" fontId="1" fillId="15" borderId="0" xfId="0" applyNumberFormat="1" applyFont="1" applyFill="1" applyBorder="1" applyAlignment="1">
      <alignment horizontal="right"/>
    </xf>
    <xf numFmtId="168" fontId="1" fillId="15" borderId="7" xfId="0" applyNumberFormat="1" applyFont="1" applyFill="1" applyBorder="1" applyAlignment="1">
      <alignment horizontal="right"/>
    </xf>
    <xf numFmtId="166" fontId="1" fillId="15" borderId="0" xfId="0" applyNumberFormat="1" applyFont="1" applyFill="1" applyBorder="1" applyAlignment="1">
      <alignment horizontal="right"/>
    </xf>
    <xf numFmtId="166" fontId="1" fillId="15" borderId="7" xfId="0" applyNumberFormat="1" applyFont="1" applyFill="1" applyBorder="1" applyAlignment="1">
      <alignment horizontal="right"/>
    </xf>
    <xf numFmtId="166" fontId="83" fillId="15" borderId="0" xfId="0" applyNumberFormat="1" applyFont="1" applyFill="1" applyBorder="1" applyAlignment="1">
      <alignment horizontal="right"/>
    </xf>
    <xf numFmtId="166" fontId="141" fillId="15" borderId="7" xfId="0" applyNumberFormat="1" applyFont="1" applyFill="1" applyBorder="1" applyAlignment="1">
      <alignment horizontal="right"/>
    </xf>
    <xf numFmtId="41" fontId="83" fillId="15" borderId="0" xfId="0" applyNumberFormat="1" applyFont="1" applyFill="1" applyBorder="1" applyAlignment="1">
      <alignment horizontal="right"/>
    </xf>
    <xf numFmtId="166" fontId="141" fillId="0" borderId="14" xfId="0" applyNumberFormat="1" applyFont="1" applyFill="1" applyBorder="1" applyAlignment="1">
      <alignment horizontal="right"/>
    </xf>
    <xf numFmtId="166" fontId="11" fillId="0" borderId="2" xfId="0" applyNumberFormat="1" applyFont="1" applyFill="1" applyBorder="1" applyAlignment="1">
      <alignment horizontal="right"/>
    </xf>
    <xf numFmtId="37" fontId="11" fillId="0" borderId="5" xfId="0" applyFont="1" applyBorder="1" applyAlignment="1">
      <alignment horizontal="center" wrapText="1"/>
    </xf>
    <xf numFmtId="37" fontId="0" fillId="0" borderId="7" xfId="0" applyBorder="1" applyAlignment="1">
      <alignment horizontal="center" wrapText="1"/>
    </xf>
    <xf numFmtId="37" fontId="11" fillId="0" borderId="3" xfId="0" applyFont="1" applyBorder="1" applyAlignment="1">
      <alignment horizontal="right" vertical="center" wrapText="1"/>
    </xf>
    <xf numFmtId="37" fontId="38" fillId="0" borderId="3" xfId="0" applyFont="1" applyBorder="1" applyAlignment="1">
      <alignment horizontal="right" vertical="center"/>
    </xf>
    <xf numFmtId="37" fontId="38" fillId="0" borderId="13" xfId="0" applyFont="1" applyBorder="1" applyAlignment="1">
      <alignment horizontal="right" vertical="center"/>
    </xf>
    <xf numFmtId="37" fontId="11" fillId="0" borderId="8" xfId="0" applyFont="1" applyBorder="1" applyAlignment="1">
      <alignment horizontal="center"/>
    </xf>
    <xf numFmtId="37" fontId="11" fillId="0" borderId="9" xfId="0" applyFont="1" applyBorder="1" applyAlignment="1">
      <alignment horizontal="center"/>
    </xf>
    <xf numFmtId="37" fontId="9" fillId="0" borderId="0" xfId="0" applyFont="1" applyBorder="1" applyAlignment="1">
      <alignment horizontal="center"/>
    </xf>
    <xf numFmtId="37" fontId="9" fillId="0" borderId="8" xfId="0" applyFont="1" applyBorder="1" applyAlignment="1">
      <alignment horizontal="center"/>
    </xf>
    <xf numFmtId="37" fontId="9" fillId="0" borderId="4" xfId="0" applyFont="1" applyBorder="1" applyAlignment="1">
      <alignment horizontal="center"/>
    </xf>
    <xf numFmtId="37" fontId="9" fillId="0" borderId="9" xfId="0" applyFont="1" applyBorder="1" applyAlignment="1">
      <alignment horizontal="center"/>
    </xf>
    <xf numFmtId="37" fontId="9" fillId="0" borderId="3" xfId="0" applyFont="1" applyBorder="1" applyAlignment="1">
      <alignment horizontal="center"/>
    </xf>
    <xf numFmtId="37" fontId="9" fillId="0" borderId="15" xfId="0" applyFont="1" applyBorder="1" applyAlignment="1">
      <alignment horizontal="center"/>
    </xf>
    <xf numFmtId="37" fontId="9" fillId="0" borderId="16" xfId="0" applyFont="1" applyBorder="1" applyAlignment="1">
      <alignment horizontal="center"/>
    </xf>
    <xf numFmtId="37" fontId="9" fillId="0" borderId="10" xfId="0" applyFont="1" applyBorder="1" applyAlignment="1">
      <alignment horizontal="center"/>
    </xf>
    <xf numFmtId="37" fontId="46" fillId="7" borderId="0" xfId="0" applyFont="1" applyFill="1" applyAlignment="1">
      <alignment horizontal="left" wrapText="1"/>
    </xf>
    <xf numFmtId="37" fontId="45" fillId="7" borderId="0" xfId="0" applyFont="1" applyFill="1" applyAlignment="1">
      <alignment horizontal="left" wrapText="1"/>
    </xf>
    <xf numFmtId="37" fontId="8" fillId="0" borderId="0" xfId="0" applyFont="1" applyAlignment="1">
      <alignment horizontal="center"/>
    </xf>
    <xf numFmtId="37" fontId="48" fillId="0" borderId="4" xfId="0" applyFont="1" applyFill="1" applyBorder="1" applyAlignment="1">
      <alignment horizontal="center"/>
    </xf>
    <xf numFmtId="37" fontId="48" fillId="0" borderId="9" xfId="0" applyFont="1" applyFill="1" applyBorder="1" applyAlignment="1">
      <alignment horizontal="center"/>
    </xf>
    <xf numFmtId="0" fontId="41" fillId="8" borderId="0" xfId="39" applyFont="1" applyFill="1" applyAlignment="1">
      <alignment horizontal="right" vertical="center"/>
    </xf>
    <xf numFmtId="0" fontId="63" fillId="5" borderId="0" xfId="24" applyFont="1" applyFill="1" applyAlignment="1" applyProtection="1">
      <alignment horizontal="center"/>
    </xf>
    <xf numFmtId="0" fontId="1" fillId="0" borderId="0" xfId="28"/>
    <xf numFmtId="0" fontId="1" fillId="16" borderId="0" xfId="55" applyFont="1" applyFill="1" applyAlignment="1">
      <alignment vertical="top"/>
    </xf>
    <xf numFmtId="0" fontId="1" fillId="16" borderId="0" xfId="28" applyFill="1" applyAlignment="1">
      <alignment vertical="top"/>
    </xf>
    <xf numFmtId="0" fontId="1" fillId="16" borderId="0" xfId="28" applyFill="1"/>
    <xf numFmtId="0" fontId="169" fillId="16" borderId="0" xfId="55" applyFont="1" applyFill="1" applyAlignment="1">
      <alignment horizontal="left" vertical="top"/>
    </xf>
    <xf numFmtId="0" fontId="1" fillId="16" borderId="0" xfId="28" applyFont="1" applyFill="1" applyAlignment="1">
      <alignment vertical="top"/>
    </xf>
    <xf numFmtId="0" fontId="51" fillId="16" borderId="0" xfId="55" applyFont="1" applyFill="1" applyAlignment="1">
      <alignment vertical="top"/>
    </xf>
    <xf numFmtId="37" fontId="0" fillId="16" borderId="0" xfId="0" applyFill="1" applyAlignment="1">
      <alignment vertical="top"/>
    </xf>
    <xf numFmtId="37" fontId="170" fillId="16" borderId="0" xfId="0" applyFont="1" applyFill="1" applyAlignment="1">
      <alignment vertical="top"/>
    </xf>
    <xf numFmtId="37" fontId="171" fillId="16" borderId="0" xfId="0" applyFont="1" applyFill="1" applyAlignment="1">
      <alignment vertical="top"/>
    </xf>
    <xf numFmtId="37" fontId="171" fillId="16" borderId="0" xfId="0" applyFont="1" applyFill="1" applyAlignment="1">
      <alignment vertical="top"/>
    </xf>
    <xf numFmtId="37" fontId="170" fillId="16" borderId="0" xfId="0" applyFont="1" applyFill="1" applyAlignment="1">
      <alignment vertical="top"/>
    </xf>
    <xf numFmtId="37" fontId="0" fillId="16" borderId="0" xfId="0" applyFill="1" applyAlignment="1">
      <alignment vertical="top"/>
    </xf>
    <xf numFmtId="37" fontId="0" fillId="16" borderId="57" xfId="0" applyFill="1" applyBorder="1" applyAlignment="1">
      <alignment vertical="top"/>
    </xf>
    <xf numFmtId="37" fontId="170" fillId="16" borderId="53" xfId="0" applyFont="1" applyFill="1" applyBorder="1" applyAlignment="1">
      <alignment vertical="top"/>
    </xf>
    <xf numFmtId="37" fontId="170" fillId="16" borderId="54" xfId="0" applyFont="1" applyFill="1" applyBorder="1" applyAlignment="1">
      <alignment vertical="top"/>
    </xf>
    <xf numFmtId="37" fontId="170" fillId="16" borderId="55" xfId="0" applyFont="1" applyFill="1" applyBorder="1" applyAlignment="1">
      <alignment vertical="top"/>
    </xf>
    <xf numFmtId="37" fontId="170" fillId="16" borderId="56" xfId="0" applyFont="1" applyFill="1" applyBorder="1" applyAlignment="1">
      <alignment vertical="top"/>
    </xf>
    <xf numFmtId="37" fontId="0" fillId="16" borderId="58" xfId="0" applyFill="1" applyBorder="1" applyAlignment="1">
      <alignment vertical="top"/>
    </xf>
    <xf numFmtId="2" fontId="1" fillId="0" borderId="0" xfId="28" applyNumberFormat="1" applyAlignment="1">
      <alignment horizontal="left"/>
    </xf>
    <xf numFmtId="0" fontId="1" fillId="0" borderId="0" xfId="28" applyNumberFormat="1" applyAlignment="1">
      <alignment horizontal="left"/>
    </xf>
    <xf numFmtId="1" fontId="1" fillId="0" borderId="0" xfId="28" applyNumberFormat="1" applyAlignment="1">
      <alignment horizontal="left"/>
    </xf>
    <xf numFmtId="0" fontId="1" fillId="0" borderId="0" xfId="28" applyFont="1"/>
    <xf numFmtId="208" fontId="1" fillId="0" borderId="0" xfId="28" applyNumberFormat="1" applyAlignment="1">
      <alignment horizontal="left"/>
    </xf>
    <xf numFmtId="49" fontId="1" fillId="0" borderId="0" xfId="28" applyNumberFormat="1"/>
  </cellXfs>
  <cellStyles count="56">
    <cellStyle name="_SUMMARY " xfId="1"/>
    <cellStyle name="_SUMMARY _RRST1" xfId="2"/>
    <cellStyle name="_SUMMARY _RRST1_1" xfId="3"/>
    <cellStyle name="0_Capex &amp; Depreciation " xfId="4"/>
    <cellStyle name="0_Capex &amp; Depreciation _RRST1" xfId="5"/>
    <cellStyle name="0_Capex &amp; Depreciation _RRST1_1" xfId="6"/>
    <cellStyle name="0_Valuing BP " xfId="7"/>
    <cellStyle name="0_Valuing BP _RRST1" xfId="8"/>
    <cellStyle name="0_Valuing BP _RRST1_1" xfId="9"/>
    <cellStyle name="c_HardInc " xfId="10"/>
    <cellStyle name="c_HardInc _RRST1" xfId="11"/>
    <cellStyle name="c_HardInc _RRST1_1" xfId="12"/>
    <cellStyle name="Comma" xfId="13" builtinId="3"/>
    <cellStyle name="Currency" xfId="14" builtinId="4"/>
    <cellStyle name="Currency 2" xfId="15"/>
    <cellStyle name="Currency 3" xfId="16"/>
    <cellStyle name="Currency 4" xfId="17"/>
    <cellStyle name="Currency 5" xfId="18"/>
    <cellStyle name="Fail" xfId="19"/>
    <cellStyle name="FiscalPeriod" xfId="20"/>
    <cellStyle name="Hidden" xfId="21"/>
    <cellStyle name="Hyperlink" xfId="22" builtinId="8"/>
    <cellStyle name="Hyperlink_Chart template master" xfId="23"/>
    <cellStyle name="Hyperlink_SmartChart_R4000" xfId="24"/>
    <cellStyle name="MetricLabel" xfId="25"/>
    <cellStyle name="MetricLabelBlue" xfId="26"/>
    <cellStyle name="MetricValue" xfId="27"/>
    <cellStyle name="Normal" xfId="0" builtinId="0"/>
    <cellStyle name="Normal 2" xfId="28"/>
    <cellStyle name="Normal 3" xfId="29"/>
    <cellStyle name="Normal 4" xfId="30"/>
    <cellStyle name="Normal 5" xfId="31"/>
    <cellStyle name="Normal 6" xfId="32"/>
    <cellStyle name="Normal_DisclaimerSheet Samples" xfId="55"/>
    <cellStyle name="Normal_example_Model Summary Template" xfId="33"/>
    <cellStyle name="Normal_Exhibits" xfId="34"/>
    <cellStyle name="Normal_MAR WIP" xfId="35"/>
    <cellStyle name="Normal_OHIO 2" xfId="36"/>
    <cellStyle name="Normal_Quick StarBand DCF-Base Case" xfId="37"/>
    <cellStyle name="Normal_s dakota" xfId="38"/>
    <cellStyle name="Normal_SmartChart_R4000" xfId="39"/>
    <cellStyle name="Normal_Unemployment" xfId="40"/>
    <cellStyle name="p " xfId="41"/>
    <cellStyle name="Pass" xfId="42"/>
    <cellStyle name="Percent" xfId="43" builtinId="5"/>
    <cellStyle name="Percent 2" xfId="44"/>
    <cellStyle name="Percent_MAR WIP" xfId="45"/>
    <cellStyle name="RRSInstruction" xfId="46"/>
    <cellStyle name="RRSInstruction 2" xfId="47"/>
    <cellStyle name="s_HardInc " xfId="48"/>
    <cellStyle name="s_HardInc _RRST1" xfId="49"/>
    <cellStyle name="s_HardInc _RRST1_1" xfId="50"/>
    <cellStyle name="s_Valuation " xfId="51"/>
    <cellStyle name="s_Valuation _RRST1" xfId="52"/>
    <cellStyle name="s_Valuation _RRST1_1" xfId="53"/>
    <cellStyle name="ssp " xfId="54"/>
  </cellStyles>
  <dxfs count="0"/>
  <tableStyles count="0" defaultTableStyle="TableStyleMedium9" defaultPivotStyle="PivotStyleLight16"/>
  <colors>
    <mruColors>
      <color rgb="FF0000FF"/>
      <color rgb="FF008000"/>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theme/theme1.xml" Type="http://schemas.openxmlformats.org/officeDocument/2006/relationships/theme"/>
<Relationship Id="rId33" Target="styles.xml" Type="http://schemas.openxmlformats.org/officeDocument/2006/relationships/styles"/>
<Relationship Id="rId34" Target="sharedStrings.xml" Type="http://schemas.openxmlformats.org/officeDocument/2006/relationships/sharedStrings"/>
<Relationship Id="rId35" Target="calcChain.xml" Type="http://schemas.openxmlformats.org/officeDocument/2006/relationships/calcChain"/>
<Relationship Id="rId36" Target="../customXml/item1.xml" Type="http://schemas.openxmlformats.org/officeDocument/2006/relationships/customXml"/>
<Relationship Id="rId37" Target="../customXml/item2.xml" Type="http://schemas.openxmlformats.org/officeDocument/2006/relationships/customXml"/>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_rels/chart1.xml.rels><?xml version="1.0" encoding="UTF-8" standalone="yes"?>
<Relationships xmlns="http://schemas.openxmlformats.org/package/2006/relationships">
<Relationship Id="rId1" Target="../drawings/drawing3.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94949163809054"/>
          <c:y val="5.3835181381868567E-2"/>
          <c:w val="0.81278837243461943"/>
          <c:h val="0.72413855279411488"/>
        </c:manualLayout>
      </c:layout>
      <c:barChart>
        <c:barDir val="col"/>
        <c:grouping val="clustered"/>
        <c:varyColors val="0"/>
        <c:ser>
          <c:idx val="0"/>
          <c:order val="0"/>
          <c:tx>
            <c:strRef>
              <c:f>'Exhibits 3'!$K$14</c:f>
              <c:strCache>
                <c:ptCount val="1"/>
                <c:pt idx="0">
                  <c:v>Forecasted</c:v>
                </c:pt>
              </c:strCache>
            </c:strRef>
          </c:tx>
          <c:spPr>
            <a:solidFill>
              <a:srgbClr val="137CB1"/>
            </a:solidFill>
            <a:ln w="25400">
              <a:noFill/>
            </a:ln>
          </c:spPr>
          <c:invertIfNegative val="0"/>
          <c:dLbls>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3'!$J$15:$J$21</c:f>
              <c:strCache>
                <c:ptCount val="7"/>
                <c:pt idx="0">
                  <c:v>Cincinnati</c:v>
                </c:pt>
                <c:pt idx="1">
                  <c:v>Cleveland</c:v>
                </c:pt>
                <c:pt idx="2">
                  <c:v>Columbus</c:v>
                </c:pt>
                <c:pt idx="3">
                  <c:v>Toledo</c:v>
                </c:pt>
                <c:pt idx="4">
                  <c:v>OH Racinos</c:v>
                </c:pt>
                <c:pt idx="5">
                  <c:v>Total Ohio</c:v>
                </c:pt>
                <c:pt idx="6">
                  <c:v>NJ Online Gaming</c:v>
                </c:pt>
              </c:strCache>
            </c:strRef>
          </c:cat>
          <c:val>
            <c:numRef>
              <c:f>'Exhibits 3'!$K$15:$K$21</c:f>
              <c:numCache>
                <c:formatCode>"$"#,##0_);\("$"#,##0\)</c:formatCode>
                <c:ptCount val="7"/>
                <c:pt idx="0">
                  <c:v>337.36821900000001</c:v>
                </c:pt>
                <c:pt idx="1">
                  <c:v>473.18982299999999</c:v>
                </c:pt>
                <c:pt idx="2">
                  <c:v>397.64481699999999</c:v>
                </c:pt>
                <c:pt idx="3">
                  <c:v>215.290706</c:v>
                </c:pt>
                <c:pt idx="4">
                  <c:v>1150</c:v>
                </c:pt>
                <c:pt idx="5">
                  <c:v>2275</c:v>
                </c:pt>
                <c:pt idx="6">
                  <c:v>1100</c:v>
                </c:pt>
              </c:numCache>
            </c:numRef>
          </c:val>
        </c:ser>
        <c:ser>
          <c:idx val="1"/>
          <c:order val="1"/>
          <c:tx>
            <c:strRef>
              <c:f>'Exhibits 3'!$L$14</c:f>
              <c:strCache>
                <c:ptCount val="1"/>
                <c:pt idx="0">
                  <c:v>2014 Actual</c:v>
                </c:pt>
              </c:strCache>
            </c:strRef>
          </c:tx>
          <c:spPr>
            <a:solidFill>
              <a:srgbClr val="EACC80"/>
            </a:solidFill>
            <a:ln w="25400">
              <a:noFill/>
            </a:ln>
          </c:spPr>
          <c:invertIfNegative val="0"/>
          <c:dLbls>
            <c:dLbl>
              <c:idx val="5"/>
              <c:layout>
                <c:manualLayout>
                  <c:x val="8.5728696621398311E-3"/>
                  <c:y val="3.4411280042557608E-17"/>
                </c:manualLayout>
              </c:layout>
              <c:dLblPos val="outEnd"/>
              <c:showLegendKey val="0"/>
              <c:showVal val="1"/>
              <c:showCatName val="0"/>
              <c:showSerName val="0"/>
              <c:showPercent val="0"/>
              <c:showBubbleSize val="0"/>
            </c:dLbl>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3'!$J$15:$J$21</c:f>
              <c:strCache>
                <c:ptCount val="7"/>
                <c:pt idx="0">
                  <c:v>Cincinnati</c:v>
                </c:pt>
                <c:pt idx="1">
                  <c:v>Cleveland</c:v>
                </c:pt>
                <c:pt idx="2">
                  <c:v>Columbus</c:v>
                </c:pt>
                <c:pt idx="3">
                  <c:v>Toledo</c:v>
                </c:pt>
                <c:pt idx="4">
                  <c:v>OH Racinos</c:v>
                </c:pt>
                <c:pt idx="5">
                  <c:v>Total Ohio</c:v>
                </c:pt>
                <c:pt idx="6">
                  <c:v>NJ Online Gaming</c:v>
                </c:pt>
              </c:strCache>
            </c:strRef>
          </c:cat>
          <c:val>
            <c:numRef>
              <c:f>'Exhibits 3'!$L$15:$L$21</c:f>
              <c:numCache>
                <c:formatCode>"$"#,##0_);\("$"#,##0\)</c:formatCode>
                <c:ptCount val="7"/>
                <c:pt idx="0">
                  <c:v>0</c:v>
                </c:pt>
                <c:pt idx="1">
                  <c:v>0</c:v>
                </c:pt>
                <c:pt idx="2">
                  <c:v>0</c:v>
                </c:pt>
                <c:pt idx="3">
                  <c:v>0</c:v>
                </c:pt>
                <c:pt idx="4">
                  <c:v>177.99751900000001</c:v>
                </c:pt>
                <c:pt idx="5">
                  <c:v>177.99751900000001</c:v>
                </c:pt>
                <c:pt idx="6">
                  <c:v>123</c:v>
                </c:pt>
              </c:numCache>
            </c:numRef>
          </c:val>
        </c:ser>
        <c:dLbls>
          <c:showLegendKey val="0"/>
          <c:showVal val="0"/>
          <c:showCatName val="0"/>
          <c:showSerName val="0"/>
          <c:showPercent val="0"/>
          <c:showBubbleSize val="0"/>
        </c:dLbls>
        <c:gapWidth val="60"/>
        <c:axId val="518599040"/>
        <c:axId val="518600576"/>
      </c:barChart>
      <c:catAx>
        <c:axId val="518599040"/>
        <c:scaling>
          <c:orientation val="minMax"/>
        </c:scaling>
        <c:delete val="0"/>
        <c:axPos val="b"/>
        <c:numFmt formatCode="#,##0_);\(#,##0\)" sourceLinked="1"/>
        <c:majorTickMark val="none"/>
        <c:minorTickMark val="none"/>
        <c:tickLblPos val="low"/>
        <c:spPr>
          <a:ln w="12700">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518600576"/>
        <c:crosses val="autoZero"/>
        <c:auto val="1"/>
        <c:lblAlgn val="ctr"/>
        <c:lblOffset val="100"/>
        <c:tickLblSkip val="1"/>
        <c:tickMarkSkip val="1"/>
        <c:noMultiLvlLbl val="0"/>
      </c:catAx>
      <c:valAx>
        <c:axId val="518600576"/>
        <c:scaling>
          <c:orientation val="minMax"/>
        </c:scaling>
        <c:delete val="0"/>
        <c:axPos val="l"/>
        <c:majorGridlines>
          <c:spPr>
            <a:ln w="12700">
              <a:solidFill>
                <a:srgbClr val="C0C0C0"/>
              </a:solidFill>
              <a:prstDash val="solid"/>
            </a:ln>
          </c:spPr>
        </c:majorGridlines>
        <c:numFmt formatCode="&quot;$&quot;#,##0_);\(&quot;$&quot;#,##0\)" sourceLinked="1"/>
        <c:majorTickMark val="none"/>
        <c:minorTickMark val="none"/>
        <c:tickLblPos val="nextTo"/>
        <c:spPr>
          <a:ln w="9525">
            <a:noFill/>
          </a:ln>
        </c:spPr>
        <c:txPr>
          <a:bodyPr rot="0" vert="horz"/>
          <a:lstStyle/>
          <a:p>
            <a:pPr>
              <a:defRPr sz="1200" b="0" i="0" u="none" strike="noStrike" baseline="0">
                <a:solidFill>
                  <a:srgbClr val="000000"/>
                </a:solidFill>
                <a:latin typeface="Arial"/>
                <a:ea typeface="Arial"/>
                <a:cs typeface="Arial"/>
              </a:defRPr>
            </a:pPr>
            <a:endParaRPr lang="en-US"/>
          </a:p>
        </c:txPr>
        <c:crossAx val="518599040"/>
        <c:crosses val="autoZero"/>
        <c:crossBetween val="between"/>
      </c:valAx>
      <c:spPr>
        <a:noFill/>
        <a:ln w="25400">
          <a:noFill/>
        </a:ln>
      </c:spPr>
    </c:plotArea>
    <c:legend>
      <c:legendPos val="b"/>
      <c:layout/>
      <c:overlay val="0"/>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400" b="0" i="0" u="none" strike="noStrike" baseline="0">
          <a:solidFill>
            <a:srgbClr val="808080"/>
          </a:solidFill>
          <a:latin typeface="Arial"/>
          <a:ea typeface="Arial"/>
          <a:cs typeface="Arial"/>
        </a:defRPr>
      </a:pPr>
      <a:endParaRPr lang="en-US"/>
    </a:p>
  </c:txPr>
  <c:printSettings>
    <c:headerFooter/>
    <c:pageMargins b="0.75" l="0.7" r="0.7" t="0.75" header="0.3" footer="0.3"/>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272965879265"/>
          <c:y val="3.5960557013706616E-2"/>
          <c:w val="0.88548381452318459"/>
          <c:h val="0.7533140128317295"/>
        </c:manualLayout>
      </c:layout>
      <c:barChart>
        <c:barDir val="col"/>
        <c:grouping val="clustered"/>
        <c:varyColors val="0"/>
        <c:ser>
          <c:idx val="0"/>
          <c:order val="0"/>
          <c:spPr>
            <a:solidFill>
              <a:srgbClr val="137CB1"/>
            </a:solidFill>
            <a:ln w="25400">
              <a:noFill/>
            </a:ln>
          </c:spPr>
          <c:invertIfNegative val="0"/>
          <c:dLbls>
            <c:txPr>
              <a:bodyPr/>
              <a:lstStyle/>
              <a:p>
                <a:pPr>
                  <a:defRPr sz="8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3'!$AI$148:$AI$163</c:f>
              <c:strCache>
                <c:ptCount val="16"/>
                <c:pt idx="0">
                  <c:v>F2Q13</c:v>
                </c:pt>
                <c:pt idx="1">
                  <c:v>F3Q13</c:v>
                </c:pt>
                <c:pt idx="2">
                  <c:v>F4Q13</c:v>
                </c:pt>
                <c:pt idx="3">
                  <c:v>F1Q14</c:v>
                </c:pt>
                <c:pt idx="4">
                  <c:v>F2Q14</c:v>
                </c:pt>
                <c:pt idx="5">
                  <c:v>F3Q14</c:v>
                </c:pt>
                <c:pt idx="6">
                  <c:v>F4Q14</c:v>
                </c:pt>
                <c:pt idx="7">
                  <c:v>F1Q15</c:v>
                </c:pt>
                <c:pt idx="8">
                  <c:v>F2Q15</c:v>
                </c:pt>
                <c:pt idx="9">
                  <c:v>F3Q15</c:v>
                </c:pt>
                <c:pt idx="10">
                  <c:v>F4Q15</c:v>
                </c:pt>
                <c:pt idx="11">
                  <c:v>F1Q16</c:v>
                </c:pt>
                <c:pt idx="12">
                  <c:v>F2Q16</c:v>
                </c:pt>
                <c:pt idx="13">
                  <c:v>F3Q16</c:v>
                </c:pt>
                <c:pt idx="14">
                  <c:v>F4Q16</c:v>
                </c:pt>
                <c:pt idx="15">
                  <c:v>F1Q17</c:v>
                </c:pt>
              </c:strCache>
            </c:strRef>
          </c:cat>
          <c:val>
            <c:numRef>
              <c:f>'Exhibits 3'!$AJ$148:$AJ$163</c:f>
              <c:numCache>
                <c:formatCode>0.0%</c:formatCode>
                <c:ptCount val="16"/>
                <c:pt idx="0">
                  <c:v>4.0000000000000001E-3</c:v>
                </c:pt>
                <c:pt idx="1">
                  <c:v>1E-3</c:v>
                </c:pt>
                <c:pt idx="2">
                  <c:v>-1E-3</c:v>
                </c:pt>
                <c:pt idx="3">
                  <c:v>-1.7999999999999999E-2</c:v>
                </c:pt>
                <c:pt idx="4">
                  <c:v>-5.0000000000000001E-3</c:v>
                </c:pt>
                <c:pt idx="5">
                  <c:v>-4.0000000000000001E-3</c:v>
                </c:pt>
                <c:pt idx="6">
                  <c:v>-1.7000000000000001E-2</c:v>
                </c:pt>
                <c:pt idx="7">
                  <c:v>-1.4E-2</c:v>
                </c:pt>
                <c:pt idx="8">
                  <c:v>-1.0999999999999999E-2</c:v>
                </c:pt>
                <c:pt idx="9">
                  <c:v>-7.0000000000000001E-3</c:v>
                </c:pt>
                <c:pt idx="10">
                  <c:v>1.4E-2</c:v>
                </c:pt>
                <c:pt idx="11">
                  <c:v>0.01</c:v>
                </c:pt>
                <c:pt idx="12">
                  <c:v>1.2999999999999999E-2</c:v>
                </c:pt>
                <c:pt idx="13">
                  <c:v>1.7000000000000001E-2</c:v>
                </c:pt>
                <c:pt idx="14">
                  <c:v>7.0000000000000001E-3</c:v>
                </c:pt>
                <c:pt idx="15">
                  <c:v>1.4999999999999999E-2</c:v>
                </c:pt>
              </c:numCache>
            </c:numRef>
          </c:val>
        </c:ser>
        <c:dLbls>
          <c:showLegendKey val="0"/>
          <c:showVal val="0"/>
          <c:showCatName val="0"/>
          <c:showSerName val="0"/>
          <c:showPercent val="0"/>
          <c:showBubbleSize val="0"/>
        </c:dLbls>
        <c:gapWidth val="60"/>
        <c:axId val="581244800"/>
        <c:axId val="582455680"/>
      </c:barChart>
      <c:catAx>
        <c:axId val="581244800"/>
        <c:scaling>
          <c:orientation val="minMax"/>
        </c:scaling>
        <c:delete val="0"/>
        <c:axPos val="b"/>
        <c:numFmt formatCode="#,##0_);\(#,##0\)" sourceLinked="1"/>
        <c:majorTickMark val="none"/>
        <c:minorTickMark val="none"/>
        <c:tickLblPos val="low"/>
        <c:spPr>
          <a:ln w="12700">
            <a:solidFill>
              <a:srgbClr val="80808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82455680"/>
        <c:crosses val="autoZero"/>
        <c:auto val="1"/>
        <c:lblAlgn val="ctr"/>
        <c:lblOffset val="100"/>
        <c:tickLblSkip val="1"/>
        <c:tickMarkSkip val="1"/>
        <c:noMultiLvlLbl val="0"/>
      </c:catAx>
      <c:valAx>
        <c:axId val="582455680"/>
        <c:scaling>
          <c:orientation val="minMax"/>
          <c:max val="2.5000000000000005E-2"/>
        </c:scaling>
        <c:delete val="0"/>
        <c:axPos val="l"/>
        <c:majorGridlines>
          <c:spPr>
            <a:ln w="12700">
              <a:solidFill>
                <a:srgbClr val="C0C0C0"/>
              </a:solidFill>
              <a:prstDash val="solid"/>
            </a:ln>
          </c:spPr>
        </c:majorGridlines>
        <c:numFmt formatCode="0.0%" sourceLinked="0"/>
        <c:majorTickMark val="none"/>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581244800"/>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400" b="0" i="0" u="none" strike="noStrike" baseline="0">
          <a:solidFill>
            <a:srgbClr val="808080"/>
          </a:solidFill>
          <a:latin typeface="Arial"/>
          <a:ea typeface="Arial"/>
          <a:cs typeface="Arial"/>
        </a:defRPr>
      </a:pPr>
      <a:endParaRPr lang="en-US"/>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272965879265"/>
          <c:y val="3.5960557013706616E-2"/>
          <c:w val="0.88548381452318459"/>
          <c:h val="0.7533140128317295"/>
        </c:manualLayout>
      </c:layout>
      <c:barChart>
        <c:barDir val="col"/>
        <c:grouping val="clustered"/>
        <c:varyColors val="0"/>
        <c:ser>
          <c:idx val="0"/>
          <c:order val="0"/>
          <c:spPr>
            <a:solidFill>
              <a:srgbClr val="137CB1"/>
            </a:solidFill>
            <a:ln w="25400">
              <a:noFill/>
            </a:ln>
          </c:spPr>
          <c:invertIfNegative val="0"/>
          <c:dLbls>
            <c:txPr>
              <a:bodyPr/>
              <a:lstStyle/>
              <a:p>
                <a:pPr>
                  <a:defRPr sz="8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3'!$AX$170:$AX$186</c:f>
              <c:strCache>
                <c:ptCount val="17"/>
                <c:pt idx="0">
                  <c:v>F1Q12</c:v>
                </c:pt>
                <c:pt idx="1">
                  <c:v>F2Q12</c:v>
                </c:pt>
                <c:pt idx="2">
                  <c:v>F3Q12</c:v>
                </c:pt>
                <c:pt idx="3">
                  <c:v>F4Q12</c:v>
                </c:pt>
                <c:pt idx="4">
                  <c:v>F1Q13</c:v>
                </c:pt>
                <c:pt idx="5">
                  <c:v>F2Q13</c:v>
                </c:pt>
                <c:pt idx="6">
                  <c:v>F3Q13</c:v>
                </c:pt>
                <c:pt idx="7">
                  <c:v>F4Q13</c:v>
                </c:pt>
                <c:pt idx="8">
                  <c:v>F1Q14</c:v>
                </c:pt>
                <c:pt idx="9">
                  <c:v>F2Q14</c:v>
                </c:pt>
                <c:pt idx="10">
                  <c:v>F3Q14</c:v>
                </c:pt>
                <c:pt idx="11">
                  <c:v>F4Q14</c:v>
                </c:pt>
                <c:pt idx="12">
                  <c:v>F1Q15</c:v>
                </c:pt>
                <c:pt idx="13">
                  <c:v>F2Q15</c:v>
                </c:pt>
                <c:pt idx="14">
                  <c:v>F3Q15</c:v>
                </c:pt>
                <c:pt idx="15">
                  <c:v>F4Q15</c:v>
                </c:pt>
                <c:pt idx="16">
                  <c:v>F1Q16</c:v>
                </c:pt>
              </c:strCache>
            </c:strRef>
          </c:cat>
          <c:val>
            <c:numRef>
              <c:f>'Exhibits 3'!$AY$170:$AY$186</c:f>
              <c:numCache>
                <c:formatCode>0.0%</c:formatCode>
                <c:ptCount val="17"/>
                <c:pt idx="0">
                  <c:v>6.0000000000000001E-3</c:v>
                </c:pt>
                <c:pt idx="1">
                  <c:v>2.8999999999999998E-2</c:v>
                </c:pt>
                <c:pt idx="2">
                  <c:v>2.1000000000000001E-2</c:v>
                </c:pt>
                <c:pt idx="3">
                  <c:v>-3.0000000000000001E-3</c:v>
                </c:pt>
                <c:pt idx="4">
                  <c:v>3.4000000000000002E-2</c:v>
                </c:pt>
                <c:pt idx="5">
                  <c:v>7.8E-2</c:v>
                </c:pt>
                <c:pt idx="6">
                  <c:v>3.9E-2</c:v>
                </c:pt>
                <c:pt idx="7">
                  <c:v>0.04</c:v>
                </c:pt>
                <c:pt idx="8">
                  <c:v>2.7000000000000003E-2</c:v>
                </c:pt>
                <c:pt idx="9">
                  <c:v>4.7E-2</c:v>
                </c:pt>
                <c:pt idx="10">
                  <c:v>5.2000000000000005E-2</c:v>
                </c:pt>
                <c:pt idx="11">
                  <c:v>6.7000000000000004E-2</c:v>
                </c:pt>
                <c:pt idx="12">
                  <c:v>8.0000000000000002E-3</c:v>
                </c:pt>
                <c:pt idx="13">
                  <c:v>5.5999999999999994E-2</c:v>
                </c:pt>
                <c:pt idx="14">
                  <c:v>2.7999999999999997E-2</c:v>
                </c:pt>
                <c:pt idx="15">
                  <c:v>1E-3</c:v>
                </c:pt>
                <c:pt idx="16">
                  <c:v>4.2999999999999997E-2</c:v>
                </c:pt>
              </c:numCache>
            </c:numRef>
          </c:val>
        </c:ser>
        <c:dLbls>
          <c:showLegendKey val="0"/>
          <c:showVal val="0"/>
          <c:showCatName val="0"/>
          <c:showSerName val="0"/>
          <c:showPercent val="0"/>
          <c:showBubbleSize val="0"/>
        </c:dLbls>
        <c:gapWidth val="60"/>
        <c:axId val="632588544"/>
        <c:axId val="632803328"/>
      </c:barChart>
      <c:catAx>
        <c:axId val="632588544"/>
        <c:scaling>
          <c:orientation val="minMax"/>
        </c:scaling>
        <c:delete val="0"/>
        <c:axPos val="b"/>
        <c:numFmt formatCode="#,##0_);\(#,##0\)" sourceLinked="1"/>
        <c:majorTickMark val="none"/>
        <c:minorTickMark val="none"/>
        <c:tickLblPos val="low"/>
        <c:spPr>
          <a:ln w="12700">
            <a:solidFill>
              <a:srgbClr val="80808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32803328"/>
        <c:crosses val="autoZero"/>
        <c:auto val="1"/>
        <c:lblAlgn val="ctr"/>
        <c:lblOffset val="100"/>
        <c:tickLblSkip val="1"/>
        <c:tickMarkSkip val="1"/>
        <c:noMultiLvlLbl val="0"/>
      </c:catAx>
      <c:valAx>
        <c:axId val="632803328"/>
        <c:scaling>
          <c:orientation val="minMax"/>
          <c:max val="0.1"/>
          <c:min val="-2.0000000000000004E-2"/>
        </c:scaling>
        <c:delete val="0"/>
        <c:axPos val="l"/>
        <c:majorGridlines>
          <c:spPr>
            <a:ln w="12700">
              <a:solidFill>
                <a:srgbClr val="C0C0C0"/>
              </a:solidFill>
              <a:prstDash val="solid"/>
            </a:ln>
          </c:spPr>
        </c:majorGridlines>
        <c:numFmt formatCode="0.0%" sourceLinked="0"/>
        <c:majorTickMark val="none"/>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32588544"/>
        <c:crosses val="autoZero"/>
        <c:crossBetween val="between"/>
        <c:majorUnit val="2.0000000000000004E-2"/>
      </c:valAx>
      <c:spPr>
        <a:noFill/>
        <a:ln w="25400">
          <a:noFill/>
        </a:ln>
      </c:spPr>
    </c:plotArea>
    <c:plotVisOnly val="1"/>
    <c:dispBlanksAs val="gap"/>
    <c:showDLblsOverMax val="0"/>
  </c:chart>
  <c:spPr>
    <a:solidFill>
      <a:srgbClr val="FFFFFF"/>
    </a:solidFill>
    <a:ln w="9525">
      <a:noFill/>
    </a:ln>
  </c:spPr>
  <c:txPr>
    <a:bodyPr/>
    <a:lstStyle/>
    <a:p>
      <a:pPr>
        <a:defRPr sz="1400" b="0" i="0" u="none" strike="noStrike" baseline="0">
          <a:solidFill>
            <a:srgbClr val="808080"/>
          </a:solidFill>
          <a:latin typeface="Arial"/>
          <a:ea typeface="Arial"/>
          <a:cs typeface="Arial"/>
        </a:defRPr>
      </a:pPr>
      <a:endParaRPr lang="en-US"/>
    </a:p>
  </c:tx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'Exhibits 3'!$BN$218</c:f>
              <c:strCache>
                <c:ptCount val="1"/>
                <c:pt idx="0">
                  <c:v>BYD 2015 EBITDA Guidance Change</c:v>
                </c:pt>
              </c:strCache>
            </c:strRef>
          </c:tx>
          <c:invertIfNegative val="0"/>
          <c:cat>
            <c:strRef>
              <c:f>'Exhibits 3'!$BO$217:$BR$217</c:f>
              <c:strCache>
                <c:ptCount val="4"/>
                <c:pt idx="0">
                  <c:v>1Q15</c:v>
                </c:pt>
                <c:pt idx="1">
                  <c:v>2Q15</c:v>
                </c:pt>
                <c:pt idx="2">
                  <c:v>3Q15</c:v>
                </c:pt>
                <c:pt idx="3">
                  <c:v>4Q15</c:v>
                </c:pt>
              </c:strCache>
            </c:strRef>
          </c:cat>
          <c:val>
            <c:numRef>
              <c:f>'Exhibits 3'!$BO$218:$BR$218</c:f>
              <c:numCache>
                <c:formatCode>0%</c:formatCode>
                <c:ptCount val="4"/>
                <c:pt idx="0">
                  <c:v>0</c:v>
                </c:pt>
                <c:pt idx="1">
                  <c:v>0</c:v>
                </c:pt>
                <c:pt idx="2">
                  <c:v>0</c:v>
                </c:pt>
                <c:pt idx="3">
                  <c:v>0</c:v>
                </c:pt>
              </c:numCache>
            </c:numRef>
          </c:val>
        </c:ser>
        <c:ser>
          <c:idx val="1"/>
          <c:order val="1"/>
          <c:tx>
            <c:strRef>
              <c:f>'Exhibits 3'!$BN$219</c:f>
              <c:strCache>
                <c:ptCount val="1"/>
                <c:pt idx="0">
                  <c:v>BYD Stock Performance vs. S&amp;P</c:v>
                </c:pt>
              </c:strCache>
            </c:strRef>
          </c:tx>
          <c:spPr>
            <a:solidFill>
              <a:srgbClr val="FFC000"/>
            </a:solidFill>
          </c:spPr>
          <c:invertIfNegative val="0"/>
          <c:cat>
            <c:strRef>
              <c:f>'Exhibits 3'!$BO$217:$BR$217</c:f>
              <c:strCache>
                <c:ptCount val="4"/>
                <c:pt idx="0">
                  <c:v>1Q15</c:v>
                </c:pt>
                <c:pt idx="1">
                  <c:v>2Q15</c:v>
                </c:pt>
                <c:pt idx="2">
                  <c:v>3Q15</c:v>
                </c:pt>
                <c:pt idx="3">
                  <c:v>4Q15</c:v>
                </c:pt>
              </c:strCache>
            </c:strRef>
          </c:cat>
          <c:val>
            <c:numRef>
              <c:f>'Exhibits 3'!$BO$219:$BR$219</c:f>
              <c:numCache>
                <c:formatCode>0%</c:formatCode>
                <c:ptCount val="4"/>
                <c:pt idx="0">
                  <c:v>0</c:v>
                </c:pt>
                <c:pt idx="1">
                  <c:v>0</c:v>
                </c:pt>
                <c:pt idx="2">
                  <c:v>0</c:v>
                </c:pt>
                <c:pt idx="3">
                  <c:v>0</c:v>
                </c:pt>
              </c:numCache>
            </c:numRef>
          </c:val>
        </c:ser>
        <c:dLbls>
          <c:showLegendKey val="0"/>
          <c:showVal val="0"/>
          <c:showCatName val="0"/>
          <c:showSerName val="0"/>
          <c:showPercent val="0"/>
          <c:showBubbleSize val="0"/>
        </c:dLbls>
        <c:gapWidth val="150"/>
        <c:axId val="637713024"/>
        <c:axId val="640352640"/>
      </c:barChart>
      <c:catAx>
        <c:axId val="637713024"/>
        <c:scaling>
          <c:orientation val="minMax"/>
        </c:scaling>
        <c:delete val="0"/>
        <c:axPos val="b"/>
        <c:numFmt formatCode="#,##0_);\(#,##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0352640"/>
        <c:crosses val="autoZero"/>
        <c:auto val="1"/>
        <c:lblAlgn val="ctr"/>
        <c:lblOffset val="100"/>
        <c:noMultiLvlLbl val="0"/>
      </c:catAx>
      <c:valAx>
        <c:axId val="640352640"/>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37713024"/>
        <c:crosses val="autoZero"/>
        <c:crossBetween val="between"/>
      </c:valAx>
    </c:plotArea>
    <c:legend>
      <c:legendPos val="b"/>
      <c:layout/>
      <c:overlay val="0"/>
      <c:txPr>
        <a:bodyPr/>
        <a:lstStyle/>
        <a:p>
          <a:pPr>
            <a:defRPr sz="2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'Exhibits 3'!$BN$221</c:f>
              <c:strCache>
                <c:ptCount val="1"/>
                <c:pt idx="0">
                  <c:v>PENN 2015 EBITDA Guidance Change</c:v>
                </c:pt>
              </c:strCache>
            </c:strRef>
          </c:tx>
          <c:invertIfNegative val="0"/>
          <c:cat>
            <c:strRef>
              <c:f>'Exhibits 3'!$BO$217:$BR$217</c:f>
              <c:strCache>
                <c:ptCount val="4"/>
                <c:pt idx="0">
                  <c:v>1Q15</c:v>
                </c:pt>
                <c:pt idx="1">
                  <c:v>2Q15</c:v>
                </c:pt>
                <c:pt idx="2">
                  <c:v>3Q15</c:v>
                </c:pt>
                <c:pt idx="3">
                  <c:v>4Q15</c:v>
                </c:pt>
              </c:strCache>
            </c:strRef>
          </c:cat>
          <c:val>
            <c:numRef>
              <c:f>'Exhibits 3'!$BO$221:$BR$221</c:f>
              <c:numCache>
                <c:formatCode>0%</c:formatCode>
                <c:ptCount val="4"/>
                <c:pt idx="0">
                  <c:v>6.7585834009187273E-4</c:v>
                </c:pt>
                <c:pt idx="1">
                  <c:v>1.9181412940699749E-2</c:v>
                </c:pt>
                <c:pt idx="2">
                  <c:v>2.2001325381047154E-2</c:v>
                </c:pt>
                <c:pt idx="3">
                  <c:v>3.2068473609129823E-2</c:v>
                </c:pt>
              </c:numCache>
            </c:numRef>
          </c:val>
        </c:ser>
        <c:ser>
          <c:idx val="1"/>
          <c:order val="1"/>
          <c:tx>
            <c:strRef>
              <c:f>'Exhibits 3'!$BN$222</c:f>
              <c:strCache>
                <c:ptCount val="1"/>
                <c:pt idx="0">
                  <c:v>PENN Stock Performance vs. S&amp;P</c:v>
                </c:pt>
              </c:strCache>
            </c:strRef>
          </c:tx>
          <c:spPr>
            <a:solidFill>
              <a:srgbClr val="FFC000"/>
            </a:solidFill>
          </c:spPr>
          <c:invertIfNegative val="0"/>
          <c:cat>
            <c:strRef>
              <c:f>'Exhibits 3'!$BO$217:$BR$217</c:f>
              <c:strCache>
                <c:ptCount val="4"/>
                <c:pt idx="0">
                  <c:v>1Q15</c:v>
                </c:pt>
                <c:pt idx="1">
                  <c:v>2Q15</c:v>
                </c:pt>
                <c:pt idx="2">
                  <c:v>3Q15</c:v>
                </c:pt>
                <c:pt idx="3">
                  <c:v>4Q15</c:v>
                </c:pt>
              </c:strCache>
            </c:strRef>
          </c:cat>
          <c:val>
            <c:numRef>
              <c:f>'Exhibits 3'!$BO$222:$BR$222</c:f>
              <c:numCache>
                <c:formatCode>0%</c:formatCode>
                <c:ptCount val="4"/>
                <c:pt idx="0">
                  <c:v>0</c:v>
                </c:pt>
                <c:pt idx="1">
                  <c:v>0</c:v>
                </c:pt>
                <c:pt idx="2">
                  <c:v>0</c:v>
                </c:pt>
                <c:pt idx="3">
                  <c:v>0</c:v>
                </c:pt>
              </c:numCache>
            </c:numRef>
          </c:val>
        </c:ser>
        <c:dLbls>
          <c:showLegendKey val="0"/>
          <c:showVal val="0"/>
          <c:showCatName val="0"/>
          <c:showSerName val="0"/>
          <c:showPercent val="0"/>
          <c:showBubbleSize val="0"/>
        </c:dLbls>
        <c:gapWidth val="150"/>
        <c:axId val="216442368"/>
        <c:axId val="216443904"/>
      </c:barChart>
      <c:catAx>
        <c:axId val="216442368"/>
        <c:scaling>
          <c:orientation val="minMax"/>
        </c:scaling>
        <c:delete val="0"/>
        <c:axPos val="b"/>
        <c:numFmt formatCode="#,##0_);\(#,##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6443904"/>
        <c:crosses val="autoZero"/>
        <c:auto val="1"/>
        <c:lblAlgn val="ctr"/>
        <c:lblOffset val="100"/>
        <c:noMultiLvlLbl val="0"/>
      </c:catAx>
      <c:valAx>
        <c:axId val="216443904"/>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6442368"/>
        <c:crosses val="autoZero"/>
        <c:crossBetween val="between"/>
      </c:valAx>
    </c:plotArea>
    <c:legend>
      <c:legendPos val="b"/>
      <c:layout/>
      <c:overlay val="0"/>
      <c:txPr>
        <a:bodyPr/>
        <a:lstStyle/>
        <a:p>
          <a:pPr>
            <a:defRPr sz="2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PENN Same-store growth (ex-cannibalized properties)</c:v>
          </c:tx>
          <c:invertIfNegative val="0"/>
          <c:dLbls>
            <c:txPr>
              <a:bodyPr/>
              <a:lstStyle/>
              <a:p>
                <a:pPr>
                  <a:defRPr sz="7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3'!$CE$289:$CH$289,'Exhibits 3'!$CJ$289:$CL$289)</c:f>
              <c:strCache>
                <c:ptCount val="7"/>
                <c:pt idx="0">
                  <c:v>1Q15</c:v>
                </c:pt>
                <c:pt idx="1">
                  <c:v>2Q15</c:v>
                </c:pt>
                <c:pt idx="2">
                  <c:v>3Q15</c:v>
                </c:pt>
                <c:pt idx="3">
                  <c:v>4Q15</c:v>
                </c:pt>
                <c:pt idx="4">
                  <c:v>1Q16</c:v>
                </c:pt>
                <c:pt idx="5">
                  <c:v>2Q16</c:v>
                </c:pt>
                <c:pt idx="6">
                  <c:v>3Q16</c:v>
                </c:pt>
              </c:strCache>
            </c:strRef>
          </c:cat>
          <c:val>
            <c:numRef>
              <c:f>('Exhibits 3'!$CE$305:$CH$305,'Exhibits 3'!$CJ$305:$CL$305)</c:f>
              <c:numCache>
                <c:formatCode>0.0%</c:formatCode>
                <c:ptCount val="7"/>
                <c:pt idx="0">
                  <c:v>-1.0860251331134441E-2</c:v>
                </c:pt>
                <c:pt idx="1">
                  <c:v>5.1910794612293198E-3</c:v>
                </c:pt>
                <c:pt idx="2">
                  <c:v>-2.4715974090300907E-2</c:v>
                </c:pt>
                <c:pt idx="3">
                  <c:v>4.5255919719542348E-3</c:v>
                </c:pt>
                <c:pt idx="4">
                  <c:v>3.1817620665284263E-2</c:v>
                </c:pt>
                <c:pt idx="5">
                  <c:v>-1.5209947899793019E-2</c:v>
                </c:pt>
                <c:pt idx="6">
                  <c:v>-3.3020872673916735E-4</c:v>
                </c:pt>
              </c:numCache>
            </c:numRef>
          </c:val>
        </c:ser>
        <c:ser>
          <c:idx val="1"/>
          <c:order val="1"/>
          <c:tx>
            <c:v>Industry Same-Store GGR Growth</c:v>
          </c:tx>
          <c:spPr>
            <a:solidFill>
              <a:srgbClr val="FFC000"/>
            </a:solidFill>
          </c:spPr>
          <c:invertIfNegative val="0"/>
          <c:dLbls>
            <c:dLbl>
              <c:idx val="4"/>
              <c:layout>
                <c:manualLayout>
                  <c:x val="1.9444444444444445E-2"/>
                  <c:y val="4.6296296296296294E-3"/>
                </c:manualLayout>
              </c:layout>
              <c:dLblPos val="outEnd"/>
              <c:showLegendKey val="0"/>
              <c:showVal val="1"/>
              <c:showCatName val="0"/>
              <c:showSerName val="0"/>
              <c:showPercent val="0"/>
              <c:showBubbleSize val="0"/>
            </c:dLbl>
            <c:dLbl>
              <c:idx val="5"/>
              <c:layout>
                <c:manualLayout>
                  <c:x val="1.1111111111111112E-2"/>
                  <c:y val="0"/>
                </c:manualLayout>
              </c:layout>
              <c:dLblPos val="outEnd"/>
              <c:showLegendKey val="0"/>
              <c:showVal val="1"/>
              <c:showCatName val="0"/>
              <c:showSerName val="0"/>
              <c:showPercent val="0"/>
              <c:showBubbleSize val="0"/>
            </c:dLbl>
            <c:txPr>
              <a:bodyPr/>
              <a:lstStyle/>
              <a:p>
                <a:pPr>
                  <a:defRPr sz="7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3'!$CE$289:$CH$289,'Exhibits 3'!$CJ$289:$CL$289)</c:f>
              <c:strCache>
                <c:ptCount val="7"/>
                <c:pt idx="0">
                  <c:v>1Q15</c:v>
                </c:pt>
                <c:pt idx="1">
                  <c:v>2Q15</c:v>
                </c:pt>
                <c:pt idx="2">
                  <c:v>3Q15</c:v>
                </c:pt>
                <c:pt idx="3">
                  <c:v>4Q15</c:v>
                </c:pt>
                <c:pt idx="4">
                  <c:v>1Q16</c:v>
                </c:pt>
                <c:pt idx="5">
                  <c:v>2Q16</c:v>
                </c:pt>
                <c:pt idx="6">
                  <c:v>3Q16</c:v>
                </c:pt>
              </c:strCache>
            </c:strRef>
          </c:cat>
          <c:val>
            <c:numRef>
              <c:f>('Exhibits 3'!$CE$306:$CH$306,'Exhibits 3'!$CJ$306:$CL$306)</c:f>
              <c:numCache>
                <c:formatCode>0.0%</c:formatCode>
                <c:ptCount val="7"/>
                <c:pt idx="0">
                  <c:v>1.8687000686913358E-2</c:v>
                </c:pt>
                <c:pt idx="1">
                  <c:v>2.2461315471509116E-2</c:v>
                </c:pt>
                <c:pt idx="2">
                  <c:v>1.1204650103588129E-2</c:v>
                </c:pt>
                <c:pt idx="3">
                  <c:v>1.768570440544737E-2</c:v>
                </c:pt>
                <c:pt idx="4">
                  <c:v>2.73864408758554E-2</c:v>
                </c:pt>
                <c:pt idx="5">
                  <c:v>-2.2228769488472568E-3</c:v>
                </c:pt>
                <c:pt idx="6">
                  <c:v>3.7498752634407486E-3</c:v>
                </c:pt>
              </c:numCache>
            </c:numRef>
          </c:val>
        </c:ser>
        <c:dLbls>
          <c:showLegendKey val="0"/>
          <c:showVal val="0"/>
          <c:showCatName val="0"/>
          <c:showSerName val="0"/>
          <c:showPercent val="0"/>
          <c:showBubbleSize val="0"/>
        </c:dLbls>
        <c:gapWidth val="150"/>
        <c:axId val="216535424"/>
        <c:axId val="216536960"/>
      </c:barChart>
      <c:catAx>
        <c:axId val="216535424"/>
        <c:scaling>
          <c:orientation val="minMax"/>
        </c:scaling>
        <c:delete val="0"/>
        <c:axPos val="b"/>
        <c:numFmt formatCode="#,##0_);\(#,##0\)" sourceLinked="1"/>
        <c:majorTickMark val="out"/>
        <c:minorTickMark val="none"/>
        <c:tickLblPos val="low"/>
        <c:txPr>
          <a:bodyPr rot="0" vert="horz"/>
          <a:lstStyle/>
          <a:p>
            <a:pPr>
              <a:defRPr sz="800" b="0" i="0" u="none" strike="noStrike" baseline="0">
                <a:solidFill>
                  <a:srgbClr val="000000"/>
                </a:solidFill>
                <a:latin typeface="Arial"/>
                <a:ea typeface="Arial"/>
                <a:cs typeface="Arial"/>
              </a:defRPr>
            </a:pPr>
            <a:endParaRPr lang="en-US"/>
          </a:p>
        </c:txPr>
        <c:crossAx val="216536960"/>
        <c:crosses val="autoZero"/>
        <c:auto val="1"/>
        <c:lblAlgn val="ctr"/>
        <c:lblOffset val="100"/>
        <c:noMultiLvlLbl val="0"/>
      </c:catAx>
      <c:valAx>
        <c:axId val="216536960"/>
        <c:scaling>
          <c:orientation val="minMax"/>
        </c:scaling>
        <c:delete val="0"/>
        <c:axPos val="l"/>
        <c:numFmt formatCode="0.0%" sourceLinked="1"/>
        <c:majorTickMark val="out"/>
        <c:minorTickMark val="none"/>
        <c:tickLblPos val="nextTo"/>
        <c:txPr>
          <a:bodyPr rot="0" vert="horz"/>
          <a:lstStyle/>
          <a:p>
            <a:pPr>
              <a:defRPr sz="800" b="0" i="0" u="none" strike="noStrike" baseline="0">
                <a:solidFill>
                  <a:srgbClr val="000000"/>
                </a:solidFill>
                <a:latin typeface="Arial"/>
                <a:ea typeface="Arial"/>
                <a:cs typeface="Arial"/>
              </a:defRPr>
            </a:pPr>
            <a:endParaRPr lang="en-US"/>
          </a:p>
        </c:txPr>
        <c:crossAx val="216535424"/>
        <c:crosses val="autoZero"/>
        <c:crossBetween val="between"/>
      </c:valAx>
      <c:spPr>
        <a:solidFill>
          <a:srgbClr val="FFFFFF"/>
        </a:solidFill>
      </c:spPr>
    </c:plotArea>
    <c:legend>
      <c:legendPos val="b"/>
      <c:layout/>
      <c:overlay val="0"/>
      <c:txPr>
        <a:bodyPr/>
        <a:lstStyle/>
        <a:p>
          <a:pPr>
            <a:defRPr sz="2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dPt>
            <c:idx val="7"/>
            <c:invertIfNegative val="0"/>
            <c:bubble3D val="0"/>
            <c:spPr>
              <a:solidFill>
                <a:srgbClr val="FFC000"/>
              </a:solidFill>
            </c:spPr>
          </c:dPt>
          <c:dPt>
            <c:idx val="8"/>
            <c:invertIfNegative val="0"/>
            <c:bubble3D val="0"/>
            <c:spPr>
              <a:solidFill>
                <a:srgbClr val="FFC000"/>
              </a:solidFill>
            </c:spPr>
          </c:dPt>
          <c:dPt>
            <c:idx val="9"/>
            <c:invertIfNegative val="0"/>
            <c:bubble3D val="0"/>
            <c:spPr>
              <a:solidFill>
                <a:srgbClr val="FFC000"/>
              </a:solidFill>
            </c:spPr>
          </c:dPt>
          <c:dPt>
            <c:idx val="10"/>
            <c:invertIfNegative val="0"/>
            <c:bubble3D val="0"/>
            <c:spPr>
              <a:solidFill>
                <a:srgbClr val="FFC000"/>
              </a:solidFill>
            </c:spPr>
          </c:dPt>
          <c:dPt>
            <c:idx val="11"/>
            <c:invertIfNegative val="0"/>
            <c:bubble3D val="0"/>
            <c:spPr>
              <a:solidFill>
                <a:srgbClr val="FFC000"/>
              </a:solidFill>
            </c:spPr>
          </c:dPt>
          <c:dLbls>
            <c:txPr>
              <a:bodyPr/>
              <a:lstStyle/>
              <a:p>
                <a:pPr>
                  <a:defRPr sz="8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3'!$CT$326:$CT$337</c:f>
              <c:strCache>
                <c:ptCount val="12"/>
                <c:pt idx="0">
                  <c:v>1Q15</c:v>
                </c:pt>
                <c:pt idx="1">
                  <c:v>2Q15</c:v>
                </c:pt>
                <c:pt idx="2">
                  <c:v>3Q15</c:v>
                </c:pt>
                <c:pt idx="3">
                  <c:v>4Q15</c:v>
                </c:pt>
                <c:pt idx="4">
                  <c:v>1Q16</c:v>
                </c:pt>
                <c:pt idx="5">
                  <c:v>2Q16</c:v>
                </c:pt>
                <c:pt idx="6">
                  <c:v>3Q16A</c:v>
                </c:pt>
                <c:pt idx="7">
                  <c:v>4Q16E</c:v>
                </c:pt>
                <c:pt idx="8">
                  <c:v>1Q17E</c:v>
                </c:pt>
                <c:pt idx="9">
                  <c:v>2Q17E</c:v>
                </c:pt>
                <c:pt idx="10">
                  <c:v>3Q17E</c:v>
                </c:pt>
                <c:pt idx="11">
                  <c:v>4Q17E</c:v>
                </c:pt>
              </c:strCache>
            </c:strRef>
          </c:cat>
          <c:val>
            <c:numRef>
              <c:f>'Exhibits 3'!$CU$326:$CU$337</c:f>
              <c:numCache>
                <c:formatCode>0.0%</c:formatCode>
                <c:ptCount val="12"/>
                <c:pt idx="0">
                  <c:v>3.2911289390828991E-3</c:v>
                </c:pt>
                <c:pt idx="1">
                  <c:v>1.7864913600788679E-2</c:v>
                </c:pt>
                <c:pt idx="2">
                  <c:v>1.9735399871059878E-2</c:v>
                </c:pt>
                <c:pt idx="3">
                  <c:v>5.382061796116222E-3</c:v>
                </c:pt>
                <c:pt idx="4">
                  <c:v>3.032117947320323E-2</c:v>
                </c:pt>
                <c:pt idx="5">
                  <c:v>-8.8664757222377544E-3</c:v>
                </c:pt>
              </c:numCache>
            </c:numRef>
          </c:val>
        </c:ser>
        <c:dLbls>
          <c:showLegendKey val="0"/>
          <c:showVal val="0"/>
          <c:showCatName val="0"/>
          <c:showSerName val="0"/>
          <c:showPercent val="0"/>
          <c:showBubbleSize val="0"/>
        </c:dLbls>
        <c:gapWidth val="150"/>
        <c:axId val="216592384"/>
        <c:axId val="216593920"/>
      </c:barChart>
      <c:catAx>
        <c:axId val="216592384"/>
        <c:scaling>
          <c:orientation val="minMax"/>
        </c:scaling>
        <c:delete val="0"/>
        <c:axPos val="b"/>
        <c:numFmt formatCode="#,##0_);\(#,##0\)" sourceLinked="1"/>
        <c:majorTickMark val="out"/>
        <c:minorTickMark val="none"/>
        <c:tickLblPos val="low"/>
        <c:txPr>
          <a:bodyPr rot="0" vert="horz"/>
          <a:lstStyle/>
          <a:p>
            <a:pPr>
              <a:defRPr sz="800" b="0" i="0" u="none" strike="noStrike" baseline="0">
                <a:solidFill>
                  <a:srgbClr val="000000"/>
                </a:solidFill>
                <a:latin typeface="Arial"/>
                <a:ea typeface="Arial"/>
                <a:cs typeface="Arial"/>
              </a:defRPr>
            </a:pPr>
            <a:endParaRPr lang="en-US"/>
          </a:p>
        </c:txPr>
        <c:crossAx val="216593920"/>
        <c:crosses val="autoZero"/>
        <c:auto val="1"/>
        <c:lblAlgn val="ctr"/>
        <c:lblOffset val="100"/>
        <c:noMultiLvlLbl val="0"/>
      </c:catAx>
      <c:valAx>
        <c:axId val="216593920"/>
        <c:scaling>
          <c:orientation val="minMax"/>
        </c:scaling>
        <c:delete val="0"/>
        <c:axPos val="l"/>
        <c:numFmt formatCode="0.0%" sourceLinked="1"/>
        <c:majorTickMark val="out"/>
        <c:minorTickMark val="none"/>
        <c:tickLblPos val="nextTo"/>
        <c:txPr>
          <a:bodyPr rot="0" vert="horz"/>
          <a:lstStyle/>
          <a:p>
            <a:pPr>
              <a:defRPr sz="800" b="0" i="0" u="none" strike="noStrike" baseline="0">
                <a:solidFill>
                  <a:srgbClr val="000000"/>
                </a:solidFill>
                <a:latin typeface="Arial"/>
                <a:ea typeface="Arial"/>
                <a:cs typeface="Arial"/>
              </a:defRPr>
            </a:pPr>
            <a:endParaRPr lang="en-US"/>
          </a:p>
        </c:txPr>
        <c:crossAx val="216592384"/>
        <c:crosses val="autoZero"/>
        <c:crossBetween val="between"/>
      </c:valAx>
      <c:spPr>
        <a:solidFill>
          <a:srgbClr val="FFFFFF"/>
        </a:solidFill>
      </c:spPr>
    </c:plotArea>
    <c:plotVisOnly val="1"/>
    <c:dispBlanksAs val="gap"/>
    <c:showDLblsOverMax val="0"/>
  </c:chart>
  <c:spPr>
    <a:solidFill>
      <a:srgbClr val="FFFFFF"/>
    </a:solidFill>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verticalDpi="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'Exhibits 3'!$DH$387</c:f>
              <c:strCache>
                <c:ptCount val="1"/>
                <c:pt idx="0">
                  <c:v>PENN Regional GGR Growth </c:v>
                </c:pt>
              </c:strCache>
            </c:strRef>
          </c:tx>
          <c:spPr>
            <a:solidFill>
              <a:srgbClr val="137CB1"/>
            </a:solidFill>
            <a:ln w="25400">
              <a:noFill/>
            </a:ln>
          </c:spPr>
          <c:invertIfNegative val="0"/>
          <c:dLbls>
            <c:txPr>
              <a:bodyPr/>
              <a:lstStyle/>
              <a:p>
                <a:pPr>
                  <a:defRPr sz="1000" b="1"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dLbls>
          <c:cat>
            <c:strRef>
              <c:f>'Exhibits 3'!$DI$386:$DQ$386</c:f>
              <c:strCache>
                <c:ptCount val="9"/>
                <c:pt idx="0">
                  <c:v>1Q15</c:v>
                </c:pt>
                <c:pt idx="1">
                  <c:v>2Q15</c:v>
                </c:pt>
                <c:pt idx="2">
                  <c:v>3Q15</c:v>
                </c:pt>
                <c:pt idx="3">
                  <c:v>4Q15</c:v>
                </c:pt>
                <c:pt idx="4">
                  <c:v>1Q16</c:v>
                </c:pt>
                <c:pt idx="5">
                  <c:v>2Q16</c:v>
                </c:pt>
                <c:pt idx="6">
                  <c:v>3Q16</c:v>
                </c:pt>
                <c:pt idx="7">
                  <c:v>4Q16</c:v>
                </c:pt>
                <c:pt idx="8">
                  <c:v>1Q17</c:v>
                </c:pt>
              </c:strCache>
            </c:strRef>
          </c:cat>
          <c:val>
            <c:numRef>
              <c:f>'Exhibits 3'!$DI$387:$DQ$387</c:f>
              <c:numCache>
                <c:formatCode>0.0%</c:formatCode>
                <c:ptCount val="9"/>
                <c:pt idx="0">
                  <c:v>-4.5215502521761593E-3</c:v>
                </c:pt>
                <c:pt idx="1">
                  <c:v>1.3055936818287376E-2</c:v>
                </c:pt>
                <c:pt idx="2">
                  <c:v>3.5970059348856848E-3</c:v>
                </c:pt>
                <c:pt idx="3">
                  <c:v>-1.638363894365388E-2</c:v>
                </c:pt>
                <c:pt idx="4">
                  <c:v>2.9057999360307995E-3</c:v>
                </c:pt>
                <c:pt idx="5">
                  <c:v>-3.1391068431349235E-2</c:v>
                </c:pt>
                <c:pt idx="6">
                  <c:v>-2.2636272384971554E-2</c:v>
                </c:pt>
                <c:pt idx="7">
                  <c:v>-1.3932245685545783E-2</c:v>
                </c:pt>
                <c:pt idx="8">
                  <c:v>-9.2579991258300662E-3</c:v>
                </c:pt>
              </c:numCache>
            </c:numRef>
          </c:val>
        </c:ser>
        <c:dLbls>
          <c:showLegendKey val="0"/>
          <c:showVal val="0"/>
          <c:showCatName val="0"/>
          <c:showSerName val="0"/>
          <c:showPercent val="0"/>
          <c:showBubbleSize val="0"/>
        </c:dLbls>
        <c:gapWidth val="37"/>
        <c:axId val="217451520"/>
        <c:axId val="217453312"/>
      </c:barChart>
      <c:lineChart>
        <c:grouping val="standard"/>
        <c:varyColors val="0"/>
        <c:ser>
          <c:idx val="1"/>
          <c:order val="1"/>
          <c:tx>
            <c:strRef>
              <c:f>'Exhibits 3'!$DH$388</c:f>
              <c:strCache>
                <c:ptCount val="1"/>
                <c:pt idx="0">
                  <c:v>PENN NTM EBITDA Multiple</c:v>
                </c:pt>
              </c:strCache>
            </c:strRef>
          </c:tx>
          <c:marker>
            <c:symbol val="none"/>
          </c:marker>
          <c:cat>
            <c:strRef>
              <c:f>'Exhibits 3'!$DI$386:$DQ$386</c:f>
              <c:strCache>
                <c:ptCount val="9"/>
                <c:pt idx="0">
                  <c:v>1Q15</c:v>
                </c:pt>
                <c:pt idx="1">
                  <c:v>2Q15</c:v>
                </c:pt>
                <c:pt idx="2">
                  <c:v>3Q15</c:v>
                </c:pt>
                <c:pt idx="3">
                  <c:v>4Q15</c:v>
                </c:pt>
                <c:pt idx="4">
                  <c:v>1Q16</c:v>
                </c:pt>
                <c:pt idx="5">
                  <c:v>2Q16</c:v>
                </c:pt>
                <c:pt idx="6">
                  <c:v>3Q16</c:v>
                </c:pt>
                <c:pt idx="7">
                  <c:v>4Q16</c:v>
                </c:pt>
                <c:pt idx="8">
                  <c:v>1Q17</c:v>
                </c:pt>
              </c:strCache>
            </c:strRef>
          </c:cat>
          <c:val>
            <c:numRef>
              <c:f>'Exhibits 3'!$DI$388:$DQ$388</c:f>
              <c:numCache>
                <c:formatCode>0.0\x</c:formatCode>
                <c:ptCount val="9"/>
                <c:pt idx="0">
                  <c:v>7.7281780681190266</c:v>
                </c:pt>
                <c:pt idx="1">
                  <c:v>7.7692556670064254</c:v>
                </c:pt>
                <c:pt idx="2">
                  <c:v>7.5707222755916366</c:v>
                </c:pt>
                <c:pt idx="3">
                  <c:v>6.6768115190312631</c:v>
                </c:pt>
                <c:pt idx="4">
                  <c:v>6.8351357583720675</c:v>
                </c:pt>
                <c:pt idx="5">
                  <c:v>7.6185494401102245</c:v>
                </c:pt>
                <c:pt idx="6">
                  <c:v>7.3139925626072699</c:v>
                </c:pt>
                <c:pt idx="7">
                  <c:v>7.3109311714146692</c:v>
                </c:pt>
                <c:pt idx="8">
                  <c:v>7.2340231585461741</c:v>
                </c:pt>
              </c:numCache>
            </c:numRef>
          </c:val>
          <c:smooth val="0"/>
        </c:ser>
        <c:dLbls>
          <c:showLegendKey val="0"/>
          <c:showVal val="0"/>
          <c:showCatName val="0"/>
          <c:showSerName val="0"/>
          <c:showPercent val="0"/>
          <c:showBubbleSize val="0"/>
        </c:dLbls>
        <c:marker val="1"/>
        <c:smooth val="0"/>
        <c:axId val="217455232"/>
        <c:axId val="217465216"/>
      </c:lineChart>
      <c:catAx>
        <c:axId val="217451520"/>
        <c:scaling>
          <c:orientation val="minMax"/>
        </c:scaling>
        <c:delete val="0"/>
        <c:axPos val="b"/>
        <c:numFmt formatCode="#,##0_);\(#,##0\)" sourceLinked="1"/>
        <c:majorTickMark val="out"/>
        <c:minorTickMark val="none"/>
        <c:tickLblPos val="low"/>
        <c:spPr>
          <a:ln>
            <a:solidFill>
              <a:srgbClr val="808080"/>
            </a:solidFill>
            <a:prstDash val="solid"/>
          </a:ln>
        </c:spPr>
        <c:txPr>
          <a:bodyPr rot="0" vert="horz"/>
          <a:lstStyle/>
          <a:p>
            <a:pPr>
              <a:defRPr sz="1000" b="0" i="0" u="none" strike="noStrike" baseline="0">
                <a:solidFill>
                  <a:srgbClr val="808080"/>
                </a:solidFill>
                <a:latin typeface="Calibri"/>
                <a:ea typeface="Calibri"/>
                <a:cs typeface="Calibri"/>
              </a:defRPr>
            </a:pPr>
            <a:endParaRPr lang="en-US"/>
          </a:p>
        </c:txPr>
        <c:crossAx val="217453312"/>
        <c:crosses val="autoZero"/>
        <c:auto val="1"/>
        <c:lblAlgn val="ctr"/>
        <c:lblOffset val="100"/>
        <c:tickLblSkip val="1"/>
        <c:tickMarkSkip val="1"/>
        <c:noMultiLvlLbl val="0"/>
      </c:catAx>
      <c:valAx>
        <c:axId val="217453312"/>
        <c:scaling>
          <c:orientation val="minMax"/>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PENN Regional GGR Growth (%) </a:t>
                </a:r>
              </a:p>
            </c:rich>
          </c:tx>
          <c:layout/>
          <c:overlay val="0"/>
        </c:title>
        <c:numFmt formatCode="0.0%" sourceLinked="1"/>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217451520"/>
        <c:crosses val="autoZero"/>
        <c:crossBetween val="between"/>
      </c:valAx>
      <c:catAx>
        <c:axId val="217455232"/>
        <c:scaling>
          <c:orientation val="minMax"/>
        </c:scaling>
        <c:delete val="1"/>
        <c:axPos val="b"/>
        <c:majorTickMark val="out"/>
        <c:minorTickMark val="none"/>
        <c:tickLblPos val="nextTo"/>
        <c:crossAx val="217465216"/>
        <c:crosses val="autoZero"/>
        <c:auto val="1"/>
        <c:lblAlgn val="ctr"/>
        <c:lblOffset val="100"/>
        <c:noMultiLvlLbl val="0"/>
      </c:catAx>
      <c:valAx>
        <c:axId val="217465216"/>
        <c:scaling>
          <c:orientation val="minMax"/>
        </c:scaling>
        <c:delete val="0"/>
        <c:axPos val="r"/>
        <c:title>
          <c:tx>
            <c:rich>
              <a:bodyPr/>
              <a:lstStyle/>
              <a:p>
                <a:pPr>
                  <a:defRPr sz="1000" b="1" i="0" u="none" strike="noStrike" baseline="0">
                    <a:solidFill>
                      <a:srgbClr val="333333"/>
                    </a:solidFill>
                    <a:latin typeface="Calibri"/>
                    <a:ea typeface="Calibri"/>
                    <a:cs typeface="Calibri"/>
                  </a:defRPr>
                </a:pPr>
                <a:r>
                  <a:rPr lang="en-US"/>
                  <a:t>PENN NTM EBITDA Multiple (x)</a:t>
                </a:r>
              </a:p>
            </c:rich>
          </c:tx>
          <c:layout/>
          <c:overlay val="0"/>
        </c:title>
        <c:numFmt formatCode="0.0\x"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217455232"/>
        <c:crosses val="max"/>
        <c:crossBetween val="between"/>
      </c:valAx>
      <c:spPr>
        <a:noFill/>
        <a:ln w="25400">
          <a:noFill/>
        </a:ln>
      </c:spPr>
    </c:plotArea>
    <c:legend>
      <c:legendPos val="b"/>
      <c:layout/>
      <c:overlay val="0"/>
      <c:txPr>
        <a:bodyPr/>
        <a:lstStyle/>
        <a:p>
          <a:pPr>
            <a:defRPr sz="5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'Exhibits 3'!$DU$415</c:f>
              <c:strCache>
                <c:ptCount val="1"/>
                <c:pt idx="0">
                  <c:v>PENN Net Same-store Net Rev Growth </c:v>
                </c:pt>
              </c:strCache>
            </c:strRef>
          </c:tx>
          <c:spPr>
            <a:solidFill>
              <a:srgbClr val="137CB1"/>
            </a:solidFill>
            <a:ln w="25400">
              <a:noFill/>
            </a:ln>
          </c:spPr>
          <c:invertIfNegative val="0"/>
          <c:dPt>
            <c:idx val="9"/>
            <c:invertIfNegative val="0"/>
            <c:bubble3D val="0"/>
            <c:spPr>
              <a:solidFill>
                <a:srgbClr val="EEB500"/>
              </a:solidFill>
              <a:ln w="25400">
                <a:noFill/>
              </a:ln>
            </c:spPr>
          </c:dPt>
          <c:dLbls>
            <c:txPr>
              <a:bodyPr/>
              <a:lstStyle/>
              <a:p>
                <a:pPr>
                  <a:defRPr sz="1000" b="1"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dLbls>
          <c:cat>
            <c:strRef>
              <c:f>'Exhibits 3'!$DV$414:$EE$414</c:f>
              <c:strCache>
                <c:ptCount val="10"/>
                <c:pt idx="0">
                  <c:v>1Q15</c:v>
                </c:pt>
                <c:pt idx="1">
                  <c:v>2Q15</c:v>
                </c:pt>
                <c:pt idx="2">
                  <c:v>3Q15</c:v>
                </c:pt>
                <c:pt idx="3">
                  <c:v>4Q15</c:v>
                </c:pt>
                <c:pt idx="4">
                  <c:v>1Q16</c:v>
                </c:pt>
                <c:pt idx="5">
                  <c:v>2Q16</c:v>
                </c:pt>
                <c:pt idx="6">
                  <c:v>3Q16</c:v>
                </c:pt>
                <c:pt idx="7">
                  <c:v>4Q16</c:v>
                </c:pt>
                <c:pt idx="8">
                  <c:v>1Q17</c:v>
                </c:pt>
                <c:pt idx="9">
                  <c:v>2Q17E</c:v>
                </c:pt>
              </c:strCache>
            </c:strRef>
          </c:cat>
          <c:val>
            <c:numRef>
              <c:f>'Exhibits 3'!$DV$415:$EE$415</c:f>
              <c:numCache>
                <c:formatCode>0.0%</c:formatCode>
                <c:ptCount val="10"/>
                <c:pt idx="0">
                  <c:v>-3.1787025627536214E-2</c:v>
                </c:pt>
                <c:pt idx="1">
                  <c:v>-1.180215437600951E-2</c:v>
                </c:pt>
                <c:pt idx="2">
                  <c:v>-4.7626358367063304E-3</c:v>
                </c:pt>
                <c:pt idx="3">
                  <c:v>5.7234805227888153E-3</c:v>
                </c:pt>
                <c:pt idx="4">
                  <c:v>2.5662255542338253E-2</c:v>
                </c:pt>
                <c:pt idx="5">
                  <c:v>-2.0610377200269814E-2</c:v>
                </c:pt>
                <c:pt idx="6">
                  <c:v>-9.2352084750280117E-3</c:v>
                </c:pt>
                <c:pt idx="7">
                  <c:v>-1.1230438742632187E-2</c:v>
                </c:pt>
                <c:pt idx="8">
                  <c:v>-2.2951548687750734E-3</c:v>
                </c:pt>
                <c:pt idx="9">
                  <c:v>1.6965543262292382E-2</c:v>
                </c:pt>
              </c:numCache>
            </c:numRef>
          </c:val>
        </c:ser>
        <c:dLbls>
          <c:showLegendKey val="0"/>
          <c:showVal val="0"/>
          <c:showCatName val="0"/>
          <c:showSerName val="0"/>
          <c:showPercent val="0"/>
          <c:showBubbleSize val="0"/>
        </c:dLbls>
        <c:gapWidth val="37"/>
        <c:axId val="217504768"/>
        <c:axId val="219419392"/>
      </c:barChart>
      <c:lineChart>
        <c:grouping val="standard"/>
        <c:varyColors val="0"/>
        <c:ser>
          <c:idx val="1"/>
          <c:order val="1"/>
          <c:tx>
            <c:strRef>
              <c:f>'Exhibits 3'!$DU$416</c:f>
              <c:strCache>
                <c:ptCount val="1"/>
                <c:pt idx="0">
                  <c:v>PENN NTM EBITDA Multiple</c:v>
                </c:pt>
              </c:strCache>
            </c:strRef>
          </c:tx>
          <c:marker>
            <c:symbol val="none"/>
          </c:marker>
          <c:cat>
            <c:strRef>
              <c:f>'Exhibits 3'!$DV$414:$EE$414</c:f>
              <c:strCache>
                <c:ptCount val="10"/>
                <c:pt idx="0">
                  <c:v>1Q15</c:v>
                </c:pt>
                <c:pt idx="1">
                  <c:v>2Q15</c:v>
                </c:pt>
                <c:pt idx="2">
                  <c:v>3Q15</c:v>
                </c:pt>
                <c:pt idx="3">
                  <c:v>4Q15</c:v>
                </c:pt>
                <c:pt idx="4">
                  <c:v>1Q16</c:v>
                </c:pt>
                <c:pt idx="5">
                  <c:v>2Q16</c:v>
                </c:pt>
                <c:pt idx="6">
                  <c:v>3Q16</c:v>
                </c:pt>
                <c:pt idx="7">
                  <c:v>4Q16</c:v>
                </c:pt>
                <c:pt idx="8">
                  <c:v>1Q17</c:v>
                </c:pt>
                <c:pt idx="9">
                  <c:v>2Q17E</c:v>
                </c:pt>
              </c:strCache>
            </c:strRef>
          </c:cat>
          <c:val>
            <c:numRef>
              <c:f>'Exhibits 3'!$DV$416:$EE$416</c:f>
              <c:numCache>
                <c:formatCode>0.0\x</c:formatCode>
                <c:ptCount val="10"/>
                <c:pt idx="0">
                  <c:v>7.7281780681190266</c:v>
                </c:pt>
                <c:pt idx="1">
                  <c:v>7.7692556670064254</c:v>
                </c:pt>
                <c:pt idx="2">
                  <c:v>7.5707222755916366</c:v>
                </c:pt>
                <c:pt idx="3">
                  <c:v>6.6768115190312631</c:v>
                </c:pt>
                <c:pt idx="4">
                  <c:v>6.8351357583720675</c:v>
                </c:pt>
                <c:pt idx="5">
                  <c:v>7.6185494401102245</c:v>
                </c:pt>
                <c:pt idx="6">
                  <c:v>7.3139925626072699</c:v>
                </c:pt>
                <c:pt idx="7">
                  <c:v>7.3109311714146692</c:v>
                </c:pt>
                <c:pt idx="8">
                  <c:v>7.2340231585461741</c:v>
                </c:pt>
                <c:pt idx="9">
                  <c:v>7.3801498728683423</c:v>
                </c:pt>
              </c:numCache>
            </c:numRef>
          </c:val>
          <c:smooth val="0"/>
        </c:ser>
        <c:dLbls>
          <c:showLegendKey val="0"/>
          <c:showVal val="0"/>
          <c:showCatName val="0"/>
          <c:showSerName val="0"/>
          <c:showPercent val="0"/>
          <c:showBubbleSize val="0"/>
        </c:dLbls>
        <c:marker val="1"/>
        <c:smooth val="0"/>
        <c:axId val="219421312"/>
        <c:axId val="219427200"/>
      </c:lineChart>
      <c:catAx>
        <c:axId val="217504768"/>
        <c:scaling>
          <c:orientation val="minMax"/>
        </c:scaling>
        <c:delete val="0"/>
        <c:axPos val="b"/>
        <c:numFmt formatCode="#,##0_);\(#,##0\)" sourceLinked="1"/>
        <c:majorTickMark val="out"/>
        <c:minorTickMark val="none"/>
        <c:tickLblPos val="low"/>
        <c:spPr>
          <a:ln>
            <a:solidFill>
              <a:srgbClr val="808080"/>
            </a:solidFill>
            <a:prstDash val="solid"/>
          </a:ln>
        </c:spPr>
        <c:txPr>
          <a:bodyPr rot="-5400000" vert="horz"/>
          <a:lstStyle/>
          <a:p>
            <a:pPr>
              <a:defRPr sz="1000" b="0" i="0" u="none" strike="noStrike" baseline="0">
                <a:solidFill>
                  <a:srgbClr val="808080"/>
                </a:solidFill>
                <a:latin typeface="Calibri"/>
                <a:ea typeface="Calibri"/>
                <a:cs typeface="Calibri"/>
              </a:defRPr>
            </a:pPr>
            <a:endParaRPr lang="en-US"/>
          </a:p>
        </c:txPr>
        <c:crossAx val="219419392"/>
        <c:crosses val="autoZero"/>
        <c:auto val="1"/>
        <c:lblAlgn val="ctr"/>
        <c:lblOffset val="100"/>
        <c:tickLblSkip val="1"/>
        <c:tickMarkSkip val="1"/>
        <c:noMultiLvlLbl val="0"/>
      </c:catAx>
      <c:valAx>
        <c:axId val="219419392"/>
        <c:scaling>
          <c:orientation val="minMax"/>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PENN Same-store Net Rev Growth (%) </a:t>
                </a:r>
              </a:p>
            </c:rich>
          </c:tx>
          <c:layout/>
          <c:overlay val="0"/>
        </c:title>
        <c:numFmt formatCode="0.0%" sourceLinked="1"/>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217504768"/>
        <c:crosses val="autoZero"/>
        <c:crossBetween val="between"/>
      </c:valAx>
      <c:catAx>
        <c:axId val="219421312"/>
        <c:scaling>
          <c:orientation val="minMax"/>
        </c:scaling>
        <c:delete val="1"/>
        <c:axPos val="b"/>
        <c:majorTickMark val="out"/>
        <c:minorTickMark val="none"/>
        <c:tickLblPos val="nextTo"/>
        <c:crossAx val="219427200"/>
        <c:crosses val="autoZero"/>
        <c:auto val="1"/>
        <c:lblAlgn val="ctr"/>
        <c:lblOffset val="100"/>
        <c:noMultiLvlLbl val="0"/>
      </c:catAx>
      <c:valAx>
        <c:axId val="219427200"/>
        <c:scaling>
          <c:orientation val="minMax"/>
        </c:scaling>
        <c:delete val="0"/>
        <c:axPos val="r"/>
        <c:title>
          <c:tx>
            <c:rich>
              <a:bodyPr/>
              <a:lstStyle/>
              <a:p>
                <a:pPr>
                  <a:defRPr sz="1000" b="1" i="0" u="none" strike="noStrike" baseline="0">
                    <a:solidFill>
                      <a:srgbClr val="333333"/>
                    </a:solidFill>
                    <a:latin typeface="Calibri"/>
                    <a:ea typeface="Calibri"/>
                    <a:cs typeface="Calibri"/>
                  </a:defRPr>
                </a:pPr>
                <a:r>
                  <a:rPr lang="en-US"/>
                  <a:t>PENN NTM EBITDA Multiple (x)</a:t>
                </a:r>
              </a:p>
            </c:rich>
          </c:tx>
          <c:layout/>
          <c:overlay val="0"/>
        </c:title>
        <c:numFmt formatCode="0.0\x"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219421312"/>
        <c:crosses val="max"/>
        <c:crossBetween val="between"/>
      </c:valAx>
      <c:spPr>
        <a:noFill/>
        <a:ln w="25400">
          <a:noFill/>
        </a:ln>
      </c:spPr>
    </c:plotArea>
    <c:legend>
      <c:legendPos val="b"/>
      <c:layout/>
      <c:overlay val="0"/>
      <c:txPr>
        <a:bodyPr/>
        <a:lstStyle/>
        <a:p>
          <a:pPr>
            <a:defRPr sz="5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87388357205305E-2"/>
          <c:y val="3.4222573577324451E-2"/>
          <c:w val="0.90878948439187146"/>
          <c:h val="0.79113529224609003"/>
        </c:manualLayout>
      </c:layout>
      <c:barChart>
        <c:barDir val="col"/>
        <c:grouping val="clustered"/>
        <c:varyColors val="0"/>
        <c:ser>
          <c:idx val="0"/>
          <c:order val="0"/>
          <c:spPr>
            <a:solidFill>
              <a:srgbClr val="137CB1"/>
            </a:solidFill>
            <a:ln w="25400">
              <a:noFill/>
            </a:ln>
          </c:spPr>
          <c:invertIfNegative val="0"/>
          <c:dPt>
            <c:idx val="1"/>
            <c:invertIfNegative val="0"/>
            <c:bubble3D val="0"/>
            <c:spPr>
              <a:solidFill>
                <a:srgbClr val="FFC000"/>
              </a:solidFill>
              <a:ln w="25400">
                <a:noFill/>
              </a:ln>
            </c:spPr>
          </c:dPt>
          <c:dLbls>
            <c:txPr>
              <a:bodyPr/>
              <a:lstStyle/>
              <a:p>
                <a:pPr>
                  <a:defRPr sz="12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2'!$GU$641:$GU$646</c:f>
              <c:strCache>
                <c:ptCount val="6"/>
                <c:pt idx="0">
                  <c:v>Missouri</c:v>
                </c:pt>
                <c:pt idx="1">
                  <c:v>Plainridge
Estimates</c:v>
                </c:pt>
                <c:pt idx="2">
                  <c:v>Louisiana</c:v>
                </c:pt>
                <c:pt idx="3">
                  <c:v>Iowa</c:v>
                </c:pt>
                <c:pt idx="4">
                  <c:v>Illinois</c:v>
                </c:pt>
                <c:pt idx="5">
                  <c:v>Indiana</c:v>
                </c:pt>
              </c:strCache>
            </c:strRef>
          </c:cat>
          <c:val>
            <c:numRef>
              <c:f>'Exhibits 2'!$GV$641:$GV$646</c:f>
              <c:numCache>
                <c:formatCode>0.0"x"</c:formatCode>
                <c:ptCount val="6"/>
                <c:pt idx="0">
                  <c:v>8.5842486126526065</c:v>
                </c:pt>
                <c:pt idx="1">
                  <c:v>7.1545248000000026</c:v>
                </c:pt>
                <c:pt idx="2">
                  <c:v>4.4248374626669431</c:v>
                </c:pt>
                <c:pt idx="3">
                  <c:v>3.7764652444592017</c:v>
                </c:pt>
                <c:pt idx="4">
                  <c:v>3.7406575161149425</c:v>
                </c:pt>
                <c:pt idx="5">
                  <c:v>3.0208036778732534</c:v>
                </c:pt>
              </c:numCache>
            </c:numRef>
          </c:val>
        </c:ser>
        <c:dLbls>
          <c:showLegendKey val="0"/>
          <c:showVal val="0"/>
          <c:showCatName val="0"/>
          <c:showSerName val="0"/>
          <c:showPercent val="0"/>
          <c:showBubbleSize val="0"/>
        </c:dLbls>
        <c:gapWidth val="60"/>
        <c:axId val="220211456"/>
        <c:axId val="220217344"/>
      </c:barChart>
      <c:catAx>
        <c:axId val="220211456"/>
        <c:scaling>
          <c:orientation val="minMax"/>
        </c:scaling>
        <c:delete val="0"/>
        <c:axPos val="b"/>
        <c:numFmt formatCode="#,##0_);\(#,##0\)" sourceLinked="1"/>
        <c:majorTickMark val="none"/>
        <c:minorTickMark val="none"/>
        <c:tickLblPos val="low"/>
        <c:spPr>
          <a:ln w="12700">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20217344"/>
        <c:crosses val="autoZero"/>
        <c:auto val="1"/>
        <c:lblAlgn val="ctr"/>
        <c:lblOffset val="100"/>
        <c:tickLblSkip val="1"/>
        <c:tickMarkSkip val="1"/>
        <c:noMultiLvlLbl val="0"/>
      </c:catAx>
      <c:valAx>
        <c:axId val="220217344"/>
        <c:scaling>
          <c:orientation val="minMax"/>
        </c:scaling>
        <c:delete val="0"/>
        <c:axPos val="l"/>
        <c:majorGridlines>
          <c:spPr>
            <a:ln w="12700">
              <a:solidFill>
                <a:srgbClr val="C0C0C0"/>
              </a:solidFill>
              <a:prstDash val="solid"/>
            </a:ln>
          </c:spPr>
        </c:majorGridlines>
        <c:numFmt formatCode="0.0&quot;x&quot;" sourceLinked="1"/>
        <c:majorTickMark val="none"/>
        <c:minorTickMark val="none"/>
        <c:tickLblPos val="nextTo"/>
        <c:spPr>
          <a:ln w="9525">
            <a:noFill/>
          </a:ln>
        </c:spPr>
        <c:txPr>
          <a:bodyPr rot="0" vert="horz"/>
          <a:lstStyle/>
          <a:p>
            <a:pPr>
              <a:defRPr sz="1200" b="0" i="0" u="none" strike="noStrike" baseline="0">
                <a:solidFill>
                  <a:srgbClr val="000000"/>
                </a:solidFill>
                <a:latin typeface="Arial"/>
                <a:ea typeface="Arial"/>
                <a:cs typeface="Arial"/>
              </a:defRPr>
            </a:pPr>
            <a:endParaRPr lang="en-US"/>
          </a:p>
        </c:txPr>
        <c:crossAx val="220211456"/>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400" b="0" i="0" u="none" strike="noStrike" baseline="0">
          <a:solidFill>
            <a:srgbClr val="808080"/>
          </a:solidFill>
          <a:latin typeface="Arial"/>
          <a:ea typeface="Arial"/>
          <a:cs typeface="Arial"/>
        </a:defRPr>
      </a:pPr>
      <a:endParaRPr lang="en-US"/>
    </a:p>
  </c:txPr>
  <c:printSettings>
    <c:headerFooter/>
    <c:pageMargins b="0.75" l="0.7" r="0.7" t="0.75" header="0.3" footer="0.3"/>
    <c:pageSetup orientation="landscape"/>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 Id="rId6" Target="../charts/chart6.xml" Type="http://schemas.openxmlformats.org/officeDocument/2006/relationships/chart"/>
<Relationship Id="rId7" Target="../charts/chart7.xml" Type="http://schemas.openxmlformats.org/officeDocument/2006/relationships/chart"/>
<Relationship Id="rId8" Target="../charts/chart8.xml" Type="http://schemas.openxmlformats.org/officeDocument/2006/relationships/chart"/>
<Relationship Id="rId9" Target="../charts/chart9.xml" Type="http://schemas.openxmlformats.org/officeDocument/2006/relationships/chart"/>
</Relationships>

</file>

<file path=xl/drawings/_rels/drawing4.xml.rels><?xml version="1.0" encoding="UTF-8" standalone="yes"?>
<Relationships xmlns="http://schemas.openxmlformats.org/package/2006/relationships">
<Relationship Id="rId1" Target="../charts/chart10.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285750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6</xdr:col>
      <xdr:colOff>285750</xdr:colOff>
      <xdr:row>193</xdr:row>
      <xdr:rowOff>28575</xdr:rowOff>
    </xdr:to>
    <xdr:pic>
      <xdr:nvPicPr>
        <xdr:cNvPr id="18134017" name="Picture 1" descr="C:\Users\delalio\AppData\Local\Temp\MercuryPriceRatingHistoryChart\PENN.O_2018_04_24_00_10_2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3940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47625</xdr:colOff>
      <xdr:row>23</xdr:row>
      <xdr:rowOff>19050</xdr:rowOff>
    </xdr:from>
    <xdr:to>
      <xdr:col>16</xdr:col>
      <xdr:colOff>381000</xdr:colOff>
      <xdr:row>39</xdr:row>
      <xdr:rowOff>28575</xdr:rowOff>
    </xdr:to>
    <xdr:graphicFrame macro="">
      <xdr:nvGraphicFramePr>
        <xdr:cNvPr id="1810495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361950</xdr:colOff>
      <xdr:row>146</xdr:row>
      <xdr:rowOff>19050</xdr:rowOff>
    </xdr:from>
    <xdr:to>
      <xdr:col>43</xdr:col>
      <xdr:colOff>142875</xdr:colOff>
      <xdr:row>163</xdr:row>
      <xdr:rowOff>95250</xdr:rowOff>
    </xdr:to>
    <xdr:graphicFrame macro="">
      <xdr:nvGraphicFramePr>
        <xdr:cNvPr id="18104951" name="Chart 1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51</xdr:col>
      <xdr:colOff>276225</xdr:colOff>
      <xdr:row>169</xdr:row>
      <xdr:rowOff>47625</xdr:rowOff>
    </xdr:from>
    <xdr:to>
      <xdr:col>58</xdr:col>
      <xdr:colOff>57150</xdr:colOff>
      <xdr:row>186</xdr:row>
      <xdr:rowOff>123825</xdr:rowOff>
    </xdr:to>
    <xdr:graphicFrame macro="">
      <xdr:nvGraphicFramePr>
        <xdr:cNvPr id="18104952" name="Chart 1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65</xdr:col>
      <xdr:colOff>142875</xdr:colOff>
      <xdr:row>222</xdr:row>
      <xdr:rowOff>152400</xdr:rowOff>
    </xdr:from>
    <xdr:to>
      <xdr:col>69</xdr:col>
      <xdr:colOff>400050</xdr:colOff>
      <xdr:row>239</xdr:row>
      <xdr:rowOff>142875</xdr:rowOff>
    </xdr:to>
    <xdr:graphicFrame macro="">
      <xdr:nvGraphicFramePr>
        <xdr:cNvPr id="1810495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65</xdr:col>
      <xdr:colOff>133350</xdr:colOff>
      <xdr:row>241</xdr:row>
      <xdr:rowOff>0</xdr:rowOff>
    </xdr:from>
    <xdr:to>
      <xdr:col>69</xdr:col>
      <xdr:colOff>390525</xdr:colOff>
      <xdr:row>257</xdr:row>
      <xdr:rowOff>152400</xdr:rowOff>
    </xdr:to>
    <xdr:graphicFrame macro="">
      <xdr:nvGraphicFramePr>
        <xdr:cNvPr id="1810495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90</xdr:col>
      <xdr:colOff>28575</xdr:colOff>
      <xdr:row>306</xdr:row>
      <xdr:rowOff>28575</xdr:rowOff>
    </xdr:from>
    <xdr:to>
      <xdr:col>96</xdr:col>
      <xdr:colOff>485775</xdr:colOff>
      <xdr:row>323</xdr:row>
      <xdr:rowOff>19050</xdr:rowOff>
    </xdr:to>
    <xdr:graphicFrame macro="">
      <xdr:nvGraphicFramePr>
        <xdr:cNvPr id="18104955"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99</xdr:col>
      <xdr:colOff>342900</xdr:colOff>
      <xdr:row>323</xdr:row>
      <xdr:rowOff>28575</xdr:rowOff>
    </xdr:from>
    <xdr:to>
      <xdr:col>106</xdr:col>
      <xdr:colOff>114300</xdr:colOff>
      <xdr:row>340</xdr:row>
      <xdr:rowOff>19050</xdr:rowOff>
    </xdr:to>
    <xdr:graphicFrame macro="">
      <xdr:nvGraphicFramePr>
        <xdr:cNvPr id="1810495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112</xdr:col>
      <xdr:colOff>142875</xdr:colOff>
      <xdr:row>392</xdr:row>
      <xdr:rowOff>9525</xdr:rowOff>
    </xdr:from>
    <xdr:to>
      <xdr:col>118</xdr:col>
      <xdr:colOff>619125</xdr:colOff>
      <xdr:row>409</xdr:row>
      <xdr:rowOff>85725</xdr:rowOff>
    </xdr:to>
    <xdr:graphicFrame macro="">
      <xdr:nvGraphicFramePr>
        <xdr:cNvPr id="1810495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127</xdr:col>
      <xdr:colOff>0</xdr:colOff>
      <xdr:row>418</xdr:row>
      <xdr:rowOff>0</xdr:rowOff>
    </xdr:from>
    <xdr:to>
      <xdr:col>133</xdr:col>
      <xdr:colOff>476250</xdr:colOff>
      <xdr:row>435</xdr:row>
      <xdr:rowOff>76200</xdr:rowOff>
    </xdr:to>
    <xdr:graphicFrame macro="">
      <xdr:nvGraphicFramePr>
        <xdr:cNvPr id="1810495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0.16944</cdr:x>
      <cdr:y>0.57602</cdr:y>
    </cdr:from>
    <cdr:to>
      <cdr:x>0.2118</cdr:x>
      <cdr:y>0.64227</cdr:y>
    </cdr:to>
    <cdr:cxnSp macro="">
      <cdr:nvCxnSpPr>
        <cdr:cNvPr id="3" name="Straight Arrow Connector 2"/>
        <cdr:cNvCxnSpPr/>
      </cdr:nvCxnSpPr>
      <cdr:spPr bwMode="auto">
        <a:xfrm xmlns:a="http://schemas.openxmlformats.org/drawingml/2006/main">
          <a:off x="1255059" y="1948706"/>
          <a:ext cx="313764" cy="224117"/>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rgbClr val="C00000"/>
          </a:solidFill>
          <a:prstDash val="solid"/>
          <a:round/>
          <a:headEnd type="none" w="med" len="med"/>
          <a:tailEnd type="arrow"/>
        </a:ln>
        <a:effectLst xmlns:a="http://schemas.openxmlformats.org/drawingml/2006/main"/>
      </cdr:spPr>
    </cdr:cxnSp>
  </cdr:relSizeAnchor>
  <cdr:relSizeAnchor xmlns:cdr="http://schemas.openxmlformats.org/drawingml/2006/chartDrawing">
    <cdr:from>
      <cdr:x>0.29349</cdr:x>
      <cdr:y>0.57602</cdr:y>
    </cdr:from>
    <cdr:to>
      <cdr:x>0.33585</cdr:x>
      <cdr:y>0.64227</cdr:y>
    </cdr:to>
    <cdr:cxnSp macro="">
      <cdr:nvCxnSpPr>
        <cdr:cNvPr id="4" name="Straight Arrow Connector 3"/>
        <cdr:cNvCxnSpPr/>
      </cdr:nvCxnSpPr>
      <cdr:spPr bwMode="auto">
        <a:xfrm xmlns:a="http://schemas.openxmlformats.org/drawingml/2006/main">
          <a:off x="2173941" y="1948706"/>
          <a:ext cx="313764" cy="224117"/>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rgbClr val="C00000"/>
          </a:solidFill>
          <a:prstDash val="solid"/>
          <a:round/>
          <a:headEnd type="none" w="med" len="med"/>
          <a:tailEnd type="arrow"/>
        </a:ln>
        <a:effectLst xmlns:a="http://schemas.openxmlformats.org/drawingml/2006/main"/>
      </cdr:spPr>
    </cdr:cxnSp>
  </cdr:relSizeAnchor>
  <cdr:relSizeAnchor xmlns:cdr="http://schemas.openxmlformats.org/drawingml/2006/chartDrawing">
    <cdr:from>
      <cdr:x>0.40545</cdr:x>
      <cdr:y>0.57602</cdr:y>
    </cdr:from>
    <cdr:to>
      <cdr:x>0.44781</cdr:x>
      <cdr:y>0.64227</cdr:y>
    </cdr:to>
    <cdr:cxnSp macro="">
      <cdr:nvCxnSpPr>
        <cdr:cNvPr id="5" name="Straight Arrow Connector 4"/>
        <cdr:cNvCxnSpPr/>
      </cdr:nvCxnSpPr>
      <cdr:spPr bwMode="auto">
        <a:xfrm xmlns:a="http://schemas.openxmlformats.org/drawingml/2006/main">
          <a:off x="3003177" y="1948706"/>
          <a:ext cx="313764" cy="224117"/>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rgbClr val="C00000"/>
          </a:solidFill>
          <a:prstDash val="solid"/>
          <a:round/>
          <a:headEnd type="none" w="med" len="med"/>
          <a:tailEnd type="arrow"/>
        </a:ln>
        <a:effectLst xmlns:a="http://schemas.openxmlformats.org/drawingml/2006/main"/>
      </cdr:spPr>
    </cdr:cxnSp>
  </cdr:relSizeAnchor>
  <cdr:relSizeAnchor xmlns:cdr="http://schemas.openxmlformats.org/drawingml/2006/chartDrawing">
    <cdr:from>
      <cdr:x>0.63843</cdr:x>
      <cdr:y>0.36403</cdr:y>
    </cdr:from>
    <cdr:to>
      <cdr:x>0.68079</cdr:x>
      <cdr:y>0.43028</cdr:y>
    </cdr:to>
    <cdr:cxnSp macro="">
      <cdr:nvCxnSpPr>
        <cdr:cNvPr id="8" name="Straight Arrow Connector 7"/>
        <cdr:cNvCxnSpPr/>
      </cdr:nvCxnSpPr>
      <cdr:spPr bwMode="auto">
        <a:xfrm xmlns:a="http://schemas.openxmlformats.org/drawingml/2006/main">
          <a:off x="4728882" y="1231529"/>
          <a:ext cx="313764" cy="224117"/>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rgbClr val="C00000"/>
          </a:solidFill>
          <a:prstDash val="solid"/>
          <a:round/>
          <a:headEnd type="none" w="med" len="med"/>
          <a:tailEnd type="arrow"/>
        </a:ln>
        <a:effectLst xmlns:a="http://schemas.openxmlformats.org/drawingml/2006/main"/>
      </cdr:spPr>
    </cdr:cxnSp>
  </cdr:relSizeAnchor>
  <cdr:relSizeAnchor xmlns:cdr="http://schemas.openxmlformats.org/drawingml/2006/chartDrawing">
    <cdr:from>
      <cdr:x>0.87746</cdr:x>
      <cdr:y>0.44353</cdr:y>
    </cdr:from>
    <cdr:to>
      <cdr:x>0.92587</cdr:x>
      <cdr:y>0.67208</cdr:y>
    </cdr:to>
    <cdr:cxnSp macro="">
      <cdr:nvCxnSpPr>
        <cdr:cNvPr id="9" name="Straight Arrow Connector 8"/>
        <cdr:cNvCxnSpPr/>
      </cdr:nvCxnSpPr>
      <cdr:spPr bwMode="auto">
        <a:xfrm xmlns:a="http://schemas.openxmlformats.org/drawingml/2006/main">
          <a:off x="6499411" y="1500471"/>
          <a:ext cx="358589" cy="773205"/>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rgbClr val="C00000"/>
          </a:solidFill>
          <a:prstDash val="solid"/>
          <a:round/>
          <a:headEnd type="none" w="med" len="med"/>
          <a:tailEnd type="arrow"/>
        </a:ln>
        <a:effectLst xmlns:a="http://schemas.openxmlformats.org/drawingml/2006/main"/>
      </cdr:spPr>
    </cdr:cxnSp>
  </cdr:relSizeAnchor>
  <cdr:relSizeAnchor xmlns:cdr="http://schemas.openxmlformats.org/drawingml/2006/chartDrawing">
    <cdr:from>
      <cdr:x>0.76399</cdr:x>
      <cdr:y>0.10898</cdr:y>
    </cdr:from>
    <cdr:to>
      <cdr:x>0.79123</cdr:x>
      <cdr:y>0.25141</cdr:y>
    </cdr:to>
    <cdr:cxnSp macro="">
      <cdr:nvCxnSpPr>
        <cdr:cNvPr id="12" name="Straight Arrow Connector 11"/>
        <cdr:cNvCxnSpPr/>
      </cdr:nvCxnSpPr>
      <cdr:spPr bwMode="auto">
        <a:xfrm xmlns:a="http://schemas.openxmlformats.org/drawingml/2006/main">
          <a:off x="5658971" y="368676"/>
          <a:ext cx="201705" cy="481853"/>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rgbClr val="C00000"/>
          </a:solidFill>
          <a:prstDash val="solid"/>
          <a:round/>
          <a:headEnd type="none" w="med" len="med"/>
          <a:tailEnd type="arrow"/>
        </a:ln>
        <a:effectLst xmlns:a="http://schemas.openxmlformats.org/drawingml/2006/main"/>
      </cdr:spPr>
    </cdr:cxnSp>
  </cdr:relSizeAnchor>
  <cdr:relSizeAnchor xmlns:cdr="http://schemas.openxmlformats.org/drawingml/2006/chartDrawing">
    <cdr:from>
      <cdr:x>0.17549</cdr:x>
      <cdr:y>0.53627</cdr:y>
    </cdr:from>
    <cdr:to>
      <cdr:x>0.25113</cdr:x>
      <cdr:y>0.61908</cdr:y>
    </cdr:to>
    <cdr:sp macro="" textlink="">
      <cdr:nvSpPr>
        <cdr:cNvPr id="14" name="TextBox 13"/>
        <cdr:cNvSpPr txBox="1"/>
      </cdr:nvSpPr>
      <cdr:spPr>
        <a:xfrm xmlns:a="http://schemas.openxmlformats.org/drawingml/2006/main">
          <a:off x="1299881" y="1814234"/>
          <a:ext cx="560295" cy="28014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b="1">
              <a:solidFill>
                <a:srgbClr val="C00000"/>
              </a:solidFill>
              <a:latin typeface="Arial" panose="020B0604020202020204" pitchFamily="34" charset="0"/>
              <a:cs typeface="Arial" panose="020B0604020202020204" pitchFamily="34" charset="0"/>
            </a:rPr>
            <a:t>-41%</a:t>
          </a:r>
        </a:p>
      </cdr:txBody>
    </cdr:sp>
  </cdr:relSizeAnchor>
  <cdr:relSizeAnchor xmlns:cdr="http://schemas.openxmlformats.org/drawingml/2006/chartDrawing">
    <cdr:from>
      <cdr:x>0.29652</cdr:x>
      <cdr:y>0.53627</cdr:y>
    </cdr:from>
    <cdr:to>
      <cdr:x>0.37216</cdr:x>
      <cdr:y>0.61908</cdr:y>
    </cdr:to>
    <cdr:sp macro="" textlink="">
      <cdr:nvSpPr>
        <cdr:cNvPr id="15" name="TextBox 14"/>
        <cdr:cNvSpPr txBox="1"/>
      </cdr:nvSpPr>
      <cdr:spPr>
        <a:xfrm xmlns:a="http://schemas.openxmlformats.org/drawingml/2006/main">
          <a:off x="2196352" y="1814234"/>
          <a:ext cx="560295" cy="28014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b="1">
              <a:solidFill>
                <a:srgbClr val="C00000"/>
              </a:solidFill>
              <a:latin typeface="Arial" panose="020B0604020202020204" pitchFamily="34" charset="0"/>
              <a:cs typeface="Arial" panose="020B0604020202020204" pitchFamily="34" charset="0"/>
            </a:rPr>
            <a:t>-53%</a:t>
          </a:r>
        </a:p>
      </cdr:txBody>
    </cdr:sp>
  </cdr:relSizeAnchor>
  <cdr:relSizeAnchor xmlns:cdr="http://schemas.openxmlformats.org/drawingml/2006/chartDrawing">
    <cdr:from>
      <cdr:x>0.40847</cdr:x>
      <cdr:y>0.53627</cdr:y>
    </cdr:from>
    <cdr:to>
      <cdr:x>0.48411</cdr:x>
      <cdr:y>0.61908</cdr:y>
    </cdr:to>
    <cdr:sp macro="" textlink="">
      <cdr:nvSpPr>
        <cdr:cNvPr id="16" name="TextBox 15"/>
        <cdr:cNvSpPr txBox="1"/>
      </cdr:nvSpPr>
      <cdr:spPr>
        <a:xfrm xmlns:a="http://schemas.openxmlformats.org/drawingml/2006/main">
          <a:off x="3025587" y="1814234"/>
          <a:ext cx="560295" cy="28014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b="1">
              <a:solidFill>
                <a:srgbClr val="C00000"/>
              </a:solidFill>
              <a:latin typeface="Arial" panose="020B0604020202020204" pitchFamily="34" charset="0"/>
              <a:cs typeface="Arial" panose="020B0604020202020204" pitchFamily="34" charset="0"/>
            </a:rPr>
            <a:t>-48%</a:t>
          </a:r>
        </a:p>
      </cdr:txBody>
    </cdr:sp>
  </cdr:relSizeAnchor>
  <cdr:relSizeAnchor xmlns:cdr="http://schemas.openxmlformats.org/drawingml/2006/chartDrawing">
    <cdr:from>
      <cdr:x>0.50378</cdr:x>
      <cdr:y>0.53958</cdr:y>
    </cdr:from>
    <cdr:to>
      <cdr:x>0.57943</cdr:x>
      <cdr:y>0.62239</cdr:y>
    </cdr:to>
    <cdr:sp macro="" textlink="">
      <cdr:nvSpPr>
        <cdr:cNvPr id="18" name="TextBox 17"/>
        <cdr:cNvSpPr txBox="1"/>
      </cdr:nvSpPr>
      <cdr:spPr>
        <a:xfrm xmlns:a="http://schemas.openxmlformats.org/drawingml/2006/main">
          <a:off x="3731557" y="1825440"/>
          <a:ext cx="560295" cy="28014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b="1">
              <a:solidFill>
                <a:srgbClr val="C00000"/>
              </a:solidFill>
              <a:latin typeface="Arial" panose="020B0604020202020204" pitchFamily="34" charset="0"/>
              <a:cs typeface="Arial" panose="020B0604020202020204" pitchFamily="34" charset="0"/>
            </a:rPr>
            <a:t>-15%</a:t>
          </a:r>
        </a:p>
      </cdr:txBody>
    </cdr:sp>
  </cdr:relSizeAnchor>
  <cdr:relSizeAnchor xmlns:cdr="http://schemas.openxmlformats.org/drawingml/2006/chartDrawing">
    <cdr:from>
      <cdr:x>0.64145</cdr:x>
      <cdr:y>0.32759</cdr:y>
    </cdr:from>
    <cdr:to>
      <cdr:x>0.7171</cdr:x>
      <cdr:y>0.4104</cdr:y>
    </cdr:to>
    <cdr:sp macro="" textlink="">
      <cdr:nvSpPr>
        <cdr:cNvPr id="19" name="TextBox 18"/>
        <cdr:cNvSpPr txBox="1"/>
      </cdr:nvSpPr>
      <cdr:spPr>
        <a:xfrm xmlns:a="http://schemas.openxmlformats.org/drawingml/2006/main">
          <a:off x="4751291" y="1108263"/>
          <a:ext cx="560295" cy="28014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b="1">
              <a:solidFill>
                <a:srgbClr val="C00000"/>
              </a:solidFill>
              <a:latin typeface="Arial" panose="020B0604020202020204" pitchFamily="34" charset="0"/>
              <a:cs typeface="Arial" panose="020B0604020202020204" pitchFamily="34" charset="0"/>
            </a:rPr>
            <a:t>-32%</a:t>
          </a:r>
        </a:p>
      </cdr:txBody>
    </cdr:sp>
  </cdr:relSizeAnchor>
  <cdr:relSizeAnchor xmlns:cdr="http://schemas.openxmlformats.org/drawingml/2006/chartDrawing">
    <cdr:from>
      <cdr:x>0.77004</cdr:x>
      <cdr:y>0.12223</cdr:y>
    </cdr:from>
    <cdr:to>
      <cdr:x>0.84569</cdr:x>
      <cdr:y>0.20504</cdr:y>
    </cdr:to>
    <cdr:sp macro="" textlink="">
      <cdr:nvSpPr>
        <cdr:cNvPr id="20" name="TextBox 19"/>
        <cdr:cNvSpPr txBox="1"/>
      </cdr:nvSpPr>
      <cdr:spPr>
        <a:xfrm xmlns:a="http://schemas.openxmlformats.org/drawingml/2006/main">
          <a:off x="5703791" y="413499"/>
          <a:ext cx="560295" cy="28014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b="1">
              <a:solidFill>
                <a:srgbClr val="C00000"/>
              </a:solidFill>
              <a:latin typeface="Arial" panose="020B0604020202020204" pitchFamily="34" charset="0"/>
              <a:cs typeface="Arial" panose="020B0604020202020204" pitchFamily="34" charset="0"/>
            </a:rPr>
            <a:t>-32%</a:t>
          </a:r>
        </a:p>
      </cdr:txBody>
    </cdr:sp>
  </cdr:relSizeAnchor>
  <cdr:relSizeAnchor xmlns:cdr="http://schemas.openxmlformats.org/drawingml/2006/chartDrawing">
    <cdr:from>
      <cdr:x>0.89107</cdr:x>
      <cdr:y>0.47665</cdr:y>
    </cdr:from>
    <cdr:to>
      <cdr:x>0.96672</cdr:x>
      <cdr:y>0.55946</cdr:y>
    </cdr:to>
    <cdr:sp macro="" textlink="">
      <cdr:nvSpPr>
        <cdr:cNvPr id="21" name="TextBox 20"/>
        <cdr:cNvSpPr txBox="1"/>
      </cdr:nvSpPr>
      <cdr:spPr>
        <a:xfrm xmlns:a="http://schemas.openxmlformats.org/drawingml/2006/main">
          <a:off x="6600260" y="1612528"/>
          <a:ext cx="560295" cy="28014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00" b="1">
              <a:solidFill>
                <a:srgbClr val="C00000"/>
              </a:solidFill>
              <a:latin typeface="Arial" panose="020B0604020202020204" pitchFamily="34" charset="0"/>
              <a:cs typeface="Arial" panose="020B0604020202020204" pitchFamily="34" charset="0"/>
            </a:rPr>
            <a:t>-89%</a:t>
          </a:r>
        </a:p>
      </cdr:txBody>
    </cdr:sp>
  </cdr:relSizeAnchor>
  <cdr:relSizeAnchor xmlns:cdr="http://schemas.openxmlformats.org/drawingml/2006/chartDrawing">
    <cdr:from>
      <cdr:x>0.50227</cdr:x>
      <cdr:y>0.57602</cdr:y>
    </cdr:from>
    <cdr:to>
      <cdr:x>0.54463</cdr:x>
      <cdr:y>0.64227</cdr:y>
    </cdr:to>
    <cdr:cxnSp macro="">
      <cdr:nvCxnSpPr>
        <cdr:cNvPr id="22" name="Straight Arrow Connector 21"/>
        <cdr:cNvCxnSpPr/>
      </cdr:nvCxnSpPr>
      <cdr:spPr bwMode="auto">
        <a:xfrm xmlns:a="http://schemas.openxmlformats.org/drawingml/2006/main">
          <a:off x="3720353" y="1948706"/>
          <a:ext cx="313764" cy="224117"/>
        </a:xfrm>
        <a:prstGeom xmlns:a="http://schemas.openxmlformats.org/drawingml/2006/main" prst="straightConnector1">
          <a:avLst/>
        </a:prstGeom>
        <a:solidFill xmlns:a="http://schemas.openxmlformats.org/drawingml/2006/main">
          <a:srgbClr val="FFFFFF"/>
        </a:solidFill>
        <a:ln xmlns:a="http://schemas.openxmlformats.org/drawingml/2006/main" w="9525" cap="flat" cmpd="sng" algn="ctr">
          <a:solidFill>
            <a:srgbClr val="C00000"/>
          </a:solidFill>
          <a:prstDash val="solid"/>
          <a:round/>
          <a:headEnd type="none" w="med" len="med"/>
          <a:tailEnd type="arrow"/>
        </a:ln>
        <a:effectLst xmlns:a="http://schemas.openxmlformats.org/drawingml/2006/main"/>
      </cdr:spPr>
    </cdr:cxnSp>
  </cdr:relSizeAnchor>
</c:userShapes>
</file>

<file path=xl/drawings/drawing4.xml><?xml version="1.0" encoding="utf-8"?>
<xdr:wsDr xmlns:xdr="http://schemas.openxmlformats.org/drawingml/2006/spreadsheetDrawing" xmlns:a="http://schemas.openxmlformats.org/drawingml/2006/main">
  <xdr:twoCellAnchor>
    <xdr:from>
      <xdr:col>204</xdr:col>
      <xdr:colOff>295275</xdr:colOff>
      <xdr:row>639</xdr:row>
      <xdr:rowOff>38100</xdr:rowOff>
    </xdr:from>
    <xdr:to>
      <xdr:col>210</xdr:col>
      <xdr:colOff>1143000</xdr:colOff>
      <xdr:row>660</xdr:row>
      <xdr:rowOff>47625</xdr:rowOff>
    </xdr:to>
    <xdr:graphicFrame macro="">
      <xdr:nvGraphicFramePr>
        <xdr:cNvPr id="1085209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mailto:=C98-@sum(C80:C96)" TargetMode="External" Type="http://schemas.openxmlformats.org/officeDocument/2006/relationships/hyperlink"/>
<Relationship Id="rId10" Target="mailto:=C98-@sum(C80:C96)" TargetMode="External" Type="http://schemas.openxmlformats.org/officeDocument/2006/relationships/hyperlink"/>
<Relationship Id="rId11" Target="mailto:=C98-@sum(C80:C96)" TargetMode="External" Type="http://schemas.openxmlformats.org/officeDocument/2006/relationships/hyperlink"/>
<Relationship Id="rId12" Target="mailto:=C98-@sum(C80:C96)" TargetMode="External" Type="http://schemas.openxmlformats.org/officeDocument/2006/relationships/hyperlink"/>
<Relationship Id="rId13" Target="mailto:=C98-@sum(C80:C96)" TargetMode="External" Type="http://schemas.openxmlformats.org/officeDocument/2006/relationships/hyperlink"/>
<Relationship Id="rId14" Target="mailto:=C98-@sum(C80:C96)" TargetMode="External" Type="http://schemas.openxmlformats.org/officeDocument/2006/relationships/hyperlink"/>
<Relationship Id="rId15" Target="../printerSettings/printerSettings2.bin" Type="http://schemas.openxmlformats.org/officeDocument/2006/relationships/printerSettings"/>
<Relationship Id="rId16" Target="../drawings/vmlDrawing1.vml" Type="http://schemas.openxmlformats.org/officeDocument/2006/relationships/vmlDrawing"/>
<Relationship Id="rId17" Target="../comments1.xml" Type="http://schemas.openxmlformats.org/officeDocument/2006/relationships/comments"/>
<Relationship Id="rId2" Target="mailto:=C98-@sum(C80:C96)" TargetMode="External" Type="http://schemas.openxmlformats.org/officeDocument/2006/relationships/hyperlink"/>
<Relationship Id="rId3" Target="mailto:=C98-@sum(C80:C96)" TargetMode="External" Type="http://schemas.openxmlformats.org/officeDocument/2006/relationships/hyperlink"/>
<Relationship Id="rId4" Target="mailto:=C98-@sum(C80:C96)" TargetMode="External" Type="http://schemas.openxmlformats.org/officeDocument/2006/relationships/hyperlink"/>
<Relationship Id="rId5" Target="mailto:=C98-@sum(C80:C96)" TargetMode="External" Type="http://schemas.openxmlformats.org/officeDocument/2006/relationships/hyperlink"/>
<Relationship Id="rId6" Target="mailto:=C98-@sum(C80:C96)" TargetMode="External" Type="http://schemas.openxmlformats.org/officeDocument/2006/relationships/hyperlink"/>
<Relationship Id="rId7" Target="mailto:=C98-@sum(C80:C96)" TargetMode="External" Type="http://schemas.openxmlformats.org/officeDocument/2006/relationships/hyperlink"/>
<Relationship Id="rId8" Target="mailto:=C98-@sum(C80:C96)" TargetMode="External" Type="http://schemas.openxmlformats.org/officeDocument/2006/relationships/hyperlink"/>
<Relationship Id="rId9" Target="mailto:=C98-@sum(C80:C96)"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2.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4.xml" Type="http://schemas.openxmlformats.org/officeDocument/2006/relationships/drawing"/>
<Relationship Id="rId3" Target="../drawings/vmlDrawing4.vml" Type="http://schemas.openxmlformats.org/officeDocument/2006/relationships/vmlDrawing"/>
<Relationship Id="rId4"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23.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printerSettings/printerSettings24.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file:////msad.ms.com/ROOT/NA/NY/LIB/ER/GAMING/Strawn/Microsoft/Windows/Users/savinmar/AppData/Local/Microsoft/Windows/Users/savinmar/AppData/Local/Microsoft/Windows/Temporary%20Internet%20Files/savinmar/thallen/Local%20Settings/thallen/Local%20Settings/thallen/Local%20Settings/markoami/Local%20Settings/Temporary%20Internet%20Files/Content.IE5/Documents/Visual%20Insights%20Discussion.aspx" TargetMode="External" Type="http://schemas.openxmlformats.org/officeDocument/2006/relationships/hyperlink"/>
<Relationship Id="rId2" Target="../printerSettings/printerSettings25.bin" Type="http://schemas.openxmlformats.org/officeDocument/2006/relationships/printerSettings"/>
</Relationships>

</file>

<file path=xl/worksheets/_rels/sheet26.xml.rels><?xml version="1.0" encoding="UTF-8" standalone="yes"?>
<Relationships xmlns="http://schemas.openxmlformats.org/package/2006/relationships">
<Relationship Id="rId1" Target="../printerSettings/printerSettings26.bin" Type="http://schemas.openxmlformats.org/officeDocument/2006/relationships/printerSettings"/>
</Relationships>

</file>

<file path=xl/worksheets/_rels/sheet27.xml.rels><?xml version="1.0" encoding="UTF-8" standalone="yes"?>
<Relationships xmlns="http://schemas.openxmlformats.org/package/2006/relationships">
<Relationship Id="rId1" Target="../printerSettings/printerSettings27.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http://www.bls.gov/lau/home.htm" TargetMode="External" Type="http://schemas.openxmlformats.org/officeDocument/2006/relationships/hyperlink"/>
<Relationship Id="rId2" Target="../printerSettings/printerSettings28.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29.bin" Type="http://schemas.openxmlformats.org/officeDocument/2006/relationships/printerSettings"/>
</Relationships>

</file>

<file path=xl/worksheets/_rels/sheet30.xml.rels><?xml version="1.0" encoding="UTF-8" standalone="yes"?>
<Relationships xmlns="http://schemas.openxmlformats.org/package/2006/relationships">
<Relationship Id="rId1" Target="../printerSettings/printerSettings30.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388"/>
  <sheetViews>
    <sheetView showGridLines="0" tabSelected="1" workbookViewId="0">
      <selection activeCell="Z1" sqref="Z1"/>
    </sheetView>
  </sheetViews>
  <sheetFormatPr defaultRowHeight="12.75" x14ac:dyDescent="0.2"/>
  <cols>
    <col min="1" max="1" width="25.625" style="3590" customWidth="1"/>
    <col min="2" max="5" width="9" style="3590"/>
    <col min="6" max="6" width="18.625" style="3590" customWidth="1"/>
    <col min="7" max="256" width="9" style="3590"/>
    <col min="257" max="257" width="88.125" style="3590" customWidth="1"/>
    <col min="258" max="512" width="9" style="3590"/>
    <col min="513" max="513" width="88.125" style="3590" customWidth="1"/>
    <col min="514" max="768" width="9" style="3590"/>
    <col min="769" max="769" width="88.125" style="3590" customWidth="1"/>
    <col min="770" max="1024" width="9" style="3590"/>
    <col min="1025" max="1025" width="88.125" style="3590" customWidth="1"/>
    <col min="1026" max="1280" width="9" style="3590"/>
    <col min="1281" max="1281" width="88.125" style="3590" customWidth="1"/>
    <col min="1282" max="1536" width="9" style="3590"/>
    <col min="1537" max="1537" width="88.125" style="3590" customWidth="1"/>
    <col min="1538" max="1792" width="9" style="3590"/>
    <col min="1793" max="1793" width="88.125" style="3590" customWidth="1"/>
    <col min="1794" max="2048" width="9" style="3590"/>
    <col min="2049" max="2049" width="88.125" style="3590" customWidth="1"/>
    <col min="2050" max="2304" width="9" style="3590"/>
    <col min="2305" max="2305" width="88.125" style="3590" customWidth="1"/>
    <col min="2306" max="2560" width="9" style="3590"/>
    <col min="2561" max="2561" width="88.125" style="3590" customWidth="1"/>
    <col min="2562" max="2816" width="9" style="3590"/>
    <col min="2817" max="2817" width="88.125" style="3590" customWidth="1"/>
    <col min="2818" max="3072" width="9" style="3590"/>
    <col min="3073" max="3073" width="88.125" style="3590" customWidth="1"/>
    <col min="3074" max="3328" width="9" style="3590"/>
    <col min="3329" max="3329" width="88.125" style="3590" customWidth="1"/>
    <col min="3330" max="3584" width="9" style="3590"/>
    <col min="3585" max="3585" width="88.125" style="3590" customWidth="1"/>
    <col min="3586" max="3840" width="9" style="3590"/>
    <col min="3841" max="3841" width="88.125" style="3590" customWidth="1"/>
    <col min="3842" max="4096" width="9" style="3590"/>
    <col min="4097" max="4097" width="88.125" style="3590" customWidth="1"/>
    <col min="4098" max="4352" width="9" style="3590"/>
    <col min="4353" max="4353" width="88.125" style="3590" customWidth="1"/>
    <col min="4354" max="4608" width="9" style="3590"/>
    <col min="4609" max="4609" width="88.125" style="3590" customWidth="1"/>
    <col min="4610" max="4864" width="9" style="3590"/>
    <col min="4865" max="4865" width="88.125" style="3590" customWidth="1"/>
    <col min="4866" max="5120" width="9" style="3590"/>
    <col min="5121" max="5121" width="88.125" style="3590" customWidth="1"/>
    <col min="5122" max="5376" width="9" style="3590"/>
    <col min="5377" max="5377" width="88.125" style="3590" customWidth="1"/>
    <col min="5378" max="5632" width="9" style="3590"/>
    <col min="5633" max="5633" width="88.125" style="3590" customWidth="1"/>
    <col min="5634" max="5888" width="9" style="3590"/>
    <col min="5889" max="5889" width="88.125" style="3590" customWidth="1"/>
    <col min="5890" max="6144" width="9" style="3590"/>
    <col min="6145" max="6145" width="88.125" style="3590" customWidth="1"/>
    <col min="6146" max="6400" width="9" style="3590"/>
    <col min="6401" max="6401" width="88.125" style="3590" customWidth="1"/>
    <col min="6402" max="6656" width="9" style="3590"/>
    <col min="6657" max="6657" width="88.125" style="3590" customWidth="1"/>
    <col min="6658" max="6912" width="9" style="3590"/>
    <col min="6913" max="6913" width="88.125" style="3590" customWidth="1"/>
    <col min="6914" max="7168" width="9" style="3590"/>
    <col min="7169" max="7169" width="88.125" style="3590" customWidth="1"/>
    <col min="7170" max="7424" width="9" style="3590"/>
    <col min="7425" max="7425" width="88.125" style="3590" customWidth="1"/>
    <col min="7426" max="7680" width="9" style="3590"/>
    <col min="7681" max="7681" width="88.125" style="3590" customWidth="1"/>
    <col min="7682" max="7936" width="9" style="3590"/>
    <col min="7937" max="7937" width="88.125" style="3590" customWidth="1"/>
    <col min="7938" max="8192" width="9" style="3590"/>
    <col min="8193" max="8193" width="88.125" style="3590" customWidth="1"/>
    <col min="8194" max="8448" width="9" style="3590"/>
    <col min="8449" max="8449" width="88.125" style="3590" customWidth="1"/>
    <col min="8450" max="8704" width="9" style="3590"/>
    <col min="8705" max="8705" width="88.125" style="3590" customWidth="1"/>
    <col min="8706" max="8960" width="9" style="3590"/>
    <col min="8961" max="8961" width="88.125" style="3590" customWidth="1"/>
    <col min="8962" max="9216" width="9" style="3590"/>
    <col min="9217" max="9217" width="88.125" style="3590" customWidth="1"/>
    <col min="9218" max="9472" width="9" style="3590"/>
    <col min="9473" max="9473" width="88.125" style="3590" customWidth="1"/>
    <col min="9474" max="9728" width="9" style="3590"/>
    <col min="9729" max="9729" width="88.125" style="3590" customWidth="1"/>
    <col min="9730" max="9984" width="9" style="3590"/>
    <col min="9985" max="9985" width="88.125" style="3590" customWidth="1"/>
    <col min="9986" max="10240" width="9" style="3590"/>
    <col min="10241" max="10241" width="88.125" style="3590" customWidth="1"/>
    <col min="10242" max="10496" width="9" style="3590"/>
    <col min="10497" max="10497" width="88.125" style="3590" customWidth="1"/>
    <col min="10498" max="10752" width="9" style="3590"/>
    <col min="10753" max="10753" width="88.125" style="3590" customWidth="1"/>
    <col min="10754" max="11008" width="9" style="3590"/>
    <col min="11009" max="11009" width="88.125" style="3590" customWidth="1"/>
    <col min="11010" max="11264" width="9" style="3590"/>
    <col min="11265" max="11265" width="88.125" style="3590" customWidth="1"/>
    <col min="11266" max="11520" width="9" style="3590"/>
    <col min="11521" max="11521" width="88.125" style="3590" customWidth="1"/>
    <col min="11522" max="11776" width="9" style="3590"/>
    <col min="11777" max="11777" width="88.125" style="3590" customWidth="1"/>
    <col min="11778" max="12032" width="9" style="3590"/>
    <col min="12033" max="12033" width="88.125" style="3590" customWidth="1"/>
    <col min="12034" max="12288" width="9" style="3590"/>
    <col min="12289" max="12289" width="88.125" style="3590" customWidth="1"/>
    <col min="12290" max="12544" width="9" style="3590"/>
    <col min="12545" max="12545" width="88.125" style="3590" customWidth="1"/>
    <col min="12546" max="12800" width="9" style="3590"/>
    <col min="12801" max="12801" width="88.125" style="3590" customWidth="1"/>
    <col min="12802" max="13056" width="9" style="3590"/>
    <col min="13057" max="13057" width="88.125" style="3590" customWidth="1"/>
    <col min="13058" max="13312" width="9" style="3590"/>
    <col min="13313" max="13313" width="88.125" style="3590" customWidth="1"/>
    <col min="13314" max="13568" width="9" style="3590"/>
    <col min="13569" max="13569" width="88.125" style="3590" customWidth="1"/>
    <col min="13570" max="13824" width="9" style="3590"/>
    <col min="13825" max="13825" width="88.125" style="3590" customWidth="1"/>
    <col min="13826" max="14080" width="9" style="3590"/>
    <col min="14081" max="14081" width="88.125" style="3590" customWidth="1"/>
    <col min="14082" max="14336" width="9" style="3590"/>
    <col min="14337" max="14337" width="88.125" style="3590" customWidth="1"/>
    <col min="14338" max="14592" width="9" style="3590"/>
    <col min="14593" max="14593" width="88.125" style="3590" customWidth="1"/>
    <col min="14594" max="14848" width="9" style="3590"/>
    <col min="14849" max="14849" width="88.125" style="3590" customWidth="1"/>
    <col min="14850" max="15104" width="9" style="3590"/>
    <col min="15105" max="15105" width="88.125" style="3590" customWidth="1"/>
    <col min="15106" max="15360" width="9" style="3590"/>
    <col min="15361" max="15361" width="88.125" style="3590" customWidth="1"/>
    <col min="15362" max="15616" width="9" style="3590"/>
    <col min="15617" max="15617" width="88.125" style="3590" customWidth="1"/>
    <col min="15618" max="15872" width="9" style="3590"/>
    <col min="15873" max="15873" width="88.125" style="3590" customWidth="1"/>
    <col min="15874" max="16128" width="9" style="3590"/>
    <col min="16129" max="16129" width="88.125" style="3590" customWidth="1"/>
    <col min="16130" max="16384" width="9" style="3590"/>
  </cols>
  <sheetData>
    <row r="1" spans="1:8" ht="30" customHeight="1" x14ac:dyDescent="0.2">
      <c r="A1" s="3588"/>
      <c r="B1" s="3589"/>
      <c r="C1" s="3589"/>
      <c r="D1" s="3589"/>
      <c r="E1" s="3589"/>
      <c r="F1" s="3589"/>
      <c r="G1" s="3589"/>
      <c r="H1" s="3589"/>
    </row>
    <row r="2" spans="1:8" ht="14.25" x14ac:dyDescent="0.2">
      <c r="A2" s="3591" t="s">
        <v>2704</v>
      </c>
      <c r="B2" s="3589"/>
      <c r="C2" s="3589"/>
      <c r="D2" s="3589"/>
      <c r="E2" s="3589"/>
      <c r="F2" s="3589"/>
      <c r="G2" s="3589"/>
      <c r="H2" s="3589"/>
    </row>
    <row r="3" spans="1:8" ht="14.25" x14ac:dyDescent="0.2">
      <c r="A3" s="3591" t="s">
        <v>2705</v>
      </c>
      <c r="B3" s="3589"/>
      <c r="C3" s="3589"/>
      <c r="D3" s="3589"/>
      <c r="E3" s="3589"/>
      <c r="F3" s="3589"/>
      <c r="G3" s="3589"/>
      <c r="H3" s="3589"/>
    </row>
    <row r="4" spans="1:8" ht="14.25" x14ac:dyDescent="0.2">
      <c r="A4" s="3591" t="s">
        <v>2706</v>
      </c>
      <c r="B4" s="3589"/>
      <c r="C4" s="3589"/>
      <c r="D4" s="3589"/>
      <c r="E4" s="3589"/>
      <c r="F4" s="3589"/>
      <c r="G4" s="3589"/>
      <c r="H4" s="3589"/>
    </row>
    <row r="5" spans="1:8" ht="14.25" x14ac:dyDescent="0.2">
      <c r="A5" s="3591" t="s">
        <v>2707</v>
      </c>
      <c r="B5" s="3589"/>
      <c r="C5" s="3589"/>
      <c r="D5" s="3589"/>
      <c r="E5" s="3589"/>
      <c r="F5" s="3589"/>
      <c r="G5" s="3589"/>
      <c r="H5" s="3589"/>
    </row>
    <row r="6" spans="1:8" ht="14.25" x14ac:dyDescent="0.2">
      <c r="A6" s="3591"/>
      <c r="B6" s="3589"/>
      <c r="C6" s="3589"/>
      <c r="D6" s="3589"/>
      <c r="E6" s="3589"/>
      <c r="F6" s="3589"/>
      <c r="G6" s="3589"/>
      <c r="H6" s="3589"/>
    </row>
    <row r="7" spans="1:8" x14ac:dyDescent="0.2">
      <c r="A7" s="3588" t="s">
        <v>2708</v>
      </c>
      <c r="B7" s="3589"/>
      <c r="C7" s="3589"/>
      <c r="D7" s="3589"/>
      <c r="E7" s="3589"/>
      <c r="F7" s="3589"/>
      <c r="G7" s="3589"/>
      <c r="H7" s="3589"/>
    </row>
    <row r="8" spans="1:8" x14ac:dyDescent="0.2">
      <c r="A8" s="3588" t="s">
        <v>2709</v>
      </c>
      <c r="B8" s="3589"/>
      <c r="C8" s="3589"/>
      <c r="D8" s="3589"/>
      <c r="E8" s="3589"/>
      <c r="F8" s="3589"/>
      <c r="G8" s="3589"/>
      <c r="H8" s="3589"/>
    </row>
    <row r="9" spans="1:8" x14ac:dyDescent="0.2">
      <c r="A9" s="3588"/>
      <c r="B9" s="3589"/>
      <c r="C9" s="3589"/>
      <c r="D9" s="3589"/>
      <c r="E9" s="3589"/>
      <c r="F9" s="3589"/>
      <c r="G9" s="3589"/>
      <c r="H9" s="3589"/>
    </row>
    <row r="10" spans="1:8" x14ac:dyDescent="0.2">
      <c r="A10" s="3592" t="s">
        <v>2710</v>
      </c>
      <c r="B10" s="3589"/>
      <c r="C10" s="3589"/>
      <c r="D10" s="3589"/>
      <c r="E10" s="3589"/>
      <c r="F10" s="3589"/>
      <c r="G10" s="3589"/>
      <c r="H10" s="3589"/>
    </row>
    <row r="11" spans="1:8" x14ac:dyDescent="0.2">
      <c r="A11" s="3592" t="s">
        <v>2711</v>
      </c>
      <c r="B11" s="3589"/>
      <c r="C11" s="3589"/>
      <c r="D11" s="3589"/>
      <c r="E11" s="3589"/>
      <c r="F11" s="3589"/>
      <c r="G11" s="3589"/>
      <c r="H11" s="3589"/>
    </row>
    <row r="12" spans="1:8" x14ac:dyDescent="0.2">
      <c r="A12" s="3592" t="s">
        <v>2712</v>
      </c>
      <c r="B12" s="3589"/>
      <c r="C12" s="3589"/>
      <c r="D12" s="3589"/>
      <c r="E12" s="3589"/>
      <c r="F12" s="3589"/>
      <c r="G12" s="3589"/>
      <c r="H12" s="3589"/>
    </row>
    <row r="13" spans="1:8" x14ac:dyDescent="0.2">
      <c r="A13" s="3592" t="s">
        <v>2713</v>
      </c>
      <c r="B13" s="3589"/>
      <c r="C13" s="3589"/>
      <c r="D13" s="3589"/>
      <c r="E13" s="3589"/>
      <c r="F13" s="3589"/>
      <c r="G13" s="3589"/>
      <c r="H13" s="3589"/>
    </row>
    <row r="14" spans="1:8" x14ac:dyDescent="0.2">
      <c r="A14" s="3592" t="s">
        <v>2714</v>
      </c>
      <c r="B14" s="3589"/>
      <c r="C14" s="3589"/>
      <c r="D14" s="3589"/>
      <c r="E14" s="3589"/>
      <c r="F14" s="3589"/>
      <c r="G14" s="3589"/>
      <c r="H14" s="3589"/>
    </row>
    <row r="15" spans="1:8" x14ac:dyDescent="0.2">
      <c r="A15" s="3592" t="s">
        <v>2715</v>
      </c>
      <c r="B15" s="3589"/>
      <c r="C15" s="3589"/>
      <c r="D15" s="3589"/>
      <c r="E15" s="3589"/>
      <c r="F15" s="3589"/>
      <c r="G15" s="3589"/>
      <c r="H15" s="3589"/>
    </row>
    <row r="16" spans="1:8" x14ac:dyDescent="0.2">
      <c r="A16" s="3592"/>
      <c r="B16" s="3589"/>
      <c r="C16" s="3589"/>
      <c r="D16" s="3589"/>
      <c r="E16" s="3589"/>
      <c r="F16" s="3589"/>
      <c r="G16" s="3589"/>
      <c r="H16" s="3589"/>
    </row>
    <row r="17" spans="1:8" x14ac:dyDescent="0.2">
      <c r="A17" s="3592" t="s">
        <v>2701</v>
      </c>
      <c r="B17" s="3589"/>
      <c r="C17" s="3589"/>
      <c r="D17" s="3589"/>
      <c r="E17" s="3589"/>
      <c r="F17" s="3589"/>
      <c r="G17" s="3589"/>
      <c r="H17" s="3589"/>
    </row>
    <row r="18" spans="1:8" x14ac:dyDescent="0.2">
      <c r="A18" s="3592"/>
      <c r="B18" s="3589"/>
      <c r="C18" s="3589"/>
      <c r="D18" s="3589"/>
      <c r="E18" s="3589"/>
      <c r="F18" s="3589"/>
      <c r="G18" s="3589"/>
      <c r="H18" s="3589"/>
    </row>
    <row r="19" spans="1:8" x14ac:dyDescent="0.2">
      <c r="A19" s="3592" t="s">
        <v>2702</v>
      </c>
      <c r="B19" s="3589"/>
      <c r="C19" s="3589"/>
      <c r="D19" s="3589"/>
      <c r="E19" s="3589"/>
      <c r="F19" s="3589"/>
      <c r="G19" s="3589"/>
      <c r="H19" s="3589"/>
    </row>
    <row r="20" spans="1:8" x14ac:dyDescent="0.2">
      <c r="A20" s="3588"/>
      <c r="B20" s="3589"/>
      <c r="C20" s="3589"/>
      <c r="D20" s="3589"/>
      <c r="E20" s="3589"/>
      <c r="F20" s="3589"/>
      <c r="G20" s="3589"/>
      <c r="H20" s="3589"/>
    </row>
    <row r="21" spans="1:8" x14ac:dyDescent="0.2">
      <c r="A21" s="3593" t="s">
        <v>2703</v>
      </c>
      <c r="B21" s="3589"/>
      <c r="C21" s="3589"/>
      <c r="D21" s="3589"/>
      <c r="E21" s="3589"/>
      <c r="F21" s="3589"/>
      <c r="G21" s="3589"/>
      <c r="H21" s="3589"/>
    </row>
    <row r="22" spans="1:8" ht="15.75" x14ac:dyDescent="0.2">
      <c r="A22" s="3594"/>
      <c r="B22" s="3594"/>
      <c r="C22" s="3594"/>
      <c r="D22" s="3594"/>
      <c r="E22" s="3594"/>
      <c r="F22" s="3594"/>
      <c r="G22" s="3594"/>
      <c r="H22" s="3594"/>
    </row>
    <row r="23" spans="1:8" ht="15.75" x14ac:dyDescent="0.2">
      <c r="A23" s="3595" t="s">
        <v>2991</v>
      </c>
      <c r="B23" s="3594"/>
      <c r="C23" s="3594"/>
      <c r="D23" s="3594"/>
      <c r="E23" s="3594"/>
      <c r="F23" s="3594"/>
      <c r="G23" s="3594"/>
      <c r="H23" s="3594"/>
    </row>
    <row r="24" spans="1:8" ht="15.75" x14ac:dyDescent="0.2">
      <c r="A24" s="3595" t="s">
        <v>2992</v>
      </c>
      <c r="B24" s="3594"/>
      <c r="C24" s="3594"/>
      <c r="D24" s="3594"/>
      <c r="E24" s="3594"/>
      <c r="F24" s="3594"/>
      <c r="G24" s="3594"/>
      <c r="H24" s="3594"/>
    </row>
    <row r="25" spans="1:8" ht="15.75" x14ac:dyDescent="0.2">
      <c r="A25" s="3595" t="s">
        <v>2993</v>
      </c>
      <c r="B25" s="3594"/>
      <c r="C25" s="3594"/>
      <c r="D25" s="3594"/>
      <c r="E25" s="3594"/>
      <c r="F25" s="3594"/>
      <c r="G25" s="3594"/>
      <c r="H25" s="3594"/>
    </row>
    <row r="26" spans="1:8" ht="15.75" x14ac:dyDescent="0.2">
      <c r="A26" s="3595" t="s">
        <v>2994</v>
      </c>
      <c r="B26" s="3594"/>
      <c r="C26" s="3594"/>
      <c r="D26" s="3594"/>
      <c r="E26" s="3594"/>
      <c r="F26" s="3594"/>
      <c r="G26" s="3594"/>
      <c r="H26" s="3594"/>
    </row>
    <row r="27" spans="1:8" ht="15.75" x14ac:dyDescent="0.2">
      <c r="A27" s="3594"/>
      <c r="B27" s="3594"/>
      <c r="C27" s="3594"/>
      <c r="D27" s="3594"/>
      <c r="E27" s="3594"/>
      <c r="F27" s="3594"/>
      <c r="G27" s="3594"/>
      <c r="H27" s="3594"/>
    </row>
    <row r="28" spans="1:8" ht="15.75" x14ac:dyDescent="0.2">
      <c r="A28" s="3594"/>
      <c r="B28" s="3594"/>
      <c r="C28" s="3594"/>
      <c r="D28" s="3594"/>
      <c r="E28" s="3594"/>
      <c r="F28" s="3594"/>
      <c r="G28" s="3594"/>
      <c r="H28" s="3594"/>
    </row>
    <row r="29" spans="1:8" ht="15.75" x14ac:dyDescent="0.2">
      <c r="A29" s="3595" t="s">
        <v>2986</v>
      </c>
      <c r="B29" s="3594"/>
      <c r="C29" s="3594"/>
      <c r="D29" s="3594"/>
      <c r="E29" s="3594"/>
      <c r="F29" s="3594"/>
      <c r="G29" s="3594"/>
      <c r="H29" s="3594"/>
    </row>
    <row r="30" spans="1:8" ht="15.75" x14ac:dyDescent="0.2">
      <c r="A30" s="3595" t="s">
        <v>2987</v>
      </c>
      <c r="B30" s="3594"/>
      <c r="C30" s="3594"/>
      <c r="D30" s="3594"/>
      <c r="E30" s="3594"/>
      <c r="F30" s="3594"/>
      <c r="G30" s="3594"/>
      <c r="H30" s="3594"/>
    </row>
    <row r="31" spans="1:8" ht="15.75" x14ac:dyDescent="0.2">
      <c r="A31" s="3595" t="s">
        <v>2988</v>
      </c>
      <c r="B31" s="3594"/>
      <c r="C31" s="3594"/>
      <c r="D31" s="3594"/>
      <c r="E31" s="3594"/>
      <c r="F31" s="3594"/>
      <c r="G31" s="3594"/>
      <c r="H31" s="3594"/>
    </row>
    <row r="32" spans="1:8" ht="15.75" x14ac:dyDescent="0.2">
      <c r="A32" s="3595" t="s">
        <v>2989</v>
      </c>
      <c r="B32" s="3594"/>
      <c r="C32" s="3594"/>
      <c r="D32" s="3594"/>
      <c r="E32" s="3594"/>
      <c r="F32" s="3594"/>
      <c r="G32" s="3594"/>
      <c r="H32" s="3594"/>
    </row>
    <row r="33" spans="1:8" ht="15.75" x14ac:dyDescent="0.2">
      <c r="A33" s="3595" t="s">
        <v>2990</v>
      </c>
      <c r="B33" s="3594"/>
      <c r="C33" s="3594"/>
      <c r="D33" s="3594"/>
      <c r="E33" s="3594"/>
      <c r="F33" s="3594"/>
      <c r="G33" s="3594"/>
      <c r="H33" s="3594"/>
    </row>
    <row r="34" spans="1:8" ht="15.75" x14ac:dyDescent="0.2">
      <c r="A34" s="3594"/>
      <c r="B34" s="3594"/>
      <c r="C34" s="3594"/>
      <c r="D34" s="3594"/>
      <c r="E34" s="3594"/>
      <c r="F34" s="3594"/>
      <c r="G34" s="3594"/>
      <c r="H34" s="3594"/>
    </row>
    <row r="35" spans="1:8" ht="15.75" x14ac:dyDescent="0.2">
      <c r="A35" s="3595" t="s">
        <v>2982</v>
      </c>
      <c r="B35" s="3594"/>
      <c r="C35" s="3594"/>
      <c r="D35" s="3594"/>
      <c r="E35" s="3594"/>
      <c r="F35" s="3594"/>
      <c r="G35" s="3594"/>
      <c r="H35" s="3594"/>
    </row>
    <row r="36" spans="1:8" ht="15.75" x14ac:dyDescent="0.2">
      <c r="A36" s="3595" t="s">
        <v>2983</v>
      </c>
      <c r="B36" s="3594"/>
      <c r="C36" s="3594"/>
      <c r="D36" s="3594"/>
      <c r="E36" s="3594"/>
      <c r="F36" s="3594"/>
      <c r="G36" s="3594"/>
      <c r="H36" s="3594"/>
    </row>
    <row r="37" spans="1:8" ht="15.75" x14ac:dyDescent="0.2">
      <c r="A37" s="3595" t="s">
        <v>2984</v>
      </c>
      <c r="B37" s="3594"/>
      <c r="C37" s="3594"/>
      <c r="D37" s="3594"/>
      <c r="E37" s="3594"/>
      <c r="F37" s="3594"/>
      <c r="G37" s="3594"/>
      <c r="H37" s="3594"/>
    </row>
    <row r="38" spans="1:8" ht="15.75" x14ac:dyDescent="0.2">
      <c r="A38" s="3595" t="s">
        <v>2985</v>
      </c>
      <c r="B38" s="3594"/>
      <c r="C38" s="3594"/>
      <c r="D38" s="3594"/>
      <c r="E38" s="3594"/>
      <c r="F38" s="3594"/>
      <c r="G38" s="3594"/>
      <c r="H38" s="3594"/>
    </row>
    <row r="39" spans="1:8" ht="15.75" x14ac:dyDescent="0.2">
      <c r="A39" s="3594"/>
      <c r="B39" s="3594"/>
      <c r="C39" s="3594"/>
      <c r="D39" s="3594"/>
      <c r="E39" s="3594"/>
      <c r="F39" s="3594"/>
      <c r="G39" s="3594"/>
      <c r="H39" s="3594"/>
    </row>
    <row r="40" spans="1:8" ht="15.75" x14ac:dyDescent="0.2">
      <c r="A40" s="3595" t="s">
        <v>2976</v>
      </c>
      <c r="B40" s="3594"/>
      <c r="C40" s="3594"/>
      <c r="D40" s="3594"/>
      <c r="E40" s="3594"/>
      <c r="F40" s="3594"/>
      <c r="G40" s="3594"/>
      <c r="H40" s="3594"/>
    </row>
    <row r="41" spans="1:8" ht="15.75" x14ac:dyDescent="0.2">
      <c r="A41" s="3595" t="s">
        <v>2977</v>
      </c>
      <c r="B41" s="3594"/>
      <c r="C41" s="3594"/>
      <c r="D41" s="3594"/>
      <c r="E41" s="3594"/>
      <c r="F41" s="3594"/>
      <c r="G41" s="3594"/>
      <c r="H41" s="3594"/>
    </row>
    <row r="42" spans="1:8" ht="15.75" x14ac:dyDescent="0.2">
      <c r="A42" s="3595" t="s">
        <v>2978</v>
      </c>
      <c r="B42" s="3594"/>
      <c r="C42" s="3594"/>
      <c r="D42" s="3594"/>
      <c r="E42" s="3594"/>
      <c r="F42" s="3594"/>
      <c r="G42" s="3594"/>
      <c r="H42" s="3594"/>
    </row>
    <row r="43" spans="1:8" ht="15.75" x14ac:dyDescent="0.2">
      <c r="A43" s="3595" t="s">
        <v>2979</v>
      </c>
      <c r="B43" s="3594"/>
      <c r="C43" s="3594"/>
      <c r="D43" s="3594"/>
      <c r="E43" s="3594"/>
      <c r="F43" s="3594"/>
      <c r="G43" s="3594"/>
      <c r="H43" s="3594"/>
    </row>
    <row r="44" spans="1:8" ht="15.75" x14ac:dyDescent="0.2">
      <c r="A44" s="3595" t="s">
        <v>2980</v>
      </c>
      <c r="B44" s="3594"/>
      <c r="C44" s="3594"/>
      <c r="D44" s="3594"/>
      <c r="E44" s="3594"/>
      <c r="F44" s="3594"/>
      <c r="G44" s="3594"/>
      <c r="H44" s="3594"/>
    </row>
    <row r="45" spans="1:8" ht="15.75" x14ac:dyDescent="0.2">
      <c r="A45" s="3595" t="s">
        <v>2981</v>
      </c>
      <c r="B45" s="3594"/>
      <c r="C45" s="3594"/>
      <c r="D45" s="3594"/>
      <c r="E45" s="3594"/>
      <c r="F45" s="3594"/>
      <c r="G45" s="3594"/>
      <c r="H45" s="3594"/>
    </row>
    <row r="46" spans="1:8" ht="15.75" x14ac:dyDescent="0.2">
      <c r="A46" s="3594"/>
      <c r="B46" s="3594"/>
      <c r="C46" s="3594"/>
      <c r="D46" s="3594"/>
      <c r="E46" s="3594"/>
      <c r="F46" s="3594"/>
      <c r="G46" s="3594"/>
      <c r="H46" s="3594"/>
    </row>
    <row r="47" spans="1:8" ht="15.75" x14ac:dyDescent="0.2">
      <c r="A47" s="3596" t="s">
        <v>2716</v>
      </c>
      <c r="B47" s="3594"/>
      <c r="C47" s="3594"/>
      <c r="D47" s="3594"/>
      <c r="E47" s="3594"/>
      <c r="F47" s="3594"/>
      <c r="G47" s="3594"/>
      <c r="H47" s="3594"/>
    </row>
    <row r="48" spans="1:8" ht="15.75" x14ac:dyDescent="0.2">
      <c r="A48" s="3594"/>
      <c r="B48" s="3594"/>
      <c r="C48" s="3594"/>
      <c r="D48" s="3594"/>
      <c r="E48" s="3594"/>
      <c r="F48" s="3594"/>
      <c r="G48" s="3594"/>
      <c r="H48" s="3594"/>
    </row>
    <row r="49" spans="1:8" ht="15.75" x14ac:dyDescent="0.2">
      <c r="A49" s="3595" t="s">
        <v>2972</v>
      </c>
      <c r="B49" s="3594"/>
      <c r="C49" s="3594"/>
      <c r="D49" s="3594"/>
      <c r="E49" s="3594"/>
      <c r="F49" s="3594"/>
      <c r="G49" s="3594"/>
      <c r="H49" s="3594"/>
    </row>
    <row r="50" spans="1:8" ht="15.75" x14ac:dyDescent="0.2">
      <c r="A50" s="3595" t="s">
        <v>2973</v>
      </c>
      <c r="B50" s="3594"/>
      <c r="C50" s="3594"/>
      <c r="D50" s="3594"/>
      <c r="E50" s="3594"/>
      <c r="F50" s="3594"/>
      <c r="G50" s="3594"/>
      <c r="H50" s="3594"/>
    </row>
    <row r="51" spans="1:8" ht="15.75" x14ac:dyDescent="0.2">
      <c r="A51" s="3595" t="s">
        <v>2974</v>
      </c>
      <c r="B51" s="3594"/>
      <c r="C51" s="3594"/>
      <c r="D51" s="3594"/>
      <c r="E51" s="3594"/>
      <c r="F51" s="3594"/>
      <c r="G51" s="3594"/>
      <c r="H51" s="3594"/>
    </row>
    <row r="52" spans="1:8" ht="15.75" x14ac:dyDescent="0.2">
      <c r="A52" s="3595" t="s">
        <v>2975</v>
      </c>
      <c r="B52" s="3594"/>
      <c r="C52" s="3594"/>
      <c r="D52" s="3594"/>
      <c r="E52" s="3594"/>
      <c r="F52" s="3594"/>
      <c r="G52" s="3594"/>
      <c r="H52" s="3594"/>
    </row>
    <row r="53" spans="1:8" ht="15.75" x14ac:dyDescent="0.2">
      <c r="A53" s="3594"/>
      <c r="B53" s="3594"/>
      <c r="C53" s="3594"/>
      <c r="D53" s="3594"/>
      <c r="E53" s="3594"/>
      <c r="F53" s="3594"/>
      <c r="G53" s="3594"/>
      <c r="H53" s="3594"/>
    </row>
    <row r="54" spans="1:8" ht="15.75" x14ac:dyDescent="0.2">
      <c r="A54" s="3595" t="s">
        <v>2717</v>
      </c>
      <c r="B54" s="3594"/>
      <c r="C54" s="3594"/>
      <c r="D54" s="3594"/>
      <c r="E54" s="3594"/>
      <c r="F54" s="3594"/>
      <c r="G54" s="3594"/>
      <c r="H54" s="3594"/>
    </row>
    <row r="55" spans="1:8" ht="15.75" x14ac:dyDescent="0.2">
      <c r="A55" s="3594"/>
      <c r="B55" s="3594"/>
      <c r="C55" s="3594"/>
      <c r="D55" s="3594"/>
      <c r="E55" s="3594"/>
      <c r="F55" s="3594"/>
      <c r="G55" s="3594"/>
      <c r="H55" s="3594"/>
    </row>
    <row r="56" spans="1:8" ht="15.75" x14ac:dyDescent="0.2">
      <c r="A56" s="3596" t="s">
        <v>2718</v>
      </c>
      <c r="B56" s="3594"/>
      <c r="C56" s="3594"/>
      <c r="D56" s="3594"/>
      <c r="E56" s="3594"/>
      <c r="F56" s="3594"/>
      <c r="G56" s="3594"/>
      <c r="H56" s="3594"/>
    </row>
    <row r="57" spans="1:8" ht="15.75" x14ac:dyDescent="0.2">
      <c r="A57" s="3594"/>
      <c r="B57" s="3594"/>
      <c r="C57" s="3594"/>
      <c r="D57" s="3594"/>
      <c r="E57" s="3594"/>
      <c r="F57" s="3594"/>
      <c r="G57" s="3594"/>
      <c r="H57" s="3594"/>
    </row>
    <row r="58" spans="1:8" ht="15.75" x14ac:dyDescent="0.2">
      <c r="A58" s="3595" t="s">
        <v>2970</v>
      </c>
      <c r="B58" s="3594"/>
      <c r="C58" s="3594"/>
      <c r="D58" s="3594"/>
      <c r="E58" s="3594"/>
      <c r="F58" s="3594"/>
      <c r="G58" s="3594"/>
      <c r="H58" s="3594"/>
    </row>
    <row r="59" spans="1:8" ht="15.75" x14ac:dyDescent="0.2">
      <c r="A59" s="3595" t="s">
        <v>2971</v>
      </c>
      <c r="B59" s="3594"/>
      <c r="C59" s="3594"/>
      <c r="D59" s="3594"/>
      <c r="E59" s="3594"/>
      <c r="F59" s="3594"/>
      <c r="G59" s="3594"/>
      <c r="H59" s="3594"/>
    </row>
    <row r="60" spans="1:8" ht="15.75" x14ac:dyDescent="0.2">
      <c r="A60" s="3594"/>
      <c r="B60" s="3594"/>
      <c r="C60" s="3594"/>
      <c r="D60" s="3594"/>
      <c r="E60" s="3594"/>
      <c r="F60" s="3594"/>
      <c r="G60" s="3594"/>
      <c r="H60" s="3594"/>
    </row>
    <row r="61" spans="1:8" ht="15.75" x14ac:dyDescent="0.2">
      <c r="A61" s="3596" t="s">
        <v>2719</v>
      </c>
      <c r="B61" s="3594"/>
      <c r="C61" s="3594"/>
      <c r="D61" s="3594"/>
      <c r="E61" s="3594"/>
      <c r="F61" s="3594"/>
      <c r="G61" s="3594"/>
      <c r="H61" s="3594"/>
    </row>
    <row r="62" spans="1:8" ht="15.75" x14ac:dyDescent="0.2">
      <c r="A62" s="3594"/>
      <c r="B62" s="3594"/>
      <c r="C62" s="3594"/>
      <c r="D62" s="3594"/>
      <c r="E62" s="3594"/>
      <c r="F62" s="3594"/>
      <c r="G62" s="3594"/>
      <c r="H62" s="3594"/>
    </row>
    <row r="63" spans="1:8" ht="15.75" x14ac:dyDescent="0.2">
      <c r="A63" s="3595" t="s">
        <v>2968</v>
      </c>
      <c r="B63" s="3594"/>
      <c r="C63" s="3594"/>
      <c r="D63" s="3594"/>
      <c r="E63" s="3594"/>
      <c r="F63" s="3594"/>
      <c r="G63" s="3594"/>
      <c r="H63" s="3594"/>
    </row>
    <row r="64" spans="1:8" ht="15.75" x14ac:dyDescent="0.2">
      <c r="A64" s="3595" t="s">
        <v>2969</v>
      </c>
      <c r="B64" s="3594"/>
      <c r="C64" s="3594"/>
      <c r="D64" s="3594"/>
      <c r="E64" s="3594"/>
      <c r="F64" s="3594"/>
      <c r="G64" s="3594"/>
      <c r="H64" s="3594"/>
    </row>
    <row r="65" spans="1:8" ht="15.75" x14ac:dyDescent="0.2">
      <c r="A65" s="3594"/>
      <c r="B65" s="3594"/>
      <c r="C65" s="3594"/>
      <c r="D65" s="3594"/>
      <c r="E65" s="3594"/>
      <c r="F65" s="3594"/>
      <c r="G65" s="3594"/>
      <c r="H65" s="3594"/>
    </row>
    <row r="66" spans="1:8" ht="15.75" x14ac:dyDescent="0.2">
      <c r="A66" s="3595" t="s">
        <v>2966</v>
      </c>
      <c r="B66" s="3594"/>
      <c r="C66" s="3594"/>
      <c r="D66" s="3594"/>
      <c r="E66" s="3594"/>
      <c r="F66" s="3594"/>
      <c r="G66" s="3594"/>
      <c r="H66" s="3594"/>
    </row>
    <row r="67" spans="1:8" ht="15.75" x14ac:dyDescent="0.2">
      <c r="A67" s="3595" t="s">
        <v>2967</v>
      </c>
      <c r="B67" s="3594"/>
      <c r="C67" s="3594"/>
      <c r="D67" s="3594"/>
      <c r="E67" s="3594"/>
      <c r="F67" s="3594"/>
      <c r="G67" s="3594"/>
      <c r="H67" s="3594"/>
    </row>
    <row r="68" spans="1:8" ht="15.75" x14ac:dyDescent="0.2">
      <c r="A68" s="3594"/>
      <c r="B68" s="3594"/>
      <c r="C68" s="3594"/>
      <c r="D68" s="3594"/>
      <c r="E68" s="3594"/>
      <c r="F68" s="3594"/>
      <c r="G68" s="3594"/>
      <c r="H68" s="3594"/>
    </row>
    <row r="69" spans="1:8" ht="15.75" x14ac:dyDescent="0.2">
      <c r="A69" s="3595" t="s">
        <v>2964</v>
      </c>
      <c r="B69" s="3594"/>
      <c r="C69" s="3594"/>
      <c r="D69" s="3594"/>
      <c r="E69" s="3594"/>
      <c r="F69" s="3594"/>
      <c r="G69" s="3594"/>
      <c r="H69" s="3594"/>
    </row>
    <row r="70" spans="1:8" ht="15.75" x14ac:dyDescent="0.2">
      <c r="A70" s="3595" t="s">
        <v>2965</v>
      </c>
      <c r="B70" s="3594"/>
      <c r="C70" s="3594"/>
      <c r="D70" s="3594"/>
      <c r="E70" s="3594"/>
      <c r="F70" s="3594"/>
      <c r="G70" s="3594"/>
      <c r="H70" s="3594"/>
    </row>
    <row r="71" spans="1:8" ht="15.75" x14ac:dyDescent="0.2">
      <c r="A71" s="3594"/>
      <c r="B71" s="3594"/>
      <c r="C71" s="3594"/>
      <c r="D71" s="3594"/>
      <c r="E71" s="3594"/>
      <c r="F71" s="3594"/>
      <c r="G71" s="3594"/>
      <c r="H71" s="3594"/>
    </row>
    <row r="72" spans="1:8" ht="15.75" x14ac:dyDescent="0.2">
      <c r="A72" s="3595" t="s">
        <v>2961</v>
      </c>
      <c r="B72" s="3594"/>
      <c r="C72" s="3594"/>
      <c r="D72" s="3594"/>
      <c r="E72" s="3594"/>
      <c r="F72" s="3594"/>
      <c r="G72" s="3594"/>
      <c r="H72" s="3594"/>
    </row>
    <row r="73" spans="1:8" ht="15.75" x14ac:dyDescent="0.2">
      <c r="A73" s="3595" t="s">
        <v>2962</v>
      </c>
      <c r="B73" s="3594"/>
      <c r="C73" s="3594"/>
      <c r="D73" s="3594"/>
      <c r="E73" s="3594"/>
      <c r="F73" s="3594"/>
      <c r="G73" s="3594"/>
      <c r="H73" s="3594"/>
    </row>
    <row r="74" spans="1:8" ht="15.75" x14ac:dyDescent="0.2">
      <c r="A74" s="3595" t="s">
        <v>2963</v>
      </c>
      <c r="B74" s="3594"/>
      <c r="C74" s="3594"/>
      <c r="D74" s="3594"/>
      <c r="E74" s="3594"/>
      <c r="F74" s="3594"/>
      <c r="G74" s="3594"/>
      <c r="H74" s="3594"/>
    </row>
    <row r="75" spans="1:8" ht="15.75" x14ac:dyDescent="0.2">
      <c r="A75" s="3594"/>
      <c r="B75" s="3594"/>
      <c r="C75" s="3594"/>
      <c r="D75" s="3594"/>
      <c r="E75" s="3594"/>
      <c r="F75" s="3594"/>
      <c r="G75" s="3594"/>
      <c r="H75" s="3594"/>
    </row>
    <row r="76" spans="1:8" ht="15.75" x14ac:dyDescent="0.2">
      <c r="A76" s="3595" t="s">
        <v>2720</v>
      </c>
      <c r="B76" s="3594"/>
      <c r="C76" s="3594"/>
      <c r="D76" s="3594"/>
      <c r="E76" s="3594"/>
      <c r="F76" s="3594"/>
      <c r="G76" s="3594"/>
      <c r="H76" s="3594"/>
    </row>
    <row r="77" spans="1:8" ht="15.75" x14ac:dyDescent="0.2">
      <c r="A77" s="3594"/>
      <c r="B77" s="3594"/>
      <c r="C77" s="3594"/>
      <c r="D77" s="3594"/>
      <c r="E77" s="3594"/>
      <c r="F77" s="3594"/>
      <c r="G77" s="3594"/>
      <c r="H77" s="3594"/>
    </row>
    <row r="78" spans="1:8" ht="15.75" x14ac:dyDescent="0.2">
      <c r="A78" s="3595" t="s">
        <v>2956</v>
      </c>
      <c r="B78" s="3594"/>
      <c r="C78" s="3594"/>
      <c r="D78" s="3594"/>
      <c r="E78" s="3594"/>
      <c r="F78" s="3594"/>
      <c r="G78" s="3594"/>
      <c r="H78" s="3594"/>
    </row>
    <row r="79" spans="1:8" ht="15.75" x14ac:dyDescent="0.2">
      <c r="A79" s="3595" t="s">
        <v>2957</v>
      </c>
      <c r="B79" s="3594"/>
      <c r="C79" s="3594"/>
      <c r="D79" s="3594"/>
      <c r="E79" s="3594"/>
      <c r="F79" s="3594"/>
      <c r="G79" s="3594"/>
      <c r="H79" s="3594"/>
    </row>
    <row r="80" spans="1:8" ht="15.75" x14ac:dyDescent="0.2">
      <c r="A80" s="3595" t="s">
        <v>2958</v>
      </c>
      <c r="B80" s="3594"/>
      <c r="C80" s="3594"/>
      <c r="D80" s="3594"/>
      <c r="E80" s="3594"/>
      <c r="F80" s="3594"/>
      <c r="G80" s="3594"/>
      <c r="H80" s="3594"/>
    </row>
    <row r="81" spans="1:8" ht="15.75" x14ac:dyDescent="0.2">
      <c r="A81" s="3595" t="s">
        <v>2959</v>
      </c>
      <c r="B81" s="3594"/>
      <c r="C81" s="3594"/>
      <c r="D81" s="3594"/>
      <c r="E81" s="3594"/>
      <c r="F81" s="3594"/>
      <c r="G81" s="3594"/>
      <c r="H81" s="3594"/>
    </row>
    <row r="82" spans="1:8" ht="15.75" x14ac:dyDescent="0.2">
      <c r="A82" s="3595" t="s">
        <v>2960</v>
      </c>
      <c r="B82" s="3594"/>
      <c r="C82" s="3594"/>
      <c r="D82" s="3594"/>
      <c r="E82" s="3594"/>
      <c r="F82" s="3594"/>
      <c r="G82" s="3594"/>
      <c r="H82" s="3594"/>
    </row>
    <row r="83" spans="1:8" ht="15.75" x14ac:dyDescent="0.2">
      <c r="A83" s="3595" t="s">
        <v>2845</v>
      </c>
      <c r="B83" s="3594"/>
      <c r="C83" s="3594"/>
      <c r="D83" s="3594"/>
      <c r="E83" s="3594"/>
      <c r="F83" s="3594"/>
      <c r="G83" s="3594"/>
      <c r="H83" s="3594"/>
    </row>
    <row r="84" spans="1:8" ht="15.75" x14ac:dyDescent="0.2">
      <c r="A84" s="3594"/>
      <c r="B84" s="3594"/>
      <c r="C84" s="3594"/>
      <c r="D84" s="3594"/>
      <c r="E84" s="3594"/>
      <c r="F84" s="3594"/>
      <c r="G84" s="3594"/>
      <c r="H84" s="3594"/>
    </row>
    <row r="85" spans="1:8" ht="15.75" x14ac:dyDescent="0.2">
      <c r="A85" s="3595" t="s">
        <v>2949</v>
      </c>
      <c r="B85" s="3594"/>
      <c r="C85" s="3594"/>
      <c r="D85" s="3594"/>
      <c r="E85" s="3594"/>
      <c r="F85" s="3594"/>
      <c r="G85" s="3594"/>
      <c r="H85" s="3594"/>
    </row>
    <row r="86" spans="1:8" ht="15.75" x14ac:dyDescent="0.2">
      <c r="A86" s="3595" t="s">
        <v>2950</v>
      </c>
      <c r="B86" s="3594"/>
      <c r="C86" s="3594"/>
      <c r="D86" s="3594"/>
      <c r="E86" s="3594"/>
      <c r="F86" s="3594"/>
      <c r="G86" s="3594"/>
      <c r="H86" s="3594"/>
    </row>
    <row r="87" spans="1:8" ht="15.75" x14ac:dyDescent="0.2">
      <c r="A87" s="3595" t="s">
        <v>2951</v>
      </c>
      <c r="B87" s="3594"/>
      <c r="C87" s="3594"/>
      <c r="D87" s="3594"/>
      <c r="E87" s="3594"/>
      <c r="F87" s="3594"/>
      <c r="G87" s="3594"/>
      <c r="H87" s="3594"/>
    </row>
    <row r="88" spans="1:8" ht="15.75" x14ac:dyDescent="0.2">
      <c r="A88" s="3595" t="s">
        <v>2952</v>
      </c>
      <c r="B88" s="3594"/>
      <c r="C88" s="3594"/>
      <c r="D88" s="3594"/>
      <c r="E88" s="3594"/>
      <c r="F88" s="3594"/>
      <c r="G88" s="3594"/>
      <c r="H88" s="3594"/>
    </row>
    <row r="89" spans="1:8" ht="15.75" x14ac:dyDescent="0.2">
      <c r="A89" s="3595" t="s">
        <v>2953</v>
      </c>
      <c r="B89" s="3594"/>
      <c r="C89" s="3594"/>
      <c r="D89" s="3594"/>
      <c r="E89" s="3594"/>
      <c r="F89" s="3594"/>
      <c r="G89" s="3594"/>
      <c r="H89" s="3594"/>
    </row>
    <row r="90" spans="1:8" ht="15.75" x14ac:dyDescent="0.2">
      <c r="A90" s="3595" t="s">
        <v>2954</v>
      </c>
      <c r="B90" s="3594"/>
      <c r="C90" s="3594"/>
      <c r="D90" s="3594"/>
      <c r="E90" s="3594"/>
      <c r="F90" s="3594"/>
      <c r="G90" s="3594"/>
      <c r="H90" s="3594"/>
    </row>
    <row r="91" spans="1:8" ht="15.75" x14ac:dyDescent="0.2">
      <c r="A91" s="3595" t="s">
        <v>2955</v>
      </c>
      <c r="B91" s="3594"/>
      <c r="C91" s="3594"/>
      <c r="D91" s="3594"/>
      <c r="E91" s="3594"/>
      <c r="F91" s="3594"/>
      <c r="G91" s="3594"/>
      <c r="H91" s="3594"/>
    </row>
    <row r="92" spans="1:8" ht="15.75" x14ac:dyDescent="0.2">
      <c r="A92" s="3594"/>
      <c r="B92" s="3594"/>
      <c r="C92" s="3594"/>
      <c r="D92" s="3594"/>
      <c r="E92" s="3594"/>
      <c r="F92" s="3594"/>
      <c r="G92" s="3594"/>
      <c r="H92" s="3594"/>
    </row>
    <row r="93" spans="1:8" ht="15.75" x14ac:dyDescent="0.2">
      <c r="A93" s="3595" t="s">
        <v>2947</v>
      </c>
      <c r="B93" s="3594"/>
      <c r="C93" s="3594"/>
      <c r="D93" s="3594"/>
      <c r="E93" s="3594"/>
      <c r="F93" s="3594"/>
      <c r="G93" s="3594"/>
      <c r="H93" s="3594"/>
    </row>
    <row r="94" spans="1:8" ht="15.75" x14ac:dyDescent="0.2">
      <c r="A94" s="3595" t="s">
        <v>2948</v>
      </c>
      <c r="B94" s="3594"/>
      <c r="C94" s="3594"/>
      <c r="D94" s="3594"/>
      <c r="E94" s="3594"/>
      <c r="F94" s="3594"/>
      <c r="G94" s="3594"/>
      <c r="H94" s="3594"/>
    </row>
    <row r="95" spans="1:8" ht="15.75" x14ac:dyDescent="0.2">
      <c r="A95" s="3594"/>
      <c r="B95" s="3594"/>
      <c r="C95" s="3594"/>
      <c r="D95" s="3594"/>
      <c r="E95" s="3594"/>
      <c r="F95" s="3594"/>
      <c r="G95" s="3594"/>
      <c r="H95" s="3594"/>
    </row>
    <row r="96" spans="1:8" ht="15.75" x14ac:dyDescent="0.2">
      <c r="A96" s="3596" t="s">
        <v>2721</v>
      </c>
      <c r="B96" s="3594"/>
      <c r="C96" s="3594"/>
      <c r="D96" s="3594"/>
      <c r="E96" s="3594"/>
      <c r="F96" s="3594"/>
      <c r="G96" s="3594"/>
      <c r="H96" s="3594"/>
    </row>
    <row r="97" spans="1:8" ht="15.75" x14ac:dyDescent="0.2">
      <c r="A97" s="3594"/>
      <c r="B97" s="3594"/>
      <c r="C97" s="3594"/>
      <c r="D97" s="3594"/>
      <c r="E97" s="3594"/>
      <c r="F97" s="3594"/>
      <c r="G97" s="3594"/>
      <c r="H97" s="3594"/>
    </row>
    <row r="98" spans="1:8" ht="15.75" x14ac:dyDescent="0.2">
      <c r="A98" s="3595" t="s">
        <v>2938</v>
      </c>
      <c r="B98" s="3594"/>
      <c r="C98" s="3594"/>
      <c r="D98" s="3594"/>
      <c r="E98" s="3594"/>
      <c r="F98" s="3594"/>
      <c r="G98" s="3594"/>
      <c r="H98" s="3594"/>
    </row>
    <row r="99" spans="1:8" ht="15.75" x14ac:dyDescent="0.2">
      <c r="A99" s="3595" t="s">
        <v>2939</v>
      </c>
      <c r="B99" s="3594"/>
      <c r="C99" s="3594"/>
      <c r="D99" s="3594"/>
      <c r="E99" s="3594"/>
      <c r="F99" s="3594"/>
      <c r="G99" s="3594"/>
      <c r="H99" s="3594"/>
    </row>
    <row r="100" spans="1:8" ht="15.75" x14ac:dyDescent="0.2">
      <c r="A100" s="3595" t="s">
        <v>2940</v>
      </c>
      <c r="B100" s="3594"/>
      <c r="C100" s="3594"/>
      <c r="D100" s="3594"/>
      <c r="E100" s="3594"/>
      <c r="F100" s="3594"/>
      <c r="G100" s="3594"/>
      <c r="H100" s="3594"/>
    </row>
    <row r="101" spans="1:8" ht="15.75" x14ac:dyDescent="0.2">
      <c r="A101" s="3595" t="s">
        <v>2941</v>
      </c>
      <c r="B101" s="3594"/>
      <c r="C101" s="3594"/>
      <c r="D101" s="3594"/>
      <c r="E101" s="3594"/>
      <c r="F101" s="3594"/>
      <c r="G101" s="3594"/>
      <c r="H101" s="3594"/>
    </row>
    <row r="102" spans="1:8" ht="15.75" x14ac:dyDescent="0.2">
      <c r="A102" s="3595" t="s">
        <v>2942</v>
      </c>
      <c r="B102" s="3594"/>
      <c r="C102" s="3594"/>
      <c r="D102" s="3594"/>
      <c r="E102" s="3594"/>
      <c r="F102" s="3594"/>
      <c r="G102" s="3594"/>
      <c r="H102" s="3594"/>
    </row>
    <row r="103" spans="1:8" ht="15.75" x14ac:dyDescent="0.2">
      <c r="A103" s="3595" t="s">
        <v>2943</v>
      </c>
      <c r="B103" s="3594"/>
      <c r="C103" s="3594"/>
      <c r="D103" s="3594"/>
      <c r="E103" s="3594"/>
      <c r="F103" s="3594"/>
      <c r="G103" s="3594"/>
      <c r="H103" s="3594"/>
    </row>
    <row r="104" spans="1:8" ht="15.75" x14ac:dyDescent="0.2">
      <c r="A104" s="3595" t="s">
        <v>2944</v>
      </c>
      <c r="B104" s="3594"/>
      <c r="C104" s="3594"/>
      <c r="D104" s="3594"/>
      <c r="E104" s="3594"/>
      <c r="F104" s="3594"/>
      <c r="G104" s="3594"/>
      <c r="H104" s="3594"/>
    </row>
    <row r="105" spans="1:8" ht="15.75" x14ac:dyDescent="0.2">
      <c r="A105" s="3595" t="s">
        <v>2945</v>
      </c>
      <c r="B105" s="3594"/>
      <c r="C105" s="3594"/>
      <c r="D105" s="3594"/>
      <c r="E105" s="3594"/>
      <c r="F105" s="3594"/>
      <c r="G105" s="3594"/>
      <c r="H105" s="3594"/>
    </row>
    <row r="106" spans="1:8" ht="15.75" x14ac:dyDescent="0.2">
      <c r="A106" s="3595" t="s">
        <v>2946</v>
      </c>
      <c r="B106" s="3594"/>
      <c r="C106" s="3594"/>
      <c r="D106" s="3594"/>
      <c r="E106" s="3594"/>
      <c r="F106" s="3594"/>
      <c r="G106" s="3594"/>
      <c r="H106" s="3594"/>
    </row>
    <row r="107" spans="1:8" ht="15.75" x14ac:dyDescent="0.2">
      <c r="A107" s="3594"/>
      <c r="B107" s="3594"/>
      <c r="C107" s="3594"/>
      <c r="D107" s="3594"/>
      <c r="E107" s="3594"/>
      <c r="F107" s="3594"/>
      <c r="G107" s="3594"/>
      <c r="H107" s="3594"/>
    </row>
    <row r="108" spans="1:8" ht="15.75" x14ac:dyDescent="0.2">
      <c r="A108" s="3597" t="s">
        <v>2722</v>
      </c>
      <c r="B108" s="3597"/>
      <c r="C108" s="3597"/>
      <c r="D108" s="3597"/>
      <c r="E108" s="3597"/>
      <c r="F108" s="3597"/>
      <c r="G108" s="3597"/>
      <c r="H108" s="3597"/>
    </row>
    <row r="109" spans="1:8" x14ac:dyDescent="0.2">
      <c r="A109" s="3598" t="s">
        <v>2723</v>
      </c>
      <c r="B109" s="3598"/>
      <c r="C109" s="3598"/>
      <c r="D109" s="3598"/>
      <c r="E109" s="3598"/>
      <c r="F109" s="3598"/>
      <c r="G109" s="3598"/>
      <c r="H109" s="3598"/>
    </row>
    <row r="110" spans="1:8" ht="15.75" x14ac:dyDescent="0.2">
      <c r="A110" s="3599"/>
      <c r="B110" s="3599"/>
      <c r="C110" s="3599"/>
      <c r="D110" s="3599"/>
      <c r="E110" s="3599"/>
      <c r="F110" s="3599"/>
      <c r="G110" s="3599"/>
      <c r="H110" s="3599"/>
    </row>
    <row r="111" spans="1:8" x14ac:dyDescent="0.2">
      <c r="A111" s="3598" t="s">
        <v>2936</v>
      </c>
      <c r="B111" s="3598"/>
      <c r="C111" s="3598"/>
      <c r="D111" s="3598"/>
      <c r="E111" s="3598"/>
      <c r="F111" s="3598"/>
      <c r="G111" s="3598"/>
      <c r="H111" s="3598"/>
    </row>
    <row r="112" spans="1:8" x14ac:dyDescent="0.2">
      <c r="A112" s="3595" t="s">
        <v>2937</v>
      </c>
      <c r="B112" s="3595"/>
      <c r="C112" s="3595"/>
      <c r="D112" s="3595"/>
      <c r="E112" s="3595"/>
      <c r="F112" s="3595"/>
      <c r="G112" s="3595"/>
      <c r="H112" s="3595"/>
    </row>
    <row r="113" spans="1:8" ht="15.75" x14ac:dyDescent="0.2">
      <c r="A113" s="3599"/>
      <c r="B113" s="3599"/>
      <c r="C113" s="3599"/>
      <c r="D113" s="3599"/>
      <c r="E113" s="3599"/>
      <c r="F113" s="3599"/>
      <c r="G113" s="3599"/>
      <c r="H113" s="3599"/>
    </row>
    <row r="114" spans="1:8" x14ac:dyDescent="0.2">
      <c r="A114" s="3598" t="s">
        <v>2929</v>
      </c>
      <c r="B114" s="3598"/>
      <c r="C114" s="3598"/>
      <c r="D114" s="3598"/>
      <c r="E114" s="3598"/>
      <c r="F114" s="3598"/>
      <c r="G114" s="3598"/>
      <c r="H114" s="3598"/>
    </row>
    <row r="115" spans="1:8" x14ac:dyDescent="0.2">
      <c r="A115" s="3595" t="s">
        <v>2930</v>
      </c>
      <c r="B115" s="3595"/>
      <c r="C115" s="3595"/>
      <c r="D115" s="3595"/>
      <c r="E115" s="3595"/>
      <c r="F115" s="3595"/>
      <c r="G115" s="3595"/>
      <c r="H115" s="3595"/>
    </row>
    <row r="116" spans="1:8" x14ac:dyDescent="0.2">
      <c r="A116" s="3595" t="s">
        <v>2931</v>
      </c>
      <c r="B116" s="3595"/>
      <c r="C116" s="3595"/>
      <c r="D116" s="3595"/>
      <c r="E116" s="3595"/>
      <c r="F116" s="3595"/>
      <c r="G116" s="3595"/>
      <c r="H116" s="3595"/>
    </row>
    <row r="117" spans="1:8" x14ac:dyDescent="0.2">
      <c r="A117" s="3595" t="s">
        <v>2932</v>
      </c>
      <c r="B117" s="3595"/>
      <c r="C117" s="3595"/>
      <c r="D117" s="3595"/>
      <c r="E117" s="3595"/>
      <c r="F117" s="3595"/>
      <c r="G117" s="3595"/>
      <c r="H117" s="3595"/>
    </row>
    <row r="118" spans="1:8" x14ac:dyDescent="0.2">
      <c r="A118" s="3595" t="s">
        <v>2933</v>
      </c>
      <c r="B118" s="3595"/>
      <c r="C118" s="3595"/>
      <c r="D118" s="3595"/>
      <c r="E118" s="3595"/>
      <c r="F118" s="3595"/>
      <c r="G118" s="3595"/>
      <c r="H118" s="3595"/>
    </row>
    <row r="119" spans="1:8" x14ac:dyDescent="0.2">
      <c r="A119" s="3595" t="s">
        <v>2934</v>
      </c>
      <c r="B119" s="3595"/>
      <c r="C119" s="3595"/>
      <c r="D119" s="3595"/>
      <c r="E119" s="3595"/>
      <c r="F119" s="3595"/>
      <c r="G119" s="3595"/>
      <c r="H119" s="3595"/>
    </row>
    <row r="120" spans="1:8" x14ac:dyDescent="0.2">
      <c r="A120" s="3595" t="s">
        <v>2935</v>
      </c>
      <c r="B120" s="3595"/>
      <c r="C120" s="3595"/>
      <c r="D120" s="3595"/>
      <c r="E120" s="3595"/>
      <c r="F120" s="3595"/>
      <c r="G120" s="3595"/>
      <c r="H120" s="3595"/>
    </row>
    <row r="121" spans="1:8" ht="15.75" x14ac:dyDescent="0.2">
      <c r="A121" s="3600"/>
      <c r="B121" s="3600"/>
      <c r="C121" s="3600"/>
      <c r="D121" s="3600"/>
      <c r="E121" s="3600"/>
      <c r="F121" s="3600"/>
      <c r="G121" s="3600"/>
      <c r="H121" s="3600"/>
    </row>
    <row r="122" spans="1:8" x14ac:dyDescent="0.2">
      <c r="A122" s="3601"/>
      <c r="B122" s="3602" t="s">
        <v>2724</v>
      </c>
      <c r="C122" s="3603"/>
      <c r="D122" s="3602" t="s">
        <v>2725</v>
      </c>
      <c r="E122" s="3604"/>
      <c r="F122" s="3603"/>
      <c r="G122" s="3602" t="s">
        <v>2726</v>
      </c>
      <c r="H122" s="3603"/>
    </row>
    <row r="123" spans="1:8" x14ac:dyDescent="0.2">
      <c r="A123" s="3601" t="s">
        <v>2727</v>
      </c>
      <c r="B123" s="3601" t="s">
        <v>1439</v>
      </c>
      <c r="C123" s="3601" t="s">
        <v>2728</v>
      </c>
      <c r="D123" s="3601" t="s">
        <v>1439</v>
      </c>
      <c r="E123" s="3601" t="s">
        <v>2729</v>
      </c>
      <c r="F123" s="3601" t="s">
        <v>2730</v>
      </c>
      <c r="G123" s="3601" t="s">
        <v>1439</v>
      </c>
      <c r="H123" s="3601" t="s">
        <v>2731</v>
      </c>
    </row>
    <row r="124" spans="1:8" x14ac:dyDescent="0.2">
      <c r="A124" s="3601" t="s">
        <v>2732</v>
      </c>
      <c r="B124" s="3601">
        <v>1189</v>
      </c>
      <c r="C124" s="3601">
        <v>0.38</v>
      </c>
      <c r="D124" s="3601">
        <v>315</v>
      </c>
      <c r="E124" s="3601">
        <v>0.41</v>
      </c>
      <c r="F124" s="3601">
        <v>0.26</v>
      </c>
      <c r="G124" s="3601">
        <v>555</v>
      </c>
      <c r="H124" s="3601">
        <v>0.39</v>
      </c>
    </row>
    <row r="125" spans="1:8" x14ac:dyDescent="0.2">
      <c r="A125" s="3601" t="s">
        <v>2733</v>
      </c>
      <c r="B125" s="3601">
        <v>1355</v>
      </c>
      <c r="C125" s="3601">
        <v>0.43</v>
      </c>
      <c r="D125" s="3601">
        <v>364</v>
      </c>
      <c r="E125" s="3601">
        <v>0.47</v>
      </c>
      <c r="F125" s="3601">
        <v>0.27</v>
      </c>
      <c r="G125" s="3601">
        <v>644</v>
      </c>
      <c r="H125" s="3601">
        <v>0.45</v>
      </c>
    </row>
    <row r="126" spans="1:8" x14ac:dyDescent="0.2">
      <c r="A126" s="3601" t="s">
        <v>2734</v>
      </c>
      <c r="B126" s="3601">
        <v>53</v>
      </c>
      <c r="C126" s="3601">
        <v>0.02</v>
      </c>
      <c r="D126" s="3601">
        <v>4</v>
      </c>
      <c r="E126" s="3601">
        <v>0.01</v>
      </c>
      <c r="F126" s="3601">
        <v>0.08</v>
      </c>
      <c r="G126" s="3601">
        <v>7</v>
      </c>
      <c r="H126" s="3601">
        <v>0</v>
      </c>
    </row>
    <row r="127" spans="1:8" x14ac:dyDescent="0.2">
      <c r="A127" s="3601" t="s">
        <v>2735</v>
      </c>
      <c r="B127" s="3601">
        <v>545</v>
      </c>
      <c r="C127" s="3601">
        <v>0.17</v>
      </c>
      <c r="D127" s="3601">
        <v>84</v>
      </c>
      <c r="E127" s="3601">
        <v>0.11</v>
      </c>
      <c r="F127" s="3601">
        <v>0.15</v>
      </c>
      <c r="G127" s="3601">
        <v>214</v>
      </c>
      <c r="H127" s="3601">
        <v>0.15</v>
      </c>
    </row>
    <row r="128" spans="1:8" x14ac:dyDescent="0.2">
      <c r="A128" s="3601" t="s">
        <v>841</v>
      </c>
      <c r="B128" s="3601">
        <v>3142</v>
      </c>
      <c r="C128" s="3601"/>
      <c r="D128" s="3601">
        <v>767</v>
      </c>
      <c r="E128" s="3601"/>
      <c r="F128" s="3601"/>
      <c r="G128" s="3601">
        <v>1420</v>
      </c>
      <c r="H128" s="3601"/>
    </row>
    <row r="129" spans="1:8" ht="15.75" x14ac:dyDescent="0.2">
      <c r="A129" s="3605"/>
      <c r="B129" s="3605"/>
      <c r="C129" s="3605"/>
      <c r="D129" s="3605"/>
      <c r="E129" s="3605"/>
      <c r="F129" s="3605"/>
      <c r="G129" s="3605"/>
      <c r="H129" s="3605"/>
    </row>
    <row r="130" spans="1:8" x14ac:dyDescent="0.2">
      <c r="A130" s="3598" t="s">
        <v>2925</v>
      </c>
      <c r="B130" s="3598"/>
      <c r="C130" s="3598"/>
      <c r="D130" s="3598"/>
      <c r="E130" s="3598"/>
      <c r="F130" s="3598"/>
      <c r="G130" s="3598"/>
      <c r="H130" s="3598"/>
    </row>
    <row r="131" spans="1:8" x14ac:dyDescent="0.2">
      <c r="A131" s="3595" t="s">
        <v>2926</v>
      </c>
      <c r="B131" s="3595"/>
      <c r="C131" s="3595"/>
      <c r="D131" s="3595"/>
      <c r="E131" s="3595"/>
      <c r="F131" s="3595"/>
      <c r="G131" s="3595"/>
      <c r="H131" s="3595"/>
    </row>
    <row r="132" spans="1:8" x14ac:dyDescent="0.2">
      <c r="A132" s="3595" t="s">
        <v>2927</v>
      </c>
      <c r="B132" s="3595"/>
      <c r="C132" s="3595"/>
      <c r="D132" s="3595"/>
      <c r="E132" s="3595"/>
      <c r="F132" s="3595"/>
      <c r="G132" s="3595"/>
      <c r="H132" s="3595"/>
    </row>
    <row r="133" spans="1:8" x14ac:dyDescent="0.2">
      <c r="A133" s="3595" t="s">
        <v>2928</v>
      </c>
      <c r="B133" s="3595"/>
      <c r="C133" s="3595"/>
      <c r="D133" s="3595"/>
      <c r="E133" s="3595"/>
      <c r="F133" s="3595"/>
      <c r="G133" s="3595"/>
      <c r="H133" s="3595"/>
    </row>
    <row r="134" spans="1:8" ht="15.75" x14ac:dyDescent="0.2">
      <c r="A134" s="3594"/>
      <c r="B134" s="3594"/>
      <c r="C134" s="3594"/>
      <c r="D134" s="3594"/>
      <c r="E134" s="3594"/>
      <c r="F134" s="3594"/>
      <c r="G134" s="3594"/>
      <c r="H134" s="3594"/>
    </row>
    <row r="135" spans="1:8" ht="15.75" x14ac:dyDescent="0.2">
      <c r="A135" s="3596" t="s">
        <v>2736</v>
      </c>
      <c r="B135" s="3594"/>
      <c r="C135" s="3594"/>
      <c r="D135" s="3594"/>
      <c r="E135" s="3594"/>
      <c r="F135" s="3594"/>
      <c r="G135" s="3594"/>
      <c r="H135" s="3594"/>
    </row>
    <row r="136" spans="1:8" ht="15.75" x14ac:dyDescent="0.2">
      <c r="A136" s="3594"/>
      <c r="B136" s="3594"/>
      <c r="C136" s="3594"/>
      <c r="D136" s="3594"/>
      <c r="E136" s="3594"/>
      <c r="F136" s="3594"/>
      <c r="G136" s="3594"/>
      <c r="H136" s="3594"/>
    </row>
    <row r="137" spans="1:8" ht="15.75" x14ac:dyDescent="0.2">
      <c r="A137" s="3595" t="s">
        <v>2923</v>
      </c>
      <c r="B137" s="3594"/>
      <c r="C137" s="3594"/>
      <c r="D137" s="3594"/>
      <c r="E137" s="3594"/>
      <c r="F137" s="3594"/>
      <c r="G137" s="3594"/>
      <c r="H137" s="3594"/>
    </row>
    <row r="138" spans="1:8" ht="15.75" x14ac:dyDescent="0.2">
      <c r="A138" s="3595" t="s">
        <v>2924</v>
      </c>
      <c r="B138" s="3594"/>
      <c r="C138" s="3594"/>
      <c r="D138" s="3594"/>
      <c r="E138" s="3594"/>
      <c r="F138" s="3594"/>
      <c r="G138" s="3594"/>
      <c r="H138" s="3594"/>
    </row>
    <row r="139" spans="1:8" ht="15.75" x14ac:dyDescent="0.2">
      <c r="A139" s="3594"/>
      <c r="B139" s="3594"/>
      <c r="C139" s="3594"/>
      <c r="D139" s="3594"/>
      <c r="E139" s="3594"/>
      <c r="F139" s="3594"/>
      <c r="G139" s="3594"/>
      <c r="H139" s="3594"/>
    </row>
    <row r="140" spans="1:8" ht="15.75" x14ac:dyDescent="0.2">
      <c r="A140" s="3595" t="s">
        <v>2920</v>
      </c>
      <c r="B140" s="3594"/>
      <c r="C140" s="3594"/>
      <c r="D140" s="3594"/>
      <c r="E140" s="3594"/>
      <c r="F140" s="3594"/>
      <c r="G140" s="3594"/>
      <c r="H140" s="3594"/>
    </row>
    <row r="141" spans="1:8" ht="15.75" x14ac:dyDescent="0.2">
      <c r="A141" s="3595" t="s">
        <v>2921</v>
      </c>
      <c r="B141" s="3594"/>
      <c r="C141" s="3594"/>
      <c r="D141" s="3594"/>
      <c r="E141" s="3594"/>
      <c r="F141" s="3594"/>
      <c r="G141" s="3594"/>
      <c r="H141" s="3594"/>
    </row>
    <row r="142" spans="1:8" ht="15.75" x14ac:dyDescent="0.2">
      <c r="A142" s="3595" t="s">
        <v>2922</v>
      </c>
      <c r="B142" s="3594"/>
      <c r="C142" s="3594"/>
      <c r="D142" s="3594"/>
      <c r="E142" s="3594"/>
      <c r="F142" s="3594"/>
      <c r="G142" s="3594"/>
      <c r="H142" s="3594"/>
    </row>
    <row r="143" spans="1:8" ht="15.75" x14ac:dyDescent="0.2">
      <c r="A143" s="3594"/>
      <c r="B143" s="3594"/>
      <c r="C143" s="3594"/>
      <c r="D143" s="3594"/>
      <c r="E143" s="3594"/>
      <c r="F143" s="3594"/>
      <c r="G143" s="3594"/>
      <c r="H143" s="3594"/>
    </row>
    <row r="144" spans="1:8" ht="15.75" x14ac:dyDescent="0.2">
      <c r="A144" s="3595" t="s">
        <v>2917</v>
      </c>
      <c r="B144" s="3594"/>
      <c r="C144" s="3594"/>
      <c r="D144" s="3594"/>
      <c r="E144" s="3594"/>
      <c r="F144" s="3594"/>
      <c r="G144" s="3594"/>
      <c r="H144" s="3594"/>
    </row>
    <row r="145" spans="1:8" ht="15.75" x14ac:dyDescent="0.2">
      <c r="A145" s="3595" t="s">
        <v>2918</v>
      </c>
      <c r="B145" s="3594"/>
      <c r="C145" s="3594"/>
      <c r="D145" s="3594"/>
      <c r="E145" s="3594"/>
      <c r="F145" s="3594"/>
      <c r="G145" s="3594"/>
      <c r="H145" s="3594"/>
    </row>
    <row r="146" spans="1:8" ht="15.75" x14ac:dyDescent="0.2">
      <c r="A146" s="3595" t="s">
        <v>2919</v>
      </c>
      <c r="B146" s="3594"/>
      <c r="C146" s="3594"/>
      <c r="D146" s="3594"/>
      <c r="E146" s="3594"/>
      <c r="F146" s="3594"/>
      <c r="G146" s="3594"/>
      <c r="H146" s="3594"/>
    </row>
    <row r="147" spans="1:8" ht="15.75" x14ac:dyDescent="0.2">
      <c r="A147" s="3594"/>
      <c r="B147" s="3594"/>
      <c r="C147" s="3594"/>
      <c r="D147" s="3594"/>
      <c r="E147" s="3594"/>
      <c r="F147" s="3594"/>
      <c r="G147" s="3594"/>
      <c r="H147" s="3594"/>
    </row>
    <row r="148" spans="1:8" ht="15.75" x14ac:dyDescent="0.2">
      <c r="A148" s="3595" t="s">
        <v>2914</v>
      </c>
      <c r="B148" s="3594"/>
      <c r="C148" s="3594"/>
      <c r="D148" s="3594"/>
      <c r="E148" s="3594"/>
      <c r="F148" s="3594"/>
      <c r="G148" s="3594"/>
      <c r="H148" s="3594"/>
    </row>
    <row r="149" spans="1:8" ht="15.75" x14ac:dyDescent="0.2">
      <c r="A149" s="3595" t="s">
        <v>2915</v>
      </c>
      <c r="B149" s="3594"/>
      <c r="C149" s="3594"/>
      <c r="D149" s="3594"/>
      <c r="E149" s="3594"/>
      <c r="F149" s="3594"/>
      <c r="G149" s="3594"/>
      <c r="H149" s="3594"/>
    </row>
    <row r="150" spans="1:8" ht="15.75" x14ac:dyDescent="0.2">
      <c r="A150" s="3595" t="s">
        <v>2916</v>
      </c>
      <c r="B150" s="3594"/>
      <c r="C150" s="3594"/>
      <c r="D150" s="3594"/>
      <c r="E150" s="3594"/>
      <c r="F150" s="3594"/>
      <c r="G150" s="3594"/>
      <c r="H150" s="3594"/>
    </row>
    <row r="151" spans="1:8" ht="15.75" x14ac:dyDescent="0.2">
      <c r="A151" s="3594"/>
      <c r="B151" s="3594"/>
      <c r="C151" s="3594"/>
      <c r="D151" s="3594"/>
      <c r="E151" s="3594"/>
      <c r="F151" s="3594"/>
      <c r="G151" s="3594"/>
      <c r="H151" s="3594"/>
    </row>
    <row r="152" spans="1:8" ht="15.75" x14ac:dyDescent="0.2">
      <c r="A152" s="3595" t="s">
        <v>2912</v>
      </c>
      <c r="B152" s="3594"/>
      <c r="C152" s="3594"/>
      <c r="D152" s="3594"/>
      <c r="E152" s="3594"/>
      <c r="F152" s="3594"/>
      <c r="G152" s="3594"/>
      <c r="H152" s="3594"/>
    </row>
    <row r="153" spans="1:8" ht="15.75" x14ac:dyDescent="0.2">
      <c r="A153" s="3595" t="s">
        <v>2913</v>
      </c>
      <c r="B153" s="3594"/>
      <c r="C153" s="3594"/>
      <c r="D153" s="3594"/>
      <c r="E153" s="3594"/>
      <c r="F153" s="3594"/>
      <c r="G153" s="3594"/>
      <c r="H153" s="3594"/>
    </row>
    <row r="154" spans="1:8" ht="15.75" x14ac:dyDescent="0.2">
      <c r="A154" s="3594"/>
      <c r="B154" s="3594"/>
      <c r="C154" s="3594"/>
      <c r="D154" s="3594"/>
      <c r="E154" s="3594"/>
      <c r="F154" s="3594"/>
      <c r="G154" s="3594"/>
      <c r="H154" s="3594"/>
    </row>
    <row r="155" spans="1:8" ht="15.75" x14ac:dyDescent="0.2">
      <c r="A155" s="3596" t="s">
        <v>2737</v>
      </c>
      <c r="B155" s="3594"/>
      <c r="C155" s="3594"/>
      <c r="D155" s="3594"/>
      <c r="E155" s="3594"/>
      <c r="F155" s="3594"/>
      <c r="G155" s="3594"/>
      <c r="H155" s="3594"/>
    </row>
    <row r="156" spans="1:8" ht="15.75" x14ac:dyDescent="0.2">
      <c r="A156" s="3594"/>
      <c r="B156" s="3594"/>
      <c r="C156" s="3594"/>
      <c r="D156" s="3594"/>
      <c r="E156" s="3594"/>
      <c r="F156" s="3594"/>
      <c r="G156" s="3594"/>
      <c r="H156" s="3594"/>
    </row>
    <row r="157" spans="1:8" ht="15.75" x14ac:dyDescent="0.2">
      <c r="A157" s="3595" t="s">
        <v>2910</v>
      </c>
      <c r="B157" s="3594"/>
      <c r="C157" s="3594"/>
      <c r="D157" s="3594"/>
      <c r="E157" s="3594"/>
      <c r="F157" s="3594"/>
      <c r="G157" s="3594"/>
      <c r="H157" s="3594"/>
    </row>
    <row r="158" spans="1:8" ht="15.75" x14ac:dyDescent="0.2">
      <c r="A158" s="3595" t="s">
        <v>2911</v>
      </c>
      <c r="B158" s="3594"/>
      <c r="C158" s="3594"/>
      <c r="D158" s="3594"/>
      <c r="E158" s="3594"/>
      <c r="F158" s="3594"/>
      <c r="G158" s="3594"/>
      <c r="H158" s="3594"/>
    </row>
    <row r="159" spans="1:8" ht="15.75" x14ac:dyDescent="0.2">
      <c r="A159" s="3594"/>
      <c r="B159" s="3594"/>
      <c r="C159" s="3594"/>
      <c r="D159" s="3594"/>
      <c r="E159" s="3594"/>
      <c r="F159" s="3594"/>
      <c r="G159" s="3594"/>
      <c r="H159" s="3594"/>
    </row>
    <row r="160" spans="1:8" ht="15.75" x14ac:dyDescent="0.2">
      <c r="A160" s="3595" t="s">
        <v>2908</v>
      </c>
      <c r="B160" s="3594"/>
      <c r="C160" s="3594"/>
      <c r="D160" s="3594"/>
      <c r="E160" s="3594"/>
      <c r="F160" s="3594"/>
      <c r="G160" s="3594"/>
      <c r="H160" s="3594"/>
    </row>
    <row r="161" spans="1:8" ht="15.75" x14ac:dyDescent="0.2">
      <c r="A161" s="3595" t="s">
        <v>2909</v>
      </c>
      <c r="B161" s="3594"/>
      <c r="C161" s="3594"/>
      <c r="D161" s="3594"/>
      <c r="E161" s="3594"/>
      <c r="F161" s="3594"/>
      <c r="G161" s="3594"/>
      <c r="H161" s="3594"/>
    </row>
    <row r="162" spans="1:8" ht="15.75" x14ac:dyDescent="0.2">
      <c r="A162" s="3594"/>
      <c r="B162" s="3594"/>
      <c r="C162" s="3594"/>
      <c r="D162" s="3594"/>
      <c r="E162" s="3594"/>
      <c r="F162" s="3594"/>
      <c r="G162" s="3594"/>
      <c r="H162" s="3594"/>
    </row>
    <row r="163" spans="1:8" ht="15.75" x14ac:dyDescent="0.2">
      <c r="A163" s="3595" t="s">
        <v>2906</v>
      </c>
      <c r="B163" s="3594"/>
      <c r="C163" s="3594"/>
      <c r="D163" s="3594"/>
      <c r="E163" s="3594"/>
      <c r="F163" s="3594"/>
      <c r="G163" s="3594"/>
      <c r="H163" s="3594"/>
    </row>
    <row r="164" spans="1:8" ht="15.75" x14ac:dyDescent="0.2">
      <c r="A164" s="3595" t="s">
        <v>2907</v>
      </c>
      <c r="B164" s="3594"/>
      <c r="C164" s="3594"/>
      <c r="D164" s="3594"/>
      <c r="E164" s="3594"/>
      <c r="F164" s="3594"/>
      <c r="G164" s="3594"/>
      <c r="H164" s="3594"/>
    </row>
    <row r="165" spans="1:8" ht="15.75" x14ac:dyDescent="0.2">
      <c r="A165" s="3594"/>
      <c r="B165" s="3594"/>
      <c r="C165" s="3594"/>
      <c r="D165" s="3594"/>
      <c r="E165" s="3594"/>
      <c r="F165" s="3594"/>
      <c r="G165" s="3594"/>
      <c r="H165" s="3594"/>
    </row>
    <row r="166" spans="1:8" ht="15.75" x14ac:dyDescent="0.2">
      <c r="A166" s="3595" t="s">
        <v>2903</v>
      </c>
      <c r="B166" s="3594"/>
      <c r="C166" s="3594"/>
      <c r="D166" s="3594"/>
      <c r="E166" s="3594"/>
      <c r="F166" s="3594"/>
      <c r="G166" s="3594"/>
      <c r="H166" s="3594"/>
    </row>
    <row r="167" spans="1:8" ht="15.75" x14ac:dyDescent="0.2">
      <c r="A167" s="3595" t="s">
        <v>2904</v>
      </c>
      <c r="B167" s="3594"/>
      <c r="C167" s="3594"/>
      <c r="D167" s="3594"/>
      <c r="E167" s="3594"/>
      <c r="F167" s="3594"/>
      <c r="G167" s="3594"/>
      <c r="H167" s="3594"/>
    </row>
    <row r="168" spans="1:8" ht="15.75" x14ac:dyDescent="0.2">
      <c r="A168" s="3595" t="s">
        <v>2905</v>
      </c>
      <c r="B168" s="3594"/>
      <c r="C168" s="3594"/>
      <c r="D168" s="3594"/>
      <c r="E168" s="3594"/>
      <c r="F168" s="3594"/>
      <c r="G168" s="3594"/>
      <c r="H168" s="3594"/>
    </row>
    <row r="169" spans="1:8" ht="15.75" x14ac:dyDescent="0.2">
      <c r="A169" s="3594"/>
      <c r="B169" s="3594"/>
      <c r="C169" s="3594"/>
      <c r="D169" s="3594"/>
      <c r="E169" s="3594"/>
      <c r="F169" s="3594"/>
      <c r="G169" s="3594"/>
      <c r="H169" s="3594"/>
    </row>
    <row r="170" spans="1:8" ht="15.75" x14ac:dyDescent="0.2">
      <c r="A170" s="3594"/>
      <c r="B170" s="3594"/>
      <c r="C170" s="3594"/>
      <c r="D170" s="3594"/>
      <c r="E170" s="3594"/>
      <c r="F170" s="3594"/>
      <c r="G170" s="3594"/>
      <c r="H170" s="3594"/>
    </row>
    <row r="171" spans="1:8" ht="15.75" x14ac:dyDescent="0.2">
      <c r="A171" s="3595" t="s">
        <v>1518</v>
      </c>
      <c r="B171" s="3594"/>
      <c r="C171" s="3594"/>
      <c r="D171" s="3594"/>
      <c r="E171" s="3594"/>
      <c r="F171" s="3594"/>
      <c r="G171" s="3594"/>
      <c r="H171" s="3594"/>
    </row>
    <row r="172" spans="1:8" ht="15.75" x14ac:dyDescent="0.2">
      <c r="A172" s="3594"/>
      <c r="B172" s="3594"/>
      <c r="C172" s="3594"/>
      <c r="D172" s="3594"/>
      <c r="E172" s="3594"/>
      <c r="F172" s="3594"/>
      <c r="G172" s="3594"/>
      <c r="H172" s="3594"/>
    </row>
    <row r="173" spans="1:8" ht="15.75" x14ac:dyDescent="0.2">
      <c r="A173" s="3596" t="s">
        <v>2738</v>
      </c>
      <c r="B173" s="3594"/>
      <c r="C173" s="3594"/>
      <c r="D173" s="3594"/>
      <c r="E173" s="3594"/>
      <c r="F173" s="3594"/>
      <c r="G173" s="3594"/>
      <c r="H173" s="3594"/>
    </row>
    <row r="174" spans="1:8" ht="15.75" x14ac:dyDescent="0.2">
      <c r="A174" s="3594"/>
      <c r="B174" s="3594"/>
      <c r="C174" s="3594"/>
      <c r="D174" s="3594"/>
      <c r="E174" s="3594"/>
      <c r="F174" s="3594"/>
      <c r="G174" s="3594"/>
      <c r="H174" s="3594"/>
    </row>
    <row r="175" spans="1:8" ht="15.75" x14ac:dyDescent="0.2">
      <c r="A175" s="3594"/>
      <c r="B175" s="3594"/>
      <c r="C175" s="3594"/>
      <c r="D175" s="3594"/>
      <c r="E175" s="3594"/>
      <c r="F175" s="3594"/>
      <c r="G175" s="3594"/>
      <c r="H175" s="3594"/>
    </row>
    <row r="176" spans="1:8" ht="15.75" x14ac:dyDescent="0.2">
      <c r="A176" s="3594"/>
      <c r="B176" s="3594"/>
      <c r="C176" s="3594"/>
      <c r="D176" s="3594"/>
      <c r="E176" s="3594"/>
      <c r="F176" s="3594"/>
      <c r="G176" s="3594"/>
      <c r="H176" s="3594"/>
    </row>
    <row r="177" spans="1:8" ht="15.75" x14ac:dyDescent="0.2">
      <c r="A177" s="3594"/>
      <c r="B177" s="3594"/>
      <c r="C177" s="3594"/>
      <c r="D177" s="3594"/>
      <c r="E177" s="3594"/>
      <c r="F177" s="3594"/>
      <c r="G177" s="3594"/>
      <c r="H177" s="3594"/>
    </row>
    <row r="178" spans="1:8" ht="15.75" x14ac:dyDescent="0.2">
      <c r="A178" s="3594"/>
      <c r="B178" s="3594"/>
      <c r="C178" s="3594"/>
      <c r="D178" s="3594"/>
      <c r="E178" s="3594"/>
      <c r="F178" s="3594"/>
      <c r="G178" s="3594"/>
      <c r="H178" s="3594"/>
    </row>
    <row r="179" spans="1:8" ht="15.75" x14ac:dyDescent="0.2">
      <c r="A179" s="3594"/>
      <c r="B179" s="3594"/>
      <c r="C179" s="3594"/>
      <c r="D179" s="3594"/>
      <c r="E179" s="3594"/>
      <c r="F179" s="3594"/>
      <c r="G179" s="3594"/>
      <c r="H179" s="3594"/>
    </row>
    <row r="180" spans="1:8" ht="15.75" x14ac:dyDescent="0.2">
      <c r="A180" s="3594"/>
      <c r="B180" s="3594"/>
      <c r="C180" s="3594"/>
      <c r="D180" s="3594"/>
      <c r="E180" s="3594"/>
      <c r="F180" s="3594"/>
      <c r="G180" s="3594"/>
      <c r="H180" s="3594"/>
    </row>
    <row r="181" spans="1:8" ht="15.75" x14ac:dyDescent="0.2">
      <c r="A181" s="3594"/>
      <c r="B181" s="3594"/>
      <c r="C181" s="3594"/>
      <c r="D181" s="3594"/>
      <c r="E181" s="3594"/>
      <c r="F181" s="3594"/>
      <c r="G181" s="3594"/>
      <c r="H181" s="3594"/>
    </row>
    <row r="182" spans="1:8" ht="15.75" x14ac:dyDescent="0.2">
      <c r="A182" s="3594"/>
      <c r="B182" s="3594"/>
      <c r="C182" s="3594"/>
      <c r="D182" s="3594"/>
      <c r="E182" s="3594"/>
      <c r="F182" s="3594"/>
      <c r="G182" s="3594"/>
      <c r="H182" s="3594"/>
    </row>
    <row r="183" spans="1:8" ht="15.75" x14ac:dyDescent="0.2">
      <c r="A183" s="3594"/>
      <c r="B183" s="3594"/>
      <c r="C183" s="3594"/>
      <c r="D183" s="3594"/>
      <c r="E183" s="3594"/>
      <c r="F183" s="3594"/>
      <c r="G183" s="3594"/>
      <c r="H183" s="3594"/>
    </row>
    <row r="184" spans="1:8" ht="15.75" x14ac:dyDescent="0.2">
      <c r="A184" s="3594"/>
      <c r="B184" s="3594"/>
      <c r="C184" s="3594"/>
      <c r="D184" s="3594"/>
      <c r="E184" s="3594"/>
      <c r="F184" s="3594"/>
      <c r="G184" s="3594"/>
      <c r="H184" s="3594"/>
    </row>
    <row r="185" spans="1:8" ht="15.75" x14ac:dyDescent="0.2">
      <c r="A185" s="3594"/>
      <c r="B185" s="3594"/>
      <c r="C185" s="3594"/>
      <c r="D185" s="3594"/>
      <c r="E185" s="3594"/>
      <c r="F185" s="3594"/>
      <c r="G185" s="3594"/>
      <c r="H185" s="3594"/>
    </row>
    <row r="186" spans="1:8" ht="15.75" x14ac:dyDescent="0.2">
      <c r="A186" s="3594"/>
      <c r="B186" s="3594"/>
      <c r="C186" s="3594"/>
      <c r="D186" s="3594"/>
      <c r="E186" s="3594"/>
      <c r="F186" s="3594"/>
      <c r="G186" s="3594"/>
      <c r="H186" s="3594"/>
    </row>
    <row r="187" spans="1:8" ht="15.75" x14ac:dyDescent="0.2">
      <c r="A187" s="3594"/>
      <c r="B187" s="3594"/>
      <c r="C187" s="3594"/>
      <c r="D187" s="3594"/>
      <c r="E187" s="3594"/>
      <c r="F187" s="3594"/>
      <c r="G187" s="3594"/>
      <c r="H187" s="3594"/>
    </row>
    <row r="188" spans="1:8" ht="15.75" x14ac:dyDescent="0.2">
      <c r="A188" s="3594"/>
      <c r="B188" s="3594"/>
      <c r="C188" s="3594"/>
      <c r="D188" s="3594"/>
      <c r="E188" s="3594"/>
      <c r="F188" s="3594"/>
      <c r="G188" s="3594"/>
      <c r="H188" s="3594"/>
    </row>
    <row r="189" spans="1:8" ht="15.75" x14ac:dyDescent="0.2">
      <c r="A189" s="3594"/>
      <c r="B189" s="3594"/>
      <c r="C189" s="3594"/>
      <c r="D189" s="3594"/>
      <c r="E189" s="3594"/>
      <c r="F189" s="3594"/>
      <c r="G189" s="3594"/>
      <c r="H189" s="3594"/>
    </row>
    <row r="190" spans="1:8" ht="15.75" x14ac:dyDescent="0.2">
      <c r="A190" s="3594"/>
      <c r="B190" s="3594"/>
      <c r="C190" s="3594"/>
      <c r="D190" s="3594"/>
      <c r="E190" s="3594"/>
      <c r="F190" s="3594"/>
      <c r="G190" s="3594"/>
      <c r="H190" s="3594"/>
    </row>
    <row r="191" spans="1:8" ht="15.75" x14ac:dyDescent="0.2">
      <c r="A191" s="3594"/>
      <c r="B191" s="3594"/>
      <c r="C191" s="3594"/>
      <c r="D191" s="3594"/>
      <c r="E191" s="3594"/>
      <c r="F191" s="3594"/>
      <c r="G191" s="3594"/>
      <c r="H191" s="3594"/>
    </row>
    <row r="192" spans="1:8" ht="15.75" x14ac:dyDescent="0.2">
      <c r="A192" s="3594"/>
      <c r="B192" s="3594"/>
      <c r="C192" s="3594"/>
      <c r="D192" s="3594"/>
      <c r="E192" s="3594"/>
      <c r="F192" s="3594"/>
      <c r="G192" s="3594"/>
      <c r="H192" s="3594"/>
    </row>
    <row r="193" spans="1:8" ht="15.75" x14ac:dyDescent="0.2">
      <c r="A193" s="3594"/>
      <c r="B193" s="3594"/>
      <c r="C193" s="3594"/>
      <c r="D193" s="3594"/>
      <c r="E193" s="3594"/>
      <c r="F193" s="3594"/>
      <c r="G193" s="3594"/>
      <c r="H193" s="3594"/>
    </row>
    <row r="194" spans="1:8" ht="15.75" x14ac:dyDescent="0.2">
      <c r="A194" s="3594"/>
      <c r="B194" s="3594"/>
      <c r="C194" s="3594"/>
      <c r="D194" s="3594"/>
      <c r="E194" s="3594"/>
      <c r="F194" s="3594"/>
      <c r="G194" s="3594"/>
      <c r="H194" s="3594"/>
    </row>
    <row r="195" spans="1:8" ht="15.75" x14ac:dyDescent="0.2">
      <c r="A195" s="3594"/>
      <c r="B195" s="3594"/>
      <c r="C195" s="3594"/>
      <c r="D195" s="3594"/>
      <c r="E195" s="3594"/>
      <c r="F195" s="3594"/>
      <c r="G195" s="3594"/>
      <c r="H195" s="3594"/>
    </row>
    <row r="196" spans="1:8" ht="15.75" x14ac:dyDescent="0.2">
      <c r="A196" s="3594"/>
      <c r="B196" s="3594"/>
      <c r="C196" s="3594"/>
      <c r="D196" s="3594"/>
      <c r="E196" s="3594"/>
      <c r="F196" s="3594"/>
      <c r="G196" s="3594"/>
      <c r="H196" s="3594"/>
    </row>
    <row r="197" spans="1:8" ht="15.75" x14ac:dyDescent="0.2">
      <c r="A197" s="3594"/>
      <c r="B197" s="3594"/>
      <c r="C197" s="3594"/>
      <c r="D197" s="3594"/>
      <c r="E197" s="3594"/>
      <c r="F197" s="3594"/>
      <c r="G197" s="3594"/>
      <c r="H197" s="3594"/>
    </row>
    <row r="198" spans="1:8" ht="15.75" x14ac:dyDescent="0.2">
      <c r="A198" s="3594"/>
      <c r="B198" s="3594"/>
      <c r="C198" s="3594"/>
      <c r="D198" s="3594"/>
      <c r="E198" s="3594"/>
      <c r="F198" s="3594"/>
      <c r="G198" s="3594"/>
      <c r="H198" s="3594"/>
    </row>
    <row r="199" spans="1:8" ht="15.75" x14ac:dyDescent="0.2">
      <c r="A199" s="3594"/>
      <c r="B199" s="3594"/>
      <c r="C199" s="3594"/>
      <c r="D199" s="3594"/>
      <c r="E199" s="3594"/>
      <c r="F199" s="3594"/>
      <c r="G199" s="3594"/>
      <c r="H199" s="3594"/>
    </row>
    <row r="200" spans="1:8" ht="15.75" x14ac:dyDescent="0.2">
      <c r="A200" s="3596" t="s">
        <v>2739</v>
      </c>
      <c r="B200" s="3594"/>
      <c r="C200" s="3594"/>
      <c r="D200" s="3594"/>
      <c r="E200" s="3594"/>
      <c r="F200" s="3594"/>
      <c r="G200" s="3594"/>
      <c r="H200" s="3594"/>
    </row>
    <row r="201" spans="1:8" ht="15.75" x14ac:dyDescent="0.2">
      <c r="A201" s="3594"/>
      <c r="B201" s="3594"/>
      <c r="C201" s="3594"/>
      <c r="D201" s="3594"/>
      <c r="E201" s="3594"/>
      <c r="F201" s="3594"/>
      <c r="G201" s="3594"/>
      <c r="H201" s="3594"/>
    </row>
    <row r="202" spans="1:8" ht="15.75" x14ac:dyDescent="0.2">
      <c r="A202" s="3595" t="s">
        <v>2898</v>
      </c>
      <c r="B202" s="3594"/>
      <c r="C202" s="3594"/>
      <c r="D202" s="3594"/>
      <c r="E202" s="3594"/>
      <c r="F202" s="3594"/>
      <c r="G202" s="3594"/>
      <c r="H202" s="3594"/>
    </row>
    <row r="203" spans="1:8" ht="15.75" x14ac:dyDescent="0.2">
      <c r="A203" s="3595" t="s">
        <v>2899</v>
      </c>
      <c r="B203" s="3594"/>
      <c r="C203" s="3594"/>
      <c r="D203" s="3594"/>
      <c r="E203" s="3594"/>
      <c r="F203" s="3594"/>
      <c r="G203" s="3594"/>
      <c r="H203" s="3594"/>
    </row>
    <row r="204" spans="1:8" ht="15.75" x14ac:dyDescent="0.2">
      <c r="A204" s="3595" t="s">
        <v>2900</v>
      </c>
      <c r="B204" s="3594"/>
      <c r="C204" s="3594"/>
      <c r="D204" s="3594"/>
      <c r="E204" s="3594"/>
      <c r="F204" s="3594"/>
      <c r="G204" s="3594"/>
      <c r="H204" s="3594"/>
    </row>
    <row r="205" spans="1:8" ht="15.75" x14ac:dyDescent="0.2">
      <c r="A205" s="3595" t="s">
        <v>2901</v>
      </c>
      <c r="B205" s="3594"/>
      <c r="C205" s="3594"/>
      <c r="D205" s="3594"/>
      <c r="E205" s="3594"/>
      <c r="F205" s="3594"/>
      <c r="G205" s="3594"/>
      <c r="H205" s="3594"/>
    </row>
    <row r="206" spans="1:8" ht="15.75" x14ac:dyDescent="0.2">
      <c r="A206" s="3595" t="s">
        <v>2902</v>
      </c>
      <c r="B206" s="3594"/>
      <c r="C206" s="3594"/>
      <c r="D206" s="3594"/>
      <c r="E206" s="3594"/>
      <c r="F206" s="3594"/>
      <c r="G206" s="3594"/>
      <c r="H206" s="3594"/>
    </row>
    <row r="207" spans="1:8" ht="15.75" x14ac:dyDescent="0.2">
      <c r="A207" s="3594"/>
      <c r="B207" s="3594"/>
      <c r="C207" s="3594"/>
      <c r="D207" s="3594"/>
      <c r="E207" s="3594"/>
      <c r="F207" s="3594"/>
      <c r="G207" s="3594"/>
      <c r="H207" s="3594"/>
    </row>
    <row r="208" spans="1:8" ht="15.75" x14ac:dyDescent="0.2">
      <c r="A208" s="3595" t="s">
        <v>2895</v>
      </c>
      <c r="B208" s="3594"/>
      <c r="C208" s="3594"/>
      <c r="D208" s="3594"/>
      <c r="E208" s="3594"/>
      <c r="F208" s="3594"/>
      <c r="G208" s="3594"/>
      <c r="H208" s="3594"/>
    </row>
    <row r="209" spans="1:8" ht="15.75" x14ac:dyDescent="0.2">
      <c r="A209" s="3595" t="s">
        <v>2896</v>
      </c>
      <c r="B209" s="3594"/>
      <c r="C209" s="3594"/>
      <c r="D209" s="3594"/>
      <c r="E209" s="3594"/>
      <c r="F209" s="3594"/>
      <c r="G209" s="3594"/>
      <c r="H209" s="3594"/>
    </row>
    <row r="210" spans="1:8" ht="15.75" x14ac:dyDescent="0.2">
      <c r="A210" s="3595" t="s">
        <v>2897</v>
      </c>
      <c r="B210" s="3594"/>
      <c r="C210" s="3594"/>
      <c r="D210" s="3594"/>
      <c r="E210" s="3594"/>
      <c r="F210" s="3594"/>
      <c r="G210" s="3594"/>
      <c r="H210" s="3594"/>
    </row>
    <row r="211" spans="1:8" ht="15.75" x14ac:dyDescent="0.2">
      <c r="A211" s="3596" t="s">
        <v>2740</v>
      </c>
      <c r="B211" s="3594"/>
      <c r="C211" s="3594"/>
      <c r="D211" s="3594"/>
      <c r="E211" s="3594"/>
      <c r="F211" s="3594"/>
      <c r="G211" s="3594"/>
      <c r="H211" s="3594"/>
    </row>
    <row r="212" spans="1:8" ht="15.75" x14ac:dyDescent="0.2">
      <c r="A212" s="3594"/>
      <c r="B212" s="3594"/>
      <c r="C212" s="3594"/>
      <c r="D212" s="3594"/>
      <c r="E212" s="3594"/>
      <c r="F212" s="3594"/>
      <c r="G212" s="3594"/>
      <c r="H212" s="3594"/>
    </row>
    <row r="213" spans="1:8" ht="15.75" x14ac:dyDescent="0.2">
      <c r="A213" s="3595" t="s">
        <v>2888</v>
      </c>
      <c r="B213" s="3594"/>
      <c r="C213" s="3594"/>
      <c r="D213" s="3594"/>
      <c r="E213" s="3594"/>
      <c r="F213" s="3594"/>
      <c r="G213" s="3594"/>
      <c r="H213" s="3594"/>
    </row>
    <row r="214" spans="1:8" ht="15.75" x14ac:dyDescent="0.2">
      <c r="A214" s="3595" t="s">
        <v>2889</v>
      </c>
      <c r="B214" s="3594"/>
      <c r="C214" s="3594"/>
      <c r="D214" s="3594"/>
      <c r="E214" s="3594"/>
      <c r="F214" s="3594"/>
      <c r="G214" s="3594"/>
      <c r="H214" s="3594"/>
    </row>
    <row r="215" spans="1:8" ht="15.75" x14ac:dyDescent="0.2">
      <c r="A215" s="3595" t="s">
        <v>2890</v>
      </c>
      <c r="B215" s="3594"/>
      <c r="C215" s="3594"/>
      <c r="D215" s="3594"/>
      <c r="E215" s="3594"/>
      <c r="F215" s="3594"/>
      <c r="G215" s="3594"/>
      <c r="H215" s="3594"/>
    </row>
    <row r="216" spans="1:8" ht="15.75" x14ac:dyDescent="0.2">
      <c r="A216" s="3595" t="s">
        <v>2891</v>
      </c>
      <c r="B216" s="3594"/>
      <c r="C216" s="3594"/>
      <c r="D216" s="3594"/>
      <c r="E216" s="3594"/>
      <c r="F216" s="3594"/>
      <c r="G216" s="3594"/>
      <c r="H216" s="3594"/>
    </row>
    <row r="217" spans="1:8" ht="15.75" x14ac:dyDescent="0.2">
      <c r="A217" s="3595" t="s">
        <v>2892</v>
      </c>
      <c r="B217" s="3594"/>
      <c r="C217" s="3594"/>
      <c r="D217" s="3594"/>
      <c r="E217" s="3594"/>
      <c r="F217" s="3594"/>
      <c r="G217" s="3594"/>
      <c r="H217" s="3594"/>
    </row>
    <row r="218" spans="1:8" ht="15.75" x14ac:dyDescent="0.2">
      <c r="A218" s="3595" t="s">
        <v>2893</v>
      </c>
      <c r="B218" s="3594"/>
      <c r="C218" s="3594"/>
      <c r="D218" s="3594"/>
      <c r="E218" s="3594"/>
      <c r="F218" s="3594"/>
      <c r="G218" s="3594"/>
      <c r="H218" s="3594"/>
    </row>
    <row r="219" spans="1:8" ht="15.75" x14ac:dyDescent="0.2">
      <c r="A219" s="3595" t="s">
        <v>2894</v>
      </c>
      <c r="B219" s="3594"/>
      <c r="C219" s="3594"/>
      <c r="D219" s="3594"/>
      <c r="E219" s="3594"/>
      <c r="F219" s="3594"/>
      <c r="G219" s="3594"/>
      <c r="H219" s="3594"/>
    </row>
    <row r="220" spans="1:8" ht="15.75" x14ac:dyDescent="0.2">
      <c r="A220" s="3594"/>
      <c r="B220" s="3594"/>
      <c r="C220" s="3594"/>
      <c r="D220" s="3594"/>
      <c r="E220" s="3594"/>
      <c r="F220" s="3594"/>
      <c r="G220" s="3594"/>
      <c r="H220" s="3594"/>
    </row>
    <row r="221" spans="1:8" ht="15.75" x14ac:dyDescent="0.2">
      <c r="A221" s="3595" t="s">
        <v>2885</v>
      </c>
      <c r="B221" s="3594"/>
      <c r="C221" s="3594"/>
      <c r="D221" s="3594"/>
      <c r="E221" s="3594"/>
      <c r="F221" s="3594"/>
      <c r="G221" s="3594"/>
      <c r="H221" s="3594"/>
    </row>
    <row r="222" spans="1:8" ht="15.75" x14ac:dyDescent="0.2">
      <c r="A222" s="3595" t="s">
        <v>2886</v>
      </c>
      <c r="B222" s="3594"/>
      <c r="C222" s="3594"/>
      <c r="D222" s="3594"/>
      <c r="E222" s="3594"/>
      <c r="F222" s="3594"/>
      <c r="G222" s="3594"/>
      <c r="H222" s="3594"/>
    </row>
    <row r="223" spans="1:8" ht="15.75" x14ac:dyDescent="0.2">
      <c r="A223" s="3595" t="s">
        <v>2887</v>
      </c>
      <c r="B223" s="3594"/>
      <c r="C223" s="3594"/>
      <c r="D223" s="3594"/>
      <c r="E223" s="3594"/>
      <c r="F223" s="3594"/>
      <c r="G223" s="3594"/>
      <c r="H223" s="3594"/>
    </row>
    <row r="224" spans="1:8" ht="15.75" x14ac:dyDescent="0.2">
      <c r="A224" s="3594"/>
      <c r="B224" s="3594"/>
      <c r="C224" s="3594"/>
      <c r="D224" s="3594"/>
      <c r="E224" s="3594"/>
      <c r="F224" s="3594"/>
      <c r="G224" s="3594"/>
      <c r="H224" s="3594"/>
    </row>
    <row r="225" spans="1:8" ht="15.75" x14ac:dyDescent="0.2">
      <c r="A225" s="3595" t="s">
        <v>2880</v>
      </c>
      <c r="B225" s="3594"/>
      <c r="C225" s="3594"/>
      <c r="D225" s="3594"/>
      <c r="E225" s="3594"/>
      <c r="F225" s="3594"/>
      <c r="G225" s="3594"/>
      <c r="H225" s="3594"/>
    </row>
    <row r="226" spans="1:8" ht="15.75" x14ac:dyDescent="0.2">
      <c r="A226" s="3595" t="s">
        <v>2881</v>
      </c>
      <c r="B226" s="3594"/>
      <c r="C226" s="3594"/>
      <c r="D226" s="3594"/>
      <c r="E226" s="3594"/>
      <c r="F226" s="3594"/>
      <c r="G226" s="3594"/>
      <c r="H226" s="3594"/>
    </row>
    <row r="227" spans="1:8" ht="15.75" x14ac:dyDescent="0.2">
      <c r="A227" s="3595" t="s">
        <v>2882</v>
      </c>
      <c r="B227" s="3594"/>
      <c r="C227" s="3594"/>
      <c r="D227" s="3594"/>
      <c r="E227" s="3594"/>
      <c r="F227" s="3594"/>
      <c r="G227" s="3594"/>
      <c r="H227" s="3594"/>
    </row>
    <row r="228" spans="1:8" ht="15.75" x14ac:dyDescent="0.2">
      <c r="A228" s="3595" t="s">
        <v>2883</v>
      </c>
      <c r="B228" s="3594"/>
      <c r="C228" s="3594"/>
      <c r="D228" s="3594"/>
      <c r="E228" s="3594"/>
      <c r="F228" s="3594"/>
      <c r="G228" s="3594"/>
      <c r="H228" s="3594"/>
    </row>
    <row r="229" spans="1:8" ht="15.75" x14ac:dyDescent="0.2">
      <c r="A229" s="3595" t="s">
        <v>2884</v>
      </c>
      <c r="B229" s="3594"/>
      <c r="C229" s="3594"/>
      <c r="D229" s="3594"/>
      <c r="E229" s="3594"/>
      <c r="F229" s="3594"/>
      <c r="G229" s="3594"/>
      <c r="H229" s="3594"/>
    </row>
    <row r="230" spans="1:8" ht="15.75" x14ac:dyDescent="0.2">
      <c r="A230" s="3594"/>
      <c r="B230" s="3594"/>
      <c r="C230" s="3594"/>
      <c r="D230" s="3594"/>
      <c r="E230" s="3594"/>
      <c r="F230" s="3594"/>
      <c r="G230" s="3594"/>
      <c r="H230" s="3594"/>
    </row>
    <row r="231" spans="1:8" ht="15.75" x14ac:dyDescent="0.2">
      <c r="A231" s="3595" t="s">
        <v>2874</v>
      </c>
      <c r="B231" s="3594"/>
      <c r="C231" s="3594"/>
      <c r="D231" s="3594"/>
      <c r="E231" s="3594"/>
      <c r="F231" s="3594"/>
      <c r="G231" s="3594"/>
      <c r="H231" s="3594"/>
    </row>
    <row r="232" spans="1:8" ht="15.75" x14ac:dyDescent="0.2">
      <c r="A232" s="3595" t="s">
        <v>2875</v>
      </c>
      <c r="B232" s="3594"/>
      <c r="C232" s="3594"/>
      <c r="D232" s="3594"/>
      <c r="E232" s="3594"/>
      <c r="F232" s="3594"/>
      <c r="G232" s="3594"/>
      <c r="H232" s="3594"/>
    </row>
    <row r="233" spans="1:8" ht="15.75" x14ac:dyDescent="0.2">
      <c r="A233" s="3595" t="s">
        <v>2876</v>
      </c>
      <c r="B233" s="3594"/>
      <c r="C233" s="3594"/>
      <c r="D233" s="3594"/>
      <c r="E233" s="3594"/>
      <c r="F233" s="3594"/>
      <c r="G233" s="3594"/>
      <c r="H233" s="3594"/>
    </row>
    <row r="234" spans="1:8" ht="15.75" x14ac:dyDescent="0.2">
      <c r="A234" s="3595" t="s">
        <v>2877</v>
      </c>
      <c r="B234" s="3594"/>
      <c r="C234" s="3594"/>
      <c r="D234" s="3594"/>
      <c r="E234" s="3594"/>
      <c r="F234" s="3594"/>
      <c r="G234" s="3594"/>
      <c r="H234" s="3594"/>
    </row>
    <row r="235" spans="1:8" ht="15.75" x14ac:dyDescent="0.2">
      <c r="A235" s="3595" t="s">
        <v>2878</v>
      </c>
      <c r="B235" s="3594"/>
      <c r="C235" s="3594"/>
      <c r="D235" s="3594"/>
      <c r="E235" s="3594"/>
      <c r="F235" s="3594"/>
      <c r="G235" s="3594"/>
      <c r="H235" s="3594"/>
    </row>
    <row r="236" spans="1:8" ht="15.75" x14ac:dyDescent="0.2">
      <c r="A236" s="3595" t="s">
        <v>2879</v>
      </c>
      <c r="B236" s="3594"/>
      <c r="C236" s="3594"/>
      <c r="D236" s="3594"/>
      <c r="E236" s="3594"/>
      <c r="F236" s="3594"/>
      <c r="G236" s="3594"/>
      <c r="H236" s="3594"/>
    </row>
    <row r="237" spans="1:8" ht="15.75" x14ac:dyDescent="0.2">
      <c r="A237" s="3594"/>
      <c r="B237" s="3594"/>
      <c r="C237" s="3594"/>
      <c r="D237" s="3594"/>
      <c r="E237" s="3594"/>
      <c r="F237" s="3594"/>
      <c r="G237" s="3594"/>
      <c r="H237" s="3594"/>
    </row>
    <row r="238" spans="1:8" ht="15.75" x14ac:dyDescent="0.2">
      <c r="A238" s="3595" t="s">
        <v>2864</v>
      </c>
      <c r="B238" s="3594"/>
      <c r="C238" s="3594"/>
      <c r="D238" s="3594"/>
      <c r="E238" s="3594"/>
      <c r="F238" s="3594"/>
      <c r="G238" s="3594"/>
      <c r="H238" s="3594"/>
    </row>
    <row r="239" spans="1:8" ht="15.75" x14ac:dyDescent="0.2">
      <c r="A239" s="3595" t="s">
        <v>2865</v>
      </c>
      <c r="B239" s="3594"/>
      <c r="C239" s="3594"/>
      <c r="D239" s="3594"/>
      <c r="E239" s="3594"/>
      <c r="F239" s="3594"/>
      <c r="G239" s="3594"/>
      <c r="H239" s="3594"/>
    </row>
    <row r="240" spans="1:8" ht="15.75" x14ac:dyDescent="0.2">
      <c r="A240" s="3595" t="s">
        <v>2866</v>
      </c>
      <c r="B240" s="3594"/>
      <c r="C240" s="3594"/>
      <c r="D240" s="3594"/>
      <c r="E240" s="3594"/>
      <c r="F240" s="3594"/>
      <c r="G240" s="3594"/>
      <c r="H240" s="3594"/>
    </row>
    <row r="241" spans="1:8" ht="15.75" x14ac:dyDescent="0.2">
      <c r="A241" s="3595" t="s">
        <v>2867</v>
      </c>
      <c r="B241" s="3594"/>
      <c r="C241" s="3594"/>
      <c r="D241" s="3594"/>
      <c r="E241" s="3594"/>
      <c r="F241" s="3594"/>
      <c r="G241" s="3594"/>
      <c r="H241" s="3594"/>
    </row>
    <row r="242" spans="1:8" ht="15.75" x14ac:dyDescent="0.2">
      <c r="A242" s="3595" t="s">
        <v>2868</v>
      </c>
      <c r="B242" s="3594"/>
      <c r="C242" s="3594"/>
      <c r="D242" s="3594"/>
      <c r="E242" s="3594"/>
      <c r="F242" s="3594"/>
      <c r="G242" s="3594"/>
      <c r="H242" s="3594"/>
    </row>
    <row r="243" spans="1:8" ht="15.75" x14ac:dyDescent="0.2">
      <c r="A243" s="3595" t="s">
        <v>2869</v>
      </c>
      <c r="B243" s="3594"/>
      <c r="C243" s="3594"/>
      <c r="D243" s="3594"/>
      <c r="E243" s="3594"/>
      <c r="F243" s="3594"/>
      <c r="G243" s="3594"/>
      <c r="H243" s="3594"/>
    </row>
    <row r="244" spans="1:8" ht="15.75" x14ac:dyDescent="0.2">
      <c r="A244" s="3595" t="s">
        <v>2870</v>
      </c>
      <c r="B244" s="3594"/>
      <c r="C244" s="3594"/>
      <c r="D244" s="3594"/>
      <c r="E244" s="3594"/>
      <c r="F244" s="3594"/>
      <c r="G244" s="3594"/>
      <c r="H244" s="3594"/>
    </row>
    <row r="245" spans="1:8" ht="15.75" x14ac:dyDescent="0.2">
      <c r="A245" s="3595" t="s">
        <v>2871</v>
      </c>
      <c r="B245" s="3594"/>
      <c r="C245" s="3594"/>
      <c r="D245" s="3594"/>
      <c r="E245" s="3594"/>
      <c r="F245" s="3594"/>
      <c r="G245" s="3594"/>
      <c r="H245" s="3594"/>
    </row>
    <row r="246" spans="1:8" ht="15.75" x14ac:dyDescent="0.2">
      <c r="A246" s="3595" t="s">
        <v>2872</v>
      </c>
      <c r="B246" s="3594"/>
      <c r="C246" s="3594"/>
      <c r="D246" s="3594"/>
      <c r="E246" s="3594"/>
      <c r="F246" s="3594"/>
      <c r="G246" s="3594"/>
      <c r="H246" s="3594"/>
    </row>
    <row r="247" spans="1:8" ht="15.75" x14ac:dyDescent="0.2">
      <c r="A247" s="3595" t="s">
        <v>2873</v>
      </c>
      <c r="B247" s="3594"/>
      <c r="C247" s="3594"/>
      <c r="D247" s="3594"/>
      <c r="E247" s="3594"/>
      <c r="F247" s="3594"/>
      <c r="G247" s="3594"/>
      <c r="H247" s="3594"/>
    </row>
    <row r="248" spans="1:8" ht="15.75" x14ac:dyDescent="0.2">
      <c r="A248" s="3594"/>
      <c r="B248" s="3594"/>
      <c r="C248" s="3594"/>
      <c r="D248" s="3594"/>
      <c r="E248" s="3594"/>
      <c r="F248" s="3594"/>
      <c r="G248" s="3594"/>
      <c r="H248" s="3594"/>
    </row>
    <row r="249" spans="1:8" ht="15.75" x14ac:dyDescent="0.2">
      <c r="A249" s="3595" t="s">
        <v>2862</v>
      </c>
      <c r="B249" s="3594"/>
      <c r="C249" s="3594"/>
      <c r="D249" s="3594"/>
      <c r="E249" s="3594"/>
      <c r="F249" s="3594"/>
      <c r="G249" s="3594"/>
      <c r="H249" s="3594"/>
    </row>
    <row r="250" spans="1:8" ht="15.75" x14ac:dyDescent="0.2">
      <c r="A250" s="3595" t="s">
        <v>2863</v>
      </c>
      <c r="B250" s="3594"/>
      <c r="C250" s="3594"/>
      <c r="D250" s="3594"/>
      <c r="E250" s="3594"/>
      <c r="F250" s="3594"/>
      <c r="G250" s="3594"/>
      <c r="H250" s="3594"/>
    </row>
    <row r="251" spans="1:8" ht="15.75" x14ac:dyDescent="0.2">
      <c r="A251" s="3594"/>
      <c r="B251" s="3594"/>
      <c r="C251" s="3594"/>
      <c r="D251" s="3594"/>
      <c r="E251" s="3594"/>
      <c r="F251" s="3594"/>
      <c r="G251" s="3594"/>
      <c r="H251" s="3594"/>
    </row>
    <row r="252" spans="1:8" ht="15.75" x14ac:dyDescent="0.2">
      <c r="A252" s="3595" t="s">
        <v>2846</v>
      </c>
      <c r="B252" s="3594"/>
      <c r="C252" s="3594"/>
      <c r="D252" s="3594"/>
      <c r="E252" s="3594"/>
      <c r="F252" s="3594"/>
      <c r="G252" s="3594"/>
      <c r="H252" s="3594"/>
    </row>
    <row r="253" spans="1:8" ht="15.75" x14ac:dyDescent="0.2">
      <c r="A253" s="3595" t="s">
        <v>2847</v>
      </c>
      <c r="B253" s="3594"/>
      <c r="C253" s="3594"/>
      <c r="D253" s="3594"/>
      <c r="E253" s="3594"/>
      <c r="F253" s="3594"/>
      <c r="G253" s="3594"/>
      <c r="H253" s="3594"/>
    </row>
    <row r="254" spans="1:8" ht="15.75" x14ac:dyDescent="0.2">
      <c r="A254" s="3595" t="s">
        <v>2848</v>
      </c>
      <c r="B254" s="3594"/>
      <c r="C254" s="3594"/>
      <c r="D254" s="3594"/>
      <c r="E254" s="3594"/>
      <c r="F254" s="3594"/>
      <c r="G254" s="3594"/>
      <c r="H254" s="3594"/>
    </row>
    <row r="255" spans="1:8" ht="15.75" x14ac:dyDescent="0.2">
      <c r="A255" s="3595" t="s">
        <v>2849</v>
      </c>
      <c r="B255" s="3594"/>
      <c r="C255" s="3594"/>
      <c r="D255" s="3594"/>
      <c r="E255" s="3594"/>
      <c r="F255" s="3594"/>
      <c r="G255" s="3594"/>
      <c r="H255" s="3594"/>
    </row>
    <row r="256" spans="1:8" ht="15.75" x14ac:dyDescent="0.2">
      <c r="A256" s="3595" t="s">
        <v>2850</v>
      </c>
      <c r="B256" s="3594"/>
      <c r="C256" s="3594"/>
      <c r="D256" s="3594"/>
      <c r="E256" s="3594"/>
      <c r="F256" s="3594"/>
      <c r="G256" s="3594"/>
      <c r="H256" s="3594"/>
    </row>
    <row r="257" spans="1:8" ht="15.75" x14ac:dyDescent="0.2">
      <c r="A257" s="3595" t="s">
        <v>2851</v>
      </c>
      <c r="B257" s="3594"/>
      <c r="C257" s="3594"/>
      <c r="D257" s="3594"/>
      <c r="E257" s="3594"/>
      <c r="F257" s="3594"/>
      <c r="G257" s="3594"/>
      <c r="H257" s="3594"/>
    </row>
    <row r="258" spans="1:8" ht="15.75" x14ac:dyDescent="0.2">
      <c r="A258" s="3595" t="s">
        <v>2852</v>
      </c>
      <c r="B258" s="3594"/>
      <c r="C258" s="3594"/>
      <c r="D258" s="3594"/>
      <c r="E258" s="3594"/>
      <c r="F258" s="3594"/>
      <c r="G258" s="3594"/>
      <c r="H258" s="3594"/>
    </row>
    <row r="259" spans="1:8" ht="15.75" x14ac:dyDescent="0.2">
      <c r="A259" s="3595" t="s">
        <v>2853</v>
      </c>
      <c r="B259" s="3594"/>
      <c r="C259" s="3594"/>
      <c r="D259" s="3594"/>
      <c r="E259" s="3594"/>
      <c r="F259" s="3594"/>
      <c r="G259" s="3594"/>
      <c r="H259" s="3594"/>
    </row>
    <row r="260" spans="1:8" ht="15.75" x14ac:dyDescent="0.2">
      <c r="A260" s="3595" t="s">
        <v>2854</v>
      </c>
      <c r="B260" s="3594"/>
      <c r="C260" s="3594"/>
      <c r="D260" s="3594"/>
      <c r="E260" s="3594"/>
      <c r="F260" s="3594"/>
      <c r="G260" s="3594"/>
      <c r="H260" s="3594"/>
    </row>
    <row r="261" spans="1:8" ht="15.75" x14ac:dyDescent="0.2">
      <c r="A261" s="3595" t="s">
        <v>2855</v>
      </c>
      <c r="B261" s="3594"/>
      <c r="C261" s="3594"/>
      <c r="D261" s="3594"/>
      <c r="E261" s="3594"/>
      <c r="F261" s="3594"/>
      <c r="G261" s="3594"/>
      <c r="H261" s="3594"/>
    </row>
    <row r="262" spans="1:8" ht="15.75" x14ac:dyDescent="0.2">
      <c r="A262" s="3595" t="s">
        <v>2856</v>
      </c>
      <c r="B262" s="3594"/>
      <c r="C262" s="3594"/>
      <c r="D262" s="3594"/>
      <c r="E262" s="3594"/>
      <c r="F262" s="3594"/>
      <c r="G262" s="3594"/>
      <c r="H262" s="3594"/>
    </row>
    <row r="263" spans="1:8" ht="15.75" x14ac:dyDescent="0.2">
      <c r="A263" s="3595" t="s">
        <v>2857</v>
      </c>
      <c r="B263" s="3594"/>
      <c r="C263" s="3594"/>
      <c r="D263" s="3594"/>
      <c r="E263" s="3594"/>
      <c r="F263" s="3594"/>
      <c r="G263" s="3594"/>
      <c r="H263" s="3594"/>
    </row>
    <row r="264" spans="1:8" ht="15.75" x14ac:dyDescent="0.2">
      <c r="A264" s="3595" t="s">
        <v>2858</v>
      </c>
      <c r="B264" s="3594"/>
      <c r="C264" s="3594"/>
      <c r="D264" s="3594"/>
      <c r="E264" s="3594"/>
      <c r="F264" s="3594"/>
      <c r="G264" s="3594"/>
      <c r="H264" s="3594"/>
    </row>
    <row r="265" spans="1:8" ht="15.75" x14ac:dyDescent="0.2">
      <c r="A265" s="3595" t="s">
        <v>2859</v>
      </c>
      <c r="B265" s="3594"/>
      <c r="C265" s="3594"/>
      <c r="D265" s="3594"/>
      <c r="E265" s="3594"/>
      <c r="F265" s="3594"/>
      <c r="G265" s="3594"/>
      <c r="H265" s="3594"/>
    </row>
    <row r="266" spans="1:8" ht="15.75" x14ac:dyDescent="0.2">
      <c r="A266" s="3595" t="s">
        <v>2860</v>
      </c>
      <c r="B266" s="3594"/>
      <c r="C266" s="3594"/>
      <c r="D266" s="3594"/>
      <c r="E266" s="3594"/>
      <c r="F266" s="3594"/>
      <c r="G266" s="3594"/>
      <c r="H266" s="3594"/>
    </row>
    <row r="267" spans="1:8" ht="15.75" x14ac:dyDescent="0.2">
      <c r="A267" s="3595" t="s">
        <v>2861</v>
      </c>
      <c r="B267" s="3594"/>
      <c r="C267" s="3594"/>
      <c r="D267" s="3594"/>
      <c r="E267" s="3594"/>
      <c r="F267" s="3594"/>
      <c r="G267" s="3594"/>
      <c r="H267" s="3594"/>
    </row>
    <row r="268" spans="1:8" ht="15.75" x14ac:dyDescent="0.2">
      <c r="A268" s="3594"/>
      <c r="B268" s="3594"/>
      <c r="C268" s="3594"/>
      <c r="D268" s="3594"/>
      <c r="E268" s="3594"/>
      <c r="F268" s="3594"/>
      <c r="G268" s="3594"/>
      <c r="H268" s="3594"/>
    </row>
    <row r="269" spans="1:8" ht="15.75" x14ac:dyDescent="0.2">
      <c r="A269" s="3595" t="s">
        <v>2839</v>
      </c>
      <c r="B269" s="3594"/>
      <c r="C269" s="3594"/>
      <c r="D269" s="3594"/>
      <c r="E269" s="3594"/>
      <c r="F269" s="3594"/>
      <c r="G269" s="3594"/>
      <c r="H269" s="3594"/>
    </row>
    <row r="270" spans="1:8" ht="15.75" x14ac:dyDescent="0.2">
      <c r="A270" s="3595" t="s">
        <v>2840</v>
      </c>
      <c r="B270" s="3594"/>
      <c r="C270" s="3594"/>
      <c r="D270" s="3594"/>
      <c r="E270" s="3594"/>
      <c r="F270" s="3594"/>
      <c r="G270" s="3594"/>
      <c r="H270" s="3594"/>
    </row>
    <row r="271" spans="1:8" ht="15.75" x14ac:dyDescent="0.2">
      <c r="A271" s="3595" t="s">
        <v>2841</v>
      </c>
      <c r="B271" s="3594"/>
      <c r="C271" s="3594"/>
      <c r="D271" s="3594"/>
      <c r="E271" s="3594"/>
      <c r="F271" s="3594"/>
      <c r="G271" s="3594"/>
      <c r="H271" s="3594"/>
    </row>
    <row r="272" spans="1:8" ht="15.75" x14ac:dyDescent="0.2">
      <c r="A272" s="3595" t="s">
        <v>2842</v>
      </c>
      <c r="B272" s="3594"/>
      <c r="C272" s="3594"/>
      <c r="D272" s="3594"/>
      <c r="E272" s="3594"/>
      <c r="F272" s="3594"/>
      <c r="G272" s="3594"/>
      <c r="H272" s="3594"/>
    </row>
    <row r="273" spans="1:8" ht="15.75" x14ac:dyDescent="0.2">
      <c r="A273" s="3595" t="s">
        <v>2843</v>
      </c>
      <c r="B273" s="3594"/>
      <c r="C273" s="3594"/>
      <c r="D273" s="3594"/>
      <c r="E273" s="3594"/>
      <c r="F273" s="3594"/>
      <c r="G273" s="3594"/>
      <c r="H273" s="3594"/>
    </row>
    <row r="274" spans="1:8" ht="15.75" x14ac:dyDescent="0.2">
      <c r="A274" s="3595" t="s">
        <v>2844</v>
      </c>
      <c r="B274" s="3594"/>
      <c r="C274" s="3594"/>
      <c r="D274" s="3594"/>
      <c r="E274" s="3594"/>
      <c r="F274" s="3594"/>
      <c r="G274" s="3594"/>
      <c r="H274" s="3594"/>
    </row>
    <row r="275" spans="1:8" ht="15.75" x14ac:dyDescent="0.2">
      <c r="A275" s="3595" t="s">
        <v>2845</v>
      </c>
      <c r="B275" s="3594"/>
      <c r="C275" s="3594"/>
      <c r="D275" s="3594"/>
      <c r="E275" s="3594"/>
      <c r="F275" s="3594"/>
      <c r="G275" s="3594"/>
      <c r="H275" s="3594"/>
    </row>
    <row r="276" spans="1:8" ht="15.75" x14ac:dyDescent="0.2">
      <c r="A276" s="3594"/>
      <c r="B276" s="3594"/>
      <c r="C276" s="3594"/>
      <c r="D276" s="3594"/>
      <c r="E276" s="3594"/>
      <c r="F276" s="3594"/>
      <c r="G276" s="3594"/>
      <c r="H276" s="3594"/>
    </row>
    <row r="277" spans="1:8" ht="15.75" x14ac:dyDescent="0.2">
      <c r="A277" s="3595" t="s">
        <v>2830</v>
      </c>
      <c r="B277" s="3594"/>
      <c r="C277" s="3594"/>
      <c r="D277" s="3594"/>
      <c r="E277" s="3594"/>
      <c r="F277" s="3594"/>
      <c r="G277" s="3594"/>
      <c r="H277" s="3594"/>
    </row>
    <row r="278" spans="1:8" ht="15.75" x14ac:dyDescent="0.2">
      <c r="A278" s="3595" t="s">
        <v>2831</v>
      </c>
      <c r="B278" s="3594"/>
      <c r="C278" s="3594"/>
      <c r="D278" s="3594"/>
      <c r="E278" s="3594"/>
      <c r="F278" s="3594"/>
      <c r="G278" s="3594"/>
      <c r="H278" s="3594"/>
    </row>
    <row r="279" spans="1:8" ht="15.75" x14ac:dyDescent="0.2">
      <c r="A279" s="3595" t="s">
        <v>2832</v>
      </c>
      <c r="B279" s="3594"/>
      <c r="C279" s="3594"/>
      <c r="D279" s="3594"/>
      <c r="E279" s="3594"/>
      <c r="F279" s="3594"/>
      <c r="G279" s="3594"/>
      <c r="H279" s="3594"/>
    </row>
    <row r="280" spans="1:8" ht="15.75" x14ac:dyDescent="0.2">
      <c r="A280" s="3595" t="s">
        <v>2833</v>
      </c>
      <c r="B280" s="3594"/>
      <c r="C280" s="3594"/>
      <c r="D280" s="3594"/>
      <c r="E280" s="3594"/>
      <c r="F280" s="3594"/>
      <c r="G280" s="3594"/>
      <c r="H280" s="3594"/>
    </row>
    <row r="281" spans="1:8" ht="15.75" x14ac:dyDescent="0.2">
      <c r="A281" s="3595" t="s">
        <v>2834</v>
      </c>
      <c r="B281" s="3594"/>
      <c r="C281" s="3594"/>
      <c r="D281" s="3594"/>
      <c r="E281" s="3594"/>
      <c r="F281" s="3594"/>
      <c r="G281" s="3594"/>
      <c r="H281" s="3594"/>
    </row>
    <row r="282" spans="1:8" ht="15.75" x14ac:dyDescent="0.2">
      <c r="A282" s="3595" t="s">
        <v>2835</v>
      </c>
      <c r="B282" s="3594"/>
      <c r="C282" s="3594"/>
      <c r="D282" s="3594"/>
      <c r="E282" s="3594"/>
      <c r="F282" s="3594"/>
      <c r="G282" s="3594"/>
      <c r="H282" s="3594"/>
    </row>
    <row r="283" spans="1:8" ht="15.75" x14ac:dyDescent="0.2">
      <c r="A283" s="3595" t="s">
        <v>2836</v>
      </c>
      <c r="B283" s="3594"/>
      <c r="C283" s="3594"/>
      <c r="D283" s="3594"/>
      <c r="E283" s="3594"/>
      <c r="F283" s="3594"/>
      <c r="G283" s="3594"/>
      <c r="H283" s="3594"/>
    </row>
    <row r="284" spans="1:8" ht="15.75" x14ac:dyDescent="0.2">
      <c r="A284" s="3595" t="s">
        <v>2837</v>
      </c>
      <c r="B284" s="3594"/>
      <c r="C284" s="3594"/>
      <c r="D284" s="3594"/>
      <c r="E284" s="3594"/>
      <c r="F284" s="3594"/>
      <c r="G284" s="3594"/>
      <c r="H284" s="3594"/>
    </row>
    <row r="285" spans="1:8" ht="15.75" x14ac:dyDescent="0.2">
      <c r="A285" s="3595" t="s">
        <v>2838</v>
      </c>
      <c r="B285" s="3594"/>
      <c r="C285" s="3594"/>
      <c r="D285" s="3594"/>
      <c r="E285" s="3594"/>
      <c r="F285" s="3594"/>
      <c r="G285" s="3594"/>
      <c r="H285" s="3594"/>
    </row>
    <row r="286" spans="1:8" ht="15.75" x14ac:dyDescent="0.2">
      <c r="A286" s="3594"/>
      <c r="B286" s="3594"/>
      <c r="C286" s="3594"/>
      <c r="D286" s="3594"/>
      <c r="E286" s="3594"/>
      <c r="F286" s="3594"/>
      <c r="G286" s="3594"/>
      <c r="H286" s="3594"/>
    </row>
    <row r="287" spans="1:8" ht="15.75" x14ac:dyDescent="0.2">
      <c r="A287" s="3595" t="s">
        <v>2823</v>
      </c>
      <c r="B287" s="3594"/>
      <c r="C287" s="3594"/>
      <c r="D287" s="3594"/>
      <c r="E287" s="3594"/>
      <c r="F287" s="3594"/>
      <c r="G287" s="3594"/>
      <c r="H287" s="3594"/>
    </row>
    <row r="288" spans="1:8" ht="15.75" x14ac:dyDescent="0.2">
      <c r="A288" s="3595" t="s">
        <v>2824</v>
      </c>
      <c r="B288" s="3594"/>
      <c r="C288" s="3594"/>
      <c r="D288" s="3594"/>
      <c r="E288" s="3594"/>
      <c r="F288" s="3594"/>
      <c r="G288" s="3594"/>
      <c r="H288" s="3594"/>
    </row>
    <row r="289" spans="1:8" ht="15.75" x14ac:dyDescent="0.2">
      <c r="A289" s="3595" t="s">
        <v>2825</v>
      </c>
      <c r="B289" s="3594"/>
      <c r="C289" s="3594"/>
      <c r="D289" s="3594"/>
      <c r="E289" s="3594"/>
      <c r="F289" s="3594"/>
      <c r="G289" s="3594"/>
      <c r="H289" s="3594"/>
    </row>
    <row r="290" spans="1:8" ht="15.75" x14ac:dyDescent="0.2">
      <c r="A290" s="3595" t="s">
        <v>2826</v>
      </c>
      <c r="B290" s="3594"/>
      <c r="C290" s="3594"/>
      <c r="D290" s="3594"/>
      <c r="E290" s="3594"/>
      <c r="F290" s="3594"/>
      <c r="G290" s="3594"/>
      <c r="H290" s="3594"/>
    </row>
    <row r="291" spans="1:8" ht="15.75" x14ac:dyDescent="0.2">
      <c r="A291" s="3595" t="s">
        <v>2827</v>
      </c>
      <c r="B291" s="3594"/>
      <c r="C291" s="3594"/>
      <c r="D291" s="3594"/>
      <c r="E291" s="3594"/>
      <c r="F291" s="3594"/>
      <c r="G291" s="3594"/>
      <c r="H291" s="3594"/>
    </row>
    <row r="292" spans="1:8" ht="15.75" x14ac:dyDescent="0.2">
      <c r="A292" s="3595" t="s">
        <v>2828</v>
      </c>
      <c r="B292" s="3594"/>
      <c r="C292" s="3594"/>
      <c r="D292" s="3594"/>
      <c r="E292" s="3594"/>
      <c r="F292" s="3594"/>
      <c r="G292" s="3594"/>
      <c r="H292" s="3594"/>
    </row>
    <row r="293" spans="1:8" ht="15.75" x14ac:dyDescent="0.2">
      <c r="A293" s="3595" t="s">
        <v>2829</v>
      </c>
      <c r="B293" s="3594"/>
      <c r="C293" s="3594"/>
      <c r="D293" s="3594"/>
      <c r="E293" s="3594"/>
      <c r="F293" s="3594"/>
      <c r="G293" s="3594"/>
      <c r="H293" s="3594"/>
    </row>
    <row r="294" spans="1:8" ht="15.75" x14ac:dyDescent="0.2">
      <c r="A294" s="3594"/>
      <c r="B294" s="3594"/>
      <c r="C294" s="3594"/>
      <c r="D294" s="3594"/>
      <c r="E294" s="3594"/>
      <c r="F294" s="3594"/>
      <c r="G294" s="3594"/>
      <c r="H294" s="3594"/>
    </row>
    <row r="295" spans="1:8" ht="15.75" x14ac:dyDescent="0.2">
      <c r="A295" s="3595" t="s">
        <v>2820</v>
      </c>
      <c r="B295" s="3594"/>
      <c r="C295" s="3594"/>
      <c r="D295" s="3594"/>
      <c r="E295" s="3594"/>
      <c r="F295" s="3594"/>
      <c r="G295" s="3594"/>
      <c r="H295" s="3594"/>
    </row>
    <row r="296" spans="1:8" ht="15.75" x14ac:dyDescent="0.2">
      <c r="A296" s="3595" t="s">
        <v>2821</v>
      </c>
      <c r="B296" s="3594"/>
      <c r="C296" s="3594"/>
      <c r="D296" s="3594"/>
      <c r="E296" s="3594"/>
      <c r="F296" s="3594"/>
      <c r="G296" s="3594"/>
      <c r="H296" s="3594"/>
    </row>
    <row r="297" spans="1:8" ht="15.75" x14ac:dyDescent="0.2">
      <c r="A297" s="3595" t="s">
        <v>2822</v>
      </c>
      <c r="B297" s="3594"/>
      <c r="C297" s="3594"/>
      <c r="D297" s="3594"/>
      <c r="E297" s="3594"/>
      <c r="F297" s="3594"/>
      <c r="G297" s="3594"/>
      <c r="H297" s="3594"/>
    </row>
    <row r="298" spans="1:8" ht="15.75" x14ac:dyDescent="0.2">
      <c r="A298" s="3594"/>
      <c r="B298" s="3594"/>
      <c r="C298" s="3594"/>
      <c r="D298" s="3594"/>
      <c r="E298" s="3594"/>
      <c r="F298" s="3594"/>
      <c r="G298" s="3594"/>
      <c r="H298" s="3594"/>
    </row>
    <row r="299" spans="1:8" ht="15.75" x14ac:dyDescent="0.2">
      <c r="A299" s="3595" t="s">
        <v>2818</v>
      </c>
      <c r="B299" s="3594"/>
      <c r="C299" s="3594"/>
      <c r="D299" s="3594"/>
      <c r="E299" s="3594"/>
      <c r="F299" s="3594"/>
      <c r="G299" s="3594"/>
      <c r="H299" s="3594"/>
    </row>
    <row r="300" spans="1:8" ht="15.75" x14ac:dyDescent="0.2">
      <c r="A300" s="3595" t="s">
        <v>2819</v>
      </c>
      <c r="B300" s="3594"/>
      <c r="C300" s="3594"/>
      <c r="D300" s="3594"/>
      <c r="E300" s="3594"/>
      <c r="F300" s="3594"/>
      <c r="G300" s="3594"/>
      <c r="H300" s="3594"/>
    </row>
    <row r="301" spans="1:8" ht="15.75" x14ac:dyDescent="0.2">
      <c r="A301" s="3594"/>
      <c r="B301" s="3594"/>
      <c r="C301" s="3594"/>
      <c r="D301" s="3594"/>
      <c r="E301" s="3594"/>
      <c r="F301" s="3594"/>
      <c r="G301" s="3594"/>
      <c r="H301" s="3594"/>
    </row>
    <row r="302" spans="1:8" ht="15.75" x14ac:dyDescent="0.2">
      <c r="A302" s="3595" t="s">
        <v>2805</v>
      </c>
      <c r="B302" s="3594"/>
      <c r="C302" s="3594"/>
      <c r="D302" s="3594"/>
      <c r="E302" s="3594"/>
      <c r="F302" s="3594"/>
      <c r="G302" s="3594"/>
      <c r="H302" s="3594"/>
    </row>
    <row r="303" spans="1:8" ht="15.75" x14ac:dyDescent="0.2">
      <c r="A303" s="3595" t="s">
        <v>2806</v>
      </c>
      <c r="B303" s="3594"/>
      <c r="C303" s="3594"/>
      <c r="D303" s="3594"/>
      <c r="E303" s="3594"/>
      <c r="F303" s="3594"/>
      <c r="G303" s="3594"/>
      <c r="H303" s="3594"/>
    </row>
    <row r="304" spans="1:8" ht="15.75" x14ac:dyDescent="0.2">
      <c r="A304" s="3595" t="s">
        <v>2807</v>
      </c>
      <c r="B304" s="3594"/>
      <c r="C304" s="3594"/>
      <c r="D304" s="3594"/>
      <c r="E304" s="3594"/>
      <c r="F304" s="3594"/>
      <c r="G304" s="3594"/>
      <c r="H304" s="3594"/>
    </row>
    <row r="305" spans="1:8" ht="15.75" x14ac:dyDescent="0.2">
      <c r="A305" s="3595" t="s">
        <v>2808</v>
      </c>
      <c r="B305" s="3594"/>
      <c r="C305" s="3594"/>
      <c r="D305" s="3594"/>
      <c r="E305" s="3594"/>
      <c r="F305" s="3594"/>
      <c r="G305" s="3594"/>
      <c r="H305" s="3594"/>
    </row>
    <row r="306" spans="1:8" ht="15.75" x14ac:dyDescent="0.2">
      <c r="A306" s="3595" t="s">
        <v>2809</v>
      </c>
      <c r="B306" s="3594"/>
      <c r="C306" s="3594"/>
      <c r="D306" s="3594"/>
      <c r="E306" s="3594"/>
      <c r="F306" s="3594"/>
      <c r="G306" s="3594"/>
      <c r="H306" s="3594"/>
    </row>
    <row r="307" spans="1:8" ht="15.75" x14ac:dyDescent="0.2">
      <c r="A307" s="3595" t="s">
        <v>2810</v>
      </c>
      <c r="B307" s="3594"/>
      <c r="C307" s="3594"/>
      <c r="D307" s="3594"/>
      <c r="E307" s="3594"/>
      <c r="F307" s="3594"/>
      <c r="G307" s="3594"/>
      <c r="H307" s="3594"/>
    </row>
    <row r="308" spans="1:8" ht="15.75" x14ac:dyDescent="0.2">
      <c r="A308" s="3595" t="s">
        <v>2811</v>
      </c>
      <c r="B308" s="3594"/>
      <c r="C308" s="3594"/>
      <c r="D308" s="3594"/>
      <c r="E308" s="3594"/>
      <c r="F308" s="3594"/>
      <c r="G308" s="3594"/>
      <c r="H308" s="3594"/>
    </row>
    <row r="309" spans="1:8" ht="15.75" x14ac:dyDescent="0.2">
      <c r="A309" s="3595" t="s">
        <v>2812</v>
      </c>
      <c r="B309" s="3594"/>
      <c r="C309" s="3594"/>
      <c r="D309" s="3594"/>
      <c r="E309" s="3594"/>
      <c r="F309" s="3594"/>
      <c r="G309" s="3594"/>
      <c r="H309" s="3594"/>
    </row>
    <row r="310" spans="1:8" ht="15.75" x14ac:dyDescent="0.2">
      <c r="A310" s="3595" t="s">
        <v>2813</v>
      </c>
      <c r="B310" s="3594"/>
      <c r="C310" s="3594"/>
      <c r="D310" s="3594"/>
      <c r="E310" s="3594"/>
      <c r="F310" s="3594"/>
      <c r="G310" s="3594"/>
      <c r="H310" s="3594"/>
    </row>
    <row r="311" spans="1:8" ht="15.75" x14ac:dyDescent="0.2">
      <c r="A311" s="3595" t="s">
        <v>2814</v>
      </c>
      <c r="B311" s="3594"/>
      <c r="C311" s="3594"/>
      <c r="D311" s="3594"/>
      <c r="E311" s="3594"/>
      <c r="F311" s="3594"/>
      <c r="G311" s="3594"/>
      <c r="H311" s="3594"/>
    </row>
    <row r="312" spans="1:8" ht="15.75" x14ac:dyDescent="0.2">
      <c r="A312" s="3595" t="s">
        <v>2815</v>
      </c>
      <c r="B312" s="3594"/>
      <c r="C312" s="3594"/>
      <c r="D312" s="3594"/>
      <c r="E312" s="3594"/>
      <c r="F312" s="3594"/>
      <c r="G312" s="3594"/>
      <c r="H312" s="3594"/>
    </row>
    <row r="313" spans="1:8" ht="15.75" x14ac:dyDescent="0.2">
      <c r="A313" s="3595" t="s">
        <v>2816</v>
      </c>
      <c r="B313" s="3594"/>
      <c r="C313" s="3594"/>
      <c r="D313" s="3594"/>
      <c r="E313" s="3594"/>
      <c r="F313" s="3594"/>
      <c r="G313" s="3594"/>
      <c r="H313" s="3594"/>
    </row>
    <row r="314" spans="1:8" ht="15.75" x14ac:dyDescent="0.2">
      <c r="A314" s="3595" t="s">
        <v>2817</v>
      </c>
      <c r="B314" s="3594"/>
      <c r="C314" s="3594"/>
      <c r="D314" s="3594"/>
      <c r="E314" s="3594"/>
      <c r="F314" s="3594"/>
      <c r="G314" s="3594"/>
      <c r="H314" s="3594"/>
    </row>
    <row r="315" spans="1:8" ht="15.75" x14ac:dyDescent="0.2">
      <c r="A315" s="3594"/>
      <c r="B315" s="3594"/>
      <c r="C315" s="3594"/>
      <c r="D315" s="3594"/>
      <c r="E315" s="3594"/>
      <c r="F315" s="3594"/>
      <c r="G315" s="3594"/>
      <c r="H315" s="3594"/>
    </row>
    <row r="316" spans="1:8" ht="15.75" x14ac:dyDescent="0.2">
      <c r="A316" s="3595" t="s">
        <v>2797</v>
      </c>
      <c r="B316" s="3594"/>
      <c r="C316" s="3594"/>
      <c r="D316" s="3594"/>
      <c r="E316" s="3594"/>
      <c r="F316" s="3594"/>
      <c r="G316" s="3594"/>
      <c r="H316" s="3594"/>
    </row>
    <row r="317" spans="1:8" ht="15.75" x14ac:dyDescent="0.2">
      <c r="A317" s="3595" t="s">
        <v>2798</v>
      </c>
      <c r="B317" s="3594"/>
      <c r="C317" s="3594"/>
      <c r="D317" s="3594"/>
      <c r="E317" s="3594"/>
      <c r="F317" s="3594"/>
      <c r="G317" s="3594"/>
      <c r="H317" s="3594"/>
    </row>
    <row r="318" spans="1:8" ht="15.75" x14ac:dyDescent="0.2">
      <c r="A318" s="3595" t="s">
        <v>2799</v>
      </c>
      <c r="B318" s="3594"/>
      <c r="C318" s="3594"/>
      <c r="D318" s="3594"/>
      <c r="E318" s="3594"/>
      <c r="F318" s="3594"/>
      <c r="G318" s="3594"/>
      <c r="H318" s="3594"/>
    </row>
    <row r="319" spans="1:8" ht="15.75" x14ac:dyDescent="0.2">
      <c r="A319" s="3595" t="s">
        <v>2800</v>
      </c>
      <c r="B319" s="3594"/>
      <c r="C319" s="3594"/>
      <c r="D319" s="3594"/>
      <c r="E319" s="3594"/>
      <c r="F319" s="3594"/>
      <c r="G319" s="3594"/>
      <c r="H319" s="3594"/>
    </row>
    <row r="320" spans="1:8" ht="15.75" x14ac:dyDescent="0.2">
      <c r="A320" s="3595" t="s">
        <v>2801</v>
      </c>
      <c r="B320" s="3594"/>
      <c r="C320" s="3594"/>
      <c r="D320" s="3594"/>
      <c r="E320" s="3594"/>
      <c r="F320" s="3594"/>
      <c r="G320" s="3594"/>
      <c r="H320" s="3594"/>
    </row>
    <row r="321" spans="1:8" ht="15.75" x14ac:dyDescent="0.2">
      <c r="A321" s="3595" t="s">
        <v>2802</v>
      </c>
      <c r="B321" s="3594"/>
      <c r="C321" s="3594"/>
      <c r="D321" s="3594"/>
      <c r="E321" s="3594"/>
      <c r="F321" s="3594"/>
      <c r="G321" s="3594"/>
      <c r="H321" s="3594"/>
    </row>
    <row r="322" spans="1:8" ht="15.75" x14ac:dyDescent="0.2">
      <c r="A322" s="3595" t="s">
        <v>2803</v>
      </c>
      <c r="B322" s="3594"/>
      <c r="C322" s="3594"/>
      <c r="D322" s="3594"/>
      <c r="E322" s="3594"/>
      <c r="F322" s="3594"/>
      <c r="G322" s="3594"/>
      <c r="H322" s="3594"/>
    </row>
    <row r="323" spans="1:8" ht="15.75" x14ac:dyDescent="0.2">
      <c r="A323" s="3595" t="s">
        <v>2804</v>
      </c>
      <c r="B323" s="3594"/>
      <c r="C323" s="3594"/>
      <c r="D323" s="3594"/>
      <c r="E323" s="3594"/>
      <c r="F323" s="3594"/>
      <c r="G323" s="3594"/>
      <c r="H323" s="3594"/>
    </row>
    <row r="324" spans="1:8" ht="15.75" x14ac:dyDescent="0.2">
      <c r="A324" s="3594"/>
      <c r="B324" s="3594"/>
      <c r="C324" s="3594"/>
      <c r="D324" s="3594"/>
      <c r="E324" s="3594"/>
      <c r="F324" s="3594"/>
      <c r="G324" s="3594"/>
      <c r="H324" s="3594"/>
    </row>
    <row r="325" spans="1:8" ht="15.75" x14ac:dyDescent="0.2">
      <c r="A325" s="3595" t="s">
        <v>2762</v>
      </c>
      <c r="B325" s="3594"/>
      <c r="C325" s="3594"/>
      <c r="D325" s="3594"/>
      <c r="E325" s="3594"/>
      <c r="F325" s="3594"/>
      <c r="G325" s="3594"/>
      <c r="H325" s="3594"/>
    </row>
    <row r="326" spans="1:8" ht="15.75" x14ac:dyDescent="0.2">
      <c r="A326" s="3595" t="s">
        <v>2763</v>
      </c>
      <c r="B326" s="3594"/>
      <c r="C326" s="3594"/>
      <c r="D326" s="3594"/>
      <c r="E326" s="3594"/>
      <c r="F326" s="3594"/>
      <c r="G326" s="3594"/>
      <c r="H326" s="3594"/>
    </row>
    <row r="327" spans="1:8" ht="15.75" x14ac:dyDescent="0.2">
      <c r="A327" s="3595" t="s">
        <v>2764</v>
      </c>
      <c r="B327" s="3594"/>
      <c r="C327" s="3594"/>
      <c r="D327" s="3594"/>
      <c r="E327" s="3594"/>
      <c r="F327" s="3594"/>
      <c r="G327" s="3594"/>
      <c r="H327" s="3594"/>
    </row>
    <row r="328" spans="1:8" ht="15.75" x14ac:dyDescent="0.2">
      <c r="A328" s="3595" t="s">
        <v>2765</v>
      </c>
      <c r="B328" s="3594"/>
      <c r="C328" s="3594"/>
      <c r="D328" s="3594"/>
      <c r="E328" s="3594"/>
      <c r="F328" s="3594"/>
      <c r="G328" s="3594"/>
      <c r="H328" s="3594"/>
    </row>
    <row r="329" spans="1:8" ht="15.75" x14ac:dyDescent="0.2">
      <c r="A329" s="3595" t="s">
        <v>2766</v>
      </c>
      <c r="B329" s="3594"/>
      <c r="C329" s="3594"/>
      <c r="D329" s="3594"/>
      <c r="E329" s="3594"/>
      <c r="F329" s="3594"/>
      <c r="G329" s="3594"/>
      <c r="H329" s="3594"/>
    </row>
    <row r="330" spans="1:8" ht="15.75" x14ac:dyDescent="0.2">
      <c r="A330" s="3595" t="s">
        <v>2767</v>
      </c>
      <c r="B330" s="3594"/>
      <c r="C330" s="3594"/>
      <c r="D330" s="3594"/>
      <c r="E330" s="3594"/>
      <c r="F330" s="3594"/>
      <c r="G330" s="3594"/>
      <c r="H330" s="3594"/>
    </row>
    <row r="331" spans="1:8" ht="15.75" x14ac:dyDescent="0.2">
      <c r="A331" s="3595" t="s">
        <v>2768</v>
      </c>
      <c r="B331" s="3594"/>
      <c r="C331" s="3594"/>
      <c r="D331" s="3594"/>
      <c r="E331" s="3594"/>
      <c r="F331" s="3594"/>
      <c r="G331" s="3594"/>
      <c r="H331" s="3594"/>
    </row>
    <row r="332" spans="1:8" ht="15.75" x14ac:dyDescent="0.2">
      <c r="A332" s="3595" t="s">
        <v>2769</v>
      </c>
      <c r="B332" s="3594"/>
      <c r="C332" s="3594"/>
      <c r="D332" s="3594"/>
      <c r="E332" s="3594"/>
      <c r="F332" s="3594"/>
      <c r="G332" s="3594"/>
      <c r="H332" s="3594"/>
    </row>
    <row r="333" spans="1:8" ht="15.75" x14ac:dyDescent="0.2">
      <c r="A333" s="3595" t="s">
        <v>2770</v>
      </c>
      <c r="B333" s="3594"/>
      <c r="C333" s="3594"/>
      <c r="D333" s="3594"/>
      <c r="E333" s="3594"/>
      <c r="F333" s="3594"/>
      <c r="G333" s="3594"/>
      <c r="H333" s="3594"/>
    </row>
    <row r="334" spans="1:8" ht="15.75" x14ac:dyDescent="0.2">
      <c r="A334" s="3595" t="s">
        <v>2771</v>
      </c>
      <c r="B334" s="3594"/>
      <c r="C334" s="3594"/>
      <c r="D334" s="3594"/>
      <c r="E334" s="3594"/>
      <c r="F334" s="3594"/>
      <c r="G334" s="3594"/>
      <c r="H334" s="3594"/>
    </row>
    <row r="335" spans="1:8" ht="15.75" x14ac:dyDescent="0.2">
      <c r="A335" s="3595" t="s">
        <v>2772</v>
      </c>
      <c r="B335" s="3594"/>
      <c r="C335" s="3594"/>
      <c r="D335" s="3594"/>
      <c r="E335" s="3594"/>
      <c r="F335" s="3594"/>
      <c r="G335" s="3594"/>
      <c r="H335" s="3594"/>
    </row>
    <row r="336" spans="1:8" ht="15.75" x14ac:dyDescent="0.2">
      <c r="A336" s="3595" t="s">
        <v>2773</v>
      </c>
      <c r="B336" s="3594"/>
      <c r="C336" s="3594"/>
      <c r="D336" s="3594"/>
      <c r="E336" s="3594"/>
      <c r="F336" s="3594"/>
      <c r="G336" s="3594"/>
      <c r="H336" s="3594"/>
    </row>
    <row r="337" spans="1:8" ht="15.75" x14ac:dyDescent="0.2">
      <c r="A337" s="3595" t="s">
        <v>2774</v>
      </c>
      <c r="B337" s="3594"/>
      <c r="C337" s="3594"/>
      <c r="D337" s="3594"/>
      <c r="E337" s="3594"/>
      <c r="F337" s="3594"/>
      <c r="G337" s="3594"/>
      <c r="H337" s="3594"/>
    </row>
    <row r="338" spans="1:8" ht="15.75" x14ac:dyDescent="0.2">
      <c r="A338" s="3595" t="s">
        <v>2775</v>
      </c>
      <c r="B338" s="3594"/>
      <c r="C338" s="3594"/>
      <c r="D338" s="3594"/>
      <c r="E338" s="3594"/>
      <c r="F338" s="3594"/>
      <c r="G338" s="3594"/>
      <c r="H338" s="3594"/>
    </row>
    <row r="339" spans="1:8" ht="15.75" x14ac:dyDescent="0.2">
      <c r="A339" s="3595" t="s">
        <v>2776</v>
      </c>
      <c r="B339" s="3594"/>
      <c r="C339" s="3594"/>
      <c r="D339" s="3594"/>
      <c r="E339" s="3594"/>
      <c r="F339" s="3594"/>
      <c r="G339" s="3594"/>
      <c r="H339" s="3594"/>
    </row>
    <row r="340" spans="1:8" ht="15.75" x14ac:dyDescent="0.2">
      <c r="A340" s="3595" t="s">
        <v>2777</v>
      </c>
      <c r="B340" s="3594"/>
      <c r="C340" s="3594"/>
      <c r="D340" s="3594"/>
      <c r="E340" s="3594"/>
      <c r="F340" s="3594"/>
      <c r="G340" s="3594"/>
      <c r="H340" s="3594"/>
    </row>
    <row r="341" spans="1:8" ht="15.75" x14ac:dyDescent="0.2">
      <c r="A341" s="3595" t="s">
        <v>2778</v>
      </c>
      <c r="B341" s="3594"/>
      <c r="C341" s="3594"/>
      <c r="D341" s="3594"/>
      <c r="E341" s="3594"/>
      <c r="F341" s="3594"/>
      <c r="G341" s="3594"/>
      <c r="H341" s="3594"/>
    </row>
    <row r="342" spans="1:8" ht="15.75" x14ac:dyDescent="0.2">
      <c r="A342" s="3595" t="s">
        <v>2779</v>
      </c>
      <c r="B342" s="3594"/>
      <c r="C342" s="3594"/>
      <c r="D342" s="3594"/>
      <c r="E342" s="3594"/>
      <c r="F342" s="3594"/>
      <c r="G342" s="3594"/>
      <c r="H342" s="3594"/>
    </row>
    <row r="343" spans="1:8" ht="15.75" x14ac:dyDescent="0.2">
      <c r="A343" s="3595" t="s">
        <v>2780</v>
      </c>
      <c r="B343" s="3594"/>
      <c r="C343" s="3594"/>
      <c r="D343" s="3594"/>
      <c r="E343" s="3594"/>
      <c r="F343" s="3594"/>
      <c r="G343" s="3594"/>
      <c r="H343" s="3594"/>
    </row>
    <row r="344" spans="1:8" ht="15.75" x14ac:dyDescent="0.2">
      <c r="A344" s="3595" t="s">
        <v>2781</v>
      </c>
      <c r="B344" s="3594"/>
      <c r="C344" s="3594"/>
      <c r="D344" s="3594"/>
      <c r="E344" s="3594"/>
      <c r="F344" s="3594"/>
      <c r="G344" s="3594"/>
      <c r="H344" s="3594"/>
    </row>
    <row r="345" spans="1:8" ht="15.75" x14ac:dyDescent="0.2">
      <c r="A345" s="3595" t="s">
        <v>2782</v>
      </c>
      <c r="B345" s="3594"/>
      <c r="C345" s="3594"/>
      <c r="D345" s="3594"/>
      <c r="E345" s="3594"/>
      <c r="F345" s="3594"/>
      <c r="G345" s="3594"/>
      <c r="H345" s="3594"/>
    </row>
    <row r="346" spans="1:8" ht="15.75" x14ac:dyDescent="0.2">
      <c r="A346" s="3595" t="s">
        <v>2783</v>
      </c>
      <c r="B346" s="3594"/>
      <c r="C346" s="3594"/>
      <c r="D346" s="3594"/>
      <c r="E346" s="3594"/>
      <c r="F346" s="3594"/>
      <c r="G346" s="3594"/>
      <c r="H346" s="3594"/>
    </row>
    <row r="347" spans="1:8" ht="15.75" x14ac:dyDescent="0.2">
      <c r="A347" s="3595" t="s">
        <v>2784</v>
      </c>
      <c r="B347" s="3594"/>
      <c r="C347" s="3594"/>
      <c r="D347" s="3594"/>
      <c r="E347" s="3594"/>
      <c r="F347" s="3594"/>
      <c r="G347" s="3594"/>
      <c r="H347" s="3594"/>
    </row>
    <row r="348" spans="1:8" ht="15.75" x14ac:dyDescent="0.2">
      <c r="A348" s="3595" t="s">
        <v>2785</v>
      </c>
      <c r="B348" s="3594"/>
      <c r="C348" s="3594"/>
      <c r="D348" s="3594"/>
      <c r="E348" s="3594"/>
      <c r="F348" s="3594"/>
      <c r="G348" s="3594"/>
      <c r="H348" s="3594"/>
    </row>
    <row r="349" spans="1:8" ht="15.75" x14ac:dyDescent="0.2">
      <c r="A349" s="3595" t="s">
        <v>2786</v>
      </c>
      <c r="B349" s="3594"/>
      <c r="C349" s="3594"/>
      <c r="D349" s="3594"/>
      <c r="E349" s="3594"/>
      <c r="F349" s="3594"/>
      <c r="G349" s="3594"/>
      <c r="H349" s="3594"/>
    </row>
    <row r="350" spans="1:8" ht="15.75" x14ac:dyDescent="0.2">
      <c r="A350" s="3595" t="s">
        <v>2787</v>
      </c>
      <c r="B350" s="3594"/>
      <c r="C350" s="3594"/>
      <c r="D350" s="3594"/>
      <c r="E350" s="3594"/>
      <c r="F350" s="3594"/>
      <c r="G350" s="3594"/>
      <c r="H350" s="3594"/>
    </row>
    <row r="351" spans="1:8" ht="15.75" x14ac:dyDescent="0.2">
      <c r="A351" s="3595" t="s">
        <v>2788</v>
      </c>
      <c r="B351" s="3594"/>
      <c r="C351" s="3594"/>
      <c r="D351" s="3594"/>
      <c r="E351" s="3594"/>
      <c r="F351" s="3594"/>
      <c r="G351" s="3594"/>
      <c r="H351" s="3594"/>
    </row>
    <row r="352" spans="1:8" ht="15.75" x14ac:dyDescent="0.2">
      <c r="A352" s="3595" t="s">
        <v>2789</v>
      </c>
      <c r="B352" s="3594"/>
      <c r="C352" s="3594"/>
      <c r="D352" s="3594"/>
      <c r="E352" s="3594"/>
      <c r="F352" s="3594"/>
      <c r="G352" s="3594"/>
      <c r="H352" s="3594"/>
    </row>
    <row r="353" spans="1:8" ht="15.75" x14ac:dyDescent="0.2">
      <c r="A353" s="3595" t="s">
        <v>2790</v>
      </c>
      <c r="B353" s="3594"/>
      <c r="C353" s="3594"/>
      <c r="D353" s="3594"/>
      <c r="E353" s="3594"/>
      <c r="F353" s="3594"/>
      <c r="G353" s="3594"/>
      <c r="H353" s="3594"/>
    </row>
    <row r="354" spans="1:8" ht="15.75" x14ac:dyDescent="0.2">
      <c r="A354" s="3595" t="s">
        <v>2791</v>
      </c>
      <c r="B354" s="3594"/>
      <c r="C354" s="3594"/>
      <c r="D354" s="3594"/>
      <c r="E354" s="3594"/>
      <c r="F354" s="3594"/>
      <c r="G354" s="3594"/>
      <c r="H354" s="3594"/>
    </row>
    <row r="355" spans="1:8" ht="15.75" x14ac:dyDescent="0.2">
      <c r="A355" s="3595" t="s">
        <v>2792</v>
      </c>
      <c r="B355" s="3594"/>
      <c r="C355" s="3594"/>
      <c r="D355" s="3594"/>
      <c r="E355" s="3594"/>
      <c r="F355" s="3594"/>
      <c r="G355" s="3594"/>
      <c r="H355" s="3594"/>
    </row>
    <row r="356" spans="1:8" ht="15.75" x14ac:dyDescent="0.2">
      <c r="A356" s="3595" t="s">
        <v>2793</v>
      </c>
      <c r="B356" s="3594"/>
      <c r="C356" s="3594"/>
      <c r="D356" s="3594"/>
      <c r="E356" s="3594"/>
      <c r="F356" s="3594"/>
      <c r="G356" s="3594"/>
      <c r="H356" s="3594"/>
    </row>
    <row r="357" spans="1:8" ht="15.75" x14ac:dyDescent="0.2">
      <c r="A357" s="3595" t="s">
        <v>2794</v>
      </c>
      <c r="B357" s="3594"/>
      <c r="C357" s="3594"/>
      <c r="D357" s="3594"/>
      <c r="E357" s="3594"/>
      <c r="F357" s="3594"/>
      <c r="G357" s="3594"/>
      <c r="H357" s="3594"/>
    </row>
    <row r="358" spans="1:8" ht="15.75" x14ac:dyDescent="0.2">
      <c r="A358" s="3595" t="s">
        <v>2795</v>
      </c>
      <c r="B358" s="3594"/>
      <c r="C358" s="3594"/>
      <c r="D358" s="3594"/>
      <c r="E358" s="3594"/>
      <c r="F358" s="3594"/>
      <c r="G358" s="3594"/>
      <c r="H358" s="3594"/>
    </row>
    <row r="359" spans="1:8" ht="15.75" x14ac:dyDescent="0.2">
      <c r="A359" s="3595" t="s">
        <v>2796</v>
      </c>
      <c r="B359" s="3594"/>
      <c r="C359" s="3594"/>
      <c r="D359" s="3594"/>
      <c r="E359" s="3594"/>
      <c r="F359" s="3594"/>
      <c r="G359" s="3594"/>
      <c r="H359" s="3594"/>
    </row>
    <row r="360" spans="1:8" ht="15.75" x14ac:dyDescent="0.2">
      <c r="A360" s="3594"/>
      <c r="B360" s="3594"/>
      <c r="C360" s="3594"/>
      <c r="D360" s="3594"/>
      <c r="E360" s="3594"/>
      <c r="F360" s="3594"/>
      <c r="G360" s="3594"/>
      <c r="H360" s="3594"/>
    </row>
    <row r="361" spans="1:8" ht="15.75" x14ac:dyDescent="0.2">
      <c r="A361" s="3595" t="s">
        <v>2754</v>
      </c>
      <c r="B361" s="3594"/>
      <c r="C361" s="3594"/>
      <c r="D361" s="3594"/>
      <c r="E361" s="3594"/>
      <c r="F361" s="3594"/>
      <c r="G361" s="3594"/>
      <c r="H361" s="3594"/>
    </row>
    <row r="362" spans="1:8" ht="15.75" x14ac:dyDescent="0.2">
      <c r="A362" s="3595" t="s">
        <v>2758</v>
      </c>
      <c r="B362" s="3594"/>
      <c r="C362" s="3594"/>
      <c r="D362" s="3594"/>
      <c r="E362" s="3594"/>
      <c r="F362" s="3594"/>
      <c r="G362" s="3594"/>
      <c r="H362" s="3594"/>
    </row>
    <row r="363" spans="1:8" ht="15.75" x14ac:dyDescent="0.2">
      <c r="A363" s="3595" t="s">
        <v>2759</v>
      </c>
      <c r="B363" s="3594"/>
      <c r="C363" s="3594"/>
      <c r="D363" s="3594"/>
      <c r="E363" s="3594"/>
      <c r="F363" s="3594"/>
      <c r="G363" s="3594"/>
      <c r="H363" s="3594"/>
    </row>
    <row r="364" spans="1:8" ht="15.75" x14ac:dyDescent="0.2">
      <c r="A364" s="3595" t="s">
        <v>2760</v>
      </c>
      <c r="B364" s="3594"/>
      <c r="C364" s="3594"/>
      <c r="D364" s="3594"/>
      <c r="E364" s="3594"/>
      <c r="F364" s="3594"/>
      <c r="G364" s="3594"/>
      <c r="H364" s="3594"/>
    </row>
    <row r="365" spans="1:8" ht="15.75" x14ac:dyDescent="0.2">
      <c r="A365" s="3595" t="s">
        <v>2761</v>
      </c>
      <c r="B365" s="3594"/>
      <c r="C365" s="3594"/>
      <c r="D365" s="3594"/>
      <c r="E365" s="3594"/>
      <c r="F365" s="3594"/>
      <c r="G365" s="3594"/>
      <c r="H365" s="3594"/>
    </row>
    <row r="366" spans="1:8" ht="15.75" x14ac:dyDescent="0.2">
      <c r="A366" s="3594"/>
      <c r="B366" s="3594"/>
      <c r="C366" s="3594"/>
      <c r="D366" s="3594"/>
      <c r="E366" s="3594"/>
      <c r="F366" s="3594"/>
      <c r="G366" s="3594"/>
      <c r="H366" s="3594"/>
    </row>
    <row r="367" spans="1:8" ht="15.75" x14ac:dyDescent="0.2">
      <c r="A367" s="3595" t="s">
        <v>2754</v>
      </c>
      <c r="B367" s="3594"/>
      <c r="C367" s="3594"/>
      <c r="D367" s="3594"/>
      <c r="E367" s="3594"/>
      <c r="F367" s="3594"/>
      <c r="G367" s="3594"/>
      <c r="H367" s="3594"/>
    </row>
    <row r="368" spans="1:8" ht="15.75" x14ac:dyDescent="0.2">
      <c r="A368" s="3595" t="s">
        <v>2755</v>
      </c>
      <c r="B368" s="3594"/>
      <c r="C368" s="3594"/>
      <c r="D368" s="3594"/>
      <c r="E368" s="3594"/>
      <c r="F368" s="3594"/>
      <c r="G368" s="3594"/>
      <c r="H368" s="3594"/>
    </row>
    <row r="369" spans="1:8" ht="15.75" x14ac:dyDescent="0.2">
      <c r="A369" s="3595" t="s">
        <v>2756</v>
      </c>
      <c r="B369" s="3594"/>
      <c r="C369" s="3594"/>
      <c r="D369" s="3594"/>
      <c r="E369" s="3594"/>
      <c r="F369" s="3594"/>
      <c r="G369" s="3594"/>
      <c r="H369" s="3594"/>
    </row>
    <row r="370" spans="1:8" ht="15.75" x14ac:dyDescent="0.2">
      <c r="A370" s="3595" t="s">
        <v>2757</v>
      </c>
      <c r="B370" s="3594"/>
      <c r="C370" s="3594"/>
      <c r="D370" s="3594"/>
      <c r="E370" s="3594"/>
      <c r="F370" s="3594"/>
      <c r="G370" s="3594"/>
      <c r="H370" s="3594"/>
    </row>
    <row r="371" spans="1:8" ht="15.75" x14ac:dyDescent="0.2">
      <c r="A371" s="3594"/>
      <c r="B371" s="3594"/>
      <c r="C371" s="3594"/>
      <c r="D371" s="3594"/>
      <c r="E371" s="3594"/>
      <c r="F371" s="3594"/>
      <c r="G371" s="3594"/>
      <c r="H371" s="3594"/>
    </row>
    <row r="372" spans="1:8" ht="15.75" x14ac:dyDescent="0.2">
      <c r="A372" s="3595" t="s">
        <v>2748</v>
      </c>
      <c r="B372" s="3594"/>
      <c r="C372" s="3594"/>
      <c r="D372" s="3594"/>
      <c r="E372" s="3594"/>
      <c r="F372" s="3594"/>
      <c r="G372" s="3594"/>
      <c r="H372" s="3594"/>
    </row>
    <row r="373" spans="1:8" ht="15.75" x14ac:dyDescent="0.2">
      <c r="A373" s="3595" t="s">
        <v>2749</v>
      </c>
      <c r="B373" s="3594"/>
      <c r="C373" s="3594"/>
      <c r="D373" s="3594"/>
      <c r="E373" s="3594"/>
      <c r="F373" s="3594"/>
      <c r="G373" s="3594"/>
      <c r="H373" s="3594"/>
    </row>
    <row r="374" spans="1:8" ht="15.75" x14ac:dyDescent="0.2">
      <c r="A374" s="3595" t="s">
        <v>2750</v>
      </c>
      <c r="B374" s="3594"/>
      <c r="C374" s="3594"/>
      <c r="D374" s="3594"/>
      <c r="E374" s="3594"/>
      <c r="F374" s="3594"/>
      <c r="G374" s="3594"/>
      <c r="H374" s="3594"/>
    </row>
    <row r="375" spans="1:8" ht="15.75" x14ac:dyDescent="0.2">
      <c r="A375" s="3595" t="s">
        <v>2751</v>
      </c>
      <c r="B375" s="3594"/>
      <c r="C375" s="3594"/>
      <c r="D375" s="3594"/>
      <c r="E375" s="3594"/>
      <c r="F375" s="3594"/>
      <c r="G375" s="3594"/>
      <c r="H375" s="3594"/>
    </row>
    <row r="376" spans="1:8" ht="15.75" x14ac:dyDescent="0.2">
      <c r="A376" s="3595" t="s">
        <v>2752</v>
      </c>
      <c r="B376" s="3594"/>
      <c r="C376" s="3594"/>
      <c r="D376" s="3594"/>
      <c r="E376" s="3594"/>
      <c r="F376" s="3594"/>
      <c r="G376" s="3594"/>
      <c r="H376" s="3594"/>
    </row>
    <row r="377" spans="1:8" ht="15.75" x14ac:dyDescent="0.2">
      <c r="A377" s="3595" t="s">
        <v>2753</v>
      </c>
      <c r="B377" s="3594"/>
      <c r="C377" s="3594"/>
      <c r="D377" s="3594"/>
      <c r="E377" s="3594"/>
      <c r="F377" s="3594"/>
      <c r="G377" s="3594"/>
      <c r="H377" s="3594"/>
    </row>
    <row r="378" spans="1:8" ht="15.75" x14ac:dyDescent="0.2">
      <c r="A378" s="3594"/>
      <c r="B378" s="3594"/>
      <c r="C378" s="3594"/>
      <c r="D378" s="3594"/>
      <c r="E378" s="3594"/>
      <c r="F378" s="3594"/>
      <c r="G378" s="3594"/>
      <c r="H378" s="3594"/>
    </row>
    <row r="379" spans="1:8" ht="15.75" x14ac:dyDescent="0.2">
      <c r="A379" s="3595" t="s">
        <v>2743</v>
      </c>
      <c r="B379" s="3594"/>
      <c r="C379" s="3594"/>
      <c r="D379" s="3594"/>
      <c r="E379" s="3594"/>
      <c r="F379" s="3594"/>
      <c r="G379" s="3594"/>
      <c r="H379" s="3594"/>
    </row>
    <row r="380" spans="1:8" ht="15.75" x14ac:dyDescent="0.2">
      <c r="A380" s="3595" t="s">
        <v>2744</v>
      </c>
      <c r="B380" s="3594"/>
      <c r="C380" s="3594"/>
      <c r="D380" s="3594"/>
      <c r="E380" s="3594"/>
      <c r="F380" s="3594"/>
      <c r="G380" s="3594"/>
      <c r="H380" s="3594"/>
    </row>
    <row r="381" spans="1:8" ht="15.75" x14ac:dyDescent="0.2">
      <c r="A381" s="3595" t="s">
        <v>2745</v>
      </c>
      <c r="B381" s="3594"/>
      <c r="C381" s="3594"/>
      <c r="D381" s="3594"/>
      <c r="E381" s="3594"/>
      <c r="F381" s="3594"/>
      <c r="G381" s="3594"/>
      <c r="H381" s="3594"/>
    </row>
    <row r="382" spans="1:8" ht="15.75" x14ac:dyDescent="0.2">
      <c r="A382" s="3595" t="s">
        <v>2746</v>
      </c>
      <c r="B382" s="3594"/>
      <c r="C382" s="3594"/>
      <c r="D382" s="3594"/>
      <c r="E382" s="3594"/>
      <c r="F382" s="3594"/>
      <c r="G382" s="3594"/>
      <c r="H382" s="3594"/>
    </row>
    <row r="383" spans="1:8" ht="15.75" x14ac:dyDescent="0.2">
      <c r="A383" s="3595" t="s">
        <v>2747</v>
      </c>
      <c r="B383" s="3594"/>
      <c r="C383" s="3594"/>
      <c r="D383" s="3594"/>
      <c r="E383" s="3594"/>
      <c r="F383" s="3594"/>
      <c r="G383" s="3594"/>
      <c r="H383" s="3594"/>
    </row>
    <row r="384" spans="1:8" ht="15.75" x14ac:dyDescent="0.2">
      <c r="A384" s="3594"/>
      <c r="B384" s="3594"/>
      <c r="C384" s="3594"/>
      <c r="D384" s="3594"/>
      <c r="E384" s="3594"/>
      <c r="F384" s="3594"/>
      <c r="G384" s="3594"/>
      <c r="H384" s="3594"/>
    </row>
    <row r="385" spans="1:8" ht="15.75" x14ac:dyDescent="0.2">
      <c r="A385" s="3595" t="s">
        <v>2741</v>
      </c>
      <c r="B385" s="3594"/>
      <c r="C385" s="3594"/>
      <c r="D385" s="3594"/>
      <c r="E385" s="3594"/>
      <c r="F385" s="3594"/>
      <c r="G385" s="3594"/>
      <c r="H385" s="3594"/>
    </row>
    <row r="386" spans="1:8" ht="15.75" x14ac:dyDescent="0.2">
      <c r="A386" s="3595" t="s">
        <v>2742</v>
      </c>
      <c r="B386" s="3594"/>
      <c r="C386" s="3594"/>
      <c r="D386" s="3594"/>
      <c r="E386" s="3594"/>
      <c r="F386" s="3594"/>
      <c r="G386" s="3594"/>
      <c r="H386" s="3594"/>
    </row>
    <row r="388" spans="1:8" x14ac:dyDescent="0.2">
      <c r="A388" s="3590" t="s">
        <v>2995</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Z1665"/>
  <sheetViews>
    <sheetView showGridLines="0" zoomScale="85" zoomScaleNormal="85" zoomScaleSheetLayoutView="85" workbookViewId="0">
      <pane xSplit="1" ySplit="6" topLeftCell="BJ19" activePane="bottomRight" state="frozenSplit"/>
      <selection pane="topRight" activeCell="B1" sqref="B1"/>
      <selection pane="bottomLeft" activeCell="A5" sqref="A5"/>
      <selection pane="bottomRight" activeCell="BT37" sqref="BT37"/>
    </sheetView>
  </sheetViews>
  <sheetFormatPr defaultRowHeight="12" customHeight="1" outlineLevelRow="2" outlineLevelCol="2" x14ac:dyDescent="0.25"/>
  <cols>
    <col min="1" max="1" width="37" customWidth="1"/>
    <col min="2" max="47" width="8.875" hidden="1" customWidth="1" outlineLevel="1"/>
    <col min="48" max="51" width="8.875" hidden="1" customWidth="1" outlineLevel="2"/>
    <col min="52" max="56" width="8.875" hidden="1" customWidth="1" outlineLevel="1"/>
    <col min="57" max="57" width="8.875" customWidth="1" collapsed="1"/>
    <col min="58" max="61" width="8.875" hidden="1" customWidth="1" outlineLevel="1"/>
    <col min="62" max="62" width="8.875" customWidth="1" collapsed="1"/>
    <col min="63" max="66" width="8.875" hidden="1" customWidth="1" outlineLevel="1"/>
    <col min="67" max="67" width="8.875" customWidth="1" collapsed="1"/>
    <col min="68" max="71" width="8.875" customWidth="1" outlineLevel="1"/>
    <col min="72" max="72" width="8.875" customWidth="1"/>
    <col min="73" max="76" width="8.875" style="2575" customWidth="1" outlineLevel="1"/>
    <col min="77" max="77" width="8.875" style="1454" customWidth="1"/>
    <col min="78" max="79" width="8.875" customWidth="1"/>
    <col min="80" max="84" width="8.875" hidden="1" customWidth="1" outlineLevel="1"/>
    <col min="85" max="85" width="9" customWidth="1" collapsed="1"/>
    <col min="86" max="89" width="9" customWidth="1"/>
    <col min="90" max="90" width="37" customWidth="1"/>
    <col min="91" max="97" width="9" hidden="1" customWidth="1" outlineLevel="1"/>
    <col min="98" max="98" width="9" customWidth="1" collapsed="1"/>
    <col min="99" max="111" width="9" customWidth="1"/>
    <col min="112" max="112" width="10.5" style="2572" bestFit="1" customWidth="1"/>
    <col min="113" max="113" width="9" style="3285" customWidth="1"/>
    <col min="114" max="120" width="9" customWidth="1"/>
    <col min="121" max="121" width="3.375" customWidth="1"/>
    <col min="122" max="123" width="9" customWidth="1"/>
    <col min="124" max="124" width="0.25" customWidth="1"/>
    <col min="125" max="125" width="32.75" customWidth="1" outlineLevel="1"/>
    <col min="126" max="130" width="9" customWidth="1" outlineLevel="1"/>
    <col min="131" max="135" width="9" customWidth="1"/>
  </cols>
  <sheetData>
    <row r="1" spans="1:130" ht="12" customHeight="1" x14ac:dyDescent="0.25">
      <c r="A1" s="333" t="s">
        <v>892</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296"/>
      <c r="AF1" s="428"/>
      <c r="AG1" s="296"/>
      <c r="AH1" s="685"/>
      <c r="AI1" s="646"/>
      <c r="AJ1" s="646"/>
      <c r="AK1" s="296"/>
      <c r="AL1" s="296"/>
      <c r="AM1" s="1037"/>
      <c r="AN1" s="296"/>
      <c r="AO1" s="296"/>
      <c r="AP1" s="428"/>
      <c r="AQ1" s="428"/>
      <c r="AR1" s="428"/>
      <c r="AS1" s="428"/>
      <c r="AT1" s="428"/>
      <c r="AU1" s="428"/>
      <c r="AV1" s="428"/>
      <c r="AW1" s="428"/>
      <c r="AX1" s="428"/>
      <c r="AY1" s="428"/>
      <c r="AZ1" s="428"/>
      <c r="BA1" s="428"/>
      <c r="BB1" s="428"/>
      <c r="BC1" s="428"/>
      <c r="BD1" s="428"/>
      <c r="BE1" s="428"/>
      <c r="BF1" s="428"/>
      <c r="BG1" s="428"/>
      <c r="BH1" s="428"/>
      <c r="BI1" s="924"/>
      <c r="BJ1" s="428"/>
      <c r="BK1" s="924"/>
      <c r="BL1" s="3141"/>
      <c r="BM1" s="428"/>
      <c r="BN1" s="428"/>
      <c r="BO1" s="428"/>
      <c r="BP1" s="428"/>
      <c r="BQ1" s="428"/>
      <c r="BR1" s="428"/>
      <c r="BS1" s="428"/>
      <c r="BT1" s="428"/>
      <c r="BU1" s="3011"/>
      <c r="BV1" s="3011"/>
      <c r="BW1" s="3011"/>
      <c r="BX1" s="3011"/>
      <c r="BY1" s="3011"/>
      <c r="BZ1" s="428"/>
      <c r="CA1" s="428"/>
      <c r="CB1" s="428"/>
      <c r="CC1" s="428"/>
      <c r="CD1" s="428"/>
      <c r="CE1" s="428"/>
      <c r="CF1" s="428"/>
      <c r="CG1" s="428"/>
      <c r="CH1" s="428"/>
      <c r="CI1" s="428"/>
      <c r="CJ1" s="428"/>
      <c r="CK1" s="428"/>
      <c r="CL1" s="533" t="str">
        <f>A1</f>
        <v>Penn National Gaming</v>
      </c>
      <c r="CM1" s="428"/>
      <c r="CN1" s="428"/>
      <c r="CO1" s="428"/>
      <c r="CP1" s="428"/>
      <c r="CQ1" s="428"/>
      <c r="CR1" s="428"/>
      <c r="CS1" s="428"/>
      <c r="CT1" s="428"/>
      <c r="CU1" s="428"/>
      <c r="CV1" s="428"/>
      <c r="CW1" s="428"/>
      <c r="CX1" s="428"/>
      <c r="CY1" s="428"/>
      <c r="CZ1" s="428"/>
      <c r="DA1" s="428"/>
      <c r="DB1" s="428"/>
      <c r="DC1" s="428"/>
      <c r="DD1" s="428"/>
      <c r="DE1" s="428"/>
      <c r="DF1" s="428"/>
      <c r="DG1" s="428"/>
      <c r="DH1" s="428"/>
      <c r="DI1" s="3211"/>
      <c r="DJ1" s="428"/>
      <c r="DK1" s="428"/>
      <c r="DL1" s="428"/>
      <c r="DM1" s="428"/>
      <c r="DN1" s="428"/>
      <c r="DO1" s="428"/>
      <c r="DP1" s="428"/>
      <c r="DQ1" s="296"/>
      <c r="DR1" s="296"/>
      <c r="DS1" s="296"/>
      <c r="DT1" s="296"/>
    </row>
    <row r="2" spans="1:130" ht="12" customHeight="1" x14ac:dyDescent="0.25">
      <c r="A2" s="333" t="s">
        <v>2084</v>
      </c>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296"/>
      <c r="AF2" s="430"/>
      <c r="AG2" s="646"/>
      <c r="AH2" s="646"/>
      <c r="AI2" s="646"/>
      <c r="AJ2" s="296"/>
      <c r="AK2" s="646"/>
      <c r="AL2" s="296"/>
      <c r="AM2" s="296"/>
      <c r="AN2" s="685"/>
      <c r="AO2" s="296"/>
      <c r="AP2" s="924"/>
      <c r="AQ2" s="428"/>
      <c r="AR2" s="428"/>
      <c r="AS2" s="428"/>
      <c r="AT2" s="697"/>
      <c r="AU2" s="1736"/>
      <c r="AV2" s="1736"/>
      <c r="AW2" s="1736"/>
      <c r="AX2" s="1736"/>
      <c r="AY2" s="1736"/>
      <c r="AZ2" s="924"/>
      <c r="BA2" s="1596"/>
      <c r="BB2" s="1596"/>
      <c r="BC2" s="924"/>
      <c r="BD2" s="924"/>
      <c r="BE2" s="924"/>
      <c r="BF2" s="924"/>
      <c r="BG2" s="924"/>
      <c r="BH2" s="3141"/>
      <c r="BI2" s="924"/>
      <c r="BJ2" s="428"/>
      <c r="BK2" s="3141"/>
      <c r="BL2" s="3141"/>
      <c r="BM2" s="924"/>
      <c r="BN2" s="924"/>
      <c r="BO2" s="428"/>
      <c r="BP2" s="924"/>
      <c r="BQ2" s="3141"/>
      <c r="BR2" s="924"/>
      <c r="BS2" s="924"/>
      <c r="BT2" s="924"/>
      <c r="BU2" s="3313"/>
      <c r="BV2" s="3313"/>
      <c r="BW2" s="3313"/>
      <c r="BX2" s="3313"/>
      <c r="BY2" s="3011"/>
      <c r="BZ2" s="428"/>
      <c r="CA2" s="428"/>
      <c r="CB2" s="428"/>
      <c r="CC2" s="428"/>
      <c r="CD2" s="428"/>
      <c r="CE2" s="428"/>
      <c r="CF2" s="428"/>
      <c r="CG2" s="428"/>
      <c r="CH2" s="428"/>
      <c r="CI2" s="428"/>
      <c r="CJ2" s="428"/>
      <c r="CK2" s="428"/>
      <c r="CL2" s="533" t="str">
        <f>A2</f>
        <v>Earnings Model</v>
      </c>
      <c r="CM2" s="428"/>
      <c r="CN2" s="428"/>
      <c r="CO2" s="428"/>
      <c r="CP2" s="428"/>
      <c r="CQ2" s="428"/>
      <c r="CR2" s="428"/>
      <c r="CS2" s="428"/>
      <c r="CT2" s="428"/>
      <c r="CU2" s="428"/>
      <c r="CV2" s="428"/>
      <c r="CW2" s="428"/>
      <c r="CX2" s="428"/>
      <c r="CY2" s="428"/>
      <c r="CZ2" s="428"/>
      <c r="DA2" s="428"/>
      <c r="DB2" s="428"/>
      <c r="DC2" s="428"/>
      <c r="DD2" s="428"/>
      <c r="DE2" s="428"/>
      <c r="DF2" s="428"/>
      <c r="DG2" s="428"/>
      <c r="DH2" s="428"/>
      <c r="DI2" s="3211"/>
      <c r="DJ2" s="428"/>
      <c r="DK2" s="428"/>
      <c r="DL2" s="428"/>
      <c r="DM2" s="428"/>
      <c r="DN2" s="428"/>
      <c r="DO2" s="428"/>
      <c r="DP2" s="428"/>
      <c r="DQ2" s="296"/>
      <c r="DR2" s="296"/>
      <c r="DS2" s="296"/>
      <c r="DT2" s="296"/>
    </row>
    <row r="3" spans="1:130" ht="12" customHeight="1" x14ac:dyDescent="0.25">
      <c r="A3" s="281" t="s">
        <v>2288</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296"/>
      <c r="AE3" s="296"/>
      <c r="AF3" s="428"/>
      <c r="AG3" s="296"/>
      <c r="AH3" s="934"/>
      <c r="AI3" s="296"/>
      <c r="AJ3" s="296"/>
      <c r="AK3" s="697"/>
      <c r="AL3" s="296"/>
      <c r="AM3" s="296"/>
      <c r="AN3" s="296"/>
      <c r="AO3" s="660"/>
      <c r="AP3" s="697"/>
      <c r="AQ3" s="697"/>
      <c r="AR3" s="697"/>
      <c r="AS3" s="697"/>
      <c r="AT3" s="1976"/>
      <c r="AU3" s="697"/>
      <c r="AV3" s="697"/>
      <c r="AW3" s="697"/>
      <c r="AX3" s="697"/>
      <c r="AY3" s="697"/>
      <c r="AZ3" s="686"/>
      <c r="BA3" s="3143" t="s">
        <v>2437</v>
      </c>
      <c r="BB3" s="686"/>
      <c r="BC3" s="686"/>
      <c r="BD3" s="686"/>
      <c r="BE3" s="1529"/>
      <c r="BF3" s="686"/>
      <c r="BG3" s="686"/>
      <c r="BH3" s="686"/>
      <c r="BI3" s="686"/>
      <c r="BJ3" s="428"/>
      <c r="BK3" s="686"/>
      <c r="BL3" s="686"/>
      <c r="BM3" s="686"/>
      <c r="BN3" s="686"/>
      <c r="BO3" s="428"/>
      <c r="BP3" s="686"/>
      <c r="BQ3" s="686"/>
      <c r="BR3" s="686"/>
      <c r="BS3" s="686"/>
      <c r="BT3" s="428"/>
      <c r="BU3" s="3011"/>
      <c r="BV3" s="3011"/>
      <c r="BW3" s="3011"/>
      <c r="BX3" s="3011"/>
      <c r="BY3" s="3011"/>
      <c r="BZ3" s="428"/>
      <c r="CA3" s="428"/>
      <c r="CB3" s="428"/>
      <c r="CC3" s="428"/>
      <c r="CD3" s="428"/>
      <c r="CE3" s="428"/>
      <c r="CF3" s="428"/>
      <c r="CG3" s="428"/>
      <c r="CH3" s="428"/>
      <c r="CI3" s="428"/>
      <c r="CJ3" s="428"/>
      <c r="CK3" s="428"/>
      <c r="CL3" s="428" t="str">
        <f>A3</f>
        <v>(US$ in millions except per-share data)</v>
      </c>
      <c r="CM3" s="428"/>
      <c r="CN3" s="428"/>
      <c r="CO3" s="428"/>
      <c r="CP3" s="428"/>
      <c r="CQ3" s="428"/>
      <c r="CR3" s="428"/>
      <c r="CS3" s="428"/>
      <c r="CT3" s="428"/>
      <c r="CU3" s="428"/>
      <c r="CV3" s="428"/>
      <c r="CW3" s="428"/>
      <c r="CX3" s="428"/>
      <c r="CY3" s="428"/>
      <c r="CZ3" s="428"/>
      <c r="DA3" s="428"/>
      <c r="DB3" s="428"/>
      <c r="DC3" s="428"/>
      <c r="DD3" s="428"/>
      <c r="DE3" s="428"/>
      <c r="DF3" s="428"/>
      <c r="DG3" s="428"/>
      <c r="DH3" s="428"/>
      <c r="DI3" s="3211"/>
      <c r="DJ3" s="428"/>
      <c r="DK3" s="428"/>
      <c r="DL3" s="428"/>
      <c r="DM3" s="428"/>
      <c r="DN3" s="428"/>
      <c r="DO3" s="428"/>
      <c r="DP3" s="428"/>
      <c r="DQ3" s="296"/>
      <c r="DR3" s="296"/>
      <c r="DS3" s="296"/>
      <c r="DT3" s="296"/>
    </row>
    <row r="4" spans="1:130" ht="12.6" hidden="1" customHeight="1" outlineLevel="1" x14ac:dyDescent="0.25">
      <c r="A4" s="296" t="s">
        <v>2082</v>
      </c>
      <c r="B4" s="1974">
        <v>37986</v>
      </c>
      <c r="C4" s="1974">
        <v>38077</v>
      </c>
      <c r="D4" s="1974">
        <v>38168</v>
      </c>
      <c r="E4" s="1974">
        <v>38260</v>
      </c>
      <c r="F4" s="1974">
        <v>38352</v>
      </c>
      <c r="G4" s="1969">
        <f>F4</f>
        <v>38352</v>
      </c>
      <c r="H4" s="1974">
        <v>38442</v>
      </c>
      <c r="I4" s="1974">
        <v>38533</v>
      </c>
      <c r="J4" s="1974">
        <v>38625</v>
      </c>
      <c r="K4" s="1974">
        <v>38717</v>
      </c>
      <c r="L4" s="1969">
        <f>K4</f>
        <v>38717</v>
      </c>
      <c r="M4" s="1974">
        <v>38807</v>
      </c>
      <c r="N4" s="1974">
        <v>38898</v>
      </c>
      <c r="O4" s="1974">
        <v>38990</v>
      </c>
      <c r="P4" s="1974">
        <v>39082</v>
      </c>
      <c r="Q4" s="1969">
        <f>P4</f>
        <v>39082</v>
      </c>
      <c r="R4" s="1974">
        <v>39172</v>
      </c>
      <c r="S4" s="1974">
        <v>39263</v>
      </c>
      <c r="T4" s="1974">
        <v>39355</v>
      </c>
      <c r="U4" s="1974">
        <v>39447</v>
      </c>
      <c r="V4" s="1969">
        <f>U4</f>
        <v>39447</v>
      </c>
      <c r="W4" s="1974">
        <v>39538</v>
      </c>
      <c r="X4" s="1974">
        <v>39629</v>
      </c>
      <c r="Y4" s="1974">
        <v>39721</v>
      </c>
      <c r="Z4" s="1974">
        <v>39813</v>
      </c>
      <c r="AA4" s="1969">
        <f>Z4</f>
        <v>39813</v>
      </c>
      <c r="AB4" s="1974">
        <v>39903</v>
      </c>
      <c r="AC4" s="1974">
        <v>39994</v>
      </c>
      <c r="AD4" s="1974">
        <v>40086</v>
      </c>
      <c r="AE4" s="1975">
        <v>40178</v>
      </c>
      <c r="AF4" s="1971">
        <f>AE4</f>
        <v>40178</v>
      </c>
      <c r="AG4" s="1975">
        <v>40268</v>
      </c>
      <c r="AH4" s="1975">
        <v>40359</v>
      </c>
      <c r="AI4" s="1975">
        <v>40451</v>
      </c>
      <c r="AJ4" s="1975">
        <v>40543</v>
      </c>
      <c r="AK4" s="1970">
        <f>AJ4</f>
        <v>40543</v>
      </c>
      <c r="AL4" s="1975">
        <v>40633</v>
      </c>
      <c r="AM4" s="1975">
        <v>40724</v>
      </c>
      <c r="AN4" s="1975">
        <v>40816</v>
      </c>
      <c r="AO4" s="1975">
        <v>40908</v>
      </c>
      <c r="AP4" s="1970">
        <f>AO4</f>
        <v>40908</v>
      </c>
      <c r="AQ4" s="1976">
        <v>40999</v>
      </c>
      <c r="AR4" s="1976">
        <v>41090</v>
      </c>
      <c r="AS4" s="1976">
        <v>41182</v>
      </c>
      <c r="AT4" s="1976">
        <v>41274</v>
      </c>
      <c r="AU4" s="1973">
        <f>AT4</f>
        <v>41274</v>
      </c>
      <c r="AV4" s="1977">
        <v>41364</v>
      </c>
      <c r="AW4" s="1977">
        <v>41455</v>
      </c>
      <c r="AX4" s="1977">
        <v>41547</v>
      </c>
      <c r="AY4" s="1977">
        <v>41639</v>
      </c>
      <c r="AZ4" s="1972">
        <f>AY4</f>
        <v>41639</v>
      </c>
      <c r="BA4" s="1976">
        <v>41729</v>
      </c>
      <c r="BB4" s="1976">
        <v>41820</v>
      </c>
      <c r="BC4" s="1976">
        <v>41912</v>
      </c>
      <c r="BD4" s="1976">
        <v>42004</v>
      </c>
      <c r="BE4" s="1973">
        <f>BD4</f>
        <v>42004</v>
      </c>
      <c r="BF4" s="1976">
        <v>42094</v>
      </c>
      <c r="BG4" s="1976">
        <v>42185</v>
      </c>
      <c r="BH4" s="1976">
        <v>42277</v>
      </c>
      <c r="BI4" s="1976">
        <v>42369</v>
      </c>
      <c r="BJ4" s="1976">
        <v>42369</v>
      </c>
      <c r="BK4" s="1976">
        <v>42460</v>
      </c>
      <c r="BL4" s="1976">
        <v>42551</v>
      </c>
      <c r="BM4" s="1976">
        <v>42643</v>
      </c>
      <c r="BN4" s="1976">
        <v>42735</v>
      </c>
      <c r="BO4" s="1976">
        <v>42735</v>
      </c>
      <c r="BP4" s="1976">
        <v>42825</v>
      </c>
      <c r="BQ4" s="1976">
        <v>42916</v>
      </c>
      <c r="BR4" s="1976">
        <v>43008</v>
      </c>
      <c r="BS4" s="1976">
        <v>43100</v>
      </c>
      <c r="BT4" s="1976">
        <v>43100</v>
      </c>
      <c r="BU4" s="1976">
        <v>43190</v>
      </c>
      <c r="BV4" s="1976">
        <v>43281</v>
      </c>
      <c r="BW4" s="1976">
        <v>43373</v>
      </c>
      <c r="BX4" s="1976">
        <v>43465</v>
      </c>
      <c r="BY4" s="1976">
        <v>43465</v>
      </c>
      <c r="BZ4" s="1976">
        <v>43830</v>
      </c>
      <c r="CA4" s="1976">
        <v>44196</v>
      </c>
      <c r="CB4" s="1976">
        <v>44561</v>
      </c>
      <c r="CC4" s="1976">
        <v>44926</v>
      </c>
      <c r="CD4" s="1976">
        <v>45291</v>
      </c>
      <c r="CE4" s="1976">
        <v>45657</v>
      </c>
      <c r="CF4" s="1976">
        <v>46022</v>
      </c>
      <c r="CG4" s="428"/>
      <c r="CH4" s="428"/>
      <c r="CI4" s="428"/>
      <c r="CJ4" s="428"/>
      <c r="CK4" s="428"/>
      <c r="CL4" s="296" t="s">
        <v>2076</v>
      </c>
      <c r="CM4" s="1972">
        <f>G4</f>
        <v>38352</v>
      </c>
      <c r="CN4" s="1972">
        <f>L4</f>
        <v>38717</v>
      </c>
      <c r="CO4" s="1972">
        <f>Q4</f>
        <v>39082</v>
      </c>
      <c r="CP4" s="1972">
        <f>V4</f>
        <v>39447</v>
      </c>
      <c r="CQ4" s="1972">
        <f>AA4</f>
        <v>39813</v>
      </c>
      <c r="CR4" s="1972">
        <f>AF4</f>
        <v>40178</v>
      </c>
      <c r="CS4" s="1972">
        <f>AK4</f>
        <v>40543</v>
      </c>
      <c r="CT4" s="1972">
        <f>AP4</f>
        <v>40908</v>
      </c>
      <c r="CU4" s="1972">
        <f>AU4</f>
        <v>41274</v>
      </c>
      <c r="CV4" s="1972">
        <f>AZ4</f>
        <v>41639</v>
      </c>
      <c r="CW4" s="1972">
        <f>BE4</f>
        <v>42004</v>
      </c>
      <c r="CX4" s="1972">
        <f>BJ4</f>
        <v>42369</v>
      </c>
      <c r="CY4" s="1972">
        <f>BO4</f>
        <v>42735</v>
      </c>
      <c r="CZ4" s="1972">
        <f>BT4</f>
        <v>43100</v>
      </c>
      <c r="DA4" s="1972">
        <f t="shared" ref="DA4:DC6" si="0">BY4</f>
        <v>43465</v>
      </c>
      <c r="DB4" s="1972">
        <f t="shared" si="0"/>
        <v>43830</v>
      </c>
      <c r="DC4" s="1972">
        <f t="shared" si="0"/>
        <v>44196</v>
      </c>
      <c r="DD4" s="428"/>
      <c r="DE4" s="428"/>
      <c r="DF4" s="428"/>
      <c r="DG4" s="428"/>
      <c r="DJ4" s="428"/>
      <c r="DK4" s="428"/>
      <c r="DL4" s="428"/>
      <c r="DM4" s="428"/>
      <c r="DN4" s="428"/>
      <c r="DO4" s="428"/>
      <c r="DP4" s="428"/>
      <c r="DQ4" s="296"/>
      <c r="DR4" s="296"/>
      <c r="DS4" s="296"/>
      <c r="DT4" s="296"/>
    </row>
    <row r="5" spans="1:130" ht="12" hidden="1" customHeight="1" outlineLevel="1" x14ac:dyDescent="0.25">
      <c r="A5" s="281" t="s">
        <v>698</v>
      </c>
      <c r="B5" s="281"/>
      <c r="C5" s="547">
        <f>C4-B4</f>
        <v>91</v>
      </c>
      <c r="D5" s="547">
        <f>D4-C4</f>
        <v>91</v>
      </c>
      <c r="E5" s="547">
        <f>E4-D4</f>
        <v>92</v>
      </c>
      <c r="F5" s="547">
        <f>F4-E4</f>
        <v>92</v>
      </c>
      <c r="G5" s="1983">
        <f>SUM(C5:F5)</f>
        <v>366</v>
      </c>
      <c r="H5" s="547">
        <f>H4-G4</f>
        <v>90</v>
      </c>
      <c r="I5" s="547">
        <f>I4-H4</f>
        <v>91</v>
      </c>
      <c r="J5" s="547">
        <f>J4-I4</f>
        <v>92</v>
      </c>
      <c r="K5" s="547">
        <f>K4-J4</f>
        <v>92</v>
      </c>
      <c r="L5" s="1983">
        <f>SUM(H5:K5)</f>
        <v>365</v>
      </c>
      <c r="M5" s="547">
        <f>M4-L4</f>
        <v>90</v>
      </c>
      <c r="N5" s="547">
        <f>N4-M4</f>
        <v>91</v>
      </c>
      <c r="O5" s="547">
        <f>O4-N4</f>
        <v>92</v>
      </c>
      <c r="P5" s="547">
        <f>P4-O4</f>
        <v>92</v>
      </c>
      <c r="Q5" s="1983">
        <f>SUM(M5:P5)</f>
        <v>365</v>
      </c>
      <c r="R5" s="547">
        <f>R4-Q4</f>
        <v>90</v>
      </c>
      <c r="S5" s="547">
        <f>S4-R4</f>
        <v>91</v>
      </c>
      <c r="T5" s="547">
        <f>T4-S4</f>
        <v>92</v>
      </c>
      <c r="U5" s="547">
        <f>U4-T4</f>
        <v>92</v>
      </c>
      <c r="V5" s="1983">
        <f>SUM(R5:U5)</f>
        <v>365</v>
      </c>
      <c r="W5" s="547">
        <f>W4-V4</f>
        <v>91</v>
      </c>
      <c r="X5" s="547">
        <f>X4-W4</f>
        <v>91</v>
      </c>
      <c r="Y5" s="547">
        <f>Y4-X4</f>
        <v>92</v>
      </c>
      <c r="Z5" s="547">
        <f>Z4-Y4</f>
        <v>92</v>
      </c>
      <c r="AA5" s="1983">
        <f>SUM(W5:Z5)</f>
        <v>366</v>
      </c>
      <c r="AB5" s="547">
        <f>AB4-AA4</f>
        <v>90</v>
      </c>
      <c r="AC5" s="547">
        <f>AC4-AB4</f>
        <v>91</v>
      </c>
      <c r="AD5" s="547">
        <f>AD4-AC4</f>
        <v>92</v>
      </c>
      <c r="AE5" s="547">
        <f>AE4-AD4</f>
        <v>92</v>
      </c>
      <c r="AF5" s="1983">
        <f>SUM(AB5:AE5)</f>
        <v>365</v>
      </c>
      <c r="AG5" s="547">
        <f>AG4-AF4</f>
        <v>90</v>
      </c>
      <c r="AH5" s="547">
        <f>AH4-AG4</f>
        <v>91</v>
      </c>
      <c r="AI5" s="547">
        <f>AI4-AH4</f>
        <v>92</v>
      </c>
      <c r="AJ5" s="547">
        <f>AJ4-AI4</f>
        <v>92</v>
      </c>
      <c r="AK5" s="1983">
        <f>SUM(AG5:AJ5)</f>
        <v>365</v>
      </c>
      <c r="AL5" s="547">
        <f>AL4-AK4</f>
        <v>90</v>
      </c>
      <c r="AM5" s="547">
        <f>AM4-AL4</f>
        <v>91</v>
      </c>
      <c r="AN5" s="547">
        <f>AN4-AM4</f>
        <v>92</v>
      </c>
      <c r="AO5" s="547">
        <f>AO4-AN4</f>
        <v>92</v>
      </c>
      <c r="AP5" s="1983">
        <f>SUM(AL5:AO5)</f>
        <v>365</v>
      </c>
      <c r="AQ5" s="547">
        <f>AQ4-AP4</f>
        <v>91</v>
      </c>
      <c r="AR5" s="547">
        <f>AR4-AQ4</f>
        <v>91</v>
      </c>
      <c r="AS5" s="547">
        <f>AS4-AR4</f>
        <v>92</v>
      </c>
      <c r="AT5" s="547">
        <f>AT4-AS4</f>
        <v>92</v>
      </c>
      <c r="AU5" s="1983">
        <f>SUM(AQ5:AT5)</f>
        <v>366</v>
      </c>
      <c r="AV5" s="547">
        <f>AV4-AU4</f>
        <v>90</v>
      </c>
      <c r="AW5" s="547">
        <f>AW4-AV4</f>
        <v>91</v>
      </c>
      <c r="AX5" s="547">
        <f>AX4-AW4</f>
        <v>92</v>
      </c>
      <c r="AY5" s="547">
        <f>AY4-AX4</f>
        <v>92</v>
      </c>
      <c r="AZ5" s="1983">
        <f>SUM(AV5:AY5)</f>
        <v>365</v>
      </c>
      <c r="BA5" s="547">
        <f>BA4-AZ4</f>
        <v>90</v>
      </c>
      <c r="BB5" s="547">
        <f>BB4-BA4</f>
        <v>91</v>
      </c>
      <c r="BC5" s="547">
        <f>BC4-BB4</f>
        <v>92</v>
      </c>
      <c r="BD5" s="547">
        <f>BD4-BC4</f>
        <v>92</v>
      </c>
      <c r="BE5" s="1983">
        <f>SUM(BA5:BD5)</f>
        <v>365</v>
      </c>
      <c r="BF5" s="547">
        <f>BF4-BE4</f>
        <v>90</v>
      </c>
      <c r="BG5" s="547">
        <f>BG4-BF4</f>
        <v>91</v>
      </c>
      <c r="BH5" s="547">
        <f>BH4-BG4</f>
        <v>92</v>
      </c>
      <c r="BI5" s="547">
        <f>BI4-BH4</f>
        <v>92</v>
      </c>
      <c r="BJ5" s="1983">
        <f>BJ4-BE4</f>
        <v>365</v>
      </c>
      <c r="BK5" s="547">
        <f>BK4-BJ4</f>
        <v>91</v>
      </c>
      <c r="BL5" s="547">
        <f>BL4-BK4</f>
        <v>91</v>
      </c>
      <c r="BM5" s="547">
        <f>BM4-BL4</f>
        <v>92</v>
      </c>
      <c r="BN5" s="547">
        <f>BN4-BM4</f>
        <v>92</v>
      </c>
      <c r="BO5" s="1983">
        <f>BO4-BJ4</f>
        <v>366</v>
      </c>
      <c r="BP5" s="547">
        <f>BP4-BO4</f>
        <v>90</v>
      </c>
      <c r="BQ5" s="547">
        <f>BQ4-BP4</f>
        <v>91</v>
      </c>
      <c r="BR5" s="547">
        <f>BR4-BQ4</f>
        <v>92</v>
      </c>
      <c r="BS5" s="547">
        <f>BS4-BR4</f>
        <v>92</v>
      </c>
      <c r="BT5" s="1983">
        <f>BT4-BO4</f>
        <v>365</v>
      </c>
      <c r="BU5" s="3296">
        <f>BU4-BT4</f>
        <v>90</v>
      </c>
      <c r="BV5" s="3296">
        <f>BV4-BU4</f>
        <v>91</v>
      </c>
      <c r="BW5" s="3296">
        <f>BW4-BV4</f>
        <v>92</v>
      </c>
      <c r="BX5" s="3296">
        <f>BX4-BW4</f>
        <v>92</v>
      </c>
      <c r="BY5" s="3432">
        <f>BY4-BT4</f>
        <v>365</v>
      </c>
      <c r="BZ5" s="1983">
        <f t="shared" ref="BZ5:CF5" si="1">BZ4-BY4</f>
        <v>365</v>
      </c>
      <c r="CA5" s="1983">
        <f t="shared" si="1"/>
        <v>366</v>
      </c>
      <c r="CB5" s="1983">
        <f t="shared" si="1"/>
        <v>365</v>
      </c>
      <c r="CC5" s="1983">
        <f t="shared" si="1"/>
        <v>365</v>
      </c>
      <c r="CD5" s="1983">
        <f t="shared" si="1"/>
        <v>365</v>
      </c>
      <c r="CE5" s="1983">
        <f t="shared" si="1"/>
        <v>366</v>
      </c>
      <c r="CF5" s="1983">
        <f t="shared" si="1"/>
        <v>365</v>
      </c>
      <c r="CG5" s="339"/>
      <c r="CH5" s="339"/>
      <c r="CI5" s="339"/>
      <c r="CJ5" s="339"/>
      <c r="CK5" s="339"/>
      <c r="CL5" s="428" t="str">
        <f>A5</f>
        <v>No. of days per period</v>
      </c>
      <c r="CM5" s="547">
        <f>G5</f>
        <v>366</v>
      </c>
      <c r="CN5" s="547">
        <f>L5</f>
        <v>365</v>
      </c>
      <c r="CO5" s="547">
        <f>Q5</f>
        <v>365</v>
      </c>
      <c r="CP5" s="547">
        <f>V5</f>
        <v>365</v>
      </c>
      <c r="CQ5" s="547">
        <f>AA5</f>
        <v>366</v>
      </c>
      <c r="CR5" s="547">
        <f>AF5</f>
        <v>365</v>
      </c>
      <c r="CS5" s="547">
        <f>AK5</f>
        <v>365</v>
      </c>
      <c r="CT5" s="547">
        <f>AP5</f>
        <v>365</v>
      </c>
      <c r="CU5" s="547">
        <f>AU5</f>
        <v>366</v>
      </c>
      <c r="CV5" s="547">
        <f>AZ5</f>
        <v>365</v>
      </c>
      <c r="CW5" s="547">
        <f>BE5</f>
        <v>365</v>
      </c>
      <c r="CX5" s="547">
        <f>BJ5</f>
        <v>365</v>
      </c>
      <c r="CY5" s="547">
        <f>BO5</f>
        <v>366</v>
      </c>
      <c r="CZ5" s="547">
        <f>BT5</f>
        <v>365</v>
      </c>
      <c r="DA5" s="547">
        <f t="shared" si="0"/>
        <v>365</v>
      </c>
      <c r="DB5" s="547">
        <f t="shared" si="0"/>
        <v>365</v>
      </c>
      <c r="DC5" s="547">
        <f t="shared" si="0"/>
        <v>366</v>
      </c>
      <c r="DD5" s="339"/>
      <c r="DE5" s="339"/>
      <c r="DF5" s="966"/>
      <c r="DG5" s="967"/>
      <c r="DH5" s="1983"/>
      <c r="DI5" s="3212"/>
      <c r="DJ5" s="966"/>
      <c r="DK5" s="967"/>
      <c r="DL5" s="966"/>
      <c r="DM5" s="966"/>
      <c r="DN5" s="966"/>
      <c r="DO5" s="966"/>
      <c r="DP5" s="967"/>
      <c r="DQ5" s="503"/>
      <c r="DR5" s="428"/>
      <c r="DS5" s="428"/>
      <c r="DT5" s="428"/>
    </row>
    <row r="6" spans="1:130" ht="12.6" customHeight="1" collapsed="1" x14ac:dyDescent="0.25">
      <c r="A6" s="432" t="s">
        <v>1688</v>
      </c>
      <c r="B6" s="409"/>
      <c r="C6" s="433" t="s">
        <v>1338</v>
      </c>
      <c r="D6" s="433" t="s">
        <v>1339</v>
      </c>
      <c r="E6" s="433" t="s">
        <v>139</v>
      </c>
      <c r="F6" s="433" t="s">
        <v>2203</v>
      </c>
      <c r="G6" s="434">
        <v>2004</v>
      </c>
      <c r="H6" s="433" t="s">
        <v>628</v>
      </c>
      <c r="I6" s="433" t="s">
        <v>1483</v>
      </c>
      <c r="J6" s="433" t="s">
        <v>484</v>
      </c>
      <c r="K6" s="433" t="s">
        <v>1361</v>
      </c>
      <c r="L6" s="434">
        <v>2005</v>
      </c>
      <c r="M6" s="433" t="s">
        <v>590</v>
      </c>
      <c r="N6" s="433" t="s">
        <v>1827</v>
      </c>
      <c r="O6" s="433" t="s">
        <v>2051</v>
      </c>
      <c r="P6" s="433" t="s">
        <v>1224</v>
      </c>
      <c r="Q6" s="434">
        <v>2006</v>
      </c>
      <c r="R6" s="433" t="s">
        <v>1417</v>
      </c>
      <c r="S6" s="433" t="s">
        <v>1209</v>
      </c>
      <c r="T6" s="433" t="s">
        <v>1546</v>
      </c>
      <c r="U6" s="433" t="s">
        <v>984</v>
      </c>
      <c r="V6" s="434">
        <v>2007</v>
      </c>
      <c r="W6" s="433" t="s">
        <v>2022</v>
      </c>
      <c r="X6" s="433" t="s">
        <v>727</v>
      </c>
      <c r="Y6" s="433" t="s">
        <v>48</v>
      </c>
      <c r="Z6" s="433" t="s">
        <v>10</v>
      </c>
      <c r="AA6" s="434">
        <v>2008</v>
      </c>
      <c r="AB6" s="433" t="s">
        <v>1482</v>
      </c>
      <c r="AC6" s="433" t="s">
        <v>133</v>
      </c>
      <c r="AD6" s="433" t="s">
        <v>1707</v>
      </c>
      <c r="AE6" s="433" t="s">
        <v>1398</v>
      </c>
      <c r="AF6" s="434">
        <v>2009</v>
      </c>
      <c r="AG6" s="433" t="s">
        <v>1671</v>
      </c>
      <c r="AH6" s="433" t="s">
        <v>1672</v>
      </c>
      <c r="AI6" s="433" t="s">
        <v>2112</v>
      </c>
      <c r="AJ6" s="433" t="s">
        <v>2113</v>
      </c>
      <c r="AK6" s="434">
        <v>2010</v>
      </c>
      <c r="AL6" s="435" t="s">
        <v>2115</v>
      </c>
      <c r="AM6" s="435" t="s">
        <v>2116</v>
      </c>
      <c r="AN6" s="435" t="s">
        <v>2117</v>
      </c>
      <c r="AO6" s="435" t="s">
        <v>2118</v>
      </c>
      <c r="AP6" s="438">
        <v>2011</v>
      </c>
      <c r="AQ6" s="435" t="s">
        <v>1309</v>
      </c>
      <c r="AR6" s="435" t="s">
        <v>1310</v>
      </c>
      <c r="AS6" s="435" t="s">
        <v>1311</v>
      </c>
      <c r="AT6" s="435" t="s">
        <v>1312</v>
      </c>
      <c r="AU6" s="438">
        <v>2012</v>
      </c>
      <c r="AV6" s="435" t="s">
        <v>1373</v>
      </c>
      <c r="AW6" s="435" t="s">
        <v>2229</v>
      </c>
      <c r="AX6" s="435" t="s">
        <v>2241</v>
      </c>
      <c r="AY6" s="2616" t="s">
        <v>1028</v>
      </c>
      <c r="AZ6" s="438">
        <v>2013</v>
      </c>
      <c r="BA6" s="435" t="s">
        <v>203</v>
      </c>
      <c r="BB6" s="435" t="s">
        <v>379</v>
      </c>
      <c r="BC6" s="435" t="s">
        <v>1380</v>
      </c>
      <c r="BD6" s="435" t="s">
        <v>2290</v>
      </c>
      <c r="BE6" s="438">
        <v>2014</v>
      </c>
      <c r="BF6" s="435" t="s">
        <v>2295</v>
      </c>
      <c r="BG6" s="435" t="s">
        <v>2367</v>
      </c>
      <c r="BH6" s="435" t="s">
        <v>2393</v>
      </c>
      <c r="BI6" s="2893" t="s">
        <v>2412</v>
      </c>
      <c r="BJ6" s="861">
        <v>2015</v>
      </c>
      <c r="BK6" s="435" t="s">
        <v>2482</v>
      </c>
      <c r="BL6" s="435" t="s">
        <v>2520</v>
      </c>
      <c r="BM6" s="435" t="s">
        <v>2527</v>
      </c>
      <c r="BN6" s="2893" t="s">
        <v>2544</v>
      </c>
      <c r="BO6" s="861">
        <v>2016</v>
      </c>
      <c r="BP6" s="435" t="s">
        <v>2571</v>
      </c>
      <c r="BQ6" s="435" t="s">
        <v>2581</v>
      </c>
      <c r="BR6" s="435" t="s">
        <v>2659</v>
      </c>
      <c r="BS6" s="435" t="s">
        <v>2696</v>
      </c>
      <c r="BT6" s="438">
        <v>2017</v>
      </c>
      <c r="BU6" s="435" t="s">
        <v>2579</v>
      </c>
      <c r="BV6" s="435" t="s">
        <v>2580</v>
      </c>
      <c r="BW6" s="435" t="s">
        <v>2577</v>
      </c>
      <c r="BX6" s="435" t="s">
        <v>2578</v>
      </c>
      <c r="BY6" s="438" t="s">
        <v>2044</v>
      </c>
      <c r="BZ6" s="438" t="s">
        <v>2045</v>
      </c>
      <c r="CA6" s="438" t="s">
        <v>2046</v>
      </c>
      <c r="CB6" s="438" t="s">
        <v>2373</v>
      </c>
      <c r="CC6" s="438" t="s">
        <v>2374</v>
      </c>
      <c r="CD6" s="438" t="s">
        <v>2375</v>
      </c>
      <c r="CE6" s="438" t="s">
        <v>2376</v>
      </c>
      <c r="CF6" s="438" t="s">
        <v>2377</v>
      </c>
      <c r="CG6" s="502"/>
      <c r="CH6" s="502"/>
      <c r="CI6" s="502"/>
      <c r="CJ6" s="502"/>
      <c r="CK6" s="502"/>
      <c r="CL6" s="2102" t="str">
        <f>A6</f>
        <v>INCOME STATEMENT</v>
      </c>
      <c r="CM6" s="2199">
        <f>G6</f>
        <v>2004</v>
      </c>
      <c r="CN6" s="2199">
        <f>L6</f>
        <v>2005</v>
      </c>
      <c r="CO6" s="2199">
        <f>Q6</f>
        <v>2006</v>
      </c>
      <c r="CP6" s="2199">
        <f>V6</f>
        <v>2007</v>
      </c>
      <c r="CQ6" s="2199">
        <f>AA6</f>
        <v>2008</v>
      </c>
      <c r="CR6" s="2199">
        <f>AF6</f>
        <v>2009</v>
      </c>
      <c r="CS6" s="2199">
        <f>AK6</f>
        <v>2010</v>
      </c>
      <c r="CT6" s="2199">
        <f>AP6</f>
        <v>2011</v>
      </c>
      <c r="CU6" s="2199">
        <f>AU6</f>
        <v>2012</v>
      </c>
      <c r="CV6" s="2199">
        <f>AZ6</f>
        <v>2013</v>
      </c>
      <c r="CW6" s="2199">
        <f>BE6</f>
        <v>2014</v>
      </c>
      <c r="CX6" s="2199">
        <f>BJ6</f>
        <v>2015</v>
      </c>
      <c r="CY6" s="2199">
        <f>BO6</f>
        <v>2016</v>
      </c>
      <c r="CZ6" s="2199">
        <f>BT6</f>
        <v>2017</v>
      </c>
      <c r="DA6" s="2199" t="str">
        <f t="shared" si="0"/>
        <v>2018E</v>
      </c>
      <c r="DB6" s="2199" t="str">
        <f t="shared" si="0"/>
        <v>2019E</v>
      </c>
      <c r="DC6" s="2200" t="str">
        <f t="shared" si="0"/>
        <v>2020E</v>
      </c>
      <c r="DD6" s="502"/>
      <c r="DE6" s="502"/>
      <c r="DF6" s="502"/>
      <c r="DG6" s="503"/>
      <c r="DH6" s="3286"/>
      <c r="DI6" s="3287"/>
      <c r="DJ6" s="502"/>
      <c r="DK6" s="503"/>
      <c r="DL6" s="502"/>
      <c r="DM6" s="502"/>
      <c r="DN6" s="502"/>
      <c r="DO6" s="502"/>
      <c r="DP6" s="503"/>
      <c r="DQ6" s="503"/>
      <c r="DR6" s="296"/>
      <c r="DS6" s="296"/>
      <c r="DT6" s="296"/>
    </row>
    <row r="7" spans="1:130" ht="5.0999999999999996" customHeight="1" x14ac:dyDescent="0.25">
      <c r="A7" s="864"/>
      <c r="B7" s="281"/>
      <c r="C7" s="305"/>
      <c r="D7" s="305"/>
      <c r="E7" s="305"/>
      <c r="F7" s="305"/>
      <c r="G7" s="440"/>
      <c r="H7" s="305"/>
      <c r="I7" s="305"/>
      <c r="J7" s="305"/>
      <c r="K7" s="305"/>
      <c r="L7" s="440"/>
      <c r="M7" s="305"/>
      <c r="N7" s="305"/>
      <c r="O7" s="305"/>
      <c r="P7" s="305"/>
      <c r="Q7" s="440"/>
      <c r="R7" s="305"/>
      <c r="S7" s="305"/>
      <c r="T7" s="305"/>
      <c r="U7" s="305"/>
      <c r="V7" s="440"/>
      <c r="W7" s="305"/>
      <c r="X7" s="305"/>
      <c r="Y7" s="305"/>
      <c r="Z7" s="305"/>
      <c r="AA7" s="440"/>
      <c r="AB7" s="305"/>
      <c r="AC7" s="305"/>
      <c r="AD7" s="305"/>
      <c r="AE7" s="331"/>
      <c r="AF7" s="441"/>
      <c r="AG7" s="331"/>
      <c r="AH7" s="331"/>
      <c r="AI7" s="331"/>
      <c r="AJ7" s="331"/>
      <c r="AK7" s="441"/>
      <c r="AL7" s="442"/>
      <c r="AM7" s="442"/>
      <c r="AN7" s="442"/>
      <c r="AO7" s="442"/>
      <c r="AP7" s="443"/>
      <c r="AQ7" s="443"/>
      <c r="AR7" s="331"/>
      <c r="AS7" s="331"/>
      <c r="AT7" s="331"/>
      <c r="AU7" s="349"/>
      <c r="AV7" s="331"/>
      <c r="AW7" s="331"/>
      <c r="AX7" s="331"/>
      <c r="AY7" s="1306"/>
      <c r="AZ7" s="349"/>
      <c r="BA7" s="331"/>
      <c r="BB7" s="331"/>
      <c r="BC7" s="331"/>
      <c r="BD7" s="1306"/>
      <c r="BE7" s="349"/>
      <c r="BF7" s="331"/>
      <c r="BG7" s="331"/>
      <c r="BH7" s="331"/>
      <c r="BI7" s="1306"/>
      <c r="BJ7" s="1306"/>
      <c r="BK7" s="331"/>
      <c r="BL7" s="331"/>
      <c r="BM7" s="331"/>
      <c r="BN7" s="1306"/>
      <c r="BO7" s="1306"/>
      <c r="BP7" s="331"/>
      <c r="BQ7" s="331"/>
      <c r="BR7" s="331"/>
      <c r="BS7" s="331"/>
      <c r="BT7" s="349"/>
      <c r="BU7" s="3393"/>
      <c r="BV7" s="2601"/>
      <c r="BW7" s="2601"/>
      <c r="BX7" s="2601"/>
      <c r="BY7" s="3222"/>
      <c r="BZ7" s="349"/>
      <c r="CA7" s="349"/>
      <c r="CB7" s="349"/>
      <c r="CC7" s="349"/>
      <c r="CD7" s="349"/>
      <c r="CE7" s="349"/>
      <c r="CF7" s="349"/>
      <c r="CG7" s="331"/>
      <c r="CH7" s="331"/>
      <c r="CI7" s="331"/>
      <c r="CJ7" s="331"/>
      <c r="CK7" s="331"/>
      <c r="CL7" s="1149"/>
      <c r="CM7" s="331"/>
      <c r="CN7" s="331"/>
      <c r="CO7" s="331"/>
      <c r="CP7" s="331"/>
      <c r="CQ7" s="331"/>
      <c r="CR7" s="331"/>
      <c r="CS7" s="331"/>
      <c r="CT7" s="331"/>
      <c r="CU7" s="331"/>
      <c r="CV7" s="331"/>
      <c r="CW7" s="331"/>
      <c r="CX7" s="331"/>
      <c r="CY7" s="331"/>
      <c r="CZ7" s="331"/>
      <c r="DA7" s="331"/>
      <c r="DB7" s="331"/>
      <c r="DC7" s="1306"/>
      <c r="DD7" s="331"/>
      <c r="DE7" s="331"/>
      <c r="DF7" s="502"/>
      <c r="DG7" s="503"/>
      <c r="DH7" s="331"/>
      <c r="DI7" s="3213"/>
      <c r="DJ7" s="502"/>
      <c r="DK7" s="503"/>
      <c r="DL7" s="502"/>
      <c r="DM7" s="502"/>
      <c r="DN7" s="502"/>
      <c r="DO7" s="502"/>
      <c r="DP7" s="503"/>
      <c r="DQ7" s="503"/>
      <c r="DR7" s="296"/>
      <c r="DS7" s="296"/>
      <c r="DT7" s="296"/>
    </row>
    <row r="8" spans="1:130" ht="12.6" customHeight="1" x14ac:dyDescent="0.25">
      <c r="A8" s="864" t="s">
        <v>898</v>
      </c>
      <c r="B8" s="281"/>
      <c r="C8" s="305"/>
      <c r="D8" s="305"/>
      <c r="E8" s="305"/>
      <c r="F8" s="305"/>
      <c r="G8" s="440"/>
      <c r="H8" s="305"/>
      <c r="I8" s="305"/>
      <c r="J8" s="305"/>
      <c r="K8" s="305"/>
      <c r="L8" s="440"/>
      <c r="M8" s="305"/>
      <c r="N8" s="305"/>
      <c r="O8" s="305"/>
      <c r="P8" s="305"/>
      <c r="Q8" s="440"/>
      <c r="R8" s="305"/>
      <c r="S8" s="305"/>
      <c r="T8" s="305"/>
      <c r="U8" s="305"/>
      <c r="V8" s="440"/>
      <c r="W8" s="305"/>
      <c r="X8" s="305"/>
      <c r="Y8" s="305"/>
      <c r="Z8" s="305"/>
      <c r="AA8" s="440"/>
      <c r="AB8" s="305"/>
      <c r="AC8" s="305"/>
      <c r="AD8" s="305"/>
      <c r="AE8" s="331"/>
      <c r="AF8" s="441"/>
      <c r="AG8" s="331"/>
      <c r="AH8" s="331"/>
      <c r="AI8" s="331"/>
      <c r="AJ8" s="331"/>
      <c r="AK8" s="441"/>
      <c r="AL8" s="442"/>
      <c r="AM8" s="442"/>
      <c r="AN8" s="442"/>
      <c r="AO8" s="442"/>
      <c r="AP8" s="443"/>
      <c r="AQ8" s="443"/>
      <c r="AR8" s="331"/>
      <c r="AS8" s="331"/>
      <c r="AT8" s="331"/>
      <c r="AU8" s="349"/>
      <c r="AV8" s="331"/>
      <c r="AW8" s="331"/>
      <c r="AX8" s="588"/>
      <c r="AY8" s="1197"/>
      <c r="AZ8" s="349"/>
      <c r="BA8" s="331"/>
      <c r="BB8" s="331"/>
      <c r="BC8" s="331"/>
      <c r="BD8" s="1306"/>
      <c r="BE8" s="349"/>
      <c r="BF8" s="331"/>
      <c r="BG8" s="331"/>
      <c r="BH8" s="331"/>
      <c r="BI8" s="1306"/>
      <c r="BJ8" s="1306"/>
      <c r="BK8" s="331"/>
      <c r="BL8" s="331"/>
      <c r="BM8" s="331"/>
      <c r="BN8" s="1306"/>
      <c r="BO8" s="1306"/>
      <c r="BP8" s="331"/>
      <c r="BQ8" s="331"/>
      <c r="BR8" s="331"/>
      <c r="BS8" s="331"/>
      <c r="BT8" s="349"/>
      <c r="BU8" s="3393"/>
      <c r="BV8" s="2601"/>
      <c r="BW8" s="2601"/>
      <c r="BX8" s="2601"/>
      <c r="BY8" s="3222"/>
      <c r="BZ8" s="349"/>
      <c r="CA8" s="349"/>
      <c r="CB8" s="349"/>
      <c r="CC8" s="349"/>
      <c r="CD8" s="349"/>
      <c r="CE8" s="349"/>
      <c r="CF8" s="349"/>
      <c r="CG8" s="331"/>
      <c r="CH8" s="331"/>
      <c r="CI8" s="331"/>
      <c r="CJ8" s="331"/>
      <c r="CK8" s="331"/>
      <c r="CL8" s="1149" t="str">
        <f t="shared" ref="CL8:CL16" si="2">A8</f>
        <v>Net Revenue</v>
      </c>
      <c r="CM8" s="331"/>
      <c r="CN8" s="331"/>
      <c r="CO8" s="331"/>
      <c r="CP8" s="331"/>
      <c r="CQ8" s="331"/>
      <c r="CR8" s="331"/>
      <c r="CS8" s="331"/>
      <c r="CT8" s="331"/>
      <c r="CU8" s="331"/>
      <c r="CV8" s="331"/>
      <c r="CW8" s="331"/>
      <c r="CX8" s="331"/>
      <c r="CY8" s="331"/>
      <c r="CZ8" s="331"/>
      <c r="DA8" s="331"/>
      <c r="DB8" s="331"/>
      <c r="DC8" s="1306"/>
      <c r="DD8" s="331"/>
      <c r="DE8" s="331"/>
      <c r="DF8" s="502"/>
      <c r="DG8" s="503"/>
      <c r="DH8" s="331"/>
      <c r="DI8" s="3213"/>
      <c r="DJ8" s="502"/>
      <c r="DK8" s="503"/>
      <c r="DL8" s="502"/>
      <c r="DM8" s="502"/>
      <c r="DN8" s="502"/>
      <c r="DO8" s="502"/>
      <c r="DP8" s="503"/>
      <c r="DQ8" s="503"/>
      <c r="DR8" s="296"/>
      <c r="DS8" s="296"/>
      <c r="DT8" s="296"/>
    </row>
    <row r="9" spans="1:130" s="1049" customFormat="1" ht="12.6" customHeight="1" x14ac:dyDescent="0.25">
      <c r="A9" s="2669" t="s">
        <v>2502</v>
      </c>
      <c r="B9" s="428"/>
      <c r="C9" s="331"/>
      <c r="D9" s="331"/>
      <c r="E9" s="331"/>
      <c r="F9" s="331"/>
      <c r="G9" s="441"/>
      <c r="H9" s="331"/>
      <c r="I9" s="331"/>
      <c r="J9" s="331"/>
      <c r="K9" s="331"/>
      <c r="L9" s="441"/>
      <c r="M9" s="331"/>
      <c r="N9" s="331"/>
      <c r="O9" s="331"/>
      <c r="P9" s="331"/>
      <c r="Q9" s="441"/>
      <c r="R9" s="331"/>
      <c r="S9" s="331"/>
      <c r="T9" s="331"/>
      <c r="U9" s="331"/>
      <c r="V9" s="441"/>
      <c r="W9" s="331"/>
      <c r="X9" s="331"/>
      <c r="Y9" s="331"/>
      <c r="Z9" s="331"/>
      <c r="AA9" s="441"/>
      <c r="AB9" s="2670">
        <f>+AB218+AB219+AB220+AB243+AB221+AB222+AB223+AB224+AB226+AB227</f>
        <v>309.75800000000004</v>
      </c>
      <c r="AC9" s="2671">
        <f>+AC218+AC219+AC220+AC243+AC221+AC222+AC223+AC224+AC226+AC227</f>
        <v>314.85399999999998</v>
      </c>
      <c r="AD9" s="2671">
        <f>+AD218+AD219+AD220+AD243+AD221+AD222+AD223+AD224+AD226+AD227</f>
        <v>332.91299999999995</v>
      </c>
      <c r="AE9" s="2671">
        <f>+AE218+AE219+AE220+AE243+AE221+AE222+AE223+AE224+AE226+AE227</f>
        <v>294.47300000000001</v>
      </c>
      <c r="AF9" s="451">
        <f>SUM(AB9:AE9)</f>
        <v>1251.998</v>
      </c>
      <c r="AG9" s="2670">
        <f>+AG218+AG219+AG220+AG243+AG221+AG222+AG223+AG224+AG226+AG227</f>
        <v>309.29000000000002</v>
      </c>
      <c r="AH9" s="2671">
        <f>+AH218+AH219+AH220+AH243+AH221+AH222+AH223+AH224+AH226+AH227</f>
        <v>324.05700000000002</v>
      </c>
      <c r="AI9" s="2671">
        <f>+AI218+AI219+AI220+AI243+AI221+AI222+AI223+AI224+AI226+AI227</f>
        <v>366.90100000000001</v>
      </c>
      <c r="AJ9" s="2671">
        <f>+AJ218+AJ219+AJ220+AJ243+AJ221+AJ222+AJ223+AJ224+AJ226+AJ227</f>
        <v>363.524</v>
      </c>
      <c r="AK9" s="451">
        <f>SUM(AG9:AJ9)</f>
        <v>1363.7719999999999</v>
      </c>
      <c r="AL9" s="2670">
        <f>+AL218+AL219+AL220+AL243+AL221+AL222+AL223+AL224+AL226+AL227</f>
        <v>380.08499999999998</v>
      </c>
      <c r="AM9" s="2671">
        <f>+AM218+AM219+AM220+AM243+AM221+AM222+AM223+AM224+AM226+AM227</f>
        <v>396.04099999999994</v>
      </c>
      <c r="AN9" s="2671">
        <f>+AN218+AN219+AN220+AN243+AN221+AN222+AN223+AN224+AN226+AN227</f>
        <v>405.32850920999999</v>
      </c>
      <c r="AO9" s="2671">
        <f>+AO218+AO219+AO220+AO243+AO221+AO222+AO223+AO224+AO226+AO227</f>
        <v>382.68760796999999</v>
      </c>
      <c r="AP9" s="451">
        <f>SUM(AL9:AO9)</f>
        <v>1564.14211718</v>
      </c>
      <c r="AQ9" s="2670">
        <f>+AQ218+AQ219+AQ220+AQ243+AQ221+AQ222+AQ223+AQ224+AQ226+AQ227</f>
        <v>417.33518816285505</v>
      </c>
      <c r="AR9" s="2671">
        <f>+AR218+AR219+AR220+AR243+AR221+AR222+AR223+AR224+AR226+AR227</f>
        <v>416.78221259040834</v>
      </c>
      <c r="AS9" s="2671">
        <f>+AS218+AS219+AS220+AS243+AS221+AS222+AS223+AS224+AS226+AS227</f>
        <v>423.28037681001604</v>
      </c>
      <c r="AT9" s="2671">
        <f>+AT218+AT219+AT220+AT243+AT221+AT222+AT223+AT224+AT226+AT227</f>
        <v>432.76643478896216</v>
      </c>
      <c r="AU9" s="451">
        <f>SUM(AQ9:AT9)</f>
        <v>1690.1642123522415</v>
      </c>
      <c r="AV9" s="1392">
        <v>458.548</v>
      </c>
      <c r="AW9" s="1392">
        <v>430.94400000000002</v>
      </c>
      <c r="AX9" s="1392">
        <v>403.899</v>
      </c>
      <c r="AY9" s="1392">
        <v>359.19400000000002</v>
      </c>
      <c r="AZ9" s="451">
        <f>SUM(AV9:AY9)</f>
        <v>1652.585</v>
      </c>
      <c r="BA9" s="2667">
        <v>298.65800000000002</v>
      </c>
      <c r="BB9" s="2872">
        <v>313.471</v>
      </c>
      <c r="BC9" s="2927">
        <v>324.33499999999998</v>
      </c>
      <c r="BD9" s="2962">
        <v>339.18900000000002</v>
      </c>
      <c r="BE9" s="451">
        <f>SUM(BA9:BD9)</f>
        <v>1275.653</v>
      </c>
      <c r="BF9" s="2975">
        <v>340.79399999999998</v>
      </c>
      <c r="BG9" s="2962">
        <v>372.92599999999999</v>
      </c>
      <c r="BH9" s="2962">
        <v>406.55200000000002</v>
      </c>
      <c r="BI9" s="2962">
        <v>385.56700000000001</v>
      </c>
      <c r="BJ9" s="451">
        <f>SUM(BF9:BI9)</f>
        <v>1505.8389999999999</v>
      </c>
      <c r="BK9" s="2975">
        <v>393.20499999999998</v>
      </c>
      <c r="BL9" s="2962">
        <v>401.51600000000002</v>
      </c>
      <c r="BM9" s="2962">
        <v>395.74799999999999</v>
      </c>
      <c r="BN9" s="2962">
        <v>378.04599999999999</v>
      </c>
      <c r="BO9" s="451">
        <f>SUM(BK9:BN9)</f>
        <v>1568.5150000000001</v>
      </c>
      <c r="BP9" s="2975">
        <v>393.46499999999997</v>
      </c>
      <c r="BQ9" s="1392">
        <v>405.09899999999999</v>
      </c>
      <c r="BR9" s="1392">
        <v>401.81799999999998</v>
      </c>
      <c r="BS9" s="1392">
        <v>383.73700000000002</v>
      </c>
      <c r="BT9" s="3023">
        <f>SUM(BP9:BS9)</f>
        <v>1584.1190000000001</v>
      </c>
      <c r="BU9" s="2671">
        <f t="shared" ref="BU9:CA9" si="3">+SUM(BU218:BU227)</f>
        <v>398.09773846572295</v>
      </c>
      <c r="BV9" s="2671">
        <f t="shared" si="3"/>
        <v>408.85376358018129</v>
      </c>
      <c r="BW9" s="2671">
        <f t="shared" si="3"/>
        <v>399.43943963550089</v>
      </c>
      <c r="BX9" s="2671">
        <f t="shared" si="3"/>
        <v>382.39714303837451</v>
      </c>
      <c r="BY9" s="3023">
        <f>SUM(BU9:BX9)</f>
        <v>1588.7880847197796</v>
      </c>
      <c r="BZ9" s="451">
        <f t="shared" si="3"/>
        <v>1570.3136109831307</v>
      </c>
      <c r="CA9" s="451">
        <f t="shared" si="3"/>
        <v>1538.5022557514594</v>
      </c>
      <c r="CB9" s="451">
        <f>+CB218+CB219+CB220+CB243+CB221+CB222+CB223+CB224+CB226+CB227+CB225</f>
        <v>1642.8498303908962</v>
      </c>
      <c r="CC9" s="451">
        <f>+CC218+CC219+CC220+CC243+CC221+CC222+CC223+CC224+CC226+CC227+CC225</f>
        <v>1565.8722592545219</v>
      </c>
      <c r="CD9" s="451">
        <f>+CD218+CD219+CD220+CD243+CD221+CD222+CD223+CD224+CD226+CD227+CD225</f>
        <v>1596.0560873424899</v>
      </c>
      <c r="CE9" s="451">
        <f>+CE218+CE219+CE220+CE243+CE221+CE222+CE223+CE224+CE226+CE227+CE225</f>
        <v>1628.2785438061908</v>
      </c>
      <c r="CF9" s="451">
        <f>+CF218+CF219+CF220+CF243+CF221+CF222+CF223+CF224+CF226+CF227+CF225</f>
        <v>1658.2922749682753</v>
      </c>
      <c r="CG9" s="331"/>
      <c r="CH9" s="331"/>
      <c r="CI9" s="331"/>
      <c r="CJ9" s="331"/>
      <c r="CK9" s="331"/>
      <c r="CL9" s="1118" t="str">
        <f t="shared" si="2"/>
        <v>Northeast (WV, ME, PA, OH, MA, Casino Rama)</v>
      </c>
      <c r="CM9" s="450"/>
      <c r="CN9" s="450"/>
      <c r="CO9" s="450"/>
      <c r="CP9" s="450"/>
      <c r="CQ9" s="450"/>
      <c r="CR9" s="450">
        <f t="shared" ref="CR9:CR16" si="4">AF9</f>
        <v>1251.998</v>
      </c>
      <c r="CS9" s="450">
        <f t="shared" ref="CS9:CS16" si="5">AK9</f>
        <v>1363.7719999999999</v>
      </c>
      <c r="CT9" s="450">
        <f t="shared" ref="CT9:CT16" si="6">AP9</f>
        <v>1564.14211718</v>
      </c>
      <c r="CU9" s="450">
        <f t="shared" ref="CU9:CU16" si="7">AU9</f>
        <v>1690.1642123522415</v>
      </c>
      <c r="CV9" s="450">
        <f t="shared" ref="CV9:CV15" si="8">AZ9</f>
        <v>1652.585</v>
      </c>
      <c r="CW9" s="450">
        <f t="shared" ref="CW9:CW15" si="9">BE9</f>
        <v>1275.653</v>
      </c>
      <c r="CX9" s="450">
        <f t="shared" ref="CX9:CX15" si="10">BJ9</f>
        <v>1505.8389999999999</v>
      </c>
      <c r="CY9" s="450">
        <f t="shared" ref="CY9:CY15" si="11">BO9</f>
        <v>1568.5150000000001</v>
      </c>
      <c r="CZ9" s="450">
        <f t="shared" ref="CZ9:CZ15" si="12">BT9</f>
        <v>1584.1190000000001</v>
      </c>
      <c r="DA9" s="450">
        <f t="shared" ref="DA9:DC15" si="13">BY9</f>
        <v>1588.7880847197796</v>
      </c>
      <c r="DB9" s="450">
        <f t="shared" si="13"/>
        <v>1570.3136109831307</v>
      </c>
      <c r="DC9" s="1861">
        <f t="shared" si="13"/>
        <v>1538.5022557514594</v>
      </c>
      <c r="DD9" s="331"/>
      <c r="DE9" s="331"/>
      <c r="DF9" s="502"/>
      <c r="DG9" s="503"/>
      <c r="DH9" s="2671"/>
      <c r="DI9" s="3213"/>
      <c r="DJ9" s="502"/>
      <c r="DK9" s="503"/>
      <c r="DL9" s="502"/>
      <c r="DM9" s="502"/>
      <c r="DN9" s="502"/>
      <c r="DO9" s="502"/>
      <c r="DP9" s="503"/>
      <c r="DQ9" s="503"/>
      <c r="DR9" s="296"/>
      <c r="DS9" s="296"/>
      <c r="DT9" s="296"/>
      <c r="DU9"/>
      <c r="DV9"/>
      <c r="DW9"/>
      <c r="DX9"/>
      <c r="DY9"/>
      <c r="DZ9"/>
    </row>
    <row r="10" spans="1:130" s="1049" customFormat="1" ht="12.6" customHeight="1" x14ac:dyDescent="0.25">
      <c r="A10" s="2669" t="s">
        <v>2503</v>
      </c>
      <c r="B10" s="428"/>
      <c r="C10" s="331"/>
      <c r="D10" s="331"/>
      <c r="E10" s="331"/>
      <c r="F10" s="331"/>
      <c r="G10" s="441"/>
      <c r="H10" s="331"/>
      <c r="I10" s="331"/>
      <c r="J10" s="331"/>
      <c r="K10" s="331"/>
      <c r="L10" s="441"/>
      <c r="M10" s="331"/>
      <c r="N10" s="331"/>
      <c r="O10" s="331"/>
      <c r="P10" s="331"/>
      <c r="Q10" s="441"/>
      <c r="R10" s="331"/>
      <c r="S10" s="331"/>
      <c r="T10" s="331"/>
      <c r="U10" s="331"/>
      <c r="V10" s="441"/>
      <c r="W10" s="331"/>
      <c r="X10" s="331"/>
      <c r="Y10" s="331"/>
      <c r="Z10" s="331"/>
      <c r="AA10" s="441"/>
      <c r="AB10" s="2673">
        <f>+AB230+AB231+AB232</f>
        <v>22.346</v>
      </c>
      <c r="AC10" s="2577">
        <f>+AC230+AC231+AC232</f>
        <v>19.779</v>
      </c>
      <c r="AD10" s="2577">
        <f>+AD230+AD231+AD232</f>
        <v>19.86</v>
      </c>
      <c r="AE10" s="2577">
        <f>+AE230+AE231+AE232</f>
        <v>19.757999999999999</v>
      </c>
      <c r="AF10" s="1597">
        <f>SUM(AB10:AE10)</f>
        <v>81.742999999999995</v>
      </c>
      <c r="AG10" s="2673">
        <f>+AG230+AG231+AG232</f>
        <v>20.626000000000001</v>
      </c>
      <c r="AH10" s="2577">
        <f>+AH230+AH231+AH232</f>
        <v>20.064</v>
      </c>
      <c r="AI10" s="2577">
        <f>+AI230+AI231+AI232</f>
        <v>21.559000000000001</v>
      </c>
      <c r="AJ10" s="2577">
        <f>+AJ230+AJ231+AJ232</f>
        <v>22.731000000000002</v>
      </c>
      <c r="AK10" s="1597">
        <f>SUM(AG10:AJ10)</f>
        <v>84.97999999999999</v>
      </c>
      <c r="AL10" s="2673">
        <f>+AL230+AL231+AL232</f>
        <v>22.59</v>
      </c>
      <c r="AM10" s="2577">
        <f>+AM230+AM231+AM232</f>
        <v>36.585999999999999</v>
      </c>
      <c r="AN10" s="2577">
        <f>+AN230+AN231+AN232</f>
        <v>61.205770000000001</v>
      </c>
      <c r="AO10" s="2577">
        <f>+AO230+AO231+AO232</f>
        <v>63.412930000000003</v>
      </c>
      <c r="AP10" s="1597">
        <f>SUM(AL10:AO10)</f>
        <v>183.79470000000001</v>
      </c>
      <c r="AQ10" s="2673">
        <f>+AQ230+AQ231+AQ232</f>
        <v>63.828120000000006</v>
      </c>
      <c r="AR10" s="2577">
        <f>+AR230+AR231+AR232</f>
        <v>63.590239999999994</v>
      </c>
      <c r="AS10" s="2577">
        <f>+AS230+AS231+AS232</f>
        <v>58.031654599999996</v>
      </c>
      <c r="AT10" s="2577">
        <f>+AT230+AT231+AT232</f>
        <v>61.510542099999995</v>
      </c>
      <c r="AU10" s="1597">
        <f>SUM(AQ10:AT10)</f>
        <v>246.96055669999998</v>
      </c>
      <c r="AV10" s="572">
        <v>62.152000000000001</v>
      </c>
      <c r="AW10" s="572">
        <v>61.442</v>
      </c>
      <c r="AX10" s="1722">
        <v>57.463000000000001</v>
      </c>
      <c r="AY10" s="1722">
        <v>59.026000000000003</v>
      </c>
      <c r="AZ10" s="1597">
        <f>SUM(AV10:AY10)</f>
        <v>240.083</v>
      </c>
      <c r="BA10" s="572">
        <v>111.89700000000001</v>
      </c>
      <c r="BB10" s="2873">
        <v>110.215</v>
      </c>
      <c r="BC10" s="2929">
        <v>109.76</v>
      </c>
      <c r="BD10" s="2963">
        <v>109.84699999999999</v>
      </c>
      <c r="BE10" s="1597">
        <f>SUM(BA10:BD10)</f>
        <v>441.71899999999999</v>
      </c>
      <c r="BF10" s="572">
        <v>113.90600000000001</v>
      </c>
      <c r="BG10" s="3090">
        <v>113.34399999999999</v>
      </c>
      <c r="BH10" s="3090">
        <v>118.26600000000001</v>
      </c>
      <c r="BI10" s="3090">
        <v>132.60900000000001</v>
      </c>
      <c r="BJ10" s="1597">
        <f>SUM(BF10:BI10)</f>
        <v>478.125</v>
      </c>
      <c r="BK10" s="572">
        <v>135.96799999999999</v>
      </c>
      <c r="BL10" s="3090">
        <v>140.108</v>
      </c>
      <c r="BM10" s="3090">
        <v>135.16900000000001</v>
      </c>
      <c r="BN10" s="3090">
        <v>135.36199999999999</v>
      </c>
      <c r="BO10" s="1597">
        <f>SUM(BK10:BN10)</f>
        <v>546.60699999999997</v>
      </c>
      <c r="BP10" s="572">
        <v>139.82</v>
      </c>
      <c r="BQ10" s="572">
        <v>153.15100000000001</v>
      </c>
      <c r="BR10" s="572">
        <v>160.15299999999999</v>
      </c>
      <c r="BS10" s="572">
        <v>151.542</v>
      </c>
      <c r="BT10" s="3221">
        <f>SUM(BP10:BS10)</f>
        <v>604.66600000000005</v>
      </c>
      <c r="BU10" s="3288">
        <f t="shared" ref="BU10:CA10" si="14">SUM(BU230:BU237)</f>
        <v>166.54606326341167</v>
      </c>
      <c r="BV10" s="3288">
        <f t="shared" si="14"/>
        <v>162.43777634877407</v>
      </c>
      <c r="BW10" s="3288">
        <f t="shared" si="14"/>
        <v>157.88473781070013</v>
      </c>
      <c r="BX10" s="3288">
        <f t="shared" si="14"/>
        <v>152.65481362026816</v>
      </c>
      <c r="BY10" s="3221">
        <f>SUM(BU10:BX10)</f>
        <v>639.52339104315411</v>
      </c>
      <c r="BZ10" s="1597">
        <f t="shared" si="14"/>
        <v>638.02886102347338</v>
      </c>
      <c r="CA10" s="1597">
        <f t="shared" si="14"/>
        <v>643.00712301372062</v>
      </c>
      <c r="CB10" s="1597">
        <f>+CB230+CB231+CB232+CB233</f>
        <v>367.6503649194554</v>
      </c>
      <c r="CC10" s="1597">
        <f>+CC230+CC231+CC232+CC233</f>
        <v>352.04500004426825</v>
      </c>
      <c r="CD10" s="1597">
        <f>+CD230+CD231+CD232+CD233</f>
        <v>357.73898066032257</v>
      </c>
      <c r="CE10" s="1597">
        <f>+CE230+CE231+CE232+CE233</f>
        <v>363.53337169484968</v>
      </c>
      <c r="CF10" s="1597">
        <f>+CF230+CF231+CF232+CF233</f>
        <v>369.43004666428055</v>
      </c>
      <c r="CG10" s="331"/>
      <c r="CH10" s="331"/>
      <c r="CI10" s="331"/>
      <c r="CJ10" s="331"/>
      <c r="CK10" s="331"/>
      <c r="CL10" s="1118" t="str">
        <f t="shared" si="2"/>
        <v>South/West (NM, NV, MS, Jamul)</v>
      </c>
      <c r="CM10" s="476"/>
      <c r="CN10" s="476"/>
      <c r="CO10" s="476"/>
      <c r="CP10" s="476"/>
      <c r="CQ10" s="476"/>
      <c r="CR10" s="476">
        <f t="shared" si="4"/>
        <v>81.742999999999995</v>
      </c>
      <c r="CS10" s="476">
        <f t="shared" si="5"/>
        <v>84.97999999999999</v>
      </c>
      <c r="CT10" s="476">
        <f t="shared" si="6"/>
        <v>183.79470000000001</v>
      </c>
      <c r="CU10" s="476">
        <f t="shared" si="7"/>
        <v>246.96055669999998</v>
      </c>
      <c r="CV10" s="476">
        <f t="shared" si="8"/>
        <v>240.083</v>
      </c>
      <c r="CW10" s="476">
        <f t="shared" si="9"/>
        <v>441.71899999999999</v>
      </c>
      <c r="CX10" s="476">
        <f t="shared" si="10"/>
        <v>478.125</v>
      </c>
      <c r="CY10" s="476">
        <f t="shared" si="11"/>
        <v>546.60699999999997</v>
      </c>
      <c r="CZ10" s="476">
        <f t="shared" si="12"/>
        <v>604.66600000000005</v>
      </c>
      <c r="DA10" s="476">
        <f t="shared" si="13"/>
        <v>639.52339104315411</v>
      </c>
      <c r="DB10" s="476">
        <f t="shared" si="13"/>
        <v>638.02886102347338</v>
      </c>
      <c r="DC10" s="682">
        <f t="shared" si="13"/>
        <v>643.00712301372062</v>
      </c>
      <c r="DD10" s="331"/>
      <c r="DE10" s="331"/>
      <c r="DF10" s="502"/>
      <c r="DG10" s="503"/>
      <c r="DH10" s="3288"/>
      <c r="DI10" s="3213"/>
      <c r="DJ10" s="502"/>
      <c r="DK10" s="503"/>
      <c r="DL10" s="502"/>
      <c r="DM10" s="502"/>
      <c r="DN10" s="502"/>
      <c r="DO10" s="502"/>
      <c r="DP10" s="503"/>
      <c r="DQ10" s="503"/>
      <c r="DR10" s="296"/>
      <c r="DS10" s="296"/>
      <c r="DT10" s="296"/>
      <c r="DU10"/>
      <c r="DV10"/>
      <c r="DW10"/>
      <c r="DX10"/>
      <c r="DY10"/>
      <c r="DZ10"/>
    </row>
    <row r="11" spans="1:130" s="1049" customFormat="1" ht="12.6" customHeight="1" x14ac:dyDescent="0.25">
      <c r="A11" s="2669" t="s">
        <v>2505</v>
      </c>
      <c r="B11" s="428"/>
      <c r="C11" s="331"/>
      <c r="D11" s="331"/>
      <c r="E11" s="331"/>
      <c r="F11" s="331"/>
      <c r="G11" s="441"/>
      <c r="H11" s="331"/>
      <c r="I11" s="331"/>
      <c r="J11" s="331"/>
      <c r="K11" s="331"/>
      <c r="L11" s="441"/>
      <c r="M11" s="331"/>
      <c r="N11" s="331"/>
      <c r="O11" s="331"/>
      <c r="P11" s="331"/>
      <c r="Q11" s="441"/>
      <c r="R11" s="331"/>
      <c r="S11" s="331"/>
      <c r="T11" s="331"/>
      <c r="U11" s="331"/>
      <c r="V11" s="441"/>
      <c r="W11" s="331"/>
      <c r="X11" s="331"/>
      <c r="Y11" s="331"/>
      <c r="Z11" s="331"/>
      <c r="AA11" s="441"/>
      <c r="AB11" s="2673">
        <f>+AB240+AB241+AB242+AB244+AB245+AB234+AB236+AB237+AB246+AB247</f>
        <v>271.86500000000001</v>
      </c>
      <c r="AC11" s="2577">
        <f>+AC240+AC241+AC242+AC244+AC245+AC234+AC236+AC237+AC246+AC247</f>
        <v>237.67299999999997</v>
      </c>
      <c r="AD11" s="2577">
        <f>+AD240+AD241+AD242+AD244+AD245+AD234+AD236+AD237+AD246+AD247</f>
        <v>258.85300000000001</v>
      </c>
      <c r="AE11" s="2577">
        <f>+AE240+AE241+AE242+AE244+AE245+AE234+AE236+AE237+AE246+AE247</f>
        <v>234.21600000000001</v>
      </c>
      <c r="AF11" s="455">
        <f>SUM(AB11:AE11)</f>
        <v>1002.6070000000001</v>
      </c>
      <c r="AG11" s="2673">
        <f>+AG240+AG241+AG242+AG244+AG245+AG234+AG236+AG237+AG246+AG247</f>
        <v>254.49199999999999</v>
      </c>
      <c r="AH11" s="2577">
        <f>+AH240+AH241+AH242+AH244+AH245+AH234+AH236+AH237+AH246+AH247</f>
        <v>245.89800000000002</v>
      </c>
      <c r="AI11" s="2577">
        <f>+AI240+AI241+AI242+AI244+AI245+AI234+AI236+AI237+AI246+AI247</f>
        <v>242.11400000000003</v>
      </c>
      <c r="AJ11" s="2577">
        <f>+AJ240+AJ241+AJ242+AJ244+AJ245+AJ234+AJ236+AJ237+AJ246+AJ247</f>
        <v>234.11</v>
      </c>
      <c r="AK11" s="455">
        <f>SUM(AG11:AJ11)</f>
        <v>976.61400000000003</v>
      </c>
      <c r="AL11" s="2673">
        <f>+AL240+AL241+AL242+AL244+AL245+AL234+AL236+AL237+AL246+AL247</f>
        <v>254.60900000000001</v>
      </c>
      <c r="AM11" s="2577">
        <f>+AM240+AM241+AM242+AM244+AM245+AM234+AM236+AM237+AM246+AM247</f>
        <v>246.89999999999998</v>
      </c>
      <c r="AN11" s="2577">
        <f>+AN240+AN241+AN242+AN244+AN245+AN234+AN236+AN237+AN246+AN247</f>
        <v>242.14041452999999</v>
      </c>
      <c r="AO11" s="2577">
        <f>+AO240+AO241+AO242+AO244+AO245+AO234+AO236+AO237+AO246+AO247</f>
        <v>224.57427918999997</v>
      </c>
      <c r="AP11" s="455">
        <f>SUM(AL11:AO11)</f>
        <v>968.22369372000003</v>
      </c>
      <c r="AQ11" s="2673">
        <f>+AQ240+AQ241+AQ242+AQ244+AQ245+AQ234+AQ236+AQ237+AQ246+AQ247</f>
        <v>239.18494987</v>
      </c>
      <c r="AR11" s="2577">
        <f>+AR240+AR241+AR242+AR244+AR245+AR234+AR236+AR237+AR246+AR247</f>
        <v>225.04827629000005</v>
      </c>
      <c r="AS11" s="2577">
        <f>+AS240+AS241+AS242+AS244+AS245+AS234+AS236+AS237+AS246+AS247</f>
        <v>220.52617669</v>
      </c>
      <c r="AT11" s="2577">
        <f>+AT240+AT241+AT242+AT244+AT245+AT234+AT236+AT237+AT246+AT247</f>
        <v>239.16138440020001</v>
      </c>
      <c r="AU11" s="455">
        <f>SUM(AQ11:AT11)</f>
        <v>923.92078725019996</v>
      </c>
      <c r="AV11" s="572">
        <v>268.34399999999999</v>
      </c>
      <c r="AW11" s="572">
        <v>258.76</v>
      </c>
      <c r="AX11" s="563">
        <v>246.44399999999999</v>
      </c>
      <c r="AY11" s="563">
        <v>220.54900000000001</v>
      </c>
      <c r="AZ11" s="455">
        <f>SUM(AV11:AY11)</f>
        <v>994.09699999999998</v>
      </c>
      <c r="BA11" s="572">
        <v>223.571</v>
      </c>
      <c r="BB11" s="2852">
        <v>221.43</v>
      </c>
      <c r="BC11" s="2928">
        <v>206.345</v>
      </c>
      <c r="BD11" s="2964">
        <v>197.52199999999999</v>
      </c>
      <c r="BE11" s="455">
        <f>SUM(BA11:BD11)</f>
        <v>848.86799999999994</v>
      </c>
      <c r="BF11" s="572">
        <v>204.69800000000001</v>
      </c>
      <c r="BG11" s="2970">
        <v>208.839</v>
      </c>
      <c r="BH11" s="2970">
        <v>209.11500000000001</v>
      </c>
      <c r="BI11" s="2970">
        <v>210.80500000000001</v>
      </c>
      <c r="BJ11" s="455">
        <f>SUM(BF11:BI11)</f>
        <v>833.45700000000011</v>
      </c>
      <c r="BK11" s="572">
        <v>221.078</v>
      </c>
      <c r="BL11" s="2970">
        <v>220.256</v>
      </c>
      <c r="BM11" s="2970">
        <v>221.172</v>
      </c>
      <c r="BN11" s="2970">
        <v>215.06</v>
      </c>
      <c r="BO11" s="455">
        <f>SUM(BK11:BN11)</f>
        <v>877.56600000000003</v>
      </c>
      <c r="BP11" s="572">
        <v>228.33799999999999</v>
      </c>
      <c r="BQ11" s="572">
        <v>224.84700000000001</v>
      </c>
      <c r="BR11" s="572">
        <v>232.05099999999999</v>
      </c>
      <c r="BS11" s="572">
        <v>222.256</v>
      </c>
      <c r="BT11" s="3066">
        <f>SUM(BP11:BS11)</f>
        <v>907.49199999999996</v>
      </c>
      <c r="BU11" s="2915">
        <f t="shared" ref="BU11:CA11" si="15">SUM(BU240:BU248)</f>
        <v>224.89223524325001</v>
      </c>
      <c r="BV11" s="2915">
        <f t="shared" si="15"/>
        <v>229.866223470725</v>
      </c>
      <c r="BW11" s="2915">
        <f t="shared" si="15"/>
        <v>238.352683591225</v>
      </c>
      <c r="BX11" s="2915">
        <f t="shared" si="15"/>
        <v>224.54290743007499</v>
      </c>
      <c r="BY11" s="3066">
        <f>SUM(BU11:BX11)</f>
        <v>917.65404973527507</v>
      </c>
      <c r="BZ11" s="455">
        <f t="shared" si="15"/>
        <v>928.78057460372656</v>
      </c>
      <c r="CA11" s="455">
        <f t="shared" si="15"/>
        <v>929.25995534240394</v>
      </c>
      <c r="CB11" s="455">
        <f>+CB240+CB241+CB242+CB244+CB245+CB234+CB236+CB237+CB246+CB247+CB248</f>
        <v>874.9362960411321</v>
      </c>
      <c r="CC11" s="455">
        <f>+CC240+CC241+CC242+CC244+CC245+CC234+CC236+CC237+CC246+CC247+CC248</f>
        <v>834.22612136284408</v>
      </c>
      <c r="CD11" s="455">
        <f>+CD240+CD241+CD242+CD244+CD245+CD234+CD236+CD237+CD246+CD247+CD248</f>
        <v>851.30502440343344</v>
      </c>
      <c r="CE11" s="455">
        <f>+CE240+CE241+CE242+CE244+CE245+CE234+CE236+CE237+CE246+CE247+CE248</f>
        <v>868.72750550483465</v>
      </c>
      <c r="CF11" s="455">
        <f>+CF240+CF241+CF242+CF244+CF245+CF234+CF236+CF237+CF246+CF247+CF248</f>
        <v>886.50043622826388</v>
      </c>
      <c r="CG11" s="331"/>
      <c r="CH11" s="331"/>
      <c r="CI11" s="331"/>
      <c r="CJ11" s="331"/>
      <c r="CK11" s="331"/>
      <c r="CL11" s="1118" t="str">
        <f t="shared" si="2"/>
        <v>Midwest (IL, MS, MO, IN, PSG, KS)</v>
      </c>
      <c r="CM11" s="476"/>
      <c r="CN11" s="476"/>
      <c r="CO11" s="476"/>
      <c r="CP11" s="476"/>
      <c r="CQ11" s="476"/>
      <c r="CR11" s="476">
        <f t="shared" si="4"/>
        <v>1002.6070000000001</v>
      </c>
      <c r="CS11" s="476">
        <f t="shared" si="5"/>
        <v>976.61400000000003</v>
      </c>
      <c r="CT11" s="476">
        <f t="shared" si="6"/>
        <v>968.22369372000003</v>
      </c>
      <c r="CU11" s="476">
        <f t="shared" si="7"/>
        <v>923.92078725019996</v>
      </c>
      <c r="CV11" s="476">
        <f t="shared" si="8"/>
        <v>994.09699999999998</v>
      </c>
      <c r="CW11" s="476">
        <f t="shared" si="9"/>
        <v>848.86799999999994</v>
      </c>
      <c r="CX11" s="476">
        <f t="shared" si="10"/>
        <v>833.45700000000011</v>
      </c>
      <c r="CY11" s="476">
        <f t="shared" si="11"/>
        <v>877.56600000000003</v>
      </c>
      <c r="CZ11" s="476">
        <f t="shared" si="12"/>
        <v>907.49199999999996</v>
      </c>
      <c r="DA11" s="476">
        <f t="shared" si="13"/>
        <v>917.65404973527507</v>
      </c>
      <c r="DB11" s="476">
        <f t="shared" si="13"/>
        <v>928.78057460372656</v>
      </c>
      <c r="DC11" s="682">
        <f t="shared" si="13"/>
        <v>929.25995534240394</v>
      </c>
      <c r="DD11" s="331"/>
      <c r="DE11" s="331"/>
      <c r="DF11" s="502"/>
      <c r="DG11" s="503"/>
      <c r="DH11" s="2915"/>
      <c r="DI11" s="3213"/>
      <c r="DJ11" s="502"/>
      <c r="DK11" s="503"/>
      <c r="DL11" s="502"/>
      <c r="DM11" s="502"/>
      <c r="DN11" s="502"/>
      <c r="DO11" s="502"/>
      <c r="DP11" s="503"/>
      <c r="DQ11" s="503"/>
      <c r="DR11" s="296"/>
      <c r="DS11" s="296"/>
      <c r="DT11" s="296"/>
      <c r="DU11"/>
      <c r="DV11"/>
      <c r="DW11"/>
      <c r="DX11"/>
      <c r="DY11"/>
      <c r="DZ11"/>
    </row>
    <row r="12" spans="1:130" s="1049" customFormat="1" ht="12.6" customHeight="1" x14ac:dyDescent="0.25">
      <c r="A12" s="2669" t="s">
        <v>2587</v>
      </c>
      <c r="B12" s="428"/>
      <c r="C12" s="331"/>
      <c r="D12" s="331"/>
      <c r="E12" s="331"/>
      <c r="F12" s="331"/>
      <c r="G12" s="441"/>
      <c r="H12" s="331"/>
      <c r="I12" s="331"/>
      <c r="J12" s="331"/>
      <c r="K12" s="331"/>
      <c r="L12" s="441"/>
      <c r="M12" s="331"/>
      <c r="N12" s="331"/>
      <c r="O12" s="331"/>
      <c r="P12" s="331"/>
      <c r="Q12" s="441"/>
      <c r="R12" s="331"/>
      <c r="S12" s="331"/>
      <c r="T12" s="331"/>
      <c r="U12" s="331"/>
      <c r="V12" s="441"/>
      <c r="W12" s="331"/>
      <c r="X12" s="331"/>
      <c r="Y12" s="331"/>
      <c r="Z12" s="331"/>
      <c r="AA12" s="441"/>
      <c r="AB12" s="2577"/>
      <c r="AC12" s="2577"/>
      <c r="AD12" s="2577"/>
      <c r="AE12" s="2577"/>
      <c r="AF12" s="455"/>
      <c r="AG12" s="2577"/>
      <c r="AH12" s="2577"/>
      <c r="AI12" s="2577"/>
      <c r="AJ12" s="2577"/>
      <c r="AK12" s="455"/>
      <c r="AL12" s="2577"/>
      <c r="AM12" s="2577"/>
      <c r="AN12" s="2577"/>
      <c r="AO12" s="2577"/>
      <c r="AP12" s="456"/>
      <c r="AQ12" s="2673"/>
      <c r="AR12" s="2577"/>
      <c r="AS12" s="2577"/>
      <c r="AT12" s="2577"/>
      <c r="AU12" s="455"/>
      <c r="AV12" s="572"/>
      <c r="AW12" s="572"/>
      <c r="AX12" s="563"/>
      <c r="AY12" s="563"/>
      <c r="AZ12" s="455"/>
      <c r="BA12" s="572"/>
      <c r="BB12" s="2852"/>
      <c r="BC12" s="2928"/>
      <c r="BD12" s="2964"/>
      <c r="BE12" s="455"/>
      <c r="BF12" s="572"/>
      <c r="BG12" s="2970"/>
      <c r="BH12" s="2970"/>
      <c r="BI12" s="2970"/>
      <c r="BJ12" s="455"/>
      <c r="BK12" s="572"/>
      <c r="BL12" s="2970"/>
      <c r="BM12" s="2970"/>
      <c r="BN12" s="2970"/>
      <c r="BO12" s="455"/>
      <c r="BP12" s="572"/>
      <c r="BQ12" s="572"/>
      <c r="BR12" s="572"/>
      <c r="BS12" s="454"/>
      <c r="BT12" s="3066"/>
      <c r="BU12" s="2915"/>
      <c r="BV12" s="2915"/>
      <c r="BW12" s="2915">
        <f>+BW251</f>
        <v>492.37527513410004</v>
      </c>
      <c r="BX12" s="2915">
        <f>+BX251</f>
        <v>477.75253751954011</v>
      </c>
      <c r="BY12" s="3066">
        <f>SUM(BU12:BX12)</f>
        <v>970.12781265364015</v>
      </c>
      <c r="BZ12" s="455">
        <f>+BZ251</f>
        <v>1964.0483217812737</v>
      </c>
      <c r="CA12" s="455">
        <f>+CA251</f>
        <v>1968.0155446456483</v>
      </c>
      <c r="CB12" s="455"/>
      <c r="CC12" s="455"/>
      <c r="CD12" s="455"/>
      <c r="CE12" s="455"/>
      <c r="CF12" s="455"/>
      <c r="CG12" s="331"/>
      <c r="CH12" s="331"/>
      <c r="CI12" s="331"/>
      <c r="CJ12" s="331"/>
      <c r="CK12" s="331"/>
      <c r="CL12" s="1118" t="str">
        <f t="shared" si="2"/>
        <v>PNK OpCo</v>
      </c>
      <c r="CM12" s="476"/>
      <c r="CN12" s="476"/>
      <c r="CO12" s="476"/>
      <c r="CP12" s="476"/>
      <c r="CQ12" s="476"/>
      <c r="CR12" s="476"/>
      <c r="CS12" s="476"/>
      <c r="CT12" s="476"/>
      <c r="CU12" s="476"/>
      <c r="CV12" s="476"/>
      <c r="CW12" s="476"/>
      <c r="CX12" s="476"/>
      <c r="CY12" s="476"/>
      <c r="CZ12" s="476"/>
      <c r="DA12" s="476"/>
      <c r="DB12" s="476"/>
      <c r="DC12" s="682"/>
      <c r="DD12" s="331"/>
      <c r="DE12" s="331"/>
      <c r="DF12" s="502"/>
      <c r="DG12" s="503"/>
      <c r="DH12" s="2915"/>
      <c r="DI12" s="3213"/>
      <c r="DJ12" s="502"/>
      <c r="DK12" s="503"/>
      <c r="DL12" s="502"/>
      <c r="DM12" s="502"/>
      <c r="DN12" s="502"/>
      <c r="DO12" s="502"/>
      <c r="DP12" s="503"/>
      <c r="DQ12" s="503"/>
      <c r="DR12" s="296"/>
      <c r="DS12" s="296"/>
      <c r="DT12" s="296"/>
      <c r="DU12"/>
      <c r="DV12"/>
      <c r="DW12"/>
      <c r="DX12"/>
      <c r="DY12"/>
      <c r="DZ12"/>
    </row>
    <row r="13" spans="1:130" s="2572" customFormat="1" ht="12.6" customHeight="1" x14ac:dyDescent="0.25">
      <c r="A13" s="1118" t="s">
        <v>1623</v>
      </c>
      <c r="B13" s="428"/>
      <c r="C13" s="331"/>
      <c r="D13" s="331"/>
      <c r="E13" s="331"/>
      <c r="F13" s="331"/>
      <c r="G13" s="441"/>
      <c r="H13" s="331"/>
      <c r="I13" s="331"/>
      <c r="J13" s="331"/>
      <c r="K13" s="331"/>
      <c r="L13" s="441"/>
      <c r="M13" s="331"/>
      <c r="N13" s="331"/>
      <c r="O13" s="331"/>
      <c r="P13" s="331"/>
      <c r="Q13" s="441"/>
      <c r="R13" s="331"/>
      <c r="S13" s="331"/>
      <c r="T13" s="331"/>
      <c r="U13" s="331"/>
      <c r="V13" s="441"/>
      <c r="W13" s="331"/>
      <c r="X13" s="331"/>
      <c r="Y13" s="331"/>
      <c r="Z13" s="331"/>
      <c r="AA13" s="441"/>
      <c r="AB13" s="454">
        <f>AB254+AB256</f>
        <v>8.2570000000000014</v>
      </c>
      <c r="AC13" s="454">
        <f>AC254+AC256</f>
        <v>8.5109999999999992</v>
      </c>
      <c r="AD13" s="454">
        <f>AD254+AD256</f>
        <v>8.8000000000000007</v>
      </c>
      <c r="AE13" s="454">
        <f>AE254+AE256</f>
        <v>7.359</v>
      </c>
      <c r="AF13" s="1597">
        <f>SUM(AB13:AE13)</f>
        <v>32.927</v>
      </c>
      <c r="AG13" s="454">
        <f>AG254+AG256</f>
        <v>7.915</v>
      </c>
      <c r="AH13" s="454">
        <f>AH254+AH256</f>
        <v>8.2919999999999998</v>
      </c>
      <c r="AI13" s="454">
        <f>AI254+AI256</f>
        <v>7.6820000000000004</v>
      </c>
      <c r="AJ13" s="454">
        <f>AJ254+AJ256</f>
        <v>9.8559999999999999</v>
      </c>
      <c r="AK13" s="1597">
        <f>SUM(AG13:AJ13)</f>
        <v>33.745000000000005</v>
      </c>
      <c r="AL13" s="454">
        <f>AL254+AL256</f>
        <v>9.7390000000000008</v>
      </c>
      <c r="AM13" s="454">
        <f>AM254+AM256</f>
        <v>8.3520000000000003</v>
      </c>
      <c r="AN13" s="2677">
        <f>+AN14-SUM(AN9:AN11)</f>
        <v>2.2303062599999066</v>
      </c>
      <c r="AO13" s="2677">
        <f>+AO14-SUM(AO9:AO11)</f>
        <v>5.7751828399999567</v>
      </c>
      <c r="AP13" s="478">
        <f>SUM(AL13:AO13)</f>
        <v>26.096489099999864</v>
      </c>
      <c r="AQ13" s="2679">
        <f>+AQ14-SUM(AQ9:AQ11)</f>
        <v>15.710741967145054</v>
      </c>
      <c r="AR13" s="2680">
        <f>+AR14-SUM(AR9:AR11)</f>
        <v>7.1302711195914981</v>
      </c>
      <c r="AS13" s="2680">
        <f>+AS14-SUM(AS9:AS11)</f>
        <v>5.2057918999838648</v>
      </c>
      <c r="AT13" s="2680">
        <f>+AT14-SUM(AT9:AT11)</f>
        <v>10.372638710837805</v>
      </c>
      <c r="AU13" s="455">
        <f>SUM(AQ13:AT13)</f>
        <v>38.419443697558222</v>
      </c>
      <c r="AV13" s="572">
        <v>9.202</v>
      </c>
      <c r="AW13" s="572">
        <v>10.225</v>
      </c>
      <c r="AX13" s="563">
        <v>6.6289999999999996</v>
      </c>
      <c r="AY13" s="563">
        <v>5.9329999999999998</v>
      </c>
      <c r="AZ13" s="455">
        <f>SUM(AV13:AY13)</f>
        <v>31.988999999999997</v>
      </c>
      <c r="BA13" s="572">
        <v>6.9539999999999997</v>
      </c>
      <c r="BB13" s="2852">
        <v>7.03</v>
      </c>
      <c r="BC13" s="2928">
        <v>5.5</v>
      </c>
      <c r="BD13" s="2964">
        <v>4.8040000000000003</v>
      </c>
      <c r="BE13" s="455">
        <f>SUM(BA13:BD13)</f>
        <v>24.288000000000004</v>
      </c>
      <c r="BF13" s="572">
        <v>4.74</v>
      </c>
      <c r="BG13" s="2970">
        <v>5.8470000000000004</v>
      </c>
      <c r="BH13" s="2970">
        <v>5.3639999999999999</v>
      </c>
      <c r="BI13" s="2970">
        <v>4.9859999999999998</v>
      </c>
      <c r="BJ13" s="455">
        <f>SUM(BF13:BI13)</f>
        <v>20.937000000000001</v>
      </c>
      <c r="BK13" s="572">
        <v>6.2</v>
      </c>
      <c r="BL13" s="2970">
        <v>7.5419999999999998</v>
      </c>
      <c r="BM13" s="2970">
        <v>13.507999999999999</v>
      </c>
      <c r="BN13" s="2970">
        <v>14.442</v>
      </c>
      <c r="BO13" s="455">
        <f>SUM(BK13:BN13)</f>
        <v>41.692</v>
      </c>
      <c r="BP13" s="572">
        <v>14.601000000000001</v>
      </c>
      <c r="BQ13" s="572">
        <v>13.366</v>
      </c>
      <c r="BR13" s="572">
        <v>12.225</v>
      </c>
      <c r="BS13" s="572">
        <v>11.500999999999999</v>
      </c>
      <c r="BT13" s="3066">
        <f>SUM(BP13:BS13)</f>
        <v>51.692999999999998</v>
      </c>
      <c r="BU13" s="2915">
        <f t="shared" ref="BU13:CA13" si="16">SUM(BU254:BU257)</f>
        <v>14.004870967741937</v>
      </c>
      <c r="BV13" s="2915">
        <f t="shared" si="16"/>
        <v>13.293346774193552</v>
      </c>
      <c r="BW13" s="2915">
        <f t="shared" si="16"/>
        <v>12.556449026696326</v>
      </c>
      <c r="BX13" s="2915">
        <f t="shared" si="16"/>
        <v>11.832449026696327</v>
      </c>
      <c r="BY13" s="3066">
        <f>SUM(BU13:BX13)</f>
        <v>51.68711579532814</v>
      </c>
      <c r="BZ13" s="455">
        <f t="shared" si="16"/>
        <v>53.969041843715246</v>
      </c>
      <c r="CA13" s="455">
        <f t="shared" si="16"/>
        <v>54.792674526804959</v>
      </c>
      <c r="CB13" s="455">
        <f>CB254+CB256+CB257</f>
        <v>6.0485948275861929</v>
      </c>
      <c r="CC13" s="455">
        <f>CC254+CC256+CC257</f>
        <v>6.0485948275861929</v>
      </c>
      <c r="CD13" s="455">
        <f>CD254+CD256+CD257</f>
        <v>6.0485948275861929</v>
      </c>
      <c r="CE13" s="455">
        <f>CE254+CE256+CE257</f>
        <v>6.0485948275861929</v>
      </c>
      <c r="CF13" s="455">
        <f>CF254+CF256+CF257</f>
        <v>6.0485948275861929</v>
      </c>
      <c r="CG13" s="331"/>
      <c r="CH13" s="331"/>
      <c r="CI13" s="331"/>
      <c r="CJ13" s="331"/>
      <c r="CK13" s="331"/>
      <c r="CL13" s="1118" t="str">
        <f t="shared" si="2"/>
        <v>Other</v>
      </c>
      <c r="CM13" s="476"/>
      <c r="CN13" s="476"/>
      <c r="CO13" s="476"/>
      <c r="CP13" s="476"/>
      <c r="CQ13" s="476"/>
      <c r="CR13" s="476">
        <f t="shared" si="4"/>
        <v>32.927</v>
      </c>
      <c r="CS13" s="476">
        <f t="shared" si="5"/>
        <v>33.745000000000005</v>
      </c>
      <c r="CT13" s="476">
        <f t="shared" si="6"/>
        <v>26.096489099999864</v>
      </c>
      <c r="CU13" s="476">
        <f t="shared" si="7"/>
        <v>38.419443697558222</v>
      </c>
      <c r="CV13" s="476">
        <f t="shared" si="8"/>
        <v>31.988999999999997</v>
      </c>
      <c r="CW13" s="476">
        <f t="shared" si="9"/>
        <v>24.288000000000004</v>
      </c>
      <c r="CX13" s="476">
        <f t="shared" si="10"/>
        <v>20.937000000000001</v>
      </c>
      <c r="CY13" s="476">
        <f t="shared" si="11"/>
        <v>41.692</v>
      </c>
      <c r="CZ13" s="476">
        <f t="shared" si="12"/>
        <v>51.692999999999998</v>
      </c>
      <c r="DA13" s="476">
        <f t="shared" si="13"/>
        <v>51.68711579532814</v>
      </c>
      <c r="DB13" s="476">
        <f t="shared" si="13"/>
        <v>53.969041843715246</v>
      </c>
      <c r="DC13" s="682">
        <f t="shared" si="13"/>
        <v>54.792674526804959</v>
      </c>
      <c r="DD13" s="331"/>
      <c r="DE13" s="331"/>
      <c r="DF13" s="502"/>
      <c r="DG13" s="503"/>
      <c r="DH13" s="2915"/>
      <c r="DI13" s="3213"/>
      <c r="DJ13" s="502"/>
      <c r="DK13" s="503"/>
      <c r="DL13" s="502"/>
      <c r="DM13" s="502"/>
      <c r="DN13" s="502"/>
      <c r="DO13" s="502"/>
      <c r="DP13" s="503"/>
      <c r="DQ13" s="503"/>
      <c r="DR13" s="428"/>
      <c r="DS13" s="428"/>
      <c r="DT13" s="428"/>
      <c r="DU13"/>
      <c r="DV13"/>
      <c r="DW13"/>
      <c r="DX13"/>
      <c r="DY13"/>
      <c r="DZ13"/>
    </row>
    <row r="14" spans="1:130" ht="12.6" customHeight="1" x14ac:dyDescent="0.25">
      <c r="A14" s="1813" t="s">
        <v>898</v>
      </c>
      <c r="B14" s="2056"/>
      <c r="C14" s="2146"/>
      <c r="D14" s="2146"/>
      <c r="E14" s="2146"/>
      <c r="F14" s="2146"/>
      <c r="G14" s="2147"/>
      <c r="H14" s="2146"/>
      <c r="I14" s="2146"/>
      <c r="J14" s="2146"/>
      <c r="K14" s="2146"/>
      <c r="L14" s="2147"/>
      <c r="M14" s="2146"/>
      <c r="N14" s="2146"/>
      <c r="O14" s="2146"/>
      <c r="P14" s="2146"/>
      <c r="Q14" s="2147"/>
      <c r="R14" s="2146"/>
      <c r="S14" s="2146"/>
      <c r="T14" s="2146"/>
      <c r="U14" s="2146"/>
      <c r="V14" s="2147"/>
      <c r="W14" s="2146"/>
      <c r="X14" s="2146"/>
      <c r="Y14" s="2146"/>
      <c r="Z14" s="2146"/>
      <c r="AA14" s="2147"/>
      <c r="AB14" s="2148">
        <f>SUM(AB9:AB13)</f>
        <v>612.226</v>
      </c>
      <c r="AC14" s="2148">
        <f>SUM(AC9:AC13)</f>
        <v>580.81699999999989</v>
      </c>
      <c r="AD14" s="2148">
        <f>SUM(AD9:AD13)</f>
        <v>620.42599999999993</v>
      </c>
      <c r="AE14" s="2148">
        <f>SUM(AE9:AE13)</f>
        <v>555.80600000000004</v>
      </c>
      <c r="AF14" s="2149">
        <f>SUM(AB14:AE14)</f>
        <v>2369.2749999999996</v>
      </c>
      <c r="AG14" s="2148">
        <f>SUM(AG9:AG13)</f>
        <v>592.32299999999998</v>
      </c>
      <c r="AH14" s="2148">
        <f>SUM(AH9:AH13)</f>
        <v>598.31100000000004</v>
      </c>
      <c r="AI14" s="2148">
        <f>SUM(AI9:AI13)</f>
        <v>638.25600000000009</v>
      </c>
      <c r="AJ14" s="2148">
        <f>SUM(AJ9:AJ13)</f>
        <v>630.221</v>
      </c>
      <c r="AK14" s="2149">
        <f>SUM(AG14:AJ14)</f>
        <v>2459.1109999999999</v>
      </c>
      <c r="AL14" s="2148">
        <f>SUM(AL9:AL13)</f>
        <v>667.02300000000002</v>
      </c>
      <c r="AM14" s="2148">
        <f>SUM(AM9:AM13)</f>
        <v>687.87899999999991</v>
      </c>
      <c r="AN14" s="2676">
        <v>710.90499999999997</v>
      </c>
      <c r="AO14" s="2676">
        <v>676.44999999999993</v>
      </c>
      <c r="AP14" s="2149">
        <f>SUM(AP9:AP13)</f>
        <v>2742.2570000000001</v>
      </c>
      <c r="AQ14" s="2678">
        <v>736.05900000000008</v>
      </c>
      <c r="AR14" s="2678">
        <v>712.55099999999993</v>
      </c>
      <c r="AS14" s="2678">
        <v>707.04399999999998</v>
      </c>
      <c r="AT14" s="2678">
        <v>743.81100000000004</v>
      </c>
      <c r="AU14" s="2151">
        <f t="shared" ref="AU14:BJ14" si="17">SUM(AU9:AU13)</f>
        <v>2899.4649999999997</v>
      </c>
      <c r="AV14" s="2151">
        <f t="shared" si="17"/>
        <v>798.24600000000009</v>
      </c>
      <c r="AW14" s="2148">
        <f t="shared" si="17"/>
        <v>761.37099999999998</v>
      </c>
      <c r="AX14" s="2148">
        <f t="shared" si="17"/>
        <v>714.43500000000006</v>
      </c>
      <c r="AY14" s="2148">
        <f t="shared" si="17"/>
        <v>644.702</v>
      </c>
      <c r="AZ14" s="2149">
        <f t="shared" si="17"/>
        <v>2918.7540000000004</v>
      </c>
      <c r="BA14" s="2151">
        <f t="shared" si="17"/>
        <v>641.07999999999993</v>
      </c>
      <c r="BB14" s="2148">
        <f t="shared" si="17"/>
        <v>652.14599999999996</v>
      </c>
      <c r="BC14" s="2148">
        <f t="shared" si="17"/>
        <v>645.93999999999994</v>
      </c>
      <c r="BD14" s="2148">
        <f t="shared" si="17"/>
        <v>651.36199999999997</v>
      </c>
      <c r="BE14" s="2149">
        <f t="shared" si="17"/>
        <v>2590.5279999999998</v>
      </c>
      <c r="BF14" s="2148">
        <f t="shared" si="17"/>
        <v>664.13800000000003</v>
      </c>
      <c r="BG14" s="2148">
        <f t="shared" si="17"/>
        <v>700.9559999999999</v>
      </c>
      <c r="BH14" s="2148">
        <f t="shared" si="17"/>
        <v>739.29700000000003</v>
      </c>
      <c r="BI14" s="2152">
        <f t="shared" si="17"/>
        <v>733.96699999999998</v>
      </c>
      <c r="BJ14" s="2149">
        <f t="shared" si="17"/>
        <v>2838.3580000000002</v>
      </c>
      <c r="BK14" s="2148">
        <f t="shared" ref="BK14:BU14" si="18">SUM(BK9:BK13)</f>
        <v>756.45100000000002</v>
      </c>
      <c r="BL14" s="2148">
        <f t="shared" si="18"/>
        <v>769.42200000000003</v>
      </c>
      <c r="BM14" s="2148">
        <f t="shared" si="18"/>
        <v>765.59700000000009</v>
      </c>
      <c r="BN14" s="2152">
        <f t="shared" si="18"/>
        <v>742.91000000000008</v>
      </c>
      <c r="BO14" s="2149">
        <f t="shared" si="18"/>
        <v>3034.38</v>
      </c>
      <c r="BP14" s="2148">
        <f t="shared" si="18"/>
        <v>776.22399999999993</v>
      </c>
      <c r="BQ14" s="2148">
        <f t="shared" si="18"/>
        <v>796.46299999999997</v>
      </c>
      <c r="BR14" s="2148">
        <f t="shared" si="18"/>
        <v>806.24699999999996</v>
      </c>
      <c r="BS14" s="2148">
        <f t="shared" si="18"/>
        <v>769.03599999999994</v>
      </c>
      <c r="BT14" s="2149">
        <f t="shared" si="18"/>
        <v>3147.9700000000003</v>
      </c>
      <c r="BU14" s="2148">
        <f t="shared" si="18"/>
        <v>803.54090794012654</v>
      </c>
      <c r="BV14" s="2148">
        <f t="shared" ref="BV14:CF14" si="19">SUM(BV9:BV13)</f>
        <v>814.45111017387387</v>
      </c>
      <c r="BW14" s="2148">
        <f t="shared" si="19"/>
        <v>1300.6085851982225</v>
      </c>
      <c r="BX14" s="2148">
        <f t="shared" si="19"/>
        <v>1249.1798506349542</v>
      </c>
      <c r="BY14" s="2149">
        <f t="shared" si="19"/>
        <v>4167.7804539471772</v>
      </c>
      <c r="BZ14" s="2149">
        <f t="shared" si="19"/>
        <v>5155.140410235319</v>
      </c>
      <c r="CA14" s="2149">
        <f t="shared" si="19"/>
        <v>5133.5775532800371</v>
      </c>
      <c r="CB14" s="2149">
        <f t="shared" si="19"/>
        <v>2891.4850861790701</v>
      </c>
      <c r="CC14" s="2149">
        <f t="shared" si="19"/>
        <v>2758.1919754892206</v>
      </c>
      <c r="CD14" s="2149">
        <f t="shared" si="19"/>
        <v>2811.1486872338323</v>
      </c>
      <c r="CE14" s="2149">
        <f t="shared" si="19"/>
        <v>2866.5880158334612</v>
      </c>
      <c r="CF14" s="2149">
        <f t="shared" si="19"/>
        <v>2920.2713526884063</v>
      </c>
      <c r="CG14" s="450"/>
      <c r="CH14" s="450"/>
      <c r="CI14" s="450"/>
      <c r="CJ14" s="450"/>
      <c r="CK14" s="450"/>
      <c r="CL14" s="2162" t="str">
        <f t="shared" si="2"/>
        <v>Net Revenue</v>
      </c>
      <c r="CM14" s="2201"/>
      <c r="CN14" s="2201"/>
      <c r="CO14" s="2201"/>
      <c r="CP14" s="2201"/>
      <c r="CQ14" s="2201"/>
      <c r="CR14" s="2201">
        <f t="shared" si="4"/>
        <v>2369.2749999999996</v>
      </c>
      <c r="CS14" s="2201">
        <f t="shared" si="5"/>
        <v>2459.1109999999999</v>
      </c>
      <c r="CT14" s="2201">
        <f t="shared" si="6"/>
        <v>2742.2570000000001</v>
      </c>
      <c r="CU14" s="2201">
        <f t="shared" si="7"/>
        <v>2899.4649999999997</v>
      </c>
      <c r="CV14" s="2201">
        <f t="shared" si="8"/>
        <v>2918.7540000000004</v>
      </c>
      <c r="CW14" s="2201">
        <f t="shared" si="9"/>
        <v>2590.5279999999998</v>
      </c>
      <c r="CX14" s="2201">
        <f t="shared" si="10"/>
        <v>2838.3580000000002</v>
      </c>
      <c r="CY14" s="2201">
        <f t="shared" si="11"/>
        <v>3034.38</v>
      </c>
      <c r="CZ14" s="2201">
        <f t="shared" si="12"/>
        <v>3147.9700000000003</v>
      </c>
      <c r="DA14" s="2201">
        <f t="shared" si="13"/>
        <v>4167.7804539471772</v>
      </c>
      <c r="DB14" s="2201">
        <f t="shared" si="13"/>
        <v>5155.140410235319</v>
      </c>
      <c r="DC14" s="2202">
        <f t="shared" si="13"/>
        <v>5133.5775532800371</v>
      </c>
      <c r="DD14" s="450"/>
      <c r="DE14" s="450"/>
      <c r="DF14" s="2144"/>
      <c r="DG14" s="2144"/>
      <c r="DH14" s="2144"/>
      <c r="DI14" s="3213"/>
      <c r="DJ14" s="2144"/>
      <c r="DK14" s="2144"/>
      <c r="DL14" s="2144"/>
      <c r="DM14" s="2144"/>
      <c r="DN14" s="2144"/>
      <c r="DO14" s="2144"/>
      <c r="DP14" s="2144"/>
      <c r="DQ14" s="2144"/>
      <c r="DR14" s="2145"/>
      <c r="DS14" s="2145"/>
      <c r="DT14" s="2145"/>
    </row>
    <row r="15" spans="1:130" ht="12.6" customHeight="1" x14ac:dyDescent="0.25">
      <c r="A15" s="1617" t="s">
        <v>843</v>
      </c>
      <c r="B15" s="428"/>
      <c r="C15" s="331"/>
      <c r="D15" s="331"/>
      <c r="E15" s="331"/>
      <c r="F15" s="331"/>
      <c r="G15" s="441"/>
      <c r="H15" s="331"/>
      <c r="I15" s="331"/>
      <c r="J15" s="331"/>
      <c r="K15" s="331"/>
      <c r="L15" s="441"/>
      <c r="M15" s="331"/>
      <c r="N15" s="331"/>
      <c r="O15" s="331"/>
      <c r="P15" s="331"/>
      <c r="Q15" s="441"/>
      <c r="R15" s="331"/>
      <c r="S15" s="331"/>
      <c r="T15" s="331"/>
      <c r="U15" s="331"/>
      <c r="V15" s="441"/>
      <c r="W15" s="331"/>
      <c r="X15" s="331"/>
      <c r="Y15" s="331"/>
      <c r="Z15" s="331"/>
      <c r="AA15" s="441"/>
      <c r="AB15" s="598"/>
      <c r="AC15" s="598"/>
      <c r="AD15" s="598"/>
      <c r="AE15" s="598"/>
      <c r="AF15" s="591">
        <f>AF14/AA258-1</f>
        <v>-2.2194314362913303E-2</v>
      </c>
      <c r="AG15" s="519">
        <f t="shared" ref="AG15:AU15" si="20">AG14/AB14-1</f>
        <v>-3.2509236785108753E-2</v>
      </c>
      <c r="AH15" s="519">
        <f t="shared" si="20"/>
        <v>3.0119641814892129E-2</v>
      </c>
      <c r="AI15" s="519">
        <f t="shared" si="20"/>
        <v>2.8738318510185268E-2</v>
      </c>
      <c r="AJ15" s="519">
        <f t="shared" si="20"/>
        <v>0.13388664390092941</v>
      </c>
      <c r="AK15" s="591">
        <f t="shared" si="20"/>
        <v>3.7917084340146401E-2</v>
      </c>
      <c r="AL15" s="519">
        <f t="shared" si="20"/>
        <v>0.1261136238167353</v>
      </c>
      <c r="AM15" s="519">
        <f t="shared" si="20"/>
        <v>0.1497014094676512</v>
      </c>
      <c r="AN15" s="519">
        <f t="shared" si="20"/>
        <v>0.11382423353638638</v>
      </c>
      <c r="AO15" s="519">
        <f t="shared" si="20"/>
        <v>7.3353633090614156E-2</v>
      </c>
      <c r="AP15" s="591">
        <f t="shared" si="20"/>
        <v>0.11514161011845347</v>
      </c>
      <c r="AQ15" s="519">
        <f t="shared" si="20"/>
        <v>0.10349867995556394</v>
      </c>
      <c r="AR15" s="519">
        <f t="shared" si="20"/>
        <v>3.5866773080730718E-2</v>
      </c>
      <c r="AS15" s="519">
        <f t="shared" si="20"/>
        <v>-5.4311054219621235E-3</v>
      </c>
      <c r="AT15" s="519">
        <f t="shared" si="20"/>
        <v>9.9580161135339074E-2</v>
      </c>
      <c r="AU15" s="1618">
        <f t="shared" si="20"/>
        <v>5.7327960143779277E-2</v>
      </c>
      <c r="AV15" s="1618">
        <f t="shared" ref="AV15:BA15" si="21">AV14/AQ14-1</f>
        <v>8.4486433832070551E-2</v>
      </c>
      <c r="AW15" s="519">
        <f t="shared" si="21"/>
        <v>6.8514394057408001E-2</v>
      </c>
      <c r="AX15" s="519">
        <f t="shared" si="21"/>
        <v>1.0453380553402836E-2</v>
      </c>
      <c r="AY15" s="519">
        <f t="shared" si="21"/>
        <v>-0.13324487000057816</v>
      </c>
      <c r="AZ15" s="591">
        <f t="shared" si="21"/>
        <v>6.6526066015628604E-3</v>
      </c>
      <c r="BA15" s="1618">
        <f t="shared" si="21"/>
        <v>-0.19688917952611118</v>
      </c>
      <c r="BB15" s="519">
        <f t="shared" ref="BB15:BJ15" si="22">BB14/AW14-1</f>
        <v>-0.14345831401511222</v>
      </c>
      <c r="BC15" s="519">
        <f t="shared" si="22"/>
        <v>-9.5872962550827001E-2</v>
      </c>
      <c r="BD15" s="519">
        <f t="shared" si="22"/>
        <v>1.0330354179140189E-2</v>
      </c>
      <c r="BE15" s="591">
        <f t="shared" si="22"/>
        <v>-0.11245414995576897</v>
      </c>
      <c r="BF15" s="519">
        <f t="shared" si="22"/>
        <v>3.5967429961939468E-2</v>
      </c>
      <c r="BG15" s="519">
        <f t="shared" si="22"/>
        <v>7.4845203374704461E-2</v>
      </c>
      <c r="BH15" s="519">
        <f t="shared" si="22"/>
        <v>0.14452890361333881</v>
      </c>
      <c r="BI15" s="1462">
        <f t="shared" si="22"/>
        <v>0.12681888105231809</v>
      </c>
      <c r="BJ15" s="591">
        <f t="shared" si="22"/>
        <v>9.5667755762532058E-2</v>
      </c>
      <c r="BK15" s="519">
        <f t="shared" ref="BK15:BS15" si="23">BK14/BF14-1</f>
        <v>0.13899671453824358</v>
      </c>
      <c r="BL15" s="519">
        <f t="shared" si="23"/>
        <v>9.7675175046650686E-2</v>
      </c>
      <c r="BM15" s="519">
        <f t="shared" si="23"/>
        <v>3.5574336159892583E-2</v>
      </c>
      <c r="BN15" s="1462">
        <f t="shared" si="23"/>
        <v>1.21844715089372E-2</v>
      </c>
      <c r="BO15" s="591">
        <f t="shared" si="23"/>
        <v>6.9061760355811241E-2</v>
      </c>
      <c r="BP15" s="519">
        <f t="shared" si="23"/>
        <v>2.6139168300392202E-2</v>
      </c>
      <c r="BQ15" s="519">
        <f t="shared" si="23"/>
        <v>3.5144563061622724E-2</v>
      </c>
      <c r="BR15" s="519">
        <f t="shared" si="23"/>
        <v>5.3095819340984729E-2</v>
      </c>
      <c r="BS15" s="519">
        <f t="shared" si="23"/>
        <v>3.516711310925924E-2</v>
      </c>
      <c r="BT15" s="1619">
        <f t="shared" ref="BT15:BY15" si="24">BT14/BO14-1</f>
        <v>3.74343358445548E-2</v>
      </c>
      <c r="BU15" s="519">
        <f t="shared" si="24"/>
        <v>3.5192042426060777E-2</v>
      </c>
      <c r="BV15" s="519">
        <f t="shared" si="24"/>
        <v>2.2584991611504845E-2</v>
      </c>
      <c r="BW15" s="519">
        <f t="shared" si="24"/>
        <v>0.61316393760004395</v>
      </c>
      <c r="BX15" s="519">
        <f t="shared" si="24"/>
        <v>0.62434509000222915</v>
      </c>
      <c r="BY15" s="1619">
        <f t="shared" si="24"/>
        <v>0.32395812347232567</v>
      </c>
      <c r="BZ15" s="1619">
        <f t="shared" ref="BZ15:CF15" si="25">BZ14/BY14-1</f>
        <v>0.2369030632007123</v>
      </c>
      <c r="CA15" s="1619">
        <f t="shared" si="25"/>
        <v>-4.1827875167996798E-3</v>
      </c>
      <c r="CB15" s="1619">
        <f t="shared" si="25"/>
        <v>-0.43675048128344907</v>
      </c>
      <c r="CC15" s="1619">
        <f t="shared" si="25"/>
        <v>-4.6098494966124393E-2</v>
      </c>
      <c r="CD15" s="1619">
        <f t="shared" si="25"/>
        <v>1.9199791825664558E-2</v>
      </c>
      <c r="CE15" s="1619">
        <f t="shared" si="25"/>
        <v>1.9721236678583942E-2</v>
      </c>
      <c r="CF15" s="1619">
        <f t="shared" si="25"/>
        <v>1.8727259221913872E-2</v>
      </c>
      <c r="CG15" s="331"/>
      <c r="CH15" s="331"/>
      <c r="CI15" s="331"/>
      <c r="CJ15" s="331"/>
      <c r="CK15" s="331"/>
      <c r="CL15" s="1617" t="str">
        <f t="shared" si="2"/>
        <v>% growth</v>
      </c>
      <c r="CM15" s="519"/>
      <c r="CN15" s="519"/>
      <c r="CO15" s="519"/>
      <c r="CP15" s="519"/>
      <c r="CQ15" s="519"/>
      <c r="CR15" s="519">
        <f t="shared" si="4"/>
        <v>-2.2194314362913303E-2</v>
      </c>
      <c r="CS15" s="519">
        <f t="shared" si="5"/>
        <v>3.7917084340146401E-2</v>
      </c>
      <c r="CT15" s="519">
        <f t="shared" si="6"/>
        <v>0.11514161011845347</v>
      </c>
      <c r="CU15" s="519">
        <f t="shared" si="7"/>
        <v>5.7327960143779277E-2</v>
      </c>
      <c r="CV15" s="519">
        <f t="shared" si="8"/>
        <v>6.6526066015628604E-3</v>
      </c>
      <c r="CW15" s="519">
        <f t="shared" si="9"/>
        <v>-0.11245414995576897</v>
      </c>
      <c r="CX15" s="519">
        <f t="shared" si="10"/>
        <v>9.5667755762532058E-2</v>
      </c>
      <c r="CY15" s="519">
        <f t="shared" si="11"/>
        <v>6.9061760355811241E-2</v>
      </c>
      <c r="CZ15" s="519">
        <f t="shared" si="12"/>
        <v>3.74343358445548E-2</v>
      </c>
      <c r="DA15" s="519">
        <f t="shared" si="13"/>
        <v>0.32395812347232567</v>
      </c>
      <c r="DB15" s="519">
        <f t="shared" si="13"/>
        <v>0.2369030632007123</v>
      </c>
      <c r="DC15" s="1462">
        <f t="shared" si="13"/>
        <v>-4.1827875167996798E-3</v>
      </c>
      <c r="DD15" s="331"/>
      <c r="DE15" s="331"/>
      <c r="DF15" s="502"/>
      <c r="DG15" s="503"/>
      <c r="DH15" s="519"/>
      <c r="DI15" s="3213"/>
      <c r="DJ15" s="502"/>
      <c r="DK15" s="503"/>
      <c r="DL15" s="502"/>
      <c r="DM15" s="502"/>
      <c r="DN15" s="502"/>
      <c r="DO15" s="502"/>
      <c r="DP15" s="503"/>
      <c r="DQ15" s="503"/>
      <c r="DR15" s="296"/>
      <c r="DS15" s="296"/>
      <c r="DT15" s="296"/>
    </row>
    <row r="16" spans="1:130" ht="12.6" customHeight="1" x14ac:dyDescent="0.25">
      <c r="A16" s="2015" t="s">
        <v>2047</v>
      </c>
      <c r="B16" s="1978"/>
      <c r="C16" s="1255">
        <v>281.2</v>
      </c>
      <c r="D16" s="1255">
        <v>305.10000000000002</v>
      </c>
      <c r="E16" s="1255">
        <v>305</v>
      </c>
      <c r="F16" s="1255">
        <v>272.5</v>
      </c>
      <c r="G16" s="1979">
        <v>1136.7</v>
      </c>
      <c r="H16" s="1255">
        <v>292.8</v>
      </c>
      <c r="I16" s="1255">
        <v>308.7</v>
      </c>
      <c r="J16" s="1255" t="s">
        <v>1225</v>
      </c>
      <c r="K16" s="1255">
        <v>522.20000000000005</v>
      </c>
      <c r="L16" s="1979">
        <v>1410.3</v>
      </c>
      <c r="M16" s="1255">
        <v>555.1</v>
      </c>
      <c r="N16" s="1255">
        <v>534</v>
      </c>
      <c r="O16" s="1255">
        <v>578.20000000000005</v>
      </c>
      <c r="P16" s="1255">
        <v>558.6</v>
      </c>
      <c r="Q16" s="1979">
        <v>2230.3000000000002</v>
      </c>
      <c r="R16" s="1255">
        <v>599.5</v>
      </c>
      <c r="S16" s="1255">
        <v>626</v>
      </c>
      <c r="T16" s="1255">
        <v>640.6</v>
      </c>
      <c r="U16" s="1255">
        <v>595.4</v>
      </c>
      <c r="V16" s="1979">
        <v>2446.4</v>
      </c>
      <c r="W16" s="1255" t="s">
        <v>1225</v>
      </c>
      <c r="X16" s="1255">
        <v>621.79999999999995</v>
      </c>
      <c r="Y16" s="1255">
        <v>617</v>
      </c>
      <c r="Z16" s="1255">
        <v>570.4</v>
      </c>
      <c r="AA16" s="1979">
        <v>2422.4</v>
      </c>
      <c r="AB16" s="1255">
        <v>610.6</v>
      </c>
      <c r="AC16" s="1255">
        <v>595.6</v>
      </c>
      <c r="AD16" s="1255">
        <v>651.4</v>
      </c>
      <c r="AE16" s="1255">
        <v>577.20000000000005</v>
      </c>
      <c r="AF16" s="1979">
        <v>2390.6</v>
      </c>
      <c r="AG16" s="1255">
        <v>596.70000000000005</v>
      </c>
      <c r="AH16" s="1255">
        <v>588.29999999999995</v>
      </c>
      <c r="AI16" s="1255">
        <v>622.9</v>
      </c>
      <c r="AJ16" s="1255">
        <v>629.70000000000005</v>
      </c>
      <c r="AK16" s="1979">
        <v>2458.6</v>
      </c>
      <c r="AL16" s="1255">
        <v>657.1</v>
      </c>
      <c r="AM16" s="1255">
        <v>682.7</v>
      </c>
      <c r="AN16" s="1255">
        <v>703.6</v>
      </c>
      <c r="AO16" s="1255">
        <v>671.1</v>
      </c>
      <c r="AP16" s="1979">
        <v>2736.9</v>
      </c>
      <c r="AQ16" s="1255">
        <v>682.8</v>
      </c>
      <c r="AR16" s="1255">
        <v>711</v>
      </c>
      <c r="AS16" s="1255">
        <v>699.3</v>
      </c>
      <c r="AT16" s="1255">
        <v>782.4</v>
      </c>
      <c r="AU16" s="1979">
        <v>2938.1</v>
      </c>
      <c r="AV16" s="1255">
        <v>799.2</v>
      </c>
      <c r="AW16" s="1255">
        <v>793.2</v>
      </c>
      <c r="AX16" s="1255">
        <v>714.1</v>
      </c>
      <c r="AY16" s="1255"/>
      <c r="AZ16" s="1979"/>
      <c r="BA16" s="1255">
        <v>640.4</v>
      </c>
      <c r="BB16" s="1255">
        <v>640.5</v>
      </c>
      <c r="BC16" s="1255">
        <v>633.5</v>
      </c>
      <c r="BD16" s="2930">
        <v>621.1</v>
      </c>
      <c r="BE16" s="1979">
        <v>2560.1999999999998</v>
      </c>
      <c r="BF16" s="1255">
        <v>670.6</v>
      </c>
      <c r="BG16" s="1255">
        <v>672.7</v>
      </c>
      <c r="BH16" s="1255">
        <v>728.2</v>
      </c>
      <c r="BI16" s="3117">
        <v>722.5</v>
      </c>
      <c r="BJ16" s="1979">
        <v>2826.9</v>
      </c>
      <c r="BK16" s="1255">
        <v>756.9</v>
      </c>
      <c r="BL16" s="1255">
        <v>786.8</v>
      </c>
      <c r="BM16" s="1255">
        <v>767.3</v>
      </c>
      <c r="BN16" s="3117">
        <v>748.3</v>
      </c>
      <c r="BO16" s="1979">
        <v>3039.8</v>
      </c>
      <c r="BP16" s="1255" t="s">
        <v>2545</v>
      </c>
      <c r="BQ16" s="1255">
        <v>776.8</v>
      </c>
      <c r="BR16" s="1255">
        <v>790.9</v>
      </c>
      <c r="BS16" s="1255">
        <v>756.6</v>
      </c>
      <c r="BT16" s="1979">
        <v>3135.6</v>
      </c>
      <c r="BU16" s="1255">
        <v>817.3</v>
      </c>
      <c r="BV16" s="1255"/>
      <c r="BW16" s="1255"/>
      <c r="BX16" s="1255"/>
      <c r="BY16" s="1979">
        <v>3226.3</v>
      </c>
      <c r="BZ16" s="1979"/>
      <c r="CA16" s="1979"/>
      <c r="CB16" s="1979"/>
      <c r="CC16" s="1979"/>
      <c r="CD16" s="1979"/>
      <c r="CE16" s="1979"/>
      <c r="CF16" s="1979"/>
      <c r="CG16" s="469"/>
      <c r="CH16" s="469"/>
      <c r="CI16" s="469"/>
      <c r="CJ16" s="469"/>
      <c r="CK16" s="469"/>
      <c r="CL16" s="2015" t="str">
        <f t="shared" si="2"/>
        <v>Guidance: Net Revenues</v>
      </c>
      <c r="CM16" s="1180">
        <f>G16</f>
        <v>1136.7</v>
      </c>
      <c r="CN16" s="1180">
        <f>L16</f>
        <v>1410.3</v>
      </c>
      <c r="CO16" s="1180">
        <f>Q16</f>
        <v>2230.3000000000002</v>
      </c>
      <c r="CP16" s="1180">
        <f>V16</f>
        <v>2446.4</v>
      </c>
      <c r="CQ16" s="1180">
        <f>AA16</f>
        <v>2422.4</v>
      </c>
      <c r="CR16" s="1180">
        <f t="shared" si="4"/>
        <v>2390.6</v>
      </c>
      <c r="CS16" s="1180">
        <f t="shared" si="5"/>
        <v>2458.6</v>
      </c>
      <c r="CT16" s="1180">
        <f t="shared" si="6"/>
        <v>2736.9</v>
      </c>
      <c r="CU16" s="1180">
        <f t="shared" si="7"/>
        <v>2938.1</v>
      </c>
      <c r="CV16" s="1180"/>
      <c r="CW16" s="1180"/>
      <c r="CX16" s="1180"/>
      <c r="CY16" s="1180"/>
      <c r="CZ16" s="1180"/>
      <c r="DA16" s="1180"/>
      <c r="DB16" s="1180"/>
      <c r="DC16" s="2016"/>
      <c r="DD16" s="469"/>
      <c r="DE16" s="469"/>
      <c r="DF16" s="469"/>
      <c r="DG16" s="469"/>
      <c r="DH16" s="598"/>
      <c r="DI16" s="3210"/>
      <c r="DJ16" s="469"/>
      <c r="DK16" s="469"/>
      <c r="DL16" s="469"/>
      <c r="DM16" s="469"/>
      <c r="DN16" s="469"/>
      <c r="DO16" s="469"/>
      <c r="DP16" s="469"/>
      <c r="DQ16" s="469"/>
      <c r="DR16" s="1659"/>
      <c r="DS16" s="1659"/>
      <c r="DT16" s="1659"/>
    </row>
    <row r="17" spans="1:130" ht="12.6" customHeight="1" x14ac:dyDescent="0.25">
      <c r="A17" s="864"/>
      <c r="B17" s="281"/>
      <c r="C17" s="305"/>
      <c r="D17" s="305"/>
      <c r="E17" s="305"/>
      <c r="F17" s="305"/>
      <c r="G17" s="440"/>
      <c r="H17" s="305"/>
      <c r="I17" s="305"/>
      <c r="J17" s="305"/>
      <c r="K17" s="305"/>
      <c r="L17" s="440"/>
      <c r="M17" s="305"/>
      <c r="N17" s="305"/>
      <c r="O17" s="305"/>
      <c r="P17" s="305"/>
      <c r="Q17" s="440"/>
      <c r="R17" s="305"/>
      <c r="S17" s="305"/>
      <c r="T17" s="305"/>
      <c r="U17" s="305"/>
      <c r="V17" s="440"/>
      <c r="W17" s="305"/>
      <c r="X17" s="305"/>
      <c r="Y17" s="305"/>
      <c r="Z17" s="305"/>
      <c r="AA17" s="440"/>
      <c r="AB17" s="305"/>
      <c r="AC17" s="305"/>
      <c r="AD17" s="305"/>
      <c r="AE17" s="331"/>
      <c r="AF17" s="441"/>
      <c r="AG17" s="331"/>
      <c r="AH17" s="331"/>
      <c r="AI17" s="331"/>
      <c r="AJ17" s="588"/>
      <c r="AK17" s="441"/>
      <c r="AL17" s="442"/>
      <c r="AM17" s="442"/>
      <c r="AN17" s="1591"/>
      <c r="AO17" s="1055"/>
      <c r="AP17" s="349"/>
      <c r="AQ17" s="1466"/>
      <c r="AR17" s="1466"/>
      <c r="AS17" s="331"/>
      <c r="AT17" s="331"/>
      <c r="AU17" s="587"/>
      <c r="AV17" s="588"/>
      <c r="AW17" s="588"/>
      <c r="AX17" s="2570"/>
      <c r="AY17" s="2570"/>
      <c r="AZ17" s="2566"/>
      <c r="BA17" s="2957">
        <v>641.07999999999993</v>
      </c>
      <c r="BB17" s="2957">
        <v>652.14599999999996</v>
      </c>
      <c r="BC17" s="2976">
        <v>645.93999999999994</v>
      </c>
      <c r="BD17" s="2957">
        <v>651.36099999999999</v>
      </c>
      <c r="BE17" s="2960"/>
      <c r="BF17" s="2976"/>
      <c r="BG17" s="2957"/>
      <c r="BH17" s="2957"/>
      <c r="BI17" s="3140"/>
      <c r="BJ17" s="3196"/>
      <c r="BK17" s="2957"/>
      <c r="BL17" s="3200"/>
      <c r="BM17" s="3071"/>
      <c r="BN17" s="3072"/>
      <c r="BO17" s="3133"/>
      <c r="BP17" s="3071"/>
      <c r="BQ17" s="3071"/>
      <c r="BR17" s="3200"/>
      <c r="BS17" s="3071"/>
      <c r="BT17" s="3390"/>
      <c r="BU17" s="3392"/>
      <c r="BV17" s="3392"/>
      <c r="BW17" s="3392"/>
      <c r="BX17" s="3392"/>
      <c r="BY17" s="2604">
        <f>+BY14-BY12</f>
        <v>3197.6526412935373</v>
      </c>
      <c r="BZ17" s="349"/>
      <c r="CA17" s="349"/>
      <c r="CB17" s="349"/>
      <c r="CC17" s="349"/>
      <c r="CD17" s="349"/>
      <c r="CE17" s="349"/>
      <c r="CF17" s="349"/>
      <c r="CG17" s="331"/>
      <c r="CH17" s="331"/>
      <c r="CI17" s="331"/>
      <c r="CJ17" s="331"/>
      <c r="CK17" s="331"/>
      <c r="CL17" s="1149"/>
      <c r="CM17" s="331"/>
      <c r="CN17" s="331"/>
      <c r="CO17" s="331"/>
      <c r="CP17" s="331"/>
      <c r="CQ17" s="331"/>
      <c r="CR17" s="331"/>
      <c r="CS17" s="331"/>
      <c r="CT17" s="331"/>
      <c r="CU17" s="331"/>
      <c r="CV17" s="331"/>
      <c r="CW17" s="331"/>
      <c r="CX17" s="331"/>
      <c r="CY17" s="331"/>
      <c r="CZ17" s="331"/>
      <c r="DA17" s="331"/>
      <c r="DB17" s="331"/>
      <c r="DC17" s="1306"/>
      <c r="DD17" s="331"/>
      <c r="DE17" s="331"/>
      <c r="DF17" s="502"/>
      <c r="DG17" s="503"/>
      <c r="DH17" s="2601"/>
      <c r="DI17" s="3213"/>
      <c r="DJ17" s="502"/>
      <c r="DK17" s="503"/>
      <c r="DL17" s="502"/>
      <c r="DM17" s="502"/>
      <c r="DN17" s="502"/>
      <c r="DO17" s="502"/>
      <c r="DP17" s="503"/>
      <c r="DQ17" s="503"/>
      <c r="DR17" s="296"/>
      <c r="DS17" s="296"/>
      <c r="DT17" s="296"/>
    </row>
    <row r="18" spans="1:130" ht="12.6" customHeight="1" x14ac:dyDescent="0.25">
      <c r="A18" s="864" t="s">
        <v>2413</v>
      </c>
      <c r="B18" s="281"/>
      <c r="C18" s="305"/>
      <c r="D18" s="305"/>
      <c r="E18" s="305"/>
      <c r="F18" s="305"/>
      <c r="G18" s="440"/>
      <c r="H18" s="305"/>
      <c r="I18" s="305"/>
      <c r="J18" s="305"/>
      <c r="K18" s="305"/>
      <c r="L18" s="440"/>
      <c r="M18" s="305"/>
      <c r="N18" s="305"/>
      <c r="O18" s="305"/>
      <c r="P18" s="305"/>
      <c r="Q18" s="440"/>
      <c r="R18" s="305"/>
      <c r="S18" s="305"/>
      <c r="T18" s="305"/>
      <c r="U18" s="305"/>
      <c r="V18" s="440"/>
      <c r="W18" s="305"/>
      <c r="X18" s="305"/>
      <c r="Y18" s="305"/>
      <c r="Z18" s="305"/>
      <c r="AA18" s="440"/>
      <c r="AB18" s="305"/>
      <c r="AC18" s="305"/>
      <c r="AD18" s="305"/>
      <c r="AE18" s="331"/>
      <c r="AF18" s="441"/>
      <c r="AG18" s="331"/>
      <c r="AH18" s="331"/>
      <c r="AI18" s="331"/>
      <c r="AJ18" s="331"/>
      <c r="AK18" s="441"/>
      <c r="AL18" s="442"/>
      <c r="AM18" s="1626"/>
      <c r="AN18" s="1591"/>
      <c r="AO18" s="442"/>
      <c r="AP18" s="349"/>
      <c r="AQ18" s="588"/>
      <c r="AR18" s="588"/>
      <c r="AS18" s="588"/>
      <c r="AT18" s="1197"/>
      <c r="AU18" s="349"/>
      <c r="AV18" s="588"/>
      <c r="AW18" s="588"/>
      <c r="AX18" s="588"/>
      <c r="AY18" s="588"/>
      <c r="AZ18" s="587"/>
      <c r="BA18" s="588"/>
      <c r="BB18" s="588"/>
      <c r="BC18" s="588"/>
      <c r="BD18" s="2951"/>
      <c r="BE18" s="587"/>
      <c r="BF18" s="2977"/>
      <c r="BG18" s="588"/>
      <c r="BH18" s="588"/>
      <c r="BI18" s="1197"/>
      <c r="BJ18" s="3039"/>
      <c r="BK18" s="2951"/>
      <c r="BL18" s="2951"/>
      <c r="BM18" s="588"/>
      <c r="BN18" s="1197"/>
      <c r="BO18" s="3039"/>
      <c r="BP18" s="588"/>
      <c r="BQ18" s="588"/>
      <c r="BR18" s="588"/>
      <c r="BS18" s="588"/>
      <c r="BT18" s="3222"/>
      <c r="BU18" s="2601"/>
      <c r="BV18" s="2601"/>
      <c r="BW18" s="2601"/>
      <c r="BX18" s="2601"/>
      <c r="BY18" s="3222"/>
      <c r="BZ18" s="349"/>
      <c r="CA18" s="349"/>
      <c r="CB18" s="349"/>
      <c r="CC18" s="349"/>
      <c r="CD18" s="349"/>
      <c r="CE18" s="349"/>
      <c r="CF18" s="349"/>
      <c r="CG18" s="331"/>
      <c r="CH18" s="331"/>
      <c r="CI18" s="331"/>
      <c r="CJ18" s="331"/>
      <c r="CK18" s="331"/>
      <c r="CL18" s="1149" t="str">
        <f t="shared" ref="CL18:CL24" si="26">A18</f>
        <v>Adjusted Property EBITDA</v>
      </c>
      <c r="CM18" s="331"/>
      <c r="CN18" s="331"/>
      <c r="CO18" s="331"/>
      <c r="CP18" s="331"/>
      <c r="CQ18" s="331"/>
      <c r="CR18" s="331"/>
      <c r="CS18" s="331"/>
      <c r="CT18" s="331"/>
      <c r="CU18" s="331"/>
      <c r="CV18" s="331"/>
      <c r="CW18" s="331"/>
      <c r="CX18" s="331"/>
      <c r="CY18" s="331"/>
      <c r="CZ18" s="331"/>
      <c r="DA18" s="331"/>
      <c r="DB18" s="331"/>
      <c r="DC18" s="1306"/>
      <c r="DD18" s="331"/>
      <c r="DE18" s="331"/>
      <c r="DF18" s="502"/>
      <c r="DG18" s="503"/>
      <c r="DH18" s="2601"/>
      <c r="DI18" s="3213"/>
      <c r="DJ18" s="502"/>
      <c r="DK18" s="503"/>
      <c r="DL18" s="502"/>
      <c r="DM18" s="502"/>
      <c r="DN18" s="502"/>
      <c r="DO18" s="502"/>
      <c r="DP18" s="503"/>
      <c r="DQ18" s="503"/>
      <c r="DR18" s="296"/>
      <c r="DS18" s="296"/>
      <c r="DT18" s="296"/>
    </row>
    <row r="19" spans="1:130" s="1049" customFormat="1" ht="12.6" customHeight="1" x14ac:dyDescent="0.25">
      <c r="A19" s="2674" t="s">
        <v>2504</v>
      </c>
      <c r="B19" s="883"/>
      <c r="C19" s="450"/>
      <c r="D19" s="450"/>
      <c r="E19" s="450"/>
      <c r="F19" s="450"/>
      <c r="G19" s="451"/>
      <c r="H19" s="450"/>
      <c r="I19" s="450"/>
      <c r="J19" s="450"/>
      <c r="K19" s="450"/>
      <c r="L19" s="451"/>
      <c r="M19" s="450"/>
      <c r="N19" s="450"/>
      <c r="O19" s="450"/>
      <c r="P19" s="450"/>
      <c r="Q19" s="451"/>
      <c r="R19" s="450"/>
      <c r="S19" s="450"/>
      <c r="T19" s="450"/>
      <c r="U19" s="450"/>
      <c r="V19" s="451"/>
      <c r="W19" s="450"/>
      <c r="X19" s="450"/>
      <c r="Y19" s="450"/>
      <c r="Z19" s="450"/>
      <c r="AA19" s="451"/>
      <c r="AB19" s="2670">
        <f>+AB265+AB266+AB267+AB296+AB268+AB269+AB270+AB271+AB273+AB274</f>
        <v>82.863</v>
      </c>
      <c r="AC19" s="2671">
        <f>+AC265+AC266+AC267+AC296+AC268+AC269+AC270+AC271+AC273+AC274</f>
        <v>80.691999999999993</v>
      </c>
      <c r="AD19" s="2671">
        <f>+AD265+AD266+AD267+AD296+AD268+AD269+AD270+AD271+AD273+AD274</f>
        <v>90.45</v>
      </c>
      <c r="AE19" s="2671">
        <f>+AE265+AE266+AE267+AE296+AE268+AE269+AE270+AE271+AE273+AE274</f>
        <v>78.122</v>
      </c>
      <c r="AF19" s="451">
        <f>SUM(AB19:AE19)</f>
        <v>332.12700000000001</v>
      </c>
      <c r="AG19" s="2670">
        <f>+AG265+AG266+AG267+AG296+AG268+AG269+AG270+AG271+AG273+AG274</f>
        <v>83.314999999999998</v>
      </c>
      <c r="AH19" s="2671">
        <f>+AH265+AH266+AH267+AH296+AH268+AH269+AH270+AH271+AH273+AH274</f>
        <v>89.61</v>
      </c>
      <c r="AI19" s="2671">
        <f>+AI265+AI266+AI267+AI296+AI268+AI269+AI270+AI271+AI273+AI274</f>
        <v>108.018</v>
      </c>
      <c r="AJ19" s="2671">
        <f>+AJ265+AJ266+AJ267+AJ296+AJ268+AJ269+AJ270+AJ271+AJ273+AJ274</f>
        <v>102.621</v>
      </c>
      <c r="AK19" s="451">
        <f>SUM(AG19:AJ19)</f>
        <v>383.56399999999996</v>
      </c>
      <c r="AL19" s="2670">
        <f>+AL265+AL266+AL267+AL296+AL268+AL269+AL270+AL271+AL273+AL274</f>
        <v>112.05700000000002</v>
      </c>
      <c r="AM19" s="2671">
        <f>+AM265+AM266+AM267+AM296+AM268+AM269+AM270+AM271+AM273+AM274</f>
        <v>121.95900000000002</v>
      </c>
      <c r="AN19" s="2671">
        <f>+AN265+AN266+AN267+AN296+AN268+AN269+AN270+AN271+AN273+AN274</f>
        <v>124.21118044220579</v>
      </c>
      <c r="AO19" s="2671">
        <f>+AO265+AO266+AO267+AO296+AO268+AO269+AO270+AO271+AO273+AO274</f>
        <v>116.00791279972827</v>
      </c>
      <c r="AP19" s="451">
        <f>SUM(AL19:AO19)</f>
        <v>474.23509324193407</v>
      </c>
      <c r="AQ19" s="2670">
        <f>+AQ265+AQ266+AQ267+AQ296+AQ268+AQ269+AQ270+AQ271+AQ273+AQ274</f>
        <v>137.76662913326209</v>
      </c>
      <c r="AR19" s="2671">
        <f>+AR265+AR266+AR267+AR296+AR268+AR269+AR270+AR271+AR273+AR274</f>
        <v>131.92230537468734</v>
      </c>
      <c r="AS19" s="2671">
        <f>+AS265+AS266+AS267+AS296+AS268+AS269+AS270+AS271+AS273+AS274</f>
        <v>131.74543483318882</v>
      </c>
      <c r="AT19" s="2671">
        <f>+AT265+AT266+AT267+AT296+AT268+AT269+AT270+AT271+AT273+AT274</f>
        <v>126.29868992010839</v>
      </c>
      <c r="AU19" s="451">
        <f>SUM(AQ19:AT19)</f>
        <v>527.73305926124658</v>
      </c>
      <c r="AV19" s="1392">
        <v>147.54599999999999</v>
      </c>
      <c r="AW19" s="1392">
        <v>138.39500000000001</v>
      </c>
      <c r="AX19" s="1392">
        <v>124.944</v>
      </c>
      <c r="AY19" s="1392">
        <v>111.694</v>
      </c>
      <c r="AZ19" s="451">
        <f>SUM(AV19:AY19)</f>
        <v>522.57900000000006</v>
      </c>
      <c r="BA19" s="1392">
        <v>90.156999999999996</v>
      </c>
      <c r="BB19" s="2872">
        <v>98.382999999999996</v>
      </c>
      <c r="BC19" s="2927">
        <v>96.801000000000002</v>
      </c>
      <c r="BD19" s="2965">
        <v>100.095</v>
      </c>
      <c r="BE19" s="451">
        <f>SUM(BA19:BD19)</f>
        <v>385.43600000000004</v>
      </c>
      <c r="BF19" s="1392">
        <v>101.246</v>
      </c>
      <c r="BG19" s="2962">
        <v>112.98099999999999</v>
      </c>
      <c r="BH19" s="2962">
        <v>124.88</v>
      </c>
      <c r="BI19" s="2962">
        <v>117.492</v>
      </c>
      <c r="BJ19" s="451">
        <f>SUM(BF19:BI19)</f>
        <v>456.59899999999999</v>
      </c>
      <c r="BK19" s="1392">
        <v>122.735</v>
      </c>
      <c r="BL19" s="1392">
        <v>127.009</v>
      </c>
      <c r="BM19" s="1392">
        <v>124.42100000000001</v>
      </c>
      <c r="BN19" s="1392">
        <v>114.905</v>
      </c>
      <c r="BO19" s="451">
        <f>SUM(BK19:BN19)</f>
        <v>489.07000000000005</v>
      </c>
      <c r="BP19" s="1392">
        <v>126.574</v>
      </c>
      <c r="BQ19" s="2962">
        <v>129.876</v>
      </c>
      <c r="BR19" s="2962">
        <v>127.64400000000001</v>
      </c>
      <c r="BS19" s="2962">
        <v>117.17700000000001</v>
      </c>
      <c r="BT19" s="3023">
        <f>SUM(BP19:BS19)</f>
        <v>501.27100000000002</v>
      </c>
      <c r="BU19" s="2671">
        <f t="shared" ref="BU19:CA19" si="27">+BU277</f>
        <v>129.18681861406606</v>
      </c>
      <c r="BV19" s="2671">
        <f t="shared" si="27"/>
        <v>132.4029461219036</v>
      </c>
      <c r="BW19" s="2671">
        <f t="shared" si="27"/>
        <v>126.94196691004308</v>
      </c>
      <c r="BX19" s="2671">
        <f t="shared" si="27"/>
        <v>117.91383300403146</v>
      </c>
      <c r="BY19" s="3023">
        <f>SUM(BU19:BX19)</f>
        <v>506.44556465004422</v>
      </c>
      <c r="BZ19" s="451">
        <f t="shared" si="27"/>
        <v>508.25319033549584</v>
      </c>
      <c r="CA19" s="451">
        <f t="shared" si="27"/>
        <v>496.40866974238116</v>
      </c>
      <c r="CB19" s="451">
        <f>+CB265+CB266+CB267+CB296+CB268+CB269+CB270+CB271+CB273+CB274+CB272</f>
        <v>525.73496195692269</v>
      </c>
      <c r="CC19" s="451">
        <f>+CC265+CC266+CC267+CC296+CC268+CC269+CC270+CC271+CC273+CC274+CC272</f>
        <v>494.50895407786646</v>
      </c>
      <c r="CD19" s="451">
        <f>+CD265+CD266+CD267+CD296+CD268+CD269+CD270+CD271+CD273+CD274+CD272</f>
        <v>508.13696788637827</v>
      </c>
      <c r="CE19" s="451">
        <f>+CE265+CE266+CE267+CE296+CE268+CE269+CE270+CE271+CE273+CE274+CE272</f>
        <v>522.96453351557568</v>
      </c>
      <c r="CF19" s="451">
        <f>+CF265+CF266+CF267+CF296+CF268+CF269+CF270+CF271+CF273+CF274+CF272</f>
        <v>536.42118986104219</v>
      </c>
      <c r="CG19" s="450"/>
      <c r="CH19" s="450"/>
      <c r="CI19" s="450"/>
      <c r="CJ19" s="450"/>
      <c r="CK19" s="450"/>
      <c r="CL19" s="2203" t="str">
        <f t="shared" si="26"/>
        <v>Northeast</v>
      </c>
      <c r="CM19" s="450"/>
      <c r="CN19" s="450"/>
      <c r="CO19" s="450"/>
      <c r="CP19" s="450"/>
      <c r="CQ19" s="450"/>
      <c r="CR19" s="450">
        <f>AF19</f>
        <v>332.12700000000001</v>
      </c>
      <c r="CS19" s="450">
        <f>AK19</f>
        <v>383.56399999999996</v>
      </c>
      <c r="CT19" s="450">
        <f>AP19</f>
        <v>474.23509324193407</v>
      </c>
      <c r="CU19" s="450">
        <f>AU19</f>
        <v>527.73305926124658</v>
      </c>
      <c r="CV19" s="450">
        <f>AZ19</f>
        <v>522.57900000000006</v>
      </c>
      <c r="CW19" s="450">
        <f>BE19</f>
        <v>385.43600000000004</v>
      </c>
      <c r="CX19" s="450">
        <f>BJ19</f>
        <v>456.59899999999999</v>
      </c>
      <c r="CY19" s="450">
        <f>BO19</f>
        <v>489.07000000000005</v>
      </c>
      <c r="CZ19" s="450">
        <f>BT19</f>
        <v>501.27100000000002</v>
      </c>
      <c r="DA19" s="450">
        <f t="shared" ref="DA19:DC24" si="28">BY19</f>
        <v>506.44556465004422</v>
      </c>
      <c r="DB19" s="450">
        <f t="shared" si="28"/>
        <v>508.25319033549584</v>
      </c>
      <c r="DC19" s="1861">
        <f t="shared" si="28"/>
        <v>496.40866974238116</v>
      </c>
      <c r="DD19" s="450"/>
      <c r="DE19" s="450"/>
      <c r="DF19" s="2144"/>
      <c r="DG19" s="2144"/>
      <c r="DH19" s="2671"/>
      <c r="DI19" s="3213"/>
      <c r="DJ19" s="2144"/>
      <c r="DK19" s="2144"/>
      <c r="DL19" s="2144"/>
      <c r="DM19" s="2144"/>
      <c r="DN19" s="2144"/>
      <c r="DO19" s="2144"/>
      <c r="DP19" s="2144"/>
      <c r="DQ19" s="2144"/>
      <c r="DR19" s="2145"/>
      <c r="DS19" s="2145"/>
      <c r="DT19" s="2145"/>
      <c r="DU19"/>
      <c r="DV19"/>
      <c r="DW19"/>
      <c r="DX19"/>
      <c r="DY19"/>
      <c r="DZ19"/>
    </row>
    <row r="20" spans="1:130" s="1049" customFormat="1" ht="12.6" customHeight="1" x14ac:dyDescent="0.25">
      <c r="A20" s="2669" t="s">
        <v>2506</v>
      </c>
      <c r="B20" s="428"/>
      <c r="C20" s="331"/>
      <c r="D20" s="331"/>
      <c r="E20" s="331"/>
      <c r="F20" s="331"/>
      <c r="G20" s="441"/>
      <c r="H20" s="331"/>
      <c r="I20" s="331"/>
      <c r="J20" s="331"/>
      <c r="K20" s="331"/>
      <c r="L20" s="441"/>
      <c r="M20" s="331"/>
      <c r="N20" s="331"/>
      <c r="O20" s="331"/>
      <c r="P20" s="331"/>
      <c r="Q20" s="441"/>
      <c r="R20" s="331"/>
      <c r="S20" s="331"/>
      <c r="T20" s="331"/>
      <c r="U20" s="331"/>
      <c r="V20" s="441"/>
      <c r="W20" s="331"/>
      <c r="X20" s="331"/>
      <c r="Y20" s="331"/>
      <c r="Z20" s="331"/>
      <c r="AA20" s="441"/>
      <c r="AB20" s="2673">
        <f>+AB280+AB281+AB282</f>
        <v>8.3789999999999996</v>
      </c>
      <c r="AC20" s="2577">
        <f>+AC280+AC281+AC282</f>
        <v>6.6859999999999999</v>
      </c>
      <c r="AD20" s="2577">
        <f>+AD280+AD281+AD282</f>
        <v>5.6340000000000003</v>
      </c>
      <c r="AE20" s="2577">
        <f>+AE280+AE281+AE282</f>
        <v>5.6180000000000003</v>
      </c>
      <c r="AF20" s="455">
        <f>SUM(AB20:AE20)</f>
        <v>26.317</v>
      </c>
      <c r="AG20" s="2673">
        <f>+AG280+AG281+AG282</f>
        <v>7.1070000000000002</v>
      </c>
      <c r="AH20" s="2577">
        <f>+AH280+AH281+AH282</f>
        <v>6.843</v>
      </c>
      <c r="AI20" s="2577">
        <f>+AI280+AI281+AI282</f>
        <v>7.0419999999999998</v>
      </c>
      <c r="AJ20" s="2577">
        <f>+AJ280+AJ281+AJ282</f>
        <v>6.6840000000000002</v>
      </c>
      <c r="AK20" s="455">
        <f>SUM(AG20:AJ20)</f>
        <v>27.675999999999998</v>
      </c>
      <c r="AL20" s="2673">
        <f>+AL280+AL281+AL282</f>
        <v>7.782</v>
      </c>
      <c r="AM20" s="2577">
        <f>+AM280+AM281+AM282</f>
        <v>9.6150000000000002</v>
      </c>
      <c r="AN20" s="2577">
        <f>+AN280+AN281+AN282</f>
        <v>13.298180650000001</v>
      </c>
      <c r="AO20" s="2577">
        <f>+AO280+AO281+AO282</f>
        <v>13.939290850000003</v>
      </c>
      <c r="AP20" s="455">
        <f>SUM(AL20:AO20)</f>
        <v>44.634471500000004</v>
      </c>
      <c r="AQ20" s="2673">
        <f>+AQ280+AQ281+AQ282</f>
        <v>16.567050000000009</v>
      </c>
      <c r="AR20" s="2577">
        <f>+AR280+AR281+AR282</f>
        <v>14.751061849999999</v>
      </c>
      <c r="AS20" s="2577">
        <f>+AS280+AS281+AS282</f>
        <v>13.768036099999996</v>
      </c>
      <c r="AT20" s="2577">
        <f>+AT280+AT281+AT282</f>
        <v>14.6228446585</v>
      </c>
      <c r="AU20" s="455">
        <f>SUM(AQ20:AT20)</f>
        <v>59.708992608500004</v>
      </c>
      <c r="AV20" s="572">
        <v>17.922000000000001</v>
      </c>
      <c r="AW20" s="563">
        <v>17.591999999999999</v>
      </c>
      <c r="AX20" s="563">
        <v>10.906000000000001</v>
      </c>
      <c r="AY20" s="563">
        <v>15.105</v>
      </c>
      <c r="AZ20" s="455">
        <f>SUM(AV20:AY20)</f>
        <v>61.524999999999991</v>
      </c>
      <c r="BA20" s="572">
        <v>32.802</v>
      </c>
      <c r="BB20" s="2852">
        <v>31.928999999999998</v>
      </c>
      <c r="BC20" s="2928">
        <v>27.573</v>
      </c>
      <c r="BD20" s="2964">
        <v>29.998000000000001</v>
      </c>
      <c r="BE20" s="455">
        <f>SUM(BA20:BD20)</f>
        <v>122.30200000000001</v>
      </c>
      <c r="BF20" s="572">
        <v>35.893999999999998</v>
      </c>
      <c r="BG20" s="2970">
        <v>34.228999999999999</v>
      </c>
      <c r="BH20" s="2970">
        <v>29.463000000000001</v>
      </c>
      <c r="BI20" s="2970">
        <v>29.263999999999999</v>
      </c>
      <c r="BJ20" s="455">
        <f>SUM(BF20:BI20)</f>
        <v>128.85</v>
      </c>
      <c r="BK20" s="572">
        <v>34.725999999999999</v>
      </c>
      <c r="BL20" s="572">
        <v>36.472000000000001</v>
      </c>
      <c r="BM20" s="572">
        <v>28.506</v>
      </c>
      <c r="BN20" s="572">
        <v>28.866</v>
      </c>
      <c r="BO20" s="455">
        <f>SUM(BK20:BN20)</f>
        <v>128.57</v>
      </c>
      <c r="BP20" s="572">
        <v>36.341000000000001</v>
      </c>
      <c r="BQ20" s="2970">
        <v>35.048999999999999</v>
      </c>
      <c r="BR20" s="2970">
        <v>35.045999999999999</v>
      </c>
      <c r="BS20" s="2970">
        <v>28.887</v>
      </c>
      <c r="BT20" s="3066">
        <f>SUM(BP20:BS20)</f>
        <v>135.32300000000001</v>
      </c>
      <c r="BU20" s="2915">
        <f t="shared" ref="BU20:CA20" si="29">+BU290</f>
        <v>44.076188162769483</v>
      </c>
      <c r="BV20" s="2915">
        <f t="shared" si="29"/>
        <v>41.290912542126399</v>
      </c>
      <c r="BW20" s="2915">
        <f t="shared" si="29"/>
        <v>38.854897033677304</v>
      </c>
      <c r="BX20" s="2915">
        <f t="shared" si="29"/>
        <v>33.189800394257901</v>
      </c>
      <c r="BY20" s="3066">
        <f>SUM(BU20:BX20)</f>
        <v>157.41179813283108</v>
      </c>
      <c r="BZ20" s="455">
        <f t="shared" si="29"/>
        <v>167.81355539689045</v>
      </c>
      <c r="CA20" s="455">
        <f t="shared" si="29"/>
        <v>167.72170136367652</v>
      </c>
      <c r="CB20" s="455">
        <f>+CB280+CB281+CB282+CB283</f>
        <v>93.386018296076287</v>
      </c>
      <c r="CC20" s="455">
        <f>+CC280+CC281+CC282+CC283</f>
        <v>83.519103044551429</v>
      </c>
      <c r="CD20" s="455">
        <f>+CD280+CD281+CD282+CD283</f>
        <v>87.193835990190109</v>
      </c>
      <c r="CE20" s="455">
        <f>+CE280+CE281+CE282+CE283</f>
        <v>90.944554098659282</v>
      </c>
      <c r="CF20" s="455">
        <f>+CF280+CF281+CF282+CF283</f>
        <v>94.772587393007086</v>
      </c>
      <c r="CG20" s="331"/>
      <c r="CH20" s="331"/>
      <c r="CI20" s="331"/>
      <c r="CJ20" s="331"/>
      <c r="CK20" s="331"/>
      <c r="CL20" s="1118" t="str">
        <f t="shared" si="26"/>
        <v>South/West</v>
      </c>
      <c r="CM20" s="476"/>
      <c r="CN20" s="476"/>
      <c r="CO20" s="476"/>
      <c r="CP20" s="476"/>
      <c r="CQ20" s="476"/>
      <c r="CR20" s="476">
        <f>AF20</f>
        <v>26.317</v>
      </c>
      <c r="CS20" s="476">
        <f>AK20</f>
        <v>27.675999999999998</v>
      </c>
      <c r="CT20" s="476">
        <f>AP20</f>
        <v>44.634471500000004</v>
      </c>
      <c r="CU20" s="476">
        <f>AU20</f>
        <v>59.708992608500004</v>
      </c>
      <c r="CV20" s="476">
        <f>AZ20</f>
        <v>61.524999999999991</v>
      </c>
      <c r="CW20" s="476">
        <f>BE20</f>
        <v>122.30200000000001</v>
      </c>
      <c r="CX20" s="476">
        <f>BJ20</f>
        <v>128.85</v>
      </c>
      <c r="CY20" s="476">
        <f>BO20</f>
        <v>128.57</v>
      </c>
      <c r="CZ20" s="476">
        <f>BT20</f>
        <v>135.32300000000001</v>
      </c>
      <c r="DA20" s="476">
        <f t="shared" si="28"/>
        <v>157.41179813283108</v>
      </c>
      <c r="DB20" s="476">
        <f t="shared" si="28"/>
        <v>167.81355539689045</v>
      </c>
      <c r="DC20" s="682">
        <f t="shared" si="28"/>
        <v>167.72170136367652</v>
      </c>
      <c r="DD20" s="331"/>
      <c r="DE20" s="331"/>
      <c r="DF20" s="502"/>
      <c r="DG20" s="503"/>
      <c r="DH20" s="2915"/>
      <c r="DI20" s="3213"/>
      <c r="DJ20" s="502"/>
      <c r="DK20" s="503"/>
      <c r="DL20" s="502"/>
      <c r="DM20" s="502"/>
      <c r="DN20" s="502"/>
      <c r="DO20" s="502"/>
      <c r="DP20" s="503"/>
      <c r="DQ20" s="503"/>
      <c r="DR20" s="296"/>
      <c r="DS20" s="296"/>
      <c r="DT20" s="296"/>
      <c r="DU20"/>
      <c r="DV20"/>
      <c r="DW20"/>
      <c r="DX20"/>
      <c r="DY20"/>
      <c r="DZ20"/>
    </row>
    <row r="21" spans="1:130" s="1049" customFormat="1" ht="12.6" customHeight="1" x14ac:dyDescent="0.25">
      <c r="A21" s="2669" t="s">
        <v>1331</v>
      </c>
      <c r="B21" s="428"/>
      <c r="C21" s="331"/>
      <c r="D21" s="331"/>
      <c r="E21" s="331"/>
      <c r="F21" s="331"/>
      <c r="G21" s="441"/>
      <c r="H21" s="331"/>
      <c r="I21" s="331"/>
      <c r="J21" s="331"/>
      <c r="K21" s="331"/>
      <c r="L21" s="441"/>
      <c r="M21" s="331"/>
      <c r="N21" s="331"/>
      <c r="O21" s="331"/>
      <c r="P21" s="331"/>
      <c r="Q21" s="441"/>
      <c r="R21" s="331"/>
      <c r="S21" s="331"/>
      <c r="T21" s="331"/>
      <c r="U21" s="331"/>
      <c r="V21" s="441"/>
      <c r="W21" s="331"/>
      <c r="X21" s="331"/>
      <c r="Y21" s="331"/>
      <c r="Z21" s="331"/>
      <c r="AA21" s="441"/>
      <c r="AB21" s="454">
        <f>+AB293+AB294+AB295+AB297+AB298+AB284+AB286+AB287+AB299+AB300+AB301</f>
        <v>84.038999999999987</v>
      </c>
      <c r="AC21" s="454">
        <f>+AC293+AC294+AC295+AC297+AC298+AC284+AC286+AC287+AC299+AC300+AC301</f>
        <v>71.396000000000015</v>
      </c>
      <c r="AD21" s="454">
        <f>+AD293+AD294+AD295+AD297+AD298+AD284+AD286+AD287+AD299+AD300+AD301</f>
        <v>76.808000000000007</v>
      </c>
      <c r="AE21" s="454">
        <f>+AE293+AE294+AE295+AE297+AE298+AE284+AE286+AE287+AE299+AE300+AE301</f>
        <v>61.228000000000002</v>
      </c>
      <c r="AF21" s="455">
        <f>SUM(AB21:AE21)</f>
        <v>293.471</v>
      </c>
      <c r="AG21" s="454">
        <f>+AG293+AG294+AG295+AG297+AG298+AG284+AG286+AG287+AG299+AG300+AG301</f>
        <v>76.220000000000013</v>
      </c>
      <c r="AH21" s="454">
        <f>+AH293+AH294+AH295+AH297+AH298+AH284+AH286+AH287+AH299+AH300+AH301</f>
        <v>72.606999999999985</v>
      </c>
      <c r="AI21" s="454">
        <f>+AI293+AI294+AI295+AI297+AI298+AI284+AI286+AI287+AI299+AI300+AI301</f>
        <v>72.12700000000001</v>
      </c>
      <c r="AJ21" s="454">
        <f>+AJ293+AJ294+AJ295+AJ297+AJ298+AJ284+AJ286+AJ287+AJ299+AJ300+AJ301</f>
        <v>67.453000000000003</v>
      </c>
      <c r="AK21" s="455">
        <f>SUM(AG21:AJ21)</f>
        <v>288.40700000000004</v>
      </c>
      <c r="AL21" s="2673">
        <f>+AL293+AL294+AL295+AL297+AL298+AL284+AL286+AL287+AL299+AL300+AL301</f>
        <v>81.951999999999998</v>
      </c>
      <c r="AM21" s="2577">
        <f>+AM293+AM294+AM295+AM297+AM298+AM284+AM286+AM287+AM299+AM300+AM301</f>
        <v>78.474000000000004</v>
      </c>
      <c r="AN21" s="2577">
        <f>+AN293+AN294+AN295+AN297+AN298+AN284+AN286+AN287+AN299+AN300+AN301</f>
        <v>73.948422495220782</v>
      </c>
      <c r="AO21" s="2577">
        <f>+AO293+AO294+AO295+AO297+AO298+AO284+AO286+AO287+AO299+AO300+AO301</f>
        <v>60.532181622996731</v>
      </c>
      <c r="AP21" s="455">
        <f>SUM(AL21:AO21)</f>
        <v>294.9066041182175</v>
      </c>
      <c r="AQ21" s="2673">
        <f>+AQ293+AQ294+AQ295+AQ297+AQ298+AQ284+AQ286+AQ287+AQ299+AQ300+AQ301</f>
        <v>82.137129346649999</v>
      </c>
      <c r="AR21" s="2577">
        <f>+AR293+AR294+AR295+AR297+AR298+AR284+AR286+AR287+AR299+AR300+AR301</f>
        <v>73.53295065463999</v>
      </c>
      <c r="AS21" s="2577">
        <f>+AS293+AS294+AS295+AS297+AS298+AS284+AS286+AS287+AS299+AS300+AS301</f>
        <v>72.392110567968331</v>
      </c>
      <c r="AT21" s="2577">
        <f>+AT293+AT294+AT295+AT297+AT298+AT284+AT286+AT287+AT299+AT300+AT301</f>
        <v>66.482933189768829</v>
      </c>
      <c r="AU21" s="455">
        <f>SUM(AQ21:AT21)</f>
        <v>294.54512375902715</v>
      </c>
      <c r="AV21" s="572">
        <f>81.847+2.859</f>
        <v>84.705999999999989</v>
      </c>
      <c r="AW21" s="563">
        <f>80.682+2.922</f>
        <v>83.603999999999999</v>
      </c>
      <c r="AX21" s="563">
        <f>70.577+2.902</f>
        <v>73.478999999999999</v>
      </c>
      <c r="AY21" s="563">
        <f>61.665+2.913</f>
        <v>64.578000000000003</v>
      </c>
      <c r="AZ21" s="455">
        <f>SUM(AV21:AY21)</f>
        <v>306.36699999999996</v>
      </c>
      <c r="BA21" s="572">
        <v>73.998000000000005</v>
      </c>
      <c r="BB21" s="2852">
        <v>72.004999999999995</v>
      </c>
      <c r="BC21" s="2928">
        <v>65.891999999999996</v>
      </c>
      <c r="BD21" s="2964">
        <v>62.646999999999998</v>
      </c>
      <c r="BE21" s="455">
        <f>SUM(BA21:BD21)</f>
        <v>274.54199999999997</v>
      </c>
      <c r="BF21" s="572">
        <v>70.022000000000006</v>
      </c>
      <c r="BG21" s="2970">
        <v>71.412000000000006</v>
      </c>
      <c r="BH21" s="2970">
        <v>68.91</v>
      </c>
      <c r="BI21" s="2970">
        <v>80.974999999999994</v>
      </c>
      <c r="BJ21" s="455">
        <f>SUM(BF21:BI21)</f>
        <v>291.31900000000002</v>
      </c>
      <c r="BK21" s="572">
        <v>75.087000000000003</v>
      </c>
      <c r="BL21" s="572">
        <v>73.168999999999997</v>
      </c>
      <c r="BM21" s="572">
        <v>71.644000000000005</v>
      </c>
      <c r="BN21" s="572">
        <v>67.375</v>
      </c>
      <c r="BO21" s="455">
        <f>SUM(BK21:BN21)</f>
        <v>287.27499999999998</v>
      </c>
      <c r="BP21" s="572">
        <v>78.105999999999995</v>
      </c>
      <c r="BQ21" s="2970">
        <v>75.489999999999995</v>
      </c>
      <c r="BR21" s="2970">
        <v>76.043999999999997</v>
      </c>
      <c r="BS21" s="2970">
        <v>68.137</v>
      </c>
      <c r="BT21" s="3066">
        <f>SUM(BP21:BS21)</f>
        <v>297.77699999999999</v>
      </c>
      <c r="BU21" s="2915">
        <f t="shared" ref="BU21:CA21" si="30">+BU305</f>
        <v>72.380461100189578</v>
      </c>
      <c r="BV21" s="2915">
        <f t="shared" si="30"/>
        <v>78.608903058747643</v>
      </c>
      <c r="BW21" s="2915">
        <f t="shared" si="30"/>
        <v>84.059054580866515</v>
      </c>
      <c r="BX21" s="2915">
        <f t="shared" si="30"/>
        <v>77.418738741831532</v>
      </c>
      <c r="BY21" s="3066">
        <f>SUM(BU21:BX21)</f>
        <v>312.4671574816353</v>
      </c>
      <c r="BZ21" s="455">
        <f t="shared" si="30"/>
        <v>323.58477824386529</v>
      </c>
      <c r="CA21" s="455">
        <f t="shared" si="30"/>
        <v>321.11728937396185</v>
      </c>
      <c r="CB21" s="455">
        <f>+CB293+CB294+CB295+CB297+CB298+CB284+CB286+CB287+CB299+CB300+CB302</f>
        <v>277.9558317240801</v>
      </c>
      <c r="CC21" s="455">
        <f>+CC293+CC294+CC295+CC297+CC298+CC284+CC286+CC287+CC299+CC300+CC302</f>
        <v>257.32833998160822</v>
      </c>
      <c r="CD21" s="455">
        <f>+CD293+CD294+CD295+CD297+CD298+CD284+CD286+CD287+CD299+CD300+CD302</f>
        <v>266.26957729801188</v>
      </c>
      <c r="CE21" s="455">
        <f>+CE293+CE294+CE295+CE297+CE298+CE284+CE286+CE287+CE299+CE300+CE302</f>
        <v>275.49945411206272</v>
      </c>
      <c r="CF21" s="455">
        <f>+CF293+CF294+CF295+CF297+CF298+CF284+CF286+CF287+CF299+CF300+CF302</f>
        <v>284.83103840354056</v>
      </c>
      <c r="CG21" s="331"/>
      <c r="CH21" s="331"/>
      <c r="CI21" s="331"/>
      <c r="CJ21" s="331"/>
      <c r="CK21" s="331"/>
      <c r="CL21" s="1118" t="str">
        <f t="shared" si="26"/>
        <v>Midwest</v>
      </c>
      <c r="CM21" s="476"/>
      <c r="CN21" s="476"/>
      <c r="CO21" s="476"/>
      <c r="CP21" s="476"/>
      <c r="CQ21" s="476"/>
      <c r="CR21" s="476">
        <f>AF21</f>
        <v>293.471</v>
      </c>
      <c r="CS21" s="476">
        <f>AK21</f>
        <v>288.40700000000004</v>
      </c>
      <c r="CT21" s="476">
        <f>AP21</f>
        <v>294.9066041182175</v>
      </c>
      <c r="CU21" s="476">
        <f>AU21</f>
        <v>294.54512375902715</v>
      </c>
      <c r="CV21" s="476">
        <f>AZ21</f>
        <v>306.36699999999996</v>
      </c>
      <c r="CW21" s="476">
        <f>BE21</f>
        <v>274.54199999999997</v>
      </c>
      <c r="CX21" s="476">
        <f>BJ21</f>
        <v>291.31900000000002</v>
      </c>
      <c r="CY21" s="476">
        <f>BO21</f>
        <v>287.27499999999998</v>
      </c>
      <c r="CZ21" s="476">
        <f>BT21</f>
        <v>297.77699999999999</v>
      </c>
      <c r="DA21" s="476">
        <f t="shared" si="28"/>
        <v>312.4671574816353</v>
      </c>
      <c r="DB21" s="476">
        <f t="shared" si="28"/>
        <v>323.58477824386529</v>
      </c>
      <c r="DC21" s="682">
        <f t="shared" si="28"/>
        <v>321.11728937396185</v>
      </c>
      <c r="DD21" s="331"/>
      <c r="DE21" s="331"/>
      <c r="DF21" s="502"/>
      <c r="DG21" s="503"/>
      <c r="DH21" s="2915"/>
      <c r="DI21" s="3213"/>
      <c r="DJ21" s="502"/>
      <c r="DK21" s="503"/>
      <c r="DL21" s="502"/>
      <c r="DM21" s="502"/>
      <c r="DN21" s="502"/>
      <c r="DO21" s="502"/>
      <c r="DP21" s="503"/>
      <c r="DQ21" s="503"/>
      <c r="DR21" s="296"/>
      <c r="DS21" s="296"/>
      <c r="DT21" s="296"/>
      <c r="DU21"/>
      <c r="DV21"/>
      <c r="DW21"/>
      <c r="DX21"/>
      <c r="DY21"/>
      <c r="DZ21"/>
    </row>
    <row r="22" spans="1:130" s="1049" customFormat="1" ht="12.6" customHeight="1" x14ac:dyDescent="0.25">
      <c r="A22" s="2669" t="s">
        <v>2587</v>
      </c>
      <c r="B22" s="428"/>
      <c r="C22" s="331"/>
      <c r="D22" s="331"/>
      <c r="E22" s="331"/>
      <c r="F22" s="331"/>
      <c r="G22" s="441"/>
      <c r="H22" s="331"/>
      <c r="I22" s="331"/>
      <c r="J22" s="331"/>
      <c r="K22" s="331"/>
      <c r="L22" s="441"/>
      <c r="M22" s="331"/>
      <c r="N22" s="331"/>
      <c r="O22" s="331"/>
      <c r="P22" s="331"/>
      <c r="Q22" s="441"/>
      <c r="R22" s="331"/>
      <c r="S22" s="331"/>
      <c r="T22" s="331"/>
      <c r="U22" s="331"/>
      <c r="V22" s="441"/>
      <c r="W22" s="331"/>
      <c r="X22" s="331"/>
      <c r="Y22" s="331"/>
      <c r="Z22" s="331"/>
      <c r="AA22" s="441"/>
      <c r="AB22" s="454"/>
      <c r="AC22" s="454"/>
      <c r="AD22" s="454"/>
      <c r="AE22" s="454"/>
      <c r="AF22" s="455"/>
      <c r="AG22" s="454"/>
      <c r="AH22" s="454"/>
      <c r="AI22" s="454"/>
      <c r="AJ22" s="454"/>
      <c r="AK22" s="455"/>
      <c r="AL22" s="2577"/>
      <c r="AM22" s="2577"/>
      <c r="AN22" s="2577"/>
      <c r="AO22" s="2577"/>
      <c r="AP22" s="456"/>
      <c r="AQ22" s="2673"/>
      <c r="AR22" s="2577"/>
      <c r="AS22" s="2577"/>
      <c r="AT22" s="2577"/>
      <c r="AU22" s="455"/>
      <c r="AV22" s="572"/>
      <c r="AW22" s="563"/>
      <c r="AX22" s="563"/>
      <c r="AY22" s="563"/>
      <c r="AZ22" s="455"/>
      <c r="BA22" s="572"/>
      <c r="BB22" s="2852"/>
      <c r="BC22" s="2928"/>
      <c r="BD22" s="2964"/>
      <c r="BE22" s="455"/>
      <c r="BF22" s="572"/>
      <c r="BG22" s="2970"/>
      <c r="BH22" s="2970"/>
      <c r="BI22" s="2970"/>
      <c r="BJ22" s="455"/>
      <c r="BK22" s="572"/>
      <c r="BL22" s="572"/>
      <c r="BM22" s="572"/>
      <c r="BN22" s="572"/>
      <c r="BO22" s="455"/>
      <c r="BP22" s="572"/>
      <c r="BQ22" s="2970"/>
      <c r="BR22" s="2970"/>
      <c r="BS22" s="454"/>
      <c r="BT22" s="3066"/>
      <c r="BU22" s="2915"/>
      <c r="BV22" s="2915"/>
      <c r="BW22" s="2915">
        <f>+BW307</f>
        <v>154.77807082295033</v>
      </c>
      <c r="BX22" s="2915">
        <f>+BX307</f>
        <v>147.79500675095755</v>
      </c>
      <c r="BY22" s="3066">
        <f>SUM(BU22:BX22)</f>
        <v>302.57307757390788</v>
      </c>
      <c r="BZ22" s="455">
        <f>+BZ307</f>
        <v>642.07786875153533</v>
      </c>
      <c r="CA22" s="455">
        <f>+CA307</f>
        <v>639.43523935076155</v>
      </c>
      <c r="CB22" s="455"/>
      <c r="CC22" s="455"/>
      <c r="CD22" s="455"/>
      <c r="CE22" s="455"/>
      <c r="CF22" s="455"/>
      <c r="CG22" s="331"/>
      <c r="CH22" s="331"/>
      <c r="CI22" s="331"/>
      <c r="CJ22" s="331"/>
      <c r="CK22" s="331"/>
      <c r="CL22" s="1118"/>
      <c r="CM22" s="476"/>
      <c r="CN22" s="476"/>
      <c r="CO22" s="476"/>
      <c r="CP22" s="476"/>
      <c r="CQ22" s="476"/>
      <c r="CR22" s="476"/>
      <c r="CS22" s="476"/>
      <c r="CT22" s="476"/>
      <c r="CU22" s="476"/>
      <c r="CV22" s="476"/>
      <c r="CW22" s="476"/>
      <c r="CX22" s="476"/>
      <c r="CY22" s="476"/>
      <c r="CZ22" s="476"/>
      <c r="DA22" s="476"/>
      <c r="DB22" s="476"/>
      <c r="DC22" s="682"/>
      <c r="DD22" s="331"/>
      <c r="DE22" s="331"/>
      <c r="DF22" s="502"/>
      <c r="DG22" s="503"/>
      <c r="DH22" s="2915"/>
      <c r="DI22" s="3213"/>
      <c r="DJ22" s="502"/>
      <c r="DK22" s="503"/>
      <c r="DL22" s="502"/>
      <c r="DM22" s="502"/>
      <c r="DN22" s="502"/>
      <c r="DO22" s="502"/>
      <c r="DP22" s="503"/>
      <c r="DQ22" s="503"/>
      <c r="DR22" s="296"/>
      <c r="DS22" s="296"/>
      <c r="DT22" s="296"/>
      <c r="DU22"/>
      <c r="DV22"/>
      <c r="DW22"/>
      <c r="DX22"/>
      <c r="DY22"/>
      <c r="DZ22"/>
    </row>
    <row r="23" spans="1:130" s="1049" customFormat="1" ht="12.6" customHeight="1" x14ac:dyDescent="0.25">
      <c r="A23" s="1118" t="s">
        <v>1623</v>
      </c>
      <c r="B23" s="428"/>
      <c r="C23" s="331"/>
      <c r="D23" s="331"/>
      <c r="E23" s="331"/>
      <c r="F23" s="331"/>
      <c r="G23" s="441"/>
      <c r="H23" s="331"/>
      <c r="I23" s="331"/>
      <c r="J23" s="331"/>
      <c r="K23" s="331"/>
      <c r="L23" s="441"/>
      <c r="M23" s="331"/>
      <c r="N23" s="331"/>
      <c r="O23" s="331"/>
      <c r="P23" s="331"/>
      <c r="Q23" s="441"/>
      <c r="R23" s="331"/>
      <c r="S23" s="331"/>
      <c r="T23" s="331"/>
      <c r="U23" s="331"/>
      <c r="V23" s="441"/>
      <c r="W23" s="331"/>
      <c r="X23" s="331"/>
      <c r="Y23" s="331"/>
      <c r="Z23" s="331"/>
      <c r="AA23" s="441"/>
      <c r="AB23" s="476">
        <f>AB312+AB310</f>
        <v>-3.0000000000000027E-2</v>
      </c>
      <c r="AC23" s="476">
        <f>AC312+AC310</f>
        <v>-0.37799999999999989</v>
      </c>
      <c r="AD23" s="476">
        <f>AD312+AD310</f>
        <v>-0.39299999999999996</v>
      </c>
      <c r="AE23" s="476">
        <f>AE312+AE310</f>
        <v>-1.2190000000000001</v>
      </c>
      <c r="AF23" s="455">
        <f>SUM(AB23:AE23)</f>
        <v>-2.02</v>
      </c>
      <c r="AG23" s="476">
        <f>AG312+AG310</f>
        <v>-1.7250000000000001</v>
      </c>
      <c r="AH23" s="476">
        <f>AH312+AH310</f>
        <v>-0.84099999999999997</v>
      </c>
      <c r="AI23" s="476">
        <f>AI312+AI310</f>
        <v>-5.4329999999999998</v>
      </c>
      <c r="AJ23" s="476">
        <f>AJ312+AJ310</f>
        <v>-7.6059999999999999</v>
      </c>
      <c r="AK23" s="455">
        <f>SUM(AG23:AJ23)</f>
        <v>-15.605</v>
      </c>
      <c r="AL23" s="476">
        <f>AL312+AL310</f>
        <v>-3.1180000000000003</v>
      </c>
      <c r="AM23" s="476">
        <f>AM312+AM310</f>
        <v>-0.28300000000000003</v>
      </c>
      <c r="AN23" s="2677">
        <f>+AN24-SUM(AN19:AN21)</f>
        <v>-0.75178358742653018</v>
      </c>
      <c r="AO23" s="2680">
        <f>+AO24-SUM(AO19:AO21)</f>
        <v>-5.1363852727249935</v>
      </c>
      <c r="AP23" s="478">
        <f>SUM(AL23:AO23)</f>
        <v>-9.2891688601515234</v>
      </c>
      <c r="AQ23" s="2679">
        <f>+AQ24-SUM(AQ19:AQ21)</f>
        <v>-7.2308084799120991</v>
      </c>
      <c r="AR23" s="2680">
        <f>+AR24-SUM(AR19:AR21)</f>
        <v>0.29168212067267518</v>
      </c>
      <c r="AS23" s="2680">
        <f>+AS24-SUM(AS19:AS21)</f>
        <v>0.18541849884286421</v>
      </c>
      <c r="AT23" s="2680">
        <f>+AT24-SUM(AT19:AT21)</f>
        <v>3.9985322316227609</v>
      </c>
      <c r="AU23" s="477">
        <f>SUM(AQ23:AT23)</f>
        <v>-2.7551756287737987</v>
      </c>
      <c r="AV23" s="572">
        <f>-26.567+AV34+AV48</f>
        <v>0.63299999999999912</v>
      </c>
      <c r="AW23" s="572">
        <f>-25.271+AW34+AW48</f>
        <v>0.42899999999999761</v>
      </c>
      <c r="AX23" s="572">
        <f>+-24.357+24.4</f>
        <v>4.2999999999999261E-2</v>
      </c>
      <c r="AY23" s="572">
        <f>-38.183+AY34</f>
        <v>-1.2830000000000013</v>
      </c>
      <c r="AZ23" s="477">
        <f>SUM(AV23:AY23)</f>
        <v>-0.17800000000000527</v>
      </c>
      <c r="BA23" s="572">
        <f>+-16.324+BA34</f>
        <v>-0.62400000000000233</v>
      </c>
      <c r="BB23" s="2654">
        <f>+-15.484+BB34</f>
        <v>-1.0839999999999996</v>
      </c>
      <c r="BC23" s="2917">
        <f>+-19.771+BC34</f>
        <v>-7.1000000000001506E-2</v>
      </c>
      <c r="BD23" s="2944">
        <f>+-72.289-SUM(BA23:BC23)+SUM(BA34:BD34)</f>
        <v>-1.1099999999999852</v>
      </c>
      <c r="BE23" s="477">
        <f>SUM(BA23:BD23)</f>
        <v>-2.8889999999999887</v>
      </c>
      <c r="BF23" s="572">
        <f>+-22.783+BF34</f>
        <v>0.51699999999999946</v>
      </c>
      <c r="BG23" s="2941">
        <f>+-23.24+BG34</f>
        <v>0.46000000000000085</v>
      </c>
      <c r="BH23" s="2941">
        <f>+-12.991+BH34</f>
        <v>0.9090000000000007</v>
      </c>
      <c r="BI23" s="2941">
        <f>+-80.417-SUM(BF23:BH23)+SUM(BF34:BI34)</f>
        <v>-0.30299999999999727</v>
      </c>
      <c r="BJ23" s="477">
        <f>SUM(BF23:BI23)</f>
        <v>1.5830000000000037</v>
      </c>
      <c r="BK23" s="572">
        <f>+-19.665+BK34</f>
        <v>0.93500000000000227</v>
      </c>
      <c r="BL23" s="572">
        <f>+-12.87+BL34</f>
        <v>1.1300000000000008</v>
      </c>
      <c r="BM23" s="572">
        <f>+-13.311+BM34</f>
        <v>3.2890000000000015</v>
      </c>
      <c r="BN23" s="572">
        <f>-15.242+BN34</f>
        <v>3.3580000000000005</v>
      </c>
      <c r="BO23" s="477">
        <f>SUM(BK23:BN23)</f>
        <v>8.7120000000000051</v>
      </c>
      <c r="BP23" s="572">
        <f>+-19.311+BP34</f>
        <v>4.6890000000000001</v>
      </c>
      <c r="BQ23" s="572">
        <f>+-21.277+BQ34</f>
        <v>4.722999999999999</v>
      </c>
      <c r="BR23" s="572">
        <f>+-16.947+BR34</f>
        <v>4.0530000000000008</v>
      </c>
      <c r="BS23" s="572">
        <f>+-30.89+BS34</f>
        <v>2.7100000000000009</v>
      </c>
      <c r="BT23" s="2604">
        <f>SUM(BP23:BS23)</f>
        <v>16.175000000000001</v>
      </c>
      <c r="BU23" s="2577">
        <f t="shared" ref="BU23:CA23" si="31">+SUM(BU310:BU313)</f>
        <v>3.4147000000000007</v>
      </c>
      <c r="BV23" s="2577">
        <f t="shared" si="31"/>
        <v>5.038314999999999</v>
      </c>
      <c r="BW23" s="2577">
        <f t="shared" si="31"/>
        <v>4.8840807500000007</v>
      </c>
      <c r="BX23" s="2577">
        <f t="shared" si="31"/>
        <v>4.5410807500000017</v>
      </c>
      <c r="BY23" s="2604">
        <f>SUM(BU23:BX23)</f>
        <v>17.878176500000002</v>
      </c>
      <c r="BZ23" s="477">
        <f t="shared" si="31"/>
        <v>18.585573575000005</v>
      </c>
      <c r="CA23" s="477">
        <f t="shared" si="31"/>
        <v>19.328340503750006</v>
      </c>
      <c r="CB23" s="477">
        <f>CB312+CB310+CB313</f>
        <v>3.7302349999999986</v>
      </c>
      <c r="CC23" s="477">
        <f>CC312+CC310+CC313</f>
        <v>3.7302349999999986</v>
      </c>
      <c r="CD23" s="477">
        <f>CD312+CD310+CD313</f>
        <v>3.7302349999999986</v>
      </c>
      <c r="CE23" s="477">
        <f>CE312+CE310+CE313</f>
        <v>3.7302349999999986</v>
      </c>
      <c r="CF23" s="477">
        <f>CF312+CF310+CF313</f>
        <v>3.7302349999999986</v>
      </c>
      <c r="CG23" s="331"/>
      <c r="CH23" s="331"/>
      <c r="CI23" s="331"/>
      <c r="CJ23" s="331"/>
      <c r="CK23" s="331"/>
      <c r="CL23" s="1118" t="str">
        <f t="shared" si="26"/>
        <v>Other</v>
      </c>
      <c r="CM23" s="476"/>
      <c r="CN23" s="476"/>
      <c r="CO23" s="476"/>
      <c r="CP23" s="476"/>
      <c r="CQ23" s="476"/>
      <c r="CR23" s="476">
        <f>AF23</f>
        <v>-2.02</v>
      </c>
      <c r="CS23" s="476">
        <f>AK23</f>
        <v>-15.605</v>
      </c>
      <c r="CT23" s="476">
        <f>AP23</f>
        <v>-9.2891688601515234</v>
      </c>
      <c r="CU23" s="476">
        <f>AU23</f>
        <v>-2.7551756287737987</v>
      </c>
      <c r="CV23" s="476">
        <f>AZ23</f>
        <v>-0.17800000000000527</v>
      </c>
      <c r="CW23" s="476">
        <f>BE23</f>
        <v>-2.8889999999999887</v>
      </c>
      <c r="CX23" s="476">
        <f>BJ23</f>
        <v>1.5830000000000037</v>
      </c>
      <c r="CY23" s="476">
        <f>BO23</f>
        <v>8.7120000000000051</v>
      </c>
      <c r="CZ23" s="476">
        <f>BT23</f>
        <v>16.175000000000001</v>
      </c>
      <c r="DA23" s="476">
        <f t="shared" si="28"/>
        <v>17.878176500000002</v>
      </c>
      <c r="DB23" s="476">
        <f t="shared" si="28"/>
        <v>18.585573575000005</v>
      </c>
      <c r="DC23" s="682">
        <f t="shared" si="28"/>
        <v>19.328340503750006</v>
      </c>
      <c r="DD23" s="331"/>
      <c r="DE23" s="331"/>
      <c r="DF23" s="502"/>
      <c r="DG23" s="503"/>
      <c r="DH23" s="2577"/>
      <c r="DI23" s="3213"/>
      <c r="DJ23" s="502"/>
      <c r="DK23" s="503"/>
      <c r="DL23" s="502"/>
      <c r="DM23" s="502"/>
      <c r="DN23" s="502"/>
      <c r="DO23" s="502"/>
      <c r="DP23" s="503"/>
      <c r="DQ23" s="503"/>
      <c r="DR23" s="296"/>
      <c r="DS23" s="296"/>
      <c r="DT23" s="296"/>
      <c r="DU23"/>
      <c r="DV23"/>
      <c r="DW23"/>
      <c r="DX23"/>
      <c r="DY23"/>
      <c r="DZ23"/>
    </row>
    <row r="24" spans="1:130" ht="12.6" customHeight="1" x14ac:dyDescent="0.25">
      <c r="A24" s="1813" t="s">
        <v>2413</v>
      </c>
      <c r="B24" s="2056"/>
      <c r="C24" s="2146"/>
      <c r="D24" s="2146"/>
      <c r="E24" s="2146"/>
      <c r="F24" s="2146"/>
      <c r="G24" s="2147"/>
      <c r="H24" s="2146"/>
      <c r="I24" s="2146"/>
      <c r="J24" s="2146"/>
      <c r="K24" s="2146"/>
      <c r="L24" s="2147"/>
      <c r="M24" s="2146"/>
      <c r="N24" s="2146"/>
      <c r="O24" s="2146"/>
      <c r="P24" s="2146"/>
      <c r="Q24" s="2147"/>
      <c r="R24" s="2146"/>
      <c r="S24" s="2146"/>
      <c r="T24" s="2146"/>
      <c r="U24" s="2146"/>
      <c r="V24" s="2147"/>
      <c r="W24" s="2146"/>
      <c r="X24" s="2146"/>
      <c r="Y24" s="2146"/>
      <c r="Z24" s="2146"/>
      <c r="AA24" s="2147"/>
      <c r="AB24" s="2148">
        <f>SUM(AB19:AB23)</f>
        <v>175.251</v>
      </c>
      <c r="AC24" s="2148">
        <f>SUM(AC19:AC23)</f>
        <v>158.39600000000002</v>
      </c>
      <c r="AD24" s="2148">
        <f>SUM(AD19:AD23)</f>
        <v>172.499</v>
      </c>
      <c r="AE24" s="2148">
        <f>SUM(AE19:AE23)</f>
        <v>143.749</v>
      </c>
      <c r="AF24" s="2149">
        <f>SUM(AB24:AE24)</f>
        <v>649.8950000000001</v>
      </c>
      <c r="AG24" s="2148">
        <f>SUM(AG19:AG23)</f>
        <v>164.917</v>
      </c>
      <c r="AH24" s="2148">
        <f>SUM(AH19:AH23)</f>
        <v>168.21899999999999</v>
      </c>
      <c r="AI24" s="2148">
        <f>SUM(AI19:AI23)</f>
        <v>181.75400000000002</v>
      </c>
      <c r="AJ24" s="2148">
        <f>SUM(AJ19:AJ23)</f>
        <v>169.15199999999999</v>
      </c>
      <c r="AK24" s="2149">
        <f>SUM(AG24:AJ24)</f>
        <v>684.04199999999992</v>
      </c>
      <c r="AL24" s="2150">
        <f>SUM(AL19:AL23)</f>
        <v>198.673</v>
      </c>
      <c r="AM24" s="2150">
        <f>SUM(AM19:AM23)</f>
        <v>209.76500000000001</v>
      </c>
      <c r="AN24" s="2676">
        <v>210.70600000000002</v>
      </c>
      <c r="AO24" s="2676">
        <v>185.34299999999999</v>
      </c>
      <c r="AP24" s="2151">
        <f>SUM(AP19:AP23)</f>
        <v>804.48699999999997</v>
      </c>
      <c r="AQ24" s="2681">
        <v>229.23999999999998</v>
      </c>
      <c r="AR24" s="2678">
        <v>220.49800000000002</v>
      </c>
      <c r="AS24" s="2678">
        <v>218.09100000000001</v>
      </c>
      <c r="AT24" s="2678">
        <v>211.40299999999996</v>
      </c>
      <c r="AU24" s="2151">
        <f t="shared" ref="AU24:BJ24" si="32">SUM(AU19:AU23)</f>
        <v>879.23199999999986</v>
      </c>
      <c r="AV24" s="2151">
        <f t="shared" si="32"/>
        <v>250.80699999999999</v>
      </c>
      <c r="AW24" s="2148">
        <f t="shared" si="32"/>
        <v>240.02</v>
      </c>
      <c r="AX24" s="2148">
        <f t="shared" si="32"/>
        <v>209.37200000000001</v>
      </c>
      <c r="AY24" s="2148">
        <f t="shared" si="32"/>
        <v>190.09399999999999</v>
      </c>
      <c r="AZ24" s="2149">
        <f t="shared" si="32"/>
        <v>890.29300000000001</v>
      </c>
      <c r="BA24" s="2151">
        <f t="shared" si="32"/>
        <v>196.333</v>
      </c>
      <c r="BB24" s="2148">
        <f t="shared" si="32"/>
        <v>201.23299999999998</v>
      </c>
      <c r="BC24" s="2148">
        <f t="shared" si="32"/>
        <v>190.19499999999999</v>
      </c>
      <c r="BD24" s="2148">
        <f t="shared" si="32"/>
        <v>191.63</v>
      </c>
      <c r="BE24" s="2149">
        <f t="shared" si="32"/>
        <v>779.39099999999996</v>
      </c>
      <c r="BF24" s="2148">
        <f t="shared" si="32"/>
        <v>207.67899999999997</v>
      </c>
      <c r="BG24" s="2148">
        <f t="shared" si="32"/>
        <v>219.08199999999999</v>
      </c>
      <c r="BH24" s="2148">
        <f t="shared" si="32"/>
        <v>224.16199999999998</v>
      </c>
      <c r="BI24" s="2152">
        <f t="shared" si="32"/>
        <v>227.428</v>
      </c>
      <c r="BJ24" s="2149">
        <f t="shared" si="32"/>
        <v>878.351</v>
      </c>
      <c r="BK24" s="2148">
        <f t="shared" ref="BK24:BU24" si="33">SUM(BK19:BK23)</f>
        <v>233.483</v>
      </c>
      <c r="BL24" s="2148">
        <f t="shared" si="33"/>
        <v>237.77999999999997</v>
      </c>
      <c r="BM24" s="2148">
        <f t="shared" si="33"/>
        <v>227.86</v>
      </c>
      <c r="BN24" s="2152">
        <f t="shared" si="33"/>
        <v>214.50400000000002</v>
      </c>
      <c r="BO24" s="2149">
        <f t="shared" si="33"/>
        <v>913.62700000000007</v>
      </c>
      <c r="BP24" s="2148">
        <f t="shared" si="33"/>
        <v>245.70999999999998</v>
      </c>
      <c r="BQ24" s="2148">
        <f t="shared" si="33"/>
        <v>245.13800000000003</v>
      </c>
      <c r="BR24" s="2148">
        <f t="shared" si="33"/>
        <v>242.78699999999998</v>
      </c>
      <c r="BS24" s="2152">
        <f t="shared" si="33"/>
        <v>216.91100000000003</v>
      </c>
      <c r="BT24" s="2152">
        <f t="shared" si="33"/>
        <v>950.54600000000005</v>
      </c>
      <c r="BU24" s="2148">
        <f t="shared" si="33"/>
        <v>249.05816787702511</v>
      </c>
      <c r="BV24" s="2148">
        <f t="shared" ref="BV24:CF24" si="34">SUM(BV19:BV23)</f>
        <v>257.34107672277764</v>
      </c>
      <c r="BW24" s="2148">
        <f t="shared" si="34"/>
        <v>409.51807009753725</v>
      </c>
      <c r="BX24" s="2148">
        <f t="shared" si="34"/>
        <v>380.85845964107841</v>
      </c>
      <c r="BY24" s="2149">
        <f t="shared" si="34"/>
        <v>1296.7757743384184</v>
      </c>
      <c r="BZ24" s="2149">
        <f t="shared" si="34"/>
        <v>1660.3149663027868</v>
      </c>
      <c r="CA24" s="2149">
        <f t="shared" si="34"/>
        <v>1644.0112403345311</v>
      </c>
      <c r="CB24" s="2149">
        <f t="shared" si="34"/>
        <v>900.80704697707904</v>
      </c>
      <c r="CC24" s="2149">
        <f t="shared" si="34"/>
        <v>839.08663210402608</v>
      </c>
      <c r="CD24" s="2149">
        <f t="shared" si="34"/>
        <v>865.3306161745802</v>
      </c>
      <c r="CE24" s="2149">
        <f t="shared" si="34"/>
        <v>893.13877672629769</v>
      </c>
      <c r="CF24" s="2149">
        <f t="shared" si="34"/>
        <v>919.75505065758989</v>
      </c>
      <c r="CG24" s="588"/>
      <c r="CH24" s="3524"/>
      <c r="CI24" s="450"/>
      <c r="CJ24" s="450"/>
      <c r="CK24" s="450"/>
      <c r="CL24" s="2162" t="str">
        <f t="shared" si="26"/>
        <v>Adjusted Property EBITDA</v>
      </c>
      <c r="CM24" s="2201"/>
      <c r="CN24" s="2201"/>
      <c r="CO24" s="2201"/>
      <c r="CP24" s="2201"/>
      <c r="CQ24" s="2201"/>
      <c r="CR24" s="2201">
        <f>AF24</f>
        <v>649.8950000000001</v>
      </c>
      <c r="CS24" s="2201">
        <f>AK24</f>
        <v>684.04199999999992</v>
      </c>
      <c r="CT24" s="2201">
        <f>AP24</f>
        <v>804.48699999999997</v>
      </c>
      <c r="CU24" s="2201">
        <f>AU24</f>
        <v>879.23199999999986</v>
      </c>
      <c r="CV24" s="2201">
        <f>AZ24</f>
        <v>890.29300000000001</v>
      </c>
      <c r="CW24" s="2201">
        <f>BE24</f>
        <v>779.39099999999996</v>
      </c>
      <c r="CX24" s="2201">
        <f>BJ24</f>
        <v>878.351</v>
      </c>
      <c r="CY24" s="2201">
        <f>BO24</f>
        <v>913.62700000000007</v>
      </c>
      <c r="CZ24" s="2201">
        <f>BT24</f>
        <v>950.54600000000005</v>
      </c>
      <c r="DA24" s="2201">
        <f t="shared" si="28"/>
        <v>1296.7757743384184</v>
      </c>
      <c r="DB24" s="2201">
        <f t="shared" si="28"/>
        <v>1660.3149663027868</v>
      </c>
      <c r="DC24" s="2202">
        <f t="shared" si="28"/>
        <v>1644.0112403345311</v>
      </c>
      <c r="DD24" s="450"/>
      <c r="DE24" s="450"/>
      <c r="DF24" s="2144"/>
      <c r="DG24" s="2144"/>
      <c r="DH24" s="2144"/>
      <c r="DI24" s="3213"/>
      <c r="DJ24" s="2144"/>
      <c r="DK24" s="2144"/>
      <c r="DL24" s="2144"/>
      <c r="DM24" s="2144"/>
      <c r="DN24" s="2144"/>
      <c r="DO24" s="2144"/>
      <c r="DP24" s="2144"/>
      <c r="DQ24" s="2144"/>
      <c r="DR24" s="2145"/>
      <c r="DS24" s="2145"/>
      <c r="DT24" s="2145"/>
    </row>
    <row r="25" spans="1:130" s="2572" customFormat="1" ht="12.6" customHeight="1" x14ac:dyDescent="0.25">
      <c r="A25" s="516"/>
      <c r="B25" s="883"/>
      <c r="C25" s="450"/>
      <c r="D25" s="450"/>
      <c r="E25" s="450"/>
      <c r="F25" s="450"/>
      <c r="G25" s="451"/>
      <c r="H25" s="450"/>
      <c r="I25" s="450"/>
      <c r="J25" s="450"/>
      <c r="K25" s="450"/>
      <c r="L25" s="451"/>
      <c r="M25" s="450"/>
      <c r="N25" s="450"/>
      <c r="O25" s="450"/>
      <c r="P25" s="450"/>
      <c r="Q25" s="451"/>
      <c r="R25" s="450"/>
      <c r="S25" s="450"/>
      <c r="T25" s="450"/>
      <c r="U25" s="450"/>
      <c r="V25" s="451"/>
      <c r="W25" s="450"/>
      <c r="X25" s="450"/>
      <c r="Y25" s="450"/>
      <c r="Z25" s="450"/>
      <c r="AA25" s="451"/>
      <c r="AB25" s="2144"/>
      <c r="AC25" s="2144"/>
      <c r="AD25" s="2144"/>
      <c r="AE25" s="2144"/>
      <c r="AF25" s="2566"/>
      <c r="AG25" s="2144"/>
      <c r="AH25" s="2144"/>
      <c r="AI25" s="2144"/>
      <c r="AJ25" s="2144"/>
      <c r="AK25" s="2566"/>
      <c r="AL25" s="2567"/>
      <c r="AM25" s="2567"/>
      <c r="AN25" s="2567"/>
      <c r="AO25" s="2567"/>
      <c r="AP25" s="2568"/>
      <c r="AQ25" s="2568"/>
      <c r="AR25" s="2144"/>
      <c r="AS25" s="2144"/>
      <c r="AT25" s="2144"/>
      <c r="AU25" s="2568"/>
      <c r="AV25" s="2568"/>
      <c r="AW25" s="2144"/>
      <c r="AX25" s="2570"/>
      <c r="AY25" s="2570"/>
      <c r="AZ25" s="2566"/>
      <c r="BA25" s="3197"/>
      <c r="BB25" s="2957"/>
      <c r="BC25" s="2957"/>
      <c r="BD25" s="2957"/>
      <c r="BE25" s="2960"/>
      <c r="BF25" s="2957"/>
      <c r="BG25" s="2957"/>
      <c r="BH25" s="2957"/>
      <c r="BI25" s="3140"/>
      <c r="BJ25" s="2960"/>
      <c r="BK25" s="2957"/>
      <c r="BL25" s="2957"/>
      <c r="BM25" s="2882"/>
      <c r="BN25" s="3129"/>
      <c r="BO25" s="2960"/>
      <c r="BP25" s="2882"/>
      <c r="BQ25" s="2882"/>
      <c r="BR25" s="2882"/>
      <c r="BS25" s="2959"/>
      <c r="BT25" s="3223"/>
      <c r="BU25" s="3289"/>
      <c r="BV25" s="3289"/>
      <c r="BW25" s="3289"/>
      <c r="BX25" s="3289"/>
      <c r="BY25" s="2569"/>
      <c r="BZ25" s="2569"/>
      <c r="CA25" s="2569"/>
      <c r="CB25" s="2569"/>
      <c r="CC25" s="2569"/>
      <c r="CD25" s="2569"/>
      <c r="CE25" s="2569"/>
      <c r="CF25" s="2569"/>
      <c r="CG25" s="450"/>
      <c r="CH25" s="450"/>
      <c r="CI25" s="450"/>
      <c r="CJ25" s="450"/>
      <c r="CK25" s="450"/>
      <c r="CL25" s="516"/>
      <c r="CM25" s="2144"/>
      <c r="CN25" s="2144"/>
      <c r="CO25" s="2144"/>
      <c r="CP25" s="2144"/>
      <c r="CQ25" s="2144"/>
      <c r="CR25" s="2144"/>
      <c r="CS25" s="2144"/>
      <c r="CT25" s="2144"/>
      <c r="CU25" s="2144"/>
      <c r="CV25" s="2144"/>
      <c r="CW25" s="2144"/>
      <c r="CX25" s="2144"/>
      <c r="CY25" s="2144"/>
      <c r="CZ25" s="2144"/>
      <c r="DA25" s="2144"/>
      <c r="DB25" s="2144"/>
      <c r="DC25" s="2207"/>
      <c r="DD25" s="450"/>
      <c r="DE25" s="450"/>
      <c r="DF25" s="2144"/>
      <c r="DG25" s="2144"/>
      <c r="DH25" s="3289"/>
      <c r="DI25" s="3213"/>
      <c r="DJ25" s="2144"/>
      <c r="DK25" s="2144"/>
      <c r="DL25" s="2144"/>
      <c r="DM25" s="2144"/>
      <c r="DN25" s="2144"/>
      <c r="DO25" s="2144"/>
      <c r="DP25" s="2144"/>
      <c r="DQ25" s="2144"/>
      <c r="DR25" s="883"/>
      <c r="DS25" s="883"/>
      <c r="DT25" s="883"/>
      <c r="DU25"/>
      <c r="DV25"/>
      <c r="DW25"/>
      <c r="DX25"/>
      <c r="DY25"/>
      <c r="DZ25"/>
    </row>
    <row r="26" spans="1:130" ht="12.6" customHeight="1" x14ac:dyDescent="0.25">
      <c r="A26" s="1617" t="s">
        <v>843</v>
      </c>
      <c r="B26" s="281"/>
      <c r="C26" s="305"/>
      <c r="D26" s="305"/>
      <c r="E26" s="305"/>
      <c r="F26" s="305"/>
      <c r="G26" s="440"/>
      <c r="H26" s="305"/>
      <c r="I26" s="305"/>
      <c r="J26" s="305"/>
      <c r="K26" s="305"/>
      <c r="L26" s="440"/>
      <c r="M26" s="305"/>
      <c r="N26" s="305"/>
      <c r="O26" s="305"/>
      <c r="P26" s="305"/>
      <c r="Q26" s="440"/>
      <c r="R26" s="305"/>
      <c r="S26" s="305"/>
      <c r="T26" s="305"/>
      <c r="U26" s="305"/>
      <c r="V26" s="440"/>
      <c r="W26" s="305"/>
      <c r="X26" s="305"/>
      <c r="Y26" s="305"/>
      <c r="Z26" s="305"/>
      <c r="AA26" s="440"/>
      <c r="AB26" s="588"/>
      <c r="AC26" s="588"/>
      <c r="AD26" s="588"/>
      <c r="AE26" s="588"/>
      <c r="AF26" s="591">
        <f>AF24/689.2-1</f>
        <v>-5.7029889727219896E-2</v>
      </c>
      <c r="AG26" s="519">
        <f t="shared" ref="AG26:AU26" si="35">AG24/AB24-1</f>
        <v>-5.8966853256186891E-2</v>
      </c>
      <c r="AH26" s="519">
        <f t="shared" si="35"/>
        <v>6.2015454935730574E-2</v>
      </c>
      <c r="AI26" s="519">
        <f t="shared" si="35"/>
        <v>5.3652484941941747E-2</v>
      </c>
      <c r="AJ26" s="519">
        <f t="shared" si="35"/>
        <v>0.17671775108000753</v>
      </c>
      <c r="AK26" s="591">
        <f t="shared" si="35"/>
        <v>5.2542333761607329E-2</v>
      </c>
      <c r="AL26" s="519">
        <f t="shared" si="35"/>
        <v>0.20468478082914432</v>
      </c>
      <c r="AM26" s="519">
        <f t="shared" si="35"/>
        <v>0.24697566862245068</v>
      </c>
      <c r="AN26" s="519">
        <f t="shared" si="35"/>
        <v>0.15929223015724547</v>
      </c>
      <c r="AO26" s="519">
        <f t="shared" si="35"/>
        <v>9.571864358683313E-2</v>
      </c>
      <c r="AP26" s="591">
        <f t="shared" si="35"/>
        <v>0.17607836945684641</v>
      </c>
      <c r="AQ26" s="1618">
        <f t="shared" si="35"/>
        <v>0.15385583345497356</v>
      </c>
      <c r="AR26" s="519">
        <f t="shared" si="35"/>
        <v>5.1166781874955269E-2</v>
      </c>
      <c r="AS26" s="519">
        <f t="shared" si="35"/>
        <v>3.5048835818628721E-2</v>
      </c>
      <c r="AT26" s="519">
        <f t="shared" si="35"/>
        <v>0.14060417712025797</v>
      </c>
      <c r="AU26" s="1618">
        <f t="shared" si="35"/>
        <v>9.2910140250867856E-2</v>
      </c>
      <c r="AV26" s="1618">
        <f t="shared" ref="AV26:BA26" si="36">AV24/AQ24-1</f>
        <v>9.4080439713837061E-2</v>
      </c>
      <c r="AW26" s="519">
        <f t="shared" si="36"/>
        <v>8.8535950439459832E-2</v>
      </c>
      <c r="AX26" s="519">
        <f t="shared" si="36"/>
        <v>-3.9978724477397032E-2</v>
      </c>
      <c r="AY26" s="519">
        <f t="shared" si="36"/>
        <v>-0.10079800192050237</v>
      </c>
      <c r="AZ26" s="591">
        <f t="shared" si="36"/>
        <v>1.2580297350414993E-2</v>
      </c>
      <c r="BA26" s="1618">
        <f t="shared" si="36"/>
        <v>-0.21719489487932953</v>
      </c>
      <c r="BB26" s="519">
        <f t="shared" ref="BB26:BJ26" si="37">BB24/AW24-1</f>
        <v>-0.16159903341388226</v>
      </c>
      <c r="BC26" s="519">
        <f t="shared" si="37"/>
        <v>-9.1592954167701635E-2</v>
      </c>
      <c r="BD26" s="519">
        <f t="shared" si="37"/>
        <v>8.0802129472787865E-3</v>
      </c>
      <c r="BE26" s="591">
        <f t="shared" si="37"/>
        <v>-0.1245679793056893</v>
      </c>
      <c r="BF26" s="519">
        <f t="shared" si="37"/>
        <v>5.7789571798933403E-2</v>
      </c>
      <c r="BG26" s="519">
        <f t="shared" si="37"/>
        <v>8.8698175746522834E-2</v>
      </c>
      <c r="BH26" s="519">
        <f t="shared" si="37"/>
        <v>0.1785903940692446</v>
      </c>
      <c r="BI26" s="1462">
        <f t="shared" si="37"/>
        <v>0.18680791107864114</v>
      </c>
      <c r="BJ26" s="591">
        <f t="shared" si="37"/>
        <v>0.12697092986703717</v>
      </c>
      <c r="BK26" s="519">
        <f t="shared" ref="BK26:BT26" si="38">BK24/BF24-1</f>
        <v>0.12424944264947357</v>
      </c>
      <c r="BL26" s="519">
        <f t="shared" si="38"/>
        <v>8.5347039008225156E-2</v>
      </c>
      <c r="BM26" s="519">
        <f t="shared" si="38"/>
        <v>1.6496997707015515E-2</v>
      </c>
      <c r="BN26" s="1462">
        <f t="shared" si="38"/>
        <v>-5.682677594667318E-2</v>
      </c>
      <c r="BO26" s="591">
        <f t="shared" si="38"/>
        <v>4.0161621037603457E-2</v>
      </c>
      <c r="BP26" s="519">
        <f t="shared" si="38"/>
        <v>5.2367838343690964E-2</v>
      </c>
      <c r="BQ26" s="519">
        <f t="shared" si="38"/>
        <v>3.0944570611489919E-2</v>
      </c>
      <c r="BR26" s="519">
        <f t="shared" si="38"/>
        <v>6.5509523391556135E-2</v>
      </c>
      <c r="BS26" s="1462">
        <f t="shared" si="38"/>
        <v>1.1221235967627585E-2</v>
      </c>
      <c r="BT26" s="1462">
        <f t="shared" si="38"/>
        <v>4.04092698661489E-2</v>
      </c>
      <c r="BU26" s="519">
        <f>BU24/BP24-1</f>
        <v>1.3626502287351405E-2</v>
      </c>
      <c r="BV26" s="519">
        <f>BV24/BQ24-1</f>
        <v>4.9780436826512453E-2</v>
      </c>
      <c r="BW26" s="519">
        <f>BW24/BR24-1</f>
        <v>0.68673804650799797</v>
      </c>
      <c r="BX26" s="519">
        <f>BX24/BS24-1</f>
        <v>0.75582824126521175</v>
      </c>
      <c r="BY26" s="591">
        <f>BY24/BT24-1</f>
        <v>0.36424305014004399</v>
      </c>
      <c r="BZ26" s="591">
        <f t="shared" ref="BZ26:CF26" si="39">BZ24/BY24-1</f>
        <v>0.28034082619243628</v>
      </c>
      <c r="CA26" s="591">
        <f t="shared" si="39"/>
        <v>-9.8196584980265733E-3</v>
      </c>
      <c r="CB26" s="591">
        <f t="shared" si="39"/>
        <v>-0.45206758635434963</v>
      </c>
      <c r="CC26" s="591">
        <f t="shared" si="39"/>
        <v>-6.8516798442212257E-2</v>
      </c>
      <c r="CD26" s="591">
        <f t="shared" si="39"/>
        <v>3.1276846831353788E-2</v>
      </c>
      <c r="CE26" s="591">
        <f t="shared" si="39"/>
        <v>3.2135879664873856E-2</v>
      </c>
      <c r="CF26" s="591">
        <f t="shared" si="39"/>
        <v>2.980082673025497E-2</v>
      </c>
      <c r="CG26" s="331"/>
      <c r="CH26" s="331"/>
      <c r="CI26" s="331"/>
      <c r="CJ26" s="331"/>
      <c r="CK26" s="331"/>
      <c r="CL26" s="1617" t="str">
        <f>A26</f>
        <v>% growth</v>
      </c>
      <c r="CM26" s="519"/>
      <c r="CN26" s="519"/>
      <c r="CO26" s="519"/>
      <c r="CP26" s="519"/>
      <c r="CQ26" s="519"/>
      <c r="CR26" s="519">
        <f>AF26</f>
        <v>-5.7029889727219896E-2</v>
      </c>
      <c r="CS26" s="519">
        <f>AK26</f>
        <v>5.2542333761607329E-2</v>
      </c>
      <c r="CT26" s="519">
        <f>AP26</f>
        <v>0.17607836945684641</v>
      </c>
      <c r="CU26" s="519">
        <f>AU26</f>
        <v>9.2910140250867856E-2</v>
      </c>
      <c r="CV26" s="519">
        <f>AZ26</f>
        <v>1.2580297350414993E-2</v>
      </c>
      <c r="CW26" s="519">
        <f>BE26</f>
        <v>-0.1245679793056893</v>
      </c>
      <c r="CX26" s="519">
        <f>BJ26</f>
        <v>0.12697092986703717</v>
      </c>
      <c r="CY26" s="519">
        <f>BO26</f>
        <v>4.0161621037603457E-2</v>
      </c>
      <c r="CZ26" s="519">
        <f>BT26</f>
        <v>4.04092698661489E-2</v>
      </c>
      <c r="DA26" s="519">
        <f t="shared" ref="DA26:DC27" si="40">BY26</f>
        <v>0.36424305014004399</v>
      </c>
      <c r="DB26" s="519">
        <f t="shared" si="40"/>
        <v>0.28034082619243628</v>
      </c>
      <c r="DC26" s="1462">
        <f t="shared" si="40"/>
        <v>-9.8196584980265733E-3</v>
      </c>
      <c r="DD26" s="331"/>
      <c r="DE26" s="331"/>
      <c r="DF26" s="502"/>
      <c r="DG26" s="503"/>
      <c r="DH26" s="519"/>
      <c r="DI26" s="3213"/>
      <c r="DJ26" s="502"/>
      <c r="DK26" s="503"/>
      <c r="DL26" s="502"/>
      <c r="DM26" s="502"/>
      <c r="DN26" s="502"/>
      <c r="DO26" s="502"/>
      <c r="DP26" s="503"/>
      <c r="DQ26" s="503"/>
      <c r="DR26" s="296"/>
      <c r="DS26" s="296"/>
      <c r="DT26" s="296"/>
    </row>
    <row r="27" spans="1:130" ht="12.6" customHeight="1" x14ac:dyDescent="0.25">
      <c r="A27" s="1617" t="s">
        <v>0</v>
      </c>
      <c r="B27" s="281"/>
      <c r="C27" s="305"/>
      <c r="D27" s="305"/>
      <c r="E27" s="305"/>
      <c r="F27" s="305"/>
      <c r="G27" s="440"/>
      <c r="H27" s="305"/>
      <c r="I27" s="305"/>
      <c r="J27" s="305"/>
      <c r="K27" s="305"/>
      <c r="L27" s="440"/>
      <c r="M27" s="305"/>
      <c r="N27" s="305"/>
      <c r="O27" s="305"/>
      <c r="P27" s="305"/>
      <c r="Q27" s="440"/>
      <c r="R27" s="305"/>
      <c r="S27" s="305"/>
      <c r="T27" s="305"/>
      <c r="U27" s="305"/>
      <c r="V27" s="440"/>
      <c r="W27" s="305"/>
      <c r="X27" s="305"/>
      <c r="Y27" s="305"/>
      <c r="Z27" s="305"/>
      <c r="AA27" s="440"/>
      <c r="AB27" s="1618">
        <f t="shared" ref="AB27:AW27" si="41">AB24/AB$14</f>
        <v>0.28625213564925373</v>
      </c>
      <c r="AC27" s="519">
        <f t="shared" si="41"/>
        <v>0.27271240339039671</v>
      </c>
      <c r="AD27" s="519">
        <f t="shared" si="41"/>
        <v>0.27803315786250093</v>
      </c>
      <c r="AE27" s="1462">
        <f t="shared" si="41"/>
        <v>0.25863160887072106</v>
      </c>
      <c r="AF27" s="591">
        <f t="shared" si="41"/>
        <v>0.27430121028584703</v>
      </c>
      <c r="AG27" s="1618">
        <f t="shared" si="41"/>
        <v>0.27842410306538834</v>
      </c>
      <c r="AH27" s="519">
        <f t="shared" si="41"/>
        <v>0.28115645542201295</v>
      </c>
      <c r="AI27" s="519">
        <f t="shared" si="41"/>
        <v>0.28476661402321324</v>
      </c>
      <c r="AJ27" s="1462">
        <f t="shared" si="41"/>
        <v>0.26840108469885959</v>
      </c>
      <c r="AK27" s="591">
        <f t="shared" si="41"/>
        <v>0.27816637801221661</v>
      </c>
      <c r="AL27" s="1618">
        <f t="shared" si="41"/>
        <v>0.2978502990151764</v>
      </c>
      <c r="AM27" s="519">
        <f t="shared" si="41"/>
        <v>0.30494461962060193</v>
      </c>
      <c r="AN27" s="519">
        <f t="shared" si="41"/>
        <v>0.29639121964256832</v>
      </c>
      <c r="AO27" s="1462">
        <f t="shared" si="41"/>
        <v>0.27399364328479564</v>
      </c>
      <c r="AP27" s="591">
        <f t="shared" si="41"/>
        <v>0.29336674133751867</v>
      </c>
      <c r="AQ27" s="1618">
        <f t="shared" si="41"/>
        <v>0.31144242513168097</v>
      </c>
      <c r="AR27" s="519">
        <f t="shared" si="41"/>
        <v>0.30944872717882654</v>
      </c>
      <c r="AS27" s="519">
        <f t="shared" si="41"/>
        <v>0.3084546364865553</v>
      </c>
      <c r="AT27" s="1462">
        <f t="shared" si="41"/>
        <v>0.28421601724093881</v>
      </c>
      <c r="AU27" s="591">
        <f t="shared" si="41"/>
        <v>0.30323939071518363</v>
      </c>
      <c r="AV27" s="1618">
        <f t="shared" si="41"/>
        <v>0.31419762830004783</v>
      </c>
      <c r="AW27" s="519">
        <f t="shared" si="41"/>
        <v>0.31524710029670161</v>
      </c>
      <c r="AX27" s="519">
        <f t="shared" ref="AX27:BE27" si="42">AX24/AX$14</f>
        <v>0.29305955055393423</v>
      </c>
      <c r="AY27" s="1462">
        <f t="shared" si="42"/>
        <v>0.29485560770712671</v>
      </c>
      <c r="AZ27" s="591">
        <f t="shared" si="42"/>
        <v>0.3050250209507207</v>
      </c>
      <c r="BA27" s="1618">
        <f t="shared" si="42"/>
        <v>0.30625350970237725</v>
      </c>
      <c r="BB27" s="519">
        <f t="shared" si="42"/>
        <v>0.30857047348293171</v>
      </c>
      <c r="BC27" s="519">
        <f t="shared" si="42"/>
        <v>0.29444685264885284</v>
      </c>
      <c r="BD27" s="1462">
        <f t="shared" si="42"/>
        <v>0.29419892471467479</v>
      </c>
      <c r="BE27" s="591">
        <f t="shared" si="42"/>
        <v>0.30086183202806532</v>
      </c>
      <c r="BF27" s="519">
        <f t="shared" ref="BF27:BO27" si="43">BF24/BF$14</f>
        <v>0.31270458850419636</v>
      </c>
      <c r="BG27" s="519">
        <f t="shared" si="43"/>
        <v>0.31254743521704648</v>
      </c>
      <c r="BH27" s="519">
        <f t="shared" si="43"/>
        <v>0.30320967080889005</v>
      </c>
      <c r="BI27" s="1462">
        <f t="shared" si="43"/>
        <v>0.30986134253992348</v>
      </c>
      <c r="BJ27" s="591">
        <f t="shared" si="43"/>
        <v>0.30945743982964796</v>
      </c>
      <c r="BK27" s="519">
        <f t="shared" si="43"/>
        <v>0.30865581511558582</v>
      </c>
      <c r="BL27" s="519">
        <f t="shared" si="43"/>
        <v>0.30903717335870295</v>
      </c>
      <c r="BM27" s="519">
        <f t="shared" si="43"/>
        <v>0.29762394575736317</v>
      </c>
      <c r="BN27" s="1462">
        <f t="shared" si="43"/>
        <v>0.28873484002099847</v>
      </c>
      <c r="BO27" s="591">
        <f t="shared" si="43"/>
        <v>0.30109182106394061</v>
      </c>
      <c r="BP27" s="519">
        <f t="shared" ref="BP27:CF27" si="44">BP24/BP$14</f>
        <v>0.31654522405903451</v>
      </c>
      <c r="BQ27" s="519">
        <f t="shared" si="44"/>
        <v>0.30778328685701661</v>
      </c>
      <c r="BR27" s="519">
        <f t="shared" si="44"/>
        <v>0.30113228328291453</v>
      </c>
      <c r="BS27" s="1462">
        <f t="shared" si="44"/>
        <v>0.28205571650741973</v>
      </c>
      <c r="BT27" s="1462">
        <f t="shared" si="44"/>
        <v>0.30195522828997734</v>
      </c>
      <c r="BU27" s="519">
        <f t="shared" si="44"/>
        <v>0.3099508256716943</v>
      </c>
      <c r="BV27" s="519">
        <f>BV24/BV$14</f>
        <v>0.31596872238020396</v>
      </c>
      <c r="BW27" s="519">
        <f>BW24/BW$14</f>
        <v>0.31486649769817077</v>
      </c>
      <c r="BX27" s="519">
        <f>BX24/BX$14</f>
        <v>0.30488680989169753</v>
      </c>
      <c r="BY27" s="591">
        <f>BY24/BY$14</f>
        <v>0.31114301452953974</v>
      </c>
      <c r="BZ27" s="591">
        <f t="shared" si="44"/>
        <v>0.32206978553024468</v>
      </c>
      <c r="CA27" s="591">
        <f t="shared" si="44"/>
        <v>0.32024669409817524</v>
      </c>
      <c r="CB27" s="591">
        <f t="shared" si="44"/>
        <v>0.31153784997295053</v>
      </c>
      <c r="CC27" s="591">
        <f t="shared" si="44"/>
        <v>0.30421618203540646</v>
      </c>
      <c r="CD27" s="591">
        <f t="shared" si="44"/>
        <v>0.30782100573487087</v>
      </c>
      <c r="CE27" s="591">
        <f t="shared" si="44"/>
        <v>0.31156858669368898</v>
      </c>
      <c r="CF27" s="591">
        <f t="shared" si="44"/>
        <v>0.31495533790408275</v>
      </c>
      <c r="CG27" s="331"/>
      <c r="CH27" s="331"/>
      <c r="CI27" s="331"/>
      <c r="CJ27" s="331"/>
      <c r="CK27" s="331"/>
      <c r="CL27" s="1617" t="str">
        <f>A27</f>
        <v>Margin - Total</v>
      </c>
      <c r="CM27" s="519"/>
      <c r="CN27" s="519"/>
      <c r="CO27" s="519"/>
      <c r="CP27" s="519"/>
      <c r="CQ27" s="519"/>
      <c r="CR27" s="519">
        <f>AF27</f>
        <v>0.27430121028584703</v>
      </c>
      <c r="CS27" s="519">
        <f>AK27</f>
        <v>0.27816637801221661</v>
      </c>
      <c r="CT27" s="519">
        <f>AP27</f>
        <v>0.29336674133751867</v>
      </c>
      <c r="CU27" s="519">
        <f>AU27</f>
        <v>0.30323939071518363</v>
      </c>
      <c r="CV27" s="519">
        <f>AZ27</f>
        <v>0.3050250209507207</v>
      </c>
      <c r="CW27" s="519">
        <f>BE27</f>
        <v>0.30086183202806532</v>
      </c>
      <c r="CX27" s="519">
        <f>BJ27</f>
        <v>0.30945743982964796</v>
      </c>
      <c r="CY27" s="519">
        <f>BO27</f>
        <v>0.30109182106394061</v>
      </c>
      <c r="CZ27" s="519">
        <f>BT27</f>
        <v>0.30195522828997734</v>
      </c>
      <c r="DA27" s="519">
        <f t="shared" si="40"/>
        <v>0.31114301452953974</v>
      </c>
      <c r="DB27" s="519">
        <f t="shared" si="40"/>
        <v>0.32206978553024468</v>
      </c>
      <c r="DC27" s="1462">
        <f t="shared" si="40"/>
        <v>0.32024669409817524</v>
      </c>
      <c r="DD27" s="331"/>
      <c r="DE27" s="331"/>
      <c r="DF27" s="502"/>
      <c r="DG27" s="503"/>
      <c r="DH27" s="519"/>
      <c r="DI27" s="3213"/>
      <c r="DJ27" s="502"/>
      <c r="DK27" s="503"/>
      <c r="DL27" s="502"/>
      <c r="DM27" s="502"/>
      <c r="DN27" s="502"/>
      <c r="DO27" s="502"/>
      <c r="DP27" s="503"/>
      <c r="DQ27" s="503"/>
      <c r="DR27" s="296"/>
      <c r="DS27" s="296"/>
      <c r="DT27" s="296"/>
    </row>
    <row r="28" spans="1:130" ht="12.6" customHeight="1" x14ac:dyDescent="0.25">
      <c r="A28" s="2932" t="s">
        <v>2507</v>
      </c>
      <c r="B28" s="281"/>
      <c r="C28" s="305"/>
      <c r="D28" s="305"/>
      <c r="E28" s="305"/>
      <c r="F28" s="305"/>
      <c r="G28" s="440"/>
      <c r="H28" s="305"/>
      <c r="I28" s="305"/>
      <c r="J28" s="305"/>
      <c r="K28" s="305"/>
      <c r="L28" s="440"/>
      <c r="M28" s="305"/>
      <c r="N28" s="305"/>
      <c r="O28" s="305"/>
      <c r="P28" s="305"/>
      <c r="Q28" s="440"/>
      <c r="R28" s="305"/>
      <c r="S28" s="305"/>
      <c r="T28" s="305"/>
      <c r="U28" s="305"/>
      <c r="V28" s="440"/>
      <c r="W28" s="305"/>
      <c r="X28" s="305"/>
      <c r="Y28" s="305"/>
      <c r="Z28" s="305"/>
      <c r="AA28" s="440"/>
      <c r="AB28" s="519"/>
      <c r="AC28" s="519"/>
      <c r="AD28" s="519"/>
      <c r="AE28" s="519"/>
      <c r="AF28" s="591"/>
      <c r="AG28" s="519">
        <f t="shared" ref="AG28:AZ28" si="45">+AG19/AG9</f>
        <v>0.26937502020757215</v>
      </c>
      <c r="AH28" s="519">
        <f t="shared" si="45"/>
        <v>0.27652542608244846</v>
      </c>
      <c r="AI28" s="519">
        <f t="shared" si="45"/>
        <v>0.29440639300519755</v>
      </c>
      <c r="AJ28" s="519">
        <f t="shared" si="45"/>
        <v>0.28229497914855689</v>
      </c>
      <c r="AK28" s="591">
        <f t="shared" si="45"/>
        <v>0.28125229143874486</v>
      </c>
      <c r="AL28" s="519">
        <f t="shared" si="45"/>
        <v>0.29482089532604555</v>
      </c>
      <c r="AM28" s="519">
        <f t="shared" si="45"/>
        <v>0.30794538949250211</v>
      </c>
      <c r="AN28" s="519">
        <f t="shared" si="45"/>
        <v>0.30644570421236317</v>
      </c>
      <c r="AO28" s="519">
        <f t="shared" si="45"/>
        <v>0.30313997731753695</v>
      </c>
      <c r="AP28" s="591">
        <f t="shared" si="45"/>
        <v>0.30319181871845186</v>
      </c>
      <c r="AQ28" s="519">
        <f t="shared" si="45"/>
        <v>0.33011026398162707</v>
      </c>
      <c r="AR28" s="519">
        <f t="shared" si="45"/>
        <v>0.316525757072876</v>
      </c>
      <c r="AS28" s="519">
        <f t="shared" si="45"/>
        <v>0.31124862396425496</v>
      </c>
      <c r="AT28" s="519">
        <f t="shared" si="45"/>
        <v>0.29184030869144861</v>
      </c>
      <c r="AU28" s="591">
        <f t="shared" si="45"/>
        <v>0.31223774317572844</v>
      </c>
      <c r="AV28" s="519">
        <f t="shared" si="45"/>
        <v>0.32176784109842371</v>
      </c>
      <c r="AW28" s="519">
        <f t="shared" si="45"/>
        <v>0.32114381450954188</v>
      </c>
      <c r="AX28" s="519">
        <f t="shared" si="45"/>
        <v>0.30934466289839785</v>
      </c>
      <c r="AY28" s="519">
        <f t="shared" si="45"/>
        <v>0.31095730997733817</v>
      </c>
      <c r="AZ28" s="591">
        <f t="shared" si="45"/>
        <v>0.31621913547563368</v>
      </c>
      <c r="BA28" s="519">
        <f t="shared" ref="BA28:CA28" si="46">+BA19/BA9</f>
        <v>0.30187371508548239</v>
      </c>
      <c r="BB28" s="519">
        <f t="shared" si="46"/>
        <v>0.31385040402461473</v>
      </c>
      <c r="BC28" s="519">
        <f t="shared" si="46"/>
        <v>0.29845992569411262</v>
      </c>
      <c r="BD28" s="519">
        <f t="shared" si="46"/>
        <v>0.29510096141089481</v>
      </c>
      <c r="BE28" s="591">
        <f t="shared" si="46"/>
        <v>0.30214799792733604</v>
      </c>
      <c r="BF28" s="519">
        <f t="shared" si="46"/>
        <v>0.29708856376579401</v>
      </c>
      <c r="BG28" s="519">
        <f t="shared" si="46"/>
        <v>0.30295822763765468</v>
      </c>
      <c r="BH28" s="519">
        <f t="shared" si="46"/>
        <v>0.3071685786812019</v>
      </c>
      <c r="BI28" s="519">
        <f t="shared" si="46"/>
        <v>0.30472524878944518</v>
      </c>
      <c r="BJ28" s="591">
        <f t="shared" si="46"/>
        <v>0.30321900282832359</v>
      </c>
      <c r="BK28" s="519">
        <f t="shared" si="46"/>
        <v>0.31213997787413689</v>
      </c>
      <c r="BL28" s="519">
        <f t="shared" ref="BL28:BY28" si="47">+BL19/BL9</f>
        <v>0.31632363342930292</v>
      </c>
      <c r="BM28" s="519">
        <f t="shared" si="47"/>
        <v>0.31439451368042293</v>
      </c>
      <c r="BN28" s="519">
        <f t="shared" si="47"/>
        <v>0.30394449352724273</v>
      </c>
      <c r="BO28" s="591">
        <f t="shared" si="47"/>
        <v>0.31180447748347961</v>
      </c>
      <c r="BP28" s="519">
        <f t="shared" si="47"/>
        <v>0.32169062051262504</v>
      </c>
      <c r="BQ28" s="519">
        <f t="shared" si="47"/>
        <v>0.32060311183192258</v>
      </c>
      <c r="BR28" s="519">
        <f t="shared" si="47"/>
        <v>0.31766620708878152</v>
      </c>
      <c r="BS28" s="1462">
        <f t="shared" si="47"/>
        <v>0.30535757563122662</v>
      </c>
      <c r="BT28" s="1462">
        <f t="shared" si="47"/>
        <v>0.31643519205312226</v>
      </c>
      <c r="BU28" s="519">
        <f t="shared" si="47"/>
        <v>0.3245103052128725</v>
      </c>
      <c r="BV28" s="519">
        <f t="shared" si="47"/>
        <v>0.32383937220609132</v>
      </c>
      <c r="BW28" s="519">
        <f t="shared" si="47"/>
        <v>0.3178002828811321</v>
      </c>
      <c r="BX28" s="519">
        <f t="shared" si="47"/>
        <v>0.30835437751217326</v>
      </c>
      <c r="BY28" s="591">
        <f t="shared" si="47"/>
        <v>0.31876218705364212</v>
      </c>
      <c r="BZ28" s="591">
        <f t="shared" si="46"/>
        <v>0.32366349420947343</v>
      </c>
      <c r="CA28" s="591">
        <f t="shared" si="46"/>
        <v>0.32265709581291285</v>
      </c>
      <c r="CB28" s="591">
        <f t="shared" ref="CB28:CF30" si="48">+CB19/CB9</f>
        <v>0.32001400994260715</v>
      </c>
      <c r="CC28" s="591">
        <f t="shared" si="48"/>
        <v>0.31580414759585279</v>
      </c>
      <c r="CD28" s="591">
        <f t="shared" si="48"/>
        <v>0.31837037051276235</v>
      </c>
      <c r="CE28" s="591">
        <f t="shared" si="48"/>
        <v>0.32117633405222995</v>
      </c>
      <c r="CF28" s="591">
        <f t="shared" si="48"/>
        <v>0.3234780731709701</v>
      </c>
      <c r="CG28" s="331"/>
      <c r="CH28" s="331"/>
      <c r="CI28" s="331"/>
      <c r="CJ28" s="331"/>
      <c r="CK28" s="331"/>
      <c r="CL28" s="1617"/>
      <c r="CM28" s="519"/>
      <c r="CN28" s="519"/>
      <c r="CO28" s="519"/>
      <c r="CP28" s="519"/>
      <c r="CQ28" s="519"/>
      <c r="CR28" s="519"/>
      <c r="CS28" s="519"/>
      <c r="CT28" s="519"/>
      <c r="CU28" s="519"/>
      <c r="CV28" s="519"/>
      <c r="CW28" s="519"/>
      <c r="CX28" s="519"/>
      <c r="CY28" s="519"/>
      <c r="CZ28" s="519"/>
      <c r="DA28" s="519"/>
      <c r="DB28" s="519"/>
      <c r="DC28" s="1462"/>
      <c r="DD28" s="331"/>
      <c r="DE28" s="331"/>
      <c r="DF28" s="502"/>
      <c r="DG28" s="503"/>
      <c r="DH28" s="519"/>
      <c r="DI28" s="3213"/>
      <c r="DJ28" s="502"/>
      <c r="DK28" s="503"/>
      <c r="DL28" s="502"/>
      <c r="DM28" s="502"/>
      <c r="DN28" s="502"/>
      <c r="DO28" s="502"/>
      <c r="DP28" s="503"/>
      <c r="DQ28" s="503"/>
      <c r="DR28" s="296"/>
      <c r="DS28" s="296"/>
      <c r="DT28" s="296"/>
    </row>
    <row r="29" spans="1:130" ht="12.6" customHeight="1" x14ac:dyDescent="0.25">
      <c r="A29" s="2932" t="s">
        <v>2508</v>
      </c>
      <c r="B29" s="281"/>
      <c r="C29" s="305"/>
      <c r="D29" s="305"/>
      <c r="E29" s="305"/>
      <c r="F29" s="305"/>
      <c r="G29" s="440"/>
      <c r="H29" s="305"/>
      <c r="I29" s="305"/>
      <c r="J29" s="305"/>
      <c r="K29" s="305"/>
      <c r="L29" s="440"/>
      <c r="M29" s="305"/>
      <c r="N29" s="305"/>
      <c r="O29" s="305"/>
      <c r="P29" s="305"/>
      <c r="Q29" s="440"/>
      <c r="R29" s="305"/>
      <c r="S29" s="305"/>
      <c r="T29" s="305"/>
      <c r="U29" s="305"/>
      <c r="V29" s="440"/>
      <c r="W29" s="305"/>
      <c r="X29" s="305"/>
      <c r="Y29" s="305"/>
      <c r="Z29" s="305"/>
      <c r="AA29" s="440"/>
      <c r="AB29" s="519"/>
      <c r="AC29" s="519"/>
      <c r="AD29" s="519"/>
      <c r="AE29" s="519"/>
      <c r="AF29" s="591"/>
      <c r="AG29" s="519">
        <f t="shared" ref="AG29:AZ29" si="49">+AG20/AG10</f>
        <v>0.34456511199456996</v>
      </c>
      <c r="AH29" s="519">
        <f t="shared" si="49"/>
        <v>0.34105861244019137</v>
      </c>
      <c r="AI29" s="519">
        <f t="shared" si="49"/>
        <v>0.32663852683334105</v>
      </c>
      <c r="AJ29" s="519">
        <f t="shared" si="49"/>
        <v>0.29404777616470895</v>
      </c>
      <c r="AK29" s="591">
        <f t="shared" si="49"/>
        <v>0.32567662979524598</v>
      </c>
      <c r="AL29" s="519">
        <f t="shared" si="49"/>
        <v>0.34448871181938912</v>
      </c>
      <c r="AM29" s="519">
        <f t="shared" si="49"/>
        <v>0.26280544470562511</v>
      </c>
      <c r="AN29" s="519">
        <f t="shared" si="49"/>
        <v>0.21727004904929717</v>
      </c>
      <c r="AO29" s="519">
        <f t="shared" si="49"/>
        <v>0.2198178013537618</v>
      </c>
      <c r="AP29" s="591">
        <f t="shared" si="49"/>
        <v>0.24284961155027868</v>
      </c>
      <c r="AQ29" s="519">
        <f t="shared" si="49"/>
        <v>0.25955722963483818</v>
      </c>
      <c r="AR29" s="519">
        <f t="shared" si="49"/>
        <v>0.2319705327421315</v>
      </c>
      <c r="AS29" s="519">
        <f t="shared" si="49"/>
        <v>0.23725044882659604</v>
      </c>
      <c r="AT29" s="519">
        <f t="shared" si="49"/>
        <v>0.23772908121549463</v>
      </c>
      <c r="AU29" s="591">
        <f t="shared" si="49"/>
        <v>0.24177542116991838</v>
      </c>
      <c r="AV29" s="519">
        <f t="shared" si="49"/>
        <v>0.28835757497747461</v>
      </c>
      <c r="AW29" s="519">
        <f t="shared" si="49"/>
        <v>0.28631880472640864</v>
      </c>
      <c r="AX29" s="519">
        <f t="shared" si="49"/>
        <v>0.18979169204531612</v>
      </c>
      <c r="AY29" s="519">
        <f t="shared" si="49"/>
        <v>0.25590417781994373</v>
      </c>
      <c r="AZ29" s="591">
        <f t="shared" si="49"/>
        <v>0.25626554150023112</v>
      </c>
      <c r="BA29" s="519">
        <f t="shared" ref="BA29:BI29" si="50">+BA20/BA10</f>
        <v>0.29314458832676477</v>
      </c>
      <c r="BB29" s="519">
        <f t="shared" si="50"/>
        <v>0.2896974096084925</v>
      </c>
      <c r="BC29" s="519">
        <f t="shared" si="50"/>
        <v>0.25121173469387753</v>
      </c>
      <c r="BD29" s="519">
        <f t="shared" si="50"/>
        <v>0.27308893278833291</v>
      </c>
      <c r="BE29" s="591">
        <f t="shared" si="50"/>
        <v>0.27687738132160944</v>
      </c>
      <c r="BF29" s="519">
        <f>+BF20/BF10</f>
        <v>0.31511948448720872</v>
      </c>
      <c r="BG29" s="519">
        <f t="shared" si="50"/>
        <v>0.30199216544325241</v>
      </c>
      <c r="BH29" s="519">
        <f t="shared" si="50"/>
        <v>0.24912485414235705</v>
      </c>
      <c r="BI29" s="519">
        <f t="shared" si="50"/>
        <v>0.22067883778627392</v>
      </c>
      <c r="BJ29" s="591">
        <f>+BJ20/BJ10</f>
        <v>0.26949019607843139</v>
      </c>
      <c r="BK29" s="519">
        <f>+BK20/BK10</f>
        <v>0.25539832901859261</v>
      </c>
      <c r="BL29" s="519">
        <f t="shared" ref="BL29:BY29" si="51">+BL20/BL10</f>
        <v>0.26031347246409914</v>
      </c>
      <c r="BM29" s="519">
        <f t="shared" si="51"/>
        <v>0.21089155057742529</v>
      </c>
      <c r="BN29" s="519">
        <f t="shared" si="51"/>
        <v>0.21325039523647701</v>
      </c>
      <c r="BO29" s="591">
        <f t="shared" si="51"/>
        <v>0.23521469721390323</v>
      </c>
      <c r="BP29" s="519">
        <f t="shared" si="51"/>
        <v>0.25991274495780292</v>
      </c>
      <c r="BQ29" s="519">
        <f t="shared" si="51"/>
        <v>0.2288525703390771</v>
      </c>
      <c r="BR29" s="519">
        <f t="shared" si="51"/>
        <v>0.21882824549024996</v>
      </c>
      <c r="BS29" s="1462">
        <f t="shared" si="51"/>
        <v>0.19062042206121074</v>
      </c>
      <c r="BT29" s="1462">
        <f t="shared" si="51"/>
        <v>0.22379793141999052</v>
      </c>
      <c r="BU29" s="519">
        <f t="shared" si="51"/>
        <v>0.26464863413227574</v>
      </c>
      <c r="BV29" s="519">
        <f t="shared" si="51"/>
        <v>0.25419525845681173</v>
      </c>
      <c r="BW29" s="519">
        <f t="shared" si="51"/>
        <v>0.246096599154906</v>
      </c>
      <c r="BX29" s="519">
        <f t="shared" si="51"/>
        <v>0.21741731955350049</v>
      </c>
      <c r="BY29" s="591">
        <f t="shared" si="51"/>
        <v>0.24613923483872877</v>
      </c>
      <c r="BZ29" s="591">
        <f t="shared" ref="BZ29:CA31" si="52">+BZ20/BZ10</f>
        <v>0.26301875298822336</v>
      </c>
      <c r="CA29" s="591">
        <f t="shared" si="52"/>
        <v>0.26083956982868078</v>
      </c>
      <c r="CB29" s="591">
        <f t="shared" si="48"/>
        <v>0.25400768558066095</v>
      </c>
      <c r="CC29" s="591">
        <f t="shared" si="48"/>
        <v>0.2372398501158921</v>
      </c>
      <c r="CD29" s="591">
        <f t="shared" si="48"/>
        <v>0.24373590999014361</v>
      </c>
      <c r="CE29" s="591">
        <f t="shared" si="48"/>
        <v>0.25016837842056011</v>
      </c>
      <c r="CF29" s="591">
        <f t="shared" si="48"/>
        <v>0.25653730184846507</v>
      </c>
      <c r="CG29" s="331"/>
      <c r="CH29" s="331"/>
      <c r="CI29" s="331"/>
      <c r="CJ29" s="331"/>
      <c r="CK29" s="331"/>
      <c r="CL29" s="1617"/>
      <c r="CM29" s="519"/>
      <c r="CN29" s="519"/>
      <c r="CO29" s="519"/>
      <c r="CP29" s="519"/>
      <c r="CQ29" s="519"/>
      <c r="CR29" s="519"/>
      <c r="CS29" s="519"/>
      <c r="CT29" s="519"/>
      <c r="CU29" s="519"/>
      <c r="CV29" s="519"/>
      <c r="CW29" s="519"/>
      <c r="CX29" s="519"/>
      <c r="CY29" s="519"/>
      <c r="CZ29" s="519"/>
      <c r="DA29" s="519"/>
      <c r="DB29" s="519"/>
      <c r="DC29" s="1462"/>
      <c r="DD29" s="331"/>
      <c r="DE29" s="331"/>
      <c r="DF29" s="502"/>
      <c r="DG29" s="503"/>
      <c r="DH29" s="519"/>
      <c r="DI29" s="3213"/>
      <c r="DJ29" s="502"/>
      <c r="DK29" s="503"/>
      <c r="DL29" s="502"/>
      <c r="DM29" s="502"/>
      <c r="DN29" s="502"/>
      <c r="DO29" s="502"/>
      <c r="DP29" s="503"/>
      <c r="DQ29" s="503"/>
      <c r="DR29" s="296"/>
      <c r="DS29" s="296"/>
      <c r="DT29" s="296"/>
    </row>
    <row r="30" spans="1:130" ht="12.6" customHeight="1" x14ac:dyDescent="0.25">
      <c r="A30" s="2932" t="s">
        <v>2509</v>
      </c>
      <c r="B30" s="281"/>
      <c r="C30" s="305"/>
      <c r="D30" s="305"/>
      <c r="E30" s="305"/>
      <c r="F30" s="305"/>
      <c r="G30" s="440"/>
      <c r="H30" s="305"/>
      <c r="I30" s="305"/>
      <c r="J30" s="305"/>
      <c r="K30" s="305"/>
      <c r="L30" s="440"/>
      <c r="M30" s="305"/>
      <c r="N30" s="305"/>
      <c r="O30" s="305"/>
      <c r="P30" s="305"/>
      <c r="Q30" s="440"/>
      <c r="R30" s="305"/>
      <c r="S30" s="305"/>
      <c r="T30" s="305"/>
      <c r="U30" s="305"/>
      <c r="V30" s="440"/>
      <c r="W30" s="305"/>
      <c r="X30" s="305"/>
      <c r="Y30" s="305"/>
      <c r="Z30" s="305"/>
      <c r="AA30" s="440"/>
      <c r="AB30" s="519"/>
      <c r="AC30" s="519"/>
      <c r="AD30" s="519"/>
      <c r="AE30" s="519"/>
      <c r="AF30" s="591"/>
      <c r="AG30" s="519">
        <f t="shared" ref="AG30:AZ30" si="53">+AG21/AG11</f>
        <v>0.29949860899360303</v>
      </c>
      <c r="AH30" s="519">
        <f t="shared" si="53"/>
        <v>0.29527283670464982</v>
      </c>
      <c r="AI30" s="519">
        <f t="shared" si="53"/>
        <v>0.2979051190761377</v>
      </c>
      <c r="AJ30" s="519">
        <f t="shared" si="53"/>
        <v>0.28812524027166714</v>
      </c>
      <c r="AK30" s="591">
        <f t="shared" si="53"/>
        <v>0.2953131943633821</v>
      </c>
      <c r="AL30" s="519">
        <f t="shared" si="53"/>
        <v>0.32187393218621491</v>
      </c>
      <c r="AM30" s="519">
        <f t="shared" si="53"/>
        <v>0.31783718104495751</v>
      </c>
      <c r="AN30" s="519">
        <f t="shared" si="53"/>
        <v>0.30539479598544644</v>
      </c>
      <c r="AO30" s="519">
        <f t="shared" si="53"/>
        <v>0.26954191656019422</v>
      </c>
      <c r="AP30" s="591">
        <f t="shared" si="53"/>
        <v>0.30458519661418382</v>
      </c>
      <c r="AQ30" s="519">
        <f t="shared" si="53"/>
        <v>0.34340425428645305</v>
      </c>
      <c r="AR30" s="519">
        <f t="shared" si="53"/>
        <v>0.32674300761977176</v>
      </c>
      <c r="AS30" s="519">
        <f t="shared" si="53"/>
        <v>0.32826992085267048</v>
      </c>
      <c r="AT30" s="519">
        <f t="shared" si="53"/>
        <v>0.27798356058401053</v>
      </c>
      <c r="AU30" s="591">
        <f t="shared" si="53"/>
        <v>0.31879910899684477</v>
      </c>
      <c r="AV30" s="519">
        <f t="shared" si="53"/>
        <v>0.3156619861073845</v>
      </c>
      <c r="AW30" s="519">
        <f t="shared" si="53"/>
        <v>0.32309475962281653</v>
      </c>
      <c r="AX30" s="519">
        <f t="shared" si="53"/>
        <v>0.29815698495398552</v>
      </c>
      <c r="AY30" s="519">
        <f t="shared" si="53"/>
        <v>0.29280568037034854</v>
      </c>
      <c r="AZ30" s="591">
        <f t="shared" si="53"/>
        <v>0.30818622327599821</v>
      </c>
      <c r="BA30" s="519">
        <f t="shared" ref="BA30:BI30" si="54">+BA21/BA11</f>
        <v>0.33098210411904944</v>
      </c>
      <c r="BB30" s="519">
        <f t="shared" si="54"/>
        <v>0.32518177302081919</v>
      </c>
      <c r="BC30" s="519">
        <f t="shared" si="54"/>
        <v>0.31932927863529526</v>
      </c>
      <c r="BD30" s="519">
        <f t="shared" si="54"/>
        <v>0.31716467026457812</v>
      </c>
      <c r="BE30" s="591">
        <f t="shared" si="54"/>
        <v>0.32342130932017699</v>
      </c>
      <c r="BF30" s="519">
        <f>+BF21/BF11</f>
        <v>0.34207466609346454</v>
      </c>
      <c r="BG30" s="519">
        <f t="shared" si="54"/>
        <v>0.34194762472526685</v>
      </c>
      <c r="BH30" s="519">
        <f t="shared" si="54"/>
        <v>0.32953159744638116</v>
      </c>
      <c r="BI30" s="519">
        <f t="shared" si="54"/>
        <v>0.38412276748653967</v>
      </c>
      <c r="BJ30" s="591">
        <f>+BJ21/BJ11</f>
        <v>0.34953092961004584</v>
      </c>
      <c r="BK30" s="519">
        <f>+BK21/BK11</f>
        <v>0.33964030794561195</v>
      </c>
      <c r="BL30" s="519">
        <f t="shared" ref="BL30:BY31" si="55">+BL21/BL11</f>
        <v>0.33219980386459391</v>
      </c>
      <c r="BM30" s="519">
        <f t="shared" si="55"/>
        <v>0.32392888792433039</v>
      </c>
      <c r="BN30" s="519">
        <f t="shared" si="55"/>
        <v>0.31328466474472239</v>
      </c>
      <c r="BO30" s="591">
        <f t="shared" si="55"/>
        <v>0.32735429585922876</v>
      </c>
      <c r="BP30" s="519">
        <f t="shared" si="55"/>
        <v>0.34206308192241325</v>
      </c>
      <c r="BQ30" s="519">
        <f t="shared" si="55"/>
        <v>0.33573941391257162</v>
      </c>
      <c r="BR30" s="519">
        <f t="shared" si="55"/>
        <v>0.32770382372840451</v>
      </c>
      <c r="BS30" s="1462">
        <f t="shared" si="55"/>
        <v>0.30656990137499102</v>
      </c>
      <c r="BT30" s="1462">
        <f t="shared" si="55"/>
        <v>0.32813181824192389</v>
      </c>
      <c r="BU30" s="519">
        <f t="shared" si="55"/>
        <v>0.32184508736773754</v>
      </c>
      <c r="BV30" s="519">
        <f t="shared" si="55"/>
        <v>0.34197674574298215</v>
      </c>
      <c r="BW30" s="519">
        <f t="shared" si="55"/>
        <v>0.35266670093393138</v>
      </c>
      <c r="BX30" s="519">
        <f t="shared" si="55"/>
        <v>0.3447837191915783</v>
      </c>
      <c r="BY30" s="591">
        <f t="shared" si="55"/>
        <v>0.34050648779000742</v>
      </c>
      <c r="BZ30" s="591">
        <f t="shared" si="52"/>
        <v>0.34839744401623163</v>
      </c>
      <c r="CA30" s="591">
        <f t="shared" si="52"/>
        <v>0.34556238814319717</v>
      </c>
      <c r="CB30" s="591">
        <f t="shared" si="48"/>
        <v>0.31768693673100629</v>
      </c>
      <c r="CC30" s="591">
        <f t="shared" si="48"/>
        <v>0.30846353691397305</v>
      </c>
      <c r="CD30" s="591">
        <f t="shared" si="48"/>
        <v>0.31277811085938889</v>
      </c>
      <c r="CE30" s="591">
        <f t="shared" si="48"/>
        <v>0.31712988522444052</v>
      </c>
      <c r="CF30" s="591">
        <f t="shared" si="48"/>
        <v>0.32129824957040382</v>
      </c>
      <c r="CG30" s="331"/>
      <c r="CH30" s="331"/>
      <c r="CI30" s="331"/>
      <c r="CJ30" s="331"/>
      <c r="CK30" s="331"/>
      <c r="CL30" s="1617"/>
      <c r="CM30" s="519"/>
      <c r="CN30" s="519"/>
      <c r="CO30" s="519"/>
      <c r="CP30" s="519"/>
      <c r="CQ30" s="519"/>
      <c r="CR30" s="519"/>
      <c r="CS30" s="519"/>
      <c r="CT30" s="519"/>
      <c r="CU30" s="519"/>
      <c r="CV30" s="519"/>
      <c r="CW30" s="519"/>
      <c r="CX30" s="519"/>
      <c r="CY30" s="519"/>
      <c r="CZ30" s="519"/>
      <c r="DA30" s="519"/>
      <c r="DB30" s="519"/>
      <c r="DC30" s="1462"/>
      <c r="DD30" s="331"/>
      <c r="DE30" s="331"/>
      <c r="DF30" s="502"/>
      <c r="DG30" s="503"/>
      <c r="DH30" s="519"/>
      <c r="DI30" s="3213"/>
      <c r="DJ30" s="502"/>
      <c r="DK30" s="503"/>
      <c r="DL30" s="502"/>
      <c r="DM30" s="502"/>
      <c r="DN30" s="502"/>
      <c r="DO30" s="502"/>
      <c r="DP30" s="503"/>
      <c r="DQ30" s="503"/>
      <c r="DR30" s="296"/>
      <c r="DS30" s="296"/>
      <c r="DT30" s="296"/>
    </row>
    <row r="31" spans="1:130" ht="12.6" customHeight="1" x14ac:dyDescent="0.25">
      <c r="A31" s="2932" t="s">
        <v>2604</v>
      </c>
      <c r="B31" s="281"/>
      <c r="C31" s="305"/>
      <c r="D31" s="305"/>
      <c r="E31" s="305"/>
      <c r="F31" s="305"/>
      <c r="G31" s="440"/>
      <c r="H31" s="305"/>
      <c r="I31" s="305"/>
      <c r="J31" s="305"/>
      <c r="K31" s="305"/>
      <c r="L31" s="440"/>
      <c r="M31" s="305"/>
      <c r="N31" s="305"/>
      <c r="O31" s="305"/>
      <c r="P31" s="305"/>
      <c r="Q31" s="440"/>
      <c r="R31" s="305"/>
      <c r="S31" s="305"/>
      <c r="T31" s="305"/>
      <c r="U31" s="305"/>
      <c r="V31" s="440"/>
      <c r="W31" s="305"/>
      <c r="X31" s="305"/>
      <c r="Y31" s="305"/>
      <c r="Z31" s="305"/>
      <c r="AA31" s="440"/>
      <c r="AB31" s="519"/>
      <c r="AC31" s="519"/>
      <c r="AD31" s="519"/>
      <c r="AE31" s="519"/>
      <c r="AF31" s="591"/>
      <c r="AG31" s="519"/>
      <c r="AH31" s="519"/>
      <c r="AI31" s="519"/>
      <c r="AJ31" s="519"/>
      <c r="AK31" s="591"/>
      <c r="AL31" s="519"/>
      <c r="AM31" s="519"/>
      <c r="AN31" s="519"/>
      <c r="AO31" s="519"/>
      <c r="AP31" s="1618"/>
      <c r="AQ31" s="519"/>
      <c r="AR31" s="519"/>
      <c r="AS31" s="519"/>
      <c r="AT31" s="519"/>
      <c r="AU31" s="591"/>
      <c r="AV31" s="519"/>
      <c r="AW31" s="519"/>
      <c r="AX31" s="519"/>
      <c r="AY31" s="519"/>
      <c r="AZ31" s="591"/>
      <c r="BA31" s="519"/>
      <c r="BB31" s="519"/>
      <c r="BC31" s="519"/>
      <c r="BD31" s="519"/>
      <c r="BE31" s="591"/>
      <c r="BF31" s="519"/>
      <c r="BG31" s="519"/>
      <c r="BH31" s="519"/>
      <c r="BI31" s="519"/>
      <c r="BJ31" s="591"/>
      <c r="BK31" s="519"/>
      <c r="BL31" s="519"/>
      <c r="BM31" s="519"/>
      <c r="BN31" s="519"/>
      <c r="BO31" s="591"/>
      <c r="BP31" s="519"/>
      <c r="BQ31" s="519"/>
      <c r="BR31" s="519"/>
      <c r="BS31" s="1462"/>
      <c r="BT31" s="1462"/>
      <c r="BU31" s="519"/>
      <c r="BV31" s="519"/>
      <c r="BW31" s="519">
        <f t="shared" si="55"/>
        <v>0.31434980316750472</v>
      </c>
      <c r="BX31" s="519">
        <f t="shared" si="55"/>
        <v>0.30935472895298383</v>
      </c>
      <c r="BY31" s="591">
        <f t="shared" si="55"/>
        <v>0.31188991143987954</v>
      </c>
      <c r="BZ31" s="591">
        <f t="shared" si="52"/>
        <v>0.32691551507714911</v>
      </c>
      <c r="CA31" s="591">
        <f t="shared" si="52"/>
        <v>0.32491371376128803</v>
      </c>
      <c r="CB31" s="591"/>
      <c r="CC31" s="591"/>
      <c r="CD31" s="591"/>
      <c r="CE31" s="591"/>
      <c r="CF31" s="591"/>
      <c r="CG31" s="331"/>
      <c r="CH31" s="331"/>
      <c r="CI31" s="331"/>
      <c r="CJ31" s="331"/>
      <c r="CK31" s="331"/>
      <c r="CL31" s="1617"/>
      <c r="CM31" s="519"/>
      <c r="CN31" s="519"/>
      <c r="CO31" s="519"/>
      <c r="CP31" s="519"/>
      <c r="CQ31" s="519"/>
      <c r="CR31" s="519"/>
      <c r="CS31" s="519"/>
      <c r="CT31" s="519"/>
      <c r="CU31" s="519"/>
      <c r="CV31" s="519"/>
      <c r="CW31" s="519"/>
      <c r="CX31" s="519"/>
      <c r="CY31" s="519"/>
      <c r="CZ31" s="519"/>
      <c r="DA31" s="519"/>
      <c r="DB31" s="519"/>
      <c r="DC31" s="1462"/>
      <c r="DD31" s="331"/>
      <c r="DE31" s="331"/>
      <c r="DF31" s="502"/>
      <c r="DG31" s="503"/>
      <c r="DH31" s="519"/>
      <c r="DI31" s="3213"/>
      <c r="DJ31" s="502"/>
      <c r="DK31" s="503"/>
      <c r="DL31" s="502"/>
      <c r="DM31" s="502"/>
      <c r="DN31" s="502"/>
      <c r="DO31" s="502"/>
      <c r="DP31" s="503"/>
      <c r="DQ31" s="503"/>
      <c r="DR31" s="296"/>
      <c r="DS31" s="296"/>
      <c r="DT31" s="296"/>
    </row>
    <row r="32" spans="1:130" ht="12.6" customHeight="1" x14ac:dyDescent="0.25">
      <c r="A32" s="1617" t="s">
        <v>858</v>
      </c>
      <c r="B32" s="281"/>
      <c r="C32" s="305"/>
      <c r="D32" s="305"/>
      <c r="E32" s="305"/>
      <c r="F32" s="305"/>
      <c r="G32" s="440"/>
      <c r="H32" s="305"/>
      <c r="I32" s="305"/>
      <c r="J32" s="305"/>
      <c r="K32" s="305"/>
      <c r="L32" s="440"/>
      <c r="M32" s="305"/>
      <c r="N32" s="305"/>
      <c r="O32" s="305"/>
      <c r="P32" s="305"/>
      <c r="Q32" s="440"/>
      <c r="R32" s="305"/>
      <c r="S32" s="305"/>
      <c r="T32" s="305"/>
      <c r="U32" s="305"/>
      <c r="V32" s="440"/>
      <c r="W32" s="305"/>
      <c r="X32" s="305"/>
      <c r="Y32" s="305"/>
      <c r="Z32" s="305"/>
      <c r="AA32" s="440"/>
      <c r="AB32" s="519"/>
      <c r="AC32" s="519"/>
      <c r="AD32" s="519"/>
      <c r="AE32" s="519"/>
      <c r="AF32" s="591"/>
      <c r="AG32" s="519">
        <f t="shared" ref="AG32:AY32" si="56">+(AG24-AB24)/(AG$14-AB$14)</f>
        <v>0.51921820831030463</v>
      </c>
      <c r="AH32" s="519">
        <f t="shared" si="56"/>
        <v>0.56150680233222239</v>
      </c>
      <c r="AI32" s="519">
        <f t="shared" si="56"/>
        <v>0.5190689848569795</v>
      </c>
      <c r="AJ32" s="519">
        <f t="shared" si="56"/>
        <v>0.34136934757777337</v>
      </c>
      <c r="AK32" s="591">
        <f t="shared" si="56"/>
        <v>0.38010374460127044</v>
      </c>
      <c r="AL32" s="519">
        <f t="shared" si="56"/>
        <v>0.45188755020080296</v>
      </c>
      <c r="AM32" s="519">
        <f t="shared" si="56"/>
        <v>0.46384869596284478</v>
      </c>
      <c r="AN32" s="519">
        <f t="shared" si="56"/>
        <v>0.39851890597255357</v>
      </c>
      <c r="AO32" s="519">
        <f t="shared" si="56"/>
        <v>0.3502347011616091</v>
      </c>
      <c r="AP32" s="1618">
        <f t="shared" si="56"/>
        <v>0.42538125207490118</v>
      </c>
      <c r="AQ32" s="1618">
        <f t="shared" si="56"/>
        <v>0.44276899009212517</v>
      </c>
      <c r="AR32" s="519">
        <f t="shared" si="56"/>
        <v>0.43502756160830064</v>
      </c>
      <c r="AS32" s="519">
        <f t="shared" si="56"/>
        <v>-1.9127169127169152</v>
      </c>
      <c r="AT32" s="519">
        <f t="shared" si="56"/>
        <v>0.38687074123008763</v>
      </c>
      <c r="AU32" s="591">
        <f t="shared" si="56"/>
        <v>0.47545290316014494</v>
      </c>
      <c r="AV32" s="519">
        <f t="shared" si="56"/>
        <v>0.34680881856336537</v>
      </c>
      <c r="AW32" s="519">
        <f t="shared" si="56"/>
        <v>0.3998770995493644</v>
      </c>
      <c r="AX32" s="519">
        <f t="shared" si="56"/>
        <v>-1.1796779867406175</v>
      </c>
      <c r="AY32" s="519">
        <f t="shared" si="56"/>
        <v>0.21500570079407483</v>
      </c>
      <c r="AZ32" s="591">
        <f t="shared" ref="AZ32:BE32" si="57">+(AZ24-AU24)/(AZ$14-AU$14)</f>
        <v>0.57343563689148036</v>
      </c>
      <c r="BA32" s="519">
        <f t="shared" si="57"/>
        <v>0.34660168229769756</v>
      </c>
      <c r="BB32" s="519">
        <f t="shared" si="57"/>
        <v>0.35511100938429868</v>
      </c>
      <c r="BC32" s="519">
        <f t="shared" si="57"/>
        <v>0.27997664063070277</v>
      </c>
      <c r="BD32" s="519">
        <f t="shared" si="57"/>
        <v>0.23063063063063194</v>
      </c>
      <c r="BE32" s="591">
        <f t="shared" si="57"/>
        <v>0.33788304400017016</v>
      </c>
      <c r="BF32" s="519">
        <f t="shared" ref="BF32:BK32" si="58">+(BF24-BA24)/(BF$14-BA$14)</f>
        <v>0.49206349206348871</v>
      </c>
      <c r="BG32" s="519">
        <f t="shared" si="58"/>
        <v>0.3656832616267166</v>
      </c>
      <c r="BH32" s="519">
        <f t="shared" si="58"/>
        <v>0.36383988345812263</v>
      </c>
      <c r="BI32" s="1462">
        <f t="shared" si="58"/>
        <v>0.4333635978451667</v>
      </c>
      <c r="BJ32" s="591">
        <f t="shared" si="58"/>
        <v>0.39930597587055594</v>
      </c>
      <c r="BK32" s="519">
        <f t="shared" si="58"/>
        <v>0.27952726051585403</v>
      </c>
      <c r="BL32" s="519">
        <f t="shared" ref="BL32:BT32" si="59">+(BL24-BG24)/(BL$14-BG$14)</f>
        <v>0.27309905646598231</v>
      </c>
      <c r="BM32" s="519">
        <f t="shared" si="59"/>
        <v>0.14060836501901242</v>
      </c>
      <c r="BN32" s="1462">
        <f t="shared" si="59"/>
        <v>-1.4451526333444971</v>
      </c>
      <c r="BO32" s="591">
        <f t="shared" si="59"/>
        <v>0.17995939231310812</v>
      </c>
      <c r="BP32" s="519">
        <f t="shared" si="59"/>
        <v>0.61836848227380925</v>
      </c>
      <c r="BQ32" s="519">
        <f t="shared" si="59"/>
        <v>0.27210532154876216</v>
      </c>
      <c r="BR32" s="519">
        <f t="shared" si="59"/>
        <v>0.36720787207872113</v>
      </c>
      <c r="BS32" s="1462">
        <f t="shared" si="59"/>
        <v>9.2130444767665284E-2</v>
      </c>
      <c r="BT32" s="1462">
        <f t="shared" si="59"/>
        <v>0.32501980808169678</v>
      </c>
      <c r="BU32" s="519">
        <f>+(BU24-BP24)/(BU$14-BP$14)</f>
        <v>0.12256760114884419</v>
      </c>
      <c r="BV32" s="519">
        <f>+(BV24-BQ24)/(BV$14-BQ$14)</f>
        <v>0.67839681905559313</v>
      </c>
      <c r="BW32" s="519">
        <f>+(BW24-BR24)/(BW$14-BR$14)</f>
        <v>0.33726542492310291</v>
      </c>
      <c r="BX32" s="519">
        <f>+(BX24-BS24)/(BX$14-BS$14)</f>
        <v>0.34145487737533275</v>
      </c>
      <c r="BY32" s="591">
        <f>+(BY24-BT24)/(BY$14-BT$14)</f>
        <v>0.339504045088316</v>
      </c>
      <c r="BZ32" s="591">
        <f t="shared" ref="BZ32:CF32" si="60">+(BZ24-BY24)/(BZ$14-BY$14)</f>
        <v>0.36819316972408855</v>
      </c>
      <c r="CA32" s="591">
        <f t="shared" si="60"/>
        <v>0.75610231065703704</v>
      </c>
      <c r="CB32" s="591">
        <f t="shared" si="60"/>
        <v>0.33147794047870716</v>
      </c>
      <c r="CC32" s="591">
        <f t="shared" si="60"/>
        <v>0.46304279758813571</v>
      </c>
      <c r="CD32" s="591">
        <f t="shared" si="60"/>
        <v>0.49557427578052732</v>
      </c>
      <c r="CE32" s="591">
        <f t="shared" si="60"/>
        <v>0.50159627207144142</v>
      </c>
      <c r="CF32" s="591">
        <f t="shared" si="60"/>
        <v>0.49580140674210754</v>
      </c>
      <c r="CG32" s="331"/>
      <c r="CH32" s="331"/>
      <c r="CI32" s="331"/>
      <c r="CJ32" s="331"/>
      <c r="CK32" s="331"/>
      <c r="CL32" s="1617"/>
      <c r="CM32" s="519"/>
      <c r="CN32" s="519"/>
      <c r="CO32" s="519"/>
      <c r="CP32" s="519"/>
      <c r="CQ32" s="519"/>
      <c r="CR32" s="519"/>
      <c r="CS32" s="519"/>
      <c r="CT32" s="519"/>
      <c r="CU32" s="519"/>
      <c r="CV32" s="519"/>
      <c r="CW32" s="519"/>
      <c r="CX32" s="519"/>
      <c r="CY32" s="519"/>
      <c r="CZ32" s="519"/>
      <c r="DA32" s="519"/>
      <c r="DB32" s="519"/>
      <c r="DC32" s="1462"/>
      <c r="DD32" s="331"/>
      <c r="DE32" s="331"/>
      <c r="DF32" s="502"/>
      <c r="DG32" s="503"/>
      <c r="DH32" s="519"/>
      <c r="DI32" s="3213"/>
      <c r="DJ32" s="502"/>
      <c r="DK32" s="503"/>
      <c r="DL32" s="502"/>
      <c r="DM32" s="502"/>
      <c r="DN32" s="502"/>
      <c r="DO32" s="502"/>
      <c r="DP32" s="503"/>
      <c r="DQ32" s="503"/>
      <c r="DR32" s="296"/>
      <c r="DS32" s="296"/>
      <c r="DT32" s="296"/>
    </row>
    <row r="33" spans="1:130" ht="12.6" customHeight="1" x14ac:dyDescent="0.25">
      <c r="A33" s="1984"/>
      <c r="B33" s="1980"/>
      <c r="C33" s="595"/>
      <c r="D33" s="595"/>
      <c r="E33" s="595"/>
      <c r="F33" s="595"/>
      <c r="G33" s="1981"/>
      <c r="H33" s="595"/>
      <c r="I33" s="595"/>
      <c r="J33" s="595"/>
      <c r="K33" s="595"/>
      <c r="L33" s="1981"/>
      <c r="M33" s="595"/>
      <c r="N33" s="595"/>
      <c r="O33" s="595"/>
      <c r="P33" s="595"/>
      <c r="Q33" s="1981"/>
      <c r="R33" s="595"/>
      <c r="S33" s="595"/>
      <c r="T33" s="595"/>
      <c r="U33" s="595"/>
      <c r="V33" s="1981"/>
      <c r="W33" s="595"/>
      <c r="X33" s="595"/>
      <c r="Y33" s="595"/>
      <c r="Z33" s="595"/>
      <c r="AA33" s="1981"/>
      <c r="AB33" s="595"/>
      <c r="AC33" s="595"/>
      <c r="AD33" s="595"/>
      <c r="AE33" s="595"/>
      <c r="AF33" s="1981"/>
      <c r="AG33" s="595"/>
      <c r="AH33" s="595"/>
      <c r="AI33" s="595"/>
      <c r="AJ33" s="595"/>
      <c r="AK33" s="1981"/>
      <c r="AL33" s="595"/>
      <c r="AM33" s="595"/>
      <c r="AN33" s="595"/>
      <c r="AO33" s="595"/>
      <c r="AP33" s="1982"/>
      <c r="AQ33" s="1982"/>
      <c r="AR33" s="2072"/>
      <c r="AS33" s="2072"/>
      <c r="AT33" s="2072"/>
      <c r="AU33" s="1981"/>
      <c r="AV33" s="2072"/>
      <c r="AW33" s="2072"/>
      <c r="AX33" s="2072"/>
      <c r="AY33" s="2072"/>
      <c r="AZ33" s="1981"/>
      <c r="BA33" s="2072"/>
      <c r="BB33" s="595"/>
      <c r="BC33" s="595"/>
      <c r="BD33" s="595"/>
      <c r="BE33" s="1981"/>
      <c r="BF33" s="595"/>
      <c r="BG33" s="595"/>
      <c r="BH33" s="595"/>
      <c r="BI33" s="2886"/>
      <c r="BJ33" s="1981"/>
      <c r="BK33" s="595"/>
      <c r="BL33" s="595"/>
      <c r="BM33" s="595"/>
      <c r="BN33" s="2886"/>
      <c r="BO33" s="1981"/>
      <c r="BP33" s="595"/>
      <c r="BQ33" s="595"/>
      <c r="BR33" s="595"/>
      <c r="BS33" s="2886"/>
      <c r="BT33" s="1922"/>
      <c r="BU33" s="598"/>
      <c r="BV33" s="598"/>
      <c r="BW33" s="598"/>
      <c r="BX33" s="598"/>
      <c r="BY33" s="1981"/>
      <c r="BZ33" s="1981"/>
      <c r="CA33" s="1981"/>
      <c r="CB33" s="1981"/>
      <c r="CC33" s="1981"/>
      <c r="CD33" s="1981"/>
      <c r="CE33" s="1981"/>
      <c r="CF33" s="1981"/>
      <c r="CG33" s="492"/>
      <c r="CH33" s="492"/>
      <c r="CI33" s="492"/>
      <c r="CJ33" s="492"/>
      <c r="CK33" s="492"/>
      <c r="CL33" s="1984"/>
      <c r="CM33" s="598"/>
      <c r="CN33" s="598"/>
      <c r="CO33" s="598"/>
      <c r="CP33" s="598"/>
      <c r="CQ33" s="598"/>
      <c r="CR33" s="598"/>
      <c r="CS33" s="598"/>
      <c r="CT33" s="598"/>
      <c r="CU33" s="598"/>
      <c r="CV33" s="598"/>
      <c r="CW33" s="598"/>
      <c r="CX33" s="598"/>
      <c r="CY33" s="598"/>
      <c r="CZ33" s="598"/>
      <c r="DA33" s="598"/>
      <c r="DB33" s="598"/>
      <c r="DC33" s="1922"/>
      <c r="DD33" s="492"/>
      <c r="DE33" s="492"/>
      <c r="DF33" s="962"/>
      <c r="DG33" s="962"/>
      <c r="DH33" s="598"/>
      <c r="DI33" s="3213"/>
      <c r="DJ33" s="962"/>
      <c r="DK33" s="962"/>
      <c r="DL33" s="962"/>
      <c r="DM33" s="962"/>
      <c r="DN33" s="962"/>
      <c r="DO33" s="962"/>
      <c r="DP33" s="962"/>
      <c r="DQ33" s="962"/>
      <c r="DR33" s="603"/>
      <c r="DS33" s="603"/>
      <c r="DT33" s="603"/>
    </row>
    <row r="34" spans="1:130" ht="12.6" customHeight="1" x14ac:dyDescent="0.25">
      <c r="A34" s="2725" t="s">
        <v>2643</v>
      </c>
      <c r="B34" s="428"/>
      <c r="C34" s="482">
        <v>6.181</v>
      </c>
      <c r="D34" s="482">
        <v>5.7190000000000003</v>
      </c>
      <c r="E34" s="482">
        <v>5.2489999999999997</v>
      </c>
      <c r="F34" s="482">
        <v>6.1760000000000002</v>
      </c>
      <c r="G34" s="481">
        <f>SUM(C34:F34)</f>
        <v>23.325000000000003</v>
      </c>
      <c r="H34" s="482">
        <v>7.5789999999999997</v>
      </c>
      <c r="I34" s="482">
        <v>7.1849999999999996</v>
      </c>
      <c r="J34" s="482">
        <v>6.984</v>
      </c>
      <c r="K34" s="482">
        <v>11.237</v>
      </c>
      <c r="L34" s="481">
        <f>SUM(H34:K34)</f>
        <v>32.984999999999999</v>
      </c>
      <c r="M34" s="482">
        <v>12.305999999999999</v>
      </c>
      <c r="N34" s="482">
        <v>12.095000000000001</v>
      </c>
      <c r="O34" s="482">
        <v>14.388999999999999</v>
      </c>
      <c r="P34" s="482">
        <v>14.464</v>
      </c>
      <c r="Q34" s="481">
        <f>SUM(M34:P34)</f>
        <v>53.253999999999998</v>
      </c>
      <c r="R34" s="482">
        <v>11.657</v>
      </c>
      <c r="S34" s="482">
        <v>16.256</v>
      </c>
      <c r="T34" s="482">
        <v>13.726000000000001</v>
      </c>
      <c r="U34" s="482">
        <v>13.000999999999999</v>
      </c>
      <c r="V34" s="481">
        <f>SUM(R34:U34)</f>
        <v>54.64</v>
      </c>
      <c r="W34" s="482">
        <v>13.154</v>
      </c>
      <c r="X34" s="482">
        <v>15.348000000000001</v>
      </c>
      <c r="Y34" s="482">
        <v>9.1590000000000025</v>
      </c>
      <c r="Z34" s="482">
        <f>37.921-26</f>
        <v>11.920999999999999</v>
      </c>
      <c r="AA34" s="481">
        <f>SUM(W34:Z34)</f>
        <v>49.582000000000001</v>
      </c>
      <c r="AB34" s="482">
        <v>16.391999999999999</v>
      </c>
      <c r="AC34" s="482">
        <v>16.666</v>
      </c>
      <c r="AD34" s="482">
        <f>28.157-1.1-11.2</f>
        <v>15.856999999999999</v>
      </c>
      <c r="AE34" s="430">
        <f>22.831-AE48</f>
        <v>10.030999999999999</v>
      </c>
      <c r="AF34" s="481">
        <f>SUM(AB34:AE34)</f>
        <v>58.945999999999998</v>
      </c>
      <c r="AG34" s="482">
        <f>16.15-AG48</f>
        <v>15.798999999999999</v>
      </c>
      <c r="AH34" s="482">
        <v>19.393000000000001</v>
      </c>
      <c r="AI34" s="482">
        <v>16.945</v>
      </c>
      <c r="AJ34" s="482">
        <v>18.866</v>
      </c>
      <c r="AK34" s="481">
        <f>SUM(AG34:AJ34)</f>
        <v>71.003</v>
      </c>
      <c r="AL34" s="482">
        <v>20.638000000000002</v>
      </c>
      <c r="AM34" s="482">
        <v>19.184999999999999</v>
      </c>
      <c r="AN34" s="482">
        <v>18.8</v>
      </c>
      <c r="AO34" s="482">
        <v>17.8</v>
      </c>
      <c r="AP34" s="483">
        <f>SUM(AL34:AO34)</f>
        <v>76.423000000000002</v>
      </c>
      <c r="AQ34" s="1676">
        <v>22.1</v>
      </c>
      <c r="AR34" s="482">
        <v>21.3</v>
      </c>
      <c r="AS34" s="482">
        <f>39.2-19.2</f>
        <v>20.000000000000004</v>
      </c>
      <c r="AT34" s="482">
        <f>59.1-AT48</f>
        <v>26.300000000000004</v>
      </c>
      <c r="AU34" s="1684">
        <f>SUM(AQ34:AT34)</f>
        <v>89.700000000000017</v>
      </c>
      <c r="AV34" s="482">
        <f>27.2-AV48</f>
        <v>23</v>
      </c>
      <c r="AW34" s="482">
        <f>25.7-AW48</f>
        <v>20.9</v>
      </c>
      <c r="AX34" s="482">
        <f>24.4-AX48</f>
        <v>18.573999999999998</v>
      </c>
      <c r="AY34" s="482">
        <f>36.9-AY48</f>
        <v>36.9</v>
      </c>
      <c r="AZ34" s="481">
        <f>SUM(AV34:AY34)</f>
        <v>99.373999999999995</v>
      </c>
      <c r="BA34" s="482">
        <v>15.7</v>
      </c>
      <c r="BB34" s="482">
        <v>14.4</v>
      </c>
      <c r="BC34" s="482">
        <v>19.7</v>
      </c>
      <c r="BD34" s="482">
        <v>19.600000000000001</v>
      </c>
      <c r="BE34" s="481">
        <f>SUM(BA34:BD34)</f>
        <v>69.400000000000006</v>
      </c>
      <c r="BF34" s="482">
        <v>23.3</v>
      </c>
      <c r="BG34" s="482">
        <v>23.7</v>
      </c>
      <c r="BH34" s="482">
        <v>13.9</v>
      </c>
      <c r="BI34" s="482">
        <v>21.1</v>
      </c>
      <c r="BJ34" s="481">
        <f>SUM(BF34:BI34)</f>
        <v>82</v>
      </c>
      <c r="BK34" s="482">
        <v>20.6</v>
      </c>
      <c r="BL34" s="482">
        <v>14</v>
      </c>
      <c r="BM34" s="482">
        <v>16.600000000000001</v>
      </c>
      <c r="BN34" s="482">
        <v>18.600000000000001</v>
      </c>
      <c r="BO34" s="481">
        <f>SUM(BK34:BN34)</f>
        <v>69.800000000000011</v>
      </c>
      <c r="BP34" s="482">
        <v>24</v>
      </c>
      <c r="BQ34" s="482">
        <v>26</v>
      </c>
      <c r="BR34" s="482">
        <v>21</v>
      </c>
      <c r="BS34" s="482">
        <v>33.6</v>
      </c>
      <c r="BT34" s="2587">
        <f>+SUM(BP34:BS34)</f>
        <v>104.6</v>
      </c>
      <c r="BU34" s="3454">
        <v>19.5</v>
      </c>
      <c r="BV34" s="3454">
        <f>(BQ34-6.5)*1.01</f>
        <v>19.695</v>
      </c>
      <c r="BW34" s="3454">
        <f>BR34*1.01</f>
        <v>21.21</v>
      </c>
      <c r="BX34" s="3454">
        <v>21</v>
      </c>
      <c r="BY34" s="2587">
        <f>+SUM(BU34:BX34)</f>
        <v>81.405000000000001</v>
      </c>
      <c r="BZ34" s="862">
        <f>BY34*1.01</f>
        <v>82.219049999999996</v>
      </c>
      <c r="CA34" s="862">
        <f>BZ34*1.01</f>
        <v>83.041240500000001</v>
      </c>
      <c r="CB34" s="862">
        <f>CA34*1.03</f>
        <v>85.532477714999999</v>
      </c>
      <c r="CC34" s="862">
        <f>CB34*1.03</f>
        <v>88.098452046450006</v>
      </c>
      <c r="CD34" s="862">
        <f>CC34*1.03</f>
        <v>90.741405607843504</v>
      </c>
      <c r="CE34" s="862">
        <f>CD34*1.03</f>
        <v>93.463647776078815</v>
      </c>
      <c r="CF34" s="862">
        <f>CE34*1.03</f>
        <v>96.267557209361186</v>
      </c>
      <c r="CG34" s="331"/>
      <c r="CH34" s="331"/>
      <c r="CI34" s="331"/>
      <c r="CJ34" s="331"/>
      <c r="CK34" s="331"/>
      <c r="CL34" s="995" t="str">
        <f>A34</f>
        <v>Corporate expense - legacy PENN</v>
      </c>
      <c r="CM34" s="430">
        <f>G34</f>
        <v>23.325000000000003</v>
      </c>
      <c r="CN34" s="430">
        <f>L34</f>
        <v>32.984999999999999</v>
      </c>
      <c r="CO34" s="430">
        <f>Q34</f>
        <v>53.253999999999998</v>
      </c>
      <c r="CP34" s="430">
        <f>V34</f>
        <v>54.64</v>
      </c>
      <c r="CQ34" s="430">
        <f>AA34</f>
        <v>49.582000000000001</v>
      </c>
      <c r="CR34" s="430">
        <f>AF34</f>
        <v>58.945999999999998</v>
      </c>
      <c r="CS34" s="430">
        <f>AK34</f>
        <v>71.003</v>
      </c>
      <c r="CT34" s="430">
        <f>AP34</f>
        <v>76.423000000000002</v>
      </c>
      <c r="CU34" s="430">
        <f>AU34</f>
        <v>89.700000000000017</v>
      </c>
      <c r="CV34" s="430">
        <f>AZ34</f>
        <v>99.373999999999995</v>
      </c>
      <c r="CW34" s="430">
        <f>BE34</f>
        <v>69.400000000000006</v>
      </c>
      <c r="CX34" s="430">
        <f>BJ34</f>
        <v>82</v>
      </c>
      <c r="CY34" s="430">
        <f>BO34</f>
        <v>69.800000000000011</v>
      </c>
      <c r="CZ34" s="430">
        <f>BT34</f>
        <v>104.6</v>
      </c>
      <c r="DA34" s="430">
        <f>BY34</f>
        <v>81.405000000000001</v>
      </c>
      <c r="DB34" s="430">
        <f>BZ34</f>
        <v>82.219049999999996</v>
      </c>
      <c r="DC34" s="853">
        <f>CA34</f>
        <v>83.041240500000001</v>
      </c>
      <c r="DD34" s="331"/>
      <c r="DE34" s="331"/>
      <c r="DF34" s="502"/>
      <c r="DG34" s="503"/>
      <c r="DH34" s="2840"/>
      <c r="DI34" s="3213"/>
      <c r="DJ34" s="502"/>
      <c r="DK34" s="503"/>
      <c r="DL34" s="502"/>
      <c r="DM34" s="502"/>
      <c r="DN34" s="502"/>
      <c r="DO34" s="502"/>
      <c r="DP34" s="503"/>
      <c r="DQ34" s="503"/>
      <c r="DR34" s="296"/>
      <c r="DS34" s="296"/>
      <c r="DT34" s="296"/>
    </row>
    <row r="35" spans="1:130" ht="12.6" customHeight="1" x14ac:dyDescent="0.25">
      <c r="A35" s="2725" t="s">
        <v>2644</v>
      </c>
      <c r="B35" s="428"/>
      <c r="C35" s="482"/>
      <c r="D35" s="482"/>
      <c r="E35" s="482"/>
      <c r="F35" s="482"/>
      <c r="G35" s="481"/>
      <c r="H35" s="482"/>
      <c r="I35" s="482"/>
      <c r="J35" s="482"/>
      <c r="K35" s="482"/>
      <c r="L35" s="481"/>
      <c r="M35" s="482"/>
      <c r="N35" s="482"/>
      <c r="O35" s="482"/>
      <c r="P35" s="482"/>
      <c r="Q35" s="481"/>
      <c r="R35" s="482"/>
      <c r="S35" s="482"/>
      <c r="T35" s="482"/>
      <c r="U35" s="482"/>
      <c r="V35" s="481"/>
      <c r="W35" s="482"/>
      <c r="X35" s="482"/>
      <c r="Y35" s="482"/>
      <c r="Z35" s="482"/>
      <c r="AA35" s="481"/>
      <c r="AB35" s="482"/>
      <c r="AC35" s="482"/>
      <c r="AD35" s="482"/>
      <c r="AE35" s="430"/>
      <c r="AF35" s="481"/>
      <c r="AG35" s="482"/>
      <c r="AH35" s="482"/>
      <c r="AI35" s="482"/>
      <c r="AJ35" s="482"/>
      <c r="AK35" s="481"/>
      <c r="AL35" s="482"/>
      <c r="AM35" s="482"/>
      <c r="AN35" s="482"/>
      <c r="AO35" s="482"/>
      <c r="AP35" s="483"/>
      <c r="AQ35" s="1676"/>
      <c r="AR35" s="482"/>
      <c r="AS35" s="482"/>
      <c r="AT35" s="482"/>
      <c r="AU35" s="1684"/>
      <c r="AV35" s="482"/>
      <c r="AW35" s="482"/>
      <c r="AX35" s="482"/>
      <c r="AY35" s="482"/>
      <c r="AZ35" s="481"/>
      <c r="BA35" s="482"/>
      <c r="BB35" s="482"/>
      <c r="BC35" s="482"/>
      <c r="BD35" s="482"/>
      <c r="BE35" s="3514">
        <f>+BE1076</f>
        <v>86.476999999999975</v>
      </c>
      <c r="BF35" s="3515">
        <f t="shared" ref="BF35:BR35" si="61">+BF1076</f>
        <v>19.236999999999995</v>
      </c>
      <c r="BG35" s="3515">
        <f t="shared" si="61"/>
        <v>20.824999999999989</v>
      </c>
      <c r="BH35" s="3515">
        <f t="shared" si="61"/>
        <v>22.057999999999993</v>
      </c>
      <c r="BI35" s="3515">
        <f t="shared" si="61"/>
        <v>17.849999999999994</v>
      </c>
      <c r="BJ35" s="3514">
        <f t="shared" si="61"/>
        <v>82.970000000000027</v>
      </c>
      <c r="BK35" s="3515">
        <f t="shared" si="61"/>
        <v>20.629999999999995</v>
      </c>
      <c r="BL35" s="3515">
        <f t="shared" si="61"/>
        <v>21.13900000000001</v>
      </c>
      <c r="BM35" s="3515">
        <f t="shared" si="61"/>
        <v>19.678000000000026</v>
      </c>
      <c r="BN35" s="3515">
        <f t="shared" si="61"/>
        <v>20.936999999999983</v>
      </c>
      <c r="BO35" s="3514">
        <f t="shared" si="61"/>
        <v>82.384000000000015</v>
      </c>
      <c r="BP35" s="3515">
        <f t="shared" si="61"/>
        <v>20.265000000000015</v>
      </c>
      <c r="BQ35" s="3515">
        <f t="shared" si="61"/>
        <v>19.813000000000017</v>
      </c>
      <c r="BR35" s="3515">
        <f t="shared" si="61"/>
        <v>20.97999999999999</v>
      </c>
      <c r="BS35" s="3515">
        <f>+BN35</f>
        <v>20.936999999999983</v>
      </c>
      <c r="BT35" s="3514">
        <f>SUM(BP35:BS35)</f>
        <v>81.995000000000005</v>
      </c>
      <c r="BU35" s="3516">
        <f>+BP35</f>
        <v>20.265000000000015</v>
      </c>
      <c r="BV35" s="3516">
        <f>+BQ35</f>
        <v>19.813000000000017</v>
      </c>
      <c r="BW35" s="3454">
        <f>+BR35</f>
        <v>20.97999999999999</v>
      </c>
      <c r="BX35" s="3454">
        <f>+BS35</f>
        <v>20.936999999999983</v>
      </c>
      <c r="BY35" s="2587">
        <f>SUM(BW35:BX35)</f>
        <v>41.916999999999973</v>
      </c>
      <c r="BZ35" s="862">
        <f>+SUM(BU35:BX35)</f>
        <v>81.995000000000005</v>
      </c>
      <c r="CA35" s="862">
        <f>+BZ35</f>
        <v>81.995000000000005</v>
      </c>
      <c r="CB35" s="862"/>
      <c r="CC35" s="862"/>
      <c r="CD35" s="862"/>
      <c r="CE35" s="862"/>
      <c r="CF35" s="862"/>
      <c r="CG35" s="331"/>
      <c r="CH35" s="331"/>
      <c r="CI35" s="331"/>
      <c r="CJ35" s="331"/>
      <c r="CK35" s="331"/>
      <c r="CL35" s="995"/>
      <c r="CM35" s="430"/>
      <c r="CN35" s="430"/>
      <c r="CO35" s="430"/>
      <c r="CP35" s="430"/>
      <c r="CQ35" s="430"/>
      <c r="CR35" s="430"/>
      <c r="CS35" s="430"/>
      <c r="CT35" s="430"/>
      <c r="CU35" s="430"/>
      <c r="CV35" s="430"/>
      <c r="CW35" s="430"/>
      <c r="CX35" s="430"/>
      <c r="CY35" s="430"/>
      <c r="CZ35" s="430"/>
      <c r="DA35" s="430"/>
      <c r="DB35" s="430"/>
      <c r="DC35" s="853"/>
      <c r="DD35" s="331"/>
      <c r="DE35" s="331"/>
      <c r="DF35" s="502"/>
      <c r="DG35" s="503"/>
      <c r="DH35" s="2840"/>
      <c r="DI35" s="3213"/>
      <c r="DJ35" s="502"/>
      <c r="DK35" s="503"/>
      <c r="DL35" s="502"/>
      <c r="DM35" s="502"/>
      <c r="DN35" s="502"/>
      <c r="DO35" s="502"/>
      <c r="DP35" s="503"/>
      <c r="DQ35" s="503"/>
      <c r="DR35" s="296"/>
      <c r="DS35" s="296"/>
      <c r="DT35" s="296"/>
    </row>
    <row r="36" spans="1:130" ht="12.6" customHeight="1" x14ac:dyDescent="0.25">
      <c r="A36" s="2725" t="s">
        <v>2645</v>
      </c>
      <c r="B36" s="428"/>
      <c r="C36" s="482"/>
      <c r="D36" s="482"/>
      <c r="E36" s="482"/>
      <c r="F36" s="482"/>
      <c r="G36" s="481"/>
      <c r="H36" s="482"/>
      <c r="I36" s="482"/>
      <c r="J36" s="482"/>
      <c r="K36" s="482"/>
      <c r="L36" s="481"/>
      <c r="M36" s="482"/>
      <c r="N36" s="482"/>
      <c r="O36" s="482"/>
      <c r="P36" s="482"/>
      <c r="Q36" s="481"/>
      <c r="R36" s="482"/>
      <c r="S36" s="482"/>
      <c r="T36" s="482"/>
      <c r="U36" s="482"/>
      <c r="V36" s="481"/>
      <c r="W36" s="482"/>
      <c r="X36" s="482"/>
      <c r="Y36" s="482"/>
      <c r="Z36" s="482"/>
      <c r="AA36" s="481"/>
      <c r="AB36" s="482"/>
      <c r="AC36" s="482"/>
      <c r="AD36" s="482"/>
      <c r="AE36" s="430"/>
      <c r="AF36" s="481"/>
      <c r="AG36" s="482"/>
      <c r="AH36" s="482"/>
      <c r="AI36" s="482"/>
      <c r="AJ36" s="482"/>
      <c r="AK36" s="481"/>
      <c r="AL36" s="482"/>
      <c r="AM36" s="482"/>
      <c r="AN36" s="482"/>
      <c r="AO36" s="482"/>
      <c r="AP36" s="483"/>
      <c r="AQ36" s="1676"/>
      <c r="AR36" s="482"/>
      <c r="AS36" s="482"/>
      <c r="AT36" s="482"/>
      <c r="AU36" s="1684"/>
      <c r="AV36" s="482"/>
      <c r="AW36" s="482"/>
      <c r="AX36" s="482"/>
      <c r="AY36" s="482"/>
      <c r="AZ36" s="481"/>
      <c r="BA36" s="482"/>
      <c r="BB36" s="482"/>
      <c r="BC36" s="482"/>
      <c r="BD36" s="482"/>
      <c r="BE36" s="481"/>
      <c r="BF36" s="482"/>
      <c r="BG36" s="482"/>
      <c r="BH36" s="482"/>
      <c r="BI36" s="482"/>
      <c r="BJ36" s="481"/>
      <c r="BK36" s="482"/>
      <c r="BL36" s="482"/>
      <c r="BM36" s="482"/>
      <c r="BN36" s="482"/>
      <c r="BO36" s="481"/>
      <c r="BP36" s="482"/>
      <c r="BQ36" s="482"/>
      <c r="BR36" s="482"/>
      <c r="BS36" s="482"/>
      <c r="BT36" s="2587"/>
      <c r="BU36" s="3454"/>
      <c r="BV36" s="3454"/>
      <c r="BW36" s="3454">
        <v>-10</v>
      </c>
      <c r="BX36" s="3454">
        <v>-10</v>
      </c>
      <c r="BY36" s="2587">
        <f>SUM(BW36:BX36)</f>
        <v>-20</v>
      </c>
      <c r="BZ36" s="862">
        <v>-45</v>
      </c>
      <c r="CA36" s="862">
        <v>-50</v>
      </c>
      <c r="CB36" s="862"/>
      <c r="CC36" s="862"/>
      <c r="CD36" s="862"/>
      <c r="CE36" s="862"/>
      <c r="CF36" s="862"/>
      <c r="CG36" s="331"/>
      <c r="CH36" s="331"/>
      <c r="CI36" s="331"/>
      <c r="CJ36" s="331"/>
      <c r="CK36" s="331"/>
      <c r="CL36" s="995"/>
      <c r="CM36" s="430"/>
      <c r="CN36" s="430"/>
      <c r="CO36" s="430"/>
      <c r="CP36" s="430"/>
      <c r="CQ36" s="430"/>
      <c r="CR36" s="430"/>
      <c r="CS36" s="430"/>
      <c r="CT36" s="430"/>
      <c r="CU36" s="430"/>
      <c r="CV36" s="430"/>
      <c r="CW36" s="430"/>
      <c r="CX36" s="430"/>
      <c r="CY36" s="430"/>
      <c r="CZ36" s="430"/>
      <c r="DA36" s="430"/>
      <c r="DB36" s="430"/>
      <c r="DC36" s="853"/>
      <c r="DD36" s="331"/>
      <c r="DE36" s="331"/>
      <c r="DF36" s="502"/>
      <c r="DG36" s="503"/>
      <c r="DH36" s="2840"/>
      <c r="DI36" s="3213"/>
      <c r="DJ36" s="502"/>
      <c r="DK36" s="503"/>
      <c r="DL36" s="502"/>
      <c r="DM36" s="502"/>
      <c r="DN36" s="502"/>
      <c r="DO36" s="502"/>
      <c r="DP36" s="503"/>
      <c r="DQ36" s="503"/>
      <c r="DR36" s="296"/>
      <c r="DS36" s="296"/>
      <c r="DT36" s="296"/>
    </row>
    <row r="37" spans="1:130" ht="3.95" customHeight="1" x14ac:dyDescent="0.25">
      <c r="A37" s="2725"/>
      <c r="B37" s="428"/>
      <c r="C37" s="482"/>
      <c r="D37" s="482"/>
      <c r="E37" s="482"/>
      <c r="F37" s="482"/>
      <c r="G37" s="481"/>
      <c r="H37" s="482"/>
      <c r="I37" s="482"/>
      <c r="J37" s="482"/>
      <c r="K37" s="482"/>
      <c r="L37" s="481"/>
      <c r="M37" s="482"/>
      <c r="N37" s="482"/>
      <c r="O37" s="482"/>
      <c r="P37" s="482"/>
      <c r="Q37" s="481"/>
      <c r="R37" s="482"/>
      <c r="S37" s="482"/>
      <c r="T37" s="482"/>
      <c r="U37" s="482"/>
      <c r="V37" s="481"/>
      <c r="W37" s="482"/>
      <c r="X37" s="482"/>
      <c r="Y37" s="482"/>
      <c r="Z37" s="482"/>
      <c r="AA37" s="481"/>
      <c r="AB37" s="482"/>
      <c r="AC37" s="482"/>
      <c r="AD37" s="482"/>
      <c r="AE37" s="430"/>
      <c r="AF37" s="481"/>
      <c r="AG37" s="482"/>
      <c r="AH37" s="482"/>
      <c r="AI37" s="482"/>
      <c r="AJ37" s="482"/>
      <c r="AK37" s="481"/>
      <c r="AL37" s="482"/>
      <c r="AM37" s="482"/>
      <c r="AN37" s="482"/>
      <c r="AO37" s="482"/>
      <c r="AP37" s="483"/>
      <c r="AQ37" s="1676"/>
      <c r="AR37" s="482"/>
      <c r="AS37" s="482"/>
      <c r="AT37" s="482"/>
      <c r="AU37" s="1684"/>
      <c r="AV37" s="482"/>
      <c r="AW37" s="482"/>
      <c r="AX37" s="482"/>
      <c r="AY37" s="482"/>
      <c r="AZ37" s="481"/>
      <c r="BA37" s="482"/>
      <c r="BB37" s="482"/>
      <c r="BC37" s="482"/>
      <c r="BD37" s="482"/>
      <c r="BE37" s="481"/>
      <c r="BF37" s="482"/>
      <c r="BG37" s="482"/>
      <c r="BH37" s="482"/>
      <c r="BI37" s="482"/>
      <c r="BJ37" s="481"/>
      <c r="BK37" s="482"/>
      <c r="BL37" s="482"/>
      <c r="BM37" s="482"/>
      <c r="BN37" s="482"/>
      <c r="BO37" s="481"/>
      <c r="BP37" s="482"/>
      <c r="BQ37" s="482"/>
      <c r="BR37" s="482"/>
      <c r="BS37" s="482"/>
      <c r="BT37" s="2587"/>
      <c r="BU37" s="2915" t="s">
        <v>229</v>
      </c>
      <c r="BV37" s="2915" t="s">
        <v>229</v>
      </c>
      <c r="BW37" s="2915" t="s">
        <v>229</v>
      </c>
      <c r="BX37" s="2915" t="s">
        <v>229</v>
      </c>
      <c r="BY37" s="3066" t="s">
        <v>229</v>
      </c>
      <c r="BZ37" s="3070" t="s">
        <v>229</v>
      </c>
      <c r="CA37" s="3070" t="s">
        <v>229</v>
      </c>
      <c r="CB37" s="862"/>
      <c r="CC37" s="862"/>
      <c r="CD37" s="862"/>
      <c r="CE37" s="862"/>
      <c r="CF37" s="862"/>
      <c r="CG37" s="331"/>
      <c r="CH37" s="331"/>
      <c r="CI37" s="331"/>
      <c r="CJ37" s="331"/>
      <c r="CK37" s="331"/>
      <c r="CL37" s="995"/>
      <c r="CM37" s="430"/>
      <c r="CN37" s="430"/>
      <c r="CO37" s="430"/>
      <c r="CP37" s="430"/>
      <c r="CQ37" s="430"/>
      <c r="CR37" s="430"/>
      <c r="CS37" s="430"/>
      <c r="CT37" s="430"/>
      <c r="CU37" s="430"/>
      <c r="CV37" s="430"/>
      <c r="CW37" s="430"/>
      <c r="CX37" s="430"/>
      <c r="CY37" s="430"/>
      <c r="CZ37" s="430"/>
      <c r="DA37" s="430"/>
      <c r="DB37" s="430"/>
      <c r="DC37" s="853"/>
      <c r="DD37" s="331"/>
      <c r="DE37" s="331"/>
      <c r="DF37" s="502"/>
      <c r="DG37" s="503"/>
      <c r="DH37" s="2840"/>
      <c r="DI37" s="3213"/>
      <c r="DJ37" s="502"/>
      <c r="DK37" s="503"/>
      <c r="DL37" s="502"/>
      <c r="DM37" s="502"/>
      <c r="DN37" s="502"/>
      <c r="DO37" s="502"/>
      <c r="DP37" s="503"/>
      <c r="DQ37" s="503"/>
      <c r="DR37" s="296"/>
      <c r="DS37" s="296"/>
      <c r="DT37" s="296"/>
    </row>
    <row r="38" spans="1:130" s="1050" customFormat="1" ht="12.6" customHeight="1" x14ac:dyDescent="0.25">
      <c r="A38" s="2725" t="s">
        <v>2646</v>
      </c>
      <c r="B38" s="3011"/>
      <c r="C38" s="2840">
        <f t="shared" ref="C38:BN38" si="62">+C34</f>
        <v>6.181</v>
      </c>
      <c r="D38" s="2840">
        <f t="shared" si="62"/>
        <v>5.7190000000000003</v>
      </c>
      <c r="E38" s="2840">
        <f t="shared" si="62"/>
        <v>5.2489999999999997</v>
      </c>
      <c r="F38" s="2840">
        <f t="shared" si="62"/>
        <v>6.1760000000000002</v>
      </c>
      <c r="G38" s="2587">
        <f t="shared" si="62"/>
        <v>23.325000000000003</v>
      </c>
      <c r="H38" s="2840">
        <f t="shared" si="62"/>
        <v>7.5789999999999997</v>
      </c>
      <c r="I38" s="2840">
        <f t="shared" si="62"/>
        <v>7.1849999999999996</v>
      </c>
      <c r="J38" s="2840">
        <f t="shared" si="62"/>
        <v>6.984</v>
      </c>
      <c r="K38" s="2840">
        <f t="shared" si="62"/>
        <v>11.237</v>
      </c>
      <c r="L38" s="2587">
        <f t="shared" si="62"/>
        <v>32.984999999999999</v>
      </c>
      <c r="M38" s="2840">
        <f t="shared" si="62"/>
        <v>12.305999999999999</v>
      </c>
      <c r="N38" s="2840">
        <f t="shared" si="62"/>
        <v>12.095000000000001</v>
      </c>
      <c r="O38" s="2840">
        <f t="shared" si="62"/>
        <v>14.388999999999999</v>
      </c>
      <c r="P38" s="2840">
        <f t="shared" si="62"/>
        <v>14.464</v>
      </c>
      <c r="Q38" s="2587">
        <f t="shared" si="62"/>
        <v>53.253999999999998</v>
      </c>
      <c r="R38" s="2840">
        <f t="shared" si="62"/>
        <v>11.657</v>
      </c>
      <c r="S38" s="2840">
        <f t="shared" si="62"/>
        <v>16.256</v>
      </c>
      <c r="T38" s="2840">
        <f t="shared" si="62"/>
        <v>13.726000000000001</v>
      </c>
      <c r="U38" s="2840">
        <f t="shared" si="62"/>
        <v>13.000999999999999</v>
      </c>
      <c r="V38" s="2587">
        <f t="shared" si="62"/>
        <v>54.64</v>
      </c>
      <c r="W38" s="2840">
        <f t="shared" si="62"/>
        <v>13.154</v>
      </c>
      <c r="X38" s="2840">
        <f t="shared" si="62"/>
        <v>15.348000000000001</v>
      </c>
      <c r="Y38" s="2840">
        <f t="shared" si="62"/>
        <v>9.1590000000000025</v>
      </c>
      <c r="Z38" s="2840">
        <f t="shared" si="62"/>
        <v>11.920999999999999</v>
      </c>
      <c r="AA38" s="2587">
        <f t="shared" si="62"/>
        <v>49.582000000000001</v>
      </c>
      <c r="AB38" s="2840">
        <f t="shared" si="62"/>
        <v>16.391999999999999</v>
      </c>
      <c r="AC38" s="2840">
        <f t="shared" si="62"/>
        <v>16.666</v>
      </c>
      <c r="AD38" s="2840">
        <f t="shared" si="62"/>
        <v>15.856999999999999</v>
      </c>
      <c r="AE38" s="2840">
        <f t="shared" si="62"/>
        <v>10.030999999999999</v>
      </c>
      <c r="AF38" s="2587">
        <f t="shared" si="62"/>
        <v>58.945999999999998</v>
      </c>
      <c r="AG38" s="2840">
        <f t="shared" si="62"/>
        <v>15.798999999999999</v>
      </c>
      <c r="AH38" s="2840">
        <f t="shared" si="62"/>
        <v>19.393000000000001</v>
      </c>
      <c r="AI38" s="2840">
        <f t="shared" si="62"/>
        <v>16.945</v>
      </c>
      <c r="AJ38" s="2840">
        <f t="shared" si="62"/>
        <v>18.866</v>
      </c>
      <c r="AK38" s="2587">
        <f t="shared" si="62"/>
        <v>71.003</v>
      </c>
      <c r="AL38" s="2840">
        <f t="shared" si="62"/>
        <v>20.638000000000002</v>
      </c>
      <c r="AM38" s="2840">
        <f t="shared" si="62"/>
        <v>19.184999999999999</v>
      </c>
      <c r="AN38" s="2840">
        <f t="shared" si="62"/>
        <v>18.8</v>
      </c>
      <c r="AO38" s="2840">
        <f t="shared" si="62"/>
        <v>17.8</v>
      </c>
      <c r="AP38" s="3397">
        <f t="shared" si="62"/>
        <v>76.423000000000002</v>
      </c>
      <c r="AQ38" s="3397">
        <f t="shared" si="62"/>
        <v>22.1</v>
      </c>
      <c r="AR38" s="2840">
        <f t="shared" si="62"/>
        <v>21.3</v>
      </c>
      <c r="AS38" s="2840">
        <f t="shared" si="62"/>
        <v>20.000000000000004</v>
      </c>
      <c r="AT38" s="2840">
        <f t="shared" si="62"/>
        <v>26.300000000000004</v>
      </c>
      <c r="AU38" s="2587">
        <f t="shared" si="62"/>
        <v>89.700000000000017</v>
      </c>
      <c r="AV38" s="2840">
        <f t="shared" si="62"/>
        <v>23</v>
      </c>
      <c r="AW38" s="2840">
        <f t="shared" si="62"/>
        <v>20.9</v>
      </c>
      <c r="AX38" s="2840">
        <f t="shared" si="62"/>
        <v>18.573999999999998</v>
      </c>
      <c r="AY38" s="2840">
        <f t="shared" si="62"/>
        <v>36.9</v>
      </c>
      <c r="AZ38" s="2587">
        <f t="shared" si="62"/>
        <v>99.373999999999995</v>
      </c>
      <c r="BA38" s="2840">
        <f t="shared" si="62"/>
        <v>15.7</v>
      </c>
      <c r="BB38" s="2840">
        <f t="shared" si="62"/>
        <v>14.4</v>
      </c>
      <c r="BC38" s="2840">
        <f t="shared" si="62"/>
        <v>19.7</v>
      </c>
      <c r="BD38" s="2840">
        <f t="shared" si="62"/>
        <v>19.600000000000001</v>
      </c>
      <c r="BE38" s="2587">
        <f t="shared" si="62"/>
        <v>69.400000000000006</v>
      </c>
      <c r="BF38" s="2840">
        <f t="shared" si="62"/>
        <v>23.3</v>
      </c>
      <c r="BG38" s="2840">
        <f t="shared" si="62"/>
        <v>23.7</v>
      </c>
      <c r="BH38" s="2840">
        <f t="shared" si="62"/>
        <v>13.9</v>
      </c>
      <c r="BI38" s="2840">
        <f t="shared" si="62"/>
        <v>21.1</v>
      </c>
      <c r="BJ38" s="2587">
        <f t="shared" si="62"/>
        <v>82</v>
      </c>
      <c r="BK38" s="2840">
        <f t="shared" si="62"/>
        <v>20.6</v>
      </c>
      <c r="BL38" s="2840">
        <f t="shared" si="62"/>
        <v>14</v>
      </c>
      <c r="BM38" s="2840">
        <f t="shared" si="62"/>
        <v>16.600000000000001</v>
      </c>
      <c r="BN38" s="2840">
        <f t="shared" si="62"/>
        <v>18.600000000000001</v>
      </c>
      <c r="BO38" s="2587">
        <f t="shared" ref="BO38:BT38" si="63">+BO34</f>
        <v>69.800000000000011</v>
      </c>
      <c r="BP38" s="2840">
        <f t="shared" si="63"/>
        <v>24</v>
      </c>
      <c r="BQ38" s="2840">
        <f t="shared" si="63"/>
        <v>26</v>
      </c>
      <c r="BR38" s="2840">
        <f t="shared" si="63"/>
        <v>21</v>
      </c>
      <c r="BS38" s="2840">
        <f t="shared" si="63"/>
        <v>33.6</v>
      </c>
      <c r="BT38" s="2587">
        <f t="shared" si="63"/>
        <v>104.6</v>
      </c>
      <c r="BU38" s="2671">
        <f>+BU34</f>
        <v>19.5</v>
      </c>
      <c r="BV38" s="2671">
        <f>+BV34</f>
        <v>19.695</v>
      </c>
      <c r="BW38" s="2671">
        <f>SUM(BW34:BW36)</f>
        <v>32.189999999999991</v>
      </c>
      <c r="BX38" s="2671">
        <f>SUM(BX34:BX36)</f>
        <v>31.936999999999983</v>
      </c>
      <c r="BY38" s="3205">
        <f>SUM(BY34:BY36)</f>
        <v>103.32199999999997</v>
      </c>
      <c r="BZ38" s="3205">
        <f>SUM(BZ34:BZ36)</f>
        <v>119.21404999999999</v>
      </c>
      <c r="CA38" s="3205">
        <f>SUM(CA34:CA36)</f>
        <v>115.03624050000002</v>
      </c>
      <c r="CB38" s="3065"/>
      <c r="CC38" s="3065"/>
      <c r="CD38" s="3065"/>
      <c r="CE38" s="3065"/>
      <c r="CF38" s="3065"/>
      <c r="CG38" s="2601"/>
      <c r="CH38" s="2601"/>
      <c r="CI38" s="2601"/>
      <c r="CJ38" s="2601"/>
      <c r="CK38" s="2601"/>
      <c r="CL38" s="2725"/>
      <c r="CM38" s="2840"/>
      <c r="CN38" s="2840"/>
      <c r="CO38" s="2840"/>
      <c r="CP38" s="2840"/>
      <c r="CQ38" s="2840"/>
      <c r="CR38" s="2840"/>
      <c r="CS38" s="2840"/>
      <c r="CT38" s="2840"/>
      <c r="CU38" s="2840"/>
      <c r="CV38" s="2840"/>
      <c r="CW38" s="2840"/>
      <c r="CX38" s="2840"/>
      <c r="CY38" s="2840"/>
      <c r="CZ38" s="2840"/>
      <c r="DA38" s="2840"/>
      <c r="DB38" s="2840"/>
      <c r="DC38" s="3065"/>
      <c r="DD38" s="2601"/>
      <c r="DE38" s="2601"/>
      <c r="DF38" s="502"/>
      <c r="DG38" s="503"/>
      <c r="DH38" s="2840"/>
      <c r="DI38" s="3213"/>
      <c r="DJ38" s="502"/>
      <c r="DK38" s="503"/>
      <c r="DL38" s="502"/>
      <c r="DM38" s="502"/>
      <c r="DN38" s="502"/>
      <c r="DO38" s="502"/>
      <c r="DP38" s="503"/>
      <c r="DQ38" s="503"/>
      <c r="DR38" s="2859"/>
      <c r="DS38" s="2859"/>
      <c r="DT38" s="2859"/>
      <c r="DU38"/>
      <c r="DV38"/>
      <c r="DW38"/>
      <c r="DX38"/>
      <c r="DY38"/>
      <c r="DZ38"/>
    </row>
    <row r="39" spans="1:130" ht="12.6" customHeight="1" x14ac:dyDescent="0.25">
      <c r="A39" s="995"/>
      <c r="B39" s="428"/>
      <c r="C39" s="482"/>
      <c r="D39" s="482"/>
      <c r="E39" s="482"/>
      <c r="F39" s="482"/>
      <c r="G39" s="481"/>
      <c r="H39" s="482"/>
      <c r="I39" s="482"/>
      <c r="J39" s="482"/>
      <c r="K39" s="482"/>
      <c r="L39" s="481"/>
      <c r="M39" s="482"/>
      <c r="N39" s="482"/>
      <c r="O39" s="482"/>
      <c r="P39" s="482"/>
      <c r="Q39" s="481"/>
      <c r="R39" s="482"/>
      <c r="S39" s="482"/>
      <c r="T39" s="482"/>
      <c r="U39" s="482"/>
      <c r="V39" s="481"/>
      <c r="W39" s="482"/>
      <c r="X39" s="482"/>
      <c r="Y39" s="482"/>
      <c r="Z39" s="482"/>
      <c r="AA39" s="481"/>
      <c r="AB39" s="482"/>
      <c r="AC39" s="482"/>
      <c r="AD39" s="482"/>
      <c r="AE39" s="430"/>
      <c r="AF39" s="481"/>
      <c r="AG39" s="482"/>
      <c r="AH39" s="482"/>
      <c r="AI39" s="482"/>
      <c r="AJ39" s="482"/>
      <c r="AK39" s="481"/>
      <c r="AL39" s="482"/>
      <c r="AM39" s="482"/>
      <c r="AN39" s="482"/>
      <c r="AO39" s="482"/>
      <c r="AP39" s="483"/>
      <c r="AQ39" s="1676"/>
      <c r="AR39" s="482"/>
      <c r="AS39" s="482"/>
      <c r="AT39" s="482"/>
      <c r="AU39" s="1684"/>
      <c r="AV39" s="482"/>
      <c r="AW39" s="482"/>
      <c r="AX39" s="482"/>
      <c r="AY39" s="482"/>
      <c r="AZ39" s="481"/>
      <c r="BA39" s="482"/>
      <c r="BB39" s="482"/>
      <c r="BC39" s="482"/>
      <c r="BD39" s="482"/>
      <c r="BE39" s="2600"/>
      <c r="BF39" s="1052"/>
      <c r="BG39" s="482"/>
      <c r="BH39" s="482"/>
      <c r="BI39" s="862"/>
      <c r="BJ39" s="2600"/>
      <c r="BK39" s="482"/>
      <c r="BL39" s="482"/>
      <c r="BM39" s="482"/>
      <c r="BN39" s="862"/>
      <c r="BO39" s="2600"/>
      <c r="BP39" s="482"/>
      <c r="BQ39" s="482"/>
      <c r="BR39" s="482"/>
      <c r="BS39" s="862"/>
      <c r="BT39" s="3065"/>
      <c r="BU39" s="2840"/>
      <c r="BV39" s="2840"/>
      <c r="BW39" s="2840"/>
      <c r="BX39" s="2840"/>
      <c r="BY39" s="484"/>
      <c r="BZ39" s="862"/>
      <c r="CA39" s="862"/>
      <c r="CB39" s="862"/>
      <c r="CC39" s="862"/>
      <c r="CD39" s="862"/>
      <c r="CE39" s="862"/>
      <c r="CF39" s="862"/>
      <c r="CG39" s="331"/>
      <c r="CH39" s="331"/>
      <c r="CI39" s="331"/>
      <c r="CJ39" s="331"/>
      <c r="CK39" s="331"/>
      <c r="CL39" s="995"/>
      <c r="CM39" s="430"/>
      <c r="CN39" s="430"/>
      <c r="CO39" s="430"/>
      <c r="CP39" s="430"/>
      <c r="CQ39" s="430"/>
      <c r="CR39" s="430"/>
      <c r="CS39" s="430"/>
      <c r="CT39" s="430"/>
      <c r="CU39" s="430"/>
      <c r="CV39" s="430"/>
      <c r="CW39" s="430"/>
      <c r="CX39" s="430"/>
      <c r="CY39" s="430"/>
      <c r="CZ39" s="430"/>
      <c r="DA39" s="430"/>
      <c r="DB39" s="430"/>
      <c r="DC39" s="853"/>
      <c r="DD39" s="331"/>
      <c r="DE39" s="331"/>
      <c r="DF39" s="502"/>
      <c r="DG39" s="503"/>
      <c r="DH39" s="2840"/>
      <c r="DI39" s="3213"/>
      <c r="DJ39" s="502"/>
      <c r="DK39" s="503"/>
      <c r="DL39" s="502"/>
      <c r="DM39" s="502"/>
      <c r="DN39" s="502"/>
      <c r="DO39" s="502"/>
      <c r="DP39" s="503"/>
      <c r="DQ39" s="503"/>
      <c r="DR39" s="296"/>
      <c r="DS39" s="296"/>
      <c r="DT39" s="296"/>
    </row>
    <row r="40" spans="1:130" ht="12.6" customHeight="1" x14ac:dyDescent="0.25">
      <c r="A40" s="1813" t="s">
        <v>2005</v>
      </c>
      <c r="B40" s="2056"/>
      <c r="C40" s="2146">
        <f t="shared" ref="C40:BN40" si="64">+C24-C38</f>
        <v>-6.181</v>
      </c>
      <c r="D40" s="2146">
        <f t="shared" si="64"/>
        <v>-5.7190000000000003</v>
      </c>
      <c r="E40" s="2146">
        <f t="shared" si="64"/>
        <v>-5.2489999999999997</v>
      </c>
      <c r="F40" s="2146">
        <f t="shared" si="64"/>
        <v>-6.1760000000000002</v>
      </c>
      <c r="G40" s="2147">
        <f t="shared" si="64"/>
        <v>-23.325000000000003</v>
      </c>
      <c r="H40" s="2146">
        <f t="shared" si="64"/>
        <v>-7.5789999999999997</v>
      </c>
      <c r="I40" s="2146">
        <f t="shared" si="64"/>
        <v>-7.1849999999999996</v>
      </c>
      <c r="J40" s="2146">
        <f t="shared" si="64"/>
        <v>-6.984</v>
      </c>
      <c r="K40" s="2146">
        <f t="shared" si="64"/>
        <v>-11.237</v>
      </c>
      <c r="L40" s="2147">
        <f t="shared" si="64"/>
        <v>-32.984999999999999</v>
      </c>
      <c r="M40" s="2146">
        <f t="shared" si="64"/>
        <v>-12.305999999999999</v>
      </c>
      <c r="N40" s="2146">
        <f t="shared" si="64"/>
        <v>-12.095000000000001</v>
      </c>
      <c r="O40" s="2146">
        <f t="shared" si="64"/>
        <v>-14.388999999999999</v>
      </c>
      <c r="P40" s="2146">
        <f t="shared" si="64"/>
        <v>-14.464</v>
      </c>
      <c r="Q40" s="2147">
        <f t="shared" si="64"/>
        <v>-53.253999999999998</v>
      </c>
      <c r="R40" s="2146">
        <f t="shared" si="64"/>
        <v>-11.657</v>
      </c>
      <c r="S40" s="2146">
        <f t="shared" si="64"/>
        <v>-16.256</v>
      </c>
      <c r="T40" s="2146">
        <f t="shared" si="64"/>
        <v>-13.726000000000001</v>
      </c>
      <c r="U40" s="2146">
        <f t="shared" si="64"/>
        <v>-13.000999999999999</v>
      </c>
      <c r="V40" s="2147">
        <f t="shared" si="64"/>
        <v>-54.64</v>
      </c>
      <c r="W40" s="2146">
        <f t="shared" si="64"/>
        <v>-13.154</v>
      </c>
      <c r="X40" s="2146">
        <f t="shared" si="64"/>
        <v>-15.348000000000001</v>
      </c>
      <c r="Y40" s="2146">
        <f t="shared" si="64"/>
        <v>-9.1590000000000025</v>
      </c>
      <c r="Z40" s="2146">
        <f t="shared" si="64"/>
        <v>-11.920999999999999</v>
      </c>
      <c r="AA40" s="2147">
        <f t="shared" si="64"/>
        <v>-49.582000000000001</v>
      </c>
      <c r="AB40" s="2148">
        <f t="shared" si="64"/>
        <v>158.85900000000001</v>
      </c>
      <c r="AC40" s="2148">
        <f t="shared" si="64"/>
        <v>141.73000000000002</v>
      </c>
      <c r="AD40" s="2148">
        <f t="shared" si="64"/>
        <v>156.642</v>
      </c>
      <c r="AE40" s="2148">
        <f t="shared" si="64"/>
        <v>133.71799999999999</v>
      </c>
      <c r="AF40" s="2149">
        <f t="shared" si="64"/>
        <v>590.94900000000007</v>
      </c>
      <c r="AG40" s="2148">
        <f t="shared" si="64"/>
        <v>149.11799999999999</v>
      </c>
      <c r="AH40" s="2148">
        <f t="shared" si="64"/>
        <v>148.82599999999999</v>
      </c>
      <c r="AI40" s="2148">
        <f t="shared" si="64"/>
        <v>164.80900000000003</v>
      </c>
      <c r="AJ40" s="2148">
        <f t="shared" si="64"/>
        <v>150.286</v>
      </c>
      <c r="AK40" s="2149">
        <f t="shared" si="64"/>
        <v>613.03899999999987</v>
      </c>
      <c r="AL40" s="2150">
        <f t="shared" si="64"/>
        <v>178.035</v>
      </c>
      <c r="AM40" s="2150">
        <f t="shared" si="64"/>
        <v>190.58</v>
      </c>
      <c r="AN40" s="2150">
        <f t="shared" si="64"/>
        <v>191.90600000000001</v>
      </c>
      <c r="AO40" s="2150">
        <f t="shared" si="64"/>
        <v>167.54299999999998</v>
      </c>
      <c r="AP40" s="2151">
        <f t="shared" si="64"/>
        <v>728.06399999999996</v>
      </c>
      <c r="AQ40" s="2151">
        <f t="shared" si="64"/>
        <v>207.14</v>
      </c>
      <c r="AR40" s="2148">
        <f t="shared" si="64"/>
        <v>199.19800000000001</v>
      </c>
      <c r="AS40" s="2148">
        <f t="shared" si="64"/>
        <v>198.09100000000001</v>
      </c>
      <c r="AT40" s="2148">
        <f t="shared" si="64"/>
        <v>185.10299999999995</v>
      </c>
      <c r="AU40" s="2151">
        <f t="shared" si="64"/>
        <v>789.53199999999981</v>
      </c>
      <c r="AV40" s="2151">
        <f t="shared" si="64"/>
        <v>227.80699999999999</v>
      </c>
      <c r="AW40" s="2148">
        <f t="shared" si="64"/>
        <v>219.12</v>
      </c>
      <c r="AX40" s="2148">
        <f t="shared" si="64"/>
        <v>190.798</v>
      </c>
      <c r="AY40" s="2148">
        <f t="shared" si="64"/>
        <v>153.19399999999999</v>
      </c>
      <c r="AZ40" s="2149">
        <f t="shared" si="64"/>
        <v>790.91899999999998</v>
      </c>
      <c r="BA40" s="2151">
        <f t="shared" si="64"/>
        <v>180.63300000000001</v>
      </c>
      <c r="BB40" s="2148">
        <f t="shared" si="64"/>
        <v>186.83299999999997</v>
      </c>
      <c r="BC40" s="2148">
        <f t="shared" si="64"/>
        <v>170.495</v>
      </c>
      <c r="BD40" s="2148">
        <f t="shared" si="64"/>
        <v>172.03</v>
      </c>
      <c r="BE40" s="2149">
        <f t="shared" si="64"/>
        <v>709.99099999999999</v>
      </c>
      <c r="BF40" s="2148">
        <f t="shared" si="64"/>
        <v>184.37899999999996</v>
      </c>
      <c r="BG40" s="2148">
        <f t="shared" si="64"/>
        <v>195.38200000000001</v>
      </c>
      <c r="BH40" s="2148">
        <f t="shared" si="64"/>
        <v>210.26199999999997</v>
      </c>
      <c r="BI40" s="2152">
        <f t="shared" si="64"/>
        <v>206.328</v>
      </c>
      <c r="BJ40" s="2149">
        <f t="shared" si="64"/>
        <v>796.351</v>
      </c>
      <c r="BK40" s="2148">
        <f t="shared" si="64"/>
        <v>212.88300000000001</v>
      </c>
      <c r="BL40" s="2148">
        <f t="shared" si="64"/>
        <v>223.77999999999997</v>
      </c>
      <c r="BM40" s="2148">
        <f t="shared" si="64"/>
        <v>211.26000000000002</v>
      </c>
      <c r="BN40" s="2152">
        <f t="shared" si="64"/>
        <v>195.90400000000002</v>
      </c>
      <c r="BO40" s="2149">
        <f t="shared" ref="BO40:BV40" si="65">+BO24-BO38</f>
        <v>843.827</v>
      </c>
      <c r="BP40" s="2148">
        <f t="shared" si="65"/>
        <v>221.70999999999998</v>
      </c>
      <c r="BQ40" s="2148">
        <f t="shared" si="65"/>
        <v>219.13800000000003</v>
      </c>
      <c r="BR40" s="2148">
        <f t="shared" si="65"/>
        <v>221.78699999999998</v>
      </c>
      <c r="BS40" s="2152">
        <f t="shared" si="65"/>
        <v>183.31100000000004</v>
      </c>
      <c r="BT40" s="2152">
        <f t="shared" si="65"/>
        <v>845.94600000000003</v>
      </c>
      <c r="BU40" s="2148">
        <f t="shared" si="65"/>
        <v>229.55816787702511</v>
      </c>
      <c r="BV40" s="2148">
        <f t="shared" si="65"/>
        <v>237.64607672277765</v>
      </c>
      <c r="BW40" s="2148">
        <f t="shared" ref="BW40:CA40" si="66">+BW24-BW38</f>
        <v>377.32807009753725</v>
      </c>
      <c r="BX40" s="2148">
        <f t="shared" si="66"/>
        <v>348.9214596410784</v>
      </c>
      <c r="BY40" s="2149">
        <f t="shared" si="66"/>
        <v>1193.4537743384185</v>
      </c>
      <c r="BZ40" s="2149">
        <f t="shared" si="66"/>
        <v>1541.1009163027868</v>
      </c>
      <c r="CA40" s="2149">
        <f t="shared" si="66"/>
        <v>1528.974999834531</v>
      </c>
      <c r="CB40" s="2149">
        <f>+CB24-CB34</f>
        <v>815.27456926207901</v>
      </c>
      <c r="CC40" s="2149">
        <f>+CC24-CC34</f>
        <v>750.98818005757607</v>
      </c>
      <c r="CD40" s="2149">
        <f>+CD24-CD34</f>
        <v>774.58921056673671</v>
      </c>
      <c r="CE40" s="2149">
        <f>+CE24-CE34</f>
        <v>799.67512895021889</v>
      </c>
      <c r="CF40" s="2149">
        <f>+CF24-CF34</f>
        <v>823.48749344822875</v>
      </c>
      <c r="CG40" s="588"/>
      <c r="CH40" s="450"/>
      <c r="CI40" s="450"/>
      <c r="CJ40" s="450"/>
      <c r="CK40" s="450"/>
      <c r="CL40" s="2162" t="str">
        <f>A40</f>
        <v>Adjusted EBITDA</v>
      </c>
      <c r="CM40" s="2201">
        <f>G40</f>
        <v>-23.325000000000003</v>
      </c>
      <c r="CN40" s="2201">
        <f>L40</f>
        <v>-32.984999999999999</v>
      </c>
      <c r="CO40" s="2201">
        <f>Q40</f>
        <v>-53.253999999999998</v>
      </c>
      <c r="CP40" s="2201">
        <f>V40</f>
        <v>-54.64</v>
      </c>
      <c r="CQ40" s="2201">
        <f>AA40</f>
        <v>-49.582000000000001</v>
      </c>
      <c r="CR40" s="2201">
        <f>AF40</f>
        <v>590.94900000000007</v>
      </c>
      <c r="CS40" s="2201">
        <f>AK40</f>
        <v>613.03899999999987</v>
      </c>
      <c r="CT40" s="2201">
        <f>AP40</f>
        <v>728.06399999999996</v>
      </c>
      <c r="CU40" s="2201">
        <f>AU40</f>
        <v>789.53199999999981</v>
      </c>
      <c r="CV40" s="2201">
        <f>AZ40</f>
        <v>790.91899999999998</v>
      </c>
      <c r="CW40" s="2201">
        <f>BE40</f>
        <v>709.99099999999999</v>
      </c>
      <c r="CX40" s="2201">
        <f>BJ40</f>
        <v>796.351</v>
      </c>
      <c r="CY40" s="2201">
        <f>BO40</f>
        <v>843.827</v>
      </c>
      <c r="CZ40" s="2201">
        <f>BT40</f>
        <v>845.94600000000003</v>
      </c>
      <c r="DA40" s="2201">
        <f t="shared" ref="DA40:DC43" si="67">BY40</f>
        <v>1193.4537743384185</v>
      </c>
      <c r="DB40" s="2201">
        <f t="shared" si="67"/>
        <v>1541.1009163027868</v>
      </c>
      <c r="DC40" s="2202">
        <f t="shared" si="67"/>
        <v>1528.974999834531</v>
      </c>
      <c r="DD40" s="450"/>
      <c r="DE40" s="450"/>
      <c r="DF40" s="2144"/>
      <c r="DG40" s="2144"/>
      <c r="DH40" s="2144"/>
      <c r="DI40" s="3213"/>
      <c r="DJ40" s="2144"/>
      <c r="DK40" s="2144"/>
      <c r="DL40" s="2144"/>
      <c r="DM40" s="2144"/>
      <c r="DN40" s="2144"/>
      <c r="DO40" s="2144"/>
      <c r="DP40" s="2144"/>
      <c r="DQ40" s="2144"/>
      <c r="DR40" s="2145"/>
      <c r="DS40" s="2145"/>
      <c r="DT40" s="2145"/>
    </row>
    <row r="41" spans="1:130" ht="12.6" customHeight="1" x14ac:dyDescent="0.25">
      <c r="A41" s="1617" t="s">
        <v>843</v>
      </c>
      <c r="B41" s="281"/>
      <c r="C41" s="305"/>
      <c r="D41" s="305"/>
      <c r="E41" s="305"/>
      <c r="F41" s="305"/>
      <c r="G41" s="440"/>
      <c r="H41" s="305"/>
      <c r="I41" s="305"/>
      <c r="J41" s="305"/>
      <c r="K41" s="305"/>
      <c r="L41" s="440"/>
      <c r="M41" s="305"/>
      <c r="N41" s="305"/>
      <c r="O41" s="305"/>
      <c r="P41" s="305"/>
      <c r="Q41" s="440"/>
      <c r="R41" s="305"/>
      <c r="S41" s="305"/>
      <c r="T41" s="305"/>
      <c r="U41" s="305"/>
      <c r="V41" s="440"/>
      <c r="W41" s="305"/>
      <c r="X41" s="305"/>
      <c r="Y41" s="305"/>
      <c r="Z41" s="305"/>
      <c r="AA41" s="440"/>
      <c r="AB41" s="588"/>
      <c r="AC41" s="588"/>
      <c r="AD41" s="588"/>
      <c r="AE41" s="588"/>
      <c r="AF41" s="591">
        <f>AF40/689.2-1</f>
        <v>-0.14255803830528146</v>
      </c>
      <c r="AG41" s="519">
        <f t="shared" ref="AG41:BE41" si="68">AG40/AB40-1</f>
        <v>-6.1318527751024532E-2</v>
      </c>
      <c r="AH41" s="519">
        <f t="shared" si="68"/>
        <v>5.006702885768699E-2</v>
      </c>
      <c r="AI41" s="519">
        <f t="shared" si="68"/>
        <v>5.2137996195145808E-2</v>
      </c>
      <c r="AJ41" s="519">
        <f t="shared" si="68"/>
        <v>0.12390254116872823</v>
      </c>
      <c r="AK41" s="591">
        <f t="shared" si="68"/>
        <v>3.7380552298083014E-2</v>
      </c>
      <c r="AL41" s="519">
        <f t="shared" si="68"/>
        <v>0.19392025107632893</v>
      </c>
      <c r="AM41" s="519">
        <f t="shared" si="68"/>
        <v>0.28055581685995734</v>
      </c>
      <c r="AN41" s="519">
        <f t="shared" si="68"/>
        <v>0.16441456473857596</v>
      </c>
      <c r="AO41" s="519">
        <f t="shared" si="68"/>
        <v>0.11482772846439437</v>
      </c>
      <c r="AP41" s="591">
        <f t="shared" si="68"/>
        <v>0.18763080326047787</v>
      </c>
      <c r="AQ41" s="1618">
        <f t="shared" si="68"/>
        <v>0.16347909118993442</v>
      </c>
      <c r="AR41" s="519">
        <f t="shared" si="68"/>
        <v>4.5219855178927348E-2</v>
      </c>
      <c r="AS41" s="519">
        <f t="shared" si="68"/>
        <v>3.2229320604879375E-2</v>
      </c>
      <c r="AT41" s="519">
        <f t="shared" si="68"/>
        <v>0.10480891472636866</v>
      </c>
      <c r="AU41" s="1618">
        <f t="shared" si="68"/>
        <v>8.4426643811532864E-2</v>
      </c>
      <c r="AV41" s="1618">
        <f t="shared" si="68"/>
        <v>9.9773100318625074E-2</v>
      </c>
      <c r="AW41" s="519">
        <f t="shared" si="68"/>
        <v>0.10001104428759322</v>
      </c>
      <c r="AX41" s="519">
        <f t="shared" si="68"/>
        <v>-3.6816412658828512E-2</v>
      </c>
      <c r="AY41" s="519">
        <f t="shared" si="68"/>
        <v>-0.17238510450938116</v>
      </c>
      <c r="AZ41" s="591">
        <f t="shared" si="68"/>
        <v>1.7567369023676616E-3</v>
      </c>
      <c r="BA41" s="1618">
        <f t="shared" si="68"/>
        <v>-0.20707879915893712</v>
      </c>
      <c r="BB41" s="519">
        <f t="shared" si="68"/>
        <v>-0.14734848484848495</v>
      </c>
      <c r="BC41" s="519">
        <f t="shared" si="68"/>
        <v>-0.10641096866843469</v>
      </c>
      <c r="BD41" s="519">
        <f t="shared" si="68"/>
        <v>0.12295520712299446</v>
      </c>
      <c r="BE41" s="591">
        <f t="shared" si="68"/>
        <v>-0.10232147666195901</v>
      </c>
      <c r="BF41" s="519">
        <f t="shared" ref="BF41:BK41" si="69">BF40/BA40-1</f>
        <v>2.0738181838312775E-2</v>
      </c>
      <c r="BG41" s="519">
        <f t="shared" si="69"/>
        <v>4.5757441137272536E-2</v>
      </c>
      <c r="BH41" s="519">
        <f t="shared" si="69"/>
        <v>0.23324437666793729</v>
      </c>
      <c r="BI41" s="1462">
        <f t="shared" si="69"/>
        <v>0.19937220252281573</v>
      </c>
      <c r="BJ41" s="591">
        <f t="shared" si="69"/>
        <v>0.12163534467338311</v>
      </c>
      <c r="BK41" s="519">
        <f t="shared" si="69"/>
        <v>0.15459461218468507</v>
      </c>
      <c r="BL41" s="519">
        <f t="shared" ref="BL41:BT41" si="70">BL40/BG40-1</f>
        <v>0.14534604006510299</v>
      </c>
      <c r="BM41" s="519">
        <f t="shared" si="70"/>
        <v>4.7464591795001176E-3</v>
      </c>
      <c r="BN41" s="1462">
        <f t="shared" si="70"/>
        <v>-5.0521499747974041E-2</v>
      </c>
      <c r="BO41" s="591">
        <f t="shared" si="70"/>
        <v>5.9616927711524159E-2</v>
      </c>
      <c r="BP41" s="519">
        <f t="shared" si="70"/>
        <v>4.1464090603758663E-2</v>
      </c>
      <c r="BQ41" s="519">
        <f t="shared" si="70"/>
        <v>-2.0743587451961476E-2</v>
      </c>
      <c r="BR41" s="519">
        <f t="shared" si="70"/>
        <v>4.9829593865378996E-2</v>
      </c>
      <c r="BS41" s="1462">
        <f t="shared" si="70"/>
        <v>-6.4281484808885958E-2</v>
      </c>
      <c r="BT41" s="1876">
        <f t="shared" si="70"/>
        <v>2.5111782391413762E-3</v>
      </c>
      <c r="BU41" s="519">
        <f>BU40/BP40-1</f>
        <v>3.5398348640228727E-2</v>
      </c>
      <c r="BV41" s="519">
        <f>BV40/BQ40-1</f>
        <v>8.4458545404163754E-2</v>
      </c>
      <c r="BW41" s="519">
        <f>BW40/BR40-1</f>
        <v>0.70130832779891206</v>
      </c>
      <c r="BX41" s="519">
        <f>BX40/BS40-1</f>
        <v>0.90343983525854066</v>
      </c>
      <c r="BY41" s="1619">
        <f>BY40/BT40-1</f>
        <v>0.41079191146765681</v>
      </c>
      <c r="BZ41" s="1619">
        <f t="shared" ref="BZ41:CF41" si="71">BZ40/BY40-1</f>
        <v>0.29129502075359692</v>
      </c>
      <c r="CA41" s="1619">
        <f t="shared" si="71"/>
        <v>-7.8683468032364479E-3</v>
      </c>
      <c r="CB41" s="1619">
        <f t="shared" si="71"/>
        <v>-0.46678358419836175</v>
      </c>
      <c r="CC41" s="1619">
        <f t="shared" si="71"/>
        <v>-7.8852440181827133E-2</v>
      </c>
      <c r="CD41" s="1619">
        <f t="shared" si="71"/>
        <v>3.1426633781840962E-2</v>
      </c>
      <c r="CE41" s="1619">
        <f t="shared" si="71"/>
        <v>3.2386093223694346E-2</v>
      </c>
      <c r="CF41" s="1619">
        <f t="shared" si="71"/>
        <v>2.9777547951590932E-2</v>
      </c>
      <c r="CG41" s="331"/>
      <c r="CH41" s="331"/>
      <c r="CI41" s="331"/>
      <c r="CJ41" s="331"/>
      <c r="CK41" s="331"/>
      <c r="CL41" s="1617" t="str">
        <f>A41</f>
        <v>% growth</v>
      </c>
      <c r="CM41" s="519"/>
      <c r="CN41" s="519"/>
      <c r="CO41" s="519"/>
      <c r="CP41" s="519"/>
      <c r="CQ41" s="519"/>
      <c r="CR41" s="519">
        <f>AF41</f>
        <v>-0.14255803830528146</v>
      </c>
      <c r="CS41" s="519">
        <f>AK41</f>
        <v>3.7380552298083014E-2</v>
      </c>
      <c r="CT41" s="519">
        <f>AP41</f>
        <v>0.18763080326047787</v>
      </c>
      <c r="CU41" s="519">
        <f>AU41</f>
        <v>8.4426643811532864E-2</v>
      </c>
      <c r="CV41" s="519">
        <f>AZ41</f>
        <v>1.7567369023676616E-3</v>
      </c>
      <c r="CW41" s="519">
        <f>BE41</f>
        <v>-0.10232147666195901</v>
      </c>
      <c r="CX41" s="519">
        <f>BJ41</f>
        <v>0.12163534467338311</v>
      </c>
      <c r="CY41" s="519">
        <f>BO41</f>
        <v>5.9616927711524159E-2</v>
      </c>
      <c r="CZ41" s="519">
        <f>BT41</f>
        <v>2.5111782391413762E-3</v>
      </c>
      <c r="DA41" s="519">
        <f t="shared" si="67"/>
        <v>0.41079191146765681</v>
      </c>
      <c r="DB41" s="519">
        <f t="shared" si="67"/>
        <v>0.29129502075359692</v>
      </c>
      <c r="DC41" s="1462">
        <f t="shared" si="67"/>
        <v>-7.8683468032364479E-3</v>
      </c>
      <c r="DD41" s="331"/>
      <c r="DE41" s="331"/>
      <c r="DF41" s="502"/>
      <c r="DG41" s="503"/>
      <c r="DH41" s="519"/>
      <c r="DI41" s="3213"/>
      <c r="DJ41" s="502"/>
      <c r="DK41" s="503"/>
      <c r="DL41" s="502"/>
      <c r="DM41" s="502"/>
      <c r="DN41" s="502"/>
      <c r="DO41" s="502"/>
      <c r="DP41" s="503"/>
      <c r="DQ41" s="503"/>
      <c r="DR41" s="296"/>
      <c r="DS41" s="296"/>
      <c r="DT41" s="296"/>
    </row>
    <row r="42" spans="1:130" ht="12.6" customHeight="1" x14ac:dyDescent="0.25">
      <c r="A42" s="1617" t="s">
        <v>1892</v>
      </c>
      <c r="B42" s="281"/>
      <c r="C42" s="305"/>
      <c r="D42" s="305"/>
      <c r="E42" s="305"/>
      <c r="F42" s="305"/>
      <c r="G42" s="440"/>
      <c r="H42" s="305"/>
      <c r="I42" s="305"/>
      <c r="J42" s="305"/>
      <c r="K42" s="305"/>
      <c r="L42" s="440"/>
      <c r="M42" s="305"/>
      <c r="N42" s="305"/>
      <c r="O42" s="305"/>
      <c r="P42" s="305"/>
      <c r="Q42" s="440"/>
      <c r="R42" s="305"/>
      <c r="S42" s="305"/>
      <c r="T42" s="305"/>
      <c r="U42" s="305"/>
      <c r="V42" s="440"/>
      <c r="W42" s="305"/>
      <c r="X42" s="305"/>
      <c r="Y42" s="305"/>
      <c r="Z42" s="305"/>
      <c r="AA42" s="440"/>
      <c r="AB42" s="1618">
        <f t="shared" ref="AB42:AW42" si="72">AB40/AB$14</f>
        <v>0.25947770921195767</v>
      </c>
      <c r="AC42" s="519">
        <f t="shared" si="72"/>
        <v>0.24401833968358372</v>
      </c>
      <c r="AD42" s="519">
        <f t="shared" si="72"/>
        <v>0.25247491239890013</v>
      </c>
      <c r="AE42" s="1462">
        <f t="shared" si="72"/>
        <v>0.2405839447577032</v>
      </c>
      <c r="AF42" s="591">
        <f t="shared" si="72"/>
        <v>0.24942186955925341</v>
      </c>
      <c r="AG42" s="1618">
        <f t="shared" si="72"/>
        <v>0.25175115604155163</v>
      </c>
      <c r="AH42" s="519">
        <f t="shared" si="72"/>
        <v>0.24874354641649574</v>
      </c>
      <c r="AI42" s="519">
        <f t="shared" si="72"/>
        <v>0.25821770574816377</v>
      </c>
      <c r="AJ42" s="1462">
        <f t="shared" si="72"/>
        <v>0.23846555414687864</v>
      </c>
      <c r="AK42" s="591">
        <f t="shared" si="72"/>
        <v>0.24929293553646009</v>
      </c>
      <c r="AL42" s="1618">
        <f t="shared" si="72"/>
        <v>0.26690983669228796</v>
      </c>
      <c r="AM42" s="519">
        <f t="shared" si="72"/>
        <v>0.27705454011534009</v>
      </c>
      <c r="AN42" s="519">
        <f t="shared" si="72"/>
        <v>0.26994605467678523</v>
      </c>
      <c r="AO42" s="1462">
        <f t="shared" si="72"/>
        <v>0.24767979895040282</v>
      </c>
      <c r="AP42" s="591">
        <f t="shared" si="72"/>
        <v>0.26549809153554899</v>
      </c>
      <c r="AQ42" s="1618">
        <f t="shared" si="72"/>
        <v>0.28141765809534286</v>
      </c>
      <c r="AR42" s="519">
        <f t="shared" si="72"/>
        <v>0.27955613001736018</v>
      </c>
      <c r="AS42" s="519">
        <f t="shared" si="72"/>
        <v>0.28016785376864806</v>
      </c>
      <c r="AT42" s="1462">
        <f t="shared" si="72"/>
        <v>0.24885757268983646</v>
      </c>
      <c r="AU42" s="591">
        <f t="shared" si="72"/>
        <v>0.27230264893695905</v>
      </c>
      <c r="AV42" s="1618">
        <f t="shared" si="72"/>
        <v>0.28538445541850505</v>
      </c>
      <c r="AW42" s="519">
        <f t="shared" si="72"/>
        <v>0.287796619519262</v>
      </c>
      <c r="AX42" s="519">
        <f t="shared" ref="AX42:BE42" si="73">AX40/AX$14</f>
        <v>0.26706138417070829</v>
      </c>
      <c r="AY42" s="1462">
        <f t="shared" si="73"/>
        <v>0.23761986157945839</v>
      </c>
      <c r="AZ42" s="591">
        <f t="shared" si="73"/>
        <v>0.27097830101474801</v>
      </c>
      <c r="BA42" s="1618">
        <f t="shared" si="73"/>
        <v>0.28176358644786925</v>
      </c>
      <c r="BB42" s="519">
        <f t="shared" si="73"/>
        <v>0.28648952841848296</v>
      </c>
      <c r="BC42" s="519">
        <f t="shared" si="73"/>
        <v>0.2639486639625972</v>
      </c>
      <c r="BD42" s="1462">
        <f t="shared" si="73"/>
        <v>0.26410813034840841</v>
      </c>
      <c r="BE42" s="591">
        <f t="shared" si="73"/>
        <v>0.27407192664970231</v>
      </c>
      <c r="BF42" s="519">
        <f t="shared" ref="BF42:BO42" si="74">BF40/BF$14</f>
        <v>0.27762151841936455</v>
      </c>
      <c r="BG42" s="519">
        <f t="shared" si="74"/>
        <v>0.27873646848018996</v>
      </c>
      <c r="BH42" s="519">
        <f t="shared" si="74"/>
        <v>0.2844080254620267</v>
      </c>
      <c r="BI42" s="1462">
        <f t="shared" si="74"/>
        <v>0.28111345605456378</v>
      </c>
      <c r="BJ42" s="591">
        <f t="shared" si="74"/>
        <v>0.28056749712333678</v>
      </c>
      <c r="BK42" s="519">
        <f t="shared" si="74"/>
        <v>0.28142338366926611</v>
      </c>
      <c r="BL42" s="519">
        <f t="shared" si="74"/>
        <v>0.29084169675418686</v>
      </c>
      <c r="BM42" s="519">
        <f t="shared" si="74"/>
        <v>0.2759415201470225</v>
      </c>
      <c r="BN42" s="1462">
        <f t="shared" si="74"/>
        <v>0.26369815993861978</v>
      </c>
      <c r="BO42" s="591">
        <f t="shared" si="74"/>
        <v>0.27808876936969001</v>
      </c>
      <c r="BP42" s="519">
        <f t="shared" ref="BP42:CF42" si="75">BP40/BP$14</f>
        <v>0.28562631405367522</v>
      </c>
      <c r="BQ42" s="519">
        <f t="shared" si="75"/>
        <v>0.27513895811858186</v>
      </c>
      <c r="BR42" s="519">
        <f t="shared" si="75"/>
        <v>0.27508567473739437</v>
      </c>
      <c r="BS42" s="1462">
        <f t="shared" si="75"/>
        <v>0.23836465393037523</v>
      </c>
      <c r="BT42" s="1462">
        <f t="shared" si="75"/>
        <v>0.26872746563658484</v>
      </c>
      <c r="BU42" s="519">
        <f t="shared" si="75"/>
        <v>0.28568323729217027</v>
      </c>
      <c r="BV42" s="519">
        <f>BV40/BV$14</f>
        <v>0.29178679205439789</v>
      </c>
      <c r="BW42" s="519">
        <f>BW40/BW$14</f>
        <v>0.2901165457400311</v>
      </c>
      <c r="BX42" s="519">
        <f>BX40/BX$14</f>
        <v>0.2793204352949839</v>
      </c>
      <c r="BY42" s="591">
        <f>BY40/BY$14</f>
        <v>0.28635236129295988</v>
      </c>
      <c r="BZ42" s="591">
        <f t="shared" si="75"/>
        <v>0.29894450852259902</v>
      </c>
      <c r="CA42" s="591">
        <f t="shared" si="75"/>
        <v>0.29783810295368207</v>
      </c>
      <c r="CB42" s="591">
        <f t="shared" si="75"/>
        <v>0.28195703763404745</v>
      </c>
      <c r="CC42" s="591">
        <f t="shared" si="75"/>
        <v>0.27227552930733667</v>
      </c>
      <c r="CD42" s="591">
        <f t="shared" si="75"/>
        <v>0.27554188580787298</v>
      </c>
      <c r="CE42" s="591">
        <f t="shared" si="75"/>
        <v>0.27896409408441386</v>
      </c>
      <c r="CF42" s="591">
        <f t="shared" si="75"/>
        <v>0.28199005982444914</v>
      </c>
      <c r="CG42" s="331"/>
      <c r="CH42" s="331"/>
      <c r="CI42" s="331"/>
      <c r="CJ42" s="331"/>
      <c r="CK42" s="331"/>
      <c r="CL42" s="1617" t="str">
        <f>A42</f>
        <v>Margin</v>
      </c>
      <c r="CM42" s="519"/>
      <c r="CN42" s="519"/>
      <c r="CO42" s="519"/>
      <c r="CP42" s="519"/>
      <c r="CQ42" s="519"/>
      <c r="CR42" s="519">
        <f>AF42</f>
        <v>0.24942186955925341</v>
      </c>
      <c r="CS42" s="519">
        <f>AK42</f>
        <v>0.24929293553646009</v>
      </c>
      <c r="CT42" s="519">
        <f>AP42</f>
        <v>0.26549809153554899</v>
      </c>
      <c r="CU42" s="519">
        <f>AU42</f>
        <v>0.27230264893695905</v>
      </c>
      <c r="CV42" s="519">
        <f>AZ42</f>
        <v>0.27097830101474801</v>
      </c>
      <c r="CW42" s="519">
        <f>BE42</f>
        <v>0.27407192664970231</v>
      </c>
      <c r="CX42" s="519">
        <f>BJ42</f>
        <v>0.28056749712333678</v>
      </c>
      <c r="CY42" s="519">
        <f>BO42</f>
        <v>0.27808876936969001</v>
      </c>
      <c r="CZ42" s="519">
        <f>BT42</f>
        <v>0.26872746563658484</v>
      </c>
      <c r="DA42" s="519">
        <f t="shared" si="67"/>
        <v>0.28635236129295988</v>
      </c>
      <c r="DB42" s="519">
        <f t="shared" si="67"/>
        <v>0.29894450852259902</v>
      </c>
      <c r="DC42" s="1462">
        <f t="shared" si="67"/>
        <v>0.29783810295368207</v>
      </c>
      <c r="DD42" s="331"/>
      <c r="DE42" s="331"/>
      <c r="DF42" s="502"/>
      <c r="DG42" s="503"/>
      <c r="DH42" s="519"/>
      <c r="DI42" s="3213"/>
      <c r="DJ42" s="502"/>
      <c r="DK42" s="503"/>
      <c r="DL42" s="502"/>
      <c r="DM42" s="502"/>
      <c r="DN42" s="502"/>
      <c r="DO42" s="502"/>
      <c r="DP42" s="503"/>
      <c r="DQ42" s="503"/>
      <c r="DR42" s="296"/>
      <c r="DS42" s="296"/>
      <c r="DT42" s="296"/>
    </row>
    <row r="43" spans="1:130" ht="12.6" customHeight="1" x14ac:dyDescent="0.25">
      <c r="A43" s="1617" t="s">
        <v>858</v>
      </c>
      <c r="B43" s="281"/>
      <c r="C43" s="305"/>
      <c r="D43" s="305"/>
      <c r="E43" s="305"/>
      <c r="F43" s="305"/>
      <c r="G43" s="440"/>
      <c r="H43" s="305"/>
      <c r="I43" s="305"/>
      <c r="J43" s="305"/>
      <c r="K43" s="305"/>
      <c r="L43" s="440"/>
      <c r="M43" s="305"/>
      <c r="N43" s="305"/>
      <c r="O43" s="305"/>
      <c r="P43" s="305"/>
      <c r="Q43" s="440"/>
      <c r="R43" s="305"/>
      <c r="S43" s="305"/>
      <c r="T43" s="305"/>
      <c r="U43" s="305"/>
      <c r="V43" s="440"/>
      <c r="W43" s="305"/>
      <c r="X43" s="305"/>
      <c r="Y43" s="305"/>
      <c r="Z43" s="305"/>
      <c r="AA43" s="440"/>
      <c r="AB43" s="519"/>
      <c r="AC43" s="519"/>
      <c r="AD43" s="519"/>
      <c r="AE43" s="519"/>
      <c r="AF43" s="591"/>
      <c r="AG43" s="519">
        <f t="shared" ref="AG43:BE43" si="76">+(AG40-AB40)/(AG$14-AB$14)</f>
        <v>0.48942370496910031</v>
      </c>
      <c r="AH43" s="519">
        <f t="shared" si="76"/>
        <v>0.40562478564078641</v>
      </c>
      <c r="AI43" s="519">
        <f t="shared" si="76"/>
        <v>0.45804823331463596</v>
      </c>
      <c r="AJ43" s="519">
        <f t="shared" si="76"/>
        <v>0.22264328428408278</v>
      </c>
      <c r="AK43" s="591">
        <f t="shared" si="76"/>
        <v>0.2458925152500083</v>
      </c>
      <c r="AL43" s="519">
        <f t="shared" si="76"/>
        <v>0.38710843373493953</v>
      </c>
      <c r="AM43" s="519">
        <f t="shared" si="76"/>
        <v>0.46617095391211238</v>
      </c>
      <c r="AN43" s="519">
        <f t="shared" si="76"/>
        <v>0.37298517529491143</v>
      </c>
      <c r="AO43" s="519">
        <f t="shared" si="76"/>
        <v>0.37329381989660176</v>
      </c>
      <c r="AP43" s="1618">
        <f t="shared" si="76"/>
        <v>0.40623918402520259</v>
      </c>
      <c r="AQ43" s="1618">
        <f t="shared" si="76"/>
        <v>0.42159163335071509</v>
      </c>
      <c r="AR43" s="519">
        <f t="shared" si="76"/>
        <v>0.34930285343709411</v>
      </c>
      <c r="AS43" s="519">
        <f t="shared" si="76"/>
        <v>-1.6019166019166067</v>
      </c>
      <c r="AT43" s="519">
        <f t="shared" si="76"/>
        <v>0.26068496607829378</v>
      </c>
      <c r="AU43" s="591">
        <f t="shared" si="76"/>
        <v>0.39099791359218355</v>
      </c>
      <c r="AV43" s="519">
        <f t="shared" si="76"/>
        <v>0.33233634039268656</v>
      </c>
      <c r="AW43" s="519">
        <f t="shared" si="76"/>
        <v>0.40807046292503024</v>
      </c>
      <c r="AX43" s="519">
        <f t="shared" si="76"/>
        <v>-0.98674063049654048</v>
      </c>
      <c r="AY43" s="519">
        <f t="shared" si="76"/>
        <v>0.32195865158562748</v>
      </c>
      <c r="AZ43" s="591">
        <f t="shared" si="76"/>
        <v>7.190626782104427E-2</v>
      </c>
      <c r="BA43" s="519">
        <f t="shared" si="76"/>
        <v>0.3001539773233392</v>
      </c>
      <c r="BB43" s="519">
        <f t="shared" si="76"/>
        <v>0.29560082398718268</v>
      </c>
      <c r="BC43" s="519">
        <f t="shared" si="76"/>
        <v>0.29641579677348656</v>
      </c>
      <c r="BD43" s="519">
        <f t="shared" si="76"/>
        <v>2.8282282282282436</v>
      </c>
      <c r="BE43" s="591">
        <f t="shared" si="76"/>
        <v>0.24656182020924564</v>
      </c>
      <c r="BF43" s="519">
        <f t="shared" ref="BF43:BK43" si="77">+(BF40-BA40)/(BF$14-BA$14)</f>
        <v>0.16245988377135637</v>
      </c>
      <c r="BG43" s="519">
        <f t="shared" si="77"/>
        <v>0.17514853513624348</v>
      </c>
      <c r="BH43" s="519">
        <f t="shared" si="77"/>
        <v>0.42596698694259594</v>
      </c>
      <c r="BI43" s="1462">
        <f t="shared" si="77"/>
        <v>0.41520489074511219</v>
      </c>
      <c r="BJ43" s="591">
        <f t="shared" si="77"/>
        <v>0.34846467336480602</v>
      </c>
      <c r="BK43" s="519">
        <f t="shared" si="77"/>
        <v>0.30877557873755646</v>
      </c>
      <c r="BL43" s="519">
        <f t="shared" ref="BL43:BT43" si="78">+(BL40-BG40)/(BL$14-BG$14)</f>
        <v>0.41477521689597635</v>
      </c>
      <c r="BM43" s="519">
        <f t="shared" si="78"/>
        <v>3.7946768060838201E-2</v>
      </c>
      <c r="BN43" s="1462">
        <f t="shared" si="78"/>
        <v>-1.1656043833165453</v>
      </c>
      <c r="BO43" s="591">
        <f t="shared" si="78"/>
        <v>0.24219730438420184</v>
      </c>
      <c r="BP43" s="519">
        <f t="shared" si="78"/>
        <v>0.44641683103221613</v>
      </c>
      <c r="BQ43" s="519">
        <f t="shared" si="78"/>
        <v>-0.17166524906623087</v>
      </c>
      <c r="BR43" s="519">
        <f t="shared" si="78"/>
        <v>0.25896678966789655</v>
      </c>
      <c r="BS43" s="1462">
        <f t="shared" si="78"/>
        <v>-0.48201025798055791</v>
      </c>
      <c r="BT43" s="1462">
        <f t="shared" si="78"/>
        <v>1.8654811162954709E-2</v>
      </c>
      <c r="BU43" s="519">
        <f>+(BU40-BP40)/(BU$14-BP$14)</f>
        <v>0.287300740414208</v>
      </c>
      <c r="BV43" s="519">
        <f>+(BV40-BQ40)/(BV$14-BQ$14)</f>
        <v>1.0289061243164339</v>
      </c>
      <c r="BW43" s="519">
        <f>+(BW40-BR40)/(BW$14-BR$14)</f>
        <v>0.314630171021825</v>
      </c>
      <c r="BX43" s="519">
        <f>+(BX40-BS40)/(BX$14-BS$14)</f>
        <v>0.34491842272283807</v>
      </c>
      <c r="BY43" s="591">
        <f>+(BY40-BT40)/(BY$14-BT$14)</f>
        <v>0.34075721914144874</v>
      </c>
      <c r="BZ43" s="591">
        <f t="shared" ref="BZ43:CF43" si="79">+(BZ40-BY40)/(BZ$14-BY$14)</f>
        <v>0.35209767192838659</v>
      </c>
      <c r="CA43" s="591">
        <f t="shared" si="79"/>
        <v>0.56235203402791878</v>
      </c>
      <c r="CB43" s="591">
        <f t="shared" si="79"/>
        <v>0.31831891014524882</v>
      </c>
      <c r="CC43" s="591">
        <f t="shared" si="79"/>
        <v>0.48229341240363477</v>
      </c>
      <c r="CD43" s="591">
        <f t="shared" si="79"/>
        <v>0.44566646477180472</v>
      </c>
      <c r="CE43" s="591">
        <f t="shared" si="79"/>
        <v>0.45249318520156301</v>
      </c>
      <c r="CF43" s="591">
        <f t="shared" si="79"/>
        <v>0.44357087120631106</v>
      </c>
      <c r="CG43" s="331"/>
      <c r="CH43" s="331"/>
      <c r="CI43" s="331"/>
      <c r="CJ43" s="331"/>
      <c r="CK43" s="331"/>
      <c r="CL43" s="1617" t="str">
        <f>A43</f>
        <v>Incremental Margin</v>
      </c>
      <c r="CM43" s="519"/>
      <c r="CN43" s="519"/>
      <c r="CO43" s="519"/>
      <c r="CP43" s="519"/>
      <c r="CQ43" s="519"/>
      <c r="CR43" s="519">
        <f>AF43</f>
        <v>0</v>
      </c>
      <c r="CS43" s="519">
        <f>AK43</f>
        <v>0.2458925152500083</v>
      </c>
      <c r="CT43" s="519">
        <f>AP43</f>
        <v>0.40623918402520259</v>
      </c>
      <c r="CU43" s="519">
        <f>AU43</f>
        <v>0.39099791359218355</v>
      </c>
      <c r="CV43" s="519">
        <f>AZ43</f>
        <v>7.190626782104427E-2</v>
      </c>
      <c r="CW43" s="519">
        <f>BE43</f>
        <v>0.24656182020924564</v>
      </c>
      <c r="CX43" s="519">
        <f>BJ43</f>
        <v>0.34846467336480602</v>
      </c>
      <c r="CY43" s="519">
        <f>BO43</f>
        <v>0.24219730438420184</v>
      </c>
      <c r="CZ43" s="519">
        <f>BT43</f>
        <v>1.8654811162954709E-2</v>
      </c>
      <c r="DA43" s="519">
        <f t="shared" si="67"/>
        <v>0.34075721914144874</v>
      </c>
      <c r="DB43" s="519">
        <f t="shared" si="67"/>
        <v>0.35209767192838659</v>
      </c>
      <c r="DC43" s="1462">
        <f t="shared" si="67"/>
        <v>0.56235203402791878</v>
      </c>
      <c r="DD43" s="331"/>
      <c r="DE43" s="331"/>
      <c r="DF43" s="502"/>
      <c r="DG43" s="503"/>
      <c r="DH43" s="519"/>
      <c r="DI43" s="3213"/>
      <c r="DJ43" s="502"/>
      <c r="DK43" s="503"/>
      <c r="DL43" s="502"/>
      <c r="DM43" s="502"/>
      <c r="DN43" s="502"/>
      <c r="DO43" s="502"/>
      <c r="DP43" s="503"/>
      <c r="DQ43" s="503"/>
      <c r="DR43" s="296"/>
      <c r="DS43" s="296"/>
      <c r="DT43" s="296"/>
    </row>
    <row r="44" spans="1:130" ht="12.6" customHeight="1" x14ac:dyDescent="0.25">
      <c r="A44" s="2015" t="s">
        <v>863</v>
      </c>
      <c r="B44" s="1978"/>
      <c r="C44" s="1255"/>
      <c r="D44" s="1255"/>
      <c r="E44" s="1255"/>
      <c r="F44" s="1255"/>
      <c r="G44" s="1979"/>
      <c r="H44" s="1255"/>
      <c r="I44" s="1255"/>
      <c r="J44" s="1255"/>
      <c r="K44" s="1255"/>
      <c r="L44" s="1979"/>
      <c r="M44" s="1255"/>
      <c r="N44" s="1255"/>
      <c r="O44" s="1255"/>
      <c r="P44" s="1255"/>
      <c r="Q44" s="1979"/>
      <c r="R44" s="1255"/>
      <c r="S44" s="1255"/>
      <c r="T44" s="1255"/>
      <c r="U44" s="1255"/>
      <c r="V44" s="1979"/>
      <c r="W44" s="1255"/>
      <c r="X44" s="1255"/>
      <c r="Y44" s="1255"/>
      <c r="Z44" s="1255"/>
      <c r="AA44" s="1979"/>
      <c r="AB44" s="1255"/>
      <c r="AC44" s="1255"/>
      <c r="AD44" s="1255"/>
      <c r="AE44" s="1255"/>
      <c r="AF44" s="1979"/>
      <c r="AG44" s="1255"/>
      <c r="AH44" s="1255"/>
      <c r="AI44" s="1255"/>
      <c r="AJ44" s="1255"/>
      <c r="AK44" s="1979"/>
      <c r="AL44" s="1255"/>
      <c r="AM44" s="1255"/>
      <c r="AN44" s="1255"/>
      <c r="AO44" s="1255"/>
      <c r="AP44" s="1979"/>
      <c r="AQ44" s="1255"/>
      <c r="AR44" s="1255"/>
      <c r="AS44" s="1255"/>
      <c r="AT44" s="1255"/>
      <c r="AU44" s="1979"/>
      <c r="AV44" s="1255"/>
      <c r="AW44" s="1255"/>
      <c r="AX44" s="1255"/>
      <c r="AY44" s="2374"/>
      <c r="AZ44" s="1979"/>
      <c r="BA44" s="1255">
        <v>174.7</v>
      </c>
      <c r="BB44" s="1255">
        <v>180.2</v>
      </c>
      <c r="BC44" s="1255">
        <v>164.4</v>
      </c>
      <c r="BD44" s="2930">
        <v>162.4</v>
      </c>
      <c r="BE44" s="1979">
        <v>697.1</v>
      </c>
      <c r="BF44" s="1255">
        <v>183.8</v>
      </c>
      <c r="BG44" s="1255">
        <v>185.8</v>
      </c>
      <c r="BH44" s="1255">
        <v>197.7</v>
      </c>
      <c r="BI44" s="1255">
        <v>181.6</v>
      </c>
      <c r="BJ44" s="1979">
        <v>771.1</v>
      </c>
      <c r="BK44" s="1255">
        <v>203.1</v>
      </c>
      <c r="BL44" s="1255">
        <v>225.5</v>
      </c>
      <c r="BM44" s="1255">
        <v>212.3</v>
      </c>
      <c r="BN44" s="3117">
        <v>192.7</v>
      </c>
      <c r="BO44" s="1979">
        <v>840.6</v>
      </c>
      <c r="BP44" s="1255" t="s">
        <v>2546</v>
      </c>
      <c r="BQ44" s="1255">
        <v>219.9</v>
      </c>
      <c r="BR44" s="1255">
        <v>220.4</v>
      </c>
      <c r="BS44" s="1255">
        <v>206.1</v>
      </c>
      <c r="BT44" s="1979">
        <v>868.7</v>
      </c>
      <c r="BU44" s="1255">
        <v>233.6</v>
      </c>
      <c r="BV44" s="1255"/>
      <c r="BW44" s="1255"/>
      <c r="BX44" s="1255"/>
      <c r="BY44" s="1979">
        <v>916</v>
      </c>
      <c r="BZ44" s="1979"/>
      <c r="CA44" s="1979"/>
      <c r="CB44" s="1979"/>
      <c r="CC44" s="1979"/>
      <c r="CD44" s="1979"/>
      <c r="CE44" s="1979"/>
      <c r="CF44" s="1979"/>
      <c r="CG44" s="469"/>
      <c r="CH44" s="469"/>
      <c r="CI44" s="469"/>
      <c r="CJ44" s="469"/>
      <c r="CK44" s="469"/>
      <c r="CL44" s="2015"/>
      <c r="CM44" s="1180"/>
      <c r="CN44" s="1180"/>
      <c r="CO44" s="1180"/>
      <c r="CP44" s="1180"/>
      <c r="CQ44" s="1180"/>
      <c r="CR44" s="1180"/>
      <c r="CS44" s="1180"/>
      <c r="CT44" s="1180"/>
      <c r="CU44" s="1180"/>
      <c r="CV44" s="1180"/>
      <c r="CW44" s="1180"/>
      <c r="CX44" s="1180"/>
      <c r="CY44" s="1180"/>
      <c r="CZ44" s="1180"/>
      <c r="DA44" s="1180"/>
      <c r="DB44" s="1180"/>
      <c r="DC44" s="2016"/>
      <c r="DD44" s="469"/>
      <c r="DE44" s="469"/>
      <c r="DF44" s="469"/>
      <c r="DG44" s="469"/>
      <c r="DH44" s="1180"/>
      <c r="DI44" s="3210"/>
      <c r="DJ44" s="469"/>
      <c r="DK44" s="469"/>
      <c r="DL44" s="469"/>
      <c r="DM44" s="469"/>
      <c r="DN44" s="469"/>
      <c r="DO44" s="469"/>
      <c r="DP44" s="469"/>
      <c r="DQ44" s="469"/>
      <c r="DR44" s="1659"/>
      <c r="DS44" s="1659"/>
      <c r="DT44" s="1659"/>
    </row>
    <row r="45" spans="1:130" ht="12.6" customHeight="1" x14ac:dyDescent="0.25">
      <c r="A45" s="2725" t="s">
        <v>2665</v>
      </c>
      <c r="B45" s="428"/>
      <c r="C45" s="482"/>
      <c r="D45" s="482"/>
      <c r="E45" s="482"/>
      <c r="F45" s="482"/>
      <c r="G45" s="481"/>
      <c r="H45" s="482"/>
      <c r="I45" s="482"/>
      <c r="J45" s="482"/>
      <c r="K45" s="482"/>
      <c r="L45" s="481"/>
      <c r="M45" s="482"/>
      <c r="N45" s="482"/>
      <c r="O45" s="482"/>
      <c r="P45" s="482"/>
      <c r="Q45" s="481"/>
      <c r="R45" s="482"/>
      <c r="S45" s="482"/>
      <c r="T45" s="482"/>
      <c r="U45" s="482"/>
      <c r="V45" s="481"/>
      <c r="W45" s="482"/>
      <c r="X45" s="482"/>
      <c r="Y45" s="482"/>
      <c r="Z45" s="482"/>
      <c r="AA45" s="481"/>
      <c r="AB45" s="482"/>
      <c r="AC45" s="482"/>
      <c r="AD45" s="482"/>
      <c r="AE45" s="430"/>
      <c r="AF45" s="481"/>
      <c r="AG45" s="482"/>
      <c r="AH45" s="482"/>
      <c r="AI45" s="482"/>
      <c r="AJ45" s="482"/>
      <c r="AK45" s="481"/>
      <c r="AL45" s="482"/>
      <c r="AM45" s="482"/>
      <c r="AN45" s="482"/>
      <c r="AO45" s="482"/>
      <c r="AP45" s="483"/>
      <c r="AQ45" s="1676"/>
      <c r="AR45" s="482"/>
      <c r="AS45" s="482"/>
      <c r="AT45" s="482"/>
      <c r="AU45" s="1684"/>
      <c r="AV45" s="482"/>
      <c r="AW45" s="482"/>
      <c r="AX45" s="482"/>
      <c r="AY45" s="482"/>
      <c r="AZ45" s="481"/>
      <c r="BA45" s="482"/>
      <c r="BB45" s="482"/>
      <c r="BC45" s="482"/>
      <c r="BD45" s="482"/>
      <c r="BE45" s="2587"/>
      <c r="BF45" s="482"/>
      <c r="BG45" s="482"/>
      <c r="BH45" s="1301"/>
      <c r="BI45" s="862"/>
      <c r="BJ45" s="3096"/>
      <c r="BK45" s="1301"/>
      <c r="BL45" s="1301"/>
      <c r="BM45" s="482"/>
      <c r="BN45" s="1075"/>
      <c r="BO45" s="3199"/>
      <c r="BP45" s="482"/>
      <c r="BQ45" s="482"/>
      <c r="BR45" s="482"/>
      <c r="BS45" s="862"/>
      <c r="BT45" s="3199"/>
      <c r="BU45" s="3538">
        <f>+BU40-BU22</f>
        <v>229.55816787702511</v>
      </c>
      <c r="BV45" s="3538">
        <f>+BV40-BV22</f>
        <v>237.64607672277765</v>
      </c>
      <c r="BW45" s="3538">
        <f>+BW40-BW22+BW35+BW36</f>
        <v>233.52999927458691</v>
      </c>
      <c r="BX45" s="3538">
        <f>+BX40-BX22+BX35+BX36</f>
        <v>212.06345289012083</v>
      </c>
      <c r="BY45" s="3023">
        <f>+BY40-BY22+BY35+BY36</f>
        <v>912.79769676451065</v>
      </c>
      <c r="BZ45" s="3023">
        <f t="shared" ref="BZ45:CA45" si="80">+BZ40-BZ22+BZ35+BZ36</f>
        <v>936.01804755125147</v>
      </c>
      <c r="CA45" s="3023">
        <f t="shared" si="80"/>
        <v>921.53476048376945</v>
      </c>
      <c r="CB45" s="862"/>
      <c r="CC45" s="862"/>
      <c r="CD45" s="862"/>
      <c r="CE45" s="862"/>
      <c r="CF45" s="862"/>
      <c r="CG45" s="331"/>
      <c r="CH45" s="331"/>
      <c r="CI45" s="331"/>
      <c r="CJ45" s="331"/>
      <c r="CK45" s="331"/>
      <c r="CL45" s="995"/>
      <c r="CM45" s="430"/>
      <c r="CN45" s="430"/>
      <c r="CO45" s="430"/>
      <c r="CP45" s="430"/>
      <c r="CQ45" s="430"/>
      <c r="CR45" s="430"/>
      <c r="CS45" s="430"/>
      <c r="CT45" s="430"/>
      <c r="CU45" s="430"/>
      <c r="CV45" s="430"/>
      <c r="CW45" s="430"/>
      <c r="CX45" s="430"/>
      <c r="CY45" s="430"/>
      <c r="CZ45" s="430"/>
      <c r="DA45" s="430"/>
      <c r="DB45" s="430"/>
      <c r="DC45" s="853"/>
      <c r="DD45" s="331"/>
      <c r="DE45" s="331"/>
      <c r="DF45" s="502"/>
      <c r="DG45" s="503"/>
      <c r="DH45" s="3290"/>
      <c r="DI45" s="3213"/>
      <c r="DJ45" s="502"/>
      <c r="DK45" s="503"/>
      <c r="DL45" s="502"/>
      <c r="DM45" s="502"/>
      <c r="DN45" s="502"/>
      <c r="DO45" s="502"/>
      <c r="DP45" s="503"/>
      <c r="DQ45" s="503"/>
      <c r="DR45" s="296"/>
      <c r="DS45" s="296"/>
      <c r="DT45" s="296"/>
    </row>
    <row r="46" spans="1:130" ht="12.6" hidden="1" customHeight="1" outlineLevel="1" x14ac:dyDescent="0.25">
      <c r="A46" s="2015" t="s">
        <v>1029</v>
      </c>
      <c r="B46" s="1978"/>
      <c r="C46" s="1255"/>
      <c r="D46" s="1255"/>
      <c r="E46" s="1255"/>
      <c r="F46" s="1255"/>
      <c r="G46" s="1979"/>
      <c r="H46" s="1255"/>
      <c r="I46" s="1255"/>
      <c r="J46" s="1255"/>
      <c r="K46" s="1255"/>
      <c r="L46" s="1979"/>
      <c r="M46" s="1255"/>
      <c r="N46" s="1255"/>
      <c r="O46" s="1255"/>
      <c r="P46" s="1255"/>
      <c r="Q46" s="1979"/>
      <c r="R46" s="1255"/>
      <c r="S46" s="1255"/>
      <c r="T46" s="1255"/>
      <c r="U46" s="1255"/>
      <c r="V46" s="1979"/>
      <c r="W46" s="1255"/>
      <c r="X46" s="1255"/>
      <c r="Y46" s="1255"/>
      <c r="Z46" s="1255"/>
      <c r="AA46" s="1979"/>
      <c r="AB46" s="1255"/>
      <c r="AC46" s="1255"/>
      <c r="AD46" s="1255"/>
      <c r="AE46" s="1255"/>
      <c r="AF46" s="1979"/>
      <c r="AG46" s="1255"/>
      <c r="AH46" s="1255"/>
      <c r="AI46" s="1255"/>
      <c r="AJ46" s="1255"/>
      <c r="AK46" s="1979"/>
      <c r="AL46" s="1255"/>
      <c r="AM46" s="1255"/>
      <c r="AN46" s="1255"/>
      <c r="AO46" s="1255"/>
      <c r="AP46" s="1979"/>
      <c r="AQ46" s="1255"/>
      <c r="AR46" s="1255"/>
      <c r="AS46" s="1255"/>
      <c r="AT46" s="1255"/>
      <c r="AU46" s="1979"/>
      <c r="AV46" s="1255"/>
      <c r="AW46" s="1255"/>
      <c r="AX46" s="1255"/>
      <c r="AY46" s="2374"/>
      <c r="AZ46" s="1979"/>
      <c r="BA46" s="1255">
        <v>103.2</v>
      </c>
      <c r="BB46" s="1255">
        <v>104.3</v>
      </c>
      <c r="BC46" s="1255">
        <v>104</v>
      </c>
      <c r="BD46" s="1255">
        <v>106.7</v>
      </c>
      <c r="BE46" s="1979">
        <v>420.2</v>
      </c>
      <c r="BF46" s="1255">
        <v>109.2</v>
      </c>
      <c r="BG46" s="1255">
        <v>108.8</v>
      </c>
      <c r="BH46" s="1255">
        <v>108.7</v>
      </c>
      <c r="BI46" s="1255">
        <v>109</v>
      </c>
      <c r="BJ46" s="1979">
        <v>436.4</v>
      </c>
      <c r="BK46" s="1255">
        <v>110.5</v>
      </c>
      <c r="BL46" s="1255"/>
      <c r="BM46" s="1255"/>
      <c r="BN46" s="2885"/>
      <c r="BO46" s="1979">
        <v>443</v>
      </c>
      <c r="BP46" s="1255"/>
      <c r="BQ46" s="1255"/>
      <c r="BR46" s="1255"/>
      <c r="BS46" s="2885"/>
      <c r="BT46" s="2016"/>
      <c r="BU46" s="1180"/>
      <c r="BV46" s="1180"/>
      <c r="BW46" s="1180"/>
      <c r="BX46" s="1180"/>
      <c r="BY46" s="1979"/>
      <c r="BZ46" s="1979"/>
      <c r="CA46" s="1979"/>
      <c r="CB46" s="1979"/>
      <c r="CC46" s="1979"/>
      <c r="CD46" s="1979"/>
      <c r="CE46" s="1979"/>
      <c r="CF46" s="1979"/>
      <c r="CG46" s="469"/>
      <c r="CH46" s="469"/>
      <c r="CI46" s="469"/>
      <c r="CJ46" s="469"/>
      <c r="CK46" s="469"/>
      <c r="CL46" s="2015"/>
      <c r="CM46" s="1180"/>
      <c r="CN46" s="1180"/>
      <c r="CO46" s="1180"/>
      <c r="CP46" s="1180"/>
      <c r="CQ46" s="1180"/>
      <c r="CR46" s="1180"/>
      <c r="CS46" s="1180"/>
      <c r="CT46" s="1180"/>
      <c r="CU46" s="1180"/>
      <c r="CV46" s="1180"/>
      <c r="CW46" s="1180"/>
      <c r="CX46" s="1180"/>
      <c r="CY46" s="1180"/>
      <c r="CZ46" s="1180"/>
      <c r="DA46" s="1180"/>
      <c r="DB46" s="1180"/>
      <c r="DC46" s="2016"/>
      <c r="DD46" s="469"/>
      <c r="DE46" s="469"/>
      <c r="DF46" s="469"/>
      <c r="DG46" s="469"/>
      <c r="DH46" s="1180"/>
      <c r="DI46" s="3210"/>
      <c r="DJ46" s="469"/>
      <c r="DK46" s="469"/>
      <c r="DL46" s="469"/>
      <c r="DM46" s="469"/>
      <c r="DN46" s="469"/>
      <c r="DO46" s="469"/>
      <c r="DP46" s="469"/>
      <c r="DQ46" s="469"/>
      <c r="DR46" s="1659"/>
      <c r="DS46" s="1659"/>
      <c r="DT46" s="1659"/>
    </row>
    <row r="47" spans="1:130" ht="12.6" hidden="1" customHeight="1" outlineLevel="1" x14ac:dyDescent="0.25">
      <c r="A47" s="995" t="s">
        <v>1239</v>
      </c>
      <c r="B47" s="428"/>
      <c r="C47" s="482"/>
      <c r="D47" s="482"/>
      <c r="E47" s="482"/>
      <c r="F47" s="482"/>
      <c r="G47" s="481"/>
      <c r="H47" s="482"/>
      <c r="I47" s="482"/>
      <c r="J47" s="482"/>
      <c r="K47" s="482"/>
      <c r="L47" s="481"/>
      <c r="M47" s="482"/>
      <c r="N47" s="482"/>
      <c r="O47" s="482"/>
      <c r="P47" s="482"/>
      <c r="Q47" s="481"/>
      <c r="R47" s="482"/>
      <c r="S47" s="482"/>
      <c r="T47" s="482"/>
      <c r="U47" s="482"/>
      <c r="V47" s="481"/>
      <c r="W47" s="482"/>
      <c r="X47" s="482"/>
      <c r="Y47" s="482"/>
      <c r="Z47" s="482"/>
      <c r="AA47" s="481"/>
      <c r="AB47" s="482"/>
      <c r="AC47" s="482"/>
      <c r="AD47" s="482"/>
      <c r="AE47" s="430"/>
      <c r="AF47" s="481"/>
      <c r="AG47" s="482"/>
      <c r="AH47" s="482"/>
      <c r="AI47" s="482"/>
      <c r="AJ47" s="482"/>
      <c r="AK47" s="481"/>
      <c r="AL47" s="482"/>
      <c r="AM47" s="482"/>
      <c r="AN47" s="482"/>
      <c r="AO47" s="482"/>
      <c r="AP47" s="483"/>
      <c r="AQ47" s="1676"/>
      <c r="AR47" s="482"/>
      <c r="AS47" s="482"/>
      <c r="AT47" s="482"/>
      <c r="AU47" s="1684"/>
      <c r="AV47" s="482"/>
      <c r="AW47" s="482"/>
      <c r="AX47" s="482"/>
      <c r="AY47" s="2578">
        <v>69.501999999999995</v>
      </c>
      <c r="AZ47" s="481">
        <f>SUM(AV47:AY47)</f>
        <v>69.501999999999995</v>
      </c>
      <c r="BA47" s="2675">
        <v>104.309</v>
      </c>
      <c r="BB47" s="2675">
        <v>104.613</v>
      </c>
      <c r="BC47" s="2675">
        <v>104.625</v>
      </c>
      <c r="BD47" s="2675">
        <v>107.84099999999999</v>
      </c>
      <c r="BE47" s="481">
        <f>SUM(BA47:BD47)</f>
        <v>421.38800000000003</v>
      </c>
      <c r="BF47" s="482">
        <v>108.845</v>
      </c>
      <c r="BG47" s="482">
        <v>109.51900000000001</v>
      </c>
      <c r="BH47" s="2840">
        <f>+BH1243</f>
        <v>109</v>
      </c>
      <c r="BI47" s="853">
        <f>+BI1243</f>
        <v>109.62420283103333</v>
      </c>
      <c r="BJ47" s="481">
        <f>SUM(BF47:BI47)</f>
        <v>436.98820283103339</v>
      </c>
      <c r="BK47" s="430">
        <f>+BK1243</f>
        <v>111.396</v>
      </c>
      <c r="BL47" s="430">
        <f>+BL1243</f>
        <v>110.8</v>
      </c>
      <c r="BM47" s="430">
        <f>+BM1243</f>
        <v>109.71</v>
      </c>
      <c r="BN47" s="853">
        <f>+BN1243</f>
        <v>110.42</v>
      </c>
      <c r="BO47" s="481">
        <f>SUM(BK47:BN47)</f>
        <v>442.32600000000002</v>
      </c>
      <c r="BP47" s="430">
        <f>+BP1243</f>
        <v>112.45</v>
      </c>
      <c r="BQ47" s="430">
        <f>+BQ1243</f>
        <v>113.9</v>
      </c>
      <c r="BR47" s="430">
        <f>+BR1243</f>
        <v>114.489</v>
      </c>
      <c r="BS47" s="853">
        <f>+BS1243</f>
        <v>114.532</v>
      </c>
      <c r="BT47" s="3065">
        <f>SUM(BP47:BS47)</f>
        <v>455.37100000000004</v>
      </c>
      <c r="BU47" s="2840">
        <f>+BU1243</f>
        <v>115.91873705837774</v>
      </c>
      <c r="BV47" s="2840">
        <f>+BV1243</f>
        <v>115.55783932036537</v>
      </c>
      <c r="BW47" s="3511">
        <f>+BW1260</f>
        <v>202.82530380428619</v>
      </c>
      <c r="BX47" s="2840">
        <f>+BX1260</f>
        <v>201.43932903139074</v>
      </c>
      <c r="BY47" s="2587">
        <f>SUM(BU47:BX47)</f>
        <v>635.74120921442</v>
      </c>
      <c r="BZ47" s="853">
        <f t="shared" ref="BZ47:CA47" si="81">+BZ1260</f>
        <v>809.33255323886112</v>
      </c>
      <c r="CA47" s="853">
        <f t="shared" si="81"/>
        <v>816.04337499347514</v>
      </c>
      <c r="CB47" s="853">
        <f t="shared" ref="CB47:CF47" si="82">+CB1243</f>
        <v>483.86407024809932</v>
      </c>
      <c r="CC47" s="853">
        <f t="shared" si="82"/>
        <v>485.48333910219355</v>
      </c>
      <c r="CD47" s="853">
        <f t="shared" si="82"/>
        <v>493.07786526077564</v>
      </c>
      <c r="CE47" s="853">
        <f t="shared" si="82"/>
        <v>500.94305448921682</v>
      </c>
      <c r="CF47" s="853">
        <f t="shared" si="82"/>
        <v>508.74050152767791</v>
      </c>
      <c r="CG47" s="331"/>
      <c r="CH47" s="331"/>
      <c r="CI47" s="331"/>
      <c r="CJ47" s="331"/>
      <c r="CK47" s="331"/>
      <c r="CL47" s="995" t="str">
        <f t="shared" ref="CL47:CL57" si="83">A47</f>
        <v>Rent Expense (paid to GLPI)</v>
      </c>
      <c r="CM47" s="430">
        <f>G47</f>
        <v>0</v>
      </c>
      <c r="CN47" s="430">
        <f>L47</f>
        <v>0</v>
      </c>
      <c r="CO47" s="430">
        <f>Q47</f>
        <v>0</v>
      </c>
      <c r="CP47" s="430">
        <f>V47</f>
        <v>0</v>
      </c>
      <c r="CQ47" s="430">
        <f>AA47</f>
        <v>0</v>
      </c>
      <c r="CR47" s="430">
        <f t="shared" ref="CR47:CR57" si="84">AF47</f>
        <v>0</v>
      </c>
      <c r="CS47" s="430">
        <f t="shared" ref="CS47:CS57" si="85">AK47</f>
        <v>0</v>
      </c>
      <c r="CT47" s="430">
        <f t="shared" ref="CT47:CT57" si="86">AP47</f>
        <v>0</v>
      </c>
      <c r="CU47" s="430">
        <f t="shared" ref="CU47:CU57" si="87">AU47</f>
        <v>0</v>
      </c>
      <c r="CV47" s="430">
        <f t="shared" ref="CV47:CV56" si="88">AZ47</f>
        <v>69.501999999999995</v>
      </c>
      <c r="CW47" s="430">
        <f t="shared" ref="CW47:CW56" si="89">BE47</f>
        <v>421.38800000000003</v>
      </c>
      <c r="CX47" s="430">
        <f t="shared" ref="CX47:CX56" si="90">BJ47</f>
        <v>436.98820283103339</v>
      </c>
      <c r="CY47" s="430">
        <f t="shared" ref="CY47:CY56" si="91">BO47</f>
        <v>442.32600000000002</v>
      </c>
      <c r="CZ47" s="430">
        <f t="shared" ref="CZ47:CZ56" si="92">BT47</f>
        <v>455.37100000000004</v>
      </c>
      <c r="DA47" s="430">
        <f t="shared" ref="DA47:DA56" si="93">BY47</f>
        <v>635.74120921442</v>
      </c>
      <c r="DB47" s="430">
        <f t="shared" ref="DB47:DB56" si="94">BZ47</f>
        <v>809.33255323886112</v>
      </c>
      <c r="DC47" s="853">
        <f t="shared" ref="DC47:DC56" si="95">CA47</f>
        <v>816.04337499347514</v>
      </c>
      <c r="DD47" s="331"/>
      <c r="DE47" s="331"/>
      <c r="DF47" s="502"/>
      <c r="DG47" s="503"/>
      <c r="DH47" s="2840"/>
      <c r="DI47" s="3213"/>
      <c r="DJ47" s="502"/>
      <c r="DK47" s="503"/>
      <c r="DL47" s="502"/>
      <c r="DM47" s="502"/>
      <c r="DN47" s="502"/>
      <c r="DO47" s="502"/>
      <c r="DP47" s="503"/>
      <c r="DQ47" s="503"/>
      <c r="DR47" s="296"/>
      <c r="DS47" s="296"/>
      <c r="DT47" s="296"/>
    </row>
    <row r="48" spans="1:130" ht="12.6" hidden="1" customHeight="1" outlineLevel="1" x14ac:dyDescent="0.25">
      <c r="A48" s="995" t="s">
        <v>1737</v>
      </c>
      <c r="B48" s="428"/>
      <c r="C48" s="482">
        <v>0</v>
      </c>
      <c r="D48" s="482">
        <v>0</v>
      </c>
      <c r="E48" s="482">
        <v>0</v>
      </c>
      <c r="F48" s="482">
        <v>0</v>
      </c>
      <c r="G48" s="481">
        <v>0</v>
      </c>
      <c r="H48" s="482">
        <v>0</v>
      </c>
      <c r="I48" s="482">
        <v>0</v>
      </c>
      <c r="J48" s="482">
        <v>0</v>
      </c>
      <c r="K48" s="482">
        <v>0</v>
      </c>
      <c r="L48" s="481">
        <v>0</v>
      </c>
      <c r="M48" s="482">
        <v>0</v>
      </c>
      <c r="N48" s="482">
        <v>0</v>
      </c>
      <c r="O48" s="482">
        <v>0</v>
      </c>
      <c r="P48" s="482">
        <v>0</v>
      </c>
      <c r="Q48" s="481">
        <v>0</v>
      </c>
      <c r="R48" s="482">
        <v>0</v>
      </c>
      <c r="S48" s="482">
        <v>0</v>
      </c>
      <c r="T48" s="482">
        <v>0</v>
      </c>
      <c r="U48" s="482">
        <v>0</v>
      </c>
      <c r="V48" s="481">
        <v>0</v>
      </c>
      <c r="W48" s="482">
        <v>0</v>
      </c>
      <c r="X48" s="482">
        <v>0</v>
      </c>
      <c r="Y48" s="482">
        <f>18.2+3</f>
        <v>21.2</v>
      </c>
      <c r="Z48" s="482">
        <f>24.9+1.1</f>
        <v>26</v>
      </c>
      <c r="AA48" s="481">
        <f>SUM(W48:Z48)</f>
        <v>47.2</v>
      </c>
      <c r="AB48" s="482">
        <v>0</v>
      </c>
      <c r="AC48" s="482">
        <v>0</v>
      </c>
      <c r="AD48" s="482">
        <f>11.2+1.1</f>
        <v>12.299999999999999</v>
      </c>
      <c r="AE48" s="482">
        <f>24-11.2</f>
        <v>12.8</v>
      </c>
      <c r="AF48" s="481">
        <f>SUM(AB48:AE48)</f>
        <v>25.1</v>
      </c>
      <c r="AG48" s="482">
        <f>0.1+0.124+0.127</f>
        <v>0.35099999999999998</v>
      </c>
      <c r="AH48" s="482">
        <v>6.6</v>
      </c>
      <c r="AI48" s="482">
        <v>2.8</v>
      </c>
      <c r="AJ48" s="482">
        <f>14.4+3</f>
        <v>17.399999999999999</v>
      </c>
      <c r="AK48" s="481">
        <f>SUM(AG48:AJ48)</f>
        <v>27.150999999999996</v>
      </c>
      <c r="AL48" s="482">
        <v>0</v>
      </c>
      <c r="AM48" s="482">
        <v>0.95699999999999996</v>
      </c>
      <c r="AN48" s="482">
        <v>6</v>
      </c>
      <c r="AO48" s="482">
        <f>2.8+2</f>
        <v>4.8</v>
      </c>
      <c r="AP48" s="483">
        <f>SUM(AL48:AO48)</f>
        <v>11.757</v>
      </c>
      <c r="AQ48" s="1676">
        <v>6.4</v>
      </c>
      <c r="AR48" s="482">
        <f>8+1.4</f>
        <v>9.4</v>
      </c>
      <c r="AS48" s="482">
        <f>7.1+0.3+1.5+1.4+19.2</f>
        <v>29.5</v>
      </c>
      <c r="AT48" s="482">
        <f>26+6.4+0.4</f>
        <v>32.799999999999997</v>
      </c>
      <c r="AU48" s="1684">
        <f>SUM(AQ48:AT48)</f>
        <v>78.099999999999994</v>
      </c>
      <c r="AV48" s="482">
        <f>2.3+1.9</f>
        <v>4.1999999999999993</v>
      </c>
      <c r="AW48" s="482">
        <f>2.3+2.5</f>
        <v>4.8</v>
      </c>
      <c r="AX48" s="482">
        <f>3.807+5.075-3.056</f>
        <v>5.8259999999999996</v>
      </c>
      <c r="AY48" s="862">
        <v>0</v>
      </c>
      <c r="AZ48" s="481">
        <f>SUM(AV48:AY48)</f>
        <v>14.826000000000001</v>
      </c>
      <c r="BA48" s="482">
        <v>0</v>
      </c>
      <c r="BB48" s="482">
        <v>0</v>
      </c>
      <c r="BC48" s="482">
        <v>0</v>
      </c>
      <c r="BD48" s="862">
        <v>0</v>
      </c>
      <c r="BE48" s="853">
        <f>SUM(BA48:BD48)</f>
        <v>0</v>
      </c>
      <c r="BF48" s="482">
        <v>0</v>
      </c>
      <c r="BG48" s="482">
        <v>0</v>
      </c>
      <c r="BH48" s="482">
        <v>0</v>
      </c>
      <c r="BI48" s="862">
        <v>0</v>
      </c>
      <c r="BJ48" s="853">
        <f>SUM(BF48:BI48)</f>
        <v>0</v>
      </c>
      <c r="BK48" s="482">
        <v>0</v>
      </c>
      <c r="BL48" s="482">
        <v>0</v>
      </c>
      <c r="BM48" s="482">
        <v>0</v>
      </c>
      <c r="BN48" s="862">
        <v>0</v>
      </c>
      <c r="BO48" s="481">
        <f>SUM(BK48:BN48)</f>
        <v>0</v>
      </c>
      <c r="BP48" s="482">
        <v>0</v>
      </c>
      <c r="BQ48" s="482">
        <v>0</v>
      </c>
      <c r="BR48" s="482">
        <v>0</v>
      </c>
      <c r="BS48" s="862">
        <v>0</v>
      </c>
      <c r="BT48" s="3065">
        <f>SUM(BP48:BS48)</f>
        <v>0</v>
      </c>
      <c r="BU48" s="482">
        <v>0</v>
      </c>
      <c r="BV48" s="482">
        <v>0</v>
      </c>
      <c r="BW48" s="482">
        <v>0</v>
      </c>
      <c r="BX48" s="482">
        <v>0</v>
      </c>
      <c r="BY48" s="2587">
        <f>SUM(BU48:BX48)</f>
        <v>0</v>
      </c>
      <c r="BZ48" s="484">
        <v>0</v>
      </c>
      <c r="CA48" s="484">
        <v>0</v>
      </c>
      <c r="CB48" s="484">
        <v>0</v>
      </c>
      <c r="CC48" s="484">
        <v>0</v>
      </c>
      <c r="CD48" s="484">
        <v>0</v>
      </c>
      <c r="CE48" s="484">
        <v>0</v>
      </c>
      <c r="CF48" s="484">
        <v>0</v>
      </c>
      <c r="CG48" s="331"/>
      <c r="CH48" s="331"/>
      <c r="CI48" s="331"/>
      <c r="CJ48" s="331"/>
      <c r="CK48" s="331"/>
      <c r="CL48" s="995" t="str">
        <f t="shared" si="83"/>
        <v>Non-recurring operating expenses</v>
      </c>
      <c r="CM48" s="430">
        <f>G48</f>
        <v>0</v>
      </c>
      <c r="CN48" s="430">
        <f>L48</f>
        <v>0</v>
      </c>
      <c r="CO48" s="430">
        <f>Q48</f>
        <v>0</v>
      </c>
      <c r="CP48" s="430">
        <f>V48</f>
        <v>0</v>
      </c>
      <c r="CQ48" s="430">
        <f>AA48</f>
        <v>47.2</v>
      </c>
      <c r="CR48" s="430">
        <f t="shared" si="84"/>
        <v>25.1</v>
      </c>
      <c r="CS48" s="430">
        <f t="shared" si="85"/>
        <v>27.150999999999996</v>
      </c>
      <c r="CT48" s="430">
        <f t="shared" si="86"/>
        <v>11.757</v>
      </c>
      <c r="CU48" s="430">
        <f t="shared" si="87"/>
        <v>78.099999999999994</v>
      </c>
      <c r="CV48" s="430">
        <f t="shared" si="88"/>
        <v>14.826000000000001</v>
      </c>
      <c r="CW48" s="430">
        <f t="shared" si="89"/>
        <v>0</v>
      </c>
      <c r="CX48" s="430">
        <f t="shared" si="90"/>
        <v>0</v>
      </c>
      <c r="CY48" s="430">
        <f t="shared" si="91"/>
        <v>0</v>
      </c>
      <c r="CZ48" s="430">
        <f t="shared" si="92"/>
        <v>0</v>
      </c>
      <c r="DA48" s="430">
        <f t="shared" si="93"/>
        <v>0</v>
      </c>
      <c r="DB48" s="430">
        <f t="shared" si="94"/>
        <v>0</v>
      </c>
      <c r="DC48" s="853">
        <f t="shared" si="95"/>
        <v>0</v>
      </c>
      <c r="DD48" s="331"/>
      <c r="DE48" s="331"/>
      <c r="DF48" s="502"/>
      <c r="DG48" s="503"/>
      <c r="DH48" s="2840"/>
      <c r="DI48" s="3213"/>
      <c r="DJ48" s="502"/>
      <c r="DK48" s="503"/>
      <c r="DL48" s="502"/>
      <c r="DM48" s="502"/>
      <c r="DN48" s="502"/>
      <c r="DO48" s="502"/>
      <c r="DP48" s="503"/>
      <c r="DQ48" s="503"/>
      <c r="DR48" s="296"/>
      <c r="DS48" s="296"/>
      <c r="DT48" s="296"/>
    </row>
    <row r="49" spans="1:124" ht="12.6" hidden="1" customHeight="1" outlineLevel="1" x14ac:dyDescent="0.25">
      <c r="A49" s="995" t="s">
        <v>1623</v>
      </c>
      <c r="B49" s="428"/>
      <c r="C49" s="482"/>
      <c r="D49" s="482"/>
      <c r="E49" s="482"/>
      <c r="F49" s="482"/>
      <c r="G49" s="481"/>
      <c r="H49" s="482"/>
      <c r="I49" s="482"/>
      <c r="J49" s="482"/>
      <c r="K49" s="482"/>
      <c r="L49" s="481"/>
      <c r="M49" s="482"/>
      <c r="N49" s="482"/>
      <c r="O49" s="482"/>
      <c r="P49" s="482"/>
      <c r="Q49" s="481"/>
      <c r="R49" s="482"/>
      <c r="S49" s="482"/>
      <c r="T49" s="482"/>
      <c r="U49" s="482"/>
      <c r="V49" s="481"/>
      <c r="W49" s="482"/>
      <c r="X49" s="482"/>
      <c r="Y49" s="482"/>
      <c r="Z49" s="482"/>
      <c r="AA49" s="481"/>
      <c r="AB49" s="482"/>
      <c r="AC49" s="482"/>
      <c r="AD49" s="482"/>
      <c r="AE49" s="482"/>
      <c r="AF49" s="481"/>
      <c r="AG49" s="482"/>
      <c r="AH49" s="482"/>
      <c r="AI49" s="482"/>
      <c r="AJ49" s="482"/>
      <c r="AK49" s="481"/>
      <c r="AL49" s="482">
        <v>0</v>
      </c>
      <c r="AM49" s="482">
        <v>0</v>
      </c>
      <c r="AN49" s="482">
        <v>0</v>
      </c>
      <c r="AO49" s="482">
        <v>6.27</v>
      </c>
      <c r="AP49" s="483">
        <f>+AO49+AN49+AM49+AL49</f>
        <v>6.27</v>
      </c>
      <c r="AQ49" s="1676">
        <v>0</v>
      </c>
      <c r="AR49" s="482">
        <v>0</v>
      </c>
      <c r="AS49" s="482">
        <v>0</v>
      </c>
      <c r="AT49" s="482">
        <v>0</v>
      </c>
      <c r="AU49" s="481">
        <f>+AT49+AS49+AR49+AQ49</f>
        <v>0</v>
      </c>
      <c r="AV49" s="482">
        <v>0</v>
      </c>
      <c r="AW49" s="482">
        <v>0</v>
      </c>
      <c r="AX49" s="482">
        <v>0</v>
      </c>
      <c r="AY49" s="862">
        <v>0</v>
      </c>
      <c r="AZ49" s="481">
        <f>SUM(AV49:AY49)</f>
        <v>0</v>
      </c>
      <c r="BA49" s="482">
        <v>0</v>
      </c>
      <c r="BB49" s="482">
        <v>0</v>
      </c>
      <c r="BC49" s="482">
        <v>0</v>
      </c>
      <c r="BD49" s="862">
        <v>0</v>
      </c>
      <c r="BE49" s="853">
        <f>SUM(BA49:BD49)</f>
        <v>0</v>
      </c>
      <c r="BF49" s="482">
        <v>0</v>
      </c>
      <c r="BG49" s="482">
        <v>0</v>
      </c>
      <c r="BH49" s="482">
        <v>0</v>
      </c>
      <c r="BI49" s="862">
        <v>0</v>
      </c>
      <c r="BJ49" s="853">
        <f>SUM(BF49:BI49)</f>
        <v>0</v>
      </c>
      <c r="BK49" s="482">
        <v>0</v>
      </c>
      <c r="BL49" s="482">
        <v>0</v>
      </c>
      <c r="BM49" s="482">
        <v>0</v>
      </c>
      <c r="BN49" s="862">
        <v>0</v>
      </c>
      <c r="BO49" s="481">
        <f>SUM(BK49:BN49)</f>
        <v>0</v>
      </c>
      <c r="BP49" s="482">
        <v>0</v>
      </c>
      <c r="BQ49" s="482">
        <v>0</v>
      </c>
      <c r="BR49" s="482">
        <v>0</v>
      </c>
      <c r="BS49" s="862">
        <v>0</v>
      </c>
      <c r="BT49" s="3065">
        <f>SUM(BP49:BS49)</f>
        <v>0</v>
      </c>
      <c r="BU49" s="482">
        <v>0</v>
      </c>
      <c r="BV49" s="482">
        <v>0</v>
      </c>
      <c r="BW49" s="482">
        <v>0</v>
      </c>
      <c r="BX49" s="482">
        <v>0</v>
      </c>
      <c r="BY49" s="2587">
        <f>SUM(BU49:BX49)</f>
        <v>0</v>
      </c>
      <c r="BZ49" s="484">
        <v>0</v>
      </c>
      <c r="CA49" s="484">
        <v>0</v>
      </c>
      <c r="CB49" s="484">
        <v>0</v>
      </c>
      <c r="CC49" s="484">
        <v>0</v>
      </c>
      <c r="CD49" s="484">
        <v>0</v>
      </c>
      <c r="CE49" s="484">
        <v>0</v>
      </c>
      <c r="CF49" s="484">
        <v>0</v>
      </c>
      <c r="CG49" s="331"/>
      <c r="CH49" s="331"/>
      <c r="CI49" s="331"/>
      <c r="CJ49" s="331"/>
      <c r="CK49" s="331"/>
      <c r="CL49" s="995" t="str">
        <f t="shared" si="83"/>
        <v>Other</v>
      </c>
      <c r="CM49" s="430">
        <f>G49</f>
        <v>0</v>
      </c>
      <c r="CN49" s="430">
        <f>L49</f>
        <v>0</v>
      </c>
      <c r="CO49" s="430">
        <f>Q49</f>
        <v>0</v>
      </c>
      <c r="CP49" s="430">
        <f>V49</f>
        <v>0</v>
      </c>
      <c r="CQ49" s="430">
        <f>AA49</f>
        <v>0</v>
      </c>
      <c r="CR49" s="430">
        <f t="shared" si="84"/>
        <v>0</v>
      </c>
      <c r="CS49" s="430">
        <f t="shared" si="85"/>
        <v>0</v>
      </c>
      <c r="CT49" s="430">
        <f t="shared" si="86"/>
        <v>6.27</v>
      </c>
      <c r="CU49" s="430">
        <f t="shared" si="87"/>
        <v>0</v>
      </c>
      <c r="CV49" s="430">
        <f t="shared" si="88"/>
        <v>0</v>
      </c>
      <c r="CW49" s="430">
        <f t="shared" si="89"/>
        <v>0</v>
      </c>
      <c r="CX49" s="430">
        <f t="shared" si="90"/>
        <v>0</v>
      </c>
      <c r="CY49" s="430">
        <f t="shared" si="91"/>
        <v>0</v>
      </c>
      <c r="CZ49" s="430">
        <f t="shared" si="92"/>
        <v>0</v>
      </c>
      <c r="DA49" s="430">
        <f t="shared" si="93"/>
        <v>0</v>
      </c>
      <c r="DB49" s="430">
        <f t="shared" si="94"/>
        <v>0</v>
      </c>
      <c r="DC49" s="853">
        <f t="shared" si="95"/>
        <v>0</v>
      </c>
      <c r="DD49" s="331"/>
      <c r="DE49" s="331"/>
      <c r="DF49" s="502"/>
      <c r="DG49" s="503"/>
      <c r="DH49" s="2840"/>
      <c r="DI49" s="3213"/>
      <c r="DJ49" s="502"/>
      <c r="DK49" s="503"/>
      <c r="DL49" s="502"/>
      <c r="DM49" s="502"/>
      <c r="DN49" s="502"/>
      <c r="DO49" s="502"/>
      <c r="DP49" s="503"/>
      <c r="DQ49" s="503"/>
      <c r="DR49" s="296"/>
      <c r="DS49" s="296"/>
      <c r="DT49" s="296"/>
    </row>
    <row r="50" spans="1:124" ht="12.6" hidden="1" customHeight="1" outlineLevel="1" x14ac:dyDescent="0.25">
      <c r="A50" s="2137" t="s">
        <v>2414</v>
      </c>
      <c r="B50" s="2138"/>
      <c r="C50" s="2139">
        <f t="shared" ref="C50:AK50" si="96">C314-C34-C48</f>
        <v>70.881999999999991</v>
      </c>
      <c r="D50" s="2139">
        <f t="shared" si="96"/>
        <v>75.856000000000009</v>
      </c>
      <c r="E50" s="2139">
        <f t="shared" si="96"/>
        <v>72.390000000000015</v>
      </c>
      <c r="F50" s="2139">
        <f t="shared" si="96"/>
        <v>67.108000000000004</v>
      </c>
      <c r="G50" s="2140">
        <f t="shared" si="96"/>
        <v>286.23599999999999</v>
      </c>
      <c r="H50" s="2139">
        <f t="shared" si="96"/>
        <v>72.173000000000002</v>
      </c>
      <c r="I50" s="2139">
        <f t="shared" si="96"/>
        <v>78.614999999999981</v>
      </c>
      <c r="J50" s="2139">
        <f t="shared" si="96"/>
        <v>78.572999999999993</v>
      </c>
      <c r="K50" s="2139">
        <f t="shared" si="96"/>
        <v>143.92500000000001</v>
      </c>
      <c r="L50" s="2140">
        <f t="shared" si="96"/>
        <v>373.286</v>
      </c>
      <c r="M50" s="2139">
        <f t="shared" si="96"/>
        <v>164.815</v>
      </c>
      <c r="N50" s="2139">
        <f t="shared" si="96"/>
        <v>155.13400000000001</v>
      </c>
      <c r="O50" s="2139">
        <f t="shared" si="96"/>
        <v>162.83499999999998</v>
      </c>
      <c r="P50" s="2139">
        <f t="shared" si="96"/>
        <v>146.44100000000003</v>
      </c>
      <c r="Q50" s="2140">
        <f t="shared" si="96"/>
        <v>629.22499999999991</v>
      </c>
      <c r="R50" s="2139">
        <f t="shared" si="96"/>
        <v>167.69900000000001</v>
      </c>
      <c r="S50" s="2139">
        <f t="shared" si="96"/>
        <v>172.75800000000001</v>
      </c>
      <c r="T50" s="2139">
        <f t="shared" si="96"/>
        <v>177.636</v>
      </c>
      <c r="U50" s="2139">
        <f t="shared" si="96"/>
        <v>154.63399999999999</v>
      </c>
      <c r="V50" s="2140">
        <f t="shared" si="96"/>
        <v>672.72700000000009</v>
      </c>
      <c r="W50" s="2139">
        <f t="shared" si="96"/>
        <v>161.84899999999999</v>
      </c>
      <c r="X50" s="2139">
        <f t="shared" si="96"/>
        <v>164.24899999999997</v>
      </c>
      <c r="Y50" s="2139">
        <f t="shared" si="96"/>
        <v>147.09500000000003</v>
      </c>
      <c r="Z50" s="2139">
        <f t="shared" si="96"/>
        <v>119.185</v>
      </c>
      <c r="AA50" s="2140">
        <f t="shared" si="96"/>
        <v>592.37799999999993</v>
      </c>
      <c r="AB50" s="2139">
        <f t="shared" si="96"/>
        <v>158.85900000000001</v>
      </c>
      <c r="AC50" s="2139">
        <f t="shared" si="96"/>
        <v>141.73000000000002</v>
      </c>
      <c r="AD50" s="2139">
        <f t="shared" si="96"/>
        <v>144.34199999999998</v>
      </c>
      <c r="AE50" s="2139">
        <f t="shared" si="96"/>
        <v>120.91799999999996</v>
      </c>
      <c r="AF50" s="2140">
        <f t="shared" si="96"/>
        <v>565.84900000000005</v>
      </c>
      <c r="AG50" s="2139">
        <f t="shared" si="96"/>
        <v>148.76700000000002</v>
      </c>
      <c r="AH50" s="2139">
        <f t="shared" si="96"/>
        <v>142.226</v>
      </c>
      <c r="AI50" s="2139">
        <f t="shared" si="96"/>
        <v>162.00900000000001</v>
      </c>
      <c r="AJ50" s="2139">
        <f t="shared" si="96"/>
        <v>132.886</v>
      </c>
      <c r="AK50" s="2140">
        <f t="shared" si="96"/>
        <v>585.88799999999992</v>
      </c>
      <c r="AL50" s="2139">
        <f t="shared" ref="AL50:AS50" si="97">AL314-AL34-AL48-AL49</f>
        <v>178.035</v>
      </c>
      <c r="AM50" s="2139">
        <f t="shared" si="97"/>
        <v>189.62300000000002</v>
      </c>
      <c r="AN50" s="2139">
        <f t="shared" si="97"/>
        <v>185.90600000000006</v>
      </c>
      <c r="AO50" s="2139">
        <f t="shared" si="97"/>
        <v>156.47299999999998</v>
      </c>
      <c r="AP50" s="2140">
        <f t="shared" si="97"/>
        <v>710.03700000000003</v>
      </c>
      <c r="AQ50" s="2139">
        <f t="shared" si="97"/>
        <v>200.73999999999995</v>
      </c>
      <c r="AR50" s="2139">
        <f t="shared" si="97"/>
        <v>189.798</v>
      </c>
      <c r="AS50" s="2139">
        <f t="shared" si="97"/>
        <v>168.59100000000004</v>
      </c>
      <c r="AT50" s="2139">
        <f>AT24-AT34-AT48-AT49</f>
        <v>152.30299999999994</v>
      </c>
      <c r="AU50" s="2140">
        <f>AU24-AU34-AU48-AU49</f>
        <v>711.43199999999979</v>
      </c>
      <c r="AV50" s="2141">
        <f t="shared" ref="AV50:BJ50" si="98">AV24-AV34-AV48-AV49-AV47</f>
        <v>223.607</v>
      </c>
      <c r="AW50" s="2139">
        <f t="shared" si="98"/>
        <v>214.32</v>
      </c>
      <c r="AX50" s="2139">
        <f t="shared" si="98"/>
        <v>184.97200000000001</v>
      </c>
      <c r="AY50" s="2142">
        <f t="shared" si="98"/>
        <v>83.691999999999993</v>
      </c>
      <c r="AZ50" s="2140">
        <f t="shared" si="98"/>
        <v>706.59100000000001</v>
      </c>
      <c r="BA50" s="2141">
        <f t="shared" si="98"/>
        <v>76.324000000000012</v>
      </c>
      <c r="BB50" s="2139">
        <f t="shared" si="98"/>
        <v>82.21999999999997</v>
      </c>
      <c r="BC50" s="2139">
        <f t="shared" si="98"/>
        <v>65.87</v>
      </c>
      <c r="BD50" s="2142">
        <f t="shared" si="98"/>
        <v>64.189000000000007</v>
      </c>
      <c r="BE50" s="2140">
        <f t="shared" si="98"/>
        <v>288.60299999999995</v>
      </c>
      <c r="BF50" s="2139">
        <f t="shared" si="98"/>
        <v>75.533999999999963</v>
      </c>
      <c r="BG50" s="2139">
        <f t="shared" si="98"/>
        <v>85.863</v>
      </c>
      <c r="BH50" s="2139">
        <f t="shared" si="98"/>
        <v>101.26199999999997</v>
      </c>
      <c r="BI50" s="2142">
        <f t="shared" si="98"/>
        <v>96.703797168966673</v>
      </c>
      <c r="BJ50" s="2140">
        <f t="shared" si="98"/>
        <v>359.36279716896661</v>
      </c>
      <c r="BK50" s="2139">
        <f t="shared" ref="BK50:BS50" si="99">BK24-BK34-BK48-BK49-BK47</f>
        <v>101.48700000000001</v>
      </c>
      <c r="BL50" s="2139">
        <f t="shared" si="99"/>
        <v>112.97999999999998</v>
      </c>
      <c r="BM50" s="2139">
        <f t="shared" si="99"/>
        <v>101.55000000000003</v>
      </c>
      <c r="BN50" s="2142">
        <f t="shared" si="99"/>
        <v>85.484000000000023</v>
      </c>
      <c r="BO50" s="2140">
        <f t="shared" si="99"/>
        <v>401.50099999999998</v>
      </c>
      <c r="BP50" s="2139">
        <f t="shared" si="99"/>
        <v>109.25999999999998</v>
      </c>
      <c r="BQ50" s="2139">
        <f t="shared" si="99"/>
        <v>105.23800000000003</v>
      </c>
      <c r="BR50" s="2139">
        <f t="shared" si="99"/>
        <v>107.29799999999997</v>
      </c>
      <c r="BS50" s="2142">
        <f t="shared" si="99"/>
        <v>68.779000000000039</v>
      </c>
      <c r="BT50" s="2142">
        <f t="shared" ref="BT50:CF50" si="100">BT24-BT34-BT48-BT49-BT47</f>
        <v>390.57499999999999</v>
      </c>
      <c r="BU50" s="2139">
        <f t="shared" si="100"/>
        <v>113.63943081864737</v>
      </c>
      <c r="BV50" s="2139">
        <f t="shared" si="100"/>
        <v>122.08823740241228</v>
      </c>
      <c r="BW50" s="3517">
        <f>BW24-BW38-BW48-BW49-BW47</f>
        <v>174.50276629325106</v>
      </c>
      <c r="BX50" s="2139">
        <f t="shared" ref="BX50:CA50" si="101">BX24-BX38-BX48-BX49-BX47</f>
        <v>147.48213060968766</v>
      </c>
      <c r="BY50" s="2140">
        <f t="shared" si="101"/>
        <v>557.7125651239985</v>
      </c>
      <c r="BZ50" s="2140">
        <f t="shared" si="101"/>
        <v>731.76836306392568</v>
      </c>
      <c r="CA50" s="2140">
        <f t="shared" si="101"/>
        <v>712.93162484105585</v>
      </c>
      <c r="CB50" s="2140">
        <f t="shared" si="100"/>
        <v>331.41049901397969</v>
      </c>
      <c r="CC50" s="2140">
        <f t="shared" si="100"/>
        <v>265.50484095538252</v>
      </c>
      <c r="CD50" s="2140">
        <f t="shared" si="100"/>
        <v>281.51134530596107</v>
      </c>
      <c r="CE50" s="2140">
        <f t="shared" si="100"/>
        <v>298.73207446100207</v>
      </c>
      <c r="CF50" s="2140">
        <f t="shared" si="100"/>
        <v>314.74699192055084</v>
      </c>
      <c r="CG50" s="2143"/>
      <c r="CH50" s="2143"/>
      <c r="CI50" s="2143"/>
      <c r="CJ50" s="2143"/>
      <c r="CK50" s="450"/>
      <c r="CL50" s="2204" t="str">
        <f t="shared" si="83"/>
        <v>Total Reported EBITDA (ex-rent expense)</v>
      </c>
      <c r="CM50" s="2160">
        <f>G50</f>
        <v>286.23599999999999</v>
      </c>
      <c r="CN50" s="2160">
        <f>L50</f>
        <v>373.286</v>
      </c>
      <c r="CO50" s="2160">
        <f>Q50</f>
        <v>629.22499999999991</v>
      </c>
      <c r="CP50" s="2160">
        <f>V50</f>
        <v>672.72700000000009</v>
      </c>
      <c r="CQ50" s="2160">
        <f>AA50</f>
        <v>592.37799999999993</v>
      </c>
      <c r="CR50" s="2160">
        <f t="shared" si="84"/>
        <v>565.84900000000005</v>
      </c>
      <c r="CS50" s="2160">
        <f t="shared" si="85"/>
        <v>585.88799999999992</v>
      </c>
      <c r="CT50" s="2160">
        <f t="shared" si="86"/>
        <v>710.03700000000003</v>
      </c>
      <c r="CU50" s="2160">
        <f t="shared" si="87"/>
        <v>711.43199999999979</v>
      </c>
      <c r="CV50" s="2160">
        <f t="shared" si="88"/>
        <v>706.59100000000001</v>
      </c>
      <c r="CW50" s="2160">
        <f t="shared" si="89"/>
        <v>288.60299999999995</v>
      </c>
      <c r="CX50" s="2160">
        <f t="shared" si="90"/>
        <v>359.36279716896661</v>
      </c>
      <c r="CY50" s="2160">
        <f t="shared" si="91"/>
        <v>401.50099999999998</v>
      </c>
      <c r="CZ50" s="2160">
        <f t="shared" si="92"/>
        <v>390.57499999999999</v>
      </c>
      <c r="DA50" s="2160">
        <f t="shared" si="93"/>
        <v>557.7125651239985</v>
      </c>
      <c r="DB50" s="2160">
        <f t="shared" si="94"/>
        <v>731.76836306392568</v>
      </c>
      <c r="DC50" s="2163">
        <f t="shared" si="95"/>
        <v>712.93162484105585</v>
      </c>
      <c r="DD50" s="450"/>
      <c r="DE50" s="450"/>
      <c r="DF50" s="2144"/>
      <c r="DG50" s="2144"/>
      <c r="DH50" s="514"/>
      <c r="DI50" s="3213"/>
      <c r="DJ50" s="2144"/>
      <c r="DK50" s="2144"/>
      <c r="DL50" s="2144"/>
      <c r="DM50" s="2144"/>
      <c r="DN50" s="2144"/>
      <c r="DO50" s="2144"/>
      <c r="DP50" s="2144"/>
      <c r="DQ50" s="2144"/>
      <c r="DR50" s="2145"/>
      <c r="DS50" s="2145"/>
      <c r="DT50" s="2145"/>
    </row>
    <row r="51" spans="1:124" ht="12.6" hidden="1" customHeight="1" outlineLevel="1" x14ac:dyDescent="0.25">
      <c r="A51" s="2105" t="s">
        <v>803</v>
      </c>
      <c r="B51" s="2106"/>
      <c r="C51" s="2107" t="s">
        <v>553</v>
      </c>
      <c r="D51" s="2107" t="s">
        <v>553</v>
      </c>
      <c r="E51" s="2107" t="s">
        <v>553</v>
      </c>
      <c r="F51" s="2107" t="s">
        <v>553</v>
      </c>
      <c r="G51" s="2108" t="s">
        <v>553</v>
      </c>
      <c r="H51" s="2107">
        <f t="shared" ref="H51:AP51" si="102">(H50-C50)/C50</f>
        <v>1.8213368697271679E-2</v>
      </c>
      <c r="I51" s="2107">
        <f t="shared" si="102"/>
        <v>3.6371546087322973E-2</v>
      </c>
      <c r="J51" s="2107">
        <f t="shared" si="102"/>
        <v>8.5412349772067644E-2</v>
      </c>
      <c r="K51" s="2107">
        <f t="shared" si="102"/>
        <v>1.1446772366930917</v>
      </c>
      <c r="L51" s="2108">
        <f t="shared" si="102"/>
        <v>0.30411967746894175</v>
      </c>
      <c r="M51" s="2107">
        <f t="shared" si="102"/>
        <v>1.283610214346085</v>
      </c>
      <c r="N51" s="2107">
        <f t="shared" si="102"/>
        <v>0.97333842142084914</v>
      </c>
      <c r="O51" s="2107">
        <f t="shared" si="102"/>
        <v>1.0724040064653251</v>
      </c>
      <c r="P51" s="2107">
        <f t="shared" si="102"/>
        <v>1.7481327080076565E-2</v>
      </c>
      <c r="Q51" s="2108">
        <f t="shared" si="102"/>
        <v>0.68563782193813838</v>
      </c>
      <c r="R51" s="2107">
        <f t="shared" si="102"/>
        <v>1.7498407305160418E-2</v>
      </c>
      <c r="S51" s="2107">
        <f t="shared" si="102"/>
        <v>0.11360501244085754</v>
      </c>
      <c r="T51" s="2107">
        <f t="shared" si="102"/>
        <v>9.0895691958117225E-2</v>
      </c>
      <c r="U51" s="2107">
        <f t="shared" si="102"/>
        <v>5.5947446411865213E-2</v>
      </c>
      <c r="V51" s="2108">
        <f t="shared" si="102"/>
        <v>6.9135841710040419E-2</v>
      </c>
      <c r="W51" s="2107">
        <f t="shared" si="102"/>
        <v>-3.4883928944120256E-2</v>
      </c>
      <c r="X51" s="2107">
        <f t="shared" si="102"/>
        <v>-4.9253869574781152E-2</v>
      </c>
      <c r="Y51" s="2107">
        <f t="shared" si="102"/>
        <v>-0.17193023936589413</v>
      </c>
      <c r="Z51" s="2107">
        <f t="shared" si="102"/>
        <v>-0.229244538717229</v>
      </c>
      <c r="AA51" s="2108">
        <f t="shared" si="102"/>
        <v>-0.11943775112341284</v>
      </c>
      <c r="AB51" s="2107">
        <f t="shared" si="102"/>
        <v>-1.8474009725114031E-2</v>
      </c>
      <c r="AC51" s="2107">
        <f t="shared" si="102"/>
        <v>-0.1371028134113447</v>
      </c>
      <c r="AD51" s="2107">
        <f t="shared" si="102"/>
        <v>-1.8715795914205392E-2</v>
      </c>
      <c r="AE51" s="2107">
        <f t="shared" si="102"/>
        <v>1.454042035491011E-2</v>
      </c>
      <c r="AF51" s="2108">
        <f t="shared" si="102"/>
        <v>-4.4783904871551421E-2</v>
      </c>
      <c r="AG51" s="2107">
        <f t="shared" si="102"/>
        <v>-6.3528034294562996E-2</v>
      </c>
      <c r="AH51" s="2107">
        <f t="shared" si="102"/>
        <v>3.4996119381922024E-3</v>
      </c>
      <c r="AI51" s="2107">
        <f t="shared" si="102"/>
        <v>0.12239680758199299</v>
      </c>
      <c r="AJ51" s="2107">
        <f t="shared" si="102"/>
        <v>9.8976165665988811E-2</v>
      </c>
      <c r="AK51" s="2108">
        <f t="shared" si="102"/>
        <v>3.5414041555255682E-2</v>
      </c>
      <c r="AL51" s="2107">
        <f t="shared" si="102"/>
        <v>0.19673717961644699</v>
      </c>
      <c r="AM51" s="2107">
        <f t="shared" si="102"/>
        <v>0.33325130426223065</v>
      </c>
      <c r="AN51" s="2107">
        <f t="shared" si="102"/>
        <v>0.14750415100395686</v>
      </c>
      <c r="AO51" s="2107">
        <f t="shared" si="102"/>
        <v>0.17749800580949077</v>
      </c>
      <c r="AP51" s="2108">
        <f t="shared" si="102"/>
        <v>0.21189886121579574</v>
      </c>
      <c r="AQ51" s="2107">
        <f t="shared" ref="AQ51:BA51" si="103">(AQ50-AL50)/AL50</f>
        <v>0.12753110343471766</v>
      </c>
      <c r="AR51" s="2107">
        <f t="shared" si="103"/>
        <v>9.2288382738371893E-4</v>
      </c>
      <c r="AS51" s="2107">
        <f t="shared" si="103"/>
        <v>-9.3138467827827073E-2</v>
      </c>
      <c r="AT51" s="2107">
        <f t="shared" si="103"/>
        <v>-2.6649965169710077E-2</v>
      </c>
      <c r="AU51" s="2108">
        <f t="shared" si="103"/>
        <v>1.9646863473308496E-3</v>
      </c>
      <c r="AV51" s="2107">
        <f t="shared" si="103"/>
        <v>0.11391351997608873</v>
      </c>
      <c r="AW51" s="2107">
        <f t="shared" si="103"/>
        <v>0.12920051844592667</v>
      </c>
      <c r="AX51" s="2107">
        <f t="shared" si="103"/>
        <v>9.7164142807148468E-2</v>
      </c>
      <c r="AY51" s="2107">
        <f t="shared" si="103"/>
        <v>-0.4504901413629408</v>
      </c>
      <c r="AZ51" s="2108">
        <f t="shared" si="103"/>
        <v>-6.8045856807112731E-3</v>
      </c>
      <c r="BA51" s="2107">
        <f t="shared" si="103"/>
        <v>-0.65866900410094487</v>
      </c>
      <c r="BB51" s="2107">
        <f t="shared" ref="BB51:BJ51" si="104">(BB50-AW50)/AW50</f>
        <v>-0.6163680477790221</v>
      </c>
      <c r="BC51" s="2107">
        <f t="shared" si="104"/>
        <v>-0.64389204852626347</v>
      </c>
      <c r="BD51" s="2107">
        <f t="shared" si="104"/>
        <v>-0.23303302585671257</v>
      </c>
      <c r="BE51" s="2108">
        <f t="shared" si="104"/>
        <v>-0.59155579394586122</v>
      </c>
      <c r="BF51" s="2107">
        <f t="shared" si="104"/>
        <v>-1.0350610555002996E-2</v>
      </c>
      <c r="BG51" s="2107">
        <f t="shared" si="104"/>
        <v>4.4307954269034666E-2</v>
      </c>
      <c r="BH51" s="2107">
        <f t="shared" si="104"/>
        <v>0.53730074388947879</v>
      </c>
      <c r="BI51" s="2887">
        <f t="shared" si="104"/>
        <v>0.50654780677322697</v>
      </c>
      <c r="BJ51" s="2108">
        <f t="shared" si="104"/>
        <v>0.24518039372067049</v>
      </c>
      <c r="BK51" s="2107">
        <f t="shared" ref="BK51:BT51" si="105">(BK50-BF50)/BF50</f>
        <v>0.34359361347207956</v>
      </c>
      <c r="BL51" s="2107">
        <f t="shared" si="105"/>
        <v>0.31581705740540134</v>
      </c>
      <c r="BM51" s="2107">
        <f t="shared" si="105"/>
        <v>2.8441073650535605E-3</v>
      </c>
      <c r="BN51" s="2887">
        <f t="shared" si="105"/>
        <v>-0.11602230209598438</v>
      </c>
      <c r="BO51" s="2108">
        <f t="shared" si="105"/>
        <v>0.11725811119847407</v>
      </c>
      <c r="BP51" s="2107">
        <f t="shared" si="105"/>
        <v>7.6591090484495222E-2</v>
      </c>
      <c r="BQ51" s="2107">
        <f t="shared" si="105"/>
        <v>-6.8525402726145768E-2</v>
      </c>
      <c r="BR51" s="2107">
        <f t="shared" si="105"/>
        <v>5.6602658788773477E-2</v>
      </c>
      <c r="BS51" s="2887">
        <f t="shared" si="105"/>
        <v>-0.19541668616349234</v>
      </c>
      <c r="BT51" s="2887">
        <f t="shared" si="105"/>
        <v>-2.7212883654088006E-2</v>
      </c>
      <c r="BU51" s="2107">
        <f>(BU50-BP50)/BP50</f>
        <v>4.0082654389963335E-2</v>
      </c>
      <c r="BV51" s="2107">
        <f>(BV50-BQ50)/BQ50</f>
        <v>0.16011552293289727</v>
      </c>
      <c r="BW51" s="2107">
        <f>(BW50-BR50)/BR50</f>
        <v>0.62633754863325597</v>
      </c>
      <c r="BX51" s="2107">
        <f>(BX50-BS50)/BS50</f>
        <v>1.1442901264875553</v>
      </c>
      <c r="BY51" s="2108">
        <f>(BY50-BT50)/BT50</f>
        <v>0.42792694136593107</v>
      </c>
      <c r="BZ51" s="2108">
        <f t="shared" ref="BZ51:CF51" si="106">(BZ50-BY50)/BY50</f>
        <v>0.31208871527079302</v>
      </c>
      <c r="CA51" s="2108">
        <f t="shared" si="106"/>
        <v>-2.5741394645704695E-2</v>
      </c>
      <c r="CB51" s="2108">
        <f t="shared" si="106"/>
        <v>-0.53514406225440503</v>
      </c>
      <c r="CC51" s="2108">
        <f t="shared" si="106"/>
        <v>-0.19886412245442203</v>
      </c>
      <c r="CD51" s="2108">
        <f t="shared" si="106"/>
        <v>6.0287052744429651E-2</v>
      </c>
      <c r="CE51" s="2108">
        <f t="shared" si="106"/>
        <v>6.1172416111061605E-2</v>
      </c>
      <c r="CF51" s="2108">
        <f t="shared" si="106"/>
        <v>5.360963494945848E-2</v>
      </c>
      <c r="CG51" s="492"/>
      <c r="CH51" s="492"/>
      <c r="CI51" s="492"/>
      <c r="CJ51" s="492"/>
      <c r="CK51" s="492"/>
      <c r="CL51" s="1310" t="str">
        <f t="shared" si="83"/>
        <v>% Growth (y-o-y)</v>
      </c>
      <c r="CM51" s="469" t="str">
        <f>G51</f>
        <v xml:space="preserve">n/a </v>
      </c>
      <c r="CN51" s="469">
        <f>L51</f>
        <v>0.30411967746894175</v>
      </c>
      <c r="CO51" s="469">
        <f>Q51</f>
        <v>0.68563782193813838</v>
      </c>
      <c r="CP51" s="469">
        <f>V51</f>
        <v>6.9135841710040419E-2</v>
      </c>
      <c r="CQ51" s="469">
        <f>AA51</f>
        <v>-0.11943775112341284</v>
      </c>
      <c r="CR51" s="469">
        <f t="shared" si="84"/>
        <v>-4.4783904871551421E-2</v>
      </c>
      <c r="CS51" s="469">
        <f t="shared" si="85"/>
        <v>3.5414041555255682E-2</v>
      </c>
      <c r="CT51" s="469">
        <f t="shared" si="86"/>
        <v>0.21189886121579574</v>
      </c>
      <c r="CU51" s="469">
        <f t="shared" si="87"/>
        <v>1.9646863473308496E-3</v>
      </c>
      <c r="CV51" s="469">
        <f t="shared" si="88"/>
        <v>-6.8045856807112731E-3</v>
      </c>
      <c r="CW51" s="469">
        <f t="shared" si="89"/>
        <v>-0.59155579394586122</v>
      </c>
      <c r="CX51" s="469">
        <f t="shared" si="90"/>
        <v>0.24518039372067049</v>
      </c>
      <c r="CY51" s="469">
        <f t="shared" si="91"/>
        <v>0.11725811119847407</v>
      </c>
      <c r="CZ51" s="469">
        <f t="shared" si="92"/>
        <v>-2.7212883654088006E-2</v>
      </c>
      <c r="DA51" s="469">
        <f t="shared" si="93"/>
        <v>0.42792694136593107</v>
      </c>
      <c r="DB51" s="469">
        <f t="shared" si="94"/>
        <v>0.31208871527079302</v>
      </c>
      <c r="DC51" s="1463">
        <f t="shared" si="95"/>
        <v>-2.5741394645704695E-2</v>
      </c>
      <c r="DD51" s="492"/>
      <c r="DE51" s="492"/>
      <c r="DF51" s="962"/>
      <c r="DG51" s="962"/>
      <c r="DH51" s="469"/>
      <c r="DI51" s="3213"/>
      <c r="DJ51" s="962"/>
      <c r="DK51" s="962"/>
      <c r="DL51" s="962"/>
      <c r="DM51" s="962"/>
      <c r="DN51" s="962"/>
      <c r="DO51" s="962"/>
      <c r="DP51" s="962"/>
      <c r="DQ51" s="962"/>
      <c r="DR51" s="963"/>
      <c r="DS51" s="963"/>
      <c r="DT51" s="963"/>
    </row>
    <row r="52" spans="1:124" ht="12.6" hidden="1" customHeight="1" outlineLevel="1" x14ac:dyDescent="0.25">
      <c r="A52" s="1803" t="s">
        <v>1892</v>
      </c>
      <c r="B52" s="1797"/>
      <c r="C52" s="1798"/>
      <c r="D52" s="1798"/>
      <c r="E52" s="1798"/>
      <c r="F52" s="1798"/>
      <c r="G52" s="2114"/>
      <c r="H52" s="1798"/>
      <c r="I52" s="1798"/>
      <c r="J52" s="1798"/>
      <c r="K52" s="1798"/>
      <c r="L52" s="2114"/>
      <c r="M52" s="1798"/>
      <c r="N52" s="1798"/>
      <c r="O52" s="1798"/>
      <c r="P52" s="1798"/>
      <c r="Q52" s="2114"/>
      <c r="R52" s="1798"/>
      <c r="S52" s="1798"/>
      <c r="T52" s="1798"/>
      <c r="U52" s="1798"/>
      <c r="V52" s="2114"/>
      <c r="W52" s="1798"/>
      <c r="X52" s="1798"/>
      <c r="Y52" s="1798"/>
      <c r="Z52" s="1798"/>
      <c r="AA52" s="1800"/>
      <c r="AB52" s="1799"/>
      <c r="AC52" s="1799"/>
      <c r="AD52" s="1799"/>
      <c r="AE52" s="1799"/>
      <c r="AF52" s="1804">
        <f t="shared" ref="AF52:AU52" si="107">AF50/AF$14</f>
        <v>0.23882791149191213</v>
      </c>
      <c r="AG52" s="1805">
        <f t="shared" si="107"/>
        <v>0.25115857395373814</v>
      </c>
      <c r="AH52" s="1805">
        <f t="shared" si="107"/>
        <v>0.23771249400395444</v>
      </c>
      <c r="AI52" s="1805">
        <f t="shared" si="107"/>
        <v>0.25383075129728511</v>
      </c>
      <c r="AJ52" s="1805">
        <f t="shared" si="107"/>
        <v>0.21085619171687392</v>
      </c>
      <c r="AK52" s="1804">
        <f t="shared" si="107"/>
        <v>0.23825195365316976</v>
      </c>
      <c r="AL52" s="1805">
        <f t="shared" si="107"/>
        <v>0.26690983669228796</v>
      </c>
      <c r="AM52" s="1805">
        <f t="shared" si="107"/>
        <v>0.27566330706417852</v>
      </c>
      <c r="AN52" s="1805">
        <f t="shared" si="107"/>
        <v>0.26150610841110988</v>
      </c>
      <c r="AO52" s="1805">
        <f t="shared" si="107"/>
        <v>0.23131495306378891</v>
      </c>
      <c r="AP52" s="1804">
        <f t="shared" si="107"/>
        <v>0.25892430942832856</v>
      </c>
      <c r="AQ52" s="1806">
        <f t="shared" si="107"/>
        <v>0.27272270293549827</v>
      </c>
      <c r="AR52" s="1805">
        <f t="shared" si="107"/>
        <v>0.26636409183342669</v>
      </c>
      <c r="AS52" s="1805">
        <f t="shared" si="107"/>
        <v>0.23844484925973494</v>
      </c>
      <c r="AT52" s="1807">
        <f t="shared" si="107"/>
        <v>0.20476034906716886</v>
      </c>
      <c r="AU52" s="1804">
        <f t="shared" si="107"/>
        <v>0.24536664522592957</v>
      </c>
      <c r="AV52" s="1806">
        <f t="shared" ref="AV52:BE52" si="108">AV50/AV$14</f>
        <v>0.28012291950100593</v>
      </c>
      <c r="AW52" s="1805">
        <f t="shared" si="108"/>
        <v>0.2814922028813811</v>
      </c>
      <c r="AX52" s="1805">
        <f t="shared" si="108"/>
        <v>0.25890668850210308</v>
      </c>
      <c r="AY52" s="1807">
        <f t="shared" si="108"/>
        <v>0.12981501530939876</v>
      </c>
      <c r="AZ52" s="1804">
        <f t="shared" si="108"/>
        <v>0.24208652048099974</v>
      </c>
      <c r="BA52" s="1806">
        <f t="shared" si="108"/>
        <v>0.11905534410681977</v>
      </c>
      <c r="BB52" s="1805">
        <f t="shared" si="108"/>
        <v>0.12607606272215113</v>
      </c>
      <c r="BC52" s="1805">
        <f t="shared" si="108"/>
        <v>0.10197541567328236</v>
      </c>
      <c r="BD52" s="1807">
        <f t="shared" si="108"/>
        <v>9.8545816304911882E-2</v>
      </c>
      <c r="BE52" s="1804">
        <f t="shared" si="108"/>
        <v>0.11140701818316574</v>
      </c>
      <c r="BF52" s="1805">
        <f t="shared" ref="BF52:BO52" si="109">BF50/BF$14</f>
        <v>0.11373238694367731</v>
      </c>
      <c r="BG52" s="1805">
        <f t="shared" si="109"/>
        <v>0.12249413657918616</v>
      </c>
      <c r="BH52" s="1805">
        <f t="shared" si="109"/>
        <v>0.13697066267007707</v>
      </c>
      <c r="BI52" s="1807">
        <f t="shared" si="109"/>
        <v>0.13175496605292428</v>
      </c>
      <c r="BJ52" s="1804">
        <f t="shared" si="109"/>
        <v>0.12660939781696551</v>
      </c>
      <c r="BK52" s="1805">
        <f t="shared" si="109"/>
        <v>0.13416202767925484</v>
      </c>
      <c r="BL52" s="1805">
        <f t="shared" si="109"/>
        <v>0.14683749619844502</v>
      </c>
      <c r="BM52" s="1805">
        <f t="shared" si="109"/>
        <v>0.13264158558615044</v>
      </c>
      <c r="BN52" s="1807">
        <f t="shared" si="109"/>
        <v>0.11506642796570246</v>
      </c>
      <c r="BO52" s="1804">
        <f t="shared" si="109"/>
        <v>0.13231731029073485</v>
      </c>
      <c r="BP52" s="1805">
        <f t="shared" ref="BP52:CF52" si="110">BP50/BP$14</f>
        <v>0.14075833779939809</v>
      </c>
      <c r="BQ52" s="1805">
        <f t="shared" si="110"/>
        <v>0.13213168722213089</v>
      </c>
      <c r="BR52" s="1805">
        <f t="shared" si="110"/>
        <v>0.13308328589129631</v>
      </c>
      <c r="BS52" s="1807">
        <f t="shared" si="110"/>
        <v>8.9435345029361485E-2</v>
      </c>
      <c r="BT52" s="1807">
        <f t="shared" si="110"/>
        <v>0.1240720210167187</v>
      </c>
      <c r="BU52" s="1805">
        <f t="shared" si="110"/>
        <v>0.14142332978411956</v>
      </c>
      <c r="BV52" s="1805">
        <f>BV50/BV$14</f>
        <v>0.14990247527116532</v>
      </c>
      <c r="BW52" s="1805">
        <f>BW50/BW$14</f>
        <v>0.13417008643430992</v>
      </c>
      <c r="BX52" s="1805">
        <f>BX50/BX$14</f>
        <v>0.11806316803358856</v>
      </c>
      <c r="BY52" s="1804">
        <f>BY50/BY$14</f>
        <v>0.13381524561731797</v>
      </c>
      <c r="BZ52" s="1804">
        <f t="shared" si="110"/>
        <v>0.14194925934723907</v>
      </c>
      <c r="CA52" s="1804">
        <f t="shared" si="110"/>
        <v>0.13887617698217822</v>
      </c>
      <c r="CB52" s="1804">
        <f t="shared" si="110"/>
        <v>0.11461601534729665</v>
      </c>
      <c r="CC52" s="1804">
        <f t="shared" si="110"/>
        <v>9.6260464577810942E-2</v>
      </c>
      <c r="CD52" s="1804">
        <f t="shared" si="110"/>
        <v>0.10014103721527728</v>
      </c>
      <c r="CE52" s="1804">
        <f t="shared" si="110"/>
        <v>0.104211722372022</v>
      </c>
      <c r="CF52" s="1804">
        <f t="shared" si="110"/>
        <v>0.10778004983365476</v>
      </c>
      <c r="CG52" s="502"/>
      <c r="CH52" s="502"/>
      <c r="CI52" s="502"/>
      <c r="CJ52" s="502"/>
      <c r="CK52" s="502"/>
      <c r="CL52" s="2205" t="str">
        <f t="shared" si="83"/>
        <v>Margin</v>
      </c>
      <c r="CM52" s="2023"/>
      <c r="CN52" s="2023"/>
      <c r="CO52" s="2023"/>
      <c r="CP52" s="2023"/>
      <c r="CQ52" s="2023"/>
      <c r="CR52" s="2023">
        <f t="shared" si="84"/>
        <v>0.23882791149191213</v>
      </c>
      <c r="CS52" s="2023">
        <f t="shared" si="85"/>
        <v>0.23825195365316976</v>
      </c>
      <c r="CT52" s="2023">
        <f t="shared" si="86"/>
        <v>0.25892430942832856</v>
      </c>
      <c r="CU52" s="2023">
        <f t="shared" si="87"/>
        <v>0.24536664522592957</v>
      </c>
      <c r="CV52" s="2023">
        <f t="shared" si="88"/>
        <v>0.24208652048099974</v>
      </c>
      <c r="CW52" s="2023">
        <f t="shared" si="89"/>
        <v>0.11140701818316574</v>
      </c>
      <c r="CX52" s="2023">
        <f t="shared" si="90"/>
        <v>0.12660939781696551</v>
      </c>
      <c r="CY52" s="2023">
        <f t="shared" si="91"/>
        <v>0.13231731029073485</v>
      </c>
      <c r="CZ52" s="2023">
        <f t="shared" si="92"/>
        <v>0.1240720210167187</v>
      </c>
      <c r="DA52" s="2023">
        <f t="shared" si="93"/>
        <v>0.13381524561731797</v>
      </c>
      <c r="DB52" s="2023">
        <f t="shared" si="94"/>
        <v>0.14194925934723907</v>
      </c>
      <c r="DC52" s="1625">
        <f t="shared" si="95"/>
        <v>0.13887617698217822</v>
      </c>
      <c r="DD52" s="502"/>
      <c r="DE52" s="502"/>
      <c r="DF52" s="502"/>
      <c r="DG52" s="503"/>
      <c r="DH52" s="519"/>
      <c r="DI52" s="3213"/>
      <c r="DJ52" s="502"/>
      <c r="DK52" s="503"/>
      <c r="DL52" s="502"/>
      <c r="DM52" s="502"/>
      <c r="DN52" s="502"/>
      <c r="DO52" s="502"/>
      <c r="DP52" s="503"/>
      <c r="DQ52" s="503"/>
      <c r="DR52" s="719"/>
      <c r="DS52" s="719"/>
      <c r="DT52" s="719"/>
    </row>
    <row r="53" spans="1:124" ht="12.6" hidden="1" customHeight="1" outlineLevel="1" x14ac:dyDescent="0.25">
      <c r="A53" s="1790" t="s">
        <v>2136</v>
      </c>
      <c r="B53" s="1791"/>
      <c r="C53" s="1792">
        <f t="shared" ref="C53:AH53" si="111">C48</f>
        <v>0</v>
      </c>
      <c r="D53" s="1792">
        <f t="shared" si="111"/>
        <v>0</v>
      </c>
      <c r="E53" s="1792">
        <f t="shared" si="111"/>
        <v>0</v>
      </c>
      <c r="F53" s="1792">
        <f t="shared" si="111"/>
        <v>0</v>
      </c>
      <c r="G53" s="1793">
        <f t="shared" si="111"/>
        <v>0</v>
      </c>
      <c r="H53" s="1792">
        <f t="shared" si="111"/>
        <v>0</v>
      </c>
      <c r="I53" s="1792">
        <f t="shared" si="111"/>
        <v>0</v>
      </c>
      <c r="J53" s="1792">
        <f t="shared" si="111"/>
        <v>0</v>
      </c>
      <c r="K53" s="1792">
        <f t="shared" si="111"/>
        <v>0</v>
      </c>
      <c r="L53" s="1793">
        <f t="shared" si="111"/>
        <v>0</v>
      </c>
      <c r="M53" s="1792">
        <f t="shared" si="111"/>
        <v>0</v>
      </c>
      <c r="N53" s="1792">
        <f t="shared" si="111"/>
        <v>0</v>
      </c>
      <c r="O53" s="1792">
        <f t="shared" si="111"/>
        <v>0</v>
      </c>
      <c r="P53" s="1792">
        <f t="shared" si="111"/>
        <v>0</v>
      </c>
      <c r="Q53" s="1793">
        <f t="shared" si="111"/>
        <v>0</v>
      </c>
      <c r="R53" s="1792">
        <f t="shared" si="111"/>
        <v>0</v>
      </c>
      <c r="S53" s="1792">
        <f t="shared" si="111"/>
        <v>0</v>
      </c>
      <c r="T53" s="1792">
        <f t="shared" si="111"/>
        <v>0</v>
      </c>
      <c r="U53" s="1792">
        <f t="shared" si="111"/>
        <v>0</v>
      </c>
      <c r="V53" s="1793">
        <f t="shared" si="111"/>
        <v>0</v>
      </c>
      <c r="W53" s="1792">
        <f t="shared" si="111"/>
        <v>0</v>
      </c>
      <c r="X53" s="1792">
        <f t="shared" si="111"/>
        <v>0</v>
      </c>
      <c r="Y53" s="1792">
        <f t="shared" si="111"/>
        <v>21.2</v>
      </c>
      <c r="Z53" s="1792">
        <f t="shared" si="111"/>
        <v>26</v>
      </c>
      <c r="AA53" s="1793">
        <f t="shared" si="111"/>
        <v>47.2</v>
      </c>
      <c r="AB53" s="1792">
        <f t="shared" si="111"/>
        <v>0</v>
      </c>
      <c r="AC53" s="1792">
        <f t="shared" si="111"/>
        <v>0</v>
      </c>
      <c r="AD53" s="1792">
        <f t="shared" si="111"/>
        <v>12.299999999999999</v>
      </c>
      <c r="AE53" s="1792">
        <f t="shared" si="111"/>
        <v>12.8</v>
      </c>
      <c r="AF53" s="1793">
        <f t="shared" si="111"/>
        <v>25.1</v>
      </c>
      <c r="AG53" s="1792">
        <f t="shared" si="111"/>
        <v>0.35099999999999998</v>
      </c>
      <c r="AH53" s="1792">
        <f t="shared" si="111"/>
        <v>6.6</v>
      </c>
      <c r="AI53" s="1792">
        <f t="shared" ref="AI53:CA53" si="112">AI48</f>
        <v>2.8</v>
      </c>
      <c r="AJ53" s="1792">
        <f t="shared" si="112"/>
        <v>17.399999999999999</v>
      </c>
      <c r="AK53" s="1793">
        <f t="shared" si="112"/>
        <v>27.150999999999996</v>
      </c>
      <c r="AL53" s="1792">
        <f t="shared" si="112"/>
        <v>0</v>
      </c>
      <c r="AM53" s="1792">
        <f t="shared" si="112"/>
        <v>0.95699999999999996</v>
      </c>
      <c r="AN53" s="1792">
        <f t="shared" si="112"/>
        <v>6</v>
      </c>
      <c r="AO53" s="1792">
        <f t="shared" si="112"/>
        <v>4.8</v>
      </c>
      <c r="AP53" s="1793">
        <f t="shared" si="112"/>
        <v>11.757</v>
      </c>
      <c r="AQ53" s="1794">
        <f t="shared" si="112"/>
        <v>6.4</v>
      </c>
      <c r="AR53" s="1792">
        <f t="shared" si="112"/>
        <v>9.4</v>
      </c>
      <c r="AS53" s="1792">
        <f t="shared" si="112"/>
        <v>29.5</v>
      </c>
      <c r="AT53" s="1795">
        <f t="shared" si="112"/>
        <v>32.799999999999997</v>
      </c>
      <c r="AU53" s="1793">
        <f t="shared" si="112"/>
        <v>78.099999999999994</v>
      </c>
      <c r="AV53" s="1794">
        <f t="shared" si="112"/>
        <v>4.1999999999999993</v>
      </c>
      <c r="AW53" s="1792">
        <f>AW48</f>
        <v>4.8</v>
      </c>
      <c r="AX53" s="1792">
        <f t="shared" si="112"/>
        <v>5.8259999999999996</v>
      </c>
      <c r="AY53" s="1795">
        <f t="shared" si="112"/>
        <v>0</v>
      </c>
      <c r="AZ53" s="1793">
        <f t="shared" si="112"/>
        <v>14.826000000000001</v>
      </c>
      <c r="BA53" s="1794">
        <f t="shared" si="112"/>
        <v>0</v>
      </c>
      <c r="BB53" s="1792">
        <f t="shared" si="112"/>
        <v>0</v>
      </c>
      <c r="BC53" s="1792">
        <f t="shared" si="112"/>
        <v>0</v>
      </c>
      <c r="BD53" s="1795">
        <f t="shared" si="112"/>
        <v>0</v>
      </c>
      <c r="BE53" s="1793">
        <f t="shared" si="112"/>
        <v>0</v>
      </c>
      <c r="BF53" s="2978">
        <f t="shared" ref="BF53:BO53" si="113">BF48</f>
        <v>0</v>
      </c>
      <c r="BG53" s="1792">
        <f t="shared" si="113"/>
        <v>0</v>
      </c>
      <c r="BH53" s="1792">
        <f t="shared" si="113"/>
        <v>0</v>
      </c>
      <c r="BI53" s="1795">
        <f t="shared" si="113"/>
        <v>0</v>
      </c>
      <c r="BJ53" s="1793">
        <f t="shared" si="113"/>
        <v>0</v>
      </c>
      <c r="BK53" s="1792">
        <f t="shared" si="113"/>
        <v>0</v>
      </c>
      <c r="BL53" s="1792">
        <f t="shared" si="113"/>
        <v>0</v>
      </c>
      <c r="BM53" s="1792">
        <f t="shared" si="113"/>
        <v>0</v>
      </c>
      <c r="BN53" s="1795">
        <f t="shared" si="113"/>
        <v>0</v>
      </c>
      <c r="BO53" s="1793">
        <f t="shared" si="113"/>
        <v>0</v>
      </c>
      <c r="BP53" s="1792">
        <f t="shared" ref="BP53:BX53" si="114">BP48</f>
        <v>0</v>
      </c>
      <c r="BQ53" s="1792">
        <f t="shared" si="114"/>
        <v>0</v>
      </c>
      <c r="BR53" s="1792">
        <f t="shared" si="114"/>
        <v>0</v>
      </c>
      <c r="BS53" s="1795">
        <f t="shared" si="114"/>
        <v>0</v>
      </c>
      <c r="BT53" s="3224">
        <f t="shared" si="114"/>
        <v>0</v>
      </c>
      <c r="BU53" s="2978">
        <f t="shared" si="114"/>
        <v>0</v>
      </c>
      <c r="BV53" s="2978">
        <f t="shared" si="114"/>
        <v>0</v>
      </c>
      <c r="BW53" s="2978">
        <f t="shared" si="114"/>
        <v>0</v>
      </c>
      <c r="BX53" s="2978">
        <f t="shared" si="114"/>
        <v>0</v>
      </c>
      <c r="BY53" s="3433">
        <f>BY48</f>
        <v>0</v>
      </c>
      <c r="BZ53" s="1793">
        <f t="shared" si="112"/>
        <v>0</v>
      </c>
      <c r="CA53" s="1793">
        <f t="shared" si="112"/>
        <v>0</v>
      </c>
      <c r="CB53" s="1793">
        <f>CB48</f>
        <v>0</v>
      </c>
      <c r="CC53" s="1793">
        <f>CC48</f>
        <v>0</v>
      </c>
      <c r="CD53" s="1793">
        <f>CD48</f>
        <v>0</v>
      </c>
      <c r="CE53" s="1793">
        <f>CE48</f>
        <v>0</v>
      </c>
      <c r="CF53" s="1793">
        <f>CF48</f>
        <v>0</v>
      </c>
      <c r="CG53" s="331"/>
      <c r="CH53" s="331"/>
      <c r="CI53" s="331"/>
      <c r="CJ53" s="331"/>
      <c r="CK53" s="331"/>
      <c r="CL53" s="995" t="str">
        <f t="shared" si="83"/>
        <v>Plus: Non-recurring expenses</v>
      </c>
      <c r="CM53" s="454">
        <f>G53</f>
        <v>0</v>
      </c>
      <c r="CN53" s="454">
        <f>L53</f>
        <v>0</v>
      </c>
      <c r="CO53" s="454">
        <f>Q53</f>
        <v>0</v>
      </c>
      <c r="CP53" s="454">
        <f>V53</f>
        <v>0</v>
      </c>
      <c r="CQ53" s="454">
        <f>AA53</f>
        <v>47.2</v>
      </c>
      <c r="CR53" s="454">
        <f t="shared" si="84"/>
        <v>25.1</v>
      </c>
      <c r="CS53" s="454">
        <f t="shared" si="85"/>
        <v>27.150999999999996</v>
      </c>
      <c r="CT53" s="454">
        <f t="shared" si="86"/>
        <v>11.757</v>
      </c>
      <c r="CU53" s="454">
        <f t="shared" si="87"/>
        <v>78.099999999999994</v>
      </c>
      <c r="CV53" s="454">
        <f t="shared" si="88"/>
        <v>14.826000000000001</v>
      </c>
      <c r="CW53" s="454">
        <f t="shared" si="89"/>
        <v>0</v>
      </c>
      <c r="CX53" s="454">
        <f t="shared" si="90"/>
        <v>0</v>
      </c>
      <c r="CY53" s="454">
        <f t="shared" si="91"/>
        <v>0</v>
      </c>
      <c r="CZ53" s="454">
        <f t="shared" si="92"/>
        <v>0</v>
      </c>
      <c r="DA53" s="454">
        <f t="shared" si="93"/>
        <v>0</v>
      </c>
      <c r="DB53" s="454">
        <f t="shared" si="94"/>
        <v>0</v>
      </c>
      <c r="DC53" s="1666">
        <f t="shared" si="95"/>
        <v>0</v>
      </c>
      <c r="DD53" s="331"/>
      <c r="DE53" s="331"/>
      <c r="DF53" s="502"/>
      <c r="DG53" s="503"/>
      <c r="DH53" s="2915"/>
      <c r="DI53" s="3213"/>
      <c r="DJ53" s="502"/>
      <c r="DK53" s="503"/>
      <c r="DL53" s="502"/>
      <c r="DM53" s="502"/>
      <c r="DN53" s="502"/>
      <c r="DO53" s="502"/>
      <c r="DP53" s="503"/>
      <c r="DQ53" s="503"/>
      <c r="DR53" s="296"/>
      <c r="DS53" s="296"/>
      <c r="DT53" s="296"/>
    </row>
    <row r="54" spans="1:124" ht="12.6" hidden="1" customHeight="1" outlineLevel="1" x14ac:dyDescent="0.25">
      <c r="A54" s="1796" t="s">
        <v>2415</v>
      </c>
      <c r="B54" s="1797"/>
      <c r="C54" s="1798">
        <f t="shared" ref="C54:AH54" si="115">+C53+C50</f>
        <v>70.881999999999991</v>
      </c>
      <c r="D54" s="1798">
        <f t="shared" si="115"/>
        <v>75.856000000000009</v>
      </c>
      <c r="E54" s="1798">
        <f t="shared" si="115"/>
        <v>72.390000000000015</v>
      </c>
      <c r="F54" s="1798">
        <f t="shared" si="115"/>
        <v>67.108000000000004</v>
      </c>
      <c r="G54" s="2114">
        <f t="shared" si="115"/>
        <v>286.23599999999999</v>
      </c>
      <c r="H54" s="1798">
        <f t="shared" si="115"/>
        <v>72.173000000000002</v>
      </c>
      <c r="I54" s="1798">
        <f t="shared" si="115"/>
        <v>78.614999999999981</v>
      </c>
      <c r="J54" s="1798">
        <f t="shared" si="115"/>
        <v>78.572999999999993</v>
      </c>
      <c r="K54" s="1798">
        <f t="shared" si="115"/>
        <v>143.92500000000001</v>
      </c>
      <c r="L54" s="2114">
        <f t="shared" si="115"/>
        <v>373.286</v>
      </c>
      <c r="M54" s="1798">
        <f t="shared" si="115"/>
        <v>164.815</v>
      </c>
      <c r="N54" s="1798">
        <f t="shared" si="115"/>
        <v>155.13400000000001</v>
      </c>
      <c r="O54" s="1798">
        <f t="shared" si="115"/>
        <v>162.83499999999998</v>
      </c>
      <c r="P54" s="1798">
        <f t="shared" si="115"/>
        <v>146.44100000000003</v>
      </c>
      <c r="Q54" s="2114">
        <f t="shared" si="115"/>
        <v>629.22499999999991</v>
      </c>
      <c r="R54" s="1798">
        <f t="shared" si="115"/>
        <v>167.69900000000001</v>
      </c>
      <c r="S54" s="1798">
        <f t="shared" si="115"/>
        <v>172.75800000000001</v>
      </c>
      <c r="T54" s="1798">
        <f t="shared" si="115"/>
        <v>177.636</v>
      </c>
      <c r="U54" s="1798">
        <f t="shared" si="115"/>
        <v>154.63399999999999</v>
      </c>
      <c r="V54" s="2114">
        <f t="shared" si="115"/>
        <v>672.72700000000009</v>
      </c>
      <c r="W54" s="1798">
        <f t="shared" si="115"/>
        <v>161.84899999999999</v>
      </c>
      <c r="X54" s="1798">
        <f t="shared" si="115"/>
        <v>164.24899999999997</v>
      </c>
      <c r="Y54" s="1798">
        <f t="shared" si="115"/>
        <v>168.29500000000002</v>
      </c>
      <c r="Z54" s="1798">
        <f t="shared" si="115"/>
        <v>145.185</v>
      </c>
      <c r="AA54" s="1800">
        <f t="shared" si="115"/>
        <v>639.57799999999997</v>
      </c>
      <c r="AB54" s="1799">
        <f t="shared" si="115"/>
        <v>158.85900000000001</v>
      </c>
      <c r="AC54" s="1799">
        <f t="shared" si="115"/>
        <v>141.73000000000002</v>
      </c>
      <c r="AD54" s="1799">
        <f t="shared" si="115"/>
        <v>156.642</v>
      </c>
      <c r="AE54" s="1799">
        <f t="shared" si="115"/>
        <v>133.71799999999996</v>
      </c>
      <c r="AF54" s="1800">
        <f t="shared" si="115"/>
        <v>590.94900000000007</v>
      </c>
      <c r="AG54" s="1799">
        <f t="shared" si="115"/>
        <v>149.11800000000002</v>
      </c>
      <c r="AH54" s="1799">
        <f t="shared" si="115"/>
        <v>148.82599999999999</v>
      </c>
      <c r="AI54" s="1799">
        <f t="shared" ref="AI54:CA54" si="116">+AI53+AI50</f>
        <v>164.80900000000003</v>
      </c>
      <c r="AJ54" s="1799">
        <f t="shared" si="116"/>
        <v>150.286</v>
      </c>
      <c r="AK54" s="1800">
        <f t="shared" si="116"/>
        <v>613.03899999999987</v>
      </c>
      <c r="AL54" s="1799">
        <f t="shared" si="116"/>
        <v>178.035</v>
      </c>
      <c r="AM54" s="1799">
        <f t="shared" si="116"/>
        <v>190.58</v>
      </c>
      <c r="AN54" s="1799">
        <f t="shared" si="116"/>
        <v>191.90600000000006</v>
      </c>
      <c r="AO54" s="1799">
        <f t="shared" si="116"/>
        <v>161.273</v>
      </c>
      <c r="AP54" s="1800">
        <f t="shared" si="116"/>
        <v>721.79399999999998</v>
      </c>
      <c r="AQ54" s="1801">
        <f t="shared" si="116"/>
        <v>207.13999999999996</v>
      </c>
      <c r="AR54" s="1799">
        <f t="shared" si="116"/>
        <v>199.19800000000001</v>
      </c>
      <c r="AS54" s="1799">
        <f t="shared" si="116"/>
        <v>198.09100000000004</v>
      </c>
      <c r="AT54" s="1802">
        <f t="shared" si="116"/>
        <v>185.10299999999995</v>
      </c>
      <c r="AU54" s="1800">
        <f t="shared" si="116"/>
        <v>789.53199999999981</v>
      </c>
      <c r="AV54" s="1801">
        <f t="shared" si="116"/>
        <v>227.80699999999999</v>
      </c>
      <c r="AW54" s="1799">
        <f t="shared" si="116"/>
        <v>219.12</v>
      </c>
      <c r="AX54" s="1799">
        <f t="shared" si="116"/>
        <v>190.798</v>
      </c>
      <c r="AY54" s="1802">
        <f t="shared" si="116"/>
        <v>83.691999999999993</v>
      </c>
      <c r="AZ54" s="1800">
        <f t="shared" si="116"/>
        <v>721.41700000000003</v>
      </c>
      <c r="BA54" s="1801">
        <f t="shared" si="116"/>
        <v>76.324000000000012</v>
      </c>
      <c r="BB54" s="1799">
        <f t="shared" si="116"/>
        <v>82.21999999999997</v>
      </c>
      <c r="BC54" s="1799">
        <f t="shared" si="116"/>
        <v>65.87</v>
      </c>
      <c r="BD54" s="1802">
        <f t="shared" si="116"/>
        <v>64.189000000000007</v>
      </c>
      <c r="BE54" s="1800">
        <f t="shared" si="116"/>
        <v>288.60299999999995</v>
      </c>
      <c r="BF54" s="1799">
        <f>+BF53+BF50</f>
        <v>75.533999999999963</v>
      </c>
      <c r="BG54" s="1799">
        <f>+BG53+BG50</f>
        <v>85.863</v>
      </c>
      <c r="BH54" s="1799">
        <f>+BH53+BH50</f>
        <v>101.26199999999997</v>
      </c>
      <c r="BI54" s="1802">
        <f>+BI53+BI50</f>
        <v>96.703797168966673</v>
      </c>
      <c r="BJ54" s="1800">
        <f t="shared" si="116"/>
        <v>359.36279716896661</v>
      </c>
      <c r="BK54" s="1799">
        <f t="shared" ref="BK54:BS54" si="117">+BK53+BK50</f>
        <v>101.48700000000001</v>
      </c>
      <c r="BL54" s="1799">
        <f t="shared" si="117"/>
        <v>112.97999999999998</v>
      </c>
      <c r="BM54" s="1799">
        <f t="shared" si="117"/>
        <v>101.55000000000003</v>
      </c>
      <c r="BN54" s="1802">
        <f t="shared" si="117"/>
        <v>85.484000000000023</v>
      </c>
      <c r="BO54" s="1800">
        <f t="shared" si="117"/>
        <v>401.50099999999998</v>
      </c>
      <c r="BP54" s="1799">
        <f t="shared" si="117"/>
        <v>109.25999999999998</v>
      </c>
      <c r="BQ54" s="1799">
        <f t="shared" si="117"/>
        <v>105.23800000000003</v>
      </c>
      <c r="BR54" s="1799">
        <f t="shared" si="117"/>
        <v>107.29799999999997</v>
      </c>
      <c r="BS54" s="1802">
        <f t="shared" si="117"/>
        <v>68.779000000000039</v>
      </c>
      <c r="BT54" s="1802">
        <f t="shared" ref="BT54:BY54" si="118">+BT53+BT50</f>
        <v>390.57499999999999</v>
      </c>
      <c r="BU54" s="1799">
        <f t="shared" si="118"/>
        <v>113.63943081864737</v>
      </c>
      <c r="BV54" s="1799">
        <f t="shared" si="118"/>
        <v>122.08823740241228</v>
      </c>
      <c r="BW54" s="1799">
        <f t="shared" si="118"/>
        <v>174.50276629325106</v>
      </c>
      <c r="BX54" s="1799">
        <f t="shared" si="118"/>
        <v>147.48213060968766</v>
      </c>
      <c r="BY54" s="1800">
        <f t="shared" si="118"/>
        <v>557.7125651239985</v>
      </c>
      <c r="BZ54" s="1800">
        <f t="shared" si="116"/>
        <v>731.76836306392568</v>
      </c>
      <c r="CA54" s="1800">
        <f t="shared" si="116"/>
        <v>712.93162484105585</v>
      </c>
      <c r="CB54" s="1800">
        <f>+CB53+CB50</f>
        <v>331.41049901397969</v>
      </c>
      <c r="CC54" s="1800">
        <f>+CC53+CC50</f>
        <v>265.50484095538252</v>
      </c>
      <c r="CD54" s="1800">
        <f>+CD53+CD50</f>
        <v>281.51134530596107</v>
      </c>
      <c r="CE54" s="1800">
        <f>+CE53+CE50</f>
        <v>298.73207446100207</v>
      </c>
      <c r="CF54" s="1800">
        <f>+CF53+CF50</f>
        <v>314.74699192055084</v>
      </c>
      <c r="CG54" s="502"/>
      <c r="CH54" s="502"/>
      <c r="CI54" s="502"/>
      <c r="CJ54" s="502"/>
      <c r="CK54" s="502"/>
      <c r="CL54" s="2206" t="str">
        <f t="shared" si="83"/>
        <v>Total Morgan Stanley Adj. EBITDA (ex-rent expense)</v>
      </c>
      <c r="CM54" s="2144">
        <f>G54</f>
        <v>286.23599999999999</v>
      </c>
      <c r="CN54" s="2144">
        <f>L54</f>
        <v>373.286</v>
      </c>
      <c r="CO54" s="2144">
        <f>Q54</f>
        <v>629.22499999999991</v>
      </c>
      <c r="CP54" s="2144">
        <f>V54</f>
        <v>672.72700000000009</v>
      </c>
      <c r="CQ54" s="2144">
        <f>AA54</f>
        <v>639.57799999999997</v>
      </c>
      <c r="CR54" s="2144">
        <f t="shared" si="84"/>
        <v>590.94900000000007</v>
      </c>
      <c r="CS54" s="2144">
        <f t="shared" si="85"/>
        <v>613.03899999999987</v>
      </c>
      <c r="CT54" s="2144">
        <f t="shared" si="86"/>
        <v>721.79399999999998</v>
      </c>
      <c r="CU54" s="2144">
        <f t="shared" si="87"/>
        <v>789.53199999999981</v>
      </c>
      <c r="CV54" s="2144">
        <f t="shared" si="88"/>
        <v>721.41700000000003</v>
      </c>
      <c r="CW54" s="2144">
        <f t="shared" si="89"/>
        <v>288.60299999999995</v>
      </c>
      <c r="CX54" s="2144">
        <f t="shared" si="90"/>
        <v>359.36279716896661</v>
      </c>
      <c r="CY54" s="2144">
        <f t="shared" si="91"/>
        <v>401.50099999999998</v>
      </c>
      <c r="CZ54" s="2144">
        <f t="shared" si="92"/>
        <v>390.57499999999999</v>
      </c>
      <c r="DA54" s="2144">
        <f t="shared" si="93"/>
        <v>557.7125651239985</v>
      </c>
      <c r="DB54" s="2144">
        <f t="shared" si="94"/>
        <v>731.76836306392568</v>
      </c>
      <c r="DC54" s="2207">
        <f t="shared" si="95"/>
        <v>712.93162484105585</v>
      </c>
      <c r="DD54" s="502"/>
      <c r="DE54" s="502"/>
      <c r="DF54" s="502"/>
      <c r="DG54" s="503"/>
      <c r="DH54" s="2144"/>
      <c r="DI54" s="3213"/>
      <c r="DJ54" s="502"/>
      <c r="DK54" s="503"/>
      <c r="DL54" s="502"/>
      <c r="DM54" s="502"/>
      <c r="DN54" s="502"/>
      <c r="DO54" s="502"/>
      <c r="DP54" s="503"/>
      <c r="DQ54" s="503"/>
      <c r="DR54" s="719"/>
      <c r="DS54" s="719"/>
      <c r="DT54" s="719"/>
    </row>
    <row r="55" spans="1:124" ht="12.6" hidden="1" customHeight="1" outlineLevel="1" x14ac:dyDescent="0.25">
      <c r="A55" s="2105" t="s">
        <v>803</v>
      </c>
      <c r="B55" s="1797"/>
      <c r="C55" s="1798"/>
      <c r="D55" s="1798"/>
      <c r="E55" s="1798"/>
      <c r="F55" s="1798"/>
      <c r="G55" s="2114"/>
      <c r="H55" s="1798"/>
      <c r="I55" s="1798"/>
      <c r="J55" s="1798"/>
      <c r="K55" s="1798"/>
      <c r="L55" s="2114"/>
      <c r="M55" s="1798"/>
      <c r="N55" s="1798"/>
      <c r="O55" s="1798"/>
      <c r="P55" s="1798"/>
      <c r="Q55" s="2114"/>
      <c r="R55" s="1798"/>
      <c r="S55" s="1798"/>
      <c r="T55" s="1798"/>
      <c r="U55" s="1798"/>
      <c r="V55" s="2114"/>
      <c r="W55" s="1798"/>
      <c r="X55" s="1798"/>
      <c r="Y55" s="1798"/>
      <c r="Z55" s="1798"/>
      <c r="AA55" s="1800"/>
      <c r="AB55" s="1799"/>
      <c r="AC55" s="1799"/>
      <c r="AD55" s="1799"/>
      <c r="AE55" s="1799"/>
      <c r="AF55" s="1804">
        <f t="shared" ref="AF55:AK55" si="119">AF54/AA54-1</f>
        <v>-7.6032946724246209E-2</v>
      </c>
      <c r="AG55" s="1805">
        <f t="shared" si="119"/>
        <v>-6.1318527751024421E-2</v>
      </c>
      <c r="AH55" s="1805">
        <f t="shared" si="119"/>
        <v>5.006702885768699E-2</v>
      </c>
      <c r="AI55" s="1805">
        <f t="shared" si="119"/>
        <v>5.2137996195145808E-2</v>
      </c>
      <c r="AJ55" s="1805">
        <f t="shared" si="119"/>
        <v>0.12390254116872845</v>
      </c>
      <c r="AK55" s="1804">
        <f t="shared" si="119"/>
        <v>3.7380552298083014E-2</v>
      </c>
      <c r="AL55" s="1805">
        <f t="shared" ref="AL55:AY55" si="120">AL54/AG54-1</f>
        <v>0.19392025107632871</v>
      </c>
      <c r="AM55" s="1805">
        <f t="shared" si="120"/>
        <v>0.28055581685995734</v>
      </c>
      <c r="AN55" s="1805">
        <f t="shared" si="120"/>
        <v>0.16441456473857641</v>
      </c>
      <c r="AO55" s="1805">
        <f t="shared" si="120"/>
        <v>7.3107275461453458E-2</v>
      </c>
      <c r="AP55" s="1804">
        <f t="shared" si="120"/>
        <v>0.17740306897277347</v>
      </c>
      <c r="AQ55" s="1806">
        <f t="shared" si="120"/>
        <v>0.16347909118993442</v>
      </c>
      <c r="AR55" s="1805">
        <f t="shared" si="120"/>
        <v>4.5219855178927348E-2</v>
      </c>
      <c r="AS55" s="1805">
        <f t="shared" si="120"/>
        <v>3.2229320604879375E-2</v>
      </c>
      <c r="AT55" s="1807">
        <f t="shared" si="120"/>
        <v>0.14776186962479754</v>
      </c>
      <c r="AU55" s="1804">
        <f t="shared" si="120"/>
        <v>9.3846720809538153E-2</v>
      </c>
      <c r="AV55" s="1806">
        <f t="shared" si="120"/>
        <v>9.9773100318625296E-2</v>
      </c>
      <c r="AW55" s="1805">
        <f t="shared" si="120"/>
        <v>0.10001104428759322</v>
      </c>
      <c r="AX55" s="1805">
        <f t="shared" si="120"/>
        <v>-3.6816412658828734E-2</v>
      </c>
      <c r="AY55" s="1807">
        <f t="shared" si="120"/>
        <v>-0.54786254139587143</v>
      </c>
      <c r="AZ55" s="1804">
        <f t="shared" ref="AZ55:BE55" si="121">AZ54/AU54-1</f>
        <v>-8.627262732859442E-2</v>
      </c>
      <c r="BA55" s="1806">
        <f t="shared" si="121"/>
        <v>-0.66496200731320809</v>
      </c>
      <c r="BB55" s="1805">
        <f t="shared" si="121"/>
        <v>-0.62477181453085084</v>
      </c>
      <c r="BC55" s="1805">
        <f t="shared" si="121"/>
        <v>-0.6547657732261345</v>
      </c>
      <c r="BD55" s="1807">
        <f t="shared" si="121"/>
        <v>-0.23303302585671259</v>
      </c>
      <c r="BE55" s="1804">
        <f t="shared" si="121"/>
        <v>-0.59994982097732663</v>
      </c>
      <c r="BF55" s="1805">
        <f t="shared" ref="BF55:BK55" si="122">BF54/BA54-1</f>
        <v>-1.035061055500297E-2</v>
      </c>
      <c r="BG55" s="1805">
        <f t="shared" si="122"/>
        <v>4.4307954269034777E-2</v>
      </c>
      <c r="BH55" s="1805">
        <f t="shared" si="122"/>
        <v>0.53730074388947879</v>
      </c>
      <c r="BI55" s="1807">
        <f t="shared" si="122"/>
        <v>0.50654780677322697</v>
      </c>
      <c r="BJ55" s="1804">
        <f t="shared" si="122"/>
        <v>0.24518039372067046</v>
      </c>
      <c r="BK55" s="1805">
        <f t="shared" si="122"/>
        <v>0.34359361347207962</v>
      </c>
      <c r="BL55" s="1805">
        <f t="shared" ref="BL55:BT55" si="123">BL54/BG54-1</f>
        <v>0.31581705740540134</v>
      </c>
      <c r="BM55" s="1805">
        <f t="shared" si="123"/>
        <v>2.8441073650535831E-3</v>
      </c>
      <c r="BN55" s="1807">
        <f t="shared" si="123"/>
        <v>-0.11602230209598441</v>
      </c>
      <c r="BO55" s="1804">
        <f t="shared" si="123"/>
        <v>0.11725811119847407</v>
      </c>
      <c r="BP55" s="1805">
        <f t="shared" si="123"/>
        <v>7.6591090484495306E-2</v>
      </c>
      <c r="BQ55" s="1805">
        <f t="shared" si="123"/>
        <v>-6.8525402726145823E-2</v>
      </c>
      <c r="BR55" s="1805">
        <f t="shared" si="123"/>
        <v>5.6602658788773574E-2</v>
      </c>
      <c r="BS55" s="1807">
        <f t="shared" si="123"/>
        <v>-0.19541668616349239</v>
      </c>
      <c r="BT55" s="1807">
        <f t="shared" si="123"/>
        <v>-2.7212883654088027E-2</v>
      </c>
      <c r="BU55" s="1805">
        <f>BU54/BP54-1</f>
        <v>4.0082654389963279E-2</v>
      </c>
      <c r="BV55" s="1805">
        <f>BV54/BQ54-1</f>
        <v>0.16011552293289721</v>
      </c>
      <c r="BW55" s="1805">
        <f>BW54/BR54-1</f>
        <v>0.62633754863325608</v>
      </c>
      <c r="BX55" s="1805">
        <f>BX54/BS54-1</f>
        <v>1.1442901264875553</v>
      </c>
      <c r="BY55" s="1804">
        <f>BY54/BT54-1</f>
        <v>0.42792694136593101</v>
      </c>
      <c r="BZ55" s="1804">
        <f t="shared" ref="BZ55:CF55" si="124">BZ54/BY54-1</f>
        <v>0.31208871527079296</v>
      </c>
      <c r="CA55" s="1804">
        <f t="shared" si="124"/>
        <v>-2.5741394645704685E-2</v>
      </c>
      <c r="CB55" s="1804">
        <f t="shared" si="124"/>
        <v>-0.53514406225440503</v>
      </c>
      <c r="CC55" s="1804">
        <f t="shared" si="124"/>
        <v>-0.19886412245442198</v>
      </c>
      <c r="CD55" s="1804">
        <f t="shared" si="124"/>
        <v>6.0287052744429692E-2</v>
      </c>
      <c r="CE55" s="1804">
        <f t="shared" si="124"/>
        <v>6.1172416111061612E-2</v>
      </c>
      <c r="CF55" s="1804">
        <f t="shared" si="124"/>
        <v>5.3609634949458584E-2</v>
      </c>
      <c r="CG55" s="502"/>
      <c r="CH55" s="502"/>
      <c r="CI55" s="502"/>
      <c r="CJ55" s="502"/>
      <c r="CK55" s="502"/>
      <c r="CL55" s="1617" t="str">
        <f t="shared" si="83"/>
        <v>% Growth (y-o-y)</v>
      </c>
      <c r="CM55" s="519"/>
      <c r="CN55" s="519"/>
      <c r="CO55" s="519"/>
      <c r="CP55" s="519"/>
      <c r="CQ55" s="519"/>
      <c r="CR55" s="519">
        <f t="shared" si="84"/>
        <v>-7.6032946724246209E-2</v>
      </c>
      <c r="CS55" s="519">
        <f t="shared" si="85"/>
        <v>3.7380552298083014E-2</v>
      </c>
      <c r="CT55" s="519">
        <f t="shared" si="86"/>
        <v>0.17740306897277347</v>
      </c>
      <c r="CU55" s="519">
        <f t="shared" si="87"/>
        <v>9.3846720809538153E-2</v>
      </c>
      <c r="CV55" s="519">
        <f t="shared" si="88"/>
        <v>-8.627262732859442E-2</v>
      </c>
      <c r="CW55" s="519">
        <f t="shared" si="89"/>
        <v>-0.59994982097732663</v>
      </c>
      <c r="CX55" s="519">
        <f t="shared" si="90"/>
        <v>0.24518039372067046</v>
      </c>
      <c r="CY55" s="519">
        <f t="shared" si="91"/>
        <v>0.11725811119847407</v>
      </c>
      <c r="CZ55" s="519">
        <f t="shared" si="92"/>
        <v>-2.7212883654088027E-2</v>
      </c>
      <c r="DA55" s="519">
        <f t="shared" si="93"/>
        <v>0.42792694136593101</v>
      </c>
      <c r="DB55" s="519">
        <f t="shared" si="94"/>
        <v>0.31208871527079296</v>
      </c>
      <c r="DC55" s="1462">
        <f t="shared" si="95"/>
        <v>-2.5741394645704685E-2</v>
      </c>
      <c r="DD55" s="502"/>
      <c r="DE55" s="502"/>
      <c r="DF55" s="502"/>
      <c r="DG55" s="503"/>
      <c r="DH55" s="519"/>
      <c r="DI55" s="3213"/>
      <c r="DJ55" s="502"/>
      <c r="DK55" s="503"/>
      <c r="DL55" s="502"/>
      <c r="DM55" s="502"/>
      <c r="DN55" s="502"/>
      <c r="DO55" s="502"/>
      <c r="DP55" s="503"/>
      <c r="DQ55" s="503"/>
      <c r="DR55" s="719"/>
      <c r="DS55" s="719"/>
      <c r="DT55" s="719"/>
    </row>
    <row r="56" spans="1:124" ht="12.6" hidden="1" customHeight="1" outlineLevel="1" x14ac:dyDescent="0.25">
      <c r="A56" s="1803" t="s">
        <v>1892</v>
      </c>
      <c r="B56" s="1797"/>
      <c r="C56" s="1798"/>
      <c r="D56" s="1798"/>
      <c r="E56" s="1798"/>
      <c r="F56" s="1798"/>
      <c r="G56" s="2114"/>
      <c r="H56" s="1798"/>
      <c r="I56" s="1798"/>
      <c r="J56" s="1798"/>
      <c r="K56" s="1798"/>
      <c r="L56" s="2114"/>
      <c r="M56" s="1798"/>
      <c r="N56" s="1798"/>
      <c r="O56" s="1798"/>
      <c r="P56" s="1798"/>
      <c r="Q56" s="2114"/>
      <c r="R56" s="1798"/>
      <c r="S56" s="1798"/>
      <c r="T56" s="1798"/>
      <c r="U56" s="1798"/>
      <c r="V56" s="2114"/>
      <c r="W56" s="1798"/>
      <c r="X56" s="1798"/>
      <c r="Y56" s="1798"/>
      <c r="Z56" s="1798"/>
      <c r="AA56" s="1800"/>
      <c r="AB56" s="1799"/>
      <c r="AC56" s="1799"/>
      <c r="AD56" s="1799"/>
      <c r="AE56" s="1799"/>
      <c r="AF56" s="1804">
        <f t="shared" ref="AF56:AU56" si="125">AF54/AF$14</f>
        <v>0.24942186955925341</v>
      </c>
      <c r="AG56" s="1805">
        <f t="shared" si="125"/>
        <v>0.25175115604155168</v>
      </c>
      <c r="AH56" s="1805">
        <f t="shared" si="125"/>
        <v>0.24874354641649574</v>
      </c>
      <c r="AI56" s="1805">
        <f t="shared" si="125"/>
        <v>0.25821770574816377</v>
      </c>
      <c r="AJ56" s="1805">
        <f t="shared" si="125"/>
        <v>0.23846555414687864</v>
      </c>
      <c r="AK56" s="1804">
        <f t="shared" si="125"/>
        <v>0.24929293553646009</v>
      </c>
      <c r="AL56" s="1805">
        <f t="shared" si="125"/>
        <v>0.26690983669228796</v>
      </c>
      <c r="AM56" s="1805">
        <f t="shared" si="125"/>
        <v>0.27705454011534009</v>
      </c>
      <c r="AN56" s="1805">
        <f t="shared" si="125"/>
        <v>0.26994605467678534</v>
      </c>
      <c r="AO56" s="1805">
        <f t="shared" si="125"/>
        <v>0.23841082119890608</v>
      </c>
      <c r="AP56" s="1804">
        <f t="shared" si="125"/>
        <v>0.26321165375819988</v>
      </c>
      <c r="AQ56" s="1806">
        <f t="shared" si="125"/>
        <v>0.2814176580953428</v>
      </c>
      <c r="AR56" s="1805">
        <f t="shared" si="125"/>
        <v>0.27955613001736018</v>
      </c>
      <c r="AS56" s="1805">
        <f t="shared" si="125"/>
        <v>0.28016785376864811</v>
      </c>
      <c r="AT56" s="1807">
        <f t="shared" si="125"/>
        <v>0.24885757268983646</v>
      </c>
      <c r="AU56" s="1804">
        <f t="shared" si="125"/>
        <v>0.27230264893695905</v>
      </c>
      <c r="AV56" s="1806">
        <f t="shared" ref="AV56:BE56" si="126">AV54/AV$14</f>
        <v>0.28538445541850505</v>
      </c>
      <c r="AW56" s="1805">
        <f t="shared" si="126"/>
        <v>0.287796619519262</v>
      </c>
      <c r="AX56" s="1805">
        <f t="shared" si="126"/>
        <v>0.26706138417070829</v>
      </c>
      <c r="AY56" s="1807">
        <f t="shared" si="126"/>
        <v>0.12981501530939876</v>
      </c>
      <c r="AZ56" s="1804">
        <f t="shared" si="126"/>
        <v>0.24716608525418721</v>
      </c>
      <c r="BA56" s="1806">
        <f t="shared" si="126"/>
        <v>0.11905534410681977</v>
      </c>
      <c r="BB56" s="1805">
        <f t="shared" si="126"/>
        <v>0.12607606272215113</v>
      </c>
      <c r="BC56" s="1805">
        <f t="shared" si="126"/>
        <v>0.10197541567328236</v>
      </c>
      <c r="BD56" s="1807">
        <f t="shared" si="126"/>
        <v>9.8545816304911882E-2</v>
      </c>
      <c r="BE56" s="1804">
        <f t="shared" si="126"/>
        <v>0.11140701818316574</v>
      </c>
      <c r="BF56" s="1805">
        <f t="shared" ref="BF56:BO56" si="127">BF54/BF$14</f>
        <v>0.11373238694367731</v>
      </c>
      <c r="BG56" s="1805">
        <f t="shared" si="127"/>
        <v>0.12249413657918616</v>
      </c>
      <c r="BH56" s="1805">
        <f t="shared" si="127"/>
        <v>0.13697066267007707</v>
      </c>
      <c r="BI56" s="1807">
        <f t="shared" si="127"/>
        <v>0.13175496605292428</v>
      </c>
      <c r="BJ56" s="1804">
        <f t="shared" si="127"/>
        <v>0.12660939781696551</v>
      </c>
      <c r="BK56" s="1805">
        <f t="shared" si="127"/>
        <v>0.13416202767925484</v>
      </c>
      <c r="BL56" s="1805">
        <f t="shared" si="127"/>
        <v>0.14683749619844502</v>
      </c>
      <c r="BM56" s="1805">
        <f t="shared" si="127"/>
        <v>0.13264158558615044</v>
      </c>
      <c r="BN56" s="1807">
        <f t="shared" si="127"/>
        <v>0.11506642796570246</v>
      </c>
      <c r="BO56" s="1804">
        <f t="shared" si="127"/>
        <v>0.13231731029073485</v>
      </c>
      <c r="BP56" s="1805">
        <f t="shared" ref="BP56:CF56" si="128">BP54/BP$14</f>
        <v>0.14075833779939809</v>
      </c>
      <c r="BQ56" s="1805">
        <f t="shared" si="128"/>
        <v>0.13213168722213089</v>
      </c>
      <c r="BR56" s="1805">
        <f t="shared" si="128"/>
        <v>0.13308328589129631</v>
      </c>
      <c r="BS56" s="1807">
        <f t="shared" si="128"/>
        <v>8.9435345029361485E-2</v>
      </c>
      <c r="BT56" s="1807">
        <f t="shared" si="128"/>
        <v>0.1240720210167187</v>
      </c>
      <c r="BU56" s="1805">
        <f t="shared" si="128"/>
        <v>0.14142332978411956</v>
      </c>
      <c r="BV56" s="1805">
        <f>BV54/BV$14</f>
        <v>0.14990247527116532</v>
      </c>
      <c r="BW56" s="1805">
        <f>BW54/BW$14</f>
        <v>0.13417008643430992</v>
      </c>
      <c r="BX56" s="1805">
        <f>BX54/BX$14</f>
        <v>0.11806316803358856</v>
      </c>
      <c r="BY56" s="1804">
        <f>BY54/BY$14</f>
        <v>0.13381524561731797</v>
      </c>
      <c r="BZ56" s="1804">
        <f t="shared" si="128"/>
        <v>0.14194925934723907</v>
      </c>
      <c r="CA56" s="1804">
        <f t="shared" si="128"/>
        <v>0.13887617698217822</v>
      </c>
      <c r="CB56" s="1804">
        <f t="shared" si="128"/>
        <v>0.11461601534729665</v>
      </c>
      <c r="CC56" s="1804">
        <f t="shared" si="128"/>
        <v>9.6260464577810942E-2</v>
      </c>
      <c r="CD56" s="1804">
        <f t="shared" si="128"/>
        <v>0.10014103721527728</v>
      </c>
      <c r="CE56" s="1804">
        <f t="shared" si="128"/>
        <v>0.104211722372022</v>
      </c>
      <c r="CF56" s="1804">
        <f t="shared" si="128"/>
        <v>0.10778004983365476</v>
      </c>
      <c r="CG56" s="502"/>
      <c r="CH56" s="502"/>
      <c r="CI56" s="502"/>
      <c r="CJ56" s="502"/>
      <c r="CK56" s="502"/>
      <c r="CL56" s="2205" t="str">
        <f t="shared" si="83"/>
        <v>Margin</v>
      </c>
      <c r="CM56" s="2023"/>
      <c r="CN56" s="2023"/>
      <c r="CO56" s="2023"/>
      <c r="CP56" s="2023"/>
      <c r="CQ56" s="2023"/>
      <c r="CR56" s="2023">
        <f t="shared" si="84"/>
        <v>0.24942186955925341</v>
      </c>
      <c r="CS56" s="2023">
        <f t="shared" si="85"/>
        <v>0.24929293553646009</v>
      </c>
      <c r="CT56" s="2023">
        <f t="shared" si="86"/>
        <v>0.26321165375819988</v>
      </c>
      <c r="CU56" s="2023">
        <f t="shared" si="87"/>
        <v>0.27230264893695905</v>
      </c>
      <c r="CV56" s="2023">
        <f t="shared" si="88"/>
        <v>0.24716608525418721</v>
      </c>
      <c r="CW56" s="2023">
        <f t="shared" si="89"/>
        <v>0.11140701818316574</v>
      </c>
      <c r="CX56" s="2023">
        <f t="shared" si="90"/>
        <v>0.12660939781696551</v>
      </c>
      <c r="CY56" s="2023">
        <f t="shared" si="91"/>
        <v>0.13231731029073485</v>
      </c>
      <c r="CZ56" s="2023">
        <f t="shared" si="92"/>
        <v>0.1240720210167187</v>
      </c>
      <c r="DA56" s="2023">
        <f t="shared" si="93"/>
        <v>0.13381524561731797</v>
      </c>
      <c r="DB56" s="2023">
        <f t="shared" si="94"/>
        <v>0.14194925934723907</v>
      </c>
      <c r="DC56" s="1625">
        <f t="shared" si="95"/>
        <v>0.13887617698217822</v>
      </c>
      <c r="DD56" s="502"/>
      <c r="DE56" s="502"/>
      <c r="DF56" s="502"/>
      <c r="DG56" s="503"/>
      <c r="DH56" s="519"/>
      <c r="DI56" s="3213"/>
      <c r="DJ56" s="502"/>
      <c r="DK56" s="503"/>
      <c r="DL56" s="502"/>
      <c r="DM56" s="502"/>
      <c r="DN56" s="502"/>
      <c r="DO56" s="502"/>
      <c r="DP56" s="503"/>
      <c r="DQ56" s="503"/>
      <c r="DR56" s="719"/>
      <c r="DS56" s="719"/>
      <c r="DT56" s="719"/>
    </row>
    <row r="57" spans="1:124" ht="12.6" hidden="1" customHeight="1" outlineLevel="1" x14ac:dyDescent="0.25">
      <c r="A57" s="2109" t="s">
        <v>863</v>
      </c>
      <c r="B57" s="2110"/>
      <c r="C57" s="2111">
        <v>63.2</v>
      </c>
      <c r="D57" s="2111">
        <v>72.2</v>
      </c>
      <c r="E57" s="2111">
        <v>74.2</v>
      </c>
      <c r="F57" s="2111">
        <v>62.2</v>
      </c>
      <c r="G57" s="2112">
        <v>278.10000000000002</v>
      </c>
      <c r="H57" s="2111">
        <v>70.099999999999994</v>
      </c>
      <c r="I57" s="2111">
        <v>77.900000000000006</v>
      </c>
      <c r="J57" s="2111" t="s">
        <v>1225</v>
      </c>
      <c r="K57" s="2111">
        <v>140.4</v>
      </c>
      <c r="L57" s="2112">
        <v>369.7</v>
      </c>
      <c r="M57" s="2111">
        <v>155.19999999999999</v>
      </c>
      <c r="N57" s="2111">
        <v>151.4</v>
      </c>
      <c r="O57" s="2111">
        <v>160.19999999999999</v>
      </c>
      <c r="P57" s="2111">
        <v>142.30000000000001</v>
      </c>
      <c r="Q57" s="2112">
        <v>625.1</v>
      </c>
      <c r="R57" s="2111">
        <v>159</v>
      </c>
      <c r="S57" s="2111">
        <v>167.9</v>
      </c>
      <c r="T57" s="2111">
        <v>178.6</v>
      </c>
      <c r="U57" s="2111">
        <v>157.30000000000001</v>
      </c>
      <c r="V57" s="2112">
        <v>675.4</v>
      </c>
      <c r="W57" s="2111" t="s">
        <v>1225</v>
      </c>
      <c r="X57" s="2111">
        <v>161.80000000000001</v>
      </c>
      <c r="Y57" s="2111">
        <v>146.30000000000001</v>
      </c>
      <c r="Z57" s="2111">
        <v>145</v>
      </c>
      <c r="AA57" s="2112">
        <v>621.20000000000005</v>
      </c>
      <c r="AB57" s="2111">
        <v>149.69999999999999</v>
      </c>
      <c r="AC57" s="2111">
        <v>146.9</v>
      </c>
      <c r="AD57" s="2111">
        <v>162.1</v>
      </c>
      <c r="AE57" s="2111">
        <v>130.19999999999999</v>
      </c>
      <c r="AF57" s="2112">
        <v>575.1</v>
      </c>
      <c r="AG57" s="2111">
        <v>137.9</v>
      </c>
      <c r="AH57" s="2111">
        <v>141.5</v>
      </c>
      <c r="AI57" s="2111">
        <v>149.9</v>
      </c>
      <c r="AJ57" s="2111">
        <v>144</v>
      </c>
      <c r="AK57" s="2112">
        <v>597</v>
      </c>
      <c r="AL57" s="2111">
        <v>169.6</v>
      </c>
      <c r="AM57" s="2111">
        <v>179.4</v>
      </c>
      <c r="AN57" s="2111">
        <v>197.4</v>
      </c>
      <c r="AO57" s="2111">
        <v>160</v>
      </c>
      <c r="AP57" s="2113">
        <v>733.8</v>
      </c>
      <c r="AQ57" s="2113">
        <v>173.8</v>
      </c>
      <c r="AR57" s="2111">
        <v>187.9</v>
      </c>
      <c r="AS57" s="2111">
        <v>184</v>
      </c>
      <c r="AT57" s="2111">
        <v>206.2</v>
      </c>
      <c r="AU57" s="2112">
        <v>765.3</v>
      </c>
      <c r="AV57" s="2113">
        <v>224.2</v>
      </c>
      <c r="AW57" s="2111">
        <v>225.2</v>
      </c>
      <c r="AX57" s="2111">
        <v>189.7</v>
      </c>
      <c r="AY57" s="2373"/>
      <c r="AZ57" s="2112"/>
      <c r="BA57" s="2113">
        <v>71.5</v>
      </c>
      <c r="BB57" s="2111">
        <v>75.900000000000006</v>
      </c>
      <c r="BC57" s="2111">
        <v>60.4</v>
      </c>
      <c r="BD57" s="2111">
        <v>55.7</v>
      </c>
      <c r="BE57" s="2112">
        <v>276.89999999999998</v>
      </c>
      <c r="BF57" s="2113">
        <v>74.599999999999994</v>
      </c>
      <c r="BG57" s="2111">
        <v>77</v>
      </c>
      <c r="BH57" s="2111">
        <v>89</v>
      </c>
      <c r="BI57" s="2111"/>
      <c r="BJ57" s="2112"/>
      <c r="BK57" s="2111"/>
      <c r="BL57" s="2111"/>
      <c r="BM57" s="2111"/>
      <c r="BN57" s="2111"/>
      <c r="BO57" s="2112"/>
      <c r="BP57" s="2111"/>
      <c r="BQ57" s="2111"/>
      <c r="BR57" s="2111"/>
      <c r="BS57" s="2111"/>
      <c r="BT57" s="3225"/>
      <c r="BU57" s="3394"/>
      <c r="BV57" s="3395"/>
      <c r="BW57" s="3395"/>
      <c r="BX57" s="3395"/>
      <c r="BY57" s="2112"/>
      <c r="BZ57" s="2112"/>
      <c r="CA57" s="2112"/>
      <c r="CB57" s="2112"/>
      <c r="CC57" s="2112"/>
      <c r="CD57" s="2112"/>
      <c r="CE57" s="2112"/>
      <c r="CF57" s="2112"/>
      <c r="CG57" s="469"/>
      <c r="CH57" s="469"/>
      <c r="CI57" s="469"/>
      <c r="CJ57" s="469"/>
      <c r="CK57" s="469"/>
      <c r="CL57" s="2015" t="str">
        <f t="shared" si="83"/>
        <v>Guidance: Adjusted EBITDA</v>
      </c>
      <c r="CM57" s="1180">
        <f>G57</f>
        <v>278.10000000000002</v>
      </c>
      <c r="CN57" s="1180">
        <f>L57</f>
        <v>369.7</v>
      </c>
      <c r="CO57" s="1180">
        <f>Q57</f>
        <v>625.1</v>
      </c>
      <c r="CP57" s="1180">
        <f>V57</f>
        <v>675.4</v>
      </c>
      <c r="CQ57" s="1180">
        <f>AA57</f>
        <v>621.20000000000005</v>
      </c>
      <c r="CR57" s="1180">
        <f t="shared" si="84"/>
        <v>575.1</v>
      </c>
      <c r="CS57" s="1180">
        <f t="shared" si="85"/>
        <v>597</v>
      </c>
      <c r="CT57" s="1180">
        <f t="shared" si="86"/>
        <v>733.8</v>
      </c>
      <c r="CU57" s="1180">
        <f t="shared" si="87"/>
        <v>765.3</v>
      </c>
      <c r="CV57" s="1180"/>
      <c r="CW57" s="1180"/>
      <c r="CX57" s="1180"/>
      <c r="CY57" s="1180"/>
      <c r="CZ57" s="1180"/>
      <c r="DA57" s="1180"/>
      <c r="DB57" s="1180"/>
      <c r="DC57" s="2016"/>
      <c r="DD57" s="469"/>
      <c r="DE57" s="469"/>
      <c r="DF57" s="469"/>
      <c r="DG57" s="469"/>
      <c r="DH57" s="1180"/>
      <c r="DI57" s="3210"/>
      <c r="DJ57" s="469"/>
      <c r="DK57" s="469"/>
      <c r="DL57" s="469"/>
      <c r="DM57" s="469"/>
      <c r="DN57" s="469"/>
      <c r="DO57" s="469"/>
      <c r="DP57" s="469"/>
      <c r="DQ57" s="469"/>
      <c r="DR57" s="1659"/>
      <c r="DS57" s="1659"/>
      <c r="DT57" s="1659"/>
    </row>
    <row r="58" spans="1:124" ht="12.6" customHeight="1" collapsed="1" x14ac:dyDescent="0.25">
      <c r="A58" s="953"/>
      <c r="B58" s="479"/>
      <c r="C58" s="446"/>
      <c r="D58" s="446"/>
      <c r="E58" s="446"/>
      <c r="F58" s="446"/>
      <c r="G58" s="447"/>
      <c r="H58" s="446"/>
      <c r="I58" s="446"/>
      <c r="J58" s="446"/>
      <c r="K58" s="446"/>
      <c r="L58" s="1482"/>
      <c r="M58" s="446"/>
      <c r="N58" s="446"/>
      <c r="O58" s="446"/>
      <c r="P58" s="446"/>
      <c r="Q58" s="1482"/>
      <c r="R58" s="446"/>
      <c r="S58" s="446"/>
      <c r="T58" s="446"/>
      <c r="U58" s="446"/>
      <c r="V58" s="1482"/>
      <c r="W58" s="446"/>
      <c r="X58" s="446"/>
      <c r="Y58" s="446"/>
      <c r="Z58" s="446"/>
      <c r="AA58" s="1482"/>
      <c r="AB58" s="446"/>
      <c r="AC58" s="446"/>
      <c r="AD58" s="446"/>
      <c r="AE58" s="454"/>
      <c r="AF58" s="1482"/>
      <c r="AG58" s="1494"/>
      <c r="AH58" s="309"/>
      <c r="AI58" s="309"/>
      <c r="AJ58" s="1495"/>
      <c r="AK58" s="1482"/>
      <c r="AL58" s="1494"/>
      <c r="AM58" s="309"/>
      <c r="AN58" s="309"/>
      <c r="AO58" s="1495"/>
      <c r="AP58" s="1482"/>
      <c r="AQ58" s="309"/>
      <c r="AR58" s="309"/>
      <c r="AS58" s="309"/>
      <c r="AT58" s="1495"/>
      <c r="AU58" s="1482"/>
      <c r="AV58" s="1494"/>
      <c r="AW58" s="309"/>
      <c r="AX58" s="309"/>
      <c r="AY58" s="1495"/>
      <c r="AZ58" s="1482"/>
      <c r="BA58" s="1494"/>
      <c r="BB58" s="309"/>
      <c r="BC58" s="2956"/>
      <c r="BD58" s="2957"/>
      <c r="BE58" s="2958"/>
      <c r="BF58" s="2976"/>
      <c r="BG58" s="2882"/>
      <c r="BH58" s="2882"/>
      <c r="BI58" s="2959"/>
      <c r="BJ58" s="2960"/>
      <c r="BK58" s="2882"/>
      <c r="BL58" s="2882"/>
      <c r="BM58" s="2882"/>
      <c r="BN58" s="2959"/>
      <c r="BO58" s="2960"/>
      <c r="BP58" s="2882"/>
      <c r="BQ58" s="2882"/>
      <c r="BR58" s="2882"/>
      <c r="BS58" s="2882"/>
      <c r="BT58" s="3121"/>
      <c r="BU58" s="3396"/>
      <c r="BV58" s="2665"/>
      <c r="BW58" s="2665"/>
      <c r="BX58" s="2665"/>
      <c r="BY58" s="3121"/>
      <c r="BZ58" s="1482"/>
      <c r="CA58" s="1482"/>
      <c r="CB58" s="1482"/>
      <c r="CC58" s="1482"/>
      <c r="CD58" s="1482"/>
      <c r="CE58" s="1482"/>
      <c r="CF58" s="1482"/>
      <c r="CG58" s="331"/>
      <c r="CH58" s="331"/>
      <c r="CI58" s="331"/>
      <c r="CJ58" s="331"/>
      <c r="CK58" s="331"/>
      <c r="CL58" s="952"/>
      <c r="CM58" s="588"/>
      <c r="CN58" s="588"/>
      <c r="CO58" s="588"/>
      <c r="CP58" s="588"/>
      <c r="CQ58" s="588"/>
      <c r="CR58" s="588"/>
      <c r="CS58" s="588"/>
      <c r="CT58" s="588"/>
      <c r="CU58" s="588"/>
      <c r="CV58" s="588"/>
      <c r="CW58" s="588"/>
      <c r="CX58" s="588"/>
      <c r="CY58" s="588"/>
      <c r="CZ58" s="588"/>
      <c r="DA58" s="588"/>
      <c r="DB58" s="588"/>
      <c r="DC58" s="1197"/>
      <c r="DD58" s="331"/>
      <c r="DE58" s="331"/>
      <c r="DF58" s="502"/>
      <c r="DG58" s="503"/>
      <c r="DH58" s="2977"/>
      <c r="DI58" s="3213"/>
      <c r="DJ58" s="502"/>
      <c r="DK58" s="503"/>
      <c r="DL58" s="502"/>
      <c r="DM58" s="502"/>
      <c r="DN58" s="502"/>
      <c r="DO58" s="502"/>
      <c r="DP58" s="503"/>
      <c r="DQ58" s="503"/>
      <c r="DR58" s="296"/>
      <c r="DS58" s="296"/>
      <c r="DT58" s="296"/>
    </row>
    <row r="59" spans="1:124" ht="12.6" customHeight="1" x14ac:dyDescent="0.25">
      <c r="A59" s="995" t="s">
        <v>960</v>
      </c>
      <c r="B59" s="428"/>
      <c r="C59" s="482">
        <v>0</v>
      </c>
      <c r="D59" s="482">
        <v>0</v>
      </c>
      <c r="E59" s="482">
        <v>0</v>
      </c>
      <c r="F59" s="482">
        <v>0</v>
      </c>
      <c r="G59" s="481">
        <f>SUM(C59:F59)</f>
        <v>0</v>
      </c>
      <c r="H59" s="482">
        <v>0</v>
      </c>
      <c r="I59" s="482">
        <v>0</v>
      </c>
      <c r="J59" s="482">
        <v>0</v>
      </c>
      <c r="K59" s="482">
        <v>0</v>
      </c>
      <c r="L59" s="481">
        <f>SUM(H59:K59)</f>
        <v>0</v>
      </c>
      <c r="M59" s="482">
        <v>4.9109999999999996</v>
      </c>
      <c r="N59" s="482">
        <v>5.4930000000000003</v>
      </c>
      <c r="O59" s="482">
        <v>4.8310000000000004</v>
      </c>
      <c r="P59" s="482">
        <v>5.3310000000000004</v>
      </c>
      <c r="Q59" s="481">
        <f>SUM(M59:P59)</f>
        <v>20.565999999999999</v>
      </c>
      <c r="R59" s="482">
        <v>6.5979999999999999</v>
      </c>
      <c r="S59" s="482">
        <v>6.2560000000000002</v>
      </c>
      <c r="T59" s="482">
        <v>6.33</v>
      </c>
      <c r="U59" s="482">
        <v>6.2809999999999997</v>
      </c>
      <c r="V59" s="481">
        <f>SUM(R59:U59)</f>
        <v>25.464999999999996</v>
      </c>
      <c r="W59" s="482">
        <v>4.1449999999999996</v>
      </c>
      <c r="X59" s="482">
        <v>5.383</v>
      </c>
      <c r="Y59" s="482">
        <f>8.991-3</f>
        <v>5.9909999999999997</v>
      </c>
      <c r="Z59" s="482">
        <v>8.3379999999999992</v>
      </c>
      <c r="AA59" s="481">
        <f>SUM(W59:Z59)</f>
        <v>23.856999999999999</v>
      </c>
      <c r="AB59" s="482">
        <v>8.4849999999999994</v>
      </c>
      <c r="AC59" s="482">
        <v>6.7869999999999999</v>
      </c>
      <c r="AD59" s="482">
        <v>6.6319999999999997</v>
      </c>
      <c r="AE59" s="482">
        <v>6.4560000000000004</v>
      </c>
      <c r="AF59" s="481">
        <f>SUM(AB59:AE59)</f>
        <v>28.359999999999996</v>
      </c>
      <c r="AG59" s="482">
        <v>6.3840000000000003</v>
      </c>
      <c r="AH59" s="482">
        <v>6.6689999999999996</v>
      </c>
      <c r="AI59" s="482">
        <v>6.7039999999999997</v>
      </c>
      <c r="AJ59" s="482">
        <v>6.1970000000000001</v>
      </c>
      <c r="AK59" s="481">
        <f>SUM(AG59:AJ59)</f>
        <v>25.954000000000001</v>
      </c>
      <c r="AL59" s="482">
        <v>6.2249999999999996</v>
      </c>
      <c r="AM59" s="482">
        <v>6.1239999999999997</v>
      </c>
      <c r="AN59" s="482">
        <v>6.1070000000000002</v>
      </c>
      <c r="AO59" s="482">
        <v>6.2759999999999998</v>
      </c>
      <c r="AP59" s="481">
        <f>SUM(AL59:AO59)</f>
        <v>24.731999999999999</v>
      </c>
      <c r="AQ59" s="482">
        <v>7.9109999999999996</v>
      </c>
      <c r="AR59" s="482">
        <v>7.3959999999999999</v>
      </c>
      <c r="AS59" s="482">
        <v>6.8879999999999999</v>
      </c>
      <c r="AT59" s="482">
        <v>6.415</v>
      </c>
      <c r="AU59" s="1684">
        <f>SUM(AQ59:AT59)</f>
        <v>28.61</v>
      </c>
      <c r="AV59" s="482">
        <v>6.2510000000000003</v>
      </c>
      <c r="AW59" s="482">
        <v>5.45</v>
      </c>
      <c r="AX59" s="482">
        <v>6.3689999999999998</v>
      </c>
      <c r="AY59" s="482">
        <v>4.7380000000000004</v>
      </c>
      <c r="AZ59" s="481">
        <f>SUM(AV59:AY59)</f>
        <v>22.808</v>
      </c>
      <c r="BA59" s="482">
        <v>2.5790000000000002</v>
      </c>
      <c r="BB59" s="482">
        <v>2.5169999999999999</v>
      </c>
      <c r="BC59" s="482">
        <v>2.915</v>
      </c>
      <c r="BD59" s="482">
        <v>2.6549999999999998</v>
      </c>
      <c r="BE59" s="481">
        <f>SUM(BA59:BD59)</f>
        <v>10.665999999999999</v>
      </c>
      <c r="BF59" s="482">
        <v>2.0840000000000001</v>
      </c>
      <c r="BG59" s="482">
        <v>2.3370000000000002</v>
      </c>
      <c r="BH59" s="482">
        <v>2.0249999999999999</v>
      </c>
      <c r="BI59" s="482">
        <f>8.223-SUM(BF59:BH59)</f>
        <v>1.777000000000001</v>
      </c>
      <c r="BJ59" s="481">
        <f>SUM(BF59:BI59)</f>
        <v>8.2230000000000008</v>
      </c>
      <c r="BK59" s="482">
        <v>1.4550000000000001</v>
      </c>
      <c r="BL59" s="482">
        <v>1.5820000000000001</v>
      </c>
      <c r="BM59" s="482">
        <v>1.5169999999999999</v>
      </c>
      <c r="BN59" s="482">
        <v>2.3170000000000002</v>
      </c>
      <c r="BO59" s="481">
        <f>SUM(BK59:BN59)</f>
        <v>6.8710000000000004</v>
      </c>
      <c r="BP59" s="482">
        <v>2.173</v>
      </c>
      <c r="BQ59" s="2953">
        <v>1.8009999999999999</v>
      </c>
      <c r="BR59" s="482">
        <v>1.853</v>
      </c>
      <c r="BS59" s="482">
        <v>1.9530000000000001</v>
      </c>
      <c r="BT59" s="2587">
        <f>SUM(BP59:BS59)</f>
        <v>7.78</v>
      </c>
      <c r="BU59" s="482">
        <v>2.8</v>
      </c>
      <c r="BV59" s="482">
        <v>2.8</v>
      </c>
      <c r="BW59" s="482">
        <v>2.8</v>
      </c>
      <c r="BX59" s="482">
        <v>3</v>
      </c>
      <c r="BY59" s="2587">
        <f>SUM(BU59:BX59)</f>
        <v>11.399999999999999</v>
      </c>
      <c r="BZ59" s="484">
        <f t="shared" ref="BZ59:CF59" si="129">BY59+0.5</f>
        <v>11.899999999999999</v>
      </c>
      <c r="CA59" s="484">
        <f t="shared" si="129"/>
        <v>12.399999999999999</v>
      </c>
      <c r="CB59" s="484">
        <f t="shared" si="129"/>
        <v>12.899999999999999</v>
      </c>
      <c r="CC59" s="484">
        <f t="shared" si="129"/>
        <v>13.399999999999999</v>
      </c>
      <c r="CD59" s="484">
        <f t="shared" si="129"/>
        <v>13.899999999999999</v>
      </c>
      <c r="CE59" s="484">
        <f t="shared" si="129"/>
        <v>14.399999999999999</v>
      </c>
      <c r="CF59" s="484">
        <f t="shared" si="129"/>
        <v>14.899999999999999</v>
      </c>
      <c r="CG59" s="588"/>
      <c r="CH59" s="588"/>
      <c r="CI59" s="588"/>
      <c r="CJ59" s="588"/>
      <c r="CK59" s="331"/>
      <c r="CL59" s="995" t="str">
        <f>A59</f>
        <v>Stock-based compensation</v>
      </c>
      <c r="CM59" s="430">
        <f>G59</f>
        <v>0</v>
      </c>
      <c r="CN59" s="430">
        <f>L59</f>
        <v>0</v>
      </c>
      <c r="CO59" s="430">
        <f>Q59</f>
        <v>20.565999999999999</v>
      </c>
      <c r="CP59" s="430">
        <f>V59</f>
        <v>25.464999999999996</v>
      </c>
      <c r="CQ59" s="430">
        <f>AA59</f>
        <v>23.856999999999999</v>
      </c>
      <c r="CR59" s="430">
        <f>AF59</f>
        <v>28.359999999999996</v>
      </c>
      <c r="CS59" s="430">
        <f>AK59</f>
        <v>25.954000000000001</v>
      </c>
      <c r="CT59" s="430">
        <f>AP59</f>
        <v>24.731999999999999</v>
      </c>
      <c r="CU59" s="430">
        <f>AU59</f>
        <v>28.61</v>
      </c>
      <c r="CV59" s="430">
        <f>AZ59</f>
        <v>22.808</v>
      </c>
      <c r="CW59" s="430">
        <f>BE59</f>
        <v>10.665999999999999</v>
      </c>
      <c r="CX59" s="430">
        <f>BJ59</f>
        <v>8.2230000000000008</v>
      </c>
      <c r="CY59" s="430">
        <f>BO59</f>
        <v>6.8710000000000004</v>
      </c>
      <c r="CZ59" s="430">
        <f>BT59</f>
        <v>7.78</v>
      </c>
      <c r="DA59" s="430">
        <f t="shared" ref="DA59:DC65" si="130">BY59</f>
        <v>11.399999999999999</v>
      </c>
      <c r="DB59" s="430">
        <f t="shared" si="130"/>
        <v>11.899999999999999</v>
      </c>
      <c r="DC59" s="853">
        <f t="shared" si="130"/>
        <v>12.399999999999999</v>
      </c>
      <c r="DD59" s="331"/>
      <c r="DE59" s="331"/>
      <c r="DF59" s="502"/>
      <c r="DG59" s="503"/>
      <c r="DH59" s="2840"/>
      <c r="DI59" s="3213"/>
      <c r="DJ59" s="502"/>
      <c r="DK59" s="503"/>
      <c r="DL59" s="502"/>
      <c r="DM59" s="502"/>
      <c r="DN59" s="502"/>
      <c r="DO59" s="502"/>
      <c r="DP59" s="503"/>
      <c r="DQ59" s="503"/>
      <c r="DR59" s="296"/>
      <c r="DS59" s="296"/>
      <c r="DT59" s="296"/>
    </row>
    <row r="60" spans="1:124" ht="12.6" customHeight="1" x14ac:dyDescent="0.25">
      <c r="A60" s="2725" t="s">
        <v>2435</v>
      </c>
      <c r="B60" s="428"/>
      <c r="C60" s="482"/>
      <c r="D60" s="482"/>
      <c r="E60" s="482"/>
      <c r="F60" s="482"/>
      <c r="G60" s="481"/>
      <c r="H60" s="482"/>
      <c r="I60" s="482"/>
      <c r="J60" s="482"/>
      <c r="K60" s="482"/>
      <c r="L60" s="481"/>
      <c r="M60" s="482"/>
      <c r="N60" s="482"/>
      <c r="O60" s="482"/>
      <c r="P60" s="482"/>
      <c r="Q60" s="481"/>
      <c r="R60" s="482"/>
      <c r="S60" s="482"/>
      <c r="T60" s="482"/>
      <c r="U60" s="482"/>
      <c r="V60" s="481"/>
      <c r="W60" s="482"/>
      <c r="X60" s="482"/>
      <c r="Y60" s="482"/>
      <c r="Z60" s="482"/>
      <c r="AA60" s="481"/>
      <c r="AB60" s="482"/>
      <c r="AC60" s="482"/>
      <c r="AD60" s="482"/>
      <c r="AE60" s="482"/>
      <c r="AF60" s="481"/>
      <c r="AG60" s="482"/>
      <c r="AH60" s="482"/>
      <c r="AI60" s="482"/>
      <c r="AJ60" s="482"/>
      <c r="AK60" s="481"/>
      <c r="AL60" s="482"/>
      <c r="AM60" s="482"/>
      <c r="AN60" s="482"/>
      <c r="AO60" s="482"/>
      <c r="AP60" s="481"/>
      <c r="AQ60" s="482"/>
      <c r="AR60" s="482"/>
      <c r="AS60" s="482"/>
      <c r="AT60" s="482"/>
      <c r="AU60" s="1684"/>
      <c r="AV60" s="482"/>
      <c r="AW60" s="482"/>
      <c r="AX60" s="482"/>
      <c r="AY60" s="482"/>
      <c r="AZ60" s="481"/>
      <c r="BA60" s="482">
        <v>2.9209999999999998</v>
      </c>
      <c r="BB60" s="482">
        <v>2.9390000000000001</v>
      </c>
      <c r="BC60" s="482">
        <v>2.944</v>
      </c>
      <c r="BD60" s="482">
        <f>11.809-SUM(BA60:BC60)</f>
        <v>3.0050000000000008</v>
      </c>
      <c r="BE60" s="481">
        <f>SUM(BA60:BD60)</f>
        <v>11.808999999999999</v>
      </c>
      <c r="BF60" s="482">
        <v>2.7509999999999999</v>
      </c>
      <c r="BG60" s="482">
        <v>2.528</v>
      </c>
      <c r="BH60" s="482">
        <v>2.5390000000000001</v>
      </c>
      <c r="BI60" s="482">
        <f>10.377-SUM(BF60:BH60)</f>
        <v>2.5590000000000011</v>
      </c>
      <c r="BJ60" s="481">
        <f>SUM(BF60:BI60)</f>
        <v>10.377000000000001</v>
      </c>
      <c r="BK60" s="2953">
        <v>2.57</v>
      </c>
      <c r="BL60" s="2953">
        <v>2.5710000000000002</v>
      </c>
      <c r="BM60" s="2953">
        <v>2.5720000000000001</v>
      </c>
      <c r="BN60" s="2953">
        <v>2.5979999999999999</v>
      </c>
      <c r="BO60" s="481">
        <f>SUM(BK60:BN60)</f>
        <v>10.311</v>
      </c>
      <c r="BP60" s="2953">
        <v>1.9510000000000001</v>
      </c>
      <c r="BQ60" s="2953">
        <v>1.3089999999999999</v>
      </c>
      <c r="BR60" s="2953">
        <v>1.31</v>
      </c>
      <c r="BS60" s="2953">
        <v>1.296</v>
      </c>
      <c r="BT60" s="2587">
        <f>SUM(BP60:BS60)</f>
        <v>5.8660000000000005</v>
      </c>
      <c r="BU60" s="2840">
        <f>(BY1175+BY1169*0.5-2.4)/4</f>
        <v>2.5979166666666669</v>
      </c>
      <c r="BV60" s="2840">
        <f>(BY1175+BY1169*0.5-2.4)/4</f>
        <v>2.5979166666666669</v>
      </c>
      <c r="BW60" s="2840">
        <f>(BY1175+BY1169*0.5-2.4)/4</f>
        <v>2.5979166666666669</v>
      </c>
      <c r="BX60" s="2840">
        <f>(BY1175+BY1169*0.5-2.4)/4</f>
        <v>2.5979166666666669</v>
      </c>
      <c r="BY60" s="2587">
        <f>SUM(BU60:BX60)</f>
        <v>10.391666666666667</v>
      </c>
      <c r="BZ60" s="2587">
        <f>+BZ1175+BZ1169*0.5-2.4</f>
        <v>10.391666666666667</v>
      </c>
      <c r="CA60" s="2587">
        <f>+CA1175+CA1169*0.5-2.4</f>
        <v>10.391666666666667</v>
      </c>
      <c r="CB60" s="484"/>
      <c r="CC60" s="484"/>
      <c r="CD60" s="484"/>
      <c r="CE60" s="484"/>
      <c r="CF60" s="484"/>
      <c r="CG60" s="588"/>
      <c r="CH60" s="588"/>
      <c r="CI60" s="588"/>
      <c r="CJ60" s="588"/>
      <c r="CK60" s="331"/>
      <c r="CL60" s="995"/>
      <c r="CM60" s="430"/>
      <c r="CN60" s="430"/>
      <c r="CO60" s="430"/>
      <c r="CP60" s="430"/>
      <c r="CQ60" s="430"/>
      <c r="CR60" s="430"/>
      <c r="CS60" s="430"/>
      <c r="CT60" s="430"/>
      <c r="CU60" s="430"/>
      <c r="CV60" s="430"/>
      <c r="CW60" s="430"/>
      <c r="CX60" s="430"/>
      <c r="CY60" s="430"/>
      <c r="CZ60" s="430"/>
      <c r="DA60" s="430"/>
      <c r="DB60" s="430"/>
      <c r="DC60" s="853"/>
      <c r="DD60" s="331"/>
      <c r="DE60" s="331"/>
      <c r="DF60" s="502"/>
      <c r="DG60" s="503"/>
      <c r="DH60" s="2840"/>
      <c r="DI60" s="3213"/>
      <c r="DJ60" s="502"/>
      <c r="DK60" s="503"/>
      <c r="DL60" s="502"/>
      <c r="DM60" s="502"/>
      <c r="DN60" s="502"/>
      <c r="DO60" s="502"/>
      <c r="DP60" s="503"/>
      <c r="DQ60" s="503"/>
      <c r="DR60" s="296"/>
      <c r="DS60" s="296"/>
      <c r="DT60" s="296"/>
    </row>
    <row r="61" spans="1:124" ht="12.6" customHeight="1" x14ac:dyDescent="0.25">
      <c r="A61" s="2725" t="s">
        <v>2436</v>
      </c>
      <c r="B61" s="428"/>
      <c r="C61" s="482"/>
      <c r="D61" s="482"/>
      <c r="E61" s="482"/>
      <c r="F61" s="482"/>
      <c r="G61" s="481"/>
      <c r="H61" s="482"/>
      <c r="I61" s="482"/>
      <c r="J61" s="482"/>
      <c r="K61" s="482"/>
      <c r="L61" s="481"/>
      <c r="M61" s="482"/>
      <c r="N61" s="482"/>
      <c r="O61" s="482"/>
      <c r="P61" s="482"/>
      <c r="Q61" s="481"/>
      <c r="R61" s="482"/>
      <c r="S61" s="482"/>
      <c r="T61" s="482"/>
      <c r="U61" s="482"/>
      <c r="V61" s="481"/>
      <c r="W61" s="482"/>
      <c r="X61" s="482"/>
      <c r="Y61" s="482"/>
      <c r="Z61" s="482"/>
      <c r="AA61" s="481"/>
      <c r="AB61" s="482"/>
      <c r="AC61" s="482"/>
      <c r="AD61" s="482"/>
      <c r="AE61" s="482"/>
      <c r="AF61" s="481"/>
      <c r="AG61" s="482"/>
      <c r="AH61" s="482"/>
      <c r="AI61" s="482"/>
      <c r="AJ61" s="482"/>
      <c r="AK61" s="481"/>
      <c r="AL61" s="482"/>
      <c r="AM61" s="482"/>
      <c r="AN61" s="482"/>
      <c r="AO61" s="482"/>
      <c r="AP61" s="481"/>
      <c r="AQ61" s="482"/>
      <c r="AR61" s="482"/>
      <c r="AS61" s="482"/>
      <c r="AT61" s="482"/>
      <c r="AU61" s="1684"/>
      <c r="AV61" s="482"/>
      <c r="AW61" s="482"/>
      <c r="AX61" s="482"/>
      <c r="AY61" s="482"/>
      <c r="AZ61" s="481"/>
      <c r="BA61" s="482">
        <v>2.4830000000000001</v>
      </c>
      <c r="BB61" s="482">
        <v>1.4730000000000001</v>
      </c>
      <c r="BC61" s="482">
        <v>2.2909999999999999</v>
      </c>
      <c r="BD61" s="482">
        <f>7.949-SUM(BA61:BC61)</f>
        <v>1.702</v>
      </c>
      <c r="BE61" s="481">
        <f>SUM(BA61:BD61)</f>
        <v>7.9489999999999998</v>
      </c>
      <c r="BF61" s="482">
        <v>3.9820000000000002</v>
      </c>
      <c r="BG61" s="482">
        <v>4.1539999999999999</v>
      </c>
      <c r="BH61" s="482">
        <v>3.7589999999999999</v>
      </c>
      <c r="BI61" s="482">
        <f>14.488-SUM(BF61:BH61)</f>
        <v>2.593</v>
      </c>
      <c r="BJ61" s="481">
        <f>SUM(BF61:BI61)</f>
        <v>14.488</v>
      </c>
      <c r="BK61" s="2953">
        <v>4.609</v>
      </c>
      <c r="BL61" s="2953">
        <v>3.548</v>
      </c>
      <c r="BM61" s="2953">
        <v>3.5049999999999999</v>
      </c>
      <c r="BN61" s="2953">
        <v>2.6749999999999998</v>
      </c>
      <c r="BO61" s="481">
        <f>SUM(BK61:BN61)</f>
        <v>14.337</v>
      </c>
      <c r="BP61" s="2953">
        <v>4.548</v>
      </c>
      <c r="BQ61" s="2953">
        <v>5.0209999999999999</v>
      </c>
      <c r="BR61" s="2953">
        <v>4.7809999999999997</v>
      </c>
      <c r="BS61" s="2953">
        <v>4.3209999999999997</v>
      </c>
      <c r="BT61" s="2587">
        <f>SUM(BP61:BS61)</f>
        <v>18.670999999999999</v>
      </c>
      <c r="BU61" s="2840">
        <f t="shared" ref="BU61:CA61" si="131">+BU1172</f>
        <v>4.5696692567124719</v>
      </c>
      <c r="BV61" s="2840">
        <f t="shared" si="131"/>
        <v>5.0492555858866242</v>
      </c>
      <c r="BW61" s="2840">
        <f t="shared" si="131"/>
        <v>4.8072108241403564</v>
      </c>
      <c r="BX61" s="2840">
        <f t="shared" si="131"/>
        <v>5.3333815706723326</v>
      </c>
      <c r="BY61" s="2587">
        <f>SUM(BU61:BX61)</f>
        <v>19.759517237411785</v>
      </c>
      <c r="BZ61" s="2587">
        <f t="shared" si="131"/>
        <v>19.891417099222014</v>
      </c>
      <c r="CA61" s="2587">
        <f t="shared" si="131"/>
        <v>19.793574927668093</v>
      </c>
      <c r="CB61" s="484"/>
      <c r="CC61" s="484"/>
      <c r="CD61" s="484"/>
      <c r="CE61" s="484"/>
      <c r="CF61" s="484"/>
      <c r="CG61" s="588"/>
      <c r="CH61" s="588"/>
      <c r="CI61" s="588"/>
      <c r="CJ61" s="588"/>
      <c r="CK61" s="331"/>
      <c r="CL61" s="995"/>
      <c r="CM61" s="430"/>
      <c r="CN61" s="430"/>
      <c r="CO61" s="430"/>
      <c r="CP61" s="430"/>
      <c r="CQ61" s="430"/>
      <c r="CR61" s="430"/>
      <c r="CS61" s="430"/>
      <c r="CT61" s="430"/>
      <c r="CU61" s="430"/>
      <c r="CV61" s="430"/>
      <c r="CW61" s="430"/>
      <c r="CX61" s="430"/>
      <c r="CY61" s="430"/>
      <c r="CZ61" s="430"/>
      <c r="DA61" s="430"/>
      <c r="DB61" s="430"/>
      <c r="DC61" s="853"/>
      <c r="DD61" s="331"/>
      <c r="DE61" s="331"/>
      <c r="DF61" s="502"/>
      <c r="DG61" s="503"/>
      <c r="DH61" s="2840"/>
      <c r="DI61" s="3213"/>
      <c r="DJ61" s="502"/>
      <c r="DK61" s="503"/>
      <c r="DL61" s="502"/>
      <c r="DM61" s="502"/>
      <c r="DN61" s="502"/>
      <c r="DO61" s="502"/>
      <c r="DP61" s="503"/>
      <c r="DQ61" s="503"/>
      <c r="DR61" s="296"/>
      <c r="DS61" s="296"/>
      <c r="DT61" s="296"/>
    </row>
    <row r="62" spans="1:124" ht="12.6" customHeight="1" x14ac:dyDescent="0.25">
      <c r="A62" s="2725" t="s">
        <v>1623</v>
      </c>
      <c r="B62" s="428"/>
      <c r="C62" s="482"/>
      <c r="D62" s="482"/>
      <c r="E62" s="482"/>
      <c r="F62" s="482"/>
      <c r="G62" s="481"/>
      <c r="H62" s="482"/>
      <c r="I62" s="482"/>
      <c r="J62" s="482"/>
      <c r="K62" s="482"/>
      <c r="L62" s="481"/>
      <c r="M62" s="482"/>
      <c r="N62" s="482"/>
      <c r="O62" s="482"/>
      <c r="P62" s="482"/>
      <c r="Q62" s="481"/>
      <c r="R62" s="482"/>
      <c r="S62" s="482"/>
      <c r="T62" s="482"/>
      <c r="U62" s="482"/>
      <c r="V62" s="481"/>
      <c r="W62" s="482"/>
      <c r="X62" s="482"/>
      <c r="Y62" s="482"/>
      <c r="Z62" s="482"/>
      <c r="AA62" s="481"/>
      <c r="AB62" s="482"/>
      <c r="AC62" s="482"/>
      <c r="AD62" s="482"/>
      <c r="AE62" s="482"/>
      <c r="AF62" s="481"/>
      <c r="AG62" s="482"/>
      <c r="AH62" s="482"/>
      <c r="AI62" s="482"/>
      <c r="AJ62" s="482"/>
      <c r="AK62" s="481"/>
      <c r="AL62" s="482"/>
      <c r="AM62" s="482"/>
      <c r="AN62" s="482"/>
      <c r="AO62" s="482"/>
      <c r="AP62" s="481"/>
      <c r="AQ62" s="482"/>
      <c r="AR62" s="482"/>
      <c r="AS62" s="482"/>
      <c r="AT62" s="482"/>
      <c r="AU62" s="1684"/>
      <c r="AV62" s="482"/>
      <c r="AW62" s="482"/>
      <c r="AX62" s="482"/>
      <c r="AY62" s="482"/>
      <c r="AZ62" s="481"/>
      <c r="BA62" s="482">
        <f>+-0.049</f>
        <v>-4.9000000000000002E-2</v>
      </c>
      <c r="BB62" s="482">
        <f>4.56+0.003</f>
        <v>4.5629999999999997</v>
      </c>
      <c r="BC62" s="482">
        <f>+-5.674+0.145</f>
        <v>-5.5290000000000008</v>
      </c>
      <c r="BD62" s="482">
        <f>0.689+159.884-5.674+0.738-SUM(BA62:BC62)</f>
        <v>156.65199999999999</v>
      </c>
      <c r="BE62" s="481">
        <f>SUM(BA62:BD62)</f>
        <v>155.63699999999997</v>
      </c>
      <c r="BF62" s="482">
        <f>0.351+0.153</f>
        <v>0.504</v>
      </c>
      <c r="BG62" s="482">
        <f>0.371+0.356</f>
        <v>0.72699999999999998</v>
      </c>
      <c r="BH62" s="482">
        <f>+-6.651+0.277</f>
        <v>-6.3739999999999997</v>
      </c>
      <c r="BI62" s="2953">
        <f>40.042-5.374+1.286-SUM(BF62:BH62)</f>
        <v>41.097000000000001</v>
      </c>
      <c r="BJ62" s="481">
        <f>SUM(BF62:BI62)</f>
        <v>35.954000000000001</v>
      </c>
      <c r="BK62" s="482">
        <f>+-1.201-1.101</f>
        <v>-2.302</v>
      </c>
      <c r="BL62" s="482">
        <f>0.441+0.119</f>
        <v>0.56000000000000005</v>
      </c>
      <c r="BM62" s="482">
        <f>+-0.726-0.03-2.781</f>
        <v>-3.5369999999999999</v>
      </c>
      <c r="BN62" s="482">
        <f>0.969+2.388</f>
        <v>3.3569999999999998</v>
      </c>
      <c r="BO62" s="481">
        <f>SUM(BK62:BN62)</f>
        <v>-1.9220000000000002</v>
      </c>
      <c r="BP62" s="482">
        <f>2.56-0.045</f>
        <v>2.5150000000000001</v>
      </c>
      <c r="BQ62" s="2953">
        <f>0.052+1.362+5.635</f>
        <v>7.0489999999999995</v>
      </c>
      <c r="BR62" s="482">
        <f>24.317-20.716+0.096</f>
        <v>3.6969999999999992</v>
      </c>
      <c r="BS62" s="482">
        <f>+-0.289+48.465+9.953+0.07+(107.81-78.417)</f>
        <v>87.592000000000013</v>
      </c>
      <c r="BT62" s="2587">
        <f>SUM(BP62:BS62)</f>
        <v>100.85300000000001</v>
      </c>
      <c r="BU62" s="3451">
        <v>0</v>
      </c>
      <c r="BV62" s="3451">
        <v>0</v>
      </c>
      <c r="BW62" s="3451">
        <v>0</v>
      </c>
      <c r="BX62" s="3451">
        <v>0</v>
      </c>
      <c r="BY62" s="2587">
        <f>SUM(BU62:BX62)</f>
        <v>0</v>
      </c>
      <c r="BZ62" s="484">
        <v>0</v>
      </c>
      <c r="CA62" s="484">
        <v>0</v>
      </c>
      <c r="CB62" s="484"/>
      <c r="CC62" s="484"/>
      <c r="CD62" s="484"/>
      <c r="CE62" s="484"/>
      <c r="CF62" s="484"/>
      <c r="CG62" s="588"/>
      <c r="CH62" s="588"/>
      <c r="CI62" s="588"/>
      <c r="CJ62" s="588"/>
      <c r="CK62" s="331"/>
      <c r="CL62" s="995"/>
      <c r="CM62" s="430"/>
      <c r="CN62" s="430"/>
      <c r="CO62" s="430"/>
      <c r="CP62" s="430"/>
      <c r="CQ62" s="430"/>
      <c r="CR62" s="430"/>
      <c r="CS62" s="430"/>
      <c r="CT62" s="430"/>
      <c r="CU62" s="430"/>
      <c r="CV62" s="430"/>
      <c r="CW62" s="430"/>
      <c r="CX62" s="430"/>
      <c r="CY62" s="430"/>
      <c r="CZ62" s="430"/>
      <c r="DA62" s="430"/>
      <c r="DB62" s="430"/>
      <c r="DC62" s="853"/>
      <c r="DD62" s="331"/>
      <c r="DE62" s="331"/>
      <c r="DF62" s="502"/>
      <c r="DG62" s="503"/>
      <c r="DH62" s="2840"/>
      <c r="DI62" s="3213"/>
      <c r="DJ62" s="502"/>
      <c r="DK62" s="503"/>
      <c r="DL62" s="502"/>
      <c r="DM62" s="502"/>
      <c r="DN62" s="502"/>
      <c r="DO62" s="502"/>
      <c r="DP62" s="503"/>
      <c r="DQ62" s="503"/>
      <c r="DR62" s="296"/>
      <c r="DS62" s="296"/>
      <c r="DT62" s="296"/>
    </row>
    <row r="63" spans="1:124" ht="12.6" customHeight="1" x14ac:dyDescent="0.25">
      <c r="A63" s="995" t="s">
        <v>891</v>
      </c>
      <c r="B63" s="603"/>
      <c r="C63" s="430">
        <f>C1556</f>
        <v>16.84</v>
      </c>
      <c r="D63" s="430">
        <f t="shared" ref="D63:AK63" si="132">D1556</f>
        <v>16.832999999999998</v>
      </c>
      <c r="E63" s="430">
        <f t="shared" si="132"/>
        <v>16.492000000000001</v>
      </c>
      <c r="F63" s="430">
        <f t="shared" si="132"/>
        <v>16.372</v>
      </c>
      <c r="G63" s="481">
        <f t="shared" si="132"/>
        <v>66.537000000000006</v>
      </c>
      <c r="H63" s="430">
        <f t="shared" si="132"/>
        <v>15.494999999999999</v>
      </c>
      <c r="I63" s="430">
        <f t="shared" si="132"/>
        <v>15.968999999999999</v>
      </c>
      <c r="J63" s="430">
        <f t="shared" si="132"/>
        <v>14.942</v>
      </c>
      <c r="K63" s="430">
        <f t="shared" si="132"/>
        <v>26.125</v>
      </c>
      <c r="L63" s="481">
        <f t="shared" si="132"/>
        <v>72.531000000000006</v>
      </c>
      <c r="M63" s="430">
        <f t="shared" si="132"/>
        <v>29.718</v>
      </c>
      <c r="N63" s="430">
        <f t="shared" si="132"/>
        <v>27.728000000000002</v>
      </c>
      <c r="O63" s="430">
        <f t="shared" si="132"/>
        <v>31.196000000000002</v>
      </c>
      <c r="P63" s="430">
        <f t="shared" si="132"/>
        <v>35.308999999999997</v>
      </c>
      <c r="Q63" s="481">
        <f t="shared" si="132"/>
        <v>123.95099999999999</v>
      </c>
      <c r="R63" s="430">
        <f t="shared" si="132"/>
        <v>35.357999999999997</v>
      </c>
      <c r="S63" s="430">
        <f t="shared" si="132"/>
        <v>37.622000000000007</v>
      </c>
      <c r="T63" s="430">
        <f t="shared" si="132"/>
        <v>37.240999999999993</v>
      </c>
      <c r="U63" s="430">
        <f t="shared" si="132"/>
        <v>37.693999999999996</v>
      </c>
      <c r="V63" s="481">
        <f t="shared" si="132"/>
        <v>147.91499999999999</v>
      </c>
      <c r="W63" s="430">
        <f t="shared" si="132"/>
        <v>39.792000000000002</v>
      </c>
      <c r="X63" s="430">
        <f t="shared" si="132"/>
        <v>45.182000000000002</v>
      </c>
      <c r="Y63" s="430">
        <f t="shared" si="132"/>
        <v>44.223999999999997</v>
      </c>
      <c r="Z63" s="430">
        <f t="shared" si="132"/>
        <v>44.347000000000001</v>
      </c>
      <c r="AA63" s="481">
        <f t="shared" si="132"/>
        <v>173.54500000000002</v>
      </c>
      <c r="AB63" s="430">
        <f t="shared" si="132"/>
        <v>44.43</v>
      </c>
      <c r="AC63" s="430">
        <f t="shared" si="132"/>
        <v>46.942</v>
      </c>
      <c r="AD63" s="430">
        <f t="shared" si="132"/>
        <v>50.055</v>
      </c>
      <c r="AE63" s="430">
        <f>AE1556</f>
        <v>53.009000000000007</v>
      </c>
      <c r="AF63" s="481">
        <f t="shared" si="132"/>
        <v>194.43600000000001</v>
      </c>
      <c r="AG63" s="430">
        <f>AG1556</f>
        <v>51.18</v>
      </c>
      <c r="AH63" s="430">
        <f t="shared" si="132"/>
        <v>52.652999999999999</v>
      </c>
      <c r="AI63" s="430">
        <f t="shared" si="132"/>
        <v>53.841999999999999</v>
      </c>
      <c r="AJ63" s="430">
        <f t="shared" si="132"/>
        <v>54.712000000000003</v>
      </c>
      <c r="AK63" s="481">
        <f t="shared" si="132"/>
        <v>212.387</v>
      </c>
      <c r="AL63" s="430">
        <f>AL1556</f>
        <v>53.158000000000001</v>
      </c>
      <c r="AM63" s="430">
        <f>AM1556</f>
        <v>54.23</v>
      </c>
      <c r="AN63" s="430">
        <f>AN1556</f>
        <v>52.195</v>
      </c>
      <c r="AO63" s="482">
        <v>51.893000000000001</v>
      </c>
      <c r="AP63" s="481">
        <f>AP1556</f>
        <v>211.476</v>
      </c>
      <c r="AQ63" s="482">
        <v>53.337000000000003</v>
      </c>
      <c r="AR63" s="482">
        <v>56.790999999999997</v>
      </c>
      <c r="AS63" s="482">
        <v>62.399000000000001</v>
      </c>
      <c r="AT63" s="482">
        <v>72.820999999999998</v>
      </c>
      <c r="AU63" s="481">
        <f>SUM(AQ63:AT63)</f>
        <v>245.34799999999998</v>
      </c>
      <c r="AV63" s="482">
        <v>77.070999999999998</v>
      </c>
      <c r="AW63" s="482">
        <v>80.614999999999995</v>
      </c>
      <c r="AX63" s="482">
        <v>79.968000000000004</v>
      </c>
      <c r="AY63" s="482">
        <v>60.671999999999997</v>
      </c>
      <c r="AZ63" s="481">
        <f>SUM(AV63:AY63)</f>
        <v>298.32600000000002</v>
      </c>
      <c r="BA63" s="2675">
        <v>70.185000000000002</v>
      </c>
      <c r="BB63" s="2675">
        <v>69.873999999999995</v>
      </c>
      <c r="BC63" s="2675">
        <v>62.021000000000001</v>
      </c>
      <c r="BD63" s="2675">
        <f>266.742-SUM(BA63:BC63)</f>
        <v>64.662000000000035</v>
      </c>
      <c r="BE63" s="481">
        <f>BE1556</f>
        <v>266.74200000000002</v>
      </c>
      <c r="BF63" s="2675">
        <v>63.369</v>
      </c>
      <c r="BG63" s="2675">
        <v>62.274999999999999</v>
      </c>
      <c r="BH63" s="2953">
        <v>66.141000000000005</v>
      </c>
      <c r="BI63" s="2953">
        <f>259.461-SUM(BF63:BH63)</f>
        <v>67.675999999999988</v>
      </c>
      <c r="BJ63" s="481">
        <f>SUM(BF63:BI63)</f>
        <v>259.46100000000001</v>
      </c>
      <c r="BK63" s="482">
        <v>66.02</v>
      </c>
      <c r="BL63" s="2953">
        <v>66.182000000000002</v>
      </c>
      <c r="BM63" s="2953">
        <v>67.903000000000006</v>
      </c>
      <c r="BN63" s="2953">
        <v>71.108999999999995</v>
      </c>
      <c r="BO63" s="481">
        <f>SUM(BK63:BN63)</f>
        <v>271.214</v>
      </c>
      <c r="BP63" s="482">
        <v>70.236000000000004</v>
      </c>
      <c r="BQ63" s="2953">
        <v>68.968999999999994</v>
      </c>
      <c r="BR63" s="2953">
        <v>66.483000000000004</v>
      </c>
      <c r="BS63" s="2953">
        <v>61.374000000000002</v>
      </c>
      <c r="BT63" s="2587">
        <f>SUM(BP63:BS63)</f>
        <v>267.06200000000001</v>
      </c>
      <c r="BU63" s="2840">
        <f>BU1556</f>
        <v>61.554275817589122</v>
      </c>
      <c r="BV63" s="2840">
        <f>BV1556</f>
        <v>61.50735911164751</v>
      </c>
      <c r="BW63" s="2840">
        <f>BW1556</f>
        <v>72.852129494557232</v>
      </c>
      <c r="BX63" s="2840">
        <f>BX1556</f>
        <v>72.671952774080808</v>
      </c>
      <c r="BY63" s="2587">
        <f>SUM(BU63:BX63)</f>
        <v>268.58571719787466</v>
      </c>
      <c r="BZ63" s="481">
        <f t="shared" ref="BZ63:CF63" si="133">BZ1556</f>
        <v>291.15259192105191</v>
      </c>
      <c r="CA63" s="481">
        <f t="shared" si="133"/>
        <v>292.02499874915179</v>
      </c>
      <c r="CB63" s="481">
        <f t="shared" si="133"/>
        <v>169.16602666666674</v>
      </c>
      <c r="CC63" s="481">
        <f t="shared" si="133"/>
        <v>169.16602666666674</v>
      </c>
      <c r="CD63" s="481">
        <f t="shared" si="133"/>
        <v>169.16602666666674</v>
      </c>
      <c r="CE63" s="481">
        <f t="shared" si="133"/>
        <v>169.16602666666674</v>
      </c>
      <c r="CF63" s="481">
        <f t="shared" si="133"/>
        <v>169.16602666666674</v>
      </c>
      <c r="CG63" s="331"/>
      <c r="CH63" s="331"/>
      <c r="CI63" s="331"/>
      <c r="CJ63" s="331"/>
      <c r="CK63" s="331"/>
      <c r="CL63" s="995" t="str">
        <f>A63</f>
        <v>Depreciation</v>
      </c>
      <c r="CM63" s="430">
        <f>G63</f>
        <v>66.537000000000006</v>
      </c>
      <c r="CN63" s="430">
        <f>L63</f>
        <v>72.531000000000006</v>
      </c>
      <c r="CO63" s="430">
        <f>Q63</f>
        <v>123.95099999999999</v>
      </c>
      <c r="CP63" s="430">
        <f>V63</f>
        <v>147.91499999999999</v>
      </c>
      <c r="CQ63" s="430">
        <f>AA63</f>
        <v>173.54500000000002</v>
      </c>
      <c r="CR63" s="430">
        <f>AF63</f>
        <v>194.43600000000001</v>
      </c>
      <c r="CS63" s="430">
        <f>AK63</f>
        <v>212.387</v>
      </c>
      <c r="CT63" s="430">
        <f>AP63</f>
        <v>211.476</v>
      </c>
      <c r="CU63" s="430">
        <f>AU63</f>
        <v>245.34799999999998</v>
      </c>
      <c r="CV63" s="430">
        <f>AZ63</f>
        <v>298.32600000000002</v>
      </c>
      <c r="CW63" s="430">
        <f>BE63</f>
        <v>266.74200000000002</v>
      </c>
      <c r="CX63" s="430">
        <f>BJ63</f>
        <v>259.46100000000001</v>
      </c>
      <c r="CY63" s="430">
        <f>BO63</f>
        <v>271.214</v>
      </c>
      <c r="CZ63" s="430">
        <f>BT63</f>
        <v>267.06200000000001</v>
      </c>
      <c r="DA63" s="430">
        <f t="shared" si="130"/>
        <v>268.58571719787466</v>
      </c>
      <c r="DB63" s="430">
        <f t="shared" si="130"/>
        <v>291.15259192105191</v>
      </c>
      <c r="DC63" s="853">
        <f t="shared" si="130"/>
        <v>292.02499874915179</v>
      </c>
      <c r="DD63" s="331"/>
      <c r="DE63" s="331"/>
      <c r="DF63" s="502"/>
      <c r="DG63" s="503"/>
      <c r="DH63" s="2840"/>
      <c r="DI63" s="3213"/>
      <c r="DJ63" s="502"/>
      <c r="DK63" s="503"/>
      <c r="DL63" s="502"/>
      <c r="DM63" s="502"/>
      <c r="DN63" s="502"/>
      <c r="DO63" s="502"/>
      <c r="DP63" s="503"/>
      <c r="DQ63" s="503"/>
      <c r="DR63" s="296"/>
      <c r="DS63" s="296"/>
      <c r="DT63" s="296"/>
    </row>
    <row r="64" spans="1:124" ht="4.5" customHeight="1" x14ac:dyDescent="0.25">
      <c r="A64" s="392"/>
      <c r="B64" s="479"/>
      <c r="C64" s="460" t="s">
        <v>1151</v>
      </c>
      <c r="D64" s="460" t="s">
        <v>1151</v>
      </c>
      <c r="E64" s="460" t="s">
        <v>1151</v>
      </c>
      <c r="F64" s="460" t="s">
        <v>1151</v>
      </c>
      <c r="G64" s="461" t="s">
        <v>1151</v>
      </c>
      <c r="H64" s="460" t="s">
        <v>1151</v>
      </c>
      <c r="I64" s="460" t="s">
        <v>1151</v>
      </c>
      <c r="J64" s="460" t="s">
        <v>1151</v>
      </c>
      <c r="K64" s="460" t="s">
        <v>1151</v>
      </c>
      <c r="L64" s="461" t="s">
        <v>1151</v>
      </c>
      <c r="M64" s="460" t="s">
        <v>1151</v>
      </c>
      <c r="N64" s="460" t="s">
        <v>1151</v>
      </c>
      <c r="O64" s="460" t="s">
        <v>1151</v>
      </c>
      <c r="P64" s="460" t="s">
        <v>1151</v>
      </c>
      <c r="Q64" s="461" t="s">
        <v>1151</v>
      </c>
      <c r="R64" s="460" t="s">
        <v>1151</v>
      </c>
      <c r="S64" s="460" t="s">
        <v>1151</v>
      </c>
      <c r="T64" s="460" t="s">
        <v>1151</v>
      </c>
      <c r="U64" s="460" t="s">
        <v>1151</v>
      </c>
      <c r="V64" s="461" t="s">
        <v>1151</v>
      </c>
      <c r="W64" s="460" t="s">
        <v>1151</v>
      </c>
      <c r="X64" s="460" t="s">
        <v>1151</v>
      </c>
      <c r="Y64" s="460" t="s">
        <v>1151</v>
      </c>
      <c r="Z64" s="460" t="s">
        <v>1151</v>
      </c>
      <c r="AA64" s="461" t="s">
        <v>1151</v>
      </c>
      <c r="AB64" s="460" t="s">
        <v>1151</v>
      </c>
      <c r="AC64" s="460" t="s">
        <v>1151</v>
      </c>
      <c r="AD64" s="460" t="s">
        <v>1151</v>
      </c>
      <c r="AE64" s="460" t="s">
        <v>1151</v>
      </c>
      <c r="AF64" s="461" t="s">
        <v>1151</v>
      </c>
      <c r="AG64" s="460" t="s">
        <v>1151</v>
      </c>
      <c r="AH64" s="460" t="s">
        <v>1151</v>
      </c>
      <c r="AI64" s="460" t="s">
        <v>1151</v>
      </c>
      <c r="AJ64" s="460" t="s">
        <v>1151</v>
      </c>
      <c r="AK64" s="461" t="s">
        <v>1151</v>
      </c>
      <c r="AL64" s="460" t="s">
        <v>1151</v>
      </c>
      <c r="AM64" s="460" t="s">
        <v>1151</v>
      </c>
      <c r="AN64" s="460" t="s">
        <v>1151</v>
      </c>
      <c r="AO64" s="460" t="s">
        <v>1151</v>
      </c>
      <c r="AP64" s="461" t="s">
        <v>1151</v>
      </c>
      <c r="AQ64" s="460" t="s">
        <v>1151</v>
      </c>
      <c r="AR64" s="460" t="s">
        <v>1151</v>
      </c>
      <c r="AS64" s="460" t="s">
        <v>1151</v>
      </c>
      <c r="AT64" s="460" t="s">
        <v>1151</v>
      </c>
      <c r="AU64" s="461" t="s">
        <v>1151</v>
      </c>
      <c r="AV64" s="460" t="s">
        <v>1151</v>
      </c>
      <c r="AW64" s="460" t="s">
        <v>1151</v>
      </c>
      <c r="AX64" s="460" t="s">
        <v>1151</v>
      </c>
      <c r="AY64" s="460" t="s">
        <v>1151</v>
      </c>
      <c r="AZ64" s="461" t="s">
        <v>1151</v>
      </c>
      <c r="BA64" s="460" t="s">
        <v>1151</v>
      </c>
      <c r="BB64" s="460" t="s">
        <v>1151</v>
      </c>
      <c r="BC64" s="460" t="s">
        <v>1151</v>
      </c>
      <c r="BD64" s="460" t="s">
        <v>1151</v>
      </c>
      <c r="BE64" s="461" t="s">
        <v>1151</v>
      </c>
      <c r="BF64" s="460" t="s">
        <v>1151</v>
      </c>
      <c r="BG64" s="460" t="s">
        <v>1151</v>
      </c>
      <c r="BH64" s="460" t="s">
        <v>1151</v>
      </c>
      <c r="BI64" s="2888" t="s">
        <v>1151</v>
      </c>
      <c r="BJ64" s="461" t="s">
        <v>1151</v>
      </c>
      <c r="BK64" s="460" t="s">
        <v>1151</v>
      </c>
      <c r="BL64" s="460" t="s">
        <v>1151</v>
      </c>
      <c r="BM64" s="460" t="s">
        <v>1151</v>
      </c>
      <c r="BN64" s="2888" t="s">
        <v>1151</v>
      </c>
      <c r="BO64" s="461" t="s">
        <v>1151</v>
      </c>
      <c r="BP64" s="460" t="s">
        <v>1151</v>
      </c>
      <c r="BQ64" s="460" t="s">
        <v>1151</v>
      </c>
      <c r="BR64" s="460" t="s">
        <v>1151</v>
      </c>
      <c r="BS64" s="460" t="s">
        <v>1151</v>
      </c>
      <c r="BT64" s="461" t="s">
        <v>1151</v>
      </c>
      <c r="BU64" s="460" t="s">
        <v>1151</v>
      </c>
      <c r="BV64" s="460" t="s">
        <v>1151</v>
      </c>
      <c r="BW64" s="460" t="s">
        <v>1151</v>
      </c>
      <c r="BX64" s="460" t="s">
        <v>1151</v>
      </c>
      <c r="BY64" s="461" t="s">
        <v>1151</v>
      </c>
      <c r="BZ64" s="461" t="s">
        <v>1151</v>
      </c>
      <c r="CA64" s="461" t="s">
        <v>1151</v>
      </c>
      <c r="CB64" s="461" t="s">
        <v>1151</v>
      </c>
      <c r="CC64" s="461" t="s">
        <v>1151</v>
      </c>
      <c r="CD64" s="461" t="s">
        <v>1151</v>
      </c>
      <c r="CE64" s="461" t="s">
        <v>1151</v>
      </c>
      <c r="CF64" s="461" t="s">
        <v>1151</v>
      </c>
      <c r="CG64" s="331"/>
      <c r="CH64" s="331"/>
      <c r="CI64" s="331"/>
      <c r="CJ64" s="331"/>
      <c r="CK64" s="331"/>
      <c r="CL64" s="995"/>
      <c r="CM64" s="2029" t="str">
        <f>G64</f>
        <v xml:space="preserve">                </v>
      </c>
      <c r="CN64" s="2029" t="str">
        <f>L64</f>
        <v xml:space="preserve">                </v>
      </c>
      <c r="CO64" s="2029" t="str">
        <f>Q64</f>
        <v xml:space="preserve">                </v>
      </c>
      <c r="CP64" s="2029" t="str">
        <f>V64</f>
        <v xml:space="preserve">                </v>
      </c>
      <c r="CQ64" s="2029" t="str">
        <f>AA64</f>
        <v xml:space="preserve">                </v>
      </c>
      <c r="CR64" s="2029" t="str">
        <f>AF64</f>
        <v xml:space="preserve">                </v>
      </c>
      <c r="CS64" s="2029" t="str">
        <f>AK64</f>
        <v xml:space="preserve">                </v>
      </c>
      <c r="CT64" s="2029" t="str">
        <f>AP64</f>
        <v xml:space="preserve">                </v>
      </c>
      <c r="CU64" s="2029" t="str">
        <f>AU64</f>
        <v xml:space="preserve">                </v>
      </c>
      <c r="CV64" s="2029" t="str">
        <f>AZ64</f>
        <v xml:space="preserve">                </v>
      </c>
      <c r="CW64" s="2029" t="str">
        <f>BE64</f>
        <v xml:space="preserve">                </v>
      </c>
      <c r="CX64" s="2029" t="str">
        <f>BJ64</f>
        <v xml:space="preserve">                </v>
      </c>
      <c r="CY64" s="2029" t="str">
        <f>BO64</f>
        <v xml:space="preserve">                </v>
      </c>
      <c r="CZ64" s="2029" t="str">
        <f>BT64</f>
        <v xml:space="preserve">                </v>
      </c>
      <c r="DA64" s="2029" t="str">
        <f t="shared" si="130"/>
        <v xml:space="preserve">                </v>
      </c>
      <c r="DB64" s="2029" t="str">
        <f t="shared" si="130"/>
        <v xml:space="preserve">                </v>
      </c>
      <c r="DC64" s="2030" t="str">
        <f t="shared" si="130"/>
        <v xml:space="preserve">                </v>
      </c>
      <c r="DD64" s="331"/>
      <c r="DE64" s="331"/>
      <c r="DF64" s="502"/>
      <c r="DG64" s="503"/>
      <c r="DH64" s="2029"/>
      <c r="DI64" s="3213"/>
      <c r="DJ64" s="502"/>
      <c r="DK64" s="503"/>
      <c r="DL64" s="502"/>
      <c r="DM64" s="502"/>
      <c r="DN64" s="502"/>
      <c r="DO64" s="502"/>
      <c r="DP64" s="503"/>
      <c r="DQ64" s="503"/>
      <c r="DR64" s="296"/>
      <c r="DS64" s="296"/>
      <c r="DT64" s="296"/>
    </row>
    <row r="65" spans="1:124" ht="12.6" customHeight="1" x14ac:dyDescent="0.25">
      <c r="A65" s="2153" t="s">
        <v>1861</v>
      </c>
      <c r="B65" s="512"/>
      <c r="C65" s="512">
        <f>C50-C59-C63</f>
        <v>54.041999999999987</v>
      </c>
      <c r="D65" s="512">
        <f>D50-D59-D63</f>
        <v>59.02300000000001</v>
      </c>
      <c r="E65" s="512">
        <f>E50-E59-E63</f>
        <v>55.89800000000001</v>
      </c>
      <c r="F65" s="512">
        <f>F50-F59-F63</f>
        <v>50.736000000000004</v>
      </c>
      <c r="G65" s="513">
        <f>SUM(C65:F65)</f>
        <v>219.69900000000001</v>
      </c>
      <c r="H65" s="512">
        <f>H50-H59-H63</f>
        <v>56.678000000000004</v>
      </c>
      <c r="I65" s="512">
        <f>I50-I59-I63</f>
        <v>62.645999999999979</v>
      </c>
      <c r="J65" s="512">
        <f>J50-J59-J63</f>
        <v>63.630999999999993</v>
      </c>
      <c r="K65" s="512">
        <f>K50-K59-K63</f>
        <v>117.80000000000001</v>
      </c>
      <c r="L65" s="513">
        <f>SUM(H65:K65)</f>
        <v>300.755</v>
      </c>
      <c r="M65" s="512">
        <f>M50-M59-M63</f>
        <v>130.18600000000001</v>
      </c>
      <c r="N65" s="512">
        <f>N50-N59-N63</f>
        <v>121.91300000000001</v>
      </c>
      <c r="O65" s="512">
        <f>O50-O59-O63</f>
        <v>126.80799999999999</v>
      </c>
      <c r="P65" s="512">
        <f>P50-P59-P63</f>
        <v>105.80100000000004</v>
      </c>
      <c r="Q65" s="513">
        <f>SUM(M65:P65)</f>
        <v>484.70800000000008</v>
      </c>
      <c r="R65" s="512">
        <f>R50-R59-R63</f>
        <v>125.74299999999999</v>
      </c>
      <c r="S65" s="512">
        <f>S50-S59-S63</f>
        <v>128.88</v>
      </c>
      <c r="T65" s="512">
        <f>T50-T59-T63</f>
        <v>134.065</v>
      </c>
      <c r="U65" s="512">
        <f>U50-U59-U63</f>
        <v>110.65899999999999</v>
      </c>
      <c r="V65" s="513">
        <f>SUM(R65:U65)</f>
        <v>499.34699999999998</v>
      </c>
      <c r="W65" s="512">
        <f>W50-W59-W63</f>
        <v>117.91199999999998</v>
      </c>
      <c r="X65" s="512">
        <f>X50-X59-X63</f>
        <v>113.68399999999995</v>
      </c>
      <c r="Y65" s="512">
        <f>Y50-Y59-Y63</f>
        <v>96.880000000000052</v>
      </c>
      <c r="Z65" s="512">
        <f>Z50-Z59-Z63</f>
        <v>66.5</v>
      </c>
      <c r="AA65" s="513">
        <f>SUM(W65:Z65)</f>
        <v>394.976</v>
      </c>
      <c r="AB65" s="512">
        <f>AB50-AB59-AB63</f>
        <v>105.94400000000002</v>
      </c>
      <c r="AC65" s="512">
        <f>AC50-AC59-AC63</f>
        <v>88.001000000000005</v>
      </c>
      <c r="AD65" s="512">
        <f>AD50-AD59-AD63</f>
        <v>87.654999999999973</v>
      </c>
      <c r="AE65" s="514">
        <f>AE50-AE59-AE63</f>
        <v>61.452999999999953</v>
      </c>
      <c r="AF65" s="515">
        <f>SUM(AB65:AE65)</f>
        <v>343.053</v>
      </c>
      <c r="AG65" s="514">
        <f>AG50-AG59-AG63</f>
        <v>91.203000000000031</v>
      </c>
      <c r="AH65" s="514">
        <f>AH50-AH59-AH63</f>
        <v>82.903999999999996</v>
      </c>
      <c r="AI65" s="514">
        <f>AI50-AI59-AI63</f>
        <v>101.46300000000001</v>
      </c>
      <c r="AJ65" s="514">
        <f>AJ50-AJ59-AJ63</f>
        <v>71.97699999999999</v>
      </c>
      <c r="AK65" s="515">
        <f>SUM(AG65:AJ65)</f>
        <v>347.54700000000003</v>
      </c>
      <c r="AL65" s="514">
        <f>AL50-AL59-AL63</f>
        <v>118.652</v>
      </c>
      <c r="AM65" s="514">
        <f>AM50-AM59-AM63</f>
        <v>129.26900000000003</v>
      </c>
      <c r="AN65" s="514">
        <f>AN50-AN59-AN63</f>
        <v>127.60400000000007</v>
      </c>
      <c r="AO65" s="514">
        <f>AO50-AO59-AO63</f>
        <v>98.303999999999974</v>
      </c>
      <c r="AP65" s="515">
        <f>SUM(AL65:AO65)</f>
        <v>473.82900000000006</v>
      </c>
      <c r="AQ65" s="514">
        <f>AQ50-AQ59-AQ63</f>
        <v>139.49199999999996</v>
      </c>
      <c r="AR65" s="514">
        <f>AR50-AR59-AR63</f>
        <v>125.61100000000002</v>
      </c>
      <c r="AS65" s="514">
        <f>AS50-AS59-AS63</f>
        <v>99.30400000000003</v>
      </c>
      <c r="AT65" s="514">
        <f>AT50-AT59-AT63</f>
        <v>73.06699999999995</v>
      </c>
      <c r="AU65" s="515">
        <f>SUM(AQ65:AT65)</f>
        <v>437.47399999999993</v>
      </c>
      <c r="AV65" s="514">
        <f>AV50-AV59-AV63</f>
        <v>140.285</v>
      </c>
      <c r="AW65" s="514">
        <f>AW50-AW59-AW63</f>
        <v>128.255</v>
      </c>
      <c r="AX65" s="514">
        <f>AX50-AX59-AX63</f>
        <v>98.635000000000005</v>
      </c>
      <c r="AY65" s="1590">
        <f>AY50-AY59-AY63</f>
        <v>18.281999999999996</v>
      </c>
      <c r="AZ65" s="515">
        <f>AZ50-AZ59-AZ63</f>
        <v>385.45699999999999</v>
      </c>
      <c r="BA65" s="514">
        <f t="shared" ref="BA65:BJ65" si="134">BA40-SUM(BA59:BA63)</f>
        <v>102.51400000000001</v>
      </c>
      <c r="BB65" s="514">
        <f t="shared" si="134"/>
        <v>105.46699999999997</v>
      </c>
      <c r="BC65" s="514">
        <f t="shared" si="134"/>
        <v>105.85300000000001</v>
      </c>
      <c r="BD65" s="514">
        <f t="shared" si="134"/>
        <v>-56.646000000000015</v>
      </c>
      <c r="BE65" s="515">
        <f t="shared" si="134"/>
        <v>257.18799999999999</v>
      </c>
      <c r="BF65" s="514">
        <f t="shared" si="134"/>
        <v>111.68899999999996</v>
      </c>
      <c r="BG65" s="514">
        <f t="shared" si="134"/>
        <v>123.361</v>
      </c>
      <c r="BH65" s="514">
        <f t="shared" si="134"/>
        <v>142.17199999999997</v>
      </c>
      <c r="BI65" s="514">
        <f t="shared" si="134"/>
        <v>90.626000000000005</v>
      </c>
      <c r="BJ65" s="515">
        <f t="shared" si="134"/>
        <v>467.84799999999996</v>
      </c>
      <c r="BK65" s="514">
        <f t="shared" ref="BK65:CA65" si="135">BK40-SUM(BK59:BK63)</f>
        <v>140.53100000000001</v>
      </c>
      <c r="BL65" s="514">
        <f t="shared" si="135"/>
        <v>149.33699999999999</v>
      </c>
      <c r="BM65" s="514">
        <f t="shared" si="135"/>
        <v>139.30000000000001</v>
      </c>
      <c r="BN65" s="1590">
        <f t="shared" si="135"/>
        <v>113.84800000000003</v>
      </c>
      <c r="BO65" s="515">
        <f t="shared" si="135"/>
        <v>543.01600000000008</v>
      </c>
      <c r="BP65" s="514">
        <f t="shared" si="135"/>
        <v>140.28699999999998</v>
      </c>
      <c r="BQ65" s="514">
        <f t="shared" si="135"/>
        <v>134.98900000000003</v>
      </c>
      <c r="BR65" s="514">
        <f t="shared" si="135"/>
        <v>143.66299999999998</v>
      </c>
      <c r="BS65" s="514">
        <f t="shared" si="135"/>
        <v>26.775000000000034</v>
      </c>
      <c r="BT65" s="515">
        <f t="shared" si="135"/>
        <v>445.714</v>
      </c>
      <c r="BU65" s="514">
        <f t="shared" si="135"/>
        <v>158.03630613605685</v>
      </c>
      <c r="BV65" s="514">
        <f t="shared" si="135"/>
        <v>165.69154535857683</v>
      </c>
      <c r="BW65" s="514">
        <f t="shared" si="135"/>
        <v>294.27081311217296</v>
      </c>
      <c r="BX65" s="514">
        <f t="shared" si="135"/>
        <v>265.31820862965856</v>
      </c>
      <c r="BY65" s="515">
        <f>BY40-SUM(BY59:BY63)</f>
        <v>883.31687323646543</v>
      </c>
      <c r="BZ65" s="515">
        <f t="shared" si="135"/>
        <v>1207.7652406158463</v>
      </c>
      <c r="CA65" s="515">
        <f t="shared" si="135"/>
        <v>1194.3647594910444</v>
      </c>
      <c r="CB65" s="515">
        <f>CB50-CB59-CB63</f>
        <v>149.34447234731297</v>
      </c>
      <c r="CC65" s="515">
        <f>CC50-CC59-CC63</f>
        <v>82.938814288715776</v>
      </c>
      <c r="CD65" s="515">
        <f>CD50-CD59-CD63</f>
        <v>98.445318639294356</v>
      </c>
      <c r="CE65" s="515">
        <f>CE50-CE59-CE63</f>
        <v>115.16604779433536</v>
      </c>
      <c r="CF65" s="515">
        <f>CF50-CF59-CF63</f>
        <v>130.68096525388412</v>
      </c>
      <c r="CG65" s="2144"/>
      <c r="CH65" s="2144"/>
      <c r="CI65" s="2144"/>
      <c r="CJ65" s="2144"/>
      <c r="CK65" s="2144"/>
      <c r="CL65" s="2208" t="str">
        <f>A65</f>
        <v>Total Operating Income</v>
      </c>
      <c r="CM65" s="514">
        <f>G65</f>
        <v>219.69900000000001</v>
      </c>
      <c r="CN65" s="514">
        <f>L65</f>
        <v>300.755</v>
      </c>
      <c r="CO65" s="514">
        <f>Q65</f>
        <v>484.70800000000008</v>
      </c>
      <c r="CP65" s="514">
        <f>V65</f>
        <v>499.34699999999998</v>
      </c>
      <c r="CQ65" s="514">
        <f>AA65</f>
        <v>394.976</v>
      </c>
      <c r="CR65" s="514">
        <f>AF65</f>
        <v>343.053</v>
      </c>
      <c r="CS65" s="514">
        <f>AK65</f>
        <v>347.54700000000003</v>
      </c>
      <c r="CT65" s="514">
        <f>AP65</f>
        <v>473.82900000000006</v>
      </c>
      <c r="CU65" s="514">
        <f>AU65</f>
        <v>437.47399999999993</v>
      </c>
      <c r="CV65" s="514">
        <f>AZ65</f>
        <v>385.45699999999999</v>
      </c>
      <c r="CW65" s="514">
        <f>BE65</f>
        <v>257.18799999999999</v>
      </c>
      <c r="CX65" s="514">
        <f>BJ65</f>
        <v>467.84799999999996</v>
      </c>
      <c r="CY65" s="514">
        <f>BO65</f>
        <v>543.01600000000008</v>
      </c>
      <c r="CZ65" s="514">
        <f>BT65</f>
        <v>445.714</v>
      </c>
      <c r="DA65" s="514">
        <f t="shared" si="130"/>
        <v>883.31687323646543</v>
      </c>
      <c r="DB65" s="514">
        <f t="shared" si="130"/>
        <v>1207.7652406158463</v>
      </c>
      <c r="DC65" s="1590">
        <f t="shared" si="130"/>
        <v>1194.3647594910444</v>
      </c>
      <c r="DD65" s="2144"/>
      <c r="DE65" s="2144"/>
      <c r="DF65" s="2144"/>
      <c r="DG65" s="2144"/>
      <c r="DH65" s="514"/>
      <c r="DI65" s="3213"/>
      <c r="DJ65" s="2144"/>
      <c r="DK65" s="2144"/>
      <c r="DL65" s="2144"/>
      <c r="DM65" s="2144"/>
      <c r="DN65" s="2144"/>
      <c r="DO65" s="2144"/>
      <c r="DP65" s="2144"/>
      <c r="DQ65" s="2144"/>
      <c r="DR65" s="2154"/>
      <c r="DS65" s="2154"/>
      <c r="DT65" s="2154"/>
    </row>
    <row r="66" spans="1:124" ht="12.6" customHeight="1" x14ac:dyDescent="0.25">
      <c r="A66" s="867"/>
      <c r="B66" s="479"/>
      <c r="C66" s="472"/>
      <c r="D66" s="472"/>
      <c r="E66" s="472"/>
      <c r="F66" s="472"/>
      <c r="G66" s="491"/>
      <c r="H66" s="472"/>
      <c r="I66" s="472"/>
      <c r="J66" s="472"/>
      <c r="K66" s="472"/>
      <c r="L66" s="491"/>
      <c r="M66" s="472"/>
      <c r="N66" s="472"/>
      <c r="O66" s="472"/>
      <c r="P66" s="472"/>
      <c r="Q66" s="491"/>
      <c r="R66" s="472"/>
      <c r="S66" s="472"/>
      <c r="T66" s="472"/>
      <c r="U66" s="472"/>
      <c r="V66" s="491"/>
      <c r="W66" s="472"/>
      <c r="X66" s="472"/>
      <c r="Y66" s="472"/>
      <c r="Z66" s="472"/>
      <c r="AA66" s="491"/>
      <c r="AB66" s="472"/>
      <c r="AC66" s="472"/>
      <c r="AD66" s="472"/>
      <c r="AE66" s="492"/>
      <c r="AF66" s="493"/>
      <c r="AG66" s="492"/>
      <c r="AH66" s="492"/>
      <c r="AI66" s="492"/>
      <c r="AJ66" s="492"/>
      <c r="AK66" s="493"/>
      <c r="AL66" s="492"/>
      <c r="AM66" s="492"/>
      <c r="AN66" s="492"/>
      <c r="AO66" s="492"/>
      <c r="AP66" s="494"/>
      <c r="AQ66" s="494"/>
      <c r="AR66" s="492"/>
      <c r="AS66" s="492"/>
      <c r="AT66" s="492"/>
      <c r="AU66" s="493"/>
      <c r="AV66" s="492"/>
      <c r="AW66" s="482"/>
      <c r="AX66" s="492"/>
      <c r="AY66" s="1311"/>
      <c r="AZ66" s="493"/>
      <c r="BA66" s="2840"/>
      <c r="BB66" s="2675"/>
      <c r="BC66" s="492"/>
      <c r="BD66" s="1311"/>
      <c r="BE66" s="493"/>
      <c r="BF66" s="492"/>
      <c r="BG66" s="492"/>
      <c r="BH66" s="3142"/>
      <c r="BI66" s="1311"/>
      <c r="BJ66" s="493"/>
      <c r="BK66" s="492"/>
      <c r="BL66" s="492"/>
      <c r="BM66" s="492"/>
      <c r="BN66" s="1311"/>
      <c r="BO66" s="493"/>
      <c r="BP66" s="492"/>
      <c r="BQ66" s="492"/>
      <c r="BR66" s="492"/>
      <c r="BS66" s="492"/>
      <c r="BT66" s="2693"/>
      <c r="BU66" s="2653"/>
      <c r="BV66" s="2653"/>
      <c r="BW66" s="2653"/>
      <c r="BX66" s="2653"/>
      <c r="BY66" s="2693"/>
      <c r="BZ66" s="493"/>
      <c r="CA66" s="493"/>
      <c r="CB66" s="493"/>
      <c r="CC66" s="493"/>
      <c r="CD66" s="493"/>
      <c r="CE66" s="493"/>
      <c r="CF66" s="493"/>
      <c r="CG66" s="331"/>
      <c r="CH66" s="331"/>
      <c r="CI66" s="331"/>
      <c r="CJ66" s="331"/>
      <c r="CK66" s="331"/>
      <c r="CL66" s="872"/>
      <c r="CM66" s="492"/>
      <c r="CN66" s="492"/>
      <c r="CO66" s="492"/>
      <c r="CP66" s="492"/>
      <c r="CQ66" s="492"/>
      <c r="CR66" s="492"/>
      <c r="CS66" s="492"/>
      <c r="CT66" s="492"/>
      <c r="CU66" s="492"/>
      <c r="CV66" s="492"/>
      <c r="CW66" s="492"/>
      <c r="CX66" s="492"/>
      <c r="CY66" s="492"/>
      <c r="CZ66" s="492"/>
      <c r="DA66" s="492"/>
      <c r="DB66" s="492"/>
      <c r="DC66" s="1311"/>
      <c r="DD66" s="331"/>
      <c r="DE66" s="331"/>
      <c r="DF66" s="502"/>
      <c r="DG66" s="503"/>
      <c r="DH66" s="2653"/>
      <c r="DI66" s="3213"/>
      <c r="DJ66" s="502"/>
      <c r="DK66" s="503"/>
      <c r="DL66" s="502"/>
      <c r="DM66" s="502"/>
      <c r="DN66" s="502"/>
      <c r="DO66" s="502"/>
      <c r="DP66" s="503"/>
      <c r="DQ66" s="503"/>
      <c r="DR66" s="296"/>
      <c r="DS66" s="296"/>
      <c r="DT66" s="296"/>
    </row>
    <row r="67" spans="1:124" ht="12.6" customHeight="1" x14ac:dyDescent="0.25">
      <c r="A67" s="392" t="s">
        <v>2095</v>
      </c>
      <c r="B67" s="495"/>
      <c r="C67" s="480">
        <v>0.38900000000000001</v>
      </c>
      <c r="D67" s="480">
        <v>0.46600000000000003</v>
      </c>
      <c r="E67" s="480">
        <v>0.48299999999999998</v>
      </c>
      <c r="F67" s="480">
        <v>0.79400000000000004</v>
      </c>
      <c r="G67" s="481">
        <f t="shared" ref="G67:G73" si="136">SUM(C67:F67)</f>
        <v>2.1320000000000001</v>
      </c>
      <c r="H67" s="480">
        <v>1.2929999999999999</v>
      </c>
      <c r="I67" s="480">
        <v>0.93</v>
      </c>
      <c r="J67" s="482">
        <v>0.95799999999999996</v>
      </c>
      <c r="K67" s="480">
        <v>0.93</v>
      </c>
      <c r="L67" s="481">
        <f t="shared" ref="L67:L73" si="137">SUM(H67:K67)</f>
        <v>4.1109999999999998</v>
      </c>
      <c r="M67" s="480">
        <v>0.90300000000000002</v>
      </c>
      <c r="N67" s="480">
        <v>0.86699999999999999</v>
      </c>
      <c r="O67" s="480">
        <v>0.88200000000000001</v>
      </c>
      <c r="P67" s="480">
        <v>0.873</v>
      </c>
      <c r="Q67" s="481">
        <f t="shared" ref="Q67:Q73" si="138">SUM(M67:P67)</f>
        <v>3.5250000000000004</v>
      </c>
      <c r="R67" s="482">
        <v>0.876</v>
      </c>
      <c r="S67" s="480">
        <v>1.2889999999999999</v>
      </c>
      <c r="T67" s="480">
        <v>1.02</v>
      </c>
      <c r="U67" s="480">
        <v>0.83099999999999996</v>
      </c>
      <c r="V67" s="481">
        <f t="shared" ref="V67:V73" si="139">SUM(R67:U67)</f>
        <v>4.016</v>
      </c>
      <c r="W67" s="480">
        <v>0.68300000000000005</v>
      </c>
      <c r="X67" s="480">
        <v>0.55300000000000005</v>
      </c>
      <c r="Y67" s="480">
        <v>0.72</v>
      </c>
      <c r="Z67" s="480">
        <v>6.4059999999999997</v>
      </c>
      <c r="AA67" s="481">
        <f t="shared" ref="AA67:AA73" si="140">SUM(W67:Z67)</f>
        <v>8.3620000000000001</v>
      </c>
      <c r="AB67" s="480">
        <v>3.0910000000000002</v>
      </c>
      <c r="AC67" s="480">
        <v>1.603</v>
      </c>
      <c r="AD67" s="480">
        <v>0.95599999999999996</v>
      </c>
      <c r="AE67" s="482">
        <v>0.872</v>
      </c>
      <c r="AF67" s="481">
        <f t="shared" ref="AF67:AF73" si="141">SUM(AB67:AE67)</f>
        <v>6.5220000000000002</v>
      </c>
      <c r="AG67" s="482">
        <v>0.73</v>
      </c>
      <c r="AH67" s="482">
        <v>0.61099999999999999</v>
      </c>
      <c r="AI67" s="482">
        <v>0.39800000000000002</v>
      </c>
      <c r="AJ67" s="482">
        <v>-0.16</v>
      </c>
      <c r="AK67" s="481">
        <f t="shared" ref="AK67:AK73" si="142">SUM(AG67:AJ67)</f>
        <v>1.579</v>
      </c>
      <c r="AL67" s="482">
        <v>5.2999999999999999E-2</v>
      </c>
      <c r="AM67" s="482">
        <v>9.6000000000000002E-2</v>
      </c>
      <c r="AN67" s="482">
        <v>6.8000000000000005E-2</v>
      </c>
      <c r="AO67" s="482">
        <v>0.20599999999999999</v>
      </c>
      <c r="AP67" s="483">
        <f t="shared" ref="AP67:AP73" si="143">SUM(AL67:AO67)</f>
        <v>0.42299999999999999</v>
      </c>
      <c r="AQ67" s="1676">
        <v>0.219</v>
      </c>
      <c r="AR67" s="482">
        <v>0.246</v>
      </c>
      <c r="AS67" s="482">
        <v>0.218</v>
      </c>
      <c r="AT67" s="482">
        <v>0.26500000000000001</v>
      </c>
      <c r="AU67" s="481">
        <f t="shared" ref="AU67:AU73" si="144">SUM(AQ67:AT67)</f>
        <v>0.94799999999999995</v>
      </c>
      <c r="AV67" s="482">
        <v>0.26200000000000001</v>
      </c>
      <c r="AW67" s="482">
        <v>0.34300000000000003</v>
      </c>
      <c r="AX67" s="482">
        <v>0.36899999999999999</v>
      </c>
      <c r="AY67" s="482">
        <v>0.41299999999999998</v>
      </c>
      <c r="AZ67" s="481">
        <f t="shared" ref="AZ67:AZ73" si="145">SUM(AV67:AY67)</f>
        <v>1.387</v>
      </c>
      <c r="BA67" s="2675">
        <v>0.46700000000000003</v>
      </c>
      <c r="BB67" s="2675">
        <v>0.79</v>
      </c>
      <c r="BC67" s="2675">
        <v>1.0249999999999999</v>
      </c>
      <c r="BD67" s="2675">
        <v>1.448</v>
      </c>
      <c r="BE67" s="481">
        <f t="shared" ref="BE67:BE73" si="146">SUM(BA67:BD67)</f>
        <v>3.73</v>
      </c>
      <c r="BF67" s="2675">
        <v>1.87</v>
      </c>
      <c r="BG67" s="2675">
        <v>2.4430000000000001</v>
      </c>
      <c r="BH67" s="2953">
        <v>3.0830000000000002</v>
      </c>
      <c r="BI67" s="2953">
        <f>11.531-SUM(BF67:BH67)</f>
        <v>4.1349999999999998</v>
      </c>
      <c r="BJ67" s="481">
        <f t="shared" ref="BJ67:BJ73" si="147">SUM(BF67:BI67)</f>
        <v>11.531000000000001</v>
      </c>
      <c r="BK67" s="2953">
        <v>5.24</v>
      </c>
      <c r="BL67" s="2953">
        <v>6.5970000000000004</v>
      </c>
      <c r="BM67" s="2953">
        <v>8.202</v>
      </c>
      <c r="BN67" s="2953">
        <v>4.1470000000000002</v>
      </c>
      <c r="BO67" s="481">
        <f>SUM(BK67:BN67)</f>
        <v>24.186</v>
      </c>
      <c r="BP67" s="2953">
        <v>2.6459999999999999</v>
      </c>
      <c r="BQ67" s="2953">
        <v>0.23499999999999999</v>
      </c>
      <c r="BR67" s="2953">
        <v>0.30399999999999999</v>
      </c>
      <c r="BS67" s="2953">
        <v>0.36699999999999999</v>
      </c>
      <c r="BT67" s="2587">
        <f>SUM(BP67:BS67)</f>
        <v>3.5519999999999996</v>
      </c>
      <c r="BU67" s="2840">
        <f>((BT1332+BT1333)/2)*(BU1506/4)+BU1228</f>
        <v>2.7929970625000005</v>
      </c>
      <c r="BV67" s="2840">
        <f>((BU1332+BU1333)/2)*(BV1506/4)+BV1228</f>
        <v>2.8856344397776024</v>
      </c>
      <c r="BW67" s="2840">
        <f>((BV1332+BV1333)/2)*(BW1506/4)+BW1228</f>
        <v>2.9802602806338414</v>
      </c>
      <c r="BX67" s="2840">
        <f>((BW1332+BW1333)/2)*(BX1506/4)+BX1228</f>
        <v>3.07049675911095</v>
      </c>
      <c r="BY67" s="2587">
        <f t="shared" ref="BY67:BY73" si="148">SUM(BU67:BX67)</f>
        <v>11.729388542022395</v>
      </c>
      <c r="BZ67" s="481">
        <f t="shared" ref="BZ67:CF67" si="149">((BY1332+BY1333)/2)*(BZ1506)+BZ1228</f>
        <v>12.469369658771686</v>
      </c>
      <c r="CA67" s="481">
        <f t="shared" si="149"/>
        <v>12.924605748737331</v>
      </c>
      <c r="CB67" s="481">
        <f t="shared" si="149"/>
        <v>15.731197278704856</v>
      </c>
      <c r="CC67" s="481">
        <f t="shared" si="149"/>
        <v>5.7314943900648281</v>
      </c>
      <c r="CD67" s="481">
        <f t="shared" si="149"/>
        <v>-4.4434304402298732</v>
      </c>
      <c r="CE67" s="481">
        <f t="shared" si="149"/>
        <v>-4.1598203806651295</v>
      </c>
      <c r="CF67" s="481">
        <f t="shared" si="149"/>
        <v>-3.8538732627877668</v>
      </c>
      <c r="CG67" s="331"/>
      <c r="CH67" s="331"/>
      <c r="CI67" s="331"/>
      <c r="CJ67" s="331"/>
      <c r="CK67" s="331"/>
      <c r="CL67" s="995" t="str">
        <f t="shared" ref="CL67:CL73" si="150">A67</f>
        <v>Interest income</v>
      </c>
      <c r="CM67" s="430">
        <f t="shared" ref="CM67:CM80" si="151">G67</f>
        <v>2.1320000000000001</v>
      </c>
      <c r="CN67" s="430">
        <f t="shared" ref="CN67:CN80" si="152">L67</f>
        <v>4.1109999999999998</v>
      </c>
      <c r="CO67" s="430">
        <f t="shared" ref="CO67:CO80" si="153">Q67</f>
        <v>3.5250000000000004</v>
      </c>
      <c r="CP67" s="430">
        <f t="shared" ref="CP67:CP80" si="154">V67</f>
        <v>4.016</v>
      </c>
      <c r="CQ67" s="430">
        <f t="shared" ref="CQ67:CQ80" si="155">AA67</f>
        <v>8.3620000000000001</v>
      </c>
      <c r="CR67" s="430">
        <f t="shared" ref="CR67:CR80" si="156">AF67</f>
        <v>6.5220000000000002</v>
      </c>
      <c r="CS67" s="430">
        <f t="shared" ref="CS67:CS80" si="157">AK67</f>
        <v>1.579</v>
      </c>
      <c r="CT67" s="430">
        <f t="shared" ref="CT67:CT80" si="158">AP67</f>
        <v>0.42299999999999999</v>
      </c>
      <c r="CU67" s="430">
        <f t="shared" ref="CU67:CU80" si="159">AU67</f>
        <v>0.94799999999999995</v>
      </c>
      <c r="CV67" s="430">
        <f t="shared" ref="CV67:CV79" si="160">AZ67</f>
        <v>1.387</v>
      </c>
      <c r="CW67" s="430">
        <f t="shared" ref="CW67:CW79" si="161">BE67</f>
        <v>3.73</v>
      </c>
      <c r="CX67" s="430">
        <f t="shared" ref="CX67:CX79" si="162">BJ67</f>
        <v>11.531000000000001</v>
      </c>
      <c r="CY67" s="430">
        <f t="shared" ref="CY67:CY79" si="163">BO67</f>
        <v>24.186</v>
      </c>
      <c r="CZ67" s="430">
        <f t="shared" ref="CZ67:CZ79" si="164">BT67</f>
        <v>3.5519999999999996</v>
      </c>
      <c r="DA67" s="430">
        <f t="shared" ref="DA67:DA79" si="165">BY67</f>
        <v>11.729388542022395</v>
      </c>
      <c r="DB67" s="430">
        <f t="shared" ref="DB67:DB79" si="166">BZ67</f>
        <v>12.469369658771686</v>
      </c>
      <c r="DC67" s="853">
        <f t="shared" ref="DC67:DC79" si="167">CA67</f>
        <v>12.924605748737331</v>
      </c>
      <c r="DD67" s="331"/>
      <c r="DE67" s="331"/>
      <c r="DF67" s="502"/>
      <c r="DG67" s="503"/>
      <c r="DH67" s="2840"/>
      <c r="DI67" s="3213"/>
      <c r="DJ67" s="502"/>
      <c r="DK67" s="503"/>
      <c r="DL67" s="502"/>
      <c r="DM67" s="502"/>
      <c r="DN67" s="502"/>
      <c r="DO67" s="502"/>
      <c r="DP67" s="503"/>
      <c r="DQ67" s="503"/>
      <c r="DR67" s="296"/>
      <c r="DS67" s="296"/>
      <c r="DT67" s="296"/>
    </row>
    <row r="68" spans="1:124" ht="12.6" customHeight="1" x14ac:dyDescent="0.25">
      <c r="A68" s="392" t="s">
        <v>2096</v>
      </c>
      <c r="B68" s="281"/>
      <c r="C68" s="480">
        <v>-19.489000000000001</v>
      </c>
      <c r="D68" s="480">
        <v>-19.207000000000001</v>
      </c>
      <c r="E68" s="480">
        <v>-18.97</v>
      </c>
      <c r="F68" s="480">
        <v>-18.13</v>
      </c>
      <c r="G68" s="481">
        <f t="shared" si="136"/>
        <v>-75.795999999999992</v>
      </c>
      <c r="H68" s="480">
        <v>-16.503</v>
      </c>
      <c r="I68" s="480">
        <v>-12.324</v>
      </c>
      <c r="J68" s="482">
        <v>-12.824</v>
      </c>
      <c r="K68" s="480">
        <v>-47.692999999999998</v>
      </c>
      <c r="L68" s="481">
        <f t="shared" si="137"/>
        <v>-89.343999999999994</v>
      </c>
      <c r="M68" s="480">
        <v>-48.429000000000002</v>
      </c>
      <c r="N68" s="480">
        <v>-47.765999999999998</v>
      </c>
      <c r="O68" s="480">
        <v>-49.731999999999999</v>
      </c>
      <c r="P68" s="480">
        <v>-50.401000000000003</v>
      </c>
      <c r="Q68" s="481">
        <f t="shared" si="138"/>
        <v>-196.328</v>
      </c>
      <c r="R68" s="482">
        <v>-48.347000000000001</v>
      </c>
      <c r="S68" s="480">
        <v>-51.302</v>
      </c>
      <c r="T68" s="480">
        <v>-50.203000000000003</v>
      </c>
      <c r="U68" s="480">
        <v>-48.207000000000001</v>
      </c>
      <c r="V68" s="481">
        <f t="shared" si="139"/>
        <v>-198.059</v>
      </c>
      <c r="W68" s="480">
        <v>-47.215000000000003</v>
      </c>
      <c r="X68" s="480">
        <v>-44.536000000000001</v>
      </c>
      <c r="Y68" s="480">
        <v>-37.880000000000003</v>
      </c>
      <c r="Z68" s="480">
        <v>-40.195999999999998</v>
      </c>
      <c r="AA68" s="481">
        <f t="shared" si="140"/>
        <v>-169.827</v>
      </c>
      <c r="AB68" s="480">
        <v>-31.238</v>
      </c>
      <c r="AC68" s="480">
        <v>-29.850999999999999</v>
      </c>
      <c r="AD68" s="480">
        <v>-36.784999999999997</v>
      </c>
      <c r="AE68" s="482">
        <v>-37.11</v>
      </c>
      <c r="AF68" s="481">
        <f t="shared" si="141"/>
        <v>-134.98399999999998</v>
      </c>
      <c r="AG68" s="482">
        <v>-34.292000000000002</v>
      </c>
      <c r="AH68" s="482">
        <v>-32.911000000000001</v>
      </c>
      <c r="AI68" s="482">
        <v>-32.411999999999999</v>
      </c>
      <c r="AJ68" s="482">
        <v>-30.6</v>
      </c>
      <c r="AK68" s="481">
        <f t="shared" si="142"/>
        <v>-130.215</v>
      </c>
      <c r="AL68" s="482">
        <v>-29.026</v>
      </c>
      <c r="AM68" s="482">
        <v>-26.109000000000002</v>
      </c>
      <c r="AN68" s="482">
        <v>-23.513999999999999</v>
      </c>
      <c r="AO68" s="482">
        <v>-20.914999999999999</v>
      </c>
      <c r="AP68" s="483">
        <f t="shared" si="143"/>
        <v>-99.563999999999993</v>
      </c>
      <c r="AQ68" s="1676">
        <v>-18.042999999999999</v>
      </c>
      <c r="AR68" s="482">
        <f>-17.823</f>
        <v>-17.823</v>
      </c>
      <c r="AS68" s="482">
        <v>-19.952999999999999</v>
      </c>
      <c r="AT68" s="482">
        <v>-25.620999999999999</v>
      </c>
      <c r="AU68" s="481">
        <f t="shared" si="144"/>
        <v>-81.44</v>
      </c>
      <c r="AV68" s="482">
        <v>-27.923999999999999</v>
      </c>
      <c r="AW68" s="482">
        <v>-27.06</v>
      </c>
      <c r="AX68" s="482">
        <v>-25.06</v>
      </c>
      <c r="AY68" s="482">
        <v>-17.047999999999998</v>
      </c>
      <c r="AZ68" s="481">
        <f t="shared" si="145"/>
        <v>-97.091999999999999</v>
      </c>
      <c r="BA68" s="2675">
        <v>-104.514</v>
      </c>
      <c r="BB68" s="2675">
        <v>-105.069</v>
      </c>
      <c r="BC68" s="2675">
        <v>-105.93300000000001</v>
      </c>
      <c r="BD68" s="2675">
        <f>+-425.114-SUM(BA68:BC68)</f>
        <v>-109.59799999999996</v>
      </c>
      <c r="BE68" s="481">
        <f t="shared" si="146"/>
        <v>-425.11399999999998</v>
      </c>
      <c r="BF68" s="2675">
        <v>-108.346</v>
      </c>
      <c r="BG68" s="2675">
        <v>-109.798</v>
      </c>
      <c r="BH68" s="2953">
        <v>-111.40600000000001</v>
      </c>
      <c r="BI68" s="2953">
        <f>+-443.127-SUM(BF68:BH68)</f>
        <v>-113.577</v>
      </c>
      <c r="BJ68" s="481">
        <f t="shared" si="147"/>
        <v>-443.12700000000001</v>
      </c>
      <c r="BK68" s="2953">
        <v>-116.512</v>
      </c>
      <c r="BL68" s="2953">
        <v>-114.687</v>
      </c>
      <c r="BM68" s="2953">
        <v>-114.349</v>
      </c>
      <c r="BN68" s="2953">
        <v>-113.69499999999999</v>
      </c>
      <c r="BO68" s="481">
        <f>SUM(BK68:BN68)</f>
        <v>-459.24299999999999</v>
      </c>
      <c r="BP68" s="2953">
        <v>-114.996</v>
      </c>
      <c r="BQ68" s="2953">
        <v>-116.768</v>
      </c>
      <c r="BR68" s="2953">
        <v>-118.236</v>
      </c>
      <c r="BS68" s="2953">
        <v>-116.761</v>
      </c>
      <c r="BT68" s="2587">
        <f>SUM(BP68:BS68)</f>
        <v>-466.76099999999997</v>
      </c>
      <c r="BU68" s="2840">
        <f>-BU1503</f>
        <v>-118.03488311578862</v>
      </c>
      <c r="BV68" s="2840">
        <f>-BV1503</f>
        <v>-118.26247083371786</v>
      </c>
      <c r="BW68" s="2840">
        <f>-BW1503</f>
        <v>-208.40060868472895</v>
      </c>
      <c r="BX68" s="2840">
        <f>-BX1503</f>
        <v>-208.51962938230994</v>
      </c>
      <c r="BY68" s="2587">
        <f t="shared" si="148"/>
        <v>-653.21759201654538</v>
      </c>
      <c r="BZ68" s="481">
        <f t="shared" ref="BZ68:CF68" si="168">-BZ1503</f>
        <v>-836.37049881780922</v>
      </c>
      <c r="CA68" s="481">
        <f t="shared" si="168"/>
        <v>-840.71743874432332</v>
      </c>
      <c r="CB68" s="481">
        <f t="shared" si="168"/>
        <v>-56.913702499999992</v>
      </c>
      <c r="CC68" s="481">
        <f t="shared" si="168"/>
        <v>-56.817702499999989</v>
      </c>
      <c r="CD68" s="481">
        <f t="shared" si="168"/>
        <v>-56.721702499999992</v>
      </c>
      <c r="CE68" s="481">
        <f t="shared" si="168"/>
        <v>-56.625702499999989</v>
      </c>
      <c r="CF68" s="481">
        <f t="shared" si="168"/>
        <v>-56.577702499999994</v>
      </c>
      <c r="CG68" s="588"/>
      <c r="CH68" s="588"/>
      <c r="CI68" s="588"/>
      <c r="CJ68" s="588"/>
      <c r="CK68" s="331"/>
      <c r="CL68" s="995" t="str">
        <f t="shared" si="150"/>
        <v>Interest expense, net</v>
      </c>
      <c r="CM68" s="430">
        <f t="shared" si="151"/>
        <v>-75.795999999999992</v>
      </c>
      <c r="CN68" s="430">
        <f t="shared" si="152"/>
        <v>-89.343999999999994</v>
      </c>
      <c r="CO68" s="430">
        <f t="shared" si="153"/>
        <v>-196.328</v>
      </c>
      <c r="CP68" s="430">
        <f t="shared" si="154"/>
        <v>-198.059</v>
      </c>
      <c r="CQ68" s="430">
        <f t="shared" si="155"/>
        <v>-169.827</v>
      </c>
      <c r="CR68" s="430">
        <f t="shared" si="156"/>
        <v>-134.98399999999998</v>
      </c>
      <c r="CS68" s="430">
        <f t="shared" si="157"/>
        <v>-130.215</v>
      </c>
      <c r="CT68" s="430">
        <f t="shared" si="158"/>
        <v>-99.563999999999993</v>
      </c>
      <c r="CU68" s="430">
        <f t="shared" si="159"/>
        <v>-81.44</v>
      </c>
      <c r="CV68" s="430">
        <f t="shared" si="160"/>
        <v>-97.091999999999999</v>
      </c>
      <c r="CW68" s="430">
        <f t="shared" si="161"/>
        <v>-425.11399999999998</v>
      </c>
      <c r="CX68" s="430">
        <f t="shared" si="162"/>
        <v>-443.12700000000001</v>
      </c>
      <c r="CY68" s="430">
        <f t="shared" si="163"/>
        <v>-459.24299999999999</v>
      </c>
      <c r="CZ68" s="430">
        <f t="shared" si="164"/>
        <v>-466.76099999999997</v>
      </c>
      <c r="DA68" s="430">
        <f t="shared" si="165"/>
        <v>-653.21759201654538</v>
      </c>
      <c r="DB68" s="430">
        <f t="shared" si="166"/>
        <v>-836.37049881780922</v>
      </c>
      <c r="DC68" s="853">
        <f t="shared" si="167"/>
        <v>-840.71743874432332</v>
      </c>
      <c r="DD68" s="331"/>
      <c r="DE68" s="331"/>
      <c r="DF68" s="502"/>
      <c r="DG68" s="503"/>
      <c r="DH68" s="2840"/>
      <c r="DI68" s="3213"/>
      <c r="DJ68" s="502"/>
      <c r="DK68" s="503"/>
      <c r="DL68" s="502"/>
      <c r="DM68" s="502"/>
      <c r="DN68" s="502"/>
      <c r="DO68" s="502"/>
      <c r="DP68" s="503"/>
      <c r="DQ68" s="503"/>
      <c r="DR68" s="296"/>
      <c r="DS68" s="296"/>
      <c r="DT68" s="296"/>
    </row>
    <row r="69" spans="1:124" ht="12" customHeight="1" x14ac:dyDescent="0.25">
      <c r="A69" s="2725" t="s">
        <v>2436</v>
      </c>
      <c r="B69" s="281"/>
      <c r="C69" s="480">
        <v>0</v>
      </c>
      <c r="D69" s="480">
        <v>0</v>
      </c>
      <c r="E69" s="480">
        <v>0</v>
      </c>
      <c r="F69" s="480">
        <v>0</v>
      </c>
      <c r="G69" s="481">
        <f t="shared" si="136"/>
        <v>0</v>
      </c>
      <c r="H69" s="480">
        <v>0</v>
      </c>
      <c r="I69" s="480">
        <v>0</v>
      </c>
      <c r="J69" s="480">
        <v>0</v>
      </c>
      <c r="K69" s="480">
        <v>0</v>
      </c>
      <c r="L69" s="481">
        <f t="shared" si="137"/>
        <v>0</v>
      </c>
      <c r="M69" s="480">
        <v>0</v>
      </c>
      <c r="N69" s="480">
        <v>0</v>
      </c>
      <c r="O69" s="480">
        <v>0</v>
      </c>
      <c r="P69" s="480">
        <v>0</v>
      </c>
      <c r="Q69" s="481">
        <f t="shared" si="138"/>
        <v>0</v>
      </c>
      <c r="R69" s="480">
        <v>0</v>
      </c>
      <c r="S69" s="480">
        <v>0</v>
      </c>
      <c r="T69" s="480">
        <v>0</v>
      </c>
      <c r="U69" s="480">
        <v>0</v>
      </c>
      <c r="V69" s="481">
        <f t="shared" si="139"/>
        <v>0</v>
      </c>
      <c r="W69" s="480">
        <v>0</v>
      </c>
      <c r="X69" s="480">
        <v>0</v>
      </c>
      <c r="Y69" s="480">
        <v>0</v>
      </c>
      <c r="Z69" s="480">
        <v>0</v>
      </c>
      <c r="AA69" s="481">
        <f t="shared" si="140"/>
        <v>0</v>
      </c>
      <c r="AB69" s="480">
        <v>0</v>
      </c>
      <c r="AC69" s="480">
        <v>0</v>
      </c>
      <c r="AD69" s="480">
        <v>0</v>
      </c>
      <c r="AE69" s="480">
        <v>0</v>
      </c>
      <c r="AF69" s="481">
        <f t="shared" si="141"/>
        <v>0</v>
      </c>
      <c r="AG69" s="480">
        <v>0</v>
      </c>
      <c r="AH69" s="480">
        <v>0</v>
      </c>
      <c r="AI69" s="480">
        <v>0</v>
      </c>
      <c r="AJ69" s="480">
        <v>0</v>
      </c>
      <c r="AK69" s="481">
        <f t="shared" si="142"/>
        <v>0</v>
      </c>
      <c r="AL69" s="480">
        <v>0</v>
      </c>
      <c r="AM69" s="480">
        <v>0</v>
      </c>
      <c r="AN69" s="480">
        <v>0</v>
      </c>
      <c r="AO69" s="480">
        <v>0</v>
      </c>
      <c r="AP69" s="483">
        <f t="shared" si="143"/>
        <v>0</v>
      </c>
      <c r="AQ69" s="1676">
        <v>0</v>
      </c>
      <c r="AR69" s="482">
        <v>0</v>
      </c>
      <c r="AS69" s="482">
        <v>0</v>
      </c>
      <c r="AT69" s="482">
        <v>0</v>
      </c>
      <c r="AU69" s="481">
        <f t="shared" si="144"/>
        <v>0</v>
      </c>
      <c r="AV69" s="482">
        <v>0</v>
      </c>
      <c r="AW69" s="482">
        <v>0</v>
      </c>
      <c r="AX69" s="482">
        <v>0</v>
      </c>
      <c r="AY69" s="482">
        <v>0</v>
      </c>
      <c r="AZ69" s="481">
        <f t="shared" si="145"/>
        <v>0</v>
      </c>
      <c r="BA69" s="482">
        <v>2.4830000000000001</v>
      </c>
      <c r="BB69" s="482">
        <v>1.4730000000000001</v>
      </c>
      <c r="BC69" s="482">
        <v>2.2909999999999999</v>
      </c>
      <c r="BD69" s="482">
        <f>7.949-SUM(BA69:BC69)</f>
        <v>1.702</v>
      </c>
      <c r="BE69" s="481">
        <f t="shared" si="146"/>
        <v>7.9489999999999998</v>
      </c>
      <c r="BF69" s="482">
        <v>3.9820000000000002</v>
      </c>
      <c r="BG69" s="482">
        <v>4.1539999999999999</v>
      </c>
      <c r="BH69" s="2953">
        <v>3.7589999999999999</v>
      </c>
      <c r="BI69" s="2953">
        <f>14.488-SUM(BF69:BH69)</f>
        <v>2.593</v>
      </c>
      <c r="BJ69" s="481">
        <f t="shared" si="147"/>
        <v>14.488</v>
      </c>
      <c r="BK69" s="2953">
        <v>4.609</v>
      </c>
      <c r="BL69" s="2953">
        <v>3.548</v>
      </c>
      <c r="BM69" s="2953">
        <v>3.5049999999999999</v>
      </c>
      <c r="BN69" s="2953">
        <v>2.6749999999999998</v>
      </c>
      <c r="BO69" s="481">
        <f>SUM(BK69:BN69)</f>
        <v>14.337</v>
      </c>
      <c r="BP69" s="2953">
        <v>4.548</v>
      </c>
      <c r="BQ69" s="2953">
        <v>5.0209999999999999</v>
      </c>
      <c r="BR69" s="2953">
        <v>4.7809999999999997</v>
      </c>
      <c r="BS69" s="2953">
        <v>4.3209999999999997</v>
      </c>
      <c r="BT69" s="2587">
        <f>SUM(BP69:BS69)</f>
        <v>18.670999999999999</v>
      </c>
      <c r="BU69" s="2840">
        <f t="shared" ref="BU69:CA69" si="169">+BU61</f>
        <v>4.5696692567124719</v>
      </c>
      <c r="BV69" s="2840">
        <f t="shared" si="169"/>
        <v>5.0492555858866242</v>
      </c>
      <c r="BW69" s="2840">
        <f t="shared" si="169"/>
        <v>4.8072108241403564</v>
      </c>
      <c r="BX69" s="2840">
        <f t="shared" si="169"/>
        <v>5.3333815706723326</v>
      </c>
      <c r="BY69" s="2587">
        <f t="shared" si="148"/>
        <v>19.759517237411785</v>
      </c>
      <c r="BZ69" s="481">
        <f t="shared" si="169"/>
        <v>19.891417099222014</v>
      </c>
      <c r="CA69" s="481">
        <f t="shared" si="169"/>
        <v>19.793574927668093</v>
      </c>
      <c r="CB69" s="481">
        <f>-CB1175</f>
        <v>-1.625</v>
      </c>
      <c r="CC69" s="481">
        <f>-CC1175</f>
        <v>-1.625</v>
      </c>
      <c r="CD69" s="481">
        <f>-CD1175</f>
        <v>-1.625</v>
      </c>
      <c r="CE69" s="481">
        <f>-CE1175</f>
        <v>-1.625</v>
      </c>
      <c r="CF69" s="481">
        <f>-CF1175</f>
        <v>-1.625</v>
      </c>
      <c r="CG69" s="331"/>
      <c r="CH69" s="331"/>
      <c r="CI69" s="331"/>
      <c r="CJ69" s="331"/>
      <c r="CK69" s="331"/>
      <c r="CL69" s="995" t="str">
        <f t="shared" si="150"/>
        <v>Income from unconsolidated affiliates</v>
      </c>
      <c r="CM69" s="430">
        <f t="shared" si="151"/>
        <v>0</v>
      </c>
      <c r="CN69" s="430">
        <f t="shared" si="152"/>
        <v>0</v>
      </c>
      <c r="CO69" s="430">
        <f t="shared" si="153"/>
        <v>0</v>
      </c>
      <c r="CP69" s="430">
        <f t="shared" si="154"/>
        <v>0</v>
      </c>
      <c r="CQ69" s="430">
        <f t="shared" si="155"/>
        <v>0</v>
      </c>
      <c r="CR69" s="430">
        <f t="shared" si="156"/>
        <v>0</v>
      </c>
      <c r="CS69" s="430">
        <f t="shared" si="157"/>
        <v>0</v>
      </c>
      <c r="CT69" s="430">
        <f t="shared" si="158"/>
        <v>0</v>
      </c>
      <c r="CU69" s="430">
        <f t="shared" si="159"/>
        <v>0</v>
      </c>
      <c r="CV69" s="430">
        <f t="shared" si="160"/>
        <v>0</v>
      </c>
      <c r="CW69" s="430">
        <f t="shared" si="161"/>
        <v>7.9489999999999998</v>
      </c>
      <c r="CX69" s="430">
        <f t="shared" si="162"/>
        <v>14.488</v>
      </c>
      <c r="CY69" s="430">
        <f t="shared" si="163"/>
        <v>14.337</v>
      </c>
      <c r="CZ69" s="430">
        <f t="shared" si="164"/>
        <v>18.670999999999999</v>
      </c>
      <c r="DA69" s="430">
        <f t="shared" si="165"/>
        <v>19.759517237411785</v>
      </c>
      <c r="DB69" s="430">
        <f t="shared" si="166"/>
        <v>19.891417099222014</v>
      </c>
      <c r="DC69" s="853">
        <f t="shared" si="167"/>
        <v>19.793574927668093</v>
      </c>
      <c r="DD69" s="331"/>
      <c r="DE69" s="331"/>
      <c r="DF69" s="502"/>
      <c r="DG69" s="503"/>
      <c r="DH69" s="2840"/>
      <c r="DI69" s="3213"/>
      <c r="DJ69" s="502"/>
      <c r="DK69" s="503"/>
      <c r="DL69" s="502"/>
      <c r="DM69" s="502"/>
      <c r="DN69" s="502"/>
      <c r="DO69" s="502"/>
      <c r="DP69" s="503"/>
      <c r="DQ69" s="503"/>
      <c r="DR69" s="296"/>
      <c r="DS69" s="296"/>
      <c r="DT69" s="296"/>
    </row>
    <row r="70" spans="1:124" ht="12.6" hidden="1" customHeight="1" outlineLevel="1" x14ac:dyDescent="0.25">
      <c r="A70" s="392" t="s">
        <v>436</v>
      </c>
      <c r="B70" s="281"/>
      <c r="C70" s="480">
        <v>-0.67800000000000005</v>
      </c>
      <c r="D70" s="480">
        <v>-0.40500000000000003</v>
      </c>
      <c r="E70" s="480">
        <v>-0.24299999999999999</v>
      </c>
      <c r="F70" s="480">
        <v>-0.499</v>
      </c>
      <c r="G70" s="481">
        <f t="shared" si="136"/>
        <v>-1.8250000000000002</v>
      </c>
      <c r="H70" s="482">
        <v>-3.5999999999999997E-2</v>
      </c>
      <c r="I70" s="482">
        <v>-0.186</v>
      </c>
      <c r="J70" s="482">
        <v>-1.9650000000000001</v>
      </c>
      <c r="K70" s="482">
        <v>-4.2640000000000002</v>
      </c>
      <c r="L70" s="481">
        <f t="shared" si="137"/>
        <v>-6.4510000000000005</v>
      </c>
      <c r="M70" s="482">
        <v>-0.872</v>
      </c>
      <c r="N70" s="482">
        <v>0.498</v>
      </c>
      <c r="O70" s="482">
        <v>-0.41799999999999998</v>
      </c>
      <c r="P70" s="482">
        <v>-0.59399999999999997</v>
      </c>
      <c r="Q70" s="481">
        <f t="shared" si="138"/>
        <v>-1.3860000000000001</v>
      </c>
      <c r="R70" s="482">
        <v>-0.92300000000000004</v>
      </c>
      <c r="S70" s="482">
        <v>-0.13500000000000001</v>
      </c>
      <c r="T70" s="482">
        <v>-0.308</v>
      </c>
      <c r="U70" s="482">
        <v>-0.27100000000000002</v>
      </c>
      <c r="V70" s="481">
        <f t="shared" si="139"/>
        <v>-1.637</v>
      </c>
      <c r="W70" s="480">
        <v>-0.112</v>
      </c>
      <c r="X70" s="480">
        <v>-0.245</v>
      </c>
      <c r="Y70" s="480">
        <v>-0.64200000000000002</v>
      </c>
      <c r="Z70" s="480">
        <v>-0.61099999999999999</v>
      </c>
      <c r="AA70" s="481">
        <f t="shared" si="140"/>
        <v>-1.6099999999999999</v>
      </c>
      <c r="AB70" s="480">
        <v>-1.2E-2</v>
      </c>
      <c r="AC70" s="480">
        <v>0</v>
      </c>
      <c r="AD70" s="480">
        <v>0</v>
      </c>
      <c r="AE70" s="482">
        <v>-0.67200000000000004</v>
      </c>
      <c r="AF70" s="481">
        <f t="shared" si="141"/>
        <v>-0.68400000000000005</v>
      </c>
      <c r="AG70" s="482">
        <v>-6.4000000000000001E-2</v>
      </c>
      <c r="AH70" s="482">
        <f>-0.873-0.519</f>
        <v>-1.3919999999999999</v>
      </c>
      <c r="AI70" s="482">
        <v>1.4E-2</v>
      </c>
      <c r="AJ70" s="482">
        <v>-2.181</v>
      </c>
      <c r="AK70" s="481">
        <f t="shared" si="142"/>
        <v>-3.6230000000000002</v>
      </c>
      <c r="AL70" s="482">
        <v>3.5000000000000003E-2</v>
      </c>
      <c r="AM70" s="482">
        <v>0.19900000000000001</v>
      </c>
      <c r="AN70" s="482">
        <v>-0.14599999999999999</v>
      </c>
      <c r="AO70" s="482">
        <f>-0.429</f>
        <v>-0.42899999999999999</v>
      </c>
      <c r="AP70" s="483">
        <f t="shared" si="143"/>
        <v>-0.34099999999999997</v>
      </c>
      <c r="AQ70" s="1676">
        <v>0</v>
      </c>
      <c r="AR70" s="430">
        <v>0</v>
      </c>
      <c r="AS70" s="482">
        <v>0</v>
      </c>
      <c r="AT70" s="482">
        <v>0.48399999999999999</v>
      </c>
      <c r="AU70" s="484">
        <f t="shared" si="144"/>
        <v>0.48399999999999999</v>
      </c>
      <c r="AV70" s="482">
        <v>0</v>
      </c>
      <c r="AW70" s="482">
        <v>0</v>
      </c>
      <c r="AX70" s="482">
        <v>0</v>
      </c>
      <c r="AY70" s="862">
        <v>0</v>
      </c>
      <c r="AZ70" s="481">
        <f t="shared" si="145"/>
        <v>0</v>
      </c>
      <c r="BA70" s="482">
        <v>0</v>
      </c>
      <c r="BB70" s="482">
        <v>0</v>
      </c>
      <c r="BC70" s="482">
        <v>0</v>
      </c>
      <c r="BD70" s="482">
        <v>0</v>
      </c>
      <c r="BE70" s="481">
        <f t="shared" si="146"/>
        <v>0</v>
      </c>
      <c r="BF70" s="482">
        <v>0</v>
      </c>
      <c r="BG70" s="482">
        <v>0</v>
      </c>
      <c r="BH70" s="482">
        <v>0</v>
      </c>
      <c r="BI70" s="862">
        <v>0</v>
      </c>
      <c r="BJ70" s="853">
        <f t="shared" si="147"/>
        <v>0</v>
      </c>
      <c r="BK70" s="2953">
        <v>0</v>
      </c>
      <c r="BL70" s="2953">
        <v>0</v>
      </c>
      <c r="BM70" s="2953">
        <v>0</v>
      </c>
      <c r="BN70" s="2953">
        <v>0</v>
      </c>
      <c r="BO70" s="481">
        <f>SUM(BK70:BN70)</f>
        <v>0</v>
      </c>
      <c r="BP70" s="2953">
        <v>0</v>
      </c>
      <c r="BQ70" s="482">
        <v>0</v>
      </c>
      <c r="BR70" s="482">
        <v>0</v>
      </c>
      <c r="BS70" s="482">
        <v>0</v>
      </c>
      <c r="BT70" s="2587">
        <f>SUM(BP70:BS70)</f>
        <v>0</v>
      </c>
      <c r="BU70" s="3451">
        <v>0</v>
      </c>
      <c r="BV70" s="3451">
        <v>0</v>
      </c>
      <c r="BW70" s="3451">
        <v>0</v>
      </c>
      <c r="BX70" s="3451">
        <v>0</v>
      </c>
      <c r="BY70" s="2587">
        <f t="shared" si="148"/>
        <v>0</v>
      </c>
      <c r="BZ70" s="484">
        <v>0</v>
      </c>
      <c r="CA70" s="484">
        <v>0</v>
      </c>
      <c r="CB70" s="484">
        <v>0</v>
      </c>
      <c r="CC70" s="484">
        <v>0</v>
      </c>
      <c r="CD70" s="484">
        <v>0</v>
      </c>
      <c r="CE70" s="484">
        <v>0</v>
      </c>
      <c r="CF70" s="484">
        <v>0</v>
      </c>
      <c r="CG70" s="600"/>
      <c r="CH70" s="600"/>
      <c r="CI70" s="600"/>
      <c r="CJ70" s="600"/>
      <c r="CK70" s="331"/>
      <c r="CL70" s="995" t="str">
        <f t="shared" si="150"/>
        <v>Loss on disposals</v>
      </c>
      <c r="CM70" s="430">
        <f t="shared" si="151"/>
        <v>-1.8250000000000002</v>
      </c>
      <c r="CN70" s="430">
        <f t="shared" si="152"/>
        <v>-6.4510000000000005</v>
      </c>
      <c r="CO70" s="430">
        <f t="shared" si="153"/>
        <v>-1.3860000000000001</v>
      </c>
      <c r="CP70" s="430">
        <f t="shared" si="154"/>
        <v>-1.637</v>
      </c>
      <c r="CQ70" s="430">
        <f t="shared" si="155"/>
        <v>-1.6099999999999999</v>
      </c>
      <c r="CR70" s="430">
        <f t="shared" si="156"/>
        <v>-0.68400000000000005</v>
      </c>
      <c r="CS70" s="430">
        <f t="shared" si="157"/>
        <v>-3.6230000000000002</v>
      </c>
      <c r="CT70" s="430">
        <f t="shared" si="158"/>
        <v>-0.34099999999999997</v>
      </c>
      <c r="CU70" s="430">
        <f t="shared" si="159"/>
        <v>0.48399999999999999</v>
      </c>
      <c r="CV70" s="430">
        <f t="shared" si="160"/>
        <v>0</v>
      </c>
      <c r="CW70" s="430">
        <f t="shared" si="161"/>
        <v>0</v>
      </c>
      <c r="CX70" s="430">
        <f t="shared" si="162"/>
        <v>0</v>
      </c>
      <c r="CY70" s="430">
        <f t="shared" si="163"/>
        <v>0</v>
      </c>
      <c r="CZ70" s="430">
        <f t="shared" si="164"/>
        <v>0</v>
      </c>
      <c r="DA70" s="430">
        <f t="shared" si="165"/>
        <v>0</v>
      </c>
      <c r="DB70" s="430">
        <f t="shared" si="166"/>
        <v>0</v>
      </c>
      <c r="DC70" s="853">
        <f t="shared" si="167"/>
        <v>0</v>
      </c>
      <c r="DD70" s="331"/>
      <c r="DE70" s="331"/>
      <c r="DF70" s="502"/>
      <c r="DG70" s="503"/>
      <c r="DH70" s="2840"/>
      <c r="DI70" s="3213"/>
      <c r="DJ70" s="502"/>
      <c r="DK70" s="503"/>
      <c r="DL70" s="502"/>
      <c r="DM70" s="502"/>
      <c r="DN70" s="502"/>
      <c r="DO70" s="502"/>
      <c r="DP70" s="503"/>
      <c r="DQ70" s="503"/>
      <c r="DR70" s="296"/>
      <c r="DS70" s="296"/>
      <c r="DT70" s="296"/>
    </row>
    <row r="71" spans="1:124" ht="12.6" customHeight="1" collapsed="1" x14ac:dyDescent="0.25">
      <c r="A71" s="392" t="s">
        <v>1623</v>
      </c>
      <c r="B71" s="281"/>
      <c r="C71" s="480">
        <v>-1.0780000000000001</v>
      </c>
      <c r="D71" s="480">
        <f>-0.528-0.05</f>
        <v>-0.57800000000000007</v>
      </c>
      <c r="E71" s="480">
        <v>-0.186</v>
      </c>
      <c r="F71" s="480">
        <v>0.40400000000000003</v>
      </c>
      <c r="G71" s="481">
        <f>SUM(C71:F71)</f>
        <v>-1.4380000000000002</v>
      </c>
      <c r="H71" s="482">
        <v>-2.1000000000000001E-2</v>
      </c>
      <c r="I71" s="482">
        <v>-7.3999999999999996E-2</v>
      </c>
      <c r="J71" s="482">
        <v>0.53200000000000003</v>
      </c>
      <c r="K71" s="482">
        <v>-0.39800000000000002</v>
      </c>
      <c r="L71" s="481">
        <f>SUM(H71:K71)</f>
        <v>3.9000000000000035E-2</v>
      </c>
      <c r="M71" s="482">
        <v>-0.11</v>
      </c>
      <c r="N71" s="482">
        <v>0.184</v>
      </c>
      <c r="O71" s="482">
        <v>-0.59299999999999997</v>
      </c>
      <c r="P71" s="482">
        <v>0</v>
      </c>
      <c r="Q71" s="481">
        <f>SUM(M71:P71)</f>
        <v>-0.51900000000000002</v>
      </c>
      <c r="R71" s="482">
        <v>-0.22800000000000001</v>
      </c>
      <c r="S71" s="482">
        <v>-5.476</v>
      </c>
      <c r="T71" s="482">
        <v>-2.637</v>
      </c>
      <c r="U71" s="482">
        <v>-3.0859999999999999</v>
      </c>
      <c r="V71" s="481">
        <f>SUM(R71:U71)</f>
        <v>-11.427</v>
      </c>
      <c r="W71" s="480">
        <v>1.458</v>
      </c>
      <c r="X71" s="480">
        <v>-0.57399999999999995</v>
      </c>
      <c r="Y71" s="480">
        <f>0.636-5.813</f>
        <v>-5.1769999999999996</v>
      </c>
      <c r="Z71" s="480">
        <f>4.901-0.045</f>
        <v>4.8559999999999999</v>
      </c>
      <c r="AA71" s="481">
        <f>SUM(W71:Z71)</f>
        <v>0.56300000000000061</v>
      </c>
      <c r="AB71" s="480">
        <f>2.092-1.305</f>
        <v>0.78700000000000014</v>
      </c>
      <c r="AC71" s="482">
        <f>2.887+0.308-6.598+2.6</f>
        <v>-0.80299999999999994</v>
      </c>
      <c r="AD71" s="480">
        <f>-2.56+0.044</f>
        <v>-2.516</v>
      </c>
      <c r="AE71" s="482">
        <v>-1.3260000000000001</v>
      </c>
      <c r="AF71" s="481">
        <f>SUM(AB71:AE71)</f>
        <v>-3.8580000000000001</v>
      </c>
      <c r="AG71" s="482">
        <v>-1.321</v>
      </c>
      <c r="AH71" s="482">
        <v>1.3069999999999999</v>
      </c>
      <c r="AI71" s="482">
        <v>8.2590000000000003</v>
      </c>
      <c r="AJ71" s="482">
        <v>-1.8240000000000001</v>
      </c>
      <c r="AK71" s="481">
        <f>SUM(AG71:AJ71)</f>
        <v>6.4210000000000012</v>
      </c>
      <c r="AL71" s="482">
        <v>-1.643</v>
      </c>
      <c r="AM71" s="482">
        <v>-0.70099999999999996</v>
      </c>
      <c r="AN71" s="482">
        <f>-0.03+2.737</f>
        <v>2.7070000000000003</v>
      </c>
      <c r="AO71" s="482">
        <v>-1.127</v>
      </c>
      <c r="AP71" s="483">
        <f>SUM(AL71:AO71)</f>
        <v>-0.76399999999999957</v>
      </c>
      <c r="AQ71" s="1676">
        <v>-1.0029999999999999</v>
      </c>
      <c r="AR71" s="482">
        <v>1.474</v>
      </c>
      <c r="AS71" s="482">
        <f>-1.954+0.169</f>
        <v>-1.7849999999999999</v>
      </c>
      <c r="AT71" s="482">
        <v>0.108</v>
      </c>
      <c r="AU71" s="1684">
        <f>SUM(AQ71:AT71)</f>
        <v>-1.2059999999999997</v>
      </c>
      <c r="AV71" s="482">
        <f>0.664-2.859</f>
        <v>-2.1949999999999998</v>
      </c>
      <c r="AW71" s="482">
        <f>2.402-2.922</f>
        <v>-0.52</v>
      </c>
      <c r="AX71" s="482">
        <f>+-0.436-2.902</f>
        <v>-3.3380000000000001</v>
      </c>
      <c r="AY71" s="482">
        <f>1.173-2.913</f>
        <v>-1.7399999999999998</v>
      </c>
      <c r="AZ71" s="1684">
        <f>SUM(AV71:AY71)</f>
        <v>-7.7929999999999993</v>
      </c>
      <c r="BA71" s="2675">
        <v>1.631</v>
      </c>
      <c r="BB71" s="2675">
        <v>-1.823</v>
      </c>
      <c r="BC71" s="2675">
        <v>1.583</v>
      </c>
      <c r="BD71" s="2675">
        <f>2.944-SUM(BA71:BC71)</f>
        <v>1.5529999999999999</v>
      </c>
      <c r="BE71" s="1684">
        <f>SUM(BA71:BD71)</f>
        <v>2.944</v>
      </c>
      <c r="BF71" s="2675">
        <v>3.089</v>
      </c>
      <c r="BG71" s="2675">
        <v>-0.95599999999999996</v>
      </c>
      <c r="BH71" s="482">
        <v>2.6720000000000002</v>
      </c>
      <c r="BI71" s="2952">
        <f>5.872-SUM(BF71:BH71)</f>
        <v>1.0670000000000002</v>
      </c>
      <c r="BJ71" s="1726">
        <f>SUM(BF71:BI71)</f>
        <v>5.8719999999999999</v>
      </c>
      <c r="BK71" s="2953">
        <v>-2.4260000000000002</v>
      </c>
      <c r="BL71" s="2953">
        <v>4.3999999999999997E-2</v>
      </c>
      <c r="BM71" s="2953">
        <v>0.40400000000000003</v>
      </c>
      <c r="BN71" s="2952">
        <v>0.29899999999999999</v>
      </c>
      <c r="BO71" s="1726">
        <f>SUM(BK71:BN71)</f>
        <v>-1.6790000000000003</v>
      </c>
      <c r="BP71" s="2953">
        <v>-25.183</v>
      </c>
      <c r="BQ71" s="2953">
        <v>-0.17299999999999999</v>
      </c>
      <c r="BR71" s="2953">
        <v>-0.23599999999999999</v>
      </c>
      <c r="BS71" s="2953">
        <v>-0.628</v>
      </c>
      <c r="BT71" s="2587">
        <f>SUM(BP71:BS71)</f>
        <v>-26.22</v>
      </c>
      <c r="BU71" s="3451">
        <v>0</v>
      </c>
      <c r="BV71" s="3451">
        <v>0</v>
      </c>
      <c r="BW71" s="3451">
        <v>0</v>
      </c>
      <c r="BX71" s="3451">
        <v>0</v>
      </c>
      <c r="BY71" s="2587">
        <f t="shared" si="148"/>
        <v>0</v>
      </c>
      <c r="BZ71" s="3154">
        <v>0</v>
      </c>
      <c r="CA71" s="3154">
        <v>0</v>
      </c>
      <c r="CB71" s="1684">
        <f>-CB1169*0.5</f>
        <v>-11.166666666666668</v>
      </c>
      <c r="CC71" s="1684">
        <f>-CC1169*0.5</f>
        <v>-11.166666666666668</v>
      </c>
      <c r="CD71" s="1684">
        <f>-CD1169*0.5</f>
        <v>-11.166666666666668</v>
      </c>
      <c r="CE71" s="1684">
        <f>-CE1169*0.5</f>
        <v>-11.166666666666668</v>
      </c>
      <c r="CF71" s="1684">
        <f>-CF1169*0.5</f>
        <v>-11.166666666666668</v>
      </c>
      <c r="CG71" s="331"/>
      <c r="CH71" s="331"/>
      <c r="CI71" s="331"/>
      <c r="CJ71" s="331"/>
      <c r="CK71" s="331"/>
      <c r="CL71" s="995" t="str">
        <f t="shared" si="150"/>
        <v>Other</v>
      </c>
      <c r="CM71" s="430">
        <f t="shared" si="151"/>
        <v>-1.4380000000000002</v>
      </c>
      <c r="CN71" s="430">
        <f t="shared" si="152"/>
        <v>3.9000000000000035E-2</v>
      </c>
      <c r="CO71" s="430">
        <f t="shared" si="153"/>
        <v>-0.51900000000000002</v>
      </c>
      <c r="CP71" s="430">
        <f t="shared" si="154"/>
        <v>-11.427</v>
      </c>
      <c r="CQ71" s="430">
        <f t="shared" si="155"/>
        <v>0.56300000000000061</v>
      </c>
      <c r="CR71" s="430">
        <f t="shared" si="156"/>
        <v>-3.8580000000000001</v>
      </c>
      <c r="CS71" s="430">
        <f t="shared" si="157"/>
        <v>6.4210000000000012</v>
      </c>
      <c r="CT71" s="430">
        <f t="shared" si="158"/>
        <v>-0.76399999999999957</v>
      </c>
      <c r="CU71" s="430">
        <f t="shared" si="159"/>
        <v>-1.2059999999999997</v>
      </c>
      <c r="CV71" s="430">
        <f t="shared" si="160"/>
        <v>-7.7929999999999993</v>
      </c>
      <c r="CW71" s="430">
        <f t="shared" si="161"/>
        <v>2.944</v>
      </c>
      <c r="CX71" s="430">
        <f t="shared" si="162"/>
        <v>5.8719999999999999</v>
      </c>
      <c r="CY71" s="430">
        <f t="shared" si="163"/>
        <v>-1.6790000000000003</v>
      </c>
      <c r="CZ71" s="430">
        <f t="shared" si="164"/>
        <v>-26.22</v>
      </c>
      <c r="DA71" s="430">
        <f>BY71</f>
        <v>0</v>
      </c>
      <c r="DB71" s="430">
        <f>BZ71</f>
        <v>0</v>
      </c>
      <c r="DC71" s="853">
        <f>CA71</f>
        <v>0</v>
      </c>
      <c r="DD71" s="331"/>
      <c r="DE71" s="331"/>
      <c r="DF71" s="502"/>
      <c r="DG71" s="503"/>
      <c r="DH71" s="2840"/>
      <c r="DI71" s="3213"/>
      <c r="DJ71" s="502"/>
      <c r="DK71" s="503"/>
      <c r="DL71" s="502"/>
      <c r="DM71" s="502"/>
      <c r="DN71" s="502"/>
      <c r="DO71" s="502"/>
      <c r="DP71" s="503"/>
      <c r="DQ71" s="503"/>
      <c r="DR71" s="296"/>
      <c r="DS71" s="296"/>
      <c r="DT71" s="296"/>
    </row>
    <row r="72" spans="1:124" ht="12" hidden="1" customHeight="1" outlineLevel="1" x14ac:dyDescent="0.25">
      <c r="A72" s="392" t="s">
        <v>2071</v>
      </c>
      <c r="B72" s="281"/>
      <c r="C72" s="480"/>
      <c r="D72" s="480"/>
      <c r="E72" s="480"/>
      <c r="F72" s="480"/>
      <c r="G72" s="481"/>
      <c r="H72" s="482"/>
      <c r="I72" s="482"/>
      <c r="J72" s="482"/>
      <c r="K72" s="482"/>
      <c r="L72" s="481"/>
      <c r="M72" s="482"/>
      <c r="N72" s="482"/>
      <c r="O72" s="482"/>
      <c r="P72" s="482"/>
      <c r="Q72" s="481"/>
      <c r="R72" s="482"/>
      <c r="S72" s="482"/>
      <c r="T72" s="482"/>
      <c r="U72" s="482"/>
      <c r="V72" s="481"/>
      <c r="W72" s="480"/>
      <c r="X72" s="480"/>
      <c r="Y72" s="480"/>
      <c r="Z72" s="480"/>
      <c r="AA72" s="481"/>
      <c r="AB72" s="480"/>
      <c r="AC72" s="482"/>
      <c r="AD72" s="480"/>
      <c r="AE72" s="482"/>
      <c r="AF72" s="481"/>
      <c r="AG72" s="482"/>
      <c r="AH72" s="482"/>
      <c r="AI72" s="482"/>
      <c r="AJ72" s="482"/>
      <c r="AK72" s="481"/>
      <c r="AL72" s="482"/>
      <c r="AM72" s="482"/>
      <c r="AN72" s="482"/>
      <c r="AO72" s="482"/>
      <c r="AP72" s="483"/>
      <c r="AQ72" s="1676"/>
      <c r="AR72" s="430"/>
      <c r="AS72" s="482"/>
      <c r="AT72" s="430"/>
      <c r="AU72" s="484"/>
      <c r="AV72" s="482"/>
      <c r="AW72" s="482"/>
      <c r="AX72" s="482"/>
      <c r="AY72" s="862"/>
      <c r="AZ72" s="484"/>
      <c r="BA72" s="482"/>
      <c r="BB72" s="482"/>
      <c r="BC72" s="482"/>
      <c r="BD72" s="862"/>
      <c r="BE72" s="862"/>
      <c r="BF72" s="482"/>
      <c r="BG72" s="482"/>
      <c r="BH72" s="482"/>
      <c r="BI72" s="862"/>
      <c r="BJ72" s="862"/>
      <c r="BK72" s="2953"/>
      <c r="BL72" s="2953"/>
      <c r="BM72" s="2953"/>
      <c r="BN72" s="862"/>
      <c r="BO72" s="862"/>
      <c r="BP72" s="2953"/>
      <c r="BQ72" s="482"/>
      <c r="BR72" s="482"/>
      <c r="BS72" s="482"/>
      <c r="BT72" s="2587"/>
      <c r="BU72" s="3451">
        <v>0</v>
      </c>
      <c r="BV72" s="3451">
        <v>0</v>
      </c>
      <c r="BW72" s="3451">
        <v>0</v>
      </c>
      <c r="BX72" s="3451">
        <v>0</v>
      </c>
      <c r="BY72" s="2587">
        <f t="shared" si="148"/>
        <v>0</v>
      </c>
      <c r="BZ72" s="484"/>
      <c r="CA72" s="484"/>
      <c r="CB72" s="484"/>
      <c r="CC72" s="484"/>
      <c r="CD72" s="484"/>
      <c r="CE72" s="484"/>
      <c r="CF72" s="484"/>
      <c r="CG72" s="331"/>
      <c r="CH72" s="331"/>
      <c r="CI72" s="331"/>
      <c r="CJ72" s="331"/>
      <c r="CK72" s="331"/>
      <c r="CL72" s="995" t="str">
        <f t="shared" si="150"/>
        <v>Minority interest</v>
      </c>
      <c r="CM72" s="430">
        <f t="shared" si="151"/>
        <v>0</v>
      </c>
      <c r="CN72" s="430">
        <f t="shared" si="152"/>
        <v>0</v>
      </c>
      <c r="CO72" s="430">
        <f t="shared" si="153"/>
        <v>0</v>
      </c>
      <c r="CP72" s="430">
        <f t="shared" si="154"/>
        <v>0</v>
      </c>
      <c r="CQ72" s="430">
        <f t="shared" si="155"/>
        <v>0</v>
      </c>
      <c r="CR72" s="430">
        <f t="shared" si="156"/>
        <v>0</v>
      </c>
      <c r="CS72" s="430">
        <f t="shared" si="157"/>
        <v>0</v>
      </c>
      <c r="CT72" s="430">
        <f t="shared" si="158"/>
        <v>0</v>
      </c>
      <c r="CU72" s="430">
        <f t="shared" si="159"/>
        <v>0</v>
      </c>
      <c r="CV72" s="430">
        <f t="shared" si="160"/>
        <v>0</v>
      </c>
      <c r="CW72" s="430">
        <f t="shared" si="161"/>
        <v>0</v>
      </c>
      <c r="CX72" s="430">
        <f t="shared" si="162"/>
        <v>0</v>
      </c>
      <c r="CY72" s="430">
        <f t="shared" si="163"/>
        <v>0</v>
      </c>
      <c r="CZ72" s="430">
        <f t="shared" si="164"/>
        <v>0</v>
      </c>
      <c r="DA72" s="430">
        <f t="shared" si="165"/>
        <v>0</v>
      </c>
      <c r="DB72" s="430">
        <f t="shared" si="166"/>
        <v>0</v>
      </c>
      <c r="DC72" s="853">
        <f t="shared" si="167"/>
        <v>0</v>
      </c>
      <c r="DD72" s="331"/>
      <c r="DE72" s="331"/>
      <c r="DF72" s="502"/>
      <c r="DG72" s="503"/>
      <c r="DH72" s="2840"/>
      <c r="DI72" s="3213"/>
      <c r="DJ72" s="502"/>
      <c r="DK72" s="503"/>
      <c r="DL72" s="502"/>
      <c r="DM72" s="502"/>
      <c r="DN72" s="502"/>
      <c r="DO72" s="502"/>
      <c r="DP72" s="503"/>
      <c r="DQ72" s="503"/>
      <c r="DR72" s="296"/>
      <c r="DS72" s="296"/>
      <c r="DT72" s="296"/>
    </row>
    <row r="73" spans="1:124" ht="12.6" customHeight="1" collapsed="1" x14ac:dyDescent="0.25">
      <c r="A73" s="392" t="s">
        <v>2137</v>
      </c>
      <c r="B73" s="281"/>
      <c r="C73" s="482">
        <v>-3.6189999999999989</v>
      </c>
      <c r="D73" s="482">
        <v>-5.2030000000000003</v>
      </c>
      <c r="E73" s="482">
        <v>-6.3819999999999997</v>
      </c>
      <c r="F73" s="482">
        <v>-1.9350000000000001</v>
      </c>
      <c r="G73" s="481">
        <f t="shared" si="136"/>
        <v>-17.138999999999999</v>
      </c>
      <c r="H73" s="482">
        <v>-10.484588846364135</v>
      </c>
      <c r="I73" s="482">
        <v>-20.110688536559923</v>
      </c>
      <c r="J73" s="482">
        <v>23.297000000000001</v>
      </c>
      <c r="K73" s="482">
        <v>-0.55385453622314573</v>
      </c>
      <c r="L73" s="481">
        <f t="shared" si="137"/>
        <v>-7.8521319191472045</v>
      </c>
      <c r="M73" s="482">
        <v>-6.5</v>
      </c>
      <c r="N73" s="482">
        <v>0</v>
      </c>
      <c r="O73" s="482">
        <v>114.661</v>
      </c>
      <c r="P73" s="482">
        <f>-0.653+89.954</f>
        <v>89.300999999999988</v>
      </c>
      <c r="Q73" s="481">
        <f t="shared" si="138"/>
        <v>197.46199999999999</v>
      </c>
      <c r="R73" s="482">
        <v>0</v>
      </c>
      <c r="S73" s="482">
        <v>0</v>
      </c>
      <c r="T73" s="482">
        <v>0</v>
      </c>
      <c r="U73" s="482">
        <v>0</v>
      </c>
      <c r="V73" s="481">
        <f t="shared" si="139"/>
        <v>0</v>
      </c>
      <c r="W73" s="480">
        <v>0</v>
      </c>
      <c r="X73" s="480">
        <v>0</v>
      </c>
      <c r="Y73" s="480">
        <f>195.471+5.813</f>
        <v>201.28399999999999</v>
      </c>
      <c r="Z73" s="480">
        <v>-481.33300000000003</v>
      </c>
      <c r="AA73" s="481">
        <f t="shared" si="140"/>
        <v>-280.04900000000004</v>
      </c>
      <c r="AB73" s="480">
        <f>-5.4+1.305</f>
        <v>-4.0950000000000006</v>
      </c>
      <c r="AC73" s="480">
        <f>-11.689-0.331+6.598-2.6</f>
        <v>-8.0220000000000002</v>
      </c>
      <c r="AD73" s="480">
        <f>-3.599-0.12-0.211</f>
        <v>-3.93</v>
      </c>
      <c r="AE73" s="482">
        <f>-520.568-0.121-1.194</f>
        <v>-521.88299999999992</v>
      </c>
      <c r="AF73" s="481">
        <f t="shared" si="141"/>
        <v>-537.92999999999995</v>
      </c>
      <c r="AG73" s="482">
        <f>-0.136-0.059</f>
        <v>-0.19500000000000001</v>
      </c>
      <c r="AH73" s="482">
        <f>-30.59-0.155</f>
        <v>-30.745000000000001</v>
      </c>
      <c r="AI73" s="482">
        <f>5.876-0.816</f>
        <v>5.0600000000000005</v>
      </c>
      <c r="AJ73" s="482">
        <f>-193.167+1.861</f>
        <v>-191.30600000000001</v>
      </c>
      <c r="AK73" s="481">
        <f t="shared" si="142"/>
        <v>-217.18600000000001</v>
      </c>
      <c r="AL73" s="482">
        <v>1.694</v>
      </c>
      <c r="AM73" s="482">
        <v>11.555</v>
      </c>
      <c r="AN73" s="482">
        <f>-17.838+20.2</f>
        <v>2.3619999999999983</v>
      </c>
      <c r="AO73" s="482">
        <f>0.038</f>
        <v>3.7999999999999999E-2</v>
      </c>
      <c r="AP73" s="483">
        <f t="shared" si="143"/>
        <v>15.648999999999997</v>
      </c>
      <c r="AQ73" s="1676">
        <f>3.863+0.945</f>
        <v>4.8079999999999998</v>
      </c>
      <c r="AR73" s="482">
        <f>3.366+0.092</f>
        <v>3.4580000000000002</v>
      </c>
      <c r="AS73" s="482">
        <v>0</v>
      </c>
      <c r="AT73" s="430">
        <v>0</v>
      </c>
      <c r="AU73" s="1684">
        <f t="shared" si="144"/>
        <v>8.266</v>
      </c>
      <c r="AV73" s="482">
        <v>-2.39</v>
      </c>
      <c r="AW73" s="482">
        <f>-71.846-2.5-0.285</f>
        <v>-74.631</v>
      </c>
      <c r="AX73" s="482">
        <v>-0.157</v>
      </c>
      <c r="AY73" s="482">
        <f>+-1.819-1060.571+2.392-0.819+1.819-61.66</f>
        <v>-1120.6579999999999</v>
      </c>
      <c r="AZ73" s="1684">
        <f t="shared" si="145"/>
        <v>-1197.8359999999998</v>
      </c>
      <c r="BA73" s="482">
        <v>0</v>
      </c>
      <c r="BB73" s="482">
        <v>0</v>
      </c>
      <c r="BC73" s="482">
        <v>0</v>
      </c>
      <c r="BD73" s="482">
        <v>0</v>
      </c>
      <c r="BE73" s="481">
        <f t="shared" si="146"/>
        <v>0</v>
      </c>
      <c r="BF73" s="482">
        <v>0</v>
      </c>
      <c r="BG73" s="482">
        <v>0</v>
      </c>
      <c r="BH73" s="482">
        <v>0</v>
      </c>
      <c r="BI73" s="862">
        <v>0</v>
      </c>
      <c r="BJ73" s="481">
        <f t="shared" si="147"/>
        <v>0</v>
      </c>
      <c r="BK73" s="2953">
        <v>0</v>
      </c>
      <c r="BL73" s="2953">
        <v>0</v>
      </c>
      <c r="BM73" s="2953">
        <v>0</v>
      </c>
      <c r="BN73" s="2953">
        <v>0</v>
      </c>
      <c r="BO73" s="481">
        <f>SUM(BK73:BN73)</f>
        <v>0</v>
      </c>
      <c r="BP73" s="2953">
        <v>0</v>
      </c>
      <c r="BQ73" s="482">
        <v>0</v>
      </c>
      <c r="BR73" s="482">
        <v>0</v>
      </c>
      <c r="BS73" s="482">
        <v>0</v>
      </c>
      <c r="BT73" s="2587">
        <f>SUM(BP73:BS73)</f>
        <v>0</v>
      </c>
      <c r="BU73" s="3451">
        <v>0</v>
      </c>
      <c r="BV73" s="3451">
        <v>0</v>
      </c>
      <c r="BW73" s="3451">
        <v>0</v>
      </c>
      <c r="BX73" s="3451">
        <v>0</v>
      </c>
      <c r="BY73" s="2587">
        <f t="shared" si="148"/>
        <v>0</v>
      </c>
      <c r="BZ73" s="484">
        <v>0</v>
      </c>
      <c r="CA73" s="484">
        <v>0</v>
      </c>
      <c r="CB73" s="484">
        <v>0</v>
      </c>
      <c r="CC73" s="484">
        <v>0</v>
      </c>
      <c r="CD73" s="484">
        <v>0</v>
      </c>
      <c r="CE73" s="484">
        <v>0</v>
      </c>
      <c r="CF73" s="484">
        <v>0</v>
      </c>
      <c r="CG73" s="331"/>
      <c r="CH73" s="331"/>
      <c r="CI73" s="331"/>
      <c r="CJ73" s="331"/>
      <c r="CK73" s="331"/>
      <c r="CL73" s="995" t="str">
        <f t="shared" si="150"/>
        <v>Extraordinary items</v>
      </c>
      <c r="CM73" s="430">
        <f t="shared" si="151"/>
        <v>-17.138999999999999</v>
      </c>
      <c r="CN73" s="430">
        <f t="shared" si="152"/>
        <v>-7.8521319191472045</v>
      </c>
      <c r="CO73" s="430">
        <f t="shared" si="153"/>
        <v>197.46199999999999</v>
      </c>
      <c r="CP73" s="430">
        <f t="shared" si="154"/>
        <v>0</v>
      </c>
      <c r="CQ73" s="430">
        <f t="shared" si="155"/>
        <v>-280.04900000000004</v>
      </c>
      <c r="CR73" s="430">
        <f t="shared" si="156"/>
        <v>-537.92999999999995</v>
      </c>
      <c r="CS73" s="430">
        <f t="shared" si="157"/>
        <v>-217.18600000000001</v>
      </c>
      <c r="CT73" s="430">
        <f t="shared" si="158"/>
        <v>15.648999999999997</v>
      </c>
      <c r="CU73" s="430">
        <f t="shared" si="159"/>
        <v>8.266</v>
      </c>
      <c r="CV73" s="430">
        <f t="shared" si="160"/>
        <v>-1197.8359999999998</v>
      </c>
      <c r="CW73" s="430">
        <f t="shared" si="161"/>
        <v>0</v>
      </c>
      <c r="CX73" s="430">
        <f t="shared" si="162"/>
        <v>0</v>
      </c>
      <c r="CY73" s="430">
        <f t="shared" si="163"/>
        <v>0</v>
      </c>
      <c r="CZ73" s="430">
        <f t="shared" si="164"/>
        <v>0</v>
      </c>
      <c r="DA73" s="430">
        <f t="shared" si="165"/>
        <v>0</v>
      </c>
      <c r="DB73" s="430">
        <f t="shared" si="166"/>
        <v>0</v>
      </c>
      <c r="DC73" s="853">
        <f t="shared" si="167"/>
        <v>0</v>
      </c>
      <c r="DD73" s="331"/>
      <c r="DE73" s="331"/>
      <c r="DF73" s="502"/>
      <c r="DG73" s="503"/>
      <c r="DH73" s="2840"/>
      <c r="DI73" s="3213"/>
      <c r="DJ73" s="502"/>
      <c r="DK73" s="503"/>
      <c r="DL73" s="502"/>
      <c r="DM73" s="502"/>
      <c r="DN73" s="502"/>
      <c r="DO73" s="502"/>
      <c r="DP73" s="503"/>
      <c r="DQ73" s="503"/>
      <c r="DR73" s="296"/>
      <c r="DS73" s="296"/>
      <c r="DT73" s="296"/>
    </row>
    <row r="74" spans="1:124" ht="4.5" customHeight="1" x14ac:dyDescent="0.25">
      <c r="A74" s="392"/>
      <c r="B74" s="479"/>
      <c r="C74" s="460" t="s">
        <v>1151</v>
      </c>
      <c r="D74" s="460" t="s">
        <v>1151</v>
      </c>
      <c r="E74" s="460" t="s">
        <v>1151</v>
      </c>
      <c r="F74" s="460" t="s">
        <v>1151</v>
      </c>
      <c r="G74" s="461" t="s">
        <v>1151</v>
      </c>
      <c r="H74" s="460" t="s">
        <v>1151</v>
      </c>
      <c r="I74" s="460" t="s">
        <v>1151</v>
      </c>
      <c r="J74" s="460" t="s">
        <v>1151</v>
      </c>
      <c r="K74" s="460" t="s">
        <v>1151</v>
      </c>
      <c r="L74" s="461" t="s">
        <v>1151</v>
      </c>
      <c r="M74" s="460" t="s">
        <v>1151</v>
      </c>
      <c r="N74" s="460" t="s">
        <v>1151</v>
      </c>
      <c r="O74" s="460" t="s">
        <v>1151</v>
      </c>
      <c r="P74" s="460" t="s">
        <v>1151</v>
      </c>
      <c r="Q74" s="461" t="s">
        <v>1151</v>
      </c>
      <c r="R74" s="460" t="s">
        <v>1151</v>
      </c>
      <c r="S74" s="460" t="s">
        <v>1151</v>
      </c>
      <c r="T74" s="460" t="s">
        <v>1151</v>
      </c>
      <c r="U74" s="460" t="s">
        <v>1151</v>
      </c>
      <c r="V74" s="461" t="s">
        <v>1151</v>
      </c>
      <c r="W74" s="460" t="s">
        <v>1151</v>
      </c>
      <c r="X74" s="460" t="s">
        <v>1151</v>
      </c>
      <c r="Y74" s="460" t="s">
        <v>1151</v>
      </c>
      <c r="Z74" s="460" t="s">
        <v>1151</v>
      </c>
      <c r="AA74" s="461" t="s">
        <v>1151</v>
      </c>
      <c r="AB74" s="460" t="s">
        <v>1151</v>
      </c>
      <c r="AC74" s="460" t="s">
        <v>1151</v>
      </c>
      <c r="AD74" s="460" t="s">
        <v>1151</v>
      </c>
      <c r="AE74" s="460" t="s">
        <v>1151</v>
      </c>
      <c r="AF74" s="461" t="s">
        <v>1151</v>
      </c>
      <c r="AG74" s="460" t="s">
        <v>1151</v>
      </c>
      <c r="AH74" s="460" t="s">
        <v>1151</v>
      </c>
      <c r="AI74" s="460" t="s">
        <v>1151</v>
      </c>
      <c r="AJ74" s="460" t="s">
        <v>1151</v>
      </c>
      <c r="AK74" s="461" t="s">
        <v>1151</v>
      </c>
      <c r="AL74" s="460" t="s">
        <v>1151</v>
      </c>
      <c r="AM74" s="460" t="s">
        <v>1151</v>
      </c>
      <c r="AN74" s="460" t="s">
        <v>1151</v>
      </c>
      <c r="AO74" s="460" t="s">
        <v>1151</v>
      </c>
      <c r="AP74" s="461" t="s">
        <v>1151</v>
      </c>
      <c r="AQ74" s="460" t="s">
        <v>1151</v>
      </c>
      <c r="AR74" s="460" t="s">
        <v>1151</v>
      </c>
      <c r="AS74" s="460" t="s">
        <v>1151</v>
      </c>
      <c r="AT74" s="460" t="s">
        <v>1151</v>
      </c>
      <c r="AU74" s="461" t="s">
        <v>1151</v>
      </c>
      <c r="AV74" s="460" t="s">
        <v>1151</v>
      </c>
      <c r="AW74" s="460" t="s">
        <v>1151</v>
      </c>
      <c r="AX74" s="460" t="s">
        <v>1151</v>
      </c>
      <c r="AY74" s="460" t="s">
        <v>1151</v>
      </c>
      <c r="AZ74" s="461" t="s">
        <v>1151</v>
      </c>
      <c r="BA74" s="460" t="s">
        <v>1151</v>
      </c>
      <c r="BB74" s="460" t="s">
        <v>1151</v>
      </c>
      <c r="BC74" s="460" t="s">
        <v>1151</v>
      </c>
      <c r="BD74" s="460" t="s">
        <v>1151</v>
      </c>
      <c r="BE74" s="461" t="s">
        <v>1151</v>
      </c>
      <c r="BF74" s="460" t="s">
        <v>1151</v>
      </c>
      <c r="BG74" s="460" t="s">
        <v>1151</v>
      </c>
      <c r="BH74" s="460" t="s">
        <v>1151</v>
      </c>
      <c r="BI74" s="2888" t="s">
        <v>1151</v>
      </c>
      <c r="BJ74" s="461" t="s">
        <v>1151</v>
      </c>
      <c r="BK74" s="460" t="s">
        <v>1151</v>
      </c>
      <c r="BL74" s="460" t="s">
        <v>1151</v>
      </c>
      <c r="BM74" s="460" t="s">
        <v>1151</v>
      </c>
      <c r="BN74" s="2888" t="s">
        <v>1151</v>
      </c>
      <c r="BO74" s="461" t="s">
        <v>1151</v>
      </c>
      <c r="BP74" s="460" t="s">
        <v>1151</v>
      </c>
      <c r="BQ74" s="460" t="s">
        <v>1151</v>
      </c>
      <c r="BR74" s="460" t="s">
        <v>1151</v>
      </c>
      <c r="BS74" s="460" t="s">
        <v>1151</v>
      </c>
      <c r="BT74" s="461" t="s">
        <v>1151</v>
      </c>
      <c r="BU74" s="460" t="s">
        <v>1151</v>
      </c>
      <c r="BV74" s="460" t="s">
        <v>1151</v>
      </c>
      <c r="BW74" s="460" t="s">
        <v>1151</v>
      </c>
      <c r="BX74" s="460" t="s">
        <v>1151</v>
      </c>
      <c r="BY74" s="461" t="s">
        <v>1151</v>
      </c>
      <c r="BZ74" s="461" t="s">
        <v>1151</v>
      </c>
      <c r="CA74" s="461" t="s">
        <v>1151</v>
      </c>
      <c r="CB74" s="461" t="s">
        <v>1151</v>
      </c>
      <c r="CC74" s="461" t="s">
        <v>1151</v>
      </c>
      <c r="CD74" s="461" t="s">
        <v>1151</v>
      </c>
      <c r="CE74" s="461" t="s">
        <v>1151</v>
      </c>
      <c r="CF74" s="461" t="s">
        <v>1151</v>
      </c>
      <c r="CG74" s="331"/>
      <c r="CH74" s="331"/>
      <c r="CI74" s="331"/>
      <c r="CJ74" s="331"/>
      <c r="CK74" s="331"/>
      <c r="CL74" s="995"/>
      <c r="CM74" s="2029" t="str">
        <f t="shared" si="151"/>
        <v xml:space="preserve">                </v>
      </c>
      <c r="CN74" s="2029" t="str">
        <f t="shared" si="152"/>
        <v xml:space="preserve">                </v>
      </c>
      <c r="CO74" s="2029" t="str">
        <f t="shared" si="153"/>
        <v xml:space="preserve">                </v>
      </c>
      <c r="CP74" s="2029" t="str">
        <f t="shared" si="154"/>
        <v xml:space="preserve">                </v>
      </c>
      <c r="CQ74" s="2029" t="str">
        <f t="shared" si="155"/>
        <v xml:space="preserve">                </v>
      </c>
      <c r="CR74" s="2029" t="str">
        <f t="shared" si="156"/>
        <v xml:space="preserve">                </v>
      </c>
      <c r="CS74" s="2029" t="str">
        <f t="shared" si="157"/>
        <v xml:space="preserve">                </v>
      </c>
      <c r="CT74" s="2029" t="str">
        <f t="shared" si="158"/>
        <v xml:space="preserve">                </v>
      </c>
      <c r="CU74" s="2029" t="str">
        <f t="shared" si="159"/>
        <v xml:space="preserve">                </v>
      </c>
      <c r="CV74" s="2029" t="str">
        <f t="shared" si="160"/>
        <v xml:space="preserve">                </v>
      </c>
      <c r="CW74" s="2029" t="str">
        <f t="shared" si="161"/>
        <v xml:space="preserve">                </v>
      </c>
      <c r="CX74" s="2029" t="str">
        <f t="shared" si="162"/>
        <v xml:space="preserve">                </v>
      </c>
      <c r="CY74" s="2029" t="str">
        <f t="shared" si="163"/>
        <v xml:space="preserve">                </v>
      </c>
      <c r="CZ74" s="2029" t="str">
        <f t="shared" si="164"/>
        <v xml:space="preserve">                </v>
      </c>
      <c r="DA74" s="2029" t="str">
        <f t="shared" si="165"/>
        <v xml:space="preserve">                </v>
      </c>
      <c r="DB74" s="2029" t="str">
        <f t="shared" si="166"/>
        <v xml:space="preserve">                </v>
      </c>
      <c r="DC74" s="2030" t="str">
        <f t="shared" si="167"/>
        <v xml:space="preserve">                </v>
      </c>
      <c r="DD74" s="331"/>
      <c r="DE74" s="331"/>
      <c r="DF74" s="502"/>
      <c r="DG74" s="503"/>
      <c r="DH74" s="2029"/>
      <c r="DI74" s="3213"/>
      <c r="DJ74" s="502"/>
      <c r="DK74" s="503"/>
      <c r="DL74" s="502"/>
      <c r="DM74" s="502"/>
      <c r="DN74" s="502"/>
      <c r="DO74" s="502"/>
      <c r="DP74" s="503"/>
      <c r="DQ74" s="503"/>
      <c r="DR74" s="296"/>
      <c r="DS74" s="296"/>
      <c r="DT74" s="296"/>
    </row>
    <row r="75" spans="1:124" ht="12.6" customHeight="1" x14ac:dyDescent="0.25">
      <c r="A75" s="2155" t="s">
        <v>2097</v>
      </c>
      <c r="B75" s="512"/>
      <c r="C75" s="512">
        <f t="shared" ref="C75:AH75" si="170">SUM(C65:C73)</f>
        <v>29.566999999999993</v>
      </c>
      <c r="D75" s="512">
        <f t="shared" si="170"/>
        <v>34.096000000000004</v>
      </c>
      <c r="E75" s="512">
        <f t="shared" si="170"/>
        <v>30.600000000000009</v>
      </c>
      <c r="F75" s="512">
        <f t="shared" si="170"/>
        <v>31.370000000000008</v>
      </c>
      <c r="G75" s="513">
        <f t="shared" si="170"/>
        <v>125.63300000000005</v>
      </c>
      <c r="H75" s="512">
        <f t="shared" si="170"/>
        <v>30.926411153635868</v>
      </c>
      <c r="I75" s="512">
        <f t="shared" si="170"/>
        <v>30.88131146344006</v>
      </c>
      <c r="J75" s="512">
        <f t="shared" si="170"/>
        <v>73.628999999999991</v>
      </c>
      <c r="K75" s="512">
        <f t="shared" si="170"/>
        <v>65.821145463776887</v>
      </c>
      <c r="L75" s="513">
        <f t="shared" si="170"/>
        <v>201.25786808085277</v>
      </c>
      <c r="M75" s="512">
        <f t="shared" si="170"/>
        <v>75.177999999999997</v>
      </c>
      <c r="N75" s="512">
        <f t="shared" si="170"/>
        <v>75.696000000000012</v>
      </c>
      <c r="O75" s="512">
        <f t="shared" si="170"/>
        <v>191.608</v>
      </c>
      <c r="P75" s="512">
        <f t="shared" si="170"/>
        <v>144.98000000000002</v>
      </c>
      <c r="Q75" s="513">
        <f t="shared" si="170"/>
        <v>487.46200000000005</v>
      </c>
      <c r="R75" s="512">
        <f t="shared" si="170"/>
        <v>77.120999999999995</v>
      </c>
      <c r="S75" s="512">
        <f t="shared" si="170"/>
        <v>73.255999999999986</v>
      </c>
      <c r="T75" s="512">
        <f t="shared" si="170"/>
        <v>81.936999999999998</v>
      </c>
      <c r="U75" s="512">
        <f t="shared" si="170"/>
        <v>59.925999999999995</v>
      </c>
      <c r="V75" s="513">
        <f t="shared" si="170"/>
        <v>292.23999999999995</v>
      </c>
      <c r="W75" s="512">
        <f t="shared" si="170"/>
        <v>72.725999999999985</v>
      </c>
      <c r="X75" s="512">
        <f t="shared" si="170"/>
        <v>68.881999999999948</v>
      </c>
      <c r="Y75" s="512">
        <f t="shared" si="170"/>
        <v>255.18500000000003</v>
      </c>
      <c r="Z75" s="512">
        <f t="shared" si="170"/>
        <v>-444.37800000000004</v>
      </c>
      <c r="AA75" s="513">
        <f t="shared" si="170"/>
        <v>-47.585000000000036</v>
      </c>
      <c r="AB75" s="512">
        <f t="shared" si="170"/>
        <v>74.477000000000018</v>
      </c>
      <c r="AC75" s="512">
        <f t="shared" si="170"/>
        <v>50.928000000000004</v>
      </c>
      <c r="AD75" s="512">
        <f t="shared" si="170"/>
        <v>45.379999999999981</v>
      </c>
      <c r="AE75" s="514">
        <f t="shared" si="170"/>
        <v>-498.666</v>
      </c>
      <c r="AF75" s="515">
        <f t="shared" si="170"/>
        <v>-327.88099999999997</v>
      </c>
      <c r="AG75" s="514">
        <f t="shared" si="170"/>
        <v>56.061000000000035</v>
      </c>
      <c r="AH75" s="514">
        <f t="shared" si="170"/>
        <v>19.773999999999997</v>
      </c>
      <c r="AI75" s="514">
        <f t="shared" ref="AI75:BN75" si="171">SUM(AI65:AI73)</f>
        <v>82.782000000000011</v>
      </c>
      <c r="AJ75" s="514">
        <f t="shared" si="171"/>
        <v>-154.09400000000002</v>
      </c>
      <c r="AK75" s="515">
        <f t="shared" si="171"/>
        <v>4.5230000000000246</v>
      </c>
      <c r="AL75" s="514">
        <f t="shared" si="171"/>
        <v>89.765000000000001</v>
      </c>
      <c r="AM75" s="514">
        <f t="shared" si="171"/>
        <v>114.30900000000003</v>
      </c>
      <c r="AN75" s="514">
        <f t="shared" si="171"/>
        <v>109.08100000000006</v>
      </c>
      <c r="AO75" s="514">
        <f t="shared" si="171"/>
        <v>76.07699999999997</v>
      </c>
      <c r="AP75" s="516">
        <f t="shared" si="171"/>
        <v>389.23200000000008</v>
      </c>
      <c r="AQ75" s="516">
        <f t="shared" si="171"/>
        <v>125.47299999999996</v>
      </c>
      <c r="AR75" s="514">
        <f t="shared" si="171"/>
        <v>112.96600000000002</v>
      </c>
      <c r="AS75" s="514">
        <f t="shared" si="171"/>
        <v>77.784000000000034</v>
      </c>
      <c r="AT75" s="514">
        <f t="shared" si="171"/>
        <v>48.302999999999955</v>
      </c>
      <c r="AU75" s="515">
        <f t="shared" si="171"/>
        <v>364.5259999999999</v>
      </c>
      <c r="AV75" s="514">
        <f t="shared" si="171"/>
        <v>108.038</v>
      </c>
      <c r="AW75" s="514">
        <f t="shared" si="171"/>
        <v>26.386999999999986</v>
      </c>
      <c r="AX75" s="514">
        <f t="shared" si="171"/>
        <v>70.449000000000012</v>
      </c>
      <c r="AY75" s="1590">
        <f t="shared" si="171"/>
        <v>-1120.751</v>
      </c>
      <c r="AZ75" s="515">
        <f t="shared" si="171"/>
        <v>-915.87699999999973</v>
      </c>
      <c r="BA75" s="514">
        <f t="shared" si="171"/>
        <v>2.5810000000000128</v>
      </c>
      <c r="BB75" s="514">
        <f t="shared" si="171"/>
        <v>0.83799999999997388</v>
      </c>
      <c r="BC75" s="514">
        <f t="shared" si="171"/>
        <v>4.8190000000000071</v>
      </c>
      <c r="BD75" s="1590">
        <f t="shared" si="171"/>
        <v>-161.54099999999997</v>
      </c>
      <c r="BE75" s="515">
        <f t="shared" si="171"/>
        <v>-153.30299999999997</v>
      </c>
      <c r="BF75" s="514">
        <f t="shared" si="171"/>
        <v>12.283999999999965</v>
      </c>
      <c r="BG75" s="514">
        <f t="shared" si="171"/>
        <v>19.204000000000001</v>
      </c>
      <c r="BH75" s="514">
        <f t="shared" si="171"/>
        <v>40.279999999999959</v>
      </c>
      <c r="BI75" s="1590">
        <f t="shared" si="171"/>
        <v>-15.155999999999988</v>
      </c>
      <c r="BJ75" s="515">
        <f t="shared" si="171"/>
        <v>56.611999999999952</v>
      </c>
      <c r="BK75" s="514">
        <f t="shared" si="171"/>
        <v>31.442000000000014</v>
      </c>
      <c r="BL75" s="514">
        <f t="shared" si="171"/>
        <v>44.838999999999999</v>
      </c>
      <c r="BM75" s="514">
        <f t="shared" si="171"/>
        <v>37.062000000000012</v>
      </c>
      <c r="BN75" s="1590">
        <f t="shared" si="171"/>
        <v>7.27400000000004</v>
      </c>
      <c r="BO75" s="515">
        <f t="shared" ref="BO75:CF75" si="172">SUM(BO65:BO73)</f>
        <v>120.61700000000012</v>
      </c>
      <c r="BP75" s="514">
        <f t="shared" si="172"/>
        <v>7.3019999999999712</v>
      </c>
      <c r="BQ75" s="514">
        <f t="shared" si="172"/>
        <v>23.304000000000048</v>
      </c>
      <c r="BR75" s="514">
        <f t="shared" si="172"/>
        <v>30.275999999999978</v>
      </c>
      <c r="BS75" s="514">
        <f t="shared" si="172"/>
        <v>-85.925999999999959</v>
      </c>
      <c r="BT75" s="515">
        <f t="shared" ref="BT75:BY75" si="173">SUM(BT65:BT73)</f>
        <v>-25.043999999999947</v>
      </c>
      <c r="BU75" s="514">
        <f t="shared" si="173"/>
        <v>47.364089339480714</v>
      </c>
      <c r="BV75" s="514">
        <f t="shared" si="173"/>
        <v>55.363964550523193</v>
      </c>
      <c r="BW75" s="514">
        <f t="shared" si="173"/>
        <v>93.657675532218207</v>
      </c>
      <c r="BX75" s="514">
        <f t="shared" si="173"/>
        <v>65.202457577131881</v>
      </c>
      <c r="BY75" s="515">
        <f t="shared" si="173"/>
        <v>261.58818699935426</v>
      </c>
      <c r="BZ75" s="515">
        <f t="shared" si="172"/>
        <v>403.75552855603081</v>
      </c>
      <c r="CA75" s="515">
        <f t="shared" si="172"/>
        <v>386.36550142312655</v>
      </c>
      <c r="CB75" s="515">
        <f t="shared" si="172"/>
        <v>95.370300459351157</v>
      </c>
      <c r="CC75" s="515">
        <f t="shared" si="172"/>
        <v>19.060939512113944</v>
      </c>
      <c r="CD75" s="515">
        <f t="shared" si="172"/>
        <v>24.488519032397821</v>
      </c>
      <c r="CE75" s="515">
        <f t="shared" si="172"/>
        <v>41.588858247003571</v>
      </c>
      <c r="CF75" s="515">
        <f t="shared" si="172"/>
        <v>57.457722824429695</v>
      </c>
      <c r="CG75" s="2144"/>
      <c r="CH75" s="2144"/>
      <c r="CI75" s="2144"/>
      <c r="CJ75" s="2144"/>
      <c r="CK75" s="2144"/>
      <c r="CL75" s="516" t="str">
        <f t="shared" ref="CL75:CL80" si="174">A75</f>
        <v>Income before taxes</v>
      </c>
      <c r="CM75" s="514">
        <f t="shared" si="151"/>
        <v>125.63300000000005</v>
      </c>
      <c r="CN75" s="514">
        <f t="shared" si="152"/>
        <v>201.25786808085277</v>
      </c>
      <c r="CO75" s="514">
        <f t="shared" si="153"/>
        <v>487.46200000000005</v>
      </c>
      <c r="CP75" s="514">
        <f t="shared" si="154"/>
        <v>292.23999999999995</v>
      </c>
      <c r="CQ75" s="514">
        <f t="shared" si="155"/>
        <v>-47.585000000000036</v>
      </c>
      <c r="CR75" s="514">
        <f t="shared" si="156"/>
        <v>-327.88099999999997</v>
      </c>
      <c r="CS75" s="514">
        <f t="shared" si="157"/>
        <v>4.5230000000000246</v>
      </c>
      <c r="CT75" s="514">
        <f t="shared" si="158"/>
        <v>389.23200000000008</v>
      </c>
      <c r="CU75" s="514">
        <f t="shared" si="159"/>
        <v>364.5259999999999</v>
      </c>
      <c r="CV75" s="514">
        <f t="shared" si="160"/>
        <v>-915.87699999999973</v>
      </c>
      <c r="CW75" s="514">
        <f t="shared" si="161"/>
        <v>-153.30299999999997</v>
      </c>
      <c r="CX75" s="514">
        <f t="shared" si="162"/>
        <v>56.611999999999952</v>
      </c>
      <c r="CY75" s="514">
        <f t="shared" si="163"/>
        <v>120.61700000000012</v>
      </c>
      <c r="CZ75" s="514">
        <f t="shared" si="164"/>
        <v>-25.043999999999947</v>
      </c>
      <c r="DA75" s="514">
        <f t="shared" si="165"/>
        <v>261.58818699935426</v>
      </c>
      <c r="DB75" s="514">
        <f t="shared" si="166"/>
        <v>403.75552855603081</v>
      </c>
      <c r="DC75" s="1590">
        <f t="shared" si="167"/>
        <v>386.36550142312655</v>
      </c>
      <c r="DD75" s="2144"/>
      <c r="DE75" s="2144"/>
      <c r="DF75" s="2144"/>
      <c r="DG75" s="2144"/>
      <c r="DH75" s="514"/>
      <c r="DI75" s="3213"/>
      <c r="DJ75" s="2144"/>
      <c r="DK75" s="2144"/>
      <c r="DL75" s="2144"/>
      <c r="DM75" s="2144"/>
      <c r="DN75" s="2144"/>
      <c r="DO75" s="2144"/>
      <c r="DP75" s="2144"/>
      <c r="DQ75" s="2144"/>
      <c r="DR75" s="2154"/>
      <c r="DS75" s="2154"/>
      <c r="DT75" s="2154"/>
    </row>
    <row r="76" spans="1:124" ht="12.6" customHeight="1" x14ac:dyDescent="0.25">
      <c r="A76" s="392" t="s">
        <v>953</v>
      </c>
      <c r="B76" s="281"/>
      <c r="C76" s="480">
        <v>-11.78</v>
      </c>
      <c r="D76" s="480">
        <v>-14.374000000000001</v>
      </c>
      <c r="E76" s="480">
        <v>-13.41</v>
      </c>
      <c r="F76" s="480">
        <v>-14.505000000000001</v>
      </c>
      <c r="G76" s="481">
        <f>SUM(C76:F76)</f>
        <v>-54.069000000000003</v>
      </c>
      <c r="H76" s="480">
        <v>-15.124411153635865</v>
      </c>
      <c r="I76" s="480">
        <v>-18.762311463440078</v>
      </c>
      <c r="J76" s="480">
        <v>-18.227999999999998</v>
      </c>
      <c r="K76" s="480">
        <v>-28.232145463776856</v>
      </c>
      <c r="L76" s="481">
        <f>SUM(H76:K76)</f>
        <v>-80.346868080852801</v>
      </c>
      <c r="M76" s="480">
        <v>-33.195</v>
      </c>
      <c r="N76" s="480">
        <v>-33.000999999999998</v>
      </c>
      <c r="O76" s="480">
        <v>-36.548000000000002</v>
      </c>
      <c r="P76" s="480">
        <v>-57.63</v>
      </c>
      <c r="Q76" s="481">
        <f>SUM(M76:P76)</f>
        <v>-160.374</v>
      </c>
      <c r="R76" s="480">
        <v>-34.18</v>
      </c>
      <c r="S76" s="480">
        <v>-34.957000000000001</v>
      </c>
      <c r="T76" s="480">
        <v>-35.347000000000001</v>
      </c>
      <c r="U76" s="480">
        <v>-27.702999999999999</v>
      </c>
      <c r="V76" s="481">
        <f>SUM(R76:U76)</f>
        <v>-132.18700000000001</v>
      </c>
      <c r="W76" s="480">
        <v>-31.99</v>
      </c>
      <c r="X76" s="480">
        <v>-31.859000000000002</v>
      </c>
      <c r="Y76" s="480">
        <f>-107.694</f>
        <v>-107.694</v>
      </c>
      <c r="Z76" s="480">
        <v>65.805000000000007</v>
      </c>
      <c r="AA76" s="481">
        <f>SUM(W76:Z76)</f>
        <v>-105.738</v>
      </c>
      <c r="AB76" s="480">
        <f>-33.816</f>
        <v>-33.816000000000003</v>
      </c>
      <c r="AC76" s="480">
        <v>-22.448</v>
      </c>
      <c r="AD76" s="480">
        <v>-24.029</v>
      </c>
      <c r="AE76" s="482">
        <v>140.761</v>
      </c>
      <c r="AF76" s="481">
        <f>SUM(AB76:AE76)</f>
        <v>60.467999999999989</v>
      </c>
      <c r="AG76" s="482">
        <v>-19.901</v>
      </c>
      <c r="AH76" s="482">
        <v>-12.802</v>
      </c>
      <c r="AI76" s="482">
        <v>-34.436999999999998</v>
      </c>
      <c r="AJ76" s="482">
        <v>0.96199999999999997</v>
      </c>
      <c r="AK76" s="481">
        <f>SUM(AG76:AJ76)</f>
        <v>-66.177999999999997</v>
      </c>
      <c r="AL76" s="482">
        <v>-38.237000000000002</v>
      </c>
      <c r="AM76" s="482">
        <v>-38.32</v>
      </c>
      <c r="AN76" s="482">
        <v>-38.277999999999999</v>
      </c>
      <c r="AO76" s="482">
        <v>-32.045999999999999</v>
      </c>
      <c r="AP76" s="483">
        <f>SUM(AL76:AO76)</f>
        <v>-146.881</v>
      </c>
      <c r="AQ76" s="1676">
        <v>-46.853999999999999</v>
      </c>
      <c r="AR76" s="482">
        <v>-46.298999999999999</v>
      </c>
      <c r="AS76" s="482">
        <v>-31.338000000000001</v>
      </c>
      <c r="AT76" s="482">
        <v>-28.064</v>
      </c>
      <c r="AU76" s="481">
        <f>SUM(AQ76:AT76)</f>
        <v>-152.55499999999998</v>
      </c>
      <c r="AV76" s="482">
        <v>-42.767000000000003</v>
      </c>
      <c r="AW76" s="482">
        <v>-38.567</v>
      </c>
      <c r="AX76" s="482">
        <v>-29.132000000000001</v>
      </c>
      <c r="AY76" s="2579">
        <v>232.00399999999999</v>
      </c>
      <c r="AZ76" s="481">
        <f>SUM(AV76:AY76)</f>
        <v>121.53799999999998</v>
      </c>
      <c r="BA76" s="2675">
        <v>-2.0009999999999999</v>
      </c>
      <c r="BB76" s="2675">
        <v>-20.111000000000001</v>
      </c>
      <c r="BC76" s="2675">
        <v>-20.167000000000002</v>
      </c>
      <c r="BD76" s="2675">
        <f>+-30.519-SUM(BA76:BC76)</f>
        <v>11.760000000000005</v>
      </c>
      <c r="BE76" s="481">
        <f>SUM(BA76:BD76)</f>
        <v>-30.518999999999998</v>
      </c>
      <c r="BF76" s="2675">
        <v>-10.414999999999999</v>
      </c>
      <c r="BG76" s="2675">
        <v>-16.221</v>
      </c>
      <c r="BH76" s="2675">
        <v>-35.380000000000003</v>
      </c>
      <c r="BI76" s="2675">
        <f>+-55.924-SUM(BF76:BH76)</f>
        <v>6.0920000000000059</v>
      </c>
      <c r="BJ76" s="481">
        <f>SUM(BF76:BI76)</f>
        <v>-55.923999999999999</v>
      </c>
      <c r="BK76" s="2953">
        <v>-7.734</v>
      </c>
      <c r="BL76" s="2953">
        <v>-10.804</v>
      </c>
      <c r="BM76" s="2953">
        <v>9.4730000000000008</v>
      </c>
      <c r="BN76" s="2952">
        <v>-2.242</v>
      </c>
      <c r="BO76" s="481">
        <f>SUM(BK76:BN76)</f>
        <v>-11.306999999999999</v>
      </c>
      <c r="BP76" s="2953">
        <v>-2.198</v>
      </c>
      <c r="BQ76" s="2953">
        <v>-6.2249999999999996</v>
      </c>
      <c r="BR76" s="2953">
        <v>759.06399999999996</v>
      </c>
      <c r="BS76" s="2953">
        <v>-252.13399999999999</v>
      </c>
      <c r="BT76" s="2587">
        <f>SUM(BP76:BS76)</f>
        <v>498.50699999999995</v>
      </c>
      <c r="BU76" s="2840">
        <f>-BU1514*BU75-BU1519</f>
        <v>-9.9464587612909501</v>
      </c>
      <c r="BV76" s="2840">
        <f>-BV1514*BV75-BV1519</f>
        <v>-11.62643255560987</v>
      </c>
      <c r="BW76" s="2840">
        <f>-BW1514*BW75-BW1519</f>
        <v>-19.668111861765823</v>
      </c>
      <c r="BX76" s="2840">
        <f>-BX1514*BX75-BX1519</f>
        <v>-13.692516091197694</v>
      </c>
      <c r="BY76" s="2587">
        <f>SUM(BU76:BX76)</f>
        <v>-54.933519269864341</v>
      </c>
      <c r="BZ76" s="481">
        <f>-BZ1514*BZ75-BZ1519</f>
        <v>-84.788660996766382</v>
      </c>
      <c r="CA76" s="481">
        <f>-CA1514*CA75-CA1519</f>
        <v>-81.1367552988565</v>
      </c>
      <c r="CB76" s="481">
        <f>-CB1514*CB75</f>
        <v>-20.027763096463723</v>
      </c>
      <c r="CC76" s="481">
        <f>-CC1514*CC75</f>
        <v>-4.0027972975439239</v>
      </c>
      <c r="CD76" s="481">
        <f>-CD1514*CD75</f>
        <v>-5.1425889968035374</v>
      </c>
      <c r="CE76" s="481">
        <f>-CE1514*CE75</f>
        <v>-8.7336602318707417</v>
      </c>
      <c r="CF76" s="481">
        <f>-CF1514*CF75</f>
        <v>-12.066121793130224</v>
      </c>
      <c r="CG76" s="600"/>
      <c r="CH76" s="600"/>
      <c r="CI76" s="600"/>
      <c r="CJ76" s="600"/>
      <c r="CK76" s="331"/>
      <c r="CL76" s="995" t="str">
        <f t="shared" si="174"/>
        <v>Income tax benefit (expense)</v>
      </c>
      <c r="CM76" s="430">
        <f t="shared" si="151"/>
        <v>-54.069000000000003</v>
      </c>
      <c r="CN76" s="430">
        <f t="shared" si="152"/>
        <v>-80.346868080852801</v>
      </c>
      <c r="CO76" s="430">
        <f t="shared" si="153"/>
        <v>-160.374</v>
      </c>
      <c r="CP76" s="430">
        <f t="shared" si="154"/>
        <v>-132.18700000000001</v>
      </c>
      <c r="CQ76" s="430">
        <f t="shared" si="155"/>
        <v>-105.738</v>
      </c>
      <c r="CR76" s="430">
        <f t="shared" si="156"/>
        <v>60.467999999999989</v>
      </c>
      <c r="CS76" s="430">
        <f t="shared" si="157"/>
        <v>-66.177999999999997</v>
      </c>
      <c r="CT76" s="430">
        <f t="shared" si="158"/>
        <v>-146.881</v>
      </c>
      <c r="CU76" s="430">
        <f t="shared" si="159"/>
        <v>-152.55499999999998</v>
      </c>
      <c r="CV76" s="430">
        <f t="shared" si="160"/>
        <v>121.53799999999998</v>
      </c>
      <c r="CW76" s="430">
        <f t="shared" si="161"/>
        <v>-30.518999999999998</v>
      </c>
      <c r="CX76" s="430">
        <f t="shared" si="162"/>
        <v>-55.923999999999999</v>
      </c>
      <c r="CY76" s="430">
        <f t="shared" si="163"/>
        <v>-11.306999999999999</v>
      </c>
      <c r="CZ76" s="430">
        <f t="shared" si="164"/>
        <v>498.50699999999995</v>
      </c>
      <c r="DA76" s="430">
        <f t="shared" si="165"/>
        <v>-54.933519269864341</v>
      </c>
      <c r="DB76" s="430">
        <f t="shared" si="166"/>
        <v>-84.788660996766382</v>
      </c>
      <c r="DC76" s="853">
        <f t="shared" si="167"/>
        <v>-81.1367552988565</v>
      </c>
      <c r="DD76" s="331"/>
      <c r="DE76" s="331"/>
      <c r="DF76" s="502"/>
      <c r="DG76" s="503"/>
      <c r="DH76" s="2840"/>
      <c r="DI76" s="3213"/>
      <c r="DJ76" s="502"/>
      <c r="DK76" s="503"/>
      <c r="DL76" s="502"/>
      <c r="DM76" s="502"/>
      <c r="DN76" s="502"/>
      <c r="DO76" s="502"/>
      <c r="DP76" s="503"/>
      <c r="DQ76" s="503"/>
      <c r="DR76" s="296"/>
      <c r="DS76" s="296"/>
      <c r="DT76" s="296"/>
    </row>
    <row r="77" spans="1:124" ht="12.6" customHeight="1" x14ac:dyDescent="0.25">
      <c r="A77" s="2156" t="s">
        <v>954</v>
      </c>
      <c r="B77" s="2157"/>
      <c r="C77" s="2158">
        <f>SUM(C75:C76)</f>
        <v>17.786999999999992</v>
      </c>
      <c r="D77" s="2158">
        <f t="shared" ref="D77:AK77" si="175">SUM(D75:D76)</f>
        <v>19.722000000000001</v>
      </c>
      <c r="E77" s="2158">
        <f t="shared" si="175"/>
        <v>17.190000000000008</v>
      </c>
      <c r="F77" s="2158">
        <f t="shared" si="175"/>
        <v>16.865000000000009</v>
      </c>
      <c r="G77" s="2159">
        <f t="shared" si="175"/>
        <v>71.56400000000005</v>
      </c>
      <c r="H77" s="2158">
        <f t="shared" si="175"/>
        <v>15.802000000000003</v>
      </c>
      <c r="I77" s="2158">
        <f t="shared" si="175"/>
        <v>12.118999999999982</v>
      </c>
      <c r="J77" s="2158">
        <f t="shared" si="175"/>
        <v>55.400999999999996</v>
      </c>
      <c r="K77" s="2158">
        <f t="shared" si="175"/>
        <v>37.589000000000027</v>
      </c>
      <c r="L77" s="2159">
        <f t="shared" si="175"/>
        <v>120.91099999999997</v>
      </c>
      <c r="M77" s="2158">
        <f t="shared" si="175"/>
        <v>41.982999999999997</v>
      </c>
      <c r="N77" s="2158">
        <f t="shared" si="175"/>
        <v>42.695000000000014</v>
      </c>
      <c r="O77" s="2158">
        <f t="shared" si="175"/>
        <v>155.06</v>
      </c>
      <c r="P77" s="2158">
        <f t="shared" si="175"/>
        <v>87.350000000000023</v>
      </c>
      <c r="Q77" s="2159">
        <f t="shared" si="175"/>
        <v>327.08800000000008</v>
      </c>
      <c r="R77" s="2158">
        <f t="shared" si="175"/>
        <v>42.940999999999995</v>
      </c>
      <c r="S77" s="2158">
        <f t="shared" si="175"/>
        <v>38.298999999999985</v>
      </c>
      <c r="T77" s="2158">
        <f t="shared" si="175"/>
        <v>46.589999999999996</v>
      </c>
      <c r="U77" s="2158">
        <f t="shared" si="175"/>
        <v>32.222999999999999</v>
      </c>
      <c r="V77" s="2159">
        <f t="shared" si="175"/>
        <v>160.05299999999994</v>
      </c>
      <c r="W77" s="2158">
        <f t="shared" si="175"/>
        <v>40.73599999999999</v>
      </c>
      <c r="X77" s="2158">
        <f t="shared" si="175"/>
        <v>37.022999999999946</v>
      </c>
      <c r="Y77" s="2158">
        <f t="shared" si="175"/>
        <v>147.49100000000004</v>
      </c>
      <c r="Z77" s="2158">
        <f t="shared" si="175"/>
        <v>-378.57300000000004</v>
      </c>
      <c r="AA77" s="2159">
        <f t="shared" si="175"/>
        <v>-153.32300000000004</v>
      </c>
      <c r="AB77" s="2158">
        <f t="shared" si="175"/>
        <v>40.661000000000016</v>
      </c>
      <c r="AC77" s="2158">
        <f t="shared" si="175"/>
        <v>28.480000000000004</v>
      </c>
      <c r="AD77" s="2158">
        <f t="shared" si="175"/>
        <v>21.350999999999981</v>
      </c>
      <c r="AE77" s="2160">
        <f>SUM(AE75:AE76)</f>
        <v>-357.90499999999997</v>
      </c>
      <c r="AF77" s="2161">
        <f t="shared" si="175"/>
        <v>-267.41300000000001</v>
      </c>
      <c r="AG77" s="2160">
        <f t="shared" si="175"/>
        <v>36.160000000000039</v>
      </c>
      <c r="AH77" s="2160">
        <f t="shared" si="175"/>
        <v>6.9719999999999978</v>
      </c>
      <c r="AI77" s="2160">
        <f t="shared" si="175"/>
        <v>48.345000000000013</v>
      </c>
      <c r="AJ77" s="2160">
        <f>SUM(AJ75:AJ76)</f>
        <v>-153.13200000000003</v>
      </c>
      <c r="AK77" s="2161">
        <f t="shared" si="175"/>
        <v>-61.654999999999973</v>
      </c>
      <c r="AL77" s="2160">
        <f t="shared" ref="AL77:BK77" si="176">SUM(AL75:AL76)</f>
        <v>51.527999999999999</v>
      </c>
      <c r="AM77" s="2160">
        <f t="shared" si="176"/>
        <v>75.989000000000033</v>
      </c>
      <c r="AN77" s="2160">
        <f t="shared" si="176"/>
        <v>70.803000000000054</v>
      </c>
      <c r="AO77" s="2160">
        <f t="shared" si="176"/>
        <v>44.03099999999997</v>
      </c>
      <c r="AP77" s="2162">
        <f t="shared" si="176"/>
        <v>242.35100000000008</v>
      </c>
      <c r="AQ77" s="2162">
        <f t="shared" si="176"/>
        <v>78.618999999999957</v>
      </c>
      <c r="AR77" s="2160">
        <f t="shared" si="176"/>
        <v>66.66700000000003</v>
      </c>
      <c r="AS77" s="2160">
        <f t="shared" si="176"/>
        <v>46.446000000000033</v>
      </c>
      <c r="AT77" s="2160">
        <f t="shared" si="176"/>
        <v>20.238999999999955</v>
      </c>
      <c r="AU77" s="2161">
        <f t="shared" si="176"/>
        <v>211.97099999999992</v>
      </c>
      <c r="AV77" s="2160">
        <f>SUM(AV75:AV76)</f>
        <v>65.270999999999987</v>
      </c>
      <c r="AW77" s="2160">
        <f>SUM(AW75:AW76)</f>
        <v>-12.180000000000014</v>
      </c>
      <c r="AX77" s="2160">
        <f>SUM(AX75:AX76)</f>
        <v>41.317000000000007</v>
      </c>
      <c r="AY77" s="2163">
        <f>SUM(AY75:AY76)</f>
        <v>-888.74699999999996</v>
      </c>
      <c r="AZ77" s="2161">
        <f t="shared" si="176"/>
        <v>-794.33899999999971</v>
      </c>
      <c r="BA77" s="2160">
        <f>SUM(BA75:BA76)</f>
        <v>0.58000000000001295</v>
      </c>
      <c r="BB77" s="2160">
        <f>SUM(BB75:BB76)</f>
        <v>-19.273000000000028</v>
      </c>
      <c r="BC77" s="2160">
        <f>SUM(BC75:BC76)</f>
        <v>-15.347999999999995</v>
      </c>
      <c r="BD77" s="2163">
        <f>SUM(BD75:BD76)</f>
        <v>-149.78099999999995</v>
      </c>
      <c r="BE77" s="2161">
        <f t="shared" si="176"/>
        <v>-183.82199999999997</v>
      </c>
      <c r="BF77" s="2160">
        <f t="shared" si="176"/>
        <v>1.868999999999966</v>
      </c>
      <c r="BG77" s="2160">
        <f t="shared" si="176"/>
        <v>2.9830000000000005</v>
      </c>
      <c r="BH77" s="2160">
        <f t="shared" si="176"/>
        <v>4.8999999999999559</v>
      </c>
      <c r="BI77" s="2163">
        <f t="shared" si="176"/>
        <v>-9.0639999999999823</v>
      </c>
      <c r="BJ77" s="2161">
        <f t="shared" si="176"/>
        <v>0.68799999999995265</v>
      </c>
      <c r="BK77" s="2160">
        <f t="shared" si="176"/>
        <v>23.708000000000013</v>
      </c>
      <c r="BL77" s="2160">
        <f t="shared" ref="BL77:CF77" si="177">SUM(BL75:BL76)</f>
        <v>34.034999999999997</v>
      </c>
      <c r="BM77" s="2160">
        <f t="shared" si="177"/>
        <v>46.535000000000011</v>
      </c>
      <c r="BN77" s="2163">
        <f t="shared" si="177"/>
        <v>5.03200000000004</v>
      </c>
      <c r="BO77" s="2161">
        <f t="shared" si="177"/>
        <v>109.31000000000012</v>
      </c>
      <c r="BP77" s="2160">
        <f t="shared" si="177"/>
        <v>5.1039999999999708</v>
      </c>
      <c r="BQ77" s="2160">
        <f t="shared" si="177"/>
        <v>17.07900000000005</v>
      </c>
      <c r="BR77" s="2160">
        <f t="shared" si="177"/>
        <v>789.33999999999992</v>
      </c>
      <c r="BS77" s="2160">
        <f t="shared" si="177"/>
        <v>-338.05999999999995</v>
      </c>
      <c r="BT77" s="2161">
        <f t="shared" si="177"/>
        <v>473.46300000000002</v>
      </c>
      <c r="BU77" s="2160">
        <f t="shared" si="177"/>
        <v>37.417630578189765</v>
      </c>
      <c r="BV77" s="2160">
        <f>SUM(BV75:BV76)</f>
        <v>43.737531994913326</v>
      </c>
      <c r="BW77" s="2160">
        <f>SUM(BW75:BW76)</f>
        <v>73.989563670452384</v>
      </c>
      <c r="BX77" s="2160">
        <f>SUM(BX75:BX76)</f>
        <v>51.509941485934185</v>
      </c>
      <c r="BY77" s="2161">
        <f>SUM(BY75:BY76)</f>
        <v>206.65466772948992</v>
      </c>
      <c r="BZ77" s="2161">
        <f t="shared" si="177"/>
        <v>318.96686755926441</v>
      </c>
      <c r="CA77" s="2161">
        <f t="shared" si="177"/>
        <v>305.22874612427006</v>
      </c>
      <c r="CB77" s="2161">
        <f t="shared" si="177"/>
        <v>75.342537362887441</v>
      </c>
      <c r="CC77" s="2161">
        <f t="shared" si="177"/>
        <v>15.058142214570019</v>
      </c>
      <c r="CD77" s="2161">
        <f t="shared" si="177"/>
        <v>19.345930035594286</v>
      </c>
      <c r="CE77" s="2161">
        <f t="shared" si="177"/>
        <v>32.855198015132828</v>
      </c>
      <c r="CF77" s="2161">
        <f t="shared" si="177"/>
        <v>45.391601031299473</v>
      </c>
      <c r="CG77" s="450"/>
      <c r="CH77" s="450"/>
      <c r="CI77" s="450"/>
      <c r="CJ77" s="450"/>
      <c r="CK77" s="450"/>
      <c r="CL77" s="2162" t="str">
        <f t="shared" si="174"/>
        <v>Net income</v>
      </c>
      <c r="CM77" s="2160">
        <f t="shared" si="151"/>
        <v>71.56400000000005</v>
      </c>
      <c r="CN77" s="2160">
        <f t="shared" si="152"/>
        <v>120.91099999999997</v>
      </c>
      <c r="CO77" s="2160">
        <f t="shared" si="153"/>
        <v>327.08800000000008</v>
      </c>
      <c r="CP77" s="2160">
        <f t="shared" si="154"/>
        <v>160.05299999999994</v>
      </c>
      <c r="CQ77" s="2160">
        <f t="shared" si="155"/>
        <v>-153.32300000000004</v>
      </c>
      <c r="CR77" s="2160">
        <f t="shared" si="156"/>
        <v>-267.41300000000001</v>
      </c>
      <c r="CS77" s="2160">
        <f t="shared" si="157"/>
        <v>-61.654999999999973</v>
      </c>
      <c r="CT77" s="2160">
        <f t="shared" si="158"/>
        <v>242.35100000000008</v>
      </c>
      <c r="CU77" s="2160">
        <f t="shared" si="159"/>
        <v>211.97099999999992</v>
      </c>
      <c r="CV77" s="2160">
        <f t="shared" si="160"/>
        <v>-794.33899999999971</v>
      </c>
      <c r="CW77" s="2160">
        <f t="shared" si="161"/>
        <v>-183.82199999999997</v>
      </c>
      <c r="CX77" s="2160">
        <f t="shared" si="162"/>
        <v>0.68799999999995265</v>
      </c>
      <c r="CY77" s="2160">
        <f t="shared" si="163"/>
        <v>109.31000000000012</v>
      </c>
      <c r="CZ77" s="2160">
        <f t="shared" si="164"/>
        <v>473.46300000000002</v>
      </c>
      <c r="DA77" s="2160">
        <f t="shared" si="165"/>
        <v>206.65466772948992</v>
      </c>
      <c r="DB77" s="2160">
        <f t="shared" si="166"/>
        <v>318.96686755926441</v>
      </c>
      <c r="DC77" s="2163">
        <f t="shared" si="167"/>
        <v>305.22874612427006</v>
      </c>
      <c r="DD77" s="450"/>
      <c r="DE77" s="450"/>
      <c r="DF77" s="2144"/>
      <c r="DG77" s="2144"/>
      <c r="DH77" s="514"/>
      <c r="DI77" s="3213"/>
      <c r="DJ77" s="2144"/>
      <c r="DK77" s="2144"/>
      <c r="DL77" s="2144"/>
      <c r="DM77" s="2144"/>
      <c r="DN77" s="2144"/>
      <c r="DO77" s="2144"/>
      <c r="DP77" s="2144"/>
      <c r="DQ77" s="2144"/>
      <c r="DR77" s="2145"/>
      <c r="DS77" s="2145"/>
      <c r="DT77" s="2145"/>
    </row>
    <row r="78" spans="1:124" ht="12.6" customHeight="1" x14ac:dyDescent="0.25">
      <c r="A78" s="995" t="s">
        <v>1823</v>
      </c>
      <c r="B78" s="428"/>
      <c r="C78" s="482">
        <v>0</v>
      </c>
      <c r="D78" s="482">
        <v>0</v>
      </c>
      <c r="E78" s="482">
        <v>0</v>
      </c>
      <c r="F78" s="482">
        <v>0</v>
      </c>
      <c r="G78" s="481">
        <f>SUM(C78:F78)</f>
        <v>0</v>
      </c>
      <c r="H78" s="482">
        <v>0</v>
      </c>
      <c r="I78" s="482">
        <v>0</v>
      </c>
      <c r="J78" s="482">
        <v>0</v>
      </c>
      <c r="K78" s="482">
        <v>0</v>
      </c>
      <c r="L78" s="481">
        <f>SUM(H78:K78)</f>
        <v>0</v>
      </c>
      <c r="M78" s="482">
        <v>0</v>
      </c>
      <c r="N78" s="482">
        <v>0</v>
      </c>
      <c r="O78" s="482">
        <v>0</v>
      </c>
      <c r="P78" s="482">
        <v>0</v>
      </c>
      <c r="Q78" s="481">
        <f>SUM(M78:P78)</f>
        <v>0</v>
      </c>
      <c r="R78" s="482">
        <v>0</v>
      </c>
      <c r="S78" s="482">
        <v>0</v>
      </c>
      <c r="T78" s="482">
        <v>0</v>
      </c>
      <c r="U78" s="482">
        <v>0</v>
      </c>
      <c r="V78" s="481">
        <f>SUM(R78:U78)</f>
        <v>0</v>
      </c>
      <c r="W78" s="482">
        <v>0</v>
      </c>
      <c r="X78" s="482">
        <v>0</v>
      </c>
      <c r="Y78" s="482">
        <v>0</v>
      </c>
      <c r="Z78" s="482">
        <v>0</v>
      </c>
      <c r="AA78" s="481">
        <f>SUM(W78:Z78)</f>
        <v>0</v>
      </c>
      <c r="AB78" s="482">
        <v>0</v>
      </c>
      <c r="AC78" s="482">
        <v>0</v>
      </c>
      <c r="AD78" s="482">
        <v>0</v>
      </c>
      <c r="AE78" s="482">
        <v>-2.4649999999999999</v>
      </c>
      <c r="AF78" s="481">
        <f>SUM(AB78:AE78)</f>
        <v>-2.4649999999999999</v>
      </c>
      <c r="AG78" s="482">
        <v>-8.9999999999999993E-3</v>
      </c>
      <c r="AH78" s="482">
        <v>-2.1840000000000002</v>
      </c>
      <c r="AI78" s="1052">
        <v>0</v>
      </c>
      <c r="AJ78" s="482">
        <v>0</v>
      </c>
      <c r="AK78" s="481">
        <f>SUM(AG78:AJ78)</f>
        <v>-2.1930000000000001</v>
      </c>
      <c r="AL78" s="430">
        <f>AJ78</f>
        <v>0</v>
      </c>
      <c r="AM78" s="430">
        <f>AL78</f>
        <v>0</v>
      </c>
      <c r="AN78" s="430">
        <f>AM78</f>
        <v>0</v>
      </c>
      <c r="AO78" s="430">
        <f>AN78</f>
        <v>0</v>
      </c>
      <c r="AP78" s="483">
        <f>SUM(AL78:AO78)</f>
        <v>0</v>
      </c>
      <c r="AQ78" s="483">
        <v>0</v>
      </c>
      <c r="AR78" s="430">
        <f>AQ78</f>
        <v>0</v>
      </c>
      <c r="AS78" s="482">
        <v>0</v>
      </c>
      <c r="AT78" s="430">
        <f>AS78</f>
        <v>0</v>
      </c>
      <c r="AU78" s="481">
        <f>SUM(AQ78:AT78)</f>
        <v>0</v>
      </c>
      <c r="AV78" s="482">
        <v>0</v>
      </c>
      <c r="AW78" s="482">
        <v>0</v>
      </c>
      <c r="AX78" s="482">
        <v>0</v>
      </c>
      <c r="AY78" s="862">
        <v>0</v>
      </c>
      <c r="AZ78" s="481">
        <f>SUM(AV78:AY78)</f>
        <v>0</v>
      </c>
      <c r="BA78" s="482">
        <v>0</v>
      </c>
      <c r="BB78" s="482">
        <v>0</v>
      </c>
      <c r="BC78" s="482">
        <v>0</v>
      </c>
      <c r="BD78" s="862">
        <v>0</v>
      </c>
      <c r="BE78" s="853">
        <f>SUM(BA78:BD78)</f>
        <v>0</v>
      </c>
      <c r="BF78" s="482">
        <v>0</v>
      </c>
      <c r="BG78" s="482">
        <v>0</v>
      </c>
      <c r="BH78" s="482">
        <v>0</v>
      </c>
      <c r="BI78" s="862">
        <v>0</v>
      </c>
      <c r="BJ78" s="853">
        <f>SUM(BF78:BI78)</f>
        <v>0</v>
      </c>
      <c r="BK78" s="482">
        <v>0</v>
      </c>
      <c r="BL78" s="482">
        <v>0</v>
      </c>
      <c r="BM78" s="482">
        <v>0</v>
      </c>
      <c r="BN78" s="862">
        <v>0</v>
      </c>
      <c r="BO78" s="853">
        <f>SUM(BK78:BN78)</f>
        <v>0</v>
      </c>
      <c r="BP78" s="482">
        <v>0</v>
      </c>
      <c r="BQ78" s="482">
        <v>0</v>
      </c>
      <c r="BR78" s="482">
        <v>0</v>
      </c>
      <c r="BS78" s="482">
        <v>0</v>
      </c>
      <c r="BT78" s="3280">
        <f>SUM(BP78:BS78)</f>
        <v>0</v>
      </c>
      <c r="BU78" s="482">
        <v>0</v>
      </c>
      <c r="BV78" s="482">
        <v>0</v>
      </c>
      <c r="BW78" s="482">
        <v>0</v>
      </c>
      <c r="BX78" s="482">
        <v>0</v>
      </c>
      <c r="BY78" s="3280">
        <f>SUM(BU78:BX78)</f>
        <v>0</v>
      </c>
      <c r="BZ78" s="501">
        <v>0</v>
      </c>
      <c r="CA78" s="501">
        <v>0</v>
      </c>
      <c r="CB78" s="501">
        <v>0</v>
      </c>
      <c r="CC78" s="501">
        <v>0</v>
      </c>
      <c r="CD78" s="501">
        <v>0</v>
      </c>
      <c r="CE78" s="501">
        <v>0</v>
      </c>
      <c r="CF78" s="501">
        <v>0</v>
      </c>
      <c r="CG78" s="331"/>
      <c r="CH78" s="331"/>
      <c r="CI78" s="331"/>
      <c r="CJ78" s="331"/>
      <c r="CK78" s="331"/>
      <c r="CL78" s="995" t="str">
        <f t="shared" si="174"/>
        <v>Net loss of non-controlling interest</v>
      </c>
      <c r="CM78" s="430">
        <f t="shared" si="151"/>
        <v>0</v>
      </c>
      <c r="CN78" s="430">
        <f t="shared" si="152"/>
        <v>0</v>
      </c>
      <c r="CO78" s="430">
        <f t="shared" si="153"/>
        <v>0</v>
      </c>
      <c r="CP78" s="430">
        <f t="shared" si="154"/>
        <v>0</v>
      </c>
      <c r="CQ78" s="430">
        <f t="shared" si="155"/>
        <v>0</v>
      </c>
      <c r="CR78" s="430">
        <f t="shared" si="156"/>
        <v>-2.4649999999999999</v>
      </c>
      <c r="CS78" s="430">
        <f t="shared" si="157"/>
        <v>-2.1930000000000001</v>
      </c>
      <c r="CT78" s="430">
        <f t="shared" si="158"/>
        <v>0</v>
      </c>
      <c r="CU78" s="430">
        <f t="shared" si="159"/>
        <v>0</v>
      </c>
      <c r="CV78" s="430">
        <f t="shared" si="160"/>
        <v>0</v>
      </c>
      <c r="CW78" s="430">
        <f t="shared" si="161"/>
        <v>0</v>
      </c>
      <c r="CX78" s="430">
        <f t="shared" si="162"/>
        <v>0</v>
      </c>
      <c r="CY78" s="430">
        <f t="shared" si="163"/>
        <v>0</v>
      </c>
      <c r="CZ78" s="430">
        <f t="shared" si="164"/>
        <v>0</v>
      </c>
      <c r="DA78" s="430">
        <f t="shared" si="165"/>
        <v>0</v>
      </c>
      <c r="DB78" s="430">
        <f t="shared" si="166"/>
        <v>0</v>
      </c>
      <c r="DC78" s="853">
        <f t="shared" si="167"/>
        <v>0</v>
      </c>
      <c r="DD78" s="331"/>
      <c r="DE78" s="331"/>
      <c r="DF78" s="502"/>
      <c r="DG78" s="503"/>
      <c r="DH78" s="2840"/>
      <c r="DI78" s="3213"/>
      <c r="DJ78" s="502"/>
      <c r="DK78" s="503"/>
      <c r="DL78" s="502"/>
      <c r="DM78" s="502"/>
      <c r="DN78" s="502"/>
      <c r="DO78" s="502"/>
      <c r="DP78" s="503"/>
      <c r="DQ78" s="503"/>
      <c r="DR78" s="296"/>
      <c r="DS78" s="296"/>
      <c r="DT78" s="296"/>
    </row>
    <row r="79" spans="1:124" ht="12.6" customHeight="1" x14ac:dyDescent="0.25">
      <c r="A79" s="1813" t="s">
        <v>1824</v>
      </c>
      <c r="B79" s="2056"/>
      <c r="C79" s="1812">
        <f t="shared" ref="C79:AD79" si="178">C77-C78</f>
        <v>17.786999999999992</v>
      </c>
      <c r="D79" s="1812">
        <f t="shared" si="178"/>
        <v>19.722000000000001</v>
      </c>
      <c r="E79" s="1812">
        <f t="shared" si="178"/>
        <v>17.190000000000008</v>
      </c>
      <c r="F79" s="1812">
        <f t="shared" si="178"/>
        <v>16.865000000000009</v>
      </c>
      <c r="G79" s="1811">
        <f t="shared" si="178"/>
        <v>71.56400000000005</v>
      </c>
      <c r="H79" s="1812">
        <f t="shared" si="178"/>
        <v>15.802000000000003</v>
      </c>
      <c r="I79" s="1812">
        <f t="shared" si="178"/>
        <v>12.118999999999982</v>
      </c>
      <c r="J79" s="1812">
        <f t="shared" si="178"/>
        <v>55.400999999999996</v>
      </c>
      <c r="K79" s="1812">
        <f t="shared" si="178"/>
        <v>37.589000000000027</v>
      </c>
      <c r="L79" s="1811">
        <f t="shared" si="178"/>
        <v>120.91099999999997</v>
      </c>
      <c r="M79" s="1812">
        <f t="shared" si="178"/>
        <v>41.982999999999997</v>
      </c>
      <c r="N79" s="1812">
        <f t="shared" si="178"/>
        <v>42.695000000000014</v>
      </c>
      <c r="O79" s="1812">
        <f t="shared" si="178"/>
        <v>155.06</v>
      </c>
      <c r="P79" s="1812">
        <f t="shared" si="178"/>
        <v>87.350000000000023</v>
      </c>
      <c r="Q79" s="1811">
        <f t="shared" si="178"/>
        <v>327.08800000000008</v>
      </c>
      <c r="R79" s="1812">
        <f t="shared" si="178"/>
        <v>42.940999999999995</v>
      </c>
      <c r="S79" s="1812">
        <f t="shared" si="178"/>
        <v>38.298999999999985</v>
      </c>
      <c r="T79" s="1812">
        <f t="shared" si="178"/>
        <v>46.589999999999996</v>
      </c>
      <c r="U79" s="1812">
        <f t="shared" si="178"/>
        <v>32.222999999999999</v>
      </c>
      <c r="V79" s="1811">
        <f t="shared" si="178"/>
        <v>160.05299999999994</v>
      </c>
      <c r="W79" s="1812">
        <f t="shared" si="178"/>
        <v>40.73599999999999</v>
      </c>
      <c r="X79" s="1812">
        <f t="shared" si="178"/>
        <v>37.022999999999946</v>
      </c>
      <c r="Y79" s="1812">
        <f t="shared" si="178"/>
        <v>147.49100000000004</v>
      </c>
      <c r="Z79" s="1812">
        <f t="shared" si="178"/>
        <v>-378.57300000000004</v>
      </c>
      <c r="AA79" s="1811">
        <f t="shared" si="178"/>
        <v>-153.32300000000004</v>
      </c>
      <c r="AB79" s="1812">
        <f t="shared" si="178"/>
        <v>40.661000000000016</v>
      </c>
      <c r="AC79" s="1812">
        <f t="shared" si="178"/>
        <v>28.480000000000004</v>
      </c>
      <c r="AD79" s="1812">
        <f t="shared" si="178"/>
        <v>21.350999999999981</v>
      </c>
      <c r="AE79" s="1812">
        <f>AE77-AE78</f>
        <v>-355.44</v>
      </c>
      <c r="AF79" s="1811">
        <f>SUM(AB79:AE79)</f>
        <v>-264.94799999999998</v>
      </c>
      <c r="AG79" s="1812">
        <f>AG77-AG78</f>
        <v>36.16900000000004</v>
      </c>
      <c r="AH79" s="1812">
        <f>AH77-AH78</f>
        <v>9.1559999999999988</v>
      </c>
      <c r="AI79" s="1812">
        <f>AI77-AI78</f>
        <v>48.345000000000013</v>
      </c>
      <c r="AJ79" s="1812">
        <f>AJ77-AJ78</f>
        <v>-153.13200000000003</v>
      </c>
      <c r="AK79" s="1811">
        <f>AK77-AK78</f>
        <v>-59.461999999999975</v>
      </c>
      <c r="AL79" s="1812">
        <f t="shared" ref="AL79:BK79" si="179">AL77-AL78</f>
        <v>51.527999999999999</v>
      </c>
      <c r="AM79" s="1812">
        <f t="shared" si="179"/>
        <v>75.989000000000033</v>
      </c>
      <c r="AN79" s="1812">
        <f>AN77-AN78</f>
        <v>70.803000000000054</v>
      </c>
      <c r="AO79" s="1812">
        <f t="shared" si="179"/>
        <v>44.03099999999997</v>
      </c>
      <c r="AP79" s="1813">
        <f>AP77-AP78</f>
        <v>242.35100000000008</v>
      </c>
      <c r="AQ79" s="1813">
        <f t="shared" si="179"/>
        <v>78.618999999999957</v>
      </c>
      <c r="AR79" s="1812">
        <f t="shared" si="179"/>
        <v>66.66700000000003</v>
      </c>
      <c r="AS79" s="1812">
        <f t="shared" si="179"/>
        <v>46.446000000000033</v>
      </c>
      <c r="AT79" s="1812">
        <f t="shared" si="179"/>
        <v>20.238999999999955</v>
      </c>
      <c r="AU79" s="1811">
        <f>AU77-AU78</f>
        <v>211.97099999999992</v>
      </c>
      <c r="AV79" s="1812">
        <f>AV77-AV78</f>
        <v>65.270999999999987</v>
      </c>
      <c r="AW79" s="1812">
        <f>AW77-AW78</f>
        <v>-12.180000000000014</v>
      </c>
      <c r="AX79" s="1812">
        <f>AX77-AX78</f>
        <v>41.317000000000007</v>
      </c>
      <c r="AY79" s="1814">
        <f>AY77-AY78</f>
        <v>-888.74699999999996</v>
      </c>
      <c r="AZ79" s="1811">
        <f t="shared" si="179"/>
        <v>-794.33899999999971</v>
      </c>
      <c r="BA79" s="1812">
        <f>BA77-BA78</f>
        <v>0.58000000000001295</v>
      </c>
      <c r="BB79" s="1812">
        <f>BB77-BB78</f>
        <v>-19.273000000000028</v>
      </c>
      <c r="BC79" s="1812">
        <f>BC77-BC78</f>
        <v>-15.347999999999995</v>
      </c>
      <c r="BD79" s="1814">
        <f>BD77-BD78</f>
        <v>-149.78099999999995</v>
      </c>
      <c r="BE79" s="1811">
        <f t="shared" si="179"/>
        <v>-183.82199999999997</v>
      </c>
      <c r="BF79" s="1812">
        <f t="shared" si="179"/>
        <v>1.868999999999966</v>
      </c>
      <c r="BG79" s="1812">
        <f t="shared" si="179"/>
        <v>2.9830000000000005</v>
      </c>
      <c r="BH79" s="1812">
        <f t="shared" si="179"/>
        <v>4.8999999999999559</v>
      </c>
      <c r="BI79" s="1814">
        <f t="shared" si="179"/>
        <v>-9.0639999999999823</v>
      </c>
      <c r="BJ79" s="1811">
        <f t="shared" si="179"/>
        <v>0.68799999999995265</v>
      </c>
      <c r="BK79" s="1812">
        <f t="shared" si="179"/>
        <v>23.708000000000013</v>
      </c>
      <c r="BL79" s="1812">
        <f t="shared" ref="BL79:CF79" si="180">BL77-BL78</f>
        <v>34.034999999999997</v>
      </c>
      <c r="BM79" s="1812">
        <f t="shared" si="180"/>
        <v>46.535000000000011</v>
      </c>
      <c r="BN79" s="1814">
        <f t="shared" si="180"/>
        <v>5.03200000000004</v>
      </c>
      <c r="BO79" s="1811">
        <f t="shared" si="180"/>
        <v>109.31000000000012</v>
      </c>
      <c r="BP79" s="1812">
        <f t="shared" si="180"/>
        <v>5.1039999999999708</v>
      </c>
      <c r="BQ79" s="1812">
        <f t="shared" si="180"/>
        <v>17.07900000000005</v>
      </c>
      <c r="BR79" s="1812">
        <f t="shared" si="180"/>
        <v>789.33999999999992</v>
      </c>
      <c r="BS79" s="1812">
        <f t="shared" si="180"/>
        <v>-338.05999999999995</v>
      </c>
      <c r="BT79" s="1811">
        <f t="shared" si="180"/>
        <v>473.46300000000002</v>
      </c>
      <c r="BU79" s="1812">
        <f t="shared" si="180"/>
        <v>37.417630578189765</v>
      </c>
      <c r="BV79" s="1812">
        <f>BV77-BV78</f>
        <v>43.737531994913326</v>
      </c>
      <c r="BW79" s="1812">
        <f>BW77-BW78</f>
        <v>73.989563670452384</v>
      </c>
      <c r="BX79" s="1812">
        <f>BX77-BX78</f>
        <v>51.509941485934185</v>
      </c>
      <c r="BY79" s="1811">
        <f t="shared" si="180"/>
        <v>206.65466772948992</v>
      </c>
      <c r="BZ79" s="1811">
        <f t="shared" si="180"/>
        <v>318.96686755926441</v>
      </c>
      <c r="CA79" s="1811">
        <f t="shared" si="180"/>
        <v>305.22874612427006</v>
      </c>
      <c r="CB79" s="1811">
        <f t="shared" si="180"/>
        <v>75.342537362887441</v>
      </c>
      <c r="CC79" s="1811">
        <f t="shared" si="180"/>
        <v>15.058142214570019</v>
      </c>
      <c r="CD79" s="1811">
        <f t="shared" si="180"/>
        <v>19.345930035594286</v>
      </c>
      <c r="CE79" s="1811">
        <f t="shared" si="180"/>
        <v>32.855198015132828</v>
      </c>
      <c r="CF79" s="1811">
        <f t="shared" si="180"/>
        <v>45.391601031299473</v>
      </c>
      <c r="CG79" s="450"/>
      <c r="CH79" s="450"/>
      <c r="CI79" s="450"/>
      <c r="CJ79" s="450"/>
      <c r="CK79" s="450"/>
      <c r="CL79" s="2162" t="str">
        <f t="shared" si="174"/>
        <v>Net income to PENN</v>
      </c>
      <c r="CM79" s="2160">
        <f t="shared" si="151"/>
        <v>71.56400000000005</v>
      </c>
      <c r="CN79" s="2160">
        <f t="shared" si="152"/>
        <v>120.91099999999997</v>
      </c>
      <c r="CO79" s="2160">
        <f t="shared" si="153"/>
        <v>327.08800000000008</v>
      </c>
      <c r="CP79" s="2160">
        <f t="shared" si="154"/>
        <v>160.05299999999994</v>
      </c>
      <c r="CQ79" s="2160">
        <f t="shared" si="155"/>
        <v>-153.32300000000004</v>
      </c>
      <c r="CR79" s="2160">
        <f t="shared" si="156"/>
        <v>-264.94799999999998</v>
      </c>
      <c r="CS79" s="2160">
        <f t="shared" si="157"/>
        <v>-59.461999999999975</v>
      </c>
      <c r="CT79" s="2160">
        <f t="shared" si="158"/>
        <v>242.35100000000008</v>
      </c>
      <c r="CU79" s="2160">
        <f t="shared" si="159"/>
        <v>211.97099999999992</v>
      </c>
      <c r="CV79" s="2160">
        <f t="shared" si="160"/>
        <v>-794.33899999999971</v>
      </c>
      <c r="CW79" s="2160">
        <f t="shared" si="161"/>
        <v>-183.82199999999997</v>
      </c>
      <c r="CX79" s="2160">
        <f t="shared" si="162"/>
        <v>0.68799999999995265</v>
      </c>
      <c r="CY79" s="2160">
        <f t="shared" si="163"/>
        <v>109.31000000000012</v>
      </c>
      <c r="CZ79" s="2160">
        <f t="shared" si="164"/>
        <v>473.46300000000002</v>
      </c>
      <c r="DA79" s="2160">
        <f t="shared" si="165"/>
        <v>206.65466772948992</v>
      </c>
      <c r="DB79" s="2160">
        <f t="shared" si="166"/>
        <v>318.96686755926441</v>
      </c>
      <c r="DC79" s="2163">
        <f t="shared" si="167"/>
        <v>305.22874612427006</v>
      </c>
      <c r="DD79" s="450"/>
      <c r="DE79" s="450"/>
      <c r="DF79" s="2144"/>
      <c r="DG79" s="2144"/>
      <c r="DH79" s="514"/>
      <c r="DI79" s="3213"/>
      <c r="DJ79" s="2144"/>
      <c r="DK79" s="2144"/>
      <c r="DL79" s="2144"/>
      <c r="DM79" s="2144"/>
      <c r="DN79" s="2144"/>
      <c r="DO79" s="2144"/>
      <c r="DP79" s="2144"/>
      <c r="DQ79" s="2144"/>
      <c r="DR79" s="2145"/>
      <c r="DS79" s="2145"/>
      <c r="DT79" s="2145"/>
    </row>
    <row r="80" spans="1:124" ht="12.6" customHeight="1" x14ac:dyDescent="0.25">
      <c r="A80" s="2017" t="s">
        <v>864</v>
      </c>
      <c r="B80" s="1990"/>
      <c r="C80" s="1991" t="s">
        <v>1225</v>
      </c>
      <c r="D80" s="1991" t="s">
        <v>1225</v>
      </c>
      <c r="E80" s="1991">
        <v>23.6</v>
      </c>
      <c r="F80" s="1991">
        <v>16.600000000000001</v>
      </c>
      <c r="G80" s="1992">
        <v>85.1</v>
      </c>
      <c r="H80" s="1991">
        <v>13.9</v>
      </c>
      <c r="I80" s="1991">
        <v>28.5</v>
      </c>
      <c r="J80" s="1991" t="s">
        <v>1225</v>
      </c>
      <c r="K80" s="1991">
        <v>35.700000000000003</v>
      </c>
      <c r="L80" s="1992">
        <v>86.6</v>
      </c>
      <c r="M80" s="1991">
        <v>37.5</v>
      </c>
      <c r="N80" s="1991">
        <v>40.4</v>
      </c>
      <c r="O80" s="1991">
        <v>43.1</v>
      </c>
      <c r="P80" s="1991">
        <v>29.5</v>
      </c>
      <c r="Q80" s="1992">
        <v>154.69999999999999</v>
      </c>
      <c r="R80" s="1991">
        <v>40.1</v>
      </c>
      <c r="S80" s="1991">
        <v>40.200000000000003</v>
      </c>
      <c r="T80" s="1991">
        <v>46.7</v>
      </c>
      <c r="U80" s="1991">
        <v>35.9</v>
      </c>
      <c r="V80" s="1992">
        <v>163.9</v>
      </c>
      <c r="W80" s="1991" t="s">
        <v>1225</v>
      </c>
      <c r="X80" s="1991" t="s">
        <v>1225</v>
      </c>
      <c r="Y80" s="1991">
        <v>47.4</v>
      </c>
      <c r="Z80" s="1991">
        <v>29.9</v>
      </c>
      <c r="AA80" s="1992">
        <v>255.1</v>
      </c>
      <c r="AB80" s="1991">
        <v>33.799999999999997</v>
      </c>
      <c r="AC80" s="1991">
        <v>37.700000000000003</v>
      </c>
      <c r="AD80" s="1991">
        <v>37.700000000000003</v>
      </c>
      <c r="AE80" s="1991">
        <v>17.5</v>
      </c>
      <c r="AF80" s="1992">
        <v>107.9</v>
      </c>
      <c r="AG80" s="1991">
        <v>24.9</v>
      </c>
      <c r="AH80" s="1991">
        <v>27.2</v>
      </c>
      <c r="AI80" s="1991">
        <v>31.8</v>
      </c>
      <c r="AJ80" s="1991">
        <v>28.4</v>
      </c>
      <c r="AK80" s="1992">
        <v>122</v>
      </c>
      <c r="AL80" s="1991">
        <v>43.4</v>
      </c>
      <c r="AM80" s="1991">
        <v>49.7</v>
      </c>
      <c r="AN80" s="1991">
        <v>57.1</v>
      </c>
      <c r="AO80" s="1991">
        <v>49.5</v>
      </c>
      <c r="AP80" s="1993">
        <v>247.8</v>
      </c>
      <c r="AQ80" s="1993">
        <v>59.5</v>
      </c>
      <c r="AR80" s="1991">
        <v>67.400000000000006</v>
      </c>
      <c r="AS80" s="1991">
        <v>58.5</v>
      </c>
      <c r="AT80" s="1991">
        <v>59.1</v>
      </c>
      <c r="AU80" s="1992">
        <v>250.8</v>
      </c>
      <c r="AV80" s="1993">
        <v>68.3</v>
      </c>
      <c r="AW80" s="1991">
        <v>69.599999999999994</v>
      </c>
      <c r="AX80" s="1991">
        <v>44.1</v>
      </c>
      <c r="AY80" s="1991"/>
      <c r="AZ80" s="1992"/>
      <c r="BA80" s="1993">
        <v>4.3</v>
      </c>
      <c r="BB80" s="1991">
        <v>5.5</v>
      </c>
      <c r="BC80" s="1991">
        <v>5.3</v>
      </c>
      <c r="BD80" s="1991"/>
      <c r="BE80" s="1992">
        <v>2</v>
      </c>
      <c r="BF80" s="1991">
        <v>9.4</v>
      </c>
      <c r="BG80" s="1991">
        <v>10.1</v>
      </c>
      <c r="BH80" s="1991">
        <v>16.8</v>
      </c>
      <c r="BI80" s="3094"/>
      <c r="BJ80" s="1992"/>
      <c r="BK80" s="1991"/>
      <c r="BL80" s="1991">
        <v>25.1</v>
      </c>
      <c r="BM80" s="1991">
        <v>26.3</v>
      </c>
      <c r="BN80" s="2889">
        <v>-13.9</v>
      </c>
      <c r="BO80" s="1992">
        <v>90.4</v>
      </c>
      <c r="BP80" s="1993">
        <v>-4.8</v>
      </c>
      <c r="BQ80" s="1991">
        <v>20.399999999999999</v>
      </c>
      <c r="BR80" s="1991">
        <v>18.600000000000001</v>
      </c>
      <c r="BS80" s="1991">
        <v>16.2</v>
      </c>
      <c r="BT80" s="1992">
        <v>827.7</v>
      </c>
      <c r="BU80" s="1993">
        <v>38.6</v>
      </c>
      <c r="BV80" s="1991"/>
      <c r="BW80" s="1991"/>
      <c r="BX80" s="1991"/>
      <c r="BY80" s="1992">
        <v>143</v>
      </c>
      <c r="BZ80" s="1992"/>
      <c r="CA80" s="1992"/>
      <c r="CB80" s="1992"/>
      <c r="CC80" s="1992"/>
      <c r="CD80" s="1992"/>
      <c r="CE80" s="1992"/>
      <c r="CF80" s="1992"/>
      <c r="CG80" s="469"/>
      <c r="CH80" s="469"/>
      <c r="CI80" s="469"/>
      <c r="CJ80" s="469"/>
      <c r="CK80" s="469"/>
      <c r="CL80" s="2017" t="str">
        <f t="shared" si="174"/>
        <v>Guidance: GAAP Net Income</v>
      </c>
      <c r="CM80" s="2009">
        <f t="shared" si="151"/>
        <v>85.1</v>
      </c>
      <c r="CN80" s="2009">
        <f t="shared" si="152"/>
        <v>86.6</v>
      </c>
      <c r="CO80" s="2009">
        <f t="shared" si="153"/>
        <v>154.69999999999999</v>
      </c>
      <c r="CP80" s="2009">
        <f t="shared" si="154"/>
        <v>163.9</v>
      </c>
      <c r="CQ80" s="2009">
        <f t="shared" si="155"/>
        <v>255.1</v>
      </c>
      <c r="CR80" s="2009">
        <f t="shared" si="156"/>
        <v>107.9</v>
      </c>
      <c r="CS80" s="2009">
        <f t="shared" si="157"/>
        <v>122</v>
      </c>
      <c r="CT80" s="2009">
        <f t="shared" si="158"/>
        <v>247.8</v>
      </c>
      <c r="CU80" s="2009">
        <f t="shared" si="159"/>
        <v>250.8</v>
      </c>
      <c r="CV80" s="2009"/>
      <c r="CW80" s="2009"/>
      <c r="CX80" s="2009"/>
      <c r="CY80" s="2009"/>
      <c r="CZ80" s="2009"/>
      <c r="DA80" s="2009"/>
      <c r="DB80" s="2009"/>
      <c r="DC80" s="2018"/>
      <c r="DD80" s="469"/>
      <c r="DE80" s="469"/>
      <c r="DF80" s="469"/>
      <c r="DG80" s="469"/>
      <c r="DH80" s="1180"/>
      <c r="DI80" s="3210"/>
      <c r="DJ80" s="469"/>
      <c r="DK80" s="469"/>
      <c r="DL80" s="469"/>
      <c r="DM80" s="469"/>
      <c r="DN80" s="469"/>
      <c r="DO80" s="469"/>
      <c r="DP80" s="469"/>
      <c r="DQ80" s="469"/>
      <c r="DR80" s="1659"/>
      <c r="DS80" s="1659"/>
      <c r="DT80" s="1659"/>
    </row>
    <row r="81" spans="1:124" ht="5.0999999999999996" customHeight="1" x14ac:dyDescent="0.25">
      <c r="A81" s="867"/>
      <c r="B81" s="479"/>
      <c r="C81" s="472"/>
      <c r="D81" s="472"/>
      <c r="E81" s="472"/>
      <c r="F81" s="472"/>
      <c r="G81" s="491"/>
      <c r="H81" s="472"/>
      <c r="I81" s="472"/>
      <c r="J81" s="472"/>
      <c r="K81" s="472"/>
      <c r="L81" s="491"/>
      <c r="M81" s="472"/>
      <c r="N81" s="472"/>
      <c r="O81" s="472"/>
      <c r="P81" s="472"/>
      <c r="Q81" s="491"/>
      <c r="R81" s="472"/>
      <c r="S81" s="472"/>
      <c r="T81" s="472"/>
      <c r="U81" s="472"/>
      <c r="V81" s="491"/>
      <c r="W81" s="472"/>
      <c r="X81" s="472"/>
      <c r="Y81" s="472"/>
      <c r="Z81" s="472"/>
      <c r="AA81" s="491"/>
      <c r="AB81" s="472"/>
      <c r="AC81" s="472"/>
      <c r="AD81" s="472"/>
      <c r="AE81" s="492"/>
      <c r="AF81" s="493"/>
      <c r="AG81" s="492"/>
      <c r="AH81" s="492"/>
      <c r="AI81" s="492"/>
      <c r="AJ81" s="492"/>
      <c r="AK81" s="493"/>
      <c r="AL81" s="492"/>
      <c r="AM81" s="492"/>
      <c r="AN81" s="492"/>
      <c r="AO81" s="492"/>
      <c r="AP81" s="494"/>
      <c r="AQ81" s="494"/>
      <c r="AR81" s="492"/>
      <c r="AS81" s="492"/>
      <c r="AT81" s="492"/>
      <c r="AU81" s="493"/>
      <c r="AV81" s="492"/>
      <c r="AW81" s="492"/>
      <c r="AX81" s="492"/>
      <c r="AY81" s="1311"/>
      <c r="AZ81" s="493"/>
      <c r="BA81" s="492"/>
      <c r="BB81" s="492"/>
      <c r="BC81" s="492"/>
      <c r="BD81" s="1311"/>
      <c r="BE81" s="493"/>
      <c r="BF81" s="492"/>
      <c r="BG81" s="492"/>
      <c r="BH81" s="492"/>
      <c r="BI81" s="1311"/>
      <c r="BJ81" s="493"/>
      <c r="BK81" s="492"/>
      <c r="BL81" s="492"/>
      <c r="BM81" s="492"/>
      <c r="BN81" s="1311"/>
      <c r="BO81" s="493"/>
      <c r="BP81" s="492"/>
      <c r="BQ81" s="492"/>
      <c r="BR81" s="492"/>
      <c r="BS81" s="492"/>
      <c r="BT81" s="2693"/>
      <c r="BU81" s="3398"/>
      <c r="BV81" s="2653"/>
      <c r="BW81" s="2653"/>
      <c r="BX81" s="2653"/>
      <c r="BY81" s="2693"/>
      <c r="BZ81" s="493"/>
      <c r="CA81" s="493"/>
      <c r="CB81" s="493"/>
      <c r="CC81" s="493"/>
      <c r="CD81" s="493"/>
      <c r="CE81" s="493"/>
      <c r="CF81" s="493"/>
      <c r="CG81" s="331"/>
      <c r="CH81" s="331"/>
      <c r="CI81" s="331"/>
      <c r="CJ81" s="331"/>
      <c r="CK81" s="331"/>
      <c r="CL81" s="872"/>
      <c r="CM81" s="492"/>
      <c r="CN81" s="492"/>
      <c r="CO81" s="492"/>
      <c r="CP81" s="492"/>
      <c r="CQ81" s="492"/>
      <c r="CR81" s="492"/>
      <c r="CS81" s="492"/>
      <c r="CT81" s="492"/>
      <c r="CU81" s="492"/>
      <c r="CV81" s="492"/>
      <c r="CW81" s="492"/>
      <c r="CX81" s="492"/>
      <c r="CY81" s="492"/>
      <c r="CZ81" s="492"/>
      <c r="DA81" s="492"/>
      <c r="DB81" s="492"/>
      <c r="DC81" s="1311"/>
      <c r="DD81" s="331"/>
      <c r="DE81" s="331"/>
      <c r="DF81" s="502"/>
      <c r="DG81" s="503"/>
      <c r="DH81" s="2653"/>
      <c r="DI81" s="3213"/>
      <c r="DJ81" s="502"/>
      <c r="DK81" s="503"/>
      <c r="DL81" s="502"/>
      <c r="DM81" s="502"/>
      <c r="DN81" s="502"/>
      <c r="DO81" s="502"/>
      <c r="DP81" s="503"/>
      <c r="DQ81" s="503"/>
      <c r="DR81" s="296"/>
      <c r="DS81" s="296"/>
      <c r="DT81" s="296"/>
    </row>
    <row r="82" spans="1:124" ht="12" hidden="1" customHeight="1" outlineLevel="1" x14ac:dyDescent="0.25">
      <c r="A82" s="864" t="s">
        <v>603</v>
      </c>
      <c r="B82" s="281"/>
      <c r="C82" s="504"/>
      <c r="D82" s="504"/>
      <c r="E82" s="504"/>
      <c r="F82" s="504"/>
      <c r="G82" s="505"/>
      <c r="H82" s="504"/>
      <c r="I82" s="504"/>
      <c r="J82" s="504"/>
      <c r="K82" s="504"/>
      <c r="L82" s="505"/>
      <c r="M82" s="504"/>
      <c r="N82" s="504"/>
      <c r="O82" s="504"/>
      <c r="P82" s="504"/>
      <c r="Q82" s="505"/>
      <c r="R82" s="504"/>
      <c r="S82" s="504"/>
      <c r="T82" s="504"/>
      <c r="U82" s="504"/>
      <c r="V82" s="505"/>
      <c r="W82" s="504"/>
      <c r="X82" s="504"/>
      <c r="Y82" s="504"/>
      <c r="Z82" s="504"/>
      <c r="AA82" s="505"/>
      <c r="AB82" s="504"/>
      <c r="AC82" s="504"/>
      <c r="AD82" s="504"/>
      <c r="AE82" s="506"/>
      <c r="AF82" s="507"/>
      <c r="AG82" s="506"/>
      <c r="AH82" s="506"/>
      <c r="AI82" s="506"/>
      <c r="AJ82" s="506"/>
      <c r="AK82" s="507"/>
      <c r="AL82" s="506"/>
      <c r="AM82" s="506"/>
      <c r="AN82" s="506"/>
      <c r="AO82" s="1725"/>
      <c r="AP82" s="508"/>
      <c r="AQ82" s="508"/>
      <c r="AR82" s="506"/>
      <c r="AS82" s="506"/>
      <c r="AT82" s="506"/>
      <c r="AU82" s="507"/>
      <c r="AV82" s="506"/>
      <c r="AW82" s="506"/>
      <c r="AX82" s="506"/>
      <c r="AY82" s="1589"/>
      <c r="AZ82" s="507"/>
      <c r="BA82" s="506"/>
      <c r="BB82" s="506"/>
      <c r="BC82" s="506"/>
      <c r="BD82" s="1589"/>
      <c r="BE82" s="507"/>
      <c r="BF82" s="506"/>
      <c r="BG82" s="506"/>
      <c r="BH82" s="506"/>
      <c r="BI82" s="1589"/>
      <c r="BJ82" s="507"/>
      <c r="BK82" s="506"/>
      <c r="BL82" s="506"/>
      <c r="BM82" s="506"/>
      <c r="BN82" s="1589"/>
      <c r="BO82" s="507"/>
      <c r="BP82" s="506"/>
      <c r="BQ82" s="506"/>
      <c r="BR82" s="506"/>
      <c r="BS82" s="506"/>
      <c r="BT82" s="507"/>
      <c r="BU82" s="508"/>
      <c r="BV82" s="506"/>
      <c r="BW82" s="506"/>
      <c r="BX82" s="506"/>
      <c r="BY82" s="507"/>
      <c r="BZ82" s="507"/>
      <c r="CA82" s="507"/>
      <c r="CB82" s="507"/>
      <c r="CC82" s="507"/>
      <c r="CD82" s="507"/>
      <c r="CE82" s="507"/>
      <c r="CF82" s="507"/>
      <c r="CG82" s="331"/>
      <c r="CH82" s="331"/>
      <c r="CI82" s="331"/>
      <c r="CJ82" s="331"/>
      <c r="CK82" s="331"/>
      <c r="CL82" s="1149" t="str">
        <f>A82</f>
        <v>Plus: Non-recurring items</v>
      </c>
      <c r="CM82" s="506"/>
      <c r="CN82" s="506"/>
      <c r="CO82" s="506"/>
      <c r="CP82" s="506"/>
      <c r="CQ82" s="506"/>
      <c r="CR82" s="506"/>
      <c r="CS82" s="506"/>
      <c r="CT82" s="506"/>
      <c r="CU82" s="506"/>
      <c r="CV82" s="506"/>
      <c r="CW82" s="506"/>
      <c r="CX82" s="506"/>
      <c r="CY82" s="506"/>
      <c r="CZ82" s="506"/>
      <c r="DA82" s="506"/>
      <c r="DB82" s="506"/>
      <c r="DC82" s="1589"/>
      <c r="DD82" s="331"/>
      <c r="DE82" s="331"/>
      <c r="DF82" s="502"/>
      <c r="DG82" s="503"/>
      <c r="DH82" s="506"/>
      <c r="DI82" s="3213"/>
      <c r="DJ82" s="502"/>
      <c r="DK82" s="503"/>
      <c r="DL82" s="502"/>
      <c r="DM82" s="502"/>
      <c r="DN82" s="502"/>
      <c r="DO82" s="502"/>
      <c r="DP82" s="503"/>
      <c r="DQ82" s="503"/>
      <c r="DR82" s="296"/>
      <c r="DS82" s="296"/>
      <c r="DT82" s="296"/>
    </row>
    <row r="83" spans="1:124" ht="12" hidden="1" customHeight="1" outlineLevel="1" x14ac:dyDescent="0.25">
      <c r="A83" s="521" t="s">
        <v>1782</v>
      </c>
      <c r="B83" s="281"/>
      <c r="C83" s="509">
        <f t="shared" ref="C83:X83" si="181">C48</f>
        <v>0</v>
      </c>
      <c r="D83" s="509">
        <f t="shared" si="181"/>
        <v>0</v>
      </c>
      <c r="E83" s="509">
        <f t="shared" si="181"/>
        <v>0</v>
      </c>
      <c r="F83" s="509">
        <f t="shared" si="181"/>
        <v>0</v>
      </c>
      <c r="G83" s="510">
        <f t="shared" si="181"/>
        <v>0</v>
      </c>
      <c r="H83" s="509">
        <f t="shared" si="181"/>
        <v>0</v>
      </c>
      <c r="I83" s="509">
        <f t="shared" si="181"/>
        <v>0</v>
      </c>
      <c r="J83" s="509">
        <f t="shared" si="181"/>
        <v>0</v>
      </c>
      <c r="K83" s="509">
        <f t="shared" si="181"/>
        <v>0</v>
      </c>
      <c r="L83" s="510">
        <f t="shared" si="181"/>
        <v>0</v>
      </c>
      <c r="M83" s="509">
        <f t="shared" si="181"/>
        <v>0</v>
      </c>
      <c r="N83" s="509">
        <f t="shared" si="181"/>
        <v>0</v>
      </c>
      <c r="O83" s="509">
        <f t="shared" si="181"/>
        <v>0</v>
      </c>
      <c r="P83" s="509">
        <f t="shared" si="181"/>
        <v>0</v>
      </c>
      <c r="Q83" s="510">
        <f t="shared" si="181"/>
        <v>0</v>
      </c>
      <c r="R83" s="509">
        <f t="shared" si="181"/>
        <v>0</v>
      </c>
      <c r="S83" s="509">
        <f t="shared" si="181"/>
        <v>0</v>
      </c>
      <c r="T83" s="509">
        <f t="shared" si="181"/>
        <v>0</v>
      </c>
      <c r="U83" s="509">
        <f t="shared" si="181"/>
        <v>0</v>
      </c>
      <c r="V83" s="510">
        <f t="shared" si="181"/>
        <v>0</v>
      </c>
      <c r="W83" s="509">
        <f t="shared" si="181"/>
        <v>0</v>
      </c>
      <c r="X83" s="509">
        <f t="shared" si="181"/>
        <v>0</v>
      </c>
      <c r="Y83" s="509">
        <f>0.17*Y101</f>
        <v>14.829100000000002</v>
      </c>
      <c r="Z83" s="509">
        <f>25.7+1.265</f>
        <v>26.965</v>
      </c>
      <c r="AA83" s="510">
        <f>AA48</f>
        <v>47.2</v>
      </c>
      <c r="AB83" s="509">
        <f>AB48</f>
        <v>0</v>
      </c>
      <c r="AC83" s="509">
        <f>AC48</f>
        <v>0</v>
      </c>
      <c r="AD83" s="509">
        <f>(0.01+0.1)*AD101</f>
        <v>11.794089999999999</v>
      </c>
      <c r="AE83" s="430">
        <f>AE48</f>
        <v>12.8</v>
      </c>
      <c r="AF83" s="481">
        <f>AF48</f>
        <v>25.1</v>
      </c>
      <c r="AG83" s="430"/>
      <c r="AH83" s="430"/>
      <c r="AI83" s="430"/>
      <c r="AJ83" s="430"/>
      <c r="AK83" s="481"/>
      <c r="AL83" s="430">
        <f t="shared" ref="AL83:AY83" si="182">AL48</f>
        <v>0</v>
      </c>
      <c r="AM83" s="430">
        <f t="shared" si="182"/>
        <v>0.95699999999999996</v>
      </c>
      <c r="AN83" s="430">
        <f t="shared" si="182"/>
        <v>6</v>
      </c>
      <c r="AO83" s="430">
        <f t="shared" si="182"/>
        <v>4.8</v>
      </c>
      <c r="AP83" s="483">
        <f t="shared" si="182"/>
        <v>11.757</v>
      </c>
      <c r="AQ83" s="483">
        <f t="shared" si="182"/>
        <v>6.4</v>
      </c>
      <c r="AR83" s="430">
        <f t="shared" si="182"/>
        <v>9.4</v>
      </c>
      <c r="AS83" s="430">
        <f t="shared" si="182"/>
        <v>29.5</v>
      </c>
      <c r="AT83" s="430">
        <f t="shared" si="182"/>
        <v>32.799999999999997</v>
      </c>
      <c r="AU83" s="481">
        <f t="shared" si="182"/>
        <v>78.099999999999994</v>
      </c>
      <c r="AV83" s="430">
        <f t="shared" si="182"/>
        <v>4.1999999999999993</v>
      </c>
      <c r="AW83" s="430">
        <f t="shared" si="182"/>
        <v>4.8</v>
      </c>
      <c r="AX83" s="430">
        <f t="shared" si="182"/>
        <v>5.8259999999999996</v>
      </c>
      <c r="AY83" s="430">
        <f t="shared" si="182"/>
        <v>0</v>
      </c>
      <c r="AZ83" s="481">
        <f>SUM(AV83:AY83)</f>
        <v>14.826000000000001</v>
      </c>
      <c r="BA83" s="430">
        <f>BA48</f>
        <v>0</v>
      </c>
      <c r="BB83" s="430">
        <f>BB48</f>
        <v>0</v>
      </c>
      <c r="BC83" s="482">
        <v>0</v>
      </c>
      <c r="BD83" s="862">
        <v>0</v>
      </c>
      <c r="BE83" s="481">
        <f>SUM(BA83:BD83)</f>
        <v>0</v>
      </c>
      <c r="BF83" s="430">
        <f>BF48</f>
        <v>0</v>
      </c>
      <c r="BG83" s="482">
        <v>0</v>
      </c>
      <c r="BH83" s="482">
        <v>0</v>
      </c>
      <c r="BI83" s="862">
        <v>0</v>
      </c>
      <c r="BJ83" s="481">
        <f>SUM(BF83:BI83)</f>
        <v>0</v>
      </c>
      <c r="BK83" s="482">
        <v>0</v>
      </c>
      <c r="BL83" s="482">
        <v>0</v>
      </c>
      <c r="BM83" s="482">
        <v>0</v>
      </c>
      <c r="BN83" s="862">
        <v>0</v>
      </c>
      <c r="BO83" s="481">
        <f>SUM(BK83:BN83)</f>
        <v>0</v>
      </c>
      <c r="BP83" s="482">
        <v>0</v>
      </c>
      <c r="BQ83" s="482">
        <v>0</v>
      </c>
      <c r="BR83" s="482">
        <v>0</v>
      </c>
      <c r="BS83" s="482">
        <v>0</v>
      </c>
      <c r="BT83" s="2587">
        <f>SUM(BP83:BS83)</f>
        <v>0</v>
      </c>
      <c r="BU83" s="3451">
        <v>0</v>
      </c>
      <c r="BV83" s="3451">
        <v>0</v>
      </c>
      <c r="BW83" s="3451">
        <v>0</v>
      </c>
      <c r="BX83" s="3451">
        <v>0</v>
      </c>
      <c r="BY83" s="2587">
        <f>SUM(BU83:BX83)</f>
        <v>0</v>
      </c>
      <c r="BZ83" s="481">
        <f t="shared" ref="BZ83:CF83" si="183">BZ48</f>
        <v>0</v>
      </c>
      <c r="CA83" s="481">
        <f t="shared" si="183"/>
        <v>0</v>
      </c>
      <c r="CB83" s="481">
        <f t="shared" si="183"/>
        <v>0</v>
      </c>
      <c r="CC83" s="481">
        <f t="shared" si="183"/>
        <v>0</v>
      </c>
      <c r="CD83" s="481">
        <f t="shared" si="183"/>
        <v>0</v>
      </c>
      <c r="CE83" s="481">
        <f t="shared" si="183"/>
        <v>0</v>
      </c>
      <c r="CF83" s="481">
        <f t="shared" si="183"/>
        <v>0</v>
      </c>
      <c r="CG83" s="331"/>
      <c r="CH83" s="331"/>
      <c r="CI83" s="331"/>
      <c r="CJ83" s="331"/>
      <c r="CK83" s="331"/>
      <c r="CL83" s="2209" t="str">
        <f>A83</f>
        <v>Non-Recurring Operating Expenses</v>
      </c>
      <c r="CM83" s="430">
        <f t="shared" ref="CM83:CM90" si="184">G83</f>
        <v>0</v>
      </c>
      <c r="CN83" s="430">
        <f t="shared" ref="CN83:CN90" si="185">L83</f>
        <v>0</v>
      </c>
      <c r="CO83" s="430">
        <f t="shared" ref="CO83:CO90" si="186">Q83</f>
        <v>0</v>
      </c>
      <c r="CP83" s="430">
        <f t="shared" ref="CP83:CP90" si="187">V83</f>
        <v>0</v>
      </c>
      <c r="CQ83" s="430">
        <f t="shared" ref="CQ83:CQ90" si="188">AA83</f>
        <v>47.2</v>
      </c>
      <c r="CR83" s="430">
        <f t="shared" ref="CR83:CR90" si="189">AF83</f>
        <v>25.1</v>
      </c>
      <c r="CS83" s="430">
        <f t="shared" ref="CS83:CS90" si="190">AK83</f>
        <v>0</v>
      </c>
      <c r="CT83" s="430">
        <f t="shared" ref="CT83:CT90" si="191">AP83</f>
        <v>11.757</v>
      </c>
      <c r="CU83" s="430">
        <f t="shared" ref="CU83:CU90" si="192">AU83</f>
        <v>78.099999999999994</v>
      </c>
      <c r="CV83" s="430">
        <f t="shared" ref="CV83:CV90" si="193">AZ83</f>
        <v>14.826000000000001</v>
      </c>
      <c r="CW83" s="430">
        <f t="shared" ref="CW83:CW90" si="194">BE83</f>
        <v>0</v>
      </c>
      <c r="CX83" s="430">
        <f t="shared" ref="CX83:CX90" si="195">BJ83</f>
        <v>0</v>
      </c>
      <c r="CY83" s="430">
        <f t="shared" ref="CY83:CY90" si="196">BO83</f>
        <v>0</v>
      </c>
      <c r="CZ83" s="430">
        <f t="shared" ref="CZ83:CZ90" si="197">BT83</f>
        <v>0</v>
      </c>
      <c r="DA83" s="430">
        <f t="shared" ref="DA83:DC90" si="198">BY83</f>
        <v>0</v>
      </c>
      <c r="DB83" s="430">
        <f t="shared" si="198"/>
        <v>0</v>
      </c>
      <c r="DC83" s="853">
        <f t="shared" si="198"/>
        <v>0</v>
      </c>
      <c r="DD83" s="331"/>
      <c r="DE83" s="331"/>
      <c r="DF83" s="502"/>
      <c r="DG83" s="503"/>
      <c r="DH83" s="2840"/>
      <c r="DI83" s="3213"/>
      <c r="DJ83" s="502"/>
      <c r="DK83" s="503"/>
      <c r="DL83" s="502"/>
      <c r="DM83" s="502"/>
      <c r="DN83" s="502"/>
      <c r="DO83" s="502"/>
      <c r="DP83" s="503"/>
      <c r="DQ83" s="503"/>
      <c r="DR83" s="296"/>
      <c r="DS83" s="296"/>
      <c r="DT83" s="296"/>
    </row>
    <row r="84" spans="1:124" ht="12" hidden="1" customHeight="1" outlineLevel="1" x14ac:dyDescent="0.25">
      <c r="A84" s="521" t="s">
        <v>680</v>
      </c>
      <c r="B84" s="281"/>
      <c r="C84" s="480">
        <v>0</v>
      </c>
      <c r="D84" s="480">
        <v>0</v>
      </c>
      <c r="E84" s="480">
        <v>0</v>
      </c>
      <c r="F84" s="480">
        <v>0</v>
      </c>
      <c r="G84" s="481">
        <f>SUM(C84:F84)</f>
        <v>0</v>
      </c>
      <c r="H84" s="480">
        <v>0</v>
      </c>
      <c r="I84" s="480">
        <v>0</v>
      </c>
      <c r="J84" s="480">
        <v>0</v>
      </c>
      <c r="K84" s="480">
        <v>0</v>
      </c>
      <c r="L84" s="481">
        <f>SUM(H84:K84)</f>
        <v>0</v>
      </c>
      <c r="M84" s="480">
        <v>0</v>
      </c>
      <c r="N84" s="480">
        <v>0</v>
      </c>
      <c r="O84" s="480">
        <v>0</v>
      </c>
      <c r="P84" s="480">
        <v>0</v>
      </c>
      <c r="Q84" s="481">
        <f>SUM(M84:P84)</f>
        <v>0</v>
      </c>
      <c r="R84" s="480">
        <v>0</v>
      </c>
      <c r="S84" s="480">
        <v>0</v>
      </c>
      <c r="T84" s="480">
        <v>0</v>
      </c>
      <c r="U84" s="480">
        <v>0</v>
      </c>
      <c r="V84" s="481">
        <f>SUM(R84:U84)</f>
        <v>0</v>
      </c>
      <c r="W84" s="480">
        <v>0</v>
      </c>
      <c r="X84" s="480">
        <v>0</v>
      </c>
      <c r="Y84" s="480">
        <v>0</v>
      </c>
      <c r="Z84" s="480">
        <v>0</v>
      </c>
      <c r="AA84" s="481">
        <f>SUM(W84:Z84)</f>
        <v>0</v>
      </c>
      <c r="AB84" s="480">
        <v>0</v>
      </c>
      <c r="AC84" s="480">
        <v>0</v>
      </c>
      <c r="AD84" s="480"/>
      <c r="AE84" s="482">
        <v>0</v>
      </c>
      <c r="AF84" s="481">
        <f>SUM(AB84:AE84)</f>
        <v>0</v>
      </c>
      <c r="AG84" s="482"/>
      <c r="AH84" s="482"/>
      <c r="AI84" s="482"/>
      <c r="AJ84" s="482"/>
      <c r="AK84" s="481"/>
      <c r="AL84" s="482">
        <v>0</v>
      </c>
      <c r="AM84" s="482">
        <v>0</v>
      </c>
      <c r="AN84" s="482">
        <v>0</v>
      </c>
      <c r="AO84" s="482">
        <v>0</v>
      </c>
      <c r="AP84" s="483">
        <f>SUM(AL84:AO84)</f>
        <v>0</v>
      </c>
      <c r="AQ84" s="483">
        <v>0</v>
      </c>
      <c r="AR84" s="430">
        <v>0</v>
      </c>
      <c r="AS84" s="430">
        <v>0</v>
      </c>
      <c r="AT84" s="430">
        <v>0</v>
      </c>
      <c r="AU84" s="481">
        <f>SUM(AQ84:AT84)</f>
        <v>0</v>
      </c>
      <c r="AV84" s="430">
        <v>0</v>
      </c>
      <c r="AW84" s="430">
        <v>0</v>
      </c>
      <c r="AX84" s="430">
        <v>0</v>
      </c>
      <c r="AY84" s="430">
        <v>0</v>
      </c>
      <c r="AZ84" s="481">
        <f>SUM(AV84:AY84)</f>
        <v>0</v>
      </c>
      <c r="BA84" s="430">
        <v>0</v>
      </c>
      <c r="BB84" s="430">
        <v>0</v>
      </c>
      <c r="BC84" s="482">
        <v>0</v>
      </c>
      <c r="BD84" s="862">
        <v>0</v>
      </c>
      <c r="BE84" s="481">
        <f>SUM(BA84:BD84)</f>
        <v>0</v>
      </c>
      <c r="BF84" s="430">
        <v>0</v>
      </c>
      <c r="BG84" s="482">
        <v>0</v>
      </c>
      <c r="BH84" s="482">
        <v>0</v>
      </c>
      <c r="BI84" s="862">
        <v>0</v>
      </c>
      <c r="BJ84" s="481">
        <f>SUM(BF84:BI84)</f>
        <v>0</v>
      </c>
      <c r="BK84" s="482">
        <v>0</v>
      </c>
      <c r="BL84" s="482">
        <v>0</v>
      </c>
      <c r="BM84" s="482">
        <v>0</v>
      </c>
      <c r="BN84" s="862">
        <v>0</v>
      </c>
      <c r="BO84" s="481">
        <f>SUM(BK84:BN84)</f>
        <v>0</v>
      </c>
      <c r="BP84" s="482">
        <v>0</v>
      </c>
      <c r="BQ84" s="482">
        <v>0</v>
      </c>
      <c r="BR84" s="482">
        <v>-766.2</v>
      </c>
      <c r="BS84" s="482">
        <v>0</v>
      </c>
      <c r="BT84" s="2587">
        <f>SUM(BP84:BS84)</f>
        <v>-766.2</v>
      </c>
      <c r="BU84" s="3451">
        <v>0</v>
      </c>
      <c r="BV84" s="3451">
        <v>0</v>
      </c>
      <c r="BW84" s="3451">
        <v>0</v>
      </c>
      <c r="BX84" s="3451">
        <v>0</v>
      </c>
      <c r="BY84" s="2587">
        <f>SUM(BU84:BX84)</f>
        <v>0</v>
      </c>
      <c r="BZ84" s="481">
        <v>0</v>
      </c>
      <c r="CA84" s="481">
        <v>0</v>
      </c>
      <c r="CB84" s="481">
        <f>SUM(AV84:CA84)</f>
        <v>-1532.4</v>
      </c>
      <c r="CC84" s="481">
        <f>SUM(AW84:CB84)</f>
        <v>-3064.8</v>
      </c>
      <c r="CD84" s="481">
        <f>SUM(AX84:CC84)</f>
        <v>-6129.6</v>
      </c>
      <c r="CE84" s="481">
        <f>SUM(AY84:CD84)</f>
        <v>-12259.2</v>
      </c>
      <c r="CF84" s="481">
        <f>SUM(AZ84:CE84)</f>
        <v>-24518.400000000001</v>
      </c>
      <c r="CG84" s="331"/>
      <c r="CH84" s="331"/>
      <c r="CI84" s="331"/>
      <c r="CJ84" s="331"/>
      <c r="CK84" s="331"/>
      <c r="CL84" s="2209" t="str">
        <f>A84</f>
        <v>Tax Impact of Non-Recurring Operating Expenses</v>
      </c>
      <c r="CM84" s="430">
        <f t="shared" si="184"/>
        <v>0</v>
      </c>
      <c r="CN84" s="430">
        <f t="shared" si="185"/>
        <v>0</v>
      </c>
      <c r="CO84" s="430">
        <f t="shared" si="186"/>
        <v>0</v>
      </c>
      <c r="CP84" s="430">
        <f t="shared" si="187"/>
        <v>0</v>
      </c>
      <c r="CQ84" s="430">
        <f t="shared" si="188"/>
        <v>0</v>
      </c>
      <c r="CR84" s="430">
        <f t="shared" si="189"/>
        <v>0</v>
      </c>
      <c r="CS84" s="430">
        <f t="shared" si="190"/>
        <v>0</v>
      </c>
      <c r="CT84" s="430">
        <f t="shared" si="191"/>
        <v>0</v>
      </c>
      <c r="CU84" s="430">
        <f t="shared" si="192"/>
        <v>0</v>
      </c>
      <c r="CV84" s="430">
        <f t="shared" si="193"/>
        <v>0</v>
      </c>
      <c r="CW84" s="430">
        <f t="shared" si="194"/>
        <v>0</v>
      </c>
      <c r="CX84" s="430">
        <f t="shared" si="195"/>
        <v>0</v>
      </c>
      <c r="CY84" s="430">
        <f t="shared" si="196"/>
        <v>0</v>
      </c>
      <c r="CZ84" s="430">
        <f t="shared" si="197"/>
        <v>-766.2</v>
      </c>
      <c r="DA84" s="430">
        <f t="shared" si="198"/>
        <v>0</v>
      </c>
      <c r="DB84" s="430">
        <f t="shared" si="198"/>
        <v>0</v>
      </c>
      <c r="DC84" s="853">
        <f t="shared" si="198"/>
        <v>0</v>
      </c>
      <c r="DD84" s="331"/>
      <c r="DE84" s="331"/>
      <c r="DF84" s="502"/>
      <c r="DG84" s="503"/>
      <c r="DH84" s="2840"/>
      <c r="DI84" s="3213"/>
      <c r="DJ84" s="502"/>
      <c r="DK84" s="503"/>
      <c r="DL84" s="502"/>
      <c r="DM84" s="502"/>
      <c r="DN84" s="502"/>
      <c r="DO84" s="502"/>
      <c r="DP84" s="503"/>
      <c r="DQ84" s="503"/>
      <c r="DR84" s="296"/>
      <c r="DS84" s="296"/>
      <c r="DT84" s="296"/>
    </row>
    <row r="85" spans="1:124" ht="12" hidden="1" customHeight="1" outlineLevel="1" x14ac:dyDescent="0.25">
      <c r="A85" s="521" t="s">
        <v>1864</v>
      </c>
      <c r="B85" s="281"/>
      <c r="C85" s="509">
        <f>-C73</f>
        <v>3.6189999999999989</v>
      </c>
      <c r="D85" s="509">
        <f>-D73</f>
        <v>5.2030000000000003</v>
      </c>
      <c r="E85" s="509">
        <f>-E73</f>
        <v>6.3819999999999997</v>
      </c>
      <c r="F85" s="509">
        <f>-F73</f>
        <v>1.9350000000000001</v>
      </c>
      <c r="G85" s="481">
        <f>SUM(C85:F85)</f>
        <v>17.138999999999999</v>
      </c>
      <c r="H85" s="509">
        <f>-H73</f>
        <v>10.484588846364135</v>
      </c>
      <c r="I85" s="509">
        <f>-I73</f>
        <v>20.110688536559923</v>
      </c>
      <c r="J85" s="509">
        <f>-J73</f>
        <v>-23.297000000000001</v>
      </c>
      <c r="K85" s="509">
        <f>-K73</f>
        <v>0.55385453622314573</v>
      </c>
      <c r="L85" s="481">
        <f>SUM(H85:K85)</f>
        <v>7.8521319191472045</v>
      </c>
      <c r="M85" s="509">
        <f>-M73</f>
        <v>6.5</v>
      </c>
      <c r="N85" s="509">
        <f>-N73</f>
        <v>0</v>
      </c>
      <c r="O85" s="509">
        <f>-O73</f>
        <v>-114.661</v>
      </c>
      <c r="P85" s="509">
        <f>-P73</f>
        <v>-89.300999999999988</v>
      </c>
      <c r="Q85" s="481">
        <f>SUM(M85:P85)</f>
        <v>-197.46199999999999</v>
      </c>
      <c r="R85" s="509">
        <f>-R73</f>
        <v>0</v>
      </c>
      <c r="S85" s="509">
        <f>-S73</f>
        <v>0</v>
      </c>
      <c r="T85" s="509">
        <f>-T73</f>
        <v>0</v>
      </c>
      <c r="U85" s="509">
        <f>-U73</f>
        <v>0</v>
      </c>
      <c r="V85" s="481">
        <f>SUM(R85:U85)</f>
        <v>0</v>
      </c>
      <c r="W85" s="509">
        <f>-0.01*W101</f>
        <v>-0.88809000000000005</v>
      </c>
      <c r="X85" s="509">
        <f>-X73</f>
        <v>0</v>
      </c>
      <c r="Y85" s="509">
        <f>(-0.02+0.04-1.36)*Y101</f>
        <v>-116.88820000000001</v>
      </c>
      <c r="Z85" s="509">
        <f>392.6-2.8-5</f>
        <v>384.8</v>
      </c>
      <c r="AA85" s="481">
        <f>SUM(W85:Z85)</f>
        <v>267.02370999999999</v>
      </c>
      <c r="AB85" s="480">
        <f>(0.03-0.01)*AB101</f>
        <v>2.1306799999999999</v>
      </c>
      <c r="AC85" s="480">
        <f>(0.06+0.02-0.03)*AC101</f>
        <v>5.3522500000000006</v>
      </c>
      <c r="AD85" s="509">
        <f>(0.02+0.02-0.01-0.02+0.01)*AD101</f>
        <v>2.1443799999999995</v>
      </c>
      <c r="AE85" s="430">
        <f>-AE73</f>
        <v>521.88299999999992</v>
      </c>
      <c r="AF85" s="481">
        <f>SUM(AB85:AE85)</f>
        <v>531.51030999999989</v>
      </c>
      <c r="AG85" s="430">
        <f>-AG73-AG70</f>
        <v>0.25900000000000001</v>
      </c>
      <c r="AH85" s="430">
        <f>-AH73-AH70</f>
        <v>32.137</v>
      </c>
      <c r="AI85" s="430">
        <f>-AI73-AI70</f>
        <v>-5.0740000000000007</v>
      </c>
      <c r="AJ85" s="430">
        <f>-AJ73-AJ70</f>
        <v>193.48700000000002</v>
      </c>
      <c r="AK85" s="481">
        <f>SUM(AG85:AJ85)</f>
        <v>220.80900000000003</v>
      </c>
      <c r="AL85" s="430">
        <f>-AL73</f>
        <v>-1.694</v>
      </c>
      <c r="AM85" s="430">
        <f>-AM73</f>
        <v>-11.555</v>
      </c>
      <c r="AN85" s="430">
        <f>-AN73</f>
        <v>-2.3619999999999983</v>
      </c>
      <c r="AO85" s="430">
        <f>+(0.04+0.01)*AO101</f>
        <v>5.3097500000000002</v>
      </c>
      <c r="AP85" s="483">
        <f>SUM(AL85:AO85)</f>
        <v>-10.301249999999996</v>
      </c>
      <c r="AQ85" s="483">
        <f>-AQ73</f>
        <v>-4.8079999999999998</v>
      </c>
      <c r="AR85" s="430">
        <f>-AR73</f>
        <v>-3.4580000000000002</v>
      </c>
      <c r="AS85" s="430">
        <f>-AS73</f>
        <v>0</v>
      </c>
      <c r="AT85" s="430">
        <f>-AT73</f>
        <v>0</v>
      </c>
      <c r="AU85" s="481">
        <f>SUM(AQ85:AT85)</f>
        <v>-8.266</v>
      </c>
      <c r="AV85" s="430">
        <f>-AV73</f>
        <v>2.39</v>
      </c>
      <c r="AW85" s="430">
        <f>-AW73*(1-0.4)</f>
        <v>44.778599999999997</v>
      </c>
      <c r="AX85" s="430">
        <f>-AX73*(1-0.4)</f>
        <v>9.4199999999999992E-2</v>
      </c>
      <c r="AY85" s="430">
        <f>-AY73*(1-0.2)</f>
        <v>896.52639999999997</v>
      </c>
      <c r="AZ85" s="481">
        <f>SUM(AV85:AY85)</f>
        <v>943.78919999999994</v>
      </c>
      <c r="BA85" s="430">
        <f>+BA62</f>
        <v>-4.9000000000000002E-2</v>
      </c>
      <c r="BB85" s="430">
        <f>+BB62</f>
        <v>4.5629999999999997</v>
      </c>
      <c r="BC85" s="430">
        <f>+BC62</f>
        <v>-5.5290000000000008</v>
      </c>
      <c r="BD85" s="430">
        <f>+BD62</f>
        <v>156.65199999999999</v>
      </c>
      <c r="BE85" s="481">
        <f>SUM(BA85:BD85)</f>
        <v>155.63699999999997</v>
      </c>
      <c r="BF85" s="430">
        <f>+BF62</f>
        <v>0.504</v>
      </c>
      <c r="BG85" s="430">
        <f>+BG62</f>
        <v>0.72699999999999998</v>
      </c>
      <c r="BH85" s="430">
        <f>+BH62</f>
        <v>-6.3739999999999997</v>
      </c>
      <c r="BI85" s="430">
        <f>+BI62</f>
        <v>41.097000000000001</v>
      </c>
      <c r="BJ85" s="481">
        <f>SUM(BF85:BI85)</f>
        <v>35.954000000000001</v>
      </c>
      <c r="BK85" s="430">
        <f>+BK62</f>
        <v>-2.302</v>
      </c>
      <c r="BL85" s="430">
        <f>+BL62</f>
        <v>0.56000000000000005</v>
      </c>
      <c r="BM85" s="430">
        <f>+BM62</f>
        <v>-3.5369999999999999</v>
      </c>
      <c r="BN85" s="862">
        <v>0</v>
      </c>
      <c r="BO85" s="481">
        <f>SUM(BK85:BN85)</f>
        <v>-5.2789999999999999</v>
      </c>
      <c r="BP85" s="430">
        <f>+BP62</f>
        <v>2.5150000000000001</v>
      </c>
      <c r="BQ85" s="430">
        <f>+BQ62</f>
        <v>7.0489999999999995</v>
      </c>
      <c r="BR85" s="430">
        <f>+BR62</f>
        <v>3.6969999999999992</v>
      </c>
      <c r="BS85" s="430">
        <f>+BS62</f>
        <v>87.592000000000013</v>
      </c>
      <c r="BT85" s="2587">
        <f>SUM(BP85:BS85)</f>
        <v>100.85300000000001</v>
      </c>
      <c r="BU85" s="3451">
        <f>+BU62</f>
        <v>0</v>
      </c>
      <c r="BV85" s="3451">
        <f>+BV62</f>
        <v>0</v>
      </c>
      <c r="BW85" s="3451">
        <f>+BW62</f>
        <v>0</v>
      </c>
      <c r="BX85" s="3451">
        <f>+BX62</f>
        <v>0</v>
      </c>
      <c r="BY85" s="2587">
        <f>SUM(BU85:BX85)</f>
        <v>0</v>
      </c>
      <c r="BZ85" s="481">
        <v>0</v>
      </c>
      <c r="CA85" s="481">
        <v>0</v>
      </c>
      <c r="CB85" s="481">
        <v>0</v>
      </c>
      <c r="CC85" s="481">
        <v>0</v>
      </c>
      <c r="CD85" s="481">
        <v>0</v>
      </c>
      <c r="CE85" s="481">
        <v>0</v>
      </c>
      <c r="CF85" s="481">
        <v>0</v>
      </c>
      <c r="CG85" s="331"/>
      <c r="CH85" s="331"/>
      <c r="CI85" s="331"/>
      <c r="CJ85" s="331"/>
      <c r="CK85" s="331"/>
      <c r="CL85" s="2209" t="str">
        <f>A85</f>
        <v>Extraordinary Items</v>
      </c>
      <c r="CM85" s="430">
        <f t="shared" si="184"/>
        <v>17.138999999999999</v>
      </c>
      <c r="CN85" s="430">
        <f t="shared" si="185"/>
        <v>7.8521319191472045</v>
      </c>
      <c r="CO85" s="430">
        <f t="shared" si="186"/>
        <v>-197.46199999999999</v>
      </c>
      <c r="CP85" s="430">
        <f t="shared" si="187"/>
        <v>0</v>
      </c>
      <c r="CQ85" s="430">
        <f t="shared" si="188"/>
        <v>267.02370999999999</v>
      </c>
      <c r="CR85" s="430">
        <f t="shared" si="189"/>
        <v>531.51030999999989</v>
      </c>
      <c r="CS85" s="430">
        <f t="shared" si="190"/>
        <v>220.80900000000003</v>
      </c>
      <c r="CT85" s="430">
        <f t="shared" si="191"/>
        <v>-10.301249999999996</v>
      </c>
      <c r="CU85" s="430">
        <f t="shared" si="192"/>
        <v>-8.266</v>
      </c>
      <c r="CV85" s="430">
        <f t="shared" si="193"/>
        <v>943.78919999999994</v>
      </c>
      <c r="CW85" s="430">
        <f t="shared" si="194"/>
        <v>155.63699999999997</v>
      </c>
      <c r="CX85" s="430">
        <f t="shared" si="195"/>
        <v>35.954000000000001</v>
      </c>
      <c r="CY85" s="430">
        <f t="shared" si="196"/>
        <v>-5.2789999999999999</v>
      </c>
      <c r="CZ85" s="430">
        <f t="shared" si="197"/>
        <v>100.85300000000001</v>
      </c>
      <c r="DA85" s="430">
        <f t="shared" si="198"/>
        <v>0</v>
      </c>
      <c r="DB85" s="430">
        <f t="shared" si="198"/>
        <v>0</v>
      </c>
      <c r="DC85" s="853">
        <f t="shared" si="198"/>
        <v>0</v>
      </c>
      <c r="DD85" s="331"/>
      <c r="DE85" s="331"/>
      <c r="DF85" s="502"/>
      <c r="DG85" s="503"/>
      <c r="DH85" s="2840"/>
      <c r="DI85" s="3213"/>
      <c r="DJ85" s="502"/>
      <c r="DK85" s="503"/>
      <c r="DL85" s="502"/>
      <c r="DM85" s="502"/>
      <c r="DN85" s="502"/>
      <c r="DO85" s="502"/>
      <c r="DP85" s="503"/>
      <c r="DQ85" s="503"/>
      <c r="DR85" s="296"/>
      <c r="DS85" s="296"/>
      <c r="DT85" s="296"/>
    </row>
    <row r="86" spans="1:124" ht="12" hidden="1" customHeight="1" outlineLevel="1" x14ac:dyDescent="0.25">
      <c r="A86" s="521" t="s">
        <v>2075</v>
      </c>
      <c r="B86" s="281"/>
      <c r="C86" s="480">
        <v>0</v>
      </c>
      <c r="D86" s="480">
        <v>0</v>
      </c>
      <c r="E86" s="480">
        <v>0</v>
      </c>
      <c r="F86" s="480">
        <v>0</v>
      </c>
      <c r="G86" s="510">
        <f>SUM(C86:F86)</f>
        <v>0</v>
      </c>
      <c r="H86" s="480">
        <v>0</v>
      </c>
      <c r="I86" s="480">
        <v>0</v>
      </c>
      <c r="J86" s="480">
        <v>0</v>
      </c>
      <c r="K86" s="480">
        <v>0</v>
      </c>
      <c r="L86" s="510">
        <f>SUM(H86:K86)</f>
        <v>0</v>
      </c>
      <c r="M86" s="480">
        <v>0</v>
      </c>
      <c r="N86" s="480">
        <v>0</v>
      </c>
      <c r="O86" s="480">
        <v>0</v>
      </c>
      <c r="P86" s="480">
        <v>0</v>
      </c>
      <c r="Q86" s="510">
        <f>SUM(M86:P86)</f>
        <v>0</v>
      </c>
      <c r="R86" s="480">
        <v>0</v>
      </c>
      <c r="S86" s="480">
        <v>0</v>
      </c>
      <c r="T86" s="480">
        <v>0</v>
      </c>
      <c r="U86" s="480">
        <v>0</v>
      </c>
      <c r="V86" s="510">
        <f>SUM(R86:U86)</f>
        <v>0</v>
      </c>
      <c r="W86" s="480">
        <v>0</v>
      </c>
      <c r="X86" s="480">
        <v>0</v>
      </c>
      <c r="Y86" s="480">
        <v>0</v>
      </c>
      <c r="Z86" s="480">
        <v>0</v>
      </c>
      <c r="AA86" s="510">
        <f>SUM(W86:Z86)</f>
        <v>0</v>
      </c>
      <c r="AB86" s="480">
        <v>0</v>
      </c>
      <c r="AC86" s="480">
        <v>0</v>
      </c>
      <c r="AD86" s="480">
        <v>0</v>
      </c>
      <c r="AE86" s="482">
        <f>-0.35*AE85</f>
        <v>-182.65904999999995</v>
      </c>
      <c r="AF86" s="510">
        <f>SUM(AB86:AE86)</f>
        <v>-182.65904999999995</v>
      </c>
      <c r="AG86" s="482">
        <f>AG85*-0.45</f>
        <v>-0.11655</v>
      </c>
      <c r="AH86" s="482">
        <f>AH85*-0.45</f>
        <v>-14.461650000000001</v>
      </c>
      <c r="AI86" s="482">
        <f>AI85*-0.45</f>
        <v>2.2833000000000006</v>
      </c>
      <c r="AJ86" s="482">
        <f>AJ85*-0.45</f>
        <v>-87.069150000000008</v>
      </c>
      <c r="AK86" s="510">
        <f>SUM(AG86:AJ86)</f>
        <v>-99.364050000000006</v>
      </c>
      <c r="AL86" s="482">
        <v>1.643</v>
      </c>
      <c r="AM86" s="482">
        <f>AM85*-0.45-10.412</f>
        <v>-5.2122500000000009</v>
      </c>
      <c r="AN86" s="482">
        <f>AN85*-0.45</f>
        <v>1.0628999999999993</v>
      </c>
      <c r="AO86" s="482">
        <f>0.02*AO101</f>
        <v>2.1238999999999999</v>
      </c>
      <c r="AP86" s="672">
        <f>SUM(AL86:AO86)</f>
        <v>-0.38245000000000218</v>
      </c>
      <c r="AQ86" s="672">
        <f>(AQ83+AQ85)*-0.4</f>
        <v>-0.63680000000000025</v>
      </c>
      <c r="AR86" s="509">
        <f>(AR83+AR85)*-0.4</f>
        <v>-2.3768000000000002</v>
      </c>
      <c r="AS86" s="509">
        <f>AS83*-0.4</f>
        <v>-11.8</v>
      </c>
      <c r="AT86" s="509">
        <f>AT83*-0.4</f>
        <v>-13.12</v>
      </c>
      <c r="AU86" s="510">
        <f>SUM(AQ86:AT86)</f>
        <v>-27.933599999999998</v>
      </c>
      <c r="AV86" s="509">
        <f>AV83*-0.4</f>
        <v>-1.6799999999999997</v>
      </c>
      <c r="AW86" s="509">
        <f>AW83*-0.4</f>
        <v>-1.92</v>
      </c>
      <c r="AX86" s="509">
        <f>AX83*-0.4</f>
        <v>-2.3304</v>
      </c>
      <c r="AY86" s="509">
        <f>AY83*-0.4</f>
        <v>0</v>
      </c>
      <c r="AZ86" s="510">
        <f>SUM(AV86:AY86)</f>
        <v>-5.9303999999999997</v>
      </c>
      <c r="BA86" s="509">
        <f>-BA85*0.4</f>
        <v>1.9600000000000003E-2</v>
      </c>
      <c r="BB86" s="509">
        <f>-BB85*0.4</f>
        <v>-1.8251999999999999</v>
      </c>
      <c r="BC86" s="509">
        <f>-BC85*0.4</f>
        <v>2.2116000000000002</v>
      </c>
      <c r="BD86" s="509">
        <f>-BD85*0.2</f>
        <v>-31.330399999999997</v>
      </c>
      <c r="BE86" s="510">
        <f>SUM(BA86:BD86)</f>
        <v>-30.924399999999999</v>
      </c>
      <c r="BF86" s="509">
        <f>-BF85*0.4</f>
        <v>-0.2016</v>
      </c>
      <c r="BG86" s="509">
        <f>-BG85*0.4</f>
        <v>-0.2908</v>
      </c>
      <c r="BH86" s="509">
        <f>-BH85*0.4</f>
        <v>2.5495999999999999</v>
      </c>
      <c r="BI86" s="509">
        <f>-BI85*0.4</f>
        <v>-16.438800000000001</v>
      </c>
      <c r="BJ86" s="510">
        <f>SUM(BF86:BI86)</f>
        <v>-14.381600000000001</v>
      </c>
      <c r="BK86" s="509">
        <f>-BK85*0.4</f>
        <v>0.92080000000000006</v>
      </c>
      <c r="BL86" s="509">
        <f>-BL85*0.4</f>
        <v>-0.22400000000000003</v>
      </c>
      <c r="BM86" s="509">
        <f>-BM85*0.4</f>
        <v>1.4148000000000001</v>
      </c>
      <c r="BN86" s="1995">
        <v>0</v>
      </c>
      <c r="BO86" s="510">
        <f>SUM(BK86:BN86)</f>
        <v>2.1116000000000001</v>
      </c>
      <c r="BP86" s="509">
        <f>-BP85*0.4</f>
        <v>-1.006</v>
      </c>
      <c r="BQ86" s="509">
        <f>-BQ85*0.4</f>
        <v>-2.8195999999999999</v>
      </c>
      <c r="BR86" s="509">
        <f>-BR85*0.4</f>
        <v>-1.4787999999999997</v>
      </c>
      <c r="BS86" s="509">
        <f>-BS85*0.4</f>
        <v>-35.036800000000007</v>
      </c>
      <c r="BT86" s="2842">
        <f>SUM(BP86:BS86)</f>
        <v>-40.341200000000008</v>
      </c>
      <c r="BU86" s="3451">
        <f>-BU85*0.4</f>
        <v>0</v>
      </c>
      <c r="BV86" s="3451">
        <f>-BV85*0.4</f>
        <v>0</v>
      </c>
      <c r="BW86" s="3451">
        <f>-BW85*0.4</f>
        <v>0</v>
      </c>
      <c r="BX86" s="3451">
        <f>-BX85*0.4</f>
        <v>0</v>
      </c>
      <c r="BY86" s="2842">
        <f>SUM(BU86:BX86)</f>
        <v>0</v>
      </c>
      <c r="BZ86" s="510">
        <v>0</v>
      </c>
      <c r="CA86" s="510">
        <v>0</v>
      </c>
      <c r="CB86" s="510">
        <v>0</v>
      </c>
      <c r="CC86" s="510">
        <v>0</v>
      </c>
      <c r="CD86" s="510">
        <v>0</v>
      </c>
      <c r="CE86" s="510">
        <v>0</v>
      </c>
      <c r="CF86" s="510">
        <v>0</v>
      </c>
      <c r="CG86" s="331"/>
      <c r="CH86" s="331"/>
      <c r="CI86" s="331"/>
      <c r="CJ86" s="331"/>
      <c r="CK86" s="331"/>
      <c r="CL86" s="2209" t="str">
        <f>A86</f>
        <v>Tax Impact of Extraordinary Items</v>
      </c>
      <c r="CM86" s="430">
        <f t="shared" si="184"/>
        <v>0</v>
      </c>
      <c r="CN86" s="430">
        <f t="shared" si="185"/>
        <v>0</v>
      </c>
      <c r="CO86" s="430">
        <f t="shared" si="186"/>
        <v>0</v>
      </c>
      <c r="CP86" s="430">
        <f t="shared" si="187"/>
        <v>0</v>
      </c>
      <c r="CQ86" s="430">
        <f t="shared" si="188"/>
        <v>0</v>
      </c>
      <c r="CR86" s="430">
        <f t="shared" si="189"/>
        <v>-182.65904999999995</v>
      </c>
      <c r="CS86" s="430">
        <f t="shared" si="190"/>
        <v>-99.364050000000006</v>
      </c>
      <c r="CT86" s="430">
        <f t="shared" si="191"/>
        <v>-0.38245000000000218</v>
      </c>
      <c r="CU86" s="430">
        <f t="shared" si="192"/>
        <v>-27.933599999999998</v>
      </c>
      <c r="CV86" s="430">
        <f t="shared" si="193"/>
        <v>-5.9303999999999997</v>
      </c>
      <c r="CW86" s="430">
        <f t="shared" si="194"/>
        <v>-30.924399999999999</v>
      </c>
      <c r="CX86" s="430">
        <f t="shared" si="195"/>
        <v>-14.381600000000001</v>
      </c>
      <c r="CY86" s="430">
        <f t="shared" si="196"/>
        <v>2.1116000000000001</v>
      </c>
      <c r="CZ86" s="430">
        <f t="shared" si="197"/>
        <v>-40.341200000000008</v>
      </c>
      <c r="DA86" s="430">
        <f t="shared" si="198"/>
        <v>0</v>
      </c>
      <c r="DB86" s="430">
        <f t="shared" si="198"/>
        <v>0</v>
      </c>
      <c r="DC86" s="853">
        <f t="shared" si="198"/>
        <v>0</v>
      </c>
      <c r="DD86" s="331"/>
      <c r="DE86" s="331"/>
      <c r="DF86" s="502"/>
      <c r="DG86" s="503"/>
      <c r="DH86" s="2840"/>
      <c r="DI86" s="3213"/>
      <c r="DJ86" s="502"/>
      <c r="DK86" s="503"/>
      <c r="DL86" s="502"/>
      <c r="DM86" s="502"/>
      <c r="DN86" s="502"/>
      <c r="DO86" s="502"/>
      <c r="DP86" s="503"/>
      <c r="DQ86" s="503"/>
      <c r="DR86" s="296"/>
      <c r="DS86" s="296"/>
      <c r="DT86" s="296"/>
    </row>
    <row r="87" spans="1:124" ht="4.5" hidden="1" customHeight="1" outlineLevel="1" x14ac:dyDescent="0.25">
      <c r="A87" s="392"/>
      <c r="B87" s="479"/>
      <c r="C87" s="460" t="s">
        <v>1151</v>
      </c>
      <c r="D87" s="460" t="s">
        <v>1151</v>
      </c>
      <c r="E87" s="460" t="s">
        <v>1151</v>
      </c>
      <c r="F87" s="460" t="s">
        <v>1151</v>
      </c>
      <c r="G87" s="461" t="s">
        <v>1151</v>
      </c>
      <c r="H87" s="460" t="s">
        <v>1151</v>
      </c>
      <c r="I87" s="460" t="s">
        <v>1151</v>
      </c>
      <c r="J87" s="460" t="s">
        <v>1151</v>
      </c>
      <c r="K87" s="460" t="s">
        <v>1151</v>
      </c>
      <c r="L87" s="461" t="s">
        <v>1151</v>
      </c>
      <c r="M87" s="460" t="s">
        <v>1151</v>
      </c>
      <c r="N87" s="460" t="s">
        <v>1151</v>
      </c>
      <c r="O87" s="460" t="s">
        <v>1151</v>
      </c>
      <c r="P87" s="460" t="s">
        <v>1151</v>
      </c>
      <c r="Q87" s="461" t="s">
        <v>1151</v>
      </c>
      <c r="R87" s="460" t="s">
        <v>1151</v>
      </c>
      <c r="S87" s="460" t="s">
        <v>1151</v>
      </c>
      <c r="T87" s="460" t="s">
        <v>1151</v>
      </c>
      <c r="U87" s="460" t="s">
        <v>1151</v>
      </c>
      <c r="V87" s="461" t="s">
        <v>1151</v>
      </c>
      <c r="W87" s="460" t="s">
        <v>1151</v>
      </c>
      <c r="X87" s="460" t="s">
        <v>1151</v>
      </c>
      <c r="Y87" s="460" t="s">
        <v>1151</v>
      </c>
      <c r="Z87" s="460" t="s">
        <v>1151</v>
      </c>
      <c r="AA87" s="461" t="s">
        <v>1151</v>
      </c>
      <c r="AB87" s="460" t="s">
        <v>1151</v>
      </c>
      <c r="AC87" s="460" t="s">
        <v>1151</v>
      </c>
      <c r="AD87" s="460" t="s">
        <v>1151</v>
      </c>
      <c r="AE87" s="460" t="s">
        <v>1151</v>
      </c>
      <c r="AF87" s="461" t="s">
        <v>1151</v>
      </c>
      <c r="AG87" s="460" t="s">
        <v>1151</v>
      </c>
      <c r="AH87" s="460" t="s">
        <v>1151</v>
      </c>
      <c r="AI87" s="460" t="s">
        <v>1151</v>
      </c>
      <c r="AJ87" s="460" t="s">
        <v>1151</v>
      </c>
      <c r="AK87" s="461" t="s">
        <v>1151</v>
      </c>
      <c r="AL87" s="460" t="s">
        <v>1151</v>
      </c>
      <c r="AM87" s="460" t="s">
        <v>1151</v>
      </c>
      <c r="AN87" s="460" t="s">
        <v>1151</v>
      </c>
      <c r="AO87" s="460" t="s">
        <v>1151</v>
      </c>
      <c r="AP87" s="461" t="s">
        <v>1151</v>
      </c>
      <c r="AQ87" s="460" t="s">
        <v>1151</v>
      </c>
      <c r="AR87" s="460" t="s">
        <v>1151</v>
      </c>
      <c r="AS87" s="460" t="s">
        <v>1151</v>
      </c>
      <c r="AT87" s="460" t="s">
        <v>1151</v>
      </c>
      <c r="AU87" s="461" t="s">
        <v>1151</v>
      </c>
      <c r="AV87" s="460" t="s">
        <v>1151</v>
      </c>
      <c r="AW87" s="460" t="s">
        <v>1151</v>
      </c>
      <c r="AX87" s="460" t="s">
        <v>1151</v>
      </c>
      <c r="AY87" s="460" t="s">
        <v>1151</v>
      </c>
      <c r="AZ87" s="461" t="s">
        <v>1151</v>
      </c>
      <c r="BA87" s="460" t="s">
        <v>1151</v>
      </c>
      <c r="BB87" s="460" t="s">
        <v>1151</v>
      </c>
      <c r="BC87" s="460" t="s">
        <v>1151</v>
      </c>
      <c r="BD87" s="460" t="s">
        <v>1151</v>
      </c>
      <c r="BE87" s="461" t="s">
        <v>1151</v>
      </c>
      <c r="BF87" s="460" t="s">
        <v>1151</v>
      </c>
      <c r="BG87" s="460" t="s">
        <v>1151</v>
      </c>
      <c r="BH87" s="460" t="s">
        <v>1151</v>
      </c>
      <c r="BI87" s="2888" t="s">
        <v>1151</v>
      </c>
      <c r="BJ87" s="461" t="s">
        <v>1151</v>
      </c>
      <c r="BK87" s="460" t="s">
        <v>1151</v>
      </c>
      <c r="BL87" s="460" t="s">
        <v>1151</v>
      </c>
      <c r="BM87" s="460" t="s">
        <v>1151</v>
      </c>
      <c r="BN87" s="2888" t="s">
        <v>1151</v>
      </c>
      <c r="BO87" s="461" t="s">
        <v>1151</v>
      </c>
      <c r="BP87" s="460" t="s">
        <v>1151</v>
      </c>
      <c r="BQ87" s="460" t="s">
        <v>1151</v>
      </c>
      <c r="BR87" s="460" t="s">
        <v>1151</v>
      </c>
      <c r="BS87" s="460" t="s">
        <v>1151</v>
      </c>
      <c r="BT87" s="461" t="s">
        <v>1151</v>
      </c>
      <c r="BU87" s="460" t="s">
        <v>1151</v>
      </c>
      <c r="BV87" s="460" t="s">
        <v>1151</v>
      </c>
      <c r="BW87" s="460" t="s">
        <v>1151</v>
      </c>
      <c r="BX87" s="460" t="s">
        <v>1151</v>
      </c>
      <c r="BY87" s="461" t="s">
        <v>1151</v>
      </c>
      <c r="BZ87" s="461" t="s">
        <v>1151</v>
      </c>
      <c r="CA87" s="461" t="s">
        <v>1151</v>
      </c>
      <c r="CB87" s="461" t="s">
        <v>1151</v>
      </c>
      <c r="CC87" s="461" t="s">
        <v>1151</v>
      </c>
      <c r="CD87" s="461" t="s">
        <v>1151</v>
      </c>
      <c r="CE87" s="461" t="s">
        <v>1151</v>
      </c>
      <c r="CF87" s="461" t="s">
        <v>1151</v>
      </c>
      <c r="CG87" s="331"/>
      <c r="CH87" s="331"/>
      <c r="CI87" s="331"/>
      <c r="CJ87" s="331"/>
      <c r="CK87" s="331"/>
      <c r="CL87" s="995"/>
      <c r="CM87" s="2029" t="str">
        <f t="shared" si="184"/>
        <v xml:space="preserve">                </v>
      </c>
      <c r="CN87" s="2029" t="str">
        <f t="shared" si="185"/>
        <v xml:space="preserve">                </v>
      </c>
      <c r="CO87" s="2029" t="str">
        <f t="shared" si="186"/>
        <v xml:space="preserve">                </v>
      </c>
      <c r="CP87" s="2029" t="str">
        <f t="shared" si="187"/>
        <v xml:space="preserve">                </v>
      </c>
      <c r="CQ87" s="2029" t="str">
        <f t="shared" si="188"/>
        <v xml:space="preserve">                </v>
      </c>
      <c r="CR87" s="2029" t="str">
        <f t="shared" si="189"/>
        <v xml:space="preserve">                </v>
      </c>
      <c r="CS87" s="2029" t="str">
        <f t="shared" si="190"/>
        <v xml:space="preserve">                </v>
      </c>
      <c r="CT87" s="2029" t="str">
        <f t="shared" si="191"/>
        <v xml:space="preserve">                </v>
      </c>
      <c r="CU87" s="2029" t="str">
        <f t="shared" si="192"/>
        <v xml:space="preserve">                </v>
      </c>
      <c r="CV87" s="2029" t="str">
        <f t="shared" si="193"/>
        <v xml:space="preserve">                </v>
      </c>
      <c r="CW87" s="2029" t="str">
        <f t="shared" si="194"/>
        <v xml:space="preserve">                </v>
      </c>
      <c r="CX87" s="2029" t="str">
        <f t="shared" si="195"/>
        <v xml:space="preserve">                </v>
      </c>
      <c r="CY87" s="2029" t="str">
        <f t="shared" si="196"/>
        <v xml:space="preserve">                </v>
      </c>
      <c r="CZ87" s="2029" t="str">
        <f t="shared" si="197"/>
        <v xml:space="preserve">                </v>
      </c>
      <c r="DA87" s="2029" t="str">
        <f t="shared" si="198"/>
        <v xml:space="preserve">                </v>
      </c>
      <c r="DB87" s="2029" t="str">
        <f t="shared" si="198"/>
        <v xml:space="preserve">                </v>
      </c>
      <c r="DC87" s="2030" t="str">
        <f t="shared" si="198"/>
        <v xml:space="preserve">                </v>
      </c>
      <c r="DD87" s="331"/>
      <c r="DE87" s="331"/>
      <c r="DF87" s="502"/>
      <c r="DG87" s="503"/>
      <c r="DH87" s="2029"/>
      <c r="DI87" s="3213"/>
      <c r="DJ87" s="502"/>
      <c r="DK87" s="503"/>
      <c r="DL87" s="502"/>
      <c r="DM87" s="502"/>
      <c r="DN87" s="502"/>
      <c r="DO87" s="502"/>
      <c r="DP87" s="503"/>
      <c r="DQ87" s="503"/>
      <c r="DR87" s="296"/>
      <c r="DS87" s="296"/>
      <c r="DT87" s="296"/>
    </row>
    <row r="88" spans="1:124" ht="12.6" customHeight="1" collapsed="1" x14ac:dyDescent="0.25">
      <c r="A88" s="520" t="s">
        <v>1825</v>
      </c>
      <c r="B88" s="428"/>
      <c r="C88" s="430">
        <f>SUM(C83:C86)</f>
        <v>3.6189999999999989</v>
      </c>
      <c r="D88" s="430">
        <f t="shared" ref="D88:AE88" si="199">SUM(D83:D86)</f>
        <v>5.2030000000000003</v>
      </c>
      <c r="E88" s="430">
        <f t="shared" si="199"/>
        <v>6.3819999999999997</v>
      </c>
      <c r="F88" s="430">
        <f t="shared" si="199"/>
        <v>1.9350000000000001</v>
      </c>
      <c r="G88" s="481">
        <f t="shared" si="199"/>
        <v>17.138999999999999</v>
      </c>
      <c r="H88" s="430">
        <f t="shared" si="199"/>
        <v>10.484588846364135</v>
      </c>
      <c r="I88" s="430">
        <f t="shared" si="199"/>
        <v>20.110688536559923</v>
      </c>
      <c r="J88" s="430">
        <f t="shared" si="199"/>
        <v>-23.297000000000001</v>
      </c>
      <c r="K88" s="430">
        <f t="shared" si="199"/>
        <v>0.55385453622314573</v>
      </c>
      <c r="L88" s="481">
        <f t="shared" si="199"/>
        <v>7.8521319191472045</v>
      </c>
      <c r="M88" s="430">
        <f t="shared" si="199"/>
        <v>6.5</v>
      </c>
      <c r="N88" s="430">
        <f t="shared" si="199"/>
        <v>0</v>
      </c>
      <c r="O88" s="430">
        <f t="shared" si="199"/>
        <v>-114.661</v>
      </c>
      <c r="P88" s="430">
        <f t="shared" si="199"/>
        <v>-89.300999999999988</v>
      </c>
      <c r="Q88" s="481">
        <f t="shared" si="199"/>
        <v>-197.46199999999999</v>
      </c>
      <c r="R88" s="430">
        <f t="shared" si="199"/>
        <v>0</v>
      </c>
      <c r="S88" s="430">
        <f t="shared" si="199"/>
        <v>0</v>
      </c>
      <c r="T88" s="430">
        <f t="shared" si="199"/>
        <v>0</v>
      </c>
      <c r="U88" s="430">
        <f t="shared" si="199"/>
        <v>0</v>
      </c>
      <c r="V88" s="481">
        <f t="shared" si="199"/>
        <v>0</v>
      </c>
      <c r="W88" s="430">
        <f t="shared" si="199"/>
        <v>-0.88809000000000005</v>
      </c>
      <c r="X88" s="430">
        <f t="shared" si="199"/>
        <v>0</v>
      </c>
      <c r="Y88" s="430">
        <f t="shared" si="199"/>
        <v>-102.05910000000002</v>
      </c>
      <c r="Z88" s="430">
        <f>SUM(Z83:Z86)</f>
        <v>411.76499999999999</v>
      </c>
      <c r="AA88" s="481">
        <f t="shared" si="199"/>
        <v>314.22370999999998</v>
      </c>
      <c r="AB88" s="430">
        <f t="shared" si="199"/>
        <v>2.1306799999999999</v>
      </c>
      <c r="AC88" s="430">
        <f t="shared" si="199"/>
        <v>5.3522500000000006</v>
      </c>
      <c r="AD88" s="430">
        <f t="shared" si="199"/>
        <v>13.938469999999999</v>
      </c>
      <c r="AE88" s="430">
        <f t="shared" si="199"/>
        <v>352.0239499999999</v>
      </c>
      <c r="AF88" s="481">
        <f>SUM(AF83:AF86)</f>
        <v>373.95125999999993</v>
      </c>
      <c r="AG88" s="482">
        <v>0</v>
      </c>
      <c r="AH88" s="482">
        <f>0.2*AH101</f>
        <v>21.359000000000002</v>
      </c>
      <c r="AI88" s="482">
        <f>-0.09*AI101</f>
        <v>-9.4958100000000005</v>
      </c>
      <c r="AJ88" s="430">
        <f>SUM(AJ83:AJ86)</f>
        <v>106.41785000000002</v>
      </c>
      <c r="AK88" s="481">
        <f>SUM(AG88:AJ88)</f>
        <v>118.28104000000002</v>
      </c>
      <c r="AL88" s="430">
        <f t="shared" ref="AL88:BE88" si="200">SUM(AL83:AL86)</f>
        <v>-5.0999999999999934E-2</v>
      </c>
      <c r="AM88" s="430">
        <f t="shared" si="200"/>
        <v>-15.81025</v>
      </c>
      <c r="AN88" s="430">
        <f t="shared" si="200"/>
        <v>4.7009000000000007</v>
      </c>
      <c r="AO88" s="430">
        <f t="shared" si="200"/>
        <v>12.233650000000001</v>
      </c>
      <c r="AP88" s="483">
        <f t="shared" si="200"/>
        <v>1.0733000000000015</v>
      </c>
      <c r="AQ88" s="483">
        <f t="shared" si="200"/>
        <v>0.95520000000000027</v>
      </c>
      <c r="AR88" s="430">
        <f t="shared" si="200"/>
        <v>3.5651999999999999</v>
      </c>
      <c r="AS88" s="430">
        <f t="shared" si="200"/>
        <v>17.7</v>
      </c>
      <c r="AT88" s="430">
        <f t="shared" si="200"/>
        <v>19.68</v>
      </c>
      <c r="AU88" s="481">
        <f t="shared" si="200"/>
        <v>41.900399999999991</v>
      </c>
      <c r="AV88" s="430">
        <f t="shared" si="200"/>
        <v>4.91</v>
      </c>
      <c r="AW88" s="430">
        <f t="shared" si="200"/>
        <v>47.658599999999993</v>
      </c>
      <c r="AX88" s="430">
        <f t="shared" si="200"/>
        <v>3.5897999999999994</v>
      </c>
      <c r="AY88" s="853">
        <f t="shared" si="200"/>
        <v>896.52639999999997</v>
      </c>
      <c r="AZ88" s="481">
        <f t="shared" si="200"/>
        <v>952.6848</v>
      </c>
      <c r="BA88" s="430">
        <f t="shared" si="200"/>
        <v>-2.9399999999999999E-2</v>
      </c>
      <c r="BB88" s="430">
        <f t="shared" si="200"/>
        <v>2.7378</v>
      </c>
      <c r="BC88" s="430">
        <f t="shared" si="200"/>
        <v>-3.3174000000000006</v>
      </c>
      <c r="BD88" s="853">
        <f t="shared" si="200"/>
        <v>125.32159999999999</v>
      </c>
      <c r="BE88" s="853">
        <f t="shared" si="200"/>
        <v>124.71259999999998</v>
      </c>
      <c r="BF88" s="430">
        <f t="shared" ref="BF88:BS88" si="201">SUM(BF83:BF86)</f>
        <v>0.3024</v>
      </c>
      <c r="BG88" s="430">
        <f t="shared" si="201"/>
        <v>0.43619999999999998</v>
      </c>
      <c r="BH88" s="430">
        <f t="shared" si="201"/>
        <v>-3.8243999999999998</v>
      </c>
      <c r="BI88" s="853">
        <f t="shared" si="201"/>
        <v>24.658200000000001</v>
      </c>
      <c r="BJ88" s="853">
        <f t="shared" si="201"/>
        <v>21.572400000000002</v>
      </c>
      <c r="BK88" s="430">
        <f t="shared" si="201"/>
        <v>-1.3812</v>
      </c>
      <c r="BL88" s="430">
        <f t="shared" si="201"/>
        <v>0.33600000000000002</v>
      </c>
      <c r="BM88" s="430">
        <f>SUM(BM83:BM86)</f>
        <v>-2.1221999999999999</v>
      </c>
      <c r="BN88" s="853">
        <f t="shared" si="201"/>
        <v>0</v>
      </c>
      <c r="BO88" s="853">
        <f t="shared" si="201"/>
        <v>-3.1673999999999998</v>
      </c>
      <c r="BP88" s="430">
        <f t="shared" si="201"/>
        <v>1.5090000000000001</v>
      </c>
      <c r="BQ88" s="430">
        <f t="shared" si="201"/>
        <v>4.2294</v>
      </c>
      <c r="BR88" s="430">
        <f t="shared" si="201"/>
        <v>-763.98180000000002</v>
      </c>
      <c r="BS88" s="430">
        <f t="shared" si="201"/>
        <v>52.555200000000006</v>
      </c>
      <c r="BT88" s="2587">
        <f t="shared" ref="BT88:CF88" si="202">SUM(BT83:BT86)</f>
        <v>-705.68819999999994</v>
      </c>
      <c r="BU88" s="2840">
        <f t="shared" si="202"/>
        <v>0</v>
      </c>
      <c r="BV88" s="2840">
        <f t="shared" si="202"/>
        <v>0</v>
      </c>
      <c r="BW88" s="2840">
        <f t="shared" si="202"/>
        <v>0</v>
      </c>
      <c r="BX88" s="2840">
        <f t="shared" si="202"/>
        <v>0</v>
      </c>
      <c r="BY88" s="2587">
        <f t="shared" si="202"/>
        <v>0</v>
      </c>
      <c r="BZ88" s="481">
        <f t="shared" si="202"/>
        <v>0</v>
      </c>
      <c r="CA88" s="481">
        <f t="shared" si="202"/>
        <v>0</v>
      </c>
      <c r="CB88" s="481">
        <f t="shared" si="202"/>
        <v>-1532.4</v>
      </c>
      <c r="CC88" s="481">
        <f t="shared" si="202"/>
        <v>-3064.8</v>
      </c>
      <c r="CD88" s="481">
        <f t="shared" si="202"/>
        <v>-6129.6</v>
      </c>
      <c r="CE88" s="481">
        <f t="shared" si="202"/>
        <v>-12259.2</v>
      </c>
      <c r="CF88" s="481">
        <f t="shared" si="202"/>
        <v>-24518.400000000001</v>
      </c>
      <c r="CG88" s="331"/>
      <c r="CH88" s="331"/>
      <c r="CI88" s="331"/>
      <c r="CJ88" s="331"/>
      <c r="CK88" s="331"/>
      <c r="CL88" s="520" t="str">
        <f>A88</f>
        <v>Plus: Non-recurring expenses, net</v>
      </c>
      <c r="CM88" s="430">
        <f t="shared" si="184"/>
        <v>17.138999999999999</v>
      </c>
      <c r="CN88" s="430">
        <f t="shared" si="185"/>
        <v>7.8521319191472045</v>
      </c>
      <c r="CO88" s="430">
        <f t="shared" si="186"/>
        <v>-197.46199999999999</v>
      </c>
      <c r="CP88" s="430">
        <f t="shared" si="187"/>
        <v>0</v>
      </c>
      <c r="CQ88" s="430">
        <f t="shared" si="188"/>
        <v>314.22370999999998</v>
      </c>
      <c r="CR88" s="430">
        <f t="shared" si="189"/>
        <v>373.95125999999993</v>
      </c>
      <c r="CS88" s="430">
        <f t="shared" si="190"/>
        <v>118.28104000000002</v>
      </c>
      <c r="CT88" s="430">
        <f t="shared" si="191"/>
        <v>1.0733000000000015</v>
      </c>
      <c r="CU88" s="430">
        <f t="shared" si="192"/>
        <v>41.900399999999991</v>
      </c>
      <c r="CV88" s="430">
        <f t="shared" si="193"/>
        <v>952.6848</v>
      </c>
      <c r="CW88" s="430">
        <f t="shared" si="194"/>
        <v>124.71259999999998</v>
      </c>
      <c r="CX88" s="430">
        <f t="shared" si="195"/>
        <v>21.572400000000002</v>
      </c>
      <c r="CY88" s="430">
        <f t="shared" si="196"/>
        <v>-3.1673999999999998</v>
      </c>
      <c r="CZ88" s="430">
        <f t="shared" si="197"/>
        <v>-705.68819999999994</v>
      </c>
      <c r="DA88" s="430">
        <f t="shared" si="198"/>
        <v>0</v>
      </c>
      <c r="DB88" s="430">
        <f t="shared" si="198"/>
        <v>0</v>
      </c>
      <c r="DC88" s="853">
        <f t="shared" si="198"/>
        <v>0</v>
      </c>
      <c r="DD88" s="331"/>
      <c r="DE88" s="331"/>
      <c r="DF88" s="502"/>
      <c r="DG88" s="503"/>
      <c r="DH88" s="2840"/>
      <c r="DI88" s="3213"/>
      <c r="DJ88" s="502"/>
      <c r="DK88" s="503"/>
      <c r="DL88" s="502"/>
      <c r="DM88" s="502"/>
      <c r="DN88" s="502"/>
      <c r="DO88" s="502"/>
      <c r="DP88" s="503"/>
      <c r="DQ88" s="503"/>
      <c r="DR88" s="296"/>
      <c r="DS88" s="296"/>
      <c r="DT88" s="296"/>
    </row>
    <row r="89" spans="1:124" ht="5.0999999999999996" customHeight="1" x14ac:dyDescent="0.25">
      <c r="A89" s="868"/>
      <c r="B89" s="281"/>
      <c r="C89" s="488"/>
      <c r="D89" s="488"/>
      <c r="E89" s="509"/>
      <c r="F89" s="488"/>
      <c r="G89" s="489"/>
      <c r="H89" s="488"/>
      <c r="I89" s="488"/>
      <c r="J89" s="509"/>
      <c r="K89" s="488"/>
      <c r="L89" s="489"/>
      <c r="M89" s="488"/>
      <c r="N89" s="488"/>
      <c r="O89" s="509"/>
      <c r="P89" s="488"/>
      <c r="Q89" s="489"/>
      <c r="R89" s="488"/>
      <c r="S89" s="488"/>
      <c r="T89" s="509"/>
      <c r="U89" s="488"/>
      <c r="V89" s="489"/>
      <c r="W89" s="488"/>
      <c r="X89" s="488"/>
      <c r="Y89" s="488"/>
      <c r="Z89" s="488"/>
      <c r="AA89" s="489"/>
      <c r="AB89" s="488"/>
      <c r="AC89" s="488"/>
      <c r="AD89" s="509"/>
      <c r="AE89" s="485"/>
      <c r="AF89" s="486"/>
      <c r="AG89" s="485"/>
      <c r="AH89" s="485"/>
      <c r="AI89" s="485"/>
      <c r="AJ89" s="485"/>
      <c r="AK89" s="486"/>
      <c r="AL89" s="485"/>
      <c r="AM89" s="485"/>
      <c r="AN89" s="485"/>
      <c r="AO89" s="485"/>
      <c r="AP89" s="490"/>
      <c r="AQ89" s="490"/>
      <c r="AR89" s="485"/>
      <c r="AS89" s="485"/>
      <c r="AT89" s="485"/>
      <c r="AU89" s="486"/>
      <c r="AV89" s="485"/>
      <c r="AW89" s="485"/>
      <c r="AX89" s="485"/>
      <c r="AY89" s="854"/>
      <c r="AZ89" s="486"/>
      <c r="BA89" s="485"/>
      <c r="BB89" s="485"/>
      <c r="BC89" s="485"/>
      <c r="BD89" s="854"/>
      <c r="BE89" s="486"/>
      <c r="BF89" s="485"/>
      <c r="BG89" s="485"/>
      <c r="BH89" s="485"/>
      <c r="BI89" s="854"/>
      <c r="BJ89" s="486"/>
      <c r="BK89" s="485"/>
      <c r="BL89" s="485"/>
      <c r="BM89" s="485"/>
      <c r="BN89" s="854"/>
      <c r="BO89" s="486"/>
      <c r="BP89" s="485"/>
      <c r="BQ89" s="485"/>
      <c r="BR89" s="485"/>
      <c r="BS89" s="485"/>
      <c r="BT89" s="486"/>
      <c r="BU89" s="485"/>
      <c r="BV89" s="485"/>
      <c r="BW89" s="485"/>
      <c r="BX89" s="485"/>
      <c r="BY89" s="486"/>
      <c r="BZ89" s="486"/>
      <c r="CA89" s="486"/>
      <c r="CB89" s="486"/>
      <c r="CC89" s="486"/>
      <c r="CD89" s="486"/>
      <c r="CE89" s="486"/>
      <c r="CF89" s="486"/>
      <c r="CG89" s="331"/>
      <c r="CH89" s="331"/>
      <c r="CI89" s="331"/>
      <c r="CJ89" s="331"/>
      <c r="CK89" s="331"/>
      <c r="CL89" s="1118"/>
      <c r="CM89" s="485">
        <f t="shared" si="184"/>
        <v>0</v>
      </c>
      <c r="CN89" s="485">
        <f t="shared" si="185"/>
        <v>0</v>
      </c>
      <c r="CO89" s="485">
        <f t="shared" si="186"/>
        <v>0</v>
      </c>
      <c r="CP89" s="485">
        <f t="shared" si="187"/>
        <v>0</v>
      </c>
      <c r="CQ89" s="485">
        <f t="shared" si="188"/>
        <v>0</v>
      </c>
      <c r="CR89" s="485">
        <f t="shared" si="189"/>
        <v>0</v>
      </c>
      <c r="CS89" s="485">
        <f t="shared" si="190"/>
        <v>0</v>
      </c>
      <c r="CT89" s="485">
        <f t="shared" si="191"/>
        <v>0</v>
      </c>
      <c r="CU89" s="485">
        <f t="shared" si="192"/>
        <v>0</v>
      </c>
      <c r="CV89" s="485">
        <f t="shared" si="193"/>
        <v>0</v>
      </c>
      <c r="CW89" s="485">
        <f t="shared" si="194"/>
        <v>0</v>
      </c>
      <c r="CX89" s="485">
        <f t="shared" si="195"/>
        <v>0</v>
      </c>
      <c r="CY89" s="485">
        <f t="shared" si="196"/>
        <v>0</v>
      </c>
      <c r="CZ89" s="485">
        <f t="shared" si="197"/>
        <v>0</v>
      </c>
      <c r="DA89" s="485">
        <f t="shared" si="198"/>
        <v>0</v>
      </c>
      <c r="DB89" s="485">
        <f t="shared" si="198"/>
        <v>0</v>
      </c>
      <c r="DC89" s="854">
        <f t="shared" si="198"/>
        <v>0</v>
      </c>
      <c r="DD89" s="331"/>
      <c r="DE89" s="331"/>
      <c r="DF89" s="502"/>
      <c r="DG89" s="503"/>
      <c r="DH89" s="485"/>
      <c r="DI89" s="3213"/>
      <c r="DJ89" s="502"/>
      <c r="DK89" s="503"/>
      <c r="DL89" s="502"/>
      <c r="DM89" s="502"/>
      <c r="DN89" s="502"/>
      <c r="DO89" s="502"/>
      <c r="DP89" s="503"/>
      <c r="DQ89" s="503"/>
      <c r="DR89" s="296"/>
      <c r="DS89" s="296"/>
      <c r="DT89" s="296"/>
    </row>
    <row r="90" spans="1:124" ht="12.6" customHeight="1" x14ac:dyDescent="0.25">
      <c r="A90" s="2164" t="s">
        <v>437</v>
      </c>
      <c r="B90" s="2056"/>
      <c r="C90" s="1812">
        <f t="shared" ref="C90:AC90" si="203">C77+C88</f>
        <v>21.405999999999992</v>
      </c>
      <c r="D90" s="1812">
        <f t="shared" si="203"/>
        <v>24.925000000000001</v>
      </c>
      <c r="E90" s="1812">
        <f t="shared" si="203"/>
        <v>23.57200000000001</v>
      </c>
      <c r="F90" s="1812">
        <f t="shared" si="203"/>
        <v>18.800000000000008</v>
      </c>
      <c r="G90" s="1811">
        <f t="shared" si="203"/>
        <v>88.703000000000046</v>
      </c>
      <c r="H90" s="1812">
        <f t="shared" si="203"/>
        <v>26.28658884636414</v>
      </c>
      <c r="I90" s="1812">
        <f t="shared" si="203"/>
        <v>32.229688536559905</v>
      </c>
      <c r="J90" s="1812">
        <f t="shared" si="203"/>
        <v>32.103999999999999</v>
      </c>
      <c r="K90" s="1812">
        <f t="shared" si="203"/>
        <v>38.142854536223176</v>
      </c>
      <c r="L90" s="1811">
        <f t="shared" si="203"/>
        <v>128.76313191914718</v>
      </c>
      <c r="M90" s="1812">
        <f t="shared" si="203"/>
        <v>48.482999999999997</v>
      </c>
      <c r="N90" s="1812">
        <f t="shared" si="203"/>
        <v>42.695000000000014</v>
      </c>
      <c r="O90" s="1812">
        <f t="shared" si="203"/>
        <v>40.399000000000001</v>
      </c>
      <c r="P90" s="1812">
        <f t="shared" si="203"/>
        <v>-1.950999999999965</v>
      </c>
      <c r="Q90" s="1811">
        <f t="shared" si="203"/>
        <v>129.62600000000009</v>
      </c>
      <c r="R90" s="1812">
        <f t="shared" si="203"/>
        <v>42.940999999999995</v>
      </c>
      <c r="S90" s="1812">
        <f t="shared" si="203"/>
        <v>38.298999999999985</v>
      </c>
      <c r="T90" s="1812">
        <f t="shared" si="203"/>
        <v>46.589999999999996</v>
      </c>
      <c r="U90" s="1812">
        <f t="shared" si="203"/>
        <v>32.222999999999999</v>
      </c>
      <c r="V90" s="1811">
        <f t="shared" si="203"/>
        <v>160.05299999999994</v>
      </c>
      <c r="W90" s="1812">
        <f t="shared" si="203"/>
        <v>39.847909999999992</v>
      </c>
      <c r="X90" s="1812">
        <f t="shared" si="203"/>
        <v>37.022999999999946</v>
      </c>
      <c r="Y90" s="1812">
        <f t="shared" si="203"/>
        <v>45.431900000000027</v>
      </c>
      <c r="Z90" s="1812">
        <f>Z77+Z88</f>
        <v>33.19199999999995</v>
      </c>
      <c r="AA90" s="1811">
        <f t="shared" si="203"/>
        <v>160.90070999999995</v>
      </c>
      <c r="AB90" s="1812">
        <f t="shared" si="203"/>
        <v>42.791680000000014</v>
      </c>
      <c r="AC90" s="1812">
        <f t="shared" si="203"/>
        <v>33.832250000000002</v>
      </c>
      <c r="AD90" s="1812">
        <f>AD77+AD88</f>
        <v>35.28946999999998</v>
      </c>
      <c r="AE90" s="1812">
        <f>AE79+AE88</f>
        <v>-3.416050000000098</v>
      </c>
      <c r="AF90" s="1811">
        <f>SUM(AB90:AE90)</f>
        <v>108.4973499999999</v>
      </c>
      <c r="AG90" s="1812">
        <f t="shared" ref="AG90:BI90" si="204">AG79+AG88</f>
        <v>36.16900000000004</v>
      </c>
      <c r="AH90" s="1812">
        <f t="shared" si="204"/>
        <v>30.515000000000001</v>
      </c>
      <c r="AI90" s="1812">
        <f t="shared" si="204"/>
        <v>38.849190000000014</v>
      </c>
      <c r="AJ90" s="1812">
        <f t="shared" si="204"/>
        <v>-46.714150000000018</v>
      </c>
      <c r="AK90" s="1811">
        <f t="shared" si="204"/>
        <v>58.819040000000044</v>
      </c>
      <c r="AL90" s="1812">
        <f t="shared" si="204"/>
        <v>51.476999999999997</v>
      </c>
      <c r="AM90" s="1812">
        <f t="shared" si="204"/>
        <v>60.178750000000036</v>
      </c>
      <c r="AN90" s="1812">
        <f t="shared" si="204"/>
        <v>75.503900000000058</v>
      </c>
      <c r="AO90" s="1812">
        <f t="shared" si="204"/>
        <v>56.264649999999975</v>
      </c>
      <c r="AP90" s="1811">
        <f t="shared" si="204"/>
        <v>243.42430000000007</v>
      </c>
      <c r="AQ90" s="1813">
        <f>AQ79+AQ88</f>
        <v>79.574199999999962</v>
      </c>
      <c r="AR90" s="1812">
        <f>AR79+AR88</f>
        <v>70.232200000000034</v>
      </c>
      <c r="AS90" s="1812">
        <f>AS79+AS88</f>
        <v>64.146000000000029</v>
      </c>
      <c r="AT90" s="1814">
        <f>AT79+AT88</f>
        <v>39.918999999999954</v>
      </c>
      <c r="AU90" s="1811">
        <f>AU79+AU88</f>
        <v>253.87139999999991</v>
      </c>
      <c r="AV90" s="1812">
        <f t="shared" ref="AV90:BD90" si="205">AV79+AV88</f>
        <v>70.180999999999983</v>
      </c>
      <c r="AW90" s="1812">
        <f t="shared" si="205"/>
        <v>35.478599999999979</v>
      </c>
      <c r="AX90" s="1812">
        <f t="shared" si="205"/>
        <v>44.906800000000004</v>
      </c>
      <c r="AY90" s="1814">
        <f t="shared" si="205"/>
        <v>7.7794000000000096</v>
      </c>
      <c r="AZ90" s="1811">
        <f t="shared" si="204"/>
        <v>158.34580000000028</v>
      </c>
      <c r="BA90" s="1812">
        <f t="shared" si="205"/>
        <v>0.55060000000001297</v>
      </c>
      <c r="BB90" s="1812">
        <f t="shared" si="205"/>
        <v>-16.535200000000028</v>
      </c>
      <c r="BC90" s="1812">
        <f t="shared" si="205"/>
        <v>-18.665399999999995</v>
      </c>
      <c r="BD90" s="1814">
        <f t="shared" si="205"/>
        <v>-24.45939999999996</v>
      </c>
      <c r="BE90" s="1811">
        <f t="shared" si="204"/>
        <v>-59.109399999999994</v>
      </c>
      <c r="BF90" s="1812">
        <f t="shared" si="204"/>
        <v>2.171399999999966</v>
      </c>
      <c r="BG90" s="1812">
        <f t="shared" si="204"/>
        <v>3.4192000000000005</v>
      </c>
      <c r="BH90" s="1812">
        <f t="shared" si="204"/>
        <v>1.0755999999999561</v>
      </c>
      <c r="BI90" s="1814">
        <f t="shared" si="204"/>
        <v>15.594200000000018</v>
      </c>
      <c r="BJ90" s="1811">
        <f t="shared" ref="BJ90:CF90" si="206">BJ79+BJ88</f>
        <v>22.260399999999954</v>
      </c>
      <c r="BK90" s="1812">
        <f t="shared" si="206"/>
        <v>22.326800000000013</v>
      </c>
      <c r="BL90" s="1812">
        <f t="shared" si="206"/>
        <v>34.370999999999995</v>
      </c>
      <c r="BM90" s="1812">
        <f t="shared" si="206"/>
        <v>44.412800000000011</v>
      </c>
      <c r="BN90" s="1814">
        <f t="shared" si="206"/>
        <v>5.03200000000004</v>
      </c>
      <c r="BO90" s="1811">
        <f t="shared" si="206"/>
        <v>106.14260000000012</v>
      </c>
      <c r="BP90" s="1812">
        <f t="shared" si="206"/>
        <v>6.6129999999999711</v>
      </c>
      <c r="BQ90" s="1812">
        <f t="shared" si="206"/>
        <v>21.308400000000049</v>
      </c>
      <c r="BR90" s="1812">
        <f t="shared" si="206"/>
        <v>25.358199999999897</v>
      </c>
      <c r="BS90" s="1812">
        <f t="shared" si="206"/>
        <v>-285.50479999999993</v>
      </c>
      <c r="BT90" s="1811">
        <f t="shared" si="206"/>
        <v>-232.22519999999992</v>
      </c>
      <c r="BU90" s="1812">
        <f t="shared" si="206"/>
        <v>37.417630578189765</v>
      </c>
      <c r="BV90" s="1812">
        <f>BV79+BV88</f>
        <v>43.737531994913326</v>
      </c>
      <c r="BW90" s="1812">
        <f>BW79+BW88</f>
        <v>73.989563670452384</v>
      </c>
      <c r="BX90" s="1812">
        <f>BX79+BX88</f>
        <v>51.509941485934185</v>
      </c>
      <c r="BY90" s="1811">
        <f>BY79+BY88</f>
        <v>206.65466772948992</v>
      </c>
      <c r="BZ90" s="1811">
        <f t="shared" si="206"/>
        <v>318.96686755926441</v>
      </c>
      <c r="CA90" s="1811">
        <f t="shared" si="206"/>
        <v>305.22874612427006</v>
      </c>
      <c r="CB90" s="1811">
        <f t="shared" si="206"/>
        <v>-1457.0574626371126</v>
      </c>
      <c r="CC90" s="1811">
        <f t="shared" si="206"/>
        <v>-3049.7418577854301</v>
      </c>
      <c r="CD90" s="1811">
        <f t="shared" si="206"/>
        <v>-6110.254069964406</v>
      </c>
      <c r="CE90" s="1811">
        <f t="shared" si="206"/>
        <v>-12226.344801984867</v>
      </c>
      <c r="CF90" s="1811">
        <f t="shared" si="206"/>
        <v>-24473.008398968701</v>
      </c>
      <c r="CG90" s="450"/>
      <c r="CH90" s="450"/>
      <c r="CI90" s="450"/>
      <c r="CJ90" s="450"/>
      <c r="CK90" s="450"/>
      <c r="CL90" s="2210" t="str">
        <f>A90</f>
        <v>Recurring Net income</v>
      </c>
      <c r="CM90" s="2160">
        <f t="shared" si="184"/>
        <v>88.703000000000046</v>
      </c>
      <c r="CN90" s="2160">
        <f t="shared" si="185"/>
        <v>128.76313191914718</v>
      </c>
      <c r="CO90" s="2160">
        <f t="shared" si="186"/>
        <v>129.62600000000009</v>
      </c>
      <c r="CP90" s="2160">
        <f t="shared" si="187"/>
        <v>160.05299999999994</v>
      </c>
      <c r="CQ90" s="2160">
        <f t="shared" si="188"/>
        <v>160.90070999999995</v>
      </c>
      <c r="CR90" s="2160">
        <f t="shared" si="189"/>
        <v>108.4973499999999</v>
      </c>
      <c r="CS90" s="2160">
        <f t="shared" si="190"/>
        <v>58.819040000000044</v>
      </c>
      <c r="CT90" s="2160">
        <f t="shared" si="191"/>
        <v>243.42430000000007</v>
      </c>
      <c r="CU90" s="2160">
        <f t="shared" si="192"/>
        <v>253.87139999999991</v>
      </c>
      <c r="CV90" s="2160">
        <f t="shared" si="193"/>
        <v>158.34580000000028</v>
      </c>
      <c r="CW90" s="2160">
        <f t="shared" si="194"/>
        <v>-59.109399999999994</v>
      </c>
      <c r="CX90" s="2160">
        <f t="shared" si="195"/>
        <v>22.260399999999954</v>
      </c>
      <c r="CY90" s="2160">
        <f t="shared" si="196"/>
        <v>106.14260000000012</v>
      </c>
      <c r="CZ90" s="2160">
        <f t="shared" si="197"/>
        <v>-232.22519999999992</v>
      </c>
      <c r="DA90" s="2160">
        <f t="shared" si="198"/>
        <v>206.65466772948992</v>
      </c>
      <c r="DB90" s="2160">
        <f t="shared" si="198"/>
        <v>318.96686755926441</v>
      </c>
      <c r="DC90" s="2163">
        <f t="shared" si="198"/>
        <v>305.22874612427006</v>
      </c>
      <c r="DD90" s="450"/>
      <c r="DE90" s="450"/>
      <c r="DF90" s="2144"/>
      <c r="DG90" s="2144"/>
      <c r="DH90" s="514"/>
      <c r="DI90" s="3213"/>
      <c r="DJ90" s="2144"/>
      <c r="DK90" s="2144"/>
      <c r="DL90" s="2144"/>
      <c r="DM90" s="2144"/>
      <c r="DN90" s="2144"/>
      <c r="DO90" s="2144"/>
      <c r="DP90" s="2144"/>
      <c r="DQ90" s="2144"/>
      <c r="DR90" s="2145"/>
      <c r="DS90" s="2145"/>
      <c r="DT90" s="2145"/>
    </row>
    <row r="91" spans="1:124" ht="12.75" customHeight="1" x14ac:dyDescent="0.25">
      <c r="A91" s="869"/>
      <c r="B91" s="281"/>
      <c r="C91" s="512"/>
      <c r="D91" s="512"/>
      <c r="E91" s="512"/>
      <c r="F91" s="512"/>
      <c r="G91" s="513"/>
      <c r="H91" s="512"/>
      <c r="I91" s="512"/>
      <c r="J91" s="512"/>
      <c r="K91" s="512"/>
      <c r="L91" s="513"/>
      <c r="M91" s="512"/>
      <c r="N91" s="512"/>
      <c r="O91" s="512"/>
      <c r="P91" s="512"/>
      <c r="Q91" s="513"/>
      <c r="R91" s="512"/>
      <c r="S91" s="512"/>
      <c r="T91" s="512"/>
      <c r="U91" s="512"/>
      <c r="V91" s="513"/>
      <c r="W91" s="512"/>
      <c r="X91" s="512"/>
      <c r="Y91" s="512"/>
      <c r="Z91" s="512"/>
      <c r="AA91" s="513"/>
      <c r="AB91" s="512"/>
      <c r="AC91" s="512"/>
      <c r="AD91" s="512"/>
      <c r="AE91" s="514"/>
      <c r="AF91" s="515"/>
      <c r="AG91" s="514"/>
      <c r="AH91" s="514"/>
      <c r="AI91" s="514"/>
      <c r="AJ91" s="514"/>
      <c r="AK91" s="515"/>
      <c r="AL91" s="1576"/>
      <c r="AM91" s="1576"/>
      <c r="AN91" s="514"/>
      <c r="AO91" s="514"/>
      <c r="AP91" s="516"/>
      <c r="AQ91" s="516"/>
      <c r="AR91" s="514"/>
      <c r="AS91" s="514"/>
      <c r="AT91" s="506"/>
      <c r="AU91" s="515"/>
      <c r="AV91" s="514"/>
      <c r="AW91" s="514"/>
      <c r="AX91" s="514"/>
      <c r="AY91" s="1590"/>
      <c r="AZ91" s="515"/>
      <c r="BA91" s="514"/>
      <c r="BB91" s="514"/>
      <c r="BC91" s="514"/>
      <c r="BD91" s="1590"/>
      <c r="BE91" s="515"/>
      <c r="BF91" s="514"/>
      <c r="BG91" s="514"/>
      <c r="BH91" s="514"/>
      <c r="BI91" s="1590"/>
      <c r="BJ91" s="515"/>
      <c r="BK91" s="514"/>
      <c r="BL91" s="514"/>
      <c r="BM91" s="514"/>
      <c r="BN91" s="1590"/>
      <c r="BO91" s="515"/>
      <c r="BP91" s="514"/>
      <c r="BQ91" s="514"/>
      <c r="BR91" s="514"/>
      <c r="BS91" s="514"/>
      <c r="BT91" s="515"/>
      <c r="BU91" s="514"/>
      <c r="BV91" s="514"/>
      <c r="BW91" s="514"/>
      <c r="BX91" s="514"/>
      <c r="BY91" s="515"/>
      <c r="BZ91" s="515"/>
      <c r="CA91" s="515"/>
      <c r="CB91" s="515"/>
      <c r="CC91" s="515"/>
      <c r="CD91" s="515"/>
      <c r="CE91" s="515"/>
      <c r="CF91" s="515"/>
      <c r="CG91" s="331"/>
      <c r="CH91" s="331"/>
      <c r="CI91" s="331"/>
      <c r="CJ91" s="331"/>
      <c r="CK91" s="331"/>
      <c r="CL91" s="2211"/>
      <c r="CM91" s="514"/>
      <c r="CN91" s="514"/>
      <c r="CO91" s="514"/>
      <c r="CP91" s="514"/>
      <c r="CQ91" s="514"/>
      <c r="CR91" s="514"/>
      <c r="CS91" s="514"/>
      <c r="CT91" s="514"/>
      <c r="CU91" s="514"/>
      <c r="CV91" s="514"/>
      <c r="CW91" s="514"/>
      <c r="CX91" s="514"/>
      <c r="CY91" s="514"/>
      <c r="CZ91" s="514"/>
      <c r="DA91" s="514"/>
      <c r="DB91" s="514"/>
      <c r="DC91" s="1590"/>
      <c r="DD91" s="331"/>
      <c r="DE91" s="331"/>
      <c r="DF91" s="502"/>
      <c r="DG91" s="503"/>
      <c r="DH91" s="514"/>
      <c r="DI91" s="3213"/>
      <c r="DJ91" s="502"/>
      <c r="DK91" s="503"/>
      <c r="DL91" s="502"/>
      <c r="DM91" s="502"/>
      <c r="DN91" s="502"/>
      <c r="DO91" s="502"/>
      <c r="DP91" s="503"/>
      <c r="DQ91" s="503"/>
      <c r="DR91" s="296"/>
      <c r="DS91" s="296"/>
      <c r="DT91" s="296"/>
    </row>
    <row r="92" spans="1:124" ht="12.6" customHeight="1" x14ac:dyDescent="0.25">
      <c r="A92" s="1780" t="s">
        <v>2126</v>
      </c>
      <c r="B92" s="797"/>
      <c r="C92" s="1781">
        <f t="shared" ref="C92:AH92" si="207">IF(C79&lt;0,C79/C100,C79/C101)</f>
        <v>0.2163237011091651</v>
      </c>
      <c r="D92" s="1781">
        <f t="shared" si="207"/>
        <v>0.23909511917173823</v>
      </c>
      <c r="E92" s="1781">
        <f t="shared" si="207"/>
        <v>0.20500405476315423</v>
      </c>
      <c r="F92" s="1781">
        <f t="shared" si="207"/>
        <v>0.19942531453977874</v>
      </c>
      <c r="G92" s="1782">
        <f t="shared" si="207"/>
        <v>0.85697178713416744</v>
      </c>
      <c r="H92" s="1781">
        <f t="shared" si="207"/>
        <v>0.18505679821993212</v>
      </c>
      <c r="I92" s="1781">
        <f t="shared" si="207"/>
        <v>0.14135911911538263</v>
      </c>
      <c r="J92" s="1781">
        <f t="shared" si="207"/>
        <v>0.64280741651776385</v>
      </c>
      <c r="K92" s="1781">
        <f t="shared" si="207"/>
        <v>0.43759531542858504</v>
      </c>
      <c r="L92" s="1782">
        <f t="shared" si="207"/>
        <v>1.408283541237173</v>
      </c>
      <c r="M92" s="1781">
        <f t="shared" si="207"/>
        <v>0.48792478266933192</v>
      </c>
      <c r="N92" s="1781">
        <f t="shared" si="207"/>
        <v>0.49228055206447685</v>
      </c>
      <c r="O92" s="1781">
        <f t="shared" si="207"/>
        <v>1.7909447909447911</v>
      </c>
      <c r="P92" s="1781">
        <f t="shared" si="207"/>
        <v>1.0041845814268966</v>
      </c>
      <c r="Q92" s="1782">
        <f t="shared" si="207"/>
        <v>3.7755153865687845</v>
      </c>
      <c r="R92" s="1781">
        <f t="shared" si="207"/>
        <v>0.49091137735503931</v>
      </c>
      <c r="S92" s="1781">
        <f t="shared" si="207"/>
        <v>0.43487492761357555</v>
      </c>
      <c r="T92" s="1781">
        <f t="shared" si="207"/>
        <v>0.52458536475515971</v>
      </c>
      <c r="U92" s="1781">
        <f t="shared" si="207"/>
        <v>0.36148754767781016</v>
      </c>
      <c r="V92" s="1782">
        <f t="shared" si="207"/>
        <v>1.8108820601013751</v>
      </c>
      <c r="W92" s="1781">
        <f t="shared" si="207"/>
        <v>0.45869224965938127</v>
      </c>
      <c r="X92" s="1781">
        <f t="shared" si="207"/>
        <v>0.41688342397729899</v>
      </c>
      <c r="Y92" s="1781">
        <f t="shared" si="207"/>
        <v>1.69082884328786</v>
      </c>
      <c r="Z92" s="1781">
        <f t="shared" si="207"/>
        <v>-4.7727908823863139</v>
      </c>
      <c r="AA92" s="1782">
        <f t="shared" si="207"/>
        <v>-1.813700671903095</v>
      </c>
      <c r="AB92" s="1781">
        <f t="shared" si="207"/>
        <v>0.38167157902641424</v>
      </c>
      <c r="AC92" s="1781">
        <f t="shared" si="207"/>
        <v>0.26605633144939045</v>
      </c>
      <c r="AD92" s="1781">
        <f t="shared" si="207"/>
        <v>0.1991344817616279</v>
      </c>
      <c r="AE92" s="1781">
        <f t="shared" si="207"/>
        <v>-4.5365087873798675</v>
      </c>
      <c r="AF92" s="1782">
        <f t="shared" si="207"/>
        <v>-3.391464632241878</v>
      </c>
      <c r="AG92" s="1781">
        <f t="shared" si="207"/>
        <v>0.33791118958864724</v>
      </c>
      <c r="AH92" s="1781">
        <f t="shared" si="207"/>
        <v>8.5734350859122607E-2</v>
      </c>
      <c r="AI92" s="1781">
        <f t="shared" ref="AI92:CA92" si="208">IF(AI79&lt;0,AI79/AI100,AI79/AI101)</f>
        <v>0.45820735671838436</v>
      </c>
      <c r="AJ92" s="1781">
        <f t="shared" si="208"/>
        <v>-1.9724354680818184</v>
      </c>
      <c r="AK92" s="1782">
        <f t="shared" si="208"/>
        <v>-0.76156200771013949</v>
      </c>
      <c r="AL92" s="1781">
        <f t="shared" si="208"/>
        <v>0.48193492269849136</v>
      </c>
      <c r="AM92" s="1781">
        <f t="shared" si="208"/>
        <v>0.70672321270797911</v>
      </c>
      <c r="AN92" s="1781">
        <f t="shared" si="208"/>
        <v>0.65894517398952113</v>
      </c>
      <c r="AO92" s="1781">
        <f t="shared" si="208"/>
        <v>0.41462404067988112</v>
      </c>
      <c r="AP92" s="1783">
        <f t="shared" si="208"/>
        <v>2.263883569513597</v>
      </c>
      <c r="AQ92" s="1783">
        <f t="shared" si="208"/>
        <v>0.74427256891850913</v>
      </c>
      <c r="AR92" s="1781">
        <f t="shared" si="208"/>
        <v>0.62816357297653846</v>
      </c>
      <c r="AS92" s="1781">
        <f t="shared" si="208"/>
        <v>0.43882805340085634</v>
      </c>
      <c r="AT92" s="1781">
        <f t="shared" si="208"/>
        <v>0.19373025749018813</v>
      </c>
      <c r="AU92" s="1782">
        <f t="shared" si="208"/>
        <v>2.04203113560171</v>
      </c>
      <c r="AV92" s="1781">
        <f t="shared" si="208"/>
        <v>0.63439501589122038</v>
      </c>
      <c r="AW92" s="1781">
        <f t="shared" si="208"/>
        <v>-0.15554363650295014</v>
      </c>
      <c r="AX92" s="1781">
        <f t="shared" si="208"/>
        <v>0.399421898261828</v>
      </c>
      <c r="AY92" s="1784">
        <f t="shared" si="208"/>
        <v>-11.403110124584611</v>
      </c>
      <c r="AZ92" s="1782">
        <f t="shared" si="208"/>
        <v>-10.169361549589683</v>
      </c>
      <c r="BA92" s="1781">
        <f t="shared" si="208"/>
        <v>6.5404436225037828E-3</v>
      </c>
      <c r="BB92" s="1781">
        <f t="shared" si="208"/>
        <v>-0.24564735272375066</v>
      </c>
      <c r="BC92" s="1781">
        <f t="shared" si="208"/>
        <v>-0.19549102025219711</v>
      </c>
      <c r="BD92" s="1784">
        <f t="shared" si="208"/>
        <v>-1.9006535118330048</v>
      </c>
      <c r="BE92" s="1782">
        <f t="shared" si="208"/>
        <v>-2.332618488674576</v>
      </c>
      <c r="BF92" s="1781">
        <f t="shared" ref="BF92:BO92" si="209">IF(BF79&lt;0,BF79/BF100,BF79/BF101)</f>
        <v>2.0676608549428779E-2</v>
      </c>
      <c r="BG92" s="1781">
        <f t="shared" si="209"/>
        <v>3.2878131578657328E-2</v>
      </c>
      <c r="BH92" s="1781">
        <f t="shared" si="209"/>
        <v>5.3680981595091541E-2</v>
      </c>
      <c r="BI92" s="1784">
        <f t="shared" si="209"/>
        <v>-0.11329575140932192</v>
      </c>
      <c r="BJ92" s="1782">
        <f t="shared" si="209"/>
        <v>7.568423831734057E-3</v>
      </c>
      <c r="BK92" s="1781">
        <f t="shared" si="209"/>
        <v>0.26026720532215053</v>
      </c>
      <c r="BL92" s="1781">
        <f t="shared" si="209"/>
        <v>0.37202413484030339</v>
      </c>
      <c r="BM92" s="1781">
        <f t="shared" si="209"/>
        <v>0.50901314781999973</v>
      </c>
      <c r="BN92" s="1784">
        <f t="shared" si="209"/>
        <v>5.4813620618287616E-2</v>
      </c>
      <c r="BO92" s="1782">
        <f t="shared" si="209"/>
        <v>1.1907147992418479</v>
      </c>
      <c r="BP92" s="1781">
        <f t="shared" ref="BP92:BX92" si="210">IF(BP79&lt;0,BP79/BP100,BP79/BP101)</f>
        <v>5.5528357104778991E-2</v>
      </c>
      <c r="BQ92" s="1781">
        <f t="shared" si="210"/>
        <v>0.18317442272010692</v>
      </c>
      <c r="BR92" s="1781">
        <f t="shared" si="210"/>
        <v>8.4341108463601486</v>
      </c>
      <c r="BS92" s="1781">
        <f t="shared" si="210"/>
        <v>-3.7220209849494088</v>
      </c>
      <c r="BT92" s="1782">
        <f t="shared" si="210"/>
        <v>5.1244466572142917</v>
      </c>
      <c r="BU92" s="1781">
        <f t="shared" si="210"/>
        <v>0.40104641562904358</v>
      </c>
      <c r="BV92" s="1781">
        <f t="shared" si="210"/>
        <v>0.46878383703015358</v>
      </c>
      <c r="BW92" s="1781">
        <f t="shared" si="210"/>
        <v>0.61781532790958904</v>
      </c>
      <c r="BX92" s="1781">
        <f t="shared" si="210"/>
        <v>0.43010973184647788</v>
      </c>
      <c r="BY92" s="1782">
        <f>IF(BY79&lt;0,BY79/BY100,BY79/BY101)</f>
        <v>1.9398729722096115</v>
      </c>
      <c r="BZ92" s="1782">
        <f t="shared" si="208"/>
        <v>2.6196359030820009</v>
      </c>
      <c r="CA92" s="1782">
        <f t="shared" si="208"/>
        <v>2.466295621560036</v>
      </c>
      <c r="CB92" s="1782">
        <f>IF(CB79&lt;0,CB79/CB100,CB79/CB101)</f>
        <v>0.60877939045642737</v>
      </c>
      <c r="CC92" s="1782">
        <f>IF(CC79&lt;0,CC79/CC100,CC79/CC101)</f>
        <v>0.12167212519852957</v>
      </c>
      <c r="CD92" s="1782">
        <f>IF(CD79&lt;0,CD79/CD100,CD79/CD101)</f>
        <v>0.15631811599542894</v>
      </c>
      <c r="CE92" s="1782">
        <f>IF(CE79&lt;0,CE79/CE100,CE79/CE101)</f>
        <v>0.2654750970841373</v>
      </c>
      <c r="CF92" s="1782">
        <f>IF(CF79&lt;0,CF79/CF100,CF79/CF101)</f>
        <v>0.36677117833952388</v>
      </c>
      <c r="CG92" s="331"/>
      <c r="CH92" s="331"/>
      <c r="CI92" s="331"/>
      <c r="CJ92" s="331"/>
      <c r="CK92" s="331"/>
      <c r="CL92" s="2212" t="str">
        <f>A92</f>
        <v>Reported Diluted EPS</v>
      </c>
      <c r="CM92" s="2213">
        <f>G92</f>
        <v>0.85697178713416744</v>
      </c>
      <c r="CN92" s="2213">
        <f>L92</f>
        <v>1.408283541237173</v>
      </c>
      <c r="CO92" s="2213">
        <f>Q92</f>
        <v>3.7755153865687845</v>
      </c>
      <c r="CP92" s="2213">
        <f>V92</f>
        <v>1.8108820601013751</v>
      </c>
      <c r="CQ92" s="2213">
        <f>AA92</f>
        <v>-1.813700671903095</v>
      </c>
      <c r="CR92" s="2213">
        <f>AF92</f>
        <v>-3.391464632241878</v>
      </c>
      <c r="CS92" s="2213">
        <f>AK92</f>
        <v>-0.76156200771013949</v>
      </c>
      <c r="CT92" s="2213">
        <f>AP92</f>
        <v>2.263883569513597</v>
      </c>
      <c r="CU92" s="2213">
        <f>AU92</f>
        <v>2.04203113560171</v>
      </c>
      <c r="CV92" s="2213">
        <f>AZ92</f>
        <v>-10.169361549589683</v>
      </c>
      <c r="CW92" s="2213">
        <f>BE92</f>
        <v>-2.332618488674576</v>
      </c>
      <c r="CX92" s="2213">
        <f>BJ92</f>
        <v>7.568423831734057E-3</v>
      </c>
      <c r="CY92" s="2213">
        <f>BO92</f>
        <v>1.1907147992418479</v>
      </c>
      <c r="CZ92" s="2213">
        <f>BT92</f>
        <v>5.1244466572142917</v>
      </c>
      <c r="DA92" s="2213">
        <f t="shared" ref="DA92:DC94" si="211">BY92</f>
        <v>1.9398729722096115</v>
      </c>
      <c r="DB92" s="2213">
        <f t="shared" si="211"/>
        <v>2.6196359030820009</v>
      </c>
      <c r="DC92" s="2214">
        <f t="shared" si="211"/>
        <v>2.466295621560036</v>
      </c>
      <c r="DD92" s="331"/>
      <c r="DE92" s="331"/>
      <c r="DF92" s="502"/>
      <c r="DG92" s="503"/>
      <c r="DH92" s="506"/>
      <c r="DI92" s="3213"/>
      <c r="DJ92" s="502"/>
      <c r="DK92" s="503"/>
      <c r="DL92" s="502"/>
      <c r="DM92" s="502"/>
      <c r="DN92" s="502"/>
      <c r="DO92" s="502"/>
      <c r="DP92" s="503"/>
      <c r="DQ92" s="503"/>
      <c r="DR92" s="296"/>
      <c r="DS92" s="296"/>
      <c r="DT92" s="296"/>
    </row>
    <row r="93" spans="1:124" ht="12.6" customHeight="1" x14ac:dyDescent="0.25">
      <c r="A93" s="1785" t="s">
        <v>2127</v>
      </c>
      <c r="B93" s="811"/>
      <c r="C93" s="1786">
        <f t="shared" ref="C93:AH93" si="212">IF(C90&lt;0,C90/C100,C90/C101)</f>
        <v>0.26033761432185237</v>
      </c>
      <c r="D93" s="1786">
        <f t="shared" si="212"/>
        <v>0.30217248987707002</v>
      </c>
      <c r="E93" s="1786">
        <f t="shared" si="212"/>
        <v>0.28111434432094651</v>
      </c>
      <c r="F93" s="1786">
        <f t="shared" si="212"/>
        <v>0.22230630971525883</v>
      </c>
      <c r="G93" s="1787">
        <f t="shared" si="212"/>
        <v>1.0622096086602488</v>
      </c>
      <c r="H93" s="1786">
        <f t="shared" si="212"/>
        <v>0.30784153702265066</v>
      </c>
      <c r="I93" s="1786">
        <f t="shared" si="212"/>
        <v>0.37593533962301012</v>
      </c>
      <c r="J93" s="1786">
        <f t="shared" si="212"/>
        <v>0.37249669319843126</v>
      </c>
      <c r="K93" s="1786">
        <f t="shared" si="212"/>
        <v>0.44404305680186235</v>
      </c>
      <c r="L93" s="1787">
        <f t="shared" si="212"/>
        <v>1.4997394728344478</v>
      </c>
      <c r="M93" s="1786">
        <f t="shared" si="212"/>
        <v>0.56346752824136492</v>
      </c>
      <c r="N93" s="1786">
        <f t="shared" si="212"/>
        <v>0.49228055206447685</v>
      </c>
      <c r="O93" s="1786">
        <f t="shared" si="212"/>
        <v>0.46660891660891662</v>
      </c>
      <c r="P93" s="1786">
        <f t="shared" si="212"/>
        <v>-2.307756000047273E-2</v>
      </c>
      <c r="Q93" s="1787">
        <f t="shared" si="212"/>
        <v>1.4962485860054955</v>
      </c>
      <c r="R93" s="1786">
        <f t="shared" si="212"/>
        <v>0.49091137735503931</v>
      </c>
      <c r="S93" s="1786">
        <f t="shared" si="212"/>
        <v>0.43487492761357555</v>
      </c>
      <c r="T93" s="1786">
        <f t="shared" si="212"/>
        <v>0.52458536475515971</v>
      </c>
      <c r="U93" s="1786">
        <f t="shared" si="212"/>
        <v>0.36148754767781016</v>
      </c>
      <c r="V93" s="1787">
        <f t="shared" si="212"/>
        <v>1.8108820601013751</v>
      </c>
      <c r="W93" s="1786">
        <f t="shared" si="212"/>
        <v>0.44869224965938131</v>
      </c>
      <c r="X93" s="1786">
        <f t="shared" si="212"/>
        <v>0.41688342397729899</v>
      </c>
      <c r="Y93" s="1786">
        <f t="shared" si="212"/>
        <v>0.52082884328785994</v>
      </c>
      <c r="Z93" s="1786">
        <f t="shared" si="212"/>
        <v>0.3148548662492881</v>
      </c>
      <c r="AA93" s="1787">
        <f t="shared" si="212"/>
        <v>1.7377575574299873</v>
      </c>
      <c r="AB93" s="1786">
        <f t="shared" si="212"/>
        <v>0.4016715790264142</v>
      </c>
      <c r="AC93" s="1786">
        <f t="shared" si="212"/>
        <v>0.31605633144939044</v>
      </c>
      <c r="AD93" s="1786">
        <f t="shared" si="212"/>
        <v>0.32913448176162791</v>
      </c>
      <c r="AE93" s="1786">
        <f t="shared" si="212"/>
        <v>-4.3599315898968719E-2</v>
      </c>
      <c r="AF93" s="1787">
        <f t="shared" si="212"/>
        <v>1.0139370689494038</v>
      </c>
      <c r="AG93" s="1786">
        <f t="shared" si="212"/>
        <v>0.33791118958864724</v>
      </c>
      <c r="AH93" s="1786">
        <f t="shared" si="212"/>
        <v>0.28573435085912263</v>
      </c>
      <c r="AI93" s="1786">
        <f t="shared" ref="AI93:CA93" si="213">IF(AI90&lt;0,AI90/AI100,AI90/AI101)</f>
        <v>0.36820735671838434</v>
      </c>
      <c r="AJ93" s="1786">
        <f t="shared" si="213"/>
        <v>-0.60170732649801661</v>
      </c>
      <c r="AK93" s="1787">
        <f t="shared" si="213"/>
        <v>0.75332727109722264</v>
      </c>
      <c r="AL93" s="1786">
        <f t="shared" si="213"/>
        <v>0.48145792609358484</v>
      </c>
      <c r="AM93" s="1786">
        <f t="shared" si="213"/>
        <v>0.55968257954112177</v>
      </c>
      <c r="AN93" s="1786">
        <f t="shared" si="213"/>
        <v>0.70269523215665164</v>
      </c>
      <c r="AO93" s="1786">
        <f t="shared" si="213"/>
        <v>0.52982390884693231</v>
      </c>
      <c r="AP93" s="1788">
        <f t="shared" si="213"/>
        <v>2.2739096318577134</v>
      </c>
      <c r="AQ93" s="1788">
        <f t="shared" si="213"/>
        <v>0.75331528324750041</v>
      </c>
      <c r="AR93" s="1786">
        <f t="shared" si="213"/>
        <v>0.66175633656835986</v>
      </c>
      <c r="AS93" s="1786">
        <f t="shared" si="213"/>
        <v>0.60606003344639636</v>
      </c>
      <c r="AT93" s="1786">
        <f t="shared" si="213"/>
        <v>0.38210969656360633</v>
      </c>
      <c r="AU93" s="1787">
        <f t="shared" si="213"/>
        <v>2.4456803206042146</v>
      </c>
      <c r="AV93" s="1786">
        <f t="shared" si="213"/>
        <v>0.68211727429121249</v>
      </c>
      <c r="AW93" s="1786">
        <f t="shared" si="213"/>
        <v>0.3448307366333937</v>
      </c>
      <c r="AX93" s="1786">
        <f t="shared" si="213"/>
        <v>0.43412540360781893</v>
      </c>
      <c r="AY93" s="1789">
        <f t="shared" si="213"/>
        <v>9.9813957068989989E-2</v>
      </c>
      <c r="AZ93" s="1787">
        <f t="shared" si="213"/>
        <v>2.0271895123606187</v>
      </c>
      <c r="BA93" s="1786">
        <f t="shared" si="213"/>
        <v>6.2089107906044601E-3</v>
      </c>
      <c r="BB93" s="1786">
        <f t="shared" si="213"/>
        <v>-0.21075224961125735</v>
      </c>
      <c r="BC93" s="1786">
        <f t="shared" si="213"/>
        <v>-0.23774551012609851</v>
      </c>
      <c r="BD93" s="1789">
        <f t="shared" si="213"/>
        <v>-0.31037878307213956</v>
      </c>
      <c r="BE93" s="1787">
        <f t="shared" si="213"/>
        <v>-0.75007169595837808</v>
      </c>
      <c r="BF93" s="1786">
        <f t="shared" ref="BF93:BO93" si="214">IF(BF90&lt;0,BF90/BF100,BF90/BF101)</f>
        <v>2.4022037348437539E-2</v>
      </c>
      <c r="BG93" s="1786">
        <f t="shared" si="214"/>
        <v>3.7685855680102291E-2</v>
      </c>
      <c r="BH93" s="1786">
        <f t="shared" si="214"/>
        <v>1.1783523225240537E-2</v>
      </c>
      <c r="BI93" s="1789">
        <f t="shared" si="214"/>
        <v>0.17154580656516785</v>
      </c>
      <c r="BJ93" s="1787">
        <f t="shared" si="214"/>
        <v>0.24487811317433728</v>
      </c>
      <c r="BK93" s="1786">
        <f t="shared" si="214"/>
        <v>0.24510434620324745</v>
      </c>
      <c r="BL93" s="1786">
        <f t="shared" si="214"/>
        <v>0.3756968279299564</v>
      </c>
      <c r="BM93" s="1786">
        <f t="shared" si="214"/>
        <v>0.48579991686902513</v>
      </c>
      <c r="BN93" s="1789">
        <f t="shared" si="214"/>
        <v>5.4813620618287616E-2</v>
      </c>
      <c r="BO93" s="1787">
        <f t="shared" si="214"/>
        <v>1.1562122829567996</v>
      </c>
      <c r="BP93" s="1786">
        <f t="shared" ref="BP93:BX93" si="215">IF(BP90&lt;0,BP90/BP100,BP90/BP101)</f>
        <v>7.1945341993319742E-2</v>
      </c>
      <c r="BQ93" s="1786">
        <f t="shared" si="215"/>
        <v>0.22853526957603629</v>
      </c>
      <c r="BR93" s="1786">
        <f t="shared" si="215"/>
        <v>0.27095278291252067</v>
      </c>
      <c r="BS93" s="1786">
        <f t="shared" si="215"/>
        <v>-3.1433912823279413</v>
      </c>
      <c r="BT93" s="1787">
        <f t="shared" si="215"/>
        <v>-2.5560050520198438</v>
      </c>
      <c r="BU93" s="1786">
        <f t="shared" si="215"/>
        <v>0.40104641562904358</v>
      </c>
      <c r="BV93" s="1786">
        <f t="shared" si="215"/>
        <v>0.46878383703015358</v>
      </c>
      <c r="BW93" s="1786">
        <f t="shared" si="215"/>
        <v>0.61781532790958904</v>
      </c>
      <c r="BX93" s="1786">
        <f t="shared" si="215"/>
        <v>0.43010973184647788</v>
      </c>
      <c r="BY93" s="1787">
        <f>IF(BY90&lt;0,BY90/BY100,BY90/BY101)</f>
        <v>1.9398729722096115</v>
      </c>
      <c r="BZ93" s="1787">
        <f t="shared" si="213"/>
        <v>2.6196359030820009</v>
      </c>
      <c r="CA93" s="1787">
        <f t="shared" si="213"/>
        <v>2.466295621560036</v>
      </c>
      <c r="CB93" s="1787">
        <f>IF(CB90&lt;0,CB90/CB100,CB90/CB101)</f>
        <v>-11.818419319450653</v>
      </c>
      <c r="CC93" s="1787">
        <f>IF(CC90&lt;0,CC90/CC100,CC90/CC101)</f>
        <v>-24.736929747543783</v>
      </c>
      <c r="CD93" s="1787">
        <f>IF(CD90&lt;0,CD90/CD100,CD90/CD101)</f>
        <v>-49.561219511906415</v>
      </c>
      <c r="CE93" s="1787">
        <f>IF(CE90&lt;0,CE90/CE100,CE90/CE101)</f>
        <v>-99.169781096018781</v>
      </c>
      <c r="CF93" s="1787">
        <f>IF(CF90&lt;0,CF90/CF100,CF90/CF101)</f>
        <v>-198.50437109321098</v>
      </c>
      <c r="CG93" s="331"/>
      <c r="CH93" s="331"/>
      <c r="CI93" s="331"/>
      <c r="CJ93" s="331"/>
      <c r="CK93" s="331"/>
      <c r="CL93" s="1262" t="str">
        <f>A93</f>
        <v xml:space="preserve">Recurring Diluted EPS </v>
      </c>
      <c r="CM93" s="2215">
        <f>G93</f>
        <v>1.0622096086602488</v>
      </c>
      <c r="CN93" s="2215">
        <f>L93</f>
        <v>1.4997394728344478</v>
      </c>
      <c r="CO93" s="2215">
        <f>Q93</f>
        <v>1.4962485860054955</v>
      </c>
      <c r="CP93" s="2215">
        <f>V93</f>
        <v>1.8108820601013751</v>
      </c>
      <c r="CQ93" s="2215">
        <f>AA93</f>
        <v>1.7377575574299873</v>
      </c>
      <c r="CR93" s="2215">
        <f>AF93</f>
        <v>1.0139370689494038</v>
      </c>
      <c r="CS93" s="2215">
        <f>AK93</f>
        <v>0.75332727109722264</v>
      </c>
      <c r="CT93" s="2215">
        <f>AP93</f>
        <v>2.2739096318577134</v>
      </c>
      <c r="CU93" s="2215">
        <f>AU93</f>
        <v>2.4456803206042146</v>
      </c>
      <c r="CV93" s="2215">
        <f>AZ93</f>
        <v>2.0271895123606187</v>
      </c>
      <c r="CW93" s="2215">
        <f>BE93</f>
        <v>-0.75007169595837808</v>
      </c>
      <c r="CX93" s="2215">
        <f>BJ93</f>
        <v>0.24487811317433728</v>
      </c>
      <c r="CY93" s="2215">
        <f>BO93</f>
        <v>1.1562122829567996</v>
      </c>
      <c r="CZ93" s="2215">
        <f>BT93</f>
        <v>-2.5560050520198438</v>
      </c>
      <c r="DA93" s="2215">
        <f t="shared" si="211"/>
        <v>1.9398729722096115</v>
      </c>
      <c r="DB93" s="2215">
        <f t="shared" si="211"/>
        <v>2.6196359030820009</v>
      </c>
      <c r="DC93" s="2216">
        <f t="shared" si="211"/>
        <v>2.466295621560036</v>
      </c>
      <c r="DD93" s="331"/>
      <c r="DE93" s="331"/>
      <c r="DF93" s="502"/>
      <c r="DG93" s="503"/>
      <c r="DH93" s="506"/>
      <c r="DI93" s="3213"/>
      <c r="DJ93" s="502"/>
      <c r="DK93" s="503"/>
      <c r="DL93" s="502"/>
      <c r="DM93" s="502"/>
      <c r="DN93" s="502"/>
      <c r="DO93" s="502"/>
      <c r="DP93" s="503"/>
      <c r="DQ93" s="503"/>
      <c r="DR93" s="296"/>
      <c r="DS93" s="296"/>
      <c r="DT93" s="296"/>
    </row>
    <row r="94" spans="1:124" ht="12.6" customHeight="1" x14ac:dyDescent="0.25">
      <c r="A94" s="865" t="s">
        <v>803</v>
      </c>
      <c r="B94" s="466"/>
      <c r="C94" s="467" t="s">
        <v>553</v>
      </c>
      <c r="D94" s="467" t="s">
        <v>553</v>
      </c>
      <c r="E94" s="467" t="s">
        <v>553</v>
      </c>
      <c r="F94" s="467" t="s">
        <v>553</v>
      </c>
      <c r="G94" s="468" t="s">
        <v>553</v>
      </c>
      <c r="H94" s="467">
        <f>(H93-C93)/C93</f>
        <v>0.18247045408532375</v>
      </c>
      <c r="I94" s="467">
        <f t="shared" ref="I94:AF94" si="216">(I93-D93)/D93</f>
        <v>0.24410842223244197</v>
      </c>
      <c r="J94" s="467">
        <f t="shared" si="216"/>
        <v>0.32507181054110168</v>
      </c>
      <c r="K94" s="467">
        <f t="shared" si="216"/>
        <v>0.99743793763935518</v>
      </c>
      <c r="L94" s="468">
        <f t="shared" si="216"/>
        <v>0.41190539099533252</v>
      </c>
      <c r="M94" s="467">
        <f t="shared" si="216"/>
        <v>0.83038174020000932</v>
      </c>
      <c r="N94" s="467">
        <f t="shared" si="216"/>
        <v>0.30948197782666109</v>
      </c>
      <c r="O94" s="467">
        <f t="shared" si="216"/>
        <v>0.25265250706628745</v>
      </c>
      <c r="P94" s="467">
        <f t="shared" si="216"/>
        <v>-1.0519714465680075</v>
      </c>
      <c r="Q94" s="468">
        <f t="shared" si="216"/>
        <v>-2.3276621654523969E-3</v>
      </c>
      <c r="R94" s="467">
        <f t="shared" si="216"/>
        <v>-0.12876722659206322</v>
      </c>
      <c r="S94" s="467">
        <f t="shared" si="216"/>
        <v>-0.11661160330254638</v>
      </c>
      <c r="T94" s="467">
        <f t="shared" si="216"/>
        <v>0.1242506220575194</v>
      </c>
      <c r="U94" s="467" t="s">
        <v>553</v>
      </c>
      <c r="V94" s="468">
        <f t="shared" si="216"/>
        <v>0.21028155150064348</v>
      </c>
      <c r="W94" s="467">
        <f t="shared" si="216"/>
        <v>-8.6001526228886072E-2</v>
      </c>
      <c r="X94" s="467">
        <f t="shared" si="216"/>
        <v>-4.1371673770679136E-2</v>
      </c>
      <c r="Y94" s="467">
        <f t="shared" si="216"/>
        <v>-7.1609345583879417E-3</v>
      </c>
      <c r="Z94" s="469">
        <f t="shared" si="216"/>
        <v>-0.129002179267556</v>
      </c>
      <c r="AA94" s="468">
        <f t="shared" si="216"/>
        <v>-4.0380599202188922E-2</v>
      </c>
      <c r="AB94" s="467">
        <f t="shared" si="216"/>
        <v>-0.10479492495950669</v>
      </c>
      <c r="AC94" s="467">
        <f t="shared" si="216"/>
        <v>-0.24185920266620869</v>
      </c>
      <c r="AD94" s="467">
        <f t="shared" si="216"/>
        <v>-0.36805634710265722</v>
      </c>
      <c r="AE94" s="469">
        <f t="shared" si="216"/>
        <v>-1.13847432761115</v>
      </c>
      <c r="AF94" s="470">
        <f t="shared" si="216"/>
        <v>-0.41652558804063528</v>
      </c>
      <c r="AG94" s="469">
        <f>(AG93-AB93)/AB93</f>
        <v>-0.15873761741448486</v>
      </c>
      <c r="AH94" s="469">
        <f t="shared" ref="AH94:AY94" si="217">(AH93-AC93)/AC93</f>
        <v>-9.5938532385082792E-2</v>
      </c>
      <c r="AI94" s="469">
        <f t="shared" si="217"/>
        <v>0.11871401242320924</v>
      </c>
      <c r="AJ94" s="469">
        <f t="shared" si="217"/>
        <v>12.800843295163931</v>
      </c>
      <c r="AK94" s="470">
        <f t="shared" si="217"/>
        <v>-0.25702758665507058</v>
      </c>
      <c r="AL94" s="469">
        <f t="shared" si="217"/>
        <v>0.42480610565066745</v>
      </c>
      <c r="AM94" s="469">
        <f t="shared" si="217"/>
        <v>0.95875146918217591</v>
      </c>
      <c r="AN94" s="469">
        <f t="shared" si="217"/>
        <v>0.90842257585334807</v>
      </c>
      <c r="AO94" s="469">
        <f t="shared" si="217"/>
        <v>-1.8805342489853807</v>
      </c>
      <c r="AP94" s="471">
        <f t="shared" si="217"/>
        <v>2.0184884035138668</v>
      </c>
      <c r="AQ94" s="471">
        <f t="shared" si="217"/>
        <v>0.5646544431404219</v>
      </c>
      <c r="AR94" s="469">
        <f t="shared" si="217"/>
        <v>0.18237794199513474</v>
      </c>
      <c r="AS94" s="469">
        <f t="shared" si="217"/>
        <v>-0.1375207832471993</v>
      </c>
      <c r="AT94" s="469">
        <f t="shared" si="217"/>
        <v>-0.27879869106850946</v>
      </c>
      <c r="AU94" s="470">
        <f t="shared" si="217"/>
        <v>7.5539804370400518E-2</v>
      </c>
      <c r="AV94" s="469">
        <f t="shared" si="217"/>
        <v>-9.4512895914386927E-2</v>
      </c>
      <c r="AW94" s="469">
        <f t="shared" si="217"/>
        <v>-0.47891585228852213</v>
      </c>
      <c r="AX94" s="469">
        <f t="shared" si="217"/>
        <v>-0.28369240727005368</v>
      </c>
      <c r="AY94" s="1463">
        <f t="shared" si="217"/>
        <v>-0.73878193103541179</v>
      </c>
      <c r="AZ94" s="1463">
        <f t="shared" ref="AZ94:BE94" si="218">(AZ93-AU93)/AU93</f>
        <v>-0.17111427226114578</v>
      </c>
      <c r="BA94" s="469">
        <f t="shared" si="218"/>
        <v>-0.99089759045164749</v>
      </c>
      <c r="BB94" s="469">
        <f t="shared" si="218"/>
        <v>-1.6111759400245065</v>
      </c>
      <c r="BC94" s="469">
        <f t="shared" si="218"/>
        <v>-1.5476424741567842</v>
      </c>
      <c r="BD94" s="1463">
        <f t="shared" si="218"/>
        <v>-4.1095729714193192</v>
      </c>
      <c r="BE94" s="470">
        <f t="shared" si="218"/>
        <v>-1.3700057105588199</v>
      </c>
      <c r="BF94" s="469">
        <f t="shared" ref="BF94:BK94" si="219">(BF93-BA93)/BA93</f>
        <v>2.8689615873992778</v>
      </c>
      <c r="BG94" s="469">
        <f t="shared" si="219"/>
        <v>-1.1788159118093195</v>
      </c>
      <c r="BH94" s="469">
        <f t="shared" si="219"/>
        <v>-1.0495635994092618</v>
      </c>
      <c r="BI94" s="1463">
        <f t="shared" si="219"/>
        <v>-1.5526982381566219</v>
      </c>
      <c r="BJ94" s="470">
        <f t="shared" si="219"/>
        <v>-1.3264729418451828</v>
      </c>
      <c r="BK94" s="469">
        <f t="shared" si="219"/>
        <v>9.2033121773990469</v>
      </c>
      <c r="BL94" s="469">
        <f t="shared" ref="BL94:BT94" si="220">(BL93-BG93)/BG93</f>
        <v>8.9691733450096525</v>
      </c>
      <c r="BM94" s="469">
        <f t="shared" si="220"/>
        <v>40.227051331169974</v>
      </c>
      <c r="BN94" s="1463">
        <f t="shared" si="220"/>
        <v>-0.68047239559035977</v>
      </c>
      <c r="BO94" s="470">
        <f t="shared" si="220"/>
        <v>3.7215827824255232</v>
      </c>
      <c r="BP94" s="469">
        <f t="shared" si="220"/>
        <v>-0.70647055791633884</v>
      </c>
      <c r="BQ94" s="469">
        <f t="shared" si="220"/>
        <v>-0.39170295678236711</v>
      </c>
      <c r="BR94" s="469">
        <f t="shared" si="220"/>
        <v>-0.44225436542103952</v>
      </c>
      <c r="BS94" s="469">
        <f t="shared" si="220"/>
        <v>-58.346901132803538</v>
      </c>
      <c r="BT94" s="470">
        <f t="shared" si="220"/>
        <v>-3.2106710763211517</v>
      </c>
      <c r="BU94" s="469">
        <f>(BU93-BP93)/BP93</f>
        <v>4.5743207901670893</v>
      </c>
      <c r="BV94" s="469">
        <f>(BV93-BQ93)/BQ93</f>
        <v>1.0512537863403348</v>
      </c>
      <c r="BW94" s="469">
        <f>(BW93-BR93)/BR93</f>
        <v>1.2801586360124442</v>
      </c>
      <c r="BX94" s="469">
        <f>(BX93-BS93)/BS93</f>
        <v>-1.136829841790471</v>
      </c>
      <c r="BY94" s="470">
        <f>(BY93-BT93)/BT93</f>
        <v>-1.7589472370865058</v>
      </c>
      <c r="BZ94" s="470">
        <f t="shared" ref="BZ94:CF94" si="221">(BZ93-BY93)/BY93</f>
        <v>0.3504162079737137</v>
      </c>
      <c r="CA94" s="470">
        <f t="shared" si="221"/>
        <v>-5.8534959511571852E-2</v>
      </c>
      <c r="CB94" s="470">
        <f t="shared" si="221"/>
        <v>-5.7919719015577718</v>
      </c>
      <c r="CC94" s="470">
        <f t="shared" si="221"/>
        <v>1.0930827616542558</v>
      </c>
      <c r="CD94" s="470">
        <f t="shared" si="221"/>
        <v>1.0035315626357197</v>
      </c>
      <c r="CE94" s="470">
        <f t="shared" si="221"/>
        <v>1.0009552241182156</v>
      </c>
      <c r="CF94" s="470">
        <f t="shared" si="221"/>
        <v>1.0016618863060094</v>
      </c>
      <c r="CG94" s="492"/>
      <c r="CH94" s="492"/>
      <c r="CI94" s="492"/>
      <c r="CJ94" s="492"/>
      <c r="CK94" s="492"/>
      <c r="CL94" s="1310" t="str">
        <f>A94</f>
        <v>% Growth (y-o-y)</v>
      </c>
      <c r="CM94" s="469" t="str">
        <f>G94</f>
        <v xml:space="preserve">n/a </v>
      </c>
      <c r="CN94" s="469">
        <f>L94</f>
        <v>0.41190539099533252</v>
      </c>
      <c r="CO94" s="469">
        <f>Q94</f>
        <v>-2.3276621654523969E-3</v>
      </c>
      <c r="CP94" s="469">
        <f>V94</f>
        <v>0.21028155150064348</v>
      </c>
      <c r="CQ94" s="469">
        <f>AA94</f>
        <v>-4.0380599202188922E-2</v>
      </c>
      <c r="CR94" s="469">
        <f>AF94</f>
        <v>-0.41652558804063528</v>
      </c>
      <c r="CS94" s="469">
        <f>AK94</f>
        <v>-0.25702758665507058</v>
      </c>
      <c r="CT94" s="469">
        <f>AP94</f>
        <v>2.0184884035138668</v>
      </c>
      <c r="CU94" s="469">
        <f>AU94</f>
        <v>7.5539804370400518E-2</v>
      </c>
      <c r="CV94" s="469">
        <f>AZ94</f>
        <v>-0.17111427226114578</v>
      </c>
      <c r="CW94" s="469">
        <f>BE94</f>
        <v>-1.3700057105588199</v>
      </c>
      <c r="CX94" s="469">
        <f>BJ94</f>
        <v>-1.3264729418451828</v>
      </c>
      <c r="CY94" s="469">
        <f>BO94</f>
        <v>3.7215827824255232</v>
      </c>
      <c r="CZ94" s="469">
        <f>BT94</f>
        <v>-3.2106710763211517</v>
      </c>
      <c r="DA94" s="469">
        <f t="shared" si="211"/>
        <v>-1.7589472370865058</v>
      </c>
      <c r="DB94" s="469">
        <f t="shared" si="211"/>
        <v>0.3504162079737137</v>
      </c>
      <c r="DC94" s="1463">
        <f t="shared" si="211"/>
        <v>-5.8534959511571852E-2</v>
      </c>
      <c r="DD94" s="492"/>
      <c r="DE94" s="492"/>
      <c r="DF94" s="962"/>
      <c r="DG94" s="962"/>
      <c r="DH94" s="469"/>
      <c r="DI94" s="3213"/>
      <c r="DJ94" s="962"/>
      <c r="DK94" s="962"/>
      <c r="DL94" s="962"/>
      <c r="DM94" s="962"/>
      <c r="DN94" s="962"/>
      <c r="DO94" s="962"/>
      <c r="DP94" s="962"/>
      <c r="DQ94" s="962"/>
      <c r="DR94" s="963"/>
      <c r="DS94" s="963"/>
      <c r="DT94" s="963"/>
    </row>
    <row r="95" spans="1:124" ht="12.6" customHeight="1" x14ac:dyDescent="0.25">
      <c r="A95" s="2015" t="s">
        <v>2057</v>
      </c>
      <c r="B95" s="1659"/>
      <c r="C95" s="1987">
        <f>0.4/2</f>
        <v>0.2</v>
      </c>
      <c r="D95" s="1987">
        <f>0.53/2</f>
        <v>0.26500000000000001</v>
      </c>
      <c r="E95" s="1987">
        <f>0.57/2</f>
        <v>0.28499999999999998</v>
      </c>
      <c r="F95" s="1987">
        <f>0.4/2</f>
        <v>0.2</v>
      </c>
      <c r="G95" s="1988">
        <f>2.05/2</f>
        <v>1.0249999999999999</v>
      </c>
      <c r="H95" s="1987">
        <v>0.16500000000000001</v>
      </c>
      <c r="I95" s="1987">
        <v>0.34</v>
      </c>
      <c r="J95" s="1987" t="s">
        <v>1225</v>
      </c>
      <c r="K95" s="1987">
        <v>0.41</v>
      </c>
      <c r="L95" s="1988">
        <v>1</v>
      </c>
      <c r="M95" s="1987">
        <v>0.43</v>
      </c>
      <c r="N95" s="1987">
        <v>0.47</v>
      </c>
      <c r="O95" s="1987">
        <v>0.49</v>
      </c>
      <c r="P95" s="1987">
        <v>0.34</v>
      </c>
      <c r="Q95" s="1988">
        <v>1.79</v>
      </c>
      <c r="R95" s="1987">
        <v>0.46</v>
      </c>
      <c r="S95" s="1987">
        <v>0.46</v>
      </c>
      <c r="T95" s="1987">
        <v>0.53</v>
      </c>
      <c r="U95" s="1987">
        <v>0.41</v>
      </c>
      <c r="V95" s="1988">
        <v>1.86</v>
      </c>
      <c r="W95" s="1987" t="s">
        <v>1225</v>
      </c>
      <c r="X95" s="1987" t="s">
        <v>1225</v>
      </c>
      <c r="Y95" s="1987">
        <v>0.53</v>
      </c>
      <c r="Z95" s="1987">
        <v>0.28000000000000003</v>
      </c>
      <c r="AA95" s="1988">
        <v>2.75</v>
      </c>
      <c r="AB95" s="1987">
        <v>0.31</v>
      </c>
      <c r="AC95" s="1987">
        <v>0.35</v>
      </c>
      <c r="AD95" s="1987">
        <v>0.35</v>
      </c>
      <c r="AE95" s="1987">
        <v>0.16</v>
      </c>
      <c r="AF95" s="1988">
        <v>1.01</v>
      </c>
      <c r="AG95" s="1987">
        <v>0.23</v>
      </c>
      <c r="AH95" s="1987">
        <v>0.26</v>
      </c>
      <c r="AI95" s="1987">
        <v>0.3</v>
      </c>
      <c r="AJ95" s="1987">
        <v>0.27</v>
      </c>
      <c r="AK95" s="1988">
        <v>1.1499999999999999</v>
      </c>
      <c r="AL95" s="1987">
        <v>0.4</v>
      </c>
      <c r="AM95" s="1987">
        <v>0.47</v>
      </c>
      <c r="AN95" s="1987">
        <v>0.53</v>
      </c>
      <c r="AO95" s="1987">
        <v>0.46</v>
      </c>
      <c r="AP95" s="1989">
        <v>2.31</v>
      </c>
      <c r="AQ95" s="1989">
        <v>0.56000000000000005</v>
      </c>
      <c r="AR95" s="1987">
        <v>0.64</v>
      </c>
      <c r="AS95" s="1987">
        <v>0.55000000000000004</v>
      </c>
      <c r="AT95" s="1987">
        <v>0.56000000000000005</v>
      </c>
      <c r="AU95" s="1988">
        <v>2.37</v>
      </c>
      <c r="AV95" s="1989">
        <v>0.64</v>
      </c>
      <c r="AW95" s="1987">
        <v>0.68</v>
      </c>
      <c r="AX95" s="1987">
        <v>0.43</v>
      </c>
      <c r="AY95" s="1987"/>
      <c r="AZ95" s="1988"/>
      <c r="BA95" s="1989">
        <v>0.05</v>
      </c>
      <c r="BB95" s="1987">
        <v>0.06</v>
      </c>
      <c r="BC95" s="1987">
        <v>0.06</v>
      </c>
      <c r="BD95" s="1987"/>
      <c r="BE95" s="1988">
        <v>0.02</v>
      </c>
      <c r="BF95" s="1987">
        <v>0.1</v>
      </c>
      <c r="BG95" s="1987">
        <v>0.11</v>
      </c>
      <c r="BH95" s="1987">
        <v>0.18</v>
      </c>
      <c r="BI95" s="3095"/>
      <c r="BJ95" s="1988"/>
      <c r="BK95" s="1987"/>
      <c r="BL95" s="1987">
        <v>0.27</v>
      </c>
      <c r="BM95" s="1987"/>
      <c r="BN95" s="2890">
        <v>-0.15</v>
      </c>
      <c r="BO95" s="1988">
        <v>0.99</v>
      </c>
      <c r="BP95" s="1989">
        <v>-0.05</v>
      </c>
      <c r="BQ95" s="1987"/>
      <c r="BR95" s="1987"/>
      <c r="BS95" s="2890">
        <v>0.17</v>
      </c>
      <c r="BT95" s="1988">
        <v>0.31</v>
      </c>
      <c r="BU95" s="1987">
        <v>0.41</v>
      </c>
      <c r="BV95" s="1987"/>
      <c r="BW95" s="1987"/>
      <c r="BX95" s="1987"/>
      <c r="BY95" s="1988">
        <v>1.53</v>
      </c>
      <c r="BZ95" s="1988"/>
      <c r="CA95" s="1988"/>
      <c r="CB95" s="1988"/>
      <c r="CC95" s="1988"/>
      <c r="CD95" s="1988"/>
      <c r="CE95" s="1988"/>
      <c r="CF95" s="1988"/>
      <c r="CG95" s="469"/>
      <c r="CH95" s="469"/>
      <c r="CI95" s="469"/>
      <c r="CJ95" s="469"/>
      <c r="CK95" s="469"/>
      <c r="CL95" s="2015" t="str">
        <f>A95</f>
        <v>Guidance: GAAP EPS</v>
      </c>
      <c r="CM95" s="2010">
        <f>G95</f>
        <v>1.0249999999999999</v>
      </c>
      <c r="CN95" s="2010">
        <f>L95</f>
        <v>1</v>
      </c>
      <c r="CO95" s="2010">
        <f>Q95</f>
        <v>1.79</v>
      </c>
      <c r="CP95" s="2010">
        <f>V95</f>
        <v>1.86</v>
      </c>
      <c r="CQ95" s="2010">
        <f>AA95</f>
        <v>2.75</v>
      </c>
      <c r="CR95" s="2010">
        <f>AF95</f>
        <v>1.01</v>
      </c>
      <c r="CS95" s="2010">
        <f>AK95</f>
        <v>1.1499999999999999</v>
      </c>
      <c r="CT95" s="2010">
        <f>AP95</f>
        <v>2.31</v>
      </c>
      <c r="CU95" s="2010">
        <f>AU95</f>
        <v>2.37</v>
      </c>
      <c r="CV95" s="2010"/>
      <c r="CW95" s="2010"/>
      <c r="CX95" s="2010"/>
      <c r="CY95" s="2010"/>
      <c r="CZ95" s="2010"/>
      <c r="DA95" s="2010"/>
      <c r="DB95" s="2010"/>
      <c r="DC95" s="2019"/>
      <c r="DD95" s="469"/>
      <c r="DE95" s="469"/>
      <c r="DF95" s="469"/>
      <c r="DG95" s="469"/>
      <c r="DH95" s="2010"/>
      <c r="DI95" s="3210"/>
      <c r="DJ95" s="469"/>
      <c r="DK95" s="469"/>
      <c r="DL95" s="469"/>
      <c r="DM95" s="469"/>
      <c r="DN95" s="469"/>
      <c r="DO95" s="469"/>
      <c r="DP95" s="469"/>
      <c r="DQ95" s="469"/>
      <c r="DR95" s="1659"/>
      <c r="DS95" s="1659"/>
      <c r="DT95" s="1659"/>
    </row>
    <row r="96" spans="1:124" ht="12.6" customHeight="1" x14ac:dyDescent="0.25">
      <c r="A96" s="2015" t="s">
        <v>2058</v>
      </c>
      <c r="B96" s="1659"/>
      <c r="C96" s="1987">
        <f>0.4/2</f>
        <v>0.2</v>
      </c>
      <c r="D96" s="1987">
        <f>0.53/2</f>
        <v>0.26500000000000001</v>
      </c>
      <c r="E96" s="1987">
        <f>0.57/2</f>
        <v>0.28499999999999998</v>
      </c>
      <c r="F96" s="1987">
        <f>0.4/2</f>
        <v>0.2</v>
      </c>
      <c r="G96" s="1988">
        <f>2.05/2</f>
        <v>1.0249999999999999</v>
      </c>
      <c r="H96" s="1987">
        <v>0.28000000000000003</v>
      </c>
      <c r="I96" s="1987">
        <v>0.37</v>
      </c>
      <c r="J96" s="1987" t="s">
        <v>1225</v>
      </c>
      <c r="K96" s="1987">
        <v>0.42</v>
      </c>
      <c r="L96" s="1988">
        <v>1.48</v>
      </c>
      <c r="M96" s="1987">
        <v>0.53</v>
      </c>
      <c r="N96" s="1987">
        <v>0.51</v>
      </c>
      <c r="O96" s="1987">
        <v>0.49</v>
      </c>
      <c r="P96" s="1987">
        <v>0.34</v>
      </c>
      <c r="Q96" s="1988">
        <v>1.86</v>
      </c>
      <c r="R96" s="1987">
        <v>0.46</v>
      </c>
      <c r="S96" s="1987">
        <v>0.46</v>
      </c>
      <c r="T96" s="1987">
        <v>0.53</v>
      </c>
      <c r="U96" s="1987">
        <v>0.41</v>
      </c>
      <c r="V96" s="1988">
        <v>1.9</v>
      </c>
      <c r="W96" s="1987" t="s">
        <v>1225</v>
      </c>
      <c r="X96" s="1987" t="s">
        <v>1225</v>
      </c>
      <c r="Y96" s="1987">
        <v>0.56999999999999995</v>
      </c>
      <c r="Z96" s="1987" t="s">
        <v>1225</v>
      </c>
      <c r="AA96" s="1988" t="s">
        <v>1225</v>
      </c>
      <c r="AB96" s="1987">
        <v>0.35</v>
      </c>
      <c r="AC96" s="1987">
        <v>0.35</v>
      </c>
      <c r="AD96" s="1987">
        <v>0.35</v>
      </c>
      <c r="AE96" s="1987" t="s">
        <v>1225</v>
      </c>
      <c r="AF96" s="1988" t="s">
        <v>1225</v>
      </c>
      <c r="AG96" s="1987">
        <v>0.27</v>
      </c>
      <c r="AH96" s="1987">
        <v>0.26</v>
      </c>
      <c r="AI96" s="1987">
        <v>0.31</v>
      </c>
      <c r="AJ96" s="1987" t="s">
        <v>1225</v>
      </c>
      <c r="AK96" s="1988" t="s">
        <v>1225</v>
      </c>
      <c r="AL96" s="1987">
        <v>0.43</v>
      </c>
      <c r="AM96" s="1987">
        <v>0.49</v>
      </c>
      <c r="AN96" s="1987">
        <v>0.55000000000000004</v>
      </c>
      <c r="AO96" s="1987">
        <v>0.46</v>
      </c>
      <c r="AP96" s="1989" t="s">
        <v>1225</v>
      </c>
      <c r="AQ96" s="1989">
        <v>0.56999999999999995</v>
      </c>
      <c r="AR96" s="1987">
        <v>0.62</v>
      </c>
      <c r="AS96" s="1987">
        <v>0.55000000000000004</v>
      </c>
      <c r="AT96" s="1987" t="s">
        <v>1225</v>
      </c>
      <c r="AU96" s="1988" t="s">
        <v>1225</v>
      </c>
      <c r="AV96" s="1989"/>
      <c r="AW96" s="1987"/>
      <c r="AX96" s="1987"/>
      <c r="AY96" s="1987"/>
      <c r="AZ96" s="1988"/>
      <c r="BA96" s="1989"/>
      <c r="BB96" s="1987"/>
      <c r="BC96" s="1987"/>
      <c r="BD96" s="1987"/>
      <c r="BE96" s="1988"/>
      <c r="BF96" s="1987"/>
      <c r="BG96" s="1987"/>
      <c r="BH96" s="1987"/>
      <c r="BI96" s="2890"/>
      <c r="BJ96" s="1988"/>
      <c r="BK96" s="1987"/>
      <c r="BL96" s="1987"/>
      <c r="BM96" s="1987"/>
      <c r="BN96" s="2890"/>
      <c r="BO96" s="1988"/>
      <c r="BP96" s="1987"/>
      <c r="BQ96" s="1987"/>
      <c r="BR96" s="1987"/>
      <c r="BS96" s="1987"/>
      <c r="BT96" s="3226"/>
      <c r="BU96" s="2010"/>
      <c r="BV96" s="2010"/>
      <c r="BW96" s="2010"/>
      <c r="BX96" s="2010"/>
      <c r="BY96" s="1988"/>
      <c r="BZ96" s="1988"/>
      <c r="CA96" s="1988"/>
      <c r="CB96" s="1988"/>
      <c r="CC96" s="1988"/>
      <c r="CD96" s="1988"/>
      <c r="CE96" s="1988"/>
      <c r="CF96" s="1988"/>
      <c r="CG96" s="469"/>
      <c r="CH96" s="469"/>
      <c r="CI96" s="469"/>
      <c r="CJ96" s="469"/>
      <c r="CK96" s="469"/>
      <c r="CL96" s="2015" t="str">
        <f>A96</f>
        <v>Guidance: Recurring EPS</v>
      </c>
      <c r="CM96" s="2010">
        <f>G96</f>
        <v>1.0249999999999999</v>
      </c>
      <c r="CN96" s="2010">
        <f>L96</f>
        <v>1.48</v>
      </c>
      <c r="CO96" s="2010">
        <f>Q96</f>
        <v>1.86</v>
      </c>
      <c r="CP96" s="2010">
        <f>V96</f>
        <v>1.9</v>
      </c>
      <c r="CQ96" s="2010" t="str">
        <f>AA96</f>
        <v>NA</v>
      </c>
      <c r="CR96" s="2010" t="str">
        <f>AF96</f>
        <v>NA</v>
      </c>
      <c r="CS96" s="2010" t="str">
        <f>AK96</f>
        <v>NA</v>
      </c>
      <c r="CT96" s="2010" t="str">
        <f>AP96</f>
        <v>NA</v>
      </c>
      <c r="CU96" s="2010" t="str">
        <f>AU96</f>
        <v>NA</v>
      </c>
      <c r="CV96" s="2010"/>
      <c r="CW96" s="2010"/>
      <c r="CX96" s="2010"/>
      <c r="CY96" s="2010"/>
      <c r="CZ96" s="2010"/>
      <c r="DA96" s="2010"/>
      <c r="DB96" s="2010"/>
      <c r="DC96" s="2019"/>
      <c r="DD96" s="469"/>
      <c r="DE96" s="469"/>
      <c r="DF96" s="469"/>
      <c r="DG96" s="469"/>
      <c r="DH96" s="2010"/>
      <c r="DI96" s="3210"/>
      <c r="DJ96" s="469"/>
      <c r="DK96" s="469"/>
      <c r="DL96" s="469"/>
      <c r="DM96" s="469"/>
      <c r="DN96" s="469"/>
      <c r="DO96" s="469"/>
      <c r="DP96" s="469"/>
      <c r="DQ96" s="469"/>
      <c r="DR96" s="1659"/>
      <c r="DS96" s="1659"/>
      <c r="DT96" s="1659"/>
    </row>
    <row r="97" spans="1:124" ht="12.6" customHeight="1" x14ac:dyDescent="0.25">
      <c r="A97" s="1984"/>
      <c r="B97" s="1980"/>
      <c r="C97" s="1985"/>
      <c r="D97" s="1985"/>
      <c r="E97" s="1985"/>
      <c r="F97" s="1985"/>
      <c r="G97" s="1986"/>
      <c r="H97" s="1985"/>
      <c r="I97" s="1985"/>
      <c r="J97" s="1985"/>
      <c r="K97" s="1985"/>
      <c r="L97" s="1986"/>
      <c r="M97" s="1985"/>
      <c r="N97" s="1985"/>
      <c r="O97" s="1985"/>
      <c r="P97" s="1985"/>
      <c r="Q97" s="1986"/>
      <c r="R97" s="1985"/>
      <c r="S97" s="1985"/>
      <c r="T97" s="1985"/>
      <c r="U97" s="1985"/>
      <c r="V97" s="1986"/>
      <c r="W97" s="1985"/>
      <c r="X97" s="1985"/>
      <c r="Y97" s="1985"/>
      <c r="Z97" s="1985"/>
      <c r="AA97" s="1986"/>
      <c r="AB97" s="1985"/>
      <c r="AC97" s="1985"/>
      <c r="AD97" s="1985"/>
      <c r="AE97" s="1985"/>
      <c r="AF97" s="1986"/>
      <c r="AG97" s="1985"/>
      <c r="AH97" s="1985"/>
      <c r="AI97" s="1985"/>
      <c r="AJ97" s="1985"/>
      <c r="AK97" s="1986"/>
      <c r="AL97" s="1985"/>
      <c r="AM97" s="1985"/>
      <c r="AN97" s="1985"/>
      <c r="AO97" s="1985"/>
      <c r="AP97" s="1986"/>
      <c r="AQ97" s="1985"/>
      <c r="AR97" s="1985"/>
      <c r="AS97" s="1985"/>
      <c r="AT97" s="1985"/>
      <c r="AU97" s="1986"/>
      <c r="AV97" s="1985"/>
      <c r="AW97" s="1985"/>
      <c r="AX97" s="1985"/>
      <c r="AY97" s="1985"/>
      <c r="AZ97" s="1986"/>
      <c r="BA97" s="1985"/>
      <c r="BB97" s="1985"/>
      <c r="BC97" s="1985"/>
      <c r="BD97" s="1985"/>
      <c r="BE97" s="1986"/>
      <c r="BF97" s="1985"/>
      <c r="BG97" s="1985"/>
      <c r="BH97" s="1985"/>
      <c r="BI97" s="2891"/>
      <c r="BJ97" s="1986"/>
      <c r="BK97" s="1985"/>
      <c r="BL97" s="1985"/>
      <c r="BM97" s="1985"/>
      <c r="BN97" s="2891"/>
      <c r="BO97" s="1986"/>
      <c r="BP97" s="1985"/>
      <c r="BQ97" s="1985"/>
      <c r="BR97" s="1985"/>
      <c r="BS97" s="1985"/>
      <c r="BT97" s="3227"/>
      <c r="BU97" s="2011"/>
      <c r="BV97" s="2011"/>
      <c r="BW97" s="2011"/>
      <c r="BX97" s="2011"/>
      <c r="BY97" s="1986"/>
      <c r="BZ97" s="1986"/>
      <c r="CA97" s="1986"/>
      <c r="CB97" s="1986"/>
      <c r="CC97" s="1986"/>
      <c r="CD97" s="1986"/>
      <c r="CE97" s="1986"/>
      <c r="CF97" s="1986"/>
      <c r="CG97" s="492"/>
      <c r="CH97" s="492"/>
      <c r="CI97" s="492"/>
      <c r="CJ97" s="492"/>
      <c r="CK97" s="492"/>
      <c r="CL97" s="1984"/>
      <c r="CM97" s="2011"/>
      <c r="CN97" s="2011"/>
      <c r="CO97" s="2011"/>
      <c r="CP97" s="2011"/>
      <c r="CQ97" s="2011"/>
      <c r="CR97" s="2011"/>
      <c r="CS97" s="2011"/>
      <c r="CT97" s="2011"/>
      <c r="CU97" s="2011"/>
      <c r="CV97" s="2011"/>
      <c r="CW97" s="2011"/>
      <c r="CX97" s="2011"/>
      <c r="CY97" s="2011"/>
      <c r="CZ97" s="2011"/>
      <c r="DA97" s="2011"/>
      <c r="DB97" s="2011"/>
      <c r="DC97" s="2020"/>
      <c r="DD97" s="492"/>
      <c r="DE97" s="492"/>
      <c r="DF97" s="962"/>
      <c r="DG97" s="962"/>
      <c r="DH97" s="2011"/>
      <c r="DI97" s="3213"/>
      <c r="DJ97" s="962"/>
      <c r="DK97" s="962"/>
      <c r="DL97" s="962"/>
      <c r="DM97" s="962"/>
      <c r="DN97" s="962"/>
      <c r="DO97" s="962"/>
      <c r="DP97" s="962"/>
      <c r="DQ97" s="962"/>
      <c r="DR97" s="963"/>
      <c r="DS97" s="963"/>
      <c r="DT97" s="963"/>
    </row>
    <row r="98" spans="1:124" ht="12.75" hidden="1" customHeight="1" outlineLevel="1" x14ac:dyDescent="0.25">
      <c r="A98" s="867" t="s">
        <v>660</v>
      </c>
      <c r="B98" s="281"/>
      <c r="C98" s="1834">
        <v>0</v>
      </c>
      <c r="D98" s="1834">
        <v>0</v>
      </c>
      <c r="E98" s="1834">
        <v>0</v>
      </c>
      <c r="F98" s="1834">
        <v>0</v>
      </c>
      <c r="G98" s="1833">
        <f>SUM(C98:F98)</f>
        <v>0</v>
      </c>
      <c r="H98" s="1834">
        <v>0</v>
      </c>
      <c r="I98" s="1834">
        <v>0</v>
      </c>
      <c r="J98" s="1834">
        <v>0</v>
      </c>
      <c r="K98" s="1834">
        <v>0</v>
      </c>
      <c r="L98" s="1833">
        <f>SUM(H98:K98)</f>
        <v>0</v>
      </c>
      <c r="M98" s="1834">
        <v>0</v>
      </c>
      <c r="N98" s="1834">
        <v>0</v>
      </c>
      <c r="O98" s="1834">
        <v>0</v>
      </c>
      <c r="P98" s="1834">
        <v>0</v>
      </c>
      <c r="Q98" s="1833">
        <f>SUM(M98:P98)</f>
        <v>0</v>
      </c>
      <c r="R98" s="1834">
        <v>0</v>
      </c>
      <c r="S98" s="1834">
        <v>0</v>
      </c>
      <c r="T98" s="1834">
        <v>0</v>
      </c>
      <c r="U98" s="1834">
        <v>0</v>
      </c>
      <c r="V98" s="1833">
        <f>SUM(R98:U98)</f>
        <v>0</v>
      </c>
      <c r="W98" s="1834">
        <v>0</v>
      </c>
      <c r="X98" s="1834">
        <v>0</v>
      </c>
      <c r="Y98" s="1834">
        <v>0</v>
      </c>
      <c r="Z98" s="1834">
        <v>0</v>
      </c>
      <c r="AA98" s="1833">
        <f>SUM(W98:Z98)</f>
        <v>0</v>
      </c>
      <c r="AB98" s="1834">
        <v>0</v>
      </c>
      <c r="AC98" s="1834">
        <v>0</v>
      </c>
      <c r="AD98" s="1834">
        <v>0</v>
      </c>
      <c r="AE98" s="1834">
        <v>0</v>
      </c>
      <c r="AF98" s="1833">
        <f>SUM(AB98:AE98)</f>
        <v>0</v>
      </c>
      <c r="AG98" s="1834">
        <v>0</v>
      </c>
      <c r="AH98" s="1834">
        <v>0</v>
      </c>
      <c r="AI98" s="1834">
        <v>0</v>
      </c>
      <c r="AJ98" s="1834">
        <v>0</v>
      </c>
      <c r="AK98" s="1833">
        <f>SUM(AG98:AJ98)</f>
        <v>0</v>
      </c>
      <c r="AL98" s="1834">
        <v>0</v>
      </c>
      <c r="AM98" s="1834">
        <v>0</v>
      </c>
      <c r="AN98" s="1834">
        <v>0</v>
      </c>
      <c r="AO98" s="1834">
        <v>0</v>
      </c>
      <c r="AP98" s="1833">
        <f>SUM(AL98:AO98)</f>
        <v>0</v>
      </c>
      <c r="AQ98" s="1834">
        <v>0</v>
      </c>
      <c r="AR98" s="1834">
        <v>0</v>
      </c>
      <c r="AS98" s="1834">
        <v>0</v>
      </c>
      <c r="AT98" s="1834">
        <v>0</v>
      </c>
      <c r="AU98" s="1833">
        <f>SUM(AQ98:AT98)</f>
        <v>0</v>
      </c>
      <c r="AV98" s="1834">
        <v>0</v>
      </c>
      <c r="AW98" s="1834">
        <v>0</v>
      </c>
      <c r="AX98" s="1834">
        <v>0</v>
      </c>
      <c r="AY98" s="1834">
        <v>0</v>
      </c>
      <c r="AZ98" s="1833">
        <f>SUM(AV98:AY98)</f>
        <v>0</v>
      </c>
      <c r="BA98" s="1834">
        <v>0</v>
      </c>
      <c r="BB98" s="1834">
        <v>0</v>
      </c>
      <c r="BC98" s="1834">
        <v>0</v>
      </c>
      <c r="BD98" s="1834">
        <v>0</v>
      </c>
      <c r="BE98" s="1833">
        <f>SUM(BA98:BD98)</f>
        <v>0</v>
      </c>
      <c r="BF98" s="1834">
        <v>0</v>
      </c>
      <c r="BG98" s="1834">
        <v>0</v>
      </c>
      <c r="BH98" s="1834">
        <v>0</v>
      </c>
      <c r="BI98" s="2892">
        <v>0</v>
      </c>
      <c r="BJ98" s="1833">
        <f>SUM(BF98:BI98)</f>
        <v>0</v>
      </c>
      <c r="BK98" s="1834">
        <v>0</v>
      </c>
      <c r="BL98" s="1834">
        <v>0</v>
      </c>
      <c r="BM98" s="1834">
        <v>0</v>
      </c>
      <c r="BN98" s="2892">
        <v>0</v>
      </c>
      <c r="BO98" s="1833">
        <f>SUM(BK98:BN98)</f>
        <v>0</v>
      </c>
      <c r="BP98" s="1834">
        <v>0</v>
      </c>
      <c r="BQ98" s="1834">
        <v>0</v>
      </c>
      <c r="BR98" s="1834">
        <v>0</v>
      </c>
      <c r="BS98" s="1834">
        <v>0</v>
      </c>
      <c r="BT98" s="3228">
        <f>SUM(BP98:BS98)</f>
        <v>0</v>
      </c>
      <c r="BU98" s="1834">
        <v>0</v>
      </c>
      <c r="BV98" s="1834">
        <v>0</v>
      </c>
      <c r="BW98" s="1834">
        <v>0</v>
      </c>
      <c r="BX98" s="1834">
        <v>0</v>
      </c>
      <c r="BY98" s="3228">
        <f>SUM(BU98:BX98)</f>
        <v>0</v>
      </c>
      <c r="BZ98" s="1835">
        <v>0</v>
      </c>
      <c r="CA98" s="1835">
        <v>0</v>
      </c>
      <c r="CB98" s="1835">
        <v>0</v>
      </c>
      <c r="CC98" s="1835">
        <v>0</v>
      </c>
      <c r="CD98" s="1835">
        <v>0</v>
      </c>
      <c r="CE98" s="1835">
        <v>0</v>
      </c>
      <c r="CF98" s="1835">
        <v>0</v>
      </c>
      <c r="CG98" s="331"/>
      <c r="CH98" s="331"/>
      <c r="CI98" s="331"/>
      <c r="CJ98" s="331"/>
      <c r="CK98" s="331"/>
      <c r="CL98" s="872" t="str">
        <f>A98</f>
        <v>Dividends per share</v>
      </c>
      <c r="CM98" s="2217">
        <f>G98</f>
        <v>0</v>
      </c>
      <c r="CN98" s="2217">
        <f>L98</f>
        <v>0</v>
      </c>
      <c r="CO98" s="2217">
        <f>Q98</f>
        <v>0</v>
      </c>
      <c r="CP98" s="2217">
        <f>V98</f>
        <v>0</v>
      </c>
      <c r="CQ98" s="2217">
        <f>AA98</f>
        <v>0</v>
      </c>
      <c r="CR98" s="2217">
        <f>AF98</f>
        <v>0</v>
      </c>
      <c r="CS98" s="2217">
        <f>AK98</f>
        <v>0</v>
      </c>
      <c r="CT98" s="2217">
        <f>AP98</f>
        <v>0</v>
      </c>
      <c r="CU98" s="2217">
        <f>AU98</f>
        <v>0</v>
      </c>
      <c r="CV98" s="2217">
        <f>AZ98</f>
        <v>0</v>
      </c>
      <c r="CW98" s="2217">
        <f>BE98</f>
        <v>0</v>
      </c>
      <c r="CX98" s="2217">
        <f>BJ98</f>
        <v>0</v>
      </c>
      <c r="CY98" s="2217">
        <f>BO98</f>
        <v>0</v>
      </c>
      <c r="CZ98" s="2217">
        <f>BT98</f>
        <v>0</v>
      </c>
      <c r="DA98" s="2217">
        <f>BY98</f>
        <v>0</v>
      </c>
      <c r="DB98" s="2217">
        <f>BZ98</f>
        <v>0</v>
      </c>
      <c r="DC98" s="2218">
        <f>CA98</f>
        <v>0</v>
      </c>
      <c r="DD98" s="331"/>
      <c r="DE98" s="331"/>
      <c r="DF98" s="502"/>
      <c r="DG98" s="503"/>
      <c r="DH98" s="3291"/>
      <c r="DI98" s="3213"/>
      <c r="DJ98" s="502"/>
      <c r="DK98" s="503"/>
      <c r="DL98" s="502"/>
      <c r="DM98" s="502"/>
      <c r="DN98" s="502"/>
      <c r="DO98" s="502"/>
      <c r="DP98" s="503"/>
      <c r="DQ98" s="503"/>
      <c r="DR98" s="296"/>
      <c r="DS98" s="296"/>
      <c r="DT98" s="296"/>
    </row>
    <row r="99" spans="1:124" ht="12.75" hidden="1" customHeight="1" outlineLevel="1" x14ac:dyDescent="0.25">
      <c r="A99" s="3357" t="s">
        <v>2542</v>
      </c>
      <c r="B99" s="281"/>
      <c r="C99" s="1832"/>
      <c r="D99" s="1832"/>
      <c r="E99" s="1832"/>
      <c r="F99" s="1832"/>
      <c r="G99" s="1833"/>
      <c r="H99" s="1832"/>
      <c r="I99" s="1832"/>
      <c r="J99" s="1832"/>
      <c r="K99" s="1832"/>
      <c r="L99" s="1833"/>
      <c r="M99" s="1832"/>
      <c r="N99" s="1832"/>
      <c r="O99" s="1832"/>
      <c r="P99" s="1832"/>
      <c r="Q99" s="1833"/>
      <c r="R99" s="1832"/>
      <c r="S99" s="1832"/>
      <c r="T99" s="1832"/>
      <c r="U99" s="1832"/>
      <c r="V99" s="1833"/>
      <c r="W99" s="1832"/>
      <c r="X99" s="1832"/>
      <c r="Y99" s="1832"/>
      <c r="Z99" s="1832"/>
      <c r="AA99" s="1833"/>
      <c r="AB99" s="1832"/>
      <c r="AC99" s="1832"/>
      <c r="AD99" s="1832"/>
      <c r="AE99" s="1832"/>
      <c r="AF99" s="1833"/>
      <c r="AG99" s="1832"/>
      <c r="AH99" s="1832"/>
      <c r="AI99" s="1832"/>
      <c r="AJ99" s="1832"/>
      <c r="AK99" s="1833"/>
      <c r="AL99" s="1832"/>
      <c r="AM99" s="1832"/>
      <c r="AN99" s="1832"/>
      <c r="AO99" s="1832"/>
      <c r="AP99" s="1833"/>
      <c r="AQ99" s="1832"/>
      <c r="AR99" s="1832"/>
      <c r="AS99" s="1832"/>
      <c r="AT99" s="1834"/>
      <c r="AU99" s="1833"/>
      <c r="AV99" s="1834"/>
      <c r="AW99" s="1834"/>
      <c r="AX99" s="1834"/>
      <c r="AY99" s="1834"/>
      <c r="AZ99" s="1833"/>
      <c r="BA99" s="1834"/>
      <c r="BB99" s="1834"/>
      <c r="BC99" s="1834"/>
      <c r="BD99" s="1834"/>
      <c r="BE99" s="1833"/>
      <c r="BF99" s="1834"/>
      <c r="BG99" s="1834"/>
      <c r="BH99" s="1834"/>
      <c r="BI99" s="2892"/>
      <c r="BJ99" s="1833"/>
      <c r="BK99" s="1834"/>
      <c r="BL99" s="1834"/>
      <c r="BM99" s="1834"/>
      <c r="BN99" s="2892"/>
      <c r="BO99" s="1833"/>
      <c r="BP99" s="1834">
        <v>13.88</v>
      </c>
      <c r="BQ99" s="1834">
        <v>19.663699999999999</v>
      </c>
      <c r="BR99" s="1834">
        <v>21.4251</v>
      </c>
      <c r="BS99" s="3358">
        <f>+BR99*1.02</f>
        <v>21.853602000000002</v>
      </c>
      <c r="BT99" s="3228">
        <f>AVERAGE(BP99:BS99)</f>
        <v>19.205600500000003</v>
      </c>
      <c r="BU99" s="3291">
        <f>+BS99*1.02</f>
        <v>22.290674040000003</v>
      </c>
      <c r="BV99" s="3291">
        <f>BU99*1.02</f>
        <v>22.736487520800004</v>
      </c>
      <c r="BW99" s="3291">
        <f>BV99*1.02</f>
        <v>23.191217271216004</v>
      </c>
      <c r="BX99" s="3291">
        <f>BW99*1.02</f>
        <v>23.655041616640325</v>
      </c>
      <c r="BY99" s="3228">
        <f>AVERAGE(BU99:BX99)</f>
        <v>22.968355112164083</v>
      </c>
      <c r="BZ99" s="3228">
        <f t="shared" ref="BZ99:CF99" si="222">+BY99*1.08</f>
        <v>24.80582352113721</v>
      </c>
      <c r="CA99" s="3228">
        <f t="shared" si="222"/>
        <v>26.79028940282819</v>
      </c>
      <c r="CB99" s="3228">
        <f t="shared" si="222"/>
        <v>28.933512555054445</v>
      </c>
      <c r="CC99" s="3228">
        <f t="shared" si="222"/>
        <v>31.248193559458802</v>
      </c>
      <c r="CD99" s="3228">
        <f t="shared" si="222"/>
        <v>33.748049044215506</v>
      </c>
      <c r="CE99" s="3228">
        <f t="shared" si="222"/>
        <v>36.44789296775275</v>
      </c>
      <c r="CF99" s="3228">
        <f t="shared" si="222"/>
        <v>39.363724405172974</v>
      </c>
      <c r="CG99" s="331"/>
      <c r="CH99" s="331"/>
      <c r="CI99" s="331"/>
      <c r="CJ99" s="331"/>
      <c r="CK99" s="331"/>
      <c r="CL99" s="872"/>
      <c r="CM99" s="2217"/>
      <c r="CN99" s="2217"/>
      <c r="CO99" s="2217"/>
      <c r="CP99" s="2217"/>
      <c r="CQ99" s="2217"/>
      <c r="CR99" s="2217"/>
      <c r="CS99" s="2217"/>
      <c r="CT99" s="2217"/>
      <c r="CU99" s="2217"/>
      <c r="CV99" s="2217"/>
      <c r="CW99" s="2217"/>
      <c r="CX99" s="2217"/>
      <c r="CY99" s="2217"/>
      <c r="CZ99" s="2217"/>
      <c r="DA99" s="2217"/>
      <c r="DB99" s="2217"/>
      <c r="DC99" s="2218"/>
      <c r="DD99" s="331"/>
      <c r="DE99" s="331"/>
      <c r="DF99" s="502"/>
      <c r="DG99" s="503"/>
      <c r="DH99" s="3291"/>
      <c r="DI99" s="3213"/>
      <c r="DJ99" s="502"/>
      <c r="DK99" s="503"/>
      <c r="DL99" s="502"/>
      <c r="DM99" s="502"/>
      <c r="DN99" s="502"/>
      <c r="DO99" s="502"/>
      <c r="DP99" s="503"/>
      <c r="DQ99" s="503"/>
      <c r="DR99" s="296"/>
      <c r="DS99" s="296"/>
      <c r="DT99" s="296"/>
    </row>
    <row r="100" spans="1:124" ht="12.6" customHeight="1" collapsed="1" x14ac:dyDescent="0.25">
      <c r="A100" s="867" t="s">
        <v>2154</v>
      </c>
      <c r="B100" s="479"/>
      <c r="C100" s="480">
        <v>79.177999999999997</v>
      </c>
      <c r="D100" s="480">
        <v>79.744</v>
      </c>
      <c r="E100" s="480">
        <v>80.873999999999995</v>
      </c>
      <c r="F100" s="480">
        <v>81.337999999999994</v>
      </c>
      <c r="G100" s="484">
        <v>80.510000000000005</v>
      </c>
      <c r="H100" s="480">
        <v>82.197999999999993</v>
      </c>
      <c r="I100" s="480">
        <v>83.227000000000004</v>
      </c>
      <c r="J100" s="482">
        <v>83.259</v>
      </c>
      <c r="K100" s="480">
        <v>83.307000000000002</v>
      </c>
      <c r="L100" s="484">
        <v>82.893000000000001</v>
      </c>
      <c r="M100" s="480">
        <v>83.646000000000001</v>
      </c>
      <c r="N100" s="480">
        <v>84.332999999999998</v>
      </c>
      <c r="O100" s="480">
        <v>84.385000000000005</v>
      </c>
      <c r="P100" s="480">
        <v>84.540999999999997</v>
      </c>
      <c r="Q100" s="484">
        <v>84.228999999999999</v>
      </c>
      <c r="R100" s="482">
        <v>84.89</v>
      </c>
      <c r="S100" s="480">
        <v>85.176000000000002</v>
      </c>
      <c r="T100" s="480">
        <v>85.930999999999997</v>
      </c>
      <c r="U100" s="480">
        <v>86.295000000000002</v>
      </c>
      <c r="V100" s="484">
        <v>85.578000000000003</v>
      </c>
      <c r="W100" s="480">
        <v>86.522999999999996</v>
      </c>
      <c r="X100" s="480">
        <v>86.56</v>
      </c>
      <c r="Y100" s="480">
        <v>85.784999999999997</v>
      </c>
      <c r="Z100" s="482">
        <v>79.319000000000003</v>
      </c>
      <c r="AA100" s="484">
        <v>84.536000000000001</v>
      </c>
      <c r="AB100" s="480">
        <v>77.813000000000002</v>
      </c>
      <c r="AC100" s="480">
        <v>77.995999999999995</v>
      </c>
      <c r="AD100" s="480">
        <v>78.254999999999995</v>
      </c>
      <c r="AE100" s="482">
        <f>78.351</f>
        <v>78.350999999999999</v>
      </c>
      <c r="AF100" s="484">
        <v>78.122</v>
      </c>
      <c r="AG100" s="482">
        <v>78.563000000000002</v>
      </c>
      <c r="AH100" s="482">
        <v>78.716999999999999</v>
      </c>
      <c r="AI100" s="482">
        <v>77.414000000000001</v>
      </c>
      <c r="AJ100" s="482">
        <v>77.635999999999996</v>
      </c>
      <c r="AK100" s="484">
        <v>78.078999999999994</v>
      </c>
      <c r="AL100" s="482">
        <v>78.162000000000006</v>
      </c>
      <c r="AM100" s="482">
        <v>78.387</v>
      </c>
      <c r="AN100" s="482">
        <v>78.242000000000004</v>
      </c>
      <c r="AO100" s="482">
        <v>77.180000000000007</v>
      </c>
      <c r="AP100" s="484">
        <v>77.991</v>
      </c>
      <c r="AQ100" s="1676">
        <v>75.994</v>
      </c>
      <c r="AR100" s="482">
        <v>76.257000000000005</v>
      </c>
      <c r="AS100" s="482">
        <v>76.335999999999999</v>
      </c>
      <c r="AT100" s="482">
        <v>76.787000000000006</v>
      </c>
      <c r="AU100" s="484">
        <v>76.344999999999999</v>
      </c>
      <c r="AV100" s="482">
        <v>77.552999999999997</v>
      </c>
      <c r="AW100" s="482">
        <v>78.305999999999997</v>
      </c>
      <c r="AX100" s="482">
        <v>78.635000000000005</v>
      </c>
      <c r="AY100" s="2579">
        <v>77.938999999999993</v>
      </c>
      <c r="AZ100" s="484">
        <v>78.111000000000004</v>
      </c>
      <c r="BA100" s="2675">
        <v>77.917000000000002</v>
      </c>
      <c r="BB100" s="2675">
        <v>78.457999999999998</v>
      </c>
      <c r="BC100" s="2675">
        <v>78.510000000000005</v>
      </c>
      <c r="BD100" s="2675">
        <v>78.805000000000007</v>
      </c>
      <c r="BE100" s="481">
        <f>BD100</f>
        <v>78.805000000000007</v>
      </c>
      <c r="BF100" s="2675">
        <v>79.400000000000006</v>
      </c>
      <c r="BG100" s="2675">
        <v>79.757999999999996</v>
      </c>
      <c r="BH100" s="2675">
        <v>80.242999999999995</v>
      </c>
      <c r="BI100" s="2675">
        <v>80.003</v>
      </c>
      <c r="BJ100" s="481">
        <f>BI100</f>
        <v>80.003</v>
      </c>
      <c r="BK100" s="2675">
        <v>80.968000000000004</v>
      </c>
      <c r="BL100" s="2675">
        <v>81.647000000000006</v>
      </c>
      <c r="BM100" s="2675">
        <v>83.064999999999998</v>
      </c>
      <c r="BN100" s="2675">
        <v>85.942999999999998</v>
      </c>
      <c r="BO100" s="481">
        <f>BN100</f>
        <v>85.942999999999998</v>
      </c>
      <c r="BP100" s="2675">
        <v>90.751000000000005</v>
      </c>
      <c r="BQ100" s="2675">
        <v>90.927999999999997</v>
      </c>
      <c r="BR100" s="2675">
        <v>90.912999999999997</v>
      </c>
      <c r="BS100" s="2675">
        <v>90.826999999999998</v>
      </c>
      <c r="BT100" s="2587">
        <f>AVERAGE(BP100:BS100)</f>
        <v>90.854749999999996</v>
      </c>
      <c r="BU100" s="602">
        <f>BS100+0.5+(BU1323/BU99)</f>
        <v>91.326999999999998</v>
      </c>
      <c r="BV100" s="602">
        <f>BU100+0.5+(BV1323/BV99)</f>
        <v>91.826999999999998</v>
      </c>
      <c r="BW100" s="3508">
        <f>BV100+0.5+'Exhibits 3'!EM468</f>
        <v>118.78699999999999</v>
      </c>
      <c r="BX100" s="602">
        <f>BW100+0.5+(BX1323/BX99)</f>
        <v>119.28699999999999</v>
      </c>
      <c r="BY100" s="2587">
        <f>AVERAGE(BU100:BX100)</f>
        <v>105.30699999999999</v>
      </c>
      <c r="BZ100" s="3359">
        <f>BX100+2</f>
        <v>121.28699999999999</v>
      </c>
      <c r="CA100" s="3359">
        <f>BZ100+2</f>
        <v>123.28699999999999</v>
      </c>
      <c r="CB100" s="481">
        <f t="shared" ref="CB100:CF101" si="223">CA100</f>
        <v>123.28699999999999</v>
      </c>
      <c r="CC100" s="481">
        <f t="shared" si="223"/>
        <v>123.28699999999999</v>
      </c>
      <c r="CD100" s="481">
        <f t="shared" si="223"/>
        <v>123.28699999999999</v>
      </c>
      <c r="CE100" s="481">
        <f t="shared" si="223"/>
        <v>123.28699999999999</v>
      </c>
      <c r="CF100" s="481">
        <f t="shared" si="223"/>
        <v>123.28699999999999</v>
      </c>
      <c r="CG100" s="331"/>
      <c r="CH100" s="331"/>
      <c r="CI100" s="331"/>
      <c r="CJ100" s="331"/>
      <c r="CK100" s="331"/>
      <c r="CL100" s="872" t="str">
        <f>A100</f>
        <v>Basic shares outstanding</v>
      </c>
      <c r="CM100" s="430">
        <f>G100</f>
        <v>80.510000000000005</v>
      </c>
      <c r="CN100" s="430">
        <f>L100</f>
        <v>82.893000000000001</v>
      </c>
      <c r="CO100" s="430">
        <f>Q100</f>
        <v>84.228999999999999</v>
      </c>
      <c r="CP100" s="430">
        <f>V100</f>
        <v>85.578000000000003</v>
      </c>
      <c r="CQ100" s="430">
        <f>AA100</f>
        <v>84.536000000000001</v>
      </c>
      <c r="CR100" s="430">
        <f>AF100</f>
        <v>78.122</v>
      </c>
      <c r="CS100" s="430">
        <f>AK100</f>
        <v>78.078999999999994</v>
      </c>
      <c r="CT100" s="430">
        <f>AP100</f>
        <v>77.991</v>
      </c>
      <c r="CU100" s="430">
        <f>AU100</f>
        <v>76.344999999999999</v>
      </c>
      <c r="CV100" s="430">
        <f>AZ100</f>
        <v>78.111000000000004</v>
      </c>
      <c r="CW100" s="430">
        <f>BE100</f>
        <v>78.805000000000007</v>
      </c>
      <c r="CX100" s="430">
        <f>BJ100</f>
        <v>80.003</v>
      </c>
      <c r="CY100" s="430">
        <f>BO100</f>
        <v>85.942999999999998</v>
      </c>
      <c r="CZ100" s="430">
        <f>BT100</f>
        <v>90.854749999999996</v>
      </c>
      <c r="DA100" s="430">
        <f t="shared" ref="DA100:DC101" si="224">BY100</f>
        <v>105.30699999999999</v>
      </c>
      <c r="DB100" s="430">
        <f t="shared" si="224"/>
        <v>121.28699999999999</v>
      </c>
      <c r="DC100" s="853">
        <f t="shared" si="224"/>
        <v>123.28699999999999</v>
      </c>
      <c r="DD100" s="331"/>
      <c r="DE100" s="331"/>
      <c r="DF100" s="502"/>
      <c r="DG100" s="503"/>
      <c r="DH100" s="2840"/>
      <c r="DI100" s="3213"/>
      <c r="DJ100" s="502"/>
      <c r="DK100" s="503"/>
      <c r="DL100" s="502"/>
      <c r="DM100" s="502"/>
      <c r="DN100" s="502"/>
      <c r="DO100" s="502"/>
      <c r="DP100" s="503"/>
      <c r="DQ100" s="503"/>
      <c r="DR100" s="296"/>
      <c r="DS100" s="296"/>
      <c r="DT100" s="296"/>
    </row>
    <row r="101" spans="1:124" ht="12.6" customHeight="1" x14ac:dyDescent="0.25">
      <c r="A101" s="285" t="s">
        <v>2155</v>
      </c>
      <c r="B101" s="479"/>
      <c r="C101" s="480">
        <v>82.224000000000004</v>
      </c>
      <c r="D101" s="480">
        <v>82.486000000000004</v>
      </c>
      <c r="E101" s="480">
        <v>83.852000000000004</v>
      </c>
      <c r="F101" s="480">
        <v>84.567999999999998</v>
      </c>
      <c r="G101" s="484">
        <v>83.507999999999996</v>
      </c>
      <c r="H101" s="480">
        <v>85.39</v>
      </c>
      <c r="I101" s="480">
        <v>85.731999999999999</v>
      </c>
      <c r="J101" s="482">
        <v>86.186000000000007</v>
      </c>
      <c r="K101" s="480">
        <v>85.899000000000001</v>
      </c>
      <c r="L101" s="484">
        <v>85.856999999999999</v>
      </c>
      <c r="M101" s="480">
        <v>86.043999999999997</v>
      </c>
      <c r="N101" s="480">
        <v>86.728999999999999</v>
      </c>
      <c r="O101" s="480">
        <v>86.58</v>
      </c>
      <c r="P101" s="480">
        <v>86.986000000000004</v>
      </c>
      <c r="Q101" s="484">
        <v>86.634</v>
      </c>
      <c r="R101" s="482">
        <v>87.471999999999994</v>
      </c>
      <c r="S101" s="480">
        <v>88.069000000000003</v>
      </c>
      <c r="T101" s="480">
        <v>88.813000000000002</v>
      </c>
      <c r="U101" s="480">
        <v>89.14</v>
      </c>
      <c r="V101" s="484">
        <v>88.384</v>
      </c>
      <c r="W101" s="480">
        <v>88.808999999999997</v>
      </c>
      <c r="X101" s="480">
        <v>88.808999999999997</v>
      </c>
      <c r="Y101" s="480">
        <v>87.23</v>
      </c>
      <c r="Z101" s="482">
        <v>105.42</v>
      </c>
      <c r="AA101" s="484">
        <v>92.590999999999994</v>
      </c>
      <c r="AB101" s="480">
        <v>106.53400000000001</v>
      </c>
      <c r="AC101" s="480">
        <v>107.045</v>
      </c>
      <c r="AD101" s="480">
        <v>107.21899999999999</v>
      </c>
      <c r="AE101" s="482">
        <v>107.22499999999999</v>
      </c>
      <c r="AF101" s="484">
        <v>107.006</v>
      </c>
      <c r="AG101" s="482">
        <v>107.03700000000001</v>
      </c>
      <c r="AH101" s="482">
        <v>106.795</v>
      </c>
      <c r="AI101" s="482">
        <v>105.509</v>
      </c>
      <c r="AJ101" s="482">
        <f>77.636+27.277778</f>
        <v>104.91377799999999</v>
      </c>
      <c r="AK101" s="484">
        <v>78.078999999999994</v>
      </c>
      <c r="AL101" s="482">
        <v>106.919</v>
      </c>
      <c r="AM101" s="482">
        <v>107.523</v>
      </c>
      <c r="AN101" s="482">
        <v>107.449</v>
      </c>
      <c r="AO101" s="482">
        <v>106.19499999999999</v>
      </c>
      <c r="AP101" s="484">
        <v>107.051</v>
      </c>
      <c r="AQ101" s="1676">
        <v>105.63200000000001</v>
      </c>
      <c r="AR101" s="482">
        <v>106.13</v>
      </c>
      <c r="AS101" s="482">
        <v>105.84099999999999</v>
      </c>
      <c r="AT101" s="482">
        <v>104.47</v>
      </c>
      <c r="AU101" s="484">
        <v>103.804</v>
      </c>
      <c r="AV101" s="482">
        <v>102.887</v>
      </c>
      <c r="AW101" s="2082">
        <f>+AV101</f>
        <v>102.887</v>
      </c>
      <c r="AX101" s="482">
        <v>103.44199999999999</v>
      </c>
      <c r="AY101" s="862">
        <v>77.938999999999993</v>
      </c>
      <c r="AZ101" s="484">
        <v>78.111000000000004</v>
      </c>
      <c r="BA101" s="2675">
        <v>88.679000000000002</v>
      </c>
      <c r="BB101" s="2675">
        <v>88.936000000000007</v>
      </c>
      <c r="BC101" s="2675">
        <v>89.016999999999996</v>
      </c>
      <c r="BD101" s="2675">
        <v>78.805000000000007</v>
      </c>
      <c r="BE101" s="481">
        <f>BD101</f>
        <v>78.805000000000007</v>
      </c>
      <c r="BF101" s="2675">
        <v>90.391999999999996</v>
      </c>
      <c r="BG101" s="2675">
        <v>90.728999999999999</v>
      </c>
      <c r="BH101" s="2675">
        <v>91.28</v>
      </c>
      <c r="BI101" s="2675">
        <v>90.903999999999996</v>
      </c>
      <c r="BJ101" s="481">
        <f>BI101</f>
        <v>90.903999999999996</v>
      </c>
      <c r="BK101" s="2675">
        <v>91.090999999999994</v>
      </c>
      <c r="BL101" s="2675">
        <v>91.486000000000004</v>
      </c>
      <c r="BM101" s="2675">
        <v>91.421999999999997</v>
      </c>
      <c r="BN101" s="2675">
        <v>91.802000000000007</v>
      </c>
      <c r="BO101" s="481">
        <f>BN101</f>
        <v>91.802000000000007</v>
      </c>
      <c r="BP101" s="2675">
        <v>91.917000000000002</v>
      </c>
      <c r="BQ101" s="2675">
        <v>93.239000000000004</v>
      </c>
      <c r="BR101" s="2675">
        <v>93.588999999999999</v>
      </c>
      <c r="BS101" s="2675">
        <v>90.826999999999998</v>
      </c>
      <c r="BT101" s="2587">
        <f>AVERAGE(BP101:BS101)</f>
        <v>92.393000000000001</v>
      </c>
      <c r="BU101" s="3508">
        <v>93.3</v>
      </c>
      <c r="BV101" s="602">
        <f>BU101+(BV1323/BV99)</f>
        <v>93.3</v>
      </c>
      <c r="BW101" s="3508">
        <f>BV101+'Exhibits 3'!EM468</f>
        <v>119.75999999999999</v>
      </c>
      <c r="BX101" s="602">
        <f>BW101+(BX1323/BX99)</f>
        <v>119.75999999999999</v>
      </c>
      <c r="BY101" s="2587">
        <f>AVERAGE(BU101:BX101)</f>
        <v>106.53</v>
      </c>
      <c r="BZ101" s="3359">
        <f>BX101+2</f>
        <v>121.75999999999999</v>
      </c>
      <c r="CA101" s="3359">
        <f>BZ101+2</f>
        <v>123.75999999999999</v>
      </c>
      <c r="CB101" s="481">
        <f t="shared" si="223"/>
        <v>123.75999999999999</v>
      </c>
      <c r="CC101" s="481">
        <f t="shared" si="223"/>
        <v>123.75999999999999</v>
      </c>
      <c r="CD101" s="481">
        <f t="shared" si="223"/>
        <v>123.75999999999999</v>
      </c>
      <c r="CE101" s="481">
        <f t="shared" si="223"/>
        <v>123.75999999999999</v>
      </c>
      <c r="CF101" s="481">
        <f t="shared" si="223"/>
        <v>123.75999999999999</v>
      </c>
      <c r="CG101" s="331"/>
      <c r="CH101" s="331"/>
      <c r="CI101" s="331"/>
      <c r="CJ101" s="331"/>
      <c r="CK101" s="331"/>
      <c r="CL101" s="520" t="str">
        <f>A101</f>
        <v>Diluted shares outstanding</v>
      </c>
      <c r="CM101" s="430">
        <f>G101</f>
        <v>83.507999999999996</v>
      </c>
      <c r="CN101" s="430">
        <f>L101</f>
        <v>85.856999999999999</v>
      </c>
      <c r="CO101" s="430">
        <f>Q101</f>
        <v>86.634</v>
      </c>
      <c r="CP101" s="430">
        <f>V101</f>
        <v>88.384</v>
      </c>
      <c r="CQ101" s="430">
        <f>AA101</f>
        <v>92.590999999999994</v>
      </c>
      <c r="CR101" s="430">
        <f>AF101</f>
        <v>107.006</v>
      </c>
      <c r="CS101" s="430">
        <f>AK101</f>
        <v>78.078999999999994</v>
      </c>
      <c r="CT101" s="430">
        <f>AP101</f>
        <v>107.051</v>
      </c>
      <c r="CU101" s="430">
        <f>AU101</f>
        <v>103.804</v>
      </c>
      <c r="CV101" s="430">
        <f>AZ101</f>
        <v>78.111000000000004</v>
      </c>
      <c r="CW101" s="430">
        <f>BE101</f>
        <v>78.805000000000007</v>
      </c>
      <c r="CX101" s="430">
        <f>BJ101</f>
        <v>90.903999999999996</v>
      </c>
      <c r="CY101" s="430">
        <f>BO101</f>
        <v>91.802000000000007</v>
      </c>
      <c r="CZ101" s="430">
        <f>BT101</f>
        <v>92.393000000000001</v>
      </c>
      <c r="DA101" s="430">
        <f t="shared" si="224"/>
        <v>106.53</v>
      </c>
      <c r="DB101" s="430">
        <f t="shared" si="224"/>
        <v>121.75999999999999</v>
      </c>
      <c r="DC101" s="853">
        <f t="shared" si="224"/>
        <v>123.75999999999999</v>
      </c>
      <c r="DD101" s="331"/>
      <c r="DE101" s="331"/>
      <c r="DF101" s="502"/>
      <c r="DG101" s="503"/>
      <c r="DH101" s="2840"/>
      <c r="DI101" s="3213"/>
      <c r="DJ101" s="502"/>
      <c r="DK101" s="503"/>
      <c r="DL101" s="502"/>
      <c r="DM101" s="502"/>
      <c r="DN101" s="502"/>
      <c r="DO101" s="502"/>
      <c r="DP101" s="503"/>
      <c r="DQ101" s="503"/>
      <c r="DR101" s="296"/>
      <c r="DS101" s="296"/>
      <c r="DT101" s="296"/>
    </row>
    <row r="102" spans="1:124" ht="12" customHeight="1" x14ac:dyDescent="0.25">
      <c r="A102" s="285"/>
      <c r="B102" s="479"/>
      <c r="C102" s="480"/>
      <c r="D102" s="480"/>
      <c r="E102" s="480"/>
      <c r="F102" s="480"/>
      <c r="G102" s="484"/>
      <c r="H102" s="480"/>
      <c r="I102" s="480"/>
      <c r="J102" s="482"/>
      <c r="K102" s="480"/>
      <c r="L102" s="484"/>
      <c r="M102" s="480"/>
      <c r="N102" s="480"/>
      <c r="O102" s="480"/>
      <c r="P102" s="480"/>
      <c r="Q102" s="484"/>
      <c r="R102" s="482"/>
      <c r="S102" s="480"/>
      <c r="T102" s="480"/>
      <c r="U102" s="480"/>
      <c r="V102" s="484"/>
      <c r="W102" s="480"/>
      <c r="X102" s="480"/>
      <c r="Y102" s="480"/>
      <c r="Z102" s="480"/>
      <c r="AA102" s="739"/>
      <c r="AB102" s="480"/>
      <c r="AC102" s="480"/>
      <c r="AD102" s="480"/>
      <c r="AE102" s="430"/>
      <c r="AF102" s="739"/>
      <c r="AG102" s="430"/>
      <c r="AH102" s="935"/>
      <c r="AI102" s="430"/>
      <c r="AJ102" s="430"/>
      <c r="AK102" s="481"/>
      <c r="AL102" s="430"/>
      <c r="AM102" s="430"/>
      <c r="AN102" s="430"/>
      <c r="AO102" s="430"/>
      <c r="AP102" s="483"/>
      <c r="AQ102" s="483"/>
      <c r="AR102" s="430"/>
      <c r="AS102" s="430"/>
      <c r="AT102" s="430"/>
      <c r="AU102" s="481"/>
      <c r="AV102" s="430"/>
      <c r="AW102" s="430"/>
      <c r="AX102" s="430"/>
      <c r="AY102" s="853"/>
      <c r="AZ102" s="853"/>
      <c r="BA102" s="430"/>
      <c r="BB102" s="430"/>
      <c r="BC102" s="430"/>
      <c r="BD102" s="853"/>
      <c r="BE102" s="481"/>
      <c r="BF102" s="430"/>
      <c r="BG102" s="430"/>
      <c r="BH102" s="430"/>
      <c r="BI102" s="853"/>
      <c r="BJ102" s="481"/>
      <c r="BK102" s="430"/>
      <c r="BL102" s="430"/>
      <c r="BM102" s="430"/>
      <c r="BN102" s="853"/>
      <c r="BO102" s="481"/>
      <c r="BP102" s="430"/>
      <c r="BQ102" s="430"/>
      <c r="BR102" s="430"/>
      <c r="BS102" s="430"/>
      <c r="BT102" s="2587"/>
      <c r="BU102" s="3397"/>
      <c r="BV102" s="2840"/>
      <c r="BW102" s="2840"/>
      <c r="BX102" s="2840"/>
      <c r="BY102" s="2587"/>
      <c r="BZ102" s="481"/>
      <c r="CA102" s="481"/>
      <c r="CB102" s="481"/>
      <c r="CC102" s="481"/>
      <c r="CD102" s="481"/>
      <c r="CE102" s="481"/>
      <c r="CF102" s="481"/>
      <c r="CG102" s="600"/>
      <c r="CH102" s="600"/>
      <c r="CI102" s="600"/>
      <c r="CJ102" s="600"/>
      <c r="CK102" s="331"/>
      <c r="CL102" s="520"/>
      <c r="CM102" s="430"/>
      <c r="CN102" s="430"/>
      <c r="CO102" s="430"/>
      <c r="CP102" s="430"/>
      <c r="CQ102" s="430"/>
      <c r="CR102" s="430"/>
      <c r="CS102" s="430"/>
      <c r="CT102" s="430"/>
      <c r="CU102" s="430"/>
      <c r="CV102" s="430"/>
      <c r="CW102" s="430"/>
      <c r="CX102" s="430"/>
      <c r="CY102" s="430"/>
      <c r="CZ102" s="430"/>
      <c r="DA102" s="430"/>
      <c r="DB102" s="430"/>
      <c r="DC102" s="853"/>
      <c r="DD102" s="331"/>
      <c r="DE102" s="331"/>
      <c r="DF102" s="502"/>
      <c r="DG102" s="503"/>
      <c r="DH102" s="2840"/>
      <c r="DI102" s="3213"/>
      <c r="DJ102" s="502"/>
      <c r="DK102" s="503"/>
      <c r="DL102" s="502"/>
      <c r="DM102" s="502"/>
      <c r="DN102" s="502"/>
      <c r="DO102" s="502"/>
      <c r="DP102" s="503"/>
      <c r="DQ102" s="503"/>
      <c r="DR102" s="296"/>
      <c r="DS102" s="296"/>
      <c r="DT102" s="296"/>
    </row>
    <row r="103" spans="1:124" ht="12" customHeight="1" x14ac:dyDescent="0.25">
      <c r="A103" s="293"/>
      <c r="B103" s="3525"/>
      <c r="C103" s="3526"/>
      <c r="D103" s="3526"/>
      <c r="E103" s="3526"/>
      <c r="F103" s="3526"/>
      <c r="G103" s="1772"/>
      <c r="H103" s="3526"/>
      <c r="I103" s="3526"/>
      <c r="J103" s="3527"/>
      <c r="K103" s="3526"/>
      <c r="L103" s="1772"/>
      <c r="M103" s="3526"/>
      <c r="N103" s="3526"/>
      <c r="O103" s="3526"/>
      <c r="P103" s="3526"/>
      <c r="Q103" s="1772"/>
      <c r="R103" s="3527"/>
      <c r="S103" s="3526"/>
      <c r="T103" s="3526"/>
      <c r="U103" s="3526"/>
      <c r="V103" s="1772"/>
      <c r="W103" s="3526"/>
      <c r="X103" s="3526"/>
      <c r="Y103" s="3526"/>
      <c r="Z103" s="3526"/>
      <c r="AA103" s="3528"/>
      <c r="AB103" s="3526"/>
      <c r="AC103" s="3526"/>
      <c r="AD103" s="3526"/>
      <c r="AE103" s="1057"/>
      <c r="AF103" s="3528"/>
      <c r="AG103" s="1057"/>
      <c r="AH103" s="3529"/>
      <c r="AI103" s="1057"/>
      <c r="AJ103" s="1057"/>
      <c r="AK103" s="1773"/>
      <c r="AL103" s="1057"/>
      <c r="AM103" s="1057"/>
      <c r="AN103" s="1057"/>
      <c r="AO103" s="1057"/>
      <c r="AP103" s="3530"/>
      <c r="AQ103" s="3530"/>
      <c r="AR103" s="1057"/>
      <c r="AS103" s="1057"/>
      <c r="AT103" s="1057"/>
      <c r="AU103" s="1773"/>
      <c r="AV103" s="1057"/>
      <c r="AW103" s="1057"/>
      <c r="AX103" s="1057"/>
      <c r="AY103" s="3531"/>
      <c r="AZ103" s="3531"/>
      <c r="BA103" s="1057"/>
      <c r="BB103" s="1057"/>
      <c r="BC103" s="1057"/>
      <c r="BD103" s="3531"/>
      <c r="BE103" s="1773"/>
      <c r="BF103" s="1057"/>
      <c r="BG103" s="1057"/>
      <c r="BH103" s="1057"/>
      <c r="BI103" s="3531"/>
      <c r="BJ103" s="1773"/>
      <c r="BK103" s="1057"/>
      <c r="BL103" s="1057"/>
      <c r="BM103" s="1057"/>
      <c r="BN103" s="3531"/>
      <c r="BO103" s="1773"/>
      <c r="BP103" s="1057"/>
      <c r="BQ103" s="1057"/>
      <c r="BR103" s="1057"/>
      <c r="BS103" s="1057"/>
      <c r="BT103" s="3251"/>
      <c r="BU103" s="3421"/>
      <c r="BV103" s="3422"/>
      <c r="BW103" s="3422"/>
      <c r="BX103" s="3422"/>
      <c r="BY103" s="3251"/>
      <c r="BZ103" s="1773"/>
      <c r="CA103" s="481"/>
      <c r="CB103" s="481"/>
      <c r="CC103" s="481"/>
      <c r="CD103" s="481"/>
      <c r="CE103" s="481"/>
      <c r="CF103" s="481"/>
      <c r="CG103" s="600"/>
      <c r="CH103" s="600"/>
      <c r="CI103" s="600"/>
      <c r="CJ103" s="600"/>
      <c r="CK103" s="331"/>
      <c r="CL103" s="520"/>
      <c r="CM103" s="430"/>
      <c r="CN103" s="430"/>
      <c r="CO103" s="430"/>
      <c r="CP103" s="430"/>
      <c r="CQ103" s="430"/>
      <c r="CR103" s="430"/>
      <c r="CS103" s="430"/>
      <c r="CT103" s="430"/>
      <c r="CU103" s="430"/>
      <c r="CV103" s="430"/>
      <c r="CW103" s="430"/>
      <c r="CX103" s="430"/>
      <c r="CY103" s="430"/>
      <c r="CZ103" s="430"/>
      <c r="DA103" s="430"/>
      <c r="DB103" s="430"/>
      <c r="DC103" s="853"/>
      <c r="DD103" s="331"/>
      <c r="DE103" s="331"/>
      <c r="DF103" s="502"/>
      <c r="DG103" s="503"/>
      <c r="DH103" s="2840"/>
      <c r="DI103" s="3213"/>
      <c r="DJ103" s="502"/>
      <c r="DK103" s="503"/>
      <c r="DL103" s="502"/>
      <c r="DM103" s="502"/>
      <c r="DN103" s="502"/>
      <c r="DO103" s="502"/>
      <c r="DP103" s="503"/>
      <c r="DQ103" s="503"/>
      <c r="DR103" s="296"/>
      <c r="DS103" s="296"/>
      <c r="DT103" s="296"/>
    </row>
    <row r="104" spans="1:124" ht="13.5" customHeight="1" x14ac:dyDescent="0.25">
      <c r="A104" s="432" t="s">
        <v>844</v>
      </c>
      <c r="B104" s="522"/>
      <c r="C104" s="433" t="str">
        <f>C$6</f>
        <v>1Q04</v>
      </c>
      <c r="D104" s="433" t="str">
        <f t="shared" ref="D104:CB104" si="225">D$6</f>
        <v>2Q04</v>
      </c>
      <c r="E104" s="433" t="str">
        <f t="shared" si="225"/>
        <v>3Q04</v>
      </c>
      <c r="F104" s="433" t="str">
        <f t="shared" si="225"/>
        <v>4Q04</v>
      </c>
      <c r="G104" s="434">
        <f t="shared" si="225"/>
        <v>2004</v>
      </c>
      <c r="H104" s="433" t="str">
        <f t="shared" si="225"/>
        <v>1Q05</v>
      </c>
      <c r="I104" s="433" t="str">
        <f t="shared" si="225"/>
        <v>2Q05</v>
      </c>
      <c r="J104" s="433" t="str">
        <f t="shared" si="225"/>
        <v>3Q05</v>
      </c>
      <c r="K104" s="433" t="str">
        <f t="shared" si="225"/>
        <v>4Q05</v>
      </c>
      <c r="L104" s="434">
        <f t="shared" si="225"/>
        <v>2005</v>
      </c>
      <c r="M104" s="433" t="str">
        <f t="shared" si="225"/>
        <v>1Q06</v>
      </c>
      <c r="N104" s="433" t="str">
        <f t="shared" si="225"/>
        <v>2Q06</v>
      </c>
      <c r="O104" s="433" t="str">
        <f t="shared" si="225"/>
        <v>3Q06</v>
      </c>
      <c r="P104" s="433" t="str">
        <f t="shared" si="225"/>
        <v>4Q06</v>
      </c>
      <c r="Q104" s="434">
        <f t="shared" si="225"/>
        <v>2006</v>
      </c>
      <c r="R104" s="433" t="str">
        <f t="shared" si="225"/>
        <v>1Q07</v>
      </c>
      <c r="S104" s="433" t="str">
        <f t="shared" si="225"/>
        <v>2Q07</v>
      </c>
      <c r="T104" s="433" t="str">
        <f t="shared" si="225"/>
        <v>3Q07</v>
      </c>
      <c r="U104" s="433" t="str">
        <f t="shared" si="225"/>
        <v>4Q07</v>
      </c>
      <c r="V104" s="434">
        <f t="shared" si="225"/>
        <v>2007</v>
      </c>
      <c r="W104" s="433" t="str">
        <f t="shared" si="225"/>
        <v>1Q08</v>
      </c>
      <c r="X104" s="433" t="str">
        <f t="shared" si="225"/>
        <v>2Q08</v>
      </c>
      <c r="Y104" s="433" t="str">
        <f t="shared" si="225"/>
        <v>3Q08</v>
      </c>
      <c r="Z104" s="433" t="str">
        <f t="shared" si="225"/>
        <v>4Q08</v>
      </c>
      <c r="AA104" s="434">
        <f t="shared" si="225"/>
        <v>2008</v>
      </c>
      <c r="AB104" s="433" t="str">
        <f t="shared" si="225"/>
        <v>1Q09</v>
      </c>
      <c r="AC104" s="433" t="str">
        <f t="shared" si="225"/>
        <v>2Q09</v>
      </c>
      <c r="AD104" s="433" t="str">
        <f t="shared" si="225"/>
        <v>3Q09</v>
      </c>
      <c r="AE104" s="433" t="str">
        <f t="shared" si="225"/>
        <v>4Q09</v>
      </c>
      <c r="AF104" s="434">
        <f t="shared" si="225"/>
        <v>2009</v>
      </c>
      <c r="AG104" s="433" t="str">
        <f t="shared" si="225"/>
        <v>1Q10</v>
      </c>
      <c r="AH104" s="433" t="str">
        <f t="shared" si="225"/>
        <v>2Q10</v>
      </c>
      <c r="AI104" s="433" t="str">
        <f t="shared" si="225"/>
        <v>3Q10</v>
      </c>
      <c r="AJ104" s="433" t="str">
        <f t="shared" si="225"/>
        <v>4Q10</v>
      </c>
      <c r="AK104" s="434">
        <f t="shared" si="225"/>
        <v>2010</v>
      </c>
      <c r="AL104" s="435" t="str">
        <f t="shared" si="225"/>
        <v>1Q11</v>
      </c>
      <c r="AM104" s="435" t="str">
        <f t="shared" si="225"/>
        <v>2Q11</v>
      </c>
      <c r="AN104" s="435" t="str">
        <f t="shared" si="225"/>
        <v>3Q11</v>
      </c>
      <c r="AO104" s="435" t="str">
        <f t="shared" si="225"/>
        <v>4Q11</v>
      </c>
      <c r="AP104" s="436">
        <f t="shared" si="225"/>
        <v>2011</v>
      </c>
      <c r="AQ104" s="436" t="str">
        <f t="shared" si="225"/>
        <v>1Q12</v>
      </c>
      <c r="AR104" s="437" t="str">
        <f t="shared" si="225"/>
        <v>2Q12</v>
      </c>
      <c r="AS104" s="437" t="str">
        <f t="shared" si="225"/>
        <v>3Q12</v>
      </c>
      <c r="AT104" s="437" t="str">
        <f t="shared" si="225"/>
        <v>4Q12</v>
      </c>
      <c r="AU104" s="438">
        <f t="shared" si="225"/>
        <v>2012</v>
      </c>
      <c r="AV104" s="436" t="str">
        <f t="shared" si="225"/>
        <v>1Q13</v>
      </c>
      <c r="AW104" s="437" t="str">
        <f t="shared" si="225"/>
        <v>2Q13</v>
      </c>
      <c r="AX104" s="437" t="str">
        <f t="shared" si="225"/>
        <v>3Q13</v>
      </c>
      <c r="AY104" s="861" t="str">
        <f t="shared" si="225"/>
        <v>4Q13</v>
      </c>
      <c r="AZ104" s="438">
        <f t="shared" si="225"/>
        <v>2013</v>
      </c>
      <c r="BA104" s="436" t="str">
        <f t="shared" si="225"/>
        <v>1Q14</v>
      </c>
      <c r="BB104" s="437" t="str">
        <f t="shared" si="225"/>
        <v>2Q14</v>
      </c>
      <c r="BC104" s="437" t="str">
        <f t="shared" si="225"/>
        <v>3Q14</v>
      </c>
      <c r="BD104" s="861" t="str">
        <f t="shared" si="225"/>
        <v>4Q14</v>
      </c>
      <c r="BE104" s="861">
        <f t="shared" si="225"/>
        <v>2014</v>
      </c>
      <c r="BF104" s="437" t="str">
        <f t="shared" si="225"/>
        <v>1Q15</v>
      </c>
      <c r="BG104" s="437" t="str">
        <f t="shared" si="225"/>
        <v>2Q15</v>
      </c>
      <c r="BH104" s="437" t="str">
        <f t="shared" si="225"/>
        <v>3Q15</v>
      </c>
      <c r="BI104" s="861" t="str">
        <f t="shared" si="225"/>
        <v>4Q15</v>
      </c>
      <c r="BJ104" s="861">
        <f t="shared" si="225"/>
        <v>2015</v>
      </c>
      <c r="BK104" s="437" t="str">
        <f t="shared" si="225"/>
        <v>1Q16</v>
      </c>
      <c r="BL104" s="437" t="str">
        <f t="shared" si="225"/>
        <v>2Q16</v>
      </c>
      <c r="BM104" s="437" t="str">
        <f t="shared" si="225"/>
        <v>3Q16</v>
      </c>
      <c r="BN104" s="861" t="str">
        <f t="shared" si="225"/>
        <v>4Q16</v>
      </c>
      <c r="BO104" s="861">
        <f t="shared" si="225"/>
        <v>2016</v>
      </c>
      <c r="BP104" s="437" t="str">
        <f t="shared" si="225"/>
        <v>1Q17</v>
      </c>
      <c r="BQ104" s="437" t="str">
        <f t="shared" si="225"/>
        <v>2Q17</v>
      </c>
      <c r="BR104" s="437" t="str">
        <f t="shared" si="225"/>
        <v>3Q17</v>
      </c>
      <c r="BS104" s="437" t="str">
        <f t="shared" si="225"/>
        <v>4Q17</v>
      </c>
      <c r="BT104" s="438">
        <f t="shared" si="225"/>
        <v>2017</v>
      </c>
      <c r="BU104" s="437" t="str">
        <f t="shared" si="225"/>
        <v>1Q18E</v>
      </c>
      <c r="BV104" s="437" t="str">
        <f t="shared" si="225"/>
        <v>2Q18E</v>
      </c>
      <c r="BW104" s="437" t="str">
        <f t="shared" si="225"/>
        <v>3Q18E</v>
      </c>
      <c r="BX104" s="437" t="str">
        <f t="shared" si="225"/>
        <v>4Q18E</v>
      </c>
      <c r="BY104" s="438" t="str">
        <f t="shared" si="225"/>
        <v>2018E</v>
      </c>
      <c r="BZ104" s="438" t="str">
        <f t="shared" si="225"/>
        <v>2019E</v>
      </c>
      <c r="CA104" s="438" t="str">
        <f t="shared" si="225"/>
        <v>2020E</v>
      </c>
      <c r="CB104" s="438" t="str">
        <f t="shared" si="225"/>
        <v>2021E</v>
      </c>
      <c r="CC104" s="438" t="str">
        <f>CC$6</f>
        <v>2022E</v>
      </c>
      <c r="CD104" s="438" t="str">
        <f>CD$6</f>
        <v>2023E</v>
      </c>
      <c r="CE104" s="438" t="str">
        <f>CE$6</f>
        <v>2024E</v>
      </c>
      <c r="CF104" s="438" t="str">
        <f>CF$6</f>
        <v>2025E</v>
      </c>
      <c r="CG104" s="331"/>
      <c r="CH104" s="331"/>
      <c r="CI104" s="331"/>
      <c r="CJ104" s="331"/>
      <c r="CK104" s="331"/>
      <c r="CL104" s="2102" t="str">
        <f>A104</f>
        <v>FREE CASH FLOW SUMMARY ($ mn)</v>
      </c>
      <c r="CM104" s="2199">
        <f>G104</f>
        <v>2004</v>
      </c>
      <c r="CN104" s="2199">
        <f>L104</f>
        <v>2005</v>
      </c>
      <c r="CO104" s="2199">
        <f>Q104</f>
        <v>2006</v>
      </c>
      <c r="CP104" s="2199">
        <f>V104</f>
        <v>2007</v>
      </c>
      <c r="CQ104" s="2199">
        <f>AA104</f>
        <v>2008</v>
      </c>
      <c r="CR104" s="2199">
        <f>AF104</f>
        <v>2009</v>
      </c>
      <c r="CS104" s="2199">
        <f>AK104</f>
        <v>2010</v>
      </c>
      <c r="CT104" s="2199">
        <f>AP104</f>
        <v>2011</v>
      </c>
      <c r="CU104" s="1113">
        <f>AU104</f>
        <v>2012</v>
      </c>
      <c r="CV104" s="1113">
        <f>AZ104</f>
        <v>2013</v>
      </c>
      <c r="CW104" s="1113">
        <f>BE104</f>
        <v>2014</v>
      </c>
      <c r="CX104" s="1113">
        <f>BJ104</f>
        <v>2015</v>
      </c>
      <c r="CY104" s="1113">
        <f>BO104</f>
        <v>2016</v>
      </c>
      <c r="CZ104" s="1113">
        <f>BT104</f>
        <v>2017</v>
      </c>
      <c r="DA104" s="1113" t="str">
        <f>BY104</f>
        <v>2018E</v>
      </c>
      <c r="DB104" s="1113" t="str">
        <f>BZ104</f>
        <v>2019E</v>
      </c>
      <c r="DC104" s="2219" t="str">
        <f>CA104</f>
        <v>2020E</v>
      </c>
      <c r="DD104" s="331"/>
      <c r="DE104" s="331"/>
      <c r="DF104" s="502"/>
      <c r="DG104" s="503"/>
      <c r="DH104" s="537"/>
      <c r="DI104" s="3213"/>
      <c r="DJ104" s="502"/>
      <c r="DK104" s="503"/>
      <c r="DL104" s="502"/>
      <c r="DM104" s="502"/>
      <c r="DN104" s="502"/>
      <c r="DO104" s="502"/>
      <c r="DP104" s="503"/>
      <c r="DQ104" s="503"/>
      <c r="DR104" s="296"/>
      <c r="DS104" s="296"/>
      <c r="DT104" s="296"/>
    </row>
    <row r="105" spans="1:124" ht="5.0999999999999996" customHeight="1" x14ac:dyDescent="0.25">
      <c r="A105" s="281"/>
      <c r="B105" s="11"/>
      <c r="C105" s="283"/>
      <c r="D105" s="283"/>
      <c r="E105" s="283"/>
      <c r="F105" s="283"/>
      <c r="G105" s="341"/>
      <c r="H105" s="283"/>
      <c r="I105" s="283"/>
      <c r="J105" s="283"/>
      <c r="K105" s="283"/>
      <c r="L105" s="341"/>
      <c r="M105" s="283"/>
      <c r="N105" s="283"/>
      <c r="O105" s="283"/>
      <c r="P105" s="283"/>
      <c r="Q105" s="341"/>
      <c r="R105" s="283"/>
      <c r="S105" s="283"/>
      <c r="T105" s="283"/>
      <c r="U105" s="283"/>
      <c r="V105" s="341"/>
      <c r="W105" s="283"/>
      <c r="X105" s="283"/>
      <c r="Y105" s="283"/>
      <c r="Z105" s="283"/>
      <c r="AA105" s="341"/>
      <c r="AB105" s="283"/>
      <c r="AC105" s="283"/>
      <c r="AD105" s="283"/>
      <c r="AE105" s="523"/>
      <c r="AF105" s="524"/>
      <c r="AG105" s="523"/>
      <c r="AH105" s="523"/>
      <c r="AI105" s="523"/>
      <c r="AJ105" s="523"/>
      <c r="AK105" s="524"/>
      <c r="AL105" s="523"/>
      <c r="AM105" s="523"/>
      <c r="AN105" s="523"/>
      <c r="AO105" s="523"/>
      <c r="AP105" s="525"/>
      <c r="AQ105" s="525"/>
      <c r="AR105" s="523"/>
      <c r="AS105" s="523"/>
      <c r="AT105" s="523"/>
      <c r="AU105" s="524"/>
      <c r="AV105" s="525"/>
      <c r="AW105" s="523"/>
      <c r="AX105" s="523"/>
      <c r="AY105" s="829"/>
      <c r="AZ105" s="524"/>
      <c r="BA105" s="523"/>
      <c r="BB105" s="523"/>
      <c r="BC105" s="523"/>
      <c r="BD105" s="829"/>
      <c r="BE105" s="829"/>
      <c r="BF105" s="523"/>
      <c r="BG105" s="523"/>
      <c r="BH105" s="523"/>
      <c r="BI105" s="829"/>
      <c r="BJ105" s="829"/>
      <c r="BK105" s="523"/>
      <c r="BL105" s="523"/>
      <c r="BM105" s="523"/>
      <c r="BN105" s="829"/>
      <c r="BO105" s="829"/>
      <c r="BP105" s="523"/>
      <c r="BQ105" s="523"/>
      <c r="BR105" s="523"/>
      <c r="BS105" s="523"/>
      <c r="BT105" s="3229"/>
      <c r="BU105" s="3399"/>
      <c r="BV105" s="3400"/>
      <c r="BW105" s="3400"/>
      <c r="BX105" s="3400"/>
      <c r="BY105" s="3229"/>
      <c r="BZ105" s="524"/>
      <c r="CA105" s="524"/>
      <c r="CB105" s="524"/>
      <c r="CC105" s="524"/>
      <c r="CD105" s="524"/>
      <c r="CE105" s="524"/>
      <c r="CF105" s="524"/>
      <c r="CG105" s="331"/>
      <c r="CH105" s="331"/>
      <c r="CI105" s="331"/>
      <c r="CJ105" s="331"/>
      <c r="CK105" s="331"/>
      <c r="CL105" s="520"/>
      <c r="CM105" s="523"/>
      <c r="CN105" s="523"/>
      <c r="CO105" s="523"/>
      <c r="CP105" s="523"/>
      <c r="CQ105" s="523"/>
      <c r="CR105" s="523"/>
      <c r="CS105" s="523"/>
      <c r="CT105" s="523"/>
      <c r="CU105" s="523"/>
      <c r="CV105" s="523"/>
      <c r="CW105" s="523"/>
      <c r="CX105" s="523"/>
      <c r="CY105" s="523"/>
      <c r="CZ105" s="523"/>
      <c r="DA105" s="523"/>
      <c r="DB105" s="523"/>
      <c r="DC105" s="829"/>
      <c r="DD105" s="331"/>
      <c r="DE105" s="331"/>
      <c r="DF105" s="502"/>
      <c r="DG105" s="503"/>
      <c r="DH105" s="3011"/>
      <c r="DI105" s="3213"/>
      <c r="DJ105" s="502"/>
      <c r="DK105" s="503"/>
      <c r="DL105" s="502"/>
      <c r="DM105" s="502"/>
      <c r="DN105" s="502"/>
      <c r="DO105" s="502"/>
      <c r="DP105" s="503"/>
      <c r="DQ105" s="503"/>
      <c r="DR105" s="296"/>
      <c r="DS105" s="296"/>
      <c r="DT105" s="296"/>
    </row>
    <row r="106" spans="1:124" ht="13.5" customHeight="1" x14ac:dyDescent="0.25">
      <c r="A106" s="311" t="s">
        <v>956</v>
      </c>
      <c r="B106" s="423"/>
      <c r="C106" s="311">
        <f>C90</f>
        <v>21.405999999999992</v>
      </c>
      <c r="D106" s="311">
        <f>D90</f>
        <v>24.925000000000001</v>
      </c>
      <c r="E106" s="311">
        <f>E90</f>
        <v>23.57200000000001</v>
      </c>
      <c r="F106" s="311">
        <f>F90</f>
        <v>18.800000000000008</v>
      </c>
      <c r="G106" s="518">
        <f t="shared" ref="G106:G110" si="226">SUM(C106:F106)</f>
        <v>88.703000000000003</v>
      </c>
      <c r="H106" s="311">
        <f>H90</f>
        <v>26.28658884636414</v>
      </c>
      <c r="I106" s="311">
        <f>I90</f>
        <v>32.229688536559905</v>
      </c>
      <c r="J106" s="311">
        <f>J90</f>
        <v>32.103999999999999</v>
      </c>
      <c r="K106" s="311">
        <f>K90</f>
        <v>38.142854536223176</v>
      </c>
      <c r="L106" s="518">
        <f t="shared" ref="L106:L110" si="227">SUM(H106:K106)</f>
        <v>128.76313191914721</v>
      </c>
      <c r="M106" s="311">
        <f>M90</f>
        <v>48.482999999999997</v>
      </c>
      <c r="N106" s="311">
        <f>N90</f>
        <v>42.695000000000014</v>
      </c>
      <c r="O106" s="311">
        <f>O90</f>
        <v>40.399000000000001</v>
      </c>
      <c r="P106" s="311">
        <f>P90</f>
        <v>-1.950999999999965</v>
      </c>
      <c r="Q106" s="518">
        <f t="shared" ref="Q106:Q110" si="228">SUM(M106:P106)</f>
        <v>129.62600000000003</v>
      </c>
      <c r="R106" s="311">
        <f>R90</f>
        <v>42.940999999999995</v>
      </c>
      <c r="S106" s="311">
        <f>S90</f>
        <v>38.298999999999985</v>
      </c>
      <c r="T106" s="311">
        <f>T90</f>
        <v>46.589999999999996</v>
      </c>
      <c r="U106" s="311">
        <f>U90</f>
        <v>32.222999999999999</v>
      </c>
      <c r="V106" s="518">
        <f t="shared" ref="V106:V110" si="229">SUM(R106:U106)</f>
        <v>160.053</v>
      </c>
      <c r="W106" s="311">
        <f>W90</f>
        <v>39.847909999999992</v>
      </c>
      <c r="X106" s="311">
        <f>X90</f>
        <v>37.022999999999946</v>
      </c>
      <c r="Y106" s="311">
        <f>Y90</f>
        <v>45.431900000000027</v>
      </c>
      <c r="Z106" s="311">
        <f>Z90</f>
        <v>33.19199999999995</v>
      </c>
      <c r="AA106" s="881">
        <f t="shared" ref="AA106:AA110" si="230">SUM(W106:Z106)</f>
        <v>155.49480999999992</v>
      </c>
      <c r="AB106" s="882">
        <f>AB90</f>
        <v>42.791680000000014</v>
      </c>
      <c r="AC106" s="882">
        <f>AC90</f>
        <v>33.832250000000002</v>
      </c>
      <c r="AD106" s="882">
        <f>AD90</f>
        <v>35.28946999999998</v>
      </c>
      <c r="AE106" s="883">
        <f>AE90</f>
        <v>-3.416050000000098</v>
      </c>
      <c r="AF106" s="884">
        <f t="shared" ref="AF106:AF119" si="231">SUM(AB106:AE106)</f>
        <v>108.4973499999999</v>
      </c>
      <c r="AG106" s="883">
        <f>AG90</f>
        <v>36.16900000000004</v>
      </c>
      <c r="AH106" s="883">
        <f>AH90</f>
        <v>30.515000000000001</v>
      </c>
      <c r="AI106" s="883">
        <f>AI90</f>
        <v>38.849190000000014</v>
      </c>
      <c r="AJ106" s="883">
        <f>AJ90</f>
        <v>-46.714150000000018</v>
      </c>
      <c r="AK106" s="884">
        <f t="shared" ref="AK106:AK110" si="232">SUM(AG106:AJ106)</f>
        <v>58.81904000000003</v>
      </c>
      <c r="AL106" s="883">
        <f>AL90</f>
        <v>51.476999999999997</v>
      </c>
      <c r="AM106" s="883">
        <f>AM90</f>
        <v>60.178750000000036</v>
      </c>
      <c r="AN106" s="883">
        <f>AN90</f>
        <v>75.503900000000058</v>
      </c>
      <c r="AO106" s="883">
        <f>AO90</f>
        <v>56.264649999999975</v>
      </c>
      <c r="AP106" s="885">
        <f t="shared" ref="AP106:AP110" si="233">SUM(AL106:AO106)</f>
        <v>243.42430000000007</v>
      </c>
      <c r="AQ106" s="885">
        <f t="shared" ref="AQ106:BI106" si="234">AQ90</f>
        <v>79.574199999999962</v>
      </c>
      <c r="AR106" s="883">
        <f t="shared" si="234"/>
        <v>70.232200000000034</v>
      </c>
      <c r="AS106" s="883">
        <f t="shared" si="234"/>
        <v>64.146000000000029</v>
      </c>
      <c r="AT106" s="883">
        <f t="shared" si="234"/>
        <v>39.918999999999954</v>
      </c>
      <c r="AU106" s="884">
        <f t="shared" si="234"/>
        <v>253.87139999999991</v>
      </c>
      <c r="AV106" s="885">
        <f>AV90</f>
        <v>70.180999999999983</v>
      </c>
      <c r="AW106" s="883">
        <f>AW90</f>
        <v>35.478599999999979</v>
      </c>
      <c r="AX106" s="883">
        <f>AX90</f>
        <v>44.906800000000004</v>
      </c>
      <c r="AY106" s="886">
        <f>AY90</f>
        <v>7.7794000000000096</v>
      </c>
      <c r="AZ106" s="884">
        <f t="shared" si="234"/>
        <v>158.34580000000028</v>
      </c>
      <c r="BA106" s="883">
        <f>BA90</f>
        <v>0.55060000000001297</v>
      </c>
      <c r="BB106" s="883">
        <f>BB90</f>
        <v>-16.535200000000028</v>
      </c>
      <c r="BC106" s="883">
        <f>BC90</f>
        <v>-18.665399999999995</v>
      </c>
      <c r="BD106" s="886">
        <f>BD90</f>
        <v>-24.45939999999996</v>
      </c>
      <c r="BE106" s="886">
        <f t="shared" si="234"/>
        <v>-59.109399999999994</v>
      </c>
      <c r="BF106" s="883">
        <f t="shared" si="234"/>
        <v>2.171399999999966</v>
      </c>
      <c r="BG106" s="883">
        <f t="shared" si="234"/>
        <v>3.4192000000000005</v>
      </c>
      <c r="BH106" s="883">
        <f t="shared" si="234"/>
        <v>1.0755999999999561</v>
      </c>
      <c r="BI106" s="886">
        <f t="shared" si="234"/>
        <v>15.594200000000018</v>
      </c>
      <c r="BJ106" s="886">
        <f t="shared" ref="BJ106:CF106" si="235">BJ90</f>
        <v>22.260399999999954</v>
      </c>
      <c r="BK106" s="883">
        <f t="shared" si="235"/>
        <v>22.326800000000013</v>
      </c>
      <c r="BL106" s="883">
        <f t="shared" si="235"/>
        <v>34.370999999999995</v>
      </c>
      <c r="BM106" s="883">
        <f t="shared" si="235"/>
        <v>44.412800000000011</v>
      </c>
      <c r="BN106" s="886">
        <f t="shared" si="235"/>
        <v>5.03200000000004</v>
      </c>
      <c r="BO106" s="886">
        <f t="shared" si="235"/>
        <v>106.14260000000012</v>
      </c>
      <c r="BP106" s="883">
        <f t="shared" ref="BP106:BX106" si="236">BP90</f>
        <v>6.6129999999999711</v>
      </c>
      <c r="BQ106" s="883">
        <f t="shared" si="236"/>
        <v>21.308400000000049</v>
      </c>
      <c r="BR106" s="883">
        <f t="shared" si="236"/>
        <v>25.358199999999897</v>
      </c>
      <c r="BS106" s="883">
        <f t="shared" si="236"/>
        <v>-285.50479999999993</v>
      </c>
      <c r="BT106" s="3205">
        <f t="shared" si="236"/>
        <v>-232.22519999999992</v>
      </c>
      <c r="BU106" s="3151">
        <f t="shared" si="236"/>
        <v>37.417630578189765</v>
      </c>
      <c r="BV106" s="3151">
        <f t="shared" si="236"/>
        <v>43.737531994913326</v>
      </c>
      <c r="BW106" s="3151">
        <f t="shared" si="236"/>
        <v>73.989563670452384</v>
      </c>
      <c r="BX106" s="3151">
        <f t="shared" si="236"/>
        <v>51.509941485934185</v>
      </c>
      <c r="BY106" s="3205">
        <f>BY90</f>
        <v>206.65466772948992</v>
      </c>
      <c r="BZ106" s="884">
        <f t="shared" si="235"/>
        <v>318.96686755926441</v>
      </c>
      <c r="CA106" s="884">
        <f t="shared" si="235"/>
        <v>305.22874612427006</v>
      </c>
      <c r="CB106" s="884">
        <f t="shared" si="235"/>
        <v>-1457.0574626371126</v>
      </c>
      <c r="CC106" s="884">
        <f t="shared" si="235"/>
        <v>-3049.7418577854301</v>
      </c>
      <c r="CD106" s="884">
        <f t="shared" si="235"/>
        <v>-6110.254069964406</v>
      </c>
      <c r="CE106" s="884">
        <f t="shared" si="235"/>
        <v>-12226.344801984867</v>
      </c>
      <c r="CF106" s="884">
        <f t="shared" si="235"/>
        <v>-24473.008398968701</v>
      </c>
      <c r="CG106" s="476"/>
      <c r="CH106" s="476"/>
      <c r="CI106" s="476"/>
      <c r="CJ106" s="476"/>
      <c r="CK106" s="476"/>
      <c r="CL106" s="528" t="str">
        <f t="shared" ref="CL106:CL115" si="237">A106</f>
        <v>Recurring net income</v>
      </c>
      <c r="CM106" s="883">
        <f t="shared" ref="CM106:CM115" si="238">G106</f>
        <v>88.703000000000003</v>
      </c>
      <c r="CN106" s="883">
        <f t="shared" ref="CN106:CN115" si="239">L106</f>
        <v>128.76313191914721</v>
      </c>
      <c r="CO106" s="883">
        <f t="shared" ref="CO106:CO115" si="240">Q106</f>
        <v>129.62600000000003</v>
      </c>
      <c r="CP106" s="883">
        <f t="shared" ref="CP106:CP115" si="241">V106</f>
        <v>160.053</v>
      </c>
      <c r="CQ106" s="883">
        <f t="shared" ref="CQ106:CQ115" si="242">AA106</f>
        <v>155.49480999999992</v>
      </c>
      <c r="CR106" s="883">
        <f t="shared" ref="CR106:CR115" si="243">AF106</f>
        <v>108.4973499999999</v>
      </c>
      <c r="CS106" s="883">
        <f t="shared" ref="CS106:CS115" si="244">AK106</f>
        <v>58.81904000000003</v>
      </c>
      <c r="CT106" s="883">
        <f t="shared" ref="CT106:CT115" si="245">AP106</f>
        <v>243.42430000000007</v>
      </c>
      <c r="CU106" s="883">
        <f t="shared" ref="CU106:CU115" si="246">AU106</f>
        <v>253.87139999999991</v>
      </c>
      <c r="CV106" s="883">
        <f t="shared" ref="CV106:CV115" si="247">AZ106</f>
        <v>158.34580000000028</v>
      </c>
      <c r="CW106" s="883">
        <f t="shared" ref="CW106:CW115" si="248">BE106</f>
        <v>-59.109399999999994</v>
      </c>
      <c r="CX106" s="883">
        <f t="shared" ref="CX106:CX115" si="249">BJ106</f>
        <v>22.260399999999954</v>
      </c>
      <c r="CY106" s="883">
        <f t="shared" ref="CY106:CY115" si="250">BO106</f>
        <v>106.14260000000012</v>
      </c>
      <c r="CZ106" s="883">
        <f t="shared" ref="CZ106:CZ115" si="251">BT106</f>
        <v>-232.22519999999992</v>
      </c>
      <c r="DA106" s="883">
        <f t="shared" ref="DA106:DA121" si="252">BY106</f>
        <v>206.65466772948992</v>
      </c>
      <c r="DB106" s="883">
        <f t="shared" ref="DB106:DB121" si="253">BZ106</f>
        <v>318.96686755926441</v>
      </c>
      <c r="DC106" s="886">
        <f t="shared" ref="DC106:DC121" si="254">CA106</f>
        <v>305.22874612427006</v>
      </c>
      <c r="DD106" s="476"/>
      <c r="DE106" s="476"/>
      <c r="DF106" s="598"/>
      <c r="DG106" s="598"/>
      <c r="DH106" s="3151"/>
      <c r="DI106" s="3213"/>
      <c r="DJ106" s="598"/>
      <c r="DK106" s="598"/>
      <c r="DL106" s="598"/>
      <c r="DM106" s="598"/>
      <c r="DN106" s="598"/>
      <c r="DO106" s="598"/>
      <c r="DP106" s="598"/>
      <c r="DQ106" s="598"/>
      <c r="DR106" s="660"/>
      <c r="DS106" s="660"/>
      <c r="DT106" s="660"/>
    </row>
    <row r="107" spans="1:124" ht="13.5" customHeight="1" x14ac:dyDescent="0.25">
      <c r="A107" s="3174" t="s">
        <v>2451</v>
      </c>
      <c r="B107" s="423"/>
      <c r="C107" s="311">
        <f>C1556</f>
        <v>16.84</v>
      </c>
      <c r="D107" s="311">
        <f>D1556</f>
        <v>16.832999999999998</v>
      </c>
      <c r="E107" s="311">
        <f>E1556</f>
        <v>16.492000000000001</v>
      </c>
      <c r="F107" s="311">
        <f>F1556</f>
        <v>16.372</v>
      </c>
      <c r="G107" s="518">
        <f t="shared" si="226"/>
        <v>66.537000000000006</v>
      </c>
      <c r="H107" s="311">
        <f>H1556</f>
        <v>15.494999999999999</v>
      </c>
      <c r="I107" s="311">
        <f>I1556</f>
        <v>15.968999999999999</v>
      </c>
      <c r="J107" s="311">
        <f>J1556</f>
        <v>14.942</v>
      </c>
      <c r="K107" s="311">
        <f>K1556</f>
        <v>26.125</v>
      </c>
      <c r="L107" s="518">
        <f t="shared" si="227"/>
        <v>72.531000000000006</v>
      </c>
      <c r="M107" s="311">
        <f>M1556</f>
        <v>29.718</v>
      </c>
      <c r="N107" s="311">
        <f>N1556</f>
        <v>27.728000000000002</v>
      </c>
      <c r="O107" s="311">
        <f>O1556</f>
        <v>31.196000000000002</v>
      </c>
      <c r="P107" s="311">
        <f>P1556</f>
        <v>35.308999999999997</v>
      </c>
      <c r="Q107" s="518">
        <f t="shared" si="228"/>
        <v>123.95099999999999</v>
      </c>
      <c r="R107" s="311">
        <f>R1556</f>
        <v>35.357999999999997</v>
      </c>
      <c r="S107" s="311">
        <f>S1556</f>
        <v>37.622000000000007</v>
      </c>
      <c r="T107" s="311">
        <f>T1556</f>
        <v>37.240999999999993</v>
      </c>
      <c r="U107" s="311">
        <f>U1556</f>
        <v>37.693999999999996</v>
      </c>
      <c r="V107" s="518">
        <f t="shared" si="229"/>
        <v>147.91499999999999</v>
      </c>
      <c r="W107" s="311">
        <f>W1556</f>
        <v>39.792000000000002</v>
      </c>
      <c r="X107" s="311">
        <f>X1556</f>
        <v>45.182000000000002</v>
      </c>
      <c r="Y107" s="311">
        <f>Y1556</f>
        <v>44.223999999999997</v>
      </c>
      <c r="Z107" s="311">
        <f>Z1556</f>
        <v>44.347000000000001</v>
      </c>
      <c r="AA107" s="518">
        <f t="shared" si="230"/>
        <v>173.54500000000002</v>
      </c>
      <c r="AB107" s="311">
        <f>AB1556</f>
        <v>44.43</v>
      </c>
      <c r="AC107" s="311">
        <f>AC1556</f>
        <v>46.942</v>
      </c>
      <c r="AD107" s="311">
        <f>AD1556</f>
        <v>50.055</v>
      </c>
      <c r="AE107" s="526">
        <f>AE1556</f>
        <v>53.009000000000007</v>
      </c>
      <c r="AF107" s="527">
        <f t="shared" si="231"/>
        <v>194.43600000000001</v>
      </c>
      <c r="AG107" s="526">
        <f>AG1556</f>
        <v>51.18</v>
      </c>
      <c r="AH107" s="526">
        <f>AH1556</f>
        <v>52.652999999999999</v>
      </c>
      <c r="AI107" s="526">
        <f>AI1556</f>
        <v>53.841999999999999</v>
      </c>
      <c r="AJ107" s="526">
        <f>AJ1556</f>
        <v>54.712000000000003</v>
      </c>
      <c r="AK107" s="527">
        <f t="shared" si="232"/>
        <v>212.387</v>
      </c>
      <c r="AL107" s="526">
        <f>AL1556</f>
        <v>53.158000000000001</v>
      </c>
      <c r="AM107" s="526">
        <f>AM1556</f>
        <v>54.23</v>
      </c>
      <c r="AN107" s="526">
        <f>AN1556</f>
        <v>52.195</v>
      </c>
      <c r="AO107" s="526">
        <f>AO1556</f>
        <v>51.893000000000001</v>
      </c>
      <c r="AP107" s="527">
        <f t="shared" si="233"/>
        <v>211.476</v>
      </c>
      <c r="AQ107" s="526">
        <f t="shared" ref="AQ107:AZ107" si="255">AQ1556</f>
        <v>53.337000000000003</v>
      </c>
      <c r="AR107" s="526">
        <f t="shared" si="255"/>
        <v>56.790999999999997</v>
      </c>
      <c r="AS107" s="526">
        <f t="shared" si="255"/>
        <v>62.399000000000001</v>
      </c>
      <c r="AT107" s="526">
        <f t="shared" si="255"/>
        <v>72.820999999999998</v>
      </c>
      <c r="AU107" s="527">
        <f t="shared" si="255"/>
        <v>245.34799999999998</v>
      </c>
      <c r="AV107" s="526">
        <f t="shared" si="255"/>
        <v>77.070999999999998</v>
      </c>
      <c r="AW107" s="526">
        <f t="shared" si="255"/>
        <v>80.614999999999995</v>
      </c>
      <c r="AX107" s="526">
        <f t="shared" si="255"/>
        <v>79.968000000000004</v>
      </c>
      <c r="AY107" s="526">
        <f t="shared" si="255"/>
        <v>60.671999999999997</v>
      </c>
      <c r="AZ107" s="527">
        <f t="shared" si="255"/>
        <v>298.32599999999996</v>
      </c>
      <c r="BA107" s="526">
        <f>BA1556-BA1553</f>
        <v>58.975999999999999</v>
      </c>
      <c r="BB107" s="526">
        <f t="shared" ref="BB107:CA107" si="256">BB1556-BB1553</f>
        <v>59.260999999999996</v>
      </c>
      <c r="BC107" s="526">
        <f t="shared" si="256"/>
        <v>51.995999999999995</v>
      </c>
      <c r="BD107" s="526">
        <f t="shared" si="256"/>
        <v>54.321000000000041</v>
      </c>
      <c r="BE107" s="527">
        <f t="shared" si="256"/>
        <v>224.55400000000003</v>
      </c>
      <c r="BF107" s="526">
        <f t="shared" si="256"/>
        <v>50.924000000000007</v>
      </c>
      <c r="BG107" s="526">
        <f t="shared" si="256"/>
        <v>50.455999999999996</v>
      </c>
      <c r="BH107" s="526">
        <f t="shared" si="256"/>
        <v>54.941000000000003</v>
      </c>
      <c r="BI107" s="526">
        <f t="shared" si="256"/>
        <v>56.251797168966647</v>
      </c>
      <c r="BJ107" s="527">
        <f t="shared" si="256"/>
        <v>212.57279716896667</v>
      </c>
      <c r="BK107" s="526">
        <f t="shared" si="256"/>
        <v>54.411153908527851</v>
      </c>
      <c r="BL107" s="526">
        <f>BL1556-BL1553</f>
        <v>54.635264507387042</v>
      </c>
      <c r="BM107" s="526">
        <f t="shared" si="256"/>
        <v>56.469856038857699</v>
      </c>
      <c r="BN107" s="526">
        <f t="shared" si="256"/>
        <v>59.601865224780468</v>
      </c>
      <c r="BO107" s="527">
        <f t="shared" si="256"/>
        <v>225.11813967955305</v>
      </c>
      <c r="BP107" s="526">
        <f t="shared" ref="BP107:BX107" si="257">BP1556-BP1553</f>
        <v>55.617500000000007</v>
      </c>
      <c r="BQ107" s="526">
        <f t="shared" si="257"/>
        <v>54.161999999999992</v>
      </c>
      <c r="BR107" s="526">
        <f t="shared" si="257"/>
        <v>51.599430000000005</v>
      </c>
      <c r="BS107" s="526">
        <f t="shared" si="257"/>
        <v>46.484840000000005</v>
      </c>
      <c r="BT107" s="3230">
        <f t="shared" si="257"/>
        <v>207.86377000000002</v>
      </c>
      <c r="BU107" s="2585">
        <f t="shared" si="257"/>
        <v>46.484840000000005</v>
      </c>
      <c r="BV107" s="2585">
        <f t="shared" si="257"/>
        <v>46.484839999999998</v>
      </c>
      <c r="BW107" s="2585">
        <f t="shared" si="257"/>
        <v>46.484840000000005</v>
      </c>
      <c r="BX107" s="2585">
        <f t="shared" si="257"/>
        <v>46.484839999999991</v>
      </c>
      <c r="BY107" s="3230">
        <f>BY1556-BY1553</f>
        <v>185.93936000000002</v>
      </c>
      <c r="BZ107" s="527">
        <f t="shared" si="256"/>
        <v>185.93935999999997</v>
      </c>
      <c r="CA107" s="527">
        <f t="shared" si="256"/>
        <v>185.93936000000002</v>
      </c>
      <c r="CB107" s="527">
        <f>CB1556</f>
        <v>169.16602666666674</v>
      </c>
      <c r="CC107" s="527">
        <f>CC1556</f>
        <v>169.16602666666674</v>
      </c>
      <c r="CD107" s="527">
        <f>CD1556</f>
        <v>169.16602666666674</v>
      </c>
      <c r="CE107" s="527">
        <f>CE1556</f>
        <v>169.16602666666674</v>
      </c>
      <c r="CF107" s="527">
        <f>CF1556</f>
        <v>169.16602666666674</v>
      </c>
      <c r="CG107" s="476"/>
      <c r="CH107" s="476"/>
      <c r="CI107" s="476"/>
      <c r="CJ107" s="476"/>
      <c r="CK107" s="476"/>
      <c r="CL107" s="2220" t="str">
        <f t="shared" si="237"/>
        <v>+ Non-cash depreciation</v>
      </c>
      <c r="CM107" s="526">
        <f t="shared" si="238"/>
        <v>66.537000000000006</v>
      </c>
      <c r="CN107" s="526">
        <f t="shared" si="239"/>
        <v>72.531000000000006</v>
      </c>
      <c r="CO107" s="526">
        <f t="shared" si="240"/>
        <v>123.95099999999999</v>
      </c>
      <c r="CP107" s="526">
        <f t="shared" si="241"/>
        <v>147.91499999999999</v>
      </c>
      <c r="CQ107" s="526">
        <f t="shared" si="242"/>
        <v>173.54500000000002</v>
      </c>
      <c r="CR107" s="526">
        <f t="shared" si="243"/>
        <v>194.43600000000001</v>
      </c>
      <c r="CS107" s="526">
        <f t="shared" si="244"/>
        <v>212.387</v>
      </c>
      <c r="CT107" s="526">
        <f t="shared" si="245"/>
        <v>211.476</v>
      </c>
      <c r="CU107" s="526">
        <f t="shared" si="246"/>
        <v>245.34799999999998</v>
      </c>
      <c r="CV107" s="526">
        <f t="shared" si="247"/>
        <v>298.32599999999996</v>
      </c>
      <c r="CW107" s="526">
        <f t="shared" si="248"/>
        <v>224.55400000000003</v>
      </c>
      <c r="CX107" s="526">
        <f t="shared" si="249"/>
        <v>212.57279716896667</v>
      </c>
      <c r="CY107" s="526">
        <f t="shared" si="250"/>
        <v>225.11813967955305</v>
      </c>
      <c r="CZ107" s="526">
        <f t="shared" si="251"/>
        <v>207.86377000000002</v>
      </c>
      <c r="DA107" s="526">
        <f t="shared" si="252"/>
        <v>185.93936000000002</v>
      </c>
      <c r="DB107" s="526">
        <f t="shared" si="253"/>
        <v>185.93935999999997</v>
      </c>
      <c r="DC107" s="684">
        <f t="shared" si="254"/>
        <v>185.93936000000002</v>
      </c>
      <c r="DD107" s="476"/>
      <c r="DE107" s="476"/>
      <c r="DF107" s="598"/>
      <c r="DG107" s="598"/>
      <c r="DH107" s="2585"/>
      <c r="DI107" s="3213"/>
      <c r="DJ107" s="598"/>
      <c r="DK107" s="598"/>
      <c r="DL107" s="598"/>
      <c r="DM107" s="598"/>
      <c r="DN107" s="598"/>
      <c r="DO107" s="598"/>
      <c r="DP107" s="598"/>
      <c r="DQ107" s="598"/>
      <c r="DR107" s="660"/>
      <c r="DS107" s="660"/>
      <c r="DT107" s="660"/>
    </row>
    <row r="108" spans="1:124" ht="13.5" customHeight="1" x14ac:dyDescent="0.25">
      <c r="A108" s="414" t="s">
        <v>512</v>
      </c>
      <c r="B108" s="423"/>
      <c r="C108" s="311">
        <f>D1281/2</f>
        <v>1.3805000000000001</v>
      </c>
      <c r="D108" s="311">
        <f>D1281/2</f>
        <v>1.3805000000000001</v>
      </c>
      <c r="E108" s="311">
        <f>E1281</f>
        <v>1.3520000000000003</v>
      </c>
      <c r="F108" s="311">
        <f>F1281</f>
        <v>1.4119999999999999</v>
      </c>
      <c r="G108" s="518">
        <f t="shared" si="226"/>
        <v>5.5250000000000004</v>
      </c>
      <c r="H108" s="311">
        <f t="shared" ref="H108:BI108" si="258">H1281</f>
        <v>1.1160000000000001</v>
      </c>
      <c r="I108" s="311">
        <f t="shared" si="258"/>
        <v>0.7729999999999998</v>
      </c>
      <c r="J108" s="311">
        <f t="shared" si="258"/>
        <v>0.78700000000000037</v>
      </c>
      <c r="K108" s="311">
        <f t="shared" si="258"/>
        <v>3.0709999999999993</v>
      </c>
      <c r="L108" s="518">
        <f t="shared" si="227"/>
        <v>5.7469999999999999</v>
      </c>
      <c r="M108" s="311">
        <f t="shared" si="258"/>
        <v>2.9279999999999999</v>
      </c>
      <c r="N108" s="311">
        <f t="shared" si="258"/>
        <v>2.8120000000000003</v>
      </c>
      <c r="O108" s="311">
        <f t="shared" si="258"/>
        <v>2.8109999999999999</v>
      </c>
      <c r="P108" s="311">
        <f t="shared" si="258"/>
        <v>2.81</v>
      </c>
      <c r="Q108" s="518">
        <f t="shared" si="228"/>
        <v>11.361000000000001</v>
      </c>
      <c r="R108" s="311">
        <f t="shared" si="258"/>
        <v>3.2509999999999999</v>
      </c>
      <c r="S108" s="311">
        <f t="shared" si="258"/>
        <v>3.26</v>
      </c>
      <c r="T108" s="311">
        <f t="shared" si="258"/>
        <v>3.2659999999999996</v>
      </c>
      <c r="U108" s="311">
        <f t="shared" si="258"/>
        <v>3.2339999999999995</v>
      </c>
      <c r="V108" s="518">
        <f t="shared" si="229"/>
        <v>13.010999999999999</v>
      </c>
      <c r="W108" s="311">
        <f t="shared" si="258"/>
        <v>3.1589999999999998</v>
      </c>
      <c r="X108" s="311">
        <f t="shared" si="258"/>
        <v>3.1660000000000004</v>
      </c>
      <c r="Y108" s="311">
        <f t="shared" si="258"/>
        <v>3.1640000000000006</v>
      </c>
      <c r="Z108" s="311">
        <f t="shared" si="258"/>
        <v>2.2239999999999975</v>
      </c>
      <c r="AA108" s="518">
        <f t="shared" si="230"/>
        <v>11.712999999999997</v>
      </c>
      <c r="AB108" s="311">
        <f t="shared" si="258"/>
        <v>2.101</v>
      </c>
      <c r="AC108" s="311">
        <f t="shared" si="258"/>
        <v>2.3890000000000002</v>
      </c>
      <c r="AD108" s="311">
        <f t="shared" si="258"/>
        <v>2.8480000000000008</v>
      </c>
      <c r="AE108" s="311">
        <f t="shared" si="258"/>
        <v>3.3949999999999996</v>
      </c>
      <c r="AF108" s="518">
        <f t="shared" si="231"/>
        <v>10.733000000000001</v>
      </c>
      <c r="AG108" s="526">
        <f>AG1281</f>
        <v>3.3090000000000002</v>
      </c>
      <c r="AH108" s="311">
        <f t="shared" si="258"/>
        <v>3.1849999999999996</v>
      </c>
      <c r="AI108" s="311">
        <f t="shared" si="258"/>
        <v>3.0259999999999998</v>
      </c>
      <c r="AJ108" s="311">
        <f t="shared" si="258"/>
        <v>3.0609999999999999</v>
      </c>
      <c r="AK108" s="518">
        <f t="shared" si="232"/>
        <v>12.581</v>
      </c>
      <c r="AL108" s="311">
        <f t="shared" si="258"/>
        <v>3.1</v>
      </c>
      <c r="AM108" s="311">
        <f t="shared" si="258"/>
        <v>3.089</v>
      </c>
      <c r="AN108" s="311">
        <f t="shared" si="258"/>
        <v>1.7749999999999999</v>
      </c>
      <c r="AO108" s="311">
        <f>AO1281</f>
        <v>1.637</v>
      </c>
      <c r="AP108" s="329">
        <f t="shared" si="233"/>
        <v>9.6010000000000009</v>
      </c>
      <c r="AQ108" s="329">
        <f t="shared" ref="AQ108:AY108" si="259">AQ1281</f>
        <v>1.649</v>
      </c>
      <c r="AR108" s="311">
        <f t="shared" si="259"/>
        <v>1.641</v>
      </c>
      <c r="AS108" s="311">
        <f t="shared" si="259"/>
        <v>1.6139999999999999</v>
      </c>
      <c r="AT108" s="311">
        <f t="shared" si="259"/>
        <v>1.9939999999999998</v>
      </c>
      <c r="AU108" s="518">
        <f t="shared" si="259"/>
        <v>6.8979999999999997</v>
      </c>
      <c r="AV108" s="329">
        <f t="shared" si="259"/>
        <v>2.149</v>
      </c>
      <c r="AW108" s="311">
        <f t="shared" si="259"/>
        <v>2.1509999999999998</v>
      </c>
      <c r="AX108" s="311">
        <f t="shared" si="259"/>
        <v>2.1500000000000004</v>
      </c>
      <c r="AY108" s="858">
        <f t="shared" si="259"/>
        <v>1.6619999999999999</v>
      </c>
      <c r="AZ108" s="518">
        <f t="shared" si="258"/>
        <v>8.1120000000000001</v>
      </c>
      <c r="BA108" s="311">
        <f>BA1281</f>
        <v>1.5069999999999999</v>
      </c>
      <c r="BB108" s="311">
        <f>BB1281</f>
        <v>1.5149999999999999</v>
      </c>
      <c r="BC108" s="311">
        <f>BC1281</f>
        <v>1.5100000000000005</v>
      </c>
      <c r="BD108" s="858">
        <f>BD1281</f>
        <v>1.508</v>
      </c>
      <c r="BE108" s="858">
        <f t="shared" si="258"/>
        <v>6.04</v>
      </c>
      <c r="BF108" s="311">
        <f t="shared" si="258"/>
        <v>1.5049999999999999</v>
      </c>
      <c r="BG108" s="311">
        <f t="shared" si="258"/>
        <v>1.5030000000000001</v>
      </c>
      <c r="BH108" s="311">
        <f t="shared" si="258"/>
        <v>1.7220000000000004</v>
      </c>
      <c r="BI108" s="858">
        <f t="shared" si="258"/>
        <v>1.8689999999999998</v>
      </c>
      <c r="BJ108" s="858">
        <f t="shared" ref="BJ108:CF108" si="260">BJ1281</f>
        <v>6.5990000000000002</v>
      </c>
      <c r="BK108" s="311">
        <f t="shared" si="260"/>
        <v>1.8759999999999999</v>
      </c>
      <c r="BL108" s="311">
        <f t="shared" si="260"/>
        <v>1.8250000000000002</v>
      </c>
      <c r="BM108" s="311">
        <f t="shared" si="260"/>
        <v>1.8219999999999996</v>
      </c>
      <c r="BN108" s="858">
        <f t="shared" si="260"/>
        <v>1.6770000000000005</v>
      </c>
      <c r="BO108" s="858">
        <f t="shared" si="260"/>
        <v>7.2</v>
      </c>
      <c r="BP108" s="311">
        <f t="shared" ref="BP108:BX108" si="261">BP1281</f>
        <v>1.675</v>
      </c>
      <c r="BQ108" s="311">
        <f t="shared" si="261"/>
        <v>1.5999999999999999</v>
      </c>
      <c r="BR108" s="311">
        <f t="shared" si="261"/>
        <v>2.0580000000000007</v>
      </c>
      <c r="BS108" s="311">
        <f t="shared" si="261"/>
        <v>1.6269999999999998</v>
      </c>
      <c r="BT108" s="3231">
        <f t="shared" si="261"/>
        <v>6.96</v>
      </c>
      <c r="BU108" s="2649">
        <f t="shared" si="261"/>
        <v>0.25</v>
      </c>
      <c r="BV108" s="2649">
        <f t="shared" si="261"/>
        <v>0.25</v>
      </c>
      <c r="BW108" s="2649">
        <f t="shared" si="261"/>
        <v>0.25</v>
      </c>
      <c r="BX108" s="2649">
        <f t="shared" si="261"/>
        <v>0.25</v>
      </c>
      <c r="BY108" s="3231">
        <f>BY1281</f>
        <v>1</v>
      </c>
      <c r="BZ108" s="518">
        <f t="shared" si="260"/>
        <v>1</v>
      </c>
      <c r="CA108" s="518">
        <f t="shared" si="260"/>
        <v>1</v>
      </c>
      <c r="CB108" s="518">
        <f t="shared" si="260"/>
        <v>1</v>
      </c>
      <c r="CC108" s="518">
        <f t="shared" si="260"/>
        <v>1</v>
      </c>
      <c r="CD108" s="518">
        <f t="shared" si="260"/>
        <v>1</v>
      </c>
      <c r="CE108" s="518">
        <f t="shared" si="260"/>
        <v>1</v>
      </c>
      <c r="CF108" s="518">
        <f t="shared" si="260"/>
        <v>1</v>
      </c>
      <c r="CG108" s="476"/>
      <c r="CH108" s="476"/>
      <c r="CI108" s="476"/>
      <c r="CJ108" s="476"/>
      <c r="CK108" s="476"/>
      <c r="CL108" s="2220" t="str">
        <f t="shared" si="237"/>
        <v>+ Amortization of financing</v>
      </c>
      <c r="CM108" s="526">
        <f t="shared" si="238"/>
        <v>5.5250000000000004</v>
      </c>
      <c r="CN108" s="526">
        <f t="shared" si="239"/>
        <v>5.7469999999999999</v>
      </c>
      <c r="CO108" s="526">
        <f t="shared" si="240"/>
        <v>11.361000000000001</v>
      </c>
      <c r="CP108" s="526">
        <f t="shared" si="241"/>
        <v>13.010999999999999</v>
      </c>
      <c r="CQ108" s="526">
        <f t="shared" si="242"/>
        <v>11.712999999999997</v>
      </c>
      <c r="CR108" s="526">
        <f t="shared" si="243"/>
        <v>10.733000000000001</v>
      </c>
      <c r="CS108" s="526">
        <f t="shared" si="244"/>
        <v>12.581</v>
      </c>
      <c r="CT108" s="526">
        <f t="shared" si="245"/>
        <v>9.6010000000000009</v>
      </c>
      <c r="CU108" s="526">
        <f t="shared" si="246"/>
        <v>6.8979999999999997</v>
      </c>
      <c r="CV108" s="526">
        <f t="shared" si="247"/>
        <v>8.1120000000000001</v>
      </c>
      <c r="CW108" s="526">
        <f t="shared" si="248"/>
        <v>6.04</v>
      </c>
      <c r="CX108" s="526">
        <f t="shared" si="249"/>
        <v>6.5990000000000002</v>
      </c>
      <c r="CY108" s="526">
        <f t="shared" si="250"/>
        <v>7.2</v>
      </c>
      <c r="CZ108" s="526">
        <f t="shared" si="251"/>
        <v>6.96</v>
      </c>
      <c r="DA108" s="526">
        <f t="shared" si="252"/>
        <v>1</v>
      </c>
      <c r="DB108" s="526">
        <f t="shared" si="253"/>
        <v>1</v>
      </c>
      <c r="DC108" s="684">
        <f t="shared" si="254"/>
        <v>1</v>
      </c>
      <c r="DD108" s="476"/>
      <c r="DE108" s="476"/>
      <c r="DF108" s="598"/>
      <c r="DG108" s="598"/>
      <c r="DH108" s="2585"/>
      <c r="DI108" s="3213"/>
      <c r="DJ108" s="598"/>
      <c r="DK108" s="598"/>
      <c r="DL108" s="598"/>
      <c r="DM108" s="598"/>
      <c r="DN108" s="598"/>
      <c r="DO108" s="598"/>
      <c r="DP108" s="598"/>
      <c r="DQ108" s="598"/>
      <c r="DR108" s="660"/>
      <c r="DS108" s="660"/>
      <c r="DT108" s="660"/>
    </row>
    <row r="109" spans="1:124" ht="13.5" customHeight="1" x14ac:dyDescent="0.25">
      <c r="A109" s="414" t="s">
        <v>618</v>
      </c>
      <c r="B109" s="423"/>
      <c r="C109" s="311">
        <f>C59</f>
        <v>0</v>
      </c>
      <c r="D109" s="311">
        <f>D59</f>
        <v>0</v>
      </c>
      <c r="E109" s="311">
        <f>E59</f>
        <v>0</v>
      </c>
      <c r="F109" s="311">
        <f>F59</f>
        <v>0</v>
      </c>
      <c r="G109" s="518">
        <f t="shared" si="226"/>
        <v>0</v>
      </c>
      <c r="H109" s="311">
        <f>H59</f>
        <v>0</v>
      </c>
      <c r="I109" s="311">
        <f>I59</f>
        <v>0</v>
      </c>
      <c r="J109" s="311">
        <f>J59</f>
        <v>0</v>
      </c>
      <c r="K109" s="311">
        <f>K59</f>
        <v>0</v>
      </c>
      <c r="L109" s="518">
        <f t="shared" si="227"/>
        <v>0</v>
      </c>
      <c r="M109" s="311">
        <f>M59</f>
        <v>4.9109999999999996</v>
      </c>
      <c r="N109" s="311">
        <f>N59</f>
        <v>5.4930000000000003</v>
      </c>
      <c r="O109" s="311">
        <f>O59</f>
        <v>4.8310000000000004</v>
      </c>
      <c r="P109" s="311">
        <f>P59</f>
        <v>5.3310000000000004</v>
      </c>
      <c r="Q109" s="518">
        <f t="shared" si="228"/>
        <v>20.565999999999999</v>
      </c>
      <c r="R109" s="311">
        <f>R59</f>
        <v>6.5979999999999999</v>
      </c>
      <c r="S109" s="311">
        <f>S59</f>
        <v>6.2560000000000002</v>
      </c>
      <c r="T109" s="311">
        <f>T59</f>
        <v>6.33</v>
      </c>
      <c r="U109" s="311">
        <f>U59</f>
        <v>6.2809999999999997</v>
      </c>
      <c r="V109" s="518">
        <f t="shared" si="229"/>
        <v>25.464999999999996</v>
      </c>
      <c r="W109" s="311">
        <f>W59</f>
        <v>4.1449999999999996</v>
      </c>
      <c r="X109" s="311">
        <f>X59</f>
        <v>5.383</v>
      </c>
      <c r="Y109" s="311">
        <f>Y59</f>
        <v>5.9909999999999997</v>
      </c>
      <c r="Z109" s="311">
        <f>Z59</f>
        <v>8.3379999999999992</v>
      </c>
      <c r="AA109" s="518">
        <f t="shared" si="230"/>
        <v>23.856999999999999</v>
      </c>
      <c r="AB109" s="311">
        <f>AB59</f>
        <v>8.4849999999999994</v>
      </c>
      <c r="AC109" s="311">
        <f>AC59</f>
        <v>6.7869999999999999</v>
      </c>
      <c r="AD109" s="311">
        <f>AD59</f>
        <v>6.6319999999999997</v>
      </c>
      <c r="AE109" s="526">
        <f>AE59</f>
        <v>6.4560000000000004</v>
      </c>
      <c r="AF109" s="527">
        <f t="shared" si="231"/>
        <v>28.359999999999996</v>
      </c>
      <c r="AG109" s="526">
        <f>AG59</f>
        <v>6.3840000000000003</v>
      </c>
      <c r="AH109" s="526">
        <f>AH59</f>
        <v>6.6689999999999996</v>
      </c>
      <c r="AI109" s="526">
        <f>AI59</f>
        <v>6.7039999999999997</v>
      </c>
      <c r="AJ109" s="526">
        <f>AJ59</f>
        <v>6.1970000000000001</v>
      </c>
      <c r="AK109" s="527">
        <f t="shared" si="232"/>
        <v>25.954000000000001</v>
      </c>
      <c r="AL109" s="526">
        <f>AL59</f>
        <v>6.2249999999999996</v>
      </c>
      <c r="AM109" s="526">
        <f>AM59</f>
        <v>6.1239999999999997</v>
      </c>
      <c r="AN109" s="526">
        <f>AN59</f>
        <v>6.1070000000000002</v>
      </c>
      <c r="AO109" s="526">
        <f>AO59</f>
        <v>6.2759999999999998</v>
      </c>
      <c r="AP109" s="528">
        <f t="shared" si="233"/>
        <v>24.731999999999999</v>
      </c>
      <c r="AQ109" s="528">
        <f t="shared" ref="AQ109:CF109" si="262">AQ59</f>
        <v>7.9109999999999996</v>
      </c>
      <c r="AR109" s="526">
        <f t="shared" si="262"/>
        <v>7.3959999999999999</v>
      </c>
      <c r="AS109" s="526">
        <f t="shared" si="262"/>
        <v>6.8879999999999999</v>
      </c>
      <c r="AT109" s="526">
        <f t="shared" si="262"/>
        <v>6.415</v>
      </c>
      <c r="AU109" s="527">
        <f t="shared" si="262"/>
        <v>28.61</v>
      </c>
      <c r="AV109" s="528">
        <f t="shared" si="262"/>
        <v>6.2510000000000003</v>
      </c>
      <c r="AW109" s="526">
        <f t="shared" si="262"/>
        <v>5.45</v>
      </c>
      <c r="AX109" s="526">
        <f t="shared" si="262"/>
        <v>6.3689999999999998</v>
      </c>
      <c r="AY109" s="684">
        <f t="shared" si="262"/>
        <v>4.7380000000000004</v>
      </c>
      <c r="AZ109" s="527">
        <f t="shared" si="262"/>
        <v>22.808</v>
      </c>
      <c r="BA109" s="526">
        <f t="shared" si="262"/>
        <v>2.5790000000000002</v>
      </c>
      <c r="BB109" s="526">
        <f t="shared" si="262"/>
        <v>2.5169999999999999</v>
      </c>
      <c r="BC109" s="526">
        <f t="shared" si="262"/>
        <v>2.915</v>
      </c>
      <c r="BD109" s="684">
        <f t="shared" si="262"/>
        <v>2.6549999999999998</v>
      </c>
      <c r="BE109" s="684">
        <f t="shared" si="262"/>
        <v>10.665999999999999</v>
      </c>
      <c r="BF109" s="526">
        <f t="shared" si="262"/>
        <v>2.0840000000000001</v>
      </c>
      <c r="BG109" s="526">
        <f t="shared" si="262"/>
        <v>2.3370000000000002</v>
      </c>
      <c r="BH109" s="526">
        <f t="shared" si="262"/>
        <v>2.0249999999999999</v>
      </c>
      <c r="BI109" s="684">
        <f t="shared" si="262"/>
        <v>1.777000000000001</v>
      </c>
      <c r="BJ109" s="684">
        <f t="shared" si="262"/>
        <v>8.2230000000000008</v>
      </c>
      <c r="BK109" s="526">
        <f t="shared" si="262"/>
        <v>1.4550000000000001</v>
      </c>
      <c r="BL109" s="526">
        <f>BL59</f>
        <v>1.5820000000000001</v>
      </c>
      <c r="BM109" s="526">
        <f t="shared" si="262"/>
        <v>1.5169999999999999</v>
      </c>
      <c r="BN109" s="684">
        <f t="shared" si="262"/>
        <v>2.3170000000000002</v>
      </c>
      <c r="BO109" s="684">
        <f t="shared" si="262"/>
        <v>6.8710000000000004</v>
      </c>
      <c r="BP109" s="526">
        <f t="shared" ref="BP109:BX109" si="263">BP59</f>
        <v>2.173</v>
      </c>
      <c r="BQ109" s="526">
        <f t="shared" si="263"/>
        <v>1.8009999999999999</v>
      </c>
      <c r="BR109" s="526">
        <f t="shared" si="263"/>
        <v>1.853</v>
      </c>
      <c r="BS109" s="526">
        <f t="shared" si="263"/>
        <v>1.9530000000000001</v>
      </c>
      <c r="BT109" s="3230">
        <f t="shared" si="263"/>
        <v>7.78</v>
      </c>
      <c r="BU109" s="2585">
        <f t="shared" si="263"/>
        <v>2.8</v>
      </c>
      <c r="BV109" s="2585">
        <f t="shared" si="263"/>
        <v>2.8</v>
      </c>
      <c r="BW109" s="2585">
        <f t="shared" si="263"/>
        <v>2.8</v>
      </c>
      <c r="BX109" s="2585">
        <f t="shared" si="263"/>
        <v>3</v>
      </c>
      <c r="BY109" s="3230">
        <f>BY59</f>
        <v>11.399999999999999</v>
      </c>
      <c r="BZ109" s="527">
        <f t="shared" si="262"/>
        <v>11.899999999999999</v>
      </c>
      <c r="CA109" s="527">
        <f t="shared" si="262"/>
        <v>12.399999999999999</v>
      </c>
      <c r="CB109" s="527">
        <f t="shared" si="262"/>
        <v>12.899999999999999</v>
      </c>
      <c r="CC109" s="527">
        <f t="shared" si="262"/>
        <v>13.399999999999999</v>
      </c>
      <c r="CD109" s="527">
        <f t="shared" si="262"/>
        <v>13.899999999999999</v>
      </c>
      <c r="CE109" s="527">
        <f t="shared" si="262"/>
        <v>14.399999999999999</v>
      </c>
      <c r="CF109" s="527">
        <f t="shared" si="262"/>
        <v>14.899999999999999</v>
      </c>
      <c r="CG109" s="476"/>
      <c r="CH109" s="476"/>
      <c r="CI109" s="476"/>
      <c r="CJ109" s="476"/>
      <c r="CK109" s="476"/>
      <c r="CL109" s="2220" t="str">
        <f t="shared" si="237"/>
        <v>+ Stock-based compensation</v>
      </c>
      <c r="CM109" s="526">
        <f t="shared" si="238"/>
        <v>0</v>
      </c>
      <c r="CN109" s="526">
        <f t="shared" si="239"/>
        <v>0</v>
      </c>
      <c r="CO109" s="526">
        <f t="shared" si="240"/>
        <v>20.565999999999999</v>
      </c>
      <c r="CP109" s="526">
        <f t="shared" si="241"/>
        <v>25.464999999999996</v>
      </c>
      <c r="CQ109" s="526">
        <f t="shared" si="242"/>
        <v>23.856999999999999</v>
      </c>
      <c r="CR109" s="526">
        <f t="shared" si="243"/>
        <v>28.359999999999996</v>
      </c>
      <c r="CS109" s="526">
        <f t="shared" si="244"/>
        <v>25.954000000000001</v>
      </c>
      <c r="CT109" s="526">
        <f t="shared" si="245"/>
        <v>24.731999999999999</v>
      </c>
      <c r="CU109" s="526">
        <f t="shared" si="246"/>
        <v>28.61</v>
      </c>
      <c r="CV109" s="526">
        <f t="shared" si="247"/>
        <v>22.808</v>
      </c>
      <c r="CW109" s="526">
        <f t="shared" si="248"/>
        <v>10.665999999999999</v>
      </c>
      <c r="CX109" s="526">
        <f t="shared" si="249"/>
        <v>8.2230000000000008</v>
      </c>
      <c r="CY109" s="526">
        <f t="shared" si="250"/>
        <v>6.8710000000000004</v>
      </c>
      <c r="CZ109" s="526">
        <f t="shared" si="251"/>
        <v>7.78</v>
      </c>
      <c r="DA109" s="526">
        <f t="shared" si="252"/>
        <v>11.399999999999999</v>
      </c>
      <c r="DB109" s="526">
        <f t="shared" si="253"/>
        <v>11.899999999999999</v>
      </c>
      <c r="DC109" s="684">
        <f t="shared" si="254"/>
        <v>12.399999999999999</v>
      </c>
      <c r="DD109" s="476"/>
      <c r="DE109" s="476"/>
      <c r="DF109" s="598"/>
      <c r="DG109" s="598"/>
      <c r="DH109" s="2585"/>
      <c r="DI109" s="3213"/>
      <c r="DJ109" s="598"/>
      <c r="DK109" s="598"/>
      <c r="DL109" s="598"/>
      <c r="DM109" s="598"/>
      <c r="DN109" s="598"/>
      <c r="DO109" s="598"/>
      <c r="DP109" s="598"/>
      <c r="DQ109" s="598"/>
      <c r="DR109" s="660"/>
      <c r="DS109" s="660"/>
      <c r="DT109" s="660"/>
    </row>
    <row r="110" spans="1:124" ht="13.5" customHeight="1" x14ac:dyDescent="0.25">
      <c r="A110" s="414" t="s">
        <v>1342</v>
      </c>
      <c r="B110" s="423"/>
      <c r="C110" s="423">
        <f>D1284/2</f>
        <v>-0.54600000000000004</v>
      </c>
      <c r="D110" s="423">
        <f>D1284/2</f>
        <v>-0.54600000000000004</v>
      </c>
      <c r="E110" s="423">
        <f>E1284</f>
        <v>-0.20599999999999996</v>
      </c>
      <c r="F110" s="423">
        <f>F1284</f>
        <v>-0.33599999999999985</v>
      </c>
      <c r="G110" s="518">
        <f t="shared" si="226"/>
        <v>-1.6339999999999999</v>
      </c>
      <c r="H110" s="423">
        <f t="shared" ref="H110:K111" si="264">H1284</f>
        <v>3.6999999999999998E-2</v>
      </c>
      <c r="I110" s="423">
        <f t="shared" si="264"/>
        <v>-1.022</v>
      </c>
      <c r="J110" s="423">
        <f t="shared" si="264"/>
        <v>-0.23</v>
      </c>
      <c r="K110" s="423">
        <f t="shared" si="264"/>
        <v>-0.24</v>
      </c>
      <c r="L110" s="518">
        <f t="shared" si="227"/>
        <v>-1.4550000000000001</v>
      </c>
      <c r="M110" s="423">
        <f t="shared" ref="M110:P111" si="265">M1284</f>
        <v>-0.41299999999999998</v>
      </c>
      <c r="N110" s="423">
        <f t="shared" si="265"/>
        <v>-0.57400000000000007</v>
      </c>
      <c r="O110" s="423">
        <f t="shared" si="265"/>
        <v>1.665</v>
      </c>
      <c r="P110" s="423">
        <f t="shared" si="265"/>
        <v>0.11</v>
      </c>
      <c r="Q110" s="518">
        <f t="shared" si="228"/>
        <v>0.78799999999999992</v>
      </c>
      <c r="R110" s="423">
        <f t="shared" ref="R110:U111" si="266">R1284</f>
        <v>-0.04</v>
      </c>
      <c r="S110" s="423">
        <f t="shared" si="266"/>
        <v>-0.32500000000000001</v>
      </c>
      <c r="T110" s="423">
        <f t="shared" si="266"/>
        <v>0.12200000000000003</v>
      </c>
      <c r="U110" s="423">
        <f t="shared" si="266"/>
        <v>0.34199999999999997</v>
      </c>
      <c r="V110" s="518">
        <f t="shared" si="229"/>
        <v>9.9000000000000005E-2</v>
      </c>
      <c r="W110" s="423">
        <f t="shared" ref="W110:Z111" si="267">W1284</f>
        <v>0.75900000000000001</v>
      </c>
      <c r="X110" s="423">
        <f t="shared" si="267"/>
        <v>0.15200000000000002</v>
      </c>
      <c r="Y110" s="423">
        <f t="shared" si="267"/>
        <v>0.13900000000000001</v>
      </c>
      <c r="Z110" s="423">
        <f t="shared" si="267"/>
        <v>0.47599999999999998</v>
      </c>
      <c r="AA110" s="518">
        <f t="shared" si="230"/>
        <v>1.526</v>
      </c>
      <c r="AB110" s="423">
        <f t="shared" ref="AB110:AE111" si="268">AB1284</f>
        <v>0.30299999999999999</v>
      </c>
      <c r="AC110" s="423">
        <f t="shared" si="268"/>
        <v>0.41599999999999998</v>
      </c>
      <c r="AD110" s="423">
        <f t="shared" si="268"/>
        <v>3.6000000000000032E-2</v>
      </c>
      <c r="AE110" s="423">
        <f t="shared" si="268"/>
        <v>0.36600000000000005</v>
      </c>
      <c r="AF110" s="518">
        <f t="shared" si="231"/>
        <v>1.121</v>
      </c>
      <c r="AG110" s="660">
        <f t="shared" ref="AG110:AJ111" si="269">AG1284</f>
        <v>1.4119999999999999</v>
      </c>
      <c r="AH110" s="423">
        <f t="shared" si="269"/>
        <v>0.42500000000000004</v>
      </c>
      <c r="AI110" s="423">
        <f t="shared" si="269"/>
        <v>3.9249999999999998</v>
      </c>
      <c r="AJ110" s="423">
        <f t="shared" si="269"/>
        <v>20.212</v>
      </c>
      <c r="AK110" s="518">
        <f t="shared" si="232"/>
        <v>25.974</v>
      </c>
      <c r="AL110" s="423">
        <f>AL1284</f>
        <v>2.3540000000000001</v>
      </c>
      <c r="AM110" s="423">
        <f>AM1284</f>
        <v>-0.43100000000000005</v>
      </c>
      <c r="AN110" s="423">
        <f>AN1284</f>
        <v>-17.292999999999999</v>
      </c>
      <c r="AO110" s="423">
        <f>AO1284</f>
        <v>8.0060000000000002</v>
      </c>
      <c r="AP110" s="329">
        <f t="shared" si="233"/>
        <v>-7.363999999999999</v>
      </c>
      <c r="AQ110" s="329">
        <f t="shared" ref="AQ110:BE110" si="270">AQ1284</f>
        <v>-1.6850000000000001</v>
      </c>
      <c r="AR110" s="311">
        <f t="shared" si="270"/>
        <v>-1.0539999999999998</v>
      </c>
      <c r="AS110" s="311">
        <f t="shared" si="270"/>
        <v>-0.80699999999999994</v>
      </c>
      <c r="AT110" s="311">
        <f t="shared" si="270"/>
        <v>-0.25800000000000001</v>
      </c>
      <c r="AU110" s="518">
        <f t="shared" si="270"/>
        <v>-3.8039999999999998</v>
      </c>
      <c r="AV110" s="329">
        <f t="shared" si="270"/>
        <v>-1.7210000000000001</v>
      </c>
      <c r="AW110" s="311">
        <f t="shared" si="270"/>
        <v>-3.8209999999999997</v>
      </c>
      <c r="AX110" s="311">
        <f t="shared" si="270"/>
        <v>-2.2960000000000003</v>
      </c>
      <c r="AY110" s="858">
        <f t="shared" si="270"/>
        <v>-1.819</v>
      </c>
      <c r="AZ110" s="518">
        <f t="shared" si="270"/>
        <v>-9.657</v>
      </c>
      <c r="BA110" s="311">
        <f t="shared" si="270"/>
        <v>-2.4830000000000001</v>
      </c>
      <c r="BB110" s="311">
        <f t="shared" si="270"/>
        <v>-1.4729999999999999</v>
      </c>
      <c r="BC110" s="311">
        <f t="shared" si="270"/>
        <v>-2.2909999999999999</v>
      </c>
      <c r="BD110" s="858">
        <f t="shared" si="270"/>
        <v>-1.702</v>
      </c>
      <c r="BE110" s="858">
        <f t="shared" si="270"/>
        <v>-7.9489999999999998</v>
      </c>
      <c r="BF110" s="311">
        <f t="shared" ref="BF110:BO110" si="271">BF1284</f>
        <v>-3.9820000000000002</v>
      </c>
      <c r="BG110" s="311">
        <f t="shared" si="271"/>
        <v>-4.153999999999999</v>
      </c>
      <c r="BH110" s="311">
        <f t="shared" si="271"/>
        <v>-3.7590000000000003</v>
      </c>
      <c r="BI110" s="858">
        <f t="shared" si="271"/>
        <v>-2.593</v>
      </c>
      <c r="BJ110" s="858">
        <f t="shared" si="271"/>
        <v>-14.488</v>
      </c>
      <c r="BK110" s="311">
        <f t="shared" si="271"/>
        <v>-4.609</v>
      </c>
      <c r="BL110" s="311">
        <f>BL1284</f>
        <v>-3.548</v>
      </c>
      <c r="BM110" s="311">
        <f t="shared" si="271"/>
        <v>-3.5050000000000008</v>
      </c>
      <c r="BN110" s="858">
        <f t="shared" si="271"/>
        <v>-2.6749999999999989</v>
      </c>
      <c r="BO110" s="858">
        <f t="shared" si="271"/>
        <v>-14.337</v>
      </c>
      <c r="BP110" s="311">
        <f t="shared" ref="BP110:BX110" si="272">BP1284</f>
        <v>-4.548</v>
      </c>
      <c r="BQ110" s="311">
        <f t="shared" si="272"/>
        <v>-5.0210000000000008</v>
      </c>
      <c r="BR110" s="311">
        <f t="shared" si="272"/>
        <v>-4.7809999999999988</v>
      </c>
      <c r="BS110" s="311">
        <f t="shared" si="272"/>
        <v>-4.3209999999999997</v>
      </c>
      <c r="BT110" s="3231">
        <f t="shared" si="272"/>
        <v>-18.670999999999999</v>
      </c>
      <c r="BU110" s="2649">
        <f t="shared" si="272"/>
        <v>-3.4134192567124719</v>
      </c>
      <c r="BV110" s="2649">
        <f t="shared" si="272"/>
        <v>-4.1430055858866242</v>
      </c>
      <c r="BW110" s="2649">
        <f t="shared" si="272"/>
        <v>-3.6009608241403566</v>
      </c>
      <c r="BX110" s="2649">
        <f t="shared" si="272"/>
        <v>-4.1771315706723326</v>
      </c>
      <c r="BY110" s="3231">
        <f t="shared" ref="BY110:CF110" si="273">BY1284</f>
        <v>-15.334517237411784</v>
      </c>
      <c r="BZ110" s="518">
        <f t="shared" si="273"/>
        <v>-15.466417099222014</v>
      </c>
      <c r="CA110" s="518">
        <f t="shared" si="273"/>
        <v>-15.368574927668092</v>
      </c>
      <c r="CB110" s="518">
        <f t="shared" si="273"/>
        <v>-7.4935825116550419</v>
      </c>
      <c r="CC110" s="518">
        <f t="shared" si="273"/>
        <v>-5.6485173849014538</v>
      </c>
      <c r="CD110" s="518">
        <f t="shared" si="273"/>
        <v>-6.422491345040676</v>
      </c>
      <c r="CE110" s="518">
        <f t="shared" si="273"/>
        <v>-7.2830233394584738</v>
      </c>
      <c r="CF110" s="518">
        <f t="shared" si="273"/>
        <v>-8.0387723567050102</v>
      </c>
      <c r="CG110" s="526"/>
      <c r="CH110" s="526"/>
      <c r="CI110" s="526"/>
      <c r="CJ110" s="526"/>
      <c r="CK110" s="526"/>
      <c r="CL110" s="2220" t="str">
        <f t="shared" si="237"/>
        <v>+ Loss/(Gain) from joint venture</v>
      </c>
      <c r="CM110" s="526">
        <f t="shared" si="238"/>
        <v>-1.6339999999999999</v>
      </c>
      <c r="CN110" s="526">
        <f t="shared" si="239"/>
        <v>-1.4550000000000001</v>
      </c>
      <c r="CO110" s="526">
        <f t="shared" si="240"/>
        <v>0.78799999999999992</v>
      </c>
      <c r="CP110" s="526">
        <f t="shared" si="241"/>
        <v>9.9000000000000005E-2</v>
      </c>
      <c r="CQ110" s="526">
        <f t="shared" si="242"/>
        <v>1.526</v>
      </c>
      <c r="CR110" s="526">
        <f t="shared" si="243"/>
        <v>1.121</v>
      </c>
      <c r="CS110" s="526">
        <f t="shared" si="244"/>
        <v>25.974</v>
      </c>
      <c r="CT110" s="526">
        <f t="shared" si="245"/>
        <v>-7.363999999999999</v>
      </c>
      <c r="CU110" s="526">
        <f t="shared" si="246"/>
        <v>-3.8039999999999998</v>
      </c>
      <c r="CV110" s="526">
        <f t="shared" si="247"/>
        <v>-9.657</v>
      </c>
      <c r="CW110" s="526">
        <f t="shared" si="248"/>
        <v>-7.9489999999999998</v>
      </c>
      <c r="CX110" s="526">
        <f t="shared" si="249"/>
        <v>-14.488</v>
      </c>
      <c r="CY110" s="526">
        <f t="shared" si="250"/>
        <v>-14.337</v>
      </c>
      <c r="CZ110" s="526">
        <f t="shared" si="251"/>
        <v>-18.670999999999999</v>
      </c>
      <c r="DA110" s="526">
        <f t="shared" si="252"/>
        <v>-15.334517237411784</v>
      </c>
      <c r="DB110" s="526">
        <f t="shared" si="253"/>
        <v>-15.466417099222014</v>
      </c>
      <c r="DC110" s="684">
        <f t="shared" si="254"/>
        <v>-15.368574927668092</v>
      </c>
      <c r="DD110" s="526"/>
      <c r="DE110" s="526"/>
      <c r="DF110" s="526"/>
      <c r="DG110" s="526"/>
      <c r="DH110" s="2585"/>
      <c r="DI110" s="3211"/>
      <c r="DJ110" s="526"/>
      <c r="DK110" s="526"/>
      <c r="DL110" s="526"/>
      <c r="DM110" s="526"/>
      <c r="DN110" s="526"/>
      <c r="DO110" s="526"/>
      <c r="DP110" s="526"/>
      <c r="DQ110" s="660"/>
      <c r="DR110" s="660"/>
      <c r="DS110" s="660"/>
      <c r="DT110" s="660"/>
    </row>
    <row r="111" spans="1:124" ht="13.5" hidden="1" customHeight="1" outlineLevel="1" x14ac:dyDescent="0.25">
      <c r="A111" s="414" t="s">
        <v>2250</v>
      </c>
      <c r="B111" s="423"/>
      <c r="C111" s="423">
        <f>C1285</f>
        <v>0</v>
      </c>
      <c r="D111" s="423">
        <f>D1285</f>
        <v>0</v>
      </c>
      <c r="E111" s="423">
        <f>E1285</f>
        <v>0</v>
      </c>
      <c r="F111" s="423">
        <f>F1285</f>
        <v>0</v>
      </c>
      <c r="G111" s="518">
        <f>SUM(C111:F111)</f>
        <v>0</v>
      </c>
      <c r="H111" s="423">
        <f t="shared" si="264"/>
        <v>0</v>
      </c>
      <c r="I111" s="423">
        <f t="shared" si="264"/>
        <v>0</v>
      </c>
      <c r="J111" s="423">
        <f t="shared" si="264"/>
        <v>0</v>
      </c>
      <c r="K111" s="423">
        <f t="shared" si="264"/>
        <v>0</v>
      </c>
      <c r="L111" s="518">
        <f>SUM(H111:K111)</f>
        <v>0</v>
      </c>
      <c r="M111" s="423">
        <f t="shared" si="265"/>
        <v>0</v>
      </c>
      <c r="N111" s="423">
        <f t="shared" si="265"/>
        <v>0</v>
      </c>
      <c r="O111" s="423">
        <f t="shared" si="265"/>
        <v>0</v>
      </c>
      <c r="P111" s="423">
        <f t="shared" si="265"/>
        <v>0</v>
      </c>
      <c r="Q111" s="518">
        <f>SUM(M111:P111)</f>
        <v>0</v>
      </c>
      <c r="R111" s="423">
        <f t="shared" si="266"/>
        <v>0</v>
      </c>
      <c r="S111" s="423">
        <f t="shared" si="266"/>
        <v>0</v>
      </c>
      <c r="T111" s="423">
        <f t="shared" si="266"/>
        <v>0</v>
      </c>
      <c r="U111" s="423">
        <f t="shared" si="266"/>
        <v>0</v>
      </c>
      <c r="V111" s="518">
        <f>SUM(R111:U111)</f>
        <v>0</v>
      </c>
      <c r="W111" s="423">
        <f t="shared" si="267"/>
        <v>0</v>
      </c>
      <c r="X111" s="423">
        <f t="shared" si="267"/>
        <v>0</v>
      </c>
      <c r="Y111" s="423">
        <f t="shared" si="267"/>
        <v>0</v>
      </c>
      <c r="Z111" s="423">
        <f t="shared" si="267"/>
        <v>0</v>
      </c>
      <c r="AA111" s="518">
        <f>SUM(W111:Z111)</f>
        <v>0</v>
      </c>
      <c r="AB111" s="423">
        <f t="shared" si="268"/>
        <v>0</v>
      </c>
      <c r="AC111" s="423">
        <f t="shared" si="268"/>
        <v>0</v>
      </c>
      <c r="AD111" s="423">
        <f t="shared" si="268"/>
        <v>0</v>
      </c>
      <c r="AE111" s="423">
        <f t="shared" si="268"/>
        <v>0</v>
      </c>
      <c r="AF111" s="518">
        <f>SUM(AB111:AE111)</f>
        <v>0</v>
      </c>
      <c r="AG111" s="660">
        <f t="shared" si="269"/>
        <v>0</v>
      </c>
      <c r="AH111" s="423">
        <f t="shared" si="269"/>
        <v>0</v>
      </c>
      <c r="AI111" s="423">
        <f t="shared" si="269"/>
        <v>0</v>
      </c>
      <c r="AJ111" s="423">
        <f t="shared" si="269"/>
        <v>0</v>
      </c>
      <c r="AK111" s="518">
        <f>SUM(AG111:AJ111)</f>
        <v>0</v>
      </c>
      <c r="AL111" s="423">
        <f t="shared" ref="AL111:BI111" si="274">AL1313</f>
        <v>0</v>
      </c>
      <c r="AM111" s="423">
        <f t="shared" si="274"/>
        <v>0</v>
      </c>
      <c r="AN111" s="423">
        <f t="shared" si="274"/>
        <v>0</v>
      </c>
      <c r="AO111" s="423">
        <f t="shared" si="274"/>
        <v>0</v>
      </c>
      <c r="AP111" s="518">
        <f t="shared" si="274"/>
        <v>0</v>
      </c>
      <c r="AQ111" s="329">
        <f t="shared" si="274"/>
        <v>0</v>
      </c>
      <c r="AR111" s="311">
        <f t="shared" si="274"/>
        <v>0</v>
      </c>
      <c r="AS111" s="311">
        <f t="shared" si="274"/>
        <v>0</v>
      </c>
      <c r="AT111" s="858">
        <f t="shared" si="274"/>
        <v>0</v>
      </c>
      <c r="AU111" s="518">
        <f t="shared" si="274"/>
        <v>0</v>
      </c>
      <c r="AV111" s="329">
        <f>AV1313</f>
        <v>0</v>
      </c>
      <c r="AW111" s="311">
        <f>AW1313</f>
        <v>0</v>
      </c>
      <c r="AX111" s="311">
        <f>AX1313</f>
        <v>0</v>
      </c>
      <c r="AY111" s="858">
        <f>AY1313</f>
        <v>0</v>
      </c>
      <c r="AZ111" s="518">
        <f t="shared" si="274"/>
        <v>0</v>
      </c>
      <c r="BA111" s="311">
        <f>BA1313</f>
        <v>0</v>
      </c>
      <c r="BB111" s="311">
        <f>BB1313</f>
        <v>0</v>
      </c>
      <c r="BC111" s="311">
        <f>BC1313</f>
        <v>0</v>
      </c>
      <c r="BD111" s="858">
        <f>BD1313</f>
        <v>0</v>
      </c>
      <c r="BE111" s="858">
        <f t="shared" si="274"/>
        <v>0</v>
      </c>
      <c r="BF111" s="311">
        <f t="shared" si="274"/>
        <v>0</v>
      </c>
      <c r="BG111" s="311">
        <f t="shared" si="274"/>
        <v>0</v>
      </c>
      <c r="BH111" s="311">
        <f t="shared" si="274"/>
        <v>0</v>
      </c>
      <c r="BI111" s="858">
        <f t="shared" si="274"/>
        <v>0</v>
      </c>
      <c r="BJ111" s="858">
        <f t="shared" ref="BJ111:CF111" si="275">BJ1313</f>
        <v>0</v>
      </c>
      <c r="BK111" s="311">
        <f t="shared" si="275"/>
        <v>0</v>
      </c>
      <c r="BL111" s="311">
        <f t="shared" si="275"/>
        <v>0</v>
      </c>
      <c r="BM111" s="311">
        <f t="shared" si="275"/>
        <v>0</v>
      </c>
      <c r="BN111" s="858">
        <f t="shared" si="275"/>
        <v>0</v>
      </c>
      <c r="BO111" s="858">
        <f t="shared" si="275"/>
        <v>0</v>
      </c>
      <c r="BP111" s="311">
        <f t="shared" ref="BP111:BX111" si="276">BP1313</f>
        <v>0</v>
      </c>
      <c r="BQ111" s="311">
        <f t="shared" si="276"/>
        <v>0</v>
      </c>
      <c r="BR111" s="311">
        <f t="shared" si="276"/>
        <v>0</v>
      </c>
      <c r="BS111" s="311">
        <f t="shared" si="276"/>
        <v>0</v>
      </c>
      <c r="BT111" s="3231">
        <f t="shared" si="276"/>
        <v>0</v>
      </c>
      <c r="BU111" s="2649">
        <f t="shared" si="276"/>
        <v>0</v>
      </c>
      <c r="BV111" s="2649">
        <f t="shared" si="276"/>
        <v>0</v>
      </c>
      <c r="BW111" s="2649">
        <f t="shared" si="276"/>
        <v>0</v>
      </c>
      <c r="BX111" s="2649">
        <f t="shared" si="276"/>
        <v>0</v>
      </c>
      <c r="BY111" s="3231">
        <f>BY1313</f>
        <v>0</v>
      </c>
      <c r="BZ111" s="518">
        <f t="shared" si="275"/>
        <v>0</v>
      </c>
      <c r="CA111" s="518">
        <f t="shared" si="275"/>
        <v>0</v>
      </c>
      <c r="CB111" s="518">
        <f t="shared" si="275"/>
        <v>17.342816173659692</v>
      </c>
      <c r="CC111" s="518">
        <f t="shared" si="275"/>
        <v>16.235777097607539</v>
      </c>
      <c r="CD111" s="518">
        <f t="shared" si="275"/>
        <v>16.700161473691075</v>
      </c>
      <c r="CE111" s="518">
        <f t="shared" si="275"/>
        <v>17.216480670341753</v>
      </c>
      <c r="CF111" s="518">
        <f t="shared" si="275"/>
        <v>17.669930080689674</v>
      </c>
      <c r="CG111" s="526"/>
      <c r="CH111" s="526"/>
      <c r="CI111" s="526"/>
      <c r="CJ111" s="526"/>
      <c r="CK111" s="526"/>
      <c r="CL111" s="2220" t="str">
        <f t="shared" si="237"/>
        <v>+ Distributions from joint venture / other</v>
      </c>
      <c r="CM111" s="526">
        <f t="shared" si="238"/>
        <v>0</v>
      </c>
      <c r="CN111" s="526">
        <f t="shared" si="239"/>
        <v>0</v>
      </c>
      <c r="CO111" s="526">
        <f t="shared" si="240"/>
        <v>0</v>
      </c>
      <c r="CP111" s="526">
        <f t="shared" si="241"/>
        <v>0</v>
      </c>
      <c r="CQ111" s="526">
        <f t="shared" si="242"/>
        <v>0</v>
      </c>
      <c r="CR111" s="526">
        <f t="shared" si="243"/>
        <v>0</v>
      </c>
      <c r="CS111" s="526">
        <f t="shared" si="244"/>
        <v>0</v>
      </c>
      <c r="CT111" s="526">
        <f t="shared" si="245"/>
        <v>0</v>
      </c>
      <c r="CU111" s="526">
        <f t="shared" si="246"/>
        <v>0</v>
      </c>
      <c r="CV111" s="526">
        <f t="shared" si="247"/>
        <v>0</v>
      </c>
      <c r="CW111" s="526">
        <f t="shared" si="248"/>
        <v>0</v>
      </c>
      <c r="CX111" s="526">
        <f t="shared" si="249"/>
        <v>0</v>
      </c>
      <c r="CY111" s="526">
        <f t="shared" si="250"/>
        <v>0</v>
      </c>
      <c r="CZ111" s="526">
        <f t="shared" si="251"/>
        <v>0</v>
      </c>
      <c r="DA111" s="526">
        <f t="shared" si="252"/>
        <v>0</v>
      </c>
      <c r="DB111" s="526">
        <f t="shared" si="253"/>
        <v>0</v>
      </c>
      <c r="DC111" s="684">
        <f t="shared" si="254"/>
        <v>0</v>
      </c>
      <c r="DD111" s="526"/>
      <c r="DE111" s="526"/>
      <c r="DF111" s="526"/>
      <c r="DG111" s="526"/>
      <c r="DH111" s="2585"/>
      <c r="DI111" s="3211"/>
      <c r="DJ111" s="526"/>
      <c r="DK111" s="526"/>
      <c r="DL111" s="526"/>
      <c r="DM111" s="526"/>
      <c r="DN111" s="526"/>
      <c r="DO111" s="526"/>
      <c r="DP111" s="526"/>
      <c r="DQ111" s="660"/>
      <c r="DR111" s="660"/>
      <c r="DS111" s="660"/>
      <c r="DT111" s="660"/>
    </row>
    <row r="112" spans="1:124" ht="13.5" customHeight="1" collapsed="1" x14ac:dyDescent="0.25">
      <c r="A112" s="3174" t="s">
        <v>2676</v>
      </c>
      <c r="B112" s="423"/>
      <c r="C112" s="423">
        <f t="shared" ref="C112:BN112" si="277">-C1511+C1501</f>
        <v>2.1463884499999999</v>
      </c>
      <c r="D112" s="423">
        <f t="shared" si="277"/>
        <v>1.9629154543749983</v>
      </c>
      <c r="E112" s="423">
        <f t="shared" si="277"/>
        <v>2.0597045512499959</v>
      </c>
      <c r="F112" s="423">
        <f t="shared" si="277"/>
        <v>1.8365831249999984</v>
      </c>
      <c r="G112" s="518">
        <f t="shared" si="277"/>
        <v>8.0055915806249924</v>
      </c>
      <c r="H112" s="423">
        <f t="shared" si="277"/>
        <v>1.6018157025000002</v>
      </c>
      <c r="I112" s="423">
        <f t="shared" si="277"/>
        <v>-0.367329935</v>
      </c>
      <c r="J112" s="423">
        <f t="shared" si="277"/>
        <v>1.2849374999999998</v>
      </c>
      <c r="K112" s="423">
        <f t="shared" si="277"/>
        <v>3.0072090093749861</v>
      </c>
      <c r="L112" s="518">
        <f t="shared" si="277"/>
        <v>5.5266322768749863</v>
      </c>
      <c r="M112" s="423">
        <f t="shared" si="277"/>
        <v>3.2138581406249971</v>
      </c>
      <c r="N112" s="423">
        <f t="shared" si="277"/>
        <v>0.83142265624999134</v>
      </c>
      <c r="O112" s="423">
        <f t="shared" si="277"/>
        <v>2.5226232886904727</v>
      </c>
      <c r="P112" s="423">
        <f t="shared" si="277"/>
        <v>3.3811348125000062</v>
      </c>
      <c r="Q112" s="518">
        <f t="shared" si="277"/>
        <v>9.9490388980654672</v>
      </c>
      <c r="R112" s="423">
        <f t="shared" si="277"/>
        <v>1.4360286794354677</v>
      </c>
      <c r="S112" s="423">
        <f t="shared" si="277"/>
        <v>2.9167772705077737</v>
      </c>
      <c r="T112" s="423">
        <f t="shared" si="277"/>
        <v>1.3241865625000058</v>
      </c>
      <c r="U112" s="423">
        <f t="shared" si="277"/>
        <v>-0.34562767626951896</v>
      </c>
      <c r="V112" s="518">
        <f t="shared" si="277"/>
        <v>5.3313648361737282</v>
      </c>
      <c r="W112" s="423">
        <f t="shared" si="277"/>
        <v>1.445393212980763</v>
      </c>
      <c r="X112" s="423">
        <f t="shared" si="277"/>
        <v>0.46937112500000655</v>
      </c>
      <c r="Y112" s="423">
        <f t="shared" si="277"/>
        <v>-1.445667244999997</v>
      </c>
      <c r="Z112" s="423">
        <f t="shared" si="277"/>
        <v>6.8897937494999999</v>
      </c>
      <c r="AA112" s="518">
        <f t="shared" si="277"/>
        <v>7.358890842480772</v>
      </c>
      <c r="AB112" s="423">
        <f t="shared" si="277"/>
        <v>1.5116956499999987</v>
      </c>
      <c r="AC112" s="423">
        <f t="shared" si="277"/>
        <v>1.8016821490000012</v>
      </c>
      <c r="AD112" s="423">
        <f t="shared" si="277"/>
        <v>5.3269883875217392</v>
      </c>
      <c r="AE112" s="423">
        <f t="shared" si="277"/>
        <v>5.8090067854999994</v>
      </c>
      <c r="AF112" s="518">
        <f t="shared" si="277"/>
        <v>14.449372972021738</v>
      </c>
      <c r="AG112" s="660">
        <f t="shared" si="277"/>
        <v>6.8184065125000028</v>
      </c>
      <c r="AH112" s="423">
        <f t="shared" si="277"/>
        <v>8.7073163250000007</v>
      </c>
      <c r="AI112" s="423">
        <f t="shared" si="277"/>
        <v>10.603484375000003</v>
      </c>
      <c r="AJ112" s="423">
        <f t="shared" si="277"/>
        <v>8.5686420000000059</v>
      </c>
      <c r="AK112" s="518">
        <f t="shared" si="277"/>
        <v>34.69784921250001</v>
      </c>
      <c r="AL112" s="423">
        <f t="shared" si="277"/>
        <v>6.9179151250000013</v>
      </c>
      <c r="AM112" s="423">
        <f t="shared" si="277"/>
        <v>4.2015700000000038</v>
      </c>
      <c r="AN112" s="423">
        <f t="shared" si="277"/>
        <v>2.4429671875000016</v>
      </c>
      <c r="AO112" s="423">
        <f t="shared" si="277"/>
        <v>1.5142374999999948</v>
      </c>
      <c r="AP112" s="329">
        <f t="shared" si="277"/>
        <v>15.076689812500002</v>
      </c>
      <c r="AQ112" s="329">
        <f t="shared" si="277"/>
        <v>-0.27166406249999708</v>
      </c>
      <c r="AR112" s="311">
        <f t="shared" si="277"/>
        <v>-0.61530468750000011</v>
      </c>
      <c r="AS112" s="311">
        <f t="shared" si="277"/>
        <v>1.222867187499999</v>
      </c>
      <c r="AT112" s="311">
        <f t="shared" si="277"/>
        <v>4.2629793749999987</v>
      </c>
      <c r="AU112" s="518">
        <f t="shared" si="277"/>
        <v>4.5988778124999996</v>
      </c>
      <c r="AV112" s="329">
        <f t="shared" si="277"/>
        <v>4.3379090625000014</v>
      </c>
      <c r="AW112" s="311">
        <f t="shared" si="277"/>
        <v>4.3536718750000007</v>
      </c>
      <c r="AX112" s="311">
        <f t="shared" si="277"/>
        <v>3.2726796874999984</v>
      </c>
      <c r="AY112" s="858">
        <f t="shared" si="277"/>
        <v>-6.9164062500003953E-2</v>
      </c>
      <c r="AZ112" s="518">
        <f t="shared" si="277"/>
        <v>11.895096562499996</v>
      </c>
      <c r="BA112" s="311">
        <f t="shared" si="277"/>
        <v>1.8151718749999985</v>
      </c>
      <c r="BB112" s="311">
        <f t="shared" si="277"/>
        <v>1.4553281250000025</v>
      </c>
      <c r="BC112" s="311">
        <f t="shared" si="277"/>
        <v>1.1983718750000036</v>
      </c>
      <c r="BD112" s="858">
        <f t="shared" si="277"/>
        <v>1.3766531249999674</v>
      </c>
      <c r="BE112" s="858">
        <f t="shared" si="277"/>
        <v>5.8455249999999719</v>
      </c>
      <c r="BF112" s="311">
        <f t="shared" si="277"/>
        <v>0.92685078124999054</v>
      </c>
      <c r="BG112" s="311">
        <f t="shared" si="277"/>
        <v>1.0126085937500051</v>
      </c>
      <c r="BH112" s="311">
        <f t="shared" si="277"/>
        <v>1.2282463437500155</v>
      </c>
      <c r="BI112" s="858">
        <f t="shared" si="277"/>
        <v>0.85414146875001218</v>
      </c>
      <c r="BJ112" s="858">
        <f t="shared" si="277"/>
        <v>4.0218471875000237</v>
      </c>
      <c r="BK112" s="311">
        <f t="shared" si="277"/>
        <v>2.8994876227221531</v>
      </c>
      <c r="BL112" s="311">
        <f t="shared" si="277"/>
        <v>0.91361861761297392</v>
      </c>
      <c r="BM112" s="311">
        <f t="shared" si="277"/>
        <v>1.5564761486423162</v>
      </c>
      <c r="BN112" s="858">
        <f t="shared" si="277"/>
        <v>0.38285352521950972</v>
      </c>
      <c r="BO112" s="858">
        <f t="shared" ref="BO112:BW112" si="278">-BO1511+BO1501</f>
        <v>5.752435914196953</v>
      </c>
      <c r="BP112" s="311">
        <f t="shared" si="278"/>
        <v>3.5066093749999951</v>
      </c>
      <c r="BQ112" s="311">
        <f t="shared" si="278"/>
        <v>4.0914492187499976</v>
      </c>
      <c r="BR112" s="311">
        <f t="shared" si="278"/>
        <v>4.7388953125000093</v>
      </c>
      <c r="BS112" s="311">
        <f t="shared" si="278"/>
        <v>2.8937015625000004</v>
      </c>
      <c r="BT112" s="3231">
        <f t="shared" si="278"/>
        <v>15.230655468750001</v>
      </c>
      <c r="BU112" s="2649">
        <f t="shared" si="278"/>
        <v>2.1801975000000002</v>
      </c>
      <c r="BV112" s="2649">
        <f t="shared" si="278"/>
        <v>2.1721975000000002</v>
      </c>
      <c r="BW112" s="2649">
        <f t="shared" si="278"/>
        <v>2.1661975</v>
      </c>
      <c r="BX112" s="2649">
        <f>-BX1511+BX1501</f>
        <v>2.1601975000000002</v>
      </c>
      <c r="BY112" s="3231">
        <f t="shared" ref="BY112:CA112" si="279">-BY1511+BY1501</f>
        <v>8.6787900000000011</v>
      </c>
      <c r="BZ112" s="518">
        <f t="shared" si="279"/>
        <v>8.5927900000000008</v>
      </c>
      <c r="CA112" s="518">
        <f t="shared" si="279"/>
        <v>8.4967900000000007</v>
      </c>
      <c r="CB112" s="518">
        <f t="shared" ref="CB112:CF112" si="280">-CB1511</f>
        <v>0.40079000000000037</v>
      </c>
      <c r="CC112" s="518">
        <f t="shared" si="280"/>
        <v>0.30479000000000034</v>
      </c>
      <c r="CD112" s="518">
        <f t="shared" si="280"/>
        <v>0.20879000000000031</v>
      </c>
      <c r="CE112" s="518">
        <f t="shared" si="280"/>
        <v>0.11279000000000028</v>
      </c>
      <c r="CF112" s="518">
        <f t="shared" si="280"/>
        <v>6.4790000000000292E-2</v>
      </c>
      <c r="CG112" s="526"/>
      <c r="CH112" s="526"/>
      <c r="CI112" s="526"/>
      <c r="CJ112" s="526"/>
      <c r="CK112" s="526"/>
      <c r="CL112" s="2220" t="str">
        <f t="shared" si="237"/>
        <v>- Capitalized interest / Non-cash Interest Expense</v>
      </c>
      <c r="CM112" s="526">
        <f t="shared" si="238"/>
        <v>8.0055915806249924</v>
      </c>
      <c r="CN112" s="526">
        <f t="shared" si="239"/>
        <v>5.5266322768749863</v>
      </c>
      <c r="CO112" s="526">
        <f t="shared" si="240"/>
        <v>9.9490388980654672</v>
      </c>
      <c r="CP112" s="526">
        <f t="shared" si="241"/>
        <v>5.3313648361737282</v>
      </c>
      <c r="CQ112" s="526">
        <f t="shared" si="242"/>
        <v>7.358890842480772</v>
      </c>
      <c r="CR112" s="526">
        <f t="shared" si="243"/>
        <v>14.449372972021738</v>
      </c>
      <c r="CS112" s="526">
        <f t="shared" si="244"/>
        <v>34.69784921250001</v>
      </c>
      <c r="CT112" s="526">
        <f t="shared" si="245"/>
        <v>15.076689812500002</v>
      </c>
      <c r="CU112" s="526">
        <f t="shared" si="246"/>
        <v>4.5988778124999996</v>
      </c>
      <c r="CV112" s="526">
        <f t="shared" si="247"/>
        <v>11.895096562499996</v>
      </c>
      <c r="CW112" s="526">
        <f t="shared" si="248"/>
        <v>5.8455249999999719</v>
      </c>
      <c r="CX112" s="526">
        <f t="shared" si="249"/>
        <v>4.0218471875000237</v>
      </c>
      <c r="CY112" s="526">
        <f t="shared" si="250"/>
        <v>5.752435914196953</v>
      </c>
      <c r="CZ112" s="526">
        <f t="shared" si="251"/>
        <v>15.230655468750001</v>
      </c>
      <c r="DA112" s="526">
        <f t="shared" si="252"/>
        <v>8.6787900000000011</v>
      </c>
      <c r="DB112" s="526">
        <f t="shared" si="253"/>
        <v>8.5927900000000008</v>
      </c>
      <c r="DC112" s="684">
        <f t="shared" si="254"/>
        <v>8.4967900000000007</v>
      </c>
      <c r="DD112" s="526"/>
      <c r="DE112" s="526"/>
      <c r="DF112" s="526"/>
      <c r="DG112" s="526"/>
      <c r="DH112" s="2585"/>
      <c r="DI112" s="3211"/>
      <c r="DJ112" s="526"/>
      <c r="DK112" s="526"/>
      <c r="DL112" s="526"/>
      <c r="DM112" s="526"/>
      <c r="DN112" s="526"/>
      <c r="DO112" s="526"/>
      <c r="DP112" s="526"/>
      <c r="DQ112" s="660"/>
      <c r="DR112" s="660"/>
      <c r="DS112" s="660"/>
      <c r="DT112" s="660"/>
    </row>
    <row r="113" spans="1:130" ht="13.5" customHeight="1" x14ac:dyDescent="0.25">
      <c r="A113" s="414" t="s">
        <v>957</v>
      </c>
      <c r="B113" s="423"/>
      <c r="C113" s="398">
        <f>-C127</f>
        <v>-7.6</v>
      </c>
      <c r="D113" s="398">
        <f t="shared" ref="D113:AK113" si="281">-D127</f>
        <v>-7.7000000000000011</v>
      </c>
      <c r="E113" s="398">
        <f t="shared" si="281"/>
        <v>-11.4</v>
      </c>
      <c r="F113" s="398">
        <f t="shared" si="281"/>
        <v>-12.299999999999999</v>
      </c>
      <c r="G113" s="529">
        <f t="shared" si="281"/>
        <v>-39</v>
      </c>
      <c r="H113" s="398">
        <f t="shared" si="281"/>
        <v>-6.8</v>
      </c>
      <c r="I113" s="398">
        <f t="shared" si="281"/>
        <v>-15.5</v>
      </c>
      <c r="J113" s="398">
        <f t="shared" si="281"/>
        <v>-8.6999999999999993</v>
      </c>
      <c r="K113" s="398">
        <f t="shared" si="281"/>
        <v>-19.499999999999996</v>
      </c>
      <c r="L113" s="529">
        <f t="shared" si="281"/>
        <v>-50.5</v>
      </c>
      <c r="M113" s="398">
        <f t="shared" si="281"/>
        <v>-12</v>
      </c>
      <c r="N113" s="398">
        <f t="shared" si="281"/>
        <v>-19.100000000000001</v>
      </c>
      <c r="O113" s="398">
        <f t="shared" si="281"/>
        <v>-13.8</v>
      </c>
      <c r="P113" s="398">
        <f t="shared" si="281"/>
        <v>-19.199999999999996</v>
      </c>
      <c r="Q113" s="529">
        <f t="shared" si="281"/>
        <v>-64.099999999999994</v>
      </c>
      <c r="R113" s="398">
        <f t="shared" si="281"/>
        <v>-14.6</v>
      </c>
      <c r="S113" s="398">
        <f t="shared" si="281"/>
        <v>-13.799999999999999</v>
      </c>
      <c r="T113" s="398">
        <f t="shared" si="281"/>
        <v>-12.300000000000006</v>
      </c>
      <c r="U113" s="398">
        <f t="shared" si="281"/>
        <v>-31.5</v>
      </c>
      <c r="V113" s="529">
        <f t="shared" si="281"/>
        <v>-72.2</v>
      </c>
      <c r="W113" s="398">
        <f t="shared" si="281"/>
        <v>-15.7</v>
      </c>
      <c r="X113" s="398">
        <f t="shared" si="281"/>
        <v>-16.900000000000002</v>
      </c>
      <c r="Y113" s="398">
        <f t="shared" si="281"/>
        <v>-12.5</v>
      </c>
      <c r="Z113" s="398">
        <f t="shared" si="281"/>
        <v>-22.099999999999998</v>
      </c>
      <c r="AA113" s="529">
        <f t="shared" si="281"/>
        <v>-67.2</v>
      </c>
      <c r="AB113" s="398">
        <f t="shared" si="281"/>
        <v>-16</v>
      </c>
      <c r="AC113" s="398">
        <f t="shared" si="281"/>
        <v>-15.600000000000001</v>
      </c>
      <c r="AD113" s="398">
        <f t="shared" si="281"/>
        <v>-26</v>
      </c>
      <c r="AE113" s="530">
        <f t="shared" si="281"/>
        <v>-23</v>
      </c>
      <c r="AF113" s="527">
        <f t="shared" si="231"/>
        <v>-80.599999999999994</v>
      </c>
      <c r="AG113" s="530">
        <f t="shared" si="281"/>
        <v>-31.2</v>
      </c>
      <c r="AH113" s="530">
        <f t="shared" si="281"/>
        <v>-23.2</v>
      </c>
      <c r="AI113" s="530">
        <f t="shared" si="281"/>
        <v>-22.3</v>
      </c>
      <c r="AJ113" s="530">
        <f t="shared" si="281"/>
        <v>-18.2</v>
      </c>
      <c r="AK113" s="531">
        <f t="shared" si="281"/>
        <v>-94.9</v>
      </c>
      <c r="AL113" s="530">
        <f t="shared" ref="AL113:CA113" si="282">-AL127</f>
        <v>-14.7</v>
      </c>
      <c r="AM113" s="530">
        <f t="shared" si="282"/>
        <v>-14.6</v>
      </c>
      <c r="AN113" s="530">
        <f t="shared" si="282"/>
        <v>-22.900000000000002</v>
      </c>
      <c r="AO113" s="530">
        <f t="shared" si="282"/>
        <v>-24.8</v>
      </c>
      <c r="AP113" s="532">
        <f t="shared" si="282"/>
        <v>-77</v>
      </c>
      <c r="AQ113" s="532">
        <f t="shared" si="282"/>
        <v>-21.5</v>
      </c>
      <c r="AR113" s="530">
        <f t="shared" si="282"/>
        <v>-30.2</v>
      </c>
      <c r="AS113" s="530">
        <f t="shared" si="282"/>
        <v>-14</v>
      </c>
      <c r="AT113" s="530">
        <f t="shared" si="282"/>
        <v>-20.3</v>
      </c>
      <c r="AU113" s="531">
        <f t="shared" si="282"/>
        <v>-86</v>
      </c>
      <c r="AV113" s="532">
        <f>-AV127</f>
        <v>-21.9</v>
      </c>
      <c r="AW113" s="530">
        <f t="shared" si="282"/>
        <v>-23.945999999999998</v>
      </c>
      <c r="AX113" s="530">
        <f t="shared" si="282"/>
        <v>-16.260000000000002</v>
      </c>
      <c r="AY113" s="1284">
        <f t="shared" si="282"/>
        <v>-18.694000000000017</v>
      </c>
      <c r="AZ113" s="531">
        <f t="shared" si="282"/>
        <v>-80.800000000000011</v>
      </c>
      <c r="BA113" s="530">
        <f t="shared" si="282"/>
        <v>-24.084</v>
      </c>
      <c r="BB113" s="530">
        <f t="shared" si="282"/>
        <v>-20.2</v>
      </c>
      <c r="BC113" s="530">
        <f t="shared" si="282"/>
        <v>-21.4</v>
      </c>
      <c r="BD113" s="1284">
        <f t="shared" si="282"/>
        <v>-17.716000000000008</v>
      </c>
      <c r="BE113" s="1284">
        <f t="shared" si="282"/>
        <v>-83.4</v>
      </c>
      <c r="BF113" s="530">
        <f t="shared" ref="BF113:BO113" si="283">-BF127</f>
        <v>-11.86</v>
      </c>
      <c r="BG113" s="530">
        <f t="shared" si="283"/>
        <v>-18.305</v>
      </c>
      <c r="BH113" s="530">
        <f t="shared" si="283"/>
        <v>-11.701000000000001</v>
      </c>
      <c r="BI113" s="1284">
        <f t="shared" si="283"/>
        <v>-20.826000000000001</v>
      </c>
      <c r="BJ113" s="1284">
        <f t="shared" si="283"/>
        <v>-62.692</v>
      </c>
      <c r="BK113" s="530">
        <f t="shared" si="283"/>
        <v>-14.872999999999999</v>
      </c>
      <c r="BL113" s="530">
        <f>-BL127</f>
        <v>-17.670000000000002</v>
      </c>
      <c r="BM113" s="530">
        <f t="shared" si="283"/>
        <v>-18.887999999999998</v>
      </c>
      <c r="BN113" s="1284">
        <f t="shared" si="283"/>
        <v>-27.074000000000002</v>
      </c>
      <c r="BO113" s="1284">
        <f t="shared" si="283"/>
        <v>-78.504999999999995</v>
      </c>
      <c r="BP113" s="530">
        <f t="shared" ref="BP113:BX113" si="284">-BP127</f>
        <v>-10.978</v>
      </c>
      <c r="BQ113" s="530">
        <f t="shared" si="284"/>
        <v>-17.308999999999997</v>
      </c>
      <c r="BR113" s="530">
        <f t="shared" si="284"/>
        <v>-18.344000000000001</v>
      </c>
      <c r="BS113" s="530">
        <f t="shared" si="284"/>
        <v>-27.597000000000001</v>
      </c>
      <c r="BT113" s="3232">
        <f t="shared" si="284"/>
        <v>-74.228000000000009</v>
      </c>
      <c r="BU113" s="3441">
        <f t="shared" si="284"/>
        <v>-27.521276096949332</v>
      </c>
      <c r="BV113" s="3441">
        <f t="shared" si="284"/>
        <v>-20.361277754346851</v>
      </c>
      <c r="BW113" s="3441">
        <f t="shared" si="284"/>
        <v>-27.312780289162671</v>
      </c>
      <c r="BX113" s="3441">
        <f t="shared" si="284"/>
        <v>-28.106546639286464</v>
      </c>
      <c r="BY113" s="3232">
        <f>-BY127</f>
        <v>-103.30188077974532</v>
      </c>
      <c r="BZ113" s="531">
        <f t="shared" si="282"/>
        <v>-139.18879107635362</v>
      </c>
      <c r="CA113" s="531">
        <f t="shared" si="282"/>
        <v>-154.00732659840105</v>
      </c>
      <c r="CB113" s="531">
        <f>-CB127</f>
        <v>-86.744552585372091</v>
      </c>
      <c r="CC113" s="531">
        <f>-CC127</f>
        <v>-82.745759264676607</v>
      </c>
      <c r="CD113" s="531">
        <f>-CD127</f>
        <v>-84.334460617014983</v>
      </c>
      <c r="CE113" s="531">
        <f>-CE127</f>
        <v>-85.997640475003848</v>
      </c>
      <c r="CF113" s="531">
        <f>-CF127</f>
        <v>-87.608140580652176</v>
      </c>
      <c r="CG113" s="476"/>
      <c r="CH113" s="476"/>
      <c r="CI113" s="476"/>
      <c r="CJ113" s="476"/>
      <c r="CK113" s="476"/>
      <c r="CL113" s="2220" t="str">
        <f t="shared" si="237"/>
        <v>- Maintenance capex</v>
      </c>
      <c r="CM113" s="530">
        <f t="shared" si="238"/>
        <v>-39</v>
      </c>
      <c r="CN113" s="530">
        <f t="shared" si="239"/>
        <v>-50.5</v>
      </c>
      <c r="CO113" s="530">
        <f t="shared" si="240"/>
        <v>-64.099999999999994</v>
      </c>
      <c r="CP113" s="530">
        <f t="shared" si="241"/>
        <v>-72.2</v>
      </c>
      <c r="CQ113" s="530">
        <f t="shared" si="242"/>
        <v>-67.2</v>
      </c>
      <c r="CR113" s="530">
        <f t="shared" si="243"/>
        <v>-80.599999999999994</v>
      </c>
      <c r="CS113" s="530">
        <f t="shared" si="244"/>
        <v>-94.9</v>
      </c>
      <c r="CT113" s="530">
        <f t="shared" si="245"/>
        <v>-77</v>
      </c>
      <c r="CU113" s="530">
        <f t="shared" si="246"/>
        <v>-86</v>
      </c>
      <c r="CV113" s="530">
        <f t="shared" si="247"/>
        <v>-80.800000000000011</v>
      </c>
      <c r="CW113" s="530">
        <f t="shared" si="248"/>
        <v>-83.4</v>
      </c>
      <c r="CX113" s="530">
        <f t="shared" si="249"/>
        <v>-62.692</v>
      </c>
      <c r="CY113" s="530">
        <f t="shared" si="250"/>
        <v>-78.504999999999995</v>
      </c>
      <c r="CZ113" s="530">
        <f t="shared" si="251"/>
        <v>-74.228000000000009</v>
      </c>
      <c r="DA113" s="530">
        <f t="shared" si="252"/>
        <v>-103.30188077974532</v>
      </c>
      <c r="DB113" s="530">
        <f t="shared" si="253"/>
        <v>-139.18879107635362</v>
      </c>
      <c r="DC113" s="1284">
        <f t="shared" si="254"/>
        <v>-154.00732659840105</v>
      </c>
      <c r="DD113" s="476"/>
      <c r="DE113" s="476"/>
      <c r="DF113" s="598"/>
      <c r="DG113" s="598"/>
      <c r="DH113" s="2585"/>
      <c r="DI113" s="3213"/>
      <c r="DJ113" s="598"/>
      <c r="DK113" s="598"/>
      <c r="DL113" s="598"/>
      <c r="DM113" s="598"/>
      <c r="DN113" s="598"/>
      <c r="DO113" s="598"/>
      <c r="DP113" s="598"/>
      <c r="DQ113" s="598"/>
      <c r="DR113" s="660"/>
      <c r="DS113" s="660"/>
      <c r="DT113" s="660"/>
    </row>
    <row r="114" spans="1:130" ht="13.5" customHeight="1" x14ac:dyDescent="0.25">
      <c r="A114" s="407" t="s">
        <v>2052</v>
      </c>
      <c r="B114" s="1808"/>
      <c r="C114" s="407">
        <f>SUM(C106:C113)</f>
        <v>33.626888449999988</v>
      </c>
      <c r="D114" s="407">
        <f>SUM(D106:D113)</f>
        <v>36.855415454374992</v>
      </c>
      <c r="E114" s="407">
        <f>SUM(E106:E113)</f>
        <v>31.869704551250003</v>
      </c>
      <c r="F114" s="407">
        <f>SUM(F106:F113)</f>
        <v>25.784583125000012</v>
      </c>
      <c r="G114" s="1809">
        <f>SUM(C114:F114)</f>
        <v>128.13659158062501</v>
      </c>
      <c r="H114" s="407">
        <f>SUM(H106:H113)</f>
        <v>37.736404548864137</v>
      </c>
      <c r="I114" s="407">
        <f>SUM(I106:I113)</f>
        <v>32.08235860155991</v>
      </c>
      <c r="J114" s="407">
        <f>SUM(J106:J113)</f>
        <v>40.187937500000004</v>
      </c>
      <c r="K114" s="407">
        <f>SUM(K106:K113)</f>
        <v>50.606063545598175</v>
      </c>
      <c r="L114" s="1809">
        <f>SUM(H114:K114)</f>
        <v>160.61276419602223</v>
      </c>
      <c r="M114" s="407">
        <f>SUM(M106:M113)</f>
        <v>76.840858140624988</v>
      </c>
      <c r="N114" s="407">
        <f>SUM(N106:N113)</f>
        <v>59.885422656250007</v>
      </c>
      <c r="O114" s="407">
        <f>SUM(O106:O113)</f>
        <v>69.624623288690486</v>
      </c>
      <c r="P114" s="407">
        <f>SUM(P106:P113)</f>
        <v>25.79013481250005</v>
      </c>
      <c r="Q114" s="1809">
        <f>SUM(M114:P114)</f>
        <v>232.14103889806552</v>
      </c>
      <c r="R114" s="407">
        <f>SUM(R106:R113)</f>
        <v>74.944028679435462</v>
      </c>
      <c r="S114" s="407">
        <f>SUM(S106:S113)</f>
        <v>74.228777270507777</v>
      </c>
      <c r="T114" s="407">
        <f>SUM(T106:T113)</f>
        <v>82.573186562499984</v>
      </c>
      <c r="U114" s="407">
        <f>SUM(U106:U113)</f>
        <v>47.928372323730486</v>
      </c>
      <c r="V114" s="1809">
        <f>SUM(R114:U114)</f>
        <v>279.67436483617371</v>
      </c>
      <c r="W114" s="407">
        <f>SUM(W106:W113)</f>
        <v>73.448303212980747</v>
      </c>
      <c r="X114" s="407">
        <f>SUM(X106:X113)</f>
        <v>74.475371124999953</v>
      </c>
      <c r="Y114" s="407">
        <f>SUM(Y106:Y113)</f>
        <v>85.004232755000032</v>
      </c>
      <c r="Z114" s="407">
        <f>SUM(Z106:Z113)</f>
        <v>73.366793749499962</v>
      </c>
      <c r="AA114" s="1809">
        <f>SUM(W114:Z114)</f>
        <v>306.29470084248067</v>
      </c>
      <c r="AB114" s="407">
        <f>SUM(AB106:AB113)</f>
        <v>83.622375650000009</v>
      </c>
      <c r="AC114" s="407">
        <f>SUM(AC106:AC113)</f>
        <v>76.567932149000001</v>
      </c>
      <c r="AD114" s="407">
        <f>SUM(AD106:AD113)</f>
        <v>74.187458387521716</v>
      </c>
      <c r="AE114" s="407">
        <f>SUM(AE106:AE113)</f>
        <v>42.618956785499918</v>
      </c>
      <c r="AF114" s="1809">
        <f t="shared" si="231"/>
        <v>276.99672297202164</v>
      </c>
      <c r="AG114" s="407">
        <f>SUM(AG106:AG113)</f>
        <v>74.072406512500052</v>
      </c>
      <c r="AH114" s="407">
        <f>SUM(AH106:AH113)</f>
        <v>78.954316324999994</v>
      </c>
      <c r="AI114" s="407">
        <f>SUM(AI106:AI113)</f>
        <v>94.649674375000004</v>
      </c>
      <c r="AJ114" s="407">
        <f>SUM(AJ106:AJ113)</f>
        <v>27.836491999999989</v>
      </c>
      <c r="AK114" s="1809">
        <f>SUM(AG114:AJ114)</f>
        <v>275.5128892125</v>
      </c>
      <c r="AL114" s="407">
        <f>SUM(AL106:AL113)</f>
        <v>108.53191512499998</v>
      </c>
      <c r="AM114" s="407">
        <f>SUM(AM106:AM113)</f>
        <v>112.79232000000003</v>
      </c>
      <c r="AN114" s="407">
        <f>SUM(AN106:AN113)</f>
        <v>97.830867187500061</v>
      </c>
      <c r="AO114" s="407">
        <f>SUM(AO106:AO113)</f>
        <v>100.79088749999997</v>
      </c>
      <c r="AP114" s="420">
        <f>SUM(AL114:AO114)</f>
        <v>419.9459898125001</v>
      </c>
      <c r="AQ114" s="420">
        <f t="shared" ref="AQ114:CA114" si="285">SUM(AQ106:AQ113)</f>
        <v>119.01453593749994</v>
      </c>
      <c r="AR114" s="407">
        <f t="shared" si="285"/>
        <v>104.19089531249999</v>
      </c>
      <c r="AS114" s="407">
        <f t="shared" si="285"/>
        <v>121.46286718750002</v>
      </c>
      <c r="AT114" s="407">
        <f t="shared" si="285"/>
        <v>104.85397937499997</v>
      </c>
      <c r="AU114" s="1809">
        <f t="shared" si="285"/>
        <v>449.52227781249985</v>
      </c>
      <c r="AV114" s="420">
        <f t="shared" si="285"/>
        <v>136.36890906249997</v>
      </c>
      <c r="AW114" s="407">
        <f t="shared" si="285"/>
        <v>100.28127187499999</v>
      </c>
      <c r="AX114" s="407">
        <f t="shared" si="285"/>
        <v>118.11047968749999</v>
      </c>
      <c r="AY114" s="1810">
        <f t="shared" si="285"/>
        <v>54.269235937499985</v>
      </c>
      <c r="AZ114" s="1809">
        <f t="shared" si="285"/>
        <v>409.02989656250026</v>
      </c>
      <c r="BA114" s="407">
        <f t="shared" si="285"/>
        <v>38.860771875000012</v>
      </c>
      <c r="BB114" s="407">
        <f t="shared" si="285"/>
        <v>26.540128124999971</v>
      </c>
      <c r="BC114" s="407">
        <f t="shared" si="285"/>
        <v>15.262971875000012</v>
      </c>
      <c r="BD114" s="1810">
        <f t="shared" si="285"/>
        <v>15.98325312500004</v>
      </c>
      <c r="BE114" s="1810">
        <f t="shared" si="285"/>
        <v>96.647124999999988</v>
      </c>
      <c r="BF114" s="407">
        <f>SUM(BF106:BF113)</f>
        <v>41.769250781249966</v>
      </c>
      <c r="BG114" s="407">
        <f>SUM(BG106:BG113)</f>
        <v>36.268808593750009</v>
      </c>
      <c r="BH114" s="407">
        <f>SUM(BH106:BH113)</f>
        <v>45.531846343749976</v>
      </c>
      <c r="BI114" s="1810">
        <f>SUM(BI106:BI113)</f>
        <v>52.927138637716673</v>
      </c>
      <c r="BJ114" s="1810">
        <f t="shared" si="285"/>
        <v>176.49704435646663</v>
      </c>
      <c r="BK114" s="407">
        <f t="shared" ref="BK114:BU114" si="286">SUM(BK106:BK113)</f>
        <v>63.486441531250016</v>
      </c>
      <c r="BL114" s="407">
        <f t="shared" si="286"/>
        <v>72.108883125000006</v>
      </c>
      <c r="BM114" s="407">
        <f t="shared" si="286"/>
        <v>83.385132187500034</v>
      </c>
      <c r="BN114" s="1810">
        <f t="shared" si="286"/>
        <v>39.261718750000043</v>
      </c>
      <c r="BO114" s="1810">
        <f t="shared" si="286"/>
        <v>258.24217559375012</v>
      </c>
      <c r="BP114" s="407">
        <f t="shared" si="286"/>
        <v>54.05910937499997</v>
      </c>
      <c r="BQ114" s="407">
        <f t="shared" si="286"/>
        <v>60.632849218750039</v>
      </c>
      <c r="BR114" s="407">
        <f t="shared" si="286"/>
        <v>62.482525312499909</v>
      </c>
      <c r="BS114" s="407">
        <f t="shared" si="286"/>
        <v>-264.46425843749989</v>
      </c>
      <c r="BT114" s="1809">
        <f t="shared" si="286"/>
        <v>-87.289774531249904</v>
      </c>
      <c r="BU114" s="407">
        <f t="shared" si="286"/>
        <v>58.197972724527958</v>
      </c>
      <c r="BV114" s="407">
        <f>SUM(BV106:BV113)</f>
        <v>70.940286154679825</v>
      </c>
      <c r="BW114" s="407">
        <f>SUM(BW106:BW113)</f>
        <v>94.776860057149349</v>
      </c>
      <c r="BX114" s="407">
        <f>SUM(BX106:BX113)</f>
        <v>71.121300775975371</v>
      </c>
      <c r="BY114" s="1809">
        <f>SUM(BY106:BY113)</f>
        <v>295.03641971233282</v>
      </c>
      <c r="BZ114" s="1809">
        <f t="shared" si="285"/>
        <v>371.7438093836887</v>
      </c>
      <c r="CA114" s="1809">
        <f t="shared" si="285"/>
        <v>343.68899459820091</v>
      </c>
      <c r="CB114" s="1809">
        <f>SUM(CB106:CB113)</f>
        <v>-1350.4859648938132</v>
      </c>
      <c r="CC114" s="1809">
        <f>SUM(CC106:CC113)</f>
        <v>-2938.0295406707332</v>
      </c>
      <c r="CD114" s="1809">
        <f>SUM(CD106:CD113)</f>
        <v>-6000.0360437861045</v>
      </c>
      <c r="CE114" s="1809">
        <f>SUM(CE106:CE113)</f>
        <v>-12117.730168462322</v>
      </c>
      <c r="CF114" s="1809">
        <f>SUM(CF106:CF113)</f>
        <v>-24365.854565158697</v>
      </c>
      <c r="CG114" s="476"/>
      <c r="CH114" s="476"/>
      <c r="CI114" s="476"/>
      <c r="CJ114" s="476"/>
      <c r="CK114" s="476"/>
      <c r="CL114" s="2221" t="str">
        <f t="shared" si="237"/>
        <v>Operating Free Cash Flow</v>
      </c>
      <c r="CM114" s="2222">
        <f t="shared" si="238"/>
        <v>128.13659158062501</v>
      </c>
      <c r="CN114" s="2222">
        <f t="shared" si="239"/>
        <v>160.61276419602223</v>
      </c>
      <c r="CO114" s="2222">
        <f t="shared" si="240"/>
        <v>232.14103889806552</v>
      </c>
      <c r="CP114" s="2222">
        <f t="shared" si="241"/>
        <v>279.67436483617371</v>
      </c>
      <c r="CQ114" s="2222">
        <f t="shared" si="242"/>
        <v>306.29470084248067</v>
      </c>
      <c r="CR114" s="2222">
        <f t="shared" si="243"/>
        <v>276.99672297202164</v>
      </c>
      <c r="CS114" s="2222">
        <f t="shared" si="244"/>
        <v>275.5128892125</v>
      </c>
      <c r="CT114" s="2222">
        <f t="shared" si="245"/>
        <v>419.9459898125001</v>
      </c>
      <c r="CU114" s="2222">
        <f t="shared" si="246"/>
        <v>449.52227781249985</v>
      </c>
      <c r="CV114" s="2222">
        <f t="shared" si="247"/>
        <v>409.02989656250026</v>
      </c>
      <c r="CW114" s="2222">
        <f t="shared" si="248"/>
        <v>96.647124999999988</v>
      </c>
      <c r="CX114" s="2222">
        <f t="shared" si="249"/>
        <v>176.49704435646663</v>
      </c>
      <c r="CY114" s="2222">
        <f t="shared" si="250"/>
        <v>258.24217559375012</v>
      </c>
      <c r="CZ114" s="2222">
        <f t="shared" si="251"/>
        <v>-87.289774531249904</v>
      </c>
      <c r="DA114" s="2222">
        <f t="shared" si="252"/>
        <v>295.03641971233282</v>
      </c>
      <c r="DB114" s="2222">
        <f t="shared" si="253"/>
        <v>371.7438093836887</v>
      </c>
      <c r="DC114" s="2223">
        <f t="shared" si="254"/>
        <v>343.68899459820091</v>
      </c>
      <c r="DD114" s="476"/>
      <c r="DE114" s="476"/>
      <c r="DF114" s="598"/>
      <c r="DG114" s="598"/>
      <c r="DH114" s="656"/>
      <c r="DI114" s="3213"/>
      <c r="DJ114" s="598"/>
      <c r="DK114" s="598"/>
      <c r="DL114" s="598"/>
      <c r="DM114" s="598"/>
      <c r="DN114" s="598"/>
      <c r="DO114" s="598"/>
      <c r="DP114" s="598"/>
      <c r="DQ114" s="598"/>
      <c r="DR114" s="660"/>
      <c r="DS114" s="660"/>
      <c r="DT114" s="660"/>
    </row>
    <row r="115" spans="1:130" ht="13.5" customHeight="1" x14ac:dyDescent="0.25">
      <c r="A115" s="414" t="s">
        <v>11</v>
      </c>
      <c r="B115" s="423"/>
      <c r="C115" s="311">
        <f>(D1288+D1293)/2</f>
        <v>-0.95950000000000024</v>
      </c>
      <c r="D115" s="311">
        <f>(D1288+D1293)/2</f>
        <v>-0.95950000000000024</v>
      </c>
      <c r="E115" s="311">
        <f>E1288+E1293</f>
        <v>-10.852999999999998</v>
      </c>
      <c r="F115" s="311">
        <f>F1288+F1293</f>
        <v>19.091000000000001</v>
      </c>
      <c r="G115" s="518">
        <f>SUM(C115:F115)</f>
        <v>6.3190000000000026</v>
      </c>
      <c r="H115" s="311">
        <f>H1288+H1293</f>
        <v>76.935000000000002</v>
      </c>
      <c r="I115" s="311">
        <f>I1288+I1293</f>
        <v>17.955000000000009</v>
      </c>
      <c r="J115" s="311">
        <f>J1288+J1293</f>
        <v>-54.468000000000004</v>
      </c>
      <c r="K115" s="311">
        <f>K1288+K1293</f>
        <v>-91.001999999999981</v>
      </c>
      <c r="L115" s="518">
        <f>SUM(H115:K115)</f>
        <v>-50.57999999999997</v>
      </c>
      <c r="M115" s="311">
        <f>SUM(M1289:M1300)</f>
        <v>-1.9000000000005457E-2</v>
      </c>
      <c r="N115" s="311">
        <f>SUM(N1289:N1300)</f>
        <v>-83.143000000000001</v>
      </c>
      <c r="O115" s="311">
        <f>SUM(O1289:O1300)</f>
        <v>73.783999999999992</v>
      </c>
      <c r="P115" s="311">
        <f>SUM(P1289:P1300)</f>
        <v>-36.817999999999998</v>
      </c>
      <c r="Q115" s="518">
        <f>SUM(M115:P115)</f>
        <v>-46.196000000000012</v>
      </c>
      <c r="R115" s="311">
        <f>SUM(R1289:R1300)</f>
        <v>76.546999999999997</v>
      </c>
      <c r="S115" s="311">
        <f>SUM(S1289:S1300)</f>
        <v>21.638999999999996</v>
      </c>
      <c r="T115" s="311">
        <f>SUM(T1289:T1300)</f>
        <v>-32.113999999999997</v>
      </c>
      <c r="U115" s="311">
        <f>SUM(U1289:U1300)</f>
        <v>-1.2980000000000071</v>
      </c>
      <c r="V115" s="518">
        <f>SUM(R115:U115)</f>
        <v>64.774000000000001</v>
      </c>
      <c r="W115" s="311">
        <f>SUM(W1289:W1300)</f>
        <v>-5.532</v>
      </c>
      <c r="X115" s="311">
        <f>SUM(X1289:X1300)</f>
        <v>-0.24599999999999511</v>
      </c>
      <c r="Y115" s="311">
        <f>SUM(Y1289:Y1300)</f>
        <v>-10.880000000000006</v>
      </c>
      <c r="Z115" s="311">
        <f>SUM(Z1289:Z1300)</f>
        <v>-15.042000000000002</v>
      </c>
      <c r="AA115" s="518">
        <f>SUM(W115:Z115)</f>
        <v>-31.700000000000003</v>
      </c>
      <c r="AB115" s="311">
        <f>SUM(AB1289:AB1300)</f>
        <v>4.126000000000003</v>
      </c>
      <c r="AC115" s="311">
        <f>SUM(AC1289:AC1300)</f>
        <v>-31.257999999999996</v>
      </c>
      <c r="AD115" s="311">
        <f>SUM(AD1289:AD1300)</f>
        <v>43.033999999999999</v>
      </c>
      <c r="AE115" s="526">
        <f>SUM(AE1289:AE1300)</f>
        <v>-33.270000000000003</v>
      </c>
      <c r="AF115" s="527">
        <f t="shared" si="231"/>
        <v>-17.367999999999995</v>
      </c>
      <c r="AG115" s="526">
        <f>SUM(AG1289:AG1300)</f>
        <v>-9.7499999999999964</v>
      </c>
      <c r="AH115" s="526">
        <f>SUM(AH1289:AH1300)</f>
        <v>35.337999999999994</v>
      </c>
      <c r="AI115" s="526">
        <f>SUM(AI1289:AI1300)</f>
        <v>25.950000000000003</v>
      </c>
      <c r="AJ115" s="526">
        <f>SUM(AJ1289:AJ1300)</f>
        <v>3.001000000000003</v>
      </c>
      <c r="AK115" s="527">
        <f>SUM(AG115:AJ115)</f>
        <v>54.539000000000001</v>
      </c>
      <c r="AL115" s="526">
        <f>SUM(AL1289:AL1300)</f>
        <v>-21.882000000000005</v>
      </c>
      <c r="AM115" s="526">
        <f>SUM(AM1289:AM1300)</f>
        <v>30.135000000000002</v>
      </c>
      <c r="AN115" s="526">
        <f>SUM(AN1289:AN1300)</f>
        <v>9.8369999999999962</v>
      </c>
      <c r="AO115" s="526">
        <f>SUM(AO1289:AO1300)</f>
        <v>34.768999999999998</v>
      </c>
      <c r="AP115" s="528">
        <f>SUM(AL115:AO115)</f>
        <v>52.858999999999995</v>
      </c>
      <c r="AQ115" s="528">
        <f t="shared" ref="AQ115:BI115" si="287">SUM(AQ1289:AQ1300)</f>
        <v>-13.118999999999996</v>
      </c>
      <c r="AR115" s="526">
        <f t="shared" si="287"/>
        <v>-11.847</v>
      </c>
      <c r="AS115" s="526">
        <f t="shared" si="287"/>
        <v>-36.826999999999998</v>
      </c>
      <c r="AT115" s="526">
        <f t="shared" si="287"/>
        <v>27.266999999999999</v>
      </c>
      <c r="AU115" s="527">
        <f t="shared" si="287"/>
        <v>-34.526000000000003</v>
      </c>
      <c r="AV115" s="528">
        <f>SUM(AV1289:AV1300)</f>
        <v>-30.796999999999997</v>
      </c>
      <c r="AW115" s="526">
        <f>SUM(AW1289:AW1300)</f>
        <v>4.3580000000000023</v>
      </c>
      <c r="AX115" s="526">
        <f>SUM(AX1289:AX1300)</f>
        <v>28.593000000000004</v>
      </c>
      <c r="AY115" s="684">
        <f>SUM(AY1289:AY1300)</f>
        <v>-49.035000000000018</v>
      </c>
      <c r="AZ115" s="527">
        <f t="shared" si="287"/>
        <v>-46.881</v>
      </c>
      <c r="BA115" s="526">
        <f>SUM(BA1289:BA1300)</f>
        <v>-34.670999999999999</v>
      </c>
      <c r="BB115" s="526">
        <f>SUM(BB1289:BB1300)</f>
        <v>30.227999999999994</v>
      </c>
      <c r="BC115" s="526">
        <f>SUM(BC1289:BC1300)</f>
        <v>42.102000000000011</v>
      </c>
      <c r="BD115" s="684">
        <f>SUM(BD1289:BD1300)</f>
        <v>-57.632000000000005</v>
      </c>
      <c r="BE115" s="684">
        <f t="shared" si="287"/>
        <v>-19.972999999999999</v>
      </c>
      <c r="BF115" s="526">
        <f t="shared" si="287"/>
        <v>-13.961</v>
      </c>
      <c r="BG115" s="526">
        <f t="shared" si="287"/>
        <v>50.488999999999997</v>
      </c>
      <c r="BH115" s="526">
        <f t="shared" si="287"/>
        <v>1.4320000000000022</v>
      </c>
      <c r="BI115" s="684">
        <f t="shared" si="287"/>
        <v>-20.799000000000003</v>
      </c>
      <c r="BJ115" s="684">
        <f t="shared" ref="BJ115:CF115" si="288">SUM(BJ1289:BJ1300)</f>
        <v>17.161000000000005</v>
      </c>
      <c r="BK115" s="526">
        <f t="shared" si="288"/>
        <v>-21.475000000000005</v>
      </c>
      <c r="BL115" s="526">
        <f t="shared" si="288"/>
        <v>7.4629999999999992</v>
      </c>
      <c r="BM115" s="526">
        <f t="shared" si="288"/>
        <v>3.7269999999999985</v>
      </c>
      <c r="BN115" s="684">
        <f t="shared" si="288"/>
        <v>1.0079999999999987</v>
      </c>
      <c r="BO115" s="684">
        <f t="shared" si="288"/>
        <v>-9.2769999999999992</v>
      </c>
      <c r="BP115" s="526">
        <f t="shared" ref="BP115:BX115" si="289">SUM(BP1289:BP1300)</f>
        <v>-22.114000000000001</v>
      </c>
      <c r="BQ115" s="526">
        <f t="shared" si="289"/>
        <v>28.924000000000003</v>
      </c>
      <c r="BR115" s="526">
        <f t="shared" si="289"/>
        <v>39.447999999999993</v>
      </c>
      <c r="BS115" s="526">
        <f t="shared" si="289"/>
        <v>60.59</v>
      </c>
      <c r="BT115" s="3230">
        <f t="shared" si="289"/>
        <v>106.848</v>
      </c>
      <c r="BU115" s="2585">
        <f t="shared" si="289"/>
        <v>0</v>
      </c>
      <c r="BV115" s="2585">
        <f t="shared" si="289"/>
        <v>0</v>
      </c>
      <c r="BW115" s="2585">
        <f t="shared" si="289"/>
        <v>0</v>
      </c>
      <c r="BX115" s="2585">
        <f t="shared" si="289"/>
        <v>0</v>
      </c>
      <c r="BY115" s="3230">
        <f>SUM(BY1289:BY1300)</f>
        <v>0</v>
      </c>
      <c r="BZ115" s="527">
        <f t="shared" si="288"/>
        <v>0</v>
      </c>
      <c r="CA115" s="527">
        <f t="shared" si="288"/>
        <v>0</v>
      </c>
      <c r="CB115" s="527">
        <f t="shared" si="288"/>
        <v>-14.173731249999996</v>
      </c>
      <c r="CC115" s="527">
        <f t="shared" si="288"/>
        <v>-14.173731250000003</v>
      </c>
      <c r="CD115" s="527">
        <f t="shared" si="288"/>
        <v>-14.173731250000003</v>
      </c>
      <c r="CE115" s="527">
        <f t="shared" si="288"/>
        <v>-14.173731249999989</v>
      </c>
      <c r="CF115" s="527">
        <f t="shared" si="288"/>
        <v>-14.173731250000003</v>
      </c>
      <c r="CG115" s="476"/>
      <c r="CH115" s="476"/>
      <c r="CI115" s="476"/>
      <c r="CJ115" s="476"/>
      <c r="CK115" s="476"/>
      <c r="CL115" s="2220" t="str">
        <f t="shared" si="237"/>
        <v>+/- Change in working capital &amp; other</v>
      </c>
      <c r="CM115" s="526">
        <f t="shared" si="238"/>
        <v>6.3190000000000026</v>
      </c>
      <c r="CN115" s="526">
        <f t="shared" si="239"/>
        <v>-50.57999999999997</v>
      </c>
      <c r="CO115" s="526">
        <f t="shared" si="240"/>
        <v>-46.196000000000012</v>
      </c>
      <c r="CP115" s="526">
        <f t="shared" si="241"/>
        <v>64.774000000000001</v>
      </c>
      <c r="CQ115" s="526">
        <f t="shared" si="242"/>
        <v>-31.700000000000003</v>
      </c>
      <c r="CR115" s="526">
        <f t="shared" si="243"/>
        <v>-17.367999999999995</v>
      </c>
      <c r="CS115" s="526">
        <f t="shared" si="244"/>
        <v>54.539000000000001</v>
      </c>
      <c r="CT115" s="526">
        <f t="shared" si="245"/>
        <v>52.858999999999995</v>
      </c>
      <c r="CU115" s="526">
        <f t="shared" si="246"/>
        <v>-34.526000000000003</v>
      </c>
      <c r="CV115" s="526">
        <f t="shared" si="247"/>
        <v>-46.881</v>
      </c>
      <c r="CW115" s="526">
        <f t="shared" si="248"/>
        <v>-19.972999999999999</v>
      </c>
      <c r="CX115" s="526">
        <f t="shared" si="249"/>
        <v>17.161000000000005</v>
      </c>
      <c r="CY115" s="526">
        <f t="shared" si="250"/>
        <v>-9.2769999999999992</v>
      </c>
      <c r="CZ115" s="526">
        <f t="shared" si="251"/>
        <v>106.848</v>
      </c>
      <c r="DA115" s="526">
        <f t="shared" si="252"/>
        <v>0</v>
      </c>
      <c r="DB115" s="526">
        <f t="shared" si="253"/>
        <v>0</v>
      </c>
      <c r="DC115" s="684">
        <f t="shared" si="254"/>
        <v>0</v>
      </c>
      <c r="DD115" s="476"/>
      <c r="DE115" s="476"/>
      <c r="DF115" s="598"/>
      <c r="DG115" s="598"/>
      <c r="DH115" s="2585"/>
      <c r="DI115" s="3213"/>
      <c r="DJ115" s="598"/>
      <c r="DK115" s="598"/>
      <c r="DL115" s="598"/>
      <c r="DM115" s="598"/>
      <c r="DN115" s="598"/>
      <c r="DO115" s="598"/>
      <c r="DP115" s="598"/>
      <c r="DQ115" s="598"/>
      <c r="DR115" s="660"/>
      <c r="DS115" s="660"/>
      <c r="DT115" s="660"/>
    </row>
    <row r="116" spans="1:130" ht="13.5" customHeight="1" x14ac:dyDescent="0.25">
      <c r="A116" s="3174" t="s">
        <v>2543</v>
      </c>
      <c r="B116" s="423"/>
      <c r="C116" s="311"/>
      <c r="D116" s="311"/>
      <c r="E116" s="311"/>
      <c r="F116" s="311"/>
      <c r="G116" s="518"/>
      <c r="H116" s="311"/>
      <c r="I116" s="311"/>
      <c r="J116" s="311"/>
      <c r="K116" s="311"/>
      <c r="L116" s="518"/>
      <c r="M116" s="311"/>
      <c r="N116" s="311"/>
      <c r="O116" s="311"/>
      <c r="P116" s="311"/>
      <c r="Q116" s="518"/>
      <c r="R116" s="311"/>
      <c r="S116" s="311"/>
      <c r="T116" s="311"/>
      <c r="U116" s="311"/>
      <c r="V116" s="518"/>
      <c r="W116" s="311"/>
      <c r="X116" s="311"/>
      <c r="Y116" s="311"/>
      <c r="Z116" s="311"/>
      <c r="AA116" s="518"/>
      <c r="AB116" s="311"/>
      <c r="AC116" s="311"/>
      <c r="AD116" s="311"/>
      <c r="AE116" s="526"/>
      <c r="AF116" s="527"/>
      <c r="AG116" s="526"/>
      <c r="AH116" s="526"/>
      <c r="AI116" s="526"/>
      <c r="AJ116" s="526"/>
      <c r="AK116" s="527"/>
      <c r="AL116" s="526"/>
      <c r="AM116" s="526"/>
      <c r="AN116" s="526"/>
      <c r="AO116" s="526"/>
      <c r="AP116" s="528"/>
      <c r="AQ116" s="528"/>
      <c r="AR116" s="526"/>
      <c r="AS116" s="526"/>
      <c r="AT116" s="526"/>
      <c r="AU116" s="527"/>
      <c r="AV116" s="528"/>
      <c r="AW116" s="526"/>
      <c r="AX116" s="526"/>
      <c r="AY116" s="684"/>
      <c r="AZ116" s="527"/>
      <c r="BA116" s="526"/>
      <c r="BB116" s="526"/>
      <c r="BC116" s="526"/>
      <c r="BD116" s="684"/>
      <c r="BE116" s="684"/>
      <c r="BF116" s="526"/>
      <c r="BG116" s="526"/>
      <c r="BH116" s="526"/>
      <c r="BI116" s="684"/>
      <c r="BJ116" s="684"/>
      <c r="BK116" s="526"/>
      <c r="BL116" s="526"/>
      <c r="BM116" s="526"/>
      <c r="BN116" s="684"/>
      <c r="BO116" s="684"/>
      <c r="BP116" s="526">
        <f>+BP1323</f>
        <v>-5.7939999999999996</v>
      </c>
      <c r="BQ116" s="526">
        <f>+BQ1323</f>
        <v>0</v>
      </c>
      <c r="BR116" s="526">
        <f>+BR1323</f>
        <v>-19.001999999999999</v>
      </c>
      <c r="BS116" s="526">
        <f>+BS1323</f>
        <v>0</v>
      </c>
      <c r="BT116" s="3231">
        <f>SUM(BP116:BS116)</f>
        <v>-24.795999999999999</v>
      </c>
      <c r="BU116" s="2585">
        <f t="shared" ref="BU116:CA116" si="290">+BU1323</f>
        <v>0</v>
      </c>
      <c r="BV116" s="2585">
        <f t="shared" si="290"/>
        <v>0</v>
      </c>
      <c r="BW116" s="2585">
        <f t="shared" si="290"/>
        <v>727.91459999999995</v>
      </c>
      <c r="BX116" s="2585">
        <f t="shared" si="290"/>
        <v>0</v>
      </c>
      <c r="BY116" s="3231">
        <f>SUM(BU116:BX116)</f>
        <v>727.91459999999995</v>
      </c>
      <c r="BZ116" s="527">
        <f t="shared" si="290"/>
        <v>0</v>
      </c>
      <c r="CA116" s="527">
        <f t="shared" si="290"/>
        <v>0</v>
      </c>
      <c r="CB116" s="527"/>
      <c r="CC116" s="527"/>
      <c r="CD116" s="527"/>
      <c r="CE116" s="527"/>
      <c r="CF116" s="527"/>
      <c r="CG116" s="476"/>
      <c r="CH116" s="476"/>
      <c r="CI116" s="476"/>
      <c r="CJ116" s="476"/>
      <c r="CK116" s="476"/>
      <c r="CL116" s="2220"/>
      <c r="CM116" s="526"/>
      <c r="CN116" s="526"/>
      <c r="CO116" s="526"/>
      <c r="CP116" s="526"/>
      <c r="CQ116" s="526"/>
      <c r="CR116" s="526"/>
      <c r="CS116" s="526"/>
      <c r="CT116" s="526"/>
      <c r="CU116" s="526"/>
      <c r="CV116" s="526"/>
      <c r="CW116" s="526"/>
      <c r="CX116" s="526"/>
      <c r="CY116" s="526"/>
      <c r="CZ116" s="526"/>
      <c r="DA116" s="526"/>
      <c r="DB116" s="526"/>
      <c r="DC116" s="684"/>
      <c r="DD116" s="476"/>
      <c r="DE116" s="476"/>
      <c r="DF116" s="598"/>
      <c r="DG116" s="598"/>
      <c r="DH116" s="2585"/>
      <c r="DI116" s="3213"/>
      <c r="DJ116" s="598"/>
      <c r="DK116" s="598"/>
      <c r="DL116" s="598"/>
      <c r="DM116" s="598"/>
      <c r="DN116" s="598"/>
      <c r="DO116" s="598"/>
      <c r="DP116" s="598"/>
      <c r="DQ116" s="598"/>
      <c r="DR116" s="660"/>
      <c r="DS116" s="660"/>
      <c r="DT116" s="660"/>
    </row>
    <row r="117" spans="1:130" ht="13.5" customHeight="1" x14ac:dyDescent="0.25">
      <c r="A117" s="414" t="s">
        <v>511</v>
      </c>
      <c r="B117" s="423"/>
      <c r="C117" s="311">
        <f>D1287/2</f>
        <v>1.837</v>
      </c>
      <c r="D117" s="311">
        <f>D1287/2</f>
        <v>1.837</v>
      </c>
      <c r="E117" s="311">
        <f>E1287</f>
        <v>1.8050000000000002</v>
      </c>
      <c r="F117" s="311">
        <f>F1287</f>
        <v>12.705000000000002</v>
      </c>
      <c r="G117" s="518">
        <f>SUM(C117:F117)</f>
        <v>18.184000000000001</v>
      </c>
      <c r="H117" s="311">
        <f t="shared" ref="H117:BI117" si="291">H1287</f>
        <v>-107.85599999999999</v>
      </c>
      <c r="I117" s="311">
        <f t="shared" si="291"/>
        <v>-12.262</v>
      </c>
      <c r="J117" s="311">
        <f t="shared" si="291"/>
        <v>23.645</v>
      </c>
      <c r="K117" s="311">
        <f t="shared" si="291"/>
        <v>67.8</v>
      </c>
      <c r="L117" s="518">
        <f>SUM(H117:K117)</f>
        <v>-28.673000000000002</v>
      </c>
      <c r="M117" s="311">
        <f t="shared" si="291"/>
        <v>1.613</v>
      </c>
      <c r="N117" s="311">
        <f t="shared" si="291"/>
        <v>-3.4239999999999999</v>
      </c>
      <c r="O117" s="311">
        <f t="shared" si="291"/>
        <v>-12.955</v>
      </c>
      <c r="P117" s="311">
        <f t="shared" si="291"/>
        <v>29.16</v>
      </c>
      <c r="Q117" s="518">
        <f>SUM(M117:P117)</f>
        <v>14.394</v>
      </c>
      <c r="R117" s="311">
        <f t="shared" si="291"/>
        <v>3.161</v>
      </c>
      <c r="S117" s="311">
        <f t="shared" si="291"/>
        <v>1.2719999999999998</v>
      </c>
      <c r="T117" s="311">
        <f t="shared" si="291"/>
        <v>7.4950000000000001</v>
      </c>
      <c r="U117" s="311">
        <f t="shared" si="291"/>
        <v>6.3369999999999997</v>
      </c>
      <c r="V117" s="518">
        <f>SUM(R117:U117)</f>
        <v>18.265000000000001</v>
      </c>
      <c r="W117" s="311">
        <f t="shared" si="291"/>
        <v>3.4609999999999999</v>
      </c>
      <c r="X117" s="311">
        <f t="shared" si="291"/>
        <v>2.073</v>
      </c>
      <c r="Y117" s="311">
        <f t="shared" si="291"/>
        <v>-2.5979999999999999</v>
      </c>
      <c r="Z117" s="311">
        <f t="shared" si="291"/>
        <v>-94.033999999999992</v>
      </c>
      <c r="AA117" s="518">
        <f>SUM(W117:Z117)</f>
        <v>-91.097999999999985</v>
      </c>
      <c r="AB117" s="311">
        <f t="shared" si="291"/>
        <v>0.98199999999999998</v>
      </c>
      <c r="AC117" s="311">
        <f t="shared" si="291"/>
        <v>2.1260000000000003</v>
      </c>
      <c r="AD117" s="311">
        <f t="shared" si="291"/>
        <v>-16.198999999999998</v>
      </c>
      <c r="AE117" s="311">
        <f t="shared" si="291"/>
        <v>-133.31700000000001</v>
      </c>
      <c r="AF117" s="518">
        <f t="shared" si="231"/>
        <v>-146.40800000000002</v>
      </c>
      <c r="AG117" s="526">
        <f>AG1287</f>
        <v>4.782</v>
      </c>
      <c r="AH117" s="311">
        <f t="shared" si="291"/>
        <v>-14.176</v>
      </c>
      <c r="AI117" s="311">
        <f t="shared" si="291"/>
        <v>3.7629999999999999</v>
      </c>
      <c r="AJ117" s="311">
        <f t="shared" si="291"/>
        <v>3.4269999999999996</v>
      </c>
      <c r="AK117" s="518">
        <f>SUM(AG117:AJ117)</f>
        <v>-2.2040000000000006</v>
      </c>
      <c r="AL117" s="311">
        <f t="shared" si="291"/>
        <v>7.8419999999999996</v>
      </c>
      <c r="AM117" s="311">
        <f t="shared" si="291"/>
        <v>19.75</v>
      </c>
      <c r="AN117" s="311">
        <f t="shared" si="291"/>
        <v>11.314</v>
      </c>
      <c r="AO117" s="311">
        <f t="shared" si="291"/>
        <v>-17.346</v>
      </c>
      <c r="AP117" s="329">
        <f>SUM(AL117:AO117)</f>
        <v>21.56</v>
      </c>
      <c r="AQ117" s="329">
        <f>AQ1287</f>
        <v>-3.1429999999999998</v>
      </c>
      <c r="AR117" s="311">
        <f>AR1287</f>
        <v>-11.239999999999998</v>
      </c>
      <c r="AS117" s="311">
        <f>AS1287</f>
        <v>18.829999999999998</v>
      </c>
      <c r="AT117" s="311">
        <f>AT1287</f>
        <v>40.536000000000001</v>
      </c>
      <c r="AU117" s="518">
        <f t="shared" si="291"/>
        <v>44.983000000000004</v>
      </c>
      <c r="AV117" s="329">
        <f>AV1287</f>
        <v>8.1739999999999995</v>
      </c>
      <c r="AW117" s="311">
        <f>AW1287</f>
        <v>2.5460000000000012</v>
      </c>
      <c r="AX117" s="311">
        <f>AX1287</f>
        <v>-27.286999999999999</v>
      </c>
      <c r="AY117" s="858">
        <f>AY1287</f>
        <v>-208.416</v>
      </c>
      <c r="AZ117" s="518">
        <f t="shared" si="291"/>
        <v>-224.983</v>
      </c>
      <c r="BA117" s="311">
        <f>BA1287</f>
        <v>0.28799999999999998</v>
      </c>
      <c r="BB117" s="311">
        <f>BB1287</f>
        <v>3.5420000000000003</v>
      </c>
      <c r="BC117" s="311">
        <f>BC1287</f>
        <v>-4.7</v>
      </c>
      <c r="BD117" s="858">
        <f>BD1287</f>
        <v>3.778</v>
      </c>
      <c r="BE117" s="858">
        <f t="shared" si="291"/>
        <v>2.9079999999999999</v>
      </c>
      <c r="BF117" s="311">
        <f t="shared" si="291"/>
        <v>18.648</v>
      </c>
      <c r="BG117" s="311">
        <f t="shared" si="291"/>
        <v>-0.50499999999999901</v>
      </c>
      <c r="BH117" s="311">
        <f t="shared" si="291"/>
        <v>32.317000000000007</v>
      </c>
      <c r="BI117" s="858">
        <f t="shared" si="291"/>
        <v>6.7759999999999891</v>
      </c>
      <c r="BJ117" s="858">
        <f t="shared" ref="BJ117:CF117" si="292">BJ1287</f>
        <v>57.235999999999997</v>
      </c>
      <c r="BK117" s="311">
        <f t="shared" si="292"/>
        <v>-0.74</v>
      </c>
      <c r="BL117" s="311">
        <f t="shared" si="292"/>
        <v>4.28</v>
      </c>
      <c r="BM117" s="311">
        <f t="shared" si="292"/>
        <v>-1.4810000000000001</v>
      </c>
      <c r="BN117" s="858">
        <f t="shared" si="292"/>
        <v>6.6770000000000005</v>
      </c>
      <c r="BO117" s="858">
        <f t="shared" si="292"/>
        <v>8.7360000000000007</v>
      </c>
      <c r="BP117" s="311">
        <f>BP1287</f>
        <v>0.65200000000000002</v>
      </c>
      <c r="BQ117" s="311">
        <f>BQ1287</f>
        <v>1.4350000000000001</v>
      </c>
      <c r="BR117" s="311">
        <f>BR1287</f>
        <v>-764.875</v>
      </c>
      <c r="BS117" s="311">
        <f>BS1287</f>
        <v>244.88200000000006</v>
      </c>
      <c r="BT117" s="3231">
        <f>SUM(BP117:BS117)</f>
        <v>-517.90599999999995</v>
      </c>
      <c r="BU117" s="2649">
        <f>BU1287</f>
        <v>0</v>
      </c>
      <c r="BV117" s="2649">
        <f>BV1287</f>
        <v>0</v>
      </c>
      <c r="BW117" s="2649">
        <f>BW1287</f>
        <v>0</v>
      </c>
      <c r="BX117" s="2649">
        <f>BX1287</f>
        <v>0</v>
      </c>
      <c r="BY117" s="3231">
        <f>SUM(BU117:BX117)</f>
        <v>0</v>
      </c>
      <c r="BZ117" s="518">
        <f t="shared" si="292"/>
        <v>0</v>
      </c>
      <c r="CA117" s="518">
        <f t="shared" si="292"/>
        <v>0</v>
      </c>
      <c r="CB117" s="518">
        <f t="shared" si="292"/>
        <v>0</v>
      </c>
      <c r="CC117" s="518">
        <f t="shared" si="292"/>
        <v>0</v>
      </c>
      <c r="CD117" s="518">
        <f t="shared" si="292"/>
        <v>0</v>
      </c>
      <c r="CE117" s="518">
        <f t="shared" si="292"/>
        <v>0</v>
      </c>
      <c r="CF117" s="518">
        <f t="shared" si="292"/>
        <v>0</v>
      </c>
      <c r="CG117" s="476"/>
      <c r="CH117" s="476"/>
      <c r="CI117" s="476"/>
      <c r="CJ117" s="476"/>
      <c r="CK117" s="476"/>
      <c r="CL117" s="2220" t="str">
        <f>A117</f>
        <v>+/- Deferred taxes</v>
      </c>
      <c r="CM117" s="526">
        <f>G117</f>
        <v>18.184000000000001</v>
      </c>
      <c r="CN117" s="526">
        <f>L117</f>
        <v>-28.673000000000002</v>
      </c>
      <c r="CO117" s="526">
        <f>Q117</f>
        <v>14.394</v>
      </c>
      <c r="CP117" s="526">
        <f>V117</f>
        <v>18.265000000000001</v>
      </c>
      <c r="CQ117" s="526">
        <f>AA117</f>
        <v>-91.097999999999985</v>
      </c>
      <c r="CR117" s="526">
        <f>AF117</f>
        <v>-146.40800000000002</v>
      </c>
      <c r="CS117" s="526">
        <f>AK117</f>
        <v>-2.2040000000000006</v>
      </c>
      <c r="CT117" s="526">
        <f>AP117</f>
        <v>21.56</v>
      </c>
      <c r="CU117" s="526">
        <f>AU117</f>
        <v>44.983000000000004</v>
      </c>
      <c r="CV117" s="526">
        <f>AZ117</f>
        <v>-224.983</v>
      </c>
      <c r="CW117" s="526">
        <f>BE117</f>
        <v>2.9079999999999999</v>
      </c>
      <c r="CX117" s="526">
        <f>BJ117</f>
        <v>57.235999999999997</v>
      </c>
      <c r="CY117" s="526">
        <f>BO117</f>
        <v>8.7360000000000007</v>
      </c>
      <c r="CZ117" s="526">
        <f>BT117</f>
        <v>-517.90599999999995</v>
      </c>
      <c r="DA117" s="526">
        <f t="shared" si="252"/>
        <v>0</v>
      </c>
      <c r="DB117" s="526">
        <f t="shared" si="253"/>
        <v>0</v>
      </c>
      <c r="DC117" s="684">
        <f t="shared" si="254"/>
        <v>0</v>
      </c>
      <c r="DD117" s="476"/>
      <c r="DE117" s="476"/>
      <c r="DF117" s="598"/>
      <c r="DG117" s="598"/>
      <c r="DH117" s="2585"/>
      <c r="DI117" s="3213"/>
      <c r="DJ117" s="598"/>
      <c r="DK117" s="598"/>
      <c r="DL117" s="598"/>
      <c r="DM117" s="598"/>
      <c r="DN117" s="598"/>
      <c r="DO117" s="598"/>
      <c r="DP117" s="598"/>
      <c r="DQ117" s="598"/>
      <c r="DR117" s="660"/>
      <c r="DS117" s="660"/>
      <c r="DT117" s="660"/>
    </row>
    <row r="118" spans="1:130" ht="13.5" customHeight="1" x14ac:dyDescent="0.25">
      <c r="A118" s="414" t="s">
        <v>2070</v>
      </c>
      <c r="B118" s="311"/>
      <c r="C118" s="311">
        <f>-C130+C1511</f>
        <v>-5.5069999999999997</v>
      </c>
      <c r="D118" s="311">
        <f>-D130+D1511</f>
        <v>-7.9200000000000017</v>
      </c>
      <c r="E118" s="311">
        <f>-E130+E1511</f>
        <v>-7.7060000000000004</v>
      </c>
      <c r="F118" s="311">
        <f>-F130+F1511</f>
        <v>-8.4239999999999959</v>
      </c>
      <c r="G118" s="518">
        <f>SUM(C118:F118)</f>
        <v>-29.556999999999999</v>
      </c>
      <c r="H118" s="311">
        <f>-H130+H1511</f>
        <v>-7.9530000000000012</v>
      </c>
      <c r="I118" s="311">
        <f>-I130+I1511</f>
        <v>-20.74</v>
      </c>
      <c r="J118" s="311">
        <f>-J130+J1511</f>
        <v>-7.4020000000000046</v>
      </c>
      <c r="K118" s="311">
        <f>-K130+K1511</f>
        <v>-33.040000000000006</v>
      </c>
      <c r="L118" s="518">
        <f>SUM(H118:K118)</f>
        <v>-69.135000000000005</v>
      </c>
      <c r="M118" s="311">
        <f>-M130+M1511</f>
        <v>-40.928000000000004</v>
      </c>
      <c r="N118" s="311">
        <f>-N130+N1511</f>
        <v>-42.727000000000004</v>
      </c>
      <c r="O118" s="311">
        <f>-O130+O1511</f>
        <v>-112.518</v>
      </c>
      <c r="P118" s="311">
        <f>-P130+P1511</f>
        <v>-140.61000000000001</v>
      </c>
      <c r="Q118" s="518">
        <f>SUM(M118:P118)</f>
        <v>-336.78300000000002</v>
      </c>
      <c r="R118" s="311">
        <f>-R130+R1511</f>
        <v>-56.484999999999999</v>
      </c>
      <c r="S118" s="311">
        <f>-S130+S1511</f>
        <v>-64.51700000000001</v>
      </c>
      <c r="T118" s="311">
        <f>-T130+T1511</f>
        <v>-60.958999999999989</v>
      </c>
      <c r="U118" s="311">
        <f>-U130+U1511</f>
        <v>-92.393999999999963</v>
      </c>
      <c r="V118" s="518">
        <f>SUM(R118:U118)</f>
        <v>-274.35499999999996</v>
      </c>
      <c r="W118" s="311">
        <f>-W130+W1511</f>
        <v>-99.59</v>
      </c>
      <c r="X118" s="311">
        <f>-X130+X1511</f>
        <v>-55.51400000000001</v>
      </c>
      <c r="Y118" s="311">
        <f>-Y130+Y1511</f>
        <v>-61.447000000000024</v>
      </c>
      <c r="Z118" s="311">
        <f>-Z130+Z1511</f>
        <v>-47.342999999999975</v>
      </c>
      <c r="AA118" s="518">
        <f>SUM(W118:Z118)</f>
        <v>-263.89400000000001</v>
      </c>
      <c r="AB118" s="311">
        <f>-AB130+AB1511</f>
        <v>-44.675000000000004</v>
      </c>
      <c r="AC118" s="311">
        <f>-AC130+AC1511</f>
        <v>-56.345999999999982</v>
      </c>
      <c r="AD118" s="311">
        <f>-AD130+AD1511</f>
        <v>-73.754000000000019</v>
      </c>
      <c r="AE118" s="311">
        <f>-AE130+AE1511</f>
        <v>-51.825000000000003</v>
      </c>
      <c r="AF118" s="518">
        <f t="shared" si="231"/>
        <v>-226.60000000000002</v>
      </c>
      <c r="AG118" s="526">
        <f>-AG130+AG1511</f>
        <v>-101.63500000000001</v>
      </c>
      <c r="AH118" s="311">
        <f>-AH130+AH1511</f>
        <v>-65.8</v>
      </c>
      <c r="AI118" s="311">
        <f>-AI130+AI1511</f>
        <v>-50.199999999999996</v>
      </c>
      <c r="AJ118" s="311">
        <f>-AJ130+AJ1511</f>
        <v>-58.3</v>
      </c>
      <c r="AK118" s="518">
        <f>SUM(AG118:AJ118)</f>
        <v>-275.935</v>
      </c>
      <c r="AL118" s="311">
        <f>-AL130+AL1511</f>
        <v>-50.20000000000001</v>
      </c>
      <c r="AM118" s="311">
        <f>-AM130+AM1511</f>
        <v>-53.4</v>
      </c>
      <c r="AN118" s="311">
        <f>-AN130+AN1511</f>
        <v>-92.1</v>
      </c>
      <c r="AO118" s="311">
        <f>-AO130+AO1511</f>
        <v>-86.200000000000017</v>
      </c>
      <c r="AP118" s="329">
        <f>SUM(AL118:AO118)</f>
        <v>-281.89999999999998</v>
      </c>
      <c r="AQ118" s="329">
        <f t="shared" ref="AQ118:AZ118" si="293">-AQ130+AQ1511</f>
        <v>-95.3</v>
      </c>
      <c r="AR118" s="311">
        <f t="shared" si="293"/>
        <v>-120.99999999999999</v>
      </c>
      <c r="AS118" s="311">
        <f t="shared" si="293"/>
        <v>-144.29999999999998</v>
      </c>
      <c r="AT118" s="311">
        <f t="shared" si="293"/>
        <v>-87.7</v>
      </c>
      <c r="AU118" s="518">
        <f t="shared" si="293"/>
        <v>-448.3</v>
      </c>
      <c r="AV118" s="329">
        <f t="shared" si="293"/>
        <v>-40.699999999999996</v>
      </c>
      <c r="AW118" s="311">
        <f t="shared" si="293"/>
        <v>-29.671000000000003</v>
      </c>
      <c r="AX118" s="311">
        <f t="shared" si="293"/>
        <v>-25.696000000000002</v>
      </c>
      <c r="AY118" s="858">
        <f t="shared" si="293"/>
        <v>-21.632999999999996</v>
      </c>
      <c r="AZ118" s="518">
        <f t="shared" si="293"/>
        <v>-117.69999999999999</v>
      </c>
      <c r="BA118" s="526">
        <f t="shared" ref="BA118:CF118" si="294">-BA130+BA1511+BA1306</f>
        <v>-37.9</v>
      </c>
      <c r="BB118" s="526">
        <f t="shared" si="294"/>
        <v>-99.4</v>
      </c>
      <c r="BC118" s="526">
        <f t="shared" si="294"/>
        <v>-106.7</v>
      </c>
      <c r="BD118" s="526">
        <f t="shared" si="294"/>
        <v>-74.384999999999991</v>
      </c>
      <c r="BE118" s="527">
        <f t="shared" si="294"/>
        <v>-318.38500000000005</v>
      </c>
      <c r="BF118" s="526">
        <f t="shared" si="294"/>
        <v>-52.998000000000005</v>
      </c>
      <c r="BG118" s="526">
        <f t="shared" si="294"/>
        <v>-74.305999999999997</v>
      </c>
      <c r="BH118" s="526">
        <f t="shared" si="294"/>
        <v>-63.088999999999999</v>
      </c>
      <c r="BI118" s="526">
        <f t="shared" si="294"/>
        <v>-50.768000000000015</v>
      </c>
      <c r="BJ118" s="527">
        <f t="shared" si="294"/>
        <v>-241.16100000000006</v>
      </c>
      <c r="BK118" s="526">
        <f t="shared" si="294"/>
        <v>-58.229108125000003</v>
      </c>
      <c r="BL118" s="526">
        <f t="shared" si="294"/>
        <v>-54.815351249999999</v>
      </c>
      <c r="BM118" s="526">
        <f t="shared" si="294"/>
        <v>-68.937808750000002</v>
      </c>
      <c r="BN118" s="526">
        <f t="shared" si="294"/>
        <v>385.27660125</v>
      </c>
      <c r="BO118" s="527">
        <f t="shared" si="294"/>
        <v>203.29433312499998</v>
      </c>
      <c r="BP118" s="526">
        <f t="shared" si="294"/>
        <v>-18.502655833333336</v>
      </c>
      <c r="BQ118" s="526">
        <f t="shared" si="294"/>
        <v>-8.4185724999999998</v>
      </c>
      <c r="BR118" s="526">
        <f t="shared" si="294"/>
        <v>-17.416197500000003</v>
      </c>
      <c r="BS118" s="526">
        <f t="shared" si="294"/>
        <v>-3.3975100000000005</v>
      </c>
      <c r="BT118" s="3230">
        <f t="shared" si="294"/>
        <v>-47.734935833333331</v>
      </c>
      <c r="BU118" s="2585">
        <f t="shared" si="294"/>
        <v>-9.7801974999999999</v>
      </c>
      <c r="BV118" s="2585">
        <f t="shared" si="294"/>
        <v>-0.17219750000000009</v>
      </c>
      <c r="BW118" s="2585">
        <f t="shared" si="294"/>
        <v>-9.7661975000000005</v>
      </c>
      <c r="BX118" s="2585">
        <f t="shared" si="294"/>
        <v>-0.1601975000000001</v>
      </c>
      <c r="BY118" s="3230">
        <f t="shared" si="294"/>
        <v>-19.878789999999999</v>
      </c>
      <c r="BZ118" s="527">
        <f t="shared" si="294"/>
        <v>-19.79279</v>
      </c>
      <c r="CA118" s="527">
        <f t="shared" si="294"/>
        <v>-19.69679</v>
      </c>
      <c r="CB118" s="527">
        <f t="shared" si="294"/>
        <v>-19.60079</v>
      </c>
      <c r="CC118" s="527">
        <f t="shared" si="294"/>
        <v>-19.50479</v>
      </c>
      <c r="CD118" s="527">
        <f t="shared" si="294"/>
        <v>-19.40879</v>
      </c>
      <c r="CE118" s="527">
        <f t="shared" si="294"/>
        <v>-19.31279</v>
      </c>
      <c r="CF118" s="527">
        <f t="shared" si="294"/>
        <v>-6.4790000000000292E-2</v>
      </c>
      <c r="CG118" s="476"/>
      <c r="CH118" s="476"/>
      <c r="CI118" s="476"/>
      <c r="CJ118" s="476"/>
      <c r="CK118" s="476"/>
      <c r="CL118" s="2220" t="str">
        <f>A118</f>
        <v>- Growth capex &amp; JV investment (ex cap interest)</v>
      </c>
      <c r="CM118" s="526">
        <f>G118</f>
        <v>-29.556999999999999</v>
      </c>
      <c r="CN118" s="526">
        <f>L118</f>
        <v>-69.135000000000005</v>
      </c>
      <c r="CO118" s="526">
        <f>Q118</f>
        <v>-336.78300000000002</v>
      </c>
      <c r="CP118" s="526">
        <f>V118</f>
        <v>-274.35499999999996</v>
      </c>
      <c r="CQ118" s="526">
        <f>AA118</f>
        <v>-263.89400000000001</v>
      </c>
      <c r="CR118" s="526">
        <f>AF118</f>
        <v>-226.60000000000002</v>
      </c>
      <c r="CS118" s="526">
        <f>AK118</f>
        <v>-275.935</v>
      </c>
      <c r="CT118" s="526">
        <f>AP118</f>
        <v>-281.89999999999998</v>
      </c>
      <c r="CU118" s="526">
        <f>AU118</f>
        <v>-448.3</v>
      </c>
      <c r="CV118" s="526">
        <f>AZ118</f>
        <v>-117.69999999999999</v>
      </c>
      <c r="CW118" s="526">
        <f>BE118</f>
        <v>-318.38500000000005</v>
      </c>
      <c r="CX118" s="526">
        <f>BJ118</f>
        <v>-241.16100000000006</v>
      </c>
      <c r="CY118" s="526">
        <f>BO118</f>
        <v>203.29433312499998</v>
      </c>
      <c r="CZ118" s="526">
        <f>BT118</f>
        <v>-47.734935833333331</v>
      </c>
      <c r="DA118" s="526">
        <f t="shared" si="252"/>
        <v>-19.878789999999999</v>
      </c>
      <c r="DB118" s="526">
        <f t="shared" si="253"/>
        <v>-19.79279</v>
      </c>
      <c r="DC118" s="684">
        <f t="shared" si="254"/>
        <v>-19.69679</v>
      </c>
      <c r="DD118" s="476"/>
      <c r="DE118" s="476"/>
      <c r="DF118" s="598"/>
      <c r="DG118" s="598"/>
      <c r="DH118" s="2585"/>
      <c r="DI118" s="3213"/>
      <c r="DJ118" s="598"/>
      <c r="DK118" s="598"/>
      <c r="DL118" s="598"/>
      <c r="DM118" s="598"/>
      <c r="DN118" s="598"/>
      <c r="DO118" s="598"/>
      <c r="DP118" s="598"/>
      <c r="DQ118" s="598"/>
      <c r="DR118" s="660"/>
      <c r="DS118" s="660"/>
      <c r="DT118" s="660"/>
    </row>
    <row r="119" spans="1:130" ht="13.5" hidden="1" customHeight="1" outlineLevel="1" x14ac:dyDescent="0.25">
      <c r="A119" s="414" t="s">
        <v>958</v>
      </c>
      <c r="B119" s="311"/>
      <c r="C119" s="311">
        <v>0</v>
      </c>
      <c r="D119" s="311">
        <v>0</v>
      </c>
      <c r="E119" s="311">
        <v>0</v>
      </c>
      <c r="F119" s="311">
        <v>0</v>
      </c>
      <c r="G119" s="518">
        <v>0</v>
      </c>
      <c r="H119" s="311">
        <v>0</v>
      </c>
      <c r="I119" s="311">
        <v>0</v>
      </c>
      <c r="J119" s="311">
        <v>0</v>
      </c>
      <c r="K119" s="311">
        <v>0</v>
      </c>
      <c r="L119" s="518">
        <v>0</v>
      </c>
      <c r="M119" s="311">
        <v>0</v>
      </c>
      <c r="N119" s="311">
        <v>0</v>
      </c>
      <c r="O119" s="311">
        <v>0</v>
      </c>
      <c r="P119" s="311">
        <v>0</v>
      </c>
      <c r="Q119" s="518">
        <v>0</v>
      </c>
      <c r="R119" s="311">
        <v>0</v>
      </c>
      <c r="S119" s="311">
        <v>0</v>
      </c>
      <c r="T119" s="311">
        <v>0</v>
      </c>
      <c r="U119" s="311">
        <v>0</v>
      </c>
      <c r="V119" s="518">
        <v>0</v>
      </c>
      <c r="W119" s="311">
        <v>0</v>
      </c>
      <c r="X119" s="311">
        <v>0</v>
      </c>
      <c r="Y119" s="311">
        <v>0</v>
      </c>
      <c r="Z119" s="311">
        <v>0</v>
      </c>
      <c r="AA119" s="518">
        <v>0</v>
      </c>
      <c r="AB119" s="311">
        <v>0</v>
      </c>
      <c r="AC119" s="311">
        <v>0</v>
      </c>
      <c r="AD119" s="311">
        <v>0</v>
      </c>
      <c r="AE119" s="526">
        <v>0</v>
      </c>
      <c r="AF119" s="527">
        <f t="shared" si="231"/>
        <v>0</v>
      </c>
      <c r="AG119" s="526">
        <v>0</v>
      </c>
      <c r="AH119" s="526">
        <v>0</v>
      </c>
      <c r="AI119" s="526">
        <v>0</v>
      </c>
      <c r="AJ119" s="526">
        <v>0</v>
      </c>
      <c r="AK119" s="527">
        <v>0</v>
      </c>
      <c r="AL119" s="526">
        <v>0</v>
      </c>
      <c r="AM119" s="526">
        <v>0</v>
      </c>
      <c r="AN119" s="526">
        <v>0</v>
      </c>
      <c r="AO119" s="526">
        <v>0</v>
      </c>
      <c r="AP119" s="528">
        <v>0</v>
      </c>
      <c r="AQ119" s="528">
        <v>0</v>
      </c>
      <c r="AR119" s="526">
        <v>0</v>
      </c>
      <c r="AS119" s="526">
        <v>0</v>
      </c>
      <c r="AT119" s="526">
        <v>0</v>
      </c>
      <c r="AU119" s="527">
        <v>0</v>
      </c>
      <c r="AV119" s="528">
        <v>0</v>
      </c>
      <c r="AW119" s="526">
        <v>0</v>
      </c>
      <c r="AX119" s="526">
        <v>0</v>
      </c>
      <c r="AY119" s="684">
        <v>0</v>
      </c>
      <c r="AZ119" s="527">
        <v>0</v>
      </c>
      <c r="BA119" s="526">
        <v>0</v>
      </c>
      <c r="BB119" s="526">
        <v>0</v>
      </c>
      <c r="BC119" s="526">
        <v>0</v>
      </c>
      <c r="BD119" s="684">
        <v>0</v>
      </c>
      <c r="BE119" s="684">
        <v>0</v>
      </c>
      <c r="BF119" s="526">
        <v>0</v>
      </c>
      <c r="BG119" s="526">
        <v>0</v>
      </c>
      <c r="BH119" s="526">
        <v>0</v>
      </c>
      <c r="BI119" s="684">
        <v>0</v>
      </c>
      <c r="BJ119" s="684">
        <v>0</v>
      </c>
      <c r="BK119" s="526">
        <v>0</v>
      </c>
      <c r="BL119" s="526">
        <v>0</v>
      </c>
      <c r="BM119" s="526">
        <v>0</v>
      </c>
      <c r="BN119" s="684">
        <v>0</v>
      </c>
      <c r="BO119" s="684">
        <v>0</v>
      </c>
      <c r="BP119" s="526">
        <v>0</v>
      </c>
      <c r="BQ119" s="526">
        <v>0</v>
      </c>
      <c r="BR119" s="526">
        <v>0</v>
      </c>
      <c r="BS119" s="526">
        <v>0</v>
      </c>
      <c r="BT119" s="3230">
        <v>0</v>
      </c>
      <c r="BU119" s="2585">
        <v>0</v>
      </c>
      <c r="BV119" s="2585">
        <v>0</v>
      </c>
      <c r="BW119" s="2585">
        <v>0</v>
      </c>
      <c r="BX119" s="2585">
        <v>0</v>
      </c>
      <c r="BY119" s="3231">
        <f>SUM(BU119:BX119)</f>
        <v>0</v>
      </c>
      <c r="BZ119" s="527">
        <v>0</v>
      </c>
      <c r="CA119" s="527">
        <v>0</v>
      </c>
      <c r="CB119" s="527">
        <v>0</v>
      </c>
      <c r="CC119" s="527">
        <v>0</v>
      </c>
      <c r="CD119" s="527">
        <v>0</v>
      </c>
      <c r="CE119" s="527">
        <v>0</v>
      </c>
      <c r="CF119" s="527">
        <v>0</v>
      </c>
      <c r="CG119" s="476"/>
      <c r="CH119" s="476"/>
      <c r="CI119" s="476"/>
      <c r="CJ119" s="476"/>
      <c r="CK119" s="476"/>
      <c r="CL119" s="2220" t="str">
        <f>A119</f>
        <v>- Other</v>
      </c>
      <c r="CM119" s="526">
        <f>G119</f>
        <v>0</v>
      </c>
      <c r="CN119" s="526">
        <f>L119</f>
        <v>0</v>
      </c>
      <c r="CO119" s="526">
        <f>Q119</f>
        <v>0</v>
      </c>
      <c r="CP119" s="526">
        <f>V119</f>
        <v>0</v>
      </c>
      <c r="CQ119" s="526">
        <f>AA119</f>
        <v>0</v>
      </c>
      <c r="CR119" s="526">
        <f>AF119</f>
        <v>0</v>
      </c>
      <c r="CS119" s="526">
        <f>AK119</f>
        <v>0</v>
      </c>
      <c r="CT119" s="526">
        <f>AP119</f>
        <v>0</v>
      </c>
      <c r="CU119" s="526">
        <f>AU119</f>
        <v>0</v>
      </c>
      <c r="CV119" s="526">
        <f>AZ119</f>
        <v>0</v>
      </c>
      <c r="CW119" s="526">
        <f>BE119</f>
        <v>0</v>
      </c>
      <c r="CX119" s="526">
        <f>BJ119</f>
        <v>0</v>
      </c>
      <c r="CY119" s="526">
        <f>BO119</f>
        <v>0</v>
      </c>
      <c r="CZ119" s="526">
        <f>BT119</f>
        <v>0</v>
      </c>
      <c r="DA119" s="526">
        <f t="shared" si="252"/>
        <v>0</v>
      </c>
      <c r="DB119" s="526">
        <f t="shared" si="253"/>
        <v>0</v>
      </c>
      <c r="DC119" s="684">
        <f t="shared" si="254"/>
        <v>0</v>
      </c>
      <c r="DD119" s="476"/>
      <c r="DE119" s="476"/>
      <c r="DF119" s="598"/>
      <c r="DG119" s="598"/>
      <c r="DH119" s="2585"/>
      <c r="DI119" s="3213"/>
      <c r="DJ119" s="598"/>
      <c r="DK119" s="598"/>
      <c r="DL119" s="598"/>
      <c r="DM119" s="598"/>
      <c r="DN119" s="598"/>
      <c r="DO119" s="598"/>
      <c r="DP119" s="598"/>
      <c r="DQ119" s="598"/>
      <c r="DR119" s="660"/>
      <c r="DS119" s="660"/>
      <c r="DT119" s="660"/>
    </row>
    <row r="120" spans="1:130" ht="13.5" customHeight="1" collapsed="1" x14ac:dyDescent="0.25">
      <c r="A120" s="420" t="s">
        <v>959</v>
      </c>
      <c r="B120" s="1808"/>
      <c r="C120" s="407">
        <f>SUM(C114:C119)</f>
        <v>28.997388449999995</v>
      </c>
      <c r="D120" s="407">
        <f t="shared" ref="D120:AK120" si="295">SUM(D114:D119)</f>
        <v>29.812915454374995</v>
      </c>
      <c r="E120" s="407">
        <f t="shared" si="295"/>
        <v>15.115704551250005</v>
      </c>
      <c r="F120" s="407">
        <f t="shared" si="295"/>
        <v>49.156583125000026</v>
      </c>
      <c r="G120" s="1809">
        <f t="shared" si="295"/>
        <v>123.08259158062502</v>
      </c>
      <c r="H120" s="407">
        <f t="shared" si="295"/>
        <v>-1.1375954511358639</v>
      </c>
      <c r="I120" s="407">
        <f t="shared" si="295"/>
        <v>17.035358601559917</v>
      </c>
      <c r="J120" s="407">
        <f t="shared" si="295"/>
        <v>1.9629374999999953</v>
      </c>
      <c r="K120" s="407">
        <f t="shared" si="295"/>
        <v>-5.6359364544018149</v>
      </c>
      <c r="L120" s="1809">
        <f t="shared" si="295"/>
        <v>12.22476419602225</v>
      </c>
      <c r="M120" s="407">
        <f t="shared" si="295"/>
        <v>37.506858140624978</v>
      </c>
      <c r="N120" s="407">
        <f t="shared" si="295"/>
        <v>-69.408577343749997</v>
      </c>
      <c r="O120" s="407">
        <f t="shared" si="295"/>
        <v>17.935623288690465</v>
      </c>
      <c r="P120" s="407">
        <f t="shared" si="295"/>
        <v>-122.47786518749996</v>
      </c>
      <c r="Q120" s="1809">
        <f t="shared" si="295"/>
        <v>-136.44396110193452</v>
      </c>
      <c r="R120" s="407">
        <f t="shared" si="295"/>
        <v>98.167028679435461</v>
      </c>
      <c r="S120" s="407">
        <f t="shared" si="295"/>
        <v>32.622777270507768</v>
      </c>
      <c r="T120" s="407">
        <f t="shared" si="295"/>
        <v>-3.0048134375000046</v>
      </c>
      <c r="U120" s="407">
        <f t="shared" si="295"/>
        <v>-39.42662767626949</v>
      </c>
      <c r="V120" s="1809">
        <f t="shared" si="295"/>
        <v>88.358364836173735</v>
      </c>
      <c r="W120" s="407">
        <f t="shared" si="295"/>
        <v>-28.212696787019254</v>
      </c>
      <c r="X120" s="407">
        <f t="shared" si="295"/>
        <v>20.788371124999941</v>
      </c>
      <c r="Y120" s="407">
        <f t="shared" si="295"/>
        <v>10.079232755</v>
      </c>
      <c r="Z120" s="407">
        <f t="shared" si="295"/>
        <v>-83.052206250500006</v>
      </c>
      <c r="AA120" s="1811">
        <f t="shared" si="295"/>
        <v>-80.397299157519313</v>
      </c>
      <c r="AB120" s="1812">
        <f t="shared" si="295"/>
        <v>44.055375650000009</v>
      </c>
      <c r="AC120" s="1812">
        <f t="shared" si="295"/>
        <v>-8.9100678509999796</v>
      </c>
      <c r="AD120" s="1812">
        <f t="shared" si="295"/>
        <v>27.268458387521704</v>
      </c>
      <c r="AE120" s="1812">
        <f t="shared" si="295"/>
        <v>-175.79304321450007</v>
      </c>
      <c r="AF120" s="1811">
        <f t="shared" si="295"/>
        <v>-113.37927702797839</v>
      </c>
      <c r="AG120" s="1812">
        <f t="shared" si="295"/>
        <v>-32.530593487499956</v>
      </c>
      <c r="AH120" s="1812">
        <f t="shared" si="295"/>
        <v>34.316316324999988</v>
      </c>
      <c r="AI120" s="1812">
        <f t="shared" si="295"/>
        <v>74.162674375000023</v>
      </c>
      <c r="AJ120" s="1812">
        <f t="shared" si="295"/>
        <v>-24.035508000000007</v>
      </c>
      <c r="AK120" s="1811">
        <f t="shared" si="295"/>
        <v>51.912889212499977</v>
      </c>
      <c r="AL120" s="1812">
        <f t="shared" ref="AL120:BK120" si="296">SUM(AL114:AL119)</f>
        <v>44.291915124999967</v>
      </c>
      <c r="AM120" s="1812">
        <f t="shared" si="296"/>
        <v>109.27732000000003</v>
      </c>
      <c r="AN120" s="1812">
        <f t="shared" si="296"/>
        <v>26.881867187500063</v>
      </c>
      <c r="AO120" s="1812">
        <f t="shared" si="296"/>
        <v>32.013887499999953</v>
      </c>
      <c r="AP120" s="1813">
        <f t="shared" si="296"/>
        <v>212.46498981250011</v>
      </c>
      <c r="AQ120" s="1813">
        <f t="shared" si="296"/>
        <v>7.4525359374999454</v>
      </c>
      <c r="AR120" s="1812">
        <f t="shared" si="296"/>
        <v>-39.896104687499985</v>
      </c>
      <c r="AS120" s="1812">
        <f t="shared" si="296"/>
        <v>-40.834132812499959</v>
      </c>
      <c r="AT120" s="1812">
        <f t="shared" si="296"/>
        <v>84.95697937499996</v>
      </c>
      <c r="AU120" s="1811">
        <f t="shared" si="296"/>
        <v>11.679277812499834</v>
      </c>
      <c r="AV120" s="1813">
        <f>SUM(AV114:AV119)</f>
        <v>73.045909062499987</v>
      </c>
      <c r="AW120" s="1812">
        <f>SUM(AW114:AW119)</f>
        <v>77.514271874999991</v>
      </c>
      <c r="AX120" s="1812">
        <f>SUM(AX114:AX119)</f>
        <v>93.720479687499989</v>
      </c>
      <c r="AY120" s="1814">
        <f>SUM(AY114:AY119)</f>
        <v>-224.81476406250005</v>
      </c>
      <c r="AZ120" s="1811">
        <f t="shared" si="296"/>
        <v>19.465896562500234</v>
      </c>
      <c r="BA120" s="1812">
        <f>SUM(BA114:BA119)</f>
        <v>-33.42222812499999</v>
      </c>
      <c r="BB120" s="1812">
        <f>SUM(BB114:BB119)</f>
        <v>-39.089871875000043</v>
      </c>
      <c r="BC120" s="1812">
        <f>SUM(BC114:BC119)</f>
        <v>-54.035028124999982</v>
      </c>
      <c r="BD120" s="1814">
        <f>SUM(BD114:BD119)</f>
        <v>-112.25574687499996</v>
      </c>
      <c r="BE120" s="1814">
        <f t="shared" si="296"/>
        <v>-238.80287500000006</v>
      </c>
      <c r="BF120" s="1812">
        <f t="shared" si="296"/>
        <v>-6.5417492187500415</v>
      </c>
      <c r="BG120" s="1812">
        <f t="shared" si="296"/>
        <v>11.946808593750021</v>
      </c>
      <c r="BH120" s="1812">
        <f t="shared" si="296"/>
        <v>16.191846343749987</v>
      </c>
      <c r="BI120" s="1814">
        <f t="shared" si="296"/>
        <v>-11.863861362283352</v>
      </c>
      <c r="BJ120" s="1814">
        <f t="shared" si="296"/>
        <v>9.7330443564665643</v>
      </c>
      <c r="BK120" s="1812">
        <f t="shared" si="296"/>
        <v>-16.957666593749991</v>
      </c>
      <c r="BL120" s="1812">
        <f t="shared" ref="BL120:CF120" si="297">SUM(BL114:BL119)</f>
        <v>29.036531875000001</v>
      </c>
      <c r="BM120" s="1812">
        <f t="shared" si="297"/>
        <v>16.693323437500041</v>
      </c>
      <c r="BN120" s="1814">
        <f t="shared" si="297"/>
        <v>432.22332000000006</v>
      </c>
      <c r="BO120" s="1814">
        <f t="shared" si="297"/>
        <v>460.9955087187501</v>
      </c>
      <c r="BP120" s="1812">
        <f t="shared" si="297"/>
        <v>8.3004535416666343</v>
      </c>
      <c r="BQ120" s="1812">
        <f t="shared" si="297"/>
        <v>82.573276718750051</v>
      </c>
      <c r="BR120" s="1812">
        <f t="shared" si="297"/>
        <v>-699.36267218750004</v>
      </c>
      <c r="BS120" s="1812">
        <f t="shared" si="297"/>
        <v>37.610231562500175</v>
      </c>
      <c r="BT120" s="1811">
        <f t="shared" si="297"/>
        <v>-570.87871036458318</v>
      </c>
      <c r="BU120" s="1812">
        <f t="shared" si="297"/>
        <v>48.417775224527958</v>
      </c>
      <c r="BV120" s="1812">
        <f t="shared" si="297"/>
        <v>70.768088654679829</v>
      </c>
      <c r="BW120" s="1812">
        <f t="shared" si="297"/>
        <v>812.92526255714927</v>
      </c>
      <c r="BX120" s="1812">
        <f t="shared" si="297"/>
        <v>70.961103275975375</v>
      </c>
      <c r="BY120" s="1811">
        <f t="shared" si="297"/>
        <v>1003.0722297123327</v>
      </c>
      <c r="BZ120" s="1811">
        <f t="shared" si="297"/>
        <v>351.95101938368867</v>
      </c>
      <c r="CA120" s="1811">
        <f t="shared" si="297"/>
        <v>323.99220459820089</v>
      </c>
      <c r="CB120" s="1811">
        <f t="shared" si="297"/>
        <v>-1384.2604861438131</v>
      </c>
      <c r="CC120" s="1811">
        <f t="shared" si="297"/>
        <v>-2971.7080619207331</v>
      </c>
      <c r="CD120" s="1811">
        <f t="shared" si="297"/>
        <v>-6033.6185650361049</v>
      </c>
      <c r="CE120" s="1811">
        <f t="shared" si="297"/>
        <v>-12151.216689712322</v>
      </c>
      <c r="CF120" s="1811">
        <f t="shared" si="297"/>
        <v>-24380.093086408699</v>
      </c>
      <c r="CG120" s="476"/>
      <c r="CH120" s="476"/>
      <c r="CI120" s="476"/>
      <c r="CJ120" s="476"/>
      <c r="CK120" s="476"/>
      <c r="CL120" s="2221" t="str">
        <f>A120</f>
        <v>Net Free Cash Flow</v>
      </c>
      <c r="CM120" s="2160">
        <f>G120</f>
        <v>123.08259158062502</v>
      </c>
      <c r="CN120" s="2160">
        <f>L120</f>
        <v>12.22476419602225</v>
      </c>
      <c r="CO120" s="2160">
        <f>Q120</f>
        <v>-136.44396110193452</v>
      </c>
      <c r="CP120" s="2160">
        <f>V120</f>
        <v>88.358364836173735</v>
      </c>
      <c r="CQ120" s="2160">
        <f>AA120</f>
        <v>-80.397299157519313</v>
      </c>
      <c r="CR120" s="2160">
        <f>AF120</f>
        <v>-113.37927702797839</v>
      </c>
      <c r="CS120" s="2160">
        <f>AK120</f>
        <v>51.912889212499977</v>
      </c>
      <c r="CT120" s="2160">
        <f>AP120</f>
        <v>212.46498981250011</v>
      </c>
      <c r="CU120" s="2160">
        <f>AU120</f>
        <v>11.679277812499834</v>
      </c>
      <c r="CV120" s="2160">
        <f>AZ120</f>
        <v>19.465896562500234</v>
      </c>
      <c r="CW120" s="2160">
        <f>BE120</f>
        <v>-238.80287500000006</v>
      </c>
      <c r="CX120" s="2160">
        <f>BJ120</f>
        <v>9.7330443564665643</v>
      </c>
      <c r="CY120" s="2160">
        <f>BO120</f>
        <v>460.9955087187501</v>
      </c>
      <c r="CZ120" s="2160">
        <f>BT120</f>
        <v>-570.87871036458318</v>
      </c>
      <c r="DA120" s="2160">
        <f t="shared" si="252"/>
        <v>1003.0722297123327</v>
      </c>
      <c r="DB120" s="2160">
        <f t="shared" si="253"/>
        <v>351.95101938368867</v>
      </c>
      <c r="DC120" s="2163">
        <f t="shared" si="254"/>
        <v>323.99220459820089</v>
      </c>
      <c r="DD120" s="476"/>
      <c r="DE120" s="476"/>
      <c r="DF120" s="598"/>
      <c r="DG120" s="598"/>
      <c r="DH120" s="514"/>
      <c r="DI120" s="3213"/>
      <c r="DJ120" s="598"/>
      <c r="DK120" s="598"/>
      <c r="DL120" s="598"/>
      <c r="DM120" s="598"/>
      <c r="DN120" s="598"/>
      <c r="DO120" s="598"/>
      <c r="DP120" s="598"/>
      <c r="DQ120" s="598"/>
      <c r="DR120" s="660"/>
      <c r="DS120" s="660"/>
      <c r="DT120" s="660"/>
    </row>
    <row r="121" spans="1:130" ht="13.5" customHeight="1" x14ac:dyDescent="0.25">
      <c r="A121" s="1620" t="s">
        <v>845</v>
      </c>
      <c r="B121" s="526"/>
      <c r="C121" s="656"/>
      <c r="D121" s="656"/>
      <c r="E121" s="656"/>
      <c r="F121" s="656"/>
      <c r="G121" s="656"/>
      <c r="H121" s="656"/>
      <c r="I121" s="656"/>
      <c r="J121" s="656"/>
      <c r="K121" s="656"/>
      <c r="L121" s="656"/>
      <c r="M121" s="656"/>
      <c r="N121" s="656"/>
      <c r="O121" s="656"/>
      <c r="P121" s="656"/>
      <c r="Q121" s="656"/>
      <c r="R121" s="656"/>
      <c r="S121" s="656"/>
      <c r="T121" s="656"/>
      <c r="U121" s="656"/>
      <c r="V121" s="656"/>
      <c r="W121" s="656"/>
      <c r="X121" s="656"/>
      <c r="Y121" s="656"/>
      <c r="Z121" s="656"/>
      <c r="AA121" s="514"/>
      <c r="AB121" s="514"/>
      <c r="AC121" s="514"/>
      <c r="AD121" s="514"/>
      <c r="AE121" s="514"/>
      <c r="AF121" s="1622">
        <f t="shared" ref="AF121:CA121" si="298">AF120/AF101</f>
        <v>-1.0595599968971683</v>
      </c>
      <c r="AG121" s="1621">
        <f t="shared" si="298"/>
        <v>-0.30391914466492853</v>
      </c>
      <c r="AH121" s="1621">
        <f t="shared" si="298"/>
        <v>0.32132886675406142</v>
      </c>
      <c r="AI121" s="1621">
        <f t="shared" si="298"/>
        <v>0.70290377479646304</v>
      </c>
      <c r="AJ121" s="1621">
        <f t="shared" si="298"/>
        <v>-0.22909772632532602</v>
      </c>
      <c r="AK121" s="1622">
        <f t="shared" si="298"/>
        <v>0.66487646118034271</v>
      </c>
      <c r="AL121" s="1621">
        <f t="shared" si="298"/>
        <v>0.41425672822416942</v>
      </c>
      <c r="AM121" s="1621">
        <f t="shared" si="298"/>
        <v>1.0163157649991168</v>
      </c>
      <c r="AN121" s="1621">
        <f t="shared" si="298"/>
        <v>0.25018257208070865</v>
      </c>
      <c r="AO121" s="1621">
        <f t="shared" si="298"/>
        <v>0.30146322802391784</v>
      </c>
      <c r="AP121" s="1622">
        <f t="shared" si="298"/>
        <v>1.984708128018422</v>
      </c>
      <c r="AQ121" s="1660">
        <f t="shared" si="298"/>
        <v>7.0551877627044318E-2</v>
      </c>
      <c r="AR121" s="1661">
        <f t="shared" si="298"/>
        <v>-0.3759173154386129</v>
      </c>
      <c r="AS121" s="1661">
        <f t="shared" si="298"/>
        <v>-0.38580637760886577</v>
      </c>
      <c r="AT121" s="1624">
        <f t="shared" si="298"/>
        <v>0.813218908538336</v>
      </c>
      <c r="AU121" s="1622">
        <f t="shared" si="298"/>
        <v>0.11251279153500668</v>
      </c>
      <c r="AV121" s="1660">
        <f t="shared" si="298"/>
        <v>0.70996247400060253</v>
      </c>
      <c r="AW121" s="1661">
        <f t="shared" si="298"/>
        <v>0.75339228352464349</v>
      </c>
      <c r="AX121" s="1661">
        <f t="shared" si="298"/>
        <v>0.90601960216836486</v>
      </c>
      <c r="AY121" s="1624">
        <f t="shared" si="298"/>
        <v>-2.8844963890029391</v>
      </c>
      <c r="AZ121" s="1622">
        <f t="shared" si="298"/>
        <v>0.24920813409763329</v>
      </c>
      <c r="BA121" s="1661">
        <f t="shared" si="298"/>
        <v>-0.37688999791382388</v>
      </c>
      <c r="BB121" s="1661">
        <f t="shared" si="298"/>
        <v>-0.43952810869614151</v>
      </c>
      <c r="BC121" s="1661">
        <f t="shared" si="298"/>
        <v>-0.60701919998427245</v>
      </c>
      <c r="BD121" s="1624">
        <f t="shared" si="298"/>
        <v>-1.4244749302074735</v>
      </c>
      <c r="BE121" s="1624">
        <f t="shared" si="298"/>
        <v>-3.0303010595774382</v>
      </c>
      <c r="BF121" s="1661">
        <f>BF120/BF101</f>
        <v>-7.237088701157228E-2</v>
      </c>
      <c r="BG121" s="1661">
        <f>BG120/BG101</f>
        <v>0.13167574418047173</v>
      </c>
      <c r="BH121" s="1661">
        <f>BH120/BH101</f>
        <v>0.17738657256518389</v>
      </c>
      <c r="BI121" s="1624">
        <f>BI120/BI101</f>
        <v>-0.13050978353299472</v>
      </c>
      <c r="BJ121" s="1624">
        <f t="shared" si="298"/>
        <v>0.1070694838122257</v>
      </c>
      <c r="BK121" s="1661">
        <f t="shared" ref="BK121:BU121" si="299">BK120/BK101</f>
        <v>-0.18616182272397924</v>
      </c>
      <c r="BL121" s="1661">
        <f t="shared" si="299"/>
        <v>0.31738770822858142</v>
      </c>
      <c r="BM121" s="1661">
        <f t="shared" si="299"/>
        <v>0.18259634921025619</v>
      </c>
      <c r="BN121" s="1624">
        <f t="shared" si="299"/>
        <v>4.7082124572449402</v>
      </c>
      <c r="BO121" s="1624">
        <f t="shared" si="299"/>
        <v>5.0216281640786704</v>
      </c>
      <c r="BP121" s="1661">
        <f t="shared" si="299"/>
        <v>9.0303790829407343E-2</v>
      </c>
      <c r="BQ121" s="1661">
        <f t="shared" si="299"/>
        <v>0.88560877657149961</v>
      </c>
      <c r="BR121" s="1661">
        <f t="shared" si="299"/>
        <v>-7.4727016229204288</v>
      </c>
      <c r="BS121" s="1661">
        <f t="shared" si="299"/>
        <v>0.41408646726744441</v>
      </c>
      <c r="BT121" s="1622">
        <f t="shared" si="299"/>
        <v>-6.178809112861182</v>
      </c>
      <c r="BU121" s="1661">
        <f t="shared" si="299"/>
        <v>0.5189472156969771</v>
      </c>
      <c r="BV121" s="1661">
        <f>BV120/BV101</f>
        <v>0.75850041430525006</v>
      </c>
      <c r="BW121" s="1661">
        <f>BW120/BW101</f>
        <v>6.7879530941645738</v>
      </c>
      <c r="BX121" s="1661">
        <f>BX120/BX101</f>
        <v>0.59252758246472426</v>
      </c>
      <c r="BY121" s="1622">
        <f>BY120/BY101</f>
        <v>9.4158662321630775</v>
      </c>
      <c r="BZ121" s="1622">
        <f t="shared" si="298"/>
        <v>2.8905307111012539</v>
      </c>
      <c r="CA121" s="1622">
        <f t="shared" si="298"/>
        <v>2.617907276973181</v>
      </c>
      <c r="CB121" s="1622">
        <f>CB120/CB101</f>
        <v>-11.185039480800041</v>
      </c>
      <c r="CC121" s="1622">
        <f>CC120/CC101</f>
        <v>-24.011862168073154</v>
      </c>
      <c r="CD121" s="1622">
        <f>CD120/CD101</f>
        <v>-48.752574054913588</v>
      </c>
      <c r="CE121" s="1622">
        <f>CE120/CE101</f>
        <v>-98.183715980222388</v>
      </c>
      <c r="CF121" s="1622">
        <f>CF120/CF101</f>
        <v>-196.99493444092357</v>
      </c>
      <c r="CG121" s="476"/>
      <c r="CH121" s="476"/>
      <c r="CI121" s="476"/>
      <c r="CJ121" s="476"/>
      <c r="CK121" s="476"/>
      <c r="CL121" s="2021" t="str">
        <f>A121</f>
        <v>Net FCF per share</v>
      </c>
      <c r="CM121" s="1661"/>
      <c r="CN121" s="1661"/>
      <c r="CO121" s="1661"/>
      <c r="CP121" s="1661"/>
      <c r="CQ121" s="1661"/>
      <c r="CR121" s="1661">
        <f>AF121</f>
        <v>-1.0595599968971683</v>
      </c>
      <c r="CS121" s="1661">
        <f>AK121</f>
        <v>0.66487646118034271</v>
      </c>
      <c r="CT121" s="1661">
        <f>AP121</f>
        <v>1.984708128018422</v>
      </c>
      <c r="CU121" s="1661">
        <f>AU121</f>
        <v>0.11251279153500668</v>
      </c>
      <c r="CV121" s="1661">
        <f>AZ121</f>
        <v>0.24920813409763329</v>
      </c>
      <c r="CW121" s="1661">
        <f>BE121</f>
        <v>-3.0303010595774382</v>
      </c>
      <c r="CX121" s="1661">
        <f>BJ121</f>
        <v>0.1070694838122257</v>
      </c>
      <c r="CY121" s="1661">
        <f>BO121</f>
        <v>5.0216281640786704</v>
      </c>
      <c r="CZ121" s="1661">
        <f>BT121</f>
        <v>-6.178809112861182</v>
      </c>
      <c r="DA121" s="1661">
        <f t="shared" si="252"/>
        <v>9.4158662321630775</v>
      </c>
      <c r="DB121" s="1661">
        <f t="shared" si="253"/>
        <v>2.8905307111012539</v>
      </c>
      <c r="DC121" s="1624">
        <f t="shared" si="254"/>
        <v>2.617907276973181</v>
      </c>
      <c r="DD121" s="476"/>
      <c r="DE121" s="476"/>
      <c r="DF121" s="598"/>
      <c r="DG121" s="598"/>
      <c r="DH121" s="1621"/>
      <c r="DI121" s="3213"/>
      <c r="DJ121" s="598"/>
      <c r="DK121" s="598"/>
      <c r="DL121" s="598"/>
      <c r="DM121" s="598"/>
      <c r="DN121" s="598"/>
      <c r="DO121" s="598"/>
      <c r="DP121" s="598"/>
      <c r="DQ121" s="598"/>
      <c r="DR121" s="660"/>
      <c r="DS121" s="660"/>
      <c r="DT121" s="660"/>
    </row>
    <row r="122" spans="1:130" s="2537" customFormat="1" ht="13.5" customHeight="1" x14ac:dyDescent="0.25">
      <c r="A122" s="2239" t="s">
        <v>1443</v>
      </c>
      <c r="B122" s="603"/>
      <c r="C122" s="945"/>
      <c r="D122" s="945"/>
      <c r="E122" s="945"/>
      <c r="F122" s="945"/>
      <c r="G122" s="945"/>
      <c r="H122" s="945"/>
      <c r="I122" s="945"/>
      <c r="J122" s="945"/>
      <c r="K122" s="945"/>
      <c r="L122" s="945"/>
      <c r="M122" s="945"/>
      <c r="N122" s="945"/>
      <c r="O122" s="945"/>
      <c r="P122" s="945"/>
      <c r="Q122" s="945"/>
      <c r="R122" s="945"/>
      <c r="S122" s="945"/>
      <c r="T122" s="945"/>
      <c r="U122" s="945"/>
      <c r="V122" s="945"/>
      <c r="W122" s="945"/>
      <c r="X122" s="945"/>
      <c r="Y122" s="945"/>
      <c r="Z122" s="945"/>
      <c r="AA122" s="945"/>
      <c r="AB122" s="945"/>
      <c r="AC122" s="945"/>
      <c r="AD122" s="945"/>
      <c r="AE122" s="945"/>
      <c r="AF122" s="1024"/>
      <c r="AG122" s="1659"/>
      <c r="AH122" s="1659"/>
      <c r="AI122" s="1659"/>
      <c r="AJ122" s="1659"/>
      <c r="AK122" s="1024"/>
      <c r="AL122" s="1659"/>
      <c r="AM122" s="1659"/>
      <c r="AN122" s="1659"/>
      <c r="AO122" s="1659"/>
      <c r="AP122" s="1024"/>
      <c r="AQ122" s="2538"/>
      <c r="AR122" s="1659"/>
      <c r="AS122" s="1659"/>
      <c r="AT122" s="2050"/>
      <c r="AU122" s="1024"/>
      <c r="AV122" s="2538"/>
      <c r="AW122" s="1659"/>
      <c r="AX122" s="1659"/>
      <c r="AY122" s="2050"/>
      <c r="AZ122" s="1024"/>
      <c r="BA122" s="1659">
        <f>IF(BA114*4/BA101/'EBITDA Val'!$G$49&lt;0,"NM",BA114*4/BA101/'EBITDA Val'!$G$49)</f>
        <v>6.9119625686775946E-2</v>
      </c>
      <c r="BB122" s="1659">
        <f>IF(BB114*4/BB101/'EBITDA Val'!$G$49&lt;0,"NM",BB114*4/BB101/'EBITDA Val'!$G$49)</f>
        <v>4.70691292930598E-2</v>
      </c>
      <c r="BC122" s="1659">
        <f>IF(BC114*4/BC101/'EBITDA Val'!$G$49&lt;0,"NM",BC114*4/BC101/'EBITDA Val'!$G$49)</f>
        <v>2.7044371446931312E-2</v>
      </c>
      <c r="BD122" s="1659">
        <f>IF(BD114*4/BD101/'EBITDA Val'!$G$49&lt;0,"NM",BD114*4/BD101/'EBITDA Val'!$G$49)</f>
        <v>3.1990582362285934E-2</v>
      </c>
      <c r="BE122" s="1024">
        <f>IF(BE114/BE101/'EBITDA Val'!$G$49&lt;0,"NM",BE114/BE101/'EBITDA Val'!$G$49)</f>
        <v>4.8359958204544737E-2</v>
      </c>
      <c r="BF122" s="469">
        <f>IF(BF114*4/BF101/'EBITDA Val'!$G$49&lt;0,"NM",BF114*4/BF101/'EBITDA Val'!$G$49)</f>
        <v>7.2884878113166629E-2</v>
      </c>
      <c r="BG122" s="469">
        <f>IF(BG114*4/BG101/'EBITDA Val'!$G$49&lt;0,"NM",BG114*4/BG101/'EBITDA Val'!$G$49)</f>
        <v>6.3051860709448723E-2</v>
      </c>
      <c r="BH122" s="469">
        <f>IF(BH114*4/BH101/'EBITDA Val'!$G$49&lt;0,"NM",BH114*4/BH101/'EBITDA Val'!$G$49)</f>
        <v>7.8677467506901452E-2</v>
      </c>
      <c r="BI122" s="469">
        <f>IF(BI114*4/BI101/'EBITDA Val'!$G$49&lt;0,"NM",BI114*4/BI101/'EBITDA Val'!$G$49)</f>
        <v>9.1834563084883455E-2</v>
      </c>
      <c r="BJ122" s="470">
        <f>IF(BJ114/BJ101/'EBITDA Val'!$G$49&lt;0,"NM",BJ114/BJ101/'EBITDA Val'!$G$49)</f>
        <v>7.6560576348156134E-2</v>
      </c>
      <c r="BK122" s="469">
        <f>IF(BK114*4/BK101/'EBITDA Val'!$G$49&lt;0,"NM",BK114*4/BK101/'EBITDA Val'!$G$49)</f>
        <v>0.10993000747519203</v>
      </c>
      <c r="BL122" s="469">
        <f>IF(BL114*4/BL101/'EBITDA Val'!$G$49&lt;0,"NM",BL114*4/BL101/'EBITDA Val'!$G$49)</f>
        <v>0.1243211078356372</v>
      </c>
      <c r="BM122" s="469">
        <f>IF(BM114*4/BM101/'EBITDA Val'!$G$49&lt;0,"NM",BM114*4/BM101/'EBITDA Val'!$G$49)</f>
        <v>0.14386284539450195</v>
      </c>
      <c r="BN122" s="469">
        <f>IF(BN114*4/BN101/'EBITDA Val'!$G$49&lt;0,"NM",BN114*4/BN101/'EBITDA Val'!$G$49)</f>
        <v>6.7457137298713929E-2</v>
      </c>
      <c r="BO122" s="470">
        <f>IF(BO114/BO101/'EBITDA Val'!$G$49&lt;0,"NM",BO114/BO101/'EBITDA Val'!$G$49)</f>
        <v>0.11092406579466274</v>
      </c>
      <c r="BP122" s="469">
        <f>IF(BP114*4/BP101/'EBITDA Val'!$G$49&lt;0,"NM",BP114*4/BP101/'EBITDA Val'!$G$49)</f>
        <v>9.2764922734606667E-2</v>
      </c>
      <c r="BQ122" s="469">
        <f>IF(BQ114*4/BQ101/'EBITDA Val'!$G$49&lt;0,"NM",BQ114*4/BQ101/'EBITDA Val'!$G$49)</f>
        <v>0.10257017864024899</v>
      </c>
      <c r="BR122" s="469">
        <f>IF(BR114*4/BR101/'EBITDA Val'!$G$49&lt;0,"NM",BR114*4/BR101/'EBITDA Val'!$G$49)</f>
        <v>0.10530391289766741</v>
      </c>
      <c r="BS122" s="469" t="str">
        <f>IF(BS114*4/BS101/'EBITDA Val'!$G$49&lt;0,"NM",BS114*4/BS101/'EBITDA Val'!$G$49)</f>
        <v>NM</v>
      </c>
      <c r="BT122" s="470" t="str">
        <f>IF(BT114/BT101/'EBITDA Val'!$G$49&lt;0,"NM",BT114/BT101/'EBITDA Val'!$G$49)</f>
        <v>NM</v>
      </c>
      <c r="BU122" s="469">
        <f>IF(BU114*4/BU101/'EBITDA Val'!$G$49&lt;0,"NM",BU114*4/BU101/'EBITDA Val'!$G$49)</f>
        <v>9.8386827074103692E-2</v>
      </c>
      <c r="BV122" s="469">
        <f>IF(BV114*4/BV101/'EBITDA Val'!$G$49&lt;0,"NM",BV114*4/BV101/'EBITDA Val'!$G$49)</f>
        <v>0.11992839852901468</v>
      </c>
      <c r="BW122" s="469">
        <f>IF(BW114*4/BW101/'EBITDA Val'!$G$49&lt;0,"NM",BW114*4/BW101/'EBITDA Val'!$G$49)</f>
        <v>0.12482491278185888</v>
      </c>
      <c r="BX122" s="469">
        <f>IF(BX114*4/BX101/'EBITDA Val'!$G$49&lt;0,"NM",BX114*4/BX101/'EBITDA Val'!$G$49)</f>
        <v>9.3669595731915162E-2</v>
      </c>
      <c r="BY122" s="1024">
        <f>IF(BY114/BY101/'EBITDA Val'!$G$49&lt;0,"NM",BY114/BY101/'EBITDA Val'!$G$49)</f>
        <v>0.10920799983192661</v>
      </c>
      <c r="BZ122" s="1024">
        <f>IF(BZ114/BZ101/'EBITDA Val'!$G$49&lt;0,"NM",BZ114/BZ101/'EBITDA Val'!$G$49)</f>
        <v>0.12038984528948993</v>
      </c>
      <c r="CA122" s="1024">
        <f>IF(CA114/CA101/'EBITDA Val'!$G$49&lt;0,"NM",CA114/CA101/'EBITDA Val'!$G$49)</f>
        <v>0.10950553611644578</v>
      </c>
      <c r="CB122" s="1024" t="str">
        <f>IF(CB114/CB101/'EBITDA Val'!$G$49&lt;0,"NM",CB114/CB101/'EBITDA Val'!$G$49)</f>
        <v>NM</v>
      </c>
      <c r="CC122" s="1024" t="str">
        <f>IF(CC114/CC101/'EBITDA Val'!$G$49&lt;0,"NM",CC114/CC101/'EBITDA Val'!$G$49)</f>
        <v>NM</v>
      </c>
      <c r="CD122" s="1024" t="str">
        <f>IF(CD114/CD101/'EBITDA Val'!$G$49&lt;0,"NM",CD114/CD101/'EBITDA Val'!$G$49)</f>
        <v>NM</v>
      </c>
      <c r="CE122" s="1024" t="str">
        <f>IF(CE114/CE101/'EBITDA Val'!$G$49&lt;0,"NM",CE114/CE101/'EBITDA Val'!$G$49)</f>
        <v>NM</v>
      </c>
      <c r="CF122" s="1024" t="str">
        <f>IF(CF114/CF101/'EBITDA Val'!$G$49&lt;0,"NM",CF114/CF101/'EBITDA Val'!$G$49)</f>
        <v>NM</v>
      </c>
      <c r="CG122" s="492"/>
      <c r="CH122" s="492"/>
      <c r="CI122" s="492"/>
      <c r="CJ122" s="492"/>
      <c r="CK122" s="492"/>
      <c r="CL122" s="1310"/>
      <c r="CM122" s="1659"/>
      <c r="CN122" s="1659"/>
      <c r="CO122" s="1659"/>
      <c r="CP122" s="1659"/>
      <c r="CQ122" s="1659"/>
      <c r="CR122" s="1659"/>
      <c r="CS122" s="1659"/>
      <c r="CT122" s="1659"/>
      <c r="CU122" s="1659"/>
      <c r="CV122" s="1659"/>
      <c r="CW122" s="1659"/>
      <c r="CX122" s="1659"/>
      <c r="CY122" s="1659"/>
      <c r="CZ122" s="1659"/>
      <c r="DA122" s="1659"/>
      <c r="DB122" s="1659"/>
      <c r="DC122" s="2050"/>
      <c r="DD122" s="492"/>
      <c r="DE122" s="492"/>
      <c r="DF122" s="962"/>
      <c r="DG122" s="962"/>
      <c r="DH122" s="1659"/>
      <c r="DI122" s="3213"/>
      <c r="DJ122" s="962"/>
      <c r="DK122" s="962"/>
      <c r="DL122" s="962"/>
      <c r="DM122" s="962"/>
      <c r="DN122" s="962"/>
      <c r="DO122" s="962"/>
      <c r="DP122" s="962"/>
      <c r="DQ122" s="962"/>
      <c r="DR122" s="963"/>
      <c r="DS122" s="963"/>
      <c r="DT122" s="963"/>
      <c r="DU122"/>
      <c r="DV122"/>
      <c r="DW122"/>
      <c r="DX122"/>
      <c r="DY122"/>
      <c r="DZ122"/>
    </row>
    <row r="123" spans="1:130" ht="13.5" customHeight="1" x14ac:dyDescent="0.25">
      <c r="A123" s="1620" t="s">
        <v>846</v>
      </c>
      <c r="B123" s="526"/>
      <c r="C123" s="656"/>
      <c r="D123" s="656"/>
      <c r="E123" s="656"/>
      <c r="F123" s="656"/>
      <c r="G123" s="656"/>
      <c r="H123" s="656"/>
      <c r="I123" s="656"/>
      <c r="J123" s="656"/>
      <c r="K123" s="656"/>
      <c r="L123" s="656"/>
      <c r="M123" s="656"/>
      <c r="N123" s="656"/>
      <c r="O123" s="656"/>
      <c r="P123" s="656"/>
      <c r="Q123" s="656"/>
      <c r="R123" s="656"/>
      <c r="S123" s="656"/>
      <c r="T123" s="656"/>
      <c r="U123" s="656"/>
      <c r="V123" s="656"/>
      <c r="W123" s="656"/>
      <c r="X123" s="656"/>
      <c r="Y123" s="656"/>
      <c r="Z123" s="656"/>
      <c r="AA123" s="514"/>
      <c r="AB123" s="514"/>
      <c r="AC123" s="514"/>
      <c r="AD123" s="514"/>
      <c r="AE123" s="514"/>
      <c r="AF123" s="1623"/>
      <c r="AG123" s="519"/>
      <c r="AH123" s="519"/>
      <c r="AI123" s="519"/>
      <c r="AJ123" s="519"/>
      <c r="AK123" s="1623"/>
      <c r="AL123" s="519"/>
      <c r="AM123" s="519"/>
      <c r="AN123" s="519"/>
      <c r="AO123" s="519"/>
      <c r="AP123" s="1623"/>
      <c r="AQ123" s="1618"/>
      <c r="AR123" s="519"/>
      <c r="AS123" s="519"/>
      <c r="AT123" s="1462"/>
      <c r="AU123" s="1623"/>
      <c r="AV123" s="1618"/>
      <c r="AW123" s="519"/>
      <c r="AX123" s="519"/>
      <c r="AY123" s="1462"/>
      <c r="AZ123" s="1727"/>
      <c r="BA123" s="1959"/>
      <c r="BB123" s="1960"/>
      <c r="BC123" s="1960"/>
      <c r="BD123" s="1961"/>
      <c r="BE123" s="1625"/>
      <c r="BF123" s="1960"/>
      <c r="BG123" s="1960"/>
      <c r="BH123" s="1960"/>
      <c r="BI123" s="1961"/>
      <c r="BJ123" s="1623">
        <f>(BJ120/BJ101)/'EBITDA Val'!$G$49</f>
        <v>4.2219828001666283E-3</v>
      </c>
      <c r="BK123" s="1960"/>
      <c r="BL123" s="1960"/>
      <c r="BM123" s="1960"/>
      <c r="BN123" s="1961"/>
      <c r="BO123" s="1623">
        <f>(BO120/BO101)/'EBITDA Val'!$G$49</f>
        <v>0.19801372886745547</v>
      </c>
      <c r="BP123" s="1960"/>
      <c r="BQ123" s="1960"/>
      <c r="BR123" s="1960"/>
      <c r="BS123" s="1960"/>
      <c r="BT123" s="1623">
        <f>(BT120/BT101)/'EBITDA Val'!$G$49</f>
        <v>-0.24364389246298038</v>
      </c>
      <c r="BU123" s="1618"/>
      <c r="BV123" s="519"/>
      <c r="BW123" s="519"/>
      <c r="BX123" s="1462"/>
      <c r="BY123" s="1623">
        <f>(BY120/BY101)/'EBITDA Val'!$G$49</f>
        <v>0.37128810063734535</v>
      </c>
      <c r="BZ123" s="1623">
        <f>(BZ120/BZ101)/'EBITDA Val'!$G$49</f>
        <v>0.11397991763017563</v>
      </c>
      <c r="CA123" s="1623">
        <f>(CA120/CA101)/'EBITDA Val'!$G$49</f>
        <v>0.1032297822150308</v>
      </c>
      <c r="CB123" s="1623" t="str">
        <f>IF(CB121/'EBITDA Val'!$G$49&lt;0,"NM",CB121/'EBITDA Val'!$G$49)</f>
        <v>NM</v>
      </c>
      <c r="CC123" s="1623" t="str">
        <f>IF(CC121/'EBITDA Val'!$G$49&lt;0,"NM",CC121/'EBITDA Val'!$G$49)</f>
        <v>NM</v>
      </c>
      <c r="CD123" s="1623" t="str">
        <f>IF(CD121/'EBITDA Val'!$G$49&lt;0,"NM",CD121/'EBITDA Val'!$G$49)</f>
        <v>NM</v>
      </c>
      <c r="CE123" s="1623" t="str">
        <f>IF(CE121/'EBITDA Val'!$G$49&lt;0,"NM",CE121/'EBITDA Val'!$G$49)</f>
        <v>NM</v>
      </c>
      <c r="CF123" s="1623" t="str">
        <f>IF(CF121/'EBITDA Val'!$G$49&lt;0,"NM",CF121/'EBITDA Val'!$G$49)</f>
        <v>NM</v>
      </c>
      <c r="CG123" s="476"/>
      <c r="CH123" s="476"/>
      <c r="CI123" s="476"/>
      <c r="CJ123" s="476"/>
      <c r="CK123" s="476"/>
      <c r="CL123" s="2022" t="str">
        <f>A123</f>
        <v>Net FCF yield</v>
      </c>
      <c r="CM123" s="2023"/>
      <c r="CN123" s="2023"/>
      <c r="CO123" s="2023"/>
      <c r="CP123" s="2023"/>
      <c r="CQ123" s="2023"/>
      <c r="CR123" s="2023">
        <f>AF123</f>
        <v>0</v>
      </c>
      <c r="CS123" s="2023">
        <f>AK123</f>
        <v>0</v>
      </c>
      <c r="CT123" s="2023">
        <f>AP123</f>
        <v>0</v>
      </c>
      <c r="CU123" s="2023">
        <f>AU123</f>
        <v>0</v>
      </c>
      <c r="CV123" s="2023">
        <f>AZ123</f>
        <v>0</v>
      </c>
      <c r="CW123" s="2023">
        <f>BE123</f>
        <v>0</v>
      </c>
      <c r="CX123" s="2023">
        <f>BJ123</f>
        <v>4.2219828001666283E-3</v>
      </c>
      <c r="CY123" s="2023">
        <f>BO123</f>
        <v>0.19801372886745547</v>
      </c>
      <c r="CZ123" s="2023">
        <f>BT123</f>
        <v>-0.24364389246298038</v>
      </c>
      <c r="DA123" s="2023">
        <f>BY123</f>
        <v>0.37128810063734535</v>
      </c>
      <c r="DB123" s="2023">
        <f>BZ123</f>
        <v>0.11397991763017563</v>
      </c>
      <c r="DC123" s="1625">
        <f>CA123</f>
        <v>0.1032297822150308</v>
      </c>
      <c r="DD123" s="476"/>
      <c r="DE123" s="476"/>
      <c r="DF123" s="598"/>
      <c r="DG123" s="598"/>
      <c r="DH123" s="519"/>
      <c r="DI123" s="3213"/>
      <c r="DJ123" s="598"/>
      <c r="DK123" s="598"/>
      <c r="DL123" s="598"/>
      <c r="DM123" s="598"/>
      <c r="DN123" s="598"/>
      <c r="DO123" s="598"/>
      <c r="DP123" s="598"/>
      <c r="DQ123" s="598"/>
      <c r="DR123" s="660"/>
      <c r="DS123" s="660"/>
      <c r="DT123" s="660"/>
    </row>
    <row r="124" spans="1:130" ht="12" customHeight="1" x14ac:dyDescent="0.25">
      <c r="A124" s="533"/>
      <c r="B124" s="428"/>
      <c r="C124" s="428"/>
      <c r="D124" s="428"/>
      <c r="E124" s="428"/>
      <c r="F124" s="428"/>
      <c r="G124" s="428"/>
      <c r="H124" s="428"/>
      <c r="I124" s="428"/>
      <c r="J124" s="428"/>
      <c r="K124" s="428"/>
      <c r="L124" s="428"/>
      <c r="M124" s="428"/>
      <c r="N124" s="428"/>
      <c r="O124" s="428"/>
      <c r="P124" s="428"/>
      <c r="Q124" s="428"/>
      <c r="R124" s="428"/>
      <c r="S124" s="428"/>
      <c r="T124" s="428"/>
      <c r="U124" s="428"/>
      <c r="V124" s="428"/>
      <c r="W124" s="428"/>
      <c r="X124" s="428"/>
      <c r="Y124" s="428"/>
      <c r="Z124" s="428"/>
      <c r="AA124" s="428"/>
      <c r="AB124" s="428"/>
      <c r="AC124" s="428"/>
      <c r="AD124" s="428"/>
      <c r="AE124" s="428"/>
      <c r="AF124" s="428"/>
      <c r="AG124" s="526"/>
      <c r="AH124" s="428"/>
      <c r="AI124" s="428"/>
      <c r="AJ124" s="428"/>
      <c r="AK124" s="428"/>
      <c r="AL124" s="428"/>
      <c r="AM124" s="428"/>
      <c r="AN124" s="428"/>
      <c r="AO124" s="428"/>
      <c r="AP124" s="428"/>
      <c r="AQ124" s="428"/>
      <c r="AR124" s="428"/>
      <c r="AS124" s="428"/>
      <c r="AT124" s="428"/>
      <c r="AU124" s="428"/>
      <c r="AV124" s="428"/>
      <c r="AW124" s="428"/>
      <c r="AX124" s="428"/>
      <c r="AY124" s="428"/>
      <c r="AZ124" s="2054"/>
      <c r="BA124" s="428"/>
      <c r="BB124" s="428"/>
      <c r="BC124" s="428"/>
      <c r="BD124" s="428"/>
      <c r="BE124" s="428"/>
      <c r="BF124" s="428"/>
      <c r="BG124" s="428"/>
      <c r="BH124" s="428"/>
      <c r="BI124" s="428"/>
      <c r="BJ124" s="428"/>
      <c r="BK124" s="428"/>
      <c r="BL124" s="428"/>
      <c r="BM124" s="428"/>
      <c r="BN124" s="428"/>
      <c r="BO124" s="428"/>
      <c r="BP124" s="428"/>
      <c r="BQ124" s="428"/>
      <c r="BR124" s="428"/>
      <c r="BS124" s="428"/>
      <c r="BT124" s="3011"/>
      <c r="BU124" s="3011"/>
      <c r="BV124" s="3011"/>
      <c r="BW124" s="3011"/>
      <c r="BX124" s="3011"/>
      <c r="BY124" s="3011"/>
      <c r="BZ124" s="428"/>
      <c r="CA124" s="428"/>
      <c r="CB124" s="428"/>
      <c r="CC124" s="428"/>
      <c r="CD124" s="428"/>
      <c r="CE124" s="428"/>
      <c r="CF124" s="428"/>
      <c r="CG124" s="331"/>
      <c r="CH124" s="331"/>
      <c r="CI124" s="331"/>
      <c r="CJ124" s="331"/>
      <c r="CK124" s="331"/>
      <c r="CL124" s="533"/>
      <c r="CM124" s="428"/>
      <c r="CN124" s="428"/>
      <c r="CO124" s="428"/>
      <c r="CP124" s="428"/>
      <c r="CQ124" s="428"/>
      <c r="CR124" s="428"/>
      <c r="CS124" s="428"/>
      <c r="CT124" s="428"/>
      <c r="CU124" s="428"/>
      <c r="CV124" s="428"/>
      <c r="CW124" s="428"/>
      <c r="CX124" s="428"/>
      <c r="CY124" s="428"/>
      <c r="CZ124" s="428"/>
      <c r="DA124" s="428"/>
      <c r="DB124" s="428"/>
      <c r="DC124" s="428"/>
      <c r="DD124" s="331"/>
      <c r="DE124" s="331"/>
      <c r="DF124" s="502"/>
      <c r="DG124" s="503"/>
      <c r="DH124" s="3011"/>
      <c r="DI124" s="3213"/>
      <c r="DJ124" s="502"/>
      <c r="DK124" s="503"/>
      <c r="DL124" s="502"/>
      <c r="DM124" s="502"/>
      <c r="DN124" s="502"/>
      <c r="DO124" s="502"/>
      <c r="DP124" s="503"/>
      <c r="DQ124" s="503"/>
      <c r="DR124" s="296"/>
      <c r="DS124" s="296"/>
      <c r="DT124" s="296"/>
    </row>
    <row r="125" spans="1:130" ht="12" customHeight="1" x14ac:dyDescent="0.25">
      <c r="A125" s="432" t="s">
        <v>681</v>
      </c>
      <c r="B125" s="409"/>
      <c r="C125" s="433" t="str">
        <f>C$6</f>
        <v>1Q04</v>
      </c>
      <c r="D125" s="433" t="str">
        <f t="shared" ref="D125:CB125" si="300">D$6</f>
        <v>2Q04</v>
      </c>
      <c r="E125" s="433" t="str">
        <f t="shared" si="300"/>
        <v>3Q04</v>
      </c>
      <c r="F125" s="433" t="str">
        <f t="shared" si="300"/>
        <v>4Q04</v>
      </c>
      <c r="G125" s="434">
        <f t="shared" si="300"/>
        <v>2004</v>
      </c>
      <c r="H125" s="433" t="str">
        <f t="shared" si="300"/>
        <v>1Q05</v>
      </c>
      <c r="I125" s="433" t="str">
        <f t="shared" si="300"/>
        <v>2Q05</v>
      </c>
      <c r="J125" s="433" t="str">
        <f t="shared" si="300"/>
        <v>3Q05</v>
      </c>
      <c r="K125" s="433" t="str">
        <f t="shared" si="300"/>
        <v>4Q05</v>
      </c>
      <c r="L125" s="434">
        <f t="shared" si="300"/>
        <v>2005</v>
      </c>
      <c r="M125" s="433" t="str">
        <f t="shared" si="300"/>
        <v>1Q06</v>
      </c>
      <c r="N125" s="433" t="str">
        <f t="shared" si="300"/>
        <v>2Q06</v>
      </c>
      <c r="O125" s="433" t="str">
        <f t="shared" si="300"/>
        <v>3Q06</v>
      </c>
      <c r="P125" s="433" t="str">
        <f t="shared" si="300"/>
        <v>4Q06</v>
      </c>
      <c r="Q125" s="434">
        <f t="shared" si="300"/>
        <v>2006</v>
      </c>
      <c r="R125" s="433" t="str">
        <f t="shared" si="300"/>
        <v>1Q07</v>
      </c>
      <c r="S125" s="433" t="str">
        <f t="shared" si="300"/>
        <v>2Q07</v>
      </c>
      <c r="T125" s="433" t="str">
        <f t="shared" si="300"/>
        <v>3Q07</v>
      </c>
      <c r="U125" s="433" t="str">
        <f t="shared" si="300"/>
        <v>4Q07</v>
      </c>
      <c r="V125" s="434">
        <f t="shared" si="300"/>
        <v>2007</v>
      </c>
      <c r="W125" s="433" t="str">
        <f t="shared" si="300"/>
        <v>1Q08</v>
      </c>
      <c r="X125" s="433" t="str">
        <f t="shared" si="300"/>
        <v>2Q08</v>
      </c>
      <c r="Y125" s="433" t="str">
        <f t="shared" si="300"/>
        <v>3Q08</v>
      </c>
      <c r="Z125" s="433" t="str">
        <f t="shared" si="300"/>
        <v>4Q08</v>
      </c>
      <c r="AA125" s="434">
        <f t="shared" si="300"/>
        <v>2008</v>
      </c>
      <c r="AB125" s="433" t="str">
        <f t="shared" si="300"/>
        <v>1Q09</v>
      </c>
      <c r="AC125" s="433" t="str">
        <f t="shared" si="300"/>
        <v>2Q09</v>
      </c>
      <c r="AD125" s="433" t="str">
        <f t="shared" si="300"/>
        <v>3Q09</v>
      </c>
      <c r="AE125" s="433" t="str">
        <f t="shared" si="300"/>
        <v>4Q09</v>
      </c>
      <c r="AF125" s="434">
        <f t="shared" si="300"/>
        <v>2009</v>
      </c>
      <c r="AG125" s="433" t="str">
        <f t="shared" si="300"/>
        <v>1Q10</v>
      </c>
      <c r="AH125" s="433" t="str">
        <f t="shared" si="300"/>
        <v>2Q10</v>
      </c>
      <c r="AI125" s="433" t="str">
        <f t="shared" si="300"/>
        <v>3Q10</v>
      </c>
      <c r="AJ125" s="433" t="str">
        <f t="shared" si="300"/>
        <v>4Q10</v>
      </c>
      <c r="AK125" s="434">
        <f t="shared" si="300"/>
        <v>2010</v>
      </c>
      <c r="AL125" s="435" t="str">
        <f t="shared" si="300"/>
        <v>1Q11</v>
      </c>
      <c r="AM125" s="435" t="str">
        <f t="shared" si="300"/>
        <v>2Q11</v>
      </c>
      <c r="AN125" s="435" t="str">
        <f t="shared" si="300"/>
        <v>3Q11</v>
      </c>
      <c r="AO125" s="435" t="str">
        <f t="shared" si="300"/>
        <v>4Q11</v>
      </c>
      <c r="AP125" s="436">
        <f t="shared" si="300"/>
        <v>2011</v>
      </c>
      <c r="AQ125" s="436" t="str">
        <f t="shared" si="300"/>
        <v>1Q12</v>
      </c>
      <c r="AR125" s="437" t="str">
        <f t="shared" si="300"/>
        <v>2Q12</v>
      </c>
      <c r="AS125" s="437" t="str">
        <f t="shared" si="300"/>
        <v>3Q12</v>
      </c>
      <c r="AT125" s="437" t="str">
        <f t="shared" si="300"/>
        <v>4Q12</v>
      </c>
      <c r="AU125" s="438">
        <f t="shared" si="300"/>
        <v>2012</v>
      </c>
      <c r="AV125" s="436" t="str">
        <f t="shared" si="300"/>
        <v>1Q13</v>
      </c>
      <c r="AW125" s="437" t="str">
        <f t="shared" si="300"/>
        <v>2Q13</v>
      </c>
      <c r="AX125" s="437" t="str">
        <f t="shared" si="300"/>
        <v>3Q13</v>
      </c>
      <c r="AY125" s="861" t="str">
        <f t="shared" si="300"/>
        <v>4Q13</v>
      </c>
      <c r="AZ125" s="438">
        <f t="shared" si="300"/>
        <v>2013</v>
      </c>
      <c r="BA125" s="436" t="str">
        <f t="shared" si="300"/>
        <v>1Q14</v>
      </c>
      <c r="BB125" s="437" t="str">
        <f t="shared" si="300"/>
        <v>2Q14</v>
      </c>
      <c r="BC125" s="437" t="str">
        <f t="shared" si="300"/>
        <v>3Q14</v>
      </c>
      <c r="BD125" s="861" t="str">
        <f t="shared" si="300"/>
        <v>4Q14</v>
      </c>
      <c r="BE125" s="861">
        <f t="shared" si="300"/>
        <v>2014</v>
      </c>
      <c r="BF125" s="437" t="str">
        <f t="shared" si="300"/>
        <v>1Q15</v>
      </c>
      <c r="BG125" s="437" t="str">
        <f t="shared" si="300"/>
        <v>2Q15</v>
      </c>
      <c r="BH125" s="437" t="str">
        <f t="shared" si="300"/>
        <v>3Q15</v>
      </c>
      <c r="BI125" s="861" t="str">
        <f t="shared" si="300"/>
        <v>4Q15</v>
      </c>
      <c r="BJ125" s="861">
        <f t="shared" si="300"/>
        <v>2015</v>
      </c>
      <c r="BK125" s="437" t="str">
        <f t="shared" si="300"/>
        <v>1Q16</v>
      </c>
      <c r="BL125" s="437" t="str">
        <f t="shared" si="300"/>
        <v>2Q16</v>
      </c>
      <c r="BM125" s="437" t="str">
        <f t="shared" si="300"/>
        <v>3Q16</v>
      </c>
      <c r="BN125" s="861" t="str">
        <f t="shared" si="300"/>
        <v>4Q16</v>
      </c>
      <c r="BO125" s="861">
        <f t="shared" si="300"/>
        <v>2016</v>
      </c>
      <c r="BP125" s="437" t="str">
        <f t="shared" si="300"/>
        <v>1Q17</v>
      </c>
      <c r="BQ125" s="437" t="str">
        <f t="shared" si="300"/>
        <v>2Q17</v>
      </c>
      <c r="BR125" s="437" t="str">
        <f t="shared" si="300"/>
        <v>3Q17</v>
      </c>
      <c r="BS125" s="437" t="str">
        <f t="shared" si="300"/>
        <v>4Q17</v>
      </c>
      <c r="BT125" s="438">
        <f t="shared" si="300"/>
        <v>2017</v>
      </c>
      <c r="BU125" s="437" t="str">
        <f t="shared" si="300"/>
        <v>1Q18E</v>
      </c>
      <c r="BV125" s="437" t="str">
        <f t="shared" si="300"/>
        <v>2Q18E</v>
      </c>
      <c r="BW125" s="437" t="str">
        <f t="shared" si="300"/>
        <v>3Q18E</v>
      </c>
      <c r="BX125" s="437" t="str">
        <f t="shared" si="300"/>
        <v>4Q18E</v>
      </c>
      <c r="BY125" s="438" t="str">
        <f t="shared" si="300"/>
        <v>2018E</v>
      </c>
      <c r="BZ125" s="438" t="str">
        <f t="shared" si="300"/>
        <v>2019E</v>
      </c>
      <c r="CA125" s="438" t="str">
        <f t="shared" si="300"/>
        <v>2020E</v>
      </c>
      <c r="CB125" s="438" t="str">
        <f t="shared" si="300"/>
        <v>2021E</v>
      </c>
      <c r="CC125" s="438" t="str">
        <f>CC$6</f>
        <v>2022E</v>
      </c>
      <c r="CD125" s="438" t="str">
        <f>CD$6</f>
        <v>2023E</v>
      </c>
      <c r="CE125" s="438" t="str">
        <f>CE$6</f>
        <v>2024E</v>
      </c>
      <c r="CF125" s="438" t="str">
        <f>CF$6</f>
        <v>2025E</v>
      </c>
      <c r="CG125" s="502"/>
      <c r="CH125" s="502"/>
      <c r="CI125" s="502"/>
      <c r="CJ125" s="502"/>
      <c r="CK125" s="502"/>
      <c r="CL125" s="2102" t="str">
        <f>A125</f>
        <v>CAPITAL EXPENDITURES SUMMARY</v>
      </c>
      <c r="CM125" s="2199">
        <f>G125</f>
        <v>2004</v>
      </c>
      <c r="CN125" s="2199">
        <f>L125</f>
        <v>2005</v>
      </c>
      <c r="CO125" s="2199">
        <f>Q125</f>
        <v>2006</v>
      </c>
      <c r="CP125" s="2199">
        <f>V125</f>
        <v>2007</v>
      </c>
      <c r="CQ125" s="2199">
        <f>AA125</f>
        <v>2008</v>
      </c>
      <c r="CR125" s="2199">
        <f>AF125</f>
        <v>2009</v>
      </c>
      <c r="CS125" s="2199">
        <f>AK125</f>
        <v>2010</v>
      </c>
      <c r="CT125" s="2199">
        <f>AP125</f>
        <v>2011</v>
      </c>
      <c r="CU125" s="1113">
        <f>AU125</f>
        <v>2012</v>
      </c>
      <c r="CV125" s="1113">
        <f>AZ125</f>
        <v>2013</v>
      </c>
      <c r="CW125" s="1113">
        <f>BE125</f>
        <v>2014</v>
      </c>
      <c r="CX125" s="1113">
        <f>BJ125</f>
        <v>2015</v>
      </c>
      <c r="CY125" s="1113">
        <f>BO125</f>
        <v>2016</v>
      </c>
      <c r="CZ125" s="1113">
        <f>BT125</f>
        <v>2017</v>
      </c>
      <c r="DA125" s="1113" t="str">
        <f>BY125</f>
        <v>2018E</v>
      </c>
      <c r="DB125" s="1113" t="str">
        <f>BZ125</f>
        <v>2019E</v>
      </c>
      <c r="DC125" s="2219" t="str">
        <f>CA125</f>
        <v>2020E</v>
      </c>
      <c r="DD125" s="502"/>
      <c r="DE125" s="502"/>
      <c r="DF125" s="502"/>
      <c r="DG125" s="503"/>
      <c r="DH125" s="537"/>
      <c r="DI125" s="3213"/>
      <c r="DJ125" s="502"/>
      <c r="DK125" s="503"/>
      <c r="DL125" s="502"/>
      <c r="DM125" s="502"/>
      <c r="DN125" s="502"/>
      <c r="DO125" s="502"/>
      <c r="DP125" s="503"/>
      <c r="DQ125" s="503"/>
      <c r="DR125" s="296"/>
      <c r="DS125" s="296"/>
      <c r="DT125" s="296"/>
    </row>
    <row r="126" spans="1:130" ht="5.0999999999999996" customHeight="1" x14ac:dyDescent="0.25">
      <c r="A126" s="1149"/>
      <c r="B126" s="428"/>
      <c r="C126" s="502"/>
      <c r="D126" s="502"/>
      <c r="E126" s="502"/>
      <c r="F126" s="502"/>
      <c r="G126" s="534"/>
      <c r="H126" s="502"/>
      <c r="I126" s="502"/>
      <c r="J126" s="502"/>
      <c r="K126" s="502"/>
      <c r="L126" s="534"/>
      <c r="M126" s="502"/>
      <c r="N126" s="502"/>
      <c r="O126" s="502"/>
      <c r="P126" s="502"/>
      <c r="Q126" s="534"/>
      <c r="R126" s="502"/>
      <c r="S126" s="502"/>
      <c r="T126" s="502"/>
      <c r="U126" s="502"/>
      <c r="V126" s="534"/>
      <c r="W126" s="502"/>
      <c r="X126" s="502"/>
      <c r="Y126" s="502"/>
      <c r="Z126" s="502"/>
      <c r="AA126" s="534"/>
      <c r="AB126" s="502"/>
      <c r="AC126" s="502"/>
      <c r="AD126" s="502"/>
      <c r="AE126" s="502"/>
      <c r="AF126" s="534"/>
      <c r="AG126" s="502"/>
      <c r="AH126" s="502"/>
      <c r="AI126" s="502"/>
      <c r="AJ126" s="502"/>
      <c r="AK126" s="534"/>
      <c r="AL126" s="503"/>
      <c r="AM126" s="503"/>
      <c r="AN126" s="503"/>
      <c r="AO126" s="503"/>
      <c r="AP126" s="535"/>
      <c r="AQ126" s="535"/>
      <c r="AR126" s="537"/>
      <c r="AS126" s="537"/>
      <c r="AT126" s="537"/>
      <c r="AU126" s="535"/>
      <c r="AV126" s="535"/>
      <c r="AW126" s="537"/>
      <c r="AX126" s="537"/>
      <c r="AY126" s="1926"/>
      <c r="AZ126" s="536"/>
      <c r="BA126" s="537"/>
      <c r="BB126" s="537"/>
      <c r="BC126" s="537"/>
      <c r="BD126" s="537"/>
      <c r="BE126" s="536"/>
      <c r="BF126" s="537"/>
      <c r="BG126" s="537"/>
      <c r="BH126" s="537"/>
      <c r="BI126" s="537"/>
      <c r="BJ126" s="536"/>
      <c r="BK126" s="537"/>
      <c r="BL126" s="537"/>
      <c r="BM126" s="537"/>
      <c r="BN126" s="537"/>
      <c r="BO126" s="536"/>
      <c r="BP126" s="537"/>
      <c r="BQ126" s="537"/>
      <c r="BR126" s="537"/>
      <c r="BS126" s="537"/>
      <c r="BT126" s="536"/>
      <c r="BU126" s="537"/>
      <c r="BV126" s="537"/>
      <c r="BW126" s="537"/>
      <c r="BX126" s="537"/>
      <c r="BY126" s="2121"/>
      <c r="BZ126" s="536"/>
      <c r="CA126" s="536"/>
      <c r="CB126" s="536"/>
      <c r="CC126" s="536"/>
      <c r="CD126" s="536"/>
      <c r="CE126" s="536"/>
      <c r="CF126" s="536"/>
      <c r="CG126" s="502"/>
      <c r="CH126" s="502"/>
      <c r="CI126" s="502"/>
      <c r="CJ126" s="502"/>
      <c r="CK126" s="502"/>
      <c r="CL126" s="1149"/>
      <c r="CM126" s="537"/>
      <c r="CN126" s="537"/>
      <c r="CO126" s="537"/>
      <c r="CP126" s="537"/>
      <c r="CQ126" s="537"/>
      <c r="CR126" s="537"/>
      <c r="CS126" s="537"/>
      <c r="CT126" s="537"/>
      <c r="CU126" s="537"/>
      <c r="CV126" s="537"/>
      <c r="CW126" s="537"/>
      <c r="CX126" s="537"/>
      <c r="CY126" s="537"/>
      <c r="CZ126" s="537"/>
      <c r="DA126" s="537"/>
      <c r="DB126" s="537"/>
      <c r="DC126" s="1926"/>
      <c r="DD126" s="502"/>
      <c r="DE126" s="502"/>
      <c r="DF126" s="502"/>
      <c r="DG126" s="503"/>
      <c r="DH126" s="537"/>
      <c r="DI126" s="3213"/>
      <c r="DJ126" s="502"/>
      <c r="DK126" s="503"/>
      <c r="DL126" s="502"/>
      <c r="DM126" s="502"/>
      <c r="DN126" s="502"/>
      <c r="DO126" s="502"/>
      <c r="DP126" s="503"/>
      <c r="DQ126" s="503"/>
      <c r="DR126" s="296"/>
      <c r="DS126" s="296"/>
      <c r="DT126" s="296"/>
    </row>
    <row r="127" spans="1:130" ht="12" customHeight="1" x14ac:dyDescent="0.25">
      <c r="A127" s="1274" t="s">
        <v>2156</v>
      </c>
      <c r="B127" s="479"/>
      <c r="C127" s="480">
        <v>7.6</v>
      </c>
      <c r="D127" s="480">
        <f>15.3-C127</f>
        <v>7.7000000000000011</v>
      </c>
      <c r="E127" s="480">
        <f>26.7-D127-C127</f>
        <v>11.4</v>
      </c>
      <c r="F127" s="480">
        <f>39-E127-D127-C127</f>
        <v>12.299999999999999</v>
      </c>
      <c r="G127" s="481">
        <f>SUM(C127:F127)</f>
        <v>39</v>
      </c>
      <c r="H127" s="480">
        <v>6.8</v>
      </c>
      <c r="I127" s="480">
        <f>22.3-H127</f>
        <v>15.5</v>
      </c>
      <c r="J127" s="480">
        <f>31-I127-H127</f>
        <v>8.6999999999999993</v>
      </c>
      <c r="K127" s="480">
        <f>50.5-J127-I127-H127</f>
        <v>19.499999999999996</v>
      </c>
      <c r="L127" s="481">
        <f>SUM(H127:K127)</f>
        <v>50.5</v>
      </c>
      <c r="M127" s="480">
        <v>12</v>
      </c>
      <c r="N127" s="480">
        <v>19.100000000000001</v>
      </c>
      <c r="O127" s="480">
        <v>13.8</v>
      </c>
      <c r="P127" s="480">
        <f>64.1-O127-N127-M127</f>
        <v>19.199999999999996</v>
      </c>
      <c r="Q127" s="481">
        <f>SUM(M127:P127)</f>
        <v>64.099999999999994</v>
      </c>
      <c r="R127" s="480">
        <v>14.6</v>
      </c>
      <c r="S127" s="480">
        <f>28.4-R127</f>
        <v>13.799999999999999</v>
      </c>
      <c r="T127" s="480">
        <f>40.7-S127-R127</f>
        <v>12.300000000000006</v>
      </c>
      <c r="U127" s="480">
        <f>72.2-T127-S127-R127</f>
        <v>31.5</v>
      </c>
      <c r="V127" s="481">
        <f>SUM(R127:U127)</f>
        <v>72.2</v>
      </c>
      <c r="W127" s="480">
        <v>15.7</v>
      </c>
      <c r="X127" s="480">
        <f>32.6-W127</f>
        <v>16.900000000000002</v>
      </c>
      <c r="Y127" s="480">
        <f>45.1-X127-W127</f>
        <v>12.5</v>
      </c>
      <c r="Z127" s="480">
        <f>67.2-Y127-X127-W127</f>
        <v>22.099999999999998</v>
      </c>
      <c r="AA127" s="481">
        <f>SUM(W127:Z127)</f>
        <v>67.2</v>
      </c>
      <c r="AB127" s="480">
        <v>16</v>
      </c>
      <c r="AC127" s="480">
        <f>31.6-AB127</f>
        <v>15.600000000000001</v>
      </c>
      <c r="AD127" s="480">
        <f>57.6-AC127-AB127</f>
        <v>26</v>
      </c>
      <c r="AE127" s="482">
        <v>23</v>
      </c>
      <c r="AF127" s="481">
        <f>SUM(AB127:AE127)</f>
        <v>80.599999999999994</v>
      </c>
      <c r="AG127" s="482">
        <v>31.2</v>
      </c>
      <c r="AH127" s="482">
        <v>23.2</v>
      </c>
      <c r="AI127" s="482">
        <v>22.3</v>
      </c>
      <c r="AJ127" s="482">
        <v>18.2</v>
      </c>
      <c r="AK127" s="481">
        <f>SUM(AG127:AJ127)</f>
        <v>94.9</v>
      </c>
      <c r="AL127" s="482">
        <v>14.7</v>
      </c>
      <c r="AM127" s="482">
        <v>14.6</v>
      </c>
      <c r="AN127" s="482">
        <f>52.2-AM127-AL127</f>
        <v>22.900000000000002</v>
      </c>
      <c r="AO127" s="482">
        <v>24.8</v>
      </c>
      <c r="AP127" s="483">
        <f>SUM(AL127:AO127)</f>
        <v>77</v>
      </c>
      <c r="AQ127" s="1676">
        <v>21.5</v>
      </c>
      <c r="AR127" s="482">
        <v>30.2</v>
      </c>
      <c r="AS127" s="482">
        <v>14</v>
      </c>
      <c r="AT127" s="482">
        <v>20.3</v>
      </c>
      <c r="AU127" s="483">
        <f>SUM(AQ127:AT127)</f>
        <v>86</v>
      </c>
      <c r="AV127" s="1676">
        <v>21.9</v>
      </c>
      <c r="AW127" s="482">
        <f>45.846-AV127</f>
        <v>23.945999999999998</v>
      </c>
      <c r="AX127" s="482">
        <v>16.260000000000002</v>
      </c>
      <c r="AY127" s="482">
        <f>199.9-SUM(AV127:AX127)-SUM(AV130:AY130)</f>
        <v>18.694000000000017</v>
      </c>
      <c r="AZ127" s="481">
        <f>SUM(AV127:AY127)</f>
        <v>80.800000000000011</v>
      </c>
      <c r="BA127" s="2675">
        <v>24.084</v>
      </c>
      <c r="BB127" s="2675">
        <v>20.2</v>
      </c>
      <c r="BC127" s="2675">
        <v>21.4</v>
      </c>
      <c r="BD127" s="2952">
        <f>83.4-SUM(BA127:BC127)</f>
        <v>17.716000000000008</v>
      </c>
      <c r="BE127" s="481">
        <f>SUM(BA127:BD127)</f>
        <v>83.4</v>
      </c>
      <c r="BF127" s="2675">
        <v>11.86</v>
      </c>
      <c r="BG127" s="2675">
        <f>30.165-BF127</f>
        <v>18.305</v>
      </c>
      <c r="BH127" s="2953">
        <f>41.866-SUM(BF127:BG127)</f>
        <v>11.701000000000001</v>
      </c>
      <c r="BI127" s="2953">
        <f>62.692-SUM(BF127:BH127)</f>
        <v>20.826000000000001</v>
      </c>
      <c r="BJ127" s="481">
        <f>SUM(BF127:BI127)</f>
        <v>62.692</v>
      </c>
      <c r="BK127" s="2953">
        <v>14.872999999999999</v>
      </c>
      <c r="BL127" s="2675">
        <f>32.543-BK127</f>
        <v>17.670000000000002</v>
      </c>
      <c r="BM127" s="482">
        <f>51.431-BL127-BK127</f>
        <v>18.887999999999998</v>
      </c>
      <c r="BN127" s="482">
        <v>27.074000000000002</v>
      </c>
      <c r="BO127" s="481">
        <f>SUM(BK127:BN127)</f>
        <v>78.504999999999995</v>
      </c>
      <c r="BP127" s="482">
        <v>10.978</v>
      </c>
      <c r="BQ127" s="482">
        <f>28.287-BP127</f>
        <v>17.308999999999997</v>
      </c>
      <c r="BR127" s="482">
        <v>18.344000000000001</v>
      </c>
      <c r="BS127" s="482">
        <v>27.597000000000001</v>
      </c>
      <c r="BT127" s="2587">
        <f>SUM(BP127:BS127)</f>
        <v>74.228000000000009</v>
      </c>
      <c r="BU127" s="2840">
        <f>BU128*BU258</f>
        <v>27.521276096949332</v>
      </c>
      <c r="BV127" s="2840">
        <f>BV128*BV258</f>
        <v>20.361277754346851</v>
      </c>
      <c r="BW127" s="2840">
        <f>BW128*BW258</f>
        <v>27.312780289162671</v>
      </c>
      <c r="BX127" s="2840">
        <f>BX128*BX258</f>
        <v>28.106546639286464</v>
      </c>
      <c r="BY127" s="2587">
        <f>SUM(BU127:BX127)</f>
        <v>103.30188077974532</v>
      </c>
      <c r="BZ127" s="481">
        <f t="shared" ref="BZ127:CF127" si="301">BZ128*BZ258</f>
        <v>139.18879107635362</v>
      </c>
      <c r="CA127" s="481">
        <f t="shared" si="301"/>
        <v>154.00732659840105</v>
      </c>
      <c r="CB127" s="481">
        <f t="shared" si="301"/>
        <v>86.744552585372091</v>
      </c>
      <c r="CC127" s="481">
        <f t="shared" si="301"/>
        <v>82.745759264676607</v>
      </c>
      <c r="CD127" s="481">
        <f t="shared" si="301"/>
        <v>84.334460617014983</v>
      </c>
      <c r="CE127" s="481">
        <f t="shared" si="301"/>
        <v>85.997640475003848</v>
      </c>
      <c r="CF127" s="481">
        <f t="shared" si="301"/>
        <v>87.608140580652176</v>
      </c>
      <c r="CG127" s="331"/>
      <c r="CH127" s="331"/>
      <c r="CI127" s="331"/>
      <c r="CJ127" s="331"/>
      <c r="CK127" s="331"/>
      <c r="CL127" s="2031" t="str">
        <f>A127</f>
        <v>Maintenance capex</v>
      </c>
      <c r="CM127" s="430">
        <f>G127</f>
        <v>39</v>
      </c>
      <c r="CN127" s="430">
        <f>L127</f>
        <v>50.5</v>
      </c>
      <c r="CO127" s="430">
        <f>Q127</f>
        <v>64.099999999999994</v>
      </c>
      <c r="CP127" s="430">
        <f>V127</f>
        <v>72.2</v>
      </c>
      <c r="CQ127" s="430">
        <f>AA127</f>
        <v>67.2</v>
      </c>
      <c r="CR127" s="430">
        <f>AF127</f>
        <v>80.599999999999994</v>
      </c>
      <c r="CS127" s="430">
        <f>AK127</f>
        <v>94.9</v>
      </c>
      <c r="CT127" s="430">
        <f>AP127</f>
        <v>77</v>
      </c>
      <c r="CU127" s="430">
        <f>AU127</f>
        <v>86</v>
      </c>
      <c r="CV127" s="430">
        <f>AZ127</f>
        <v>80.800000000000011</v>
      </c>
      <c r="CW127" s="430">
        <f>BE127</f>
        <v>83.4</v>
      </c>
      <c r="CX127" s="430">
        <f>BJ127</f>
        <v>62.692</v>
      </c>
      <c r="CY127" s="430">
        <f>BO127</f>
        <v>78.504999999999995</v>
      </c>
      <c r="CZ127" s="430">
        <f>BT127</f>
        <v>74.228000000000009</v>
      </c>
      <c r="DA127" s="430">
        <f t="shared" ref="DA127:DC128" si="302">BY127</f>
        <v>103.30188077974532</v>
      </c>
      <c r="DB127" s="430">
        <f t="shared" si="302"/>
        <v>139.18879107635362</v>
      </c>
      <c r="DC127" s="853">
        <f t="shared" si="302"/>
        <v>154.00732659840105</v>
      </c>
      <c r="DD127" s="331"/>
      <c r="DE127" s="331"/>
      <c r="DF127" s="502"/>
      <c r="DG127" s="503"/>
      <c r="DH127" s="2840"/>
      <c r="DI127" s="3213"/>
      <c r="DJ127" s="502"/>
      <c r="DK127" s="503"/>
      <c r="DL127" s="502"/>
      <c r="DM127" s="502"/>
      <c r="DN127" s="502"/>
      <c r="DO127" s="502"/>
      <c r="DP127" s="503"/>
      <c r="DQ127" s="503"/>
      <c r="DR127" s="296"/>
      <c r="DS127" s="296"/>
      <c r="DT127" s="296"/>
    </row>
    <row r="128" spans="1:130" ht="12" customHeight="1" x14ac:dyDescent="0.25">
      <c r="A128" s="865" t="s">
        <v>1673</v>
      </c>
      <c r="B128" s="479"/>
      <c r="C128" s="467">
        <f t="shared" ref="C128:AH128" si="303">C127/C258</f>
        <v>2.5833996179287933E-2</v>
      </c>
      <c r="D128" s="467">
        <f t="shared" si="303"/>
        <v>2.557536262210575E-2</v>
      </c>
      <c r="E128" s="467">
        <f t="shared" si="303"/>
        <v>3.9483117503835749E-2</v>
      </c>
      <c r="F128" s="467">
        <f t="shared" si="303"/>
        <v>4.4454403515873472E-2</v>
      </c>
      <c r="G128" s="468">
        <f t="shared" si="303"/>
        <v>3.3601108319634421E-2</v>
      </c>
      <c r="H128" s="467">
        <f t="shared" si="303"/>
        <v>2.416231389688377E-2</v>
      </c>
      <c r="I128" s="467">
        <f t="shared" si="303"/>
        <v>5.2328800421331256E-2</v>
      </c>
      <c r="J128" s="467">
        <f t="shared" si="303"/>
        <v>3.0320244513604027E-2</v>
      </c>
      <c r="K128" s="467">
        <f t="shared" si="303"/>
        <v>3.7182234900199063E-2</v>
      </c>
      <c r="L128" s="468">
        <f t="shared" si="303"/>
        <v>3.6356698811747898E-2</v>
      </c>
      <c r="M128" s="467">
        <f t="shared" si="303"/>
        <v>2.1906564849821373E-2</v>
      </c>
      <c r="N128" s="467">
        <f t="shared" si="303"/>
        <v>3.5515391552543261E-2</v>
      </c>
      <c r="O128" s="467">
        <f t="shared" si="303"/>
        <v>2.3545028160194919E-2</v>
      </c>
      <c r="P128" s="467">
        <f t="shared" si="303"/>
        <v>3.3515983807590313E-2</v>
      </c>
      <c r="Q128" s="468">
        <f t="shared" si="303"/>
        <v>2.8558088309984901E-2</v>
      </c>
      <c r="R128" s="467">
        <f t="shared" si="303"/>
        <v>2.4486044631686285E-2</v>
      </c>
      <c r="S128" s="467">
        <f t="shared" si="303"/>
        <v>2.2071383331947209E-2</v>
      </c>
      <c r="T128" s="467">
        <f t="shared" si="303"/>
        <v>1.9540869012630083E-2</v>
      </c>
      <c r="U128" s="467">
        <f t="shared" si="303"/>
        <v>5.3768855372020738E-2</v>
      </c>
      <c r="V128" s="468">
        <f t="shared" si="303"/>
        <v>2.9629106780920667E-2</v>
      </c>
      <c r="W128" s="467">
        <f t="shared" si="303"/>
        <v>2.5591122325564715E-2</v>
      </c>
      <c r="X128" s="467">
        <f t="shared" si="303"/>
        <v>2.7232325576149002E-2</v>
      </c>
      <c r="Y128" s="467">
        <f t="shared" si="303"/>
        <v>2.0230236272975481E-2</v>
      </c>
      <c r="Z128" s="467">
        <f t="shared" si="303"/>
        <v>3.8698199570642591E-2</v>
      </c>
      <c r="AA128" s="468">
        <f t="shared" si="303"/>
        <v>2.773360714767692E-2</v>
      </c>
      <c r="AB128" s="467">
        <f t="shared" si="303"/>
        <v>2.6134140007121553E-2</v>
      </c>
      <c r="AC128" s="467">
        <f t="shared" si="303"/>
        <v>2.6858717978296091E-2</v>
      </c>
      <c r="AD128" s="467">
        <f t="shared" si="303"/>
        <v>4.1906689919506912E-2</v>
      </c>
      <c r="AE128" s="469">
        <f t="shared" si="303"/>
        <v>4.1381345289543472E-2</v>
      </c>
      <c r="AF128" s="470">
        <f t="shared" si="303"/>
        <v>3.4018845427398671E-2</v>
      </c>
      <c r="AG128" s="469">
        <f t="shared" si="303"/>
        <v>5.2673963361206638E-2</v>
      </c>
      <c r="AH128" s="467">
        <f t="shared" si="303"/>
        <v>3.8775820601660349E-2</v>
      </c>
      <c r="AI128" s="467">
        <f t="shared" ref="AI128:BN128" si="304">AI127/AI258</f>
        <v>3.493895866235492E-2</v>
      </c>
      <c r="AJ128" s="467">
        <f t="shared" si="304"/>
        <v>2.8878758403798031E-2</v>
      </c>
      <c r="AK128" s="470">
        <f t="shared" si="304"/>
        <v>3.8591181935260351E-2</v>
      </c>
      <c r="AL128" s="469">
        <f t="shared" si="304"/>
        <v>2.2038220571104744E-2</v>
      </c>
      <c r="AM128" s="469">
        <f t="shared" si="304"/>
        <v>2.1224663058473949E-2</v>
      </c>
      <c r="AN128" s="469">
        <f t="shared" si="304"/>
        <v>3.2212461580661281E-2</v>
      </c>
      <c r="AO128" s="469">
        <f t="shared" si="304"/>
        <v>3.6661985364771985E-2</v>
      </c>
      <c r="AP128" s="470">
        <f t="shared" si="304"/>
        <v>2.8079060423585395E-2</v>
      </c>
      <c r="AQ128" s="469">
        <f t="shared" si="304"/>
        <v>2.9209614990102693E-2</v>
      </c>
      <c r="AR128" s="469">
        <f t="shared" si="304"/>
        <v>4.2382931186679983E-2</v>
      </c>
      <c r="AS128" s="469">
        <f t="shared" si="304"/>
        <v>1.9800747902535065E-2</v>
      </c>
      <c r="AT128" s="469">
        <f t="shared" si="304"/>
        <v>2.7291879254272934E-2</v>
      </c>
      <c r="AU128" s="471">
        <f t="shared" si="304"/>
        <v>2.9660644291274428E-2</v>
      </c>
      <c r="AV128" s="471">
        <f t="shared" si="304"/>
        <v>2.7435151569816831E-2</v>
      </c>
      <c r="AW128" s="469">
        <f t="shared" si="304"/>
        <v>3.145115850222821E-2</v>
      </c>
      <c r="AX128" s="469">
        <f t="shared" si="304"/>
        <v>2.2759243318146508E-2</v>
      </c>
      <c r="AY128" s="469">
        <f t="shared" si="304"/>
        <v>2.8996342496223088E-2</v>
      </c>
      <c r="AZ128" s="470">
        <f t="shared" si="304"/>
        <v>2.7683045573556386E-2</v>
      </c>
      <c r="BA128" s="471">
        <f t="shared" si="304"/>
        <v>3.7567854245959945E-2</v>
      </c>
      <c r="BB128" s="469">
        <f t="shared" si="304"/>
        <v>3.0974659048740621E-2</v>
      </c>
      <c r="BC128" s="469">
        <f t="shared" si="304"/>
        <v>3.3130012075424958E-2</v>
      </c>
      <c r="BD128" s="469">
        <f t="shared" si="304"/>
        <v>2.7198393520039561E-2</v>
      </c>
      <c r="BE128" s="470">
        <f t="shared" si="304"/>
        <v>3.2194209056995327E-2</v>
      </c>
      <c r="BF128" s="469">
        <f t="shared" si="304"/>
        <v>1.7857734386528098E-2</v>
      </c>
      <c r="BG128" s="469">
        <f t="shared" si="304"/>
        <v>2.6114335279247204E-2</v>
      </c>
      <c r="BH128" s="469">
        <f t="shared" si="304"/>
        <v>1.5827198000262412E-2</v>
      </c>
      <c r="BI128" s="469">
        <f t="shared" si="304"/>
        <v>2.8374572698772561E-2</v>
      </c>
      <c r="BJ128" s="470">
        <f t="shared" si="304"/>
        <v>2.2087418148098302E-2</v>
      </c>
      <c r="BK128" s="469">
        <f t="shared" si="304"/>
        <v>1.9661551111704523E-2</v>
      </c>
      <c r="BL128" s="469">
        <f t="shared" si="304"/>
        <v>2.2965290828699976E-2</v>
      </c>
      <c r="BM128" s="469">
        <f t="shared" si="304"/>
        <v>2.4670943067958726E-2</v>
      </c>
      <c r="BN128" s="469">
        <f t="shared" si="304"/>
        <v>3.6443176158619493E-2</v>
      </c>
      <c r="BO128" s="470">
        <f t="shared" ref="BO128:BT128" si="305">BO127/BO258</f>
        <v>2.5871842023741261E-2</v>
      </c>
      <c r="BP128" s="469">
        <f t="shared" si="305"/>
        <v>1.4142824751618092E-2</v>
      </c>
      <c r="BQ128" s="469">
        <f t="shared" si="305"/>
        <v>2.1732334082060309E-2</v>
      </c>
      <c r="BR128" s="469">
        <f t="shared" si="305"/>
        <v>2.2752332721858191E-2</v>
      </c>
      <c r="BS128" s="469">
        <f t="shared" si="305"/>
        <v>3.5885186129127895E-2</v>
      </c>
      <c r="BT128" s="470">
        <f t="shared" si="305"/>
        <v>2.3579640212581448E-2</v>
      </c>
      <c r="BU128" s="540">
        <v>3.4250000000000003E-2</v>
      </c>
      <c r="BV128" s="540">
        <v>2.5000000000000001E-2</v>
      </c>
      <c r="BW128" s="540">
        <v>2.1000000000000001E-2</v>
      </c>
      <c r="BX128" s="540">
        <v>2.2499999999999999E-2</v>
      </c>
      <c r="BY128" s="470">
        <f>BY127/BY258</f>
        <v>2.4830515331891016E-2</v>
      </c>
      <c r="BZ128" s="539">
        <v>2.7E-2</v>
      </c>
      <c r="CA128" s="539">
        <v>0.03</v>
      </c>
      <c r="CB128" s="539">
        <v>0.03</v>
      </c>
      <c r="CC128" s="539">
        <v>0.03</v>
      </c>
      <c r="CD128" s="539">
        <v>0.03</v>
      </c>
      <c r="CE128" s="539">
        <v>0.03</v>
      </c>
      <c r="CF128" s="539">
        <v>0.03</v>
      </c>
      <c r="CG128" s="492"/>
      <c r="CH128" s="492"/>
      <c r="CI128" s="492"/>
      <c r="CJ128" s="492"/>
      <c r="CK128" s="492"/>
      <c r="CL128" s="1310" t="str">
        <f>A128</f>
        <v>Maintenance as % of revenues</v>
      </c>
      <c r="CM128" s="469">
        <f>G128</f>
        <v>3.3601108319634421E-2</v>
      </c>
      <c r="CN128" s="469">
        <f>L128</f>
        <v>3.6356698811747898E-2</v>
      </c>
      <c r="CO128" s="469">
        <f>Q128</f>
        <v>2.8558088309984901E-2</v>
      </c>
      <c r="CP128" s="469">
        <f>V128</f>
        <v>2.9629106780920667E-2</v>
      </c>
      <c r="CQ128" s="469">
        <f>AA128</f>
        <v>2.773360714767692E-2</v>
      </c>
      <c r="CR128" s="469">
        <f>AF128</f>
        <v>3.4018845427398671E-2</v>
      </c>
      <c r="CS128" s="469">
        <f>AK128</f>
        <v>3.8591181935260351E-2</v>
      </c>
      <c r="CT128" s="469">
        <f>AP128</f>
        <v>2.8079060423585395E-2</v>
      </c>
      <c r="CU128" s="469">
        <f>AU128</f>
        <v>2.9660644291274428E-2</v>
      </c>
      <c r="CV128" s="469">
        <f>AZ128</f>
        <v>2.7683045573556386E-2</v>
      </c>
      <c r="CW128" s="469">
        <f>BE128</f>
        <v>3.2194209056995327E-2</v>
      </c>
      <c r="CX128" s="469">
        <f>BJ128</f>
        <v>2.2087418148098302E-2</v>
      </c>
      <c r="CY128" s="469">
        <f>BO128</f>
        <v>2.5871842023741261E-2</v>
      </c>
      <c r="CZ128" s="469">
        <f>BT128</f>
        <v>2.3579640212581448E-2</v>
      </c>
      <c r="DA128" s="469">
        <f t="shared" si="302"/>
        <v>2.4830515331891016E-2</v>
      </c>
      <c r="DB128" s="469">
        <f t="shared" si="302"/>
        <v>2.7E-2</v>
      </c>
      <c r="DC128" s="1463">
        <f t="shared" si="302"/>
        <v>0.03</v>
      </c>
      <c r="DD128" s="492"/>
      <c r="DE128" s="492"/>
      <c r="DF128" s="962"/>
      <c r="DG128" s="962"/>
      <c r="DH128" s="469"/>
      <c r="DI128" s="3213"/>
      <c r="DJ128" s="962"/>
      <c r="DK128" s="962"/>
      <c r="DL128" s="962"/>
      <c r="DM128" s="962"/>
      <c r="DN128" s="962"/>
      <c r="DO128" s="962"/>
      <c r="DP128" s="962"/>
      <c r="DQ128" s="962"/>
      <c r="DR128" s="963"/>
      <c r="DS128" s="963"/>
      <c r="DT128" s="963"/>
    </row>
    <row r="129" spans="1:124" ht="12" customHeight="1" x14ac:dyDescent="0.25">
      <c r="A129" s="865" t="s">
        <v>2110</v>
      </c>
      <c r="B129" s="479"/>
      <c r="C129" s="467"/>
      <c r="D129" s="467"/>
      <c r="E129" s="467"/>
      <c r="F129" s="467"/>
      <c r="G129" s="468"/>
      <c r="H129" s="467">
        <f>+H127/C127-1</f>
        <v>-0.10526315789473684</v>
      </c>
      <c r="I129" s="467">
        <f t="shared" ref="I129:BB129" si="306">+I127/D127-1</f>
        <v>1.0129870129870127</v>
      </c>
      <c r="J129" s="467">
        <f t="shared" si="306"/>
        <v>-0.23684210526315796</v>
      </c>
      <c r="K129" s="467">
        <f t="shared" si="306"/>
        <v>0.58536585365853644</v>
      </c>
      <c r="L129" s="468">
        <f t="shared" si="306"/>
        <v>0.29487179487179493</v>
      </c>
      <c r="M129" s="467">
        <f t="shared" si="306"/>
        <v>0.76470588235294112</v>
      </c>
      <c r="N129" s="467">
        <f t="shared" si="306"/>
        <v>0.23225806451612918</v>
      </c>
      <c r="O129" s="467">
        <f t="shared" si="306"/>
        <v>0.58620689655172442</v>
      </c>
      <c r="P129" s="467">
        <f t="shared" si="306"/>
        <v>-1.5384615384615441E-2</v>
      </c>
      <c r="Q129" s="468">
        <f t="shared" si="306"/>
        <v>0.2693069306930691</v>
      </c>
      <c r="R129" s="467">
        <f t="shared" si="306"/>
        <v>0.21666666666666656</v>
      </c>
      <c r="S129" s="467">
        <f t="shared" si="306"/>
        <v>-0.27748691099476452</v>
      </c>
      <c r="T129" s="467">
        <f t="shared" si="306"/>
        <v>-0.10869565217391264</v>
      </c>
      <c r="U129" s="467">
        <f t="shared" si="306"/>
        <v>0.64062500000000044</v>
      </c>
      <c r="V129" s="468">
        <f t="shared" si="306"/>
        <v>0.12636505460218417</v>
      </c>
      <c r="W129" s="467">
        <f t="shared" si="306"/>
        <v>7.5342465753424737E-2</v>
      </c>
      <c r="X129" s="467">
        <f t="shared" si="306"/>
        <v>0.22463768115942062</v>
      </c>
      <c r="Y129" s="467">
        <f t="shared" si="306"/>
        <v>1.6260162601625439E-2</v>
      </c>
      <c r="Z129" s="467">
        <f t="shared" si="306"/>
        <v>-0.29841269841269846</v>
      </c>
      <c r="AA129" s="468">
        <f t="shared" si="306"/>
        <v>-6.9252077562326875E-2</v>
      </c>
      <c r="AB129" s="467">
        <f t="shared" si="306"/>
        <v>1.9108280254777066E-2</v>
      </c>
      <c r="AC129" s="467">
        <f t="shared" si="306"/>
        <v>-7.6923076923076983E-2</v>
      </c>
      <c r="AD129" s="467">
        <f t="shared" si="306"/>
        <v>1.08</v>
      </c>
      <c r="AE129" s="469">
        <f t="shared" si="306"/>
        <v>4.0723981900452566E-2</v>
      </c>
      <c r="AF129" s="470">
        <f t="shared" si="306"/>
        <v>0.19940476190476186</v>
      </c>
      <c r="AG129" s="469">
        <f t="shared" si="306"/>
        <v>0.95</v>
      </c>
      <c r="AH129" s="467">
        <f t="shared" si="306"/>
        <v>0.487179487179487</v>
      </c>
      <c r="AI129" s="467">
        <f t="shared" si="306"/>
        <v>-0.14230769230769225</v>
      </c>
      <c r="AJ129" s="467">
        <f t="shared" si="306"/>
        <v>-0.20869565217391306</v>
      </c>
      <c r="AK129" s="470">
        <f t="shared" si="306"/>
        <v>0.17741935483870974</v>
      </c>
      <c r="AL129" s="469">
        <f t="shared" si="306"/>
        <v>-0.52884615384615385</v>
      </c>
      <c r="AM129" s="469">
        <f t="shared" si="306"/>
        <v>-0.37068965517241381</v>
      </c>
      <c r="AN129" s="469">
        <f t="shared" si="306"/>
        <v>2.6905829596412634E-2</v>
      </c>
      <c r="AO129" s="469">
        <f t="shared" si="306"/>
        <v>0.36263736263736268</v>
      </c>
      <c r="AP129" s="470">
        <f t="shared" si="306"/>
        <v>-0.18861959957850372</v>
      </c>
      <c r="AQ129" s="469">
        <f t="shared" si="306"/>
        <v>0.46258503401360551</v>
      </c>
      <c r="AR129" s="469">
        <f t="shared" si="306"/>
        <v>1.0684931506849313</v>
      </c>
      <c r="AS129" s="469">
        <f t="shared" si="306"/>
        <v>-0.388646288209607</v>
      </c>
      <c r="AT129" s="469">
        <f t="shared" si="306"/>
        <v>-0.18145161290322576</v>
      </c>
      <c r="AU129" s="471">
        <f t="shared" si="306"/>
        <v>0.11688311688311681</v>
      </c>
      <c r="AV129" s="471">
        <f t="shared" si="306"/>
        <v>1.8604651162790642E-2</v>
      </c>
      <c r="AW129" s="469">
        <f t="shared" si="306"/>
        <v>-0.20708609271523182</v>
      </c>
      <c r="AX129" s="469">
        <f t="shared" si="306"/>
        <v>0.16142857142857148</v>
      </c>
      <c r="AY129" s="469">
        <f>+AY127/AT127-1</f>
        <v>-7.9113300492610006E-2</v>
      </c>
      <c r="AZ129" s="470">
        <f>+AZ127/AU127-1</f>
        <v>-6.0465116279069586E-2</v>
      </c>
      <c r="BA129" s="469">
        <f t="shared" si="306"/>
        <v>9.972602739726022E-2</v>
      </c>
      <c r="BB129" s="469">
        <f t="shared" si="306"/>
        <v>-0.15643531278710432</v>
      </c>
      <c r="BC129" s="469">
        <f t="shared" ref="BC129:BJ129" si="307">+BC127/AX127-1</f>
        <v>0.31611316113161103</v>
      </c>
      <c r="BD129" s="469">
        <f t="shared" si="307"/>
        <v>-5.2316251203595177E-2</v>
      </c>
      <c r="BE129" s="470">
        <f t="shared" si="307"/>
        <v>3.2178217821782207E-2</v>
      </c>
      <c r="BF129" s="469">
        <f t="shared" si="307"/>
        <v>-0.50755688423849854</v>
      </c>
      <c r="BG129" s="469">
        <f t="shared" si="307"/>
        <v>-9.3811881188118784E-2</v>
      </c>
      <c r="BH129" s="469">
        <f t="shared" si="307"/>
        <v>-0.4532242990654205</v>
      </c>
      <c r="BI129" s="469">
        <f t="shared" si="307"/>
        <v>0.17554752765861315</v>
      </c>
      <c r="BJ129" s="470">
        <f t="shared" si="307"/>
        <v>-0.24829736211031184</v>
      </c>
      <c r="BK129" s="469">
        <f t="shared" ref="BK129:BT129" si="308">+BK127/BF127-1</f>
        <v>0.25404721753794268</v>
      </c>
      <c r="BL129" s="469">
        <f t="shared" si="308"/>
        <v>-3.4689975416552721E-2</v>
      </c>
      <c r="BM129" s="469">
        <f t="shared" si="308"/>
        <v>0.61422100675155944</v>
      </c>
      <c r="BN129" s="469">
        <f t="shared" si="308"/>
        <v>0.30000960338038984</v>
      </c>
      <c r="BO129" s="470">
        <f t="shared" si="308"/>
        <v>0.25223313979455098</v>
      </c>
      <c r="BP129" s="469">
        <f t="shared" si="308"/>
        <v>-0.26188395078329862</v>
      </c>
      <c r="BQ129" s="469">
        <f t="shared" si="308"/>
        <v>-2.0430107526881902E-2</v>
      </c>
      <c r="BR129" s="469">
        <f t="shared" si="308"/>
        <v>-2.8801355357899072E-2</v>
      </c>
      <c r="BS129" s="469">
        <f t="shared" si="308"/>
        <v>1.9317426313067765E-2</v>
      </c>
      <c r="BT129" s="470">
        <f t="shared" si="308"/>
        <v>-5.4480606330806758E-2</v>
      </c>
      <c r="BU129" s="469">
        <f>+BU127/BP127-1</f>
        <v>1.5069480868053682</v>
      </c>
      <c r="BV129" s="469">
        <f>+BV127/BQ127-1</f>
        <v>0.17634050230208875</v>
      </c>
      <c r="BW129" s="469">
        <f>+BW127/BR127-1</f>
        <v>0.48892173403634254</v>
      </c>
      <c r="BX129" s="469">
        <f>+BX127/BS127-1</f>
        <v>1.8463841696070737E-2</v>
      </c>
      <c r="BY129" s="470">
        <f>+BY127/BT127-1</f>
        <v>0.39168347227118216</v>
      </c>
      <c r="BZ129" s="470">
        <f t="shared" ref="BZ129:CF129" si="309">+BZ127/BY127-1</f>
        <v>0.34739842126518905</v>
      </c>
      <c r="CA129" s="470">
        <f t="shared" si="309"/>
        <v>0.10646356942577762</v>
      </c>
      <c r="CB129" s="470">
        <f t="shared" si="309"/>
        <v>-0.43675048128344884</v>
      </c>
      <c r="CC129" s="470">
        <f t="shared" si="309"/>
        <v>-4.6098494966124393E-2</v>
      </c>
      <c r="CD129" s="470">
        <f t="shared" si="309"/>
        <v>1.9199791825665002E-2</v>
      </c>
      <c r="CE129" s="470">
        <f t="shared" si="309"/>
        <v>1.9721236678583942E-2</v>
      </c>
      <c r="CF129" s="470">
        <f t="shared" si="309"/>
        <v>1.872725922191365E-2</v>
      </c>
      <c r="CG129" s="492"/>
      <c r="CH129" s="492"/>
      <c r="CI129" s="492"/>
      <c r="CJ129" s="492"/>
      <c r="CK129" s="492"/>
      <c r="CL129" s="1310"/>
      <c r="CM129" s="469"/>
      <c r="CN129" s="469"/>
      <c r="CO129" s="469"/>
      <c r="CP129" s="469"/>
      <c r="CQ129" s="469"/>
      <c r="CR129" s="469"/>
      <c r="CS129" s="469"/>
      <c r="CT129" s="469"/>
      <c r="CU129" s="469"/>
      <c r="CV129" s="469"/>
      <c r="CW129" s="469"/>
      <c r="CX129" s="469"/>
      <c r="CY129" s="469"/>
      <c r="CZ129" s="469"/>
      <c r="DA129" s="469"/>
      <c r="DB129" s="469"/>
      <c r="DC129" s="1463"/>
      <c r="DD129" s="492"/>
      <c r="DE129" s="492"/>
      <c r="DF129" s="962"/>
      <c r="DG129" s="962"/>
      <c r="DH129" s="469"/>
      <c r="DI129" s="3213"/>
      <c r="DJ129" s="962"/>
      <c r="DK129" s="962"/>
      <c r="DL129" s="962"/>
      <c r="DM129" s="962"/>
      <c r="DN129" s="962"/>
      <c r="DO129" s="962"/>
      <c r="DP129" s="962"/>
      <c r="DQ129" s="962"/>
      <c r="DR129" s="963"/>
      <c r="DS129" s="963"/>
      <c r="DT129" s="963"/>
    </row>
    <row r="130" spans="1:124" ht="12" customHeight="1" x14ac:dyDescent="0.25">
      <c r="A130" s="2694" t="s">
        <v>2291</v>
      </c>
      <c r="B130" s="479"/>
      <c r="C130" s="509">
        <f>C133-C127</f>
        <v>5.5069999999999997</v>
      </c>
      <c r="D130" s="509">
        <f>D133-D127</f>
        <v>8.0200000000000014</v>
      </c>
      <c r="E130" s="509">
        <f>E133-E127</f>
        <v>7.9060000000000006</v>
      </c>
      <c r="F130" s="509">
        <f>F133-F127</f>
        <v>8.5239999999999956</v>
      </c>
      <c r="G130" s="481">
        <f>SUM(C130:F130)</f>
        <v>29.956999999999994</v>
      </c>
      <c r="H130" s="509">
        <f>H133-H127</f>
        <v>8.3530000000000015</v>
      </c>
      <c r="I130" s="509">
        <f>I133-I127</f>
        <v>21.04</v>
      </c>
      <c r="J130" s="509">
        <f>J133-J127</f>
        <v>7.4020000000000046</v>
      </c>
      <c r="K130" s="509">
        <f>K133-K127</f>
        <v>33.840000000000003</v>
      </c>
      <c r="L130" s="481">
        <f>SUM(H130:K130)</f>
        <v>70.635000000000005</v>
      </c>
      <c r="M130" s="509">
        <f>M133-M127</f>
        <v>42.228000000000002</v>
      </c>
      <c r="N130" s="509">
        <f>N133-N127</f>
        <v>44.727000000000004</v>
      </c>
      <c r="O130" s="509">
        <f>O133-O127</f>
        <v>114.818</v>
      </c>
      <c r="P130" s="509">
        <f>P133-P127</f>
        <v>143.01000000000002</v>
      </c>
      <c r="Q130" s="481">
        <f>SUM(M130:P130)</f>
        <v>344.78300000000002</v>
      </c>
      <c r="R130" s="509">
        <f>R133-R127</f>
        <v>59.585000000000001</v>
      </c>
      <c r="S130" s="509">
        <f>S133-S127</f>
        <v>67.117000000000004</v>
      </c>
      <c r="T130" s="509">
        <f>T133-T127</f>
        <v>64.658999999999992</v>
      </c>
      <c r="U130" s="509">
        <f>U133-U127</f>
        <v>97.593999999999966</v>
      </c>
      <c r="V130" s="481">
        <f>SUM(R130:U130)</f>
        <v>288.95499999999993</v>
      </c>
      <c r="W130" s="509">
        <f>W133-W127</f>
        <v>104.69</v>
      </c>
      <c r="X130" s="509">
        <f>X133-X127</f>
        <v>59.314000000000007</v>
      </c>
      <c r="Y130" s="509">
        <f>Y133-Y127</f>
        <v>63.847000000000023</v>
      </c>
      <c r="Z130" s="509">
        <f>Z133-Z127</f>
        <v>49.842999999999975</v>
      </c>
      <c r="AA130" s="481">
        <f>SUM(W130:Z130)</f>
        <v>277.69400000000002</v>
      </c>
      <c r="AB130" s="509">
        <f>AB133-AB127</f>
        <v>47.575000000000003</v>
      </c>
      <c r="AC130" s="509">
        <f>AC133-AC127</f>
        <v>59.845999999999982</v>
      </c>
      <c r="AD130" s="509">
        <f>AD133-AD127</f>
        <v>73.854000000000013</v>
      </c>
      <c r="AE130" s="430">
        <f>AE165</f>
        <v>52.325000000000003</v>
      </c>
      <c r="AF130" s="481">
        <f>SUM(AB130:AE130)</f>
        <v>233.60000000000002</v>
      </c>
      <c r="AG130" s="482">
        <f>AG133-AG127</f>
        <v>102.735</v>
      </c>
      <c r="AH130" s="482">
        <v>67.5</v>
      </c>
      <c r="AI130" s="482">
        <v>51.8</v>
      </c>
      <c r="AJ130" s="482">
        <v>59.4</v>
      </c>
      <c r="AK130" s="481">
        <f>SUM(AG130:AJ130)</f>
        <v>281.435</v>
      </c>
      <c r="AL130" s="430">
        <f>AL165</f>
        <v>51.000000000000007</v>
      </c>
      <c r="AM130" s="482">
        <f>69-AM127</f>
        <v>54.4</v>
      </c>
      <c r="AN130" s="482">
        <f>73.6+20.2</f>
        <v>93.8</v>
      </c>
      <c r="AO130" s="482">
        <f>64.7+23.6</f>
        <v>88.300000000000011</v>
      </c>
      <c r="AP130" s="483">
        <f>SUM(AL130:AO130)</f>
        <v>287.5</v>
      </c>
      <c r="AQ130" s="1676">
        <f>119.7-AQ127</f>
        <v>98.2</v>
      </c>
      <c r="AR130" s="482">
        <f>154.2-AR127</f>
        <v>123.99999999999999</v>
      </c>
      <c r="AS130" s="482">
        <v>146.69999999999999</v>
      </c>
      <c r="AT130" s="482">
        <v>87.8</v>
      </c>
      <c r="AU130" s="483">
        <f>SUM(AQ130:AT130)</f>
        <v>456.7</v>
      </c>
      <c r="AV130" s="1676">
        <v>40.799999999999997</v>
      </c>
      <c r="AW130" s="482">
        <f>70.771-AV130</f>
        <v>29.971000000000004</v>
      </c>
      <c r="AX130" s="482">
        <v>26.196000000000002</v>
      </c>
      <c r="AY130" s="482">
        <f>119.1-SUM(AV130:AX130)</f>
        <v>22.132999999999996</v>
      </c>
      <c r="AZ130" s="481">
        <f>SUM(AV130:AY130)</f>
        <v>119.1</v>
      </c>
      <c r="BA130" s="2675">
        <v>38</v>
      </c>
      <c r="BB130" s="2675">
        <v>99.5</v>
      </c>
      <c r="BC130" s="2675">
        <f>106</f>
        <v>106</v>
      </c>
      <c r="BD130" s="2953">
        <v>75</v>
      </c>
      <c r="BE130" s="481">
        <f>BE165</f>
        <v>318.5</v>
      </c>
      <c r="BF130" s="2953">
        <f>36.929+16.341</f>
        <v>53.27</v>
      </c>
      <c r="BG130" s="2953">
        <f>90.324+38.452-BF130</f>
        <v>75.506</v>
      </c>
      <c r="BH130" s="2953">
        <f>125.166+64.228-SUM(BF130:BG130)</f>
        <v>60.617999999999995</v>
      </c>
      <c r="BI130" s="2953">
        <f>136.548+105.658-SUM(BF130:BH130)</f>
        <v>52.812000000000012</v>
      </c>
      <c r="BJ130" s="481">
        <f>BJ165</f>
        <v>242.20600000000005</v>
      </c>
      <c r="BK130" s="2953">
        <f>6.496+51.781</f>
        <v>58.277000000000001</v>
      </c>
      <c r="BL130" s="2953">
        <f>10.991+102.22-BK130</f>
        <v>54.933999999999997</v>
      </c>
      <c r="BM130" s="2953">
        <f>14.482+167.863-SUM(BK130:BL130)</f>
        <v>69.134</v>
      </c>
      <c r="BN130" s="2953">
        <f>-18.74-184.193-SUM(BK130:BM130)</f>
        <v>-385.27800000000002</v>
      </c>
      <c r="BO130" s="481">
        <f t="shared" ref="BO130:BU130" si="310">BO165</f>
        <v>-202.93299999999999</v>
      </c>
      <c r="BP130" s="430">
        <f t="shared" si="310"/>
        <v>18.100000000000001</v>
      </c>
      <c r="BQ130" s="430">
        <f t="shared" si="310"/>
        <v>8</v>
      </c>
      <c r="BR130" s="430">
        <f t="shared" si="310"/>
        <v>16.600000000000001</v>
      </c>
      <c r="BS130" s="430">
        <f t="shared" si="310"/>
        <v>3.7</v>
      </c>
      <c r="BT130" s="2587">
        <f t="shared" si="310"/>
        <v>46.4</v>
      </c>
      <c r="BU130" s="2840">
        <f t="shared" si="310"/>
        <v>9.6</v>
      </c>
      <c r="BV130" s="2840">
        <f>BV165</f>
        <v>0</v>
      </c>
      <c r="BW130" s="2840">
        <f>BW165</f>
        <v>9.6</v>
      </c>
      <c r="BX130" s="2840">
        <f>BX165</f>
        <v>0</v>
      </c>
      <c r="BY130" s="2587">
        <f>BY165</f>
        <v>19.2</v>
      </c>
      <c r="BZ130" s="481">
        <f t="shared" ref="BZ130:CF130" si="311">BZ165</f>
        <v>19.2</v>
      </c>
      <c r="CA130" s="481">
        <f t="shared" si="311"/>
        <v>19.2</v>
      </c>
      <c r="CB130" s="481">
        <f t="shared" si="311"/>
        <v>19.2</v>
      </c>
      <c r="CC130" s="481">
        <f t="shared" si="311"/>
        <v>19.2</v>
      </c>
      <c r="CD130" s="481">
        <f t="shared" si="311"/>
        <v>19.2</v>
      </c>
      <c r="CE130" s="481">
        <f t="shared" si="311"/>
        <v>19.2</v>
      </c>
      <c r="CF130" s="481">
        <f t="shared" si="311"/>
        <v>0</v>
      </c>
      <c r="CG130" s="331"/>
      <c r="CH130" s="331"/>
      <c r="CI130" s="331"/>
      <c r="CJ130" s="331"/>
      <c r="CK130" s="331"/>
      <c r="CL130" s="2025" t="str">
        <f>A130</f>
        <v>Project capex (including JV &amp; Jamul)</v>
      </c>
      <c r="CM130" s="430">
        <f>G130</f>
        <v>29.956999999999994</v>
      </c>
      <c r="CN130" s="430">
        <f>L130</f>
        <v>70.635000000000005</v>
      </c>
      <c r="CO130" s="430">
        <f>Q130</f>
        <v>344.78300000000002</v>
      </c>
      <c r="CP130" s="430">
        <f>V130</f>
        <v>288.95499999999993</v>
      </c>
      <c r="CQ130" s="430">
        <f>AA130</f>
        <v>277.69400000000002</v>
      </c>
      <c r="CR130" s="430">
        <f>AF130</f>
        <v>233.60000000000002</v>
      </c>
      <c r="CS130" s="430">
        <f>AK130</f>
        <v>281.435</v>
      </c>
      <c r="CT130" s="430">
        <f>AP130</f>
        <v>287.5</v>
      </c>
      <c r="CU130" s="430">
        <f>AU130</f>
        <v>456.7</v>
      </c>
      <c r="CV130" s="430">
        <f>AZ130</f>
        <v>119.1</v>
      </c>
      <c r="CW130" s="430">
        <f>BE130</f>
        <v>318.5</v>
      </c>
      <c r="CX130" s="430">
        <f>BJ130</f>
        <v>242.20600000000005</v>
      </c>
      <c r="CY130" s="430">
        <f>BO130</f>
        <v>-202.93299999999999</v>
      </c>
      <c r="CZ130" s="430">
        <f>BT130</f>
        <v>46.4</v>
      </c>
      <c r="DA130" s="430">
        <f>BY130</f>
        <v>19.2</v>
      </c>
      <c r="DB130" s="430">
        <f>BZ130</f>
        <v>19.2</v>
      </c>
      <c r="DC130" s="853">
        <f>CA130</f>
        <v>19.2</v>
      </c>
      <c r="DD130" s="331"/>
      <c r="DE130" s="331"/>
      <c r="DF130" s="502"/>
      <c r="DG130" s="503"/>
      <c r="DH130" s="2840"/>
      <c r="DI130" s="3213"/>
      <c r="DJ130" s="502"/>
      <c r="DK130" s="503"/>
      <c r="DL130" s="502"/>
      <c r="DM130" s="502"/>
      <c r="DN130" s="502"/>
      <c r="DO130" s="502"/>
      <c r="DP130" s="503"/>
      <c r="DQ130" s="503"/>
      <c r="DR130" s="296"/>
      <c r="DS130" s="296"/>
      <c r="DT130" s="296"/>
    </row>
    <row r="131" spans="1:124" ht="12" customHeight="1" x14ac:dyDescent="0.25">
      <c r="A131" s="865" t="s">
        <v>2110</v>
      </c>
      <c r="B131" s="479"/>
      <c r="C131" s="467"/>
      <c r="D131" s="467"/>
      <c r="E131" s="467"/>
      <c r="F131" s="467"/>
      <c r="G131" s="468"/>
      <c r="H131" s="467">
        <f t="shared" ref="H131:AM131" si="312">+H130/C130-1</f>
        <v>0.5167968040675508</v>
      </c>
      <c r="I131" s="467">
        <f t="shared" si="312"/>
        <v>1.6234413965087278</v>
      </c>
      <c r="J131" s="467">
        <f t="shared" si="312"/>
        <v>-6.374905135340192E-2</v>
      </c>
      <c r="K131" s="467">
        <f t="shared" si="312"/>
        <v>2.9699671515720345</v>
      </c>
      <c r="L131" s="468">
        <f t="shared" si="312"/>
        <v>1.3578796274660352</v>
      </c>
      <c r="M131" s="467">
        <f t="shared" si="312"/>
        <v>4.0554291871184001</v>
      </c>
      <c r="N131" s="467">
        <f t="shared" si="312"/>
        <v>1.1258079847908746</v>
      </c>
      <c r="O131" s="467">
        <f t="shared" si="312"/>
        <v>14.511753580113472</v>
      </c>
      <c r="P131" s="467">
        <f t="shared" si="312"/>
        <v>3.2260638297872344</v>
      </c>
      <c r="Q131" s="468">
        <f t="shared" si="312"/>
        <v>3.8811920436044449</v>
      </c>
      <c r="R131" s="467">
        <f t="shared" si="312"/>
        <v>0.41103059581320456</v>
      </c>
      <c r="S131" s="467">
        <f t="shared" si="312"/>
        <v>0.50059248328749972</v>
      </c>
      <c r="T131" s="467">
        <f t="shared" si="312"/>
        <v>-0.43685659043007197</v>
      </c>
      <c r="U131" s="467">
        <f t="shared" si="312"/>
        <v>-0.3175721977484095</v>
      </c>
      <c r="V131" s="468">
        <f t="shared" si="312"/>
        <v>-0.16192213653225385</v>
      </c>
      <c r="W131" s="467">
        <f t="shared" si="312"/>
        <v>0.75698581857850122</v>
      </c>
      <c r="X131" s="467">
        <f t="shared" si="312"/>
        <v>-0.11625966595646409</v>
      </c>
      <c r="Y131" s="467">
        <f t="shared" si="312"/>
        <v>-1.2558189888491444E-2</v>
      </c>
      <c r="Z131" s="467">
        <f t="shared" si="312"/>
        <v>-0.48928212799967219</v>
      </c>
      <c r="AA131" s="468">
        <f t="shared" si="312"/>
        <v>-3.8971466145247269E-2</v>
      </c>
      <c r="AB131" s="467">
        <f t="shared" si="312"/>
        <v>-0.54556309103066192</v>
      </c>
      <c r="AC131" s="467">
        <f t="shared" si="312"/>
        <v>8.9692146879316592E-3</v>
      </c>
      <c r="AD131" s="467">
        <f t="shared" si="312"/>
        <v>0.15673406737982964</v>
      </c>
      <c r="AE131" s="469">
        <f t="shared" si="312"/>
        <v>4.9796360572197385E-2</v>
      </c>
      <c r="AF131" s="470">
        <f t="shared" si="312"/>
        <v>-0.1587862899450474</v>
      </c>
      <c r="AG131" s="469">
        <f t="shared" si="312"/>
        <v>1.1594324750394112</v>
      </c>
      <c r="AH131" s="467">
        <f t="shared" si="312"/>
        <v>0.12789493032115806</v>
      </c>
      <c r="AI131" s="467">
        <f t="shared" si="312"/>
        <v>-0.29861618869661777</v>
      </c>
      <c r="AJ131" s="467">
        <f t="shared" si="312"/>
        <v>0.13521261347348301</v>
      </c>
      <c r="AK131" s="470">
        <f t="shared" si="312"/>
        <v>0.20477311643835616</v>
      </c>
      <c r="AL131" s="469">
        <f t="shared" si="312"/>
        <v>-0.50357716454956925</v>
      </c>
      <c r="AM131" s="469">
        <f t="shared" si="312"/>
        <v>-0.19407407407407407</v>
      </c>
      <c r="AN131" s="469">
        <f t="shared" ref="AN131:BA131" si="313">+AN130/AI130-1</f>
        <v>0.81081081081081074</v>
      </c>
      <c r="AO131" s="469">
        <f t="shared" si="313"/>
        <v>0.48653198653198682</v>
      </c>
      <c r="AP131" s="470">
        <f t="shared" si="313"/>
        <v>2.1550269156288326E-2</v>
      </c>
      <c r="AQ131" s="469">
        <f t="shared" si="313"/>
        <v>0.92549019607843119</v>
      </c>
      <c r="AR131" s="469">
        <f t="shared" si="313"/>
        <v>1.2794117647058822</v>
      </c>
      <c r="AS131" s="469">
        <f t="shared" si="313"/>
        <v>0.56396588486140709</v>
      </c>
      <c r="AT131" s="469">
        <f t="shared" si="313"/>
        <v>-5.662514156285603E-3</v>
      </c>
      <c r="AU131" s="471">
        <f t="shared" si="313"/>
        <v>0.58852173913043471</v>
      </c>
      <c r="AV131" s="471">
        <f t="shared" si="313"/>
        <v>-0.58452138492871697</v>
      </c>
      <c r="AW131" s="469">
        <f t="shared" si="313"/>
        <v>-0.75829838709677411</v>
      </c>
      <c r="AX131" s="469">
        <f t="shared" si="313"/>
        <v>-0.8214314928425358</v>
      </c>
      <c r="AY131" s="469">
        <f>+AY130/AT130-1</f>
        <v>-0.74791571753986341</v>
      </c>
      <c r="AZ131" s="470">
        <f>+AZ130/AU130-1</f>
        <v>-0.73921611561199918</v>
      </c>
      <c r="BA131" s="469">
        <f t="shared" si="313"/>
        <v>-6.8627450980392135E-2</v>
      </c>
      <c r="BB131" s="469">
        <f t="shared" ref="BB131:BJ131" si="314">+BB130/AW130-1</f>
        <v>2.3198758800173498</v>
      </c>
      <c r="BC131" s="469">
        <f t="shared" si="314"/>
        <v>3.0464193006565887</v>
      </c>
      <c r="BD131" s="469">
        <f t="shared" si="314"/>
        <v>2.3886052500790682</v>
      </c>
      <c r="BE131" s="470">
        <f t="shared" si="314"/>
        <v>1.6742233417296393</v>
      </c>
      <c r="BF131" s="469">
        <f t="shared" si="314"/>
        <v>0.401842105263158</v>
      </c>
      <c r="BG131" s="469">
        <f t="shared" si="314"/>
        <v>-0.24114572864321604</v>
      </c>
      <c r="BH131" s="469">
        <f t="shared" si="314"/>
        <v>-0.42813207547169818</v>
      </c>
      <c r="BI131" s="469">
        <f t="shared" si="314"/>
        <v>-0.29583999999999988</v>
      </c>
      <c r="BJ131" s="470">
        <f t="shared" si="314"/>
        <v>-0.23954160125588686</v>
      </c>
      <c r="BK131" s="469">
        <f t="shared" ref="BK131:BT131" si="315">+BK130/BF130-1</f>
        <v>9.3992866529003072E-2</v>
      </c>
      <c r="BL131" s="469">
        <f t="shared" si="315"/>
        <v>-0.27245516912563239</v>
      </c>
      <c r="BM131" s="469">
        <f t="shared" si="315"/>
        <v>0.14048632419413387</v>
      </c>
      <c r="BN131" s="469">
        <f t="shared" si="315"/>
        <v>-8.2952738014087686</v>
      </c>
      <c r="BO131" s="470">
        <f t="shared" si="315"/>
        <v>-1.8378529020750929</v>
      </c>
      <c r="BP131" s="469">
        <f t="shared" si="315"/>
        <v>-0.68941434871390084</v>
      </c>
      <c r="BQ131" s="469">
        <f t="shared" si="315"/>
        <v>-0.85437069938471621</v>
      </c>
      <c r="BR131" s="469">
        <f t="shared" si="315"/>
        <v>-0.75988659704342287</v>
      </c>
      <c r="BS131" s="469">
        <f t="shared" si="315"/>
        <v>-1.0096034551674375</v>
      </c>
      <c r="BT131" s="470">
        <f t="shared" si="315"/>
        <v>-1.2286468933096144</v>
      </c>
      <c r="BU131" s="469">
        <f>+BU130/BP130-1</f>
        <v>-0.46961325966850831</v>
      </c>
      <c r="BV131" s="469">
        <f>+BV130/BQ130-1</f>
        <v>-1</v>
      </c>
      <c r="BW131" s="469">
        <f>+BW130/BR130-1</f>
        <v>-0.42168674698795183</v>
      </c>
      <c r="BX131" s="469">
        <f>+BX130/BS130-1</f>
        <v>-1</v>
      </c>
      <c r="BY131" s="470">
        <f>+BY130/BT130-1</f>
        <v>-0.5862068965517242</v>
      </c>
      <c r="BZ131" s="470">
        <f t="shared" ref="BZ131:CF131" si="316">+BZ130/BY130-1</f>
        <v>0</v>
      </c>
      <c r="CA131" s="470">
        <f t="shared" si="316"/>
        <v>0</v>
      </c>
      <c r="CB131" s="470">
        <f t="shared" si="316"/>
        <v>0</v>
      </c>
      <c r="CC131" s="470">
        <f t="shared" si="316"/>
        <v>0</v>
      </c>
      <c r="CD131" s="470">
        <f t="shared" si="316"/>
        <v>0</v>
      </c>
      <c r="CE131" s="470">
        <f t="shared" si="316"/>
        <v>0</v>
      </c>
      <c r="CF131" s="470">
        <f t="shared" si="316"/>
        <v>-1</v>
      </c>
      <c r="CG131" s="492"/>
      <c r="CH131" s="492"/>
      <c r="CI131" s="492"/>
      <c r="CJ131" s="492"/>
      <c r="CK131" s="492"/>
      <c r="CL131" s="1310"/>
      <c r="CM131" s="469"/>
      <c r="CN131" s="469"/>
      <c r="CO131" s="469"/>
      <c r="CP131" s="469"/>
      <c r="CQ131" s="469"/>
      <c r="CR131" s="469"/>
      <c r="CS131" s="469"/>
      <c r="CT131" s="469"/>
      <c r="CU131" s="469"/>
      <c r="CV131" s="469"/>
      <c r="CW131" s="469"/>
      <c r="CX131" s="469"/>
      <c r="CY131" s="469"/>
      <c r="CZ131" s="469"/>
      <c r="DA131" s="469"/>
      <c r="DB131" s="469"/>
      <c r="DC131" s="1463"/>
      <c r="DD131" s="492"/>
      <c r="DE131" s="492"/>
      <c r="DF131" s="962"/>
      <c r="DG131" s="962"/>
      <c r="DH131" s="469"/>
      <c r="DI131" s="3213"/>
      <c r="DJ131" s="962"/>
      <c r="DK131" s="962"/>
      <c r="DL131" s="962"/>
      <c r="DM131" s="962"/>
      <c r="DN131" s="962"/>
      <c r="DO131" s="962"/>
      <c r="DP131" s="962"/>
      <c r="DQ131" s="962"/>
      <c r="DR131" s="963"/>
      <c r="DS131" s="963"/>
      <c r="DT131" s="963"/>
    </row>
    <row r="132" spans="1:124" ht="4.5" customHeight="1" x14ac:dyDescent="0.25">
      <c r="A132" s="1167"/>
      <c r="B132" s="479"/>
      <c r="C132" s="544" t="s">
        <v>1151</v>
      </c>
      <c r="D132" s="544" t="s">
        <v>1151</v>
      </c>
      <c r="E132" s="544" t="s">
        <v>1151</v>
      </c>
      <c r="F132" s="544" t="s">
        <v>1151</v>
      </c>
      <c r="G132" s="461" t="s">
        <v>1151</v>
      </c>
      <c r="H132" s="544" t="s">
        <v>1151</v>
      </c>
      <c r="I132" s="544" t="s">
        <v>1151</v>
      </c>
      <c r="J132" s="544" t="s">
        <v>1151</v>
      </c>
      <c r="K132" s="544" t="s">
        <v>1151</v>
      </c>
      <c r="L132" s="461" t="s">
        <v>1151</v>
      </c>
      <c r="M132" s="544" t="s">
        <v>1151</v>
      </c>
      <c r="N132" s="544" t="s">
        <v>1151</v>
      </c>
      <c r="O132" s="544" t="s">
        <v>1151</v>
      </c>
      <c r="P132" s="544" t="s">
        <v>1151</v>
      </c>
      <c r="Q132" s="461" t="s">
        <v>1151</v>
      </c>
      <c r="R132" s="544" t="s">
        <v>1151</v>
      </c>
      <c r="S132" s="544" t="s">
        <v>1151</v>
      </c>
      <c r="T132" s="544" t="s">
        <v>1151</v>
      </c>
      <c r="U132" s="544" t="s">
        <v>1151</v>
      </c>
      <c r="V132" s="461" t="s">
        <v>1151</v>
      </c>
      <c r="W132" s="544" t="s">
        <v>1151</v>
      </c>
      <c r="X132" s="544" t="s">
        <v>1151</v>
      </c>
      <c r="Y132" s="544" t="s">
        <v>1151</v>
      </c>
      <c r="Z132" s="544" t="s">
        <v>1151</v>
      </c>
      <c r="AA132" s="461" t="s">
        <v>1151</v>
      </c>
      <c r="AB132" s="544" t="s">
        <v>1151</v>
      </c>
      <c r="AC132" s="544" t="s">
        <v>1151</v>
      </c>
      <c r="AD132" s="544" t="s">
        <v>1151</v>
      </c>
      <c r="AE132" s="544" t="s">
        <v>1151</v>
      </c>
      <c r="AF132" s="461" t="s">
        <v>1151</v>
      </c>
      <c r="AG132" s="544" t="s">
        <v>1151</v>
      </c>
      <c r="AH132" s="544" t="s">
        <v>1151</v>
      </c>
      <c r="AI132" s="544" t="s">
        <v>1151</v>
      </c>
      <c r="AJ132" s="544" t="s">
        <v>1151</v>
      </c>
      <c r="AK132" s="461" t="s">
        <v>1151</v>
      </c>
      <c r="AL132" s="544" t="s">
        <v>1151</v>
      </c>
      <c r="AM132" s="544" t="s">
        <v>1151</v>
      </c>
      <c r="AN132" s="544" t="s">
        <v>1151</v>
      </c>
      <c r="AO132" s="544" t="s">
        <v>1151</v>
      </c>
      <c r="AP132" s="461" t="s">
        <v>1151</v>
      </c>
      <c r="AQ132" s="544" t="s">
        <v>1151</v>
      </c>
      <c r="AR132" s="544" t="s">
        <v>1151</v>
      </c>
      <c r="AS132" s="544" t="s">
        <v>1151</v>
      </c>
      <c r="AT132" s="544" t="s">
        <v>1151</v>
      </c>
      <c r="AU132" s="461" t="s">
        <v>1151</v>
      </c>
      <c r="AV132" s="544" t="s">
        <v>1151</v>
      </c>
      <c r="AW132" s="609" t="s">
        <v>1151</v>
      </c>
      <c r="AX132" s="544" t="s">
        <v>1151</v>
      </c>
      <c r="AY132" s="544" t="s">
        <v>1151</v>
      </c>
      <c r="AZ132" s="461" t="s">
        <v>1151</v>
      </c>
      <c r="BA132" s="544" t="s">
        <v>1151</v>
      </c>
      <c r="BB132" s="609" t="s">
        <v>1151</v>
      </c>
      <c r="BC132" s="544" t="s">
        <v>1151</v>
      </c>
      <c r="BD132" s="544" t="s">
        <v>1151</v>
      </c>
      <c r="BE132" s="461" t="s">
        <v>1151</v>
      </c>
      <c r="BF132" s="544" t="s">
        <v>1151</v>
      </c>
      <c r="BG132" s="544" t="s">
        <v>1151</v>
      </c>
      <c r="BH132" s="544" t="s">
        <v>1151</v>
      </c>
      <c r="BI132" s="544" t="s">
        <v>1151</v>
      </c>
      <c r="BJ132" s="461" t="s">
        <v>1151</v>
      </c>
      <c r="BK132" s="609" t="s">
        <v>1151</v>
      </c>
      <c r="BL132" s="544" t="s">
        <v>1151</v>
      </c>
      <c r="BM132" s="544" t="s">
        <v>1151</v>
      </c>
      <c r="BN132" s="544" t="s">
        <v>1151</v>
      </c>
      <c r="BO132" s="461" t="s">
        <v>1151</v>
      </c>
      <c r="BP132" s="544" t="s">
        <v>1151</v>
      </c>
      <c r="BQ132" s="609" t="s">
        <v>1151</v>
      </c>
      <c r="BR132" s="544" t="s">
        <v>1151</v>
      </c>
      <c r="BS132" s="544" t="s">
        <v>1151</v>
      </c>
      <c r="BT132" s="461" t="s">
        <v>1151</v>
      </c>
      <c r="BU132" s="544" t="s">
        <v>1151</v>
      </c>
      <c r="BV132" s="544" t="s">
        <v>1151</v>
      </c>
      <c r="BW132" s="544" t="s">
        <v>1151</v>
      </c>
      <c r="BX132" s="544" t="s">
        <v>1151</v>
      </c>
      <c r="BY132" s="461" t="s">
        <v>1151</v>
      </c>
      <c r="BZ132" s="461" t="s">
        <v>1151</v>
      </c>
      <c r="CA132" s="461" t="s">
        <v>1151</v>
      </c>
      <c r="CB132" s="461" t="s">
        <v>1151</v>
      </c>
      <c r="CC132" s="461" t="s">
        <v>1151</v>
      </c>
      <c r="CD132" s="461" t="s">
        <v>1151</v>
      </c>
      <c r="CE132" s="461" t="s">
        <v>1151</v>
      </c>
      <c r="CF132" s="461" t="s">
        <v>1151</v>
      </c>
      <c r="CG132" s="331"/>
      <c r="CH132" s="331"/>
      <c r="CI132" s="331"/>
      <c r="CJ132" s="331"/>
      <c r="CK132" s="331"/>
      <c r="CL132" s="2025"/>
      <c r="CM132" s="2029" t="str">
        <f>G132</f>
        <v xml:space="preserve">                </v>
      </c>
      <c r="CN132" s="2029" t="str">
        <f>L132</f>
        <v xml:space="preserve">                </v>
      </c>
      <c r="CO132" s="2029" t="str">
        <f>Q132</f>
        <v xml:space="preserve">                </v>
      </c>
      <c r="CP132" s="2029" t="str">
        <f>V132</f>
        <v xml:space="preserve">                </v>
      </c>
      <c r="CQ132" s="2029" t="str">
        <f>AA132</f>
        <v xml:space="preserve">                </v>
      </c>
      <c r="CR132" s="2029" t="str">
        <f>AF132</f>
        <v xml:space="preserve">                </v>
      </c>
      <c r="CS132" s="2029" t="str">
        <f>AK132</f>
        <v xml:space="preserve">                </v>
      </c>
      <c r="CT132" s="2029" t="str">
        <f>AP132</f>
        <v xml:space="preserve">                </v>
      </c>
      <c r="CU132" s="2029" t="str">
        <f>AU132</f>
        <v xml:space="preserve">                </v>
      </c>
      <c r="CV132" s="2029" t="str">
        <f>AZ132</f>
        <v xml:space="preserve">                </v>
      </c>
      <c r="CW132" s="2029" t="str">
        <f>BE132</f>
        <v xml:space="preserve">                </v>
      </c>
      <c r="CX132" s="2029" t="str">
        <f>BJ132</f>
        <v xml:space="preserve">                </v>
      </c>
      <c r="CY132" s="2029" t="str">
        <f>BO132</f>
        <v xml:space="preserve">                </v>
      </c>
      <c r="CZ132" s="2029" t="str">
        <f>BT132</f>
        <v xml:space="preserve">                </v>
      </c>
      <c r="DA132" s="2029" t="str">
        <f t="shared" ref="DA132:DC134" si="317">BY132</f>
        <v xml:space="preserve">                </v>
      </c>
      <c r="DB132" s="2029" t="str">
        <f t="shared" si="317"/>
        <v xml:space="preserve">                </v>
      </c>
      <c r="DC132" s="2030" t="str">
        <f t="shared" si="317"/>
        <v xml:space="preserve">                </v>
      </c>
      <c r="DD132" s="331"/>
      <c r="DE132" s="331"/>
      <c r="DF132" s="502"/>
      <c r="DG132" s="503"/>
      <c r="DH132" s="2029"/>
      <c r="DI132" s="3213"/>
      <c r="DJ132" s="502"/>
      <c r="DK132" s="503"/>
      <c r="DL132" s="502"/>
      <c r="DM132" s="502"/>
      <c r="DN132" s="502"/>
      <c r="DO132" s="502"/>
      <c r="DP132" s="503"/>
      <c r="DQ132" s="503"/>
      <c r="DR132" s="296"/>
      <c r="DS132" s="296"/>
      <c r="DT132" s="296"/>
    </row>
    <row r="133" spans="1:124" ht="12" customHeight="1" x14ac:dyDescent="0.25">
      <c r="A133" s="864" t="s">
        <v>2157</v>
      </c>
      <c r="B133" s="487"/>
      <c r="C133" s="901">
        <v>13.106999999999999</v>
      </c>
      <c r="D133" s="488">
        <f>-D1304-C133</f>
        <v>15.720000000000002</v>
      </c>
      <c r="E133" s="488">
        <f>-E1304</f>
        <v>19.306000000000001</v>
      </c>
      <c r="F133" s="488">
        <f t="shared" ref="F133:AD133" si="318">-F1304</f>
        <v>20.823999999999995</v>
      </c>
      <c r="G133" s="489">
        <f t="shared" si="318"/>
        <v>68.956999999999994</v>
      </c>
      <c r="H133" s="488">
        <f t="shared" si="318"/>
        <v>15.153</v>
      </c>
      <c r="I133" s="488">
        <f t="shared" si="318"/>
        <v>36.54</v>
      </c>
      <c r="J133" s="488">
        <f t="shared" si="318"/>
        <v>16.102000000000004</v>
      </c>
      <c r="K133" s="488">
        <f t="shared" si="318"/>
        <v>53.34</v>
      </c>
      <c r="L133" s="489">
        <f t="shared" si="318"/>
        <v>121.13500000000001</v>
      </c>
      <c r="M133" s="488">
        <f t="shared" si="318"/>
        <v>54.228000000000002</v>
      </c>
      <c r="N133" s="488">
        <f t="shared" si="318"/>
        <v>63.827000000000005</v>
      </c>
      <c r="O133" s="488">
        <f t="shared" si="318"/>
        <v>128.61799999999999</v>
      </c>
      <c r="P133" s="488">
        <f t="shared" si="318"/>
        <v>162.21</v>
      </c>
      <c r="Q133" s="489">
        <f t="shared" si="318"/>
        <v>408.88300000000004</v>
      </c>
      <c r="R133" s="488">
        <f t="shared" si="318"/>
        <v>74.185000000000002</v>
      </c>
      <c r="S133" s="488">
        <f t="shared" si="318"/>
        <v>80.917000000000002</v>
      </c>
      <c r="T133" s="488">
        <f t="shared" si="318"/>
        <v>76.959000000000003</v>
      </c>
      <c r="U133" s="488">
        <f t="shared" si="318"/>
        <v>129.09399999999997</v>
      </c>
      <c r="V133" s="489">
        <f t="shared" si="318"/>
        <v>361.15499999999997</v>
      </c>
      <c r="W133" s="488">
        <f t="shared" si="318"/>
        <v>120.39</v>
      </c>
      <c r="X133" s="488">
        <f t="shared" si="318"/>
        <v>76.214000000000013</v>
      </c>
      <c r="Y133" s="488">
        <f t="shared" si="318"/>
        <v>76.347000000000023</v>
      </c>
      <c r="Z133" s="488">
        <f t="shared" si="318"/>
        <v>71.942999999999969</v>
      </c>
      <c r="AA133" s="489">
        <f t="shared" si="318"/>
        <v>344.89400000000001</v>
      </c>
      <c r="AB133" s="488">
        <f t="shared" si="318"/>
        <v>63.575000000000003</v>
      </c>
      <c r="AC133" s="488">
        <f t="shared" si="318"/>
        <v>75.445999999999984</v>
      </c>
      <c r="AD133" s="488">
        <f t="shared" si="318"/>
        <v>99.854000000000013</v>
      </c>
      <c r="AE133" s="485">
        <f>AE127+AE130</f>
        <v>75.325000000000003</v>
      </c>
      <c r="AF133" s="486">
        <f>SUM(AB133:AE133)</f>
        <v>314.2</v>
      </c>
      <c r="AG133" s="485">
        <f>AG134+AG156</f>
        <v>133.935</v>
      </c>
      <c r="AH133" s="485">
        <f>AH127+AH130</f>
        <v>90.7</v>
      </c>
      <c r="AI133" s="485">
        <f>AI127+AI130</f>
        <v>74.099999999999994</v>
      </c>
      <c r="AJ133" s="485">
        <f>AJ127+AJ130</f>
        <v>77.599999999999994</v>
      </c>
      <c r="AK133" s="486">
        <f>SUM(AG133:AJ133)</f>
        <v>376.33500000000004</v>
      </c>
      <c r="AL133" s="485">
        <f>AL127+AL130</f>
        <v>65.7</v>
      </c>
      <c r="AM133" s="485">
        <f>AM127+AM130</f>
        <v>69</v>
      </c>
      <c r="AN133" s="485">
        <f>AN127+AN130</f>
        <v>116.7</v>
      </c>
      <c r="AO133" s="485">
        <f>AO127+AO130</f>
        <v>113.10000000000001</v>
      </c>
      <c r="AP133" s="490">
        <f>SUM(AL133:AO133)</f>
        <v>364.5</v>
      </c>
      <c r="AQ133" s="490">
        <f>AQ127+AQ130</f>
        <v>119.7</v>
      </c>
      <c r="AR133" s="485">
        <f>AR127+AR130</f>
        <v>154.19999999999999</v>
      </c>
      <c r="AS133" s="485">
        <f>AS127+AS130</f>
        <v>160.69999999999999</v>
      </c>
      <c r="AT133" s="485">
        <f>AT127+AT130</f>
        <v>108.1</v>
      </c>
      <c r="AU133" s="490">
        <f>SUM(AQ133:AT133)</f>
        <v>542.69999999999993</v>
      </c>
      <c r="AV133" s="490">
        <f>AV127+AV130</f>
        <v>62.699999999999996</v>
      </c>
      <c r="AW133" s="485">
        <f>AW127+AW130</f>
        <v>53.917000000000002</v>
      </c>
      <c r="AX133" s="485">
        <f>AX127+AX130</f>
        <v>42.456000000000003</v>
      </c>
      <c r="AY133" s="485">
        <f>AY127+AY130</f>
        <v>40.827000000000012</v>
      </c>
      <c r="AZ133" s="486">
        <f>SUM(AV133:AY133)</f>
        <v>199.89999999999998</v>
      </c>
      <c r="BA133" s="485">
        <f t="shared" ref="BA133:CA133" si="319">BA127+BA130</f>
        <v>62.084000000000003</v>
      </c>
      <c r="BB133" s="485">
        <f t="shared" si="319"/>
        <v>119.7</v>
      </c>
      <c r="BC133" s="485">
        <f t="shared" si="319"/>
        <v>127.4</v>
      </c>
      <c r="BD133" s="485">
        <f t="shared" si="319"/>
        <v>92.716000000000008</v>
      </c>
      <c r="BE133" s="486">
        <f t="shared" si="319"/>
        <v>401.9</v>
      </c>
      <c r="BF133" s="485">
        <f t="shared" si="319"/>
        <v>65.13</v>
      </c>
      <c r="BG133" s="485">
        <f t="shared" si="319"/>
        <v>93.811000000000007</v>
      </c>
      <c r="BH133" s="485">
        <f t="shared" si="319"/>
        <v>72.318999999999988</v>
      </c>
      <c r="BI133" s="485">
        <f>BI127+BI130</f>
        <v>73.638000000000005</v>
      </c>
      <c r="BJ133" s="486">
        <f t="shared" si="319"/>
        <v>304.89800000000002</v>
      </c>
      <c r="BK133" s="485">
        <f t="shared" si="319"/>
        <v>73.150000000000006</v>
      </c>
      <c r="BL133" s="485">
        <f t="shared" si="319"/>
        <v>72.603999999999999</v>
      </c>
      <c r="BM133" s="485">
        <f t="shared" si="319"/>
        <v>88.021999999999991</v>
      </c>
      <c r="BN133" s="485">
        <f t="shared" si="319"/>
        <v>-358.20400000000001</v>
      </c>
      <c r="BO133" s="486">
        <f t="shared" si="319"/>
        <v>-124.428</v>
      </c>
      <c r="BP133" s="485">
        <f t="shared" ref="BP133:BX133" si="320">BP127+BP130</f>
        <v>29.078000000000003</v>
      </c>
      <c r="BQ133" s="485">
        <f t="shared" si="320"/>
        <v>25.308999999999997</v>
      </c>
      <c r="BR133" s="485">
        <f t="shared" si="320"/>
        <v>34.944000000000003</v>
      </c>
      <c r="BS133" s="485">
        <f t="shared" si="320"/>
        <v>31.297000000000001</v>
      </c>
      <c r="BT133" s="486">
        <f t="shared" si="320"/>
        <v>120.62800000000001</v>
      </c>
      <c r="BU133" s="485">
        <f t="shared" si="320"/>
        <v>37.12127609694933</v>
      </c>
      <c r="BV133" s="485">
        <f t="shared" si="320"/>
        <v>20.361277754346851</v>
      </c>
      <c r="BW133" s="485">
        <f t="shared" si="320"/>
        <v>36.912780289162669</v>
      </c>
      <c r="BX133" s="485">
        <f t="shared" si="320"/>
        <v>28.106546639286464</v>
      </c>
      <c r="BY133" s="486">
        <f>BY127+BY130</f>
        <v>122.50188077974532</v>
      </c>
      <c r="BZ133" s="486">
        <f t="shared" si="319"/>
        <v>158.38879107635361</v>
      </c>
      <c r="CA133" s="486">
        <f t="shared" si="319"/>
        <v>173.20732659840104</v>
      </c>
      <c r="CB133" s="486">
        <f>CB127+CB130</f>
        <v>105.94455258537209</v>
      </c>
      <c r="CC133" s="486">
        <f>CC127+CC130</f>
        <v>101.94575926467661</v>
      </c>
      <c r="CD133" s="486">
        <f>CD127+CD130</f>
        <v>103.53446061701499</v>
      </c>
      <c r="CE133" s="486">
        <f>CE127+CE130</f>
        <v>105.19764047500385</v>
      </c>
      <c r="CF133" s="486">
        <f>CF127+CF130</f>
        <v>87.608140580652176</v>
      </c>
      <c r="CG133" s="331"/>
      <c r="CH133" s="331"/>
      <c r="CI133" s="331"/>
      <c r="CJ133" s="331"/>
      <c r="CK133" s="331"/>
      <c r="CL133" s="1149" t="str">
        <f>A133</f>
        <v xml:space="preserve">Total </v>
      </c>
      <c r="CM133" s="485">
        <f>G133</f>
        <v>68.956999999999994</v>
      </c>
      <c r="CN133" s="485">
        <f>L133</f>
        <v>121.13500000000001</v>
      </c>
      <c r="CO133" s="485">
        <f>Q133</f>
        <v>408.88300000000004</v>
      </c>
      <c r="CP133" s="485">
        <f>V133</f>
        <v>361.15499999999997</v>
      </c>
      <c r="CQ133" s="485">
        <f>AA133</f>
        <v>344.89400000000001</v>
      </c>
      <c r="CR133" s="485">
        <f>AF133</f>
        <v>314.2</v>
      </c>
      <c r="CS133" s="485">
        <f>AK133</f>
        <v>376.33500000000004</v>
      </c>
      <c r="CT133" s="485">
        <f>AP133</f>
        <v>364.5</v>
      </c>
      <c r="CU133" s="485">
        <f>AU133</f>
        <v>542.69999999999993</v>
      </c>
      <c r="CV133" s="485">
        <f>AZ133</f>
        <v>199.89999999999998</v>
      </c>
      <c r="CW133" s="485">
        <f>BE133</f>
        <v>401.9</v>
      </c>
      <c r="CX133" s="485">
        <f>BJ133</f>
        <v>304.89800000000002</v>
      </c>
      <c r="CY133" s="485">
        <f>BO133</f>
        <v>-124.428</v>
      </c>
      <c r="CZ133" s="485">
        <f>BT133</f>
        <v>120.62800000000001</v>
      </c>
      <c r="DA133" s="485">
        <f t="shared" si="317"/>
        <v>122.50188077974532</v>
      </c>
      <c r="DB133" s="485">
        <f t="shared" si="317"/>
        <v>158.38879107635361</v>
      </c>
      <c r="DC133" s="854">
        <f t="shared" si="317"/>
        <v>173.20732659840104</v>
      </c>
      <c r="DD133" s="331"/>
      <c r="DE133" s="331"/>
      <c r="DF133" s="502"/>
      <c r="DG133" s="503"/>
      <c r="DH133" s="485"/>
      <c r="DI133" s="3213"/>
      <c r="DJ133" s="502"/>
      <c r="DK133" s="503"/>
      <c r="DL133" s="502"/>
      <c r="DM133" s="502"/>
      <c r="DN133" s="502"/>
      <c r="DO133" s="502"/>
      <c r="DP133" s="503"/>
      <c r="DQ133" s="503"/>
      <c r="DR133" s="296"/>
      <c r="DS133" s="296"/>
      <c r="DT133" s="296"/>
    </row>
    <row r="134" spans="1:124" ht="12" customHeight="1" x14ac:dyDescent="0.25">
      <c r="A134" s="870" t="s">
        <v>2294</v>
      </c>
      <c r="B134" s="479"/>
      <c r="C134" s="509">
        <f t="shared" ref="C134:AF134" si="321">C127+C166</f>
        <v>13.106999999999999</v>
      </c>
      <c r="D134" s="509">
        <f t="shared" si="321"/>
        <v>15.720000000000002</v>
      </c>
      <c r="E134" s="509">
        <f t="shared" si="321"/>
        <v>19.306000000000001</v>
      </c>
      <c r="F134" s="509">
        <f t="shared" si="321"/>
        <v>20.823999999999995</v>
      </c>
      <c r="G134" s="510">
        <f t="shared" si="321"/>
        <v>68.956999999999994</v>
      </c>
      <c r="H134" s="509">
        <f t="shared" si="321"/>
        <v>15.153000000000002</v>
      </c>
      <c r="I134" s="509">
        <f t="shared" si="321"/>
        <v>36.54</v>
      </c>
      <c r="J134" s="509">
        <f t="shared" si="321"/>
        <v>16.102000000000004</v>
      </c>
      <c r="K134" s="509">
        <f t="shared" si="321"/>
        <v>53.34</v>
      </c>
      <c r="L134" s="510">
        <f t="shared" si="321"/>
        <v>121.13500000000001</v>
      </c>
      <c r="M134" s="509">
        <f t="shared" si="321"/>
        <v>54.228000000000002</v>
      </c>
      <c r="N134" s="509">
        <f t="shared" si="321"/>
        <v>63.827000000000005</v>
      </c>
      <c r="O134" s="509">
        <f t="shared" si="321"/>
        <v>128.61799999999999</v>
      </c>
      <c r="P134" s="509">
        <f t="shared" si="321"/>
        <v>162.21</v>
      </c>
      <c r="Q134" s="510">
        <f t="shared" si="321"/>
        <v>408.88300000000004</v>
      </c>
      <c r="R134" s="509">
        <f t="shared" si="321"/>
        <v>74.185000000000002</v>
      </c>
      <c r="S134" s="509">
        <f t="shared" si="321"/>
        <v>80.917000000000002</v>
      </c>
      <c r="T134" s="509">
        <f t="shared" si="321"/>
        <v>76.959000000000003</v>
      </c>
      <c r="U134" s="509">
        <f t="shared" si="321"/>
        <v>129.09399999999997</v>
      </c>
      <c r="V134" s="510">
        <f t="shared" si="321"/>
        <v>361.15499999999992</v>
      </c>
      <c r="W134" s="509">
        <f t="shared" si="321"/>
        <v>120.39</v>
      </c>
      <c r="X134" s="509">
        <f t="shared" si="321"/>
        <v>76.214000000000013</v>
      </c>
      <c r="Y134" s="509">
        <f t="shared" si="321"/>
        <v>76.347000000000023</v>
      </c>
      <c r="Z134" s="509">
        <f t="shared" si="321"/>
        <v>71.942999999999969</v>
      </c>
      <c r="AA134" s="614">
        <f t="shared" si="321"/>
        <v>344.89400000000001</v>
      </c>
      <c r="AB134" s="990">
        <f t="shared" si="321"/>
        <v>63.575000000000003</v>
      </c>
      <c r="AC134" s="990">
        <f t="shared" si="321"/>
        <v>75.445999999999984</v>
      </c>
      <c r="AD134" s="990">
        <f t="shared" si="321"/>
        <v>99.854000000000013</v>
      </c>
      <c r="AE134" s="990">
        <f t="shared" si="321"/>
        <v>62.425000000000004</v>
      </c>
      <c r="AF134" s="614">
        <f t="shared" si="321"/>
        <v>301.3</v>
      </c>
      <c r="AG134" s="618">
        <f>-AG1304</f>
        <v>120.38500000000001</v>
      </c>
      <c r="AH134" s="990">
        <f t="shared" ref="AH134:AX134" si="322">AH127+AH166</f>
        <v>107.7</v>
      </c>
      <c r="AI134" s="990">
        <f t="shared" si="322"/>
        <v>74.100000000000009</v>
      </c>
      <c r="AJ134" s="990">
        <f t="shared" si="322"/>
        <v>82.314999999999984</v>
      </c>
      <c r="AK134" s="614">
        <f t="shared" si="322"/>
        <v>384.5</v>
      </c>
      <c r="AL134" s="990">
        <f t="shared" si="322"/>
        <v>54.500000000000014</v>
      </c>
      <c r="AM134" s="990">
        <f t="shared" si="322"/>
        <v>58.1</v>
      </c>
      <c r="AN134" s="990">
        <f t="shared" si="322"/>
        <v>90.9</v>
      </c>
      <c r="AO134" s="990">
        <f t="shared" si="322"/>
        <v>89.499999999999986</v>
      </c>
      <c r="AP134" s="614">
        <f t="shared" si="322"/>
        <v>293</v>
      </c>
      <c r="AQ134" s="1662">
        <f>AQ127+AQ166</f>
        <v>119.7</v>
      </c>
      <c r="AR134" s="990">
        <f t="shared" si="322"/>
        <v>154.19999999999999</v>
      </c>
      <c r="AS134" s="990">
        <f t="shared" si="322"/>
        <v>160.69999999999999</v>
      </c>
      <c r="AT134" s="1663">
        <f t="shared" si="322"/>
        <v>108.1</v>
      </c>
      <c r="AU134" s="1662">
        <f t="shared" si="322"/>
        <v>542.70000000000005</v>
      </c>
      <c r="AV134" s="1662">
        <f t="shared" si="322"/>
        <v>62.699999999999996</v>
      </c>
      <c r="AW134" s="618">
        <f t="shared" si="322"/>
        <v>53.917000000000002</v>
      </c>
      <c r="AX134" s="990">
        <f t="shared" si="322"/>
        <v>42.456000000000003</v>
      </c>
      <c r="AY134" s="1663">
        <f>AY127+AY166</f>
        <v>40.827000000000012</v>
      </c>
      <c r="AZ134" s="614">
        <f>AZ127+AZ166</f>
        <v>199.89999999999998</v>
      </c>
      <c r="BA134" s="990">
        <f t="shared" ref="BA134:BF134" si="323">BA127+BA166-BA160</f>
        <v>46.584000000000003</v>
      </c>
      <c r="BB134" s="618">
        <f t="shared" si="323"/>
        <v>111.1</v>
      </c>
      <c r="BC134" s="990">
        <f t="shared" si="323"/>
        <v>115.10000000000001</v>
      </c>
      <c r="BD134" s="1663">
        <f t="shared" si="323"/>
        <v>76.716000000000008</v>
      </c>
      <c r="BE134" s="614">
        <f t="shared" si="323"/>
        <v>349.5</v>
      </c>
      <c r="BF134" s="990">
        <f t="shared" si="323"/>
        <v>48.73</v>
      </c>
      <c r="BG134" s="990">
        <f>BG127+BG166-BG160</f>
        <v>71.710999999999999</v>
      </c>
      <c r="BH134" s="990">
        <f>BH127+BH166-BH160</f>
        <v>46.518999999999991</v>
      </c>
      <c r="BI134" s="1663">
        <f>BI127+BI166-BI160</f>
        <v>32.238000000000014</v>
      </c>
      <c r="BJ134" s="614">
        <f>BJ127+BJ166-BJ160</f>
        <v>199.19800000000004</v>
      </c>
      <c r="BK134" s="618">
        <f>BK127+BK166-BK160</f>
        <v>21.349999999999994</v>
      </c>
      <c r="BL134" s="618">
        <f t="shared" ref="BL134:BU134" si="324">BL127+BL166-BL160</f>
        <v>22.203999999999994</v>
      </c>
      <c r="BM134" s="990">
        <f t="shared" si="324"/>
        <v>22.322000000000003</v>
      </c>
      <c r="BN134" s="1663">
        <f t="shared" si="324"/>
        <v>-130.20400000000001</v>
      </c>
      <c r="BO134" s="614">
        <f t="shared" si="324"/>
        <v>-64.328000000000003</v>
      </c>
      <c r="BP134" s="990">
        <f t="shared" si="324"/>
        <v>29.078000000000003</v>
      </c>
      <c r="BQ134" s="618">
        <f t="shared" si="324"/>
        <v>25.308999999999997</v>
      </c>
      <c r="BR134" s="990">
        <f t="shared" si="324"/>
        <v>34.944000000000003</v>
      </c>
      <c r="BS134" s="990">
        <f t="shared" si="324"/>
        <v>31.297000000000001</v>
      </c>
      <c r="BT134" s="614">
        <f t="shared" si="324"/>
        <v>120.62800000000001</v>
      </c>
      <c r="BU134" s="990">
        <f t="shared" si="324"/>
        <v>37.12127609694933</v>
      </c>
      <c r="BV134" s="990">
        <f t="shared" ref="BV134:CF134" si="325">BV127+BV166-BV160</f>
        <v>20.361277754346851</v>
      </c>
      <c r="BW134" s="990">
        <f t="shared" si="325"/>
        <v>36.912780289162669</v>
      </c>
      <c r="BX134" s="990">
        <f t="shared" si="325"/>
        <v>28.106546639286464</v>
      </c>
      <c r="BY134" s="614">
        <f t="shared" si="325"/>
        <v>122.50188077974532</v>
      </c>
      <c r="BZ134" s="614">
        <f t="shared" si="325"/>
        <v>158.38879107635361</v>
      </c>
      <c r="CA134" s="614">
        <f t="shared" si="325"/>
        <v>173.20732659840104</v>
      </c>
      <c r="CB134" s="614">
        <f t="shared" si="325"/>
        <v>105.94455258537209</v>
      </c>
      <c r="CC134" s="614">
        <f t="shared" si="325"/>
        <v>101.94575926467661</v>
      </c>
      <c r="CD134" s="614">
        <f t="shared" si="325"/>
        <v>103.53446061701499</v>
      </c>
      <c r="CE134" s="614">
        <f t="shared" si="325"/>
        <v>105.19764047500385</v>
      </c>
      <c r="CF134" s="614">
        <f t="shared" si="325"/>
        <v>87.608140580652176</v>
      </c>
      <c r="CG134" s="331"/>
      <c r="CH134" s="331"/>
      <c r="CI134" s="331"/>
      <c r="CJ134" s="331"/>
      <c r="CK134" s="331"/>
      <c r="CL134" s="1617" t="str">
        <f>A134</f>
        <v>Total (excluding Jamul)</v>
      </c>
      <c r="CM134" s="618">
        <f>G134</f>
        <v>68.956999999999994</v>
      </c>
      <c r="CN134" s="618">
        <f>L134</f>
        <v>121.13500000000001</v>
      </c>
      <c r="CO134" s="618">
        <f>Q134</f>
        <v>408.88300000000004</v>
      </c>
      <c r="CP134" s="618">
        <f>V134</f>
        <v>361.15499999999992</v>
      </c>
      <c r="CQ134" s="618">
        <f>AA134</f>
        <v>344.89400000000001</v>
      </c>
      <c r="CR134" s="618">
        <f>AF134</f>
        <v>301.3</v>
      </c>
      <c r="CS134" s="618">
        <f>AK134</f>
        <v>384.5</v>
      </c>
      <c r="CT134" s="618">
        <f>AP134</f>
        <v>293</v>
      </c>
      <c r="CU134" s="618">
        <f>AU134</f>
        <v>542.70000000000005</v>
      </c>
      <c r="CV134" s="618">
        <f>AZ134</f>
        <v>199.89999999999998</v>
      </c>
      <c r="CW134" s="618">
        <f>BE134</f>
        <v>349.5</v>
      </c>
      <c r="CX134" s="618">
        <f>BJ134</f>
        <v>199.19800000000004</v>
      </c>
      <c r="CY134" s="618">
        <f>BO134</f>
        <v>-64.328000000000003</v>
      </c>
      <c r="CZ134" s="618">
        <f>BT134</f>
        <v>120.62800000000001</v>
      </c>
      <c r="DA134" s="618">
        <f t="shared" si="317"/>
        <v>122.50188077974532</v>
      </c>
      <c r="DB134" s="618">
        <f t="shared" si="317"/>
        <v>158.38879107635361</v>
      </c>
      <c r="DC134" s="1928">
        <f t="shared" si="317"/>
        <v>173.20732659840104</v>
      </c>
      <c r="DD134" s="331"/>
      <c r="DE134" s="331"/>
      <c r="DF134" s="502"/>
      <c r="DG134" s="503"/>
      <c r="DH134" s="618"/>
      <c r="DI134" s="3213"/>
      <c r="DJ134" s="502"/>
      <c r="DK134" s="503"/>
      <c r="DL134" s="502"/>
      <c r="DM134" s="502"/>
      <c r="DN134" s="502"/>
      <c r="DO134" s="502"/>
      <c r="DP134" s="503"/>
      <c r="DQ134" s="503"/>
      <c r="DR134" s="296"/>
      <c r="DS134" s="296"/>
      <c r="DT134" s="296"/>
    </row>
    <row r="135" spans="1:124" ht="12" customHeight="1" x14ac:dyDescent="0.25">
      <c r="A135" s="285"/>
      <c r="B135" s="479"/>
      <c r="C135" s="480"/>
      <c r="D135" s="509"/>
      <c r="E135" s="509"/>
      <c r="F135" s="509"/>
      <c r="G135" s="510"/>
      <c r="H135" s="509"/>
      <c r="I135" s="509"/>
      <c r="J135" s="509"/>
      <c r="K135" s="509"/>
      <c r="L135" s="510"/>
      <c r="M135" s="509"/>
      <c r="N135" s="509"/>
      <c r="O135" s="509"/>
      <c r="P135" s="509"/>
      <c r="Q135" s="510"/>
      <c r="R135" s="509"/>
      <c r="S135" s="509"/>
      <c r="T135" s="509"/>
      <c r="U135" s="509"/>
      <c r="V135" s="510"/>
      <c r="W135" s="509"/>
      <c r="X135" s="509"/>
      <c r="Y135" s="509"/>
      <c r="Z135" s="509"/>
      <c r="AA135" s="510"/>
      <c r="AB135" s="509"/>
      <c r="AC135" s="509"/>
      <c r="AD135" s="509"/>
      <c r="AE135" s="430"/>
      <c r="AF135" s="481"/>
      <c r="AG135" s="430"/>
      <c r="AH135" s="430"/>
      <c r="AI135" s="430"/>
      <c r="AJ135" s="430"/>
      <c r="AK135" s="481"/>
      <c r="AL135" s="430"/>
      <c r="AM135" s="430"/>
      <c r="AN135" s="430"/>
      <c r="AO135" s="430"/>
      <c r="AP135" s="483"/>
      <c r="AQ135" s="483"/>
      <c r="AR135" s="430"/>
      <c r="AS135" s="430"/>
      <c r="AT135" s="430"/>
      <c r="AU135" s="483"/>
      <c r="AV135" s="483"/>
      <c r="AW135" s="430"/>
      <c r="AX135" s="430"/>
      <c r="AY135" s="853"/>
      <c r="AZ135" s="481"/>
      <c r="BA135" s="430"/>
      <c r="BB135" s="430"/>
      <c r="BC135" s="430"/>
      <c r="BD135" s="430"/>
      <c r="BE135" s="481"/>
      <c r="BF135" s="430"/>
      <c r="BG135" s="430"/>
      <c r="BH135" s="430"/>
      <c r="BI135" s="430"/>
      <c r="BJ135" s="481"/>
      <c r="BK135" s="430"/>
      <c r="BL135" s="430"/>
      <c r="BM135" s="430"/>
      <c r="BN135" s="430"/>
      <c r="BO135" s="481"/>
      <c r="BP135" s="430"/>
      <c r="BQ135" s="430"/>
      <c r="BR135" s="430"/>
      <c r="BS135" s="430"/>
      <c r="BT135" s="2587"/>
      <c r="BU135" s="3397"/>
      <c r="BV135" s="2840"/>
      <c r="BW135" s="2840"/>
      <c r="BX135" s="2840"/>
      <c r="BY135" s="2587"/>
      <c r="BZ135" s="481"/>
      <c r="CA135" s="481"/>
      <c r="CB135" s="481"/>
      <c r="CC135" s="481"/>
      <c r="CD135" s="481"/>
      <c r="CE135" s="481"/>
      <c r="CF135" s="481"/>
      <c r="CG135" s="331"/>
      <c r="CH135" s="331"/>
      <c r="CI135" s="331"/>
      <c r="CJ135" s="331"/>
      <c r="CK135" s="331"/>
      <c r="CL135" s="520"/>
      <c r="CM135" s="430"/>
      <c r="CN135" s="430"/>
      <c r="CO135" s="430"/>
      <c r="CP135" s="430"/>
      <c r="CQ135" s="430"/>
      <c r="CR135" s="430"/>
      <c r="CS135" s="430"/>
      <c r="CT135" s="430"/>
      <c r="CU135" s="430"/>
      <c r="CV135" s="430"/>
      <c r="CW135" s="430"/>
      <c r="CX135" s="430"/>
      <c r="CY135" s="430"/>
      <c r="CZ135" s="430"/>
      <c r="DA135" s="430"/>
      <c r="DB135" s="430"/>
      <c r="DC135" s="853"/>
      <c r="DD135" s="331"/>
      <c r="DE135" s="331"/>
      <c r="DF135" s="502"/>
      <c r="DG135" s="503"/>
      <c r="DH135" s="2840"/>
      <c r="DI135" s="3213"/>
      <c r="DJ135" s="502"/>
      <c r="DK135" s="503"/>
      <c r="DL135" s="502"/>
      <c r="DM135" s="502"/>
      <c r="DN135" s="502"/>
      <c r="DO135" s="502"/>
      <c r="DP135" s="503"/>
      <c r="DQ135" s="503"/>
      <c r="DR135" s="296"/>
      <c r="DS135" s="296"/>
      <c r="DT135" s="296"/>
    </row>
    <row r="136" spans="1:124" ht="12" customHeight="1" x14ac:dyDescent="0.25">
      <c r="A136" s="1220" t="s">
        <v>1817</v>
      </c>
      <c r="B136" s="509"/>
      <c r="C136" s="480"/>
      <c r="D136" s="509"/>
      <c r="E136" s="509"/>
      <c r="F136" s="509"/>
      <c r="G136" s="510"/>
      <c r="H136" s="509"/>
      <c r="I136" s="509"/>
      <c r="J136" s="509"/>
      <c r="K136" s="509"/>
      <c r="L136" s="510"/>
      <c r="M136" s="509"/>
      <c r="N136" s="509"/>
      <c r="O136" s="509"/>
      <c r="P136" s="509"/>
      <c r="Q136" s="510"/>
      <c r="R136" s="509"/>
      <c r="S136" s="509"/>
      <c r="T136" s="509"/>
      <c r="U136" s="509"/>
      <c r="V136" s="510"/>
      <c r="W136" s="509"/>
      <c r="X136" s="509"/>
      <c r="Y136" s="509"/>
      <c r="Z136" s="509"/>
      <c r="AA136" s="510"/>
      <c r="AB136" s="509"/>
      <c r="AC136" s="509"/>
      <c r="AD136" s="509"/>
      <c r="AE136" s="430"/>
      <c r="AF136" s="481"/>
      <c r="AG136" s="430"/>
      <c r="AH136" s="430"/>
      <c r="AI136" s="430"/>
      <c r="AJ136" s="430"/>
      <c r="AK136" s="481"/>
      <c r="AL136" s="430"/>
      <c r="AM136" s="430"/>
      <c r="AN136" s="430"/>
      <c r="AO136" s="430"/>
      <c r="AP136" s="483"/>
      <c r="AQ136" s="483"/>
      <c r="AR136" s="430"/>
      <c r="AS136" s="430"/>
      <c r="AT136" s="430"/>
      <c r="AU136" s="483"/>
      <c r="AV136" s="483"/>
      <c r="AW136" s="430"/>
      <c r="AX136" s="430"/>
      <c r="AY136" s="853"/>
      <c r="AZ136" s="481"/>
      <c r="BA136" s="430"/>
      <c r="BB136" s="430"/>
      <c r="BC136" s="430"/>
      <c r="BD136" s="430"/>
      <c r="BE136" s="481"/>
      <c r="BF136" s="430"/>
      <c r="BG136" s="430"/>
      <c r="BH136" s="430"/>
      <c r="BI136" s="430"/>
      <c r="BJ136" s="481"/>
      <c r="BK136" s="430"/>
      <c r="BL136" s="430"/>
      <c r="BM136" s="430"/>
      <c r="BN136" s="430"/>
      <c r="BO136" s="481"/>
      <c r="BP136" s="430"/>
      <c r="BQ136" s="430"/>
      <c r="BR136" s="430"/>
      <c r="BS136" s="430"/>
      <c r="BT136" s="2587"/>
      <c r="BU136" s="3397"/>
      <c r="BV136" s="2840"/>
      <c r="BW136" s="2840"/>
      <c r="BX136" s="2840"/>
      <c r="BY136" s="2587"/>
      <c r="BZ136" s="481"/>
      <c r="CA136" s="481"/>
      <c r="CB136" s="481"/>
      <c r="CC136" s="481"/>
      <c r="CD136" s="481"/>
      <c r="CE136" s="481"/>
      <c r="CF136" s="481"/>
      <c r="CG136" s="454"/>
      <c r="CH136" s="454"/>
      <c r="CI136" s="454"/>
      <c r="CJ136" s="454"/>
      <c r="CK136" s="454"/>
      <c r="CL136" s="2042" t="str">
        <f t="shared" ref="CL136:CL156" si="326">A136</f>
        <v>Project Capex</v>
      </c>
      <c r="CM136" s="430"/>
      <c r="CN136" s="430"/>
      <c r="CO136" s="430"/>
      <c r="CP136" s="430"/>
      <c r="CQ136" s="430"/>
      <c r="CR136" s="430"/>
      <c r="CS136" s="430"/>
      <c r="CT136" s="430"/>
      <c r="CU136" s="430"/>
      <c r="CV136" s="430"/>
      <c r="CW136" s="430"/>
      <c r="CX136" s="430"/>
      <c r="CY136" s="430"/>
      <c r="CZ136" s="430"/>
      <c r="DA136" s="430"/>
      <c r="DB136" s="430"/>
      <c r="DC136" s="853"/>
      <c r="DD136" s="454"/>
      <c r="DE136" s="454"/>
      <c r="DF136" s="463"/>
      <c r="DG136" s="463"/>
      <c r="DH136" s="2840"/>
      <c r="DI136" s="3213"/>
      <c r="DJ136" s="463"/>
      <c r="DK136" s="463"/>
      <c r="DL136" s="463"/>
      <c r="DM136" s="463"/>
      <c r="DN136" s="463"/>
      <c r="DO136" s="463"/>
      <c r="DP136" s="463"/>
      <c r="DQ136" s="463"/>
      <c r="DR136" s="608"/>
      <c r="DS136" s="608"/>
      <c r="DT136" s="608"/>
    </row>
    <row r="137" spans="1:124" ht="12" customHeight="1" x14ac:dyDescent="0.25">
      <c r="A137" s="1167" t="s">
        <v>1788</v>
      </c>
      <c r="B137" s="509"/>
      <c r="C137" s="480">
        <v>2.0339999999999998</v>
      </c>
      <c r="D137" s="480">
        <f>9.97-C137</f>
        <v>7.9360000000000008</v>
      </c>
      <c r="E137" s="480">
        <f>17.854-D137-C137</f>
        <v>7.8839999999999995</v>
      </c>
      <c r="F137" s="480">
        <f>25.369-E137-D137-C137</f>
        <v>7.5149999999999997</v>
      </c>
      <c r="G137" s="510">
        <f>SUM(C137:F137)</f>
        <v>25.369</v>
      </c>
      <c r="H137" s="480">
        <v>6.2409999999999997</v>
      </c>
      <c r="I137" s="480">
        <f>16.294-H137</f>
        <v>10.053000000000001</v>
      </c>
      <c r="J137" s="480">
        <f>19.066-I137-H137</f>
        <v>2.7719999999999985</v>
      </c>
      <c r="K137" s="480">
        <f>26.5-J137-I137-H137</f>
        <v>7.4340000000000011</v>
      </c>
      <c r="L137" s="510">
        <f>SUM(H137:K137)</f>
        <v>26.5</v>
      </c>
      <c r="M137" s="480">
        <f>9.1</f>
        <v>9.1</v>
      </c>
      <c r="N137" s="480">
        <f>23.1-M137</f>
        <v>14.000000000000002</v>
      </c>
      <c r="O137" s="480">
        <f>41.4-N137-M137</f>
        <v>18.299999999999997</v>
      </c>
      <c r="P137" s="480">
        <f>48.6-O137-N137-M137</f>
        <v>7.2000000000000046</v>
      </c>
      <c r="Q137" s="510">
        <f>SUM(M137:P137)</f>
        <v>48.6</v>
      </c>
      <c r="R137" s="480">
        <v>18.5</v>
      </c>
      <c r="S137" s="480">
        <f>24.1-R137</f>
        <v>5.6000000000000014</v>
      </c>
      <c r="T137" s="480">
        <f>28-S137-R137</f>
        <v>3.8999999999999986</v>
      </c>
      <c r="U137" s="480">
        <f>31.5-T137-S137-R137</f>
        <v>3.5</v>
      </c>
      <c r="V137" s="510">
        <f>SUM(R137:U137)</f>
        <v>31.5</v>
      </c>
      <c r="W137" s="480">
        <v>3.7</v>
      </c>
      <c r="X137" s="480">
        <f>8.1-W137</f>
        <v>4.3999999999999995</v>
      </c>
      <c r="Y137" s="480">
        <f>14-X137-W137</f>
        <v>5.9000000000000012</v>
      </c>
      <c r="Z137" s="480">
        <f>15.2-Y137-X137-W137</f>
        <v>1.1999999999999975</v>
      </c>
      <c r="AA137" s="510">
        <f>SUM(W137:Z137)</f>
        <v>15.199999999999998</v>
      </c>
      <c r="AB137" s="480">
        <v>0</v>
      </c>
      <c r="AC137" s="480">
        <v>0</v>
      </c>
      <c r="AD137" s="480">
        <v>0</v>
      </c>
      <c r="AE137" s="482">
        <v>0</v>
      </c>
      <c r="AF137" s="481">
        <f t="shared" ref="AF137:AF165" si="327">SUM(AB137:AE137)</f>
        <v>0</v>
      </c>
      <c r="AG137" s="482">
        <v>2.2000000000000002</v>
      </c>
      <c r="AH137" s="482">
        <f>12.9-2.7</f>
        <v>10.199999999999999</v>
      </c>
      <c r="AI137" s="482">
        <v>7.6</v>
      </c>
      <c r="AJ137" s="482">
        <f>23.7-AI137-AH137-AG137</f>
        <v>3.700000000000002</v>
      </c>
      <c r="AK137" s="481">
        <f>SUM(AG137:AJ137)</f>
        <v>23.700000000000003</v>
      </c>
      <c r="AL137" s="482">
        <v>5</v>
      </c>
      <c r="AM137" s="482">
        <f>10.1-AL137</f>
        <v>5.0999999999999996</v>
      </c>
      <c r="AN137" s="482">
        <f>14.3-AM137-AL137</f>
        <v>4.2000000000000011</v>
      </c>
      <c r="AO137" s="482">
        <f>15.3-AN137-AM137-AL137</f>
        <v>1</v>
      </c>
      <c r="AP137" s="483">
        <f>SUM(AL137:AO137)</f>
        <v>15.3</v>
      </c>
      <c r="AQ137" s="483"/>
      <c r="AR137" s="430"/>
      <c r="AS137" s="430"/>
      <c r="AT137" s="430"/>
      <c r="AU137" s="483">
        <f>SUM(AQ137:AT137)</f>
        <v>0</v>
      </c>
      <c r="AV137" s="483"/>
      <c r="AW137" s="430"/>
      <c r="AX137" s="430"/>
      <c r="AY137" s="853"/>
      <c r="AZ137" s="481">
        <f>SUM(AV137:AY137)</f>
        <v>0</v>
      </c>
      <c r="BA137" s="430"/>
      <c r="BB137" s="430"/>
      <c r="BC137" s="430"/>
      <c r="BD137" s="430"/>
      <c r="BE137" s="481">
        <f t="shared" ref="BE137:BE159" si="328">SUM(BA137:BD137)</f>
        <v>0</v>
      </c>
      <c r="BF137" s="430"/>
      <c r="BG137" s="430"/>
      <c r="BH137" s="430"/>
      <c r="BI137" s="430"/>
      <c r="BJ137" s="481">
        <f t="shared" ref="BJ137:BJ159" si="329">SUM(BF137:BI137)</f>
        <v>0</v>
      </c>
      <c r="BK137" s="430"/>
      <c r="BL137" s="430"/>
      <c r="BM137" s="430"/>
      <c r="BN137" s="430"/>
      <c r="BO137" s="481"/>
      <c r="BP137" s="430"/>
      <c r="BQ137" s="430"/>
      <c r="BR137" s="430"/>
      <c r="BS137" s="430"/>
      <c r="BT137" s="2587"/>
      <c r="BU137" s="3397"/>
      <c r="BV137" s="2840"/>
      <c r="BW137" s="2840"/>
      <c r="BX137" s="2840"/>
      <c r="BY137" s="484"/>
      <c r="BZ137" s="484"/>
      <c r="CA137" s="484"/>
      <c r="CB137" s="484">
        <v>0</v>
      </c>
      <c r="CC137" s="484">
        <v>0</v>
      </c>
      <c r="CD137" s="484">
        <v>0</v>
      </c>
      <c r="CE137" s="484">
        <v>0</v>
      </c>
      <c r="CF137" s="484">
        <v>0</v>
      </c>
      <c r="CG137" s="454"/>
      <c r="CH137" s="454"/>
      <c r="CI137" s="454"/>
      <c r="CJ137" s="454"/>
      <c r="CK137" s="454"/>
      <c r="CL137" s="2025" t="str">
        <f t="shared" si="326"/>
        <v>Hollywood at Charles Town Races (WV)</v>
      </c>
      <c r="CM137" s="430">
        <f t="shared" ref="CM137:CM156" si="330">G137</f>
        <v>25.369</v>
      </c>
      <c r="CN137" s="430">
        <f t="shared" ref="CN137:CN156" si="331">L137</f>
        <v>26.5</v>
      </c>
      <c r="CO137" s="430">
        <f t="shared" ref="CO137:CO156" si="332">Q137</f>
        <v>48.6</v>
      </c>
      <c r="CP137" s="430">
        <f t="shared" ref="CP137:CP156" si="333">V137</f>
        <v>31.5</v>
      </c>
      <c r="CQ137" s="430">
        <f t="shared" ref="CQ137:CQ156" si="334">AA137</f>
        <v>15.199999999999998</v>
      </c>
      <c r="CR137" s="430">
        <f t="shared" ref="CR137:CR156" si="335">AF137</f>
        <v>0</v>
      </c>
      <c r="CS137" s="430">
        <f t="shared" ref="CS137:CS156" si="336">AK137</f>
        <v>23.700000000000003</v>
      </c>
      <c r="CT137" s="430">
        <f t="shared" ref="CT137:CT156" si="337">AP137</f>
        <v>15.3</v>
      </c>
      <c r="CU137" s="430">
        <f t="shared" ref="CU137:CU156" si="338">AU137</f>
        <v>0</v>
      </c>
      <c r="CV137" s="430">
        <f t="shared" ref="CV137:CV156" si="339">AZ137</f>
        <v>0</v>
      </c>
      <c r="CW137" s="430">
        <f t="shared" ref="CW137:CW156" si="340">BE137</f>
        <v>0</v>
      </c>
      <c r="CX137" s="430">
        <f t="shared" ref="CX137:CX156" si="341">BJ137</f>
        <v>0</v>
      </c>
      <c r="CY137" s="430">
        <f t="shared" ref="CY137:CY156" si="342">BO137</f>
        <v>0</v>
      </c>
      <c r="CZ137" s="430">
        <f t="shared" ref="CZ137:CZ156" si="343">BT137</f>
        <v>0</v>
      </c>
      <c r="DA137" s="430">
        <f t="shared" ref="DA137:DA156" si="344">BY137</f>
        <v>0</v>
      </c>
      <c r="DB137" s="430">
        <f t="shared" ref="DB137:DB156" si="345">BZ137</f>
        <v>0</v>
      </c>
      <c r="DC137" s="853">
        <f t="shared" ref="DC137:DC156" si="346">CA137</f>
        <v>0</v>
      </c>
      <c r="DD137" s="454"/>
      <c r="DE137" s="454"/>
      <c r="DF137" s="463"/>
      <c r="DG137" s="463"/>
      <c r="DH137" s="2840"/>
      <c r="DI137" s="3213"/>
      <c r="DJ137" s="463"/>
      <c r="DK137" s="463"/>
      <c r="DL137" s="463"/>
      <c r="DM137" s="463"/>
      <c r="DN137" s="463"/>
      <c r="DO137" s="463"/>
      <c r="DP137" s="463"/>
      <c r="DQ137" s="463"/>
      <c r="DR137" s="608"/>
      <c r="DS137" s="608"/>
      <c r="DT137" s="608"/>
    </row>
    <row r="138" spans="1:124" ht="12" customHeight="1" x14ac:dyDescent="0.25">
      <c r="A138" s="1167" t="s">
        <v>1092</v>
      </c>
      <c r="B138" s="509"/>
      <c r="C138" s="480">
        <v>0</v>
      </c>
      <c r="D138" s="480">
        <v>0</v>
      </c>
      <c r="E138" s="480">
        <v>0</v>
      </c>
      <c r="F138" s="480">
        <v>0</v>
      </c>
      <c r="G138" s="510">
        <f t="shared" ref="G138:G155" si="347">SUM(C138:F138)</f>
        <v>0</v>
      </c>
      <c r="H138" s="480">
        <v>0</v>
      </c>
      <c r="I138" s="480">
        <v>0</v>
      </c>
      <c r="J138" s="480">
        <v>0</v>
      </c>
      <c r="K138" s="480">
        <f>9.8-J138-I138-H138</f>
        <v>9.8000000000000007</v>
      </c>
      <c r="L138" s="510">
        <f t="shared" ref="L138:L155" si="348">SUM(H138:K138)</f>
        <v>9.8000000000000007</v>
      </c>
      <c r="M138" s="480">
        <v>9.8000000000000007</v>
      </c>
      <c r="N138" s="480">
        <f>19.4-M138</f>
        <v>9.5999999999999979</v>
      </c>
      <c r="O138" s="480">
        <f>30-N138-M138</f>
        <v>10.600000000000001</v>
      </c>
      <c r="P138" s="480">
        <f>37-O138-N138-M138</f>
        <v>7</v>
      </c>
      <c r="Q138" s="510">
        <f t="shared" ref="Q138:Q155" si="349">SUM(M138:P138)</f>
        <v>37</v>
      </c>
      <c r="R138" s="480">
        <v>6.6</v>
      </c>
      <c r="S138" s="480">
        <f>17.6-R138</f>
        <v>11.000000000000002</v>
      </c>
      <c r="T138" s="480">
        <f>29.4-S138-R138</f>
        <v>11.799999999999999</v>
      </c>
      <c r="U138" s="480">
        <f>40.4-T138-S138-R138</f>
        <v>11.000000000000002</v>
      </c>
      <c r="V138" s="510">
        <f t="shared" ref="V138:V155" si="350">SUM(R138:U138)</f>
        <v>40.4</v>
      </c>
      <c r="W138" s="480">
        <v>16.899999999999999</v>
      </c>
      <c r="X138" s="480">
        <f>35.7-W138</f>
        <v>18.800000000000004</v>
      </c>
      <c r="Y138" s="480">
        <f>59.6-X138-W138</f>
        <v>23.9</v>
      </c>
      <c r="Z138" s="480">
        <f>90.9-Y138-X138-W138</f>
        <v>31.299999999999997</v>
      </c>
      <c r="AA138" s="510">
        <f t="shared" ref="AA138:AA155" si="351">SUM(W138:Z138)</f>
        <v>90.9</v>
      </c>
      <c r="AB138" s="480">
        <v>36.4</v>
      </c>
      <c r="AC138" s="480">
        <f>75.9-AB138</f>
        <v>39.500000000000007</v>
      </c>
      <c r="AD138" s="480">
        <f>121.7-AC138-AB138</f>
        <v>45.79999999999999</v>
      </c>
      <c r="AE138" s="482">
        <f>124.6-AD138-AC138-AB138</f>
        <v>2.9000000000000057</v>
      </c>
      <c r="AF138" s="481">
        <f t="shared" si="327"/>
        <v>124.6</v>
      </c>
      <c r="AG138" s="482">
        <v>5</v>
      </c>
      <c r="AH138" s="482">
        <f>11.2-6.1</f>
        <v>5.0999999999999996</v>
      </c>
      <c r="AI138" s="482">
        <v>3.2</v>
      </c>
      <c r="AJ138" s="482">
        <f>13.7-AI138-AH138-AG138</f>
        <v>0.40000000000000036</v>
      </c>
      <c r="AK138" s="481">
        <f>SUM(AG138:AJ138)</f>
        <v>13.700000000000001</v>
      </c>
      <c r="AL138" s="482"/>
      <c r="AM138" s="482"/>
      <c r="AN138" s="482"/>
      <c r="AO138" s="482"/>
      <c r="AP138" s="483">
        <f t="shared" ref="AP138:AP158" si="352">SUM(AL138:AO138)</f>
        <v>0</v>
      </c>
      <c r="AQ138" s="483"/>
      <c r="AR138" s="430"/>
      <c r="AS138" s="430"/>
      <c r="AT138" s="430"/>
      <c r="AU138" s="483">
        <f t="shared" ref="AU138:AU158" si="353">SUM(AQ138:AT138)</f>
        <v>0</v>
      </c>
      <c r="AV138" s="483"/>
      <c r="AW138" s="430"/>
      <c r="AX138" s="430"/>
      <c r="AY138" s="853"/>
      <c r="AZ138" s="481">
        <f t="shared" ref="AZ138:AZ158" si="354">SUM(AV138:AY138)</f>
        <v>0</v>
      </c>
      <c r="BA138" s="430"/>
      <c r="BB138" s="430"/>
      <c r="BC138" s="430"/>
      <c r="BD138" s="430"/>
      <c r="BE138" s="481">
        <f t="shared" si="328"/>
        <v>0</v>
      </c>
      <c r="BF138" s="430"/>
      <c r="BG138" s="430"/>
      <c r="BH138" s="430"/>
      <c r="BI138" s="430"/>
      <c r="BJ138" s="481">
        <f t="shared" si="329"/>
        <v>0</v>
      </c>
      <c r="BK138" s="430"/>
      <c r="BL138" s="430"/>
      <c r="BM138" s="430"/>
      <c r="BN138" s="430"/>
      <c r="BO138" s="481"/>
      <c r="BP138" s="430"/>
      <c r="BQ138" s="430"/>
      <c r="BR138" s="430"/>
      <c r="BS138" s="430"/>
      <c r="BT138" s="2587"/>
      <c r="BU138" s="3397"/>
      <c r="BV138" s="2840"/>
      <c r="BW138" s="2840"/>
      <c r="BX138" s="2840"/>
      <c r="BY138" s="484"/>
      <c r="BZ138" s="484"/>
      <c r="CA138" s="484"/>
      <c r="CB138" s="484">
        <v>0</v>
      </c>
      <c r="CC138" s="484">
        <v>0</v>
      </c>
      <c r="CD138" s="484">
        <v>0</v>
      </c>
      <c r="CE138" s="484">
        <v>0</v>
      </c>
      <c r="CF138" s="484">
        <v>0</v>
      </c>
      <c r="CG138" s="454"/>
      <c r="CH138" s="454"/>
      <c r="CI138" s="454"/>
      <c r="CJ138" s="454"/>
      <c r="CK138" s="454"/>
      <c r="CL138" s="2025" t="str">
        <f t="shared" si="326"/>
        <v>Hollywood Lawrenceburg (IN)</v>
      </c>
      <c r="CM138" s="430">
        <f t="shared" si="330"/>
        <v>0</v>
      </c>
      <c r="CN138" s="430">
        <f t="shared" si="331"/>
        <v>9.8000000000000007</v>
      </c>
      <c r="CO138" s="430">
        <f t="shared" si="332"/>
        <v>37</v>
      </c>
      <c r="CP138" s="430">
        <f t="shared" si="333"/>
        <v>40.4</v>
      </c>
      <c r="CQ138" s="430">
        <f t="shared" si="334"/>
        <v>90.9</v>
      </c>
      <c r="CR138" s="430">
        <f t="shared" si="335"/>
        <v>124.6</v>
      </c>
      <c r="CS138" s="430">
        <f t="shared" si="336"/>
        <v>13.700000000000001</v>
      </c>
      <c r="CT138" s="430">
        <f t="shared" si="337"/>
        <v>0</v>
      </c>
      <c r="CU138" s="430">
        <f t="shared" si="338"/>
        <v>0</v>
      </c>
      <c r="CV138" s="430">
        <f t="shared" si="339"/>
        <v>0</v>
      </c>
      <c r="CW138" s="430">
        <f t="shared" si="340"/>
        <v>0</v>
      </c>
      <c r="CX138" s="430">
        <f t="shared" si="341"/>
        <v>0</v>
      </c>
      <c r="CY138" s="430">
        <f t="shared" si="342"/>
        <v>0</v>
      </c>
      <c r="CZ138" s="430">
        <f t="shared" si="343"/>
        <v>0</v>
      </c>
      <c r="DA138" s="430">
        <f t="shared" si="344"/>
        <v>0</v>
      </c>
      <c r="DB138" s="430">
        <f t="shared" si="345"/>
        <v>0</v>
      </c>
      <c r="DC138" s="853">
        <f t="shared" si="346"/>
        <v>0</v>
      </c>
      <c r="DD138" s="454"/>
      <c r="DE138" s="454"/>
      <c r="DF138" s="463"/>
      <c r="DG138" s="463"/>
      <c r="DH138" s="2840"/>
      <c r="DI138" s="3213"/>
      <c r="DJ138" s="463"/>
      <c r="DK138" s="463"/>
      <c r="DL138" s="463"/>
      <c r="DM138" s="463"/>
      <c r="DN138" s="463"/>
      <c r="DO138" s="463"/>
      <c r="DP138" s="463"/>
      <c r="DQ138" s="463"/>
      <c r="DR138" s="608"/>
      <c r="DS138" s="608"/>
      <c r="DT138" s="608"/>
    </row>
    <row r="139" spans="1:124" ht="12" customHeight="1" x14ac:dyDescent="0.25">
      <c r="A139" s="1167" t="s">
        <v>1549</v>
      </c>
      <c r="B139" s="509"/>
      <c r="C139" s="480">
        <v>0</v>
      </c>
      <c r="D139" s="480">
        <v>0</v>
      </c>
      <c r="E139" s="480">
        <v>0</v>
      </c>
      <c r="F139" s="480">
        <v>0</v>
      </c>
      <c r="G139" s="510">
        <f t="shared" si="347"/>
        <v>0</v>
      </c>
      <c r="H139" s="480">
        <v>1.53</v>
      </c>
      <c r="I139" s="480">
        <f>6.664-H139</f>
        <v>5.1339999999999995</v>
      </c>
      <c r="J139" s="480">
        <f>8.983-I139-H139</f>
        <v>2.3190000000000008</v>
      </c>
      <c r="K139" s="480">
        <f>8.3-J139-I139-H139</f>
        <v>-0.68299999999999961</v>
      </c>
      <c r="L139" s="510">
        <f t="shared" si="348"/>
        <v>8.3000000000000007</v>
      </c>
      <c r="M139" s="480">
        <v>6.6</v>
      </c>
      <c r="N139" s="480">
        <f>14.7-M139</f>
        <v>8.1</v>
      </c>
      <c r="O139" s="480">
        <f>17.4-N139-M139</f>
        <v>2.6999999999999993</v>
      </c>
      <c r="P139" s="480">
        <f>28.6-O139-N139-M139</f>
        <v>11.200000000000005</v>
      </c>
      <c r="Q139" s="510">
        <f t="shared" si="349"/>
        <v>28.6</v>
      </c>
      <c r="R139" s="480">
        <v>22.5</v>
      </c>
      <c r="S139" s="480">
        <f>56.1-R139</f>
        <v>33.6</v>
      </c>
      <c r="T139" s="480">
        <f>91.1-S139-R139</f>
        <v>34.999999999999993</v>
      </c>
      <c r="U139" s="480">
        <f>149.3-T139-S139-R139</f>
        <v>58.200000000000017</v>
      </c>
      <c r="V139" s="510">
        <f t="shared" si="350"/>
        <v>149.30000000000001</v>
      </c>
      <c r="W139" s="480">
        <v>55.5</v>
      </c>
      <c r="X139" s="480">
        <f>70.3-W139</f>
        <v>14.799999999999997</v>
      </c>
      <c r="Y139" s="480">
        <f>82-X139-W139</f>
        <v>11.700000000000003</v>
      </c>
      <c r="Z139" s="480">
        <f>92-Y139-X139-W139</f>
        <v>10</v>
      </c>
      <c r="AA139" s="510">
        <f t="shared" si="351"/>
        <v>92</v>
      </c>
      <c r="AB139" s="480">
        <v>3.1</v>
      </c>
      <c r="AC139" s="480">
        <f>3.4-AB139</f>
        <v>0.29999999999999982</v>
      </c>
      <c r="AD139" s="480">
        <f>4.3-AC139-AB139</f>
        <v>0.89999999999999991</v>
      </c>
      <c r="AE139" s="482">
        <f>4.7-AD139-AC139-AB139</f>
        <v>0.40000000000000036</v>
      </c>
      <c r="AF139" s="481">
        <f t="shared" si="327"/>
        <v>4.7</v>
      </c>
      <c r="AG139" s="482">
        <v>0.6</v>
      </c>
      <c r="AH139" s="482">
        <f>19.5-0.9</f>
        <v>18.600000000000001</v>
      </c>
      <c r="AI139" s="482">
        <v>3.5</v>
      </c>
      <c r="AJ139" s="482">
        <v>0</v>
      </c>
      <c r="AK139" s="481">
        <f t="shared" ref="AK139:AK152" si="355">SUM(AG139:AJ139)</f>
        <v>22.700000000000003</v>
      </c>
      <c r="AL139" s="482">
        <v>0</v>
      </c>
      <c r="AM139" s="482"/>
      <c r="AN139" s="482"/>
      <c r="AO139" s="482"/>
      <c r="AP139" s="483">
        <f t="shared" si="352"/>
        <v>0</v>
      </c>
      <c r="AQ139" s="483"/>
      <c r="AR139" s="430"/>
      <c r="AS139" s="430"/>
      <c r="AT139" s="430"/>
      <c r="AU139" s="483">
        <f t="shared" si="353"/>
        <v>0</v>
      </c>
      <c r="AV139" s="483"/>
      <c r="AW139" s="430"/>
      <c r="AX139" s="430"/>
      <c r="AY139" s="853"/>
      <c r="AZ139" s="481">
        <f t="shared" si="354"/>
        <v>0</v>
      </c>
      <c r="BA139" s="430"/>
      <c r="BB139" s="430"/>
      <c r="BC139" s="430"/>
      <c r="BD139" s="430"/>
      <c r="BE139" s="481">
        <f t="shared" si="328"/>
        <v>0</v>
      </c>
      <c r="BF139" s="430"/>
      <c r="BG139" s="430"/>
      <c r="BH139" s="430"/>
      <c r="BI139" s="430"/>
      <c r="BJ139" s="481">
        <f t="shared" si="329"/>
        <v>0</v>
      </c>
      <c r="BK139" s="430"/>
      <c r="BL139" s="430"/>
      <c r="BM139" s="430"/>
      <c r="BN139" s="430"/>
      <c r="BO139" s="481"/>
      <c r="BP139" s="430"/>
      <c r="BQ139" s="430"/>
      <c r="BR139" s="430"/>
      <c r="BS139" s="430"/>
      <c r="BT139" s="2587"/>
      <c r="BU139" s="3397"/>
      <c r="BV139" s="2840"/>
      <c r="BW139" s="2840"/>
      <c r="BX139" s="2840"/>
      <c r="BY139" s="484"/>
      <c r="BZ139" s="484"/>
      <c r="CA139" s="484"/>
      <c r="CB139" s="484">
        <v>0</v>
      </c>
      <c r="CC139" s="484">
        <v>0</v>
      </c>
      <c r="CD139" s="484">
        <v>0</v>
      </c>
      <c r="CE139" s="484">
        <v>0</v>
      </c>
      <c r="CF139" s="484">
        <v>0</v>
      </c>
      <c r="CG139" s="454"/>
      <c r="CH139" s="454"/>
      <c r="CI139" s="454"/>
      <c r="CJ139" s="454"/>
      <c r="CK139" s="454"/>
      <c r="CL139" s="2025" t="str">
        <f t="shared" si="326"/>
        <v>Hollywood at Penn National (PA)</v>
      </c>
      <c r="CM139" s="430">
        <f t="shared" si="330"/>
        <v>0</v>
      </c>
      <c r="CN139" s="430">
        <f t="shared" si="331"/>
        <v>8.3000000000000007</v>
      </c>
      <c r="CO139" s="430">
        <f t="shared" si="332"/>
        <v>28.6</v>
      </c>
      <c r="CP139" s="430">
        <f t="shared" si="333"/>
        <v>149.30000000000001</v>
      </c>
      <c r="CQ139" s="430">
        <f t="shared" si="334"/>
        <v>92</v>
      </c>
      <c r="CR139" s="430">
        <f t="shared" si="335"/>
        <v>4.7</v>
      </c>
      <c r="CS139" s="430">
        <f t="shared" si="336"/>
        <v>22.700000000000003</v>
      </c>
      <c r="CT139" s="430">
        <f t="shared" si="337"/>
        <v>0</v>
      </c>
      <c r="CU139" s="430">
        <f t="shared" si="338"/>
        <v>0</v>
      </c>
      <c r="CV139" s="430">
        <f t="shared" si="339"/>
        <v>0</v>
      </c>
      <c r="CW139" s="430">
        <f t="shared" si="340"/>
        <v>0</v>
      </c>
      <c r="CX139" s="430">
        <f t="shared" si="341"/>
        <v>0</v>
      </c>
      <c r="CY139" s="430">
        <f t="shared" si="342"/>
        <v>0</v>
      </c>
      <c r="CZ139" s="430">
        <f t="shared" si="343"/>
        <v>0</v>
      </c>
      <c r="DA139" s="430">
        <f t="shared" si="344"/>
        <v>0</v>
      </c>
      <c r="DB139" s="430">
        <f t="shared" si="345"/>
        <v>0</v>
      </c>
      <c r="DC139" s="853">
        <f t="shared" si="346"/>
        <v>0</v>
      </c>
      <c r="DD139" s="454"/>
      <c r="DE139" s="454"/>
      <c r="DF139" s="463"/>
      <c r="DG139" s="463"/>
      <c r="DH139" s="2840"/>
      <c r="DI139" s="3213"/>
      <c r="DJ139" s="463"/>
      <c r="DK139" s="463"/>
      <c r="DL139" s="463"/>
      <c r="DM139" s="463"/>
      <c r="DN139" s="463"/>
      <c r="DO139" s="463"/>
      <c r="DP139" s="463"/>
      <c r="DQ139" s="463"/>
      <c r="DR139" s="608"/>
      <c r="DS139" s="608"/>
      <c r="DT139" s="608"/>
    </row>
    <row r="140" spans="1:124" ht="12" customHeight="1" x14ac:dyDescent="0.25">
      <c r="A140" s="1167" t="s">
        <v>1094</v>
      </c>
      <c r="B140" s="509"/>
      <c r="C140" s="480">
        <v>0</v>
      </c>
      <c r="D140" s="480">
        <v>0</v>
      </c>
      <c r="E140" s="480">
        <v>0</v>
      </c>
      <c r="F140" s="480">
        <v>0</v>
      </c>
      <c r="G140" s="510">
        <f t="shared" si="347"/>
        <v>0</v>
      </c>
      <c r="H140" s="480">
        <v>0</v>
      </c>
      <c r="I140" s="480">
        <v>0</v>
      </c>
      <c r="J140" s="480">
        <v>0</v>
      </c>
      <c r="K140" s="480">
        <v>0</v>
      </c>
      <c r="L140" s="510">
        <f t="shared" si="348"/>
        <v>0</v>
      </c>
      <c r="M140" s="480">
        <v>0</v>
      </c>
      <c r="N140" s="480">
        <v>0</v>
      </c>
      <c r="O140" s="480">
        <v>0</v>
      </c>
      <c r="P140" s="480">
        <v>0</v>
      </c>
      <c r="Q140" s="510">
        <f t="shared" si="349"/>
        <v>0</v>
      </c>
      <c r="R140" s="480">
        <v>0</v>
      </c>
      <c r="S140" s="480">
        <v>0</v>
      </c>
      <c r="T140" s="480">
        <v>0</v>
      </c>
      <c r="U140" s="480">
        <v>0</v>
      </c>
      <c r="V140" s="510">
        <f t="shared" si="350"/>
        <v>0</v>
      </c>
      <c r="W140" s="480">
        <v>0</v>
      </c>
      <c r="X140" s="480">
        <v>0</v>
      </c>
      <c r="Y140" s="480">
        <v>0</v>
      </c>
      <c r="Z140" s="480">
        <v>0</v>
      </c>
      <c r="AA140" s="510">
        <f t="shared" si="351"/>
        <v>0</v>
      </c>
      <c r="AB140" s="480">
        <v>0</v>
      </c>
      <c r="AC140" s="480">
        <v>0</v>
      </c>
      <c r="AD140" s="480">
        <v>0</v>
      </c>
      <c r="AE140" s="482">
        <v>0</v>
      </c>
      <c r="AF140" s="481">
        <f t="shared" si="327"/>
        <v>0</v>
      </c>
      <c r="AG140" s="482">
        <v>0</v>
      </c>
      <c r="AH140" s="602"/>
      <c r="AI140" s="602"/>
      <c r="AJ140" s="602"/>
      <c r="AK140" s="481">
        <f t="shared" si="355"/>
        <v>0</v>
      </c>
      <c r="AL140" s="482"/>
      <c r="AM140" s="482"/>
      <c r="AN140" s="482"/>
      <c r="AO140" s="482"/>
      <c r="AP140" s="483">
        <f t="shared" si="352"/>
        <v>0</v>
      </c>
      <c r="AQ140" s="483"/>
      <c r="AR140" s="430"/>
      <c r="AS140" s="430"/>
      <c r="AT140" s="430"/>
      <c r="AU140" s="483">
        <f t="shared" si="353"/>
        <v>0</v>
      </c>
      <c r="AV140" s="483"/>
      <c r="AW140" s="430"/>
      <c r="AX140" s="430"/>
      <c r="AY140" s="853"/>
      <c r="AZ140" s="481">
        <f t="shared" si="354"/>
        <v>0</v>
      </c>
      <c r="BA140" s="430"/>
      <c r="BB140" s="430"/>
      <c r="BC140" s="430"/>
      <c r="BD140" s="430"/>
      <c r="BE140" s="481">
        <f t="shared" si="328"/>
        <v>0</v>
      </c>
      <c r="BF140" s="430"/>
      <c r="BG140" s="430"/>
      <c r="BH140" s="430"/>
      <c r="BI140" s="430"/>
      <c r="BJ140" s="481">
        <f t="shared" si="329"/>
        <v>0</v>
      </c>
      <c r="BK140" s="430"/>
      <c r="BL140" s="430"/>
      <c r="BM140" s="430"/>
      <c r="BN140" s="430"/>
      <c r="BO140" s="481"/>
      <c r="BP140" s="430"/>
      <c r="BQ140" s="430"/>
      <c r="BR140" s="430"/>
      <c r="BS140" s="430"/>
      <c r="BT140" s="2587"/>
      <c r="BU140" s="3397"/>
      <c r="BV140" s="2840"/>
      <c r="BW140" s="2840"/>
      <c r="BX140" s="2840"/>
      <c r="BY140" s="484"/>
      <c r="BZ140" s="484"/>
      <c r="CA140" s="484"/>
      <c r="CB140" s="484">
        <v>0</v>
      </c>
      <c r="CC140" s="484">
        <v>0</v>
      </c>
      <c r="CD140" s="484">
        <v>0</v>
      </c>
      <c r="CE140" s="484">
        <v>0</v>
      </c>
      <c r="CF140" s="484">
        <v>0</v>
      </c>
      <c r="CG140" s="454"/>
      <c r="CH140" s="454"/>
      <c r="CI140" s="454"/>
      <c r="CJ140" s="454"/>
      <c r="CK140" s="454"/>
      <c r="CL140" s="2025" t="str">
        <f t="shared" si="326"/>
        <v>Hollywood Aurora (IL)</v>
      </c>
      <c r="CM140" s="430">
        <f t="shared" si="330"/>
        <v>0</v>
      </c>
      <c r="CN140" s="430">
        <f t="shared" si="331"/>
        <v>0</v>
      </c>
      <c r="CO140" s="430">
        <f t="shared" si="332"/>
        <v>0</v>
      </c>
      <c r="CP140" s="430">
        <f t="shared" si="333"/>
        <v>0</v>
      </c>
      <c r="CQ140" s="430">
        <f t="shared" si="334"/>
        <v>0</v>
      </c>
      <c r="CR140" s="430">
        <f t="shared" si="335"/>
        <v>0</v>
      </c>
      <c r="CS140" s="430">
        <f t="shared" si="336"/>
        <v>0</v>
      </c>
      <c r="CT140" s="430">
        <f t="shared" si="337"/>
        <v>0</v>
      </c>
      <c r="CU140" s="430">
        <f t="shared" si="338"/>
        <v>0</v>
      </c>
      <c r="CV140" s="430">
        <f t="shared" si="339"/>
        <v>0</v>
      </c>
      <c r="CW140" s="430">
        <f t="shared" si="340"/>
        <v>0</v>
      </c>
      <c r="CX140" s="430">
        <f t="shared" si="341"/>
        <v>0</v>
      </c>
      <c r="CY140" s="430">
        <f t="shared" si="342"/>
        <v>0</v>
      </c>
      <c r="CZ140" s="430">
        <f t="shared" si="343"/>
        <v>0</v>
      </c>
      <c r="DA140" s="430">
        <f t="shared" si="344"/>
        <v>0</v>
      </c>
      <c r="DB140" s="430">
        <f t="shared" si="345"/>
        <v>0</v>
      </c>
      <c r="DC140" s="853">
        <f t="shared" si="346"/>
        <v>0</v>
      </c>
      <c r="DD140" s="454"/>
      <c r="DE140" s="454"/>
      <c r="DF140" s="463"/>
      <c r="DG140" s="463"/>
      <c r="DH140" s="2840"/>
      <c r="DI140" s="3213"/>
      <c r="DJ140" s="463"/>
      <c r="DK140" s="463"/>
      <c r="DL140" s="463"/>
      <c r="DM140" s="463"/>
      <c r="DN140" s="463"/>
      <c r="DO140" s="463"/>
      <c r="DP140" s="463"/>
      <c r="DQ140" s="463"/>
      <c r="DR140" s="608"/>
      <c r="DS140" s="608"/>
      <c r="DT140" s="608"/>
    </row>
    <row r="141" spans="1:124" ht="12" customHeight="1" x14ac:dyDescent="0.25">
      <c r="A141" s="1167" t="s">
        <v>1786</v>
      </c>
      <c r="B141" s="509"/>
      <c r="C141" s="480">
        <v>0</v>
      </c>
      <c r="D141" s="480">
        <v>0</v>
      </c>
      <c r="E141" s="480">
        <v>0</v>
      </c>
      <c r="F141" s="480">
        <v>0</v>
      </c>
      <c r="G141" s="510">
        <f t="shared" si="347"/>
        <v>0</v>
      </c>
      <c r="H141" s="480">
        <v>0</v>
      </c>
      <c r="I141" s="480">
        <v>0</v>
      </c>
      <c r="J141" s="480">
        <v>0</v>
      </c>
      <c r="K141" s="480">
        <v>0</v>
      </c>
      <c r="L141" s="510">
        <f t="shared" si="348"/>
        <v>0</v>
      </c>
      <c r="M141" s="480">
        <v>0</v>
      </c>
      <c r="N141" s="480">
        <v>0</v>
      </c>
      <c r="O141" s="480">
        <v>0</v>
      </c>
      <c r="P141" s="480">
        <v>0</v>
      </c>
      <c r="Q141" s="510">
        <f t="shared" si="349"/>
        <v>0</v>
      </c>
      <c r="R141" s="480">
        <v>0</v>
      </c>
      <c r="S141" s="480">
        <v>0</v>
      </c>
      <c r="T141" s="480">
        <v>0</v>
      </c>
      <c r="U141" s="480">
        <v>0</v>
      </c>
      <c r="V141" s="510">
        <f t="shared" si="350"/>
        <v>0</v>
      </c>
      <c r="W141" s="480">
        <v>0</v>
      </c>
      <c r="X141" s="480">
        <f>0.1-W141</f>
        <v>0.1</v>
      </c>
      <c r="Y141" s="480">
        <f>0.5-X141-W141</f>
        <v>0.4</v>
      </c>
      <c r="Z141" s="480">
        <v>0</v>
      </c>
      <c r="AA141" s="510">
        <f t="shared" si="351"/>
        <v>0.5</v>
      </c>
      <c r="AB141" s="480">
        <v>6.8</v>
      </c>
      <c r="AC141" s="480">
        <f>25.5-AB141</f>
        <v>18.7</v>
      </c>
      <c r="AD141" s="480">
        <f>38.9-AC141-AB141</f>
        <v>13.399999999999999</v>
      </c>
      <c r="AE141" s="482">
        <f>50.8-AD141-AC141-AB141</f>
        <v>11.899999999999999</v>
      </c>
      <c r="AF141" s="481">
        <f t="shared" si="327"/>
        <v>50.8</v>
      </c>
      <c r="AG141" s="482">
        <v>11</v>
      </c>
      <c r="AH141" s="482">
        <f>36.5-22.7</f>
        <v>13.8</v>
      </c>
      <c r="AI141" s="482">
        <v>12.9</v>
      </c>
      <c r="AJ141" s="482">
        <f>61.5-AI141-AH141-AG141</f>
        <v>23.799999999999997</v>
      </c>
      <c r="AK141" s="481">
        <f t="shared" si="355"/>
        <v>61.5</v>
      </c>
      <c r="AL141" s="482">
        <v>8.1999999999999993</v>
      </c>
      <c r="AM141" s="482">
        <f>10-AL141</f>
        <v>1.8000000000000007</v>
      </c>
      <c r="AN141" s="482">
        <f>10.2-AM141-AL141</f>
        <v>0.19999999999999929</v>
      </c>
      <c r="AO141" s="482">
        <f>10.7-AN141-AM141-AL141</f>
        <v>0.5</v>
      </c>
      <c r="AP141" s="483">
        <f t="shared" si="352"/>
        <v>10.7</v>
      </c>
      <c r="AQ141" s="483"/>
      <c r="AR141" s="430"/>
      <c r="AS141" s="430"/>
      <c r="AT141" s="430"/>
      <c r="AU141" s="483">
        <f t="shared" si="353"/>
        <v>0</v>
      </c>
      <c r="AV141" s="483"/>
      <c r="AW141" s="430"/>
      <c r="AX141" s="430"/>
      <c r="AY141" s="853"/>
      <c r="AZ141" s="481">
        <f t="shared" si="354"/>
        <v>0</v>
      </c>
      <c r="BA141" s="430"/>
      <c r="BB141" s="430"/>
      <c r="BC141" s="430"/>
      <c r="BD141" s="430"/>
      <c r="BE141" s="481">
        <f t="shared" si="328"/>
        <v>0</v>
      </c>
      <c r="BF141" s="430"/>
      <c r="BG141" s="430"/>
      <c r="BH141" s="430"/>
      <c r="BI141" s="430"/>
      <c r="BJ141" s="481">
        <f t="shared" si="329"/>
        <v>0</v>
      </c>
      <c r="BK141" s="430"/>
      <c r="BL141" s="430"/>
      <c r="BM141" s="430"/>
      <c r="BN141" s="430"/>
      <c r="BO141" s="481"/>
      <c r="BP141" s="430"/>
      <c r="BQ141" s="430"/>
      <c r="BR141" s="430"/>
      <c r="BS141" s="430"/>
      <c r="BT141" s="2587"/>
      <c r="BU141" s="3397"/>
      <c r="BV141" s="2840"/>
      <c r="BW141" s="2840"/>
      <c r="BX141" s="2840"/>
      <c r="BY141" s="484"/>
      <c r="BZ141" s="484"/>
      <c r="CA141" s="484"/>
      <c r="CB141" s="484">
        <v>0</v>
      </c>
      <c r="CC141" s="484">
        <v>0</v>
      </c>
      <c r="CD141" s="484">
        <v>0</v>
      </c>
      <c r="CE141" s="484">
        <v>0</v>
      </c>
      <c r="CF141" s="484">
        <v>0</v>
      </c>
      <c r="CG141" s="454"/>
      <c r="CH141" s="454"/>
      <c r="CI141" s="454"/>
      <c r="CJ141" s="454"/>
      <c r="CK141" s="454"/>
      <c r="CL141" s="2025" t="str">
        <f t="shared" si="326"/>
        <v>Hollywood Casino Joliet (IL)</v>
      </c>
      <c r="CM141" s="430">
        <f t="shared" si="330"/>
        <v>0</v>
      </c>
      <c r="CN141" s="430">
        <f t="shared" si="331"/>
        <v>0</v>
      </c>
      <c r="CO141" s="430">
        <f t="shared" si="332"/>
        <v>0</v>
      </c>
      <c r="CP141" s="430">
        <f t="shared" si="333"/>
        <v>0</v>
      </c>
      <c r="CQ141" s="430">
        <f t="shared" si="334"/>
        <v>0.5</v>
      </c>
      <c r="CR141" s="430">
        <f t="shared" si="335"/>
        <v>50.8</v>
      </c>
      <c r="CS141" s="430">
        <f t="shared" si="336"/>
        <v>61.5</v>
      </c>
      <c r="CT141" s="430">
        <f t="shared" si="337"/>
        <v>10.7</v>
      </c>
      <c r="CU141" s="430">
        <f t="shared" si="338"/>
        <v>0</v>
      </c>
      <c r="CV141" s="430">
        <f t="shared" si="339"/>
        <v>0</v>
      </c>
      <c r="CW141" s="430">
        <f t="shared" si="340"/>
        <v>0</v>
      </c>
      <c r="CX141" s="430">
        <f t="shared" si="341"/>
        <v>0</v>
      </c>
      <c r="CY141" s="430">
        <f t="shared" si="342"/>
        <v>0</v>
      </c>
      <c r="CZ141" s="430">
        <f t="shared" si="343"/>
        <v>0</v>
      </c>
      <c r="DA141" s="430">
        <f t="shared" si="344"/>
        <v>0</v>
      </c>
      <c r="DB141" s="430">
        <f t="shared" si="345"/>
        <v>0</v>
      </c>
      <c r="DC141" s="853">
        <f t="shared" si="346"/>
        <v>0</v>
      </c>
      <c r="DD141" s="454"/>
      <c r="DE141" s="454"/>
      <c r="DF141" s="463"/>
      <c r="DG141" s="463"/>
      <c r="DH141" s="2840"/>
      <c r="DI141" s="3213"/>
      <c r="DJ141" s="463"/>
      <c r="DK141" s="463"/>
      <c r="DL141" s="463"/>
      <c r="DM141" s="463"/>
      <c r="DN141" s="463"/>
      <c r="DO141" s="463"/>
      <c r="DP141" s="463"/>
      <c r="DQ141" s="463"/>
      <c r="DR141" s="608"/>
      <c r="DS141" s="608"/>
      <c r="DT141" s="608"/>
    </row>
    <row r="142" spans="1:124" ht="12" customHeight="1" x14ac:dyDescent="0.25">
      <c r="A142" s="1167" t="s">
        <v>1093</v>
      </c>
      <c r="B142" s="509"/>
      <c r="C142" s="480">
        <v>0</v>
      </c>
      <c r="D142" s="480">
        <v>0</v>
      </c>
      <c r="E142" s="480">
        <v>0</v>
      </c>
      <c r="F142" s="480">
        <v>0</v>
      </c>
      <c r="G142" s="510">
        <f t="shared" si="347"/>
        <v>0</v>
      </c>
      <c r="H142" s="480">
        <v>0</v>
      </c>
      <c r="I142" s="480">
        <v>0</v>
      </c>
      <c r="J142" s="480">
        <v>0</v>
      </c>
      <c r="K142" s="480">
        <f>7.2-J142-I142-H142</f>
        <v>7.2</v>
      </c>
      <c r="L142" s="510">
        <f t="shared" si="348"/>
        <v>7.2</v>
      </c>
      <c r="M142" s="480">
        <v>6.3</v>
      </c>
      <c r="N142" s="480">
        <f>14.8-M142</f>
        <v>8.5</v>
      </c>
      <c r="O142" s="480">
        <f>30.4-N142-M142</f>
        <v>15.599999999999998</v>
      </c>
      <c r="P142" s="480">
        <f>37.3-O142-N142-M142</f>
        <v>6.8999999999999995</v>
      </c>
      <c r="Q142" s="510">
        <f t="shared" si="349"/>
        <v>37.299999999999997</v>
      </c>
      <c r="R142" s="480">
        <v>6.4</v>
      </c>
      <c r="S142" s="480">
        <f>9.1-R142</f>
        <v>2.6999999999999993</v>
      </c>
      <c r="T142" s="480">
        <f>9.3-S142-R142</f>
        <v>0.20000000000000107</v>
      </c>
      <c r="U142" s="480">
        <f>9.3-T142-S142-R142</f>
        <v>0</v>
      </c>
      <c r="V142" s="510">
        <f t="shared" si="350"/>
        <v>9.3000000000000007</v>
      </c>
      <c r="W142" s="480">
        <v>0</v>
      </c>
      <c r="X142" s="480">
        <v>0</v>
      </c>
      <c r="Y142" s="480">
        <v>0</v>
      </c>
      <c r="Z142" s="480">
        <v>0</v>
      </c>
      <c r="AA142" s="510">
        <f t="shared" si="351"/>
        <v>0</v>
      </c>
      <c r="AB142" s="480">
        <v>0</v>
      </c>
      <c r="AC142" s="480">
        <v>0</v>
      </c>
      <c r="AD142" s="480">
        <v>0</v>
      </c>
      <c r="AE142" s="482">
        <v>0</v>
      </c>
      <c r="AF142" s="481">
        <f t="shared" si="327"/>
        <v>0</v>
      </c>
      <c r="AG142" s="482">
        <v>0</v>
      </c>
      <c r="AH142" s="602"/>
      <c r="AI142" s="602"/>
      <c r="AJ142" s="602"/>
      <c r="AK142" s="481">
        <f t="shared" si="355"/>
        <v>0</v>
      </c>
      <c r="AL142" s="482"/>
      <c r="AM142" s="482"/>
      <c r="AN142" s="482"/>
      <c r="AO142" s="482"/>
      <c r="AP142" s="483">
        <f t="shared" si="352"/>
        <v>0</v>
      </c>
      <c r="AQ142" s="483"/>
      <c r="AR142" s="430"/>
      <c r="AS142" s="430"/>
      <c r="AT142" s="430"/>
      <c r="AU142" s="483">
        <f t="shared" si="353"/>
        <v>0</v>
      </c>
      <c r="AV142" s="483"/>
      <c r="AW142" s="430"/>
      <c r="AX142" s="430"/>
      <c r="AY142" s="853"/>
      <c r="AZ142" s="481">
        <f t="shared" si="354"/>
        <v>0</v>
      </c>
      <c r="BA142" s="430"/>
      <c r="BB142" s="430"/>
      <c r="BC142" s="430"/>
      <c r="BD142" s="430"/>
      <c r="BE142" s="481">
        <f t="shared" si="328"/>
        <v>0</v>
      </c>
      <c r="BF142" s="430"/>
      <c r="BG142" s="430"/>
      <c r="BH142" s="430"/>
      <c r="BI142" s="430"/>
      <c r="BJ142" s="481">
        <f t="shared" si="329"/>
        <v>0</v>
      </c>
      <c r="BK142" s="430"/>
      <c r="BL142" s="430"/>
      <c r="BM142" s="430"/>
      <c r="BN142" s="430"/>
      <c r="BO142" s="481"/>
      <c r="BP142" s="430"/>
      <c r="BQ142" s="430"/>
      <c r="BR142" s="430"/>
      <c r="BS142" s="430"/>
      <c r="BT142" s="2587"/>
      <c r="BU142" s="3397"/>
      <c r="BV142" s="2840"/>
      <c r="BW142" s="2840"/>
      <c r="BX142" s="2840"/>
      <c r="BY142" s="484"/>
      <c r="BZ142" s="484"/>
      <c r="CA142" s="484"/>
      <c r="CB142" s="484">
        <v>0</v>
      </c>
      <c r="CC142" s="484">
        <v>0</v>
      </c>
      <c r="CD142" s="484">
        <v>0</v>
      </c>
      <c r="CE142" s="484">
        <v>0</v>
      </c>
      <c r="CF142" s="484">
        <v>0</v>
      </c>
      <c r="CG142" s="454"/>
      <c r="CH142" s="454"/>
      <c r="CI142" s="454"/>
      <c r="CJ142" s="454"/>
      <c r="CK142" s="454"/>
      <c r="CL142" s="2025" t="str">
        <f t="shared" si="326"/>
        <v>Argosy Riverside (MO)</v>
      </c>
      <c r="CM142" s="430">
        <f t="shared" si="330"/>
        <v>0</v>
      </c>
      <c r="CN142" s="430">
        <f t="shared" si="331"/>
        <v>7.2</v>
      </c>
      <c r="CO142" s="430">
        <f t="shared" si="332"/>
        <v>37.299999999999997</v>
      </c>
      <c r="CP142" s="430">
        <f t="shared" si="333"/>
        <v>9.3000000000000007</v>
      </c>
      <c r="CQ142" s="430">
        <f t="shared" si="334"/>
        <v>0</v>
      </c>
      <c r="CR142" s="430">
        <f t="shared" si="335"/>
        <v>0</v>
      </c>
      <c r="CS142" s="430">
        <f t="shared" si="336"/>
        <v>0</v>
      </c>
      <c r="CT142" s="430">
        <f t="shared" si="337"/>
        <v>0</v>
      </c>
      <c r="CU142" s="430">
        <f t="shared" si="338"/>
        <v>0</v>
      </c>
      <c r="CV142" s="430">
        <f t="shared" si="339"/>
        <v>0</v>
      </c>
      <c r="CW142" s="430">
        <f t="shared" si="340"/>
        <v>0</v>
      </c>
      <c r="CX142" s="430">
        <f t="shared" si="341"/>
        <v>0</v>
      </c>
      <c r="CY142" s="430">
        <f t="shared" si="342"/>
        <v>0</v>
      </c>
      <c r="CZ142" s="430">
        <f t="shared" si="343"/>
        <v>0</v>
      </c>
      <c r="DA142" s="430">
        <f t="shared" si="344"/>
        <v>0</v>
      </c>
      <c r="DB142" s="430">
        <f t="shared" si="345"/>
        <v>0</v>
      </c>
      <c r="DC142" s="853">
        <f t="shared" si="346"/>
        <v>0</v>
      </c>
      <c r="DD142" s="454"/>
      <c r="DE142" s="454"/>
      <c r="DF142" s="463"/>
      <c r="DG142" s="463"/>
      <c r="DH142" s="2840"/>
      <c r="DI142" s="3213"/>
      <c r="DJ142" s="463"/>
      <c r="DK142" s="463"/>
      <c r="DL142" s="463"/>
      <c r="DM142" s="463"/>
      <c r="DN142" s="463"/>
      <c r="DO142" s="463"/>
      <c r="DP142" s="463"/>
      <c r="DQ142" s="463"/>
      <c r="DR142" s="608"/>
      <c r="DS142" s="608"/>
      <c r="DT142" s="608"/>
    </row>
    <row r="143" spans="1:124" ht="12" customHeight="1" x14ac:dyDescent="0.25">
      <c r="A143" s="1167" t="s">
        <v>1548</v>
      </c>
      <c r="B143" s="509"/>
      <c r="C143" s="480">
        <v>0</v>
      </c>
      <c r="D143" s="480">
        <v>0</v>
      </c>
      <c r="E143" s="480">
        <v>0</v>
      </c>
      <c r="F143" s="480">
        <v>0</v>
      </c>
      <c r="G143" s="510">
        <f t="shared" si="347"/>
        <v>0</v>
      </c>
      <c r="H143" s="480">
        <v>0</v>
      </c>
      <c r="I143" s="480">
        <v>0</v>
      </c>
      <c r="J143" s="480">
        <v>0</v>
      </c>
      <c r="K143" s="480">
        <v>0</v>
      </c>
      <c r="L143" s="510">
        <f t="shared" si="348"/>
        <v>0</v>
      </c>
      <c r="M143" s="480">
        <v>0</v>
      </c>
      <c r="N143" s="480">
        <v>0</v>
      </c>
      <c r="O143" s="480">
        <v>0</v>
      </c>
      <c r="P143" s="480">
        <v>0</v>
      </c>
      <c r="Q143" s="510">
        <f t="shared" si="349"/>
        <v>0</v>
      </c>
      <c r="R143" s="480">
        <v>0</v>
      </c>
      <c r="S143" s="480">
        <v>0</v>
      </c>
      <c r="T143" s="480">
        <v>0</v>
      </c>
      <c r="U143" s="480">
        <v>0</v>
      </c>
      <c r="V143" s="510">
        <f t="shared" si="350"/>
        <v>0</v>
      </c>
      <c r="W143" s="480">
        <v>0</v>
      </c>
      <c r="X143" s="480">
        <v>0</v>
      </c>
      <c r="Y143" s="480">
        <v>0</v>
      </c>
      <c r="Z143" s="480">
        <v>0</v>
      </c>
      <c r="AA143" s="510">
        <f t="shared" si="351"/>
        <v>0</v>
      </c>
      <c r="AB143" s="480">
        <v>0</v>
      </c>
      <c r="AC143" s="480">
        <v>0</v>
      </c>
      <c r="AD143" s="480">
        <v>0</v>
      </c>
      <c r="AE143" s="482">
        <v>0</v>
      </c>
      <c r="AF143" s="481">
        <f t="shared" si="327"/>
        <v>0</v>
      </c>
      <c r="AG143" s="482">
        <v>0</v>
      </c>
      <c r="AH143" s="602"/>
      <c r="AI143" s="602"/>
      <c r="AJ143" s="602"/>
      <c r="AK143" s="481">
        <f t="shared" si="355"/>
        <v>0</v>
      </c>
      <c r="AL143" s="482"/>
      <c r="AM143" s="482"/>
      <c r="AN143" s="482"/>
      <c r="AO143" s="482"/>
      <c r="AP143" s="483">
        <f t="shared" si="352"/>
        <v>0</v>
      </c>
      <c r="AQ143" s="483"/>
      <c r="AR143" s="430"/>
      <c r="AS143" s="430"/>
      <c r="AT143" s="430"/>
      <c r="AU143" s="483">
        <f t="shared" si="353"/>
        <v>0</v>
      </c>
      <c r="AV143" s="483"/>
      <c r="AW143" s="430"/>
      <c r="AX143" s="430"/>
      <c r="AY143" s="853"/>
      <c r="AZ143" s="481">
        <f t="shared" si="354"/>
        <v>0</v>
      </c>
      <c r="BA143" s="430"/>
      <c r="BB143" s="430"/>
      <c r="BC143" s="430"/>
      <c r="BD143" s="430"/>
      <c r="BE143" s="481">
        <f t="shared" si="328"/>
        <v>0</v>
      </c>
      <c r="BF143" s="430"/>
      <c r="BG143" s="430"/>
      <c r="BH143" s="430"/>
      <c r="BI143" s="430"/>
      <c r="BJ143" s="481">
        <f t="shared" si="329"/>
        <v>0</v>
      </c>
      <c r="BK143" s="430"/>
      <c r="BL143" s="430"/>
      <c r="BM143" s="430"/>
      <c r="BN143" s="430"/>
      <c r="BO143" s="481"/>
      <c r="BP143" s="430"/>
      <c r="BQ143" s="430"/>
      <c r="BR143" s="430"/>
      <c r="BS143" s="430"/>
      <c r="BT143" s="2587"/>
      <c r="BU143" s="3397"/>
      <c r="BV143" s="2840"/>
      <c r="BW143" s="2840"/>
      <c r="BX143" s="2840"/>
      <c r="BY143" s="484"/>
      <c r="BZ143" s="484"/>
      <c r="CA143" s="484"/>
      <c r="CB143" s="484">
        <v>0</v>
      </c>
      <c r="CC143" s="484">
        <v>0</v>
      </c>
      <c r="CD143" s="484">
        <v>0</v>
      </c>
      <c r="CE143" s="484">
        <v>0</v>
      </c>
      <c r="CF143" s="484">
        <v>0</v>
      </c>
      <c r="CG143" s="454"/>
      <c r="CH143" s="454"/>
      <c r="CI143" s="454"/>
      <c r="CJ143" s="454"/>
      <c r="CK143" s="454"/>
      <c r="CL143" s="2025" t="str">
        <f t="shared" si="326"/>
        <v>Hollywood Baton Rouge (LA)</v>
      </c>
      <c r="CM143" s="430">
        <f t="shared" si="330"/>
        <v>0</v>
      </c>
      <c r="CN143" s="430">
        <f t="shared" si="331"/>
        <v>0</v>
      </c>
      <c r="CO143" s="430">
        <f t="shared" si="332"/>
        <v>0</v>
      </c>
      <c r="CP143" s="430">
        <f t="shared" si="333"/>
        <v>0</v>
      </c>
      <c r="CQ143" s="430">
        <f t="shared" si="334"/>
        <v>0</v>
      </c>
      <c r="CR143" s="430">
        <f t="shared" si="335"/>
        <v>0</v>
      </c>
      <c r="CS143" s="430">
        <f t="shared" si="336"/>
        <v>0</v>
      </c>
      <c r="CT143" s="430">
        <f t="shared" si="337"/>
        <v>0</v>
      </c>
      <c r="CU143" s="430">
        <f t="shared" si="338"/>
        <v>0</v>
      </c>
      <c r="CV143" s="430">
        <f t="shared" si="339"/>
        <v>0</v>
      </c>
      <c r="CW143" s="430">
        <f t="shared" si="340"/>
        <v>0</v>
      </c>
      <c r="CX143" s="430">
        <f t="shared" si="341"/>
        <v>0</v>
      </c>
      <c r="CY143" s="430">
        <f t="shared" si="342"/>
        <v>0</v>
      </c>
      <c r="CZ143" s="430">
        <f t="shared" si="343"/>
        <v>0</v>
      </c>
      <c r="DA143" s="430">
        <f t="shared" si="344"/>
        <v>0</v>
      </c>
      <c r="DB143" s="430">
        <f t="shared" si="345"/>
        <v>0</v>
      </c>
      <c r="DC143" s="853">
        <f t="shared" si="346"/>
        <v>0</v>
      </c>
      <c r="DD143" s="454"/>
      <c r="DE143" s="454"/>
      <c r="DF143" s="463"/>
      <c r="DG143" s="463"/>
      <c r="DH143" s="2840"/>
      <c r="DI143" s="3213"/>
      <c r="DJ143" s="463"/>
      <c r="DK143" s="463"/>
      <c r="DL143" s="463"/>
      <c r="DM143" s="463"/>
      <c r="DN143" s="463"/>
      <c r="DO143" s="463"/>
      <c r="DP143" s="463"/>
      <c r="DQ143" s="463"/>
      <c r="DR143" s="608"/>
      <c r="DS143" s="608"/>
      <c r="DT143" s="608"/>
    </row>
    <row r="144" spans="1:124" ht="12" customHeight="1" x14ac:dyDescent="0.25">
      <c r="A144" s="1167" t="s">
        <v>1020</v>
      </c>
      <c r="B144" s="509"/>
      <c r="C144" s="480">
        <v>0</v>
      </c>
      <c r="D144" s="480">
        <v>0</v>
      </c>
      <c r="E144" s="480">
        <v>0</v>
      </c>
      <c r="F144" s="480">
        <v>0</v>
      </c>
      <c r="G144" s="510">
        <f t="shared" si="347"/>
        <v>0</v>
      </c>
      <c r="H144" s="480">
        <v>0</v>
      </c>
      <c r="I144" s="480">
        <v>0</v>
      </c>
      <c r="J144" s="480">
        <v>0</v>
      </c>
      <c r="K144" s="480">
        <v>0</v>
      </c>
      <c r="L144" s="510">
        <f t="shared" si="348"/>
        <v>0</v>
      </c>
      <c r="M144" s="480">
        <v>0</v>
      </c>
      <c r="N144" s="480">
        <v>0</v>
      </c>
      <c r="O144" s="480">
        <v>0</v>
      </c>
      <c r="P144" s="480">
        <v>0</v>
      </c>
      <c r="Q144" s="510">
        <f t="shared" si="349"/>
        <v>0</v>
      </c>
      <c r="R144" s="480">
        <v>0</v>
      </c>
      <c r="S144" s="480">
        <v>0</v>
      </c>
      <c r="T144" s="480">
        <v>0</v>
      </c>
      <c r="U144" s="480">
        <v>0</v>
      </c>
      <c r="V144" s="510">
        <f t="shared" si="350"/>
        <v>0</v>
      </c>
      <c r="W144" s="480">
        <v>0</v>
      </c>
      <c r="X144" s="480">
        <v>0</v>
      </c>
      <c r="Y144" s="480">
        <v>0</v>
      </c>
      <c r="Z144" s="480">
        <v>0</v>
      </c>
      <c r="AA144" s="510">
        <f t="shared" si="351"/>
        <v>0</v>
      </c>
      <c r="AB144" s="480">
        <v>0</v>
      </c>
      <c r="AC144" s="480">
        <v>0</v>
      </c>
      <c r="AD144" s="480">
        <v>0</v>
      </c>
      <c r="AE144" s="482">
        <v>0</v>
      </c>
      <c r="AF144" s="481">
        <f t="shared" si="327"/>
        <v>0</v>
      </c>
      <c r="AG144" s="482">
        <v>0</v>
      </c>
      <c r="AH144" s="602"/>
      <c r="AI144" s="602"/>
      <c r="AJ144" s="602"/>
      <c r="AK144" s="481">
        <f t="shared" si="355"/>
        <v>0</v>
      </c>
      <c r="AL144" s="482"/>
      <c r="AM144" s="482"/>
      <c r="AN144" s="482"/>
      <c r="AO144" s="482"/>
      <c r="AP144" s="483">
        <f t="shared" si="352"/>
        <v>0</v>
      </c>
      <c r="AQ144" s="483"/>
      <c r="AR144" s="430"/>
      <c r="AS144" s="430"/>
      <c r="AT144" s="430"/>
      <c r="AU144" s="483">
        <f t="shared" si="353"/>
        <v>0</v>
      </c>
      <c r="AV144" s="483"/>
      <c r="AW144" s="430"/>
      <c r="AX144" s="430"/>
      <c r="AY144" s="853"/>
      <c r="AZ144" s="481">
        <f t="shared" si="354"/>
        <v>0</v>
      </c>
      <c r="BA144" s="430"/>
      <c r="BB144" s="430"/>
      <c r="BC144" s="430"/>
      <c r="BD144" s="430"/>
      <c r="BE144" s="481">
        <f t="shared" si="328"/>
        <v>0</v>
      </c>
      <c r="BF144" s="430"/>
      <c r="BG144" s="430"/>
      <c r="BH144" s="430"/>
      <c r="BI144" s="430"/>
      <c r="BJ144" s="481">
        <f t="shared" si="329"/>
        <v>0</v>
      </c>
      <c r="BK144" s="430"/>
      <c r="BL144" s="430"/>
      <c r="BM144" s="430"/>
      <c r="BN144" s="430"/>
      <c r="BO144" s="481"/>
      <c r="BP144" s="430"/>
      <c r="BQ144" s="430"/>
      <c r="BR144" s="430"/>
      <c r="BS144" s="430"/>
      <c r="BT144" s="2587"/>
      <c r="BU144" s="3397"/>
      <c r="BV144" s="2840"/>
      <c r="BW144" s="2840"/>
      <c r="BX144" s="2840"/>
      <c r="BY144" s="484"/>
      <c r="BZ144" s="484"/>
      <c r="CA144" s="484"/>
      <c r="CB144" s="484">
        <v>0</v>
      </c>
      <c r="CC144" s="484">
        <v>0</v>
      </c>
      <c r="CD144" s="484">
        <v>0</v>
      </c>
      <c r="CE144" s="484">
        <v>0</v>
      </c>
      <c r="CF144" s="484">
        <v>0</v>
      </c>
      <c r="CG144" s="454"/>
      <c r="CH144" s="454"/>
      <c r="CI144" s="454"/>
      <c r="CJ144" s="454"/>
      <c r="CK144" s="454"/>
      <c r="CL144" s="2025" t="str">
        <f t="shared" si="326"/>
        <v>Argosy Alton (IL)</v>
      </c>
      <c r="CM144" s="430">
        <f t="shared" si="330"/>
        <v>0</v>
      </c>
      <c r="CN144" s="430">
        <f t="shared" si="331"/>
        <v>0</v>
      </c>
      <c r="CO144" s="430">
        <f t="shared" si="332"/>
        <v>0</v>
      </c>
      <c r="CP144" s="430">
        <f t="shared" si="333"/>
        <v>0</v>
      </c>
      <c r="CQ144" s="430">
        <f t="shared" si="334"/>
        <v>0</v>
      </c>
      <c r="CR144" s="430">
        <f t="shared" si="335"/>
        <v>0</v>
      </c>
      <c r="CS144" s="430">
        <f t="shared" si="336"/>
        <v>0</v>
      </c>
      <c r="CT144" s="430">
        <f t="shared" si="337"/>
        <v>0</v>
      </c>
      <c r="CU144" s="430">
        <f t="shared" si="338"/>
        <v>0</v>
      </c>
      <c r="CV144" s="430">
        <f t="shared" si="339"/>
        <v>0</v>
      </c>
      <c r="CW144" s="430">
        <f t="shared" si="340"/>
        <v>0</v>
      </c>
      <c r="CX144" s="430">
        <f t="shared" si="341"/>
        <v>0</v>
      </c>
      <c r="CY144" s="430">
        <f t="shared" si="342"/>
        <v>0</v>
      </c>
      <c r="CZ144" s="430">
        <f t="shared" si="343"/>
        <v>0</v>
      </c>
      <c r="DA144" s="430">
        <f t="shared" si="344"/>
        <v>0</v>
      </c>
      <c r="DB144" s="430">
        <f t="shared" si="345"/>
        <v>0</v>
      </c>
      <c r="DC144" s="853">
        <f t="shared" si="346"/>
        <v>0</v>
      </c>
      <c r="DD144" s="454"/>
      <c r="DE144" s="454"/>
      <c r="DF144" s="463"/>
      <c r="DG144" s="463"/>
      <c r="DH144" s="2840"/>
      <c r="DI144" s="3213"/>
      <c r="DJ144" s="463"/>
      <c r="DK144" s="463"/>
      <c r="DL144" s="463"/>
      <c r="DM144" s="463"/>
      <c r="DN144" s="463"/>
      <c r="DO144" s="463"/>
      <c r="DP144" s="463"/>
      <c r="DQ144" s="463"/>
      <c r="DR144" s="608"/>
      <c r="DS144" s="608"/>
      <c r="DT144" s="608"/>
    </row>
    <row r="145" spans="1:130" ht="12" customHeight="1" x14ac:dyDescent="0.25">
      <c r="A145" s="1167" t="s">
        <v>616</v>
      </c>
      <c r="B145" s="509"/>
      <c r="C145" s="480">
        <v>0</v>
      </c>
      <c r="D145" s="480">
        <v>0</v>
      </c>
      <c r="E145" s="480">
        <v>0</v>
      </c>
      <c r="F145" s="480">
        <v>0</v>
      </c>
      <c r="G145" s="510">
        <f t="shared" si="347"/>
        <v>0</v>
      </c>
      <c r="H145" s="480">
        <v>0</v>
      </c>
      <c r="I145" s="480">
        <v>0</v>
      </c>
      <c r="J145" s="480">
        <v>0</v>
      </c>
      <c r="K145" s="480">
        <v>0</v>
      </c>
      <c r="L145" s="510">
        <f t="shared" si="348"/>
        <v>0</v>
      </c>
      <c r="M145" s="480">
        <v>0</v>
      </c>
      <c r="N145" s="480">
        <v>0</v>
      </c>
      <c r="O145" s="480">
        <v>0</v>
      </c>
      <c r="P145" s="480">
        <v>0</v>
      </c>
      <c r="Q145" s="510">
        <f t="shared" si="349"/>
        <v>0</v>
      </c>
      <c r="R145" s="480">
        <v>0</v>
      </c>
      <c r="S145" s="480">
        <v>0</v>
      </c>
      <c r="T145" s="480">
        <v>0</v>
      </c>
      <c r="U145" s="480">
        <v>0</v>
      </c>
      <c r="V145" s="510">
        <f t="shared" si="350"/>
        <v>0</v>
      </c>
      <c r="W145" s="480">
        <v>0</v>
      </c>
      <c r="X145" s="480">
        <v>0</v>
      </c>
      <c r="Y145" s="480">
        <v>0</v>
      </c>
      <c r="Z145" s="480">
        <v>0</v>
      </c>
      <c r="AA145" s="510">
        <f t="shared" si="351"/>
        <v>0</v>
      </c>
      <c r="AB145" s="480">
        <v>0</v>
      </c>
      <c r="AC145" s="480">
        <v>0</v>
      </c>
      <c r="AD145" s="480">
        <v>0</v>
      </c>
      <c r="AE145" s="482">
        <v>0</v>
      </c>
      <c r="AF145" s="481">
        <f t="shared" si="327"/>
        <v>0</v>
      </c>
      <c r="AG145" s="482">
        <v>0</v>
      </c>
      <c r="AH145" s="602"/>
      <c r="AI145" s="602"/>
      <c r="AJ145" s="602"/>
      <c r="AK145" s="481">
        <f t="shared" si="355"/>
        <v>0</v>
      </c>
      <c r="AL145" s="482"/>
      <c r="AM145" s="482"/>
      <c r="AN145" s="482"/>
      <c r="AO145" s="482"/>
      <c r="AP145" s="483">
        <f t="shared" si="352"/>
        <v>0</v>
      </c>
      <c r="AQ145" s="483"/>
      <c r="AR145" s="430"/>
      <c r="AS145" s="430"/>
      <c r="AT145" s="430"/>
      <c r="AU145" s="483">
        <f t="shared" si="353"/>
        <v>0</v>
      </c>
      <c r="AV145" s="483"/>
      <c r="AW145" s="430"/>
      <c r="AX145" s="430"/>
      <c r="AY145" s="853"/>
      <c r="AZ145" s="481">
        <f t="shared" si="354"/>
        <v>0</v>
      </c>
      <c r="BA145" s="430"/>
      <c r="BB145" s="430"/>
      <c r="BC145" s="430"/>
      <c r="BD145" s="430"/>
      <c r="BE145" s="481">
        <f t="shared" si="328"/>
        <v>0</v>
      </c>
      <c r="BF145" s="430"/>
      <c r="BG145" s="430"/>
      <c r="BH145" s="430"/>
      <c r="BI145" s="430"/>
      <c r="BJ145" s="481">
        <f t="shared" si="329"/>
        <v>0</v>
      </c>
      <c r="BK145" s="430"/>
      <c r="BL145" s="430"/>
      <c r="BM145" s="430"/>
      <c r="BN145" s="430"/>
      <c r="BO145" s="481"/>
      <c r="BP145" s="430"/>
      <c r="BQ145" s="430"/>
      <c r="BR145" s="430"/>
      <c r="BS145" s="430"/>
      <c r="BT145" s="2587"/>
      <c r="BU145" s="3397"/>
      <c r="BV145" s="2840"/>
      <c r="BW145" s="2840"/>
      <c r="BX145" s="2840"/>
      <c r="BY145" s="484"/>
      <c r="BZ145" s="484"/>
      <c r="CA145" s="484"/>
      <c r="CB145" s="484">
        <v>0</v>
      </c>
      <c r="CC145" s="484">
        <v>0</v>
      </c>
      <c r="CD145" s="484">
        <v>0</v>
      </c>
      <c r="CE145" s="484">
        <v>0</v>
      </c>
      <c r="CF145" s="484">
        <v>0</v>
      </c>
      <c r="CG145" s="454"/>
      <c r="CH145" s="454"/>
      <c r="CI145" s="454"/>
      <c r="CJ145" s="454"/>
      <c r="CK145" s="454"/>
      <c r="CL145" s="2025" t="str">
        <f t="shared" si="326"/>
        <v>Hollywood Tunica (MS)</v>
      </c>
      <c r="CM145" s="430">
        <f t="shared" si="330"/>
        <v>0</v>
      </c>
      <c r="CN145" s="430">
        <f t="shared" si="331"/>
        <v>0</v>
      </c>
      <c r="CO145" s="430">
        <f t="shared" si="332"/>
        <v>0</v>
      </c>
      <c r="CP145" s="430">
        <f t="shared" si="333"/>
        <v>0</v>
      </c>
      <c r="CQ145" s="430">
        <f t="shared" si="334"/>
        <v>0</v>
      </c>
      <c r="CR145" s="430">
        <f t="shared" si="335"/>
        <v>0</v>
      </c>
      <c r="CS145" s="430">
        <f t="shared" si="336"/>
        <v>0</v>
      </c>
      <c r="CT145" s="430">
        <f t="shared" si="337"/>
        <v>0</v>
      </c>
      <c r="CU145" s="430">
        <f t="shared" si="338"/>
        <v>0</v>
      </c>
      <c r="CV145" s="430">
        <f t="shared" si="339"/>
        <v>0</v>
      </c>
      <c r="CW145" s="430">
        <f t="shared" si="340"/>
        <v>0</v>
      </c>
      <c r="CX145" s="430">
        <f t="shared" si="341"/>
        <v>0</v>
      </c>
      <c r="CY145" s="430">
        <f t="shared" si="342"/>
        <v>0</v>
      </c>
      <c r="CZ145" s="430">
        <f t="shared" si="343"/>
        <v>0</v>
      </c>
      <c r="DA145" s="430">
        <f t="shared" si="344"/>
        <v>0</v>
      </c>
      <c r="DB145" s="430">
        <f t="shared" si="345"/>
        <v>0</v>
      </c>
      <c r="DC145" s="853">
        <f t="shared" si="346"/>
        <v>0</v>
      </c>
      <c r="DD145" s="454"/>
      <c r="DE145" s="454"/>
      <c r="DF145" s="463"/>
      <c r="DG145" s="463"/>
      <c r="DH145" s="2840"/>
      <c r="DI145" s="3213"/>
      <c r="DJ145" s="463"/>
      <c r="DK145" s="463"/>
      <c r="DL145" s="463"/>
      <c r="DM145" s="463"/>
      <c r="DN145" s="463"/>
      <c r="DO145" s="463"/>
      <c r="DP145" s="463"/>
      <c r="DQ145" s="463"/>
      <c r="DR145" s="608"/>
      <c r="DS145" s="608"/>
      <c r="DT145" s="608"/>
    </row>
    <row r="146" spans="1:130" ht="12" customHeight="1" x14ac:dyDescent="0.25">
      <c r="A146" s="1167" t="s">
        <v>615</v>
      </c>
      <c r="B146" s="509"/>
      <c r="C146" s="480">
        <v>0</v>
      </c>
      <c r="D146" s="480">
        <v>0</v>
      </c>
      <c r="E146" s="480">
        <v>0</v>
      </c>
      <c r="F146" s="480">
        <v>0</v>
      </c>
      <c r="G146" s="510">
        <f t="shared" si="347"/>
        <v>0</v>
      </c>
      <c r="H146" s="480">
        <v>0</v>
      </c>
      <c r="I146" s="480">
        <v>0</v>
      </c>
      <c r="J146" s="480">
        <v>0</v>
      </c>
      <c r="K146" s="480">
        <v>0</v>
      </c>
      <c r="L146" s="510">
        <f t="shared" si="348"/>
        <v>0</v>
      </c>
      <c r="M146" s="480">
        <v>0</v>
      </c>
      <c r="N146" s="480">
        <v>0</v>
      </c>
      <c r="O146" s="480">
        <v>0</v>
      </c>
      <c r="P146" s="480">
        <v>0</v>
      </c>
      <c r="Q146" s="510">
        <f t="shared" si="349"/>
        <v>0</v>
      </c>
      <c r="R146" s="480">
        <v>0</v>
      </c>
      <c r="S146" s="480">
        <v>0</v>
      </c>
      <c r="T146" s="480">
        <v>0</v>
      </c>
      <c r="U146" s="480">
        <v>0</v>
      </c>
      <c r="V146" s="510">
        <f t="shared" si="350"/>
        <v>0</v>
      </c>
      <c r="W146" s="480">
        <v>0</v>
      </c>
      <c r="X146" s="480">
        <v>0</v>
      </c>
      <c r="Y146" s="480">
        <v>0</v>
      </c>
      <c r="Z146" s="480">
        <v>0</v>
      </c>
      <c r="AA146" s="510">
        <f t="shared" si="351"/>
        <v>0</v>
      </c>
      <c r="AB146" s="480">
        <v>0</v>
      </c>
      <c r="AC146" s="480">
        <v>0</v>
      </c>
      <c r="AD146" s="480">
        <v>0</v>
      </c>
      <c r="AE146" s="482">
        <v>0</v>
      </c>
      <c r="AF146" s="481">
        <f t="shared" si="327"/>
        <v>0</v>
      </c>
      <c r="AG146" s="482">
        <v>0</v>
      </c>
      <c r="AH146" s="602"/>
      <c r="AI146" s="602"/>
      <c r="AJ146" s="602"/>
      <c r="AK146" s="481">
        <f t="shared" si="355"/>
        <v>0</v>
      </c>
      <c r="AL146" s="482"/>
      <c r="AM146" s="482"/>
      <c r="AN146" s="482"/>
      <c r="AO146" s="482"/>
      <c r="AP146" s="483">
        <f t="shared" si="352"/>
        <v>0</v>
      </c>
      <c r="AQ146" s="483"/>
      <c r="AR146" s="430"/>
      <c r="AS146" s="430"/>
      <c r="AT146" s="430"/>
      <c r="AU146" s="483">
        <f t="shared" si="353"/>
        <v>0</v>
      </c>
      <c r="AV146" s="483"/>
      <c r="AW146" s="430"/>
      <c r="AX146" s="430"/>
      <c r="AY146" s="853"/>
      <c r="AZ146" s="481">
        <f t="shared" si="354"/>
        <v>0</v>
      </c>
      <c r="BA146" s="430"/>
      <c r="BB146" s="430"/>
      <c r="BC146" s="430"/>
      <c r="BD146" s="430"/>
      <c r="BE146" s="481">
        <f t="shared" si="328"/>
        <v>0</v>
      </c>
      <c r="BF146" s="430"/>
      <c r="BG146" s="430"/>
      <c r="BH146" s="430"/>
      <c r="BI146" s="430"/>
      <c r="BJ146" s="481">
        <f t="shared" si="329"/>
        <v>0</v>
      </c>
      <c r="BK146" s="430"/>
      <c r="BL146" s="430"/>
      <c r="BM146" s="430"/>
      <c r="BN146" s="430"/>
      <c r="BO146" s="481"/>
      <c r="BP146" s="430"/>
      <c r="BQ146" s="430"/>
      <c r="BR146" s="430"/>
      <c r="BS146" s="430"/>
      <c r="BT146" s="2587"/>
      <c r="BU146" s="3397"/>
      <c r="BV146" s="2840"/>
      <c r="BW146" s="2840"/>
      <c r="BX146" s="2840"/>
      <c r="BY146" s="484"/>
      <c r="BZ146" s="484"/>
      <c r="CA146" s="484"/>
      <c r="CB146" s="484">
        <v>0</v>
      </c>
      <c r="CC146" s="484">
        <v>0</v>
      </c>
      <c r="CD146" s="484">
        <v>0</v>
      </c>
      <c r="CE146" s="484">
        <v>0</v>
      </c>
      <c r="CF146" s="484">
        <v>0</v>
      </c>
      <c r="CG146" s="454"/>
      <c r="CH146" s="454"/>
      <c r="CI146" s="454"/>
      <c r="CJ146" s="454"/>
      <c r="CK146" s="454"/>
      <c r="CL146" s="2025" t="str">
        <f t="shared" si="326"/>
        <v>Hollywood Bay St. Louis (MS)</v>
      </c>
      <c r="CM146" s="430">
        <f t="shared" si="330"/>
        <v>0</v>
      </c>
      <c r="CN146" s="430">
        <f t="shared" si="331"/>
        <v>0</v>
      </c>
      <c r="CO146" s="430">
        <f t="shared" si="332"/>
        <v>0</v>
      </c>
      <c r="CP146" s="430">
        <f t="shared" si="333"/>
        <v>0</v>
      </c>
      <c r="CQ146" s="430">
        <f t="shared" si="334"/>
        <v>0</v>
      </c>
      <c r="CR146" s="430">
        <f t="shared" si="335"/>
        <v>0</v>
      </c>
      <c r="CS146" s="430">
        <f t="shared" si="336"/>
        <v>0</v>
      </c>
      <c r="CT146" s="430">
        <f t="shared" si="337"/>
        <v>0</v>
      </c>
      <c r="CU146" s="430">
        <f t="shared" si="338"/>
        <v>0</v>
      </c>
      <c r="CV146" s="430">
        <f t="shared" si="339"/>
        <v>0</v>
      </c>
      <c r="CW146" s="430">
        <f t="shared" si="340"/>
        <v>0</v>
      </c>
      <c r="CX146" s="430">
        <f t="shared" si="341"/>
        <v>0</v>
      </c>
      <c r="CY146" s="430">
        <f t="shared" si="342"/>
        <v>0</v>
      </c>
      <c r="CZ146" s="430">
        <f t="shared" si="343"/>
        <v>0</v>
      </c>
      <c r="DA146" s="430">
        <f t="shared" si="344"/>
        <v>0</v>
      </c>
      <c r="DB146" s="430">
        <f t="shared" si="345"/>
        <v>0</v>
      </c>
      <c r="DC146" s="853">
        <f t="shared" si="346"/>
        <v>0</v>
      </c>
      <c r="DD146" s="454"/>
      <c r="DE146" s="454"/>
      <c r="DF146" s="463"/>
      <c r="DG146" s="463"/>
      <c r="DH146" s="2840"/>
      <c r="DI146" s="3213"/>
      <c r="DJ146" s="463"/>
      <c r="DK146" s="463"/>
      <c r="DL146" s="463"/>
      <c r="DM146" s="463"/>
      <c r="DN146" s="463"/>
      <c r="DO146" s="463"/>
      <c r="DP146" s="463"/>
      <c r="DQ146" s="463"/>
      <c r="DR146" s="608"/>
      <c r="DS146" s="608"/>
      <c r="DT146" s="608"/>
    </row>
    <row r="147" spans="1:130" ht="12" customHeight="1" x14ac:dyDescent="0.25">
      <c r="A147" s="1167" t="s">
        <v>1019</v>
      </c>
      <c r="B147" s="509"/>
      <c r="C147" s="480">
        <v>0</v>
      </c>
      <c r="D147" s="480">
        <v>0</v>
      </c>
      <c r="E147" s="480">
        <v>0</v>
      </c>
      <c r="F147" s="480">
        <v>0</v>
      </c>
      <c r="G147" s="510">
        <f t="shared" si="347"/>
        <v>0</v>
      </c>
      <c r="H147" s="480">
        <v>0</v>
      </c>
      <c r="I147" s="480">
        <v>0</v>
      </c>
      <c r="J147" s="480">
        <v>0</v>
      </c>
      <c r="K147" s="480">
        <v>0</v>
      </c>
      <c r="L147" s="510">
        <f t="shared" si="348"/>
        <v>0</v>
      </c>
      <c r="M147" s="480">
        <v>0</v>
      </c>
      <c r="N147" s="480">
        <v>0</v>
      </c>
      <c r="O147" s="480">
        <v>0</v>
      </c>
      <c r="P147" s="480">
        <v>0</v>
      </c>
      <c r="Q147" s="510">
        <f t="shared" si="349"/>
        <v>0</v>
      </c>
      <c r="R147" s="480">
        <v>0</v>
      </c>
      <c r="S147" s="480">
        <v>0</v>
      </c>
      <c r="T147" s="480">
        <v>0</v>
      </c>
      <c r="U147" s="480">
        <v>0</v>
      </c>
      <c r="V147" s="510">
        <f t="shared" si="350"/>
        <v>0</v>
      </c>
      <c r="W147" s="480">
        <v>0</v>
      </c>
      <c r="X147" s="480">
        <v>0</v>
      </c>
      <c r="Y147" s="480">
        <v>0</v>
      </c>
      <c r="Z147" s="480">
        <v>0</v>
      </c>
      <c r="AA147" s="510">
        <f t="shared" si="351"/>
        <v>0</v>
      </c>
      <c r="AB147" s="480">
        <v>0</v>
      </c>
      <c r="AC147" s="480">
        <v>0</v>
      </c>
      <c r="AD147" s="480">
        <v>0</v>
      </c>
      <c r="AE147" s="482">
        <v>0</v>
      </c>
      <c r="AF147" s="481">
        <f t="shared" si="327"/>
        <v>0</v>
      </c>
      <c r="AG147" s="482">
        <v>0</v>
      </c>
      <c r="AH147" s="602"/>
      <c r="AI147" s="602"/>
      <c r="AJ147" s="602"/>
      <c r="AK147" s="481">
        <f t="shared" si="355"/>
        <v>0</v>
      </c>
      <c r="AL147" s="482"/>
      <c r="AM147" s="482"/>
      <c r="AN147" s="482"/>
      <c r="AO147" s="482"/>
      <c r="AP147" s="483">
        <f t="shared" si="352"/>
        <v>0</v>
      </c>
      <c r="AQ147" s="483"/>
      <c r="AR147" s="430"/>
      <c r="AS147" s="430"/>
      <c r="AT147" s="430"/>
      <c r="AU147" s="483">
        <f t="shared" si="353"/>
        <v>0</v>
      </c>
      <c r="AV147" s="483"/>
      <c r="AW147" s="430"/>
      <c r="AX147" s="430"/>
      <c r="AY147" s="853"/>
      <c r="AZ147" s="481">
        <f t="shared" si="354"/>
        <v>0</v>
      </c>
      <c r="BA147" s="430"/>
      <c r="BB147" s="430"/>
      <c r="BC147" s="430"/>
      <c r="BD147" s="430"/>
      <c r="BE147" s="481">
        <f t="shared" si="328"/>
        <v>0</v>
      </c>
      <c r="BF147" s="430"/>
      <c r="BG147" s="430"/>
      <c r="BH147" s="430"/>
      <c r="BI147" s="430"/>
      <c r="BJ147" s="481">
        <f t="shared" si="329"/>
        <v>0</v>
      </c>
      <c r="BK147" s="430"/>
      <c r="BL147" s="430"/>
      <c r="BM147" s="430"/>
      <c r="BN147" s="430"/>
      <c r="BO147" s="481"/>
      <c r="BP147" s="430"/>
      <c r="BQ147" s="430"/>
      <c r="BR147" s="430"/>
      <c r="BS147" s="430"/>
      <c r="BT147" s="2587"/>
      <c r="BU147" s="3397"/>
      <c r="BV147" s="2840"/>
      <c r="BW147" s="2840"/>
      <c r="BX147" s="2840"/>
      <c r="BY147" s="484"/>
      <c r="BZ147" s="484"/>
      <c r="CA147" s="484"/>
      <c r="CB147" s="484">
        <v>0</v>
      </c>
      <c r="CC147" s="484">
        <v>0</v>
      </c>
      <c r="CD147" s="484">
        <v>0</v>
      </c>
      <c r="CE147" s="484">
        <v>0</v>
      </c>
      <c r="CF147" s="484">
        <v>0</v>
      </c>
      <c r="CG147" s="454"/>
      <c r="CH147" s="454"/>
      <c r="CI147" s="454"/>
      <c r="CJ147" s="454"/>
      <c r="CK147" s="454"/>
      <c r="CL147" s="2025" t="str">
        <f t="shared" si="326"/>
        <v>Argosy Sioux City (IA)</v>
      </c>
      <c r="CM147" s="430">
        <f t="shared" si="330"/>
        <v>0</v>
      </c>
      <c r="CN147" s="430">
        <f t="shared" si="331"/>
        <v>0</v>
      </c>
      <c r="CO147" s="430">
        <f t="shared" si="332"/>
        <v>0</v>
      </c>
      <c r="CP147" s="430">
        <f t="shared" si="333"/>
        <v>0</v>
      </c>
      <c r="CQ147" s="430">
        <f t="shared" si="334"/>
        <v>0</v>
      </c>
      <c r="CR147" s="430">
        <f t="shared" si="335"/>
        <v>0</v>
      </c>
      <c r="CS147" s="430">
        <f t="shared" si="336"/>
        <v>0</v>
      </c>
      <c r="CT147" s="430">
        <f t="shared" si="337"/>
        <v>0</v>
      </c>
      <c r="CU147" s="430">
        <f t="shared" si="338"/>
        <v>0</v>
      </c>
      <c r="CV147" s="430">
        <f t="shared" si="339"/>
        <v>0</v>
      </c>
      <c r="CW147" s="430">
        <f t="shared" si="340"/>
        <v>0</v>
      </c>
      <c r="CX147" s="430">
        <f t="shared" si="341"/>
        <v>0</v>
      </c>
      <c r="CY147" s="430">
        <f t="shared" si="342"/>
        <v>0</v>
      </c>
      <c r="CZ147" s="430">
        <f t="shared" si="343"/>
        <v>0</v>
      </c>
      <c r="DA147" s="430">
        <f t="shared" si="344"/>
        <v>0</v>
      </c>
      <c r="DB147" s="430">
        <f t="shared" si="345"/>
        <v>0</v>
      </c>
      <c r="DC147" s="853">
        <f t="shared" si="346"/>
        <v>0</v>
      </c>
      <c r="DD147" s="454"/>
      <c r="DE147" s="454"/>
      <c r="DF147" s="463"/>
      <c r="DG147" s="463"/>
      <c r="DH147" s="2840"/>
      <c r="DI147" s="3213"/>
      <c r="DJ147" s="463"/>
      <c r="DK147" s="463"/>
      <c r="DL147" s="463"/>
      <c r="DM147" s="463"/>
      <c r="DN147" s="463"/>
      <c r="DO147" s="463"/>
      <c r="DP147" s="463"/>
      <c r="DQ147" s="463"/>
      <c r="DR147" s="608"/>
      <c r="DS147" s="608"/>
      <c r="DT147" s="608"/>
    </row>
    <row r="148" spans="1:130" ht="12" customHeight="1" x14ac:dyDescent="0.25">
      <c r="A148" s="1167" t="s">
        <v>1453</v>
      </c>
      <c r="B148" s="509"/>
      <c r="C148" s="480">
        <v>3.4809999999999999</v>
      </c>
      <c r="D148" s="480">
        <f>3.481-C148</f>
        <v>0</v>
      </c>
      <c r="E148" s="480">
        <f>3.595-D148-C148</f>
        <v>0.11400000000000032</v>
      </c>
      <c r="F148" s="480">
        <f>4.625-E148-D148-C148</f>
        <v>1.0299999999999994</v>
      </c>
      <c r="G148" s="510">
        <f t="shared" si="347"/>
        <v>4.625</v>
      </c>
      <c r="H148" s="480">
        <v>0.36499999999999999</v>
      </c>
      <c r="I148" s="480">
        <f>3.678-H148</f>
        <v>3.3129999999999997</v>
      </c>
      <c r="J148" s="480">
        <f>2.983-I148-H148</f>
        <v>-0.69499999999999962</v>
      </c>
      <c r="K148" s="480">
        <f>3.4-J148-I148-H148</f>
        <v>0.41700000000000004</v>
      </c>
      <c r="L148" s="510">
        <f t="shared" si="348"/>
        <v>3.4000000000000004</v>
      </c>
      <c r="M148" s="480">
        <v>6.2</v>
      </c>
      <c r="N148" s="480">
        <f>11.6-M148</f>
        <v>5.3999999999999995</v>
      </c>
      <c r="O148" s="480">
        <f>15.2-N148-M148</f>
        <v>3.6000000000000005</v>
      </c>
      <c r="P148" s="480">
        <f>15.3-O148-N148-M148</f>
        <v>9.9999999999999645E-2</v>
      </c>
      <c r="Q148" s="510">
        <f t="shared" si="349"/>
        <v>15.299999999999999</v>
      </c>
      <c r="R148" s="480">
        <v>0</v>
      </c>
      <c r="S148" s="480">
        <v>0</v>
      </c>
      <c r="T148" s="480">
        <v>0</v>
      </c>
      <c r="U148" s="480">
        <v>0</v>
      </c>
      <c r="V148" s="510">
        <f t="shared" si="350"/>
        <v>0</v>
      </c>
      <c r="W148" s="480">
        <v>0</v>
      </c>
      <c r="X148" s="480">
        <v>0</v>
      </c>
      <c r="Y148" s="480">
        <v>0</v>
      </c>
      <c r="Z148" s="480">
        <v>0</v>
      </c>
      <c r="AA148" s="510">
        <f t="shared" si="351"/>
        <v>0</v>
      </c>
      <c r="AB148" s="480">
        <v>0</v>
      </c>
      <c r="AC148" s="480">
        <v>0</v>
      </c>
      <c r="AD148" s="480">
        <v>0</v>
      </c>
      <c r="AE148" s="482">
        <v>0</v>
      </c>
      <c r="AF148" s="481">
        <f t="shared" si="327"/>
        <v>0</v>
      </c>
      <c r="AG148" s="482">
        <v>0</v>
      </c>
      <c r="AH148" s="602"/>
      <c r="AI148" s="602"/>
      <c r="AJ148" s="602"/>
      <c r="AK148" s="481">
        <f t="shared" si="355"/>
        <v>0</v>
      </c>
      <c r="AL148" s="482"/>
      <c r="AM148" s="482"/>
      <c r="AN148" s="482"/>
      <c r="AO148" s="482"/>
      <c r="AP148" s="483">
        <f t="shared" si="352"/>
        <v>0</v>
      </c>
      <c r="AQ148" s="483"/>
      <c r="AR148" s="430"/>
      <c r="AS148" s="430"/>
      <c r="AT148" s="430"/>
      <c r="AU148" s="483">
        <f t="shared" si="353"/>
        <v>0</v>
      </c>
      <c r="AV148" s="483"/>
      <c r="AW148" s="430"/>
      <c r="AX148" s="430"/>
      <c r="AY148" s="853"/>
      <c r="AZ148" s="481">
        <f t="shared" si="354"/>
        <v>0</v>
      </c>
      <c r="BA148" s="430"/>
      <c r="BB148" s="430"/>
      <c r="BC148" s="430"/>
      <c r="BD148" s="430"/>
      <c r="BE148" s="481">
        <f t="shared" si="328"/>
        <v>0</v>
      </c>
      <c r="BF148" s="430"/>
      <c r="BG148" s="430"/>
      <c r="BH148" s="430"/>
      <c r="BI148" s="430"/>
      <c r="BJ148" s="481">
        <f t="shared" si="329"/>
        <v>0</v>
      </c>
      <c r="BK148" s="430"/>
      <c r="BL148" s="430"/>
      <c r="BM148" s="430"/>
      <c r="BN148" s="430"/>
      <c r="BO148" s="481"/>
      <c r="BP148" s="430"/>
      <c r="BQ148" s="430"/>
      <c r="BR148" s="430"/>
      <c r="BS148" s="430"/>
      <c r="BT148" s="2587"/>
      <c r="BU148" s="3397"/>
      <c r="BV148" s="2840"/>
      <c r="BW148" s="2840"/>
      <c r="BX148" s="2840"/>
      <c r="BY148" s="484"/>
      <c r="BZ148" s="484"/>
      <c r="CA148" s="484"/>
      <c r="CB148" s="484">
        <v>0</v>
      </c>
      <c r="CC148" s="484">
        <v>0</v>
      </c>
      <c r="CD148" s="484">
        <v>0</v>
      </c>
      <c r="CE148" s="484">
        <v>0</v>
      </c>
      <c r="CF148" s="484">
        <v>0</v>
      </c>
      <c r="CG148" s="454"/>
      <c r="CH148" s="454"/>
      <c r="CI148" s="454"/>
      <c r="CJ148" s="454"/>
      <c r="CK148" s="454"/>
      <c r="CL148" s="2025" t="str">
        <f t="shared" si="326"/>
        <v>Boomtown Biloxi (MS)</v>
      </c>
      <c r="CM148" s="430">
        <f t="shared" si="330"/>
        <v>4.625</v>
      </c>
      <c r="CN148" s="430">
        <f t="shared" si="331"/>
        <v>3.4000000000000004</v>
      </c>
      <c r="CO148" s="430">
        <f t="shared" si="332"/>
        <v>15.299999999999999</v>
      </c>
      <c r="CP148" s="430">
        <f t="shared" si="333"/>
        <v>0</v>
      </c>
      <c r="CQ148" s="430">
        <f t="shared" si="334"/>
        <v>0</v>
      </c>
      <c r="CR148" s="430">
        <f t="shared" si="335"/>
        <v>0</v>
      </c>
      <c r="CS148" s="430">
        <f t="shared" si="336"/>
        <v>0</v>
      </c>
      <c r="CT148" s="430">
        <f t="shared" si="337"/>
        <v>0</v>
      </c>
      <c r="CU148" s="430">
        <f t="shared" si="338"/>
        <v>0</v>
      </c>
      <c r="CV148" s="430">
        <f t="shared" si="339"/>
        <v>0</v>
      </c>
      <c r="CW148" s="430">
        <f t="shared" si="340"/>
        <v>0</v>
      </c>
      <c r="CX148" s="430">
        <f t="shared" si="341"/>
        <v>0</v>
      </c>
      <c r="CY148" s="430">
        <f t="shared" si="342"/>
        <v>0</v>
      </c>
      <c r="CZ148" s="430">
        <f t="shared" si="343"/>
        <v>0</v>
      </c>
      <c r="DA148" s="430">
        <f t="shared" si="344"/>
        <v>0</v>
      </c>
      <c r="DB148" s="430">
        <f t="shared" si="345"/>
        <v>0</v>
      </c>
      <c r="DC148" s="853">
        <f t="shared" si="346"/>
        <v>0</v>
      </c>
      <c r="DD148" s="454"/>
      <c r="DE148" s="454"/>
      <c r="DF148" s="463"/>
      <c r="DG148" s="463"/>
      <c r="DH148" s="2840"/>
      <c r="DI148" s="3213"/>
      <c r="DJ148" s="463"/>
      <c r="DK148" s="463"/>
      <c r="DL148" s="463"/>
      <c r="DM148" s="463"/>
      <c r="DN148" s="463"/>
      <c r="DO148" s="463"/>
      <c r="DP148" s="463"/>
      <c r="DQ148" s="463"/>
      <c r="DR148" s="608"/>
      <c r="DS148" s="608"/>
      <c r="DT148" s="608"/>
    </row>
    <row r="149" spans="1:130" ht="12" customHeight="1" x14ac:dyDescent="0.25">
      <c r="A149" s="1167" t="s">
        <v>1090</v>
      </c>
      <c r="B149" s="509"/>
      <c r="C149" s="480">
        <v>0</v>
      </c>
      <c r="D149" s="480">
        <v>0</v>
      </c>
      <c r="E149" s="480">
        <v>0</v>
      </c>
      <c r="F149" s="480">
        <v>0</v>
      </c>
      <c r="G149" s="510">
        <f t="shared" si="347"/>
        <v>0</v>
      </c>
      <c r="H149" s="480">
        <v>0.33500000000000002</v>
      </c>
      <c r="I149" s="480">
        <f>2.479-H149</f>
        <v>2.1440000000000001</v>
      </c>
      <c r="J149" s="480">
        <f>6.875-I149-H149</f>
        <v>4.3959999999999999</v>
      </c>
      <c r="K149" s="480">
        <f>14.8-J149-I149-H149</f>
        <v>7.9249999999999998</v>
      </c>
      <c r="L149" s="510">
        <f t="shared" si="348"/>
        <v>14.8</v>
      </c>
      <c r="M149" s="480">
        <v>0.8</v>
      </c>
      <c r="N149" s="480">
        <f>3.4-M149</f>
        <v>2.5999999999999996</v>
      </c>
      <c r="O149" s="480">
        <f>3.8-N149-M149</f>
        <v>0.40000000000000013</v>
      </c>
      <c r="P149" s="480">
        <f>11-O149-N149-M149</f>
        <v>7.2</v>
      </c>
      <c r="Q149" s="510">
        <f t="shared" si="349"/>
        <v>11</v>
      </c>
      <c r="R149" s="480">
        <v>2.1</v>
      </c>
      <c r="S149" s="480">
        <f>16-R149</f>
        <v>13.9</v>
      </c>
      <c r="T149" s="480">
        <f>25.5-S149-R149</f>
        <v>9.5</v>
      </c>
      <c r="U149" s="480">
        <f>49.3-T149-S149-R149</f>
        <v>23.799999999999997</v>
      </c>
      <c r="V149" s="510">
        <f t="shared" si="350"/>
        <v>49.3</v>
      </c>
      <c r="W149" s="480">
        <v>28.5</v>
      </c>
      <c r="X149" s="480">
        <f>49.2-W149</f>
        <v>20.700000000000003</v>
      </c>
      <c r="Y149" s="480">
        <f>71.7-X149-W149</f>
        <v>22.5</v>
      </c>
      <c r="Z149" s="480">
        <f>76.9-Y149-X149-W149</f>
        <v>5.2000000000000028</v>
      </c>
      <c r="AA149" s="510">
        <f t="shared" si="351"/>
        <v>76.900000000000006</v>
      </c>
      <c r="AB149" s="480">
        <v>0.2</v>
      </c>
      <c r="AC149" s="480">
        <f>0.4-AB149</f>
        <v>0.2</v>
      </c>
      <c r="AD149" s="480">
        <f>0.6-AC149-AB149</f>
        <v>0.19999999999999996</v>
      </c>
      <c r="AE149" s="482">
        <f>0.6-AD149-AC149-AB149</f>
        <v>0</v>
      </c>
      <c r="AF149" s="481">
        <f t="shared" si="327"/>
        <v>0.6</v>
      </c>
      <c r="AG149" s="482">
        <v>0</v>
      </c>
      <c r="AH149" s="602"/>
      <c r="AI149" s="602"/>
      <c r="AJ149" s="602"/>
      <c r="AK149" s="481">
        <f t="shared" si="355"/>
        <v>0</v>
      </c>
      <c r="AL149" s="482"/>
      <c r="AM149" s="482"/>
      <c r="AN149" s="482"/>
      <c r="AO149" s="482"/>
      <c r="AP149" s="483">
        <f t="shared" si="352"/>
        <v>0</v>
      </c>
      <c r="AQ149" s="483"/>
      <c r="AR149" s="430"/>
      <c r="AS149" s="430"/>
      <c r="AT149" s="430"/>
      <c r="AU149" s="483">
        <f t="shared" si="353"/>
        <v>0</v>
      </c>
      <c r="AV149" s="483"/>
      <c r="AW149" s="430"/>
      <c r="AX149" s="430"/>
      <c r="AY149" s="853"/>
      <c r="AZ149" s="481">
        <f t="shared" si="354"/>
        <v>0</v>
      </c>
      <c r="BA149" s="430"/>
      <c r="BB149" s="430"/>
      <c r="BC149" s="430"/>
      <c r="BD149" s="430"/>
      <c r="BE149" s="481">
        <f t="shared" si="328"/>
        <v>0</v>
      </c>
      <c r="BF149" s="430"/>
      <c r="BG149" s="430"/>
      <c r="BH149" s="430"/>
      <c r="BI149" s="430"/>
      <c r="BJ149" s="481">
        <f t="shared" si="329"/>
        <v>0</v>
      </c>
      <c r="BK149" s="430"/>
      <c r="BL149" s="430"/>
      <c r="BM149" s="430"/>
      <c r="BN149" s="430"/>
      <c r="BO149" s="481"/>
      <c r="BP149" s="430"/>
      <c r="BQ149" s="430"/>
      <c r="BR149" s="430"/>
      <c r="BS149" s="430"/>
      <c r="BT149" s="2587"/>
      <c r="BU149" s="3397"/>
      <c r="BV149" s="2840"/>
      <c r="BW149" s="2840"/>
      <c r="BX149" s="2840"/>
      <c r="BY149" s="484"/>
      <c r="BZ149" s="484"/>
      <c r="CA149" s="484"/>
      <c r="CB149" s="484">
        <v>0</v>
      </c>
      <c r="CC149" s="484">
        <v>0</v>
      </c>
      <c r="CD149" s="484">
        <v>0</v>
      </c>
      <c r="CE149" s="484">
        <v>0</v>
      </c>
      <c r="CF149" s="484">
        <v>0</v>
      </c>
      <c r="CG149" s="454"/>
      <c r="CH149" s="454"/>
      <c r="CI149" s="454"/>
      <c r="CJ149" s="454"/>
      <c r="CK149" s="454"/>
      <c r="CL149" s="2025" t="str">
        <f t="shared" si="326"/>
        <v>Hollywood Slots at Bangor (ME)</v>
      </c>
      <c r="CM149" s="430">
        <f t="shared" si="330"/>
        <v>0</v>
      </c>
      <c r="CN149" s="430">
        <f t="shared" si="331"/>
        <v>14.8</v>
      </c>
      <c r="CO149" s="430">
        <f t="shared" si="332"/>
        <v>11</v>
      </c>
      <c r="CP149" s="430">
        <f t="shared" si="333"/>
        <v>49.3</v>
      </c>
      <c r="CQ149" s="430">
        <f t="shared" si="334"/>
        <v>76.900000000000006</v>
      </c>
      <c r="CR149" s="430">
        <f t="shared" si="335"/>
        <v>0.6</v>
      </c>
      <c r="CS149" s="430">
        <f t="shared" si="336"/>
        <v>0</v>
      </c>
      <c r="CT149" s="430">
        <f t="shared" si="337"/>
        <v>0</v>
      </c>
      <c r="CU149" s="430">
        <f t="shared" si="338"/>
        <v>0</v>
      </c>
      <c r="CV149" s="430">
        <f t="shared" si="339"/>
        <v>0</v>
      </c>
      <c r="CW149" s="430">
        <f t="shared" si="340"/>
        <v>0</v>
      </c>
      <c r="CX149" s="430">
        <f t="shared" si="341"/>
        <v>0</v>
      </c>
      <c r="CY149" s="430">
        <f t="shared" si="342"/>
        <v>0</v>
      </c>
      <c r="CZ149" s="430">
        <f t="shared" si="343"/>
        <v>0</v>
      </c>
      <c r="DA149" s="430">
        <f t="shared" si="344"/>
        <v>0</v>
      </c>
      <c r="DB149" s="430">
        <f t="shared" si="345"/>
        <v>0</v>
      </c>
      <c r="DC149" s="853">
        <f t="shared" si="346"/>
        <v>0</v>
      </c>
      <c r="DD149" s="454"/>
      <c r="DE149" s="454"/>
      <c r="DF149" s="463"/>
      <c r="DG149" s="463"/>
      <c r="DH149" s="2840"/>
      <c r="DI149" s="3213"/>
      <c r="DJ149" s="463"/>
      <c r="DK149" s="463"/>
      <c r="DL149" s="463"/>
      <c r="DM149" s="463"/>
      <c r="DN149" s="463"/>
      <c r="DO149" s="463"/>
      <c r="DP149" s="463"/>
      <c r="DQ149" s="463"/>
      <c r="DR149" s="608"/>
      <c r="DS149" s="608"/>
      <c r="DT149" s="608"/>
    </row>
    <row r="150" spans="1:130" ht="12" customHeight="1" x14ac:dyDescent="0.25">
      <c r="A150" s="1167" t="s">
        <v>1089</v>
      </c>
      <c r="B150" s="509"/>
      <c r="C150" s="480">
        <v>0</v>
      </c>
      <c r="D150" s="480">
        <v>0</v>
      </c>
      <c r="E150" s="480">
        <v>0</v>
      </c>
      <c r="F150" s="480">
        <v>0</v>
      </c>
      <c r="G150" s="510">
        <f t="shared" si="347"/>
        <v>0</v>
      </c>
      <c r="H150" s="480">
        <v>0</v>
      </c>
      <c r="I150" s="480">
        <v>0</v>
      </c>
      <c r="J150" s="480">
        <v>0</v>
      </c>
      <c r="K150" s="480">
        <v>0</v>
      </c>
      <c r="L150" s="510">
        <f t="shared" si="348"/>
        <v>0</v>
      </c>
      <c r="M150" s="480">
        <v>0</v>
      </c>
      <c r="N150" s="480">
        <v>0</v>
      </c>
      <c r="O150" s="480">
        <v>0</v>
      </c>
      <c r="P150" s="480">
        <v>0</v>
      </c>
      <c r="Q150" s="510">
        <f t="shared" si="349"/>
        <v>0</v>
      </c>
      <c r="R150" s="480">
        <v>0</v>
      </c>
      <c r="S150" s="480">
        <v>0</v>
      </c>
      <c r="T150" s="480">
        <v>0</v>
      </c>
      <c r="U150" s="480">
        <v>0</v>
      </c>
      <c r="V150" s="510">
        <f t="shared" si="350"/>
        <v>0</v>
      </c>
      <c r="W150" s="480">
        <v>0</v>
      </c>
      <c r="X150" s="480">
        <v>0</v>
      </c>
      <c r="Y150" s="480">
        <v>0</v>
      </c>
      <c r="Z150" s="480">
        <v>0</v>
      </c>
      <c r="AA150" s="510">
        <f t="shared" si="351"/>
        <v>0</v>
      </c>
      <c r="AB150" s="480">
        <v>0</v>
      </c>
      <c r="AC150" s="480">
        <v>0</v>
      </c>
      <c r="AD150" s="480">
        <v>0</v>
      </c>
      <c r="AE150" s="482">
        <v>0</v>
      </c>
      <c r="AF150" s="481">
        <f t="shared" si="327"/>
        <v>0</v>
      </c>
      <c r="AG150" s="482">
        <v>0</v>
      </c>
      <c r="AH150" s="602"/>
      <c r="AI150" s="602"/>
      <c r="AJ150" s="602"/>
      <c r="AK150" s="481">
        <f t="shared" si="355"/>
        <v>0</v>
      </c>
      <c r="AL150" s="482"/>
      <c r="AM150" s="482"/>
      <c r="AN150" s="482"/>
      <c r="AO150" s="482"/>
      <c r="AP150" s="483">
        <f t="shared" si="352"/>
        <v>0</v>
      </c>
      <c r="AQ150" s="483"/>
      <c r="AR150" s="430"/>
      <c r="AS150" s="430"/>
      <c r="AT150" s="430"/>
      <c r="AU150" s="483">
        <f t="shared" si="353"/>
        <v>0</v>
      </c>
      <c r="AV150" s="483"/>
      <c r="AW150" s="430"/>
      <c r="AX150" s="430"/>
      <c r="AY150" s="853"/>
      <c r="AZ150" s="481">
        <f t="shared" si="354"/>
        <v>0</v>
      </c>
      <c r="BA150" s="430"/>
      <c r="BB150" s="430"/>
      <c r="BC150" s="430"/>
      <c r="BD150" s="430"/>
      <c r="BE150" s="481">
        <f t="shared" si="328"/>
        <v>0</v>
      </c>
      <c r="BF150" s="430"/>
      <c r="BG150" s="430"/>
      <c r="BH150" s="430"/>
      <c r="BI150" s="430"/>
      <c r="BJ150" s="481">
        <f t="shared" si="329"/>
        <v>0</v>
      </c>
      <c r="BK150" s="430"/>
      <c r="BL150" s="430"/>
      <c r="BM150" s="430"/>
      <c r="BN150" s="430"/>
      <c r="BO150" s="481"/>
      <c r="BP150" s="430"/>
      <c r="BQ150" s="430"/>
      <c r="BR150" s="430"/>
      <c r="BS150" s="430"/>
      <c r="BT150" s="2587"/>
      <c r="BU150" s="3397"/>
      <c r="BV150" s="2840"/>
      <c r="BW150" s="2840"/>
      <c r="BX150" s="2840"/>
      <c r="BY150" s="484"/>
      <c r="BZ150" s="484"/>
      <c r="CA150" s="484"/>
      <c r="CB150" s="484">
        <v>0</v>
      </c>
      <c r="CC150" s="484">
        <v>0</v>
      </c>
      <c r="CD150" s="484">
        <v>0</v>
      </c>
      <c r="CE150" s="484">
        <v>0</v>
      </c>
      <c r="CF150" s="484">
        <v>0</v>
      </c>
      <c r="CG150" s="454"/>
      <c r="CH150" s="454"/>
      <c r="CI150" s="454"/>
      <c r="CJ150" s="454"/>
      <c r="CK150" s="454"/>
      <c r="CL150" s="2025" t="str">
        <f t="shared" si="326"/>
        <v>Bullwhackers (CO)</v>
      </c>
      <c r="CM150" s="430">
        <f t="shared" si="330"/>
        <v>0</v>
      </c>
      <c r="CN150" s="430">
        <f t="shared" si="331"/>
        <v>0</v>
      </c>
      <c r="CO150" s="430">
        <f t="shared" si="332"/>
        <v>0</v>
      </c>
      <c r="CP150" s="430">
        <f t="shared" si="333"/>
        <v>0</v>
      </c>
      <c r="CQ150" s="430">
        <f t="shared" si="334"/>
        <v>0</v>
      </c>
      <c r="CR150" s="430">
        <f t="shared" si="335"/>
        <v>0</v>
      </c>
      <c r="CS150" s="430">
        <f t="shared" si="336"/>
        <v>0</v>
      </c>
      <c r="CT150" s="430">
        <f t="shared" si="337"/>
        <v>0</v>
      </c>
      <c r="CU150" s="430">
        <f t="shared" si="338"/>
        <v>0</v>
      </c>
      <c r="CV150" s="430">
        <f t="shared" si="339"/>
        <v>0</v>
      </c>
      <c r="CW150" s="430">
        <f t="shared" si="340"/>
        <v>0</v>
      </c>
      <c r="CX150" s="430">
        <f t="shared" si="341"/>
        <v>0</v>
      </c>
      <c r="CY150" s="430">
        <f t="shared" si="342"/>
        <v>0</v>
      </c>
      <c r="CZ150" s="430">
        <f t="shared" si="343"/>
        <v>0</v>
      </c>
      <c r="DA150" s="430">
        <f t="shared" si="344"/>
        <v>0</v>
      </c>
      <c r="DB150" s="430">
        <f t="shared" si="345"/>
        <v>0</v>
      </c>
      <c r="DC150" s="853">
        <f t="shared" si="346"/>
        <v>0</v>
      </c>
      <c r="DD150" s="454"/>
      <c r="DE150" s="454"/>
      <c r="DF150" s="463"/>
      <c r="DG150" s="463"/>
      <c r="DH150" s="2840"/>
      <c r="DI150" s="3213"/>
      <c r="DJ150" s="463"/>
      <c r="DK150" s="463"/>
      <c r="DL150" s="463"/>
      <c r="DM150" s="463"/>
      <c r="DN150" s="463"/>
      <c r="DO150" s="463"/>
      <c r="DP150" s="463"/>
      <c r="DQ150" s="463"/>
      <c r="DR150" s="608"/>
      <c r="DS150" s="608"/>
      <c r="DT150" s="608"/>
    </row>
    <row r="151" spans="1:130" ht="12" customHeight="1" x14ac:dyDescent="0.25">
      <c r="A151" s="1167" t="s">
        <v>1479</v>
      </c>
      <c r="B151" s="509"/>
      <c r="C151" s="480">
        <v>0</v>
      </c>
      <c r="D151" s="480">
        <v>0</v>
      </c>
      <c r="E151" s="480">
        <v>0</v>
      </c>
      <c r="F151" s="480">
        <v>0</v>
      </c>
      <c r="G151" s="510">
        <f t="shared" si="347"/>
        <v>0</v>
      </c>
      <c r="H151" s="480">
        <v>0</v>
      </c>
      <c r="I151" s="480">
        <v>0</v>
      </c>
      <c r="J151" s="480">
        <v>0</v>
      </c>
      <c r="K151" s="480">
        <v>0</v>
      </c>
      <c r="L151" s="510">
        <f t="shared" si="348"/>
        <v>0</v>
      </c>
      <c r="M151" s="480">
        <v>0</v>
      </c>
      <c r="N151" s="480">
        <v>0</v>
      </c>
      <c r="O151" s="480">
        <v>0</v>
      </c>
      <c r="P151" s="480">
        <v>0</v>
      </c>
      <c r="Q151" s="510">
        <f t="shared" si="349"/>
        <v>0</v>
      </c>
      <c r="R151" s="480">
        <v>0</v>
      </c>
      <c r="S151" s="480">
        <v>0</v>
      </c>
      <c r="T151" s="480">
        <v>0</v>
      </c>
      <c r="U151" s="480">
        <v>0</v>
      </c>
      <c r="V151" s="510">
        <f t="shared" si="350"/>
        <v>0</v>
      </c>
      <c r="W151" s="480">
        <v>0</v>
      </c>
      <c r="X151" s="480">
        <v>0</v>
      </c>
      <c r="Y151" s="480">
        <v>0</v>
      </c>
      <c r="Z151" s="480">
        <v>0</v>
      </c>
      <c r="AA151" s="510">
        <f t="shared" si="351"/>
        <v>0</v>
      </c>
      <c r="AB151" s="480">
        <v>0.3</v>
      </c>
      <c r="AC151" s="480">
        <f>0.4-AB151</f>
        <v>0.10000000000000003</v>
      </c>
      <c r="AD151" s="480">
        <v>0</v>
      </c>
      <c r="AE151" s="482">
        <v>0</v>
      </c>
      <c r="AF151" s="481">
        <f t="shared" si="327"/>
        <v>0.4</v>
      </c>
      <c r="AG151" s="482">
        <v>0</v>
      </c>
      <c r="AH151" s="602"/>
      <c r="AI151" s="602"/>
      <c r="AJ151" s="602"/>
      <c r="AK151" s="481">
        <f t="shared" si="355"/>
        <v>0</v>
      </c>
      <c r="AL151" s="482"/>
      <c r="AM151" s="482"/>
      <c r="AN151" s="482"/>
      <c r="AO151" s="482"/>
      <c r="AP151" s="483">
        <f t="shared" si="352"/>
        <v>0</v>
      </c>
      <c r="AQ151" s="483"/>
      <c r="AR151" s="430"/>
      <c r="AS151" s="430"/>
      <c r="AT151" s="430"/>
      <c r="AU151" s="483">
        <f t="shared" si="353"/>
        <v>0</v>
      </c>
      <c r="AV151" s="1676"/>
      <c r="AW151" s="482">
        <v>0.1</v>
      </c>
      <c r="AX151" s="482">
        <f>1-AW151</f>
        <v>0.9</v>
      </c>
      <c r="AY151" s="862">
        <f>4-SUM(AW151:AX151)</f>
        <v>3</v>
      </c>
      <c r="AZ151" s="481">
        <f t="shared" si="354"/>
        <v>4</v>
      </c>
      <c r="BA151" s="482">
        <f>7.3-AZ151</f>
        <v>3.3</v>
      </c>
      <c r="BB151" s="482">
        <f>15.3-BA151-AZ151</f>
        <v>8</v>
      </c>
      <c r="BC151" s="482">
        <f>21.5-SUM(BA151:BB151)</f>
        <v>10.199999999999999</v>
      </c>
      <c r="BD151" s="482">
        <f>26-SUM(BA151:BC151)</f>
        <v>4.5</v>
      </c>
      <c r="BE151" s="481">
        <f t="shared" si="328"/>
        <v>26</v>
      </c>
      <c r="BF151" s="482">
        <v>0</v>
      </c>
      <c r="BG151" s="482">
        <v>0</v>
      </c>
      <c r="BH151" s="482">
        <v>0</v>
      </c>
      <c r="BI151" s="482">
        <v>0</v>
      </c>
      <c r="BJ151" s="481">
        <f t="shared" si="329"/>
        <v>0</v>
      </c>
      <c r="BK151" s="482"/>
      <c r="BL151" s="482"/>
      <c r="BM151" s="482"/>
      <c r="BN151" s="482"/>
      <c r="BO151" s="481"/>
      <c r="BP151" s="482"/>
      <c r="BQ151" s="482"/>
      <c r="BR151" s="482"/>
      <c r="BS151" s="482"/>
      <c r="BT151" s="2587"/>
      <c r="BU151" s="3397"/>
      <c r="BV151" s="2840"/>
      <c r="BW151" s="2840"/>
      <c r="BX151" s="2840"/>
      <c r="BY151" s="484"/>
      <c r="BZ151" s="484"/>
      <c r="CA151" s="484"/>
      <c r="CB151" s="484">
        <v>0</v>
      </c>
      <c r="CC151" s="484">
        <v>0</v>
      </c>
      <c r="CD151" s="484">
        <v>0</v>
      </c>
      <c r="CE151" s="484">
        <v>0</v>
      </c>
      <c r="CF151" s="484">
        <v>0</v>
      </c>
      <c r="CG151" s="454"/>
      <c r="CH151" s="454"/>
      <c r="CI151" s="454"/>
      <c r="CJ151" s="454"/>
      <c r="CK151" s="454"/>
      <c r="CL151" s="2025" t="str">
        <f t="shared" si="326"/>
        <v>Black Gold at Zia Park (NM)</v>
      </c>
      <c r="CM151" s="430">
        <f t="shared" si="330"/>
        <v>0</v>
      </c>
      <c r="CN151" s="430">
        <f t="shared" si="331"/>
        <v>0</v>
      </c>
      <c r="CO151" s="430">
        <f t="shared" si="332"/>
        <v>0</v>
      </c>
      <c r="CP151" s="430">
        <f t="shared" si="333"/>
        <v>0</v>
      </c>
      <c r="CQ151" s="430">
        <f t="shared" si="334"/>
        <v>0</v>
      </c>
      <c r="CR151" s="430">
        <f t="shared" si="335"/>
        <v>0.4</v>
      </c>
      <c r="CS151" s="430">
        <f t="shared" si="336"/>
        <v>0</v>
      </c>
      <c r="CT151" s="430">
        <f t="shared" si="337"/>
        <v>0</v>
      </c>
      <c r="CU151" s="430">
        <f t="shared" si="338"/>
        <v>0</v>
      </c>
      <c r="CV151" s="430">
        <f t="shared" si="339"/>
        <v>4</v>
      </c>
      <c r="CW151" s="430">
        <f t="shared" si="340"/>
        <v>26</v>
      </c>
      <c r="CX151" s="430">
        <f t="shared" si="341"/>
        <v>0</v>
      </c>
      <c r="CY151" s="430">
        <f t="shared" si="342"/>
        <v>0</v>
      </c>
      <c r="CZ151" s="430">
        <f t="shared" si="343"/>
        <v>0</v>
      </c>
      <c r="DA151" s="430">
        <f t="shared" si="344"/>
        <v>0</v>
      </c>
      <c r="DB151" s="430">
        <f t="shared" si="345"/>
        <v>0</v>
      </c>
      <c r="DC151" s="853">
        <f t="shared" si="346"/>
        <v>0</v>
      </c>
      <c r="DD151" s="454"/>
      <c r="DE151" s="454"/>
      <c r="DF151" s="463"/>
      <c r="DG151" s="463"/>
      <c r="DH151" s="2840"/>
      <c r="DI151" s="3213"/>
      <c r="DJ151" s="463"/>
      <c r="DK151" s="463"/>
      <c r="DL151" s="463"/>
      <c r="DM151" s="463"/>
      <c r="DN151" s="463"/>
      <c r="DO151" s="463"/>
      <c r="DP151" s="463"/>
      <c r="DQ151" s="463"/>
      <c r="DR151" s="608"/>
      <c r="DS151" s="608"/>
      <c r="DT151" s="608"/>
    </row>
    <row r="152" spans="1:130" ht="12" customHeight="1" x14ac:dyDescent="0.25">
      <c r="A152" s="1167" t="s">
        <v>1942</v>
      </c>
      <c r="B152" s="509"/>
      <c r="C152" s="480">
        <v>0</v>
      </c>
      <c r="D152" s="480">
        <v>0</v>
      </c>
      <c r="E152" s="480">
        <v>0</v>
      </c>
      <c r="F152" s="480">
        <v>0</v>
      </c>
      <c r="G152" s="510">
        <f t="shared" si="347"/>
        <v>0</v>
      </c>
      <c r="H152" s="480">
        <v>0</v>
      </c>
      <c r="I152" s="480">
        <v>0</v>
      </c>
      <c r="J152" s="480">
        <v>0</v>
      </c>
      <c r="K152" s="480">
        <v>0</v>
      </c>
      <c r="L152" s="510">
        <f t="shared" si="348"/>
        <v>0</v>
      </c>
      <c r="M152" s="480">
        <v>0</v>
      </c>
      <c r="N152" s="480">
        <v>0</v>
      </c>
      <c r="O152" s="480">
        <v>0</v>
      </c>
      <c r="P152" s="480">
        <v>0</v>
      </c>
      <c r="Q152" s="510">
        <f t="shared" si="349"/>
        <v>0</v>
      </c>
      <c r="R152" s="480">
        <v>0</v>
      </c>
      <c r="S152" s="480">
        <v>0</v>
      </c>
      <c r="T152" s="480">
        <v>0</v>
      </c>
      <c r="U152" s="480">
        <v>0</v>
      </c>
      <c r="V152" s="510">
        <f t="shared" si="350"/>
        <v>0</v>
      </c>
      <c r="W152" s="480">
        <v>0</v>
      </c>
      <c r="X152" s="480">
        <v>0</v>
      </c>
      <c r="Y152" s="480">
        <v>0</v>
      </c>
      <c r="Z152" s="480">
        <v>0</v>
      </c>
      <c r="AA152" s="510">
        <f t="shared" si="351"/>
        <v>0</v>
      </c>
      <c r="AB152" s="480">
        <v>0</v>
      </c>
      <c r="AC152" s="480">
        <v>0</v>
      </c>
      <c r="AD152" s="480">
        <v>0</v>
      </c>
      <c r="AE152" s="482">
        <v>0</v>
      </c>
      <c r="AF152" s="481">
        <f t="shared" si="327"/>
        <v>0</v>
      </c>
      <c r="AG152" s="482">
        <v>0</v>
      </c>
      <c r="AH152" s="602"/>
      <c r="AI152" s="602"/>
      <c r="AJ152" s="602"/>
      <c r="AK152" s="481">
        <f t="shared" si="355"/>
        <v>0</v>
      </c>
      <c r="AL152" s="482"/>
      <c r="AM152" s="482"/>
      <c r="AN152" s="482"/>
      <c r="AO152" s="482"/>
      <c r="AP152" s="483">
        <f t="shared" si="352"/>
        <v>0</v>
      </c>
      <c r="AQ152" s="483"/>
      <c r="AR152" s="430"/>
      <c r="AS152" s="430"/>
      <c r="AT152" s="430"/>
      <c r="AU152" s="483">
        <f t="shared" si="353"/>
        <v>0</v>
      </c>
      <c r="AV152" s="483"/>
      <c r="AW152" s="430"/>
      <c r="AX152" s="430"/>
      <c r="AY152" s="853"/>
      <c r="AZ152" s="481">
        <f t="shared" si="354"/>
        <v>0</v>
      </c>
      <c r="BA152" s="430"/>
      <c r="BB152" s="430"/>
      <c r="BC152" s="430"/>
      <c r="BD152" s="430"/>
      <c r="BE152" s="481">
        <f t="shared" si="328"/>
        <v>0</v>
      </c>
      <c r="BF152" s="430"/>
      <c r="BG152" s="430"/>
      <c r="BH152" s="430"/>
      <c r="BI152" s="430"/>
      <c r="BJ152" s="481">
        <f t="shared" si="329"/>
        <v>0</v>
      </c>
      <c r="BK152" s="430"/>
      <c r="BL152" s="430"/>
      <c r="BM152" s="430"/>
      <c r="BN152" s="430"/>
      <c r="BO152" s="481"/>
      <c r="BP152" s="430"/>
      <c r="BQ152" s="430"/>
      <c r="BR152" s="430"/>
      <c r="BS152" s="430"/>
      <c r="BT152" s="2587"/>
      <c r="BU152" s="3397"/>
      <c r="BV152" s="2840"/>
      <c r="BW152" s="2840"/>
      <c r="BX152" s="2840"/>
      <c r="BY152" s="484"/>
      <c r="BZ152" s="484"/>
      <c r="CA152" s="484"/>
      <c r="CB152" s="484">
        <v>0</v>
      </c>
      <c r="CC152" s="484">
        <v>0</v>
      </c>
      <c r="CD152" s="484">
        <v>0</v>
      </c>
      <c r="CE152" s="484">
        <v>0</v>
      </c>
      <c r="CF152" s="484">
        <v>0</v>
      </c>
      <c r="CG152" s="454"/>
      <c r="CH152" s="454"/>
      <c r="CI152" s="454"/>
      <c r="CJ152" s="454"/>
      <c r="CK152" s="454"/>
      <c r="CL152" s="2025" t="str">
        <f t="shared" si="326"/>
        <v>Casino Rama Mgmt Contract (Canada)</v>
      </c>
      <c r="CM152" s="430">
        <f t="shared" si="330"/>
        <v>0</v>
      </c>
      <c r="CN152" s="430">
        <f t="shared" si="331"/>
        <v>0</v>
      </c>
      <c r="CO152" s="430">
        <f t="shared" si="332"/>
        <v>0</v>
      </c>
      <c r="CP152" s="430">
        <f t="shared" si="333"/>
        <v>0</v>
      </c>
      <c r="CQ152" s="430">
        <f t="shared" si="334"/>
        <v>0</v>
      </c>
      <c r="CR152" s="430">
        <f t="shared" si="335"/>
        <v>0</v>
      </c>
      <c r="CS152" s="430">
        <f t="shared" si="336"/>
        <v>0</v>
      </c>
      <c r="CT152" s="430">
        <f t="shared" si="337"/>
        <v>0</v>
      </c>
      <c r="CU152" s="430">
        <f t="shared" si="338"/>
        <v>0</v>
      </c>
      <c r="CV152" s="430">
        <f t="shared" si="339"/>
        <v>0</v>
      </c>
      <c r="CW152" s="430">
        <f t="shared" si="340"/>
        <v>0</v>
      </c>
      <c r="CX152" s="430">
        <f t="shared" si="341"/>
        <v>0</v>
      </c>
      <c r="CY152" s="430">
        <f t="shared" si="342"/>
        <v>0</v>
      </c>
      <c r="CZ152" s="430">
        <f t="shared" si="343"/>
        <v>0</v>
      </c>
      <c r="DA152" s="430">
        <f t="shared" si="344"/>
        <v>0</v>
      </c>
      <c r="DB152" s="430">
        <f t="shared" si="345"/>
        <v>0</v>
      </c>
      <c r="DC152" s="853">
        <f t="shared" si="346"/>
        <v>0</v>
      </c>
      <c r="DD152" s="454"/>
      <c r="DE152" s="454"/>
      <c r="DF152" s="463"/>
      <c r="DG152" s="463"/>
      <c r="DH152" s="2840"/>
      <c r="DI152" s="3213"/>
      <c r="DJ152" s="463"/>
      <c r="DK152" s="463"/>
      <c r="DL152" s="463"/>
      <c r="DM152" s="463"/>
      <c r="DN152" s="463"/>
      <c r="DO152" s="463"/>
      <c r="DP152" s="463"/>
      <c r="DQ152" s="463"/>
      <c r="DR152" s="608"/>
      <c r="DS152" s="608"/>
      <c r="DT152" s="608"/>
    </row>
    <row r="153" spans="1:130" ht="12" customHeight="1" x14ac:dyDescent="0.25">
      <c r="A153" s="1167" t="s">
        <v>1787</v>
      </c>
      <c r="B153" s="509"/>
      <c r="C153" s="480">
        <v>0</v>
      </c>
      <c r="D153" s="480">
        <v>0</v>
      </c>
      <c r="E153" s="480">
        <v>0</v>
      </c>
      <c r="F153" s="480">
        <v>0</v>
      </c>
      <c r="G153" s="510">
        <f t="shared" si="347"/>
        <v>0</v>
      </c>
      <c r="H153" s="480">
        <v>0</v>
      </c>
      <c r="I153" s="480">
        <v>0</v>
      </c>
      <c r="J153" s="480">
        <v>0</v>
      </c>
      <c r="K153" s="480">
        <v>0</v>
      </c>
      <c r="L153" s="510">
        <f t="shared" si="348"/>
        <v>0</v>
      </c>
      <c r="M153" s="480">
        <v>0</v>
      </c>
      <c r="N153" s="480">
        <v>0</v>
      </c>
      <c r="O153" s="480">
        <v>0</v>
      </c>
      <c r="P153" s="480">
        <v>0</v>
      </c>
      <c r="Q153" s="510">
        <f t="shared" si="349"/>
        <v>0</v>
      </c>
      <c r="R153" s="480">
        <v>0</v>
      </c>
      <c r="S153" s="480">
        <v>0</v>
      </c>
      <c r="T153" s="480">
        <v>0</v>
      </c>
      <c r="U153" s="480">
        <v>0</v>
      </c>
      <c r="V153" s="510">
        <f t="shared" si="350"/>
        <v>0</v>
      </c>
      <c r="W153" s="480">
        <v>0</v>
      </c>
      <c r="X153" s="480">
        <v>0</v>
      </c>
      <c r="Y153" s="480">
        <v>0</v>
      </c>
      <c r="Z153" s="480">
        <v>0</v>
      </c>
      <c r="AA153" s="510">
        <f t="shared" si="351"/>
        <v>0</v>
      </c>
      <c r="AB153" s="480">
        <v>0</v>
      </c>
      <c r="AC153" s="480">
        <v>0</v>
      </c>
      <c r="AD153" s="482">
        <f>1.5+11.3</f>
        <v>12.8</v>
      </c>
      <c r="AE153" s="482">
        <f>19.2+11.3-AD153</f>
        <v>17.7</v>
      </c>
      <c r="AF153" s="481">
        <f t="shared" si="327"/>
        <v>30.5</v>
      </c>
      <c r="AG153" s="482">
        <v>5.7</v>
      </c>
      <c r="AH153" s="482">
        <f>60-35.2</f>
        <v>24.799999999999997</v>
      </c>
      <c r="AI153" s="482">
        <v>14.6</v>
      </c>
      <c r="AJ153" s="482">
        <f>56.6-AI153-AH153-AG153</f>
        <v>11.500000000000004</v>
      </c>
      <c r="AK153" s="481">
        <f t="shared" ref="AK153:AK165" si="356">SUM(AG153:AJ153)</f>
        <v>56.599999999999994</v>
      </c>
      <c r="AL153" s="482"/>
      <c r="AM153" s="482"/>
      <c r="AN153" s="482"/>
      <c r="AO153" s="482"/>
      <c r="AP153" s="483">
        <f t="shared" si="352"/>
        <v>0</v>
      </c>
      <c r="AQ153" s="483"/>
      <c r="AR153" s="430"/>
      <c r="AS153" s="430"/>
      <c r="AT153" s="430"/>
      <c r="AU153" s="483">
        <f t="shared" si="353"/>
        <v>0</v>
      </c>
      <c r="AV153" s="483"/>
      <c r="AW153" s="430"/>
      <c r="AX153" s="430"/>
      <c r="AY153" s="853"/>
      <c r="AZ153" s="481">
        <f t="shared" si="354"/>
        <v>0</v>
      </c>
      <c r="BA153" s="430"/>
      <c r="BB153" s="430"/>
      <c r="BC153" s="430"/>
      <c r="BD153" s="430"/>
      <c r="BE153" s="481">
        <f t="shared" si="328"/>
        <v>0</v>
      </c>
      <c r="BF153" s="430"/>
      <c r="BG153" s="430"/>
      <c r="BH153" s="430"/>
      <c r="BI153" s="430"/>
      <c r="BJ153" s="481">
        <f t="shared" si="329"/>
        <v>0</v>
      </c>
      <c r="BK153" s="430"/>
      <c r="BL153" s="430"/>
      <c r="BM153" s="430"/>
      <c r="BN153" s="430"/>
      <c r="BO153" s="481"/>
      <c r="BP153" s="430"/>
      <c r="BQ153" s="430"/>
      <c r="BR153" s="430"/>
      <c r="BS153" s="430"/>
      <c r="BT153" s="2587"/>
      <c r="BU153" s="3397"/>
      <c r="BV153" s="2840"/>
      <c r="BW153" s="2840"/>
      <c r="BX153" s="2840"/>
      <c r="BY153" s="484"/>
      <c r="BZ153" s="484"/>
      <c r="CA153" s="484"/>
      <c r="CB153" s="484">
        <v>0</v>
      </c>
      <c r="CC153" s="484">
        <v>0</v>
      </c>
      <c r="CD153" s="484">
        <v>0</v>
      </c>
      <c r="CE153" s="484">
        <v>0</v>
      </c>
      <c r="CF153" s="484">
        <v>0</v>
      </c>
      <c r="CG153" s="454"/>
      <c r="CH153" s="454"/>
      <c r="CI153" s="454"/>
      <c r="CJ153" s="454"/>
      <c r="CK153" s="454"/>
      <c r="CL153" s="2025" t="str">
        <f t="shared" si="326"/>
        <v>Hollywood Perryville (MD)</v>
      </c>
      <c r="CM153" s="430">
        <f t="shared" si="330"/>
        <v>0</v>
      </c>
      <c r="CN153" s="430">
        <f t="shared" si="331"/>
        <v>0</v>
      </c>
      <c r="CO153" s="430">
        <f t="shared" si="332"/>
        <v>0</v>
      </c>
      <c r="CP153" s="430">
        <f t="shared" si="333"/>
        <v>0</v>
      </c>
      <c r="CQ153" s="430">
        <f t="shared" si="334"/>
        <v>0</v>
      </c>
      <c r="CR153" s="430">
        <f t="shared" si="335"/>
        <v>30.5</v>
      </c>
      <c r="CS153" s="430">
        <f t="shared" si="336"/>
        <v>56.599999999999994</v>
      </c>
      <c r="CT153" s="430">
        <f t="shared" si="337"/>
        <v>0</v>
      </c>
      <c r="CU153" s="430">
        <f t="shared" si="338"/>
        <v>0</v>
      </c>
      <c r="CV153" s="430">
        <f t="shared" si="339"/>
        <v>0</v>
      </c>
      <c r="CW153" s="430">
        <f t="shared" si="340"/>
        <v>0</v>
      </c>
      <c r="CX153" s="430">
        <f t="shared" si="341"/>
        <v>0</v>
      </c>
      <c r="CY153" s="430">
        <f t="shared" si="342"/>
        <v>0</v>
      </c>
      <c r="CZ153" s="430">
        <f t="shared" si="343"/>
        <v>0</v>
      </c>
      <c r="DA153" s="430">
        <f t="shared" si="344"/>
        <v>0</v>
      </c>
      <c r="DB153" s="430">
        <f t="shared" si="345"/>
        <v>0</v>
      </c>
      <c r="DC153" s="853">
        <f t="shared" si="346"/>
        <v>0</v>
      </c>
      <c r="DD153" s="454"/>
      <c r="DE153" s="454"/>
      <c r="DF153" s="463"/>
      <c r="DG153" s="463"/>
      <c r="DH153" s="2840"/>
      <c r="DI153" s="3213"/>
      <c r="DJ153" s="463"/>
      <c r="DK153" s="463"/>
      <c r="DL153" s="463"/>
      <c r="DM153" s="463"/>
      <c r="DN153" s="463"/>
      <c r="DO153" s="463"/>
      <c r="DP153" s="463"/>
      <c r="DQ153" s="463"/>
      <c r="DR153" s="608"/>
      <c r="DS153" s="608"/>
      <c r="DT153" s="608"/>
    </row>
    <row r="154" spans="1:130" ht="12" customHeight="1" x14ac:dyDescent="0.25">
      <c r="A154" s="1167" t="s">
        <v>443</v>
      </c>
      <c r="B154" s="509"/>
      <c r="C154" s="480">
        <v>0</v>
      </c>
      <c r="D154" s="480">
        <v>0</v>
      </c>
      <c r="E154" s="480">
        <v>0</v>
      </c>
      <c r="F154" s="480">
        <v>0</v>
      </c>
      <c r="G154" s="510">
        <f t="shared" si="347"/>
        <v>0</v>
      </c>
      <c r="H154" s="480">
        <v>0</v>
      </c>
      <c r="I154" s="480">
        <v>0</v>
      </c>
      <c r="J154" s="480">
        <v>0</v>
      </c>
      <c r="K154" s="480">
        <v>0</v>
      </c>
      <c r="L154" s="510">
        <f t="shared" si="348"/>
        <v>0</v>
      </c>
      <c r="M154" s="480">
        <v>0</v>
      </c>
      <c r="N154" s="480">
        <v>0</v>
      </c>
      <c r="O154" s="480">
        <v>0</v>
      </c>
      <c r="P154" s="480">
        <v>0</v>
      </c>
      <c r="Q154" s="510">
        <f t="shared" si="349"/>
        <v>0</v>
      </c>
      <c r="R154" s="480">
        <v>0</v>
      </c>
      <c r="S154" s="480">
        <v>0</v>
      </c>
      <c r="T154" s="480">
        <v>0</v>
      </c>
      <c r="U154" s="480">
        <v>0</v>
      </c>
      <c r="V154" s="510">
        <f t="shared" si="350"/>
        <v>0</v>
      </c>
      <c r="W154" s="480">
        <v>0</v>
      </c>
      <c r="X154" s="480">
        <v>0</v>
      </c>
      <c r="Y154" s="480">
        <v>0</v>
      </c>
      <c r="Z154" s="480">
        <v>0</v>
      </c>
      <c r="AA154" s="510">
        <f t="shared" si="351"/>
        <v>0</v>
      </c>
      <c r="AB154" s="480">
        <v>0</v>
      </c>
      <c r="AC154" s="480">
        <v>0</v>
      </c>
      <c r="AD154" s="482">
        <v>0</v>
      </c>
      <c r="AE154" s="482">
        <v>0</v>
      </c>
      <c r="AF154" s="481">
        <f t="shared" si="327"/>
        <v>0</v>
      </c>
      <c r="AG154" s="482">
        <v>61.3</v>
      </c>
      <c r="AH154" s="482">
        <f>75.8-68.3</f>
        <v>7.5</v>
      </c>
      <c r="AI154" s="482">
        <v>4.4000000000000004</v>
      </c>
      <c r="AJ154" s="482">
        <f>82.8-AI154-AH154-AG154</f>
        <v>9.5999999999999943</v>
      </c>
      <c r="AK154" s="481">
        <f t="shared" si="356"/>
        <v>82.8</v>
      </c>
      <c r="AL154" s="482">
        <v>2.4</v>
      </c>
      <c r="AM154" s="482">
        <f>14.8-AL154</f>
        <v>12.4</v>
      </c>
      <c r="AN154" s="482">
        <f>40.4-AM154-AL154</f>
        <v>25.6</v>
      </c>
      <c r="AO154" s="482">
        <v>20</v>
      </c>
      <c r="AP154" s="483">
        <f>SUM(AL154:AO154)</f>
        <v>60.400000000000006</v>
      </c>
      <c r="AQ154" s="1676">
        <v>45</v>
      </c>
      <c r="AR154" s="482">
        <v>65</v>
      </c>
      <c r="AS154" s="482">
        <f>310.2-AR154-AQ154-AP154-AK154</f>
        <v>56.999999999999986</v>
      </c>
      <c r="AT154" s="482">
        <f>388.6-AS154-AR154-AQ154-AP154-AK154</f>
        <v>78.40000000000002</v>
      </c>
      <c r="AU154" s="483">
        <f>SUM(AQ154:AT154)</f>
        <v>245.40000000000003</v>
      </c>
      <c r="AV154" s="1676">
        <f>400-388.6</f>
        <v>11.399999999999977</v>
      </c>
      <c r="AW154" s="482">
        <v>2</v>
      </c>
      <c r="AX154" s="430"/>
      <c r="AY154" s="853"/>
      <c r="AZ154" s="481">
        <f>SUM(AV154:AY154)</f>
        <v>13.399999999999977</v>
      </c>
      <c r="BA154" s="482"/>
      <c r="BB154" s="482"/>
      <c r="BC154" s="482"/>
      <c r="BD154" s="862"/>
      <c r="BE154" s="481">
        <f t="shared" si="328"/>
        <v>0</v>
      </c>
      <c r="BF154" s="482"/>
      <c r="BG154" s="482"/>
      <c r="BH154" s="482"/>
      <c r="BI154" s="862"/>
      <c r="BJ154" s="481">
        <f t="shared" si="329"/>
        <v>0</v>
      </c>
      <c r="BK154" s="482"/>
      <c r="BL154" s="482"/>
      <c r="BM154" s="482"/>
      <c r="BN154" s="862"/>
      <c r="BO154" s="481"/>
      <c r="BP154" s="482"/>
      <c r="BQ154" s="482"/>
      <c r="BR154" s="482"/>
      <c r="BS154" s="482"/>
      <c r="BT154" s="2587"/>
      <c r="BU154" s="3397"/>
      <c r="BV154" s="2840"/>
      <c r="BW154" s="2840"/>
      <c r="BX154" s="2840"/>
      <c r="BY154" s="484"/>
      <c r="BZ154" s="484"/>
      <c r="CA154" s="484"/>
      <c r="CB154" s="484">
        <v>0</v>
      </c>
      <c r="CC154" s="484">
        <v>0</v>
      </c>
      <c r="CD154" s="484">
        <v>0</v>
      </c>
      <c r="CE154" s="484">
        <v>0</v>
      </c>
      <c r="CF154" s="484">
        <v>0</v>
      </c>
      <c r="CG154" s="454"/>
      <c r="CH154" s="454"/>
      <c r="CI154" s="454"/>
      <c r="CJ154" s="454"/>
      <c r="CK154" s="454"/>
      <c r="CL154" s="2025" t="str">
        <f t="shared" si="326"/>
        <v>Hollywood Columbus (OH)</v>
      </c>
      <c r="CM154" s="430">
        <f t="shared" si="330"/>
        <v>0</v>
      </c>
      <c r="CN154" s="430">
        <f t="shared" si="331"/>
        <v>0</v>
      </c>
      <c r="CO154" s="430">
        <f t="shared" si="332"/>
        <v>0</v>
      </c>
      <c r="CP154" s="430">
        <f t="shared" si="333"/>
        <v>0</v>
      </c>
      <c r="CQ154" s="430">
        <f t="shared" si="334"/>
        <v>0</v>
      </c>
      <c r="CR154" s="430">
        <f t="shared" si="335"/>
        <v>0</v>
      </c>
      <c r="CS154" s="430">
        <f t="shared" si="336"/>
        <v>82.8</v>
      </c>
      <c r="CT154" s="430">
        <f t="shared" si="337"/>
        <v>60.400000000000006</v>
      </c>
      <c r="CU154" s="430">
        <f t="shared" si="338"/>
        <v>245.40000000000003</v>
      </c>
      <c r="CV154" s="430">
        <f t="shared" si="339"/>
        <v>13.399999999999977</v>
      </c>
      <c r="CW154" s="430">
        <f t="shared" si="340"/>
        <v>0</v>
      </c>
      <c r="CX154" s="430">
        <f t="shared" si="341"/>
        <v>0</v>
      </c>
      <c r="CY154" s="430">
        <f t="shared" si="342"/>
        <v>0</v>
      </c>
      <c r="CZ154" s="430">
        <f t="shared" si="343"/>
        <v>0</v>
      </c>
      <c r="DA154" s="430">
        <f t="shared" si="344"/>
        <v>0</v>
      </c>
      <c r="DB154" s="430">
        <f t="shared" si="345"/>
        <v>0</v>
      </c>
      <c r="DC154" s="853">
        <f t="shared" si="346"/>
        <v>0</v>
      </c>
      <c r="DD154" s="454"/>
      <c r="DE154" s="454"/>
      <c r="DF154" s="463"/>
      <c r="DG154" s="463"/>
      <c r="DH154" s="2840"/>
      <c r="DI154" s="3213"/>
      <c r="DJ154" s="463"/>
      <c r="DK154" s="463"/>
      <c r="DL154" s="463"/>
      <c r="DM154" s="463"/>
      <c r="DN154" s="463"/>
      <c r="DO154" s="463"/>
      <c r="DP154" s="463"/>
      <c r="DQ154" s="463"/>
      <c r="DR154" s="608"/>
      <c r="DS154" s="608"/>
      <c r="DT154" s="608"/>
    </row>
    <row r="155" spans="1:130" ht="12" customHeight="1" x14ac:dyDescent="0.25">
      <c r="A155" s="1167" t="s">
        <v>636</v>
      </c>
      <c r="B155" s="509"/>
      <c r="C155" s="480">
        <v>0</v>
      </c>
      <c r="D155" s="480">
        <v>0</v>
      </c>
      <c r="E155" s="480">
        <v>0</v>
      </c>
      <c r="F155" s="480">
        <v>0</v>
      </c>
      <c r="G155" s="510">
        <f t="shared" si="347"/>
        <v>0</v>
      </c>
      <c r="H155" s="480">
        <v>0</v>
      </c>
      <c r="I155" s="480">
        <v>0</v>
      </c>
      <c r="J155" s="480">
        <v>0</v>
      </c>
      <c r="K155" s="480">
        <v>0</v>
      </c>
      <c r="L155" s="510">
        <f t="shared" si="348"/>
        <v>0</v>
      </c>
      <c r="M155" s="480">
        <v>0</v>
      </c>
      <c r="N155" s="480">
        <v>0</v>
      </c>
      <c r="O155" s="480">
        <v>0</v>
      </c>
      <c r="P155" s="480">
        <v>0</v>
      </c>
      <c r="Q155" s="510">
        <f t="shared" si="349"/>
        <v>0</v>
      </c>
      <c r="R155" s="480">
        <v>0</v>
      </c>
      <c r="S155" s="480">
        <v>0</v>
      </c>
      <c r="T155" s="480">
        <v>0</v>
      </c>
      <c r="U155" s="480">
        <v>0</v>
      </c>
      <c r="V155" s="510">
        <f t="shared" si="350"/>
        <v>0</v>
      </c>
      <c r="W155" s="480">
        <v>0</v>
      </c>
      <c r="X155" s="480">
        <v>0</v>
      </c>
      <c r="Y155" s="480">
        <v>0</v>
      </c>
      <c r="Z155" s="480">
        <v>0</v>
      </c>
      <c r="AA155" s="510">
        <f t="shared" si="351"/>
        <v>0</v>
      </c>
      <c r="AB155" s="480">
        <v>0</v>
      </c>
      <c r="AC155" s="480">
        <v>0</v>
      </c>
      <c r="AD155" s="482">
        <v>0</v>
      </c>
      <c r="AE155" s="482">
        <v>2.5</v>
      </c>
      <c r="AF155" s="481">
        <f t="shared" si="327"/>
        <v>2.5</v>
      </c>
      <c r="AG155" s="482">
        <v>0.2</v>
      </c>
      <c r="AH155" s="482">
        <f>7.2-2.7</f>
        <v>4.5</v>
      </c>
      <c r="AI155" s="482">
        <v>3.4</v>
      </c>
      <c r="AJ155" s="482">
        <f>17.5-AI155-AH155-AG155</f>
        <v>9.4</v>
      </c>
      <c r="AK155" s="481">
        <f t="shared" si="356"/>
        <v>17.5</v>
      </c>
      <c r="AL155" s="482">
        <v>18.600000000000001</v>
      </c>
      <c r="AM155" s="482">
        <f>34.8-AL155</f>
        <v>16.199999999999996</v>
      </c>
      <c r="AN155" s="482">
        <f>72.8-AM155-AL155</f>
        <v>38</v>
      </c>
      <c r="AO155" s="482">
        <v>40</v>
      </c>
      <c r="AP155" s="483">
        <f t="shared" si="352"/>
        <v>112.8</v>
      </c>
      <c r="AQ155" s="1676">
        <f>96.5-AQ154</f>
        <v>51.5</v>
      </c>
      <c r="AR155" s="482">
        <v>50</v>
      </c>
      <c r="AS155" s="482">
        <f>320.8-AR155-AQ155-AP155-AK155</f>
        <v>89.000000000000014</v>
      </c>
      <c r="AT155" s="482">
        <v>0</v>
      </c>
      <c r="AU155" s="483">
        <f t="shared" si="353"/>
        <v>190.5</v>
      </c>
      <c r="AV155" s="1676">
        <v>9</v>
      </c>
      <c r="AW155" s="482">
        <v>1</v>
      </c>
      <c r="AX155" s="430"/>
      <c r="AY155" s="853"/>
      <c r="AZ155" s="481">
        <f t="shared" si="354"/>
        <v>10</v>
      </c>
      <c r="BA155" s="482"/>
      <c r="BB155" s="482"/>
      <c r="BC155" s="482"/>
      <c r="BD155" s="482"/>
      <c r="BE155" s="481">
        <f t="shared" si="328"/>
        <v>0</v>
      </c>
      <c r="BF155" s="482"/>
      <c r="BG155" s="482"/>
      <c r="BH155" s="482"/>
      <c r="BI155" s="482"/>
      <c r="BJ155" s="481">
        <f t="shared" si="329"/>
        <v>0</v>
      </c>
      <c r="BK155" s="482"/>
      <c r="BL155" s="482"/>
      <c r="BM155" s="482"/>
      <c r="BN155" s="482"/>
      <c r="BO155" s="481"/>
      <c r="BP155" s="482"/>
      <c r="BQ155" s="482"/>
      <c r="BR155" s="482"/>
      <c r="BS155" s="482"/>
      <c r="BT155" s="2587"/>
      <c r="BU155" s="3397"/>
      <c r="BV155" s="2840"/>
      <c r="BW155" s="2840"/>
      <c r="BX155" s="2840"/>
      <c r="BY155" s="484"/>
      <c r="BZ155" s="484"/>
      <c r="CA155" s="484"/>
      <c r="CB155" s="484">
        <v>0</v>
      </c>
      <c r="CC155" s="484">
        <v>0</v>
      </c>
      <c r="CD155" s="484">
        <v>0</v>
      </c>
      <c r="CE155" s="484">
        <v>0</v>
      </c>
      <c r="CF155" s="484">
        <v>0</v>
      </c>
      <c r="CG155" s="454"/>
      <c r="CH155" s="454"/>
      <c r="CI155" s="454"/>
      <c r="CJ155" s="454"/>
      <c r="CK155" s="454"/>
      <c r="CL155" s="2025" t="str">
        <f t="shared" si="326"/>
        <v>Hollywood Toledo (OH)</v>
      </c>
      <c r="CM155" s="430">
        <f t="shared" si="330"/>
        <v>0</v>
      </c>
      <c r="CN155" s="430">
        <f t="shared" si="331"/>
        <v>0</v>
      </c>
      <c r="CO155" s="430">
        <f t="shared" si="332"/>
        <v>0</v>
      </c>
      <c r="CP155" s="430">
        <f t="shared" si="333"/>
        <v>0</v>
      </c>
      <c r="CQ155" s="430">
        <f t="shared" si="334"/>
        <v>0</v>
      </c>
      <c r="CR155" s="430">
        <f t="shared" si="335"/>
        <v>2.5</v>
      </c>
      <c r="CS155" s="430">
        <f t="shared" si="336"/>
        <v>17.5</v>
      </c>
      <c r="CT155" s="430">
        <f t="shared" si="337"/>
        <v>112.8</v>
      </c>
      <c r="CU155" s="430">
        <f t="shared" si="338"/>
        <v>190.5</v>
      </c>
      <c r="CV155" s="430">
        <f t="shared" si="339"/>
        <v>10</v>
      </c>
      <c r="CW155" s="430">
        <f t="shared" si="340"/>
        <v>0</v>
      </c>
      <c r="CX155" s="430">
        <f t="shared" si="341"/>
        <v>0</v>
      </c>
      <c r="CY155" s="430">
        <f t="shared" si="342"/>
        <v>0</v>
      </c>
      <c r="CZ155" s="430">
        <f t="shared" si="343"/>
        <v>0</v>
      </c>
      <c r="DA155" s="430">
        <f t="shared" si="344"/>
        <v>0</v>
      </c>
      <c r="DB155" s="430">
        <f t="shared" si="345"/>
        <v>0</v>
      </c>
      <c r="DC155" s="853">
        <f t="shared" si="346"/>
        <v>0</v>
      </c>
      <c r="DD155" s="454"/>
      <c r="DE155" s="454"/>
      <c r="DF155" s="463"/>
      <c r="DG155" s="463"/>
      <c r="DH155" s="2840"/>
      <c r="DI155" s="3213"/>
      <c r="DJ155" s="463"/>
      <c r="DK155" s="463"/>
      <c r="DL155" s="463"/>
      <c r="DM155" s="463"/>
      <c r="DN155" s="463"/>
      <c r="DO155" s="463"/>
      <c r="DP155" s="463"/>
      <c r="DQ155" s="463"/>
      <c r="DR155" s="608"/>
      <c r="DS155" s="608"/>
      <c r="DT155" s="608"/>
    </row>
    <row r="156" spans="1:130" ht="12" customHeight="1" x14ac:dyDescent="0.25">
      <c r="A156" s="1167" t="s">
        <v>1797</v>
      </c>
      <c r="B156" s="509"/>
      <c r="C156" s="480"/>
      <c r="D156" s="480"/>
      <c r="E156" s="480"/>
      <c r="F156" s="480"/>
      <c r="G156" s="510"/>
      <c r="H156" s="480"/>
      <c r="I156" s="480"/>
      <c r="J156" s="480"/>
      <c r="K156" s="480"/>
      <c r="L156" s="510"/>
      <c r="M156" s="480"/>
      <c r="N156" s="480"/>
      <c r="O156" s="480"/>
      <c r="P156" s="480"/>
      <c r="Q156" s="510"/>
      <c r="R156" s="480"/>
      <c r="S156" s="480"/>
      <c r="T156" s="480"/>
      <c r="U156" s="480"/>
      <c r="V156" s="510"/>
      <c r="W156" s="480"/>
      <c r="X156" s="480"/>
      <c r="Y156" s="480"/>
      <c r="Z156" s="480"/>
      <c r="AA156" s="510"/>
      <c r="AB156" s="480"/>
      <c r="AC156" s="480"/>
      <c r="AD156" s="482"/>
      <c r="AE156" s="482">
        <v>12.9</v>
      </c>
      <c r="AF156" s="481">
        <f t="shared" si="327"/>
        <v>12.9</v>
      </c>
      <c r="AG156" s="482">
        <f>-AG1306</f>
        <v>13.55</v>
      </c>
      <c r="AH156" s="482">
        <f>15.8-14.4</f>
        <v>1.4000000000000004</v>
      </c>
      <c r="AI156" s="1054">
        <v>5</v>
      </c>
      <c r="AJ156" s="482">
        <v>7.4</v>
      </c>
      <c r="AK156" s="481">
        <f t="shared" si="356"/>
        <v>27.35</v>
      </c>
      <c r="AL156" s="482">
        <v>11.2</v>
      </c>
      <c r="AM156" s="482">
        <f>21.4-AL156</f>
        <v>10.199999999999999</v>
      </c>
      <c r="AN156" s="482">
        <f>79.9-AM156-AL156-AK156-AF156</f>
        <v>18.25</v>
      </c>
      <c r="AO156" s="482">
        <v>23.6</v>
      </c>
      <c r="AP156" s="481">
        <f t="shared" si="352"/>
        <v>63.25</v>
      </c>
      <c r="AQ156" s="1676">
        <v>19.5</v>
      </c>
      <c r="AR156" s="1054">
        <v>15</v>
      </c>
      <c r="AS156" s="482">
        <v>15</v>
      </c>
      <c r="AT156" s="482">
        <v>0</v>
      </c>
      <c r="AU156" s="483">
        <f t="shared" si="353"/>
        <v>49.5</v>
      </c>
      <c r="AV156" s="483"/>
      <c r="AW156" s="430"/>
      <c r="AX156" s="430"/>
      <c r="AY156" s="853"/>
      <c r="AZ156" s="481">
        <f t="shared" si="354"/>
        <v>0</v>
      </c>
      <c r="BA156" s="430"/>
      <c r="BB156" s="430"/>
      <c r="BC156" s="430"/>
      <c r="BD156" s="430"/>
      <c r="BE156" s="481">
        <f t="shared" si="328"/>
        <v>0</v>
      </c>
      <c r="BF156" s="430"/>
      <c r="BG156" s="430"/>
      <c r="BH156" s="430"/>
      <c r="BI156" s="430"/>
      <c r="BJ156" s="481">
        <f t="shared" si="329"/>
        <v>0</v>
      </c>
      <c r="BK156" s="430"/>
      <c r="BL156" s="430"/>
      <c r="BM156" s="430"/>
      <c r="BN156" s="430"/>
      <c r="BO156" s="481"/>
      <c r="BP156" s="430"/>
      <c r="BQ156" s="430"/>
      <c r="BR156" s="430"/>
      <c r="BS156" s="853"/>
      <c r="BT156" s="3065"/>
      <c r="BU156" s="2840"/>
      <c r="BV156" s="2840"/>
      <c r="BW156" s="2840"/>
      <c r="BX156" s="2840"/>
      <c r="BY156" s="484"/>
      <c r="BZ156" s="484"/>
      <c r="CA156" s="484"/>
      <c r="CB156" s="484">
        <v>0</v>
      </c>
      <c r="CC156" s="484">
        <v>0</v>
      </c>
      <c r="CD156" s="484">
        <v>0</v>
      </c>
      <c r="CE156" s="484">
        <v>0</v>
      </c>
      <c r="CF156" s="484">
        <v>0</v>
      </c>
      <c r="CG156" s="454"/>
      <c r="CH156" s="454"/>
      <c r="CI156" s="454"/>
      <c r="CJ156" s="454"/>
      <c r="CK156" s="454"/>
      <c r="CL156" s="2025" t="str">
        <f t="shared" si="326"/>
        <v>Hollywood Kansas 50/50 JV (KS)</v>
      </c>
      <c r="CM156" s="430">
        <f t="shared" si="330"/>
        <v>0</v>
      </c>
      <c r="CN156" s="430">
        <f t="shared" si="331"/>
        <v>0</v>
      </c>
      <c r="CO156" s="430">
        <f t="shared" si="332"/>
        <v>0</v>
      </c>
      <c r="CP156" s="430">
        <f t="shared" si="333"/>
        <v>0</v>
      </c>
      <c r="CQ156" s="430">
        <f t="shared" si="334"/>
        <v>0</v>
      </c>
      <c r="CR156" s="430">
        <f t="shared" si="335"/>
        <v>12.9</v>
      </c>
      <c r="CS156" s="430">
        <f t="shared" si="336"/>
        <v>27.35</v>
      </c>
      <c r="CT156" s="430">
        <f t="shared" si="337"/>
        <v>63.25</v>
      </c>
      <c r="CU156" s="430">
        <f t="shared" si="338"/>
        <v>49.5</v>
      </c>
      <c r="CV156" s="430">
        <f t="shared" si="339"/>
        <v>0</v>
      </c>
      <c r="CW156" s="430">
        <f t="shared" si="340"/>
        <v>0</v>
      </c>
      <c r="CX156" s="430">
        <f t="shared" si="341"/>
        <v>0</v>
      </c>
      <c r="CY156" s="430">
        <f t="shared" si="342"/>
        <v>0</v>
      </c>
      <c r="CZ156" s="430">
        <f t="shared" si="343"/>
        <v>0</v>
      </c>
      <c r="DA156" s="430">
        <f t="shared" si="344"/>
        <v>0</v>
      </c>
      <c r="DB156" s="430">
        <f t="shared" si="345"/>
        <v>0</v>
      </c>
      <c r="DC156" s="853">
        <f t="shared" si="346"/>
        <v>0</v>
      </c>
      <c r="DD156" s="454"/>
      <c r="DE156" s="454"/>
      <c r="DF156" s="463"/>
      <c r="DG156" s="463"/>
      <c r="DH156" s="2840"/>
      <c r="DI156" s="3213"/>
      <c r="DJ156" s="463"/>
      <c r="DK156" s="463"/>
      <c r="DL156" s="463"/>
      <c r="DM156" s="463"/>
      <c r="DN156" s="463"/>
      <c r="DO156" s="463"/>
      <c r="DP156" s="463"/>
      <c r="DQ156" s="463"/>
      <c r="DR156" s="608"/>
      <c r="DS156" s="608"/>
      <c r="DT156" s="608"/>
    </row>
    <row r="157" spans="1:130" ht="12" customHeight="1" x14ac:dyDescent="0.25">
      <c r="A157" s="1167" t="s">
        <v>2143</v>
      </c>
      <c r="B157" s="509"/>
      <c r="C157" s="480"/>
      <c r="D157" s="480"/>
      <c r="E157" s="480"/>
      <c r="F157" s="480"/>
      <c r="G157" s="510"/>
      <c r="H157" s="480"/>
      <c r="I157" s="480"/>
      <c r="J157" s="480"/>
      <c r="K157" s="480"/>
      <c r="L157" s="510"/>
      <c r="M157" s="480"/>
      <c r="N157" s="480"/>
      <c r="O157" s="480"/>
      <c r="P157" s="480"/>
      <c r="Q157" s="510"/>
      <c r="R157" s="480"/>
      <c r="S157" s="480"/>
      <c r="T157" s="480"/>
      <c r="U157" s="480"/>
      <c r="V157" s="510"/>
      <c r="W157" s="480"/>
      <c r="X157" s="480"/>
      <c r="Y157" s="480"/>
      <c r="Z157" s="480"/>
      <c r="AA157" s="510"/>
      <c r="AB157" s="480"/>
      <c r="AC157" s="480"/>
      <c r="AD157" s="482"/>
      <c r="AE157" s="482"/>
      <c r="AF157" s="481"/>
      <c r="AG157" s="482"/>
      <c r="AH157" s="482"/>
      <c r="AI157" s="1054"/>
      <c r="AJ157" s="482"/>
      <c r="AK157" s="481"/>
      <c r="AL157" s="482"/>
      <c r="AM157" s="482"/>
      <c r="AN157" s="482"/>
      <c r="AO157" s="482"/>
      <c r="AP157" s="481">
        <f t="shared" si="352"/>
        <v>0</v>
      </c>
      <c r="AQ157" s="1676"/>
      <c r="AR157" s="1054"/>
      <c r="AS157" s="482"/>
      <c r="AT157" s="482">
        <v>8.9</v>
      </c>
      <c r="AU157" s="483">
        <f t="shared" si="353"/>
        <v>8.9</v>
      </c>
      <c r="AV157" s="1676">
        <f>23.4-11</f>
        <v>12.399999999999999</v>
      </c>
      <c r="AW157" s="482">
        <f>32.8-23.4</f>
        <v>9.3999999999999986</v>
      </c>
      <c r="AX157" s="482">
        <f>40.6-SUM(AW157,AV157,AT157)</f>
        <v>9.9000000000000057</v>
      </c>
      <c r="AY157" s="482">
        <f>61-SUM(AX157,AW157,AV157,AT157)</f>
        <v>20.399999999999999</v>
      </c>
      <c r="AZ157" s="481">
        <f t="shared" si="354"/>
        <v>52.1</v>
      </c>
      <c r="BA157" s="430"/>
      <c r="BB157" s="430"/>
      <c r="BC157" s="430"/>
      <c r="BD157" s="430"/>
      <c r="BE157" s="481">
        <f t="shared" si="328"/>
        <v>0</v>
      </c>
      <c r="BF157" s="430"/>
      <c r="BG157" s="430"/>
      <c r="BH157" s="430"/>
      <c r="BI157" s="430"/>
      <c r="BJ157" s="481">
        <f t="shared" si="329"/>
        <v>0</v>
      </c>
      <c r="BK157" s="430"/>
      <c r="BL157" s="430"/>
      <c r="BM157" s="430"/>
      <c r="BN157" s="430"/>
      <c r="BO157" s="481"/>
      <c r="BP157" s="430"/>
      <c r="BQ157" s="430"/>
      <c r="BR157" s="430"/>
      <c r="BS157" s="853"/>
      <c r="BT157" s="3065"/>
      <c r="BU157" s="2840"/>
      <c r="BV157" s="2840"/>
      <c r="BW157" s="2840"/>
      <c r="BX157" s="2840"/>
      <c r="BY157" s="484"/>
      <c r="BZ157" s="484"/>
      <c r="CA157" s="484"/>
      <c r="CB157" s="484">
        <v>0</v>
      </c>
      <c r="CC157" s="484">
        <v>0</v>
      </c>
      <c r="CD157" s="484">
        <v>0</v>
      </c>
      <c r="CE157" s="484">
        <v>0</v>
      </c>
      <c r="CF157" s="484">
        <v>0</v>
      </c>
      <c r="CG157" s="454"/>
      <c r="CH157" s="454"/>
      <c r="CI157" s="454"/>
      <c r="CJ157" s="454"/>
      <c r="CK157" s="454"/>
      <c r="CL157" s="2025"/>
      <c r="CM157" s="430"/>
      <c r="CN157" s="430"/>
      <c r="CO157" s="430"/>
      <c r="CP157" s="430"/>
      <c r="CQ157" s="430"/>
      <c r="CR157" s="430"/>
      <c r="CS157" s="430"/>
      <c r="CT157" s="430"/>
      <c r="CU157" s="430"/>
      <c r="CV157" s="430"/>
      <c r="CW157" s="430"/>
      <c r="CX157" s="430"/>
      <c r="CY157" s="430"/>
      <c r="CZ157" s="430"/>
      <c r="DA157" s="430"/>
      <c r="DB157" s="430"/>
      <c r="DC157" s="853"/>
      <c r="DD157" s="454"/>
      <c r="DE157" s="454"/>
      <c r="DF157" s="463"/>
      <c r="DG157" s="463"/>
      <c r="DH157" s="2840"/>
      <c r="DI157" s="3213"/>
      <c r="DJ157" s="463"/>
      <c r="DK157" s="463"/>
      <c r="DL157" s="463"/>
      <c r="DM157" s="463"/>
      <c r="DN157" s="463"/>
      <c r="DO157" s="463"/>
      <c r="DP157" s="463"/>
      <c r="DQ157" s="463"/>
      <c r="DR157" s="608"/>
      <c r="DS157" s="608"/>
      <c r="DT157" s="608"/>
    </row>
    <row r="158" spans="1:130" s="1049" customFormat="1" ht="12" customHeight="1" x14ac:dyDescent="0.25">
      <c r="A158" s="2025" t="s">
        <v>428</v>
      </c>
      <c r="B158" s="430"/>
      <c r="C158" s="482"/>
      <c r="D158" s="482"/>
      <c r="E158" s="482"/>
      <c r="F158" s="482"/>
      <c r="G158" s="481"/>
      <c r="H158" s="482"/>
      <c r="I158" s="482"/>
      <c r="J158" s="482"/>
      <c r="K158" s="482"/>
      <c r="L158" s="481"/>
      <c r="M158" s="482"/>
      <c r="N158" s="482"/>
      <c r="O158" s="482"/>
      <c r="P158" s="482"/>
      <c r="Q158" s="481"/>
      <c r="R158" s="482"/>
      <c r="S158" s="482"/>
      <c r="T158" s="482"/>
      <c r="U158" s="482"/>
      <c r="V158" s="481"/>
      <c r="W158" s="482"/>
      <c r="X158" s="482"/>
      <c r="Y158" s="482"/>
      <c r="Z158" s="482"/>
      <c r="AA158" s="481"/>
      <c r="AB158" s="482"/>
      <c r="AC158" s="482"/>
      <c r="AD158" s="482"/>
      <c r="AE158" s="482"/>
      <c r="AF158" s="481"/>
      <c r="AG158" s="482"/>
      <c r="AH158" s="482"/>
      <c r="AI158" s="1054"/>
      <c r="AJ158" s="482"/>
      <c r="AK158" s="481"/>
      <c r="AL158" s="482"/>
      <c r="AM158" s="482"/>
      <c r="AN158" s="482"/>
      <c r="AO158" s="482"/>
      <c r="AP158" s="481">
        <f t="shared" si="352"/>
        <v>0</v>
      </c>
      <c r="AQ158" s="1676"/>
      <c r="AR158" s="1054"/>
      <c r="AS158" s="482"/>
      <c r="AT158" s="482"/>
      <c r="AU158" s="483">
        <f t="shared" si="353"/>
        <v>0</v>
      </c>
      <c r="AV158" s="1676"/>
      <c r="AW158" s="482"/>
      <c r="AX158" s="482"/>
      <c r="AY158" s="482">
        <f>0.6+0.7</f>
        <v>1.2999999999999998</v>
      </c>
      <c r="AZ158" s="481">
        <f t="shared" si="354"/>
        <v>1.2999999999999998</v>
      </c>
      <c r="BA158" s="482">
        <f>2.2+2.2</f>
        <v>4.4000000000000004</v>
      </c>
      <c r="BB158" s="482">
        <f>15.9+15.9-BA158</f>
        <v>27.4</v>
      </c>
      <c r="BC158" s="482">
        <f>57.1+52.1-SUM(BA158:BB158)-AZ158</f>
        <v>76.100000000000009</v>
      </c>
      <c r="BD158" s="888">
        <f>62.5+66.4-SUM(AZ158:BC158)</f>
        <v>19.699999999999989</v>
      </c>
      <c r="BE158" s="481">
        <f t="shared" si="328"/>
        <v>127.6</v>
      </c>
      <c r="BF158" s="482">
        <v>0</v>
      </c>
      <c r="BG158" s="482">
        <v>0</v>
      </c>
      <c r="BH158" s="482">
        <f>(4.8+25)*2</f>
        <v>59.6</v>
      </c>
      <c r="BI158" s="482">
        <v>0</v>
      </c>
      <c r="BJ158" s="481">
        <f t="shared" si="329"/>
        <v>59.6</v>
      </c>
      <c r="BK158" s="482">
        <f>4.8*2</f>
        <v>9.6</v>
      </c>
      <c r="BL158" s="2970"/>
      <c r="BM158" s="482">
        <f>4.8*2</f>
        <v>9.6</v>
      </c>
      <c r="BN158" s="482"/>
      <c r="BO158" s="481">
        <f>SUM(BK158:BN158)</f>
        <v>19.2</v>
      </c>
      <c r="BP158" s="482">
        <f>4.8*2</f>
        <v>9.6</v>
      </c>
      <c r="BQ158" s="482"/>
      <c r="BR158" s="482">
        <f>4.8*2</f>
        <v>9.6</v>
      </c>
      <c r="BS158" s="862"/>
      <c r="BT158" s="3065">
        <f>+BO158</f>
        <v>19.2</v>
      </c>
      <c r="BU158" s="482">
        <v>9.6</v>
      </c>
      <c r="BV158" s="482"/>
      <c r="BW158" s="482">
        <v>9.6</v>
      </c>
      <c r="BX158" s="482"/>
      <c r="BY158" s="2587">
        <f>SUM(BU158:BX158)</f>
        <v>19.2</v>
      </c>
      <c r="BZ158" s="484">
        <f t="shared" ref="BZ158:CE158" si="357">(4.8*2)*2</f>
        <v>19.2</v>
      </c>
      <c r="CA158" s="484">
        <f t="shared" si="357"/>
        <v>19.2</v>
      </c>
      <c r="CB158" s="484">
        <f t="shared" si="357"/>
        <v>19.2</v>
      </c>
      <c r="CC158" s="484">
        <f t="shared" si="357"/>
        <v>19.2</v>
      </c>
      <c r="CD158" s="484">
        <f t="shared" si="357"/>
        <v>19.2</v>
      </c>
      <c r="CE158" s="484">
        <f t="shared" si="357"/>
        <v>19.2</v>
      </c>
      <c r="CF158" s="484">
        <v>0</v>
      </c>
      <c r="CG158" s="454"/>
      <c r="CH158" s="454"/>
      <c r="CI158" s="454"/>
      <c r="CJ158" s="454"/>
      <c r="CK158" s="454"/>
      <c r="CL158" s="2025"/>
      <c r="CM158" s="430"/>
      <c r="CN158" s="430"/>
      <c r="CO158" s="430"/>
      <c r="CP158" s="430"/>
      <c r="CQ158" s="430"/>
      <c r="CR158" s="430"/>
      <c r="CS158" s="430"/>
      <c r="CT158" s="430"/>
      <c r="CU158" s="430"/>
      <c r="CV158" s="430"/>
      <c r="CW158" s="430"/>
      <c r="CX158" s="430"/>
      <c r="CY158" s="430"/>
      <c r="CZ158" s="430"/>
      <c r="DA158" s="430"/>
      <c r="DB158" s="430"/>
      <c r="DC158" s="853"/>
      <c r="DD158" s="454"/>
      <c r="DE158" s="454"/>
      <c r="DF158" s="463"/>
      <c r="DG158" s="463"/>
      <c r="DH158" s="2840"/>
      <c r="DI158" s="3213"/>
      <c r="DJ158" s="463"/>
      <c r="DK158" s="463"/>
      <c r="DL158" s="463"/>
      <c r="DM158" s="463"/>
      <c r="DN158" s="463"/>
      <c r="DO158" s="463"/>
      <c r="DP158" s="463"/>
      <c r="DQ158" s="463"/>
      <c r="DR158" s="608"/>
      <c r="DS158" s="608"/>
      <c r="DT158" s="608"/>
      <c r="DU158"/>
      <c r="DV158"/>
      <c r="DW158"/>
      <c r="DX158"/>
      <c r="DY158"/>
      <c r="DZ158"/>
    </row>
    <row r="159" spans="1:130" ht="12" customHeight="1" x14ac:dyDescent="0.25">
      <c r="A159" s="2694" t="s">
        <v>204</v>
      </c>
      <c r="B159" s="509"/>
      <c r="C159" s="480"/>
      <c r="D159" s="480"/>
      <c r="E159" s="480"/>
      <c r="F159" s="480"/>
      <c r="G159" s="510"/>
      <c r="H159" s="480"/>
      <c r="I159" s="480"/>
      <c r="J159" s="480"/>
      <c r="K159" s="480"/>
      <c r="L159" s="510"/>
      <c r="M159" s="480"/>
      <c r="N159" s="480"/>
      <c r="O159" s="480"/>
      <c r="P159" s="480"/>
      <c r="Q159" s="510"/>
      <c r="R159" s="480"/>
      <c r="S159" s="480"/>
      <c r="T159" s="480"/>
      <c r="U159" s="480"/>
      <c r="V159" s="510"/>
      <c r="W159" s="480"/>
      <c r="X159" s="480"/>
      <c r="Y159" s="480"/>
      <c r="Z159" s="480"/>
      <c r="AA159" s="510"/>
      <c r="AB159" s="480"/>
      <c r="AC159" s="480"/>
      <c r="AD159" s="482"/>
      <c r="AE159" s="482"/>
      <c r="AF159" s="481"/>
      <c r="AG159" s="482"/>
      <c r="AH159" s="482"/>
      <c r="AI159" s="1054"/>
      <c r="AJ159" s="482"/>
      <c r="AK159" s="481"/>
      <c r="AL159" s="482"/>
      <c r="AM159" s="482"/>
      <c r="AN159" s="482"/>
      <c r="AO159" s="482"/>
      <c r="AP159" s="483"/>
      <c r="AQ159" s="1676"/>
      <c r="AR159" s="1054"/>
      <c r="AS159" s="482"/>
      <c r="AT159" s="482"/>
      <c r="AU159" s="483"/>
      <c r="AV159" s="1676"/>
      <c r="AW159" s="482"/>
      <c r="AX159" s="482"/>
      <c r="AY159" s="482"/>
      <c r="AZ159" s="481"/>
      <c r="BA159" s="482">
        <v>25</v>
      </c>
      <c r="BB159" s="482">
        <f>69.3-BA159</f>
        <v>44.3</v>
      </c>
      <c r="BC159" s="482">
        <f>91.1-SUM(BA159:BB159)</f>
        <v>21.799999999999997</v>
      </c>
      <c r="BD159" s="482">
        <f>115.7-SUM(BA159:BC159)</f>
        <v>24.600000000000009</v>
      </c>
      <c r="BE159" s="481">
        <f t="shared" si="328"/>
        <v>115.7</v>
      </c>
      <c r="BF159" s="482">
        <f>144.6-BE159</f>
        <v>28.899999999999991</v>
      </c>
      <c r="BG159" s="482">
        <f>220.1-BF159-BE159</f>
        <v>75.499999999999986</v>
      </c>
      <c r="BH159" s="2953">
        <f>253.4-BG159-BF159-BE159</f>
        <v>33.300000000000054</v>
      </c>
      <c r="BI159" s="482">
        <f>266-BH159-BG159-BF159-BE159</f>
        <v>12.599999999999952</v>
      </c>
      <c r="BJ159" s="481">
        <f t="shared" si="329"/>
        <v>150.30000000000001</v>
      </c>
      <c r="BK159" s="482"/>
      <c r="BL159" s="482"/>
      <c r="BM159" s="2979"/>
      <c r="BN159" s="482"/>
      <c r="BO159" s="481">
        <f>SUM(BK159:BN159)</f>
        <v>0</v>
      </c>
      <c r="BP159" s="2979"/>
      <c r="BQ159" s="2979"/>
      <c r="BR159" s="2979"/>
      <c r="BS159" s="3273"/>
      <c r="BT159" s="3065">
        <f>SUM(BP159:BS159)</f>
        <v>0</v>
      </c>
      <c r="BU159" s="2840">
        <v>0</v>
      </c>
      <c r="BV159" s="2840">
        <v>0</v>
      </c>
      <c r="BW159" s="2840">
        <v>0</v>
      </c>
      <c r="BX159" s="2840">
        <v>0</v>
      </c>
      <c r="BY159" s="2587">
        <f>SUM(BU159:BX159)</f>
        <v>0</v>
      </c>
      <c r="BZ159" s="484">
        <v>0</v>
      </c>
      <c r="CA159" s="484">
        <v>0</v>
      </c>
      <c r="CB159" s="484">
        <v>0</v>
      </c>
      <c r="CC159" s="484">
        <v>0</v>
      </c>
      <c r="CD159" s="484">
        <v>0</v>
      </c>
      <c r="CE159" s="484">
        <v>0</v>
      </c>
      <c r="CF159" s="484">
        <v>0</v>
      </c>
      <c r="CG159" s="454"/>
      <c r="CH159" s="454"/>
      <c r="CI159" s="454"/>
      <c r="CJ159" s="454"/>
      <c r="CK159" s="454"/>
      <c r="CL159" s="2025"/>
      <c r="CM159" s="430"/>
      <c r="CN159" s="430"/>
      <c r="CO159" s="430"/>
      <c r="CP159" s="430"/>
      <c r="CQ159" s="430"/>
      <c r="CR159" s="430"/>
      <c r="CS159" s="430"/>
      <c r="CT159" s="430"/>
      <c r="CU159" s="430"/>
      <c r="CV159" s="430"/>
      <c r="CW159" s="430"/>
      <c r="CX159" s="430"/>
      <c r="CY159" s="430"/>
      <c r="CZ159" s="430"/>
      <c r="DA159" s="430"/>
      <c r="DB159" s="430"/>
      <c r="DC159" s="853"/>
      <c r="DD159" s="454"/>
      <c r="DE159" s="454"/>
      <c r="DF159" s="463"/>
      <c r="DG159" s="463"/>
      <c r="DH159" s="2840"/>
      <c r="DI159" s="3213"/>
      <c r="DJ159" s="463"/>
      <c r="DK159" s="463"/>
      <c r="DL159" s="463"/>
      <c r="DM159" s="463"/>
      <c r="DN159" s="463"/>
      <c r="DO159" s="463"/>
      <c r="DP159" s="463"/>
      <c r="DQ159" s="463"/>
      <c r="DR159" s="608"/>
      <c r="DS159" s="608"/>
      <c r="DT159" s="608"/>
    </row>
    <row r="160" spans="1:130" ht="12" customHeight="1" x14ac:dyDescent="0.25">
      <c r="A160" s="2694" t="s">
        <v>2292</v>
      </c>
      <c r="B160" s="509"/>
      <c r="C160" s="480"/>
      <c r="D160" s="480"/>
      <c r="E160" s="480"/>
      <c r="F160" s="480"/>
      <c r="G160" s="510"/>
      <c r="H160" s="480"/>
      <c r="I160" s="480"/>
      <c r="J160" s="480"/>
      <c r="K160" s="480"/>
      <c r="L160" s="510"/>
      <c r="M160" s="480"/>
      <c r="N160" s="480"/>
      <c r="O160" s="480"/>
      <c r="P160" s="480"/>
      <c r="Q160" s="510"/>
      <c r="R160" s="480"/>
      <c r="S160" s="480"/>
      <c r="T160" s="480"/>
      <c r="U160" s="480"/>
      <c r="V160" s="510"/>
      <c r="W160" s="480"/>
      <c r="X160" s="480"/>
      <c r="Y160" s="480"/>
      <c r="Z160" s="480"/>
      <c r="AA160" s="510"/>
      <c r="AB160" s="480"/>
      <c r="AC160" s="480"/>
      <c r="AD160" s="482"/>
      <c r="AE160" s="482"/>
      <c r="AF160" s="481"/>
      <c r="AG160" s="482"/>
      <c r="AH160" s="482"/>
      <c r="AI160" s="1054"/>
      <c r="AJ160" s="482"/>
      <c r="AK160" s="481"/>
      <c r="AL160" s="482"/>
      <c r="AM160" s="482"/>
      <c r="AN160" s="482"/>
      <c r="AO160" s="482"/>
      <c r="AP160" s="483"/>
      <c r="AQ160" s="1676"/>
      <c r="AR160" s="1054"/>
      <c r="AS160" s="482"/>
      <c r="AT160" s="482"/>
      <c r="AU160" s="483"/>
      <c r="AV160" s="1676"/>
      <c r="AW160" s="482"/>
      <c r="AX160" s="482"/>
      <c r="AY160" s="482"/>
      <c r="AZ160" s="481"/>
      <c r="BA160" s="2840">
        <f>+BA1227-AZ1227</f>
        <v>15.5</v>
      </c>
      <c r="BB160" s="2840">
        <f t="shared" ref="BB160:BI160" si="358">+BB1227-BA1227</f>
        <v>8.6000000000000014</v>
      </c>
      <c r="BC160" s="2840">
        <f t="shared" si="358"/>
        <v>12.299999999999997</v>
      </c>
      <c r="BD160" s="2840">
        <f t="shared" si="358"/>
        <v>16</v>
      </c>
      <c r="BE160" s="481">
        <f>SUM(BA160:BD160)</f>
        <v>52.4</v>
      </c>
      <c r="BF160" s="2840">
        <f t="shared" si="358"/>
        <v>16.399999999999999</v>
      </c>
      <c r="BG160" s="2840">
        <f t="shared" si="358"/>
        <v>22.100000000000009</v>
      </c>
      <c r="BH160" s="2840">
        <f t="shared" si="358"/>
        <v>25.799999999999997</v>
      </c>
      <c r="BI160" s="2840">
        <f t="shared" si="358"/>
        <v>41.399999999999991</v>
      </c>
      <c r="BJ160" s="2587">
        <f>SUM(BF160:BI160)</f>
        <v>105.7</v>
      </c>
      <c r="BK160" s="2840">
        <f>+BK1227-BJ1227</f>
        <v>51.800000000000011</v>
      </c>
      <c r="BL160" s="2840">
        <f>+BL1227-BK1227</f>
        <v>50.400000000000006</v>
      </c>
      <c r="BM160" s="2840">
        <f>+BM1227-BL1227</f>
        <v>65.699999999999989</v>
      </c>
      <c r="BN160" s="2840">
        <f>+BN1227-BM1227</f>
        <v>-228</v>
      </c>
      <c r="BO160" s="2587">
        <f>SUM(BK160:BN160)</f>
        <v>-60.099999999999994</v>
      </c>
      <c r="BP160" s="2840">
        <v>0</v>
      </c>
      <c r="BQ160" s="2840">
        <v>0</v>
      </c>
      <c r="BR160" s="2840">
        <v>0</v>
      </c>
      <c r="BS160" s="3065">
        <v>0</v>
      </c>
      <c r="BT160" s="2587">
        <f>SUM(BP160:BS160)</f>
        <v>0</v>
      </c>
      <c r="BU160" s="2840">
        <v>0</v>
      </c>
      <c r="BV160" s="2840">
        <v>0</v>
      </c>
      <c r="BW160" s="2840">
        <v>0</v>
      </c>
      <c r="BX160" s="2840">
        <v>0</v>
      </c>
      <c r="BY160" s="2587">
        <f>SUM(BU160:BX160)</f>
        <v>0</v>
      </c>
      <c r="BZ160" s="484">
        <v>0</v>
      </c>
      <c r="CA160" s="484">
        <v>0</v>
      </c>
      <c r="CB160" s="484">
        <v>0</v>
      </c>
      <c r="CC160" s="484">
        <v>0</v>
      </c>
      <c r="CD160" s="484">
        <v>0</v>
      </c>
      <c r="CE160" s="484">
        <v>0</v>
      </c>
      <c r="CF160" s="484">
        <v>0</v>
      </c>
      <c r="CG160" s="454"/>
      <c r="CH160" s="454"/>
      <c r="CI160" s="454"/>
      <c r="CJ160" s="454"/>
      <c r="CK160" s="454"/>
      <c r="CL160" s="2025"/>
      <c r="CM160" s="430"/>
      <c r="CN160" s="430"/>
      <c r="CO160" s="430"/>
      <c r="CP160" s="430"/>
      <c r="CQ160" s="430"/>
      <c r="CR160" s="430"/>
      <c r="CS160" s="430"/>
      <c r="CT160" s="430"/>
      <c r="CU160" s="430"/>
      <c r="CV160" s="430"/>
      <c r="CW160" s="430"/>
      <c r="CX160" s="430"/>
      <c r="CY160" s="430"/>
      <c r="CZ160" s="430"/>
      <c r="DA160" s="430"/>
      <c r="DB160" s="430"/>
      <c r="DC160" s="853"/>
      <c r="DD160" s="454"/>
      <c r="DE160" s="454"/>
      <c r="DF160" s="463"/>
      <c r="DG160" s="463"/>
      <c r="DH160" s="2840"/>
      <c r="DI160" s="3213"/>
      <c r="DJ160" s="463"/>
      <c r="DK160" s="463"/>
      <c r="DL160" s="463"/>
      <c r="DM160" s="463"/>
      <c r="DN160" s="463"/>
      <c r="DO160" s="463"/>
      <c r="DP160" s="463"/>
      <c r="DQ160" s="463"/>
      <c r="DR160" s="608"/>
      <c r="DS160" s="608"/>
      <c r="DT160" s="608"/>
    </row>
    <row r="161" spans="1:124" ht="12" customHeight="1" x14ac:dyDescent="0.25">
      <c r="A161" s="2694" t="s">
        <v>2370</v>
      </c>
      <c r="B161" s="509"/>
      <c r="C161" s="480"/>
      <c r="D161" s="480"/>
      <c r="E161" s="480"/>
      <c r="F161" s="480"/>
      <c r="G161" s="510"/>
      <c r="H161" s="480"/>
      <c r="I161" s="480"/>
      <c r="J161" s="480"/>
      <c r="K161" s="480"/>
      <c r="L161" s="510"/>
      <c r="M161" s="480"/>
      <c r="N161" s="480"/>
      <c r="O161" s="480"/>
      <c r="P161" s="480"/>
      <c r="Q161" s="510"/>
      <c r="R161" s="480"/>
      <c r="S161" s="480"/>
      <c r="T161" s="480"/>
      <c r="U161" s="480"/>
      <c r="V161" s="510"/>
      <c r="W161" s="480"/>
      <c r="X161" s="480"/>
      <c r="Y161" s="480"/>
      <c r="Z161" s="480"/>
      <c r="AA161" s="510"/>
      <c r="AB161" s="480"/>
      <c r="AC161" s="480"/>
      <c r="AD161" s="482"/>
      <c r="AE161" s="482"/>
      <c r="AF161" s="481"/>
      <c r="AG161" s="482"/>
      <c r="AH161" s="482"/>
      <c r="AI161" s="1054"/>
      <c r="AJ161" s="482"/>
      <c r="AK161" s="481"/>
      <c r="AL161" s="482"/>
      <c r="AM161" s="482"/>
      <c r="AN161" s="482"/>
      <c r="AO161" s="482"/>
      <c r="AP161" s="483"/>
      <c r="AQ161" s="1676"/>
      <c r="AR161" s="1054"/>
      <c r="AS161" s="482"/>
      <c r="AT161" s="482"/>
      <c r="AU161" s="483"/>
      <c r="AV161" s="1676"/>
      <c r="AW161" s="482"/>
      <c r="AX161" s="482"/>
      <c r="AY161" s="482"/>
      <c r="AZ161" s="481"/>
      <c r="BA161" s="2840"/>
      <c r="BB161" s="2840"/>
      <c r="BC161" s="2840"/>
      <c r="BD161" s="2840"/>
      <c r="BE161" s="481"/>
      <c r="BF161" s="2840"/>
      <c r="BG161" s="2840"/>
      <c r="BH161" s="2953"/>
      <c r="BI161" s="2953">
        <v>1</v>
      </c>
      <c r="BJ161" s="2587">
        <f>SUM(BF161:BI161)</f>
        <v>1</v>
      </c>
      <c r="BK161" s="2953">
        <v>3</v>
      </c>
      <c r="BL161" s="482">
        <v>3</v>
      </c>
      <c r="BM161" s="482">
        <v>3</v>
      </c>
      <c r="BN161" s="482">
        <v>3</v>
      </c>
      <c r="BO161" s="2587">
        <f>SUM(BK161:BN161)</f>
        <v>12</v>
      </c>
      <c r="BP161" s="482">
        <v>8.5</v>
      </c>
      <c r="BQ161" s="482">
        <v>8</v>
      </c>
      <c r="BR161" s="482">
        <v>7</v>
      </c>
      <c r="BS161" s="862">
        <v>3.7</v>
      </c>
      <c r="BT161" s="3065">
        <f>SUM(BP161:BS161)</f>
        <v>27.2</v>
      </c>
      <c r="BU161" s="2840">
        <v>0</v>
      </c>
      <c r="BV161" s="2840">
        <v>0</v>
      </c>
      <c r="BW161" s="2840">
        <v>0</v>
      </c>
      <c r="BX161" s="2840">
        <v>0</v>
      </c>
      <c r="BY161" s="2587">
        <f>SUM(BU161:BX161)</f>
        <v>0</v>
      </c>
      <c r="BZ161" s="484">
        <v>0</v>
      </c>
      <c r="CA161" s="484">
        <v>0</v>
      </c>
      <c r="CB161" s="484">
        <v>0</v>
      </c>
      <c r="CC161" s="484">
        <v>0</v>
      </c>
      <c r="CD161" s="484">
        <v>0</v>
      </c>
      <c r="CE161" s="484">
        <v>0</v>
      </c>
      <c r="CF161" s="484">
        <v>0</v>
      </c>
      <c r="CG161" s="454"/>
      <c r="CH161" s="454"/>
      <c r="CI161" s="454"/>
      <c r="CJ161" s="454"/>
      <c r="CK161" s="454"/>
      <c r="CL161" s="2025"/>
      <c r="CM161" s="430"/>
      <c r="CN161" s="430"/>
      <c r="CO161" s="430"/>
      <c r="CP161" s="430"/>
      <c r="CQ161" s="430"/>
      <c r="CR161" s="430"/>
      <c r="CS161" s="430"/>
      <c r="CT161" s="430"/>
      <c r="CU161" s="430"/>
      <c r="CV161" s="430"/>
      <c r="CW161" s="430"/>
      <c r="CX161" s="430"/>
      <c r="CY161" s="430"/>
      <c r="CZ161" s="430"/>
      <c r="DA161" s="430"/>
      <c r="DB161" s="430"/>
      <c r="DC161" s="853"/>
      <c r="DD161" s="454"/>
      <c r="DE161" s="454"/>
      <c r="DF161" s="463"/>
      <c r="DG161" s="463"/>
      <c r="DH161" s="2840"/>
      <c r="DI161" s="3213"/>
      <c r="DJ161" s="463"/>
      <c r="DK161" s="463"/>
      <c r="DL161" s="463"/>
      <c r="DM161" s="463"/>
      <c r="DN161" s="463"/>
      <c r="DO161" s="463"/>
      <c r="DP161" s="463"/>
      <c r="DQ161" s="463"/>
      <c r="DR161" s="608"/>
      <c r="DS161" s="608"/>
      <c r="DT161" s="608"/>
    </row>
    <row r="162" spans="1:124" ht="12" customHeight="1" x14ac:dyDescent="0.25">
      <c r="A162" s="2694" t="s">
        <v>2371</v>
      </c>
      <c r="B162" s="509"/>
      <c r="C162" s="480"/>
      <c r="D162" s="480"/>
      <c r="E162" s="480"/>
      <c r="F162" s="480"/>
      <c r="G162" s="510"/>
      <c r="H162" s="480"/>
      <c r="I162" s="480"/>
      <c r="J162" s="480"/>
      <c r="K162" s="480"/>
      <c r="L162" s="510"/>
      <c r="M162" s="480"/>
      <c r="N162" s="480"/>
      <c r="O162" s="480"/>
      <c r="P162" s="480"/>
      <c r="Q162" s="510"/>
      <c r="R162" s="480"/>
      <c r="S162" s="480"/>
      <c r="T162" s="480"/>
      <c r="U162" s="480"/>
      <c r="V162" s="510"/>
      <c r="W162" s="480"/>
      <c r="X162" s="480"/>
      <c r="Y162" s="480"/>
      <c r="Z162" s="480"/>
      <c r="AA162" s="510"/>
      <c r="AB162" s="480"/>
      <c r="AC162" s="480"/>
      <c r="AD162" s="482"/>
      <c r="AE162" s="482"/>
      <c r="AF162" s="481"/>
      <c r="AG162" s="482"/>
      <c r="AH162" s="482"/>
      <c r="AI162" s="1054"/>
      <c r="AJ162" s="482"/>
      <c r="AK162" s="481"/>
      <c r="AL162" s="482"/>
      <c r="AM162" s="482"/>
      <c r="AN162" s="482"/>
      <c r="AO162" s="482"/>
      <c r="AP162" s="483"/>
      <c r="AQ162" s="1676"/>
      <c r="AR162" s="1054"/>
      <c r="AS162" s="482"/>
      <c r="AT162" s="482"/>
      <c r="AU162" s="483"/>
      <c r="AV162" s="1676"/>
      <c r="AW162" s="482"/>
      <c r="AX162" s="482"/>
      <c r="AY162" s="482"/>
      <c r="AZ162" s="481"/>
      <c r="BA162" s="2840"/>
      <c r="BB162" s="2840"/>
      <c r="BC162" s="2840"/>
      <c r="BD162" s="2840"/>
      <c r="BE162" s="481"/>
      <c r="BF162" s="2840"/>
      <c r="BG162" s="2840"/>
      <c r="BH162" s="2953"/>
      <c r="BI162" s="2953">
        <v>0</v>
      </c>
      <c r="BJ162" s="2587">
        <f>SUM(BF162:BI162)</f>
        <v>0</v>
      </c>
      <c r="BK162" s="482">
        <v>0</v>
      </c>
      <c r="BL162" s="482">
        <v>0</v>
      </c>
      <c r="BM162" s="482">
        <v>0</v>
      </c>
      <c r="BN162" s="482">
        <v>0</v>
      </c>
      <c r="BO162" s="2587">
        <f>SUM(BK162:BN162)</f>
        <v>0</v>
      </c>
      <c r="BP162" s="482">
        <v>0</v>
      </c>
      <c r="BQ162" s="482">
        <v>0</v>
      </c>
      <c r="BR162" s="482">
        <v>0</v>
      </c>
      <c r="BS162" s="862">
        <v>0</v>
      </c>
      <c r="BT162" s="3065">
        <f>SUM(BP162:BS162)</f>
        <v>0</v>
      </c>
      <c r="BU162" s="2840">
        <v>0</v>
      </c>
      <c r="BV162" s="2840">
        <v>0</v>
      </c>
      <c r="BW162" s="2840">
        <v>0</v>
      </c>
      <c r="BX162" s="2840">
        <v>0</v>
      </c>
      <c r="BY162" s="2587">
        <f>SUM(BU162:BX162)</f>
        <v>0</v>
      </c>
      <c r="BZ162" s="484">
        <v>0</v>
      </c>
      <c r="CA162" s="484">
        <v>0</v>
      </c>
      <c r="CB162" s="484">
        <v>0</v>
      </c>
      <c r="CC162" s="484">
        <v>0</v>
      </c>
      <c r="CD162" s="484">
        <v>0</v>
      </c>
      <c r="CE162" s="484">
        <v>0</v>
      </c>
      <c r="CF162" s="484">
        <v>0</v>
      </c>
      <c r="CG162" s="454"/>
      <c r="CH162" s="454"/>
      <c r="CI162" s="454"/>
      <c r="CJ162" s="454"/>
      <c r="CK162" s="454"/>
      <c r="CL162" s="2025"/>
      <c r="CM162" s="430"/>
      <c r="CN162" s="430"/>
      <c r="CO162" s="430"/>
      <c r="CP162" s="430"/>
      <c r="CQ162" s="430"/>
      <c r="CR162" s="430"/>
      <c r="CS162" s="430"/>
      <c r="CT162" s="430"/>
      <c r="CU162" s="430"/>
      <c r="CV162" s="430"/>
      <c r="CW162" s="430"/>
      <c r="CX162" s="430"/>
      <c r="CY162" s="430"/>
      <c r="CZ162" s="430"/>
      <c r="DA162" s="430"/>
      <c r="DB162" s="430"/>
      <c r="DC162" s="853"/>
      <c r="DD162" s="454"/>
      <c r="DE162" s="454"/>
      <c r="DF162" s="463"/>
      <c r="DG162" s="463"/>
      <c r="DH162" s="2840"/>
      <c r="DI162" s="3213"/>
      <c r="DJ162" s="463"/>
      <c r="DK162" s="463"/>
      <c r="DL162" s="463"/>
      <c r="DM162" s="463"/>
      <c r="DN162" s="463"/>
      <c r="DO162" s="463"/>
      <c r="DP162" s="463"/>
      <c r="DQ162" s="463"/>
      <c r="DR162" s="608"/>
      <c r="DS162" s="608"/>
      <c r="DT162" s="608"/>
    </row>
    <row r="163" spans="1:124" ht="12" customHeight="1" x14ac:dyDescent="0.25">
      <c r="A163" s="1167" t="s">
        <v>2135</v>
      </c>
      <c r="B163" s="509"/>
      <c r="C163" s="430">
        <f t="shared" ref="C163:AA163" si="359">C130-SUM(C137:C153)</f>
        <v>-8.0000000000000071E-3</v>
      </c>
      <c r="D163" s="430">
        <f t="shared" si="359"/>
        <v>8.4000000000000519E-2</v>
      </c>
      <c r="E163" s="430">
        <f t="shared" si="359"/>
        <v>-9.1999999999998749E-2</v>
      </c>
      <c r="F163" s="430">
        <f t="shared" si="359"/>
        <v>-2.1000000000002572E-2</v>
      </c>
      <c r="G163" s="481">
        <f t="shared" si="359"/>
        <v>-3.7000000000006139E-2</v>
      </c>
      <c r="H163" s="430">
        <f t="shared" si="359"/>
        <v>-0.11799999999999855</v>
      </c>
      <c r="I163" s="430">
        <f t="shared" si="359"/>
        <v>0.3960000000000008</v>
      </c>
      <c r="J163" s="430">
        <f t="shared" si="359"/>
        <v>-1.3899999999999952</v>
      </c>
      <c r="K163" s="430">
        <f t="shared" si="359"/>
        <v>1.7469999999999999</v>
      </c>
      <c r="L163" s="481">
        <f t="shared" si="359"/>
        <v>0.63500000000000512</v>
      </c>
      <c r="M163" s="430">
        <f t="shared" si="359"/>
        <v>3.4280000000000044</v>
      </c>
      <c r="N163" s="430">
        <f t="shared" si="359"/>
        <v>-3.472999999999999</v>
      </c>
      <c r="O163" s="430">
        <f t="shared" si="359"/>
        <v>63.618000000000002</v>
      </c>
      <c r="P163" s="430">
        <f t="shared" si="359"/>
        <v>103.41</v>
      </c>
      <c r="Q163" s="481">
        <f t="shared" si="359"/>
        <v>166.983</v>
      </c>
      <c r="R163" s="430">
        <f t="shared" si="359"/>
        <v>3.4849999999999994</v>
      </c>
      <c r="S163" s="430">
        <f t="shared" si="359"/>
        <v>0.31699999999999307</v>
      </c>
      <c r="T163" s="430">
        <f t="shared" si="359"/>
        <v>4.2590000000000003</v>
      </c>
      <c r="U163" s="430">
        <f t="shared" si="359"/>
        <v>1.0939999999999515</v>
      </c>
      <c r="V163" s="481">
        <f t="shared" si="359"/>
        <v>9.1549999999999159</v>
      </c>
      <c r="W163" s="430">
        <f t="shared" si="359"/>
        <v>9.0000000000003411E-2</v>
      </c>
      <c r="X163" s="430">
        <f t="shared" si="359"/>
        <v>0.5140000000000029</v>
      </c>
      <c r="Y163" s="430">
        <f t="shared" si="359"/>
        <v>-0.55299999999998306</v>
      </c>
      <c r="Z163" s="430">
        <f t="shared" si="359"/>
        <v>2.1429999999999794</v>
      </c>
      <c r="AA163" s="481">
        <f t="shared" si="359"/>
        <v>2.1940000000000168</v>
      </c>
      <c r="AB163" s="430">
        <f>AB130-SUM(AB137:AB156)</f>
        <v>0.77500000000000568</v>
      </c>
      <c r="AC163" s="430">
        <f>AC130-SUM(AC137:AC156)</f>
        <v>1.0459999999999781</v>
      </c>
      <c r="AD163" s="430">
        <f>AD130-SUM(AD137:AD156)</f>
        <v>0.7540000000000191</v>
      </c>
      <c r="AE163" s="430">
        <f>6.6-AD163-AC163-AB163</f>
        <v>4.0249999999999968</v>
      </c>
      <c r="AF163" s="481">
        <f t="shared" si="327"/>
        <v>6.6</v>
      </c>
      <c r="AG163" s="430">
        <f>AG165-SUM(AG137:AG156)</f>
        <v>3.1850000000000023</v>
      </c>
      <c r="AH163" s="482">
        <v>0</v>
      </c>
      <c r="AI163" s="482">
        <v>2.2000000000000002</v>
      </c>
      <c r="AJ163" s="482">
        <f>11.1-AI163-AH163-AG163</f>
        <v>5.7149999999999963</v>
      </c>
      <c r="AK163" s="481">
        <f t="shared" si="356"/>
        <v>11.099999999999998</v>
      </c>
      <c r="AL163" s="482">
        <v>5.6</v>
      </c>
      <c r="AM163" s="482">
        <v>8</v>
      </c>
      <c r="AN163" s="482">
        <f>13.6-AM163-AL163</f>
        <v>0</v>
      </c>
      <c r="AO163" s="482">
        <v>3.2</v>
      </c>
      <c r="AP163" s="483">
        <f>SUM(AL163:AO163)</f>
        <v>16.8</v>
      </c>
      <c r="AQ163" s="1676">
        <f>119.7-AQ155-AQ154-AQ127</f>
        <v>1.7000000000000028</v>
      </c>
      <c r="AR163" s="1054">
        <f>154.2-AR155-AR154-AR127</f>
        <v>8.9999999999999893</v>
      </c>
      <c r="AS163" s="1054">
        <f>160.7-AS155-AS154-AS127</f>
        <v>0.69999999999998863</v>
      </c>
      <c r="AT163" s="2080">
        <f>AT130-SUM(AT137:AT158)</f>
        <v>0.49999999999997158</v>
      </c>
      <c r="AU163" s="483">
        <f>SUM(AQ163:AT163)</f>
        <v>11.899999999999952</v>
      </c>
      <c r="AV163" s="2083">
        <f>AV130-SUM(AV137:AV158)</f>
        <v>8.0000000000000213</v>
      </c>
      <c r="AW163" s="2080">
        <f>AW130-SUM(AW137:AW158)</f>
        <v>17.471000000000004</v>
      </c>
      <c r="AX163" s="2080">
        <f>AX130-SUM(AX137:AX158)</f>
        <v>15.395999999999995</v>
      </c>
      <c r="AY163" s="2080">
        <f>AY130-SUM(AY137:AY158)</f>
        <v>-2.5670000000000037</v>
      </c>
      <c r="AZ163" s="481">
        <f>SUM(AV163:AY163)</f>
        <v>38.300000000000011</v>
      </c>
      <c r="BA163" s="2080">
        <f>BA130-SUM(BA137:BA160)</f>
        <v>-10.200000000000003</v>
      </c>
      <c r="BB163" s="2080">
        <f>BB130-SUM(BB137:BB160)</f>
        <v>11.200000000000017</v>
      </c>
      <c r="BC163" s="2080">
        <f>BC130-SUM(BC137:BC160)</f>
        <v>-14.400000000000006</v>
      </c>
      <c r="BD163" s="2080">
        <f>BD130-SUM(BD137:BD160)</f>
        <v>10.200000000000003</v>
      </c>
      <c r="BE163" s="481">
        <f>+SUM(BA163:BD163)</f>
        <v>-3.1999999999999886</v>
      </c>
      <c r="BF163" s="2080">
        <f>BF130-SUM(BF137:BF160)</f>
        <v>7.9700000000000131</v>
      </c>
      <c r="BG163" s="2080">
        <f>BG130-SUM(BG137:BG160)</f>
        <v>-22.093999999999994</v>
      </c>
      <c r="BH163" s="2080">
        <f>BH130-SUM(BH137:BH160)</f>
        <v>-58.082000000000065</v>
      </c>
      <c r="BI163" s="2080">
        <f>BI130-SUM(BI137:BI161)</f>
        <v>-2.1879999999999313</v>
      </c>
      <c r="BJ163" s="481">
        <f>+SUM(BF163:BI163)</f>
        <v>-74.393999999999977</v>
      </c>
      <c r="BK163" s="2080">
        <f>BK130-SUM(BK137:BK161)</f>
        <v>-6.1230000000000047</v>
      </c>
      <c r="BL163" s="2080">
        <f>BL130-SUM(BL137:BL161)</f>
        <v>1.5339999999999918</v>
      </c>
      <c r="BM163" s="2080">
        <f>BM130-SUM(BM137:BM161)</f>
        <v>-9.1659999999999826</v>
      </c>
      <c r="BN163" s="2080">
        <f>BN130-SUM(BN137:BN161)</f>
        <v>-160.27800000000002</v>
      </c>
      <c r="BO163" s="481">
        <f>+SUM(BK163:BN163)</f>
        <v>-174.03300000000002</v>
      </c>
      <c r="BP163" s="2926">
        <v>0</v>
      </c>
      <c r="BQ163" s="2926">
        <v>0</v>
      </c>
      <c r="BR163" s="2926">
        <v>0</v>
      </c>
      <c r="BS163" s="3274">
        <v>0</v>
      </c>
      <c r="BT163" s="3065">
        <f>+SUM(BP163:BS163)</f>
        <v>0</v>
      </c>
      <c r="BU163" s="2840">
        <v>0</v>
      </c>
      <c r="BV163" s="2840">
        <v>0</v>
      </c>
      <c r="BW163" s="2840">
        <v>0</v>
      </c>
      <c r="BX163" s="2840">
        <v>0</v>
      </c>
      <c r="BY163" s="2587">
        <f>+SUM(BU163:BX163)</f>
        <v>0</v>
      </c>
      <c r="BZ163" s="2918">
        <f t="shared" ref="BZ163:CF163" si="360">+BY163</f>
        <v>0</v>
      </c>
      <c r="CA163" s="2918">
        <f t="shared" si="360"/>
        <v>0</v>
      </c>
      <c r="CB163" s="2918">
        <f t="shared" si="360"/>
        <v>0</v>
      </c>
      <c r="CC163" s="2918">
        <f t="shared" si="360"/>
        <v>0</v>
      </c>
      <c r="CD163" s="2918">
        <f t="shared" si="360"/>
        <v>0</v>
      </c>
      <c r="CE163" s="2918">
        <f t="shared" si="360"/>
        <v>0</v>
      </c>
      <c r="CF163" s="2918">
        <f t="shared" si="360"/>
        <v>0</v>
      </c>
      <c r="CG163" s="454"/>
      <c r="CH163" s="454"/>
      <c r="CI163" s="454"/>
      <c r="CJ163" s="454"/>
      <c r="CK163" s="454"/>
      <c r="CL163" s="2025" t="str">
        <f>A163</f>
        <v>Other capex</v>
      </c>
      <c r="CM163" s="618">
        <f>G163</f>
        <v>-3.7000000000006139E-2</v>
      </c>
      <c r="CN163" s="618">
        <f>L163</f>
        <v>0.63500000000000512</v>
      </c>
      <c r="CO163" s="618">
        <f>Q163</f>
        <v>166.983</v>
      </c>
      <c r="CP163" s="618">
        <f>V163</f>
        <v>9.1549999999999159</v>
      </c>
      <c r="CQ163" s="618">
        <f>AA163</f>
        <v>2.1940000000000168</v>
      </c>
      <c r="CR163" s="618">
        <f>AF163</f>
        <v>6.6</v>
      </c>
      <c r="CS163" s="618">
        <f>AK163</f>
        <v>11.099999999999998</v>
      </c>
      <c r="CT163" s="618">
        <f>AP163</f>
        <v>16.8</v>
      </c>
      <c r="CU163" s="618">
        <f>AU163</f>
        <v>11.899999999999952</v>
      </c>
      <c r="CV163" s="618">
        <f>AZ163</f>
        <v>38.300000000000011</v>
      </c>
      <c r="CW163" s="618">
        <f>BE163</f>
        <v>-3.1999999999999886</v>
      </c>
      <c r="CX163" s="618">
        <f>BJ163</f>
        <v>-74.393999999999977</v>
      </c>
      <c r="CY163" s="618">
        <f>BO163</f>
        <v>-174.03300000000002</v>
      </c>
      <c r="CZ163" s="618">
        <f>BT163</f>
        <v>0</v>
      </c>
      <c r="DA163" s="618">
        <f t="shared" ref="DA163:DC166" si="361">BY163</f>
        <v>0</v>
      </c>
      <c r="DB163" s="618">
        <f t="shared" si="361"/>
        <v>0</v>
      </c>
      <c r="DC163" s="1928">
        <f t="shared" si="361"/>
        <v>0</v>
      </c>
      <c r="DD163" s="454"/>
      <c r="DE163" s="454"/>
      <c r="DF163" s="463"/>
      <c r="DG163" s="463"/>
      <c r="DH163" s="2840"/>
      <c r="DI163" s="3213"/>
      <c r="DJ163" s="463"/>
      <c r="DK163" s="463"/>
      <c r="DL163" s="463"/>
      <c r="DM163" s="463"/>
      <c r="DN163" s="463"/>
      <c r="DO163" s="463"/>
      <c r="DP163" s="463"/>
      <c r="DQ163" s="463"/>
      <c r="DR163" s="608"/>
      <c r="DS163" s="608"/>
      <c r="DT163" s="608"/>
    </row>
    <row r="164" spans="1:124" ht="4.5" customHeight="1" x14ac:dyDescent="0.25">
      <c r="A164" s="1167"/>
      <c r="B164" s="509"/>
      <c r="C164" s="544" t="s">
        <v>1151</v>
      </c>
      <c r="D164" s="544" t="s">
        <v>1151</v>
      </c>
      <c r="E164" s="544" t="s">
        <v>1151</v>
      </c>
      <c r="F164" s="544" t="s">
        <v>1151</v>
      </c>
      <c r="G164" s="461" t="s">
        <v>1151</v>
      </c>
      <c r="H164" s="544" t="s">
        <v>1151</v>
      </c>
      <c r="I164" s="544" t="s">
        <v>1151</v>
      </c>
      <c r="J164" s="544" t="s">
        <v>1151</v>
      </c>
      <c r="K164" s="544" t="s">
        <v>1151</v>
      </c>
      <c r="L164" s="461" t="s">
        <v>1151</v>
      </c>
      <c r="M164" s="544" t="s">
        <v>1151</v>
      </c>
      <c r="N164" s="544" t="s">
        <v>1151</v>
      </c>
      <c r="O164" s="544" t="s">
        <v>1151</v>
      </c>
      <c r="P164" s="544" t="s">
        <v>1151</v>
      </c>
      <c r="Q164" s="461" t="s">
        <v>1151</v>
      </c>
      <c r="R164" s="544" t="s">
        <v>1151</v>
      </c>
      <c r="S164" s="544" t="s">
        <v>1151</v>
      </c>
      <c r="T164" s="544" t="s">
        <v>1151</v>
      </c>
      <c r="U164" s="544" t="s">
        <v>1151</v>
      </c>
      <c r="V164" s="461" t="s">
        <v>1151</v>
      </c>
      <c r="W164" s="544" t="s">
        <v>1151</v>
      </c>
      <c r="X164" s="544" t="s">
        <v>1151</v>
      </c>
      <c r="Y164" s="544" t="s">
        <v>1151</v>
      </c>
      <c r="Z164" s="544" t="s">
        <v>1151</v>
      </c>
      <c r="AA164" s="461" t="s">
        <v>1151</v>
      </c>
      <c r="AB164" s="544" t="s">
        <v>1151</v>
      </c>
      <c r="AC164" s="544" t="s">
        <v>1151</v>
      </c>
      <c r="AD164" s="544" t="s">
        <v>1151</v>
      </c>
      <c r="AE164" s="544" t="s">
        <v>1151</v>
      </c>
      <c r="AF164" s="461" t="s">
        <v>1151</v>
      </c>
      <c r="AG164" s="544" t="s">
        <v>1151</v>
      </c>
      <c r="AH164" s="544" t="s">
        <v>1151</v>
      </c>
      <c r="AI164" s="544" t="s">
        <v>1151</v>
      </c>
      <c r="AJ164" s="544" t="s">
        <v>1151</v>
      </c>
      <c r="AK164" s="461" t="s">
        <v>1151</v>
      </c>
      <c r="AL164" s="544" t="s">
        <v>1151</v>
      </c>
      <c r="AM164" s="544" t="s">
        <v>1151</v>
      </c>
      <c r="AN164" s="544" t="s">
        <v>1151</v>
      </c>
      <c r="AO164" s="544" t="s">
        <v>1151</v>
      </c>
      <c r="AP164" s="461" t="s">
        <v>1151</v>
      </c>
      <c r="AQ164" s="544" t="s">
        <v>1151</v>
      </c>
      <c r="AR164" s="544" t="s">
        <v>1151</v>
      </c>
      <c r="AS164" s="544" t="s">
        <v>1151</v>
      </c>
      <c r="AT164" s="544" t="s">
        <v>1151</v>
      </c>
      <c r="AU164" s="461" t="s">
        <v>1151</v>
      </c>
      <c r="AV164" s="544" t="s">
        <v>1151</v>
      </c>
      <c r="AW164" s="609" t="s">
        <v>1151</v>
      </c>
      <c r="AX164" s="544" t="s">
        <v>1151</v>
      </c>
      <c r="AY164" s="544" t="s">
        <v>1151</v>
      </c>
      <c r="AZ164" s="461" t="s">
        <v>1151</v>
      </c>
      <c r="BA164" s="544" t="s">
        <v>1151</v>
      </c>
      <c r="BB164" s="544" t="s">
        <v>1151</v>
      </c>
      <c r="BC164" s="544" t="s">
        <v>1151</v>
      </c>
      <c r="BD164" s="544" t="s">
        <v>1151</v>
      </c>
      <c r="BE164" s="461" t="s">
        <v>1151</v>
      </c>
      <c r="BF164" s="544" t="s">
        <v>1151</v>
      </c>
      <c r="BG164" s="544" t="s">
        <v>1151</v>
      </c>
      <c r="BH164" s="544" t="s">
        <v>1151</v>
      </c>
      <c r="BI164" s="544" t="s">
        <v>1151</v>
      </c>
      <c r="BJ164" s="461" t="s">
        <v>1151</v>
      </c>
      <c r="BK164" s="544" t="s">
        <v>1151</v>
      </c>
      <c r="BL164" s="609" t="s">
        <v>1151</v>
      </c>
      <c r="BM164" s="544" t="s">
        <v>1151</v>
      </c>
      <c r="BN164" s="544" t="s">
        <v>1151</v>
      </c>
      <c r="BO164" s="461" t="s">
        <v>1151</v>
      </c>
      <c r="BP164" s="544" t="s">
        <v>1151</v>
      </c>
      <c r="BQ164" s="544" t="s">
        <v>1151</v>
      </c>
      <c r="BR164" s="544" t="s">
        <v>1151</v>
      </c>
      <c r="BS164" s="2888" t="s">
        <v>1151</v>
      </c>
      <c r="BT164" s="2888" t="s">
        <v>1151</v>
      </c>
      <c r="BU164" s="3085" t="s">
        <v>1151</v>
      </c>
      <c r="BV164" s="460" t="s">
        <v>1151</v>
      </c>
      <c r="BW164" s="460" t="s">
        <v>1151</v>
      </c>
      <c r="BX164" s="460" t="s">
        <v>1151</v>
      </c>
      <c r="BY164" s="461" t="s">
        <v>1151</v>
      </c>
      <c r="BZ164" s="461" t="s">
        <v>1151</v>
      </c>
      <c r="CA164" s="461" t="s">
        <v>1151</v>
      </c>
      <c r="CB164" s="461" t="s">
        <v>1151</v>
      </c>
      <c r="CC164" s="461" t="s">
        <v>1151</v>
      </c>
      <c r="CD164" s="461" t="s">
        <v>1151</v>
      </c>
      <c r="CE164" s="461" t="s">
        <v>1151</v>
      </c>
      <c r="CF164" s="461" t="s">
        <v>1151</v>
      </c>
      <c r="CG164" s="454"/>
      <c r="CH164" s="454"/>
      <c r="CI164" s="454"/>
      <c r="CJ164" s="454"/>
      <c r="CK164" s="454"/>
      <c r="CL164" s="2025"/>
      <c r="CM164" s="2029" t="str">
        <f>G164</f>
        <v xml:space="preserve">                </v>
      </c>
      <c r="CN164" s="2029" t="str">
        <f>L164</f>
        <v xml:space="preserve">                </v>
      </c>
      <c r="CO164" s="2029" t="str">
        <f>Q164</f>
        <v xml:space="preserve">                </v>
      </c>
      <c r="CP164" s="2029" t="str">
        <f>V164</f>
        <v xml:space="preserve">                </v>
      </c>
      <c r="CQ164" s="2029" t="str">
        <f>AA164</f>
        <v xml:space="preserve">                </v>
      </c>
      <c r="CR164" s="2029" t="str">
        <f>AF164</f>
        <v xml:space="preserve">                </v>
      </c>
      <c r="CS164" s="2029" t="str">
        <f>AK164</f>
        <v xml:space="preserve">                </v>
      </c>
      <c r="CT164" s="2029" t="str">
        <f>AP164</f>
        <v xml:space="preserve">                </v>
      </c>
      <c r="CU164" s="2029" t="str">
        <f>AU164</f>
        <v xml:space="preserve">                </v>
      </c>
      <c r="CV164" s="2029" t="str">
        <f>AZ164</f>
        <v xml:space="preserve">                </v>
      </c>
      <c r="CW164" s="2029" t="str">
        <f>BE164</f>
        <v xml:space="preserve">                </v>
      </c>
      <c r="CX164" s="2029" t="str">
        <f>BJ164</f>
        <v xml:space="preserve">                </v>
      </c>
      <c r="CY164" s="2029" t="str">
        <f>BO164</f>
        <v xml:space="preserve">                </v>
      </c>
      <c r="CZ164" s="2029" t="str">
        <f>BT164</f>
        <v xml:space="preserve">                </v>
      </c>
      <c r="DA164" s="2029" t="str">
        <f t="shared" si="361"/>
        <v xml:space="preserve">                </v>
      </c>
      <c r="DB164" s="2029" t="str">
        <f t="shared" si="361"/>
        <v xml:space="preserve">                </v>
      </c>
      <c r="DC164" s="2030" t="str">
        <f t="shared" si="361"/>
        <v xml:space="preserve">                </v>
      </c>
      <c r="DD164" s="454"/>
      <c r="DE164" s="454"/>
      <c r="DF164" s="463"/>
      <c r="DG164" s="463"/>
      <c r="DH164" s="2029"/>
      <c r="DI164" s="3213"/>
      <c r="DJ164" s="463"/>
      <c r="DK164" s="463"/>
      <c r="DL164" s="463"/>
      <c r="DM164" s="463"/>
      <c r="DN164" s="463"/>
      <c r="DO164" s="463"/>
      <c r="DP164" s="463"/>
      <c r="DQ164" s="463"/>
      <c r="DR164" s="608"/>
      <c r="DS164" s="608"/>
      <c r="DT164" s="608"/>
    </row>
    <row r="165" spans="1:124" ht="12" customHeight="1" x14ac:dyDescent="0.25">
      <c r="A165" s="869" t="s">
        <v>2293</v>
      </c>
      <c r="B165" s="488"/>
      <c r="C165" s="488">
        <f>C130</f>
        <v>5.5069999999999997</v>
      </c>
      <c r="D165" s="488">
        <f t="shared" ref="D165:AC165" si="362">D130</f>
        <v>8.0200000000000014</v>
      </c>
      <c r="E165" s="488">
        <f t="shared" si="362"/>
        <v>7.9060000000000006</v>
      </c>
      <c r="F165" s="488">
        <f t="shared" si="362"/>
        <v>8.5239999999999956</v>
      </c>
      <c r="G165" s="489">
        <f t="shared" si="362"/>
        <v>29.956999999999994</v>
      </c>
      <c r="H165" s="488">
        <f t="shared" si="362"/>
        <v>8.3530000000000015</v>
      </c>
      <c r="I165" s="488">
        <f t="shared" si="362"/>
        <v>21.04</v>
      </c>
      <c r="J165" s="488">
        <f t="shared" si="362"/>
        <v>7.4020000000000046</v>
      </c>
      <c r="K165" s="488">
        <f t="shared" si="362"/>
        <v>33.840000000000003</v>
      </c>
      <c r="L165" s="489">
        <f t="shared" si="362"/>
        <v>70.635000000000005</v>
      </c>
      <c r="M165" s="488">
        <f t="shared" si="362"/>
        <v>42.228000000000002</v>
      </c>
      <c r="N165" s="488">
        <f t="shared" si="362"/>
        <v>44.727000000000004</v>
      </c>
      <c r="O165" s="488">
        <f t="shared" si="362"/>
        <v>114.818</v>
      </c>
      <c r="P165" s="488">
        <f t="shared" si="362"/>
        <v>143.01000000000002</v>
      </c>
      <c r="Q165" s="489">
        <f t="shared" si="362"/>
        <v>344.78300000000002</v>
      </c>
      <c r="R165" s="488">
        <f t="shared" si="362"/>
        <v>59.585000000000001</v>
      </c>
      <c r="S165" s="488">
        <f t="shared" si="362"/>
        <v>67.117000000000004</v>
      </c>
      <c r="T165" s="488">
        <f t="shared" si="362"/>
        <v>64.658999999999992</v>
      </c>
      <c r="U165" s="488">
        <f t="shared" si="362"/>
        <v>97.593999999999966</v>
      </c>
      <c r="V165" s="489">
        <f t="shared" si="362"/>
        <v>288.95499999999993</v>
      </c>
      <c r="W165" s="488">
        <f t="shared" si="362"/>
        <v>104.69</v>
      </c>
      <c r="X165" s="488">
        <f t="shared" si="362"/>
        <v>59.314000000000007</v>
      </c>
      <c r="Y165" s="488">
        <f t="shared" si="362"/>
        <v>63.847000000000023</v>
      </c>
      <c r="Z165" s="488">
        <f t="shared" si="362"/>
        <v>49.842999999999975</v>
      </c>
      <c r="AA165" s="489">
        <f t="shared" si="362"/>
        <v>277.69400000000002</v>
      </c>
      <c r="AB165" s="488">
        <f t="shared" si="362"/>
        <v>47.575000000000003</v>
      </c>
      <c r="AC165" s="488">
        <f t="shared" si="362"/>
        <v>59.845999999999982</v>
      </c>
      <c r="AD165" s="488">
        <f>AD130</f>
        <v>73.854000000000013</v>
      </c>
      <c r="AE165" s="485">
        <f>SUM(AE137:AE163)</f>
        <v>52.325000000000003</v>
      </c>
      <c r="AF165" s="486">
        <f t="shared" si="327"/>
        <v>233.60000000000002</v>
      </c>
      <c r="AG165" s="485">
        <f>AG130</f>
        <v>102.735</v>
      </c>
      <c r="AH165" s="488">
        <f>SUM(AH137:AH163)</f>
        <v>85.9</v>
      </c>
      <c r="AI165" s="488">
        <f>SUM(AI137:AI163)</f>
        <v>56.800000000000004</v>
      </c>
      <c r="AJ165" s="488">
        <f>SUM(AJ137:AJ163)</f>
        <v>71.514999999999986</v>
      </c>
      <c r="AK165" s="486">
        <f t="shared" si="356"/>
        <v>316.95</v>
      </c>
      <c r="AL165" s="488">
        <f>SUM(AL137:AL163)</f>
        <v>51.000000000000007</v>
      </c>
      <c r="AM165" s="488">
        <f>SUM(AM137:AM163)</f>
        <v>53.7</v>
      </c>
      <c r="AN165" s="488">
        <f>SUM(AN137:AN163)</f>
        <v>86.25</v>
      </c>
      <c r="AO165" s="488">
        <f>SUM(AO137:AO163)</f>
        <v>88.3</v>
      </c>
      <c r="AP165" s="486">
        <f>SUM(AL165:AO165)</f>
        <v>279.25</v>
      </c>
      <c r="AQ165" s="490">
        <f>SUM(AQ137:AQ163)</f>
        <v>117.7</v>
      </c>
      <c r="AR165" s="485">
        <f>SUM(AR137:AR163)</f>
        <v>139</v>
      </c>
      <c r="AS165" s="485">
        <f>SUM(AS137:AS163)</f>
        <v>161.69999999999999</v>
      </c>
      <c r="AT165" s="854">
        <f>SUM(AT137:AT163)</f>
        <v>87.8</v>
      </c>
      <c r="AU165" s="490">
        <f>SUM(AQ165:AT165)</f>
        <v>506.2</v>
      </c>
      <c r="AV165" s="490">
        <f t="shared" ref="AV165:BE165" si="363">SUM(AV137:AV163)</f>
        <v>40.799999999999997</v>
      </c>
      <c r="AW165" s="485">
        <f t="shared" si="363"/>
        <v>29.971000000000004</v>
      </c>
      <c r="AX165" s="485">
        <f t="shared" si="363"/>
        <v>26.196000000000002</v>
      </c>
      <c r="AY165" s="854">
        <f t="shared" si="363"/>
        <v>22.132999999999996</v>
      </c>
      <c r="AZ165" s="489">
        <f t="shared" si="363"/>
        <v>119.09999999999998</v>
      </c>
      <c r="BA165" s="490">
        <f t="shared" si="363"/>
        <v>38</v>
      </c>
      <c r="BB165" s="485">
        <f t="shared" si="363"/>
        <v>99.5</v>
      </c>
      <c r="BC165" s="485">
        <f t="shared" si="363"/>
        <v>106</v>
      </c>
      <c r="BD165" s="854">
        <f t="shared" si="363"/>
        <v>75</v>
      </c>
      <c r="BE165" s="489">
        <f t="shared" si="363"/>
        <v>318.5</v>
      </c>
      <c r="BF165" s="485">
        <f t="shared" ref="BF165:BO165" si="364">SUM(BF137:BF163)</f>
        <v>53.27</v>
      </c>
      <c r="BG165" s="485">
        <f t="shared" si="364"/>
        <v>75.506</v>
      </c>
      <c r="BH165" s="485">
        <f t="shared" si="364"/>
        <v>60.617999999999995</v>
      </c>
      <c r="BI165" s="854">
        <f t="shared" si="364"/>
        <v>52.812000000000012</v>
      </c>
      <c r="BJ165" s="489">
        <f t="shared" si="364"/>
        <v>242.20600000000005</v>
      </c>
      <c r="BK165" s="485">
        <f t="shared" si="364"/>
        <v>58.277000000000001</v>
      </c>
      <c r="BL165" s="485">
        <f>SUM(BL137:BL163)</f>
        <v>54.933999999999997</v>
      </c>
      <c r="BM165" s="485">
        <f t="shared" si="364"/>
        <v>69.134</v>
      </c>
      <c r="BN165" s="854">
        <f t="shared" si="364"/>
        <v>-385.27800000000002</v>
      </c>
      <c r="BO165" s="489">
        <f t="shared" si="364"/>
        <v>-202.93299999999999</v>
      </c>
      <c r="BP165" s="485">
        <f t="shared" ref="BP165:CF165" si="365">SUM(BP137:BP163)</f>
        <v>18.100000000000001</v>
      </c>
      <c r="BQ165" s="485">
        <f t="shared" si="365"/>
        <v>8</v>
      </c>
      <c r="BR165" s="485">
        <f t="shared" si="365"/>
        <v>16.600000000000001</v>
      </c>
      <c r="BS165" s="854">
        <f t="shared" si="365"/>
        <v>3.7</v>
      </c>
      <c r="BT165" s="3271">
        <f t="shared" si="365"/>
        <v>46.4</v>
      </c>
      <c r="BU165" s="485">
        <f t="shared" si="365"/>
        <v>9.6</v>
      </c>
      <c r="BV165" s="485">
        <f>SUM(BV137:BV163)</f>
        <v>0</v>
      </c>
      <c r="BW165" s="485">
        <f>SUM(BW137:BW163)</f>
        <v>9.6</v>
      </c>
      <c r="BX165" s="485">
        <f>SUM(BX137:BX163)</f>
        <v>0</v>
      </c>
      <c r="BY165" s="489">
        <f>SUM(BY137:BY163)</f>
        <v>19.2</v>
      </c>
      <c r="BZ165" s="489">
        <f t="shared" si="365"/>
        <v>19.2</v>
      </c>
      <c r="CA165" s="489">
        <f t="shared" si="365"/>
        <v>19.2</v>
      </c>
      <c r="CB165" s="489">
        <f t="shared" si="365"/>
        <v>19.2</v>
      </c>
      <c r="CC165" s="489">
        <f t="shared" si="365"/>
        <v>19.2</v>
      </c>
      <c r="CD165" s="489">
        <f t="shared" si="365"/>
        <v>19.2</v>
      </c>
      <c r="CE165" s="489">
        <f t="shared" si="365"/>
        <v>19.2</v>
      </c>
      <c r="CF165" s="489">
        <f t="shared" si="365"/>
        <v>0</v>
      </c>
      <c r="CG165" s="454"/>
      <c r="CH165" s="454"/>
      <c r="CI165" s="454"/>
      <c r="CJ165" s="454"/>
      <c r="CK165" s="454"/>
      <c r="CL165" s="2211" t="str">
        <f>A165</f>
        <v>Total Project Capex (including JV &amp; Jamul)</v>
      </c>
      <c r="CM165" s="485">
        <f>G165</f>
        <v>29.956999999999994</v>
      </c>
      <c r="CN165" s="485">
        <f>L165</f>
        <v>70.635000000000005</v>
      </c>
      <c r="CO165" s="485">
        <f>Q165</f>
        <v>344.78300000000002</v>
      </c>
      <c r="CP165" s="485">
        <f>V165</f>
        <v>288.95499999999993</v>
      </c>
      <c r="CQ165" s="485">
        <f>AA165</f>
        <v>277.69400000000002</v>
      </c>
      <c r="CR165" s="485">
        <f>AF165</f>
        <v>233.60000000000002</v>
      </c>
      <c r="CS165" s="485">
        <f>AK165</f>
        <v>316.95</v>
      </c>
      <c r="CT165" s="485">
        <f>AP165</f>
        <v>279.25</v>
      </c>
      <c r="CU165" s="485">
        <f>AU165</f>
        <v>506.2</v>
      </c>
      <c r="CV165" s="485">
        <f>AZ165</f>
        <v>119.09999999999998</v>
      </c>
      <c r="CW165" s="485">
        <f>BE165</f>
        <v>318.5</v>
      </c>
      <c r="CX165" s="485">
        <f>BJ165</f>
        <v>242.20600000000005</v>
      </c>
      <c r="CY165" s="485">
        <f>BO165</f>
        <v>-202.93299999999999</v>
      </c>
      <c r="CZ165" s="485">
        <f>BT165</f>
        <v>46.4</v>
      </c>
      <c r="DA165" s="485">
        <f t="shared" si="361"/>
        <v>19.2</v>
      </c>
      <c r="DB165" s="485">
        <f t="shared" si="361"/>
        <v>19.2</v>
      </c>
      <c r="DC165" s="854">
        <f t="shared" si="361"/>
        <v>19.2</v>
      </c>
      <c r="DD165" s="454"/>
      <c r="DE165" s="454"/>
      <c r="DF165" s="463"/>
      <c r="DG165" s="463"/>
      <c r="DH165" s="485"/>
      <c r="DI165" s="3213"/>
      <c r="DJ165" s="463"/>
      <c r="DK165" s="463"/>
      <c r="DL165" s="463"/>
      <c r="DM165" s="463"/>
      <c r="DN165" s="463"/>
      <c r="DO165" s="463"/>
      <c r="DP165" s="463"/>
      <c r="DQ165" s="463"/>
      <c r="DR165" s="608"/>
      <c r="DS165" s="608"/>
      <c r="DT165" s="608"/>
    </row>
    <row r="166" spans="1:124" ht="12" customHeight="1" x14ac:dyDescent="0.25">
      <c r="A166" s="1633" t="s">
        <v>1816</v>
      </c>
      <c r="B166" s="1634"/>
      <c r="C166" s="1634">
        <f t="shared" ref="C166:AH166" si="366">C165-C156</f>
        <v>5.5069999999999997</v>
      </c>
      <c r="D166" s="1634">
        <f t="shared" si="366"/>
        <v>8.0200000000000014</v>
      </c>
      <c r="E166" s="1634">
        <f t="shared" si="366"/>
        <v>7.9060000000000006</v>
      </c>
      <c r="F166" s="1634">
        <f t="shared" si="366"/>
        <v>8.5239999999999956</v>
      </c>
      <c r="G166" s="992">
        <f t="shared" si="366"/>
        <v>29.956999999999994</v>
      </c>
      <c r="H166" s="1634">
        <f t="shared" si="366"/>
        <v>8.3530000000000015</v>
      </c>
      <c r="I166" s="1634">
        <f t="shared" si="366"/>
        <v>21.04</v>
      </c>
      <c r="J166" s="1634">
        <f t="shared" si="366"/>
        <v>7.4020000000000046</v>
      </c>
      <c r="K166" s="1634">
        <f t="shared" si="366"/>
        <v>33.840000000000003</v>
      </c>
      <c r="L166" s="992">
        <f t="shared" si="366"/>
        <v>70.635000000000005</v>
      </c>
      <c r="M166" s="1634">
        <f t="shared" si="366"/>
        <v>42.228000000000002</v>
      </c>
      <c r="N166" s="1634">
        <f t="shared" si="366"/>
        <v>44.727000000000004</v>
      </c>
      <c r="O166" s="1634">
        <f t="shared" si="366"/>
        <v>114.818</v>
      </c>
      <c r="P166" s="1634">
        <f t="shared" si="366"/>
        <v>143.01000000000002</v>
      </c>
      <c r="Q166" s="992">
        <f t="shared" si="366"/>
        <v>344.78300000000002</v>
      </c>
      <c r="R166" s="1634">
        <f t="shared" si="366"/>
        <v>59.585000000000001</v>
      </c>
      <c r="S166" s="1634">
        <f t="shared" si="366"/>
        <v>67.117000000000004</v>
      </c>
      <c r="T166" s="1634">
        <f t="shared" si="366"/>
        <v>64.658999999999992</v>
      </c>
      <c r="U166" s="1634">
        <f t="shared" si="366"/>
        <v>97.593999999999966</v>
      </c>
      <c r="V166" s="992">
        <f t="shared" si="366"/>
        <v>288.95499999999993</v>
      </c>
      <c r="W166" s="1634">
        <f t="shared" si="366"/>
        <v>104.69</v>
      </c>
      <c r="X166" s="1634">
        <f t="shared" si="366"/>
        <v>59.314000000000007</v>
      </c>
      <c r="Y166" s="1634">
        <f t="shared" si="366"/>
        <v>63.847000000000023</v>
      </c>
      <c r="Z166" s="1634">
        <f t="shared" si="366"/>
        <v>49.842999999999975</v>
      </c>
      <c r="AA166" s="993">
        <f t="shared" si="366"/>
        <v>277.69400000000002</v>
      </c>
      <c r="AB166" s="1634">
        <f t="shared" si="366"/>
        <v>47.575000000000003</v>
      </c>
      <c r="AC166" s="1634">
        <f t="shared" si="366"/>
        <v>59.845999999999982</v>
      </c>
      <c r="AD166" s="1634">
        <f t="shared" si="366"/>
        <v>73.854000000000013</v>
      </c>
      <c r="AE166" s="1634">
        <f t="shared" si="366"/>
        <v>39.425000000000004</v>
      </c>
      <c r="AF166" s="992">
        <f t="shared" si="366"/>
        <v>220.70000000000002</v>
      </c>
      <c r="AG166" s="1635">
        <f t="shared" si="366"/>
        <v>89.185000000000002</v>
      </c>
      <c r="AH166" s="1634">
        <f t="shared" si="366"/>
        <v>84.5</v>
      </c>
      <c r="AI166" s="1634">
        <f t="shared" ref="AI166:CA166" si="367">AI165-AI156</f>
        <v>51.800000000000004</v>
      </c>
      <c r="AJ166" s="1634">
        <f t="shared" si="367"/>
        <v>64.114999999999981</v>
      </c>
      <c r="AK166" s="992">
        <f t="shared" si="367"/>
        <v>289.59999999999997</v>
      </c>
      <c r="AL166" s="1634">
        <f t="shared" si="367"/>
        <v>39.800000000000011</v>
      </c>
      <c r="AM166" s="1634">
        <f t="shared" si="367"/>
        <v>43.5</v>
      </c>
      <c r="AN166" s="1634">
        <f t="shared" si="367"/>
        <v>68</v>
      </c>
      <c r="AO166" s="1634">
        <f t="shared" si="367"/>
        <v>64.699999999999989</v>
      </c>
      <c r="AP166" s="992">
        <f t="shared" si="367"/>
        <v>216</v>
      </c>
      <c r="AQ166" s="1664">
        <f t="shared" si="367"/>
        <v>98.2</v>
      </c>
      <c r="AR166" s="1634">
        <f t="shared" si="367"/>
        <v>124</v>
      </c>
      <c r="AS166" s="1634">
        <f t="shared" si="367"/>
        <v>146.69999999999999</v>
      </c>
      <c r="AT166" s="1665">
        <f t="shared" si="367"/>
        <v>87.8</v>
      </c>
      <c r="AU166" s="1664">
        <f t="shared" si="367"/>
        <v>456.7</v>
      </c>
      <c r="AV166" s="1664">
        <f t="shared" si="367"/>
        <v>40.799999999999997</v>
      </c>
      <c r="AW166" s="1635">
        <f t="shared" si="367"/>
        <v>29.971000000000004</v>
      </c>
      <c r="AX166" s="1634">
        <f t="shared" si="367"/>
        <v>26.196000000000002</v>
      </c>
      <c r="AY166" s="1665">
        <f t="shared" si="367"/>
        <v>22.132999999999996</v>
      </c>
      <c r="AZ166" s="992">
        <f t="shared" si="367"/>
        <v>119.09999999999998</v>
      </c>
      <c r="BA166" s="1664">
        <f t="shared" si="367"/>
        <v>38</v>
      </c>
      <c r="BB166" s="1634">
        <f t="shared" si="367"/>
        <v>99.5</v>
      </c>
      <c r="BC166" s="1634">
        <f t="shared" si="367"/>
        <v>106</v>
      </c>
      <c r="BD166" s="1665">
        <f t="shared" si="367"/>
        <v>75</v>
      </c>
      <c r="BE166" s="992">
        <f t="shared" si="367"/>
        <v>318.5</v>
      </c>
      <c r="BF166" s="1634">
        <f>BF165-BF156</f>
        <v>53.27</v>
      </c>
      <c r="BG166" s="1634">
        <f>BG165-BG156</f>
        <v>75.506</v>
      </c>
      <c r="BH166" s="1634">
        <f>BH165-BH156</f>
        <v>60.617999999999995</v>
      </c>
      <c r="BI166" s="1665">
        <f>BI165-BI156</f>
        <v>52.812000000000012</v>
      </c>
      <c r="BJ166" s="992">
        <f t="shared" si="367"/>
        <v>242.20600000000005</v>
      </c>
      <c r="BK166" s="1634">
        <f t="shared" ref="BK166:BU166" si="368">BK165-BK156</f>
        <v>58.277000000000001</v>
      </c>
      <c r="BL166" s="1635">
        <f t="shared" si="368"/>
        <v>54.933999999999997</v>
      </c>
      <c r="BM166" s="1634">
        <f t="shared" si="368"/>
        <v>69.134</v>
      </c>
      <c r="BN166" s="1665">
        <f t="shared" si="368"/>
        <v>-385.27800000000002</v>
      </c>
      <c r="BO166" s="992">
        <f t="shared" si="368"/>
        <v>-202.93299999999999</v>
      </c>
      <c r="BP166" s="1634">
        <f t="shared" si="368"/>
        <v>18.100000000000001</v>
      </c>
      <c r="BQ166" s="1634">
        <f t="shared" si="368"/>
        <v>8</v>
      </c>
      <c r="BR166" s="1634">
        <f t="shared" si="368"/>
        <v>16.600000000000001</v>
      </c>
      <c r="BS166" s="1665">
        <f t="shared" si="368"/>
        <v>3.7</v>
      </c>
      <c r="BT166" s="1665">
        <f t="shared" si="368"/>
        <v>46.4</v>
      </c>
      <c r="BU166" s="1634">
        <f t="shared" si="368"/>
        <v>9.6</v>
      </c>
      <c r="BV166" s="1634">
        <f>BV165-BV156</f>
        <v>0</v>
      </c>
      <c r="BW166" s="1634">
        <f>BW165-BW156</f>
        <v>9.6</v>
      </c>
      <c r="BX166" s="1634">
        <f>BX165-BX156</f>
        <v>0</v>
      </c>
      <c r="BY166" s="992">
        <f>BY165-BY156</f>
        <v>19.2</v>
      </c>
      <c r="BZ166" s="992">
        <f t="shared" si="367"/>
        <v>19.2</v>
      </c>
      <c r="CA166" s="992">
        <f t="shared" si="367"/>
        <v>19.2</v>
      </c>
      <c r="CB166" s="992">
        <f>CB165-CB156</f>
        <v>19.2</v>
      </c>
      <c r="CC166" s="992">
        <f>CC165-CC156</f>
        <v>19.2</v>
      </c>
      <c r="CD166" s="992">
        <f>CD165-CD156</f>
        <v>19.2</v>
      </c>
      <c r="CE166" s="992">
        <f>CE165-CE156</f>
        <v>19.2</v>
      </c>
      <c r="CF166" s="992">
        <f>CF165-CF156</f>
        <v>0</v>
      </c>
      <c r="CG166" s="454"/>
      <c r="CH166" s="454"/>
      <c r="CI166" s="454"/>
      <c r="CJ166" s="454"/>
      <c r="CK166" s="454"/>
      <c r="CL166" s="2205" t="str">
        <f>A166</f>
        <v>Total Project Capex (excluding JV)</v>
      </c>
      <c r="CM166" s="1635">
        <f>G166</f>
        <v>29.956999999999994</v>
      </c>
      <c r="CN166" s="1635">
        <f>L166</f>
        <v>70.635000000000005</v>
      </c>
      <c r="CO166" s="1635">
        <f>Q166</f>
        <v>344.78300000000002</v>
      </c>
      <c r="CP166" s="1635">
        <f>V166</f>
        <v>288.95499999999993</v>
      </c>
      <c r="CQ166" s="1635">
        <f>AA166</f>
        <v>277.69400000000002</v>
      </c>
      <c r="CR166" s="1635">
        <f>AF166</f>
        <v>220.70000000000002</v>
      </c>
      <c r="CS166" s="1635">
        <f>AK166</f>
        <v>289.59999999999997</v>
      </c>
      <c r="CT166" s="1635">
        <f>AP166</f>
        <v>216</v>
      </c>
      <c r="CU166" s="1635">
        <f>AU166</f>
        <v>456.7</v>
      </c>
      <c r="CV166" s="1635">
        <f>AZ166</f>
        <v>119.09999999999998</v>
      </c>
      <c r="CW166" s="1635">
        <f>BE166</f>
        <v>318.5</v>
      </c>
      <c r="CX166" s="1635">
        <f>BJ166</f>
        <v>242.20600000000005</v>
      </c>
      <c r="CY166" s="1635">
        <f>BO166</f>
        <v>-202.93299999999999</v>
      </c>
      <c r="CZ166" s="1635">
        <f>BT166</f>
        <v>46.4</v>
      </c>
      <c r="DA166" s="1635">
        <f t="shared" si="361"/>
        <v>19.2</v>
      </c>
      <c r="DB166" s="1635">
        <f t="shared" si="361"/>
        <v>19.2</v>
      </c>
      <c r="DC166" s="2224">
        <f t="shared" si="361"/>
        <v>19.2</v>
      </c>
      <c r="DD166" s="454"/>
      <c r="DE166" s="454"/>
      <c r="DF166" s="463"/>
      <c r="DG166" s="463"/>
      <c r="DH166" s="618"/>
      <c r="DI166" s="3213"/>
      <c r="DJ166" s="463"/>
      <c r="DK166" s="463"/>
      <c r="DL166" s="463"/>
      <c r="DM166" s="463"/>
      <c r="DN166" s="463"/>
      <c r="DO166" s="463"/>
      <c r="DP166" s="463"/>
      <c r="DQ166" s="463"/>
      <c r="DR166" s="608"/>
      <c r="DS166" s="608"/>
      <c r="DT166" s="608"/>
    </row>
    <row r="167" spans="1:124" ht="12" customHeight="1" x14ac:dyDescent="0.25">
      <c r="A167" s="312"/>
      <c r="B167" s="509"/>
      <c r="C167" s="509"/>
      <c r="D167" s="509"/>
      <c r="E167" s="509"/>
      <c r="F167" s="509"/>
      <c r="G167" s="510"/>
      <c r="H167" s="509"/>
      <c r="I167" s="509"/>
      <c r="J167" s="509"/>
      <c r="K167" s="509"/>
      <c r="L167" s="510"/>
      <c r="M167" s="509"/>
      <c r="N167" s="509"/>
      <c r="O167" s="509"/>
      <c r="P167" s="509"/>
      <c r="Q167" s="510"/>
      <c r="R167" s="509"/>
      <c r="S167" s="509"/>
      <c r="T167" s="509"/>
      <c r="U167" s="509"/>
      <c r="V167" s="510"/>
      <c r="W167" s="509"/>
      <c r="X167" s="509"/>
      <c r="Y167" s="509"/>
      <c r="Z167" s="509"/>
      <c r="AA167" s="1962"/>
      <c r="AB167" s="509"/>
      <c r="AC167" s="509"/>
      <c r="AD167" s="509"/>
      <c r="AE167" s="430"/>
      <c r="AF167" s="1703"/>
      <c r="AG167" s="430"/>
      <c r="AH167" s="509"/>
      <c r="AI167" s="509"/>
      <c r="AJ167" s="430"/>
      <c r="AK167" s="1703"/>
      <c r="AL167" s="509"/>
      <c r="AM167" s="509"/>
      <c r="AN167" s="509"/>
      <c r="AO167" s="430"/>
      <c r="AP167" s="1703"/>
      <c r="AQ167" s="430"/>
      <c r="AR167" s="430"/>
      <c r="AS167" s="430"/>
      <c r="AT167" s="430"/>
      <c r="AU167" s="1703"/>
      <c r="AV167" s="483"/>
      <c r="AW167" s="430"/>
      <c r="AX167" s="430"/>
      <c r="AY167" s="853"/>
      <c r="AZ167" s="481"/>
      <c r="BA167" s="430"/>
      <c r="BB167" s="430"/>
      <c r="BC167" s="430"/>
      <c r="BD167" s="430"/>
      <c r="BE167" s="1703"/>
      <c r="BF167" s="430"/>
      <c r="BG167" s="430"/>
      <c r="BH167" s="924"/>
      <c r="BI167" s="430"/>
      <c r="BJ167" s="1703"/>
      <c r="BK167" s="430"/>
      <c r="BL167" s="430"/>
      <c r="BM167" s="430"/>
      <c r="BN167" s="430"/>
      <c r="BO167" s="1703"/>
      <c r="BP167" s="430"/>
      <c r="BQ167" s="430"/>
      <c r="BR167" s="430"/>
      <c r="BS167" s="853"/>
      <c r="BT167" s="3272"/>
      <c r="BU167" s="3403"/>
      <c r="BV167" s="3403"/>
      <c r="BW167" s="3403"/>
      <c r="BX167" s="3403"/>
      <c r="BY167" s="3206"/>
      <c r="BZ167" s="1703"/>
      <c r="CA167" s="1703"/>
      <c r="CB167" s="1703"/>
      <c r="CC167" s="1703"/>
      <c r="CD167" s="1703"/>
      <c r="CE167" s="1703"/>
      <c r="CF167" s="1703"/>
      <c r="CG167" s="454"/>
      <c r="CH167" s="454"/>
      <c r="CI167" s="454"/>
      <c r="CJ167" s="454"/>
      <c r="CK167" s="454"/>
      <c r="CL167" s="2025"/>
      <c r="CM167" s="430"/>
      <c r="CN167" s="430"/>
      <c r="CO167" s="430"/>
      <c r="CP167" s="430"/>
      <c r="CQ167" s="430"/>
      <c r="CR167" s="430"/>
      <c r="CS167" s="430"/>
      <c r="CT167" s="430"/>
      <c r="CU167" s="430"/>
      <c r="CV167" s="430"/>
      <c r="CW167" s="430"/>
      <c r="CX167" s="430"/>
      <c r="CY167" s="430"/>
      <c r="CZ167" s="430"/>
      <c r="DA167" s="430"/>
      <c r="DB167" s="430"/>
      <c r="DC167" s="853"/>
      <c r="DD167" s="454"/>
      <c r="DE167" s="454"/>
      <c r="DF167" s="463"/>
      <c r="DG167" s="463"/>
      <c r="DH167" s="2840"/>
      <c r="DI167" s="3213"/>
      <c r="DJ167" s="463"/>
      <c r="DK167" s="463"/>
      <c r="DL167" s="463"/>
      <c r="DM167" s="463"/>
      <c r="DN167" s="463"/>
      <c r="DO167" s="463"/>
      <c r="DP167" s="463"/>
      <c r="DQ167" s="463"/>
      <c r="DR167" s="430"/>
      <c r="DS167" s="430"/>
      <c r="DT167" s="430"/>
    </row>
    <row r="168" spans="1:124" ht="12" customHeight="1" x14ac:dyDescent="0.25">
      <c r="A168" s="333" t="s">
        <v>657</v>
      </c>
      <c r="B168" s="509"/>
      <c r="C168" s="509"/>
      <c r="D168" s="509"/>
      <c r="E168" s="509"/>
      <c r="F168" s="509"/>
      <c r="G168" s="510"/>
      <c r="H168" s="509"/>
      <c r="I168" s="509"/>
      <c r="J168" s="509"/>
      <c r="K168" s="509"/>
      <c r="L168" s="510"/>
      <c r="M168" s="509"/>
      <c r="N168" s="509"/>
      <c r="O168" s="509"/>
      <c r="P168" s="509"/>
      <c r="Q168" s="510"/>
      <c r="R168" s="509"/>
      <c r="S168" s="509"/>
      <c r="T168" s="509"/>
      <c r="U168" s="509"/>
      <c r="V168" s="510"/>
      <c r="W168" s="509"/>
      <c r="X168" s="509"/>
      <c r="Y168" s="509"/>
      <c r="Z168" s="509"/>
      <c r="AA168" s="510"/>
      <c r="AB168" s="509"/>
      <c r="AC168" s="509"/>
      <c r="AD168" s="509"/>
      <c r="AE168" s="430"/>
      <c r="AF168" s="481"/>
      <c r="AG168" s="430"/>
      <c r="AH168" s="509"/>
      <c r="AI168" s="509"/>
      <c r="AJ168" s="430"/>
      <c r="AK168" s="481"/>
      <c r="AL168" s="509"/>
      <c r="AM168" s="509"/>
      <c r="AN168" s="509"/>
      <c r="AO168" s="430"/>
      <c r="AP168" s="483"/>
      <c r="AQ168" s="483"/>
      <c r="AR168" s="430"/>
      <c r="AS168" s="430"/>
      <c r="AT168" s="430"/>
      <c r="AU168" s="483"/>
      <c r="AV168" s="483"/>
      <c r="AW168" s="430"/>
      <c r="AX168" s="430"/>
      <c r="AY168" s="853"/>
      <c r="AZ168" s="481"/>
      <c r="BA168" s="430"/>
      <c r="BB168" s="430"/>
      <c r="BC168" s="430"/>
      <c r="BD168" s="430"/>
      <c r="BE168" s="481"/>
      <c r="BF168" s="430"/>
      <c r="BG168" s="430"/>
      <c r="BH168" s="430"/>
      <c r="BI168" s="430"/>
      <c r="BJ168" s="481"/>
      <c r="BK168" s="430"/>
      <c r="BL168" s="430"/>
      <c r="BM168" s="430"/>
      <c r="BN168" s="430"/>
      <c r="BO168" s="481"/>
      <c r="BP168" s="430"/>
      <c r="BQ168" s="430"/>
      <c r="BR168" s="430"/>
      <c r="BS168" s="430"/>
      <c r="BT168" s="2587"/>
      <c r="BU168" s="3397"/>
      <c r="BV168" s="2840"/>
      <c r="BW168" s="2840"/>
      <c r="BX168" s="2840"/>
      <c r="BY168" s="2587"/>
      <c r="BZ168" s="481"/>
      <c r="CA168" s="481"/>
      <c r="CB168" s="481"/>
      <c r="CC168" s="481"/>
      <c r="CD168" s="481"/>
      <c r="CE168" s="481"/>
      <c r="CF168" s="481"/>
      <c r="CG168" s="454"/>
      <c r="CH168" s="454"/>
      <c r="CI168" s="454"/>
      <c r="CJ168" s="454"/>
      <c r="CK168" s="454"/>
      <c r="CL168" s="1149" t="str">
        <f t="shared" ref="CL168:CL191" si="369">A168</f>
        <v>Cumulative Growth Capex:</v>
      </c>
      <c r="CM168" s="430"/>
      <c r="CN168" s="430"/>
      <c r="CO168" s="430"/>
      <c r="CP168" s="430"/>
      <c r="CQ168" s="430"/>
      <c r="CR168" s="430"/>
      <c r="CS168" s="430"/>
      <c r="CT168" s="430"/>
      <c r="CU168" s="430"/>
      <c r="CV168" s="430"/>
      <c r="CW168" s="430"/>
      <c r="CX168" s="430"/>
      <c r="CY168" s="430"/>
      <c r="CZ168" s="430"/>
      <c r="DA168" s="430"/>
      <c r="DB168" s="430"/>
      <c r="DC168" s="853"/>
      <c r="DD168" s="454"/>
      <c r="DE168" s="454"/>
      <c r="DF168" s="463"/>
      <c r="DG168" s="463"/>
      <c r="DH168" s="2840"/>
      <c r="DI168" s="3213"/>
      <c r="DJ168" s="463"/>
      <c r="DK168" s="463"/>
      <c r="DL168" s="463"/>
      <c r="DM168" s="463"/>
      <c r="DN168" s="463"/>
      <c r="DO168" s="463"/>
      <c r="DP168" s="463"/>
      <c r="DQ168" s="463"/>
      <c r="DR168" s="608"/>
      <c r="DS168" s="608"/>
      <c r="DT168" s="608"/>
    </row>
    <row r="169" spans="1:124" ht="12" customHeight="1" x14ac:dyDescent="0.25">
      <c r="A169" s="312" t="s">
        <v>1788</v>
      </c>
      <c r="B169" s="509"/>
      <c r="C169" s="509">
        <f t="shared" ref="C169:C190" si="370">C137</f>
        <v>2.0339999999999998</v>
      </c>
      <c r="D169" s="509">
        <f t="shared" ref="D169:F190" si="371">C169+D137</f>
        <v>9.9700000000000006</v>
      </c>
      <c r="E169" s="509">
        <f t="shared" si="371"/>
        <v>17.853999999999999</v>
      </c>
      <c r="F169" s="509">
        <f t="shared" si="371"/>
        <v>25.369</v>
      </c>
      <c r="G169" s="510">
        <f>F169</f>
        <v>25.369</v>
      </c>
      <c r="H169" s="509">
        <f t="shared" ref="H169:K190" si="372">G169+H137</f>
        <v>31.61</v>
      </c>
      <c r="I169" s="509">
        <f t="shared" si="372"/>
        <v>41.662999999999997</v>
      </c>
      <c r="J169" s="509">
        <f t="shared" si="372"/>
        <v>44.434999999999995</v>
      </c>
      <c r="K169" s="509">
        <f t="shared" si="372"/>
        <v>51.869</v>
      </c>
      <c r="L169" s="510">
        <f>K169</f>
        <v>51.869</v>
      </c>
      <c r="M169" s="509">
        <f t="shared" ref="M169:P190" si="373">L169+M137</f>
        <v>60.969000000000001</v>
      </c>
      <c r="N169" s="509">
        <f t="shared" si="373"/>
        <v>74.969000000000008</v>
      </c>
      <c r="O169" s="509">
        <f t="shared" si="373"/>
        <v>93.269000000000005</v>
      </c>
      <c r="P169" s="509">
        <f t="shared" si="373"/>
        <v>100.46900000000001</v>
      </c>
      <c r="Q169" s="510">
        <f>P169</f>
        <v>100.46900000000001</v>
      </c>
      <c r="R169" s="509">
        <f t="shared" ref="R169:U190" si="374">Q169+R137</f>
        <v>118.96900000000001</v>
      </c>
      <c r="S169" s="509">
        <f t="shared" si="374"/>
        <v>124.56900000000002</v>
      </c>
      <c r="T169" s="509">
        <f t="shared" si="374"/>
        <v>128.46900000000002</v>
      </c>
      <c r="U169" s="509">
        <f t="shared" si="374"/>
        <v>131.96900000000002</v>
      </c>
      <c r="V169" s="510">
        <f>U169</f>
        <v>131.96900000000002</v>
      </c>
      <c r="W169" s="509">
        <f t="shared" ref="W169:Z190" si="375">V169+W137</f>
        <v>135.66900000000001</v>
      </c>
      <c r="X169" s="509">
        <f t="shared" si="375"/>
        <v>140.06900000000002</v>
      </c>
      <c r="Y169" s="509">
        <f t="shared" si="375"/>
        <v>145.96900000000002</v>
      </c>
      <c r="Z169" s="509">
        <f t="shared" si="375"/>
        <v>147.16900000000001</v>
      </c>
      <c r="AA169" s="510">
        <f>Z169</f>
        <v>147.16900000000001</v>
      </c>
      <c r="AB169" s="509">
        <f t="shared" ref="AB169:AE190" si="376">AA169+AB137</f>
        <v>147.16900000000001</v>
      </c>
      <c r="AC169" s="509">
        <f t="shared" si="376"/>
        <v>147.16900000000001</v>
      </c>
      <c r="AD169" s="509">
        <f t="shared" si="376"/>
        <v>147.16900000000001</v>
      </c>
      <c r="AE169" s="430">
        <f t="shared" si="376"/>
        <v>147.16900000000001</v>
      </c>
      <c r="AF169" s="481">
        <f>AE169</f>
        <v>147.16900000000001</v>
      </c>
      <c r="AG169" s="430">
        <f t="shared" ref="AG169:AJ190" si="377">AF169+AG137</f>
        <v>149.369</v>
      </c>
      <c r="AH169" s="430">
        <f t="shared" si="377"/>
        <v>159.56899999999999</v>
      </c>
      <c r="AI169" s="430">
        <f t="shared" si="377"/>
        <v>167.16899999999998</v>
      </c>
      <c r="AJ169" s="430">
        <f t="shared" si="377"/>
        <v>170.86899999999997</v>
      </c>
      <c r="AK169" s="481">
        <f>AJ169</f>
        <v>170.86899999999997</v>
      </c>
      <c r="AL169" s="430">
        <f t="shared" ref="AL169:AO190" si="378">AK169+AL137</f>
        <v>175.86899999999997</v>
      </c>
      <c r="AM169" s="430">
        <f t="shared" si="378"/>
        <v>180.96899999999997</v>
      </c>
      <c r="AN169" s="430">
        <f t="shared" si="378"/>
        <v>185.16899999999995</v>
      </c>
      <c r="AO169" s="430">
        <f t="shared" si="378"/>
        <v>186.16899999999995</v>
      </c>
      <c r="AP169" s="483">
        <f>AO169</f>
        <v>186.16899999999995</v>
      </c>
      <c r="AQ169" s="483">
        <f t="shared" ref="AQ169:AT190" si="379">AP169+AQ137</f>
        <v>186.16899999999995</v>
      </c>
      <c r="AR169" s="430">
        <f t="shared" si="379"/>
        <v>186.16899999999995</v>
      </c>
      <c r="AS169" s="430">
        <f t="shared" si="379"/>
        <v>186.16899999999995</v>
      </c>
      <c r="AT169" s="430">
        <f t="shared" si="379"/>
        <v>186.16899999999995</v>
      </c>
      <c r="AU169" s="483">
        <f t="shared" ref="AU169:AU190" si="380">AP169+AU137</f>
        <v>186.16899999999995</v>
      </c>
      <c r="AV169" s="483">
        <f t="shared" ref="AV169:AY190" si="381">AU169+AV137</f>
        <v>186.16899999999995</v>
      </c>
      <c r="AW169" s="430">
        <f t="shared" si="381"/>
        <v>186.16899999999995</v>
      </c>
      <c r="AX169" s="430">
        <f t="shared" si="381"/>
        <v>186.16899999999995</v>
      </c>
      <c r="AY169" s="853">
        <f t="shared" si="381"/>
        <v>186.16899999999995</v>
      </c>
      <c r="AZ169" s="481">
        <f t="shared" ref="AZ169:AZ190" si="382">AU169+AZ137</f>
        <v>186.16899999999995</v>
      </c>
      <c r="BA169" s="483">
        <f t="shared" ref="BA169:BD190" si="383">AZ169+BA137</f>
        <v>186.16899999999995</v>
      </c>
      <c r="BB169" s="430">
        <f t="shared" si="383"/>
        <v>186.16899999999995</v>
      </c>
      <c r="BC169" s="430">
        <f t="shared" si="383"/>
        <v>186.16899999999995</v>
      </c>
      <c r="BD169" s="853">
        <f t="shared" si="383"/>
        <v>186.16899999999995</v>
      </c>
      <c r="BE169" s="481">
        <f t="shared" ref="BE169:BE190" si="384">AZ169+BE137</f>
        <v>186.16899999999995</v>
      </c>
      <c r="BF169" s="430">
        <f t="shared" ref="BF169:BI190" si="385">BE169+BF137</f>
        <v>186.16899999999995</v>
      </c>
      <c r="BG169" s="430">
        <f t="shared" si="385"/>
        <v>186.16899999999995</v>
      </c>
      <c r="BH169" s="430">
        <f t="shared" si="385"/>
        <v>186.16899999999995</v>
      </c>
      <c r="BI169" s="853">
        <f t="shared" si="385"/>
        <v>186.16899999999995</v>
      </c>
      <c r="BJ169" s="481">
        <f t="shared" ref="BJ169:BJ190" si="386">BE169+BJ137</f>
        <v>186.16899999999995</v>
      </c>
      <c r="BK169" s="430">
        <f t="shared" ref="BK169:BN190" si="387">BJ169+BK137</f>
        <v>186.16899999999995</v>
      </c>
      <c r="BL169" s="430">
        <f t="shared" si="387"/>
        <v>186.16899999999995</v>
      </c>
      <c r="BM169" s="430">
        <f t="shared" si="387"/>
        <v>186.16899999999995</v>
      </c>
      <c r="BN169" s="853">
        <f t="shared" si="387"/>
        <v>186.16899999999995</v>
      </c>
      <c r="BO169" s="481">
        <f t="shared" ref="BO169:BO190" si="388">BJ169+BO137</f>
        <v>186.16899999999995</v>
      </c>
      <c r="BP169" s="430">
        <f t="shared" ref="BP169:BP190" si="389">BO169+BP137</f>
        <v>186.16899999999995</v>
      </c>
      <c r="BQ169" s="430">
        <f t="shared" ref="BQ169:BQ190" si="390">BP169+BQ137</f>
        <v>186.16899999999995</v>
      </c>
      <c r="BR169" s="430">
        <f t="shared" ref="BR169:BR190" si="391">BQ169+BR137</f>
        <v>186.16899999999995</v>
      </c>
      <c r="BS169" s="430">
        <f t="shared" ref="BS169:BS190" si="392">BR169+BS137</f>
        <v>186.16899999999995</v>
      </c>
      <c r="BT169" s="481">
        <f t="shared" ref="BT169:BT190" si="393">BO169+BT137</f>
        <v>186.16899999999995</v>
      </c>
      <c r="BU169" s="2840">
        <f t="shared" ref="BU169:BX190" si="394">BT169+BU137</f>
        <v>186.16899999999995</v>
      </c>
      <c r="BV169" s="2840">
        <f t="shared" si="394"/>
        <v>186.16899999999995</v>
      </c>
      <c r="BW169" s="2840">
        <f t="shared" si="394"/>
        <v>186.16899999999995</v>
      </c>
      <c r="BX169" s="2840">
        <f t="shared" si="394"/>
        <v>186.16899999999995</v>
      </c>
      <c r="BY169" s="2587">
        <f t="shared" ref="BY169:BY190" si="395">BT169+BY137</f>
        <v>186.16899999999995</v>
      </c>
      <c r="BZ169" s="481">
        <f t="shared" ref="BZ169:CA190" si="396">BY169+BZ137</f>
        <v>186.16899999999995</v>
      </c>
      <c r="CA169" s="481">
        <f t="shared" si="396"/>
        <v>186.16899999999995</v>
      </c>
      <c r="CB169" s="481">
        <f t="shared" ref="CB169:CB190" si="397">CA169+CB137</f>
        <v>186.16899999999995</v>
      </c>
      <c r="CC169" s="481">
        <f t="shared" ref="CC169:CC190" si="398">CB169+CC137</f>
        <v>186.16899999999995</v>
      </c>
      <c r="CD169" s="481">
        <f t="shared" ref="CD169:CD190" si="399">CC169+CD137</f>
        <v>186.16899999999995</v>
      </c>
      <c r="CE169" s="481">
        <f t="shared" ref="CE169:CE190" si="400">CD169+CE137</f>
        <v>186.16899999999995</v>
      </c>
      <c r="CF169" s="481">
        <f t="shared" ref="CF169:CF190" si="401">CE169+CF137</f>
        <v>186.16899999999995</v>
      </c>
      <c r="CG169" s="454"/>
      <c r="CH169" s="454"/>
      <c r="CI169" s="454"/>
      <c r="CJ169" s="454"/>
      <c r="CK169" s="454"/>
      <c r="CL169" s="2025" t="str">
        <f t="shared" si="369"/>
        <v>Hollywood at Charles Town Races (WV)</v>
      </c>
      <c r="CM169" s="430">
        <f t="shared" ref="CM169:CM193" si="402">G169</f>
        <v>25.369</v>
      </c>
      <c r="CN169" s="430">
        <f t="shared" ref="CN169:CN193" si="403">L169</f>
        <v>51.869</v>
      </c>
      <c r="CO169" s="430">
        <f t="shared" ref="CO169:CO193" si="404">Q169</f>
        <v>100.46900000000001</v>
      </c>
      <c r="CP169" s="430">
        <f t="shared" ref="CP169:CP193" si="405">V169</f>
        <v>131.96900000000002</v>
      </c>
      <c r="CQ169" s="430">
        <f t="shared" ref="CQ169:CQ193" si="406">AA169</f>
        <v>147.16900000000001</v>
      </c>
      <c r="CR169" s="430">
        <f t="shared" ref="CR169:CR193" si="407">AF169</f>
        <v>147.16900000000001</v>
      </c>
      <c r="CS169" s="430">
        <f t="shared" ref="CS169:CS193" si="408">AK169</f>
        <v>170.86899999999997</v>
      </c>
      <c r="CT169" s="430">
        <f t="shared" ref="CT169:CT193" si="409">AP169</f>
        <v>186.16899999999995</v>
      </c>
      <c r="CU169" s="430">
        <f t="shared" ref="CU169:CU193" si="410">AU169</f>
        <v>186.16899999999995</v>
      </c>
      <c r="CV169" s="430">
        <f t="shared" ref="CV169:CV193" si="411">AZ169</f>
        <v>186.16899999999995</v>
      </c>
      <c r="CW169" s="430">
        <f t="shared" ref="CW169:CW193" si="412">BE169</f>
        <v>186.16899999999995</v>
      </c>
      <c r="CX169" s="430">
        <f t="shared" ref="CX169:CX193" si="413">BJ169</f>
        <v>186.16899999999995</v>
      </c>
      <c r="CY169" s="430">
        <f t="shared" ref="CY169:CY193" si="414">BO169</f>
        <v>186.16899999999995</v>
      </c>
      <c r="CZ169" s="430">
        <f t="shared" ref="CZ169:CZ193" si="415">BT169</f>
        <v>186.16899999999995</v>
      </c>
      <c r="DA169" s="430">
        <f t="shared" ref="DA169:DA193" si="416">BY169</f>
        <v>186.16899999999995</v>
      </c>
      <c r="DB169" s="430">
        <f t="shared" ref="DB169:DB193" si="417">BZ169</f>
        <v>186.16899999999995</v>
      </c>
      <c r="DC169" s="853">
        <f t="shared" ref="DC169:DC193" si="418">CA169</f>
        <v>186.16899999999995</v>
      </c>
      <c r="DD169" s="454"/>
      <c r="DE169" s="454"/>
      <c r="DF169" s="463"/>
      <c r="DG169" s="463"/>
      <c r="DH169" s="2840"/>
      <c r="DI169" s="3213"/>
      <c r="DJ169" s="463"/>
      <c r="DK169" s="463"/>
      <c r="DL169" s="463"/>
      <c r="DM169" s="463"/>
      <c r="DN169" s="463"/>
      <c r="DO169" s="463"/>
      <c r="DP169" s="463"/>
      <c r="DQ169" s="463"/>
      <c r="DR169" s="608"/>
      <c r="DS169" s="608"/>
      <c r="DT169" s="608"/>
    </row>
    <row r="170" spans="1:124" ht="12" customHeight="1" x14ac:dyDescent="0.25">
      <c r="A170" s="312" t="s">
        <v>1092</v>
      </c>
      <c r="B170" s="509"/>
      <c r="C170" s="509">
        <f t="shared" si="370"/>
        <v>0</v>
      </c>
      <c r="D170" s="509">
        <f t="shared" si="371"/>
        <v>0</v>
      </c>
      <c r="E170" s="509">
        <f t="shared" si="371"/>
        <v>0</v>
      </c>
      <c r="F170" s="509">
        <f t="shared" si="371"/>
        <v>0</v>
      </c>
      <c r="G170" s="510">
        <f t="shared" ref="G170:G191" si="419">F170</f>
        <v>0</v>
      </c>
      <c r="H170" s="509">
        <f t="shared" si="372"/>
        <v>0</v>
      </c>
      <c r="I170" s="509">
        <f t="shared" si="372"/>
        <v>0</v>
      </c>
      <c r="J170" s="509">
        <f t="shared" si="372"/>
        <v>0</v>
      </c>
      <c r="K170" s="509">
        <f t="shared" si="372"/>
        <v>9.8000000000000007</v>
      </c>
      <c r="L170" s="510">
        <f t="shared" ref="L170:L191" si="420">K170</f>
        <v>9.8000000000000007</v>
      </c>
      <c r="M170" s="509">
        <f t="shared" si="373"/>
        <v>19.600000000000001</v>
      </c>
      <c r="N170" s="509">
        <f t="shared" si="373"/>
        <v>29.2</v>
      </c>
      <c r="O170" s="509">
        <f t="shared" si="373"/>
        <v>39.799999999999997</v>
      </c>
      <c r="P170" s="509">
        <f t="shared" si="373"/>
        <v>46.8</v>
      </c>
      <c r="Q170" s="510">
        <f t="shared" ref="Q170:Q191" si="421">P170</f>
        <v>46.8</v>
      </c>
      <c r="R170" s="509">
        <f t="shared" si="374"/>
        <v>53.4</v>
      </c>
      <c r="S170" s="509">
        <f t="shared" si="374"/>
        <v>64.400000000000006</v>
      </c>
      <c r="T170" s="509">
        <f t="shared" si="374"/>
        <v>76.2</v>
      </c>
      <c r="U170" s="509">
        <f t="shared" si="374"/>
        <v>87.2</v>
      </c>
      <c r="V170" s="510">
        <f t="shared" ref="V170:V191" si="422">U170</f>
        <v>87.2</v>
      </c>
      <c r="W170" s="509">
        <f t="shared" si="375"/>
        <v>104.1</v>
      </c>
      <c r="X170" s="509">
        <f t="shared" si="375"/>
        <v>122.9</v>
      </c>
      <c r="Y170" s="509">
        <f t="shared" si="375"/>
        <v>146.80000000000001</v>
      </c>
      <c r="Z170" s="509">
        <f t="shared" si="375"/>
        <v>178.10000000000002</v>
      </c>
      <c r="AA170" s="510">
        <f t="shared" ref="AA170:AA191" si="423">Z170</f>
        <v>178.10000000000002</v>
      </c>
      <c r="AB170" s="509">
        <f t="shared" si="376"/>
        <v>214.50000000000003</v>
      </c>
      <c r="AC170" s="509">
        <f t="shared" si="376"/>
        <v>254.00000000000003</v>
      </c>
      <c r="AD170" s="509">
        <f t="shared" si="376"/>
        <v>299.8</v>
      </c>
      <c r="AE170" s="430">
        <f t="shared" si="376"/>
        <v>302.70000000000005</v>
      </c>
      <c r="AF170" s="481">
        <f t="shared" ref="AF170:AF191" si="424">AE170</f>
        <v>302.70000000000005</v>
      </c>
      <c r="AG170" s="430">
        <f t="shared" si="377"/>
        <v>307.70000000000005</v>
      </c>
      <c r="AH170" s="430">
        <f t="shared" si="377"/>
        <v>312.80000000000007</v>
      </c>
      <c r="AI170" s="430">
        <f t="shared" si="377"/>
        <v>316.00000000000006</v>
      </c>
      <c r="AJ170" s="430">
        <f t="shared" si="377"/>
        <v>316.40000000000003</v>
      </c>
      <c r="AK170" s="481">
        <f t="shared" ref="AK170:AK186" si="425">AJ170</f>
        <v>316.40000000000003</v>
      </c>
      <c r="AL170" s="430">
        <f t="shared" si="378"/>
        <v>316.40000000000003</v>
      </c>
      <c r="AM170" s="430">
        <f t="shared" si="378"/>
        <v>316.40000000000003</v>
      </c>
      <c r="AN170" s="430">
        <f t="shared" si="378"/>
        <v>316.40000000000003</v>
      </c>
      <c r="AO170" s="430">
        <f t="shared" si="378"/>
        <v>316.40000000000003</v>
      </c>
      <c r="AP170" s="483">
        <f t="shared" ref="AP170:AP191" si="426">AO170</f>
        <v>316.40000000000003</v>
      </c>
      <c r="AQ170" s="483">
        <f t="shared" si="379"/>
        <v>316.40000000000003</v>
      </c>
      <c r="AR170" s="430">
        <f t="shared" si="379"/>
        <v>316.40000000000003</v>
      </c>
      <c r="AS170" s="430">
        <f t="shared" si="379"/>
        <v>316.40000000000003</v>
      </c>
      <c r="AT170" s="430">
        <f t="shared" si="379"/>
        <v>316.40000000000003</v>
      </c>
      <c r="AU170" s="483">
        <f t="shared" si="380"/>
        <v>316.40000000000003</v>
      </c>
      <c r="AV170" s="483">
        <f t="shared" si="381"/>
        <v>316.40000000000003</v>
      </c>
      <c r="AW170" s="430">
        <f t="shared" si="381"/>
        <v>316.40000000000003</v>
      </c>
      <c r="AX170" s="430">
        <f t="shared" si="381"/>
        <v>316.40000000000003</v>
      </c>
      <c r="AY170" s="853">
        <f t="shared" si="381"/>
        <v>316.40000000000003</v>
      </c>
      <c r="AZ170" s="481">
        <f t="shared" si="382"/>
        <v>316.40000000000003</v>
      </c>
      <c r="BA170" s="483">
        <f t="shared" si="383"/>
        <v>316.40000000000003</v>
      </c>
      <c r="BB170" s="430">
        <f t="shared" si="383"/>
        <v>316.40000000000003</v>
      </c>
      <c r="BC170" s="430">
        <f t="shared" si="383"/>
        <v>316.40000000000003</v>
      </c>
      <c r="BD170" s="853">
        <f t="shared" si="383"/>
        <v>316.40000000000003</v>
      </c>
      <c r="BE170" s="481">
        <f t="shared" si="384"/>
        <v>316.40000000000003</v>
      </c>
      <c r="BF170" s="430">
        <f t="shared" si="385"/>
        <v>316.40000000000003</v>
      </c>
      <c r="BG170" s="430">
        <f t="shared" si="385"/>
        <v>316.40000000000003</v>
      </c>
      <c r="BH170" s="430">
        <f t="shared" si="385"/>
        <v>316.40000000000003</v>
      </c>
      <c r="BI170" s="853">
        <f t="shared" si="385"/>
        <v>316.40000000000003</v>
      </c>
      <c r="BJ170" s="481">
        <f t="shared" si="386"/>
        <v>316.40000000000003</v>
      </c>
      <c r="BK170" s="430">
        <f t="shared" si="387"/>
        <v>316.40000000000003</v>
      </c>
      <c r="BL170" s="430">
        <f t="shared" si="387"/>
        <v>316.40000000000003</v>
      </c>
      <c r="BM170" s="430">
        <f t="shared" si="387"/>
        <v>316.40000000000003</v>
      </c>
      <c r="BN170" s="853">
        <f t="shared" si="387"/>
        <v>316.40000000000003</v>
      </c>
      <c r="BO170" s="481">
        <f t="shared" si="388"/>
        <v>316.40000000000003</v>
      </c>
      <c r="BP170" s="430">
        <f t="shared" si="389"/>
        <v>316.40000000000003</v>
      </c>
      <c r="BQ170" s="430">
        <f t="shared" si="390"/>
        <v>316.40000000000003</v>
      </c>
      <c r="BR170" s="430">
        <f t="shared" si="391"/>
        <v>316.40000000000003</v>
      </c>
      <c r="BS170" s="430">
        <f t="shared" si="392"/>
        <v>316.40000000000003</v>
      </c>
      <c r="BT170" s="481">
        <f t="shared" si="393"/>
        <v>316.40000000000003</v>
      </c>
      <c r="BU170" s="2840">
        <f t="shared" si="394"/>
        <v>316.40000000000003</v>
      </c>
      <c r="BV170" s="2840">
        <f t="shared" si="394"/>
        <v>316.40000000000003</v>
      </c>
      <c r="BW170" s="2840">
        <f t="shared" si="394"/>
        <v>316.40000000000003</v>
      </c>
      <c r="BX170" s="2840">
        <f t="shared" si="394"/>
        <v>316.40000000000003</v>
      </c>
      <c r="BY170" s="2587">
        <f t="shared" si="395"/>
        <v>316.40000000000003</v>
      </c>
      <c r="BZ170" s="481">
        <f t="shared" si="396"/>
        <v>316.40000000000003</v>
      </c>
      <c r="CA170" s="481">
        <f t="shared" si="396"/>
        <v>316.40000000000003</v>
      </c>
      <c r="CB170" s="481">
        <f t="shared" si="397"/>
        <v>316.40000000000003</v>
      </c>
      <c r="CC170" s="481">
        <f t="shared" si="398"/>
        <v>316.40000000000003</v>
      </c>
      <c r="CD170" s="481">
        <f t="shared" si="399"/>
        <v>316.40000000000003</v>
      </c>
      <c r="CE170" s="481">
        <f t="shared" si="400"/>
        <v>316.40000000000003</v>
      </c>
      <c r="CF170" s="481">
        <f t="shared" si="401"/>
        <v>316.40000000000003</v>
      </c>
      <c r="CG170" s="454"/>
      <c r="CH170" s="454"/>
      <c r="CI170" s="454"/>
      <c r="CJ170" s="454"/>
      <c r="CK170" s="454"/>
      <c r="CL170" s="2025" t="str">
        <f t="shared" si="369"/>
        <v>Hollywood Lawrenceburg (IN)</v>
      </c>
      <c r="CM170" s="430">
        <f t="shared" si="402"/>
        <v>0</v>
      </c>
      <c r="CN170" s="430">
        <f t="shared" si="403"/>
        <v>9.8000000000000007</v>
      </c>
      <c r="CO170" s="430">
        <f t="shared" si="404"/>
        <v>46.8</v>
      </c>
      <c r="CP170" s="430">
        <f t="shared" si="405"/>
        <v>87.2</v>
      </c>
      <c r="CQ170" s="430">
        <f t="shared" si="406"/>
        <v>178.10000000000002</v>
      </c>
      <c r="CR170" s="430">
        <f t="shared" si="407"/>
        <v>302.70000000000005</v>
      </c>
      <c r="CS170" s="430">
        <f t="shared" si="408"/>
        <v>316.40000000000003</v>
      </c>
      <c r="CT170" s="430">
        <f t="shared" si="409"/>
        <v>316.40000000000003</v>
      </c>
      <c r="CU170" s="430">
        <f t="shared" si="410"/>
        <v>316.40000000000003</v>
      </c>
      <c r="CV170" s="430">
        <f t="shared" si="411"/>
        <v>316.40000000000003</v>
      </c>
      <c r="CW170" s="430">
        <f t="shared" si="412"/>
        <v>316.40000000000003</v>
      </c>
      <c r="CX170" s="430">
        <f t="shared" si="413"/>
        <v>316.40000000000003</v>
      </c>
      <c r="CY170" s="430">
        <f t="shared" si="414"/>
        <v>316.40000000000003</v>
      </c>
      <c r="CZ170" s="430">
        <f t="shared" si="415"/>
        <v>316.40000000000003</v>
      </c>
      <c r="DA170" s="430">
        <f t="shared" si="416"/>
        <v>316.40000000000003</v>
      </c>
      <c r="DB170" s="430">
        <f t="shared" si="417"/>
        <v>316.40000000000003</v>
      </c>
      <c r="DC170" s="853">
        <f t="shared" si="418"/>
        <v>316.40000000000003</v>
      </c>
      <c r="DD170" s="454"/>
      <c r="DE170" s="454"/>
      <c r="DF170" s="463"/>
      <c r="DG170" s="463"/>
      <c r="DH170" s="2840"/>
      <c r="DI170" s="3213"/>
      <c r="DJ170" s="463"/>
      <c r="DK170" s="463"/>
      <c r="DL170" s="463"/>
      <c r="DM170" s="463"/>
      <c r="DN170" s="463"/>
      <c r="DO170" s="463"/>
      <c r="DP170" s="463"/>
      <c r="DQ170" s="463"/>
      <c r="DR170" s="608"/>
      <c r="DS170" s="608"/>
      <c r="DT170" s="608"/>
    </row>
    <row r="171" spans="1:124" ht="12" customHeight="1" x14ac:dyDescent="0.25">
      <c r="A171" s="312" t="s">
        <v>1549</v>
      </c>
      <c r="B171" s="509"/>
      <c r="C171" s="509">
        <f t="shared" si="370"/>
        <v>0</v>
      </c>
      <c r="D171" s="509">
        <f t="shared" si="371"/>
        <v>0</v>
      </c>
      <c r="E171" s="509">
        <f t="shared" si="371"/>
        <v>0</v>
      </c>
      <c r="F171" s="509">
        <f t="shared" si="371"/>
        <v>0</v>
      </c>
      <c r="G171" s="510">
        <f t="shared" si="419"/>
        <v>0</v>
      </c>
      <c r="H171" s="509">
        <f t="shared" si="372"/>
        <v>1.53</v>
      </c>
      <c r="I171" s="509">
        <f t="shared" si="372"/>
        <v>6.6639999999999997</v>
      </c>
      <c r="J171" s="509">
        <f t="shared" si="372"/>
        <v>8.9830000000000005</v>
      </c>
      <c r="K171" s="509">
        <f t="shared" si="372"/>
        <v>8.3000000000000007</v>
      </c>
      <c r="L171" s="510">
        <f t="shared" si="420"/>
        <v>8.3000000000000007</v>
      </c>
      <c r="M171" s="509">
        <f t="shared" si="373"/>
        <v>14.9</v>
      </c>
      <c r="N171" s="509">
        <f t="shared" si="373"/>
        <v>23</v>
      </c>
      <c r="O171" s="509">
        <f t="shared" si="373"/>
        <v>25.7</v>
      </c>
      <c r="P171" s="509">
        <f t="shared" si="373"/>
        <v>36.900000000000006</v>
      </c>
      <c r="Q171" s="510">
        <f t="shared" si="421"/>
        <v>36.900000000000006</v>
      </c>
      <c r="R171" s="509">
        <f t="shared" si="374"/>
        <v>59.400000000000006</v>
      </c>
      <c r="S171" s="509">
        <f t="shared" si="374"/>
        <v>93</v>
      </c>
      <c r="T171" s="509">
        <f t="shared" si="374"/>
        <v>128</v>
      </c>
      <c r="U171" s="509">
        <f t="shared" si="374"/>
        <v>186.20000000000002</v>
      </c>
      <c r="V171" s="510">
        <f t="shared" si="422"/>
        <v>186.20000000000002</v>
      </c>
      <c r="W171" s="509">
        <f t="shared" si="375"/>
        <v>241.70000000000002</v>
      </c>
      <c r="X171" s="509">
        <f t="shared" si="375"/>
        <v>256.5</v>
      </c>
      <c r="Y171" s="509">
        <f t="shared" si="375"/>
        <v>268.2</v>
      </c>
      <c r="Z171" s="509">
        <f t="shared" si="375"/>
        <v>278.2</v>
      </c>
      <c r="AA171" s="510">
        <f t="shared" si="423"/>
        <v>278.2</v>
      </c>
      <c r="AB171" s="509">
        <f t="shared" si="376"/>
        <v>281.3</v>
      </c>
      <c r="AC171" s="509">
        <f t="shared" si="376"/>
        <v>281.60000000000002</v>
      </c>
      <c r="AD171" s="509">
        <f t="shared" si="376"/>
        <v>282.5</v>
      </c>
      <c r="AE171" s="430">
        <f t="shared" si="376"/>
        <v>282.89999999999998</v>
      </c>
      <c r="AF171" s="481">
        <f t="shared" si="424"/>
        <v>282.89999999999998</v>
      </c>
      <c r="AG171" s="430">
        <f t="shared" si="377"/>
        <v>283.5</v>
      </c>
      <c r="AH171" s="430">
        <f t="shared" si="377"/>
        <v>302.10000000000002</v>
      </c>
      <c r="AI171" s="430">
        <f t="shared" si="377"/>
        <v>305.60000000000002</v>
      </c>
      <c r="AJ171" s="430">
        <f t="shared" si="377"/>
        <v>305.60000000000002</v>
      </c>
      <c r="AK171" s="481">
        <f t="shared" si="425"/>
        <v>305.60000000000002</v>
      </c>
      <c r="AL171" s="430">
        <f t="shared" si="378"/>
        <v>305.60000000000002</v>
      </c>
      <c r="AM171" s="430">
        <f t="shared" si="378"/>
        <v>305.60000000000002</v>
      </c>
      <c r="AN171" s="430">
        <f t="shared" si="378"/>
        <v>305.60000000000002</v>
      </c>
      <c r="AO171" s="430">
        <f t="shared" si="378"/>
        <v>305.60000000000002</v>
      </c>
      <c r="AP171" s="483">
        <f t="shared" si="426"/>
        <v>305.60000000000002</v>
      </c>
      <c r="AQ171" s="483">
        <f t="shared" si="379"/>
        <v>305.60000000000002</v>
      </c>
      <c r="AR171" s="430">
        <f t="shared" si="379"/>
        <v>305.60000000000002</v>
      </c>
      <c r="AS171" s="430">
        <f t="shared" si="379"/>
        <v>305.60000000000002</v>
      </c>
      <c r="AT171" s="430">
        <f t="shared" si="379"/>
        <v>305.60000000000002</v>
      </c>
      <c r="AU171" s="483">
        <f t="shared" si="380"/>
        <v>305.60000000000002</v>
      </c>
      <c r="AV171" s="483">
        <f t="shared" si="381"/>
        <v>305.60000000000002</v>
      </c>
      <c r="AW171" s="430">
        <f t="shared" si="381"/>
        <v>305.60000000000002</v>
      </c>
      <c r="AX171" s="430">
        <f t="shared" si="381"/>
        <v>305.60000000000002</v>
      </c>
      <c r="AY171" s="853">
        <f t="shared" si="381"/>
        <v>305.60000000000002</v>
      </c>
      <c r="AZ171" s="481">
        <f t="shared" si="382"/>
        <v>305.60000000000002</v>
      </c>
      <c r="BA171" s="483">
        <f t="shared" si="383"/>
        <v>305.60000000000002</v>
      </c>
      <c r="BB171" s="430">
        <f t="shared" si="383"/>
        <v>305.60000000000002</v>
      </c>
      <c r="BC171" s="430">
        <f t="shared" si="383"/>
        <v>305.60000000000002</v>
      </c>
      <c r="BD171" s="853">
        <f t="shared" si="383"/>
        <v>305.60000000000002</v>
      </c>
      <c r="BE171" s="481">
        <f t="shared" si="384"/>
        <v>305.60000000000002</v>
      </c>
      <c r="BF171" s="430">
        <f t="shared" si="385"/>
        <v>305.60000000000002</v>
      </c>
      <c r="BG171" s="430">
        <f t="shared" si="385"/>
        <v>305.60000000000002</v>
      </c>
      <c r="BH171" s="430">
        <f t="shared" si="385"/>
        <v>305.60000000000002</v>
      </c>
      <c r="BI171" s="853">
        <f t="shared" si="385"/>
        <v>305.60000000000002</v>
      </c>
      <c r="BJ171" s="481">
        <f t="shared" si="386"/>
        <v>305.60000000000002</v>
      </c>
      <c r="BK171" s="430">
        <f t="shared" si="387"/>
        <v>305.60000000000002</v>
      </c>
      <c r="BL171" s="430">
        <f t="shared" si="387"/>
        <v>305.60000000000002</v>
      </c>
      <c r="BM171" s="430">
        <f t="shared" si="387"/>
        <v>305.60000000000002</v>
      </c>
      <c r="BN171" s="853">
        <f t="shared" si="387"/>
        <v>305.60000000000002</v>
      </c>
      <c r="BO171" s="481">
        <f t="shared" si="388"/>
        <v>305.60000000000002</v>
      </c>
      <c r="BP171" s="430">
        <f t="shared" si="389"/>
        <v>305.60000000000002</v>
      </c>
      <c r="BQ171" s="430">
        <f t="shared" si="390"/>
        <v>305.60000000000002</v>
      </c>
      <c r="BR171" s="430">
        <f t="shared" si="391"/>
        <v>305.60000000000002</v>
      </c>
      <c r="BS171" s="430">
        <f t="shared" si="392"/>
        <v>305.60000000000002</v>
      </c>
      <c r="BT171" s="481">
        <f t="shared" si="393"/>
        <v>305.60000000000002</v>
      </c>
      <c r="BU171" s="2840">
        <f t="shared" si="394"/>
        <v>305.60000000000002</v>
      </c>
      <c r="BV171" s="2840">
        <f t="shared" si="394"/>
        <v>305.60000000000002</v>
      </c>
      <c r="BW171" s="2840">
        <f t="shared" si="394"/>
        <v>305.60000000000002</v>
      </c>
      <c r="BX171" s="2840">
        <f t="shared" si="394"/>
        <v>305.60000000000002</v>
      </c>
      <c r="BY171" s="2587">
        <f t="shared" si="395"/>
        <v>305.60000000000002</v>
      </c>
      <c r="BZ171" s="481">
        <f t="shared" si="396"/>
        <v>305.60000000000002</v>
      </c>
      <c r="CA171" s="481">
        <f t="shared" si="396"/>
        <v>305.60000000000002</v>
      </c>
      <c r="CB171" s="481">
        <f t="shared" si="397"/>
        <v>305.60000000000002</v>
      </c>
      <c r="CC171" s="481">
        <f t="shared" si="398"/>
        <v>305.60000000000002</v>
      </c>
      <c r="CD171" s="481">
        <f t="shared" si="399"/>
        <v>305.60000000000002</v>
      </c>
      <c r="CE171" s="481">
        <f t="shared" si="400"/>
        <v>305.60000000000002</v>
      </c>
      <c r="CF171" s="481">
        <f t="shared" si="401"/>
        <v>305.60000000000002</v>
      </c>
      <c r="CG171" s="454"/>
      <c r="CH171" s="454"/>
      <c r="CI171" s="454"/>
      <c r="CJ171" s="454"/>
      <c r="CK171" s="454"/>
      <c r="CL171" s="2025" t="str">
        <f t="shared" si="369"/>
        <v>Hollywood at Penn National (PA)</v>
      </c>
      <c r="CM171" s="430">
        <f t="shared" si="402"/>
        <v>0</v>
      </c>
      <c r="CN171" s="430">
        <f t="shared" si="403"/>
        <v>8.3000000000000007</v>
      </c>
      <c r="CO171" s="430">
        <f t="shared" si="404"/>
        <v>36.900000000000006</v>
      </c>
      <c r="CP171" s="430">
        <f t="shared" si="405"/>
        <v>186.20000000000002</v>
      </c>
      <c r="CQ171" s="430">
        <f t="shared" si="406"/>
        <v>278.2</v>
      </c>
      <c r="CR171" s="430">
        <f t="shared" si="407"/>
        <v>282.89999999999998</v>
      </c>
      <c r="CS171" s="430">
        <f t="shared" si="408"/>
        <v>305.60000000000002</v>
      </c>
      <c r="CT171" s="430">
        <f t="shared" si="409"/>
        <v>305.60000000000002</v>
      </c>
      <c r="CU171" s="430">
        <f t="shared" si="410"/>
        <v>305.60000000000002</v>
      </c>
      <c r="CV171" s="430">
        <f t="shared" si="411"/>
        <v>305.60000000000002</v>
      </c>
      <c r="CW171" s="430">
        <f t="shared" si="412"/>
        <v>305.60000000000002</v>
      </c>
      <c r="CX171" s="430">
        <f t="shared" si="413"/>
        <v>305.60000000000002</v>
      </c>
      <c r="CY171" s="430">
        <f t="shared" si="414"/>
        <v>305.60000000000002</v>
      </c>
      <c r="CZ171" s="430">
        <f t="shared" si="415"/>
        <v>305.60000000000002</v>
      </c>
      <c r="DA171" s="430">
        <f t="shared" si="416"/>
        <v>305.60000000000002</v>
      </c>
      <c r="DB171" s="430">
        <f t="shared" si="417"/>
        <v>305.60000000000002</v>
      </c>
      <c r="DC171" s="853">
        <f t="shared" si="418"/>
        <v>305.60000000000002</v>
      </c>
      <c r="DD171" s="454"/>
      <c r="DE171" s="454"/>
      <c r="DF171" s="463"/>
      <c r="DG171" s="463"/>
      <c r="DH171" s="2840"/>
      <c r="DI171" s="3213"/>
      <c r="DJ171" s="463"/>
      <c r="DK171" s="463"/>
      <c r="DL171" s="463"/>
      <c r="DM171" s="463"/>
      <c r="DN171" s="463"/>
      <c r="DO171" s="463"/>
      <c r="DP171" s="463"/>
      <c r="DQ171" s="463"/>
      <c r="DR171" s="608"/>
      <c r="DS171" s="608"/>
      <c r="DT171" s="608"/>
    </row>
    <row r="172" spans="1:124" ht="12" customHeight="1" x14ac:dyDescent="0.25">
      <c r="A172" s="312" t="s">
        <v>1094</v>
      </c>
      <c r="B172" s="509"/>
      <c r="C172" s="509">
        <f t="shared" si="370"/>
        <v>0</v>
      </c>
      <c r="D172" s="509">
        <f t="shared" si="371"/>
        <v>0</v>
      </c>
      <c r="E172" s="509">
        <f t="shared" si="371"/>
        <v>0</v>
      </c>
      <c r="F172" s="509">
        <f t="shared" si="371"/>
        <v>0</v>
      </c>
      <c r="G172" s="510">
        <f t="shared" si="419"/>
        <v>0</v>
      </c>
      <c r="H172" s="509">
        <f t="shared" si="372"/>
        <v>0</v>
      </c>
      <c r="I172" s="509">
        <f t="shared" si="372"/>
        <v>0</v>
      </c>
      <c r="J172" s="509">
        <f t="shared" si="372"/>
        <v>0</v>
      </c>
      <c r="K172" s="509">
        <f t="shared" si="372"/>
        <v>0</v>
      </c>
      <c r="L172" s="510">
        <f t="shared" si="420"/>
        <v>0</v>
      </c>
      <c r="M172" s="509">
        <f t="shared" si="373"/>
        <v>0</v>
      </c>
      <c r="N172" s="509">
        <f t="shared" si="373"/>
        <v>0</v>
      </c>
      <c r="O172" s="509">
        <f t="shared" si="373"/>
        <v>0</v>
      </c>
      <c r="P172" s="509">
        <f t="shared" si="373"/>
        <v>0</v>
      </c>
      <c r="Q172" s="510">
        <f t="shared" si="421"/>
        <v>0</v>
      </c>
      <c r="R172" s="509">
        <f t="shared" si="374"/>
        <v>0</v>
      </c>
      <c r="S172" s="509">
        <f t="shared" si="374"/>
        <v>0</v>
      </c>
      <c r="T172" s="509">
        <f t="shared" si="374"/>
        <v>0</v>
      </c>
      <c r="U172" s="509">
        <f t="shared" si="374"/>
        <v>0</v>
      </c>
      <c r="V172" s="510">
        <f t="shared" si="422"/>
        <v>0</v>
      </c>
      <c r="W172" s="509">
        <f t="shared" si="375"/>
        <v>0</v>
      </c>
      <c r="X172" s="509">
        <f t="shared" si="375"/>
        <v>0</v>
      </c>
      <c r="Y172" s="509">
        <f t="shared" si="375"/>
        <v>0</v>
      </c>
      <c r="Z172" s="509">
        <f t="shared" si="375"/>
        <v>0</v>
      </c>
      <c r="AA172" s="510">
        <f t="shared" si="423"/>
        <v>0</v>
      </c>
      <c r="AB172" s="509">
        <f t="shared" si="376"/>
        <v>0</v>
      </c>
      <c r="AC172" s="509">
        <f t="shared" si="376"/>
        <v>0</v>
      </c>
      <c r="AD172" s="509">
        <f t="shared" si="376"/>
        <v>0</v>
      </c>
      <c r="AE172" s="430">
        <f t="shared" si="376"/>
        <v>0</v>
      </c>
      <c r="AF172" s="481">
        <f t="shared" si="424"/>
        <v>0</v>
      </c>
      <c r="AG172" s="430">
        <f t="shared" si="377"/>
        <v>0</v>
      </c>
      <c r="AH172" s="430">
        <f t="shared" si="377"/>
        <v>0</v>
      </c>
      <c r="AI172" s="430">
        <f t="shared" si="377"/>
        <v>0</v>
      </c>
      <c r="AJ172" s="430">
        <f t="shared" si="377"/>
        <v>0</v>
      </c>
      <c r="AK172" s="481">
        <f t="shared" si="425"/>
        <v>0</v>
      </c>
      <c r="AL172" s="430">
        <f t="shared" si="378"/>
        <v>0</v>
      </c>
      <c r="AM172" s="430">
        <f t="shared" si="378"/>
        <v>0</v>
      </c>
      <c r="AN172" s="430">
        <f t="shared" si="378"/>
        <v>0</v>
      </c>
      <c r="AO172" s="430">
        <f t="shared" si="378"/>
        <v>0</v>
      </c>
      <c r="AP172" s="483">
        <f t="shared" si="426"/>
        <v>0</v>
      </c>
      <c r="AQ172" s="483">
        <f t="shared" si="379"/>
        <v>0</v>
      </c>
      <c r="AR172" s="430">
        <f t="shared" si="379"/>
        <v>0</v>
      </c>
      <c r="AS172" s="430">
        <f t="shared" si="379"/>
        <v>0</v>
      </c>
      <c r="AT172" s="430">
        <f t="shared" si="379"/>
        <v>0</v>
      </c>
      <c r="AU172" s="483">
        <f t="shared" si="380"/>
        <v>0</v>
      </c>
      <c r="AV172" s="483">
        <f t="shared" si="381"/>
        <v>0</v>
      </c>
      <c r="AW172" s="430">
        <f t="shared" si="381"/>
        <v>0</v>
      </c>
      <c r="AX172" s="430">
        <f t="shared" si="381"/>
        <v>0</v>
      </c>
      <c r="AY172" s="853">
        <f t="shared" si="381"/>
        <v>0</v>
      </c>
      <c r="AZ172" s="481">
        <f t="shared" si="382"/>
        <v>0</v>
      </c>
      <c r="BA172" s="483">
        <f t="shared" si="383"/>
        <v>0</v>
      </c>
      <c r="BB172" s="430">
        <f t="shared" si="383"/>
        <v>0</v>
      </c>
      <c r="BC172" s="430">
        <f t="shared" si="383"/>
        <v>0</v>
      </c>
      <c r="BD172" s="853">
        <f t="shared" si="383"/>
        <v>0</v>
      </c>
      <c r="BE172" s="481">
        <f t="shared" si="384"/>
        <v>0</v>
      </c>
      <c r="BF172" s="430">
        <f t="shared" si="385"/>
        <v>0</v>
      </c>
      <c r="BG172" s="430">
        <f t="shared" si="385"/>
        <v>0</v>
      </c>
      <c r="BH172" s="430">
        <f t="shared" si="385"/>
        <v>0</v>
      </c>
      <c r="BI172" s="853">
        <f t="shared" si="385"/>
        <v>0</v>
      </c>
      <c r="BJ172" s="481">
        <f t="shared" si="386"/>
        <v>0</v>
      </c>
      <c r="BK172" s="430">
        <f t="shared" si="387"/>
        <v>0</v>
      </c>
      <c r="BL172" s="430">
        <f t="shared" si="387"/>
        <v>0</v>
      </c>
      <c r="BM172" s="430">
        <f t="shared" si="387"/>
        <v>0</v>
      </c>
      <c r="BN172" s="853">
        <f t="shared" si="387"/>
        <v>0</v>
      </c>
      <c r="BO172" s="481">
        <f t="shared" si="388"/>
        <v>0</v>
      </c>
      <c r="BP172" s="430">
        <f t="shared" si="389"/>
        <v>0</v>
      </c>
      <c r="BQ172" s="430">
        <f t="shared" si="390"/>
        <v>0</v>
      </c>
      <c r="BR172" s="430">
        <f t="shared" si="391"/>
        <v>0</v>
      </c>
      <c r="BS172" s="430">
        <f t="shared" si="392"/>
        <v>0</v>
      </c>
      <c r="BT172" s="481">
        <f t="shared" si="393"/>
        <v>0</v>
      </c>
      <c r="BU172" s="2840">
        <f t="shared" si="394"/>
        <v>0</v>
      </c>
      <c r="BV172" s="2840">
        <f t="shared" si="394"/>
        <v>0</v>
      </c>
      <c r="BW172" s="2840">
        <f t="shared" si="394"/>
        <v>0</v>
      </c>
      <c r="BX172" s="2840">
        <f t="shared" si="394"/>
        <v>0</v>
      </c>
      <c r="BY172" s="2587">
        <f t="shared" si="395"/>
        <v>0</v>
      </c>
      <c r="BZ172" s="481">
        <f t="shared" si="396"/>
        <v>0</v>
      </c>
      <c r="CA172" s="481">
        <f t="shared" si="396"/>
        <v>0</v>
      </c>
      <c r="CB172" s="481">
        <f t="shared" si="397"/>
        <v>0</v>
      </c>
      <c r="CC172" s="481">
        <f t="shared" si="398"/>
        <v>0</v>
      </c>
      <c r="CD172" s="481">
        <f t="shared" si="399"/>
        <v>0</v>
      </c>
      <c r="CE172" s="481">
        <f t="shared" si="400"/>
        <v>0</v>
      </c>
      <c r="CF172" s="481">
        <f t="shared" si="401"/>
        <v>0</v>
      </c>
      <c r="CG172" s="454"/>
      <c r="CH172" s="454"/>
      <c r="CI172" s="454"/>
      <c r="CJ172" s="454"/>
      <c r="CK172" s="454"/>
      <c r="CL172" s="2025" t="str">
        <f t="shared" si="369"/>
        <v>Hollywood Aurora (IL)</v>
      </c>
      <c r="CM172" s="430">
        <f t="shared" si="402"/>
        <v>0</v>
      </c>
      <c r="CN172" s="430">
        <f t="shared" si="403"/>
        <v>0</v>
      </c>
      <c r="CO172" s="430">
        <f t="shared" si="404"/>
        <v>0</v>
      </c>
      <c r="CP172" s="430">
        <f t="shared" si="405"/>
        <v>0</v>
      </c>
      <c r="CQ172" s="430">
        <f t="shared" si="406"/>
        <v>0</v>
      </c>
      <c r="CR172" s="430">
        <f t="shared" si="407"/>
        <v>0</v>
      </c>
      <c r="CS172" s="430">
        <f t="shared" si="408"/>
        <v>0</v>
      </c>
      <c r="CT172" s="430">
        <f t="shared" si="409"/>
        <v>0</v>
      </c>
      <c r="CU172" s="430">
        <f t="shared" si="410"/>
        <v>0</v>
      </c>
      <c r="CV172" s="430">
        <f t="shared" si="411"/>
        <v>0</v>
      </c>
      <c r="CW172" s="430">
        <f t="shared" si="412"/>
        <v>0</v>
      </c>
      <c r="CX172" s="430">
        <f t="shared" si="413"/>
        <v>0</v>
      </c>
      <c r="CY172" s="430">
        <f t="shared" si="414"/>
        <v>0</v>
      </c>
      <c r="CZ172" s="430">
        <f t="shared" si="415"/>
        <v>0</v>
      </c>
      <c r="DA172" s="430">
        <f t="shared" si="416"/>
        <v>0</v>
      </c>
      <c r="DB172" s="430">
        <f t="shared" si="417"/>
        <v>0</v>
      </c>
      <c r="DC172" s="853">
        <f t="shared" si="418"/>
        <v>0</v>
      </c>
      <c r="DD172" s="454"/>
      <c r="DE172" s="454"/>
      <c r="DF172" s="463"/>
      <c r="DG172" s="463"/>
      <c r="DH172" s="2840"/>
      <c r="DI172" s="3213"/>
      <c r="DJ172" s="463"/>
      <c r="DK172" s="463"/>
      <c r="DL172" s="463"/>
      <c r="DM172" s="463"/>
      <c r="DN172" s="463"/>
      <c r="DO172" s="463"/>
      <c r="DP172" s="463"/>
      <c r="DQ172" s="463"/>
      <c r="DR172" s="608"/>
      <c r="DS172" s="608"/>
      <c r="DT172" s="608"/>
    </row>
    <row r="173" spans="1:124" ht="12" customHeight="1" x14ac:dyDescent="0.25">
      <c r="A173" s="312" t="s">
        <v>1786</v>
      </c>
      <c r="B173" s="509"/>
      <c r="C173" s="509">
        <f t="shared" si="370"/>
        <v>0</v>
      </c>
      <c r="D173" s="509">
        <f t="shared" si="371"/>
        <v>0</v>
      </c>
      <c r="E173" s="509">
        <f t="shared" si="371"/>
        <v>0</v>
      </c>
      <c r="F173" s="509">
        <f t="shared" si="371"/>
        <v>0</v>
      </c>
      <c r="G173" s="510">
        <f t="shared" si="419"/>
        <v>0</v>
      </c>
      <c r="H173" s="509">
        <f t="shared" si="372"/>
        <v>0</v>
      </c>
      <c r="I173" s="509">
        <f t="shared" si="372"/>
        <v>0</v>
      </c>
      <c r="J173" s="509">
        <f t="shared" si="372"/>
        <v>0</v>
      </c>
      <c r="K173" s="509">
        <f t="shared" si="372"/>
        <v>0</v>
      </c>
      <c r="L173" s="510">
        <f t="shared" si="420"/>
        <v>0</v>
      </c>
      <c r="M173" s="509">
        <f t="shared" si="373"/>
        <v>0</v>
      </c>
      <c r="N173" s="509">
        <f t="shared" si="373"/>
        <v>0</v>
      </c>
      <c r="O173" s="509">
        <f t="shared" si="373"/>
        <v>0</v>
      </c>
      <c r="P173" s="509">
        <f t="shared" si="373"/>
        <v>0</v>
      </c>
      <c r="Q173" s="510">
        <f t="shared" si="421"/>
        <v>0</v>
      </c>
      <c r="R173" s="509">
        <f t="shared" si="374"/>
        <v>0</v>
      </c>
      <c r="S173" s="509">
        <f t="shared" si="374"/>
        <v>0</v>
      </c>
      <c r="T173" s="509">
        <f t="shared" si="374"/>
        <v>0</v>
      </c>
      <c r="U173" s="509">
        <f t="shared" si="374"/>
        <v>0</v>
      </c>
      <c r="V173" s="510">
        <f t="shared" si="422"/>
        <v>0</v>
      </c>
      <c r="W173" s="509">
        <f t="shared" si="375"/>
        <v>0</v>
      </c>
      <c r="X173" s="509">
        <f t="shared" si="375"/>
        <v>0.1</v>
      </c>
      <c r="Y173" s="509">
        <f t="shared" si="375"/>
        <v>0.5</v>
      </c>
      <c r="Z173" s="509">
        <f t="shared" si="375"/>
        <v>0.5</v>
      </c>
      <c r="AA173" s="510">
        <f t="shared" si="423"/>
        <v>0.5</v>
      </c>
      <c r="AB173" s="509">
        <f t="shared" si="376"/>
        <v>7.3</v>
      </c>
      <c r="AC173" s="509">
        <f t="shared" si="376"/>
        <v>26</v>
      </c>
      <c r="AD173" s="509">
        <f t="shared" si="376"/>
        <v>39.4</v>
      </c>
      <c r="AE173" s="430">
        <f t="shared" si="376"/>
        <v>51.3</v>
      </c>
      <c r="AF173" s="481">
        <f t="shared" si="424"/>
        <v>51.3</v>
      </c>
      <c r="AG173" s="430">
        <f t="shared" si="377"/>
        <v>62.3</v>
      </c>
      <c r="AH173" s="430">
        <f t="shared" si="377"/>
        <v>76.099999999999994</v>
      </c>
      <c r="AI173" s="430">
        <f t="shared" si="377"/>
        <v>89</v>
      </c>
      <c r="AJ173" s="430">
        <f t="shared" si="377"/>
        <v>112.8</v>
      </c>
      <c r="AK173" s="481">
        <f t="shared" si="425"/>
        <v>112.8</v>
      </c>
      <c r="AL173" s="430">
        <f t="shared" si="378"/>
        <v>121</v>
      </c>
      <c r="AM173" s="430">
        <f t="shared" si="378"/>
        <v>122.8</v>
      </c>
      <c r="AN173" s="430">
        <f t="shared" si="378"/>
        <v>123</v>
      </c>
      <c r="AO173" s="430">
        <f t="shared" si="378"/>
        <v>123.5</v>
      </c>
      <c r="AP173" s="483">
        <f t="shared" si="426"/>
        <v>123.5</v>
      </c>
      <c r="AQ173" s="483">
        <f t="shared" si="379"/>
        <v>123.5</v>
      </c>
      <c r="AR173" s="430">
        <f t="shared" si="379"/>
        <v>123.5</v>
      </c>
      <c r="AS173" s="430">
        <f t="shared" si="379"/>
        <v>123.5</v>
      </c>
      <c r="AT173" s="430">
        <f t="shared" si="379"/>
        <v>123.5</v>
      </c>
      <c r="AU173" s="483">
        <f t="shared" si="380"/>
        <v>123.5</v>
      </c>
      <c r="AV173" s="483">
        <f t="shared" si="381"/>
        <v>123.5</v>
      </c>
      <c r="AW173" s="430">
        <f t="shared" si="381"/>
        <v>123.5</v>
      </c>
      <c r="AX173" s="430">
        <f t="shared" si="381"/>
        <v>123.5</v>
      </c>
      <c r="AY173" s="853">
        <f t="shared" si="381"/>
        <v>123.5</v>
      </c>
      <c r="AZ173" s="481">
        <f t="shared" si="382"/>
        <v>123.5</v>
      </c>
      <c r="BA173" s="483">
        <f t="shared" si="383"/>
        <v>123.5</v>
      </c>
      <c r="BB173" s="430">
        <f t="shared" si="383"/>
        <v>123.5</v>
      </c>
      <c r="BC173" s="430">
        <f t="shared" si="383"/>
        <v>123.5</v>
      </c>
      <c r="BD173" s="853">
        <f t="shared" si="383"/>
        <v>123.5</v>
      </c>
      <c r="BE173" s="481">
        <f t="shared" si="384"/>
        <v>123.5</v>
      </c>
      <c r="BF173" s="430">
        <f t="shared" si="385"/>
        <v>123.5</v>
      </c>
      <c r="BG173" s="430">
        <f t="shared" si="385"/>
        <v>123.5</v>
      </c>
      <c r="BH173" s="430">
        <f t="shared" si="385"/>
        <v>123.5</v>
      </c>
      <c r="BI173" s="853">
        <f t="shared" si="385"/>
        <v>123.5</v>
      </c>
      <c r="BJ173" s="481">
        <f t="shared" si="386"/>
        <v>123.5</v>
      </c>
      <c r="BK173" s="430">
        <f t="shared" si="387"/>
        <v>123.5</v>
      </c>
      <c r="BL173" s="430">
        <f t="shared" si="387"/>
        <v>123.5</v>
      </c>
      <c r="BM173" s="430">
        <f t="shared" si="387"/>
        <v>123.5</v>
      </c>
      <c r="BN173" s="853">
        <f t="shared" si="387"/>
        <v>123.5</v>
      </c>
      <c r="BO173" s="481">
        <f t="shared" si="388"/>
        <v>123.5</v>
      </c>
      <c r="BP173" s="430">
        <f t="shared" si="389"/>
        <v>123.5</v>
      </c>
      <c r="BQ173" s="430">
        <f t="shared" si="390"/>
        <v>123.5</v>
      </c>
      <c r="BR173" s="430">
        <f t="shared" si="391"/>
        <v>123.5</v>
      </c>
      <c r="BS173" s="430">
        <f t="shared" si="392"/>
        <v>123.5</v>
      </c>
      <c r="BT173" s="481">
        <f t="shared" si="393"/>
        <v>123.5</v>
      </c>
      <c r="BU173" s="2840">
        <f t="shared" si="394"/>
        <v>123.5</v>
      </c>
      <c r="BV173" s="2840">
        <f t="shared" si="394"/>
        <v>123.5</v>
      </c>
      <c r="BW173" s="2840">
        <f t="shared" si="394"/>
        <v>123.5</v>
      </c>
      <c r="BX173" s="2840">
        <f t="shared" si="394"/>
        <v>123.5</v>
      </c>
      <c r="BY173" s="2587">
        <f t="shared" si="395"/>
        <v>123.5</v>
      </c>
      <c r="BZ173" s="481">
        <f t="shared" si="396"/>
        <v>123.5</v>
      </c>
      <c r="CA173" s="481">
        <f t="shared" si="396"/>
        <v>123.5</v>
      </c>
      <c r="CB173" s="481">
        <f t="shared" si="397"/>
        <v>123.5</v>
      </c>
      <c r="CC173" s="481">
        <f t="shared" si="398"/>
        <v>123.5</v>
      </c>
      <c r="CD173" s="481">
        <f t="shared" si="399"/>
        <v>123.5</v>
      </c>
      <c r="CE173" s="481">
        <f t="shared" si="400"/>
        <v>123.5</v>
      </c>
      <c r="CF173" s="481">
        <f t="shared" si="401"/>
        <v>123.5</v>
      </c>
      <c r="CG173" s="454"/>
      <c r="CH173" s="454"/>
      <c r="CI173" s="454"/>
      <c r="CJ173" s="454"/>
      <c r="CK173" s="454"/>
      <c r="CL173" s="2025" t="str">
        <f t="shared" si="369"/>
        <v>Hollywood Casino Joliet (IL)</v>
      </c>
      <c r="CM173" s="430">
        <f t="shared" si="402"/>
        <v>0</v>
      </c>
      <c r="CN173" s="430">
        <f t="shared" si="403"/>
        <v>0</v>
      </c>
      <c r="CO173" s="430">
        <f t="shared" si="404"/>
        <v>0</v>
      </c>
      <c r="CP173" s="430">
        <f t="shared" si="405"/>
        <v>0</v>
      </c>
      <c r="CQ173" s="430">
        <f t="shared" si="406"/>
        <v>0.5</v>
      </c>
      <c r="CR173" s="430">
        <f t="shared" si="407"/>
        <v>51.3</v>
      </c>
      <c r="CS173" s="430">
        <f t="shared" si="408"/>
        <v>112.8</v>
      </c>
      <c r="CT173" s="430">
        <f t="shared" si="409"/>
        <v>123.5</v>
      </c>
      <c r="CU173" s="430">
        <f t="shared" si="410"/>
        <v>123.5</v>
      </c>
      <c r="CV173" s="430">
        <f t="shared" si="411"/>
        <v>123.5</v>
      </c>
      <c r="CW173" s="430">
        <f t="shared" si="412"/>
        <v>123.5</v>
      </c>
      <c r="CX173" s="430">
        <f t="shared" si="413"/>
        <v>123.5</v>
      </c>
      <c r="CY173" s="430">
        <f t="shared" si="414"/>
        <v>123.5</v>
      </c>
      <c r="CZ173" s="430">
        <f t="shared" si="415"/>
        <v>123.5</v>
      </c>
      <c r="DA173" s="430">
        <f t="shared" si="416"/>
        <v>123.5</v>
      </c>
      <c r="DB173" s="430">
        <f t="shared" si="417"/>
        <v>123.5</v>
      </c>
      <c r="DC173" s="853">
        <f t="shared" si="418"/>
        <v>123.5</v>
      </c>
      <c r="DD173" s="454"/>
      <c r="DE173" s="454"/>
      <c r="DF173" s="463"/>
      <c r="DG173" s="463"/>
      <c r="DH173" s="2840"/>
      <c r="DI173" s="3213"/>
      <c r="DJ173" s="463"/>
      <c r="DK173" s="463"/>
      <c r="DL173" s="463"/>
      <c r="DM173" s="463"/>
      <c r="DN173" s="463"/>
      <c r="DO173" s="463"/>
      <c r="DP173" s="463"/>
      <c r="DQ173" s="463"/>
      <c r="DR173" s="608"/>
      <c r="DS173" s="608"/>
      <c r="DT173" s="608"/>
    </row>
    <row r="174" spans="1:124" ht="12" customHeight="1" x14ac:dyDescent="0.25">
      <c r="A174" s="312" t="s">
        <v>1093</v>
      </c>
      <c r="B174" s="509"/>
      <c r="C174" s="509">
        <f t="shared" si="370"/>
        <v>0</v>
      </c>
      <c r="D174" s="509">
        <f t="shared" si="371"/>
        <v>0</v>
      </c>
      <c r="E174" s="509">
        <f t="shared" si="371"/>
        <v>0</v>
      </c>
      <c r="F174" s="509">
        <f t="shared" si="371"/>
        <v>0</v>
      </c>
      <c r="G174" s="510">
        <f t="shared" si="419"/>
        <v>0</v>
      </c>
      <c r="H174" s="509">
        <f t="shared" si="372"/>
        <v>0</v>
      </c>
      <c r="I174" s="509">
        <f t="shared" si="372"/>
        <v>0</v>
      </c>
      <c r="J174" s="509">
        <f t="shared" si="372"/>
        <v>0</v>
      </c>
      <c r="K174" s="509">
        <f t="shared" si="372"/>
        <v>7.2</v>
      </c>
      <c r="L174" s="510">
        <f t="shared" si="420"/>
        <v>7.2</v>
      </c>
      <c r="M174" s="509">
        <f t="shared" si="373"/>
        <v>13.5</v>
      </c>
      <c r="N174" s="509">
        <f t="shared" si="373"/>
        <v>22</v>
      </c>
      <c r="O174" s="509">
        <f t="shared" si="373"/>
        <v>37.599999999999994</v>
      </c>
      <c r="P174" s="509">
        <f t="shared" si="373"/>
        <v>44.499999999999993</v>
      </c>
      <c r="Q174" s="510">
        <f t="shared" si="421"/>
        <v>44.499999999999993</v>
      </c>
      <c r="R174" s="509">
        <f t="shared" si="374"/>
        <v>50.899999999999991</v>
      </c>
      <c r="S174" s="509">
        <f t="shared" si="374"/>
        <v>53.599999999999994</v>
      </c>
      <c r="T174" s="509">
        <f t="shared" si="374"/>
        <v>53.8</v>
      </c>
      <c r="U174" s="509">
        <f t="shared" si="374"/>
        <v>53.8</v>
      </c>
      <c r="V174" s="510">
        <f t="shared" si="422"/>
        <v>53.8</v>
      </c>
      <c r="W174" s="509">
        <f t="shared" si="375"/>
        <v>53.8</v>
      </c>
      <c r="X174" s="509">
        <f t="shared" si="375"/>
        <v>53.8</v>
      </c>
      <c r="Y174" s="509">
        <f t="shared" si="375"/>
        <v>53.8</v>
      </c>
      <c r="Z174" s="509">
        <f t="shared" si="375"/>
        <v>53.8</v>
      </c>
      <c r="AA174" s="510">
        <f t="shared" si="423"/>
        <v>53.8</v>
      </c>
      <c r="AB174" s="509">
        <f t="shared" si="376"/>
        <v>53.8</v>
      </c>
      <c r="AC174" s="509">
        <f t="shared" si="376"/>
        <v>53.8</v>
      </c>
      <c r="AD174" s="509">
        <f t="shared" si="376"/>
        <v>53.8</v>
      </c>
      <c r="AE174" s="430">
        <f t="shared" si="376"/>
        <v>53.8</v>
      </c>
      <c r="AF174" s="481">
        <f t="shared" si="424"/>
        <v>53.8</v>
      </c>
      <c r="AG174" s="430">
        <f t="shared" si="377"/>
        <v>53.8</v>
      </c>
      <c r="AH174" s="430">
        <f t="shared" si="377"/>
        <v>53.8</v>
      </c>
      <c r="AI174" s="430">
        <f t="shared" si="377"/>
        <v>53.8</v>
      </c>
      <c r="AJ174" s="430">
        <f t="shared" si="377"/>
        <v>53.8</v>
      </c>
      <c r="AK174" s="481">
        <f t="shared" si="425"/>
        <v>53.8</v>
      </c>
      <c r="AL174" s="430">
        <f t="shared" si="378"/>
        <v>53.8</v>
      </c>
      <c r="AM174" s="430">
        <f t="shared" si="378"/>
        <v>53.8</v>
      </c>
      <c r="AN174" s="430">
        <f t="shared" si="378"/>
        <v>53.8</v>
      </c>
      <c r="AO174" s="430">
        <f t="shared" si="378"/>
        <v>53.8</v>
      </c>
      <c r="AP174" s="483">
        <f t="shared" si="426"/>
        <v>53.8</v>
      </c>
      <c r="AQ174" s="483">
        <f t="shared" si="379"/>
        <v>53.8</v>
      </c>
      <c r="AR174" s="430">
        <f t="shared" si="379"/>
        <v>53.8</v>
      </c>
      <c r="AS174" s="430">
        <f t="shared" si="379"/>
        <v>53.8</v>
      </c>
      <c r="AT174" s="430">
        <f t="shared" si="379"/>
        <v>53.8</v>
      </c>
      <c r="AU174" s="483">
        <f t="shared" si="380"/>
        <v>53.8</v>
      </c>
      <c r="AV174" s="483">
        <f t="shared" si="381"/>
        <v>53.8</v>
      </c>
      <c r="AW174" s="430">
        <f t="shared" si="381"/>
        <v>53.8</v>
      </c>
      <c r="AX174" s="430">
        <f t="shared" si="381"/>
        <v>53.8</v>
      </c>
      <c r="AY174" s="853">
        <f t="shared" si="381"/>
        <v>53.8</v>
      </c>
      <c r="AZ174" s="481">
        <f t="shared" si="382"/>
        <v>53.8</v>
      </c>
      <c r="BA174" s="483">
        <f t="shared" si="383"/>
        <v>53.8</v>
      </c>
      <c r="BB174" s="430">
        <f t="shared" si="383"/>
        <v>53.8</v>
      </c>
      <c r="BC174" s="430">
        <f t="shared" si="383"/>
        <v>53.8</v>
      </c>
      <c r="BD174" s="853">
        <f t="shared" si="383"/>
        <v>53.8</v>
      </c>
      <c r="BE174" s="481">
        <f t="shared" si="384"/>
        <v>53.8</v>
      </c>
      <c r="BF174" s="430">
        <f t="shared" si="385"/>
        <v>53.8</v>
      </c>
      <c r="BG174" s="430">
        <f t="shared" si="385"/>
        <v>53.8</v>
      </c>
      <c r="BH174" s="430">
        <f t="shared" si="385"/>
        <v>53.8</v>
      </c>
      <c r="BI174" s="853">
        <f t="shared" si="385"/>
        <v>53.8</v>
      </c>
      <c r="BJ174" s="481">
        <f t="shared" si="386"/>
        <v>53.8</v>
      </c>
      <c r="BK174" s="430">
        <f t="shared" si="387"/>
        <v>53.8</v>
      </c>
      <c r="BL174" s="430">
        <f t="shared" si="387"/>
        <v>53.8</v>
      </c>
      <c r="BM174" s="430">
        <f t="shared" si="387"/>
        <v>53.8</v>
      </c>
      <c r="BN174" s="853">
        <f t="shared" si="387"/>
        <v>53.8</v>
      </c>
      <c r="BO174" s="481">
        <f t="shared" si="388"/>
        <v>53.8</v>
      </c>
      <c r="BP174" s="430">
        <f t="shared" si="389"/>
        <v>53.8</v>
      </c>
      <c r="BQ174" s="430">
        <f t="shared" si="390"/>
        <v>53.8</v>
      </c>
      <c r="BR174" s="430">
        <f t="shared" si="391"/>
        <v>53.8</v>
      </c>
      <c r="BS174" s="430">
        <f t="shared" si="392"/>
        <v>53.8</v>
      </c>
      <c r="BT174" s="481">
        <f t="shared" si="393"/>
        <v>53.8</v>
      </c>
      <c r="BU174" s="2840">
        <f t="shared" si="394"/>
        <v>53.8</v>
      </c>
      <c r="BV174" s="2840">
        <f t="shared" si="394"/>
        <v>53.8</v>
      </c>
      <c r="BW174" s="2840">
        <f t="shared" si="394"/>
        <v>53.8</v>
      </c>
      <c r="BX174" s="2840">
        <f t="shared" si="394"/>
        <v>53.8</v>
      </c>
      <c r="BY174" s="2587">
        <f t="shared" si="395"/>
        <v>53.8</v>
      </c>
      <c r="BZ174" s="481">
        <f t="shared" si="396"/>
        <v>53.8</v>
      </c>
      <c r="CA174" s="481">
        <f t="shared" si="396"/>
        <v>53.8</v>
      </c>
      <c r="CB174" s="481">
        <f t="shared" si="397"/>
        <v>53.8</v>
      </c>
      <c r="CC174" s="481">
        <f t="shared" si="398"/>
        <v>53.8</v>
      </c>
      <c r="CD174" s="481">
        <f t="shared" si="399"/>
        <v>53.8</v>
      </c>
      <c r="CE174" s="481">
        <f t="shared" si="400"/>
        <v>53.8</v>
      </c>
      <c r="CF174" s="481">
        <f t="shared" si="401"/>
        <v>53.8</v>
      </c>
      <c r="CG174" s="454"/>
      <c r="CH174" s="454"/>
      <c r="CI174" s="454"/>
      <c r="CJ174" s="454"/>
      <c r="CK174" s="454"/>
      <c r="CL174" s="2025" t="str">
        <f t="shared" si="369"/>
        <v>Argosy Riverside (MO)</v>
      </c>
      <c r="CM174" s="430">
        <f t="shared" si="402"/>
        <v>0</v>
      </c>
      <c r="CN174" s="430">
        <f t="shared" si="403"/>
        <v>7.2</v>
      </c>
      <c r="CO174" s="430">
        <f t="shared" si="404"/>
        <v>44.499999999999993</v>
      </c>
      <c r="CP174" s="430">
        <f t="shared" si="405"/>
        <v>53.8</v>
      </c>
      <c r="CQ174" s="430">
        <f t="shared" si="406"/>
        <v>53.8</v>
      </c>
      <c r="CR174" s="430">
        <f t="shared" si="407"/>
        <v>53.8</v>
      </c>
      <c r="CS174" s="430">
        <f t="shared" si="408"/>
        <v>53.8</v>
      </c>
      <c r="CT174" s="430">
        <f t="shared" si="409"/>
        <v>53.8</v>
      </c>
      <c r="CU174" s="430">
        <f t="shared" si="410"/>
        <v>53.8</v>
      </c>
      <c r="CV174" s="430">
        <f t="shared" si="411"/>
        <v>53.8</v>
      </c>
      <c r="CW174" s="430">
        <f t="shared" si="412"/>
        <v>53.8</v>
      </c>
      <c r="CX174" s="430">
        <f t="shared" si="413"/>
        <v>53.8</v>
      </c>
      <c r="CY174" s="430">
        <f t="shared" si="414"/>
        <v>53.8</v>
      </c>
      <c r="CZ174" s="430">
        <f t="shared" si="415"/>
        <v>53.8</v>
      </c>
      <c r="DA174" s="430">
        <f t="shared" si="416"/>
        <v>53.8</v>
      </c>
      <c r="DB174" s="430">
        <f t="shared" si="417"/>
        <v>53.8</v>
      </c>
      <c r="DC174" s="853">
        <f t="shared" si="418"/>
        <v>53.8</v>
      </c>
      <c r="DD174" s="454"/>
      <c r="DE174" s="454"/>
      <c r="DF174" s="463"/>
      <c r="DG174" s="463"/>
      <c r="DH174" s="2840"/>
      <c r="DI174" s="3213"/>
      <c r="DJ174" s="463"/>
      <c r="DK174" s="463"/>
      <c r="DL174" s="463"/>
      <c r="DM174" s="463"/>
      <c r="DN174" s="463"/>
      <c r="DO174" s="463"/>
      <c r="DP174" s="463"/>
      <c r="DQ174" s="463"/>
      <c r="DR174" s="608"/>
      <c r="DS174" s="608"/>
      <c r="DT174" s="608"/>
    </row>
    <row r="175" spans="1:124" ht="12" customHeight="1" x14ac:dyDescent="0.25">
      <c r="A175" s="312" t="s">
        <v>1548</v>
      </c>
      <c r="B175" s="509"/>
      <c r="C175" s="509">
        <f t="shared" si="370"/>
        <v>0</v>
      </c>
      <c r="D175" s="509">
        <f t="shared" si="371"/>
        <v>0</v>
      </c>
      <c r="E175" s="509">
        <f t="shared" si="371"/>
        <v>0</v>
      </c>
      <c r="F175" s="509">
        <f t="shared" si="371"/>
        <v>0</v>
      </c>
      <c r="G175" s="510">
        <f t="shared" si="419"/>
        <v>0</v>
      </c>
      <c r="H175" s="509">
        <f t="shared" si="372"/>
        <v>0</v>
      </c>
      <c r="I175" s="509">
        <f t="shared" si="372"/>
        <v>0</v>
      </c>
      <c r="J175" s="509">
        <f t="shared" si="372"/>
        <v>0</v>
      </c>
      <c r="K175" s="509">
        <f t="shared" si="372"/>
        <v>0</v>
      </c>
      <c r="L175" s="510">
        <f t="shared" si="420"/>
        <v>0</v>
      </c>
      <c r="M175" s="509">
        <f t="shared" si="373"/>
        <v>0</v>
      </c>
      <c r="N175" s="509">
        <f t="shared" si="373"/>
        <v>0</v>
      </c>
      <c r="O175" s="509">
        <f t="shared" si="373"/>
        <v>0</v>
      </c>
      <c r="P175" s="509">
        <f t="shared" si="373"/>
        <v>0</v>
      </c>
      <c r="Q175" s="510">
        <f t="shared" si="421"/>
        <v>0</v>
      </c>
      <c r="R175" s="509">
        <f t="shared" si="374"/>
        <v>0</v>
      </c>
      <c r="S175" s="509">
        <f t="shared" si="374"/>
        <v>0</v>
      </c>
      <c r="T175" s="509">
        <f t="shared" si="374"/>
        <v>0</v>
      </c>
      <c r="U175" s="509">
        <f t="shared" si="374"/>
        <v>0</v>
      </c>
      <c r="V175" s="510">
        <f t="shared" si="422"/>
        <v>0</v>
      </c>
      <c r="W175" s="509">
        <f t="shared" si="375"/>
        <v>0</v>
      </c>
      <c r="X175" s="509">
        <f t="shared" si="375"/>
        <v>0</v>
      </c>
      <c r="Y175" s="509">
        <f t="shared" si="375"/>
        <v>0</v>
      </c>
      <c r="Z175" s="509">
        <f t="shared" si="375"/>
        <v>0</v>
      </c>
      <c r="AA175" s="510">
        <f t="shared" si="423"/>
        <v>0</v>
      </c>
      <c r="AB175" s="509">
        <f t="shared" si="376"/>
        <v>0</v>
      </c>
      <c r="AC175" s="509">
        <f t="shared" si="376"/>
        <v>0</v>
      </c>
      <c r="AD175" s="509">
        <f t="shared" si="376"/>
        <v>0</v>
      </c>
      <c r="AE175" s="430">
        <f t="shared" si="376"/>
        <v>0</v>
      </c>
      <c r="AF175" s="481">
        <f t="shared" si="424"/>
        <v>0</v>
      </c>
      <c r="AG175" s="430">
        <f t="shared" si="377"/>
        <v>0</v>
      </c>
      <c r="AH175" s="430">
        <f t="shared" si="377"/>
        <v>0</v>
      </c>
      <c r="AI175" s="430">
        <f t="shared" si="377"/>
        <v>0</v>
      </c>
      <c r="AJ175" s="430">
        <f t="shared" si="377"/>
        <v>0</v>
      </c>
      <c r="AK175" s="481">
        <f t="shared" si="425"/>
        <v>0</v>
      </c>
      <c r="AL175" s="430">
        <f t="shared" si="378"/>
        <v>0</v>
      </c>
      <c r="AM175" s="430">
        <f t="shared" si="378"/>
        <v>0</v>
      </c>
      <c r="AN175" s="430">
        <f t="shared" si="378"/>
        <v>0</v>
      </c>
      <c r="AO175" s="430">
        <f t="shared" si="378"/>
        <v>0</v>
      </c>
      <c r="AP175" s="483">
        <f t="shared" si="426"/>
        <v>0</v>
      </c>
      <c r="AQ175" s="483">
        <f t="shared" si="379"/>
        <v>0</v>
      </c>
      <c r="AR175" s="430">
        <f t="shared" si="379"/>
        <v>0</v>
      </c>
      <c r="AS175" s="430">
        <f t="shared" si="379"/>
        <v>0</v>
      </c>
      <c r="AT175" s="430">
        <f t="shared" si="379"/>
        <v>0</v>
      </c>
      <c r="AU175" s="483">
        <f t="shared" si="380"/>
        <v>0</v>
      </c>
      <c r="AV175" s="483">
        <f t="shared" si="381"/>
        <v>0</v>
      </c>
      <c r="AW175" s="430">
        <f t="shared" si="381"/>
        <v>0</v>
      </c>
      <c r="AX175" s="430">
        <f t="shared" si="381"/>
        <v>0</v>
      </c>
      <c r="AY175" s="853">
        <f t="shared" si="381"/>
        <v>0</v>
      </c>
      <c r="AZ175" s="481">
        <f t="shared" si="382"/>
        <v>0</v>
      </c>
      <c r="BA175" s="483">
        <f t="shared" si="383"/>
        <v>0</v>
      </c>
      <c r="BB175" s="430">
        <f t="shared" si="383"/>
        <v>0</v>
      </c>
      <c r="BC175" s="430">
        <f t="shared" si="383"/>
        <v>0</v>
      </c>
      <c r="BD175" s="853">
        <f t="shared" si="383"/>
        <v>0</v>
      </c>
      <c r="BE175" s="481">
        <f t="shared" si="384"/>
        <v>0</v>
      </c>
      <c r="BF175" s="430">
        <f t="shared" si="385"/>
        <v>0</v>
      </c>
      <c r="BG175" s="430">
        <f t="shared" si="385"/>
        <v>0</v>
      </c>
      <c r="BH175" s="430">
        <f t="shared" si="385"/>
        <v>0</v>
      </c>
      <c r="BI175" s="853">
        <f t="shared" si="385"/>
        <v>0</v>
      </c>
      <c r="BJ175" s="481">
        <f t="shared" si="386"/>
        <v>0</v>
      </c>
      <c r="BK175" s="430">
        <f t="shared" si="387"/>
        <v>0</v>
      </c>
      <c r="BL175" s="430">
        <f t="shared" si="387"/>
        <v>0</v>
      </c>
      <c r="BM175" s="430">
        <f t="shared" si="387"/>
        <v>0</v>
      </c>
      <c r="BN175" s="853">
        <f t="shared" si="387"/>
        <v>0</v>
      </c>
      <c r="BO175" s="481">
        <f t="shared" si="388"/>
        <v>0</v>
      </c>
      <c r="BP175" s="430">
        <f t="shared" si="389"/>
        <v>0</v>
      </c>
      <c r="BQ175" s="430">
        <f t="shared" si="390"/>
        <v>0</v>
      </c>
      <c r="BR175" s="430">
        <f t="shared" si="391"/>
        <v>0</v>
      </c>
      <c r="BS175" s="430">
        <f t="shared" si="392"/>
        <v>0</v>
      </c>
      <c r="BT175" s="481">
        <f t="shared" si="393"/>
        <v>0</v>
      </c>
      <c r="BU175" s="2840">
        <f t="shared" si="394"/>
        <v>0</v>
      </c>
      <c r="BV175" s="2840">
        <f t="shared" si="394"/>
        <v>0</v>
      </c>
      <c r="BW175" s="2840">
        <f t="shared" si="394"/>
        <v>0</v>
      </c>
      <c r="BX175" s="2840">
        <f t="shared" si="394"/>
        <v>0</v>
      </c>
      <c r="BY175" s="2587">
        <f t="shared" si="395"/>
        <v>0</v>
      </c>
      <c r="BZ175" s="481">
        <f t="shared" si="396"/>
        <v>0</v>
      </c>
      <c r="CA175" s="481">
        <f t="shared" si="396"/>
        <v>0</v>
      </c>
      <c r="CB175" s="481">
        <f t="shared" si="397"/>
        <v>0</v>
      </c>
      <c r="CC175" s="481">
        <f t="shared" si="398"/>
        <v>0</v>
      </c>
      <c r="CD175" s="481">
        <f t="shared" si="399"/>
        <v>0</v>
      </c>
      <c r="CE175" s="481">
        <f t="shared" si="400"/>
        <v>0</v>
      </c>
      <c r="CF175" s="481">
        <f t="shared" si="401"/>
        <v>0</v>
      </c>
      <c r="CG175" s="454"/>
      <c r="CH175" s="454"/>
      <c r="CI175" s="454"/>
      <c r="CJ175" s="454"/>
      <c r="CK175" s="454"/>
      <c r="CL175" s="2025" t="str">
        <f t="shared" si="369"/>
        <v>Hollywood Baton Rouge (LA)</v>
      </c>
      <c r="CM175" s="430">
        <f t="shared" si="402"/>
        <v>0</v>
      </c>
      <c r="CN175" s="430">
        <f t="shared" si="403"/>
        <v>0</v>
      </c>
      <c r="CO175" s="430">
        <f t="shared" si="404"/>
        <v>0</v>
      </c>
      <c r="CP175" s="430">
        <f t="shared" si="405"/>
        <v>0</v>
      </c>
      <c r="CQ175" s="430">
        <f t="shared" si="406"/>
        <v>0</v>
      </c>
      <c r="CR175" s="430">
        <f t="shared" si="407"/>
        <v>0</v>
      </c>
      <c r="CS175" s="430">
        <f t="shared" si="408"/>
        <v>0</v>
      </c>
      <c r="CT175" s="430">
        <f t="shared" si="409"/>
        <v>0</v>
      </c>
      <c r="CU175" s="430">
        <f t="shared" si="410"/>
        <v>0</v>
      </c>
      <c r="CV175" s="430">
        <f t="shared" si="411"/>
        <v>0</v>
      </c>
      <c r="CW175" s="430">
        <f t="shared" si="412"/>
        <v>0</v>
      </c>
      <c r="CX175" s="430">
        <f t="shared" si="413"/>
        <v>0</v>
      </c>
      <c r="CY175" s="430">
        <f t="shared" si="414"/>
        <v>0</v>
      </c>
      <c r="CZ175" s="430">
        <f t="shared" si="415"/>
        <v>0</v>
      </c>
      <c r="DA175" s="430">
        <f t="shared" si="416"/>
        <v>0</v>
      </c>
      <c r="DB175" s="430">
        <f t="shared" si="417"/>
        <v>0</v>
      </c>
      <c r="DC175" s="853">
        <f t="shared" si="418"/>
        <v>0</v>
      </c>
      <c r="DD175" s="454"/>
      <c r="DE175" s="454"/>
      <c r="DF175" s="463"/>
      <c r="DG175" s="463"/>
      <c r="DH175" s="2840"/>
      <c r="DI175" s="3213"/>
      <c r="DJ175" s="463"/>
      <c r="DK175" s="463"/>
      <c r="DL175" s="463"/>
      <c r="DM175" s="463"/>
      <c r="DN175" s="463"/>
      <c r="DO175" s="463"/>
      <c r="DP175" s="463"/>
      <c r="DQ175" s="463"/>
      <c r="DR175" s="608"/>
      <c r="DS175" s="608"/>
      <c r="DT175" s="608"/>
    </row>
    <row r="176" spans="1:124" ht="12" customHeight="1" x14ac:dyDescent="0.25">
      <c r="A176" s="312" t="s">
        <v>1020</v>
      </c>
      <c r="B176" s="509"/>
      <c r="C176" s="509">
        <f t="shared" si="370"/>
        <v>0</v>
      </c>
      <c r="D176" s="509">
        <f t="shared" si="371"/>
        <v>0</v>
      </c>
      <c r="E176" s="509">
        <f t="shared" si="371"/>
        <v>0</v>
      </c>
      <c r="F176" s="509">
        <f t="shared" si="371"/>
        <v>0</v>
      </c>
      <c r="G176" s="510">
        <f t="shared" si="419"/>
        <v>0</v>
      </c>
      <c r="H176" s="509">
        <f t="shared" si="372"/>
        <v>0</v>
      </c>
      <c r="I176" s="509">
        <f t="shared" si="372"/>
        <v>0</v>
      </c>
      <c r="J176" s="509">
        <f t="shared" si="372"/>
        <v>0</v>
      </c>
      <c r="K176" s="509">
        <f t="shared" si="372"/>
        <v>0</v>
      </c>
      <c r="L176" s="510">
        <f t="shared" si="420"/>
        <v>0</v>
      </c>
      <c r="M176" s="509">
        <f t="shared" si="373"/>
        <v>0</v>
      </c>
      <c r="N176" s="509">
        <f t="shared" si="373"/>
        <v>0</v>
      </c>
      <c r="O176" s="509">
        <f t="shared" si="373"/>
        <v>0</v>
      </c>
      <c r="P176" s="509">
        <f t="shared" si="373"/>
        <v>0</v>
      </c>
      <c r="Q176" s="510">
        <f t="shared" si="421"/>
        <v>0</v>
      </c>
      <c r="R176" s="509">
        <f t="shared" si="374"/>
        <v>0</v>
      </c>
      <c r="S176" s="509">
        <f t="shared" si="374"/>
        <v>0</v>
      </c>
      <c r="T176" s="509">
        <f t="shared" si="374"/>
        <v>0</v>
      </c>
      <c r="U176" s="509">
        <f t="shared" si="374"/>
        <v>0</v>
      </c>
      <c r="V176" s="510">
        <f t="shared" si="422"/>
        <v>0</v>
      </c>
      <c r="W176" s="509">
        <f t="shared" si="375"/>
        <v>0</v>
      </c>
      <c r="X176" s="509">
        <f t="shared" si="375"/>
        <v>0</v>
      </c>
      <c r="Y176" s="509">
        <f t="shared" si="375"/>
        <v>0</v>
      </c>
      <c r="Z176" s="509">
        <f t="shared" si="375"/>
        <v>0</v>
      </c>
      <c r="AA176" s="510">
        <f t="shared" si="423"/>
        <v>0</v>
      </c>
      <c r="AB176" s="509">
        <f t="shared" si="376"/>
        <v>0</v>
      </c>
      <c r="AC176" s="509">
        <f t="shared" si="376"/>
        <v>0</v>
      </c>
      <c r="AD176" s="509">
        <f t="shared" si="376"/>
        <v>0</v>
      </c>
      <c r="AE176" s="430">
        <f t="shared" si="376"/>
        <v>0</v>
      </c>
      <c r="AF176" s="481">
        <f t="shared" si="424"/>
        <v>0</v>
      </c>
      <c r="AG176" s="430">
        <f t="shared" si="377"/>
        <v>0</v>
      </c>
      <c r="AH176" s="430">
        <f t="shared" si="377"/>
        <v>0</v>
      </c>
      <c r="AI176" s="430">
        <f t="shared" si="377"/>
        <v>0</v>
      </c>
      <c r="AJ176" s="430">
        <f t="shared" si="377"/>
        <v>0</v>
      </c>
      <c r="AK176" s="481">
        <f t="shared" si="425"/>
        <v>0</v>
      </c>
      <c r="AL176" s="430">
        <f t="shared" si="378"/>
        <v>0</v>
      </c>
      <c r="AM176" s="430">
        <f t="shared" si="378"/>
        <v>0</v>
      </c>
      <c r="AN176" s="430">
        <f t="shared" si="378"/>
        <v>0</v>
      </c>
      <c r="AO176" s="430">
        <f t="shared" si="378"/>
        <v>0</v>
      </c>
      <c r="AP176" s="483">
        <f t="shared" si="426"/>
        <v>0</v>
      </c>
      <c r="AQ176" s="483">
        <f t="shared" si="379"/>
        <v>0</v>
      </c>
      <c r="AR176" s="430">
        <f t="shared" si="379"/>
        <v>0</v>
      </c>
      <c r="AS176" s="430">
        <f t="shared" si="379"/>
        <v>0</v>
      </c>
      <c r="AT176" s="430">
        <f t="shared" si="379"/>
        <v>0</v>
      </c>
      <c r="AU176" s="483">
        <f t="shared" si="380"/>
        <v>0</v>
      </c>
      <c r="AV176" s="483">
        <f t="shared" si="381"/>
        <v>0</v>
      </c>
      <c r="AW176" s="430">
        <f t="shared" si="381"/>
        <v>0</v>
      </c>
      <c r="AX176" s="430">
        <f t="shared" si="381"/>
        <v>0</v>
      </c>
      <c r="AY176" s="853">
        <f t="shared" si="381"/>
        <v>0</v>
      </c>
      <c r="AZ176" s="481">
        <f t="shared" si="382"/>
        <v>0</v>
      </c>
      <c r="BA176" s="483">
        <f t="shared" si="383"/>
        <v>0</v>
      </c>
      <c r="BB176" s="430">
        <f t="shared" si="383"/>
        <v>0</v>
      </c>
      <c r="BC176" s="430">
        <f t="shared" si="383"/>
        <v>0</v>
      </c>
      <c r="BD176" s="853">
        <f t="shared" si="383"/>
        <v>0</v>
      </c>
      <c r="BE176" s="481">
        <f t="shared" si="384"/>
        <v>0</v>
      </c>
      <c r="BF176" s="430">
        <f t="shared" si="385"/>
        <v>0</v>
      </c>
      <c r="BG176" s="430">
        <f t="shared" si="385"/>
        <v>0</v>
      </c>
      <c r="BH176" s="430">
        <f t="shared" si="385"/>
        <v>0</v>
      </c>
      <c r="BI176" s="853">
        <f t="shared" si="385"/>
        <v>0</v>
      </c>
      <c r="BJ176" s="481">
        <f t="shared" si="386"/>
        <v>0</v>
      </c>
      <c r="BK176" s="430">
        <f t="shared" si="387"/>
        <v>0</v>
      </c>
      <c r="BL176" s="430">
        <f t="shared" si="387"/>
        <v>0</v>
      </c>
      <c r="BM176" s="430">
        <f t="shared" si="387"/>
        <v>0</v>
      </c>
      <c r="BN176" s="853">
        <f t="shared" si="387"/>
        <v>0</v>
      </c>
      <c r="BO176" s="481">
        <f t="shared" si="388"/>
        <v>0</v>
      </c>
      <c r="BP176" s="430">
        <f t="shared" si="389"/>
        <v>0</v>
      </c>
      <c r="BQ176" s="430">
        <f t="shared" si="390"/>
        <v>0</v>
      </c>
      <c r="BR176" s="430">
        <f t="shared" si="391"/>
        <v>0</v>
      </c>
      <c r="BS176" s="430">
        <f t="shared" si="392"/>
        <v>0</v>
      </c>
      <c r="BT176" s="481">
        <f t="shared" si="393"/>
        <v>0</v>
      </c>
      <c r="BU176" s="2840">
        <f t="shared" si="394"/>
        <v>0</v>
      </c>
      <c r="BV176" s="2840">
        <f t="shared" si="394"/>
        <v>0</v>
      </c>
      <c r="BW176" s="2840">
        <f t="shared" si="394"/>
        <v>0</v>
      </c>
      <c r="BX176" s="2840">
        <f t="shared" si="394"/>
        <v>0</v>
      </c>
      <c r="BY176" s="2587">
        <f t="shared" si="395"/>
        <v>0</v>
      </c>
      <c r="BZ176" s="481">
        <f t="shared" si="396"/>
        <v>0</v>
      </c>
      <c r="CA176" s="481">
        <f t="shared" si="396"/>
        <v>0</v>
      </c>
      <c r="CB176" s="481">
        <f t="shared" si="397"/>
        <v>0</v>
      </c>
      <c r="CC176" s="481">
        <f t="shared" si="398"/>
        <v>0</v>
      </c>
      <c r="CD176" s="481">
        <f t="shared" si="399"/>
        <v>0</v>
      </c>
      <c r="CE176" s="481">
        <f t="shared" si="400"/>
        <v>0</v>
      </c>
      <c r="CF176" s="481">
        <f t="shared" si="401"/>
        <v>0</v>
      </c>
      <c r="CG176" s="454"/>
      <c r="CH176" s="454"/>
      <c r="CI176" s="454"/>
      <c r="CJ176" s="454"/>
      <c r="CK176" s="454"/>
      <c r="CL176" s="2025" t="str">
        <f t="shared" si="369"/>
        <v>Argosy Alton (IL)</v>
      </c>
      <c r="CM176" s="430">
        <f t="shared" si="402"/>
        <v>0</v>
      </c>
      <c r="CN176" s="430">
        <f t="shared" si="403"/>
        <v>0</v>
      </c>
      <c r="CO176" s="430">
        <f t="shared" si="404"/>
        <v>0</v>
      </c>
      <c r="CP176" s="430">
        <f t="shared" si="405"/>
        <v>0</v>
      </c>
      <c r="CQ176" s="430">
        <f t="shared" si="406"/>
        <v>0</v>
      </c>
      <c r="CR176" s="430">
        <f t="shared" si="407"/>
        <v>0</v>
      </c>
      <c r="CS176" s="430">
        <f t="shared" si="408"/>
        <v>0</v>
      </c>
      <c r="CT176" s="430">
        <f t="shared" si="409"/>
        <v>0</v>
      </c>
      <c r="CU176" s="430">
        <f t="shared" si="410"/>
        <v>0</v>
      </c>
      <c r="CV176" s="430">
        <f t="shared" si="411"/>
        <v>0</v>
      </c>
      <c r="CW176" s="430">
        <f t="shared" si="412"/>
        <v>0</v>
      </c>
      <c r="CX176" s="430">
        <f t="shared" si="413"/>
        <v>0</v>
      </c>
      <c r="CY176" s="430">
        <f t="shared" si="414"/>
        <v>0</v>
      </c>
      <c r="CZ176" s="430">
        <f t="shared" si="415"/>
        <v>0</v>
      </c>
      <c r="DA176" s="430">
        <f t="shared" si="416"/>
        <v>0</v>
      </c>
      <c r="DB176" s="430">
        <f t="shared" si="417"/>
        <v>0</v>
      </c>
      <c r="DC176" s="853">
        <f t="shared" si="418"/>
        <v>0</v>
      </c>
      <c r="DD176" s="454"/>
      <c r="DE176" s="454"/>
      <c r="DF176" s="463"/>
      <c r="DG176" s="463"/>
      <c r="DH176" s="2840"/>
      <c r="DI176" s="3213"/>
      <c r="DJ176" s="463"/>
      <c r="DK176" s="463"/>
      <c r="DL176" s="463"/>
      <c r="DM176" s="463"/>
      <c r="DN176" s="463"/>
      <c r="DO176" s="463"/>
      <c r="DP176" s="463"/>
      <c r="DQ176" s="463"/>
      <c r="DR176" s="608"/>
      <c r="DS176" s="608"/>
      <c r="DT176" s="608"/>
    </row>
    <row r="177" spans="1:124" ht="12" customHeight="1" x14ac:dyDescent="0.25">
      <c r="A177" s="312" t="s">
        <v>616</v>
      </c>
      <c r="B177" s="509"/>
      <c r="C177" s="509">
        <f t="shared" si="370"/>
        <v>0</v>
      </c>
      <c r="D177" s="509">
        <f t="shared" si="371"/>
        <v>0</v>
      </c>
      <c r="E177" s="509">
        <f t="shared" si="371"/>
        <v>0</v>
      </c>
      <c r="F177" s="509">
        <f t="shared" si="371"/>
        <v>0</v>
      </c>
      <c r="G177" s="510">
        <f t="shared" si="419"/>
        <v>0</v>
      </c>
      <c r="H177" s="509">
        <f t="shared" si="372"/>
        <v>0</v>
      </c>
      <c r="I177" s="509">
        <f t="shared" si="372"/>
        <v>0</v>
      </c>
      <c r="J177" s="509">
        <f t="shared" si="372"/>
        <v>0</v>
      </c>
      <c r="K177" s="509">
        <f t="shared" si="372"/>
        <v>0</v>
      </c>
      <c r="L177" s="510">
        <f t="shared" si="420"/>
        <v>0</v>
      </c>
      <c r="M177" s="509">
        <f t="shared" si="373"/>
        <v>0</v>
      </c>
      <c r="N177" s="509">
        <f t="shared" si="373"/>
        <v>0</v>
      </c>
      <c r="O177" s="509">
        <f t="shared" si="373"/>
        <v>0</v>
      </c>
      <c r="P177" s="509">
        <f t="shared" si="373"/>
        <v>0</v>
      </c>
      <c r="Q177" s="510">
        <f t="shared" si="421"/>
        <v>0</v>
      </c>
      <c r="R177" s="509">
        <f t="shared" si="374"/>
        <v>0</v>
      </c>
      <c r="S177" s="509">
        <f t="shared" si="374"/>
        <v>0</v>
      </c>
      <c r="T177" s="509">
        <f t="shared" si="374"/>
        <v>0</v>
      </c>
      <c r="U177" s="509">
        <f t="shared" si="374"/>
        <v>0</v>
      </c>
      <c r="V177" s="510">
        <f t="shared" si="422"/>
        <v>0</v>
      </c>
      <c r="W177" s="509">
        <f t="shared" si="375"/>
        <v>0</v>
      </c>
      <c r="X177" s="509">
        <f t="shared" si="375"/>
        <v>0</v>
      </c>
      <c r="Y177" s="509">
        <f t="shared" si="375"/>
        <v>0</v>
      </c>
      <c r="Z177" s="509">
        <f t="shared" si="375"/>
        <v>0</v>
      </c>
      <c r="AA177" s="510">
        <f t="shared" si="423"/>
        <v>0</v>
      </c>
      <c r="AB177" s="509">
        <f t="shared" si="376"/>
        <v>0</v>
      </c>
      <c r="AC177" s="509">
        <f t="shared" si="376"/>
        <v>0</v>
      </c>
      <c r="AD177" s="509">
        <f t="shared" si="376"/>
        <v>0</v>
      </c>
      <c r="AE177" s="430">
        <f t="shared" si="376"/>
        <v>0</v>
      </c>
      <c r="AF177" s="481">
        <f t="shared" si="424"/>
        <v>0</v>
      </c>
      <c r="AG177" s="430">
        <f t="shared" si="377"/>
        <v>0</v>
      </c>
      <c r="AH177" s="430">
        <f t="shared" si="377"/>
        <v>0</v>
      </c>
      <c r="AI177" s="430">
        <f t="shared" si="377"/>
        <v>0</v>
      </c>
      <c r="AJ177" s="430">
        <f t="shared" si="377"/>
        <v>0</v>
      </c>
      <c r="AK177" s="481">
        <f t="shared" si="425"/>
        <v>0</v>
      </c>
      <c r="AL177" s="430">
        <f t="shared" si="378"/>
        <v>0</v>
      </c>
      <c r="AM177" s="430">
        <f t="shared" si="378"/>
        <v>0</v>
      </c>
      <c r="AN177" s="430">
        <f t="shared" si="378"/>
        <v>0</v>
      </c>
      <c r="AO177" s="430">
        <f t="shared" si="378"/>
        <v>0</v>
      </c>
      <c r="AP177" s="483">
        <f t="shared" si="426"/>
        <v>0</v>
      </c>
      <c r="AQ177" s="483">
        <f t="shared" si="379"/>
        <v>0</v>
      </c>
      <c r="AR177" s="430">
        <f t="shared" si="379"/>
        <v>0</v>
      </c>
      <c r="AS177" s="430">
        <f t="shared" si="379"/>
        <v>0</v>
      </c>
      <c r="AT177" s="430">
        <f t="shared" si="379"/>
        <v>0</v>
      </c>
      <c r="AU177" s="483">
        <f t="shared" si="380"/>
        <v>0</v>
      </c>
      <c r="AV177" s="483">
        <f t="shared" si="381"/>
        <v>0</v>
      </c>
      <c r="AW177" s="430">
        <f t="shared" si="381"/>
        <v>0</v>
      </c>
      <c r="AX177" s="430">
        <f t="shared" si="381"/>
        <v>0</v>
      </c>
      <c r="AY177" s="853">
        <f t="shared" si="381"/>
        <v>0</v>
      </c>
      <c r="AZ177" s="481">
        <f t="shared" si="382"/>
        <v>0</v>
      </c>
      <c r="BA177" s="483">
        <f t="shared" si="383"/>
        <v>0</v>
      </c>
      <c r="BB177" s="430">
        <f t="shared" si="383"/>
        <v>0</v>
      </c>
      <c r="BC177" s="430">
        <f t="shared" si="383"/>
        <v>0</v>
      </c>
      <c r="BD177" s="853">
        <f t="shared" si="383"/>
        <v>0</v>
      </c>
      <c r="BE177" s="481">
        <f t="shared" si="384"/>
        <v>0</v>
      </c>
      <c r="BF177" s="430">
        <f t="shared" si="385"/>
        <v>0</v>
      </c>
      <c r="BG177" s="430">
        <f t="shared" si="385"/>
        <v>0</v>
      </c>
      <c r="BH177" s="430">
        <f t="shared" si="385"/>
        <v>0</v>
      </c>
      <c r="BI177" s="853">
        <f t="shared" si="385"/>
        <v>0</v>
      </c>
      <c r="BJ177" s="481">
        <f t="shared" si="386"/>
        <v>0</v>
      </c>
      <c r="BK177" s="430">
        <f t="shared" si="387"/>
        <v>0</v>
      </c>
      <c r="BL177" s="430">
        <f t="shared" si="387"/>
        <v>0</v>
      </c>
      <c r="BM177" s="430">
        <f t="shared" si="387"/>
        <v>0</v>
      </c>
      <c r="BN177" s="853">
        <f t="shared" si="387"/>
        <v>0</v>
      </c>
      <c r="BO177" s="481">
        <f t="shared" si="388"/>
        <v>0</v>
      </c>
      <c r="BP177" s="430">
        <f t="shared" si="389"/>
        <v>0</v>
      </c>
      <c r="BQ177" s="430">
        <f t="shared" si="390"/>
        <v>0</v>
      </c>
      <c r="BR177" s="430">
        <f t="shared" si="391"/>
        <v>0</v>
      </c>
      <c r="BS177" s="430">
        <f t="shared" si="392"/>
        <v>0</v>
      </c>
      <c r="BT177" s="481">
        <f t="shared" si="393"/>
        <v>0</v>
      </c>
      <c r="BU177" s="2840">
        <f t="shared" si="394"/>
        <v>0</v>
      </c>
      <c r="BV177" s="2840">
        <f t="shared" si="394"/>
        <v>0</v>
      </c>
      <c r="BW177" s="2840">
        <f t="shared" si="394"/>
        <v>0</v>
      </c>
      <c r="BX177" s="2840">
        <f t="shared" si="394"/>
        <v>0</v>
      </c>
      <c r="BY177" s="2587">
        <f t="shared" si="395"/>
        <v>0</v>
      </c>
      <c r="BZ177" s="481">
        <f t="shared" si="396"/>
        <v>0</v>
      </c>
      <c r="CA177" s="481">
        <f t="shared" si="396"/>
        <v>0</v>
      </c>
      <c r="CB177" s="481">
        <f t="shared" si="397"/>
        <v>0</v>
      </c>
      <c r="CC177" s="481">
        <f t="shared" si="398"/>
        <v>0</v>
      </c>
      <c r="CD177" s="481">
        <f t="shared" si="399"/>
        <v>0</v>
      </c>
      <c r="CE177" s="481">
        <f t="shared" si="400"/>
        <v>0</v>
      </c>
      <c r="CF177" s="481">
        <f t="shared" si="401"/>
        <v>0</v>
      </c>
      <c r="CG177" s="454"/>
      <c r="CH177" s="454"/>
      <c r="CI177" s="454"/>
      <c r="CJ177" s="454"/>
      <c r="CK177" s="454"/>
      <c r="CL177" s="2025" t="str">
        <f t="shared" si="369"/>
        <v>Hollywood Tunica (MS)</v>
      </c>
      <c r="CM177" s="430">
        <f t="shared" si="402"/>
        <v>0</v>
      </c>
      <c r="CN177" s="430">
        <f t="shared" si="403"/>
        <v>0</v>
      </c>
      <c r="CO177" s="430">
        <f t="shared" si="404"/>
        <v>0</v>
      </c>
      <c r="CP177" s="430">
        <f t="shared" si="405"/>
        <v>0</v>
      </c>
      <c r="CQ177" s="430">
        <f t="shared" si="406"/>
        <v>0</v>
      </c>
      <c r="CR177" s="430">
        <f t="shared" si="407"/>
        <v>0</v>
      </c>
      <c r="CS177" s="430">
        <f t="shared" si="408"/>
        <v>0</v>
      </c>
      <c r="CT177" s="430">
        <f t="shared" si="409"/>
        <v>0</v>
      </c>
      <c r="CU177" s="430">
        <f t="shared" si="410"/>
        <v>0</v>
      </c>
      <c r="CV177" s="430">
        <f t="shared" si="411"/>
        <v>0</v>
      </c>
      <c r="CW177" s="430">
        <f t="shared" si="412"/>
        <v>0</v>
      </c>
      <c r="CX177" s="430">
        <f t="shared" si="413"/>
        <v>0</v>
      </c>
      <c r="CY177" s="430">
        <f t="shared" si="414"/>
        <v>0</v>
      </c>
      <c r="CZ177" s="430">
        <f t="shared" si="415"/>
        <v>0</v>
      </c>
      <c r="DA177" s="430">
        <f t="shared" si="416"/>
        <v>0</v>
      </c>
      <c r="DB177" s="430">
        <f t="shared" si="417"/>
        <v>0</v>
      </c>
      <c r="DC177" s="853">
        <f t="shared" si="418"/>
        <v>0</v>
      </c>
      <c r="DD177" s="454"/>
      <c r="DE177" s="454"/>
      <c r="DF177" s="463"/>
      <c r="DG177" s="463"/>
      <c r="DH177" s="2840"/>
      <c r="DI177" s="3213"/>
      <c r="DJ177" s="463"/>
      <c r="DK177" s="463"/>
      <c r="DL177" s="463"/>
      <c r="DM177" s="463"/>
      <c r="DN177" s="463"/>
      <c r="DO177" s="463"/>
      <c r="DP177" s="463"/>
      <c r="DQ177" s="463"/>
      <c r="DR177" s="608"/>
      <c r="DS177" s="608"/>
      <c r="DT177" s="608"/>
    </row>
    <row r="178" spans="1:124" ht="12" customHeight="1" x14ac:dyDescent="0.25">
      <c r="A178" s="312" t="s">
        <v>615</v>
      </c>
      <c r="B178" s="509"/>
      <c r="C178" s="509">
        <f t="shared" si="370"/>
        <v>0</v>
      </c>
      <c r="D178" s="509">
        <f t="shared" si="371"/>
        <v>0</v>
      </c>
      <c r="E178" s="509">
        <f t="shared" si="371"/>
        <v>0</v>
      </c>
      <c r="F178" s="509">
        <f t="shared" si="371"/>
        <v>0</v>
      </c>
      <c r="G178" s="510">
        <f t="shared" si="419"/>
        <v>0</v>
      </c>
      <c r="H178" s="509">
        <f t="shared" si="372"/>
        <v>0</v>
      </c>
      <c r="I178" s="509">
        <f t="shared" si="372"/>
        <v>0</v>
      </c>
      <c r="J178" s="509">
        <f t="shared" si="372"/>
        <v>0</v>
      </c>
      <c r="K178" s="509">
        <f t="shared" si="372"/>
        <v>0</v>
      </c>
      <c r="L178" s="510">
        <f t="shared" si="420"/>
        <v>0</v>
      </c>
      <c r="M178" s="509">
        <f t="shared" si="373"/>
        <v>0</v>
      </c>
      <c r="N178" s="509">
        <f t="shared" si="373"/>
        <v>0</v>
      </c>
      <c r="O178" s="509">
        <f t="shared" si="373"/>
        <v>0</v>
      </c>
      <c r="P178" s="509">
        <f t="shared" si="373"/>
        <v>0</v>
      </c>
      <c r="Q178" s="510">
        <f t="shared" si="421"/>
        <v>0</v>
      </c>
      <c r="R178" s="509">
        <f t="shared" si="374"/>
        <v>0</v>
      </c>
      <c r="S178" s="509">
        <f t="shared" si="374"/>
        <v>0</v>
      </c>
      <c r="T178" s="509">
        <f t="shared" si="374"/>
        <v>0</v>
      </c>
      <c r="U178" s="509">
        <f t="shared" si="374"/>
        <v>0</v>
      </c>
      <c r="V178" s="510">
        <f t="shared" si="422"/>
        <v>0</v>
      </c>
      <c r="W178" s="509">
        <f t="shared" si="375"/>
        <v>0</v>
      </c>
      <c r="X178" s="509">
        <f t="shared" si="375"/>
        <v>0</v>
      </c>
      <c r="Y178" s="509">
        <f t="shared" si="375"/>
        <v>0</v>
      </c>
      <c r="Z178" s="509">
        <f t="shared" si="375"/>
        <v>0</v>
      </c>
      <c r="AA178" s="510">
        <f t="shared" si="423"/>
        <v>0</v>
      </c>
      <c r="AB178" s="509">
        <f t="shared" si="376"/>
        <v>0</v>
      </c>
      <c r="AC178" s="509">
        <f t="shared" si="376"/>
        <v>0</v>
      </c>
      <c r="AD178" s="509">
        <f t="shared" si="376"/>
        <v>0</v>
      </c>
      <c r="AE178" s="430">
        <f t="shared" si="376"/>
        <v>0</v>
      </c>
      <c r="AF178" s="481">
        <f t="shared" si="424"/>
        <v>0</v>
      </c>
      <c r="AG178" s="430">
        <f t="shared" si="377"/>
        <v>0</v>
      </c>
      <c r="AH178" s="430">
        <f t="shared" si="377"/>
        <v>0</v>
      </c>
      <c r="AI178" s="430">
        <f t="shared" si="377"/>
        <v>0</v>
      </c>
      <c r="AJ178" s="430">
        <f t="shared" si="377"/>
        <v>0</v>
      </c>
      <c r="AK178" s="481">
        <f t="shared" si="425"/>
        <v>0</v>
      </c>
      <c r="AL178" s="430">
        <f t="shared" si="378"/>
        <v>0</v>
      </c>
      <c r="AM178" s="430">
        <f t="shared" si="378"/>
        <v>0</v>
      </c>
      <c r="AN178" s="430">
        <f t="shared" si="378"/>
        <v>0</v>
      </c>
      <c r="AO178" s="430">
        <f t="shared" si="378"/>
        <v>0</v>
      </c>
      <c r="AP178" s="483">
        <f t="shared" si="426"/>
        <v>0</v>
      </c>
      <c r="AQ178" s="483">
        <f t="shared" si="379"/>
        <v>0</v>
      </c>
      <c r="AR178" s="430">
        <f t="shared" si="379"/>
        <v>0</v>
      </c>
      <c r="AS178" s="430">
        <f t="shared" si="379"/>
        <v>0</v>
      </c>
      <c r="AT178" s="430">
        <f t="shared" si="379"/>
        <v>0</v>
      </c>
      <c r="AU178" s="483">
        <f t="shared" si="380"/>
        <v>0</v>
      </c>
      <c r="AV178" s="483">
        <f t="shared" si="381"/>
        <v>0</v>
      </c>
      <c r="AW178" s="430">
        <f t="shared" si="381"/>
        <v>0</v>
      </c>
      <c r="AX178" s="430">
        <f t="shared" si="381"/>
        <v>0</v>
      </c>
      <c r="AY178" s="853">
        <f t="shared" si="381"/>
        <v>0</v>
      </c>
      <c r="AZ178" s="481">
        <f t="shared" si="382"/>
        <v>0</v>
      </c>
      <c r="BA178" s="483">
        <f t="shared" si="383"/>
        <v>0</v>
      </c>
      <c r="BB178" s="430">
        <f t="shared" si="383"/>
        <v>0</v>
      </c>
      <c r="BC178" s="430">
        <f t="shared" si="383"/>
        <v>0</v>
      </c>
      <c r="BD178" s="853">
        <f t="shared" si="383"/>
        <v>0</v>
      </c>
      <c r="BE178" s="481">
        <f t="shared" si="384"/>
        <v>0</v>
      </c>
      <c r="BF178" s="430">
        <f t="shared" si="385"/>
        <v>0</v>
      </c>
      <c r="BG178" s="430">
        <f t="shared" si="385"/>
        <v>0</v>
      </c>
      <c r="BH178" s="430">
        <f t="shared" si="385"/>
        <v>0</v>
      </c>
      <c r="BI178" s="853">
        <f t="shared" si="385"/>
        <v>0</v>
      </c>
      <c r="BJ178" s="481">
        <f t="shared" si="386"/>
        <v>0</v>
      </c>
      <c r="BK178" s="430">
        <f t="shared" si="387"/>
        <v>0</v>
      </c>
      <c r="BL178" s="430">
        <f t="shared" si="387"/>
        <v>0</v>
      </c>
      <c r="BM178" s="430">
        <f t="shared" si="387"/>
        <v>0</v>
      </c>
      <c r="BN178" s="853">
        <f t="shared" si="387"/>
        <v>0</v>
      </c>
      <c r="BO178" s="481">
        <f t="shared" si="388"/>
        <v>0</v>
      </c>
      <c r="BP178" s="430">
        <f t="shared" si="389"/>
        <v>0</v>
      </c>
      <c r="BQ178" s="430">
        <f t="shared" si="390"/>
        <v>0</v>
      </c>
      <c r="BR178" s="430">
        <f t="shared" si="391"/>
        <v>0</v>
      </c>
      <c r="BS178" s="430">
        <f t="shared" si="392"/>
        <v>0</v>
      </c>
      <c r="BT178" s="481">
        <f t="shared" si="393"/>
        <v>0</v>
      </c>
      <c r="BU178" s="2840">
        <f t="shared" si="394"/>
        <v>0</v>
      </c>
      <c r="BV178" s="2840">
        <f t="shared" si="394"/>
        <v>0</v>
      </c>
      <c r="BW178" s="2840">
        <f t="shared" si="394"/>
        <v>0</v>
      </c>
      <c r="BX178" s="2840">
        <f t="shared" si="394"/>
        <v>0</v>
      </c>
      <c r="BY178" s="2587">
        <f t="shared" si="395"/>
        <v>0</v>
      </c>
      <c r="BZ178" s="481">
        <f t="shared" si="396"/>
        <v>0</v>
      </c>
      <c r="CA178" s="481">
        <f t="shared" si="396"/>
        <v>0</v>
      </c>
      <c r="CB178" s="481">
        <f t="shared" si="397"/>
        <v>0</v>
      </c>
      <c r="CC178" s="481">
        <f t="shared" si="398"/>
        <v>0</v>
      </c>
      <c r="CD178" s="481">
        <f t="shared" si="399"/>
        <v>0</v>
      </c>
      <c r="CE178" s="481">
        <f t="shared" si="400"/>
        <v>0</v>
      </c>
      <c r="CF178" s="481">
        <f t="shared" si="401"/>
        <v>0</v>
      </c>
      <c r="CG178" s="454"/>
      <c r="CH178" s="454"/>
      <c r="CI178" s="454"/>
      <c r="CJ178" s="454"/>
      <c r="CK178" s="454"/>
      <c r="CL178" s="2025" t="str">
        <f t="shared" si="369"/>
        <v>Hollywood Bay St. Louis (MS)</v>
      </c>
      <c r="CM178" s="430">
        <f t="shared" si="402"/>
        <v>0</v>
      </c>
      <c r="CN178" s="430">
        <f t="shared" si="403"/>
        <v>0</v>
      </c>
      <c r="CO178" s="430">
        <f t="shared" si="404"/>
        <v>0</v>
      </c>
      <c r="CP178" s="430">
        <f t="shared" si="405"/>
        <v>0</v>
      </c>
      <c r="CQ178" s="430">
        <f t="shared" si="406"/>
        <v>0</v>
      </c>
      <c r="CR178" s="430">
        <f t="shared" si="407"/>
        <v>0</v>
      </c>
      <c r="CS178" s="430">
        <f t="shared" si="408"/>
        <v>0</v>
      </c>
      <c r="CT178" s="430">
        <f t="shared" si="409"/>
        <v>0</v>
      </c>
      <c r="CU178" s="430">
        <f t="shared" si="410"/>
        <v>0</v>
      </c>
      <c r="CV178" s="430">
        <f t="shared" si="411"/>
        <v>0</v>
      </c>
      <c r="CW178" s="430">
        <f t="shared" si="412"/>
        <v>0</v>
      </c>
      <c r="CX178" s="430">
        <f t="shared" si="413"/>
        <v>0</v>
      </c>
      <c r="CY178" s="430">
        <f t="shared" si="414"/>
        <v>0</v>
      </c>
      <c r="CZ178" s="430">
        <f t="shared" si="415"/>
        <v>0</v>
      </c>
      <c r="DA178" s="430">
        <f t="shared" si="416"/>
        <v>0</v>
      </c>
      <c r="DB178" s="430">
        <f t="shared" si="417"/>
        <v>0</v>
      </c>
      <c r="DC178" s="853">
        <f t="shared" si="418"/>
        <v>0</v>
      </c>
      <c r="DD178" s="454"/>
      <c r="DE178" s="454"/>
      <c r="DF178" s="463"/>
      <c r="DG178" s="463"/>
      <c r="DH178" s="2840"/>
      <c r="DI178" s="3213"/>
      <c r="DJ178" s="463"/>
      <c r="DK178" s="463"/>
      <c r="DL178" s="463"/>
      <c r="DM178" s="463"/>
      <c r="DN178" s="463"/>
      <c r="DO178" s="463"/>
      <c r="DP178" s="463"/>
      <c r="DQ178" s="463"/>
      <c r="DR178" s="608"/>
      <c r="DS178" s="608"/>
      <c r="DT178" s="608"/>
    </row>
    <row r="179" spans="1:124" ht="12" customHeight="1" x14ac:dyDescent="0.25">
      <c r="A179" s="312" t="s">
        <v>1019</v>
      </c>
      <c r="B179" s="509"/>
      <c r="C179" s="509">
        <f t="shared" si="370"/>
        <v>0</v>
      </c>
      <c r="D179" s="509">
        <f t="shared" si="371"/>
        <v>0</v>
      </c>
      <c r="E179" s="509">
        <f t="shared" si="371"/>
        <v>0</v>
      </c>
      <c r="F179" s="509">
        <f t="shared" si="371"/>
        <v>0</v>
      </c>
      <c r="G179" s="510">
        <f t="shared" si="419"/>
        <v>0</v>
      </c>
      <c r="H179" s="509">
        <f t="shared" si="372"/>
        <v>0</v>
      </c>
      <c r="I179" s="509">
        <f t="shared" si="372"/>
        <v>0</v>
      </c>
      <c r="J179" s="509">
        <f t="shared" si="372"/>
        <v>0</v>
      </c>
      <c r="K179" s="509">
        <f t="shared" si="372"/>
        <v>0</v>
      </c>
      <c r="L179" s="510">
        <f t="shared" si="420"/>
        <v>0</v>
      </c>
      <c r="M179" s="509">
        <f t="shared" si="373"/>
        <v>0</v>
      </c>
      <c r="N179" s="509">
        <f t="shared" si="373"/>
        <v>0</v>
      </c>
      <c r="O179" s="509">
        <f t="shared" si="373"/>
        <v>0</v>
      </c>
      <c r="P179" s="509">
        <f t="shared" si="373"/>
        <v>0</v>
      </c>
      <c r="Q179" s="510">
        <f t="shared" si="421"/>
        <v>0</v>
      </c>
      <c r="R179" s="509">
        <f t="shared" si="374"/>
        <v>0</v>
      </c>
      <c r="S179" s="509">
        <f t="shared" si="374"/>
        <v>0</v>
      </c>
      <c r="T179" s="509">
        <f t="shared" si="374"/>
        <v>0</v>
      </c>
      <c r="U179" s="509">
        <f t="shared" si="374"/>
        <v>0</v>
      </c>
      <c r="V179" s="510">
        <f t="shared" si="422"/>
        <v>0</v>
      </c>
      <c r="W179" s="509">
        <f t="shared" si="375"/>
        <v>0</v>
      </c>
      <c r="X179" s="509">
        <f t="shared" si="375"/>
        <v>0</v>
      </c>
      <c r="Y179" s="509">
        <f t="shared" si="375"/>
        <v>0</v>
      </c>
      <c r="Z179" s="509">
        <f t="shared" si="375"/>
        <v>0</v>
      </c>
      <c r="AA179" s="510">
        <f t="shared" si="423"/>
        <v>0</v>
      </c>
      <c r="AB179" s="509">
        <f t="shared" si="376"/>
        <v>0</v>
      </c>
      <c r="AC179" s="509">
        <f t="shared" si="376"/>
        <v>0</v>
      </c>
      <c r="AD179" s="509">
        <f t="shared" si="376"/>
        <v>0</v>
      </c>
      <c r="AE179" s="430">
        <f t="shared" si="376"/>
        <v>0</v>
      </c>
      <c r="AF179" s="481">
        <f t="shared" si="424"/>
        <v>0</v>
      </c>
      <c r="AG179" s="430">
        <f t="shared" si="377"/>
        <v>0</v>
      </c>
      <c r="AH179" s="430">
        <f t="shared" si="377"/>
        <v>0</v>
      </c>
      <c r="AI179" s="430">
        <f t="shared" si="377"/>
        <v>0</v>
      </c>
      <c r="AJ179" s="430">
        <f t="shared" si="377"/>
        <v>0</v>
      </c>
      <c r="AK179" s="481">
        <f t="shared" si="425"/>
        <v>0</v>
      </c>
      <c r="AL179" s="430">
        <f t="shared" si="378"/>
        <v>0</v>
      </c>
      <c r="AM179" s="430">
        <f t="shared" si="378"/>
        <v>0</v>
      </c>
      <c r="AN179" s="430">
        <f t="shared" si="378"/>
        <v>0</v>
      </c>
      <c r="AO179" s="430">
        <f t="shared" si="378"/>
        <v>0</v>
      </c>
      <c r="AP179" s="483">
        <f t="shared" si="426"/>
        <v>0</v>
      </c>
      <c r="AQ179" s="483">
        <f t="shared" si="379"/>
        <v>0</v>
      </c>
      <c r="AR179" s="430">
        <f t="shared" si="379"/>
        <v>0</v>
      </c>
      <c r="AS179" s="430">
        <f t="shared" si="379"/>
        <v>0</v>
      </c>
      <c r="AT179" s="430">
        <f t="shared" si="379"/>
        <v>0</v>
      </c>
      <c r="AU179" s="483">
        <f t="shared" si="380"/>
        <v>0</v>
      </c>
      <c r="AV179" s="483">
        <f t="shared" si="381"/>
        <v>0</v>
      </c>
      <c r="AW179" s="430">
        <f t="shared" si="381"/>
        <v>0</v>
      </c>
      <c r="AX179" s="430">
        <f t="shared" si="381"/>
        <v>0</v>
      </c>
      <c r="AY179" s="853">
        <f t="shared" si="381"/>
        <v>0</v>
      </c>
      <c r="AZ179" s="481">
        <f t="shared" si="382"/>
        <v>0</v>
      </c>
      <c r="BA179" s="483">
        <f t="shared" si="383"/>
        <v>0</v>
      </c>
      <c r="BB179" s="430">
        <f t="shared" si="383"/>
        <v>0</v>
      </c>
      <c r="BC179" s="430">
        <f t="shared" si="383"/>
        <v>0</v>
      </c>
      <c r="BD179" s="853">
        <f t="shared" si="383"/>
        <v>0</v>
      </c>
      <c r="BE179" s="481">
        <f t="shared" si="384"/>
        <v>0</v>
      </c>
      <c r="BF179" s="430">
        <f t="shared" si="385"/>
        <v>0</v>
      </c>
      <c r="BG179" s="430">
        <f t="shared" si="385"/>
        <v>0</v>
      </c>
      <c r="BH179" s="430">
        <f t="shared" si="385"/>
        <v>0</v>
      </c>
      <c r="BI179" s="853">
        <f t="shared" si="385"/>
        <v>0</v>
      </c>
      <c r="BJ179" s="481">
        <f t="shared" si="386"/>
        <v>0</v>
      </c>
      <c r="BK179" s="430">
        <f t="shared" si="387"/>
        <v>0</v>
      </c>
      <c r="BL179" s="430">
        <f t="shared" si="387"/>
        <v>0</v>
      </c>
      <c r="BM179" s="430">
        <f t="shared" si="387"/>
        <v>0</v>
      </c>
      <c r="BN179" s="853">
        <f t="shared" si="387"/>
        <v>0</v>
      </c>
      <c r="BO179" s="481">
        <f t="shared" si="388"/>
        <v>0</v>
      </c>
      <c r="BP179" s="430">
        <f t="shared" si="389"/>
        <v>0</v>
      </c>
      <c r="BQ179" s="430">
        <f t="shared" si="390"/>
        <v>0</v>
      </c>
      <c r="BR179" s="430">
        <f t="shared" si="391"/>
        <v>0</v>
      </c>
      <c r="BS179" s="430">
        <f t="shared" si="392"/>
        <v>0</v>
      </c>
      <c r="BT179" s="481">
        <f t="shared" si="393"/>
        <v>0</v>
      </c>
      <c r="BU179" s="2840">
        <f t="shared" si="394"/>
        <v>0</v>
      </c>
      <c r="BV179" s="2840">
        <f t="shared" si="394"/>
        <v>0</v>
      </c>
      <c r="BW179" s="2840">
        <f t="shared" si="394"/>
        <v>0</v>
      </c>
      <c r="BX179" s="2840">
        <f t="shared" si="394"/>
        <v>0</v>
      </c>
      <c r="BY179" s="2587">
        <f t="shared" si="395"/>
        <v>0</v>
      </c>
      <c r="BZ179" s="481">
        <f t="shared" si="396"/>
        <v>0</v>
      </c>
      <c r="CA179" s="481">
        <f t="shared" si="396"/>
        <v>0</v>
      </c>
      <c r="CB179" s="481">
        <f t="shared" si="397"/>
        <v>0</v>
      </c>
      <c r="CC179" s="481">
        <f t="shared" si="398"/>
        <v>0</v>
      </c>
      <c r="CD179" s="481">
        <f t="shared" si="399"/>
        <v>0</v>
      </c>
      <c r="CE179" s="481">
        <f t="shared" si="400"/>
        <v>0</v>
      </c>
      <c r="CF179" s="481">
        <f t="shared" si="401"/>
        <v>0</v>
      </c>
      <c r="CG179" s="454"/>
      <c r="CH179" s="454"/>
      <c r="CI179" s="454"/>
      <c r="CJ179" s="454"/>
      <c r="CK179" s="454"/>
      <c r="CL179" s="2025" t="str">
        <f t="shared" si="369"/>
        <v>Argosy Sioux City (IA)</v>
      </c>
      <c r="CM179" s="430">
        <f t="shared" si="402"/>
        <v>0</v>
      </c>
      <c r="CN179" s="430">
        <f t="shared" si="403"/>
        <v>0</v>
      </c>
      <c r="CO179" s="430">
        <f t="shared" si="404"/>
        <v>0</v>
      </c>
      <c r="CP179" s="430">
        <f t="shared" si="405"/>
        <v>0</v>
      </c>
      <c r="CQ179" s="430">
        <f t="shared" si="406"/>
        <v>0</v>
      </c>
      <c r="CR179" s="430">
        <f t="shared" si="407"/>
        <v>0</v>
      </c>
      <c r="CS179" s="430">
        <f t="shared" si="408"/>
        <v>0</v>
      </c>
      <c r="CT179" s="430">
        <f t="shared" si="409"/>
        <v>0</v>
      </c>
      <c r="CU179" s="430">
        <f t="shared" si="410"/>
        <v>0</v>
      </c>
      <c r="CV179" s="430">
        <f t="shared" si="411"/>
        <v>0</v>
      </c>
      <c r="CW179" s="430">
        <f t="shared" si="412"/>
        <v>0</v>
      </c>
      <c r="CX179" s="430">
        <f t="shared" si="413"/>
        <v>0</v>
      </c>
      <c r="CY179" s="430">
        <f t="shared" si="414"/>
        <v>0</v>
      </c>
      <c r="CZ179" s="430">
        <f t="shared" si="415"/>
        <v>0</v>
      </c>
      <c r="DA179" s="430">
        <f t="shared" si="416"/>
        <v>0</v>
      </c>
      <c r="DB179" s="430">
        <f t="shared" si="417"/>
        <v>0</v>
      </c>
      <c r="DC179" s="853">
        <f t="shared" si="418"/>
        <v>0</v>
      </c>
      <c r="DD179" s="454"/>
      <c r="DE179" s="454"/>
      <c r="DF179" s="463"/>
      <c r="DG179" s="463"/>
      <c r="DH179" s="2840"/>
      <c r="DI179" s="3213"/>
      <c r="DJ179" s="463"/>
      <c r="DK179" s="463"/>
      <c r="DL179" s="463"/>
      <c r="DM179" s="463"/>
      <c r="DN179" s="463"/>
      <c r="DO179" s="463"/>
      <c r="DP179" s="463"/>
      <c r="DQ179" s="463"/>
      <c r="DR179" s="608"/>
      <c r="DS179" s="608"/>
      <c r="DT179" s="608"/>
    </row>
    <row r="180" spans="1:124" ht="12" customHeight="1" x14ac:dyDescent="0.25">
      <c r="A180" s="312" t="s">
        <v>1453</v>
      </c>
      <c r="B180" s="509"/>
      <c r="C180" s="509">
        <f t="shared" si="370"/>
        <v>3.4809999999999999</v>
      </c>
      <c r="D180" s="509">
        <f t="shared" si="371"/>
        <v>3.4809999999999999</v>
      </c>
      <c r="E180" s="509">
        <f t="shared" si="371"/>
        <v>3.5950000000000002</v>
      </c>
      <c r="F180" s="509">
        <f t="shared" si="371"/>
        <v>4.625</v>
      </c>
      <c r="G180" s="510">
        <f t="shared" si="419"/>
        <v>4.625</v>
      </c>
      <c r="H180" s="509">
        <f t="shared" si="372"/>
        <v>4.99</v>
      </c>
      <c r="I180" s="509">
        <f t="shared" si="372"/>
        <v>8.3030000000000008</v>
      </c>
      <c r="J180" s="509">
        <f t="shared" si="372"/>
        <v>7.6080000000000014</v>
      </c>
      <c r="K180" s="509">
        <f t="shared" si="372"/>
        <v>8.0250000000000021</v>
      </c>
      <c r="L180" s="510">
        <f t="shared" si="420"/>
        <v>8.0250000000000021</v>
      </c>
      <c r="M180" s="509">
        <f t="shared" si="373"/>
        <v>14.225000000000001</v>
      </c>
      <c r="N180" s="509">
        <f t="shared" si="373"/>
        <v>19.625</v>
      </c>
      <c r="O180" s="509">
        <f t="shared" si="373"/>
        <v>23.225000000000001</v>
      </c>
      <c r="P180" s="509">
        <f t="shared" si="373"/>
        <v>23.325000000000003</v>
      </c>
      <c r="Q180" s="510">
        <f t="shared" si="421"/>
        <v>23.325000000000003</v>
      </c>
      <c r="R180" s="509">
        <f t="shared" si="374"/>
        <v>23.325000000000003</v>
      </c>
      <c r="S180" s="509">
        <f t="shared" si="374"/>
        <v>23.325000000000003</v>
      </c>
      <c r="T180" s="509">
        <f t="shared" si="374"/>
        <v>23.325000000000003</v>
      </c>
      <c r="U180" s="509">
        <f t="shared" si="374"/>
        <v>23.325000000000003</v>
      </c>
      <c r="V180" s="510">
        <f t="shared" si="422"/>
        <v>23.325000000000003</v>
      </c>
      <c r="W180" s="509">
        <f t="shared" si="375"/>
        <v>23.325000000000003</v>
      </c>
      <c r="X180" s="509">
        <f t="shared" si="375"/>
        <v>23.325000000000003</v>
      </c>
      <c r="Y180" s="509">
        <f t="shared" si="375"/>
        <v>23.325000000000003</v>
      </c>
      <c r="Z180" s="509">
        <f t="shared" si="375"/>
        <v>23.325000000000003</v>
      </c>
      <c r="AA180" s="510">
        <f t="shared" si="423"/>
        <v>23.325000000000003</v>
      </c>
      <c r="AB180" s="509">
        <f t="shared" si="376"/>
        <v>23.325000000000003</v>
      </c>
      <c r="AC180" s="509">
        <f t="shared" si="376"/>
        <v>23.325000000000003</v>
      </c>
      <c r="AD180" s="509">
        <f t="shared" si="376"/>
        <v>23.325000000000003</v>
      </c>
      <c r="AE180" s="430">
        <f t="shared" si="376"/>
        <v>23.325000000000003</v>
      </c>
      <c r="AF180" s="481">
        <f t="shared" si="424"/>
        <v>23.325000000000003</v>
      </c>
      <c r="AG180" s="430">
        <f t="shared" si="377"/>
        <v>23.325000000000003</v>
      </c>
      <c r="AH180" s="430">
        <f t="shared" si="377"/>
        <v>23.325000000000003</v>
      </c>
      <c r="AI180" s="430">
        <f t="shared" si="377"/>
        <v>23.325000000000003</v>
      </c>
      <c r="AJ180" s="430">
        <f t="shared" si="377"/>
        <v>23.325000000000003</v>
      </c>
      <c r="AK180" s="481">
        <f t="shared" si="425"/>
        <v>23.325000000000003</v>
      </c>
      <c r="AL180" s="430">
        <f t="shared" si="378"/>
        <v>23.325000000000003</v>
      </c>
      <c r="AM180" s="430">
        <f t="shared" si="378"/>
        <v>23.325000000000003</v>
      </c>
      <c r="AN180" s="430">
        <f t="shared" si="378"/>
        <v>23.325000000000003</v>
      </c>
      <c r="AO180" s="430">
        <f t="shared" si="378"/>
        <v>23.325000000000003</v>
      </c>
      <c r="AP180" s="483">
        <f t="shared" si="426"/>
        <v>23.325000000000003</v>
      </c>
      <c r="AQ180" s="483">
        <f t="shared" si="379"/>
        <v>23.325000000000003</v>
      </c>
      <c r="AR180" s="430">
        <f t="shared" si="379"/>
        <v>23.325000000000003</v>
      </c>
      <c r="AS180" s="430">
        <f t="shared" si="379"/>
        <v>23.325000000000003</v>
      </c>
      <c r="AT180" s="430">
        <f t="shared" si="379"/>
        <v>23.325000000000003</v>
      </c>
      <c r="AU180" s="483">
        <f t="shared" si="380"/>
        <v>23.325000000000003</v>
      </c>
      <c r="AV180" s="483">
        <f t="shared" si="381"/>
        <v>23.325000000000003</v>
      </c>
      <c r="AW180" s="430">
        <f t="shared" si="381"/>
        <v>23.325000000000003</v>
      </c>
      <c r="AX180" s="430">
        <f t="shared" si="381"/>
        <v>23.325000000000003</v>
      </c>
      <c r="AY180" s="853">
        <f t="shared" si="381"/>
        <v>23.325000000000003</v>
      </c>
      <c r="AZ180" s="481">
        <f t="shared" si="382"/>
        <v>23.325000000000003</v>
      </c>
      <c r="BA180" s="483">
        <f t="shared" si="383"/>
        <v>23.325000000000003</v>
      </c>
      <c r="BB180" s="430">
        <f t="shared" si="383"/>
        <v>23.325000000000003</v>
      </c>
      <c r="BC180" s="430">
        <f t="shared" si="383"/>
        <v>23.325000000000003</v>
      </c>
      <c r="BD180" s="853">
        <f t="shared" si="383"/>
        <v>23.325000000000003</v>
      </c>
      <c r="BE180" s="481">
        <f t="shared" si="384"/>
        <v>23.325000000000003</v>
      </c>
      <c r="BF180" s="430">
        <f t="shared" si="385"/>
        <v>23.325000000000003</v>
      </c>
      <c r="BG180" s="430">
        <f t="shared" si="385"/>
        <v>23.325000000000003</v>
      </c>
      <c r="BH180" s="430">
        <f t="shared" si="385"/>
        <v>23.325000000000003</v>
      </c>
      <c r="BI180" s="853">
        <f t="shared" si="385"/>
        <v>23.325000000000003</v>
      </c>
      <c r="BJ180" s="481">
        <f t="shared" si="386"/>
        <v>23.325000000000003</v>
      </c>
      <c r="BK180" s="430">
        <f t="shared" si="387"/>
        <v>23.325000000000003</v>
      </c>
      <c r="BL180" s="430">
        <f t="shared" si="387"/>
        <v>23.325000000000003</v>
      </c>
      <c r="BM180" s="430">
        <f t="shared" si="387"/>
        <v>23.325000000000003</v>
      </c>
      <c r="BN180" s="853">
        <f t="shared" si="387"/>
        <v>23.325000000000003</v>
      </c>
      <c r="BO180" s="481">
        <f t="shared" si="388"/>
        <v>23.325000000000003</v>
      </c>
      <c r="BP180" s="430">
        <f t="shared" si="389"/>
        <v>23.325000000000003</v>
      </c>
      <c r="BQ180" s="430">
        <f t="shared" si="390"/>
        <v>23.325000000000003</v>
      </c>
      <c r="BR180" s="430">
        <f t="shared" si="391"/>
        <v>23.325000000000003</v>
      </c>
      <c r="BS180" s="430">
        <f t="shared" si="392"/>
        <v>23.325000000000003</v>
      </c>
      <c r="BT180" s="481">
        <f t="shared" si="393"/>
        <v>23.325000000000003</v>
      </c>
      <c r="BU180" s="2840">
        <f t="shared" si="394"/>
        <v>23.325000000000003</v>
      </c>
      <c r="BV180" s="2840">
        <f t="shared" si="394"/>
        <v>23.325000000000003</v>
      </c>
      <c r="BW180" s="2840">
        <f t="shared" si="394"/>
        <v>23.325000000000003</v>
      </c>
      <c r="BX180" s="2840">
        <f t="shared" si="394"/>
        <v>23.325000000000003</v>
      </c>
      <c r="BY180" s="2587">
        <f t="shared" si="395"/>
        <v>23.325000000000003</v>
      </c>
      <c r="BZ180" s="481">
        <f t="shared" si="396"/>
        <v>23.325000000000003</v>
      </c>
      <c r="CA180" s="481">
        <f t="shared" si="396"/>
        <v>23.325000000000003</v>
      </c>
      <c r="CB180" s="481">
        <f t="shared" si="397"/>
        <v>23.325000000000003</v>
      </c>
      <c r="CC180" s="481">
        <f t="shared" si="398"/>
        <v>23.325000000000003</v>
      </c>
      <c r="CD180" s="481">
        <f t="shared" si="399"/>
        <v>23.325000000000003</v>
      </c>
      <c r="CE180" s="481">
        <f t="shared" si="400"/>
        <v>23.325000000000003</v>
      </c>
      <c r="CF180" s="481">
        <f t="shared" si="401"/>
        <v>23.325000000000003</v>
      </c>
      <c r="CG180" s="454"/>
      <c r="CH180" s="454"/>
      <c r="CI180" s="454"/>
      <c r="CJ180" s="454"/>
      <c r="CK180" s="454"/>
      <c r="CL180" s="2025" t="str">
        <f t="shared" si="369"/>
        <v>Boomtown Biloxi (MS)</v>
      </c>
      <c r="CM180" s="430">
        <f t="shared" si="402"/>
        <v>4.625</v>
      </c>
      <c r="CN180" s="430">
        <f t="shared" si="403"/>
        <v>8.0250000000000021</v>
      </c>
      <c r="CO180" s="430">
        <f t="shared" si="404"/>
        <v>23.325000000000003</v>
      </c>
      <c r="CP180" s="430">
        <f t="shared" si="405"/>
        <v>23.325000000000003</v>
      </c>
      <c r="CQ180" s="430">
        <f t="shared" si="406"/>
        <v>23.325000000000003</v>
      </c>
      <c r="CR180" s="430">
        <f t="shared" si="407"/>
        <v>23.325000000000003</v>
      </c>
      <c r="CS180" s="430">
        <f t="shared" si="408"/>
        <v>23.325000000000003</v>
      </c>
      <c r="CT180" s="430">
        <f t="shared" si="409"/>
        <v>23.325000000000003</v>
      </c>
      <c r="CU180" s="430">
        <f t="shared" si="410"/>
        <v>23.325000000000003</v>
      </c>
      <c r="CV180" s="430">
        <f t="shared" si="411"/>
        <v>23.325000000000003</v>
      </c>
      <c r="CW180" s="430">
        <f t="shared" si="412"/>
        <v>23.325000000000003</v>
      </c>
      <c r="CX180" s="430">
        <f t="shared" si="413"/>
        <v>23.325000000000003</v>
      </c>
      <c r="CY180" s="430">
        <f t="shared" si="414"/>
        <v>23.325000000000003</v>
      </c>
      <c r="CZ180" s="430">
        <f t="shared" si="415"/>
        <v>23.325000000000003</v>
      </c>
      <c r="DA180" s="430">
        <f t="shared" si="416"/>
        <v>23.325000000000003</v>
      </c>
      <c r="DB180" s="430">
        <f t="shared" si="417"/>
        <v>23.325000000000003</v>
      </c>
      <c r="DC180" s="853">
        <f t="shared" si="418"/>
        <v>23.325000000000003</v>
      </c>
      <c r="DD180" s="454"/>
      <c r="DE180" s="454"/>
      <c r="DF180" s="463"/>
      <c r="DG180" s="463"/>
      <c r="DH180" s="2840"/>
      <c r="DI180" s="3213"/>
      <c r="DJ180" s="463"/>
      <c r="DK180" s="463"/>
      <c r="DL180" s="463"/>
      <c r="DM180" s="463"/>
      <c r="DN180" s="463"/>
      <c r="DO180" s="463"/>
      <c r="DP180" s="463"/>
      <c r="DQ180" s="463"/>
      <c r="DR180" s="608"/>
      <c r="DS180" s="608"/>
      <c r="DT180" s="608"/>
    </row>
    <row r="181" spans="1:124" ht="12" customHeight="1" x14ac:dyDescent="0.25">
      <c r="A181" s="312" t="s">
        <v>1090</v>
      </c>
      <c r="B181" s="509"/>
      <c r="C181" s="509">
        <f t="shared" si="370"/>
        <v>0</v>
      </c>
      <c r="D181" s="509">
        <f t="shared" si="371"/>
        <v>0</v>
      </c>
      <c r="E181" s="509">
        <f t="shared" si="371"/>
        <v>0</v>
      </c>
      <c r="F181" s="509">
        <f t="shared" si="371"/>
        <v>0</v>
      </c>
      <c r="G181" s="510">
        <f t="shared" si="419"/>
        <v>0</v>
      </c>
      <c r="H181" s="509">
        <f t="shared" si="372"/>
        <v>0.33500000000000002</v>
      </c>
      <c r="I181" s="509">
        <f t="shared" si="372"/>
        <v>2.4790000000000001</v>
      </c>
      <c r="J181" s="509">
        <f t="shared" si="372"/>
        <v>6.875</v>
      </c>
      <c r="K181" s="509">
        <f t="shared" si="372"/>
        <v>14.8</v>
      </c>
      <c r="L181" s="510">
        <f t="shared" si="420"/>
        <v>14.8</v>
      </c>
      <c r="M181" s="509">
        <f t="shared" si="373"/>
        <v>15.600000000000001</v>
      </c>
      <c r="N181" s="509">
        <f t="shared" si="373"/>
        <v>18.200000000000003</v>
      </c>
      <c r="O181" s="509">
        <f t="shared" si="373"/>
        <v>18.600000000000001</v>
      </c>
      <c r="P181" s="509">
        <f t="shared" si="373"/>
        <v>25.8</v>
      </c>
      <c r="Q181" s="510">
        <f t="shared" si="421"/>
        <v>25.8</v>
      </c>
      <c r="R181" s="509">
        <f t="shared" si="374"/>
        <v>27.900000000000002</v>
      </c>
      <c r="S181" s="509">
        <f t="shared" si="374"/>
        <v>41.800000000000004</v>
      </c>
      <c r="T181" s="509">
        <f t="shared" si="374"/>
        <v>51.300000000000004</v>
      </c>
      <c r="U181" s="509">
        <f t="shared" si="374"/>
        <v>75.099999999999994</v>
      </c>
      <c r="V181" s="510">
        <f t="shared" si="422"/>
        <v>75.099999999999994</v>
      </c>
      <c r="W181" s="509">
        <f t="shared" si="375"/>
        <v>103.6</v>
      </c>
      <c r="X181" s="509">
        <f t="shared" si="375"/>
        <v>124.3</v>
      </c>
      <c r="Y181" s="509">
        <f t="shared" si="375"/>
        <v>146.80000000000001</v>
      </c>
      <c r="Z181" s="509">
        <f t="shared" si="375"/>
        <v>152</v>
      </c>
      <c r="AA181" s="510">
        <f t="shared" si="423"/>
        <v>152</v>
      </c>
      <c r="AB181" s="509">
        <f t="shared" si="376"/>
        <v>152.19999999999999</v>
      </c>
      <c r="AC181" s="509">
        <f t="shared" si="376"/>
        <v>152.39999999999998</v>
      </c>
      <c r="AD181" s="509">
        <f t="shared" si="376"/>
        <v>152.59999999999997</v>
      </c>
      <c r="AE181" s="430">
        <f t="shared" si="376"/>
        <v>152.59999999999997</v>
      </c>
      <c r="AF181" s="481">
        <f t="shared" si="424"/>
        <v>152.59999999999997</v>
      </c>
      <c r="AG181" s="430">
        <f t="shared" si="377"/>
        <v>152.59999999999997</v>
      </c>
      <c r="AH181" s="430">
        <f t="shared" si="377"/>
        <v>152.59999999999997</v>
      </c>
      <c r="AI181" s="430">
        <f t="shared" si="377"/>
        <v>152.59999999999997</v>
      </c>
      <c r="AJ181" s="430">
        <f t="shared" si="377"/>
        <v>152.59999999999997</v>
      </c>
      <c r="AK181" s="481">
        <f t="shared" si="425"/>
        <v>152.59999999999997</v>
      </c>
      <c r="AL181" s="430">
        <f t="shared" si="378"/>
        <v>152.59999999999997</v>
      </c>
      <c r="AM181" s="430">
        <f t="shared" si="378"/>
        <v>152.59999999999997</v>
      </c>
      <c r="AN181" s="430">
        <f t="shared" si="378"/>
        <v>152.59999999999997</v>
      </c>
      <c r="AO181" s="430">
        <f t="shared" si="378"/>
        <v>152.59999999999997</v>
      </c>
      <c r="AP181" s="483">
        <f t="shared" si="426"/>
        <v>152.59999999999997</v>
      </c>
      <c r="AQ181" s="483">
        <f t="shared" si="379"/>
        <v>152.59999999999997</v>
      </c>
      <c r="AR181" s="430">
        <f t="shared" si="379"/>
        <v>152.59999999999997</v>
      </c>
      <c r="AS181" s="430">
        <f t="shared" si="379"/>
        <v>152.59999999999997</v>
      </c>
      <c r="AT181" s="430">
        <f t="shared" si="379"/>
        <v>152.59999999999997</v>
      </c>
      <c r="AU181" s="483">
        <f t="shared" si="380"/>
        <v>152.59999999999997</v>
      </c>
      <c r="AV181" s="483">
        <f t="shared" si="381"/>
        <v>152.59999999999997</v>
      </c>
      <c r="AW181" s="430">
        <f t="shared" si="381"/>
        <v>152.59999999999997</v>
      </c>
      <c r="AX181" s="430">
        <f t="shared" si="381"/>
        <v>152.59999999999997</v>
      </c>
      <c r="AY181" s="853">
        <f t="shared" si="381"/>
        <v>152.59999999999997</v>
      </c>
      <c r="AZ181" s="481">
        <f t="shared" si="382"/>
        <v>152.59999999999997</v>
      </c>
      <c r="BA181" s="483">
        <f t="shared" si="383"/>
        <v>152.59999999999997</v>
      </c>
      <c r="BB181" s="430">
        <f t="shared" si="383"/>
        <v>152.59999999999997</v>
      </c>
      <c r="BC181" s="430">
        <f t="shared" si="383"/>
        <v>152.59999999999997</v>
      </c>
      <c r="BD181" s="853">
        <f t="shared" si="383"/>
        <v>152.59999999999997</v>
      </c>
      <c r="BE181" s="481">
        <f t="shared" si="384"/>
        <v>152.59999999999997</v>
      </c>
      <c r="BF181" s="430">
        <f t="shared" si="385"/>
        <v>152.59999999999997</v>
      </c>
      <c r="BG181" s="430">
        <f t="shared" si="385"/>
        <v>152.59999999999997</v>
      </c>
      <c r="BH181" s="430">
        <f t="shared" si="385"/>
        <v>152.59999999999997</v>
      </c>
      <c r="BI181" s="853">
        <f t="shared" si="385"/>
        <v>152.59999999999997</v>
      </c>
      <c r="BJ181" s="481">
        <f t="shared" si="386"/>
        <v>152.59999999999997</v>
      </c>
      <c r="BK181" s="430">
        <f t="shared" si="387"/>
        <v>152.59999999999997</v>
      </c>
      <c r="BL181" s="430">
        <f t="shared" si="387"/>
        <v>152.59999999999997</v>
      </c>
      <c r="BM181" s="430">
        <f t="shared" si="387"/>
        <v>152.59999999999997</v>
      </c>
      <c r="BN181" s="853">
        <f t="shared" si="387"/>
        <v>152.59999999999997</v>
      </c>
      <c r="BO181" s="481">
        <f t="shared" si="388"/>
        <v>152.59999999999997</v>
      </c>
      <c r="BP181" s="430">
        <f t="shared" si="389"/>
        <v>152.59999999999997</v>
      </c>
      <c r="BQ181" s="430">
        <f t="shared" si="390"/>
        <v>152.59999999999997</v>
      </c>
      <c r="BR181" s="430">
        <f t="shared" si="391"/>
        <v>152.59999999999997</v>
      </c>
      <c r="BS181" s="430">
        <f t="shared" si="392"/>
        <v>152.59999999999997</v>
      </c>
      <c r="BT181" s="481">
        <f t="shared" si="393"/>
        <v>152.59999999999997</v>
      </c>
      <c r="BU181" s="2840">
        <f t="shared" si="394"/>
        <v>152.59999999999997</v>
      </c>
      <c r="BV181" s="2840">
        <f t="shared" si="394"/>
        <v>152.59999999999997</v>
      </c>
      <c r="BW181" s="2840">
        <f t="shared" si="394"/>
        <v>152.59999999999997</v>
      </c>
      <c r="BX181" s="2840">
        <f t="shared" si="394"/>
        <v>152.59999999999997</v>
      </c>
      <c r="BY181" s="2587">
        <f t="shared" si="395"/>
        <v>152.59999999999997</v>
      </c>
      <c r="BZ181" s="481">
        <f t="shared" si="396"/>
        <v>152.59999999999997</v>
      </c>
      <c r="CA181" s="481">
        <f t="shared" si="396"/>
        <v>152.59999999999997</v>
      </c>
      <c r="CB181" s="481">
        <f t="shared" si="397"/>
        <v>152.59999999999997</v>
      </c>
      <c r="CC181" s="481">
        <f t="shared" si="398"/>
        <v>152.59999999999997</v>
      </c>
      <c r="CD181" s="481">
        <f t="shared" si="399"/>
        <v>152.59999999999997</v>
      </c>
      <c r="CE181" s="481">
        <f t="shared" si="400"/>
        <v>152.59999999999997</v>
      </c>
      <c r="CF181" s="481">
        <f t="shared" si="401"/>
        <v>152.59999999999997</v>
      </c>
      <c r="CG181" s="454"/>
      <c r="CH181" s="454"/>
      <c r="CI181" s="454"/>
      <c r="CJ181" s="454"/>
      <c r="CK181" s="454"/>
      <c r="CL181" s="2025" t="str">
        <f t="shared" si="369"/>
        <v>Hollywood Slots at Bangor (ME)</v>
      </c>
      <c r="CM181" s="430">
        <f t="shared" si="402"/>
        <v>0</v>
      </c>
      <c r="CN181" s="430">
        <f t="shared" si="403"/>
        <v>14.8</v>
      </c>
      <c r="CO181" s="430">
        <f t="shared" si="404"/>
        <v>25.8</v>
      </c>
      <c r="CP181" s="430">
        <f t="shared" si="405"/>
        <v>75.099999999999994</v>
      </c>
      <c r="CQ181" s="430">
        <f t="shared" si="406"/>
        <v>152</v>
      </c>
      <c r="CR181" s="430">
        <f t="shared" si="407"/>
        <v>152.59999999999997</v>
      </c>
      <c r="CS181" s="430">
        <f t="shared" si="408"/>
        <v>152.59999999999997</v>
      </c>
      <c r="CT181" s="430">
        <f t="shared" si="409"/>
        <v>152.59999999999997</v>
      </c>
      <c r="CU181" s="430">
        <f t="shared" si="410"/>
        <v>152.59999999999997</v>
      </c>
      <c r="CV181" s="430">
        <f t="shared" si="411"/>
        <v>152.59999999999997</v>
      </c>
      <c r="CW181" s="430">
        <f t="shared" si="412"/>
        <v>152.59999999999997</v>
      </c>
      <c r="CX181" s="430">
        <f t="shared" si="413"/>
        <v>152.59999999999997</v>
      </c>
      <c r="CY181" s="430">
        <f t="shared" si="414"/>
        <v>152.59999999999997</v>
      </c>
      <c r="CZ181" s="430">
        <f t="shared" si="415"/>
        <v>152.59999999999997</v>
      </c>
      <c r="DA181" s="430">
        <f t="shared" si="416"/>
        <v>152.59999999999997</v>
      </c>
      <c r="DB181" s="430">
        <f t="shared" si="417"/>
        <v>152.59999999999997</v>
      </c>
      <c r="DC181" s="853">
        <f t="shared" si="418"/>
        <v>152.59999999999997</v>
      </c>
      <c r="DD181" s="454"/>
      <c r="DE181" s="454"/>
      <c r="DF181" s="463"/>
      <c r="DG181" s="463"/>
      <c r="DH181" s="2840"/>
      <c r="DI181" s="3213"/>
      <c r="DJ181" s="463"/>
      <c r="DK181" s="463"/>
      <c r="DL181" s="463"/>
      <c r="DM181" s="463"/>
      <c r="DN181" s="463"/>
      <c r="DO181" s="463"/>
      <c r="DP181" s="463"/>
      <c r="DQ181" s="463"/>
      <c r="DR181" s="608"/>
      <c r="DS181" s="608"/>
      <c r="DT181" s="608"/>
    </row>
    <row r="182" spans="1:124" ht="12" customHeight="1" x14ac:dyDescent="0.25">
      <c r="A182" s="312" t="s">
        <v>1089</v>
      </c>
      <c r="B182" s="509"/>
      <c r="C182" s="509">
        <f t="shared" si="370"/>
        <v>0</v>
      </c>
      <c r="D182" s="509">
        <f t="shared" si="371"/>
        <v>0</v>
      </c>
      <c r="E182" s="509">
        <f t="shared" si="371"/>
        <v>0</v>
      </c>
      <c r="F182" s="509">
        <f t="shared" si="371"/>
        <v>0</v>
      </c>
      <c r="G182" s="510">
        <f t="shared" si="419"/>
        <v>0</v>
      </c>
      <c r="H182" s="509">
        <f t="shared" si="372"/>
        <v>0</v>
      </c>
      <c r="I182" s="509">
        <f t="shared" si="372"/>
        <v>0</v>
      </c>
      <c r="J182" s="509">
        <f t="shared" si="372"/>
        <v>0</v>
      </c>
      <c r="K182" s="509">
        <f t="shared" si="372"/>
        <v>0</v>
      </c>
      <c r="L182" s="510">
        <f t="shared" si="420"/>
        <v>0</v>
      </c>
      <c r="M182" s="509">
        <f t="shared" si="373"/>
        <v>0</v>
      </c>
      <c r="N182" s="509">
        <f t="shared" si="373"/>
        <v>0</v>
      </c>
      <c r="O182" s="509">
        <f t="shared" si="373"/>
        <v>0</v>
      </c>
      <c r="P182" s="509">
        <f t="shared" si="373"/>
        <v>0</v>
      </c>
      <c r="Q182" s="510">
        <f t="shared" si="421"/>
        <v>0</v>
      </c>
      <c r="R182" s="509">
        <f t="shared" si="374"/>
        <v>0</v>
      </c>
      <c r="S182" s="509">
        <f t="shared" si="374"/>
        <v>0</v>
      </c>
      <c r="T182" s="509">
        <f t="shared" si="374"/>
        <v>0</v>
      </c>
      <c r="U182" s="509">
        <f t="shared" si="374"/>
        <v>0</v>
      </c>
      <c r="V182" s="510">
        <f t="shared" si="422"/>
        <v>0</v>
      </c>
      <c r="W182" s="509">
        <f t="shared" si="375"/>
        <v>0</v>
      </c>
      <c r="X182" s="509">
        <f t="shared" si="375"/>
        <v>0</v>
      </c>
      <c r="Y182" s="509">
        <f t="shared" si="375"/>
        <v>0</v>
      </c>
      <c r="Z182" s="509">
        <f t="shared" si="375"/>
        <v>0</v>
      </c>
      <c r="AA182" s="510">
        <f t="shared" si="423"/>
        <v>0</v>
      </c>
      <c r="AB182" s="509">
        <f t="shared" si="376"/>
        <v>0</v>
      </c>
      <c r="AC182" s="509">
        <f t="shared" si="376"/>
        <v>0</v>
      </c>
      <c r="AD182" s="509">
        <f t="shared" si="376"/>
        <v>0</v>
      </c>
      <c r="AE182" s="430">
        <f t="shared" si="376"/>
        <v>0</v>
      </c>
      <c r="AF182" s="481">
        <f t="shared" si="424"/>
        <v>0</v>
      </c>
      <c r="AG182" s="430">
        <f t="shared" si="377"/>
        <v>0</v>
      </c>
      <c r="AH182" s="430">
        <f t="shared" si="377"/>
        <v>0</v>
      </c>
      <c r="AI182" s="430">
        <f t="shared" si="377"/>
        <v>0</v>
      </c>
      <c r="AJ182" s="430">
        <f t="shared" si="377"/>
        <v>0</v>
      </c>
      <c r="AK182" s="481">
        <f t="shared" si="425"/>
        <v>0</v>
      </c>
      <c r="AL182" s="430">
        <f t="shared" si="378"/>
        <v>0</v>
      </c>
      <c r="AM182" s="430">
        <f t="shared" si="378"/>
        <v>0</v>
      </c>
      <c r="AN182" s="430">
        <f t="shared" si="378"/>
        <v>0</v>
      </c>
      <c r="AO182" s="430">
        <f t="shared" si="378"/>
        <v>0</v>
      </c>
      <c r="AP182" s="483">
        <f t="shared" si="426"/>
        <v>0</v>
      </c>
      <c r="AQ182" s="483">
        <f t="shared" si="379"/>
        <v>0</v>
      </c>
      <c r="AR182" s="430">
        <f t="shared" si="379"/>
        <v>0</v>
      </c>
      <c r="AS182" s="430">
        <f t="shared" si="379"/>
        <v>0</v>
      </c>
      <c r="AT182" s="430">
        <f t="shared" si="379"/>
        <v>0</v>
      </c>
      <c r="AU182" s="483">
        <f t="shared" si="380"/>
        <v>0</v>
      </c>
      <c r="AV182" s="483">
        <f t="shared" si="381"/>
        <v>0</v>
      </c>
      <c r="AW182" s="430">
        <f t="shared" si="381"/>
        <v>0</v>
      </c>
      <c r="AX182" s="430">
        <f t="shared" si="381"/>
        <v>0</v>
      </c>
      <c r="AY182" s="853">
        <f t="shared" si="381"/>
        <v>0</v>
      </c>
      <c r="AZ182" s="481">
        <f t="shared" si="382"/>
        <v>0</v>
      </c>
      <c r="BA182" s="483">
        <f t="shared" si="383"/>
        <v>0</v>
      </c>
      <c r="BB182" s="430">
        <f t="shared" si="383"/>
        <v>0</v>
      </c>
      <c r="BC182" s="430">
        <f t="shared" si="383"/>
        <v>0</v>
      </c>
      <c r="BD182" s="853">
        <f t="shared" si="383"/>
        <v>0</v>
      </c>
      <c r="BE182" s="481">
        <f t="shared" si="384"/>
        <v>0</v>
      </c>
      <c r="BF182" s="430">
        <f t="shared" si="385"/>
        <v>0</v>
      </c>
      <c r="BG182" s="430">
        <f t="shared" si="385"/>
        <v>0</v>
      </c>
      <c r="BH182" s="430">
        <f t="shared" si="385"/>
        <v>0</v>
      </c>
      <c r="BI182" s="853">
        <f t="shared" si="385"/>
        <v>0</v>
      </c>
      <c r="BJ182" s="481">
        <f t="shared" si="386"/>
        <v>0</v>
      </c>
      <c r="BK182" s="430">
        <f t="shared" si="387"/>
        <v>0</v>
      </c>
      <c r="BL182" s="430">
        <f t="shared" si="387"/>
        <v>0</v>
      </c>
      <c r="BM182" s="430">
        <f t="shared" si="387"/>
        <v>0</v>
      </c>
      <c r="BN182" s="853">
        <f t="shared" si="387"/>
        <v>0</v>
      </c>
      <c r="BO182" s="481">
        <f t="shared" si="388"/>
        <v>0</v>
      </c>
      <c r="BP182" s="430">
        <f t="shared" si="389"/>
        <v>0</v>
      </c>
      <c r="BQ182" s="430">
        <f t="shared" si="390"/>
        <v>0</v>
      </c>
      <c r="BR182" s="430">
        <f t="shared" si="391"/>
        <v>0</v>
      </c>
      <c r="BS182" s="430">
        <f t="shared" si="392"/>
        <v>0</v>
      </c>
      <c r="BT182" s="481">
        <f t="shared" si="393"/>
        <v>0</v>
      </c>
      <c r="BU182" s="2840">
        <f t="shared" si="394"/>
        <v>0</v>
      </c>
      <c r="BV182" s="2840">
        <f t="shared" si="394"/>
        <v>0</v>
      </c>
      <c r="BW182" s="2840">
        <f t="shared" si="394"/>
        <v>0</v>
      </c>
      <c r="BX182" s="2840">
        <f t="shared" si="394"/>
        <v>0</v>
      </c>
      <c r="BY182" s="2587">
        <f t="shared" si="395"/>
        <v>0</v>
      </c>
      <c r="BZ182" s="481">
        <f t="shared" si="396"/>
        <v>0</v>
      </c>
      <c r="CA182" s="481">
        <f t="shared" si="396"/>
        <v>0</v>
      </c>
      <c r="CB182" s="481">
        <f t="shared" si="397"/>
        <v>0</v>
      </c>
      <c r="CC182" s="481">
        <f t="shared" si="398"/>
        <v>0</v>
      </c>
      <c r="CD182" s="481">
        <f t="shared" si="399"/>
        <v>0</v>
      </c>
      <c r="CE182" s="481">
        <f t="shared" si="400"/>
        <v>0</v>
      </c>
      <c r="CF182" s="481">
        <f t="shared" si="401"/>
        <v>0</v>
      </c>
      <c r="CG182" s="454"/>
      <c r="CH182" s="454"/>
      <c r="CI182" s="454"/>
      <c r="CJ182" s="454"/>
      <c r="CK182" s="454"/>
      <c r="CL182" s="2025" t="str">
        <f t="shared" si="369"/>
        <v>Bullwhackers (CO)</v>
      </c>
      <c r="CM182" s="430">
        <f t="shared" si="402"/>
        <v>0</v>
      </c>
      <c r="CN182" s="430">
        <f t="shared" si="403"/>
        <v>0</v>
      </c>
      <c r="CO182" s="430">
        <f t="shared" si="404"/>
        <v>0</v>
      </c>
      <c r="CP182" s="430">
        <f t="shared" si="405"/>
        <v>0</v>
      </c>
      <c r="CQ182" s="430">
        <f t="shared" si="406"/>
        <v>0</v>
      </c>
      <c r="CR182" s="430">
        <f t="shared" si="407"/>
        <v>0</v>
      </c>
      <c r="CS182" s="430">
        <f t="shared" si="408"/>
        <v>0</v>
      </c>
      <c r="CT182" s="430">
        <f t="shared" si="409"/>
        <v>0</v>
      </c>
      <c r="CU182" s="430">
        <f t="shared" si="410"/>
        <v>0</v>
      </c>
      <c r="CV182" s="430">
        <f t="shared" si="411"/>
        <v>0</v>
      </c>
      <c r="CW182" s="430">
        <f t="shared" si="412"/>
        <v>0</v>
      </c>
      <c r="CX182" s="430">
        <f t="shared" si="413"/>
        <v>0</v>
      </c>
      <c r="CY182" s="430">
        <f t="shared" si="414"/>
        <v>0</v>
      </c>
      <c r="CZ182" s="430">
        <f t="shared" si="415"/>
        <v>0</v>
      </c>
      <c r="DA182" s="430">
        <f t="shared" si="416"/>
        <v>0</v>
      </c>
      <c r="DB182" s="430">
        <f t="shared" si="417"/>
        <v>0</v>
      </c>
      <c r="DC182" s="853">
        <f t="shared" si="418"/>
        <v>0</v>
      </c>
      <c r="DD182" s="454"/>
      <c r="DE182" s="454"/>
      <c r="DF182" s="463"/>
      <c r="DG182" s="463"/>
      <c r="DH182" s="2840"/>
      <c r="DI182" s="3213"/>
      <c r="DJ182" s="463"/>
      <c r="DK182" s="463"/>
      <c r="DL182" s="463"/>
      <c r="DM182" s="463"/>
      <c r="DN182" s="463"/>
      <c r="DO182" s="463"/>
      <c r="DP182" s="463"/>
      <c r="DQ182" s="463"/>
      <c r="DR182" s="608"/>
      <c r="DS182" s="608"/>
      <c r="DT182" s="608"/>
    </row>
    <row r="183" spans="1:124" ht="12" customHeight="1" x14ac:dyDescent="0.25">
      <c r="A183" s="312" t="s">
        <v>1479</v>
      </c>
      <c r="B183" s="509"/>
      <c r="C183" s="509">
        <f t="shared" si="370"/>
        <v>0</v>
      </c>
      <c r="D183" s="509">
        <f t="shared" si="371"/>
        <v>0</v>
      </c>
      <c r="E183" s="509">
        <f t="shared" si="371"/>
        <v>0</v>
      </c>
      <c r="F183" s="509">
        <f t="shared" si="371"/>
        <v>0</v>
      </c>
      <c r="G183" s="510">
        <f t="shared" si="419"/>
        <v>0</v>
      </c>
      <c r="H183" s="509">
        <f t="shared" si="372"/>
        <v>0</v>
      </c>
      <c r="I183" s="509">
        <f t="shared" si="372"/>
        <v>0</v>
      </c>
      <c r="J183" s="509">
        <f t="shared" si="372"/>
        <v>0</v>
      </c>
      <c r="K183" s="509">
        <f t="shared" si="372"/>
        <v>0</v>
      </c>
      <c r="L183" s="510">
        <f t="shared" si="420"/>
        <v>0</v>
      </c>
      <c r="M183" s="509">
        <f t="shared" si="373"/>
        <v>0</v>
      </c>
      <c r="N183" s="509">
        <f t="shared" si="373"/>
        <v>0</v>
      </c>
      <c r="O183" s="509">
        <f t="shared" si="373"/>
        <v>0</v>
      </c>
      <c r="P183" s="509">
        <f t="shared" si="373"/>
        <v>0</v>
      </c>
      <c r="Q183" s="510">
        <f t="shared" si="421"/>
        <v>0</v>
      </c>
      <c r="R183" s="509">
        <f t="shared" si="374"/>
        <v>0</v>
      </c>
      <c r="S183" s="509">
        <f t="shared" si="374"/>
        <v>0</v>
      </c>
      <c r="T183" s="509">
        <f t="shared" si="374"/>
        <v>0</v>
      </c>
      <c r="U183" s="509">
        <f t="shared" si="374"/>
        <v>0</v>
      </c>
      <c r="V183" s="510">
        <f t="shared" si="422"/>
        <v>0</v>
      </c>
      <c r="W183" s="509">
        <f t="shared" si="375"/>
        <v>0</v>
      </c>
      <c r="X183" s="509">
        <f t="shared" si="375"/>
        <v>0</v>
      </c>
      <c r="Y183" s="509">
        <f t="shared" si="375"/>
        <v>0</v>
      </c>
      <c r="Z183" s="509">
        <f t="shared" si="375"/>
        <v>0</v>
      </c>
      <c r="AA183" s="510">
        <f t="shared" si="423"/>
        <v>0</v>
      </c>
      <c r="AB183" s="509">
        <f t="shared" si="376"/>
        <v>0.3</v>
      </c>
      <c r="AC183" s="509">
        <f t="shared" si="376"/>
        <v>0.4</v>
      </c>
      <c r="AD183" s="509">
        <f t="shared" si="376"/>
        <v>0.4</v>
      </c>
      <c r="AE183" s="430">
        <f t="shared" si="376"/>
        <v>0.4</v>
      </c>
      <c r="AF183" s="481">
        <f t="shared" si="424"/>
        <v>0.4</v>
      </c>
      <c r="AG183" s="430">
        <f t="shared" si="377"/>
        <v>0.4</v>
      </c>
      <c r="AH183" s="430">
        <f t="shared" si="377"/>
        <v>0.4</v>
      </c>
      <c r="AI183" s="430">
        <f t="shared" si="377"/>
        <v>0.4</v>
      </c>
      <c r="AJ183" s="430">
        <f t="shared" si="377"/>
        <v>0.4</v>
      </c>
      <c r="AK183" s="481">
        <f t="shared" si="425"/>
        <v>0.4</v>
      </c>
      <c r="AL183" s="430">
        <f t="shared" si="378"/>
        <v>0.4</v>
      </c>
      <c r="AM183" s="430">
        <f t="shared" si="378"/>
        <v>0.4</v>
      </c>
      <c r="AN183" s="430">
        <f t="shared" si="378"/>
        <v>0.4</v>
      </c>
      <c r="AO183" s="430">
        <f t="shared" si="378"/>
        <v>0.4</v>
      </c>
      <c r="AP183" s="483">
        <f t="shared" si="426"/>
        <v>0.4</v>
      </c>
      <c r="AQ183" s="483">
        <f t="shared" si="379"/>
        <v>0.4</v>
      </c>
      <c r="AR183" s="430">
        <f t="shared" si="379"/>
        <v>0.4</v>
      </c>
      <c r="AS183" s="430">
        <f t="shared" si="379"/>
        <v>0.4</v>
      </c>
      <c r="AT183" s="430">
        <f t="shared" si="379"/>
        <v>0.4</v>
      </c>
      <c r="AU183" s="483">
        <f t="shared" si="380"/>
        <v>0.4</v>
      </c>
      <c r="AV183" s="483">
        <f t="shared" si="381"/>
        <v>0.4</v>
      </c>
      <c r="AW183" s="430">
        <f t="shared" si="381"/>
        <v>0.5</v>
      </c>
      <c r="AX183" s="430">
        <f t="shared" si="381"/>
        <v>1.4</v>
      </c>
      <c r="AY183" s="853">
        <f t="shared" si="381"/>
        <v>4.4000000000000004</v>
      </c>
      <c r="AZ183" s="481">
        <f t="shared" si="382"/>
        <v>4.4000000000000004</v>
      </c>
      <c r="BA183" s="483">
        <f t="shared" si="383"/>
        <v>7.7</v>
      </c>
      <c r="BB183" s="430">
        <f t="shared" si="383"/>
        <v>15.7</v>
      </c>
      <c r="BC183" s="430">
        <f t="shared" si="383"/>
        <v>25.9</v>
      </c>
      <c r="BD183" s="853">
        <f t="shared" si="383"/>
        <v>30.4</v>
      </c>
      <c r="BE183" s="481">
        <f t="shared" si="384"/>
        <v>30.4</v>
      </c>
      <c r="BF183" s="430">
        <f t="shared" si="385"/>
        <v>30.4</v>
      </c>
      <c r="BG183" s="430">
        <f t="shared" si="385"/>
        <v>30.4</v>
      </c>
      <c r="BH183" s="430">
        <f t="shared" si="385"/>
        <v>30.4</v>
      </c>
      <c r="BI183" s="853">
        <f t="shared" si="385"/>
        <v>30.4</v>
      </c>
      <c r="BJ183" s="481">
        <f t="shared" si="386"/>
        <v>30.4</v>
      </c>
      <c r="BK183" s="430">
        <f t="shared" si="387"/>
        <v>30.4</v>
      </c>
      <c r="BL183" s="430">
        <f t="shared" si="387"/>
        <v>30.4</v>
      </c>
      <c r="BM183" s="430">
        <f t="shared" si="387"/>
        <v>30.4</v>
      </c>
      <c r="BN183" s="853">
        <f t="shared" si="387"/>
        <v>30.4</v>
      </c>
      <c r="BO183" s="481">
        <f t="shared" si="388"/>
        <v>30.4</v>
      </c>
      <c r="BP183" s="430">
        <f t="shared" si="389"/>
        <v>30.4</v>
      </c>
      <c r="BQ183" s="430">
        <f t="shared" si="390"/>
        <v>30.4</v>
      </c>
      <c r="BR183" s="430">
        <f t="shared" si="391"/>
        <v>30.4</v>
      </c>
      <c r="BS183" s="430">
        <f t="shared" si="392"/>
        <v>30.4</v>
      </c>
      <c r="BT183" s="481">
        <f t="shared" si="393"/>
        <v>30.4</v>
      </c>
      <c r="BU183" s="2840">
        <f t="shared" si="394"/>
        <v>30.4</v>
      </c>
      <c r="BV183" s="2840">
        <f t="shared" si="394"/>
        <v>30.4</v>
      </c>
      <c r="BW183" s="2840">
        <f t="shared" si="394"/>
        <v>30.4</v>
      </c>
      <c r="BX183" s="2840">
        <f t="shared" si="394"/>
        <v>30.4</v>
      </c>
      <c r="BY183" s="2587">
        <f t="shared" si="395"/>
        <v>30.4</v>
      </c>
      <c r="BZ183" s="481">
        <f t="shared" si="396"/>
        <v>30.4</v>
      </c>
      <c r="CA183" s="481">
        <f t="shared" si="396"/>
        <v>30.4</v>
      </c>
      <c r="CB183" s="481">
        <f t="shared" si="397"/>
        <v>30.4</v>
      </c>
      <c r="CC183" s="481">
        <f t="shared" si="398"/>
        <v>30.4</v>
      </c>
      <c r="CD183" s="481">
        <f t="shared" si="399"/>
        <v>30.4</v>
      </c>
      <c r="CE183" s="481">
        <f t="shared" si="400"/>
        <v>30.4</v>
      </c>
      <c r="CF183" s="481">
        <f t="shared" si="401"/>
        <v>30.4</v>
      </c>
      <c r="CG183" s="454"/>
      <c r="CH183" s="454"/>
      <c r="CI183" s="454"/>
      <c r="CJ183" s="454"/>
      <c r="CK183" s="454"/>
      <c r="CL183" s="2025" t="str">
        <f t="shared" si="369"/>
        <v>Black Gold at Zia Park (NM)</v>
      </c>
      <c r="CM183" s="430">
        <f t="shared" si="402"/>
        <v>0</v>
      </c>
      <c r="CN183" s="430">
        <f t="shared" si="403"/>
        <v>0</v>
      </c>
      <c r="CO183" s="430">
        <f t="shared" si="404"/>
        <v>0</v>
      </c>
      <c r="CP183" s="430">
        <f t="shared" si="405"/>
        <v>0</v>
      </c>
      <c r="CQ183" s="430">
        <f t="shared" si="406"/>
        <v>0</v>
      </c>
      <c r="CR183" s="430">
        <f t="shared" si="407"/>
        <v>0.4</v>
      </c>
      <c r="CS183" s="430">
        <f t="shared" si="408"/>
        <v>0.4</v>
      </c>
      <c r="CT183" s="430">
        <f t="shared" si="409"/>
        <v>0.4</v>
      </c>
      <c r="CU183" s="430">
        <f t="shared" si="410"/>
        <v>0.4</v>
      </c>
      <c r="CV183" s="430">
        <f t="shared" si="411"/>
        <v>4.4000000000000004</v>
      </c>
      <c r="CW183" s="430">
        <f t="shared" si="412"/>
        <v>30.4</v>
      </c>
      <c r="CX183" s="430">
        <f t="shared" si="413"/>
        <v>30.4</v>
      </c>
      <c r="CY183" s="430">
        <f t="shared" si="414"/>
        <v>30.4</v>
      </c>
      <c r="CZ183" s="430">
        <f t="shared" si="415"/>
        <v>30.4</v>
      </c>
      <c r="DA183" s="430">
        <f t="shared" si="416"/>
        <v>30.4</v>
      </c>
      <c r="DB183" s="430">
        <f t="shared" si="417"/>
        <v>30.4</v>
      </c>
      <c r="DC183" s="853">
        <f t="shared" si="418"/>
        <v>30.4</v>
      </c>
      <c r="DD183" s="454"/>
      <c r="DE183" s="454"/>
      <c r="DF183" s="463"/>
      <c r="DG183" s="463"/>
      <c r="DH183" s="2840"/>
      <c r="DI183" s="3213"/>
      <c r="DJ183" s="463"/>
      <c r="DK183" s="463"/>
      <c r="DL183" s="463"/>
      <c r="DM183" s="463"/>
      <c r="DN183" s="463"/>
      <c r="DO183" s="463"/>
      <c r="DP183" s="463"/>
      <c r="DQ183" s="463"/>
      <c r="DR183" s="608"/>
      <c r="DS183" s="608"/>
      <c r="DT183" s="608"/>
    </row>
    <row r="184" spans="1:124" ht="12" customHeight="1" x14ac:dyDescent="0.25">
      <c r="A184" s="312" t="s">
        <v>1942</v>
      </c>
      <c r="B184" s="509"/>
      <c r="C184" s="509">
        <f t="shared" si="370"/>
        <v>0</v>
      </c>
      <c r="D184" s="509">
        <f t="shared" si="371"/>
        <v>0</v>
      </c>
      <c r="E184" s="509">
        <f t="shared" si="371"/>
        <v>0</v>
      </c>
      <c r="F184" s="509">
        <f t="shared" si="371"/>
        <v>0</v>
      </c>
      <c r="G184" s="510">
        <f t="shared" si="419"/>
        <v>0</v>
      </c>
      <c r="H184" s="509">
        <f t="shared" si="372"/>
        <v>0</v>
      </c>
      <c r="I184" s="509">
        <f t="shared" si="372"/>
        <v>0</v>
      </c>
      <c r="J184" s="509">
        <f t="shared" si="372"/>
        <v>0</v>
      </c>
      <c r="K184" s="509">
        <f t="shared" si="372"/>
        <v>0</v>
      </c>
      <c r="L184" s="510">
        <f t="shared" si="420"/>
        <v>0</v>
      </c>
      <c r="M184" s="509">
        <f t="shared" si="373"/>
        <v>0</v>
      </c>
      <c r="N184" s="509">
        <f t="shared" si="373"/>
        <v>0</v>
      </c>
      <c r="O184" s="509">
        <f t="shared" si="373"/>
        <v>0</v>
      </c>
      <c r="P184" s="509">
        <f t="shared" si="373"/>
        <v>0</v>
      </c>
      <c r="Q184" s="510">
        <f t="shared" si="421"/>
        <v>0</v>
      </c>
      <c r="R184" s="509">
        <f t="shared" si="374"/>
        <v>0</v>
      </c>
      <c r="S184" s="509">
        <f t="shared" si="374"/>
        <v>0</v>
      </c>
      <c r="T184" s="509">
        <f t="shared" si="374"/>
        <v>0</v>
      </c>
      <c r="U184" s="509">
        <f t="shared" si="374"/>
        <v>0</v>
      </c>
      <c r="V184" s="510">
        <f t="shared" si="422"/>
        <v>0</v>
      </c>
      <c r="W184" s="509">
        <f t="shared" si="375"/>
        <v>0</v>
      </c>
      <c r="X184" s="509">
        <f t="shared" si="375"/>
        <v>0</v>
      </c>
      <c r="Y184" s="509">
        <f t="shared" si="375"/>
        <v>0</v>
      </c>
      <c r="Z184" s="509">
        <f t="shared" si="375"/>
        <v>0</v>
      </c>
      <c r="AA184" s="510">
        <f t="shared" si="423"/>
        <v>0</v>
      </c>
      <c r="AB184" s="509">
        <f t="shared" si="376"/>
        <v>0</v>
      </c>
      <c r="AC184" s="509">
        <f t="shared" si="376"/>
        <v>0</v>
      </c>
      <c r="AD184" s="509">
        <f t="shared" si="376"/>
        <v>0</v>
      </c>
      <c r="AE184" s="430">
        <f t="shared" si="376"/>
        <v>0</v>
      </c>
      <c r="AF184" s="481">
        <f t="shared" si="424"/>
        <v>0</v>
      </c>
      <c r="AG184" s="430">
        <f t="shared" si="377"/>
        <v>0</v>
      </c>
      <c r="AH184" s="430">
        <f t="shared" si="377"/>
        <v>0</v>
      </c>
      <c r="AI184" s="430">
        <f t="shared" si="377"/>
        <v>0</v>
      </c>
      <c r="AJ184" s="430">
        <f t="shared" si="377"/>
        <v>0</v>
      </c>
      <c r="AK184" s="481">
        <f t="shared" si="425"/>
        <v>0</v>
      </c>
      <c r="AL184" s="430">
        <f t="shared" si="378"/>
        <v>0</v>
      </c>
      <c r="AM184" s="430">
        <f t="shared" si="378"/>
        <v>0</v>
      </c>
      <c r="AN184" s="430">
        <f t="shared" si="378"/>
        <v>0</v>
      </c>
      <c r="AO184" s="430">
        <f t="shared" si="378"/>
        <v>0</v>
      </c>
      <c r="AP184" s="483">
        <f t="shared" si="426"/>
        <v>0</v>
      </c>
      <c r="AQ184" s="483">
        <f t="shared" si="379"/>
        <v>0</v>
      </c>
      <c r="AR184" s="430">
        <f t="shared" si="379"/>
        <v>0</v>
      </c>
      <c r="AS184" s="430">
        <f t="shared" si="379"/>
        <v>0</v>
      </c>
      <c r="AT184" s="430">
        <f t="shared" si="379"/>
        <v>0</v>
      </c>
      <c r="AU184" s="483">
        <f t="shared" si="380"/>
        <v>0</v>
      </c>
      <c r="AV184" s="483">
        <f t="shared" si="381"/>
        <v>0</v>
      </c>
      <c r="AW184" s="430">
        <f t="shared" si="381"/>
        <v>0</v>
      </c>
      <c r="AX184" s="430">
        <f t="shared" si="381"/>
        <v>0</v>
      </c>
      <c r="AY184" s="853">
        <f t="shared" si="381"/>
        <v>0</v>
      </c>
      <c r="AZ184" s="481">
        <f t="shared" si="382"/>
        <v>0</v>
      </c>
      <c r="BA184" s="483">
        <f t="shared" si="383"/>
        <v>0</v>
      </c>
      <c r="BB184" s="430">
        <f t="shared" si="383"/>
        <v>0</v>
      </c>
      <c r="BC184" s="430">
        <f t="shared" si="383"/>
        <v>0</v>
      </c>
      <c r="BD184" s="853">
        <f t="shared" si="383"/>
        <v>0</v>
      </c>
      <c r="BE184" s="481">
        <f t="shared" si="384"/>
        <v>0</v>
      </c>
      <c r="BF184" s="430">
        <f t="shared" si="385"/>
        <v>0</v>
      </c>
      <c r="BG184" s="430">
        <f t="shared" si="385"/>
        <v>0</v>
      </c>
      <c r="BH184" s="430">
        <f t="shared" si="385"/>
        <v>0</v>
      </c>
      <c r="BI184" s="853">
        <f t="shared" si="385"/>
        <v>0</v>
      </c>
      <c r="BJ184" s="481">
        <f t="shared" si="386"/>
        <v>0</v>
      </c>
      <c r="BK184" s="430">
        <f t="shared" si="387"/>
        <v>0</v>
      </c>
      <c r="BL184" s="430">
        <f t="shared" si="387"/>
        <v>0</v>
      </c>
      <c r="BM184" s="430">
        <f t="shared" si="387"/>
        <v>0</v>
      </c>
      <c r="BN184" s="853">
        <f t="shared" si="387"/>
        <v>0</v>
      </c>
      <c r="BO184" s="481">
        <f t="shared" si="388"/>
        <v>0</v>
      </c>
      <c r="BP184" s="430">
        <f t="shared" si="389"/>
        <v>0</v>
      </c>
      <c r="BQ184" s="430">
        <f t="shared" si="390"/>
        <v>0</v>
      </c>
      <c r="BR184" s="430">
        <f t="shared" si="391"/>
        <v>0</v>
      </c>
      <c r="BS184" s="430">
        <f t="shared" si="392"/>
        <v>0</v>
      </c>
      <c r="BT184" s="481">
        <f t="shared" si="393"/>
        <v>0</v>
      </c>
      <c r="BU184" s="2840">
        <f t="shared" si="394"/>
        <v>0</v>
      </c>
      <c r="BV184" s="2840">
        <f t="shared" si="394"/>
        <v>0</v>
      </c>
      <c r="BW184" s="2840">
        <f t="shared" si="394"/>
        <v>0</v>
      </c>
      <c r="BX184" s="2840">
        <f t="shared" si="394"/>
        <v>0</v>
      </c>
      <c r="BY184" s="2587">
        <f t="shared" si="395"/>
        <v>0</v>
      </c>
      <c r="BZ184" s="481">
        <f t="shared" si="396"/>
        <v>0</v>
      </c>
      <c r="CA184" s="481">
        <f t="shared" si="396"/>
        <v>0</v>
      </c>
      <c r="CB184" s="481">
        <f t="shared" si="397"/>
        <v>0</v>
      </c>
      <c r="CC184" s="481">
        <f t="shared" si="398"/>
        <v>0</v>
      </c>
      <c r="CD184" s="481">
        <f t="shared" si="399"/>
        <v>0</v>
      </c>
      <c r="CE184" s="481">
        <f t="shared" si="400"/>
        <v>0</v>
      </c>
      <c r="CF184" s="481">
        <f t="shared" si="401"/>
        <v>0</v>
      </c>
      <c r="CG184" s="454"/>
      <c r="CH184" s="454"/>
      <c r="CI184" s="454"/>
      <c r="CJ184" s="454"/>
      <c r="CK184" s="454"/>
      <c r="CL184" s="2025" t="str">
        <f t="shared" si="369"/>
        <v>Casino Rama Mgmt Contract (Canada)</v>
      </c>
      <c r="CM184" s="430">
        <f t="shared" si="402"/>
        <v>0</v>
      </c>
      <c r="CN184" s="430">
        <f t="shared" si="403"/>
        <v>0</v>
      </c>
      <c r="CO184" s="430">
        <f t="shared" si="404"/>
        <v>0</v>
      </c>
      <c r="CP184" s="430">
        <f t="shared" si="405"/>
        <v>0</v>
      </c>
      <c r="CQ184" s="430">
        <f t="shared" si="406"/>
        <v>0</v>
      </c>
      <c r="CR184" s="430">
        <f t="shared" si="407"/>
        <v>0</v>
      </c>
      <c r="CS184" s="430">
        <f t="shared" si="408"/>
        <v>0</v>
      </c>
      <c r="CT184" s="430">
        <f t="shared" si="409"/>
        <v>0</v>
      </c>
      <c r="CU184" s="430">
        <f t="shared" si="410"/>
        <v>0</v>
      </c>
      <c r="CV184" s="430">
        <f t="shared" si="411"/>
        <v>0</v>
      </c>
      <c r="CW184" s="430">
        <f t="shared" si="412"/>
        <v>0</v>
      </c>
      <c r="CX184" s="430">
        <f t="shared" si="413"/>
        <v>0</v>
      </c>
      <c r="CY184" s="430">
        <f t="shared" si="414"/>
        <v>0</v>
      </c>
      <c r="CZ184" s="430">
        <f t="shared" si="415"/>
        <v>0</v>
      </c>
      <c r="DA184" s="430">
        <f t="shared" si="416"/>
        <v>0</v>
      </c>
      <c r="DB184" s="430">
        <f t="shared" si="417"/>
        <v>0</v>
      </c>
      <c r="DC184" s="853">
        <f t="shared" si="418"/>
        <v>0</v>
      </c>
      <c r="DD184" s="454"/>
      <c r="DE184" s="454"/>
      <c r="DF184" s="463"/>
      <c r="DG184" s="463"/>
      <c r="DH184" s="2840"/>
      <c r="DI184" s="3213"/>
      <c r="DJ184" s="463"/>
      <c r="DK184" s="463"/>
      <c r="DL184" s="463"/>
      <c r="DM184" s="463"/>
      <c r="DN184" s="463"/>
      <c r="DO184" s="463"/>
      <c r="DP184" s="463"/>
      <c r="DQ184" s="463"/>
      <c r="DR184" s="608"/>
      <c r="DS184" s="608"/>
      <c r="DT184" s="608"/>
    </row>
    <row r="185" spans="1:124" ht="12" customHeight="1" x14ac:dyDescent="0.25">
      <c r="A185" s="312" t="s">
        <v>1787</v>
      </c>
      <c r="B185" s="509"/>
      <c r="C185" s="509">
        <f t="shared" si="370"/>
        <v>0</v>
      </c>
      <c r="D185" s="509">
        <f t="shared" si="371"/>
        <v>0</v>
      </c>
      <c r="E185" s="509">
        <f t="shared" si="371"/>
        <v>0</v>
      </c>
      <c r="F185" s="509">
        <f t="shared" si="371"/>
        <v>0</v>
      </c>
      <c r="G185" s="510">
        <f t="shared" si="419"/>
        <v>0</v>
      </c>
      <c r="H185" s="509">
        <f t="shared" si="372"/>
        <v>0</v>
      </c>
      <c r="I185" s="509">
        <f t="shared" si="372"/>
        <v>0</v>
      </c>
      <c r="J185" s="509">
        <f t="shared" si="372"/>
        <v>0</v>
      </c>
      <c r="K185" s="509">
        <f t="shared" si="372"/>
        <v>0</v>
      </c>
      <c r="L185" s="510">
        <f t="shared" si="420"/>
        <v>0</v>
      </c>
      <c r="M185" s="509">
        <f t="shared" si="373"/>
        <v>0</v>
      </c>
      <c r="N185" s="509">
        <f t="shared" si="373"/>
        <v>0</v>
      </c>
      <c r="O185" s="509">
        <f t="shared" si="373"/>
        <v>0</v>
      </c>
      <c r="P185" s="509">
        <f t="shared" si="373"/>
        <v>0</v>
      </c>
      <c r="Q185" s="510">
        <f t="shared" si="421"/>
        <v>0</v>
      </c>
      <c r="R185" s="509">
        <f t="shared" si="374"/>
        <v>0</v>
      </c>
      <c r="S185" s="509">
        <f t="shared" si="374"/>
        <v>0</v>
      </c>
      <c r="T185" s="509">
        <f t="shared" si="374"/>
        <v>0</v>
      </c>
      <c r="U185" s="509">
        <f t="shared" si="374"/>
        <v>0</v>
      </c>
      <c r="V185" s="510">
        <f t="shared" si="422"/>
        <v>0</v>
      </c>
      <c r="W185" s="509">
        <f t="shared" si="375"/>
        <v>0</v>
      </c>
      <c r="X185" s="509">
        <f t="shared" si="375"/>
        <v>0</v>
      </c>
      <c r="Y185" s="509">
        <f t="shared" si="375"/>
        <v>0</v>
      </c>
      <c r="Z185" s="509">
        <f t="shared" si="375"/>
        <v>0</v>
      </c>
      <c r="AA185" s="510">
        <f t="shared" si="423"/>
        <v>0</v>
      </c>
      <c r="AB185" s="509">
        <f t="shared" si="376"/>
        <v>0</v>
      </c>
      <c r="AC185" s="509">
        <f t="shared" si="376"/>
        <v>0</v>
      </c>
      <c r="AD185" s="509">
        <f t="shared" si="376"/>
        <v>12.8</v>
      </c>
      <c r="AE185" s="430">
        <f t="shared" si="376"/>
        <v>30.5</v>
      </c>
      <c r="AF185" s="481">
        <f t="shared" si="424"/>
        <v>30.5</v>
      </c>
      <c r="AG185" s="430">
        <f t="shared" si="377"/>
        <v>36.200000000000003</v>
      </c>
      <c r="AH185" s="430">
        <f t="shared" si="377"/>
        <v>61</v>
      </c>
      <c r="AI185" s="430">
        <f t="shared" si="377"/>
        <v>75.599999999999994</v>
      </c>
      <c r="AJ185" s="430">
        <f t="shared" si="377"/>
        <v>87.1</v>
      </c>
      <c r="AK185" s="481">
        <f>AJ185</f>
        <v>87.1</v>
      </c>
      <c r="AL185" s="430">
        <f t="shared" si="378"/>
        <v>87.1</v>
      </c>
      <c r="AM185" s="430">
        <f t="shared" si="378"/>
        <v>87.1</v>
      </c>
      <c r="AN185" s="430">
        <f t="shared" si="378"/>
        <v>87.1</v>
      </c>
      <c r="AO185" s="430">
        <f t="shared" si="378"/>
        <v>87.1</v>
      </c>
      <c r="AP185" s="483">
        <f t="shared" si="426"/>
        <v>87.1</v>
      </c>
      <c r="AQ185" s="483">
        <f t="shared" si="379"/>
        <v>87.1</v>
      </c>
      <c r="AR185" s="430">
        <f t="shared" si="379"/>
        <v>87.1</v>
      </c>
      <c r="AS185" s="430">
        <f t="shared" si="379"/>
        <v>87.1</v>
      </c>
      <c r="AT185" s="430">
        <f t="shared" si="379"/>
        <v>87.1</v>
      </c>
      <c r="AU185" s="483">
        <f t="shared" si="380"/>
        <v>87.1</v>
      </c>
      <c r="AV185" s="483">
        <f t="shared" si="381"/>
        <v>87.1</v>
      </c>
      <c r="AW185" s="430">
        <f t="shared" si="381"/>
        <v>87.1</v>
      </c>
      <c r="AX185" s="430">
        <f t="shared" si="381"/>
        <v>87.1</v>
      </c>
      <c r="AY185" s="853">
        <f t="shared" si="381"/>
        <v>87.1</v>
      </c>
      <c r="AZ185" s="481">
        <f t="shared" si="382"/>
        <v>87.1</v>
      </c>
      <c r="BA185" s="483">
        <f t="shared" si="383"/>
        <v>87.1</v>
      </c>
      <c r="BB185" s="430">
        <f t="shared" si="383"/>
        <v>87.1</v>
      </c>
      <c r="BC185" s="430">
        <f t="shared" si="383"/>
        <v>87.1</v>
      </c>
      <c r="BD185" s="853">
        <f t="shared" si="383"/>
        <v>87.1</v>
      </c>
      <c r="BE185" s="481">
        <f t="shared" si="384"/>
        <v>87.1</v>
      </c>
      <c r="BF185" s="430">
        <f t="shared" si="385"/>
        <v>87.1</v>
      </c>
      <c r="BG185" s="430">
        <f t="shared" si="385"/>
        <v>87.1</v>
      </c>
      <c r="BH185" s="430">
        <f t="shared" si="385"/>
        <v>87.1</v>
      </c>
      <c r="BI185" s="853">
        <f t="shared" si="385"/>
        <v>87.1</v>
      </c>
      <c r="BJ185" s="481">
        <f t="shared" si="386"/>
        <v>87.1</v>
      </c>
      <c r="BK185" s="430">
        <f t="shared" si="387"/>
        <v>87.1</v>
      </c>
      <c r="BL185" s="430">
        <f t="shared" si="387"/>
        <v>87.1</v>
      </c>
      <c r="BM185" s="430">
        <f t="shared" si="387"/>
        <v>87.1</v>
      </c>
      <c r="BN185" s="853">
        <f t="shared" si="387"/>
        <v>87.1</v>
      </c>
      <c r="BO185" s="481">
        <f t="shared" si="388"/>
        <v>87.1</v>
      </c>
      <c r="BP185" s="430">
        <f t="shared" si="389"/>
        <v>87.1</v>
      </c>
      <c r="BQ185" s="430">
        <f t="shared" si="390"/>
        <v>87.1</v>
      </c>
      <c r="BR185" s="430">
        <f t="shared" si="391"/>
        <v>87.1</v>
      </c>
      <c r="BS185" s="430">
        <f t="shared" si="392"/>
        <v>87.1</v>
      </c>
      <c r="BT185" s="481">
        <f t="shared" si="393"/>
        <v>87.1</v>
      </c>
      <c r="BU185" s="2840">
        <f t="shared" si="394"/>
        <v>87.1</v>
      </c>
      <c r="BV185" s="2840">
        <f t="shared" si="394"/>
        <v>87.1</v>
      </c>
      <c r="BW185" s="2840">
        <f t="shared" si="394"/>
        <v>87.1</v>
      </c>
      <c r="BX185" s="2840">
        <f t="shared" si="394"/>
        <v>87.1</v>
      </c>
      <c r="BY185" s="2587">
        <f t="shared" si="395"/>
        <v>87.1</v>
      </c>
      <c r="BZ185" s="481">
        <f t="shared" si="396"/>
        <v>87.1</v>
      </c>
      <c r="CA185" s="481">
        <f t="shared" si="396"/>
        <v>87.1</v>
      </c>
      <c r="CB185" s="481">
        <f t="shared" si="397"/>
        <v>87.1</v>
      </c>
      <c r="CC185" s="481">
        <f t="shared" si="398"/>
        <v>87.1</v>
      </c>
      <c r="CD185" s="481">
        <f t="shared" si="399"/>
        <v>87.1</v>
      </c>
      <c r="CE185" s="481">
        <f t="shared" si="400"/>
        <v>87.1</v>
      </c>
      <c r="CF185" s="481">
        <f t="shared" si="401"/>
        <v>87.1</v>
      </c>
      <c r="CG185" s="454"/>
      <c r="CH185" s="454"/>
      <c r="CI185" s="454"/>
      <c r="CJ185" s="454"/>
      <c r="CK185" s="454"/>
      <c r="CL185" s="2025" t="str">
        <f t="shared" si="369"/>
        <v>Hollywood Perryville (MD)</v>
      </c>
      <c r="CM185" s="430">
        <f t="shared" si="402"/>
        <v>0</v>
      </c>
      <c r="CN185" s="430">
        <f t="shared" si="403"/>
        <v>0</v>
      </c>
      <c r="CO185" s="430">
        <f t="shared" si="404"/>
        <v>0</v>
      </c>
      <c r="CP185" s="430">
        <f t="shared" si="405"/>
        <v>0</v>
      </c>
      <c r="CQ185" s="430">
        <f t="shared" si="406"/>
        <v>0</v>
      </c>
      <c r="CR185" s="430">
        <f t="shared" si="407"/>
        <v>30.5</v>
      </c>
      <c r="CS185" s="430">
        <f t="shared" si="408"/>
        <v>87.1</v>
      </c>
      <c r="CT185" s="430">
        <f t="shared" si="409"/>
        <v>87.1</v>
      </c>
      <c r="CU185" s="430">
        <f t="shared" si="410"/>
        <v>87.1</v>
      </c>
      <c r="CV185" s="430">
        <f t="shared" si="411"/>
        <v>87.1</v>
      </c>
      <c r="CW185" s="430">
        <f t="shared" si="412"/>
        <v>87.1</v>
      </c>
      <c r="CX185" s="430">
        <f t="shared" si="413"/>
        <v>87.1</v>
      </c>
      <c r="CY185" s="430">
        <f t="shared" si="414"/>
        <v>87.1</v>
      </c>
      <c r="CZ185" s="430">
        <f t="shared" si="415"/>
        <v>87.1</v>
      </c>
      <c r="DA185" s="430">
        <f t="shared" si="416"/>
        <v>87.1</v>
      </c>
      <c r="DB185" s="430">
        <f t="shared" si="417"/>
        <v>87.1</v>
      </c>
      <c r="DC185" s="853">
        <f t="shared" si="418"/>
        <v>87.1</v>
      </c>
      <c r="DD185" s="454"/>
      <c r="DE185" s="454"/>
      <c r="DF185" s="463"/>
      <c r="DG185" s="463"/>
      <c r="DH185" s="2840"/>
      <c r="DI185" s="3213"/>
      <c r="DJ185" s="463"/>
      <c r="DK185" s="463"/>
      <c r="DL185" s="463"/>
      <c r="DM185" s="463"/>
      <c r="DN185" s="463"/>
      <c r="DO185" s="463"/>
      <c r="DP185" s="463"/>
      <c r="DQ185" s="463"/>
      <c r="DR185" s="608"/>
      <c r="DS185" s="608"/>
      <c r="DT185" s="608"/>
    </row>
    <row r="186" spans="1:124" ht="12" customHeight="1" x14ac:dyDescent="0.25">
      <c r="A186" s="312" t="s">
        <v>443</v>
      </c>
      <c r="B186" s="509"/>
      <c r="C186" s="509">
        <f t="shared" si="370"/>
        <v>0</v>
      </c>
      <c r="D186" s="509">
        <f t="shared" si="371"/>
        <v>0</v>
      </c>
      <c r="E186" s="509">
        <f t="shared" si="371"/>
        <v>0</v>
      </c>
      <c r="F186" s="509">
        <f t="shared" si="371"/>
        <v>0</v>
      </c>
      <c r="G186" s="510">
        <f t="shared" si="419"/>
        <v>0</v>
      </c>
      <c r="H186" s="509">
        <f t="shared" si="372"/>
        <v>0</v>
      </c>
      <c r="I186" s="509">
        <f t="shared" si="372"/>
        <v>0</v>
      </c>
      <c r="J186" s="509">
        <f t="shared" si="372"/>
        <v>0</v>
      </c>
      <c r="K186" s="509">
        <f t="shared" si="372"/>
        <v>0</v>
      </c>
      <c r="L186" s="510">
        <f t="shared" si="420"/>
        <v>0</v>
      </c>
      <c r="M186" s="509">
        <f t="shared" si="373"/>
        <v>0</v>
      </c>
      <c r="N186" s="509">
        <f t="shared" si="373"/>
        <v>0</v>
      </c>
      <c r="O186" s="509">
        <f t="shared" si="373"/>
        <v>0</v>
      </c>
      <c r="P186" s="509">
        <f t="shared" si="373"/>
        <v>0</v>
      </c>
      <c r="Q186" s="510">
        <f t="shared" si="421"/>
        <v>0</v>
      </c>
      <c r="R186" s="509">
        <f t="shared" si="374"/>
        <v>0</v>
      </c>
      <c r="S186" s="509">
        <f t="shared" si="374"/>
        <v>0</v>
      </c>
      <c r="T186" s="509">
        <f t="shared" si="374"/>
        <v>0</v>
      </c>
      <c r="U186" s="509">
        <f t="shared" si="374"/>
        <v>0</v>
      </c>
      <c r="V186" s="510">
        <f t="shared" si="422"/>
        <v>0</v>
      </c>
      <c r="W186" s="509">
        <f t="shared" si="375"/>
        <v>0</v>
      </c>
      <c r="X186" s="509">
        <f t="shared" si="375"/>
        <v>0</v>
      </c>
      <c r="Y186" s="509">
        <f t="shared" si="375"/>
        <v>0</v>
      </c>
      <c r="Z186" s="509">
        <f t="shared" si="375"/>
        <v>0</v>
      </c>
      <c r="AA186" s="510">
        <f t="shared" si="423"/>
        <v>0</v>
      </c>
      <c r="AB186" s="509">
        <f t="shared" si="376"/>
        <v>0</v>
      </c>
      <c r="AC186" s="509">
        <f t="shared" si="376"/>
        <v>0</v>
      </c>
      <c r="AD186" s="509">
        <f t="shared" si="376"/>
        <v>0</v>
      </c>
      <c r="AE186" s="430">
        <f t="shared" si="376"/>
        <v>0</v>
      </c>
      <c r="AF186" s="481">
        <f t="shared" si="424"/>
        <v>0</v>
      </c>
      <c r="AG186" s="430">
        <f t="shared" si="377"/>
        <v>61.3</v>
      </c>
      <c r="AH186" s="430">
        <f t="shared" si="377"/>
        <v>68.8</v>
      </c>
      <c r="AI186" s="430">
        <f t="shared" si="377"/>
        <v>73.2</v>
      </c>
      <c r="AJ186" s="430">
        <f t="shared" si="377"/>
        <v>82.8</v>
      </c>
      <c r="AK186" s="481">
        <f t="shared" si="425"/>
        <v>82.8</v>
      </c>
      <c r="AL186" s="430">
        <f t="shared" si="378"/>
        <v>85.2</v>
      </c>
      <c r="AM186" s="430">
        <f t="shared" si="378"/>
        <v>97.600000000000009</v>
      </c>
      <c r="AN186" s="430">
        <f t="shared" si="378"/>
        <v>123.20000000000002</v>
      </c>
      <c r="AO186" s="430">
        <f t="shared" si="378"/>
        <v>143.20000000000002</v>
      </c>
      <c r="AP186" s="483">
        <f t="shared" si="426"/>
        <v>143.20000000000002</v>
      </c>
      <c r="AQ186" s="483">
        <f t="shared" si="379"/>
        <v>188.20000000000002</v>
      </c>
      <c r="AR186" s="430">
        <f t="shared" si="379"/>
        <v>253.20000000000002</v>
      </c>
      <c r="AS186" s="430">
        <f t="shared" si="379"/>
        <v>310.2</v>
      </c>
      <c r="AT186" s="430">
        <f t="shared" si="379"/>
        <v>388.6</v>
      </c>
      <c r="AU186" s="483">
        <f t="shared" si="380"/>
        <v>388.6</v>
      </c>
      <c r="AV186" s="483">
        <f t="shared" si="381"/>
        <v>400</v>
      </c>
      <c r="AW186" s="430">
        <f t="shared" si="381"/>
        <v>402</v>
      </c>
      <c r="AX186" s="430">
        <f t="shared" si="381"/>
        <v>402</v>
      </c>
      <c r="AY186" s="853">
        <f t="shared" si="381"/>
        <v>402</v>
      </c>
      <c r="AZ186" s="481">
        <f t="shared" si="382"/>
        <v>402</v>
      </c>
      <c r="BA186" s="483">
        <f t="shared" si="383"/>
        <v>402</v>
      </c>
      <c r="BB186" s="430">
        <f t="shared" si="383"/>
        <v>402</v>
      </c>
      <c r="BC186" s="430">
        <f t="shared" si="383"/>
        <v>402</v>
      </c>
      <c r="BD186" s="853">
        <f t="shared" si="383"/>
        <v>402</v>
      </c>
      <c r="BE186" s="481">
        <f t="shared" si="384"/>
        <v>402</v>
      </c>
      <c r="BF186" s="430">
        <f t="shared" si="385"/>
        <v>402</v>
      </c>
      <c r="BG186" s="430">
        <f t="shared" si="385"/>
        <v>402</v>
      </c>
      <c r="BH186" s="430">
        <f t="shared" si="385"/>
        <v>402</v>
      </c>
      <c r="BI186" s="853">
        <f t="shared" si="385"/>
        <v>402</v>
      </c>
      <c r="BJ186" s="481">
        <f t="shared" si="386"/>
        <v>402</v>
      </c>
      <c r="BK186" s="430">
        <f t="shared" si="387"/>
        <v>402</v>
      </c>
      <c r="BL186" s="430">
        <f t="shared" si="387"/>
        <v>402</v>
      </c>
      <c r="BM186" s="430">
        <f t="shared" si="387"/>
        <v>402</v>
      </c>
      <c r="BN186" s="853">
        <f t="shared" si="387"/>
        <v>402</v>
      </c>
      <c r="BO186" s="481">
        <f t="shared" si="388"/>
        <v>402</v>
      </c>
      <c r="BP186" s="430">
        <f t="shared" si="389"/>
        <v>402</v>
      </c>
      <c r="BQ186" s="430">
        <f t="shared" si="390"/>
        <v>402</v>
      </c>
      <c r="BR186" s="430">
        <f t="shared" si="391"/>
        <v>402</v>
      </c>
      <c r="BS186" s="430">
        <f t="shared" si="392"/>
        <v>402</v>
      </c>
      <c r="BT186" s="481">
        <f t="shared" si="393"/>
        <v>402</v>
      </c>
      <c r="BU186" s="2840">
        <f t="shared" si="394"/>
        <v>402</v>
      </c>
      <c r="BV186" s="2840">
        <f t="shared" si="394"/>
        <v>402</v>
      </c>
      <c r="BW186" s="2840">
        <f t="shared" si="394"/>
        <v>402</v>
      </c>
      <c r="BX186" s="2840">
        <f t="shared" si="394"/>
        <v>402</v>
      </c>
      <c r="BY186" s="2587">
        <f t="shared" si="395"/>
        <v>402</v>
      </c>
      <c r="BZ186" s="481">
        <f t="shared" si="396"/>
        <v>402</v>
      </c>
      <c r="CA186" s="481">
        <f t="shared" si="396"/>
        <v>402</v>
      </c>
      <c r="CB186" s="481">
        <f t="shared" si="397"/>
        <v>402</v>
      </c>
      <c r="CC186" s="481">
        <f t="shared" si="398"/>
        <v>402</v>
      </c>
      <c r="CD186" s="481">
        <f t="shared" si="399"/>
        <v>402</v>
      </c>
      <c r="CE186" s="481">
        <f t="shared" si="400"/>
        <v>402</v>
      </c>
      <c r="CF186" s="481">
        <f t="shared" si="401"/>
        <v>402</v>
      </c>
      <c r="CG186" s="454"/>
      <c r="CH186" s="454"/>
      <c r="CI186" s="454"/>
      <c r="CJ186" s="454"/>
      <c r="CK186" s="454"/>
      <c r="CL186" s="2025" t="str">
        <f t="shared" si="369"/>
        <v>Hollywood Columbus (OH)</v>
      </c>
      <c r="CM186" s="430">
        <f t="shared" si="402"/>
        <v>0</v>
      </c>
      <c r="CN186" s="430">
        <f t="shared" si="403"/>
        <v>0</v>
      </c>
      <c r="CO186" s="430">
        <f t="shared" si="404"/>
        <v>0</v>
      </c>
      <c r="CP186" s="430">
        <f t="shared" si="405"/>
        <v>0</v>
      </c>
      <c r="CQ186" s="430">
        <f t="shared" si="406"/>
        <v>0</v>
      </c>
      <c r="CR186" s="430">
        <f t="shared" si="407"/>
        <v>0</v>
      </c>
      <c r="CS186" s="430">
        <f t="shared" si="408"/>
        <v>82.8</v>
      </c>
      <c r="CT186" s="430">
        <f t="shared" si="409"/>
        <v>143.20000000000002</v>
      </c>
      <c r="CU186" s="430">
        <f t="shared" si="410"/>
        <v>388.6</v>
      </c>
      <c r="CV186" s="430">
        <f t="shared" si="411"/>
        <v>402</v>
      </c>
      <c r="CW186" s="430">
        <f t="shared" si="412"/>
        <v>402</v>
      </c>
      <c r="CX186" s="430">
        <f t="shared" si="413"/>
        <v>402</v>
      </c>
      <c r="CY186" s="430">
        <f t="shared" si="414"/>
        <v>402</v>
      </c>
      <c r="CZ186" s="430">
        <f t="shared" si="415"/>
        <v>402</v>
      </c>
      <c r="DA186" s="430">
        <f t="shared" si="416"/>
        <v>402</v>
      </c>
      <c r="DB186" s="430">
        <f t="shared" si="417"/>
        <v>402</v>
      </c>
      <c r="DC186" s="853">
        <f t="shared" si="418"/>
        <v>402</v>
      </c>
      <c r="DD186" s="454"/>
      <c r="DE186" s="454"/>
      <c r="DF186" s="463"/>
      <c r="DG186" s="463"/>
      <c r="DH186" s="2840"/>
      <c r="DI186" s="3213"/>
      <c r="DJ186" s="463"/>
      <c r="DK186" s="463"/>
      <c r="DL186" s="463"/>
      <c r="DM186" s="463"/>
      <c r="DN186" s="463"/>
      <c r="DO186" s="463"/>
      <c r="DP186" s="463"/>
      <c r="DQ186" s="463"/>
      <c r="DR186" s="608"/>
      <c r="DS186" s="608"/>
      <c r="DT186" s="608"/>
    </row>
    <row r="187" spans="1:124" ht="12" customHeight="1" x14ac:dyDescent="0.25">
      <c r="A187" s="312" t="s">
        <v>636</v>
      </c>
      <c r="B187" s="509"/>
      <c r="C187" s="509">
        <f t="shared" si="370"/>
        <v>0</v>
      </c>
      <c r="D187" s="509">
        <f t="shared" si="371"/>
        <v>0</v>
      </c>
      <c r="E187" s="509">
        <f t="shared" si="371"/>
        <v>0</v>
      </c>
      <c r="F187" s="509">
        <f t="shared" si="371"/>
        <v>0</v>
      </c>
      <c r="G187" s="510">
        <f t="shared" si="419"/>
        <v>0</v>
      </c>
      <c r="H187" s="509">
        <f t="shared" si="372"/>
        <v>0</v>
      </c>
      <c r="I187" s="509">
        <f t="shared" si="372"/>
        <v>0</v>
      </c>
      <c r="J187" s="509">
        <f t="shared" si="372"/>
        <v>0</v>
      </c>
      <c r="K187" s="509">
        <f t="shared" si="372"/>
        <v>0</v>
      </c>
      <c r="L187" s="510">
        <f t="shared" si="420"/>
        <v>0</v>
      </c>
      <c r="M187" s="509">
        <f t="shared" si="373"/>
        <v>0</v>
      </c>
      <c r="N187" s="509">
        <f t="shared" si="373"/>
        <v>0</v>
      </c>
      <c r="O187" s="509">
        <f t="shared" si="373"/>
        <v>0</v>
      </c>
      <c r="P187" s="509">
        <f t="shared" si="373"/>
        <v>0</v>
      </c>
      <c r="Q187" s="510">
        <f t="shared" si="421"/>
        <v>0</v>
      </c>
      <c r="R187" s="509">
        <f t="shared" si="374"/>
        <v>0</v>
      </c>
      <c r="S187" s="509">
        <f t="shared" si="374"/>
        <v>0</v>
      </c>
      <c r="T187" s="509">
        <f t="shared" si="374"/>
        <v>0</v>
      </c>
      <c r="U187" s="509">
        <f t="shared" si="374"/>
        <v>0</v>
      </c>
      <c r="V187" s="510">
        <f t="shared" si="422"/>
        <v>0</v>
      </c>
      <c r="W187" s="509">
        <f t="shared" si="375"/>
        <v>0</v>
      </c>
      <c r="X187" s="509">
        <f t="shared" si="375"/>
        <v>0</v>
      </c>
      <c r="Y187" s="509">
        <f t="shared" si="375"/>
        <v>0</v>
      </c>
      <c r="Z187" s="509">
        <f t="shared" si="375"/>
        <v>0</v>
      </c>
      <c r="AA187" s="510">
        <f t="shared" si="423"/>
        <v>0</v>
      </c>
      <c r="AB187" s="509">
        <f t="shared" si="376"/>
        <v>0</v>
      </c>
      <c r="AC187" s="509">
        <f t="shared" si="376"/>
        <v>0</v>
      </c>
      <c r="AD187" s="509">
        <f t="shared" si="376"/>
        <v>0</v>
      </c>
      <c r="AE187" s="430">
        <f t="shared" si="376"/>
        <v>2.5</v>
      </c>
      <c r="AF187" s="481">
        <f t="shared" si="424"/>
        <v>2.5</v>
      </c>
      <c r="AG187" s="430">
        <f t="shared" si="377"/>
        <v>2.7</v>
      </c>
      <c r="AH187" s="430">
        <f t="shared" si="377"/>
        <v>7.2</v>
      </c>
      <c r="AI187" s="430">
        <f t="shared" si="377"/>
        <v>10.6</v>
      </c>
      <c r="AJ187" s="430">
        <f t="shared" si="377"/>
        <v>20</v>
      </c>
      <c r="AK187" s="481">
        <f>AJ187</f>
        <v>20</v>
      </c>
      <c r="AL187" s="430">
        <f t="shared" si="378"/>
        <v>38.6</v>
      </c>
      <c r="AM187" s="430">
        <f t="shared" si="378"/>
        <v>54.8</v>
      </c>
      <c r="AN187" s="430">
        <f t="shared" si="378"/>
        <v>92.8</v>
      </c>
      <c r="AO187" s="430">
        <f t="shared" si="378"/>
        <v>132.80000000000001</v>
      </c>
      <c r="AP187" s="483">
        <f t="shared" si="426"/>
        <v>132.80000000000001</v>
      </c>
      <c r="AQ187" s="483">
        <f t="shared" si="379"/>
        <v>184.3</v>
      </c>
      <c r="AR187" s="430">
        <f t="shared" si="379"/>
        <v>234.3</v>
      </c>
      <c r="AS187" s="430">
        <f t="shared" si="379"/>
        <v>323.3</v>
      </c>
      <c r="AT187" s="430">
        <f t="shared" si="379"/>
        <v>323.3</v>
      </c>
      <c r="AU187" s="483">
        <f t="shared" si="380"/>
        <v>323.3</v>
      </c>
      <c r="AV187" s="483">
        <f t="shared" si="381"/>
        <v>332.3</v>
      </c>
      <c r="AW187" s="430">
        <f t="shared" si="381"/>
        <v>333.3</v>
      </c>
      <c r="AX187" s="430">
        <f t="shared" si="381"/>
        <v>333.3</v>
      </c>
      <c r="AY187" s="853">
        <f t="shared" si="381"/>
        <v>333.3</v>
      </c>
      <c r="AZ187" s="481">
        <f t="shared" si="382"/>
        <v>333.3</v>
      </c>
      <c r="BA187" s="483">
        <f t="shared" si="383"/>
        <v>333.3</v>
      </c>
      <c r="BB187" s="430">
        <f t="shared" si="383"/>
        <v>333.3</v>
      </c>
      <c r="BC187" s="430">
        <f t="shared" si="383"/>
        <v>333.3</v>
      </c>
      <c r="BD187" s="853">
        <f t="shared" si="383"/>
        <v>333.3</v>
      </c>
      <c r="BE187" s="481">
        <f t="shared" si="384"/>
        <v>333.3</v>
      </c>
      <c r="BF187" s="430">
        <f t="shared" si="385"/>
        <v>333.3</v>
      </c>
      <c r="BG187" s="430">
        <f t="shared" si="385"/>
        <v>333.3</v>
      </c>
      <c r="BH187" s="430">
        <f t="shared" si="385"/>
        <v>333.3</v>
      </c>
      <c r="BI187" s="853">
        <f t="shared" si="385"/>
        <v>333.3</v>
      </c>
      <c r="BJ187" s="481">
        <f t="shared" si="386"/>
        <v>333.3</v>
      </c>
      <c r="BK187" s="430">
        <f t="shared" si="387"/>
        <v>333.3</v>
      </c>
      <c r="BL187" s="430">
        <f t="shared" si="387"/>
        <v>333.3</v>
      </c>
      <c r="BM187" s="430">
        <f t="shared" si="387"/>
        <v>333.3</v>
      </c>
      <c r="BN187" s="853">
        <f t="shared" si="387"/>
        <v>333.3</v>
      </c>
      <c r="BO187" s="481">
        <f t="shared" si="388"/>
        <v>333.3</v>
      </c>
      <c r="BP187" s="430">
        <f t="shared" si="389"/>
        <v>333.3</v>
      </c>
      <c r="BQ187" s="430">
        <f t="shared" si="390"/>
        <v>333.3</v>
      </c>
      <c r="BR187" s="430">
        <f t="shared" si="391"/>
        <v>333.3</v>
      </c>
      <c r="BS187" s="430">
        <f t="shared" si="392"/>
        <v>333.3</v>
      </c>
      <c r="BT187" s="481">
        <f t="shared" si="393"/>
        <v>333.3</v>
      </c>
      <c r="BU187" s="2840">
        <f t="shared" si="394"/>
        <v>333.3</v>
      </c>
      <c r="BV187" s="2840">
        <f t="shared" si="394"/>
        <v>333.3</v>
      </c>
      <c r="BW187" s="2840">
        <f t="shared" si="394"/>
        <v>333.3</v>
      </c>
      <c r="BX187" s="2840">
        <f t="shared" si="394"/>
        <v>333.3</v>
      </c>
      <c r="BY187" s="2587">
        <f t="shared" si="395"/>
        <v>333.3</v>
      </c>
      <c r="BZ187" s="481">
        <f t="shared" si="396"/>
        <v>333.3</v>
      </c>
      <c r="CA187" s="481">
        <f t="shared" si="396"/>
        <v>333.3</v>
      </c>
      <c r="CB187" s="481">
        <f t="shared" si="397"/>
        <v>333.3</v>
      </c>
      <c r="CC187" s="481">
        <f t="shared" si="398"/>
        <v>333.3</v>
      </c>
      <c r="CD187" s="481">
        <f t="shared" si="399"/>
        <v>333.3</v>
      </c>
      <c r="CE187" s="481">
        <f t="shared" si="400"/>
        <v>333.3</v>
      </c>
      <c r="CF187" s="481">
        <f t="shared" si="401"/>
        <v>333.3</v>
      </c>
      <c r="CG187" s="454"/>
      <c r="CH187" s="454"/>
      <c r="CI187" s="454"/>
      <c r="CJ187" s="454"/>
      <c r="CK187" s="454"/>
      <c r="CL187" s="2025" t="str">
        <f t="shared" si="369"/>
        <v>Hollywood Toledo (OH)</v>
      </c>
      <c r="CM187" s="430">
        <f t="shared" si="402"/>
        <v>0</v>
      </c>
      <c r="CN187" s="430">
        <f t="shared" si="403"/>
        <v>0</v>
      </c>
      <c r="CO187" s="430">
        <f t="shared" si="404"/>
        <v>0</v>
      </c>
      <c r="CP187" s="430">
        <f t="shared" si="405"/>
        <v>0</v>
      </c>
      <c r="CQ187" s="430">
        <f t="shared" si="406"/>
        <v>0</v>
      </c>
      <c r="CR187" s="430">
        <f t="shared" si="407"/>
        <v>2.5</v>
      </c>
      <c r="CS187" s="430">
        <f t="shared" si="408"/>
        <v>20</v>
      </c>
      <c r="CT187" s="430">
        <f t="shared" si="409"/>
        <v>132.80000000000001</v>
      </c>
      <c r="CU187" s="430">
        <f t="shared" si="410"/>
        <v>323.3</v>
      </c>
      <c r="CV187" s="430">
        <f t="shared" si="411"/>
        <v>333.3</v>
      </c>
      <c r="CW187" s="430">
        <f t="shared" si="412"/>
        <v>333.3</v>
      </c>
      <c r="CX187" s="430">
        <f t="shared" si="413"/>
        <v>333.3</v>
      </c>
      <c r="CY187" s="430">
        <f t="shared" si="414"/>
        <v>333.3</v>
      </c>
      <c r="CZ187" s="430">
        <f t="shared" si="415"/>
        <v>333.3</v>
      </c>
      <c r="DA187" s="430">
        <f t="shared" si="416"/>
        <v>333.3</v>
      </c>
      <c r="DB187" s="430">
        <f t="shared" si="417"/>
        <v>333.3</v>
      </c>
      <c r="DC187" s="853">
        <f t="shared" si="418"/>
        <v>333.3</v>
      </c>
      <c r="DD187" s="454"/>
      <c r="DE187" s="454"/>
      <c r="DF187" s="463"/>
      <c r="DG187" s="463"/>
      <c r="DH187" s="2840"/>
      <c r="DI187" s="3213"/>
      <c r="DJ187" s="463"/>
      <c r="DK187" s="463"/>
      <c r="DL187" s="463"/>
      <c r="DM187" s="463"/>
      <c r="DN187" s="463"/>
      <c r="DO187" s="463"/>
      <c r="DP187" s="463"/>
      <c r="DQ187" s="463"/>
      <c r="DR187" s="608"/>
      <c r="DS187" s="608"/>
      <c r="DT187" s="608"/>
    </row>
    <row r="188" spans="1:124" ht="12" customHeight="1" x14ac:dyDescent="0.25">
      <c r="A188" s="312" t="s">
        <v>637</v>
      </c>
      <c r="B188" s="509"/>
      <c r="C188" s="509">
        <f t="shared" si="370"/>
        <v>0</v>
      </c>
      <c r="D188" s="509">
        <f t="shared" si="371"/>
        <v>0</v>
      </c>
      <c r="E188" s="509">
        <f t="shared" si="371"/>
        <v>0</v>
      </c>
      <c r="F188" s="509">
        <f t="shared" si="371"/>
        <v>0</v>
      </c>
      <c r="G188" s="510">
        <f t="shared" si="419"/>
        <v>0</v>
      </c>
      <c r="H188" s="509">
        <f t="shared" si="372"/>
        <v>0</v>
      </c>
      <c r="I188" s="509">
        <f t="shared" si="372"/>
        <v>0</v>
      </c>
      <c r="J188" s="509">
        <f t="shared" si="372"/>
        <v>0</v>
      </c>
      <c r="K188" s="509">
        <f t="shared" si="372"/>
        <v>0</v>
      </c>
      <c r="L188" s="510">
        <f t="shared" si="420"/>
        <v>0</v>
      </c>
      <c r="M188" s="509">
        <f t="shared" si="373"/>
        <v>0</v>
      </c>
      <c r="N188" s="509">
        <f t="shared" si="373"/>
        <v>0</v>
      </c>
      <c r="O188" s="509">
        <f t="shared" si="373"/>
        <v>0</v>
      </c>
      <c r="P188" s="509">
        <f t="shared" si="373"/>
        <v>0</v>
      </c>
      <c r="Q188" s="510">
        <f t="shared" si="421"/>
        <v>0</v>
      </c>
      <c r="R188" s="509">
        <f t="shared" si="374"/>
        <v>0</v>
      </c>
      <c r="S188" s="509">
        <f t="shared" si="374"/>
        <v>0</v>
      </c>
      <c r="T188" s="509">
        <f t="shared" si="374"/>
        <v>0</v>
      </c>
      <c r="U188" s="509">
        <f t="shared" si="374"/>
        <v>0</v>
      </c>
      <c r="V188" s="510">
        <f t="shared" si="422"/>
        <v>0</v>
      </c>
      <c r="W188" s="509">
        <f t="shared" si="375"/>
        <v>0</v>
      </c>
      <c r="X188" s="509">
        <f t="shared" si="375"/>
        <v>0</v>
      </c>
      <c r="Y188" s="509">
        <f t="shared" si="375"/>
        <v>0</v>
      </c>
      <c r="Z188" s="509">
        <f t="shared" si="375"/>
        <v>0</v>
      </c>
      <c r="AA188" s="510">
        <f t="shared" si="423"/>
        <v>0</v>
      </c>
      <c r="AB188" s="509">
        <f t="shared" si="376"/>
        <v>0</v>
      </c>
      <c r="AC188" s="509">
        <f t="shared" si="376"/>
        <v>0</v>
      </c>
      <c r="AD188" s="509">
        <f t="shared" si="376"/>
        <v>0</v>
      </c>
      <c r="AE188" s="430">
        <f t="shared" si="376"/>
        <v>12.9</v>
      </c>
      <c r="AF188" s="481">
        <f t="shared" si="424"/>
        <v>12.9</v>
      </c>
      <c r="AG188" s="430">
        <f t="shared" si="377"/>
        <v>26.450000000000003</v>
      </c>
      <c r="AH188" s="430">
        <f t="shared" si="377"/>
        <v>27.85</v>
      </c>
      <c r="AI188" s="430">
        <f t="shared" si="377"/>
        <v>32.85</v>
      </c>
      <c r="AJ188" s="430">
        <f t="shared" si="377"/>
        <v>40.25</v>
      </c>
      <c r="AK188" s="481">
        <f>AJ188</f>
        <v>40.25</v>
      </c>
      <c r="AL188" s="430">
        <f t="shared" si="378"/>
        <v>51.45</v>
      </c>
      <c r="AM188" s="430">
        <f t="shared" si="378"/>
        <v>61.650000000000006</v>
      </c>
      <c r="AN188" s="430">
        <f t="shared" si="378"/>
        <v>79.900000000000006</v>
      </c>
      <c r="AO188" s="430">
        <f t="shared" si="378"/>
        <v>103.5</v>
      </c>
      <c r="AP188" s="483">
        <f t="shared" si="426"/>
        <v>103.5</v>
      </c>
      <c r="AQ188" s="483">
        <f t="shared" si="379"/>
        <v>123</v>
      </c>
      <c r="AR188" s="430">
        <f t="shared" si="379"/>
        <v>138</v>
      </c>
      <c r="AS188" s="430">
        <f t="shared" si="379"/>
        <v>153</v>
      </c>
      <c r="AT188" s="430">
        <f t="shared" si="379"/>
        <v>153</v>
      </c>
      <c r="AU188" s="483">
        <f t="shared" si="380"/>
        <v>153</v>
      </c>
      <c r="AV188" s="483">
        <f t="shared" si="381"/>
        <v>153</v>
      </c>
      <c r="AW188" s="430">
        <f t="shared" si="381"/>
        <v>153</v>
      </c>
      <c r="AX188" s="430">
        <f t="shared" si="381"/>
        <v>153</v>
      </c>
      <c r="AY188" s="853">
        <f t="shared" si="381"/>
        <v>153</v>
      </c>
      <c r="AZ188" s="481">
        <f t="shared" si="382"/>
        <v>153</v>
      </c>
      <c r="BA188" s="483">
        <f t="shared" si="383"/>
        <v>153</v>
      </c>
      <c r="BB188" s="430">
        <f t="shared" si="383"/>
        <v>153</v>
      </c>
      <c r="BC188" s="430">
        <f t="shared" si="383"/>
        <v>153</v>
      </c>
      <c r="BD188" s="853">
        <f t="shared" si="383"/>
        <v>153</v>
      </c>
      <c r="BE188" s="481">
        <f t="shared" si="384"/>
        <v>153</v>
      </c>
      <c r="BF188" s="430">
        <f t="shared" si="385"/>
        <v>153</v>
      </c>
      <c r="BG188" s="430">
        <f t="shared" si="385"/>
        <v>153</v>
      </c>
      <c r="BH188" s="430">
        <f t="shared" si="385"/>
        <v>153</v>
      </c>
      <c r="BI188" s="853">
        <f t="shared" si="385"/>
        <v>153</v>
      </c>
      <c r="BJ188" s="481">
        <f t="shared" si="386"/>
        <v>153</v>
      </c>
      <c r="BK188" s="430">
        <f t="shared" si="387"/>
        <v>153</v>
      </c>
      <c r="BL188" s="430">
        <f t="shared" si="387"/>
        <v>153</v>
      </c>
      <c r="BM188" s="430">
        <f t="shared" si="387"/>
        <v>153</v>
      </c>
      <c r="BN188" s="853">
        <f t="shared" si="387"/>
        <v>153</v>
      </c>
      <c r="BO188" s="481">
        <f t="shared" si="388"/>
        <v>153</v>
      </c>
      <c r="BP188" s="430">
        <f t="shared" si="389"/>
        <v>153</v>
      </c>
      <c r="BQ188" s="430">
        <f t="shared" si="390"/>
        <v>153</v>
      </c>
      <c r="BR188" s="430">
        <f t="shared" si="391"/>
        <v>153</v>
      </c>
      <c r="BS188" s="430">
        <f t="shared" si="392"/>
        <v>153</v>
      </c>
      <c r="BT188" s="481">
        <f t="shared" si="393"/>
        <v>153</v>
      </c>
      <c r="BU188" s="2840">
        <f t="shared" si="394"/>
        <v>153</v>
      </c>
      <c r="BV188" s="2840">
        <f t="shared" si="394"/>
        <v>153</v>
      </c>
      <c r="BW188" s="2840">
        <f t="shared" si="394"/>
        <v>153</v>
      </c>
      <c r="BX188" s="2840">
        <f t="shared" si="394"/>
        <v>153</v>
      </c>
      <c r="BY188" s="2587">
        <f t="shared" si="395"/>
        <v>153</v>
      </c>
      <c r="BZ188" s="481">
        <f t="shared" si="396"/>
        <v>153</v>
      </c>
      <c r="CA188" s="481">
        <f t="shared" si="396"/>
        <v>153</v>
      </c>
      <c r="CB188" s="481">
        <f t="shared" si="397"/>
        <v>153</v>
      </c>
      <c r="CC188" s="481">
        <f t="shared" si="398"/>
        <v>153</v>
      </c>
      <c r="CD188" s="481">
        <f t="shared" si="399"/>
        <v>153</v>
      </c>
      <c r="CE188" s="481">
        <f t="shared" si="400"/>
        <v>153</v>
      </c>
      <c r="CF188" s="481">
        <f t="shared" si="401"/>
        <v>153</v>
      </c>
      <c r="CG188" s="454"/>
      <c r="CH188" s="454"/>
      <c r="CI188" s="454"/>
      <c r="CJ188" s="454"/>
      <c r="CK188" s="454"/>
      <c r="CL188" s="2025" t="str">
        <f t="shared" si="369"/>
        <v>Hollywood Kansas JV (KS)</v>
      </c>
      <c r="CM188" s="430">
        <f t="shared" si="402"/>
        <v>0</v>
      </c>
      <c r="CN188" s="430">
        <f t="shared" si="403"/>
        <v>0</v>
      </c>
      <c r="CO188" s="430">
        <f t="shared" si="404"/>
        <v>0</v>
      </c>
      <c r="CP188" s="430">
        <f t="shared" si="405"/>
        <v>0</v>
      </c>
      <c r="CQ188" s="430">
        <f t="shared" si="406"/>
        <v>0</v>
      </c>
      <c r="CR188" s="430">
        <f t="shared" si="407"/>
        <v>12.9</v>
      </c>
      <c r="CS188" s="430">
        <f t="shared" si="408"/>
        <v>40.25</v>
      </c>
      <c r="CT188" s="430">
        <f t="shared" si="409"/>
        <v>103.5</v>
      </c>
      <c r="CU188" s="430">
        <f t="shared" si="410"/>
        <v>153</v>
      </c>
      <c r="CV188" s="430">
        <f t="shared" si="411"/>
        <v>153</v>
      </c>
      <c r="CW188" s="430">
        <f t="shared" si="412"/>
        <v>153</v>
      </c>
      <c r="CX188" s="430">
        <f t="shared" si="413"/>
        <v>153</v>
      </c>
      <c r="CY188" s="430">
        <f t="shared" si="414"/>
        <v>153</v>
      </c>
      <c r="CZ188" s="430">
        <f t="shared" si="415"/>
        <v>153</v>
      </c>
      <c r="DA188" s="430">
        <f t="shared" si="416"/>
        <v>153</v>
      </c>
      <c r="DB188" s="430">
        <f t="shared" si="417"/>
        <v>153</v>
      </c>
      <c r="DC188" s="853">
        <f t="shared" si="418"/>
        <v>153</v>
      </c>
      <c r="DD188" s="454"/>
      <c r="DE188" s="454"/>
      <c r="DF188" s="463"/>
      <c r="DG188" s="463"/>
      <c r="DH188" s="2840"/>
      <c r="DI188" s="3213"/>
      <c r="DJ188" s="463"/>
      <c r="DK188" s="463"/>
      <c r="DL188" s="463"/>
      <c r="DM188" s="463"/>
      <c r="DN188" s="463"/>
      <c r="DO188" s="463"/>
      <c r="DP188" s="463"/>
      <c r="DQ188" s="463"/>
      <c r="DR188" s="608"/>
      <c r="DS188" s="608"/>
      <c r="DT188" s="608"/>
    </row>
    <row r="189" spans="1:124" ht="12" customHeight="1" x14ac:dyDescent="0.25">
      <c r="A189" s="312" t="s">
        <v>2143</v>
      </c>
      <c r="B189" s="509"/>
      <c r="C189" s="509">
        <f t="shared" si="370"/>
        <v>0</v>
      </c>
      <c r="D189" s="509">
        <f t="shared" si="371"/>
        <v>0</v>
      </c>
      <c r="E189" s="509">
        <f t="shared" si="371"/>
        <v>0</v>
      </c>
      <c r="F189" s="509">
        <f t="shared" si="371"/>
        <v>0</v>
      </c>
      <c r="G189" s="510">
        <f t="shared" si="419"/>
        <v>0</v>
      </c>
      <c r="H189" s="509">
        <f t="shared" si="372"/>
        <v>0</v>
      </c>
      <c r="I189" s="509">
        <f t="shared" si="372"/>
        <v>0</v>
      </c>
      <c r="J189" s="509">
        <f t="shared" si="372"/>
        <v>0</v>
      </c>
      <c r="K189" s="509">
        <f t="shared" si="372"/>
        <v>0</v>
      </c>
      <c r="L189" s="510">
        <f t="shared" si="420"/>
        <v>0</v>
      </c>
      <c r="M189" s="509">
        <f t="shared" si="373"/>
        <v>0</v>
      </c>
      <c r="N189" s="509">
        <f t="shared" si="373"/>
        <v>0</v>
      </c>
      <c r="O189" s="509">
        <f t="shared" si="373"/>
        <v>0</v>
      </c>
      <c r="P189" s="509">
        <f t="shared" si="373"/>
        <v>0</v>
      </c>
      <c r="Q189" s="510">
        <f t="shared" si="421"/>
        <v>0</v>
      </c>
      <c r="R189" s="509">
        <f t="shared" si="374"/>
        <v>0</v>
      </c>
      <c r="S189" s="509">
        <f t="shared" si="374"/>
        <v>0</v>
      </c>
      <c r="T189" s="509">
        <f t="shared" si="374"/>
        <v>0</v>
      </c>
      <c r="U189" s="509">
        <f t="shared" si="374"/>
        <v>0</v>
      </c>
      <c r="V189" s="510">
        <f t="shared" si="422"/>
        <v>0</v>
      </c>
      <c r="W189" s="509">
        <f t="shared" si="375"/>
        <v>0</v>
      </c>
      <c r="X189" s="509">
        <f t="shared" si="375"/>
        <v>0</v>
      </c>
      <c r="Y189" s="509">
        <f t="shared" si="375"/>
        <v>0</v>
      </c>
      <c r="Z189" s="509">
        <f t="shared" si="375"/>
        <v>0</v>
      </c>
      <c r="AA189" s="510">
        <f t="shared" si="423"/>
        <v>0</v>
      </c>
      <c r="AB189" s="509">
        <f t="shared" si="376"/>
        <v>0</v>
      </c>
      <c r="AC189" s="509">
        <f t="shared" si="376"/>
        <v>0</v>
      </c>
      <c r="AD189" s="509">
        <f t="shared" si="376"/>
        <v>0</v>
      </c>
      <c r="AE189" s="430">
        <f t="shared" si="376"/>
        <v>0</v>
      </c>
      <c r="AF189" s="481">
        <f t="shared" si="424"/>
        <v>0</v>
      </c>
      <c r="AG189" s="430">
        <f t="shared" si="377"/>
        <v>0</v>
      </c>
      <c r="AH189" s="430">
        <f t="shared" si="377"/>
        <v>0</v>
      </c>
      <c r="AI189" s="430">
        <f t="shared" si="377"/>
        <v>0</v>
      </c>
      <c r="AJ189" s="430">
        <f t="shared" si="377"/>
        <v>0</v>
      </c>
      <c r="AK189" s="481">
        <f>AJ189</f>
        <v>0</v>
      </c>
      <c r="AL189" s="430">
        <f t="shared" si="378"/>
        <v>0</v>
      </c>
      <c r="AM189" s="430">
        <f t="shared" si="378"/>
        <v>0</v>
      </c>
      <c r="AN189" s="430">
        <f t="shared" si="378"/>
        <v>0</v>
      </c>
      <c r="AO189" s="430">
        <f t="shared" si="378"/>
        <v>0</v>
      </c>
      <c r="AP189" s="483">
        <f t="shared" si="426"/>
        <v>0</v>
      </c>
      <c r="AQ189" s="483">
        <f t="shared" si="379"/>
        <v>0</v>
      </c>
      <c r="AR189" s="430">
        <f t="shared" si="379"/>
        <v>0</v>
      </c>
      <c r="AS189" s="430">
        <f t="shared" si="379"/>
        <v>0</v>
      </c>
      <c r="AT189" s="430">
        <f t="shared" si="379"/>
        <v>8.9</v>
      </c>
      <c r="AU189" s="483">
        <f t="shared" si="380"/>
        <v>8.9</v>
      </c>
      <c r="AV189" s="483">
        <f t="shared" si="381"/>
        <v>21.299999999999997</v>
      </c>
      <c r="AW189" s="430">
        <f t="shared" si="381"/>
        <v>30.699999999999996</v>
      </c>
      <c r="AX189" s="430">
        <f t="shared" si="381"/>
        <v>40.6</v>
      </c>
      <c r="AY189" s="853">
        <f t="shared" si="381"/>
        <v>61</v>
      </c>
      <c r="AZ189" s="481">
        <f t="shared" si="382"/>
        <v>61</v>
      </c>
      <c r="BA189" s="483">
        <f t="shared" si="383"/>
        <v>61</v>
      </c>
      <c r="BB189" s="430">
        <f t="shared" si="383"/>
        <v>61</v>
      </c>
      <c r="BC189" s="430">
        <f t="shared" si="383"/>
        <v>61</v>
      </c>
      <c r="BD189" s="853">
        <f t="shared" si="383"/>
        <v>61</v>
      </c>
      <c r="BE189" s="481">
        <f t="shared" si="384"/>
        <v>61</v>
      </c>
      <c r="BF189" s="430">
        <f t="shared" si="385"/>
        <v>61</v>
      </c>
      <c r="BG189" s="430">
        <f t="shared" si="385"/>
        <v>61</v>
      </c>
      <c r="BH189" s="430">
        <f t="shared" si="385"/>
        <v>61</v>
      </c>
      <c r="BI189" s="853">
        <f t="shared" si="385"/>
        <v>61</v>
      </c>
      <c r="BJ189" s="481">
        <f t="shared" si="386"/>
        <v>61</v>
      </c>
      <c r="BK189" s="430">
        <f t="shared" si="387"/>
        <v>61</v>
      </c>
      <c r="BL189" s="430">
        <f t="shared" si="387"/>
        <v>61</v>
      </c>
      <c r="BM189" s="430">
        <f t="shared" si="387"/>
        <v>61</v>
      </c>
      <c r="BN189" s="853">
        <f t="shared" si="387"/>
        <v>61</v>
      </c>
      <c r="BO189" s="481">
        <f t="shared" si="388"/>
        <v>61</v>
      </c>
      <c r="BP189" s="430">
        <f t="shared" si="389"/>
        <v>61</v>
      </c>
      <c r="BQ189" s="430">
        <f t="shared" si="390"/>
        <v>61</v>
      </c>
      <c r="BR189" s="430">
        <f t="shared" si="391"/>
        <v>61</v>
      </c>
      <c r="BS189" s="430">
        <f t="shared" si="392"/>
        <v>61</v>
      </c>
      <c r="BT189" s="481">
        <f t="shared" si="393"/>
        <v>61</v>
      </c>
      <c r="BU189" s="2840">
        <f t="shared" si="394"/>
        <v>61</v>
      </c>
      <c r="BV189" s="2840">
        <f t="shared" si="394"/>
        <v>61</v>
      </c>
      <c r="BW189" s="2840">
        <f t="shared" si="394"/>
        <v>61</v>
      </c>
      <c r="BX189" s="2840">
        <f t="shared" si="394"/>
        <v>61</v>
      </c>
      <c r="BY189" s="2587">
        <f t="shared" si="395"/>
        <v>61</v>
      </c>
      <c r="BZ189" s="481">
        <f t="shared" si="396"/>
        <v>61</v>
      </c>
      <c r="CA189" s="481">
        <f t="shared" si="396"/>
        <v>61</v>
      </c>
      <c r="CB189" s="481">
        <f t="shared" si="397"/>
        <v>61</v>
      </c>
      <c r="CC189" s="481">
        <f t="shared" si="398"/>
        <v>61</v>
      </c>
      <c r="CD189" s="481">
        <f t="shared" si="399"/>
        <v>61</v>
      </c>
      <c r="CE189" s="481">
        <f t="shared" si="400"/>
        <v>61</v>
      </c>
      <c r="CF189" s="481">
        <f t="shared" si="401"/>
        <v>61</v>
      </c>
      <c r="CG189" s="454"/>
      <c r="CH189" s="454"/>
      <c r="CI189" s="454"/>
      <c r="CJ189" s="454"/>
      <c r="CK189" s="454"/>
      <c r="CL189" s="2025" t="str">
        <f t="shared" si="369"/>
        <v>Hollywood Maryland Heights (St. Louis, MO)</v>
      </c>
      <c r="CM189" s="430">
        <f t="shared" si="402"/>
        <v>0</v>
      </c>
      <c r="CN189" s="430">
        <f t="shared" si="403"/>
        <v>0</v>
      </c>
      <c r="CO189" s="430">
        <f t="shared" si="404"/>
        <v>0</v>
      </c>
      <c r="CP189" s="430">
        <f t="shared" si="405"/>
        <v>0</v>
      </c>
      <c r="CQ189" s="430">
        <f t="shared" si="406"/>
        <v>0</v>
      </c>
      <c r="CR189" s="430">
        <f t="shared" si="407"/>
        <v>0</v>
      </c>
      <c r="CS189" s="430">
        <f t="shared" si="408"/>
        <v>0</v>
      </c>
      <c r="CT189" s="430">
        <f t="shared" si="409"/>
        <v>0</v>
      </c>
      <c r="CU189" s="430">
        <f t="shared" si="410"/>
        <v>8.9</v>
      </c>
      <c r="CV189" s="430">
        <f t="shared" si="411"/>
        <v>61</v>
      </c>
      <c r="CW189" s="430">
        <f t="shared" si="412"/>
        <v>61</v>
      </c>
      <c r="CX189" s="430">
        <f t="shared" si="413"/>
        <v>61</v>
      </c>
      <c r="CY189" s="430">
        <f t="shared" si="414"/>
        <v>61</v>
      </c>
      <c r="CZ189" s="430">
        <f t="shared" si="415"/>
        <v>61</v>
      </c>
      <c r="DA189" s="430">
        <f t="shared" si="416"/>
        <v>61</v>
      </c>
      <c r="DB189" s="430">
        <f t="shared" si="417"/>
        <v>61</v>
      </c>
      <c r="DC189" s="853">
        <f t="shared" si="418"/>
        <v>61</v>
      </c>
      <c r="DD189" s="454"/>
      <c r="DE189" s="454"/>
      <c r="DF189" s="463"/>
      <c r="DG189" s="463"/>
      <c r="DH189" s="2840"/>
      <c r="DI189" s="3213"/>
      <c r="DJ189" s="463"/>
      <c r="DK189" s="463"/>
      <c r="DL189" s="463"/>
      <c r="DM189" s="463"/>
      <c r="DN189" s="463"/>
      <c r="DO189" s="463"/>
      <c r="DP189" s="463"/>
      <c r="DQ189" s="463"/>
      <c r="DR189" s="608"/>
      <c r="DS189" s="608"/>
      <c r="DT189" s="608"/>
    </row>
    <row r="190" spans="1:124" ht="12" customHeight="1" x14ac:dyDescent="0.25">
      <c r="A190" s="312" t="str">
        <f>+A158</f>
        <v>OH racinos</v>
      </c>
      <c r="B190" s="509"/>
      <c r="C190" s="509">
        <f t="shared" si="370"/>
        <v>0</v>
      </c>
      <c r="D190" s="509">
        <f t="shared" si="371"/>
        <v>0</v>
      </c>
      <c r="E190" s="509">
        <f t="shared" si="371"/>
        <v>0</v>
      </c>
      <c r="F190" s="509">
        <f t="shared" si="371"/>
        <v>0</v>
      </c>
      <c r="G190" s="510">
        <f t="shared" si="419"/>
        <v>0</v>
      </c>
      <c r="H190" s="509">
        <f t="shared" si="372"/>
        <v>0</v>
      </c>
      <c r="I190" s="509">
        <f t="shared" si="372"/>
        <v>0</v>
      </c>
      <c r="J190" s="509">
        <f t="shared" si="372"/>
        <v>0</v>
      </c>
      <c r="K190" s="509">
        <f t="shared" si="372"/>
        <v>0</v>
      </c>
      <c r="L190" s="510">
        <f t="shared" si="420"/>
        <v>0</v>
      </c>
      <c r="M190" s="509">
        <f t="shared" si="373"/>
        <v>0</v>
      </c>
      <c r="N190" s="509">
        <f t="shared" si="373"/>
        <v>0</v>
      </c>
      <c r="O190" s="509">
        <f t="shared" si="373"/>
        <v>0</v>
      </c>
      <c r="P190" s="509">
        <f t="shared" si="373"/>
        <v>0</v>
      </c>
      <c r="Q190" s="510">
        <f t="shared" si="421"/>
        <v>0</v>
      </c>
      <c r="R190" s="509">
        <f t="shared" si="374"/>
        <v>0</v>
      </c>
      <c r="S190" s="509">
        <f t="shared" si="374"/>
        <v>0</v>
      </c>
      <c r="T190" s="509">
        <f t="shared" si="374"/>
        <v>0</v>
      </c>
      <c r="U190" s="509">
        <f t="shared" si="374"/>
        <v>0</v>
      </c>
      <c r="V190" s="510">
        <f t="shared" si="422"/>
        <v>0</v>
      </c>
      <c r="W190" s="509">
        <f t="shared" si="375"/>
        <v>0</v>
      </c>
      <c r="X190" s="509">
        <f t="shared" si="375"/>
        <v>0</v>
      </c>
      <c r="Y190" s="509">
        <f t="shared" si="375"/>
        <v>0</v>
      </c>
      <c r="Z190" s="509">
        <f t="shared" si="375"/>
        <v>0</v>
      </c>
      <c r="AA190" s="510">
        <f t="shared" si="423"/>
        <v>0</v>
      </c>
      <c r="AB190" s="509">
        <f t="shared" si="376"/>
        <v>0</v>
      </c>
      <c r="AC190" s="509">
        <f t="shared" si="376"/>
        <v>0</v>
      </c>
      <c r="AD190" s="509">
        <f t="shared" si="376"/>
        <v>0</v>
      </c>
      <c r="AE190" s="430">
        <f t="shared" si="376"/>
        <v>0</v>
      </c>
      <c r="AF190" s="481">
        <f t="shared" si="424"/>
        <v>0</v>
      </c>
      <c r="AG190" s="430">
        <f t="shared" si="377"/>
        <v>0</v>
      </c>
      <c r="AH190" s="430">
        <f t="shared" si="377"/>
        <v>0</v>
      </c>
      <c r="AI190" s="430">
        <f t="shared" si="377"/>
        <v>0</v>
      </c>
      <c r="AJ190" s="430">
        <f t="shared" si="377"/>
        <v>0</v>
      </c>
      <c r="AK190" s="481">
        <f>AJ190</f>
        <v>0</v>
      </c>
      <c r="AL190" s="430">
        <f t="shared" si="378"/>
        <v>0</v>
      </c>
      <c r="AM190" s="430">
        <f t="shared" si="378"/>
        <v>0</v>
      </c>
      <c r="AN190" s="430">
        <f t="shared" si="378"/>
        <v>0</v>
      </c>
      <c r="AO190" s="430">
        <f t="shared" si="378"/>
        <v>0</v>
      </c>
      <c r="AP190" s="483">
        <f t="shared" si="426"/>
        <v>0</v>
      </c>
      <c r="AQ190" s="483">
        <f t="shared" si="379"/>
        <v>0</v>
      </c>
      <c r="AR190" s="430">
        <f t="shared" si="379"/>
        <v>0</v>
      </c>
      <c r="AS190" s="430">
        <f t="shared" si="379"/>
        <v>0</v>
      </c>
      <c r="AT190" s="430">
        <f t="shared" si="379"/>
        <v>0</v>
      </c>
      <c r="AU190" s="483">
        <f t="shared" si="380"/>
        <v>0</v>
      </c>
      <c r="AV190" s="483">
        <f t="shared" si="381"/>
        <v>0</v>
      </c>
      <c r="AW190" s="430">
        <f t="shared" si="381"/>
        <v>0</v>
      </c>
      <c r="AX190" s="430">
        <f t="shared" si="381"/>
        <v>0</v>
      </c>
      <c r="AY190" s="853">
        <f t="shared" si="381"/>
        <v>1.2999999999999998</v>
      </c>
      <c r="AZ190" s="481">
        <f t="shared" si="382"/>
        <v>1.2999999999999998</v>
      </c>
      <c r="BA190" s="483">
        <f t="shared" si="383"/>
        <v>5.7</v>
      </c>
      <c r="BB190" s="430">
        <f t="shared" si="383"/>
        <v>33.1</v>
      </c>
      <c r="BC190" s="430">
        <f t="shared" si="383"/>
        <v>109.20000000000002</v>
      </c>
      <c r="BD190" s="853">
        <f t="shared" si="383"/>
        <v>128.9</v>
      </c>
      <c r="BE190" s="481">
        <f t="shared" si="384"/>
        <v>128.9</v>
      </c>
      <c r="BF190" s="430">
        <f t="shared" si="385"/>
        <v>128.9</v>
      </c>
      <c r="BG190" s="430">
        <f t="shared" si="385"/>
        <v>128.9</v>
      </c>
      <c r="BH190" s="430">
        <f t="shared" si="385"/>
        <v>188.5</v>
      </c>
      <c r="BI190" s="853">
        <f t="shared" si="385"/>
        <v>188.5</v>
      </c>
      <c r="BJ190" s="481">
        <f t="shared" si="386"/>
        <v>188.5</v>
      </c>
      <c r="BK190" s="430">
        <f t="shared" si="387"/>
        <v>198.1</v>
      </c>
      <c r="BL190" s="430">
        <f t="shared" si="387"/>
        <v>198.1</v>
      </c>
      <c r="BM190" s="430">
        <f t="shared" si="387"/>
        <v>207.7</v>
      </c>
      <c r="BN190" s="853">
        <f t="shared" si="387"/>
        <v>207.7</v>
      </c>
      <c r="BO190" s="481">
        <f t="shared" si="388"/>
        <v>207.7</v>
      </c>
      <c r="BP190" s="430">
        <f t="shared" si="389"/>
        <v>217.29999999999998</v>
      </c>
      <c r="BQ190" s="430">
        <f t="shared" si="390"/>
        <v>217.29999999999998</v>
      </c>
      <c r="BR190" s="430">
        <f t="shared" si="391"/>
        <v>226.89999999999998</v>
      </c>
      <c r="BS190" s="430">
        <f t="shared" si="392"/>
        <v>226.89999999999998</v>
      </c>
      <c r="BT190" s="481">
        <f t="shared" si="393"/>
        <v>226.89999999999998</v>
      </c>
      <c r="BU190" s="2840">
        <f t="shared" si="394"/>
        <v>236.49999999999997</v>
      </c>
      <c r="BV190" s="2840">
        <f t="shared" si="394"/>
        <v>236.49999999999997</v>
      </c>
      <c r="BW190" s="2840">
        <f t="shared" si="394"/>
        <v>246.09999999999997</v>
      </c>
      <c r="BX190" s="2840">
        <f t="shared" si="394"/>
        <v>246.09999999999997</v>
      </c>
      <c r="BY190" s="2587">
        <f t="shared" si="395"/>
        <v>246.09999999999997</v>
      </c>
      <c r="BZ190" s="481">
        <f t="shared" si="396"/>
        <v>265.29999999999995</v>
      </c>
      <c r="CA190" s="481">
        <f t="shared" si="396"/>
        <v>284.49999999999994</v>
      </c>
      <c r="CB190" s="481">
        <f t="shared" si="397"/>
        <v>303.69999999999993</v>
      </c>
      <c r="CC190" s="481">
        <f t="shared" si="398"/>
        <v>322.89999999999992</v>
      </c>
      <c r="CD190" s="481">
        <f t="shared" si="399"/>
        <v>342.09999999999991</v>
      </c>
      <c r="CE190" s="481">
        <f t="shared" si="400"/>
        <v>361.2999999999999</v>
      </c>
      <c r="CF190" s="481">
        <f t="shared" si="401"/>
        <v>361.2999999999999</v>
      </c>
      <c r="CG190" s="454"/>
      <c r="CH190" s="454"/>
      <c r="CI190" s="454"/>
      <c r="CJ190" s="454"/>
      <c r="CK190" s="454"/>
      <c r="CL190" s="2025" t="str">
        <f t="shared" si="369"/>
        <v>OH racinos</v>
      </c>
      <c r="CM190" s="430">
        <f t="shared" si="402"/>
        <v>0</v>
      </c>
      <c r="CN190" s="430">
        <f t="shared" si="403"/>
        <v>0</v>
      </c>
      <c r="CO190" s="430">
        <f t="shared" si="404"/>
        <v>0</v>
      </c>
      <c r="CP190" s="430">
        <f t="shared" si="405"/>
        <v>0</v>
      </c>
      <c r="CQ190" s="430">
        <f t="shared" si="406"/>
        <v>0</v>
      </c>
      <c r="CR190" s="430">
        <f t="shared" si="407"/>
        <v>0</v>
      </c>
      <c r="CS190" s="430">
        <f t="shared" si="408"/>
        <v>0</v>
      </c>
      <c r="CT190" s="430">
        <f t="shared" si="409"/>
        <v>0</v>
      </c>
      <c r="CU190" s="430">
        <f t="shared" si="410"/>
        <v>0</v>
      </c>
      <c r="CV190" s="430">
        <f t="shared" si="411"/>
        <v>1.2999999999999998</v>
      </c>
      <c r="CW190" s="430">
        <f t="shared" si="412"/>
        <v>128.9</v>
      </c>
      <c r="CX190" s="430">
        <f t="shared" si="413"/>
        <v>188.5</v>
      </c>
      <c r="CY190" s="430">
        <f t="shared" si="414"/>
        <v>207.7</v>
      </c>
      <c r="CZ190" s="430">
        <f t="shared" si="415"/>
        <v>226.89999999999998</v>
      </c>
      <c r="DA190" s="430">
        <f t="shared" si="416"/>
        <v>246.09999999999997</v>
      </c>
      <c r="DB190" s="430">
        <f t="shared" si="417"/>
        <v>265.29999999999995</v>
      </c>
      <c r="DC190" s="853">
        <f t="shared" si="418"/>
        <v>284.49999999999994</v>
      </c>
      <c r="DD190" s="454"/>
      <c r="DE190" s="454"/>
      <c r="DF190" s="463"/>
      <c r="DG190" s="463"/>
      <c r="DH190" s="2840"/>
      <c r="DI190" s="3213"/>
      <c r="DJ190" s="463"/>
      <c r="DK190" s="463"/>
      <c r="DL190" s="463"/>
      <c r="DM190" s="463"/>
      <c r="DN190" s="463"/>
      <c r="DO190" s="463"/>
      <c r="DP190" s="463"/>
      <c r="DQ190" s="463"/>
      <c r="DR190" s="608"/>
      <c r="DS190" s="608"/>
      <c r="DT190" s="608"/>
    </row>
    <row r="191" spans="1:124" ht="12" customHeight="1" x14ac:dyDescent="0.25">
      <c r="A191" s="312" t="s">
        <v>2135</v>
      </c>
      <c r="B191" s="509"/>
      <c r="C191" s="430">
        <f>C163</f>
        <v>-8.0000000000000071E-3</v>
      </c>
      <c r="D191" s="509">
        <f>C191+D163</f>
        <v>7.6000000000000512E-2</v>
      </c>
      <c r="E191" s="509">
        <f>D191+E163</f>
        <v>-1.5999999999998238E-2</v>
      </c>
      <c r="F191" s="509">
        <f>E191+F163</f>
        <v>-3.700000000000081E-2</v>
      </c>
      <c r="G191" s="510">
        <f t="shared" si="419"/>
        <v>-3.700000000000081E-2</v>
      </c>
      <c r="H191" s="509">
        <f>G191+H163</f>
        <v>-0.15499999999999936</v>
      </c>
      <c r="I191" s="509">
        <f>H191+I163</f>
        <v>0.24100000000000144</v>
      </c>
      <c r="J191" s="509">
        <f>I191+J163</f>
        <v>-1.1489999999999938</v>
      </c>
      <c r="K191" s="509">
        <f>J191+K163</f>
        <v>0.59800000000000608</v>
      </c>
      <c r="L191" s="510">
        <f t="shared" si="420"/>
        <v>0.59800000000000608</v>
      </c>
      <c r="M191" s="509">
        <f>L191+M163</f>
        <v>4.0260000000000105</v>
      </c>
      <c r="N191" s="509">
        <f>M191+N163</f>
        <v>0.55300000000001148</v>
      </c>
      <c r="O191" s="509">
        <f>N191+O163</f>
        <v>64.171000000000021</v>
      </c>
      <c r="P191" s="509">
        <f>O191+P163</f>
        <v>167.58100000000002</v>
      </c>
      <c r="Q191" s="510">
        <f t="shared" si="421"/>
        <v>167.58100000000002</v>
      </c>
      <c r="R191" s="509">
        <f>Q191+R163</f>
        <v>171.06600000000003</v>
      </c>
      <c r="S191" s="509">
        <f>R191+S163</f>
        <v>171.38300000000004</v>
      </c>
      <c r="T191" s="509">
        <f>S191+T163</f>
        <v>175.64200000000005</v>
      </c>
      <c r="U191" s="509">
        <f>T191+U163</f>
        <v>176.73599999999999</v>
      </c>
      <c r="V191" s="510">
        <f t="shared" si="422"/>
        <v>176.73599999999999</v>
      </c>
      <c r="W191" s="509">
        <f>V191+W163</f>
        <v>176.82599999999999</v>
      </c>
      <c r="X191" s="509">
        <f>W191+X163</f>
        <v>177.34</v>
      </c>
      <c r="Y191" s="509">
        <f>X191+Y163</f>
        <v>176.78700000000003</v>
      </c>
      <c r="Z191" s="509">
        <f>Y191+Z163</f>
        <v>178.93</v>
      </c>
      <c r="AA191" s="510">
        <f t="shared" si="423"/>
        <v>178.93</v>
      </c>
      <c r="AB191" s="509">
        <f>AA191+AB163</f>
        <v>179.70500000000001</v>
      </c>
      <c r="AC191" s="509">
        <f>AB191+AC163</f>
        <v>180.75099999999998</v>
      </c>
      <c r="AD191" s="509">
        <f>AC191+AD163</f>
        <v>181.505</v>
      </c>
      <c r="AE191" s="430">
        <f>AD191+AE163</f>
        <v>185.53</v>
      </c>
      <c r="AF191" s="481">
        <f t="shared" si="424"/>
        <v>185.53</v>
      </c>
      <c r="AG191" s="430">
        <f>AF191+AG163</f>
        <v>188.715</v>
      </c>
      <c r="AH191" s="430">
        <f>AG191+AH163</f>
        <v>188.715</v>
      </c>
      <c r="AI191" s="430">
        <f>AH191+AI163</f>
        <v>190.91499999999999</v>
      </c>
      <c r="AJ191" s="430">
        <f>AI191+AJ163</f>
        <v>196.63</v>
      </c>
      <c r="AK191" s="481">
        <f>AJ191</f>
        <v>196.63</v>
      </c>
      <c r="AL191" s="430">
        <f>AK191+AL163</f>
        <v>202.23</v>
      </c>
      <c r="AM191" s="430">
        <f>AL191+AM163</f>
        <v>210.23</v>
      </c>
      <c r="AN191" s="430">
        <f>AM191+AN163</f>
        <v>210.23</v>
      </c>
      <c r="AO191" s="430">
        <f>AN191+AO163</f>
        <v>213.42999999999998</v>
      </c>
      <c r="AP191" s="483">
        <f t="shared" si="426"/>
        <v>213.42999999999998</v>
      </c>
      <c r="AQ191" s="483">
        <f>AP191+AQ163</f>
        <v>215.13</v>
      </c>
      <c r="AR191" s="430">
        <f>AQ191+AR163</f>
        <v>224.13</v>
      </c>
      <c r="AS191" s="430">
        <f>AR191+AS163</f>
        <v>224.82999999999998</v>
      </c>
      <c r="AT191" s="430">
        <f>AS191+AT163</f>
        <v>225.32999999999996</v>
      </c>
      <c r="AU191" s="483">
        <f>AP191+AU163</f>
        <v>225.32999999999993</v>
      </c>
      <c r="AV191" s="483">
        <f>AU191+AV163</f>
        <v>233.32999999999996</v>
      </c>
      <c r="AW191" s="430">
        <f>AV191+AW163</f>
        <v>250.80099999999996</v>
      </c>
      <c r="AX191" s="430">
        <f>AW191+AX163</f>
        <v>266.19699999999995</v>
      </c>
      <c r="AY191" s="853">
        <f>AX191+AY163</f>
        <v>263.62999999999994</v>
      </c>
      <c r="AZ191" s="481">
        <f>AU191+AZ163</f>
        <v>263.62999999999994</v>
      </c>
      <c r="BA191" s="483">
        <f>AZ191+BA163</f>
        <v>253.42999999999995</v>
      </c>
      <c r="BB191" s="430">
        <f>BA191+BB163</f>
        <v>264.63</v>
      </c>
      <c r="BC191" s="430">
        <f>BB191+BC163</f>
        <v>250.23</v>
      </c>
      <c r="BD191" s="853">
        <f>BC191+BD163</f>
        <v>260.43</v>
      </c>
      <c r="BE191" s="481">
        <f>AZ191+BE163</f>
        <v>260.42999999999995</v>
      </c>
      <c r="BF191" s="430">
        <f>BE191+BF163</f>
        <v>268.39999999999998</v>
      </c>
      <c r="BG191" s="430">
        <f>BF191+BG163</f>
        <v>246.30599999999998</v>
      </c>
      <c r="BH191" s="430">
        <f>BG191+BH163</f>
        <v>188.22399999999993</v>
      </c>
      <c r="BI191" s="853">
        <f>BH191+BI163</f>
        <v>186.036</v>
      </c>
      <c r="BJ191" s="481">
        <f>BE191+BJ163</f>
        <v>186.03599999999997</v>
      </c>
      <c r="BK191" s="430">
        <f>BJ191+BK163</f>
        <v>179.91299999999995</v>
      </c>
      <c r="BL191" s="430">
        <f>BK191+BL163</f>
        <v>181.44699999999995</v>
      </c>
      <c r="BM191" s="430">
        <f>BL191+BM163</f>
        <v>172.28099999999995</v>
      </c>
      <c r="BN191" s="853">
        <f>BM191+BN163</f>
        <v>12.002999999999929</v>
      </c>
      <c r="BO191" s="481">
        <f>BJ191+BO163</f>
        <v>12.002999999999957</v>
      </c>
      <c r="BP191" s="430">
        <f>BO191+BP163</f>
        <v>12.002999999999957</v>
      </c>
      <c r="BQ191" s="430">
        <f>BP191+BQ163</f>
        <v>12.002999999999957</v>
      </c>
      <c r="BR191" s="430">
        <f>BQ191+BR163</f>
        <v>12.002999999999957</v>
      </c>
      <c r="BS191" s="430">
        <f>BR191+BS163</f>
        <v>12.002999999999957</v>
      </c>
      <c r="BT191" s="481">
        <f>BO191+BT163</f>
        <v>12.002999999999957</v>
      </c>
      <c r="BU191" s="2840">
        <f>BT191+BU163</f>
        <v>12.002999999999957</v>
      </c>
      <c r="BV191" s="2840">
        <f>BU191+BV163</f>
        <v>12.002999999999957</v>
      </c>
      <c r="BW191" s="2840">
        <f>BV191+BW163</f>
        <v>12.002999999999957</v>
      </c>
      <c r="BX191" s="2840">
        <f>BW191+BX163</f>
        <v>12.002999999999957</v>
      </c>
      <c r="BY191" s="2587">
        <f>BT191+BY163</f>
        <v>12.002999999999957</v>
      </c>
      <c r="BZ191" s="481">
        <f t="shared" ref="BZ191:CF191" si="427">BY191+BZ163</f>
        <v>12.002999999999957</v>
      </c>
      <c r="CA191" s="481">
        <f t="shared" si="427"/>
        <v>12.002999999999957</v>
      </c>
      <c r="CB191" s="481">
        <f t="shared" si="427"/>
        <v>12.002999999999957</v>
      </c>
      <c r="CC191" s="481">
        <f t="shared" si="427"/>
        <v>12.002999999999957</v>
      </c>
      <c r="CD191" s="481">
        <f t="shared" si="427"/>
        <v>12.002999999999957</v>
      </c>
      <c r="CE191" s="481">
        <f t="shared" si="427"/>
        <v>12.002999999999957</v>
      </c>
      <c r="CF191" s="481">
        <f t="shared" si="427"/>
        <v>12.002999999999957</v>
      </c>
      <c r="CG191" s="454"/>
      <c r="CH191" s="454"/>
      <c r="CI191" s="454"/>
      <c r="CJ191" s="454"/>
      <c r="CK191" s="454"/>
      <c r="CL191" s="2025" t="str">
        <f t="shared" si="369"/>
        <v>Other capex</v>
      </c>
      <c r="CM191" s="430">
        <f t="shared" si="402"/>
        <v>-3.700000000000081E-2</v>
      </c>
      <c r="CN191" s="430">
        <f t="shared" si="403"/>
        <v>0.59800000000000608</v>
      </c>
      <c r="CO191" s="430">
        <f t="shared" si="404"/>
        <v>167.58100000000002</v>
      </c>
      <c r="CP191" s="430">
        <f t="shared" si="405"/>
        <v>176.73599999999999</v>
      </c>
      <c r="CQ191" s="430">
        <f t="shared" si="406"/>
        <v>178.93</v>
      </c>
      <c r="CR191" s="430">
        <f t="shared" si="407"/>
        <v>185.53</v>
      </c>
      <c r="CS191" s="430">
        <f t="shared" si="408"/>
        <v>196.63</v>
      </c>
      <c r="CT191" s="430">
        <f t="shared" si="409"/>
        <v>213.42999999999998</v>
      </c>
      <c r="CU191" s="430">
        <f t="shared" si="410"/>
        <v>225.32999999999993</v>
      </c>
      <c r="CV191" s="430">
        <f t="shared" si="411"/>
        <v>263.62999999999994</v>
      </c>
      <c r="CW191" s="430">
        <f t="shared" si="412"/>
        <v>260.42999999999995</v>
      </c>
      <c r="CX191" s="430">
        <f t="shared" si="413"/>
        <v>186.03599999999997</v>
      </c>
      <c r="CY191" s="430">
        <f t="shared" si="414"/>
        <v>12.002999999999957</v>
      </c>
      <c r="CZ191" s="430">
        <f t="shared" si="415"/>
        <v>12.002999999999957</v>
      </c>
      <c r="DA191" s="430">
        <f t="shared" si="416"/>
        <v>12.002999999999957</v>
      </c>
      <c r="DB191" s="430">
        <f t="shared" si="417"/>
        <v>12.002999999999957</v>
      </c>
      <c r="DC191" s="853">
        <f t="shared" si="418"/>
        <v>12.002999999999957</v>
      </c>
      <c r="DD191" s="454"/>
      <c r="DE191" s="454"/>
      <c r="DF191" s="463"/>
      <c r="DG191" s="463"/>
      <c r="DH191" s="2840"/>
      <c r="DI191" s="3213"/>
      <c r="DJ191" s="463"/>
      <c r="DK191" s="463"/>
      <c r="DL191" s="463"/>
      <c r="DM191" s="463"/>
      <c r="DN191" s="463"/>
      <c r="DO191" s="463"/>
      <c r="DP191" s="463"/>
      <c r="DQ191" s="463"/>
      <c r="DR191" s="608"/>
      <c r="DS191" s="608"/>
      <c r="DT191" s="608"/>
    </row>
    <row r="192" spans="1:124" ht="4.5" customHeight="1" x14ac:dyDescent="0.25">
      <c r="A192" s="312"/>
      <c r="B192" s="509"/>
      <c r="C192" s="544" t="s">
        <v>1151</v>
      </c>
      <c r="D192" s="544" t="s">
        <v>1151</v>
      </c>
      <c r="E192" s="544" t="s">
        <v>1151</v>
      </c>
      <c r="F192" s="544" t="s">
        <v>1151</v>
      </c>
      <c r="G192" s="461" t="s">
        <v>1151</v>
      </c>
      <c r="H192" s="544" t="s">
        <v>1151</v>
      </c>
      <c r="I192" s="544" t="s">
        <v>1151</v>
      </c>
      <c r="J192" s="544" t="s">
        <v>1151</v>
      </c>
      <c r="K192" s="544" t="s">
        <v>1151</v>
      </c>
      <c r="L192" s="461" t="s">
        <v>1151</v>
      </c>
      <c r="M192" s="544" t="s">
        <v>1151</v>
      </c>
      <c r="N192" s="544" t="s">
        <v>1151</v>
      </c>
      <c r="O192" s="544" t="s">
        <v>1151</v>
      </c>
      <c r="P192" s="544" t="s">
        <v>1151</v>
      </c>
      <c r="Q192" s="461" t="s">
        <v>1151</v>
      </c>
      <c r="R192" s="544" t="s">
        <v>1151</v>
      </c>
      <c r="S192" s="544" t="s">
        <v>1151</v>
      </c>
      <c r="T192" s="544" t="s">
        <v>1151</v>
      </c>
      <c r="U192" s="544" t="s">
        <v>1151</v>
      </c>
      <c r="V192" s="461" t="s">
        <v>1151</v>
      </c>
      <c r="W192" s="544" t="s">
        <v>1151</v>
      </c>
      <c r="X192" s="544" t="s">
        <v>1151</v>
      </c>
      <c r="Y192" s="544" t="s">
        <v>1151</v>
      </c>
      <c r="Z192" s="544" t="s">
        <v>1151</v>
      </c>
      <c r="AA192" s="461" t="s">
        <v>1151</v>
      </c>
      <c r="AB192" s="544" t="s">
        <v>1151</v>
      </c>
      <c r="AC192" s="544" t="s">
        <v>1151</v>
      </c>
      <c r="AD192" s="544" t="s">
        <v>1151</v>
      </c>
      <c r="AE192" s="544" t="s">
        <v>1151</v>
      </c>
      <c r="AF192" s="461" t="s">
        <v>1151</v>
      </c>
      <c r="AG192" s="544" t="s">
        <v>1151</v>
      </c>
      <c r="AH192" s="544" t="s">
        <v>1151</v>
      </c>
      <c r="AI192" s="544" t="s">
        <v>1151</v>
      </c>
      <c r="AJ192" s="544" t="s">
        <v>1151</v>
      </c>
      <c r="AK192" s="461" t="s">
        <v>1151</v>
      </c>
      <c r="AL192" s="544" t="s">
        <v>1151</v>
      </c>
      <c r="AM192" s="544" t="s">
        <v>1151</v>
      </c>
      <c r="AN192" s="544" t="s">
        <v>1151</v>
      </c>
      <c r="AO192" s="544" t="s">
        <v>1151</v>
      </c>
      <c r="AP192" s="461" t="s">
        <v>1151</v>
      </c>
      <c r="AQ192" s="544" t="s">
        <v>1151</v>
      </c>
      <c r="AR192" s="544" t="s">
        <v>1151</v>
      </c>
      <c r="AS192" s="544" t="s">
        <v>1151</v>
      </c>
      <c r="AT192" s="544" t="s">
        <v>1151</v>
      </c>
      <c r="AU192" s="461" t="s">
        <v>1151</v>
      </c>
      <c r="AV192" s="544" t="s">
        <v>1151</v>
      </c>
      <c r="AW192" s="544" t="s">
        <v>1151</v>
      </c>
      <c r="AX192" s="544" t="s">
        <v>1151</v>
      </c>
      <c r="AY192" s="544" t="s">
        <v>1151</v>
      </c>
      <c r="AZ192" s="461" t="s">
        <v>1151</v>
      </c>
      <c r="BA192" s="544" t="s">
        <v>1151</v>
      </c>
      <c r="BB192" s="544" t="s">
        <v>1151</v>
      </c>
      <c r="BC192" s="544" t="s">
        <v>1151</v>
      </c>
      <c r="BD192" s="544" t="s">
        <v>1151</v>
      </c>
      <c r="BE192" s="461" t="s">
        <v>1151</v>
      </c>
      <c r="BF192" s="544" t="s">
        <v>1151</v>
      </c>
      <c r="BG192" s="544" t="s">
        <v>1151</v>
      </c>
      <c r="BH192" s="544" t="s">
        <v>1151</v>
      </c>
      <c r="BI192" s="544" t="s">
        <v>1151</v>
      </c>
      <c r="BJ192" s="461" t="s">
        <v>1151</v>
      </c>
      <c r="BK192" s="544" t="s">
        <v>1151</v>
      </c>
      <c r="BL192" s="544" t="s">
        <v>1151</v>
      </c>
      <c r="BM192" s="544" t="s">
        <v>1151</v>
      </c>
      <c r="BN192" s="544" t="s">
        <v>1151</v>
      </c>
      <c r="BO192" s="461" t="s">
        <v>1151</v>
      </c>
      <c r="BP192" s="544" t="s">
        <v>1151</v>
      </c>
      <c r="BQ192" s="544" t="s">
        <v>1151</v>
      </c>
      <c r="BR192" s="544" t="s">
        <v>1151</v>
      </c>
      <c r="BS192" s="544" t="s">
        <v>1151</v>
      </c>
      <c r="BT192" s="461" t="s">
        <v>1151</v>
      </c>
      <c r="BU192" s="544" t="s">
        <v>1151</v>
      </c>
      <c r="BV192" s="544" t="s">
        <v>1151</v>
      </c>
      <c r="BW192" s="544" t="s">
        <v>1151</v>
      </c>
      <c r="BX192" s="544" t="s">
        <v>1151</v>
      </c>
      <c r="BY192" s="461" t="s">
        <v>1151</v>
      </c>
      <c r="BZ192" s="461" t="s">
        <v>1151</v>
      </c>
      <c r="CA192" s="461" t="s">
        <v>1151</v>
      </c>
      <c r="CB192" s="461" t="s">
        <v>1151</v>
      </c>
      <c r="CC192" s="461" t="s">
        <v>1151</v>
      </c>
      <c r="CD192" s="461" t="s">
        <v>1151</v>
      </c>
      <c r="CE192" s="461" t="s">
        <v>1151</v>
      </c>
      <c r="CF192" s="461" t="s">
        <v>1151</v>
      </c>
      <c r="CG192" s="454"/>
      <c r="CH192" s="454"/>
      <c r="CI192" s="454"/>
      <c r="CJ192" s="454"/>
      <c r="CK192" s="454"/>
      <c r="CL192" s="2025"/>
      <c r="CM192" s="2029" t="str">
        <f t="shared" si="402"/>
        <v xml:space="preserve">                </v>
      </c>
      <c r="CN192" s="2029" t="str">
        <f t="shared" si="403"/>
        <v xml:space="preserve">                </v>
      </c>
      <c r="CO192" s="2029" t="str">
        <f t="shared" si="404"/>
        <v xml:space="preserve">                </v>
      </c>
      <c r="CP192" s="2029" t="str">
        <f t="shared" si="405"/>
        <v xml:space="preserve">                </v>
      </c>
      <c r="CQ192" s="2029" t="str">
        <f t="shared" si="406"/>
        <v xml:space="preserve">                </v>
      </c>
      <c r="CR192" s="2029" t="str">
        <f t="shared" si="407"/>
        <v xml:space="preserve">                </v>
      </c>
      <c r="CS192" s="2029" t="str">
        <f t="shared" si="408"/>
        <v xml:space="preserve">                </v>
      </c>
      <c r="CT192" s="2029" t="str">
        <f t="shared" si="409"/>
        <v xml:space="preserve">                </v>
      </c>
      <c r="CU192" s="2029" t="str">
        <f t="shared" si="410"/>
        <v xml:space="preserve">                </v>
      </c>
      <c r="CV192" s="2029" t="str">
        <f t="shared" si="411"/>
        <v xml:space="preserve">                </v>
      </c>
      <c r="CW192" s="2029" t="str">
        <f t="shared" si="412"/>
        <v xml:space="preserve">                </v>
      </c>
      <c r="CX192" s="2029" t="str">
        <f t="shared" si="413"/>
        <v xml:space="preserve">                </v>
      </c>
      <c r="CY192" s="2029" t="str">
        <f t="shared" si="414"/>
        <v xml:space="preserve">                </v>
      </c>
      <c r="CZ192" s="2029" t="str">
        <f t="shared" si="415"/>
        <v xml:space="preserve">                </v>
      </c>
      <c r="DA192" s="2029" t="str">
        <f t="shared" si="416"/>
        <v xml:space="preserve">                </v>
      </c>
      <c r="DB192" s="2029" t="str">
        <f t="shared" si="417"/>
        <v xml:space="preserve">                </v>
      </c>
      <c r="DC192" s="2030" t="str">
        <f t="shared" si="418"/>
        <v xml:space="preserve">                </v>
      </c>
      <c r="DD192" s="454"/>
      <c r="DE192" s="454"/>
      <c r="DF192" s="463"/>
      <c r="DG192" s="463"/>
      <c r="DH192" s="2029"/>
      <c r="DI192" s="3213"/>
      <c r="DJ192" s="463"/>
      <c r="DK192" s="463"/>
      <c r="DL192" s="463"/>
      <c r="DM192" s="463"/>
      <c r="DN192" s="463"/>
      <c r="DO192" s="463"/>
      <c r="DP192" s="463"/>
      <c r="DQ192" s="463"/>
      <c r="DR192" s="608"/>
      <c r="DS192" s="608"/>
      <c r="DT192" s="608"/>
    </row>
    <row r="193" spans="1:130" s="905" customFormat="1" ht="12" customHeight="1" x14ac:dyDescent="0.25">
      <c r="A193" s="989" t="s">
        <v>1674</v>
      </c>
      <c r="B193" s="488"/>
      <c r="C193" s="488">
        <f>SUM(C169:C191)</f>
        <v>5.5069999999999997</v>
      </c>
      <c r="D193" s="488">
        <f t="shared" ref="D193:BI193" si="428">SUM(D169:D191)</f>
        <v>13.527000000000001</v>
      </c>
      <c r="E193" s="488">
        <f t="shared" si="428"/>
        <v>21.433</v>
      </c>
      <c r="F193" s="488">
        <f t="shared" si="428"/>
        <v>29.957000000000001</v>
      </c>
      <c r="G193" s="489">
        <f t="shared" si="428"/>
        <v>29.957000000000001</v>
      </c>
      <c r="H193" s="488">
        <f t="shared" si="428"/>
        <v>38.31</v>
      </c>
      <c r="I193" s="488">
        <f t="shared" si="428"/>
        <v>59.349999999999994</v>
      </c>
      <c r="J193" s="488">
        <f t="shared" si="428"/>
        <v>66.75200000000001</v>
      </c>
      <c r="K193" s="488">
        <f t="shared" si="428"/>
        <v>100.59200000000001</v>
      </c>
      <c r="L193" s="489">
        <f t="shared" si="428"/>
        <v>100.59200000000001</v>
      </c>
      <c r="M193" s="488">
        <f t="shared" si="428"/>
        <v>142.82000000000002</v>
      </c>
      <c r="N193" s="488">
        <f t="shared" si="428"/>
        <v>187.54700000000003</v>
      </c>
      <c r="O193" s="488">
        <f t="shared" si="428"/>
        <v>302.36500000000001</v>
      </c>
      <c r="P193" s="488">
        <f t="shared" si="428"/>
        <v>445.37500000000006</v>
      </c>
      <c r="Q193" s="489">
        <f t="shared" si="428"/>
        <v>445.37500000000006</v>
      </c>
      <c r="R193" s="488">
        <f t="shared" si="428"/>
        <v>504.96</v>
      </c>
      <c r="S193" s="488">
        <f t="shared" si="428"/>
        <v>572.07700000000011</v>
      </c>
      <c r="T193" s="488">
        <f t="shared" si="428"/>
        <v>636.7360000000001</v>
      </c>
      <c r="U193" s="488">
        <f t="shared" si="428"/>
        <v>734.33</v>
      </c>
      <c r="V193" s="489">
        <f t="shared" si="428"/>
        <v>734.33</v>
      </c>
      <c r="W193" s="488">
        <f t="shared" si="428"/>
        <v>839.0200000000001</v>
      </c>
      <c r="X193" s="488">
        <f t="shared" si="428"/>
        <v>898.33400000000006</v>
      </c>
      <c r="Y193" s="488">
        <f t="shared" si="428"/>
        <v>962.18100000000004</v>
      </c>
      <c r="Z193" s="488">
        <f t="shared" si="428"/>
        <v>1012.0240000000001</v>
      </c>
      <c r="AA193" s="489">
        <f t="shared" si="428"/>
        <v>1012.0240000000001</v>
      </c>
      <c r="AB193" s="488">
        <f t="shared" si="428"/>
        <v>1059.5989999999999</v>
      </c>
      <c r="AC193" s="488">
        <f t="shared" si="428"/>
        <v>1119.4449999999999</v>
      </c>
      <c r="AD193" s="488">
        <f>SUM(AD169:AD191)</f>
        <v>1193.299</v>
      </c>
      <c r="AE193" s="485">
        <f>SUM(AE169:AE191)</f>
        <v>1245.624</v>
      </c>
      <c r="AF193" s="486">
        <f t="shared" si="428"/>
        <v>1245.624</v>
      </c>
      <c r="AG193" s="485">
        <f t="shared" si="428"/>
        <v>1348.3590000000002</v>
      </c>
      <c r="AH193" s="485">
        <f t="shared" si="428"/>
        <v>1434.259</v>
      </c>
      <c r="AI193" s="485">
        <f t="shared" si="428"/>
        <v>1491.0589999999997</v>
      </c>
      <c r="AJ193" s="485">
        <f t="shared" si="428"/>
        <v>1562.5740000000001</v>
      </c>
      <c r="AK193" s="486">
        <f t="shared" si="428"/>
        <v>1562.5740000000001</v>
      </c>
      <c r="AL193" s="485">
        <f>SUM(AL169:AL191)</f>
        <v>1613.5740000000001</v>
      </c>
      <c r="AM193" s="485">
        <f t="shared" si="428"/>
        <v>1667.2739999999999</v>
      </c>
      <c r="AN193" s="485">
        <f t="shared" si="428"/>
        <v>1753.5240000000001</v>
      </c>
      <c r="AO193" s="485">
        <f t="shared" si="428"/>
        <v>1841.8240000000001</v>
      </c>
      <c r="AP193" s="486">
        <f t="shared" si="428"/>
        <v>1841.8240000000001</v>
      </c>
      <c r="AQ193" s="490">
        <f t="shared" si="428"/>
        <v>1959.5239999999999</v>
      </c>
      <c r="AR193" s="485">
        <f t="shared" si="428"/>
        <v>2098.5239999999999</v>
      </c>
      <c r="AS193" s="485">
        <f t="shared" si="428"/>
        <v>2260.2240000000002</v>
      </c>
      <c r="AT193" s="854">
        <f t="shared" si="428"/>
        <v>2348.0239999999999</v>
      </c>
      <c r="AU193" s="490">
        <f t="shared" si="428"/>
        <v>2348.0239999999999</v>
      </c>
      <c r="AV193" s="490">
        <f>SUM(AV169:AV191)</f>
        <v>2388.8240000000001</v>
      </c>
      <c r="AW193" s="485">
        <f>SUM(AW169:AW191)</f>
        <v>2418.7949999999996</v>
      </c>
      <c r="AX193" s="485">
        <f>SUM(AX169:AX191)</f>
        <v>2444.991</v>
      </c>
      <c r="AY193" s="854">
        <f>SUM(AY169:AY191)</f>
        <v>2467.1240000000003</v>
      </c>
      <c r="AZ193" s="486">
        <f t="shared" si="428"/>
        <v>2467.1240000000003</v>
      </c>
      <c r="BA193" s="490">
        <f>SUM(BA169:BA191)</f>
        <v>2464.6239999999993</v>
      </c>
      <c r="BB193" s="485">
        <f>SUM(BB169:BB191)</f>
        <v>2511.2239999999997</v>
      </c>
      <c r="BC193" s="485">
        <f>SUM(BC169:BC191)</f>
        <v>2583.1239999999998</v>
      </c>
      <c r="BD193" s="854">
        <f>SUM(BD169:BD191)</f>
        <v>2617.5239999999999</v>
      </c>
      <c r="BE193" s="486">
        <f t="shared" si="428"/>
        <v>2617.5239999999999</v>
      </c>
      <c r="BF193" s="485">
        <f t="shared" si="428"/>
        <v>2625.4940000000001</v>
      </c>
      <c r="BG193" s="485">
        <f t="shared" si="428"/>
        <v>2603.4</v>
      </c>
      <c r="BH193" s="485">
        <f t="shared" si="428"/>
        <v>2604.9179999999997</v>
      </c>
      <c r="BI193" s="854">
        <f t="shared" si="428"/>
        <v>2602.73</v>
      </c>
      <c r="BJ193" s="486">
        <f t="shared" ref="BJ193:CF193" si="429">SUM(BJ169:BJ191)</f>
        <v>2602.73</v>
      </c>
      <c r="BK193" s="485">
        <f t="shared" si="429"/>
        <v>2606.2069999999999</v>
      </c>
      <c r="BL193" s="485">
        <f t="shared" si="429"/>
        <v>2607.741</v>
      </c>
      <c r="BM193" s="485">
        <f t="shared" si="429"/>
        <v>2608.1749999999997</v>
      </c>
      <c r="BN193" s="854">
        <f t="shared" si="429"/>
        <v>2447.8969999999999</v>
      </c>
      <c r="BO193" s="486">
        <f t="shared" si="429"/>
        <v>2447.8969999999999</v>
      </c>
      <c r="BP193" s="485">
        <f t="shared" si="429"/>
        <v>2457.4970000000003</v>
      </c>
      <c r="BQ193" s="485">
        <f t="shared" si="429"/>
        <v>2457.4970000000003</v>
      </c>
      <c r="BR193" s="485">
        <f t="shared" si="429"/>
        <v>2467.0970000000002</v>
      </c>
      <c r="BS193" s="485">
        <f t="shared" si="429"/>
        <v>2467.0970000000002</v>
      </c>
      <c r="BT193" s="486">
        <f t="shared" ref="BT193:BY193" si="430">SUM(BT169:BT191)</f>
        <v>2467.0970000000002</v>
      </c>
      <c r="BU193" s="485">
        <f t="shared" si="430"/>
        <v>2476.6970000000001</v>
      </c>
      <c r="BV193" s="485">
        <f t="shared" si="430"/>
        <v>2476.6970000000001</v>
      </c>
      <c r="BW193" s="485">
        <f t="shared" si="430"/>
        <v>2486.297</v>
      </c>
      <c r="BX193" s="485">
        <f t="shared" si="430"/>
        <v>2486.297</v>
      </c>
      <c r="BY193" s="486">
        <f t="shared" si="430"/>
        <v>2486.297</v>
      </c>
      <c r="BZ193" s="486">
        <f t="shared" si="429"/>
        <v>2505.4969999999998</v>
      </c>
      <c r="CA193" s="486">
        <f t="shared" si="429"/>
        <v>2524.6970000000001</v>
      </c>
      <c r="CB193" s="486">
        <f t="shared" si="429"/>
        <v>2543.8969999999999</v>
      </c>
      <c r="CC193" s="486">
        <f t="shared" si="429"/>
        <v>2563.0970000000002</v>
      </c>
      <c r="CD193" s="486">
        <f t="shared" si="429"/>
        <v>2582.297</v>
      </c>
      <c r="CE193" s="486">
        <f t="shared" si="429"/>
        <v>2601.4969999999998</v>
      </c>
      <c r="CF193" s="486">
        <f t="shared" si="429"/>
        <v>2601.4969999999998</v>
      </c>
      <c r="CG193" s="454"/>
      <c r="CH193" s="454"/>
      <c r="CI193" s="454"/>
      <c r="CJ193" s="454"/>
      <c r="CK193" s="454"/>
      <c r="CL193" s="2211" t="str">
        <f>A193</f>
        <v>Total Growth Capex</v>
      </c>
      <c r="CM193" s="485">
        <f t="shared" si="402"/>
        <v>29.957000000000001</v>
      </c>
      <c r="CN193" s="485">
        <f t="shared" si="403"/>
        <v>100.59200000000001</v>
      </c>
      <c r="CO193" s="485">
        <f t="shared" si="404"/>
        <v>445.37500000000006</v>
      </c>
      <c r="CP193" s="485">
        <f t="shared" si="405"/>
        <v>734.33</v>
      </c>
      <c r="CQ193" s="485">
        <f t="shared" si="406"/>
        <v>1012.0240000000001</v>
      </c>
      <c r="CR193" s="485">
        <f t="shared" si="407"/>
        <v>1245.624</v>
      </c>
      <c r="CS193" s="485">
        <f t="shared" si="408"/>
        <v>1562.5740000000001</v>
      </c>
      <c r="CT193" s="485">
        <f t="shared" si="409"/>
        <v>1841.8240000000001</v>
      </c>
      <c r="CU193" s="485">
        <f t="shared" si="410"/>
        <v>2348.0239999999999</v>
      </c>
      <c r="CV193" s="485">
        <f t="shared" si="411"/>
        <v>2467.1240000000003</v>
      </c>
      <c r="CW193" s="485">
        <f t="shared" si="412"/>
        <v>2617.5239999999999</v>
      </c>
      <c r="CX193" s="485">
        <f t="shared" si="413"/>
        <v>2602.73</v>
      </c>
      <c r="CY193" s="485">
        <f t="shared" si="414"/>
        <v>2447.8969999999999</v>
      </c>
      <c r="CZ193" s="485">
        <f t="shared" si="415"/>
        <v>2467.0970000000002</v>
      </c>
      <c r="DA193" s="485">
        <f t="shared" si="416"/>
        <v>2486.297</v>
      </c>
      <c r="DB193" s="485">
        <f t="shared" si="417"/>
        <v>2505.4969999999998</v>
      </c>
      <c r="DC193" s="854">
        <f t="shared" si="418"/>
        <v>2524.6970000000001</v>
      </c>
      <c r="DD193" s="454"/>
      <c r="DE193" s="454"/>
      <c r="DF193" s="463"/>
      <c r="DG193" s="463"/>
      <c r="DH193" s="485"/>
      <c r="DI193" s="3213"/>
      <c r="DJ193" s="463"/>
      <c r="DK193" s="463"/>
      <c r="DL193" s="463"/>
      <c r="DM193" s="463"/>
      <c r="DN193" s="463"/>
      <c r="DO193" s="463"/>
      <c r="DP193" s="463"/>
      <c r="DQ193" s="463"/>
      <c r="DR193" s="430"/>
      <c r="DS193" s="430"/>
      <c r="DT193" s="430"/>
      <c r="DU193"/>
      <c r="DV193"/>
      <c r="DW193"/>
      <c r="DX193"/>
      <c r="DY193"/>
      <c r="DZ193"/>
    </row>
    <row r="194" spans="1:130" ht="12" customHeight="1" x14ac:dyDescent="0.25">
      <c r="A194" s="989"/>
      <c r="B194" s="488"/>
      <c r="C194" s="488"/>
      <c r="D194" s="488"/>
      <c r="E194" s="488"/>
      <c r="F194" s="488"/>
      <c r="G194" s="489"/>
      <c r="H194" s="488"/>
      <c r="I194" s="488"/>
      <c r="J194" s="488"/>
      <c r="K194" s="488"/>
      <c r="L194" s="489"/>
      <c r="M194" s="488"/>
      <c r="N194" s="488"/>
      <c r="O194" s="488"/>
      <c r="P194" s="488"/>
      <c r="Q194" s="489"/>
      <c r="R194" s="488"/>
      <c r="S194" s="488"/>
      <c r="T194" s="488"/>
      <c r="U194" s="488"/>
      <c r="V194" s="489"/>
      <c r="W194" s="488"/>
      <c r="X194" s="488"/>
      <c r="Y194" s="488"/>
      <c r="Z194" s="488"/>
      <c r="AA194" s="489"/>
      <c r="AB194" s="488"/>
      <c r="AC194" s="488"/>
      <c r="AD194" s="488"/>
      <c r="AE194" s="485"/>
      <c r="AF194" s="486"/>
      <c r="AG194" s="485"/>
      <c r="AH194" s="485"/>
      <c r="AI194" s="485"/>
      <c r="AJ194" s="485"/>
      <c r="AK194" s="486"/>
      <c r="AL194" s="485"/>
      <c r="AM194" s="485"/>
      <c r="AN194" s="485"/>
      <c r="AO194" s="485"/>
      <c r="AP194" s="486"/>
      <c r="AQ194" s="490"/>
      <c r="AR194" s="485"/>
      <c r="AS194" s="485"/>
      <c r="AT194" s="854"/>
      <c r="AU194" s="490"/>
      <c r="AV194" s="490"/>
      <c r="AW194" s="485"/>
      <c r="AX194" s="485"/>
      <c r="AY194" s="854"/>
      <c r="AZ194" s="486"/>
      <c r="BA194" s="490"/>
      <c r="BB194" s="485"/>
      <c r="BC194" s="485"/>
      <c r="BD194" s="854"/>
      <c r="BE194" s="486"/>
      <c r="BF194" s="485"/>
      <c r="BG194" s="485"/>
      <c r="BH194" s="485"/>
      <c r="BI194" s="854"/>
      <c r="BJ194" s="486"/>
      <c r="BK194" s="485"/>
      <c r="BL194" s="485"/>
      <c r="BM194" s="485"/>
      <c r="BN194" s="854"/>
      <c r="BO194" s="486"/>
      <c r="BP194" s="485"/>
      <c r="BQ194" s="485"/>
      <c r="BR194" s="485"/>
      <c r="BS194" s="485"/>
      <c r="BT194" s="486"/>
      <c r="BU194" s="490"/>
      <c r="BV194" s="485"/>
      <c r="BW194" s="485"/>
      <c r="BX194" s="485"/>
      <c r="BY194" s="486"/>
      <c r="BZ194" s="486"/>
      <c r="CA194" s="486"/>
      <c r="CB194" s="486"/>
      <c r="CC194" s="486"/>
      <c r="CD194" s="486"/>
      <c r="CE194" s="486"/>
      <c r="CF194" s="486"/>
      <c r="CG194" s="454"/>
      <c r="CH194" s="454"/>
      <c r="CI194" s="454"/>
      <c r="CJ194" s="454"/>
      <c r="CK194" s="454"/>
      <c r="CL194" s="2211"/>
      <c r="CM194" s="485"/>
      <c r="CN194" s="485"/>
      <c r="CO194" s="485"/>
      <c r="CP194" s="485"/>
      <c r="CQ194" s="485"/>
      <c r="CR194" s="485"/>
      <c r="CS194" s="485"/>
      <c r="CT194" s="485"/>
      <c r="CU194" s="485"/>
      <c r="CV194" s="485"/>
      <c r="CW194" s="485"/>
      <c r="CX194" s="485"/>
      <c r="CY194" s="485"/>
      <c r="CZ194" s="485"/>
      <c r="DA194" s="485"/>
      <c r="DB194" s="485"/>
      <c r="DC194" s="854"/>
      <c r="DD194" s="454"/>
      <c r="DE194" s="454"/>
      <c r="DF194" s="463"/>
      <c r="DG194" s="463"/>
      <c r="DH194" s="485"/>
      <c r="DI194" s="3213"/>
      <c r="DJ194" s="463"/>
      <c r="DK194" s="463"/>
      <c r="DL194" s="463"/>
      <c r="DM194" s="463"/>
      <c r="DN194" s="463"/>
      <c r="DO194" s="463"/>
      <c r="DP194" s="463"/>
      <c r="DQ194" s="463"/>
      <c r="DR194" s="430"/>
      <c r="DS194" s="430"/>
      <c r="DT194" s="430"/>
    </row>
    <row r="195" spans="1:130" ht="12.75" customHeight="1" x14ac:dyDescent="0.25">
      <c r="A195" s="2458" t="s">
        <v>490</v>
      </c>
      <c r="B195" s="2459"/>
      <c r="C195" s="2459" t="str">
        <f>C$6</f>
        <v>1Q04</v>
      </c>
      <c r="D195" s="2459" t="str">
        <f t="shared" ref="D195:CB195" si="431">D$6</f>
        <v>2Q04</v>
      </c>
      <c r="E195" s="2459" t="str">
        <f t="shared" si="431"/>
        <v>3Q04</v>
      </c>
      <c r="F195" s="2459" t="str">
        <f t="shared" si="431"/>
        <v>4Q04</v>
      </c>
      <c r="G195" s="2460">
        <f t="shared" si="431"/>
        <v>2004</v>
      </c>
      <c r="H195" s="2459" t="str">
        <f t="shared" si="431"/>
        <v>1Q05</v>
      </c>
      <c r="I195" s="2459" t="str">
        <f t="shared" si="431"/>
        <v>2Q05</v>
      </c>
      <c r="J195" s="2459" t="str">
        <f t="shared" si="431"/>
        <v>3Q05</v>
      </c>
      <c r="K195" s="2459" t="str">
        <f t="shared" si="431"/>
        <v>4Q05</v>
      </c>
      <c r="L195" s="2460">
        <f t="shared" si="431"/>
        <v>2005</v>
      </c>
      <c r="M195" s="2459" t="str">
        <f t="shared" si="431"/>
        <v>1Q06</v>
      </c>
      <c r="N195" s="2459" t="str">
        <f t="shared" si="431"/>
        <v>2Q06</v>
      </c>
      <c r="O195" s="2459" t="str">
        <f t="shared" si="431"/>
        <v>3Q06</v>
      </c>
      <c r="P195" s="2459" t="str">
        <f t="shared" si="431"/>
        <v>4Q06</v>
      </c>
      <c r="Q195" s="2460">
        <f t="shared" si="431"/>
        <v>2006</v>
      </c>
      <c r="R195" s="2459" t="str">
        <f t="shared" si="431"/>
        <v>1Q07</v>
      </c>
      <c r="S195" s="2459" t="str">
        <f t="shared" si="431"/>
        <v>2Q07</v>
      </c>
      <c r="T195" s="2459" t="str">
        <f t="shared" si="431"/>
        <v>3Q07</v>
      </c>
      <c r="U195" s="2459" t="str">
        <f t="shared" si="431"/>
        <v>4Q07</v>
      </c>
      <c r="V195" s="2460">
        <f t="shared" si="431"/>
        <v>2007</v>
      </c>
      <c r="W195" s="2459" t="str">
        <f t="shared" si="431"/>
        <v>1Q08</v>
      </c>
      <c r="X195" s="2459" t="str">
        <f t="shared" si="431"/>
        <v>2Q08</v>
      </c>
      <c r="Y195" s="2459" t="str">
        <f t="shared" si="431"/>
        <v>3Q08</v>
      </c>
      <c r="Z195" s="2459" t="str">
        <f t="shared" si="431"/>
        <v>4Q08</v>
      </c>
      <c r="AA195" s="2460">
        <f t="shared" si="431"/>
        <v>2008</v>
      </c>
      <c r="AB195" s="2459" t="str">
        <f t="shared" si="431"/>
        <v>1Q09</v>
      </c>
      <c r="AC195" s="2459" t="str">
        <f t="shared" si="431"/>
        <v>2Q09</v>
      </c>
      <c r="AD195" s="2459" t="str">
        <f t="shared" si="431"/>
        <v>3Q09</v>
      </c>
      <c r="AE195" s="2459" t="str">
        <f t="shared" si="431"/>
        <v>4Q09</v>
      </c>
      <c r="AF195" s="2460">
        <f t="shared" si="431"/>
        <v>2009</v>
      </c>
      <c r="AG195" s="2461" t="str">
        <f t="shared" si="431"/>
        <v>1Q10</v>
      </c>
      <c r="AH195" s="2459" t="str">
        <f t="shared" si="431"/>
        <v>2Q10</v>
      </c>
      <c r="AI195" s="2459" t="str">
        <f t="shared" si="431"/>
        <v>3Q10</v>
      </c>
      <c r="AJ195" s="2462" t="str">
        <f t="shared" si="431"/>
        <v>4Q10</v>
      </c>
      <c r="AK195" s="2460">
        <f t="shared" si="431"/>
        <v>2010</v>
      </c>
      <c r="AL195" s="2461" t="str">
        <f t="shared" si="431"/>
        <v>1Q11</v>
      </c>
      <c r="AM195" s="2459" t="str">
        <f t="shared" si="431"/>
        <v>2Q11</v>
      </c>
      <c r="AN195" s="2459" t="str">
        <f t="shared" si="431"/>
        <v>3Q11</v>
      </c>
      <c r="AO195" s="2462" t="str">
        <f t="shared" si="431"/>
        <v>4Q11</v>
      </c>
      <c r="AP195" s="2460">
        <f t="shared" si="431"/>
        <v>2011</v>
      </c>
      <c r="AQ195" s="2461" t="str">
        <f t="shared" si="431"/>
        <v>1Q12</v>
      </c>
      <c r="AR195" s="2459" t="str">
        <f t="shared" si="431"/>
        <v>2Q12</v>
      </c>
      <c r="AS195" s="2459" t="str">
        <f t="shared" si="431"/>
        <v>3Q12</v>
      </c>
      <c r="AT195" s="2462" t="str">
        <f t="shared" si="431"/>
        <v>4Q12</v>
      </c>
      <c r="AU195" s="2460">
        <f t="shared" si="431"/>
        <v>2012</v>
      </c>
      <c r="AV195" s="2461" t="str">
        <f t="shared" si="431"/>
        <v>1Q13</v>
      </c>
      <c r="AW195" s="2459" t="str">
        <f t="shared" si="431"/>
        <v>2Q13</v>
      </c>
      <c r="AX195" s="2459" t="str">
        <f t="shared" si="431"/>
        <v>3Q13</v>
      </c>
      <c r="AY195" s="2462" t="str">
        <f t="shared" si="431"/>
        <v>4Q13</v>
      </c>
      <c r="AZ195" s="2460">
        <f t="shared" si="431"/>
        <v>2013</v>
      </c>
      <c r="BA195" s="2461" t="str">
        <f t="shared" si="431"/>
        <v>1Q14</v>
      </c>
      <c r="BB195" s="2459" t="str">
        <f t="shared" si="431"/>
        <v>2Q14</v>
      </c>
      <c r="BC195" s="2459" t="str">
        <f t="shared" si="431"/>
        <v>3Q14</v>
      </c>
      <c r="BD195" s="2462" t="str">
        <f t="shared" si="431"/>
        <v>4Q14</v>
      </c>
      <c r="BE195" s="2460">
        <f t="shared" si="431"/>
        <v>2014</v>
      </c>
      <c r="BF195" s="2459" t="str">
        <f t="shared" si="431"/>
        <v>1Q15</v>
      </c>
      <c r="BG195" s="2459" t="str">
        <f t="shared" si="431"/>
        <v>2Q15</v>
      </c>
      <c r="BH195" s="2459" t="str">
        <f t="shared" si="431"/>
        <v>3Q15</v>
      </c>
      <c r="BI195" s="2462" t="str">
        <f t="shared" si="431"/>
        <v>4Q15</v>
      </c>
      <c r="BJ195" s="2460">
        <f t="shared" si="431"/>
        <v>2015</v>
      </c>
      <c r="BK195" s="2459" t="str">
        <f t="shared" si="431"/>
        <v>1Q16</v>
      </c>
      <c r="BL195" s="2459" t="str">
        <f t="shared" si="431"/>
        <v>2Q16</v>
      </c>
      <c r="BM195" s="2459" t="str">
        <f t="shared" si="431"/>
        <v>3Q16</v>
      </c>
      <c r="BN195" s="2462" t="str">
        <f t="shared" si="431"/>
        <v>4Q16</v>
      </c>
      <c r="BO195" s="2460">
        <f t="shared" si="431"/>
        <v>2016</v>
      </c>
      <c r="BP195" s="2459" t="str">
        <f t="shared" si="431"/>
        <v>1Q17</v>
      </c>
      <c r="BQ195" s="2459" t="str">
        <f t="shared" si="431"/>
        <v>2Q17</v>
      </c>
      <c r="BR195" s="2459" t="str">
        <f t="shared" si="431"/>
        <v>3Q17</v>
      </c>
      <c r="BS195" s="2459" t="str">
        <f t="shared" si="431"/>
        <v>4Q17</v>
      </c>
      <c r="BT195" s="2460">
        <f t="shared" si="431"/>
        <v>2017</v>
      </c>
      <c r="BU195" s="2459" t="str">
        <f t="shared" si="431"/>
        <v>1Q18E</v>
      </c>
      <c r="BV195" s="2459" t="str">
        <f t="shared" si="431"/>
        <v>2Q18E</v>
      </c>
      <c r="BW195" s="2459" t="str">
        <f t="shared" si="431"/>
        <v>3Q18E</v>
      </c>
      <c r="BX195" s="2459" t="str">
        <f t="shared" si="431"/>
        <v>4Q18E</v>
      </c>
      <c r="BY195" s="2460" t="str">
        <f t="shared" si="431"/>
        <v>2018E</v>
      </c>
      <c r="BZ195" s="2460" t="str">
        <f t="shared" si="431"/>
        <v>2019E</v>
      </c>
      <c r="CA195" s="2460" t="str">
        <f t="shared" si="431"/>
        <v>2020E</v>
      </c>
      <c r="CB195" s="2460" t="str">
        <f t="shared" si="431"/>
        <v>2021E</v>
      </c>
      <c r="CC195" s="2460" t="str">
        <f>CC$6</f>
        <v>2022E</v>
      </c>
      <c r="CD195" s="2460" t="str">
        <f>CD$6</f>
        <v>2023E</v>
      </c>
      <c r="CE195" s="2460" t="str">
        <f>CE$6</f>
        <v>2024E</v>
      </c>
      <c r="CF195" s="2460" t="str">
        <f>CF$6</f>
        <v>2025E</v>
      </c>
      <c r="CG195" s="281"/>
      <c r="CH195" s="281"/>
      <c r="CI195" s="281"/>
      <c r="CJ195" s="281"/>
      <c r="CK195" s="2458" t="str">
        <f>A195</f>
        <v>Return on Equity / Assets</v>
      </c>
      <c r="CL195" s="2459">
        <f>G195</f>
        <v>2004</v>
      </c>
      <c r="CM195" s="2459">
        <f>L195</f>
        <v>2005</v>
      </c>
      <c r="CN195" s="2459">
        <f>Q195</f>
        <v>2006</v>
      </c>
      <c r="CO195" s="2459">
        <f>V195</f>
        <v>2007</v>
      </c>
      <c r="CP195" s="2459">
        <f>AA195</f>
        <v>2008</v>
      </c>
      <c r="CQ195" s="2459">
        <f>AF195</f>
        <v>2009</v>
      </c>
      <c r="CR195" s="2459">
        <f>AK195</f>
        <v>2010</v>
      </c>
      <c r="CS195" s="2459">
        <f>AP195</f>
        <v>2011</v>
      </c>
      <c r="CT195" s="2459">
        <f>AU195</f>
        <v>2012</v>
      </c>
      <c r="CU195" s="2459">
        <f>AZ195</f>
        <v>2013</v>
      </c>
      <c r="CV195" s="2459">
        <f>BE195</f>
        <v>2014</v>
      </c>
      <c r="CW195" s="2459">
        <f>BJ195</f>
        <v>2015</v>
      </c>
      <c r="CX195" s="2459">
        <f>BO195</f>
        <v>2016</v>
      </c>
      <c r="CY195" s="2459">
        <f>BT195</f>
        <v>2017</v>
      </c>
      <c r="CZ195" s="2459" t="str">
        <f>BY195</f>
        <v>2018E</v>
      </c>
      <c r="DA195" s="2459" t="str">
        <f>BZ195</f>
        <v>2019E</v>
      </c>
      <c r="DB195" s="2462" t="str">
        <f>CA195</f>
        <v>2020E</v>
      </c>
      <c r="DC195" s="281"/>
      <c r="DD195" s="281"/>
      <c r="DE195" s="281"/>
      <c r="DF195" s="281"/>
      <c r="DG195" s="281"/>
      <c r="DH195" s="3292"/>
    </row>
    <row r="196" spans="1:130" ht="12.75" customHeight="1" x14ac:dyDescent="0.25">
      <c r="A196" s="285"/>
      <c r="B196" s="2463"/>
      <c r="C196" s="281"/>
      <c r="D196" s="281"/>
      <c r="E196" s="281"/>
      <c r="F196" s="281"/>
      <c r="G196" s="419"/>
      <c r="H196" s="281"/>
      <c r="I196" s="281"/>
      <c r="J196" s="281"/>
      <c r="K196" s="281"/>
      <c r="L196" s="419"/>
      <c r="M196" s="281"/>
      <c r="N196" s="281"/>
      <c r="O196" s="281"/>
      <c r="P196" s="281"/>
      <c r="Q196" s="419"/>
      <c r="R196" s="281"/>
      <c r="S196" s="281"/>
      <c r="T196" s="281"/>
      <c r="U196" s="281"/>
      <c r="V196" s="419"/>
      <c r="W196" s="281"/>
      <c r="X196" s="281"/>
      <c r="Y196" s="281"/>
      <c r="Z196" s="281"/>
      <c r="AA196" s="419"/>
      <c r="AB196" s="281"/>
      <c r="AC196" s="281"/>
      <c r="AD196" s="281"/>
      <c r="AE196" s="281"/>
      <c r="AF196" s="419"/>
      <c r="AG196" s="281"/>
      <c r="AH196" s="281"/>
      <c r="AI196" s="281"/>
      <c r="AJ196" s="281"/>
      <c r="AK196" s="419"/>
      <c r="AL196" s="281"/>
      <c r="AM196" s="281"/>
      <c r="AN196" s="281"/>
      <c r="AO196" s="281"/>
      <c r="AP196" s="419"/>
      <c r="AQ196" s="281"/>
      <c r="AR196" s="281"/>
      <c r="AS196" s="281"/>
      <c r="AT196" s="281"/>
      <c r="AU196" s="419"/>
      <c r="AV196" s="281"/>
      <c r="AW196" s="281"/>
      <c r="AX196" s="281"/>
      <c r="AY196" s="281"/>
      <c r="AZ196" s="419"/>
      <c r="BA196" s="281"/>
      <c r="BB196" s="281"/>
      <c r="BC196" s="281"/>
      <c r="BD196" s="281"/>
      <c r="BE196" s="419"/>
      <c r="BF196" s="281"/>
      <c r="BG196" s="281"/>
      <c r="BH196" s="281"/>
      <c r="BI196" s="281"/>
      <c r="BJ196" s="419"/>
      <c r="BK196" s="281"/>
      <c r="BL196" s="281"/>
      <c r="BM196" s="281"/>
      <c r="BN196" s="281"/>
      <c r="BO196" s="419"/>
      <c r="BP196" s="281"/>
      <c r="BQ196" s="281"/>
      <c r="BR196" s="281"/>
      <c r="BS196" s="281"/>
      <c r="BT196" s="2757"/>
      <c r="BY196" s="2757"/>
      <c r="BZ196" s="419"/>
      <c r="CA196" s="419"/>
      <c r="CB196" s="419"/>
      <c r="CC196" s="419"/>
      <c r="CD196" s="419"/>
      <c r="CE196" s="419"/>
      <c r="CF196" s="419"/>
      <c r="CG196" s="281"/>
      <c r="CH196" s="281"/>
      <c r="CI196" s="281"/>
      <c r="CJ196" s="281"/>
      <c r="CK196" s="285"/>
      <c r="CL196" s="281"/>
      <c r="CM196" s="281"/>
      <c r="CN196" s="281"/>
      <c r="CO196" s="281"/>
      <c r="CP196" s="281"/>
      <c r="CQ196" s="281"/>
      <c r="CR196" s="281"/>
      <c r="CS196" s="281"/>
      <c r="CT196" s="281"/>
      <c r="CU196" s="281"/>
      <c r="CV196" s="281"/>
      <c r="CW196" s="281"/>
      <c r="CX196" s="281"/>
      <c r="CY196" s="281"/>
      <c r="CZ196" s="281"/>
      <c r="DA196" s="281"/>
      <c r="DB196" s="286"/>
      <c r="DC196" s="281"/>
      <c r="DD196" s="281"/>
      <c r="DE196" s="281"/>
      <c r="DF196" s="281"/>
      <c r="DG196" s="281"/>
      <c r="DH196" s="3011"/>
    </row>
    <row r="197" spans="1:130" ht="12.75" customHeight="1" x14ac:dyDescent="0.25">
      <c r="A197" s="2464" t="s">
        <v>491</v>
      </c>
      <c r="B197" s="2463"/>
      <c r="C197" s="430"/>
      <c r="D197" s="430"/>
      <c r="E197" s="430"/>
      <c r="F197" s="430"/>
      <c r="G197" s="481"/>
      <c r="H197" s="883">
        <f>(H54+F54+E54+D54)</f>
        <v>287.52700000000004</v>
      </c>
      <c r="I197" s="883">
        <f>(I54+H54+F54+E54)</f>
        <v>290.286</v>
      </c>
      <c r="J197" s="883">
        <f>(J54+I54+H54+F54)</f>
        <v>296.46899999999999</v>
      </c>
      <c r="K197" s="883">
        <f>(K54+J54+I54+H54)</f>
        <v>373.28599999999994</v>
      </c>
      <c r="L197" s="884">
        <f>+K197</f>
        <v>373.28599999999994</v>
      </c>
      <c r="M197" s="883">
        <f>(M54+K54+J54+I54)</f>
        <v>465.928</v>
      </c>
      <c r="N197" s="883">
        <f>(N54+M54+K54+J54)</f>
        <v>542.447</v>
      </c>
      <c r="O197" s="883">
        <f>(O54+N54+M54+K54)</f>
        <v>626.70900000000006</v>
      </c>
      <c r="P197" s="883">
        <f>(P54+O54+N54+M54)</f>
        <v>629.22500000000002</v>
      </c>
      <c r="Q197" s="884">
        <f>+P197</f>
        <v>629.22500000000002</v>
      </c>
      <c r="R197" s="883">
        <f>(R54+P54+O54+N54)</f>
        <v>632.10900000000004</v>
      </c>
      <c r="S197" s="883">
        <f>(S54+R54+P54+O54)</f>
        <v>649.73299999999995</v>
      </c>
      <c r="T197" s="883">
        <f>(T54+S54+R54+P54)</f>
        <v>664.53400000000011</v>
      </c>
      <c r="U197" s="883">
        <f>(U54+T54+S54+R54)</f>
        <v>672.72700000000009</v>
      </c>
      <c r="V197" s="884">
        <f>+U197</f>
        <v>672.72700000000009</v>
      </c>
      <c r="W197" s="883">
        <f>(W54+U54+T54+S54)</f>
        <v>666.87699999999995</v>
      </c>
      <c r="X197" s="883">
        <f>(X54+W54+U54+T54)</f>
        <v>658.36799999999994</v>
      </c>
      <c r="Y197" s="883">
        <f>(Y54+X54+W54+U54)</f>
        <v>649.02699999999993</v>
      </c>
      <c r="Z197" s="883">
        <f>(Z54+Y54+X54+W54)</f>
        <v>639.57799999999997</v>
      </c>
      <c r="AA197" s="884">
        <f>+Z197</f>
        <v>639.57799999999997</v>
      </c>
      <c r="AB197" s="883">
        <f>(AB54+Z54+Y54+X54)</f>
        <v>636.58799999999997</v>
      </c>
      <c r="AC197" s="883">
        <f>(AC54+AB54+Z54+Y54)</f>
        <v>614.06900000000007</v>
      </c>
      <c r="AD197" s="883">
        <f>(AD54+AC54+AB54+Z54)</f>
        <v>602.41599999999994</v>
      </c>
      <c r="AE197" s="883">
        <f>(AE54+AD54+AC54+AB54)</f>
        <v>590.94899999999996</v>
      </c>
      <c r="AF197" s="884">
        <f>+AE197</f>
        <v>590.94899999999996</v>
      </c>
      <c r="AG197" s="883">
        <f>(AG54+AE54+AD54+AC54)</f>
        <v>581.20800000000008</v>
      </c>
      <c r="AH197" s="883">
        <f>(AH54+AG54+AE54+AD54)</f>
        <v>588.30399999999997</v>
      </c>
      <c r="AI197" s="883">
        <f>(AI54+AH54+AG54+AE54)</f>
        <v>596.471</v>
      </c>
      <c r="AJ197" s="883">
        <f>(AJ54+AI54+AH54+AG54)</f>
        <v>613.0390000000001</v>
      </c>
      <c r="AK197" s="884">
        <f>+AJ197</f>
        <v>613.0390000000001</v>
      </c>
      <c r="AL197" s="883">
        <f>(AL54+AJ54+AI54+AH54)</f>
        <v>641.95600000000002</v>
      </c>
      <c r="AM197" s="883">
        <f>(AM54+AL54+AJ54+AI54)</f>
        <v>683.71</v>
      </c>
      <c r="AN197" s="883">
        <f>(AN54+AM54+AL54+AJ54)</f>
        <v>710.80700000000002</v>
      </c>
      <c r="AO197" s="883">
        <f>(AO54+AN54+AM54+AL54)</f>
        <v>721.7940000000001</v>
      </c>
      <c r="AP197" s="884">
        <f>+AO197</f>
        <v>721.7940000000001</v>
      </c>
      <c r="AQ197" s="883">
        <f>(AQ54+AO54+AN54+AM54)</f>
        <v>750.899</v>
      </c>
      <c r="AR197" s="883">
        <f>(AR54+AQ54+AO54+AN54)</f>
        <v>759.51700000000005</v>
      </c>
      <c r="AS197" s="883">
        <f>(AS54+AR54+AQ54+AO54)</f>
        <v>765.702</v>
      </c>
      <c r="AT197" s="883">
        <f>(AT54+AS54+AR54+AQ54)</f>
        <v>789.53199999999993</v>
      </c>
      <c r="AU197" s="884">
        <f>+AT197</f>
        <v>789.53199999999993</v>
      </c>
      <c r="AV197" s="883">
        <f>(AV54+AT54+AS54+AR54)</f>
        <v>810.19899999999996</v>
      </c>
      <c r="AW197" s="883">
        <f>(AW54+AV54+AT54+AS54)</f>
        <v>830.12099999999998</v>
      </c>
      <c r="AX197" s="883">
        <f>(AX54+AW54+AV54+AT54)</f>
        <v>822.82799999999997</v>
      </c>
      <c r="AY197" s="883">
        <f>(AY54+AX54+AW54+AV54)</f>
        <v>721.41700000000003</v>
      </c>
      <c r="AZ197" s="884">
        <f>+AY197</f>
        <v>721.41700000000003</v>
      </c>
      <c r="BA197" s="883">
        <f>(BA40+AY40+AX40+AW40)</f>
        <v>743.745</v>
      </c>
      <c r="BB197" s="883">
        <f>(BB40+BA40+AY40+AX40)</f>
        <v>711.45799999999997</v>
      </c>
      <c r="BC197" s="883">
        <f>(BC40+BB40+BA40+AY40)</f>
        <v>691.15499999999997</v>
      </c>
      <c r="BD197" s="883">
        <f>(BD40+BC40+BB40+BA40)</f>
        <v>709.99099999999999</v>
      </c>
      <c r="BE197" s="884">
        <f>+BD197</f>
        <v>709.99099999999999</v>
      </c>
      <c r="BF197" s="883">
        <f>(BF40+BD40+BC40+BB40)</f>
        <v>713.73699999999997</v>
      </c>
      <c r="BG197" s="883">
        <f>(BG40+BF40+BD40+BC40)</f>
        <v>722.28599999999994</v>
      </c>
      <c r="BH197" s="883">
        <f>(BH40+BG40+BF40+BD40)</f>
        <v>762.05299999999988</v>
      </c>
      <c r="BI197" s="883">
        <f>(BI40+BH40+BG40+BF40)</f>
        <v>796.35099999999989</v>
      </c>
      <c r="BJ197" s="884">
        <f>+BI197</f>
        <v>796.35099999999989</v>
      </c>
      <c r="BK197" s="883">
        <f>(BK40+BI40+BH40+BG40)</f>
        <v>824.85500000000002</v>
      </c>
      <c r="BL197" s="883">
        <f>(BL40+BK40+BI40+BH40)</f>
        <v>853.25299999999993</v>
      </c>
      <c r="BM197" s="883">
        <f>(BM40+BL40+BK40+BI40)</f>
        <v>854.25099999999998</v>
      </c>
      <c r="BN197" s="883">
        <f>(BN40+BM40+BL40+BK40)</f>
        <v>843.827</v>
      </c>
      <c r="BO197" s="884">
        <f>+BN197</f>
        <v>843.827</v>
      </c>
      <c r="BP197" s="883">
        <f>(BP40+BN40+BM40+BL40)</f>
        <v>852.654</v>
      </c>
      <c r="BQ197" s="883">
        <f>(BQ40+BP40+BN40+BM40)</f>
        <v>848.01200000000006</v>
      </c>
      <c r="BR197" s="883">
        <f>(BR40+BQ40+BP40+BN40)</f>
        <v>858.53899999999999</v>
      </c>
      <c r="BS197" s="883">
        <f>(BS40+BR40+BQ40+BP40)</f>
        <v>845.94600000000014</v>
      </c>
      <c r="BT197" s="884">
        <f>+BS197</f>
        <v>845.94600000000014</v>
      </c>
      <c r="BU197" s="3151">
        <f>(BU40+BS40+BR40+BQ40)</f>
        <v>853.79416787702519</v>
      </c>
      <c r="BV197" s="3151">
        <f>(BV40+BU40+BS40+BR40)</f>
        <v>872.30224459980286</v>
      </c>
      <c r="BW197" s="3151">
        <f>(BW40+BV40+BU40+BS40)</f>
        <v>1027.84331469734</v>
      </c>
      <c r="BX197" s="3151">
        <f>(BX40+BW40+BV40+BU40)</f>
        <v>1193.4537743384185</v>
      </c>
      <c r="BY197" s="3205">
        <f>+BX197</f>
        <v>1193.4537743384185</v>
      </c>
      <c r="BZ197" s="884">
        <f>BZ40</f>
        <v>1541.1009163027868</v>
      </c>
      <c r="CA197" s="884">
        <f>CA40</f>
        <v>1528.974999834531</v>
      </c>
      <c r="CB197" s="884">
        <f>CB54</f>
        <v>331.41049901397969</v>
      </c>
      <c r="CC197" s="884">
        <f>CC54</f>
        <v>265.50484095538252</v>
      </c>
      <c r="CD197" s="884">
        <f>CD54</f>
        <v>281.51134530596107</v>
      </c>
      <c r="CE197" s="884">
        <f>CE54</f>
        <v>298.73207446100207</v>
      </c>
      <c r="CF197" s="884">
        <f>CF54</f>
        <v>314.74699192055084</v>
      </c>
      <c r="CG197" s="281"/>
      <c r="CH197" s="281"/>
      <c r="CI197" s="281"/>
      <c r="CJ197" s="281"/>
      <c r="CK197" s="995" t="str">
        <f>A197</f>
        <v>TTM EBITDA</v>
      </c>
      <c r="CL197" s="430">
        <f>G197</f>
        <v>0</v>
      </c>
      <c r="CM197" s="430">
        <f>L197</f>
        <v>373.28599999999994</v>
      </c>
      <c r="CN197" s="430">
        <f>Q197</f>
        <v>629.22500000000002</v>
      </c>
      <c r="CO197" s="430">
        <f>V197</f>
        <v>672.72700000000009</v>
      </c>
      <c r="CP197" s="430">
        <f>AA197</f>
        <v>639.57799999999997</v>
      </c>
      <c r="CQ197" s="430">
        <f>AF197</f>
        <v>590.94899999999996</v>
      </c>
      <c r="CR197" s="430">
        <f>AK197</f>
        <v>613.0390000000001</v>
      </c>
      <c r="CS197" s="430">
        <f>AP197</f>
        <v>721.7940000000001</v>
      </c>
      <c r="CT197" s="430">
        <f>AU197</f>
        <v>789.53199999999993</v>
      </c>
      <c r="CU197" s="430">
        <f>AZ197</f>
        <v>721.41700000000003</v>
      </c>
      <c r="CV197" s="430">
        <f>BE197</f>
        <v>709.99099999999999</v>
      </c>
      <c r="CW197" s="430">
        <f>BJ197</f>
        <v>796.35099999999989</v>
      </c>
      <c r="CX197" s="430">
        <f>BO197</f>
        <v>843.827</v>
      </c>
      <c r="CY197" s="430">
        <f>BT197</f>
        <v>845.94600000000014</v>
      </c>
      <c r="CZ197" s="430">
        <f>BY197</f>
        <v>1193.4537743384185</v>
      </c>
      <c r="DA197" s="430">
        <f>BZ197</f>
        <v>1541.1009163027868</v>
      </c>
      <c r="DB197" s="853">
        <f>CA197</f>
        <v>1528.974999834531</v>
      </c>
      <c r="DC197" s="281"/>
      <c r="DD197" s="281"/>
      <c r="DE197" s="281"/>
      <c r="DF197" s="281"/>
      <c r="DG197" s="281"/>
      <c r="DH197" s="3151"/>
      <c r="DI197" s="3213"/>
    </row>
    <row r="198" spans="1:130" ht="12.75" customHeight="1" x14ac:dyDescent="0.25">
      <c r="A198" s="2465" t="s">
        <v>492</v>
      </c>
      <c r="B198" s="2463"/>
      <c r="C198" s="430"/>
      <c r="D198" s="430"/>
      <c r="E198" s="430"/>
      <c r="F198" s="430"/>
      <c r="G198" s="481"/>
      <c r="H198" s="526">
        <f>-(H68+F68+E68+D68)</f>
        <v>72.81</v>
      </c>
      <c r="I198" s="526">
        <f>-(I68+H68+F68+E68)</f>
        <v>65.926999999999992</v>
      </c>
      <c r="J198" s="526">
        <f>-(J68+I68+H68+F68)</f>
        <v>59.780999999999992</v>
      </c>
      <c r="K198" s="526">
        <f>-(K68+J68+I68+H68)</f>
        <v>89.343999999999994</v>
      </c>
      <c r="L198" s="527">
        <f>+K198</f>
        <v>89.343999999999994</v>
      </c>
      <c r="M198" s="526">
        <f>-(M68+K68+J68+I68)</f>
        <v>121.27</v>
      </c>
      <c r="N198" s="526">
        <f>-(N68+M68+K68+J68)</f>
        <v>156.71199999999999</v>
      </c>
      <c r="O198" s="526">
        <f>-(O68+N68+M68+K68)</f>
        <v>193.62</v>
      </c>
      <c r="P198" s="526">
        <f>-(P68+O68+N68+M68)</f>
        <v>196.328</v>
      </c>
      <c r="Q198" s="527">
        <f>+P198</f>
        <v>196.328</v>
      </c>
      <c r="R198" s="526">
        <f>-(R68+P68+O68+N68)</f>
        <v>196.24600000000001</v>
      </c>
      <c r="S198" s="526">
        <f>-(S68+R68+P68+O68)</f>
        <v>199.78200000000001</v>
      </c>
      <c r="T198" s="526">
        <f>-(T68+S68+R68+P68)</f>
        <v>200.25300000000001</v>
      </c>
      <c r="U198" s="526">
        <f>-(U68+T68+S68+R68)</f>
        <v>198.059</v>
      </c>
      <c r="V198" s="527">
        <f>+U198</f>
        <v>198.059</v>
      </c>
      <c r="W198" s="526">
        <f>-(W68+U68+T68+S68)</f>
        <v>196.92699999999999</v>
      </c>
      <c r="X198" s="526">
        <f>-(X68+W68+U68+T68)</f>
        <v>190.161</v>
      </c>
      <c r="Y198" s="526">
        <f>-(Y68+X68+W68+U68)</f>
        <v>177.83799999999999</v>
      </c>
      <c r="Z198" s="526">
        <f>-(Z68+Y68+X68+W68)</f>
        <v>169.827</v>
      </c>
      <c r="AA198" s="527">
        <f>+Z198</f>
        <v>169.827</v>
      </c>
      <c r="AB198" s="526">
        <f>-(AB68+Z68+Y68+X68)</f>
        <v>153.85</v>
      </c>
      <c r="AC198" s="526">
        <f>-(AC68+AB68+Z68+Y68)</f>
        <v>139.16499999999999</v>
      </c>
      <c r="AD198" s="526">
        <f>-(AD68+AC68+AB68+Z68)</f>
        <v>138.07</v>
      </c>
      <c r="AE198" s="526">
        <f>-(AE68+AD68+AC68+AB68)</f>
        <v>134.98399999999998</v>
      </c>
      <c r="AF198" s="527">
        <f>+AE198</f>
        <v>134.98399999999998</v>
      </c>
      <c r="AG198" s="526">
        <f>-(AG68+AE68+AD68+AC68)</f>
        <v>138.03800000000001</v>
      </c>
      <c r="AH198" s="526">
        <f>-(AH68+AG68+AE68+AD68)</f>
        <v>141.09800000000001</v>
      </c>
      <c r="AI198" s="526">
        <f>-(AI68+AH68+AG68+AE68)</f>
        <v>136.72500000000002</v>
      </c>
      <c r="AJ198" s="526">
        <f>-(AJ68+AI68+AH68+AG68)</f>
        <v>130.215</v>
      </c>
      <c r="AK198" s="527">
        <f>+AJ198</f>
        <v>130.215</v>
      </c>
      <c r="AL198" s="526">
        <f>-(AL68+AJ68+AI68+AH68)</f>
        <v>124.94900000000001</v>
      </c>
      <c r="AM198" s="526">
        <f>-(AM68+AL68+AJ68+AI68)</f>
        <v>118.14700000000002</v>
      </c>
      <c r="AN198" s="526">
        <f>-(AN68+AM68+AL68+AJ68)</f>
        <v>109.249</v>
      </c>
      <c r="AO198" s="526">
        <f>-(AO68+AN68+AM68+AL68)</f>
        <v>99.564000000000007</v>
      </c>
      <c r="AP198" s="527">
        <f>+AO198</f>
        <v>99.564000000000007</v>
      </c>
      <c r="AQ198" s="526">
        <f>-(AQ68+AO68+AN68+AM68)</f>
        <v>88.580999999999989</v>
      </c>
      <c r="AR198" s="526">
        <f>-(AR68+AQ68+AO68+AN68)</f>
        <v>80.295000000000002</v>
      </c>
      <c r="AS198" s="526">
        <f>-(AS68+AR68+AQ68+AO68)</f>
        <v>76.733999999999995</v>
      </c>
      <c r="AT198" s="526">
        <f>-(AT68+AS68+AR68+AQ68)</f>
        <v>81.44</v>
      </c>
      <c r="AU198" s="527">
        <f>+AT198</f>
        <v>81.44</v>
      </c>
      <c r="AV198" s="526">
        <f>-(AV68+AT68+AS68+AR68)</f>
        <v>91.320999999999998</v>
      </c>
      <c r="AW198" s="526">
        <f>-(AW68+AV68+AT68+AS68)</f>
        <v>100.55799999999999</v>
      </c>
      <c r="AX198" s="526">
        <f>-(AX68+AW68+AV68+AT68)</f>
        <v>105.66499999999999</v>
      </c>
      <c r="AY198" s="526">
        <f>-(AY68+AX68+AW68+AV68)</f>
        <v>97.091999999999985</v>
      </c>
      <c r="AZ198" s="527">
        <f>+AY198</f>
        <v>97.091999999999985</v>
      </c>
      <c r="BA198" s="526">
        <f>-(BA68+AY68+AX68+AW68)</f>
        <v>173.68199999999999</v>
      </c>
      <c r="BB198" s="526">
        <f>-(BB68+BA68+AY68+AX68)</f>
        <v>251.691</v>
      </c>
      <c r="BC198" s="526">
        <f>-(BC68+BB68+BA68+AY68)</f>
        <v>332.56400000000002</v>
      </c>
      <c r="BD198" s="526">
        <f>-(BD68+BC68+BB68+BA68)</f>
        <v>425.11399999999998</v>
      </c>
      <c r="BE198" s="527">
        <f>+BD198</f>
        <v>425.11399999999998</v>
      </c>
      <c r="BF198" s="526">
        <f>-(BF68+BD68+BC68+BB68)</f>
        <v>428.94599999999997</v>
      </c>
      <c r="BG198" s="526">
        <f>-(BG68+BF68+BD68+BC68)</f>
        <v>433.67499999999995</v>
      </c>
      <c r="BH198" s="526">
        <f>-(BH68+BG68+BF68+BD68)</f>
        <v>439.14799999999997</v>
      </c>
      <c r="BI198" s="526">
        <f>-(BI68+BH68+BG68+BF68)</f>
        <v>443.12700000000001</v>
      </c>
      <c r="BJ198" s="527">
        <f>+BI198</f>
        <v>443.12700000000001</v>
      </c>
      <c r="BK198" s="526">
        <f>-(BK68+BI68+BH68+BG68)</f>
        <v>451.29300000000001</v>
      </c>
      <c r="BL198" s="526">
        <f>-(BL68+BK68+BI68+BH68)</f>
        <v>456.18200000000002</v>
      </c>
      <c r="BM198" s="526">
        <f>-(BM68+BL68+BK68+BI68)</f>
        <v>459.125</v>
      </c>
      <c r="BN198" s="526">
        <f>-(BN68+BM68+BL68+BK68)</f>
        <v>459.24299999999999</v>
      </c>
      <c r="BO198" s="527">
        <f>+BN198</f>
        <v>459.24299999999999</v>
      </c>
      <c r="BP198" s="526">
        <f>-(BP68+BN68+BM68+BL68)</f>
        <v>457.72699999999998</v>
      </c>
      <c r="BQ198" s="526">
        <f>-(BQ68+BP68+BN68+BM68)</f>
        <v>459.80799999999999</v>
      </c>
      <c r="BR198" s="526">
        <f>-(BR68+BQ68+BP68+BN68)</f>
        <v>463.69499999999999</v>
      </c>
      <c r="BS198" s="684">
        <f>-(BS68+BR68+BQ68+BP68)</f>
        <v>466.76099999999997</v>
      </c>
      <c r="BT198" s="527">
        <f>+BS198</f>
        <v>466.76099999999997</v>
      </c>
      <c r="BU198" s="2585">
        <f>-(BU68+BS68+BR68+BQ68)</f>
        <v>469.79988311578859</v>
      </c>
      <c r="BV198" s="2585">
        <f>-(BV68+BU68+BS68+BR68)</f>
        <v>471.29435394950644</v>
      </c>
      <c r="BW198" s="2585">
        <f>-(BW68+BV68+BU68+BS68)</f>
        <v>561.45896263423538</v>
      </c>
      <c r="BX198" s="3442">
        <f>-(BX68+BW68+BV68+BU68)</f>
        <v>653.21759201654538</v>
      </c>
      <c r="BY198" s="3230">
        <f>+BX198</f>
        <v>653.21759201654538</v>
      </c>
      <c r="BZ198" s="527">
        <f t="shared" ref="BZ198:CF198" si="432">-BZ68</f>
        <v>836.37049881780922</v>
      </c>
      <c r="CA198" s="527">
        <f t="shared" si="432"/>
        <v>840.71743874432332</v>
      </c>
      <c r="CB198" s="527">
        <f t="shared" si="432"/>
        <v>56.913702499999992</v>
      </c>
      <c r="CC198" s="527">
        <f t="shared" si="432"/>
        <v>56.817702499999989</v>
      </c>
      <c r="CD198" s="527">
        <f t="shared" si="432"/>
        <v>56.721702499999992</v>
      </c>
      <c r="CE198" s="527">
        <f t="shared" si="432"/>
        <v>56.625702499999989</v>
      </c>
      <c r="CF198" s="527">
        <f t="shared" si="432"/>
        <v>56.577702499999994</v>
      </c>
      <c r="CG198" s="281"/>
      <c r="CH198" s="281"/>
      <c r="CI198" s="281"/>
      <c r="CJ198" s="281"/>
      <c r="CK198" s="995"/>
      <c r="CL198" s="430"/>
      <c r="CM198" s="430"/>
      <c r="CN198" s="430"/>
      <c r="CO198" s="430"/>
      <c r="CP198" s="430"/>
      <c r="CQ198" s="430"/>
      <c r="CR198" s="430"/>
      <c r="CS198" s="430"/>
      <c r="CT198" s="430"/>
      <c r="CU198" s="430"/>
      <c r="CV198" s="430"/>
      <c r="CW198" s="430"/>
      <c r="CX198" s="430"/>
      <c r="CY198" s="430"/>
      <c r="CZ198" s="430"/>
      <c r="DA198" s="430"/>
      <c r="DB198" s="853"/>
      <c r="DC198" s="281"/>
      <c r="DD198" s="281"/>
      <c r="DE198" s="281"/>
      <c r="DF198" s="281"/>
      <c r="DG198" s="281"/>
      <c r="DH198" s="2585"/>
      <c r="DI198" s="3213"/>
    </row>
    <row r="199" spans="1:130" ht="12.75" customHeight="1" x14ac:dyDescent="0.25">
      <c r="A199" s="2465" t="s">
        <v>493</v>
      </c>
      <c r="B199" s="2463"/>
      <c r="C199" s="430"/>
      <c r="D199" s="430"/>
      <c r="E199" s="430"/>
      <c r="F199" s="430"/>
      <c r="G199" s="481"/>
      <c r="H199" s="430">
        <f>(H90+F90+E90+D90)</f>
        <v>93.583588846364151</v>
      </c>
      <c r="I199" s="430">
        <f>(I90+H90+F90+E90)</f>
        <v>100.88827738292406</v>
      </c>
      <c r="J199" s="430">
        <f>(J90+I90+H90+F90)</f>
        <v>109.42027738292406</v>
      </c>
      <c r="K199" s="430">
        <f>(K90+J90+I90+H90)</f>
        <v>128.76313191914721</v>
      </c>
      <c r="L199" s="481">
        <f>+K199</f>
        <v>128.76313191914721</v>
      </c>
      <c r="M199" s="430">
        <f>(M90+K90+J90+I90)</f>
        <v>150.95954307278308</v>
      </c>
      <c r="N199" s="430">
        <f>(N90+M90+K90+J90)</f>
        <v>161.42485453622317</v>
      </c>
      <c r="O199" s="430">
        <f>(O90+N90+M90+K90)</f>
        <v>169.71985453622321</v>
      </c>
      <c r="P199" s="430">
        <f>(P90+O90+N90+M90)</f>
        <v>129.62600000000006</v>
      </c>
      <c r="Q199" s="481">
        <f>+P199</f>
        <v>129.62600000000006</v>
      </c>
      <c r="R199" s="430">
        <f>(R90+P90+O90+N90)</f>
        <v>124.08400000000006</v>
      </c>
      <c r="S199" s="430">
        <f>(S90+R90+P90+O90)</f>
        <v>119.68800000000002</v>
      </c>
      <c r="T199" s="430">
        <f>(T90+S90+R90+P90)</f>
        <v>125.87900000000002</v>
      </c>
      <c r="U199" s="430">
        <f>(U90+T90+S90+R90)</f>
        <v>160.05299999999997</v>
      </c>
      <c r="V199" s="481">
        <f>+U199</f>
        <v>160.05299999999997</v>
      </c>
      <c r="W199" s="430">
        <f>(W90+U90+T90+S90)</f>
        <v>156.95990999999998</v>
      </c>
      <c r="X199" s="430">
        <f>(X90+W90+U90+T90)</f>
        <v>155.68390999999994</v>
      </c>
      <c r="Y199" s="430">
        <f>(Y90+X90+W90+U90)</f>
        <v>154.52580999999998</v>
      </c>
      <c r="Z199" s="430">
        <f>(Z90+Y90+X90+W90)</f>
        <v>155.49480999999992</v>
      </c>
      <c r="AA199" s="481">
        <f>+Z199</f>
        <v>155.49480999999992</v>
      </c>
      <c r="AB199" s="430">
        <f>(AB90+Z90+Y90+X90)</f>
        <v>158.43857999999994</v>
      </c>
      <c r="AC199" s="430">
        <f>(AC90+AB90+Z90+Y90)</f>
        <v>155.24782999999999</v>
      </c>
      <c r="AD199" s="430">
        <f>(AD90+AC90+AB90+Z90)</f>
        <v>145.10539999999995</v>
      </c>
      <c r="AE199" s="430">
        <f>(AE90+AD90+AC90+AB90)</f>
        <v>108.4973499999999</v>
      </c>
      <c r="AF199" s="481">
        <f>+AE199</f>
        <v>108.4973499999999</v>
      </c>
      <c r="AG199" s="430">
        <f>(AG90+AE90+AD90+AC90)</f>
        <v>101.87466999999992</v>
      </c>
      <c r="AH199" s="430">
        <f>(AH90+AG90+AE90+AD90)</f>
        <v>98.557419999999922</v>
      </c>
      <c r="AI199" s="430">
        <f>(AI90+AH90+AG90+AE90)</f>
        <v>102.11713999999995</v>
      </c>
      <c r="AJ199" s="430">
        <f>(AJ90+AI90+AH90+AG90)</f>
        <v>58.819040000000037</v>
      </c>
      <c r="AK199" s="481">
        <f>+AJ199</f>
        <v>58.819040000000037</v>
      </c>
      <c r="AL199" s="430">
        <f>(AL90+AJ90+AI90+AH90)</f>
        <v>74.127039999999994</v>
      </c>
      <c r="AM199" s="430">
        <f>(AM90+AL90+AJ90+AI90)</f>
        <v>103.79079000000004</v>
      </c>
      <c r="AN199" s="430">
        <f>(AN90+AM90+AL90+AJ90)</f>
        <v>140.44550000000007</v>
      </c>
      <c r="AO199" s="430">
        <f>(AO90+AN90+AM90+AL90)</f>
        <v>243.42430000000007</v>
      </c>
      <c r="AP199" s="481">
        <f>+AO199</f>
        <v>243.42430000000007</v>
      </c>
      <c r="AQ199" s="430">
        <f>(AQ90+AO90+AN90+AM90)</f>
        <v>271.5215</v>
      </c>
      <c r="AR199" s="430">
        <f>(AR90+AQ90+AO90+AN90)</f>
        <v>281.57495</v>
      </c>
      <c r="AS199" s="430">
        <f>(AS90+AR90+AQ90+AO90)</f>
        <v>270.21704999999997</v>
      </c>
      <c r="AT199" s="430">
        <f>(AT90+AS90+AR90+AQ90)</f>
        <v>253.87139999999999</v>
      </c>
      <c r="AU199" s="481">
        <f>+AT199</f>
        <v>253.87139999999999</v>
      </c>
      <c r="AV199" s="430">
        <f>(AV90+AT90+AS90+AR90)</f>
        <v>244.47820000000002</v>
      </c>
      <c r="AW199" s="430">
        <f>(AW90+AV90+AT90+AS90)</f>
        <v>209.72459999999995</v>
      </c>
      <c r="AX199" s="430">
        <f>(AX90+AW90+AV90+AT90)</f>
        <v>190.48539999999991</v>
      </c>
      <c r="AY199" s="430">
        <f>(AY90+AX90+AW90+AV90)</f>
        <v>158.34579999999997</v>
      </c>
      <c r="AZ199" s="481">
        <f>+AY199</f>
        <v>158.34579999999997</v>
      </c>
      <c r="BA199" s="430">
        <f>(BA90+AY90+AX90+AW90)</f>
        <v>88.715400000000017</v>
      </c>
      <c r="BB199" s="430">
        <f>(BB90+BA90+AY90+AX90)</f>
        <v>36.701599999999999</v>
      </c>
      <c r="BC199" s="430">
        <f>(BC90+BB90+BA90+AY90)</f>
        <v>-26.870600000000003</v>
      </c>
      <c r="BD199" s="430">
        <f>(BD90+BC90+BB90+BA90)</f>
        <v>-59.109399999999972</v>
      </c>
      <c r="BE199" s="481">
        <f>+BD199</f>
        <v>-59.109399999999972</v>
      </c>
      <c r="BF199" s="430">
        <f>(BF90+BD90+BC90+BB90)</f>
        <v>-57.488600000000019</v>
      </c>
      <c r="BG199" s="430">
        <f>(BG90+BF90+BD90+BC90)</f>
        <v>-37.534199999999984</v>
      </c>
      <c r="BH199" s="430">
        <f>(BH90+BG90+BF90+BD90)</f>
        <v>-17.793200000000034</v>
      </c>
      <c r="BI199" s="430">
        <f>(BI90+BH90+BG90+BF90)</f>
        <v>22.26039999999994</v>
      </c>
      <c r="BJ199" s="481">
        <f>+BI199</f>
        <v>22.26039999999994</v>
      </c>
      <c r="BK199" s="430">
        <f>(BK90+BI90+BH90+BG90)</f>
        <v>42.415799999999997</v>
      </c>
      <c r="BL199" s="430">
        <f>(BL90+BK90+BI90+BH90)</f>
        <v>73.367599999999982</v>
      </c>
      <c r="BM199" s="430">
        <f>(BM90+BL90+BK90+BI90)</f>
        <v>116.70480000000005</v>
      </c>
      <c r="BN199" s="430">
        <f>(BN90+BM90+BL90+BK90)</f>
        <v>106.14260000000007</v>
      </c>
      <c r="BO199" s="481">
        <f>+BN199</f>
        <v>106.14260000000007</v>
      </c>
      <c r="BP199" s="430">
        <f>(BP90+BN90+BM90+BL90)</f>
        <v>90.428800000000024</v>
      </c>
      <c r="BQ199" s="430">
        <f>(BQ90+BP90+BN90+BM90)</f>
        <v>77.366200000000077</v>
      </c>
      <c r="BR199" s="430">
        <f>(BR90+BQ90+BP90+BN90)</f>
        <v>58.311599999999956</v>
      </c>
      <c r="BS199" s="853">
        <f>(BS90+BR90+BQ90+BP90)</f>
        <v>-232.2252</v>
      </c>
      <c r="BT199" s="481">
        <f>+BS199</f>
        <v>-232.2252</v>
      </c>
      <c r="BU199" s="2840">
        <f>(BU90+BS90+BR90+BQ90)</f>
        <v>-201.42056942181023</v>
      </c>
      <c r="BV199" s="2840">
        <f>(BV90+BU90+BS90+BR90)</f>
        <v>-178.99143742689694</v>
      </c>
      <c r="BW199" s="2840">
        <f>(BW90+BV90+BU90+BS90)</f>
        <v>-130.36007375644445</v>
      </c>
      <c r="BX199" s="3065">
        <f>(BX90+BW90+BV90+BU90)</f>
        <v>206.65466772948966</v>
      </c>
      <c r="BY199" s="2587">
        <f>+BX199</f>
        <v>206.65466772948966</v>
      </c>
      <c r="BZ199" s="481">
        <f t="shared" ref="BZ199:CF199" si="433">BZ90</f>
        <v>318.96686755926441</v>
      </c>
      <c r="CA199" s="481">
        <f t="shared" si="433"/>
        <v>305.22874612427006</v>
      </c>
      <c r="CB199" s="481">
        <f t="shared" si="433"/>
        <v>-1457.0574626371126</v>
      </c>
      <c r="CC199" s="481">
        <f t="shared" si="433"/>
        <v>-3049.7418577854301</v>
      </c>
      <c r="CD199" s="481">
        <f t="shared" si="433"/>
        <v>-6110.254069964406</v>
      </c>
      <c r="CE199" s="481">
        <f t="shared" si="433"/>
        <v>-12226.344801984867</v>
      </c>
      <c r="CF199" s="481">
        <f t="shared" si="433"/>
        <v>-24473.008398968701</v>
      </c>
      <c r="CG199" s="281"/>
      <c r="CH199" s="281"/>
      <c r="CI199" s="281"/>
      <c r="CJ199" s="281"/>
      <c r="CK199" s="995"/>
      <c r="CL199" s="430"/>
      <c r="CM199" s="430"/>
      <c r="CN199" s="430"/>
      <c r="CO199" s="430"/>
      <c r="CP199" s="430"/>
      <c r="CQ199" s="430"/>
      <c r="CR199" s="430"/>
      <c r="CS199" s="430"/>
      <c r="CT199" s="430"/>
      <c r="CU199" s="430"/>
      <c r="CV199" s="430"/>
      <c r="CW199" s="430"/>
      <c r="CX199" s="430"/>
      <c r="CY199" s="430"/>
      <c r="CZ199" s="430"/>
      <c r="DA199" s="430"/>
      <c r="DB199" s="853"/>
      <c r="DC199" s="281"/>
      <c r="DD199" s="281"/>
      <c r="DE199" s="281"/>
      <c r="DF199" s="281"/>
      <c r="DG199" s="281"/>
      <c r="DH199" s="2840"/>
      <c r="DI199" s="3213"/>
    </row>
    <row r="200" spans="1:130" ht="12.75" customHeight="1" x14ac:dyDescent="0.25">
      <c r="A200" s="2465" t="s">
        <v>494</v>
      </c>
      <c r="B200" s="2463"/>
      <c r="C200" s="430"/>
      <c r="D200" s="430"/>
      <c r="E200" s="430"/>
      <c r="F200" s="430"/>
      <c r="G200" s="481"/>
      <c r="H200" s="430">
        <f>(H14+F14+E14+D14)</f>
        <v>0</v>
      </c>
      <c r="I200" s="430">
        <f>(I14+H14+F14+E14)</f>
        <v>0</v>
      </c>
      <c r="J200" s="430">
        <f>(J14+I14+H14+F14)</f>
        <v>0</v>
      </c>
      <c r="K200" s="430">
        <f>(K14+J14+I14+H14)</f>
        <v>0</v>
      </c>
      <c r="L200" s="481">
        <f>+K200</f>
        <v>0</v>
      </c>
      <c r="M200" s="430">
        <f>(M14+K14+J14+I14)</f>
        <v>0</v>
      </c>
      <c r="N200" s="430">
        <f>(N14+M14+K14+J14)</f>
        <v>0</v>
      </c>
      <c r="O200" s="430">
        <f>(O14+N14+M14+K14)</f>
        <v>0</v>
      </c>
      <c r="P200" s="430">
        <f>(P14+O14+N14+M14)</f>
        <v>0</v>
      </c>
      <c r="Q200" s="481">
        <f>+P200</f>
        <v>0</v>
      </c>
      <c r="R200" s="430">
        <f>(R14+P14+O14+N14)</f>
        <v>0</v>
      </c>
      <c r="S200" s="430">
        <f>(S14+R14+P14+O14)</f>
        <v>0</v>
      </c>
      <c r="T200" s="430">
        <f>(T14+S14+R14+P14)</f>
        <v>0</v>
      </c>
      <c r="U200" s="430">
        <f>(U14+T14+S14+R14)</f>
        <v>0</v>
      </c>
      <c r="V200" s="481">
        <f>+U200</f>
        <v>0</v>
      </c>
      <c r="W200" s="430">
        <f>(W14+U14+T14+S14)</f>
        <v>0</v>
      </c>
      <c r="X200" s="430">
        <f>(X14+W14+U14+T14)</f>
        <v>0</v>
      </c>
      <c r="Y200" s="430">
        <f>(Y14+X14+W14+U14)</f>
        <v>0</v>
      </c>
      <c r="Z200" s="430">
        <f>(Z14+Y14+X14+W14)</f>
        <v>0</v>
      </c>
      <c r="AA200" s="481">
        <f>+Z200</f>
        <v>0</v>
      </c>
      <c r="AB200" s="430">
        <f>(AB14+Z14+Y14+X14)</f>
        <v>612.226</v>
      </c>
      <c r="AC200" s="430">
        <f>(AC14+AB14+Z14+Y14)</f>
        <v>1193.0429999999999</v>
      </c>
      <c r="AD200" s="430">
        <f>(AD14+AC14+AB14+Z14)</f>
        <v>1813.4690000000001</v>
      </c>
      <c r="AE200" s="430">
        <f>(AE14+AD14+AC14+AB14)</f>
        <v>2369.2750000000001</v>
      </c>
      <c r="AF200" s="481">
        <f>+AE200</f>
        <v>2369.2750000000001</v>
      </c>
      <c r="AG200" s="430">
        <f>(AG14+AE14+AD14+AC14)</f>
        <v>2349.3719999999998</v>
      </c>
      <c r="AH200" s="430">
        <f>(AH14+AG14+AE14+AD14)</f>
        <v>2366.866</v>
      </c>
      <c r="AI200" s="430">
        <f>(AI14+AH14+AG14+AE14)</f>
        <v>2384.6959999999999</v>
      </c>
      <c r="AJ200" s="430">
        <f>(AJ14+AI14+AH14+AG14)</f>
        <v>2459.1109999999999</v>
      </c>
      <c r="AK200" s="481">
        <f>+AJ200</f>
        <v>2459.1109999999999</v>
      </c>
      <c r="AL200" s="430">
        <f>(AL14+AJ14+AI14+AH14)</f>
        <v>2533.8110000000001</v>
      </c>
      <c r="AM200" s="430">
        <f>(AM14+AL14+AJ14+AI14)</f>
        <v>2623.3789999999999</v>
      </c>
      <c r="AN200" s="430">
        <f>(AN14+AM14+AL14+AJ14)</f>
        <v>2696.0279999999998</v>
      </c>
      <c r="AO200" s="430">
        <f>(AO14+AN14+AM14+AL14)</f>
        <v>2742.2570000000001</v>
      </c>
      <c r="AP200" s="481">
        <f>+AO200</f>
        <v>2742.2570000000001</v>
      </c>
      <c r="AQ200" s="430">
        <f>(AQ14+AO14+AN14+AM14)</f>
        <v>2811.2929999999997</v>
      </c>
      <c r="AR200" s="430">
        <f>(AR14+AQ14+AO14+AN14)</f>
        <v>2835.9650000000001</v>
      </c>
      <c r="AS200" s="430">
        <f>(AS14+AR14+AQ14+AO14)</f>
        <v>2832.1039999999998</v>
      </c>
      <c r="AT200" s="430">
        <f>(AT14+AS14+AR14+AQ14)</f>
        <v>2899.4650000000001</v>
      </c>
      <c r="AU200" s="481">
        <f>+AT200</f>
        <v>2899.4650000000001</v>
      </c>
      <c r="AV200" s="430">
        <f>(AV14+AT14+AS14+AR14)</f>
        <v>2961.652</v>
      </c>
      <c r="AW200" s="430">
        <f>(AW14+AV14+AT14+AS14)</f>
        <v>3010.4720000000002</v>
      </c>
      <c r="AX200" s="430">
        <f>(AX14+AW14+AV14+AT14)</f>
        <v>3017.8630000000003</v>
      </c>
      <c r="AY200" s="430">
        <f>(AY14+AX14+AW14+AV14)</f>
        <v>2918.7540000000004</v>
      </c>
      <c r="AZ200" s="481">
        <f>+AY200</f>
        <v>2918.7540000000004</v>
      </c>
      <c r="BA200" s="430">
        <f>(BA14+AY14+AX14+AW14)</f>
        <v>2761.5880000000002</v>
      </c>
      <c r="BB200" s="430">
        <f>(BB14+BA14+AY14+AX14)</f>
        <v>2652.3629999999998</v>
      </c>
      <c r="BC200" s="430">
        <f>(BC14+BB14+BA14+AY14)</f>
        <v>2583.8679999999995</v>
      </c>
      <c r="BD200" s="430">
        <f>(BD14+BC14+BB14+BA14)</f>
        <v>2590.5279999999998</v>
      </c>
      <c r="BE200" s="481">
        <f>+BD200</f>
        <v>2590.5279999999998</v>
      </c>
      <c r="BF200" s="430">
        <f>(BF14+BD14+BC14+BB14)</f>
        <v>2613.5860000000002</v>
      </c>
      <c r="BG200" s="430">
        <f>(BG14+BF14+BD14+BC14)</f>
        <v>2662.3960000000002</v>
      </c>
      <c r="BH200" s="430">
        <f>(BH14+BG14+BF14+BD14)</f>
        <v>2755.7530000000002</v>
      </c>
      <c r="BI200" s="430">
        <f>(BI14+BH14+BG14+BF14)</f>
        <v>2838.3580000000002</v>
      </c>
      <c r="BJ200" s="481">
        <f>+BI200</f>
        <v>2838.3580000000002</v>
      </c>
      <c r="BK200" s="430">
        <f>(BK14+BI14+BH14+BG14)</f>
        <v>2930.6710000000003</v>
      </c>
      <c r="BL200" s="430">
        <f>(BL14+BK14+BI14+BH14)</f>
        <v>2999.1370000000002</v>
      </c>
      <c r="BM200" s="430">
        <f>(BM14+BL14+BK14+BI14)</f>
        <v>3025.4370000000004</v>
      </c>
      <c r="BN200" s="430">
        <f>(BN14+BM14+BL14+BK14)</f>
        <v>3034.38</v>
      </c>
      <c r="BO200" s="481">
        <f>+BN200</f>
        <v>3034.38</v>
      </c>
      <c r="BP200" s="430">
        <f>(BP14+BN14+BM14+BL14)</f>
        <v>3054.1530000000002</v>
      </c>
      <c r="BQ200" s="430">
        <f>(BQ14+BP14+BN14+BM14)</f>
        <v>3081.194</v>
      </c>
      <c r="BR200" s="430">
        <f>(BR14+BQ14+BP14+BN14)</f>
        <v>3121.8440000000001</v>
      </c>
      <c r="BS200" s="853">
        <f>(BS14+BR14+BQ14+BP14)</f>
        <v>3147.9700000000003</v>
      </c>
      <c r="BT200" s="481">
        <f>+BS200</f>
        <v>3147.9700000000003</v>
      </c>
      <c r="BU200" s="2840">
        <f>(BU14+BS14+BR14+BQ14)</f>
        <v>3175.2869079401262</v>
      </c>
      <c r="BV200" s="2840">
        <f>(BV14+BU14+BS14+BR14)</f>
        <v>3193.2750181140004</v>
      </c>
      <c r="BW200" s="2840">
        <f>(BW14+BV14+BU14+BS14)</f>
        <v>3687.6366033122231</v>
      </c>
      <c r="BX200" s="3065">
        <f>(BX14+BW14+BV14+BU14)</f>
        <v>4167.7804539471772</v>
      </c>
      <c r="BY200" s="2587">
        <f>+BX200</f>
        <v>4167.7804539471772</v>
      </c>
      <c r="BZ200" s="481">
        <f t="shared" ref="BZ200:CF200" si="434">BZ14</f>
        <v>5155.140410235319</v>
      </c>
      <c r="CA200" s="481">
        <f t="shared" si="434"/>
        <v>5133.5775532800371</v>
      </c>
      <c r="CB200" s="481">
        <f t="shared" si="434"/>
        <v>2891.4850861790701</v>
      </c>
      <c r="CC200" s="481">
        <f t="shared" si="434"/>
        <v>2758.1919754892206</v>
      </c>
      <c r="CD200" s="481">
        <f t="shared" si="434"/>
        <v>2811.1486872338323</v>
      </c>
      <c r="CE200" s="481">
        <f t="shared" si="434"/>
        <v>2866.5880158334612</v>
      </c>
      <c r="CF200" s="481">
        <f t="shared" si="434"/>
        <v>2920.2713526884063</v>
      </c>
      <c r="CG200" s="281"/>
      <c r="CH200" s="281"/>
      <c r="CI200" s="281"/>
      <c r="CJ200" s="281"/>
      <c r="CK200" s="995"/>
      <c r="CL200" s="430"/>
      <c r="CM200" s="430"/>
      <c r="CN200" s="430"/>
      <c r="CO200" s="430"/>
      <c r="CP200" s="430"/>
      <c r="CQ200" s="430"/>
      <c r="CR200" s="430"/>
      <c r="CS200" s="430"/>
      <c r="CT200" s="430"/>
      <c r="CU200" s="430"/>
      <c r="CV200" s="430"/>
      <c r="CW200" s="430"/>
      <c r="CX200" s="430"/>
      <c r="CY200" s="430"/>
      <c r="CZ200" s="430"/>
      <c r="DA200" s="430"/>
      <c r="DB200" s="853"/>
      <c r="DC200" s="281"/>
      <c r="DD200" s="281"/>
      <c r="DE200" s="281"/>
      <c r="DF200" s="281"/>
      <c r="DG200" s="281"/>
      <c r="DH200" s="2840"/>
      <c r="DI200" s="3213"/>
    </row>
    <row r="201" spans="1:130" ht="12.75" customHeight="1" x14ac:dyDescent="0.25">
      <c r="A201" s="2465" t="s">
        <v>495</v>
      </c>
      <c r="B201" s="2463"/>
      <c r="C201" s="430"/>
      <c r="D201" s="430"/>
      <c r="E201" s="430"/>
      <c r="F201" s="430"/>
      <c r="G201" s="481"/>
      <c r="H201" s="430">
        <f>AVERAGE(G1366:H1366)</f>
        <v>1797.0219999999999</v>
      </c>
      <c r="I201" s="430">
        <f>AVERAGE(H1366:I1366)</f>
        <v>1896.798</v>
      </c>
      <c r="J201" s="430">
        <f>AVERAGE(I1366:J1366)</f>
        <v>1772.1659999999999</v>
      </c>
      <c r="K201" s="430">
        <f>AVERAGE(J1366:K1366)</f>
        <v>2945.9075000000003</v>
      </c>
      <c r="L201" s="481">
        <f>AVERAGE(G1366:L1366)</f>
        <v>2586.530666666667</v>
      </c>
      <c r="M201" s="430">
        <f>AVERAGE(L1366:M1366)</f>
        <v>4195.9580000000005</v>
      </c>
      <c r="N201" s="430">
        <f>AVERAGE(M1366:N1366)</f>
        <v>4237.6805000000004</v>
      </c>
      <c r="O201" s="430">
        <f>AVERAGE(N1366:O1366)</f>
        <v>4322.3865000000005</v>
      </c>
      <c r="P201" s="430">
        <f>AVERAGE(O1366:P1366)</f>
        <v>4442.5029999999997</v>
      </c>
      <c r="Q201" s="481">
        <f>AVERAGE(L1366:Q1366)</f>
        <v>4344.1421666666665</v>
      </c>
      <c r="R201" s="430">
        <f>AVERAGE(Q1366:R1366)</f>
        <v>4511.950499999999</v>
      </c>
      <c r="S201" s="430">
        <f>AVERAGE(R1366:S1366)</f>
        <v>4621.3804999999993</v>
      </c>
      <c r="T201" s="430">
        <f>AVERAGE(S1366:T1366)</f>
        <v>4788.2469999999994</v>
      </c>
      <c r="U201" s="430">
        <f>AVERAGE(T1366:U1366)</f>
        <v>4905.2919999999995</v>
      </c>
      <c r="V201" s="481">
        <f>AVERAGE(Q1366:V1366)</f>
        <v>4755.7431666666662</v>
      </c>
      <c r="W201" s="430">
        <f>AVERAGE(V1366:W1366)</f>
        <v>4986.3024999999998</v>
      </c>
      <c r="X201" s="430">
        <f>AVERAGE(W1366:X1366)</f>
        <v>5022.8734999999997</v>
      </c>
      <c r="Y201" s="430">
        <f>AVERAGE(X1366:Y1366)</f>
        <v>5044.9840000000004</v>
      </c>
      <c r="Z201" s="430">
        <f>AVERAGE(Y1366:Z1366)</f>
        <v>5119.7350000000006</v>
      </c>
      <c r="AA201" s="481">
        <f>AVERAGE(V1366:AA1366)</f>
        <v>5073.6541666666662</v>
      </c>
      <c r="AB201" s="430">
        <f>AVERAGE(AA1366:AB1366)</f>
        <v>5178.0455000000002</v>
      </c>
      <c r="AC201" s="430">
        <f>AVERAGE(AB1366:AC1366)</f>
        <v>5191.7094999999999</v>
      </c>
      <c r="AD201" s="430">
        <f>AVERAGE(AC1366:AD1366)</f>
        <v>5234.1214999999993</v>
      </c>
      <c r="AE201" s="430">
        <f>AVERAGE(AD1366:AE1366)</f>
        <v>4981.9274999999998</v>
      </c>
      <c r="AF201" s="481">
        <f>AVERAGE(AA1366:AF1366)</f>
        <v>5041.5943333333344</v>
      </c>
      <c r="AG201" s="430">
        <f>AVERAGE(AF1366:AG1366)</f>
        <v>4684.1819999999998</v>
      </c>
      <c r="AH201" s="430">
        <f>AVERAGE(AG1366:AH1366)</f>
        <v>4565.1170000000002</v>
      </c>
      <c r="AI201" s="430">
        <f>AVERAGE(AH1366:AI1366)</f>
        <v>4482.0825000000004</v>
      </c>
      <c r="AJ201" s="430">
        <f>AVERAGE(AI1366:AJ1366)</f>
        <v>4476.2790000000005</v>
      </c>
      <c r="AK201" s="481">
        <f>AVERAGE(AF1366:AK1366)</f>
        <v>4543.0478333333331</v>
      </c>
      <c r="AL201" s="430">
        <f>AVERAGE(AK1366:AL1366)</f>
        <v>4448.8330000000005</v>
      </c>
      <c r="AM201" s="430">
        <f>AVERAGE(AL1366:AM1366)</f>
        <v>4491.1275000000005</v>
      </c>
      <c r="AN201" s="430">
        <f>AVERAGE(AM1366:AN1366)</f>
        <v>4515.8644999999997</v>
      </c>
      <c r="AO201" s="430">
        <f>AVERAGE(AN1366:AO1366)</f>
        <v>4545.3035</v>
      </c>
      <c r="AP201" s="481">
        <f>AVERAGE(AK1366:AP1366)</f>
        <v>4523.6811666666663</v>
      </c>
      <c r="AQ201" s="430">
        <f>AVERAGE(AP1366:AQ1366)</f>
        <v>4628.1544999999996</v>
      </c>
      <c r="AR201" s="430">
        <f>AVERAGE(AQ1366:AR1366)</f>
        <v>4716.4759999999997</v>
      </c>
      <c r="AS201" s="430">
        <f>AVERAGE(AR1366:AS1366)</f>
        <v>4875.5924999999997</v>
      </c>
      <c r="AT201" s="430">
        <f>AVERAGE(AS1366:AT1366)</f>
        <v>5306.1265000000003</v>
      </c>
      <c r="AU201" s="481">
        <f>AVERAGE(AP1366:AU1366)</f>
        <v>5049.268</v>
      </c>
      <c r="AV201" s="430">
        <f>AVERAGE(AU1366:AV1366)</f>
        <v>5604.8164999999999</v>
      </c>
      <c r="AW201" s="430">
        <f>AVERAGE(AV1366:AW1366)</f>
        <v>5499.473</v>
      </c>
      <c r="AX201" s="430">
        <f>AVERAGE(AW1366:AX1366)</f>
        <v>5415.0639999999994</v>
      </c>
      <c r="AY201" s="430">
        <f>AVERAGE(AX1366:AY1366)</f>
        <v>3790.3744999999999</v>
      </c>
      <c r="AZ201" s="481">
        <f>AVERAGE(AU1366:AZ1366)</f>
        <v>4401.2905000000001</v>
      </c>
      <c r="BA201" s="430">
        <f>AVERAGE(AZ1366:BA1366)</f>
        <v>2218.7154999999998</v>
      </c>
      <c r="BB201" s="430">
        <f>AVERAGE(BA1366:BB1366)</f>
        <v>2253.6489999999994</v>
      </c>
      <c r="BC201" s="430">
        <f>AVERAGE(BB1366:BC1366)</f>
        <v>2358.4784999999993</v>
      </c>
      <c r="BD201" s="430">
        <f>AVERAGE(BC1366:BD1366)</f>
        <v>3563.9964999999993</v>
      </c>
      <c r="BE201" s="481">
        <f>AVERAGE(AZ1366:BE1366)</f>
        <v>3080.6959999999999</v>
      </c>
      <c r="BF201" s="430">
        <f>AVERAGE(BE1366:BF1366)</f>
        <v>4694.6894999999995</v>
      </c>
      <c r="BG201" s="430">
        <f>AVERAGE(BF1366:BG1366)</f>
        <v>4734.6805000000004</v>
      </c>
      <c r="BH201" s="430">
        <f>AVERAGE(BG1366:BH1366)</f>
        <v>4943.4409999999998</v>
      </c>
      <c r="BI201" s="430">
        <f>AVERAGE(BH1366:BI1366)</f>
        <v>5140.378999999999</v>
      </c>
      <c r="BJ201" s="481">
        <f>AVERAGE(BE1366,BJ1366)</f>
        <v>4901.8229999999994</v>
      </c>
      <c r="BK201" s="430">
        <f>AVERAGE(BJ1366:BK1366)</f>
        <v>5133.7199999999993</v>
      </c>
      <c r="BL201" s="430">
        <f>AVERAGE(BK1366:BL1366)</f>
        <v>5135.7204999999994</v>
      </c>
      <c r="BM201" s="430">
        <f>AVERAGE(BL1366:BM1366)</f>
        <v>5197.2160000000003</v>
      </c>
      <c r="BN201" s="430">
        <f>AVERAGE(BM1366:BN1366)</f>
        <v>5113.0815000000002</v>
      </c>
      <c r="BO201" s="481">
        <f>AVERAGE(BJ1366,BO1366)</f>
        <v>5056.6179999999995</v>
      </c>
      <c r="BP201" s="430">
        <f>AVERAGE(BO1366:BP1366)</f>
        <v>4960.7619999999988</v>
      </c>
      <c r="BQ201" s="430">
        <f>AVERAGE(BP1366:BQ1366)</f>
        <v>4965.5294999999996</v>
      </c>
      <c r="BR201" s="430">
        <f>AVERAGE(BQ1366:BR1366)</f>
        <v>5276.71</v>
      </c>
      <c r="BS201" s="853">
        <f>AVERAGE(BR1366:BS1366)</f>
        <v>5402.1064999999999</v>
      </c>
      <c r="BT201" s="481">
        <f>AVERAGE(BO1366,BT1366)</f>
        <v>5104.6479999999992</v>
      </c>
      <c r="BU201" s="2840">
        <f>AVERAGE(BT1366:BU1366)</f>
        <v>5247.5110973803003</v>
      </c>
      <c r="BV201" s="2840">
        <f>AVERAGE(BU1366:BV1366)</f>
        <v>5276.092701202233</v>
      </c>
      <c r="BW201" s="2840">
        <f>AVERAGE(BV1366:BW1366)</f>
        <v>7524.2120947318126</v>
      </c>
      <c r="BX201" s="3065">
        <f>AVERAGE(BW1366:BX1366)</f>
        <v>9770.7353961756871</v>
      </c>
      <c r="BY201" s="2587">
        <f>AVERAGE(BT1366,BY1366)</f>
        <v>7509.9169052658071</v>
      </c>
      <c r="BZ201" s="481">
        <f t="shared" ref="BZ201:CF201" si="435">AVERAGE(BY1366:BZ1366)</f>
        <v>9773.3486283507209</v>
      </c>
      <c r="CA201" s="481">
        <f t="shared" si="435"/>
        <v>9867.9469998573877</v>
      </c>
      <c r="CB201" s="481">
        <f t="shared" si="435"/>
        <v>6496.1324861604298</v>
      </c>
      <c r="CC201" s="481">
        <f t="shared" si="435"/>
        <v>3032.7754898831972</v>
      </c>
      <c r="CD201" s="481">
        <f t="shared" si="435"/>
        <v>3064.6275260082793</v>
      </c>
      <c r="CE201" s="481">
        <f t="shared" si="435"/>
        <v>3105.8780900336424</v>
      </c>
      <c r="CF201" s="481">
        <f t="shared" si="435"/>
        <v>3160.6514895568589</v>
      </c>
      <c r="CG201" s="281"/>
      <c r="CH201" s="281"/>
      <c r="CI201" s="281"/>
      <c r="CJ201" s="281"/>
      <c r="CK201" s="995"/>
      <c r="CL201" s="430"/>
      <c r="CM201" s="430"/>
      <c r="CN201" s="430"/>
      <c r="CO201" s="430"/>
      <c r="CP201" s="430"/>
      <c r="CQ201" s="430"/>
      <c r="CR201" s="430"/>
      <c r="CS201" s="430"/>
      <c r="CT201" s="430"/>
      <c r="CU201" s="430"/>
      <c r="CV201" s="430"/>
      <c r="CW201" s="430"/>
      <c r="CX201" s="430"/>
      <c r="CY201" s="430"/>
      <c r="CZ201" s="430"/>
      <c r="DA201" s="430"/>
      <c r="DB201" s="853"/>
      <c r="DC201" s="281"/>
      <c r="DD201" s="281"/>
      <c r="DE201" s="281"/>
      <c r="DF201" s="281"/>
      <c r="DG201" s="281"/>
      <c r="DH201" s="2840"/>
      <c r="DI201" s="3213"/>
    </row>
    <row r="202" spans="1:130" ht="12.75" customHeight="1" x14ac:dyDescent="0.25">
      <c r="A202" s="2465" t="s">
        <v>496</v>
      </c>
      <c r="B202" s="2463"/>
      <c r="C202" s="430"/>
      <c r="D202" s="430"/>
      <c r="E202" s="430"/>
      <c r="F202" s="430"/>
      <c r="G202" s="481"/>
      <c r="H202" s="430">
        <f>AVERAGE(G1421:H1421)</f>
        <v>414.59399999999999</v>
      </c>
      <c r="I202" s="430">
        <f>AVERAGE(H1421:I1421)</f>
        <v>441.25149999999996</v>
      </c>
      <c r="J202" s="430">
        <f>AVERAGE(I1421:J1421)</f>
        <v>479.66050000000001</v>
      </c>
      <c r="K202" s="430">
        <f>AVERAGE(J1421:K1421)</f>
        <v>527.22850000000005</v>
      </c>
      <c r="L202" s="481">
        <f>AVERAGE(G1421:L1421)</f>
        <v>480.26583333333338</v>
      </c>
      <c r="M202" s="430">
        <f>AVERAGE(L1421:M1421)</f>
        <v>582.46699999999998</v>
      </c>
      <c r="N202" s="430">
        <f>AVERAGE(M1421:N1421)</f>
        <v>647.34799999999996</v>
      </c>
      <c r="O202" s="430">
        <f>AVERAGE(N1421:O1421)</f>
        <v>749.5139999999999</v>
      </c>
      <c r="P202" s="430">
        <f>AVERAGE(O1421:P1421)</f>
        <v>871.94299999999998</v>
      </c>
      <c r="Q202" s="481">
        <f>AVERAGE(L1421:Q1421)</f>
        <v>751.04800000000012</v>
      </c>
      <c r="R202" s="430">
        <f>AVERAGE(Q1421:R1421)</f>
        <v>942.76700000000005</v>
      </c>
      <c r="S202" s="430">
        <f>AVERAGE(R1421:S1421)</f>
        <v>992.45650000000001</v>
      </c>
      <c r="T202" s="430">
        <f>AVERAGE(S1421:T1421)</f>
        <v>1053.9820000000002</v>
      </c>
      <c r="U202" s="430">
        <f>AVERAGE(T1421:U1421)</f>
        <v>1104.192</v>
      </c>
      <c r="V202" s="481">
        <f>AVERAGE(Q1421:V1421)</f>
        <v>1039.2370000000001</v>
      </c>
      <c r="W202" s="430">
        <f>AVERAGE(V1421:W1421)</f>
        <v>1135.0504999999998</v>
      </c>
      <c r="X202" s="430">
        <f>AVERAGE(W1421:X1421)</f>
        <v>1179.2179999999998</v>
      </c>
      <c r="Y202" s="430">
        <f>AVERAGE(X1421:Y1421)</f>
        <v>1271.694</v>
      </c>
      <c r="Z202" s="430">
        <f>AVERAGE(Y1421:Z1421)</f>
        <v>1695.6819999999998</v>
      </c>
      <c r="AA202" s="481">
        <f>AVERAGE(V1421:AA1421)</f>
        <v>1488.0058333333329</v>
      </c>
      <c r="AB202" s="430">
        <f>AVERAGE(AA1421:AB1421)</f>
        <v>2084.4599999999996</v>
      </c>
      <c r="AC202" s="430">
        <f>AVERAGE(AB1421:AC1421)</f>
        <v>2137.9564999999998</v>
      </c>
      <c r="AD202" s="430">
        <f>AVERAGE(AC1421:AD1421)</f>
        <v>2179.1980000000003</v>
      </c>
      <c r="AE202" s="430">
        <f>AVERAGE(AD1421:AE1421)</f>
        <v>2023.3855000000001</v>
      </c>
      <c r="AF202" s="481">
        <f>AVERAGE(AA1421:AF1421)</f>
        <v>2038.766333333333</v>
      </c>
      <c r="AG202" s="430">
        <f>AVERAGE(AF1421:AG1421)</f>
        <v>1869.722</v>
      </c>
      <c r="AH202" s="430">
        <f>AVERAGE(AG1421:AH1421)</f>
        <v>1894.076</v>
      </c>
      <c r="AI202" s="430">
        <f>AVERAGE(AH1421:AI1421)</f>
        <v>1905.0705</v>
      </c>
      <c r="AJ202" s="430">
        <f>AVERAGE(AI1421:AJ1421)</f>
        <v>1843.279</v>
      </c>
      <c r="AK202" s="481">
        <f>AVERAGE(AF1421:AK1421)</f>
        <v>1850.8528333333331</v>
      </c>
      <c r="AL202" s="430">
        <f>AVERAGE(AK1421:AL1421)</f>
        <v>1812.9214999999999</v>
      </c>
      <c r="AM202" s="430">
        <f>AVERAGE(AL1421:AM1421)</f>
        <v>1893.0929999999998</v>
      </c>
      <c r="AN202" s="430">
        <f>AVERAGE(AM1421:AN1421)</f>
        <v>1964.5119999999997</v>
      </c>
      <c r="AO202" s="430">
        <f>AVERAGE(AN1421:AO1421)</f>
        <v>1981.2730000000001</v>
      </c>
      <c r="AP202" s="481">
        <f>AVERAGE(AK1421:AP1421)</f>
        <v>1916.3548333333331</v>
      </c>
      <c r="AQ202" s="430">
        <f>AVERAGE(AP1421:AQ1421)</f>
        <v>2018.0645</v>
      </c>
      <c r="AR202" s="430">
        <f>AVERAGE(AQ1421:AR1421)</f>
        <v>2103.826</v>
      </c>
      <c r="AS202" s="430">
        <f>AVERAGE(AR1421:AS1421)</f>
        <v>2171.0174999999999</v>
      </c>
      <c r="AT202" s="430">
        <f>AVERAGE(AS1421:AT1421)</f>
        <v>2224.9049999999997</v>
      </c>
      <c r="AU202" s="481">
        <f>AVERAGE(AP1421:AU1421)</f>
        <v>2146.670333333333</v>
      </c>
      <c r="AV202" s="430">
        <f>AVERAGE(AU1421:AV1421)</f>
        <v>2284.7714999999998</v>
      </c>
      <c r="AW202" s="430">
        <f>AVERAGE(AV1421:AW1421)</f>
        <v>2324.116</v>
      </c>
      <c r="AX202" s="430">
        <f>AVERAGE(AW1421:AX1421)</f>
        <v>2360.9215000000004</v>
      </c>
      <c r="AY202" s="430">
        <f>AVERAGE(AX1421:AY1421)</f>
        <v>1575.3125000000002</v>
      </c>
      <c r="AZ202" s="481">
        <f>AVERAGE(AU1421:AZ1421)</f>
        <v>1801.3643333333332</v>
      </c>
      <c r="BA202" s="430">
        <f>AVERAGE(AZ1421:BA1421)</f>
        <v>768.27449999999999</v>
      </c>
      <c r="BB202" s="430">
        <f>AVERAGE(BA1421:BB1421)</f>
        <v>782.95099999999991</v>
      </c>
      <c r="BC202" s="430">
        <f>AVERAGE(BB1421:BC1421)</f>
        <v>792.99549999999999</v>
      </c>
      <c r="BD202" s="430">
        <f>AVERAGE(BC1421:BD1421)</f>
        <v>45.11199999999991</v>
      </c>
      <c r="BE202" s="481">
        <f>AVERAGE(AZ1421:BE1421)</f>
        <v>284.41866666666652</v>
      </c>
      <c r="BF202" s="430">
        <f>AVERAGE(BE1421:BF1421)</f>
        <v>-702.32100000000003</v>
      </c>
      <c r="BG202" s="430">
        <f>AVERAGE(BF1421:BG1421)</f>
        <v>-691.46849999999995</v>
      </c>
      <c r="BH202" s="430">
        <f>AVERAGE(BG1421:BH1421)</f>
        <v>-681.25549999999998</v>
      </c>
      <c r="BI202" s="430">
        <f>AVERAGE(BH1421:BI1421)</f>
        <v>-677.12249999999995</v>
      </c>
      <c r="BJ202" s="481">
        <f>AVERAGE(BE1421,BJ1421)</f>
        <v>-693.02849999999989</v>
      </c>
      <c r="BK202" s="430">
        <f>AVERAGE(BJ1421:BK1421)</f>
        <v>-663.56999999999994</v>
      </c>
      <c r="BL202" s="430">
        <f>AVERAGE(BK1421:BL1421)</f>
        <v>-628.01050000000009</v>
      </c>
      <c r="BM202" s="430">
        <f>AVERAGE(BL1421:BM1421)</f>
        <v>-580.39300000000003</v>
      </c>
      <c r="BN202" s="430">
        <f>AVERAGE(BM1421:BN1421)</f>
        <v>-548.59100000000001</v>
      </c>
      <c r="BO202" s="481">
        <f>AVERAGE(BJ1421,BO1421)</f>
        <v>-610.68149999999991</v>
      </c>
      <c r="BP202" s="430">
        <f>AVERAGE(BO1421:BP1421)</f>
        <v>-542.02599999999984</v>
      </c>
      <c r="BQ202" s="430">
        <f>AVERAGE(BP1421:BQ1421)</f>
        <v>-529.12849999999992</v>
      </c>
      <c r="BR202" s="430">
        <f>AVERAGE(BQ1421:BR1421)</f>
        <v>-128.75649999999999</v>
      </c>
      <c r="BS202" s="853">
        <f>AVERAGE(BR1421:BS1421)</f>
        <v>93.433000000000007</v>
      </c>
      <c r="BT202" s="481">
        <f>AVERAGE(BO1421,BT1421)</f>
        <v>-308.23299999999995</v>
      </c>
      <c r="BU202" s="2840">
        <f>AVERAGE(BT1421:BU1421)</f>
        <v>-53.037184710905109</v>
      </c>
      <c r="BV202" s="2840">
        <f>AVERAGE(BU1421:BV1421)</f>
        <v>-9.6596034243536035</v>
      </c>
      <c r="BW202" s="2840">
        <f>AVERAGE(BV1421:BW1421)</f>
        <v>415.96124440832926</v>
      </c>
      <c r="BX202" s="3065">
        <f>AVERAGE(BW1421:BX1421)</f>
        <v>845.56829698652257</v>
      </c>
      <c r="BY202" s="2587">
        <f>AVERAGE(BT1421,BY1421)</f>
        <v>399.83863386474485</v>
      </c>
      <c r="BZ202" s="481">
        <f t="shared" ref="BZ202:CF202" si="436">AVERAGE(BY1421:BZ1421)</f>
        <v>1038.256701509122</v>
      </c>
      <c r="CA202" s="481">
        <f t="shared" si="436"/>
        <v>1362.5045083508894</v>
      </c>
      <c r="CB202" s="481">
        <f t="shared" si="436"/>
        <v>1565.4401500944682</v>
      </c>
      <c r="CC202" s="481">
        <f t="shared" si="436"/>
        <v>1623.7904898831969</v>
      </c>
      <c r="CD202" s="481">
        <f t="shared" si="436"/>
        <v>1654.6425260082792</v>
      </c>
      <c r="CE202" s="481">
        <f t="shared" si="436"/>
        <v>1694.8930900336427</v>
      </c>
      <c r="CF202" s="481">
        <f t="shared" si="436"/>
        <v>1748.666489556859</v>
      </c>
      <c r="CG202" s="281"/>
      <c r="CH202" s="281"/>
      <c r="CI202" s="281"/>
      <c r="CJ202" s="281"/>
      <c r="CK202" s="995"/>
      <c r="CL202" s="430"/>
      <c r="CM202" s="430"/>
      <c r="CN202" s="430"/>
      <c r="CO202" s="430"/>
      <c r="CP202" s="430"/>
      <c r="CQ202" s="430"/>
      <c r="CR202" s="430"/>
      <c r="CS202" s="430"/>
      <c r="CT202" s="430"/>
      <c r="CU202" s="430"/>
      <c r="CV202" s="430"/>
      <c r="CW202" s="430"/>
      <c r="CX202" s="430"/>
      <c r="CY202" s="430"/>
      <c r="CZ202" s="430"/>
      <c r="DA202" s="430"/>
      <c r="DB202" s="853"/>
      <c r="DC202" s="281"/>
      <c r="DD202" s="281"/>
      <c r="DE202" s="281"/>
      <c r="DF202" s="281"/>
      <c r="DG202" s="281"/>
      <c r="DH202" s="2840"/>
      <c r="DI202" s="3213"/>
    </row>
    <row r="203" spans="1:130" ht="12.75" customHeight="1" x14ac:dyDescent="0.25">
      <c r="A203" s="995"/>
      <c r="B203" s="2463"/>
      <c r="C203" s="2466"/>
      <c r="D203" s="2466"/>
      <c r="E203" s="2466"/>
      <c r="F203" s="2466"/>
      <c r="G203" s="2467"/>
      <c r="H203" s="2466"/>
      <c r="I203" s="2466"/>
      <c r="J203" s="2466"/>
      <c r="K203" s="2466"/>
      <c r="L203" s="2467"/>
      <c r="M203" s="2466"/>
      <c r="N203" s="2466"/>
      <c r="O203" s="2466"/>
      <c r="P203" s="2466"/>
      <c r="Q203" s="2467"/>
      <c r="R203" s="2466"/>
      <c r="S203" s="2466"/>
      <c r="T203" s="2466"/>
      <c r="U203" s="2466"/>
      <c r="V203" s="2467"/>
      <c r="W203" s="2466"/>
      <c r="X203" s="2466"/>
      <c r="Y203" s="2466"/>
      <c r="Z203" s="2466"/>
      <c r="AA203" s="2467"/>
      <c r="AB203" s="2466"/>
      <c r="AC203" s="2466"/>
      <c r="AD203" s="2466"/>
      <c r="AE203" s="2466"/>
      <c r="AF203" s="2467"/>
      <c r="AG203" s="2466"/>
      <c r="AH203" s="2466"/>
      <c r="AI203" s="2466"/>
      <c r="AJ203" s="2466"/>
      <c r="AK203" s="2467"/>
      <c r="AL203" s="2466"/>
      <c r="AM203" s="2466"/>
      <c r="AN203" s="2466"/>
      <c r="AO203" s="2466"/>
      <c r="AP203" s="2467"/>
      <c r="AQ203" s="2466"/>
      <c r="AR203" s="2466"/>
      <c r="AS203" s="2466"/>
      <c r="AT203" s="2466"/>
      <c r="AU203" s="2467"/>
      <c r="AV203" s="2466"/>
      <c r="AW203" s="2466"/>
      <c r="AX203" s="2466"/>
      <c r="AY203" s="2466"/>
      <c r="AZ203" s="2467"/>
      <c r="BA203" s="2466"/>
      <c r="BB203" s="2466"/>
      <c r="BC203" s="2466"/>
      <c r="BD203" s="2466"/>
      <c r="BE203" s="2467"/>
      <c r="BF203" s="2466"/>
      <c r="BG203" s="2466"/>
      <c r="BH203" s="2466"/>
      <c r="BI203" s="2466"/>
      <c r="BJ203" s="2467"/>
      <c r="BK203" s="2466"/>
      <c r="BL203" s="2466"/>
      <c r="BM203" s="2466"/>
      <c r="BN203" s="2466"/>
      <c r="BO203" s="2467"/>
      <c r="BP203" s="2466"/>
      <c r="BQ203" s="2466"/>
      <c r="BR203" s="2466"/>
      <c r="BS203" s="3276"/>
      <c r="BT203" s="484"/>
      <c r="BU203" s="2466"/>
      <c r="BV203" s="2466"/>
      <c r="BW203" s="2466"/>
      <c r="BX203" s="2466"/>
      <c r="BY203" s="484"/>
      <c r="BZ203" s="484"/>
      <c r="CA203" s="484"/>
      <c r="CB203" s="484"/>
      <c r="CC203" s="484"/>
      <c r="CD203" s="484"/>
      <c r="CE203" s="484"/>
      <c r="CF203" s="484"/>
      <c r="CG203" s="281"/>
      <c r="CH203" s="281"/>
      <c r="CI203" s="281"/>
      <c r="CJ203" s="281"/>
      <c r="CK203" s="995"/>
      <c r="CL203" s="430"/>
      <c r="CM203" s="430"/>
      <c r="CN203" s="430"/>
      <c r="CO203" s="430"/>
      <c r="CP203" s="430"/>
      <c r="CQ203" s="430"/>
      <c r="CR203" s="430"/>
      <c r="CS203" s="430"/>
      <c r="CT203" s="430"/>
      <c r="CU203" s="430"/>
      <c r="CV203" s="430"/>
      <c r="CW203" s="430"/>
      <c r="CX203" s="430"/>
      <c r="CY203" s="430"/>
      <c r="CZ203" s="430"/>
      <c r="DA203" s="430"/>
      <c r="DB203" s="853"/>
      <c r="DC203" s="281"/>
      <c r="DD203" s="281"/>
      <c r="DE203" s="281"/>
      <c r="DF203" s="281"/>
      <c r="DG203" s="281"/>
      <c r="DH203" s="2840"/>
      <c r="DI203" s="3213"/>
    </row>
    <row r="204" spans="1:130" ht="12.75" customHeight="1" x14ac:dyDescent="0.25">
      <c r="A204" s="2468" t="s">
        <v>497</v>
      </c>
      <c r="B204" s="2463"/>
      <c r="C204" s="430"/>
      <c r="D204" s="430"/>
      <c r="E204" s="430"/>
      <c r="F204" s="430"/>
      <c r="G204" s="481"/>
      <c r="H204" s="430"/>
      <c r="I204" s="430"/>
      <c r="J204" s="430"/>
      <c r="K204" s="430"/>
      <c r="L204" s="481"/>
      <c r="M204" s="430"/>
      <c r="N204" s="430"/>
      <c r="O204" s="430"/>
      <c r="P204" s="430"/>
      <c r="Q204" s="481"/>
      <c r="R204" s="430"/>
      <c r="S204" s="430"/>
      <c r="T204" s="430"/>
      <c r="U204" s="430"/>
      <c r="V204" s="481"/>
      <c r="W204" s="430"/>
      <c r="X204" s="430"/>
      <c r="Y204" s="430"/>
      <c r="Z204" s="430"/>
      <c r="AA204" s="481"/>
      <c r="AB204" s="430"/>
      <c r="AC204" s="430"/>
      <c r="AD204" s="430"/>
      <c r="AE204" s="430"/>
      <c r="AF204" s="481"/>
      <c r="AG204" s="430"/>
      <c r="AH204" s="430"/>
      <c r="AI204" s="430"/>
      <c r="AJ204" s="430"/>
      <c r="AK204" s="481"/>
      <c r="AL204" s="430"/>
      <c r="AM204" s="430"/>
      <c r="AN204" s="430"/>
      <c r="AO204" s="430"/>
      <c r="AP204" s="481"/>
      <c r="AQ204" s="430"/>
      <c r="AR204" s="430"/>
      <c r="AS204" s="430"/>
      <c r="AT204" s="430"/>
      <c r="AU204" s="481"/>
      <c r="AV204" s="430"/>
      <c r="AW204" s="430"/>
      <c r="AX204" s="430"/>
      <c r="AY204" s="430"/>
      <c r="AZ204" s="481"/>
      <c r="BA204" s="430"/>
      <c r="BB204" s="430"/>
      <c r="BC204" s="430"/>
      <c r="BD204" s="430"/>
      <c r="BE204" s="481"/>
      <c r="BF204" s="430"/>
      <c r="BG204" s="430"/>
      <c r="BH204" s="430"/>
      <c r="BI204" s="430"/>
      <c r="BJ204" s="481"/>
      <c r="BK204" s="430"/>
      <c r="BL204" s="430"/>
      <c r="BM204" s="430"/>
      <c r="BN204" s="430"/>
      <c r="BO204" s="481"/>
      <c r="BP204" s="430"/>
      <c r="BQ204" s="430"/>
      <c r="BR204" s="430"/>
      <c r="BS204" s="853"/>
      <c r="BT204" s="484"/>
      <c r="BU204" s="2840"/>
      <c r="BV204" s="2840"/>
      <c r="BW204" s="2840"/>
      <c r="BX204" s="2840"/>
      <c r="BY204" s="484"/>
      <c r="BZ204" s="484"/>
      <c r="CA204" s="484"/>
      <c r="CB204" s="484"/>
      <c r="CC204" s="484"/>
      <c r="CD204" s="484"/>
      <c r="CE204" s="484"/>
      <c r="CF204" s="484"/>
      <c r="CG204" s="281"/>
      <c r="CH204" s="281"/>
      <c r="CI204" s="281"/>
      <c r="CJ204" s="281"/>
      <c r="CK204" s="995"/>
      <c r="CL204" s="430"/>
      <c r="CM204" s="430"/>
      <c r="CN204" s="430"/>
      <c r="CO204" s="430"/>
      <c r="CP204" s="430"/>
      <c r="CQ204" s="430"/>
      <c r="CR204" s="430"/>
      <c r="CS204" s="430"/>
      <c r="CT204" s="430"/>
      <c r="CU204" s="430"/>
      <c r="CV204" s="430"/>
      <c r="CW204" s="430"/>
      <c r="CX204" s="430"/>
      <c r="CY204" s="430"/>
      <c r="CZ204" s="430"/>
      <c r="DA204" s="430"/>
      <c r="DB204" s="853"/>
      <c r="DC204" s="281"/>
      <c r="DD204" s="281"/>
      <c r="DE204" s="281"/>
      <c r="DF204" s="281"/>
      <c r="DG204" s="281"/>
      <c r="DH204" s="2840"/>
      <c r="DI204" s="3213"/>
    </row>
    <row r="205" spans="1:130" ht="12.75" customHeight="1" x14ac:dyDescent="0.25">
      <c r="A205" s="2469" t="s">
        <v>498</v>
      </c>
      <c r="B205" s="2463"/>
      <c r="C205" s="2470"/>
      <c r="D205" s="2470"/>
      <c r="E205" s="2470"/>
      <c r="F205" s="2470"/>
      <c r="G205" s="2471"/>
      <c r="H205" s="2470" t="e">
        <f t="shared" ref="H205:CA207" si="437">+H199/H200</f>
        <v>#DIV/0!</v>
      </c>
      <c r="I205" s="2470" t="e">
        <f t="shared" si="437"/>
        <v>#DIV/0!</v>
      </c>
      <c r="J205" s="2470" t="e">
        <f t="shared" si="437"/>
        <v>#DIV/0!</v>
      </c>
      <c r="K205" s="2470" t="e">
        <f t="shared" si="437"/>
        <v>#DIV/0!</v>
      </c>
      <c r="L205" s="2471" t="e">
        <f t="shared" si="437"/>
        <v>#DIV/0!</v>
      </c>
      <c r="M205" s="2470" t="e">
        <f t="shared" si="437"/>
        <v>#DIV/0!</v>
      </c>
      <c r="N205" s="2470" t="e">
        <f t="shared" si="437"/>
        <v>#DIV/0!</v>
      </c>
      <c r="O205" s="2470" t="e">
        <f t="shared" si="437"/>
        <v>#DIV/0!</v>
      </c>
      <c r="P205" s="2470" t="e">
        <f t="shared" si="437"/>
        <v>#DIV/0!</v>
      </c>
      <c r="Q205" s="2471" t="e">
        <f t="shared" si="437"/>
        <v>#DIV/0!</v>
      </c>
      <c r="R205" s="2470" t="e">
        <f t="shared" si="437"/>
        <v>#DIV/0!</v>
      </c>
      <c r="S205" s="2470" t="e">
        <f t="shared" si="437"/>
        <v>#DIV/0!</v>
      </c>
      <c r="T205" s="2470" t="e">
        <f t="shared" si="437"/>
        <v>#DIV/0!</v>
      </c>
      <c r="U205" s="2470" t="e">
        <f t="shared" si="437"/>
        <v>#DIV/0!</v>
      </c>
      <c r="V205" s="2471" t="e">
        <f t="shared" si="437"/>
        <v>#DIV/0!</v>
      </c>
      <c r="W205" s="2470" t="e">
        <f t="shared" si="437"/>
        <v>#DIV/0!</v>
      </c>
      <c r="X205" s="2470" t="e">
        <f t="shared" si="437"/>
        <v>#DIV/0!</v>
      </c>
      <c r="Y205" s="2470" t="e">
        <f t="shared" si="437"/>
        <v>#DIV/0!</v>
      </c>
      <c r="Z205" s="2470" t="e">
        <f t="shared" si="437"/>
        <v>#DIV/0!</v>
      </c>
      <c r="AA205" s="2471" t="e">
        <f t="shared" si="437"/>
        <v>#DIV/0!</v>
      </c>
      <c r="AB205" s="2470">
        <f t="shared" si="437"/>
        <v>0.25879100201559546</v>
      </c>
      <c r="AC205" s="2470">
        <f t="shared" si="437"/>
        <v>0.13012760646514837</v>
      </c>
      <c r="AD205" s="2470">
        <f t="shared" si="437"/>
        <v>8.0015373849787311E-2</v>
      </c>
      <c r="AE205" s="2470">
        <f t="shared" si="437"/>
        <v>4.5793481128193182E-2</v>
      </c>
      <c r="AF205" s="2471">
        <f t="shared" si="437"/>
        <v>4.5793481128193182E-2</v>
      </c>
      <c r="AG205" s="2470">
        <f t="shared" si="437"/>
        <v>4.336251134345686E-2</v>
      </c>
      <c r="AH205" s="2470">
        <f t="shared" si="437"/>
        <v>4.1640473098181273E-2</v>
      </c>
      <c r="AI205" s="2470">
        <f t="shared" si="437"/>
        <v>4.2821869118747191E-2</v>
      </c>
      <c r="AJ205" s="2470">
        <f t="shared" si="437"/>
        <v>2.3918822696494806E-2</v>
      </c>
      <c r="AK205" s="2471">
        <f t="shared" si="437"/>
        <v>2.3918822696494806E-2</v>
      </c>
      <c r="AL205" s="2470">
        <f t="shared" si="437"/>
        <v>2.9255157547267728E-2</v>
      </c>
      <c r="AM205" s="2470">
        <f t="shared" si="437"/>
        <v>3.956378014766454E-2</v>
      </c>
      <c r="AN205" s="2470">
        <f t="shared" si="437"/>
        <v>5.2093487159628936E-2</v>
      </c>
      <c r="AO205" s="2470">
        <f t="shared" si="437"/>
        <v>8.8767865302194535E-2</v>
      </c>
      <c r="AP205" s="2471">
        <f t="shared" si="437"/>
        <v>8.8767865302194535E-2</v>
      </c>
      <c r="AQ205" s="2470">
        <f t="shared" si="437"/>
        <v>9.6582426662749146E-2</v>
      </c>
      <c r="AR205" s="2470">
        <f t="shared" si="437"/>
        <v>9.9287173854402291E-2</v>
      </c>
      <c r="AS205" s="2470">
        <f t="shared" si="437"/>
        <v>9.5412121165041955E-2</v>
      </c>
      <c r="AT205" s="2470">
        <f t="shared" si="437"/>
        <v>8.7558015013114485E-2</v>
      </c>
      <c r="AU205" s="2471">
        <f t="shared" si="437"/>
        <v>8.7558015013114485E-2</v>
      </c>
      <c r="AV205" s="2470">
        <f t="shared" si="437"/>
        <v>8.2547915825356935E-2</v>
      </c>
      <c r="AW205" s="2470">
        <f t="shared" si="437"/>
        <v>6.9665022627680956E-2</v>
      </c>
      <c r="AX205" s="2470">
        <f t="shared" si="437"/>
        <v>6.3119299981476931E-2</v>
      </c>
      <c r="AY205" s="2470">
        <f t="shared" si="437"/>
        <v>5.4251163338876779E-2</v>
      </c>
      <c r="AZ205" s="2471">
        <f t="shared" si="437"/>
        <v>5.4251163338876779E-2</v>
      </c>
      <c r="BA205" s="2470">
        <f t="shared" si="437"/>
        <v>3.212477748310031E-2</v>
      </c>
      <c r="BB205" s="2470">
        <f t="shared" si="437"/>
        <v>1.3837321663739089E-2</v>
      </c>
      <c r="BC205" s="2470">
        <f t="shared" si="437"/>
        <v>-1.0399370246467702E-2</v>
      </c>
      <c r="BD205" s="2470">
        <f t="shared" si="437"/>
        <v>-2.2817510561553466E-2</v>
      </c>
      <c r="BE205" s="2471">
        <f t="shared" si="437"/>
        <v>-2.2817510561553466E-2</v>
      </c>
      <c r="BF205" s="2470">
        <f t="shared" ref="BF205:BK207" si="438">+BF199/BF200</f>
        <v>-2.1996062115423029E-2</v>
      </c>
      <c r="BG205" s="2470">
        <f t="shared" si="438"/>
        <v>-1.4097902791320293E-2</v>
      </c>
      <c r="BH205" s="2470">
        <f t="shared" si="438"/>
        <v>-6.4567470306664031E-3</v>
      </c>
      <c r="BI205" s="2470">
        <f t="shared" si="438"/>
        <v>7.8427034221898503E-3</v>
      </c>
      <c r="BJ205" s="2471">
        <f t="shared" si="438"/>
        <v>7.8427034221898503E-3</v>
      </c>
      <c r="BK205" s="2470">
        <f t="shared" si="438"/>
        <v>1.4473067771851563E-2</v>
      </c>
      <c r="BL205" s="2470">
        <f>+BL199/BL200</f>
        <v>2.4462903828668038E-2</v>
      </c>
      <c r="BM205" s="2470">
        <f t="shared" ref="BM205:BP207" si="439">+BM199/BM200</f>
        <v>3.8574526589051444E-2</v>
      </c>
      <c r="BN205" s="2470">
        <f t="shared" si="439"/>
        <v>3.4979995913497999E-2</v>
      </c>
      <c r="BO205" s="2471">
        <f t="shared" si="439"/>
        <v>3.4979995913497999E-2</v>
      </c>
      <c r="BP205" s="2470">
        <f t="shared" si="439"/>
        <v>2.9608470826445177E-2</v>
      </c>
      <c r="BQ205" s="2470">
        <f t="shared" ref="BQ205:BU207" si="440">+BQ199/BQ200</f>
        <v>2.5109162227370325E-2</v>
      </c>
      <c r="BR205" s="2470">
        <f t="shared" si="440"/>
        <v>1.8678575867339928E-2</v>
      </c>
      <c r="BS205" s="3277">
        <f t="shared" si="440"/>
        <v>-7.3769826268992394E-2</v>
      </c>
      <c r="BT205" s="2471">
        <f t="shared" si="440"/>
        <v>-7.3769826268992394E-2</v>
      </c>
      <c r="BU205" s="3293">
        <f t="shared" si="440"/>
        <v>-6.3433817245974758E-2</v>
      </c>
      <c r="BV205" s="3293">
        <f t="shared" ref="BV205:BY207" si="441">+BV199/BV200</f>
        <v>-5.6052621966964859E-2</v>
      </c>
      <c r="BW205" s="3293">
        <f t="shared" si="441"/>
        <v>-3.5350574847683058E-2</v>
      </c>
      <c r="BX205" s="3443">
        <f t="shared" si="441"/>
        <v>4.9583866044041101E-2</v>
      </c>
      <c r="BY205" s="2471">
        <f t="shared" si="441"/>
        <v>4.9583866044041101E-2</v>
      </c>
      <c r="BZ205" s="2471">
        <f t="shared" si="437"/>
        <v>6.1873555747573597E-2</v>
      </c>
      <c r="CA205" s="2471">
        <f t="shared" si="437"/>
        <v>5.9457316648357218E-2</v>
      </c>
      <c r="CB205" s="2471">
        <f t="shared" ref="CB205:CF207" si="442">+CB199/CB200</f>
        <v>-0.50391318620374748</v>
      </c>
      <c r="CC205" s="2471">
        <f t="shared" si="442"/>
        <v>-1.1057032595581013</v>
      </c>
      <c r="CD205" s="2471">
        <f t="shared" si="442"/>
        <v>-2.1735791129486253</v>
      </c>
      <c r="CE205" s="2471">
        <f t="shared" si="442"/>
        <v>-4.2651210199907483</v>
      </c>
      <c r="CF205" s="2471">
        <f t="shared" si="442"/>
        <v>-8.3803884787757177</v>
      </c>
      <c r="CG205" s="281"/>
      <c r="CH205" s="281"/>
      <c r="CI205" s="281"/>
      <c r="CJ205" s="281"/>
      <c r="CK205" s="995"/>
      <c r="CL205" s="430"/>
      <c r="CM205" s="430"/>
      <c r="CN205" s="430"/>
      <c r="CO205" s="430"/>
      <c r="CP205" s="430"/>
      <c r="CQ205" s="430"/>
      <c r="CR205" s="430"/>
      <c r="CS205" s="430"/>
      <c r="CT205" s="430"/>
      <c r="CU205" s="430"/>
      <c r="CV205" s="430"/>
      <c r="CW205" s="430"/>
      <c r="CX205" s="430"/>
      <c r="CY205" s="430"/>
      <c r="CZ205" s="430"/>
      <c r="DA205" s="430"/>
      <c r="DB205" s="853"/>
      <c r="DC205" s="281"/>
      <c r="DD205" s="281"/>
      <c r="DE205" s="281"/>
      <c r="DF205" s="281"/>
      <c r="DG205" s="281"/>
      <c r="DH205" s="3293"/>
      <c r="DI205" s="3213"/>
    </row>
    <row r="206" spans="1:130" ht="12.75" customHeight="1" x14ac:dyDescent="0.25">
      <c r="A206" s="2469" t="s">
        <v>499</v>
      </c>
      <c r="B206" s="2463"/>
      <c r="C206" s="2472"/>
      <c r="D206" s="2472"/>
      <c r="E206" s="2472"/>
      <c r="F206" s="2472"/>
      <c r="G206" s="2471"/>
      <c r="H206" s="2472">
        <f t="shared" si="437"/>
        <v>0</v>
      </c>
      <c r="I206" s="2472">
        <f t="shared" si="437"/>
        <v>0</v>
      </c>
      <c r="J206" s="2472">
        <f t="shared" si="437"/>
        <v>0</v>
      </c>
      <c r="K206" s="2472">
        <f t="shared" si="437"/>
        <v>0</v>
      </c>
      <c r="L206" s="2471">
        <f t="shared" si="437"/>
        <v>0</v>
      </c>
      <c r="M206" s="2472">
        <f t="shared" si="437"/>
        <v>0</v>
      </c>
      <c r="N206" s="2472">
        <f t="shared" si="437"/>
        <v>0</v>
      </c>
      <c r="O206" s="2472">
        <f t="shared" si="437"/>
        <v>0</v>
      </c>
      <c r="P206" s="2472">
        <f t="shared" si="437"/>
        <v>0</v>
      </c>
      <c r="Q206" s="2471">
        <f t="shared" si="437"/>
        <v>0</v>
      </c>
      <c r="R206" s="2472">
        <f t="shared" si="437"/>
        <v>0</v>
      </c>
      <c r="S206" s="2472">
        <f t="shared" si="437"/>
        <v>0</v>
      </c>
      <c r="T206" s="2472">
        <f t="shared" si="437"/>
        <v>0</v>
      </c>
      <c r="U206" s="2472">
        <f t="shared" si="437"/>
        <v>0</v>
      </c>
      <c r="V206" s="2471">
        <f t="shared" si="437"/>
        <v>0</v>
      </c>
      <c r="W206" s="2472">
        <f t="shared" si="437"/>
        <v>0</v>
      </c>
      <c r="X206" s="2472">
        <f t="shared" si="437"/>
        <v>0</v>
      </c>
      <c r="Y206" s="2472">
        <f t="shared" si="437"/>
        <v>0</v>
      </c>
      <c r="Z206" s="2472">
        <f t="shared" si="437"/>
        <v>0</v>
      </c>
      <c r="AA206" s="2471">
        <f t="shared" si="437"/>
        <v>0</v>
      </c>
      <c r="AB206" s="2472">
        <f t="shared" si="437"/>
        <v>0.1182349595035424</v>
      </c>
      <c r="AC206" s="2472">
        <f t="shared" si="437"/>
        <v>0.22979771884386058</v>
      </c>
      <c r="AD206" s="2472">
        <f t="shared" si="437"/>
        <v>0.34647055862191972</v>
      </c>
      <c r="AE206" s="2472">
        <f t="shared" si="437"/>
        <v>0.47557396208595976</v>
      </c>
      <c r="AF206" s="2471">
        <f t="shared" si="437"/>
        <v>0.46994558533500935</v>
      </c>
      <c r="AG206" s="2472">
        <f t="shared" si="437"/>
        <v>0.50155438025251797</v>
      </c>
      <c r="AH206" s="2472">
        <f t="shared" si="437"/>
        <v>0.51846776325776534</v>
      </c>
      <c r="AI206" s="2472">
        <f t="shared" si="437"/>
        <v>0.53205089375307113</v>
      </c>
      <c r="AJ206" s="2472">
        <f t="shared" si="437"/>
        <v>0.54936499713266296</v>
      </c>
      <c r="AK206" s="2471">
        <f t="shared" si="437"/>
        <v>0.54129102096547743</v>
      </c>
      <c r="AL206" s="2472">
        <f t="shared" si="437"/>
        <v>0.56954509193759351</v>
      </c>
      <c r="AM206" s="2472">
        <f t="shared" si="437"/>
        <v>0.5841248105292044</v>
      </c>
      <c r="AN206" s="2472">
        <f t="shared" si="437"/>
        <v>0.5970125985843906</v>
      </c>
      <c r="AO206" s="2472">
        <f t="shared" si="437"/>
        <v>0.60331658821022627</v>
      </c>
      <c r="AP206" s="2471">
        <f t="shared" si="437"/>
        <v>0.60620032645242061</v>
      </c>
      <c r="AQ206" s="2472">
        <f t="shared" si="437"/>
        <v>0.60743283310874774</v>
      </c>
      <c r="AR206" s="2472">
        <f t="shared" si="437"/>
        <v>0.60128897083330868</v>
      </c>
      <c r="AS206" s="2472">
        <f t="shared" si="437"/>
        <v>0.58087381174698249</v>
      </c>
      <c r="AT206" s="2472">
        <f t="shared" si="437"/>
        <v>0.54643721743158591</v>
      </c>
      <c r="AU206" s="2471">
        <f t="shared" si="437"/>
        <v>0.57423472075556303</v>
      </c>
      <c r="AV206" s="2472">
        <f t="shared" si="437"/>
        <v>0.52841194711726958</v>
      </c>
      <c r="AW206" s="2472">
        <f t="shared" si="437"/>
        <v>0.54741099738102184</v>
      </c>
      <c r="AX206" s="2472">
        <f t="shared" si="437"/>
        <v>0.55730883328433434</v>
      </c>
      <c r="AY206" s="2472">
        <f t="shared" si="437"/>
        <v>0.77004369884822743</v>
      </c>
      <c r="AZ206" s="2471">
        <f t="shared" si="437"/>
        <v>0.66315868039158066</v>
      </c>
      <c r="BA206" s="2472">
        <f t="shared" si="437"/>
        <v>1.2446787341594723</v>
      </c>
      <c r="BB206" s="2472">
        <f t="shared" si="437"/>
        <v>1.1769192984355596</v>
      </c>
      <c r="BC206" s="2472">
        <f t="shared" si="437"/>
        <v>1.0955656369137985</v>
      </c>
      <c r="BD206" s="2472">
        <f t="shared" si="437"/>
        <v>0.72686042200097567</v>
      </c>
      <c r="BE206" s="2471">
        <f t="shared" si="437"/>
        <v>0.84089050006881561</v>
      </c>
      <c r="BF206" s="2472">
        <f t="shared" si="438"/>
        <v>0.55671115203678545</v>
      </c>
      <c r="BG206" s="2472">
        <f t="shared" si="438"/>
        <v>0.56231798534241118</v>
      </c>
      <c r="BH206" s="2472">
        <f t="shared" si="438"/>
        <v>0.55745643570945835</v>
      </c>
      <c r="BI206" s="2472">
        <f t="shared" si="438"/>
        <v>0.55216901321867529</v>
      </c>
      <c r="BJ206" s="2471">
        <f t="shared" si="438"/>
        <v>0.57904130769307671</v>
      </c>
      <c r="BK206" s="2472">
        <f t="shared" si="438"/>
        <v>0.57086693469842542</v>
      </c>
      <c r="BL206" s="2472">
        <f>+BL200/BL201</f>
        <v>0.58397589977881403</v>
      </c>
      <c r="BM206" s="2472">
        <f t="shared" si="439"/>
        <v>0.58212646924815137</v>
      </c>
      <c r="BN206" s="2472">
        <f t="shared" si="439"/>
        <v>0.59345426041028293</v>
      </c>
      <c r="BO206" s="2471">
        <f t="shared" si="439"/>
        <v>0.60008092365292387</v>
      </c>
      <c r="BP206" s="2472">
        <f t="shared" si="439"/>
        <v>0.61566206965784709</v>
      </c>
      <c r="BQ206" s="2472">
        <f t="shared" si="440"/>
        <v>0.62051670421049765</v>
      </c>
      <c r="BR206" s="2472">
        <f t="shared" si="440"/>
        <v>0.59162697968999622</v>
      </c>
      <c r="BS206" s="3278">
        <f t="shared" si="440"/>
        <v>0.58273008871631837</v>
      </c>
      <c r="BT206" s="2471">
        <f t="shared" si="440"/>
        <v>0.61668698801562827</v>
      </c>
      <c r="BU206" s="2472">
        <f t="shared" si="440"/>
        <v>0.60510341931917311</v>
      </c>
      <c r="BV206" s="2472">
        <f t="shared" si="441"/>
        <v>0.60523482034088738</v>
      </c>
      <c r="BW206" s="2472">
        <f t="shared" si="441"/>
        <v>0.49010269206714363</v>
      </c>
      <c r="BX206" s="3278">
        <f t="shared" si="441"/>
        <v>0.42655749899628503</v>
      </c>
      <c r="BY206" s="2471">
        <f t="shared" si="441"/>
        <v>0.55497024887516544</v>
      </c>
      <c r="BZ206" s="2471">
        <f t="shared" si="437"/>
        <v>0.52746920285655086</v>
      </c>
      <c r="CA206" s="2471">
        <f t="shared" si="437"/>
        <v>0.52022751574914494</v>
      </c>
      <c r="CB206" s="2471">
        <f t="shared" si="442"/>
        <v>0.44510870003639597</v>
      </c>
      <c r="CC206" s="2471">
        <f t="shared" si="442"/>
        <v>0.90946131182148537</v>
      </c>
      <c r="CD206" s="2471">
        <f t="shared" si="442"/>
        <v>0.91728885920939085</v>
      </c>
      <c r="CE206" s="2471">
        <f t="shared" si="442"/>
        <v>0.92295574157658289</v>
      </c>
      <c r="CF206" s="2471">
        <f t="shared" si="442"/>
        <v>0.92394601629990047</v>
      </c>
      <c r="CG206" s="281"/>
      <c r="CH206" s="281"/>
      <c r="CI206" s="281"/>
      <c r="CJ206" s="281"/>
      <c r="CK206" s="995"/>
      <c r="CL206" s="430"/>
      <c r="CM206" s="430"/>
      <c r="CN206" s="430"/>
      <c r="CO206" s="430"/>
      <c r="CP206" s="430"/>
      <c r="CQ206" s="430"/>
      <c r="CR206" s="430"/>
      <c r="CS206" s="430"/>
      <c r="CT206" s="430"/>
      <c r="CU206" s="430"/>
      <c r="CV206" s="430"/>
      <c r="CW206" s="430"/>
      <c r="CX206" s="430"/>
      <c r="CY206" s="430"/>
      <c r="CZ206" s="430"/>
      <c r="DA206" s="430"/>
      <c r="DB206" s="853"/>
      <c r="DC206" s="281"/>
      <c r="DD206" s="281"/>
      <c r="DE206" s="281"/>
      <c r="DF206" s="281"/>
      <c r="DG206" s="281"/>
      <c r="DH206" s="3293"/>
      <c r="DI206" s="3213"/>
    </row>
    <row r="207" spans="1:130" ht="12.75" customHeight="1" x14ac:dyDescent="0.25">
      <c r="A207" s="2469" t="s">
        <v>500</v>
      </c>
      <c r="B207" s="2463"/>
      <c r="C207" s="2472"/>
      <c r="D207" s="2472"/>
      <c r="E207" s="2472"/>
      <c r="F207" s="2472"/>
      <c r="G207" s="2471"/>
      <c r="H207" s="2472">
        <f>+H201/H202</f>
        <v>4.3344139085466749</v>
      </c>
      <c r="I207" s="2472">
        <f t="shared" si="437"/>
        <v>4.2986777382059893</v>
      </c>
      <c r="J207" s="2472">
        <f t="shared" si="437"/>
        <v>3.6946256779534687</v>
      </c>
      <c r="K207" s="2472">
        <f t="shared" si="437"/>
        <v>5.587534626826888</v>
      </c>
      <c r="L207" s="2471">
        <f t="shared" si="437"/>
        <v>5.3856228928770351</v>
      </c>
      <c r="M207" s="2472">
        <f>+M201/M202</f>
        <v>7.2037694839364299</v>
      </c>
      <c r="N207" s="2472">
        <f t="shared" si="437"/>
        <v>6.5462170270086579</v>
      </c>
      <c r="O207" s="2472">
        <f t="shared" si="437"/>
        <v>5.766918963488342</v>
      </c>
      <c r="P207" s="2472">
        <f t="shared" si="437"/>
        <v>5.094946573342523</v>
      </c>
      <c r="Q207" s="2471">
        <f t="shared" si="437"/>
        <v>5.7841072297198926</v>
      </c>
      <c r="R207" s="2472">
        <f>+R201/R202</f>
        <v>4.7858596026377658</v>
      </c>
      <c r="S207" s="2472">
        <f t="shared" si="437"/>
        <v>4.6565068594945966</v>
      </c>
      <c r="T207" s="2472">
        <f t="shared" si="437"/>
        <v>4.5430064270547303</v>
      </c>
      <c r="U207" s="2472">
        <f t="shared" si="437"/>
        <v>4.4424266794180713</v>
      </c>
      <c r="V207" s="2471">
        <f t="shared" si="437"/>
        <v>4.5761873053660196</v>
      </c>
      <c r="W207" s="2472">
        <f>+W201/W202</f>
        <v>4.3930226011970399</v>
      </c>
      <c r="X207" s="2472">
        <f t="shared" si="437"/>
        <v>4.2594952756826983</v>
      </c>
      <c r="Y207" s="2472">
        <f t="shared" si="437"/>
        <v>3.9671367483058035</v>
      </c>
      <c r="Z207" s="2472">
        <f t="shared" si="437"/>
        <v>3.0192777891137617</v>
      </c>
      <c r="AA207" s="2471">
        <f t="shared" si="437"/>
        <v>3.4097004548033252</v>
      </c>
      <c r="AB207" s="2472">
        <f>+AB201/AB202</f>
        <v>2.4841184287537303</v>
      </c>
      <c r="AC207" s="2472">
        <f t="shared" si="437"/>
        <v>2.4283513252023603</v>
      </c>
      <c r="AD207" s="2472">
        <f t="shared" si="437"/>
        <v>2.4018567840095293</v>
      </c>
      <c r="AE207" s="2472">
        <f t="shared" si="437"/>
        <v>2.462174163054939</v>
      </c>
      <c r="AF207" s="2471">
        <f t="shared" si="437"/>
        <v>2.4728652081920792</v>
      </c>
      <c r="AG207" s="2472">
        <f>+AG201/AG202</f>
        <v>2.5052826035100404</v>
      </c>
      <c r="AH207" s="2472">
        <f t="shared" si="437"/>
        <v>2.4102079325222432</v>
      </c>
      <c r="AI207" s="2472">
        <f t="shared" si="437"/>
        <v>2.352712143723815</v>
      </c>
      <c r="AJ207" s="2472">
        <f t="shared" si="437"/>
        <v>2.4284327006383735</v>
      </c>
      <c r="AK207" s="2471">
        <f t="shared" si="437"/>
        <v>2.4545699968762151</v>
      </c>
      <c r="AL207" s="2472">
        <f>+AL201/AL202</f>
        <v>2.4539578795882782</v>
      </c>
      <c r="AM207" s="2472">
        <f t="shared" si="437"/>
        <v>2.3723755251326804</v>
      </c>
      <c r="AN207" s="2472">
        <f t="shared" si="437"/>
        <v>2.2987207510058481</v>
      </c>
      <c r="AO207" s="2472">
        <f t="shared" si="437"/>
        <v>2.2941328630632931</v>
      </c>
      <c r="AP207" s="2471">
        <f t="shared" si="437"/>
        <v>2.3605655320095993</v>
      </c>
      <c r="AQ207" s="2472">
        <f>+AQ201/AQ202</f>
        <v>2.293363021845932</v>
      </c>
      <c r="AR207" s="2472">
        <f t="shared" si="437"/>
        <v>2.2418565033420061</v>
      </c>
      <c r="AS207" s="2472">
        <f t="shared" si="437"/>
        <v>2.2457637950868659</v>
      </c>
      <c r="AT207" s="2472">
        <f t="shared" si="437"/>
        <v>2.3848777812985276</v>
      </c>
      <c r="AU207" s="2471">
        <f t="shared" si="437"/>
        <v>2.3521394606313564</v>
      </c>
      <c r="AV207" s="2472">
        <f>+AV201/AV202</f>
        <v>2.4531190536996808</v>
      </c>
      <c r="AW207" s="2472">
        <f t="shared" si="437"/>
        <v>2.3662644205366687</v>
      </c>
      <c r="AX207" s="2472">
        <f t="shared" si="437"/>
        <v>2.2936230620120144</v>
      </c>
      <c r="AY207" s="2472">
        <f t="shared" si="437"/>
        <v>2.4061095814322551</v>
      </c>
      <c r="AZ207" s="2471">
        <f t="shared" si="437"/>
        <v>2.4433094508181115</v>
      </c>
      <c r="BA207" s="2472">
        <f>+BA201/BA202</f>
        <v>2.887920268081265</v>
      </c>
      <c r="BB207" s="2472">
        <f t="shared" si="437"/>
        <v>2.8784036293458972</v>
      </c>
      <c r="BC207" s="2472">
        <f t="shared" si="437"/>
        <v>2.9741385669906064</v>
      </c>
      <c r="BD207" s="2472">
        <f t="shared" si="437"/>
        <v>79.003291807058133</v>
      </c>
      <c r="BE207" s="2471">
        <f t="shared" si="437"/>
        <v>10.831553484534542</v>
      </c>
      <c r="BF207" s="2472">
        <f t="shared" si="438"/>
        <v>-6.6845352766042865</v>
      </c>
      <c r="BG207" s="2472">
        <f t="shared" si="438"/>
        <v>-6.847282992645364</v>
      </c>
      <c r="BH207" s="2472">
        <f t="shared" si="438"/>
        <v>-7.2563685724372133</v>
      </c>
      <c r="BI207" s="2472">
        <f t="shared" si="438"/>
        <v>-7.5915052298513181</v>
      </c>
      <c r="BJ207" s="2471">
        <f t="shared" si="438"/>
        <v>-7.0730467794614507</v>
      </c>
      <c r="BK207" s="2472">
        <f t="shared" si="438"/>
        <v>-7.7365161173651611</v>
      </c>
      <c r="BL207" s="2472">
        <f>+BL201/BL202</f>
        <v>-8.177762155250587</v>
      </c>
      <c r="BM207" s="2472">
        <f t="shared" si="439"/>
        <v>-8.9546496942588902</v>
      </c>
      <c r="BN207" s="2472">
        <f t="shared" si="439"/>
        <v>-9.3203889600813721</v>
      </c>
      <c r="BO207" s="2471">
        <f t="shared" si="439"/>
        <v>-8.2802868598442885</v>
      </c>
      <c r="BP207" s="2472">
        <f t="shared" si="439"/>
        <v>-9.1522583787493588</v>
      </c>
      <c r="BQ207" s="2472">
        <f t="shared" si="440"/>
        <v>-9.3843546510913711</v>
      </c>
      <c r="BR207" s="2472">
        <f t="shared" si="440"/>
        <v>-40.982086341272094</v>
      </c>
      <c r="BS207" s="3278">
        <f t="shared" si="440"/>
        <v>57.817971166504336</v>
      </c>
      <c r="BT207" s="2471">
        <f t="shared" si="440"/>
        <v>-16.561004175412755</v>
      </c>
      <c r="BU207" s="2472">
        <f t="shared" si="440"/>
        <v>-98.940227049822013</v>
      </c>
      <c r="BV207" s="2472">
        <f t="shared" si="441"/>
        <v>-546.20179208395359</v>
      </c>
      <c r="BW207" s="2472">
        <f t="shared" si="441"/>
        <v>18.088733495915918</v>
      </c>
      <c r="BX207" s="3278">
        <f t="shared" si="441"/>
        <v>11.555229105676158</v>
      </c>
      <c r="BY207" s="2471">
        <f t="shared" si="441"/>
        <v>18.782369359050531</v>
      </c>
      <c r="BZ207" s="2471">
        <f t="shared" si="437"/>
        <v>9.4132295165010831</v>
      </c>
      <c r="CA207" s="2471">
        <f t="shared" si="437"/>
        <v>7.2425059435591015</v>
      </c>
      <c r="CB207" s="2471">
        <f t="shared" si="442"/>
        <v>4.1497162863546162</v>
      </c>
      <c r="CC207" s="2471">
        <f t="shared" si="442"/>
        <v>1.8677135435750409</v>
      </c>
      <c r="CD207" s="2471">
        <f t="shared" si="442"/>
        <v>1.852138741654066</v>
      </c>
      <c r="CE207" s="2471">
        <f t="shared" si="442"/>
        <v>1.8324920363985864</v>
      </c>
      <c r="CF207" s="2471">
        <f t="shared" si="442"/>
        <v>1.8074638637112674</v>
      </c>
      <c r="CG207" s="281"/>
      <c r="CH207" s="281"/>
      <c r="CI207" s="281"/>
      <c r="CJ207" s="281"/>
      <c r="CK207" s="995"/>
      <c r="CL207" s="430"/>
      <c r="CM207" s="430"/>
      <c r="CN207" s="430"/>
      <c r="CO207" s="430"/>
      <c r="CP207" s="430"/>
      <c r="CQ207" s="430"/>
      <c r="CR207" s="430"/>
      <c r="CS207" s="430"/>
      <c r="CT207" s="430"/>
      <c r="CU207" s="430"/>
      <c r="CV207" s="430"/>
      <c r="CW207" s="430"/>
      <c r="CX207" s="430"/>
      <c r="CY207" s="430"/>
      <c r="CZ207" s="430"/>
      <c r="DA207" s="430"/>
      <c r="DB207" s="853"/>
      <c r="DC207" s="281"/>
      <c r="DD207" s="281"/>
      <c r="DE207" s="281"/>
      <c r="DF207" s="281"/>
      <c r="DG207" s="281"/>
      <c r="DH207" s="3293"/>
      <c r="DI207" s="3213"/>
    </row>
    <row r="208" spans="1:130" ht="3.95" customHeight="1" x14ac:dyDescent="0.25">
      <c r="A208" s="2008"/>
      <c r="B208" s="2463"/>
      <c r="C208" s="2466"/>
      <c r="D208" s="2466"/>
      <c r="E208" s="2466"/>
      <c r="F208" s="2466"/>
      <c r="G208" s="2473"/>
      <c r="H208" s="2466" t="s">
        <v>501</v>
      </c>
      <c r="I208" s="2466" t="s">
        <v>501</v>
      </c>
      <c r="J208" s="2466" t="s">
        <v>501</v>
      </c>
      <c r="K208" s="2466" t="s">
        <v>501</v>
      </c>
      <c r="L208" s="2473" t="s">
        <v>501</v>
      </c>
      <c r="M208" s="2466" t="s">
        <v>501</v>
      </c>
      <c r="N208" s="2466" t="s">
        <v>501</v>
      </c>
      <c r="O208" s="2466" t="s">
        <v>501</v>
      </c>
      <c r="P208" s="2466" t="s">
        <v>501</v>
      </c>
      <c r="Q208" s="2473" t="s">
        <v>501</v>
      </c>
      <c r="R208" s="2466" t="s">
        <v>501</v>
      </c>
      <c r="S208" s="2466" t="s">
        <v>501</v>
      </c>
      <c r="T208" s="2466" t="s">
        <v>501</v>
      </c>
      <c r="U208" s="2466" t="s">
        <v>501</v>
      </c>
      <c r="V208" s="2473" t="s">
        <v>501</v>
      </c>
      <c r="W208" s="2466" t="s">
        <v>501</v>
      </c>
      <c r="X208" s="2466" t="s">
        <v>501</v>
      </c>
      <c r="Y208" s="2466" t="s">
        <v>501</v>
      </c>
      <c r="Z208" s="2466" t="s">
        <v>501</v>
      </c>
      <c r="AA208" s="2473" t="s">
        <v>501</v>
      </c>
      <c r="AB208" s="2466" t="s">
        <v>501</v>
      </c>
      <c r="AC208" s="2466" t="s">
        <v>501</v>
      </c>
      <c r="AD208" s="2466" t="s">
        <v>501</v>
      </c>
      <c r="AE208" s="2466" t="s">
        <v>501</v>
      </c>
      <c r="AF208" s="2473" t="s">
        <v>501</v>
      </c>
      <c r="AG208" s="2466" t="s">
        <v>501</v>
      </c>
      <c r="AH208" s="2466" t="s">
        <v>501</v>
      </c>
      <c r="AI208" s="2466" t="s">
        <v>501</v>
      </c>
      <c r="AJ208" s="2466" t="s">
        <v>501</v>
      </c>
      <c r="AK208" s="2473" t="s">
        <v>501</v>
      </c>
      <c r="AL208" s="2466" t="s">
        <v>501</v>
      </c>
      <c r="AM208" s="2466" t="s">
        <v>501</v>
      </c>
      <c r="AN208" s="2466" t="s">
        <v>501</v>
      </c>
      <c r="AO208" s="2466" t="s">
        <v>501</v>
      </c>
      <c r="AP208" s="2473" t="s">
        <v>501</v>
      </c>
      <c r="AQ208" s="2466" t="s">
        <v>501</v>
      </c>
      <c r="AR208" s="2466" t="s">
        <v>501</v>
      </c>
      <c r="AS208" s="2466" t="s">
        <v>501</v>
      </c>
      <c r="AT208" s="2466" t="s">
        <v>501</v>
      </c>
      <c r="AU208" s="2473" t="s">
        <v>501</v>
      </c>
      <c r="AV208" s="2466" t="s">
        <v>501</v>
      </c>
      <c r="AW208" s="2466" t="s">
        <v>501</v>
      </c>
      <c r="AX208" s="2466" t="s">
        <v>501</v>
      </c>
      <c r="AY208" s="2466" t="s">
        <v>501</v>
      </c>
      <c r="AZ208" s="2473" t="s">
        <v>501</v>
      </c>
      <c r="BA208" s="2466" t="s">
        <v>501</v>
      </c>
      <c r="BB208" s="2466" t="s">
        <v>501</v>
      </c>
      <c r="BC208" s="2466" t="s">
        <v>501</v>
      </c>
      <c r="BD208" s="2466" t="s">
        <v>501</v>
      </c>
      <c r="BE208" s="2473" t="s">
        <v>501</v>
      </c>
      <c r="BF208" s="2466" t="s">
        <v>501</v>
      </c>
      <c r="BG208" s="2466" t="s">
        <v>501</v>
      </c>
      <c r="BH208" s="2466" t="s">
        <v>501</v>
      </c>
      <c r="BI208" s="2466" t="s">
        <v>501</v>
      </c>
      <c r="BJ208" s="2473" t="s">
        <v>501</v>
      </c>
      <c r="BK208" s="2466" t="s">
        <v>501</v>
      </c>
      <c r="BL208" s="2466" t="s">
        <v>501</v>
      </c>
      <c r="BM208" s="2466" t="s">
        <v>501</v>
      </c>
      <c r="BN208" s="2466" t="s">
        <v>501</v>
      </c>
      <c r="BO208" s="2473" t="s">
        <v>501</v>
      </c>
      <c r="BP208" s="2466" t="s">
        <v>501</v>
      </c>
      <c r="BQ208" s="2466" t="s">
        <v>501</v>
      </c>
      <c r="BR208" s="2466" t="s">
        <v>501</v>
      </c>
      <c r="BS208" s="3276" t="s">
        <v>501</v>
      </c>
      <c r="BT208" s="2473" t="s">
        <v>501</v>
      </c>
      <c r="BU208" s="2466" t="s">
        <v>501</v>
      </c>
      <c r="BV208" s="2466" t="s">
        <v>501</v>
      </c>
      <c r="BW208" s="2466" t="s">
        <v>501</v>
      </c>
      <c r="BX208" s="3276" t="s">
        <v>501</v>
      </c>
      <c r="BY208" s="2473" t="s">
        <v>501</v>
      </c>
      <c r="BZ208" s="2473" t="s">
        <v>501</v>
      </c>
      <c r="CA208" s="2473" t="s">
        <v>501</v>
      </c>
      <c r="CB208" s="2473" t="s">
        <v>501</v>
      </c>
      <c r="CC208" s="2473" t="s">
        <v>501</v>
      </c>
      <c r="CD208" s="2473" t="s">
        <v>501</v>
      </c>
      <c r="CE208" s="2473" t="s">
        <v>501</v>
      </c>
      <c r="CF208" s="2473" t="s">
        <v>501</v>
      </c>
      <c r="CG208" s="281"/>
      <c r="CH208" s="281"/>
      <c r="CI208" s="281"/>
      <c r="CJ208" s="281"/>
      <c r="CK208" s="995"/>
      <c r="CL208" s="430"/>
      <c r="CM208" s="430"/>
      <c r="CN208" s="430"/>
      <c r="CO208" s="430"/>
      <c r="CP208" s="430"/>
      <c r="CQ208" s="430"/>
      <c r="CR208" s="430"/>
      <c r="CS208" s="430"/>
      <c r="CT208" s="430"/>
      <c r="CU208" s="430"/>
      <c r="CV208" s="430"/>
      <c r="CW208" s="430"/>
      <c r="CX208" s="430"/>
      <c r="CY208" s="430"/>
      <c r="CZ208" s="430"/>
      <c r="DA208" s="430"/>
      <c r="DB208" s="853"/>
      <c r="DC208" s="281"/>
      <c r="DD208" s="281"/>
      <c r="DE208" s="281"/>
      <c r="DF208" s="281"/>
      <c r="DG208" s="281"/>
      <c r="DH208" s="2466"/>
      <c r="DI208" s="3213"/>
    </row>
    <row r="209" spans="1:130" ht="12.75" customHeight="1" x14ac:dyDescent="0.25">
      <c r="A209" s="2008" t="s">
        <v>502</v>
      </c>
      <c r="B209" s="2463"/>
      <c r="C209" s="2474"/>
      <c r="D209" s="2474"/>
      <c r="E209" s="2474"/>
      <c r="F209" s="2474"/>
      <c r="G209" s="2475"/>
      <c r="H209" s="2474" t="e">
        <f t="shared" ref="H209:CA209" si="443">+H205*H206*H207</f>
        <v>#DIV/0!</v>
      </c>
      <c r="I209" s="2474" t="e">
        <f t="shared" si="443"/>
        <v>#DIV/0!</v>
      </c>
      <c r="J209" s="2474" t="e">
        <f t="shared" si="443"/>
        <v>#DIV/0!</v>
      </c>
      <c r="K209" s="2474" t="e">
        <f t="shared" si="443"/>
        <v>#DIV/0!</v>
      </c>
      <c r="L209" s="2475" t="e">
        <f t="shared" si="443"/>
        <v>#DIV/0!</v>
      </c>
      <c r="M209" s="2474" t="e">
        <f t="shared" si="443"/>
        <v>#DIV/0!</v>
      </c>
      <c r="N209" s="2474" t="e">
        <f t="shared" si="443"/>
        <v>#DIV/0!</v>
      </c>
      <c r="O209" s="2474" t="e">
        <f t="shared" si="443"/>
        <v>#DIV/0!</v>
      </c>
      <c r="P209" s="2474" t="e">
        <f t="shared" si="443"/>
        <v>#DIV/0!</v>
      </c>
      <c r="Q209" s="2475" t="e">
        <f t="shared" si="443"/>
        <v>#DIV/0!</v>
      </c>
      <c r="R209" s="2474" t="e">
        <f t="shared" si="443"/>
        <v>#DIV/0!</v>
      </c>
      <c r="S209" s="2474" t="e">
        <f t="shared" si="443"/>
        <v>#DIV/0!</v>
      </c>
      <c r="T209" s="2474" t="e">
        <f t="shared" si="443"/>
        <v>#DIV/0!</v>
      </c>
      <c r="U209" s="2474" t="e">
        <f t="shared" si="443"/>
        <v>#DIV/0!</v>
      </c>
      <c r="V209" s="2475" t="e">
        <f t="shared" si="443"/>
        <v>#DIV/0!</v>
      </c>
      <c r="W209" s="2474" t="e">
        <f t="shared" si="443"/>
        <v>#DIV/0!</v>
      </c>
      <c r="X209" s="2474" t="e">
        <f t="shared" si="443"/>
        <v>#DIV/0!</v>
      </c>
      <c r="Y209" s="2474" t="e">
        <f t="shared" si="443"/>
        <v>#DIV/0!</v>
      </c>
      <c r="Z209" s="2474" t="e">
        <f t="shared" si="443"/>
        <v>#DIV/0!</v>
      </c>
      <c r="AA209" s="2475" t="e">
        <f t="shared" si="443"/>
        <v>#DIV/0!</v>
      </c>
      <c r="AB209" s="2474">
        <f t="shared" si="443"/>
        <v>7.6009412509714727E-2</v>
      </c>
      <c r="AC209" s="2474">
        <f t="shared" si="443"/>
        <v>7.2615055544862583E-2</v>
      </c>
      <c r="AD209" s="2474">
        <f t="shared" si="443"/>
        <v>6.6586606632348194E-2</v>
      </c>
      <c r="AE209" s="2474">
        <f t="shared" si="443"/>
        <v>5.3621689984434458E-2</v>
      </c>
      <c r="AF209" s="2475">
        <f t="shared" si="443"/>
        <v>5.3217157957778025E-2</v>
      </c>
      <c r="AG209" s="2474">
        <f t="shared" si="443"/>
        <v>5.4486533292115044E-2</v>
      </c>
      <c r="AH209" s="2474">
        <f t="shared" si="443"/>
        <v>5.2034564610923699E-2</v>
      </c>
      <c r="AI209" s="2474">
        <f t="shared" si="443"/>
        <v>5.3602814174068585E-2</v>
      </c>
      <c r="AJ209" s="2474">
        <f t="shared" si="443"/>
        <v>3.1910003857256571E-2</v>
      </c>
      <c r="AK209" s="2475">
        <f t="shared" si="443"/>
        <v>3.1779425646753678E-2</v>
      </c>
      <c r="AL209" s="2474">
        <f t="shared" si="443"/>
        <v>4.0888168627268198E-2</v>
      </c>
      <c r="AM209" s="2474">
        <f t="shared" si="443"/>
        <v>5.4826038657371852E-2</v>
      </c>
      <c r="AN209" s="2474">
        <f t="shared" si="443"/>
        <v>7.1491291475949292E-2</v>
      </c>
      <c r="AO209" s="2474">
        <f t="shared" si="443"/>
        <v>0.12286257370892356</v>
      </c>
      <c r="AP209" s="2475">
        <f t="shared" si="443"/>
        <v>0.12702464896680152</v>
      </c>
      <c r="AQ209" s="2474">
        <f t="shared" si="443"/>
        <v>0.1345455013950248</v>
      </c>
      <c r="AR209" s="2474">
        <f t="shared" si="443"/>
        <v>0.13383946676198508</v>
      </c>
      <c r="AS209" s="2474">
        <f t="shared" si="443"/>
        <v>0.12446562498920434</v>
      </c>
      <c r="AT209" s="2474">
        <f t="shared" si="443"/>
        <v>0.11410437749027487</v>
      </c>
      <c r="AU209" s="2475">
        <f t="shared" si="443"/>
        <v>0.11826287253236061</v>
      </c>
      <c r="AV209" s="2474">
        <f t="shared" si="443"/>
        <v>0.10700334803721073</v>
      </c>
      <c r="AW209" s="2474">
        <f t="shared" si="443"/>
        <v>9.0238439045211158E-2</v>
      </c>
      <c r="AX209" s="2474">
        <f t="shared" si="443"/>
        <v>8.0682648703059329E-2</v>
      </c>
      <c r="AY209" s="2474">
        <f t="shared" si="443"/>
        <v>0.1005170720095219</v>
      </c>
      <c r="AZ209" s="2475">
        <f t="shared" si="443"/>
        <v>8.7903261472369168E-2</v>
      </c>
      <c r="BA209" s="2474">
        <f t="shared" si="443"/>
        <v>0.11547357096975108</v>
      </c>
      <c r="BB209" s="2474">
        <f t="shared" si="443"/>
        <v>4.6875985853520853E-2</v>
      </c>
      <c r="BC209" s="2474">
        <f t="shared" si="443"/>
        <v>-3.3884933773268573E-2</v>
      </c>
      <c r="BD209" s="2474">
        <f t="shared" si="443"/>
        <v>-1.3102810782053576</v>
      </c>
      <c r="BE209" s="2475">
        <f t="shared" si="443"/>
        <v>-0.20782531854449313</v>
      </c>
      <c r="BF209" s="2474">
        <f t="shared" ref="BF209:BO209" si="444">+BF205*BF206*BF207</f>
        <v>8.185516309493808E-2</v>
      </c>
      <c r="BG209" s="2474">
        <f t="shared" si="444"/>
        <v>5.4281865334429545E-2</v>
      </c>
      <c r="BH209" s="2474">
        <f t="shared" si="444"/>
        <v>2.6118247852677939E-2</v>
      </c>
      <c r="BI209" s="2474">
        <f t="shared" si="444"/>
        <v>-3.2874996769417561E-2</v>
      </c>
      <c r="BJ209" s="2475">
        <f t="shared" si="444"/>
        <v>-3.2120468350147133E-2</v>
      </c>
      <c r="BK209" s="2474">
        <f t="shared" si="444"/>
        <v>-6.3920611239206102E-2</v>
      </c>
      <c r="BL209" s="2474">
        <f>+BL205*BL206*BL207</f>
        <v>-0.11682543524351897</v>
      </c>
      <c r="BM209" s="2474">
        <f t="shared" si="444"/>
        <v>-0.20107892410831979</v>
      </c>
      <c r="BN209" s="2474">
        <f t="shared" si="444"/>
        <v>-0.19348221170234303</v>
      </c>
      <c r="BO209" s="2475">
        <f t="shared" si="444"/>
        <v>-0.17381007939490567</v>
      </c>
      <c r="BP209" s="2474">
        <f t="shared" ref="BP209:BX209" si="445">+BP205*BP206*BP207</f>
        <v>-0.1668348012825954</v>
      </c>
      <c r="BQ209" s="2474">
        <f t="shared" si="445"/>
        <v>-0.14621438837635867</v>
      </c>
      <c r="BR209" s="2474">
        <f t="shared" si="445"/>
        <v>-0.45288276708360314</v>
      </c>
      <c r="BS209" s="3275">
        <f t="shared" si="445"/>
        <v>-2.4854730127471019</v>
      </c>
      <c r="BT209" s="2475">
        <f t="shared" si="445"/>
        <v>0.75340797383797331</v>
      </c>
      <c r="BU209" s="2474">
        <f t="shared" si="445"/>
        <v>3.797723625786563</v>
      </c>
      <c r="BV209" s="2474">
        <f t="shared" si="445"/>
        <v>18.529895024015918</v>
      </c>
      <c r="BW209" s="2474">
        <f t="shared" si="445"/>
        <v>-0.3133947585474483</v>
      </c>
      <c r="BX209" s="3275">
        <f t="shared" si="445"/>
        <v>0.24439736975236134</v>
      </c>
      <c r="BY209" s="2475">
        <f>+BY205*BY206*BY207</f>
        <v>0.51684517259379104</v>
      </c>
      <c r="BZ209" s="2475">
        <f t="shared" si="443"/>
        <v>0.30721387793176902</v>
      </c>
      <c r="CA209" s="2475">
        <f t="shared" si="443"/>
        <v>0.22402035681606985</v>
      </c>
      <c r="CB209" s="2475">
        <f>+CB205*CB206*CB207</f>
        <v>-0.93076535857930098</v>
      </c>
      <c r="CC209" s="2475">
        <f>+CC205*CC206*CC207</f>
        <v>-1.8781621624134559</v>
      </c>
      <c r="CD209" s="2475">
        <f>+CD205*CD206*CD207</f>
        <v>-3.6927940470048286</v>
      </c>
      <c r="CE209" s="2475">
        <f>+CE205*CE206*CE207</f>
        <v>-7.2136377650475776</v>
      </c>
      <c r="CF209" s="2475">
        <f>+CF205*CF206*CF207</f>
        <v>-13.995240684900736</v>
      </c>
      <c r="CG209" s="281"/>
      <c r="CH209" s="281"/>
      <c r="CI209" s="281"/>
      <c r="CJ209" s="281"/>
      <c r="CK209" s="995"/>
      <c r="CL209" s="430"/>
      <c r="CM209" s="430"/>
      <c r="CN209" s="430"/>
      <c r="CO209" s="430"/>
      <c r="CP209" s="430"/>
      <c r="CQ209" s="430"/>
      <c r="CR209" s="430"/>
      <c r="CS209" s="430"/>
      <c r="CT209" s="430"/>
      <c r="CU209" s="430"/>
      <c r="CV209" s="430"/>
      <c r="CW209" s="430"/>
      <c r="CX209" s="430"/>
      <c r="CY209" s="430"/>
      <c r="CZ209" s="430"/>
      <c r="DA209" s="430"/>
      <c r="DB209" s="853"/>
      <c r="DC209" s="281"/>
      <c r="DD209" s="281"/>
      <c r="DE209" s="281"/>
      <c r="DF209" s="281"/>
      <c r="DG209" s="281"/>
      <c r="DH209" s="2474"/>
      <c r="DI209" s="3213"/>
    </row>
    <row r="210" spans="1:130" ht="3.95" customHeight="1" x14ac:dyDescent="0.25">
      <c r="A210" s="2008"/>
      <c r="B210" s="2463"/>
      <c r="C210" s="2474"/>
      <c r="D210" s="2474"/>
      <c r="E210" s="2474"/>
      <c r="F210" s="2474"/>
      <c r="G210" s="2475"/>
      <c r="H210" s="2474"/>
      <c r="I210" s="2474"/>
      <c r="J210" s="2474"/>
      <c r="K210" s="2474"/>
      <c r="L210" s="2475"/>
      <c r="M210" s="2474"/>
      <c r="N210" s="2474"/>
      <c r="O210" s="2474"/>
      <c r="P210" s="2474"/>
      <c r="Q210" s="2475"/>
      <c r="R210" s="2474"/>
      <c r="S210" s="2474"/>
      <c r="T210" s="2474"/>
      <c r="U210" s="2474"/>
      <c r="V210" s="2475"/>
      <c r="W210" s="2474"/>
      <c r="X210" s="2474"/>
      <c r="Y210" s="2474"/>
      <c r="Z210" s="2474"/>
      <c r="AA210" s="2475"/>
      <c r="AB210" s="2474"/>
      <c r="AC210" s="2474"/>
      <c r="AD210" s="2474"/>
      <c r="AE210" s="2474"/>
      <c r="AF210" s="2475"/>
      <c r="AG210" s="2474"/>
      <c r="AH210" s="2474"/>
      <c r="AI210" s="2474"/>
      <c r="AJ210" s="2474"/>
      <c r="AK210" s="2475"/>
      <c r="AL210" s="2474"/>
      <c r="AM210" s="2474"/>
      <c r="AN210" s="2474"/>
      <c r="AO210" s="2474"/>
      <c r="AP210" s="2475"/>
      <c r="AQ210" s="2474"/>
      <c r="AR210" s="2474"/>
      <c r="AS210" s="2474"/>
      <c r="AT210" s="2474"/>
      <c r="AU210" s="2475"/>
      <c r="AV210" s="2474"/>
      <c r="AW210" s="2474"/>
      <c r="AX210" s="2474"/>
      <c r="AY210" s="2474"/>
      <c r="AZ210" s="2475"/>
      <c r="BA210" s="2474"/>
      <c r="BB210" s="2474"/>
      <c r="BC210" s="2474"/>
      <c r="BD210" s="2474"/>
      <c r="BE210" s="2475"/>
      <c r="BF210" s="2474"/>
      <c r="BG210" s="2474"/>
      <c r="BH210" s="2474"/>
      <c r="BI210" s="2474"/>
      <c r="BJ210" s="2475"/>
      <c r="BK210" s="2474"/>
      <c r="BL210" s="2474"/>
      <c r="BM210" s="2474"/>
      <c r="BN210" s="2474"/>
      <c r="BO210" s="2475"/>
      <c r="BP210" s="2474"/>
      <c r="BQ210" s="2474"/>
      <c r="BR210" s="2474"/>
      <c r="BS210" s="3275"/>
      <c r="BT210" s="2475"/>
      <c r="BU210" s="2474"/>
      <c r="BV210" s="2474"/>
      <c r="BW210" s="2474"/>
      <c r="BX210" s="3275"/>
      <c r="BY210" s="2475"/>
      <c r="BZ210" s="2475"/>
      <c r="CA210" s="2475"/>
      <c r="CB210" s="2475"/>
      <c r="CC210" s="2475"/>
      <c r="CD210" s="2475"/>
      <c r="CE210" s="2475"/>
      <c r="CF210" s="2475"/>
      <c r="CG210" s="281"/>
      <c r="CH210" s="281"/>
      <c r="CI210" s="281"/>
      <c r="CJ210" s="281"/>
      <c r="CK210" s="995"/>
      <c r="CL210" s="430"/>
      <c r="CM210" s="430"/>
      <c r="CN210" s="430"/>
      <c r="CO210" s="430"/>
      <c r="CP210" s="430"/>
      <c r="CQ210" s="430"/>
      <c r="CR210" s="430"/>
      <c r="CS210" s="430"/>
      <c r="CT210" s="430"/>
      <c r="CU210" s="430"/>
      <c r="CV210" s="430"/>
      <c r="CW210" s="430"/>
      <c r="CX210" s="430"/>
      <c r="CY210" s="430"/>
      <c r="CZ210" s="430"/>
      <c r="DA210" s="430"/>
      <c r="DB210" s="853"/>
      <c r="DC210" s="281"/>
      <c r="DD210" s="281"/>
      <c r="DE210" s="281"/>
      <c r="DF210" s="281"/>
      <c r="DG210" s="281"/>
      <c r="DH210" s="2474"/>
      <c r="DI210" s="3213"/>
    </row>
    <row r="211" spans="1:130" ht="12.75" customHeight="1" x14ac:dyDescent="0.25">
      <c r="A211" s="2476" t="s">
        <v>503</v>
      </c>
      <c r="B211" s="2463"/>
      <c r="C211" s="2472"/>
      <c r="D211" s="2472"/>
      <c r="E211" s="2472"/>
      <c r="F211" s="2472"/>
      <c r="G211" s="2477"/>
      <c r="H211" s="2472" t="e">
        <f t="shared" ref="H211:BA211" si="446">+H205*H206</f>
        <v>#DIV/0!</v>
      </c>
      <c r="I211" s="2472" t="e">
        <f t="shared" si="446"/>
        <v>#DIV/0!</v>
      </c>
      <c r="J211" s="2472" t="e">
        <f t="shared" si="446"/>
        <v>#DIV/0!</v>
      </c>
      <c r="K211" s="2472" t="e">
        <f t="shared" si="446"/>
        <v>#DIV/0!</v>
      </c>
      <c r="L211" s="2477" t="e">
        <f t="shared" si="446"/>
        <v>#DIV/0!</v>
      </c>
      <c r="M211" s="2472" t="e">
        <f t="shared" si="446"/>
        <v>#DIV/0!</v>
      </c>
      <c r="N211" s="2472" t="e">
        <f t="shared" si="446"/>
        <v>#DIV/0!</v>
      </c>
      <c r="O211" s="2472" t="e">
        <f t="shared" si="446"/>
        <v>#DIV/0!</v>
      </c>
      <c r="P211" s="2472" t="e">
        <f t="shared" si="446"/>
        <v>#DIV/0!</v>
      </c>
      <c r="Q211" s="2477" t="e">
        <f t="shared" si="446"/>
        <v>#DIV/0!</v>
      </c>
      <c r="R211" s="2472" t="e">
        <f t="shared" si="446"/>
        <v>#DIV/0!</v>
      </c>
      <c r="S211" s="2472" t="e">
        <f t="shared" si="446"/>
        <v>#DIV/0!</v>
      </c>
      <c r="T211" s="2472" t="e">
        <f t="shared" si="446"/>
        <v>#DIV/0!</v>
      </c>
      <c r="U211" s="2472" t="e">
        <f t="shared" si="446"/>
        <v>#DIV/0!</v>
      </c>
      <c r="V211" s="2477" t="e">
        <f t="shared" si="446"/>
        <v>#DIV/0!</v>
      </c>
      <c r="W211" s="2472" t="e">
        <f t="shared" si="446"/>
        <v>#DIV/0!</v>
      </c>
      <c r="X211" s="2472" t="e">
        <f t="shared" si="446"/>
        <v>#DIV/0!</v>
      </c>
      <c r="Y211" s="2472" t="e">
        <f t="shared" si="446"/>
        <v>#DIV/0!</v>
      </c>
      <c r="Z211" s="2472" t="e">
        <f t="shared" si="446"/>
        <v>#DIV/0!</v>
      </c>
      <c r="AA211" s="2477" t="e">
        <f t="shared" si="446"/>
        <v>#DIV/0!</v>
      </c>
      <c r="AB211" s="2472">
        <f t="shared" si="446"/>
        <v>3.0598143643195089E-2</v>
      </c>
      <c r="AC211" s="2472">
        <f t="shared" si="446"/>
        <v>2.9903027124302699E-2</v>
      </c>
      <c r="AD211" s="2472">
        <f t="shared" si="446"/>
        <v>2.7722971276077556E-2</v>
      </c>
      <c r="AE211" s="2472">
        <f t="shared" si="446"/>
        <v>2.1778187257843459E-2</v>
      </c>
      <c r="AF211" s="2477">
        <f t="shared" si="446"/>
        <v>2.1520444293316451E-2</v>
      </c>
      <c r="AG211" s="2472">
        <f t="shared" si="446"/>
        <v>2.1748657503060286E-2</v>
      </c>
      <c r="AH211" s="2472">
        <f t="shared" si="446"/>
        <v>2.1589242948209193E-2</v>
      </c>
      <c r="AI211" s="2472">
        <f t="shared" si="446"/>
        <v>2.2783413736806479E-2</v>
      </c>
      <c r="AJ211" s="2472">
        <f t="shared" si="446"/>
        <v>1.3140163962076543E-2</v>
      </c>
      <c r="AK211" s="2477">
        <f t="shared" si="446"/>
        <v>1.2947043957677908E-2</v>
      </c>
      <c r="AL211" s="2472">
        <f t="shared" si="446"/>
        <v>1.6662131394907381E-2</v>
      </c>
      <c r="AM211" s="2472">
        <f t="shared" si="446"/>
        <v>2.3110185582573647E-2</v>
      </c>
      <c r="AN211" s="2472">
        <f t="shared" si="446"/>
        <v>3.1100468138492657E-2</v>
      </c>
      <c r="AO211" s="2472">
        <f t="shared" si="446"/>
        <v>5.3555125636824935E-2</v>
      </c>
      <c r="AP211" s="2477">
        <f t="shared" si="446"/>
        <v>5.3811108924674826E-2</v>
      </c>
      <c r="AQ211" s="2472">
        <f t="shared" si="446"/>
        <v>5.8667337056271571E-2</v>
      </c>
      <c r="AR211" s="2472">
        <f t="shared" si="446"/>
        <v>5.9700282583861349E-2</v>
      </c>
      <c r="AS211" s="2472">
        <f t="shared" si="446"/>
        <v>5.5422402508002865E-2</v>
      </c>
      <c r="AT211" s="2472">
        <f t="shared" si="446"/>
        <v>4.7844958087599303E-2</v>
      </c>
      <c r="AU211" s="2477">
        <f t="shared" si="446"/>
        <v>5.0278852300967194E-2</v>
      </c>
      <c r="AV211" s="2472">
        <f t="shared" si="446"/>
        <v>4.3619304931749328E-2</v>
      </c>
      <c r="AW211" s="2472">
        <f t="shared" si="446"/>
        <v>3.8135399519190288E-2</v>
      </c>
      <c r="AX211" s="2472">
        <f t="shared" si="446"/>
        <v>3.5176943430400814E-2</v>
      </c>
      <c r="AY211" s="2472">
        <f t="shared" si="446"/>
        <v>4.1775766484288025E-2</v>
      </c>
      <c r="AZ211" s="2477">
        <f t="shared" si="446"/>
        <v>3.5977129889517623E-2</v>
      </c>
      <c r="BA211" s="2472">
        <f t="shared" si="446"/>
        <v>3.998502737282001E-2</v>
      </c>
      <c r="BB211" s="2472">
        <f t="shared" ref="BB211:CA211" si="447">+BB205*BB206</f>
        <v>1.628541090471498E-2</v>
      </c>
      <c r="BC211" s="2472">
        <f t="shared" si="447"/>
        <v>-1.1393192687573793E-2</v>
      </c>
      <c r="BD211" s="2472">
        <f t="shared" si="447"/>
        <v>-1.6585145355782472E-2</v>
      </c>
      <c r="BE211" s="2477">
        <f t="shared" si="447"/>
        <v>-1.9187027866430176E-2</v>
      </c>
      <c r="BF211" s="2472">
        <f t="shared" si="447"/>
        <v>-1.2245453080549846E-2</v>
      </c>
      <c r="BG211" s="2472">
        <f t="shared" si="447"/>
        <v>-7.9275042951683829E-3</v>
      </c>
      <c r="BH211" s="2472">
        <f t="shared" si="447"/>
        <v>-3.5993551859929218E-3</v>
      </c>
      <c r="BI211" s="2472">
        <f t="shared" si="447"/>
        <v>4.3304978095972972E-3</v>
      </c>
      <c r="BJ211" s="2477">
        <f t="shared" si="447"/>
        <v>4.541249245433779E-3</v>
      </c>
      <c r="BK211" s="2472">
        <f t="shared" si="447"/>
        <v>8.2621958345994711E-3</v>
      </c>
      <c r="BL211" s="2472">
        <f>+BL205*BL206</f>
        <v>1.4285746274549012E-2</v>
      </c>
      <c r="BM211" s="2472">
        <f t="shared" si="447"/>
        <v>2.2455252966203453E-2</v>
      </c>
      <c r="BN211" s="2472">
        <f t="shared" si="447"/>
        <v>2.0759027603999676E-2</v>
      </c>
      <c r="BO211" s="2477">
        <f t="shared" si="447"/>
        <v>2.0990828257147383E-2</v>
      </c>
      <c r="BP211" s="2472">
        <f t="shared" ref="BP211:BX211" si="448">+BP205*BP206</f>
        <v>1.8228812428413226E-2</v>
      </c>
      <c r="BQ211" s="2472">
        <f t="shared" si="448"/>
        <v>1.5580654590814553E-2</v>
      </c>
      <c r="BR211" s="2472">
        <f t="shared" si="448"/>
        <v>1.1050749425304773E-2</v>
      </c>
      <c r="BS211" s="3278">
        <f t="shared" si="448"/>
        <v>-4.2987897406317331E-2</v>
      </c>
      <c r="BT211" s="2477">
        <f t="shared" si="448"/>
        <v>-4.549289196826109E-2</v>
      </c>
      <c r="BU211" s="2472">
        <f t="shared" si="448"/>
        <v>-3.8384019716006856E-2</v>
      </c>
      <c r="BV211" s="2472">
        <f t="shared" si="448"/>
        <v>-3.3924998585811654E-2</v>
      </c>
      <c r="BW211" s="2472">
        <f t="shared" si="448"/>
        <v>-1.7325411898970522E-2</v>
      </c>
      <c r="BX211" s="3278">
        <f t="shared" si="448"/>
        <v>2.1150369890312992E-2</v>
      </c>
      <c r="BY211" s="3431">
        <f>+BY205*BY206</f>
        <v>2.7517570478654354E-2</v>
      </c>
      <c r="BZ211" s="2477">
        <f t="shared" si="447"/>
        <v>3.2636395128073009E-2</v>
      </c>
      <c r="CA211" s="2477">
        <f t="shared" si="447"/>
        <v>3.0931332133085153E-2</v>
      </c>
      <c r="CB211" s="2477">
        <f>+CB205*CB206</f>
        <v>-0.22429614324234839</v>
      </c>
      <c r="CC211" s="2477">
        <f>+CC205*CC206</f>
        <v>-1.0055943369230032</v>
      </c>
      <c r="CD211" s="2477">
        <f>+CD205*CD206</f>
        <v>-1.9937999049180042</v>
      </c>
      <c r="CE211" s="2477">
        <f>+CE205*CE206</f>
        <v>-3.9365179339194327</v>
      </c>
      <c r="CF211" s="2477">
        <f>+CF205*CF206</f>
        <v>-7.7430265500104074</v>
      </c>
      <c r="CG211" s="281"/>
      <c r="CH211" s="281"/>
      <c r="CI211" s="281"/>
      <c r="CJ211" s="281"/>
      <c r="CK211" s="995"/>
      <c r="CL211" s="430"/>
      <c r="CM211" s="430"/>
      <c r="CN211" s="430"/>
      <c r="CO211" s="430"/>
      <c r="CP211" s="430"/>
      <c r="CQ211" s="430"/>
      <c r="CR211" s="430"/>
      <c r="CS211" s="430"/>
      <c r="CT211" s="430"/>
      <c r="CU211" s="430"/>
      <c r="CV211" s="430"/>
      <c r="CW211" s="430"/>
      <c r="CX211" s="430"/>
      <c r="CY211" s="430"/>
      <c r="CZ211" s="430"/>
      <c r="DA211" s="430"/>
      <c r="DB211" s="853"/>
      <c r="DC211" s="281"/>
      <c r="DD211" s="281"/>
      <c r="DE211" s="281"/>
      <c r="DF211" s="281"/>
      <c r="DG211" s="281"/>
      <c r="DH211" s="3294"/>
      <c r="DI211" s="3213"/>
    </row>
    <row r="212" spans="1:130" ht="12.75" customHeight="1" x14ac:dyDescent="0.25">
      <c r="A212" s="1282" t="s">
        <v>504</v>
      </c>
      <c r="B212" s="2463"/>
      <c r="C212" s="2478"/>
      <c r="D212" s="2478"/>
      <c r="E212" s="2478"/>
      <c r="F212" s="2478"/>
      <c r="G212" s="2479"/>
      <c r="H212" s="2478">
        <f t="shared" ref="H212:AM212" si="449">(H197+H198*(1-H1514))/H201</f>
        <v>0.18070431144703608</v>
      </c>
      <c r="I212" s="2478">
        <f t="shared" si="449"/>
        <v>0.16667998373851353</v>
      </c>
      <c r="J212" s="2478">
        <f t="shared" si="449"/>
        <v>0.19267398596208168</v>
      </c>
      <c r="K212" s="2478">
        <f t="shared" si="449"/>
        <v>0.14403316527244062</v>
      </c>
      <c r="L212" s="2479">
        <f t="shared" si="449"/>
        <v>0.16507122153675344</v>
      </c>
      <c r="M212" s="2478">
        <f t="shared" si="449"/>
        <v>0.12718215552217996</v>
      </c>
      <c r="N212" s="2478">
        <f t="shared" si="449"/>
        <v>0.1488639015165116</v>
      </c>
      <c r="O212" s="2478">
        <f t="shared" si="449"/>
        <v>0.18124182644789913</v>
      </c>
      <c r="P212" s="2478">
        <f t="shared" si="449"/>
        <v>0.16826370418256439</v>
      </c>
      <c r="Q212" s="2479">
        <f t="shared" si="449"/>
        <v>0.17516956415215215</v>
      </c>
      <c r="R212" s="2478">
        <f t="shared" si="449"/>
        <v>0.16431448926899728</v>
      </c>
      <c r="S212" s="2478">
        <f t="shared" si="449"/>
        <v>0.16319390082263743</v>
      </c>
      <c r="T212" s="2478">
        <f t="shared" si="449"/>
        <v>0.16256458271083321</v>
      </c>
      <c r="U212" s="2478">
        <f t="shared" si="449"/>
        <v>0.1588541384765782</v>
      </c>
      <c r="V212" s="2479">
        <f t="shared" si="449"/>
        <v>0.16426439482677332</v>
      </c>
      <c r="W212" s="2478">
        <f t="shared" si="449"/>
        <v>0.15586332389018265</v>
      </c>
      <c r="X212" s="2478">
        <f t="shared" si="449"/>
        <v>0.15142260098158816</v>
      </c>
      <c r="Y212" s="2478">
        <f t="shared" si="449"/>
        <v>0.14902192581639723</v>
      </c>
      <c r="Z212" s="2478">
        <f t="shared" si="449"/>
        <v>0.15318301482144814</v>
      </c>
      <c r="AA212" s="2479">
        <f t="shared" si="449"/>
        <v>0.23390938653870577</v>
      </c>
      <c r="AB212" s="2478">
        <f t="shared" si="449"/>
        <v>0.13916119310430403</v>
      </c>
      <c r="AC212" s="2478">
        <f t="shared" si="449"/>
        <v>0.13326881465468166</v>
      </c>
      <c r="AD212" s="2478">
        <f t="shared" si="449"/>
        <v>0.12750507466560965</v>
      </c>
      <c r="AE212" s="2478">
        <f t="shared" si="449"/>
        <v>0.13806511165661131</v>
      </c>
      <c r="AF212" s="2479">
        <f t="shared" si="449"/>
        <v>0.13905108737520017</v>
      </c>
      <c r="AG212" s="2478">
        <f t="shared" si="449"/>
        <v>0.1430866953493295</v>
      </c>
      <c r="AH212" s="2478">
        <f t="shared" si="449"/>
        <v>0.13976704773611662</v>
      </c>
      <c r="AI212" s="2478">
        <f t="shared" si="449"/>
        <v>0.15089390150843399</v>
      </c>
      <c r="AJ212" s="2478">
        <f t="shared" si="449"/>
        <v>0.16586121535918777</v>
      </c>
      <c r="AK212" s="2479">
        <f t="shared" si="449"/>
        <v>-0.25577077600878284</v>
      </c>
      <c r="AL212" s="2478">
        <f t="shared" si="449"/>
        <v>0.16041976598246835</v>
      </c>
      <c r="AM212" s="2478">
        <f t="shared" si="449"/>
        <v>0.16972361188781046</v>
      </c>
      <c r="AN212" s="2478">
        <f t="shared" ref="AN212:BS212" si="450">(AN197+AN198*(1-AN1514))/AN201</f>
        <v>0.17310507136010381</v>
      </c>
      <c r="AO212" s="2478">
        <f t="shared" si="450"/>
        <v>0.17147777803147826</v>
      </c>
      <c r="AP212" s="2479">
        <f t="shared" si="450"/>
        <v>0.17326296760803708</v>
      </c>
      <c r="AQ212" s="2478">
        <f t="shared" si="450"/>
        <v>0.17423838661932545</v>
      </c>
      <c r="AR212" s="2478">
        <f t="shared" si="450"/>
        <v>0.17108179413227673</v>
      </c>
      <c r="AS212" s="2478">
        <f t="shared" si="450"/>
        <v>0.16644562259000673</v>
      </c>
      <c r="AT212" s="2478">
        <f t="shared" si="450"/>
        <v>0.15522725146093228</v>
      </c>
      <c r="AU212" s="2479">
        <f t="shared" si="450"/>
        <v>0.16574465167104196</v>
      </c>
      <c r="AV212" s="2478">
        <f t="shared" si="450"/>
        <v>0.15439764153765428</v>
      </c>
      <c r="AW212" s="2478">
        <f t="shared" si="450"/>
        <v>0.14250535256110922</v>
      </c>
      <c r="AX212" s="2478">
        <f t="shared" si="450"/>
        <v>0.16339576317315849</v>
      </c>
      <c r="AY212" s="2478">
        <f t="shared" si="450"/>
        <v>0.21064151204839762</v>
      </c>
      <c r="AZ212" s="2479">
        <f t="shared" si="450"/>
        <v>0.18304285360085343</v>
      </c>
      <c r="BA212" s="2478">
        <f t="shared" si="450"/>
        <v>0.3528053339517162</v>
      </c>
      <c r="BB212" s="2478">
        <f t="shared" si="450"/>
        <v>-2.2528506669604811</v>
      </c>
      <c r="BC212" s="2478">
        <f t="shared" si="450"/>
        <v>-0.15604373723820683</v>
      </c>
      <c r="BD212" s="2478">
        <f t="shared" si="450"/>
        <v>0.30980871814065308</v>
      </c>
      <c r="BE212" s="2479">
        <f t="shared" si="450"/>
        <v>0.39592843266066391</v>
      </c>
      <c r="BF212" s="2478">
        <f t="shared" si="450"/>
        <v>0.1659323292323662</v>
      </c>
      <c r="BG212" s="2478">
        <f t="shared" si="450"/>
        <v>0.16677993405734326</v>
      </c>
      <c r="BH212" s="2478">
        <f t="shared" si="450"/>
        <v>0.16496094082082377</v>
      </c>
      <c r="BI212" s="2478">
        <f t="shared" si="450"/>
        <v>0.2064753908733333</v>
      </c>
      <c r="BJ212" s="2479">
        <f t="shared" si="450"/>
        <v>0.16355879808706905</v>
      </c>
      <c r="BK212" s="2478">
        <f t="shared" si="450"/>
        <v>0.22695831259497609</v>
      </c>
      <c r="BL212" s="2478">
        <f t="shared" si="450"/>
        <v>0.23356362756428534</v>
      </c>
      <c r="BM212" s="2478">
        <f t="shared" si="450"/>
        <v>0.27528733946889977</v>
      </c>
      <c r="BN212" s="2478">
        <f t="shared" si="450"/>
        <v>0.22716665774618525</v>
      </c>
      <c r="BO212" s="2479">
        <f t="shared" si="450"/>
        <v>0.24918219673397557</v>
      </c>
      <c r="BP212" s="2478">
        <f t="shared" si="450"/>
        <v>0.23637478069998805</v>
      </c>
      <c r="BQ212" s="2478">
        <f t="shared" si="450"/>
        <v>0.23864431501208366</v>
      </c>
      <c r="BR212" s="2478">
        <f t="shared" si="450"/>
        <v>0.2298670768887684</v>
      </c>
      <c r="BS212" s="3279">
        <f t="shared" si="450"/>
        <v>0.49653428187193555</v>
      </c>
      <c r="BT212" s="2479">
        <f t="shared" ref="BT212:CF212" si="451">(BT197+BT198*(1-BT1514))/BT201</f>
        <v>1.2345360863728443</v>
      </c>
      <c r="BU212" s="2478">
        <f t="shared" si="451"/>
        <v>0.23343182183073791</v>
      </c>
      <c r="BV212" s="2478">
        <f t="shared" si="451"/>
        <v>0.23589896059565205</v>
      </c>
      <c r="BW212" s="2478">
        <f t="shared" si="451"/>
        <v>0.19555481380018588</v>
      </c>
      <c r="BX212" s="3279">
        <f t="shared" si="451"/>
        <v>0.17496079903060258</v>
      </c>
      <c r="BY212" s="2479">
        <f t="shared" si="451"/>
        <v>0.22763176924538597</v>
      </c>
      <c r="BZ212" s="2479">
        <f t="shared" si="451"/>
        <v>0.22528958027566254</v>
      </c>
      <c r="CA212" s="2479">
        <f t="shared" si="451"/>
        <v>0.22224904293408165</v>
      </c>
      <c r="CB212" s="2479">
        <f t="shared" si="451"/>
        <v>5.7937907638247133E-2</v>
      </c>
      <c r="CC212" s="2479">
        <f t="shared" si="451"/>
        <v>0.10234546769643563</v>
      </c>
      <c r="CD212" s="2479">
        <f t="shared" si="451"/>
        <v>0.10647998411278366</v>
      </c>
      <c r="CE212" s="2479">
        <f t="shared" si="451"/>
        <v>0.11058591788845186</v>
      </c>
      <c r="CF212" s="2479">
        <f t="shared" si="451"/>
        <v>0.11372445778447621</v>
      </c>
      <c r="CG212" s="281"/>
      <c r="CH212" s="281"/>
      <c r="CI212" s="281"/>
      <c r="CJ212" s="281"/>
      <c r="CK212" s="995"/>
      <c r="CL212" s="430"/>
      <c r="CM212" s="430"/>
      <c r="CN212" s="430"/>
      <c r="CO212" s="430"/>
      <c r="CP212" s="430"/>
      <c r="CQ212" s="430"/>
      <c r="CR212" s="430"/>
      <c r="CS212" s="430"/>
      <c r="CT212" s="430"/>
      <c r="CU212" s="430"/>
      <c r="CV212" s="430"/>
      <c r="CW212" s="430"/>
      <c r="CX212" s="430"/>
      <c r="CY212" s="430"/>
      <c r="CZ212" s="430"/>
      <c r="DA212" s="430"/>
      <c r="DB212" s="853"/>
      <c r="DC212" s="281"/>
      <c r="DD212" s="281"/>
      <c r="DE212" s="281"/>
      <c r="DF212" s="281"/>
      <c r="DG212" s="281"/>
      <c r="DH212" s="3295"/>
      <c r="DI212" s="3213"/>
    </row>
    <row r="213" spans="1:130" s="905" customFormat="1" ht="12.75" customHeight="1" x14ac:dyDescent="0.25">
      <c r="A213" s="1952"/>
      <c r="B213" s="2480"/>
      <c r="C213" s="485"/>
      <c r="D213" s="485"/>
      <c r="E213" s="485"/>
      <c r="F213" s="485"/>
      <c r="G213" s="486"/>
      <c r="H213" s="485"/>
      <c r="I213" s="485"/>
      <c r="J213" s="485"/>
      <c r="K213" s="485"/>
      <c r="L213" s="486"/>
      <c r="M213" s="485"/>
      <c r="N213" s="485"/>
      <c r="O213" s="485"/>
      <c r="P213" s="485"/>
      <c r="Q213" s="486"/>
      <c r="R213" s="485"/>
      <c r="S213" s="485"/>
      <c r="T213" s="485"/>
      <c r="U213" s="485"/>
      <c r="V213" s="486"/>
      <c r="W213" s="485"/>
      <c r="X213" s="485"/>
      <c r="Y213" s="485"/>
      <c r="Z213" s="485"/>
      <c r="AA213" s="486"/>
      <c r="AB213" s="485"/>
      <c r="AC213" s="485"/>
      <c r="AD213" s="485"/>
      <c r="AE213" s="485"/>
      <c r="AF213" s="486"/>
      <c r="AG213" s="485"/>
      <c r="AH213" s="485"/>
      <c r="AI213" s="485"/>
      <c r="AJ213" s="485"/>
      <c r="AK213" s="486"/>
      <c r="AL213" s="485"/>
      <c r="AM213" s="485"/>
      <c r="AN213" s="485"/>
      <c r="AO213" s="485"/>
      <c r="AP213" s="486"/>
      <c r="AQ213" s="485"/>
      <c r="AR213" s="485"/>
      <c r="AS213" s="485"/>
      <c r="AT213" s="485"/>
      <c r="AU213" s="486"/>
      <c r="AV213" s="485"/>
      <c r="AW213" s="485"/>
      <c r="AX213" s="485"/>
      <c r="AY213" s="485"/>
      <c r="AZ213" s="486"/>
      <c r="BA213" s="485"/>
      <c r="BB213" s="485"/>
      <c r="BC213" s="485"/>
      <c r="BD213" s="485"/>
      <c r="BE213" s="486"/>
      <c r="BF213" s="485"/>
      <c r="BG213" s="485"/>
      <c r="BH213" s="485"/>
      <c r="BI213" s="485"/>
      <c r="BJ213" s="486"/>
      <c r="BK213" s="485"/>
      <c r="BL213" s="485"/>
      <c r="BM213" s="485"/>
      <c r="BN213" s="485"/>
      <c r="BO213" s="486"/>
      <c r="BP213" s="485"/>
      <c r="BQ213" s="485"/>
      <c r="BR213" s="485"/>
      <c r="BS213" s="854"/>
      <c r="BT213" s="486"/>
      <c r="BU213" s="485"/>
      <c r="BV213" s="485"/>
      <c r="BW213" s="485"/>
      <c r="BX213" s="485"/>
      <c r="BY213" s="486"/>
      <c r="BZ213" s="486"/>
      <c r="CA213" s="486"/>
      <c r="CB213" s="486"/>
      <c r="CC213" s="486"/>
      <c r="CD213" s="486"/>
      <c r="CE213" s="486"/>
      <c r="CF213" s="486"/>
      <c r="CG213" s="281"/>
      <c r="CH213" s="281"/>
      <c r="CI213" s="281"/>
      <c r="CJ213" s="281"/>
      <c r="CK213" s="1952"/>
      <c r="CL213" s="485"/>
      <c r="CM213" s="485"/>
      <c r="CN213" s="485"/>
      <c r="CO213" s="485"/>
      <c r="CP213" s="485"/>
      <c r="CQ213" s="485"/>
      <c r="CR213" s="485"/>
      <c r="CS213" s="485"/>
      <c r="CT213" s="485"/>
      <c r="CU213" s="485"/>
      <c r="CV213" s="485"/>
      <c r="CW213" s="485"/>
      <c r="CX213" s="485"/>
      <c r="CY213" s="485"/>
      <c r="CZ213" s="485"/>
      <c r="DA213" s="485"/>
      <c r="DB213" s="485"/>
      <c r="DC213" s="281"/>
      <c r="DD213" s="281"/>
      <c r="DE213" s="281"/>
      <c r="DF213" s="281"/>
      <c r="DG213" s="281"/>
      <c r="DH213" s="485"/>
      <c r="DI213" s="3213"/>
      <c r="DU213"/>
      <c r="DV213"/>
      <c r="DW213"/>
      <c r="DX213"/>
      <c r="DY213"/>
      <c r="DZ213"/>
    </row>
    <row r="214" spans="1:130" ht="12" customHeight="1" outlineLevel="1" x14ac:dyDescent="0.25">
      <c r="A214" s="989"/>
      <c r="B214" s="488"/>
      <c r="C214" s="488"/>
      <c r="D214" s="488"/>
      <c r="E214" s="488"/>
      <c r="F214" s="488"/>
      <c r="G214" s="489"/>
      <c r="H214" s="488"/>
      <c r="I214" s="488"/>
      <c r="J214" s="488"/>
      <c r="K214" s="488"/>
      <c r="L214" s="489"/>
      <c r="M214" s="488"/>
      <c r="N214" s="488"/>
      <c r="O214" s="488"/>
      <c r="P214" s="488"/>
      <c r="Q214" s="489"/>
      <c r="R214" s="488"/>
      <c r="S214" s="488"/>
      <c r="T214" s="488"/>
      <c r="U214" s="488"/>
      <c r="V214" s="489"/>
      <c r="W214" s="488"/>
      <c r="X214" s="488"/>
      <c r="Y214" s="488"/>
      <c r="Z214" s="488"/>
      <c r="AA214" s="489"/>
      <c r="AB214" s="488"/>
      <c r="AC214" s="488"/>
      <c r="AD214" s="488"/>
      <c r="AE214" s="485"/>
      <c r="AF214" s="486"/>
      <c r="AG214" s="485"/>
      <c r="AH214" s="485"/>
      <c r="AI214" s="485"/>
      <c r="AJ214" s="485"/>
      <c r="AK214" s="486"/>
      <c r="AL214" s="485"/>
      <c r="AM214" s="485"/>
      <c r="AN214" s="485"/>
      <c r="AO214" s="485"/>
      <c r="AP214" s="486"/>
      <c r="AQ214" s="490"/>
      <c r="AR214" s="485"/>
      <c r="AS214" s="485"/>
      <c r="AT214" s="854"/>
      <c r="AU214" s="490"/>
      <c r="AV214" s="490"/>
      <c r="AW214" s="485"/>
      <c r="AX214" s="485"/>
      <c r="AY214" s="854"/>
      <c r="AZ214" s="486"/>
      <c r="BA214" s="490"/>
      <c r="BB214" s="485"/>
      <c r="BC214" s="485"/>
      <c r="BD214" s="854"/>
      <c r="BE214" s="486"/>
      <c r="BF214" s="485"/>
      <c r="BG214" s="485"/>
      <c r="BH214" s="485"/>
      <c r="BI214" s="854"/>
      <c r="BJ214" s="486"/>
      <c r="BK214" s="485"/>
      <c r="BL214" s="485"/>
      <c r="BM214" s="485"/>
      <c r="BN214" s="854"/>
      <c r="BO214" s="486"/>
      <c r="BP214" s="485"/>
      <c r="BQ214" s="485"/>
      <c r="BR214" s="485"/>
      <c r="BS214" s="854"/>
      <c r="BT214" s="854"/>
      <c r="BU214" s="485"/>
      <c r="BV214" s="485"/>
      <c r="BW214" s="485"/>
      <c r="BX214" s="485"/>
      <c r="BY214" s="486"/>
      <c r="BZ214" s="486"/>
      <c r="CA214" s="486"/>
      <c r="CB214" s="486"/>
      <c r="CC214" s="486"/>
      <c r="CD214" s="486"/>
      <c r="CE214" s="486"/>
      <c r="CF214" s="486"/>
      <c r="CG214" s="454"/>
      <c r="CH214" s="454"/>
      <c r="CI214" s="454"/>
      <c r="CJ214" s="454"/>
      <c r="CK214" s="454"/>
      <c r="CL214" s="2211"/>
      <c r="CM214" s="485"/>
      <c r="CN214" s="485"/>
      <c r="CO214" s="485"/>
      <c r="CP214" s="485"/>
      <c r="CQ214" s="485"/>
      <c r="CR214" s="485"/>
      <c r="CS214" s="485"/>
      <c r="CT214" s="485"/>
      <c r="CU214" s="485"/>
      <c r="CV214" s="485"/>
      <c r="CW214" s="485"/>
      <c r="CX214" s="485"/>
      <c r="CY214" s="485"/>
      <c r="CZ214" s="485"/>
      <c r="DA214" s="485"/>
      <c r="DB214" s="485"/>
      <c r="DC214" s="854"/>
      <c r="DD214" s="454"/>
      <c r="DE214" s="454"/>
      <c r="DF214" s="463"/>
      <c r="DG214" s="463"/>
      <c r="DH214" s="485"/>
      <c r="DI214" s="3213"/>
      <c r="DJ214" s="463"/>
      <c r="DK214" s="463"/>
      <c r="DL214" s="463"/>
      <c r="DM214" s="463"/>
      <c r="DN214" s="463"/>
      <c r="DO214" s="463"/>
      <c r="DP214" s="463"/>
      <c r="DQ214" s="463"/>
      <c r="DR214" s="430"/>
      <c r="DS214" s="430"/>
      <c r="DT214" s="430"/>
    </row>
    <row r="215" spans="1:130" ht="12" customHeight="1" outlineLevel="1" x14ac:dyDescent="0.25">
      <c r="A215" s="462" t="s">
        <v>2081</v>
      </c>
      <c r="B215" s="409"/>
      <c r="C215" s="433" t="str">
        <f>C$6</f>
        <v>1Q04</v>
      </c>
      <c r="D215" s="433" t="str">
        <f t="shared" ref="D215:CB215" si="452">D$6</f>
        <v>2Q04</v>
      </c>
      <c r="E215" s="433" t="str">
        <f t="shared" si="452"/>
        <v>3Q04</v>
      </c>
      <c r="F215" s="433" t="str">
        <f t="shared" si="452"/>
        <v>4Q04</v>
      </c>
      <c r="G215" s="434">
        <f t="shared" si="452"/>
        <v>2004</v>
      </c>
      <c r="H215" s="433" t="str">
        <f t="shared" si="452"/>
        <v>1Q05</v>
      </c>
      <c r="I215" s="433" t="str">
        <f t="shared" si="452"/>
        <v>2Q05</v>
      </c>
      <c r="J215" s="433" t="str">
        <f t="shared" si="452"/>
        <v>3Q05</v>
      </c>
      <c r="K215" s="433" t="str">
        <f t="shared" si="452"/>
        <v>4Q05</v>
      </c>
      <c r="L215" s="434">
        <f t="shared" si="452"/>
        <v>2005</v>
      </c>
      <c r="M215" s="433" t="str">
        <f t="shared" si="452"/>
        <v>1Q06</v>
      </c>
      <c r="N215" s="433" t="str">
        <f t="shared" si="452"/>
        <v>2Q06</v>
      </c>
      <c r="O215" s="433" t="str">
        <f t="shared" si="452"/>
        <v>3Q06</v>
      </c>
      <c r="P215" s="433" t="str">
        <f t="shared" si="452"/>
        <v>4Q06</v>
      </c>
      <c r="Q215" s="434">
        <f t="shared" si="452"/>
        <v>2006</v>
      </c>
      <c r="R215" s="433" t="str">
        <f t="shared" si="452"/>
        <v>1Q07</v>
      </c>
      <c r="S215" s="433" t="str">
        <f t="shared" si="452"/>
        <v>2Q07</v>
      </c>
      <c r="T215" s="433" t="str">
        <f t="shared" si="452"/>
        <v>3Q07</v>
      </c>
      <c r="U215" s="433" t="str">
        <f t="shared" si="452"/>
        <v>4Q07</v>
      </c>
      <c r="V215" s="434">
        <f t="shared" si="452"/>
        <v>2007</v>
      </c>
      <c r="W215" s="433" t="str">
        <f t="shared" si="452"/>
        <v>1Q08</v>
      </c>
      <c r="X215" s="433" t="str">
        <f t="shared" si="452"/>
        <v>2Q08</v>
      </c>
      <c r="Y215" s="433" t="str">
        <f t="shared" si="452"/>
        <v>3Q08</v>
      </c>
      <c r="Z215" s="433" t="str">
        <f t="shared" si="452"/>
        <v>4Q08</v>
      </c>
      <c r="AA215" s="434">
        <f t="shared" si="452"/>
        <v>2008</v>
      </c>
      <c r="AB215" s="433" t="str">
        <f t="shared" si="452"/>
        <v>1Q09</v>
      </c>
      <c r="AC215" s="433" t="str">
        <f t="shared" si="452"/>
        <v>2Q09</v>
      </c>
      <c r="AD215" s="433" t="str">
        <f t="shared" si="452"/>
        <v>3Q09</v>
      </c>
      <c r="AE215" s="433" t="str">
        <f t="shared" si="452"/>
        <v>4Q09</v>
      </c>
      <c r="AF215" s="434">
        <f t="shared" si="452"/>
        <v>2009</v>
      </c>
      <c r="AG215" s="433" t="str">
        <f t="shared" si="452"/>
        <v>1Q10</v>
      </c>
      <c r="AH215" s="433" t="str">
        <f t="shared" si="452"/>
        <v>2Q10</v>
      </c>
      <c r="AI215" s="433" t="str">
        <f t="shared" si="452"/>
        <v>3Q10</v>
      </c>
      <c r="AJ215" s="433" t="str">
        <f t="shared" si="452"/>
        <v>4Q10</v>
      </c>
      <c r="AK215" s="434">
        <f t="shared" si="452"/>
        <v>2010</v>
      </c>
      <c r="AL215" s="435" t="str">
        <f t="shared" si="452"/>
        <v>1Q11</v>
      </c>
      <c r="AM215" s="435" t="str">
        <f t="shared" si="452"/>
        <v>2Q11</v>
      </c>
      <c r="AN215" s="435" t="str">
        <f t="shared" si="452"/>
        <v>3Q11</v>
      </c>
      <c r="AO215" s="435" t="str">
        <f t="shared" si="452"/>
        <v>4Q11</v>
      </c>
      <c r="AP215" s="436">
        <f t="shared" si="452"/>
        <v>2011</v>
      </c>
      <c r="AQ215" s="436" t="str">
        <f t="shared" si="452"/>
        <v>1Q12</v>
      </c>
      <c r="AR215" s="437" t="str">
        <f t="shared" si="452"/>
        <v>2Q12</v>
      </c>
      <c r="AS215" s="437" t="str">
        <f t="shared" si="452"/>
        <v>3Q12</v>
      </c>
      <c r="AT215" s="437" t="str">
        <f t="shared" si="452"/>
        <v>4Q12</v>
      </c>
      <c r="AU215" s="438">
        <f t="shared" si="452"/>
        <v>2012</v>
      </c>
      <c r="AV215" s="436" t="str">
        <f t="shared" si="452"/>
        <v>1Q13</v>
      </c>
      <c r="AW215" s="437" t="str">
        <f t="shared" si="452"/>
        <v>2Q13</v>
      </c>
      <c r="AX215" s="437" t="str">
        <f t="shared" si="452"/>
        <v>3Q13</v>
      </c>
      <c r="AY215" s="861" t="str">
        <f t="shared" si="452"/>
        <v>4Q13</v>
      </c>
      <c r="AZ215" s="438">
        <f t="shared" si="452"/>
        <v>2013</v>
      </c>
      <c r="BA215" s="436" t="str">
        <f t="shared" si="452"/>
        <v>1Q14</v>
      </c>
      <c r="BB215" s="437" t="str">
        <f t="shared" si="452"/>
        <v>2Q14</v>
      </c>
      <c r="BC215" s="437" t="str">
        <f t="shared" si="452"/>
        <v>3Q14</v>
      </c>
      <c r="BD215" s="861" t="str">
        <f t="shared" si="452"/>
        <v>4Q14</v>
      </c>
      <c r="BE215" s="861">
        <f t="shared" si="452"/>
        <v>2014</v>
      </c>
      <c r="BF215" s="437" t="str">
        <f t="shared" si="452"/>
        <v>1Q15</v>
      </c>
      <c r="BG215" s="437" t="str">
        <f t="shared" si="452"/>
        <v>2Q15</v>
      </c>
      <c r="BH215" s="437" t="str">
        <f t="shared" si="452"/>
        <v>3Q15</v>
      </c>
      <c r="BI215" s="861" t="str">
        <f t="shared" si="452"/>
        <v>4Q15</v>
      </c>
      <c r="BJ215" s="861">
        <f t="shared" si="452"/>
        <v>2015</v>
      </c>
      <c r="BK215" s="437" t="str">
        <f t="shared" si="452"/>
        <v>1Q16</v>
      </c>
      <c r="BL215" s="437" t="str">
        <f t="shared" si="452"/>
        <v>2Q16</v>
      </c>
      <c r="BM215" s="437" t="str">
        <f t="shared" si="452"/>
        <v>3Q16</v>
      </c>
      <c r="BN215" s="861" t="str">
        <f t="shared" si="452"/>
        <v>4Q16</v>
      </c>
      <c r="BO215" s="861">
        <f t="shared" si="452"/>
        <v>2016</v>
      </c>
      <c r="BP215" s="437" t="str">
        <f t="shared" si="452"/>
        <v>1Q17</v>
      </c>
      <c r="BQ215" s="437" t="str">
        <f t="shared" si="452"/>
        <v>2Q17</v>
      </c>
      <c r="BR215" s="437" t="str">
        <f t="shared" si="452"/>
        <v>3Q17</v>
      </c>
      <c r="BS215" s="861" t="str">
        <f t="shared" si="452"/>
        <v>4Q17</v>
      </c>
      <c r="BT215" s="861">
        <f t="shared" si="452"/>
        <v>2017</v>
      </c>
      <c r="BU215" s="437" t="str">
        <f t="shared" si="452"/>
        <v>1Q18E</v>
      </c>
      <c r="BV215" s="437" t="str">
        <f t="shared" si="452"/>
        <v>2Q18E</v>
      </c>
      <c r="BW215" s="437" t="str">
        <f t="shared" si="452"/>
        <v>3Q18E</v>
      </c>
      <c r="BX215" s="437" t="str">
        <f t="shared" si="452"/>
        <v>4Q18E</v>
      </c>
      <c r="BY215" s="438" t="str">
        <f t="shared" si="452"/>
        <v>2018E</v>
      </c>
      <c r="BZ215" s="438" t="str">
        <f t="shared" si="452"/>
        <v>2019E</v>
      </c>
      <c r="CA215" s="438" t="str">
        <f t="shared" si="452"/>
        <v>2020E</v>
      </c>
      <c r="CB215" s="438" t="str">
        <f t="shared" si="452"/>
        <v>2021E</v>
      </c>
      <c r="CC215" s="438" t="str">
        <f>CC$6</f>
        <v>2022E</v>
      </c>
      <c r="CD215" s="438" t="str">
        <f>CD$6</f>
        <v>2023E</v>
      </c>
      <c r="CE215" s="438" t="str">
        <f>CE$6</f>
        <v>2024E</v>
      </c>
      <c r="CF215" s="438" t="str">
        <f>CF$6</f>
        <v>2025E</v>
      </c>
      <c r="CG215" s="331"/>
      <c r="CH215" s="331"/>
      <c r="CI215" s="331"/>
      <c r="CJ215" s="331"/>
      <c r="CK215" s="331"/>
      <c r="CL215" s="2225" t="str">
        <f>A215</f>
        <v>PROPERTY DETAIL</v>
      </c>
      <c r="CM215" s="2199">
        <f>G215</f>
        <v>2004</v>
      </c>
      <c r="CN215" s="2199">
        <f>L215</f>
        <v>2005</v>
      </c>
      <c r="CO215" s="2199">
        <f>Q215</f>
        <v>2006</v>
      </c>
      <c r="CP215" s="2199">
        <f>V215</f>
        <v>2007</v>
      </c>
      <c r="CQ215" s="2199">
        <f>AA215</f>
        <v>2008</v>
      </c>
      <c r="CR215" s="2199">
        <f>AF215</f>
        <v>2009</v>
      </c>
      <c r="CS215" s="2199">
        <f>AK215</f>
        <v>2010</v>
      </c>
      <c r="CT215" s="2199">
        <f>AP215</f>
        <v>2011</v>
      </c>
      <c r="CU215" s="1113">
        <f>AU215</f>
        <v>2012</v>
      </c>
      <c r="CV215" s="1113">
        <f>AZ215</f>
        <v>2013</v>
      </c>
      <c r="CW215" s="1113">
        <f>BE215</f>
        <v>2014</v>
      </c>
      <c r="CX215" s="1113">
        <f>BJ215</f>
        <v>2015</v>
      </c>
      <c r="CY215" s="1113">
        <f>BO215</f>
        <v>2016</v>
      </c>
      <c r="CZ215" s="1113">
        <f>BT215</f>
        <v>2017</v>
      </c>
      <c r="DA215" s="1113" t="str">
        <f>BY215</f>
        <v>2018E</v>
      </c>
      <c r="DB215" s="1113" t="str">
        <f>BZ215</f>
        <v>2019E</v>
      </c>
      <c r="DC215" s="2219" t="str">
        <f>CA215</f>
        <v>2020E</v>
      </c>
      <c r="DD215" s="331"/>
      <c r="DE215" s="331"/>
      <c r="DF215" s="502"/>
      <c r="DG215" s="503"/>
      <c r="DH215" s="537"/>
      <c r="DI215" s="3213"/>
      <c r="DJ215" s="502"/>
      <c r="DK215" s="503"/>
      <c r="DL215" s="502"/>
      <c r="DM215" s="502"/>
      <c r="DN215" s="502"/>
      <c r="DO215" s="502"/>
      <c r="DP215" s="503"/>
      <c r="DQ215" s="503"/>
      <c r="DR215" s="296"/>
      <c r="DS215" s="296"/>
      <c r="DT215" s="296"/>
    </row>
    <row r="216" spans="1:130" ht="12.6" customHeight="1" outlineLevel="1" x14ac:dyDescent="0.25">
      <c r="A216" s="864" t="s">
        <v>898</v>
      </c>
      <c r="B216" s="281"/>
      <c r="C216" s="305"/>
      <c r="D216" s="305"/>
      <c r="E216" s="305"/>
      <c r="F216" s="305"/>
      <c r="G216" s="440"/>
      <c r="H216" s="305"/>
      <c r="I216" s="305"/>
      <c r="J216" s="305"/>
      <c r="K216" s="305"/>
      <c r="L216" s="440"/>
      <c r="M216" s="305"/>
      <c r="N216" s="305"/>
      <c r="O216" s="305"/>
      <c r="P216" s="305"/>
      <c r="Q216" s="440"/>
      <c r="R216" s="305"/>
      <c r="S216" s="305"/>
      <c r="T216" s="305"/>
      <c r="U216" s="305"/>
      <c r="V216" s="440"/>
      <c r="W216" s="305"/>
      <c r="X216" s="305"/>
      <c r="Y216" s="305"/>
      <c r="Z216" s="305"/>
      <c r="AA216" s="440"/>
      <c r="AB216" s="305"/>
      <c r="AC216" s="305"/>
      <c r="AD216" s="305"/>
      <c r="AE216" s="331"/>
      <c r="AF216" s="441"/>
      <c r="AG216" s="450"/>
      <c r="AH216" s="331"/>
      <c r="AI216" s="331"/>
      <c r="AJ216" s="331"/>
      <c r="AK216" s="441"/>
      <c r="AL216" s="450"/>
      <c r="AM216" s="442"/>
      <c r="AN216" s="442"/>
      <c r="AO216" s="442"/>
      <c r="AP216" s="443"/>
      <c r="AQ216" s="443"/>
      <c r="AR216" s="331"/>
      <c r="AS216" s="331"/>
      <c r="AT216" s="331"/>
      <c r="AU216" s="349"/>
      <c r="AV216" s="331"/>
      <c r="AW216" s="331"/>
      <c r="AX216" s="331"/>
      <c r="AY216" s="1306"/>
      <c r="AZ216" s="1306"/>
      <c r="BA216" s="331"/>
      <c r="BB216" s="331"/>
      <c r="BC216" s="331"/>
      <c r="BD216" s="1306"/>
      <c r="BE216" s="349"/>
      <c r="BF216" s="331"/>
      <c r="BG216" s="331"/>
      <c r="BH216" s="331"/>
      <c r="BI216" s="1306"/>
      <c r="BJ216" s="349"/>
      <c r="BK216" s="331"/>
      <c r="BL216" s="331"/>
      <c r="BM216" s="331"/>
      <c r="BN216" s="1306"/>
      <c r="BO216" s="349"/>
      <c r="BP216" s="331"/>
      <c r="BQ216" s="331"/>
      <c r="BR216" s="331"/>
      <c r="BS216" s="1306"/>
      <c r="BT216" s="3217"/>
      <c r="BU216" s="2601"/>
      <c r="BV216" s="2601"/>
      <c r="BW216" s="2601"/>
      <c r="BX216" s="2601"/>
      <c r="BY216" s="3222"/>
      <c r="BZ216" s="349"/>
      <c r="CA216" s="349"/>
      <c r="CB216" s="349"/>
      <c r="CC216" s="349"/>
      <c r="CD216" s="349"/>
      <c r="CE216" s="349"/>
      <c r="CF216" s="349"/>
      <c r="CG216" s="1467"/>
      <c r="CH216" s="1467"/>
      <c r="CI216" s="1467"/>
      <c r="CJ216" s="1467"/>
      <c r="CK216" s="331"/>
      <c r="CL216" s="1149" t="str">
        <f>A216</f>
        <v>Net Revenue</v>
      </c>
      <c r="CM216" s="331"/>
      <c r="CN216" s="331"/>
      <c r="CO216" s="331"/>
      <c r="CP216" s="331"/>
      <c r="CQ216" s="331"/>
      <c r="CR216" s="331"/>
      <c r="CS216" s="331"/>
      <c r="CT216" s="331"/>
      <c r="CU216" s="331"/>
      <c r="CV216" s="331"/>
      <c r="CW216" s="331"/>
      <c r="CX216" s="331"/>
      <c r="CY216" s="331"/>
      <c r="CZ216" s="331"/>
      <c r="DA216" s="331"/>
      <c r="DB216" s="331"/>
      <c r="DC216" s="1306"/>
      <c r="DD216" s="331"/>
      <c r="DE216" s="331"/>
      <c r="DF216" s="502"/>
      <c r="DG216" s="503"/>
      <c r="DH216" s="2601"/>
      <c r="DI216" s="3213"/>
      <c r="DJ216" s="502"/>
      <c r="DK216" s="503"/>
      <c r="DL216" s="502"/>
      <c r="DM216" s="502"/>
      <c r="DN216" s="502"/>
      <c r="DO216" s="502"/>
      <c r="DP216" s="503"/>
      <c r="DQ216" s="503"/>
      <c r="DR216" s="296"/>
      <c r="DS216" s="296"/>
      <c r="DT216" s="296"/>
    </row>
    <row r="217" spans="1:130" ht="12.6" customHeight="1" outlineLevel="1" x14ac:dyDescent="0.25">
      <c r="A217" s="2165" t="s">
        <v>2504</v>
      </c>
      <c r="B217" s="281"/>
      <c r="C217" s="305"/>
      <c r="D217" s="305"/>
      <c r="E217" s="305"/>
      <c r="F217" s="305"/>
      <c r="G217" s="440"/>
      <c r="H217" s="305"/>
      <c r="I217" s="305"/>
      <c r="J217" s="305"/>
      <c r="K217" s="305"/>
      <c r="L217" s="440"/>
      <c r="M217" s="305"/>
      <c r="N217" s="305"/>
      <c r="O217" s="305"/>
      <c r="P217" s="305"/>
      <c r="Q217" s="440"/>
      <c r="R217" s="305"/>
      <c r="S217" s="305"/>
      <c r="T217" s="305"/>
      <c r="U217" s="305"/>
      <c r="V217" s="440"/>
      <c r="W217" s="305"/>
      <c r="X217" s="305"/>
      <c r="Y217" s="305"/>
      <c r="Z217" s="305"/>
      <c r="AA217" s="440"/>
      <c r="AB217" s="305"/>
      <c r="AC217" s="305"/>
      <c r="AD217" s="305"/>
      <c r="AE217" s="331"/>
      <c r="AF217" s="441"/>
      <c r="AG217" s="450"/>
      <c r="AH217" s="331"/>
      <c r="AI217" s="331"/>
      <c r="AJ217" s="331"/>
      <c r="AK217" s="441"/>
      <c r="AL217" s="450"/>
      <c r="AM217" s="442"/>
      <c r="AN217" s="442"/>
      <c r="AO217" s="442"/>
      <c r="AP217" s="443"/>
      <c r="AQ217" s="443"/>
      <c r="AR217" s="331"/>
      <c r="AS217" s="331"/>
      <c r="AT217" s="331"/>
      <c r="AU217" s="349"/>
      <c r="AV217" s="331"/>
      <c r="AW217" s="331"/>
      <c r="AX217" s="331"/>
      <c r="AY217" s="1306"/>
      <c r="AZ217" s="1306"/>
      <c r="BA217" s="588"/>
      <c r="BB217" s="331"/>
      <c r="BC217" s="331"/>
      <c r="BD217" s="1306"/>
      <c r="BE217" s="349"/>
      <c r="BF217" s="331"/>
      <c r="BG217" s="331"/>
      <c r="BH217" s="331"/>
      <c r="BI217" s="1306"/>
      <c r="BJ217" s="349"/>
      <c r="BK217" s="331"/>
      <c r="BL217" s="331"/>
      <c r="BM217" s="331"/>
      <c r="BN217" s="1306"/>
      <c r="BO217" s="349"/>
      <c r="BP217" s="331"/>
      <c r="BQ217" s="331"/>
      <c r="BR217" s="331"/>
      <c r="BS217" s="1306"/>
      <c r="BT217" s="3217"/>
      <c r="BU217" s="2601"/>
      <c r="BV217" s="2601"/>
      <c r="BW217" s="2601"/>
      <c r="BX217" s="2601"/>
      <c r="BY217" s="3222"/>
      <c r="BZ217" s="349"/>
      <c r="CA217" s="349"/>
      <c r="CB217" s="349"/>
      <c r="CC217" s="349"/>
      <c r="CD217" s="349"/>
      <c r="CE217" s="349"/>
      <c r="CF217" s="349"/>
      <c r="CG217" s="1467"/>
      <c r="CH217" s="1467"/>
      <c r="CI217" s="1467"/>
      <c r="CJ217" s="1467"/>
      <c r="CK217" s="331"/>
      <c r="CL217" s="1149"/>
      <c r="CM217" s="331"/>
      <c r="CN217" s="331"/>
      <c r="CO217" s="331"/>
      <c r="CP217" s="331"/>
      <c r="CQ217" s="331"/>
      <c r="CR217" s="331"/>
      <c r="CS217" s="331"/>
      <c r="CT217" s="331"/>
      <c r="CU217" s="331"/>
      <c r="CV217" s="331"/>
      <c r="CW217" s="331"/>
      <c r="CX217" s="331"/>
      <c r="CY217" s="331"/>
      <c r="CZ217" s="331"/>
      <c r="DA217" s="331"/>
      <c r="DB217" s="331"/>
      <c r="DC217" s="1306"/>
      <c r="DD217" s="331"/>
      <c r="DE217" s="331"/>
      <c r="DF217" s="502"/>
      <c r="DG217" s="503"/>
      <c r="DH217" s="2601"/>
      <c r="DI217" s="3213"/>
      <c r="DJ217" s="502"/>
      <c r="DK217" s="503"/>
      <c r="DL217" s="502"/>
      <c r="DM217" s="502"/>
      <c r="DN217" s="502"/>
      <c r="DO217" s="502"/>
      <c r="DP217" s="503"/>
      <c r="DQ217" s="503"/>
      <c r="DR217" s="296"/>
      <c r="DS217" s="296"/>
      <c r="DT217" s="296"/>
    </row>
    <row r="218" spans="1:130" ht="12.6" customHeight="1" outlineLevel="1" x14ac:dyDescent="0.25">
      <c r="A218" s="2187" t="s">
        <v>1788</v>
      </c>
      <c r="B218" s="311"/>
      <c r="C218" s="449">
        <f>C341</f>
        <v>94.052000000000007</v>
      </c>
      <c r="D218" s="449">
        <f>D341</f>
        <v>101.524</v>
      </c>
      <c r="E218" s="449">
        <f>E341</f>
        <v>104.503</v>
      </c>
      <c r="F218" s="449">
        <f>F341</f>
        <v>100.05500000000001</v>
      </c>
      <c r="G218" s="448">
        <f t="shared" ref="G218:G223" si="453">SUM(C218:F218)</f>
        <v>400.13400000000001</v>
      </c>
      <c r="H218" s="449">
        <f>H341</f>
        <v>103.208</v>
      </c>
      <c r="I218" s="449">
        <f>I341</f>
        <v>112.779</v>
      </c>
      <c r="J218" s="449">
        <f>J341</f>
        <v>118.40300000000001</v>
      </c>
      <c r="K218" s="449">
        <f>K341</f>
        <v>106.251</v>
      </c>
      <c r="L218" s="448">
        <f t="shared" ref="L218:L223" si="454">SUM(H218:K218)</f>
        <v>440.64099999999996</v>
      </c>
      <c r="M218" s="449">
        <f>M341</f>
        <v>116.917</v>
      </c>
      <c r="N218" s="449">
        <f>N341</f>
        <v>122.452</v>
      </c>
      <c r="O218" s="449">
        <f>O341</f>
        <v>126.973</v>
      </c>
      <c r="P218" s="449">
        <f>P341</f>
        <v>118.854</v>
      </c>
      <c r="Q218" s="448">
        <f t="shared" ref="Q218:Q223" si="455">SUM(M218:P218)</f>
        <v>485.19599999999997</v>
      </c>
      <c r="R218" s="449">
        <f>R341</f>
        <v>119.596</v>
      </c>
      <c r="S218" s="449">
        <f>S341</f>
        <v>129.13999999999999</v>
      </c>
      <c r="T218" s="449">
        <f>T341</f>
        <v>133.376</v>
      </c>
      <c r="U218" s="449">
        <f>U341</f>
        <v>118.688</v>
      </c>
      <c r="V218" s="448">
        <f t="shared" ref="V218:V223" si="456">SUM(R218:U218)</f>
        <v>500.79999999999995</v>
      </c>
      <c r="W218" s="449">
        <f>W341</f>
        <v>122.512</v>
      </c>
      <c r="X218" s="449">
        <f>X341</f>
        <v>122.07299999999999</v>
      </c>
      <c r="Y218" s="449">
        <f>Y341</f>
        <v>123.364</v>
      </c>
      <c r="Z218" s="449">
        <f>Z341</f>
        <v>109.083</v>
      </c>
      <c r="AA218" s="448">
        <f t="shared" ref="AA218:AA223" si="457">SUM(W218:Z218)</f>
        <v>477.03199999999993</v>
      </c>
      <c r="AB218" s="449">
        <f>AB341</f>
        <v>117.904</v>
      </c>
      <c r="AC218" s="449">
        <f>AC341</f>
        <v>121.435</v>
      </c>
      <c r="AD218" s="449">
        <f>AD341</f>
        <v>116.619</v>
      </c>
      <c r="AE218" s="450">
        <f>AE341</f>
        <v>99.391999999999996</v>
      </c>
      <c r="AF218" s="451">
        <f t="shared" ref="AF218:AF223" si="458">SUM(AB218:AE218)</f>
        <v>455.34999999999997</v>
      </c>
      <c r="AG218" s="450">
        <f>AG341</f>
        <v>103.215</v>
      </c>
      <c r="AH218" s="450">
        <f>AH341</f>
        <v>112.36499999999999</v>
      </c>
      <c r="AI218" s="450">
        <f>AI341</f>
        <v>144.596</v>
      </c>
      <c r="AJ218" s="450">
        <f>AJ341</f>
        <v>134.74299999999999</v>
      </c>
      <c r="AK218" s="451">
        <f t="shared" ref="AK218:AK223" si="459">SUM(AG218:AJ218)</f>
        <v>494.91899999999998</v>
      </c>
      <c r="AL218" s="450">
        <f t="shared" ref="AL218:AY218" si="460">AL341</f>
        <v>139.892</v>
      </c>
      <c r="AM218" s="450">
        <f t="shared" si="460"/>
        <v>148.73699999999999</v>
      </c>
      <c r="AN218" s="450">
        <f t="shared" si="460"/>
        <v>157.46674625</v>
      </c>
      <c r="AO218" s="450">
        <f t="shared" si="460"/>
        <v>146.81799999999998</v>
      </c>
      <c r="AP218" s="1616">
        <f t="shared" si="460"/>
        <v>592.91374625000003</v>
      </c>
      <c r="AQ218" s="1616">
        <f t="shared" si="460"/>
        <v>161.66641540999998</v>
      </c>
      <c r="AR218" s="450">
        <f t="shared" si="460"/>
        <v>152.96679235000002</v>
      </c>
      <c r="AS218" s="450">
        <f t="shared" si="460"/>
        <v>145.57418386399996</v>
      </c>
      <c r="AT218" s="450">
        <f t="shared" si="460"/>
        <v>130.98044220499997</v>
      </c>
      <c r="AU218" s="451">
        <f t="shared" si="460"/>
        <v>591.18783382899994</v>
      </c>
      <c r="AV218" s="450">
        <f t="shared" si="460"/>
        <v>133.13528779901358</v>
      </c>
      <c r="AW218" s="450">
        <f t="shared" si="460"/>
        <v>130.5639214504892</v>
      </c>
      <c r="AX218" s="450">
        <f t="shared" si="460"/>
        <v>122.78066854548506</v>
      </c>
      <c r="AY218" s="1861">
        <f t="shared" si="460"/>
        <v>105.5971061971274</v>
      </c>
      <c r="AZ218" s="1861">
        <f t="shared" ref="AZ218:AZ223" si="461">SUM(AV218:AY218)</f>
        <v>492.07698399211529</v>
      </c>
      <c r="BA218" s="450">
        <f>BA341</f>
        <v>101.73428338124867</v>
      </c>
      <c r="BB218" s="450">
        <f>BB341</f>
        <v>112.21884433725776</v>
      </c>
      <c r="BC218" s="450">
        <f>BC341</f>
        <v>111.21845903567547</v>
      </c>
      <c r="BD218" s="1861">
        <f>BD341</f>
        <v>100.23771642</v>
      </c>
      <c r="BE218" s="1861">
        <f t="shared" ref="BE218:BE223" si="462">SUM(BA218:BD218)</f>
        <v>425.4093031741819</v>
      </c>
      <c r="BF218" s="450">
        <f>BF341</f>
        <v>96.740389599999986</v>
      </c>
      <c r="BG218" s="450">
        <f>BG341</f>
        <v>109.57778808999997</v>
      </c>
      <c r="BH218" s="450">
        <f>BH341</f>
        <v>109.86118572285713</v>
      </c>
      <c r="BI218" s="1861">
        <f>BI341</f>
        <v>105.49893603285716</v>
      </c>
      <c r="BJ218" s="1861">
        <f t="shared" ref="BJ218:BJ223" si="463">SUM(BF218:BI218)</f>
        <v>421.67829944571429</v>
      </c>
      <c r="BK218" s="450">
        <f>BK341</f>
        <v>100.21073651428573</v>
      </c>
      <c r="BL218" s="450">
        <f>BL341</f>
        <v>105.95204794285711</v>
      </c>
      <c r="BM218" s="450">
        <f>BM341</f>
        <v>108.04239878571428</v>
      </c>
      <c r="BN218" s="1861">
        <f>BN341</f>
        <v>100.35325679857141</v>
      </c>
      <c r="BO218" s="1861">
        <f t="shared" ref="BO218:BO225" si="464">SUM(BK218:BN218)</f>
        <v>414.55844004142853</v>
      </c>
      <c r="BP218" s="450">
        <f>BP341</f>
        <v>91.157414755714285</v>
      </c>
      <c r="BQ218" s="450">
        <f>BQ341</f>
        <v>97.659174802857123</v>
      </c>
      <c r="BR218" s="450">
        <f>BR341</f>
        <v>95.301364113876346</v>
      </c>
      <c r="BS218" s="1861">
        <f>BS341</f>
        <v>90.653029685057732</v>
      </c>
      <c r="BT218" s="2989">
        <f t="shared" ref="BT218:BT225" si="465">SUM(BP218:BS218)</f>
        <v>374.77098335750549</v>
      </c>
      <c r="BU218" s="2671">
        <f>BU341</f>
        <v>90.768398954090216</v>
      </c>
      <c r="BV218" s="2671">
        <f>BV341</f>
        <v>95.614419458226834</v>
      </c>
      <c r="BW218" s="2671">
        <f>BW341</f>
        <v>93.306452077752184</v>
      </c>
      <c r="BX218" s="2671">
        <f>BX341</f>
        <v>88.751687528377616</v>
      </c>
      <c r="BY218" s="3023">
        <f t="shared" ref="BY218:BY225" si="466">SUM(BU218:BX218)</f>
        <v>368.44095801844685</v>
      </c>
      <c r="BZ218" s="451">
        <f t="shared" ref="BZ218:CF218" si="467">BZ341</f>
        <v>373.96757238872351</v>
      </c>
      <c r="CA218" s="451">
        <f t="shared" si="467"/>
        <v>373.96757238872351</v>
      </c>
      <c r="CB218" s="451">
        <f t="shared" si="467"/>
        <v>355.26919376928737</v>
      </c>
      <c r="CC218" s="451">
        <f t="shared" si="467"/>
        <v>337.505734080823</v>
      </c>
      <c r="CD218" s="451">
        <f t="shared" si="467"/>
        <v>344.25584876243943</v>
      </c>
      <c r="CE218" s="451">
        <f t="shared" si="467"/>
        <v>351.14096573768825</v>
      </c>
      <c r="CF218" s="451">
        <f t="shared" si="467"/>
        <v>358.16378505244205</v>
      </c>
      <c r="CG218" s="2188"/>
      <c r="CH218" s="2188"/>
      <c r="CI218" s="2188"/>
      <c r="CJ218" s="2188"/>
      <c r="CK218" s="476"/>
      <c r="CL218" s="2227" t="str">
        <f t="shared" ref="CL218:CL224" si="468">A218</f>
        <v>Hollywood at Charles Town Races (WV)</v>
      </c>
      <c r="CM218" s="476">
        <f t="shared" ref="CM218:CM223" si="469">G218</f>
        <v>400.13400000000001</v>
      </c>
      <c r="CN218" s="476">
        <f t="shared" ref="CN218:CN223" si="470">L218</f>
        <v>440.64099999999996</v>
      </c>
      <c r="CO218" s="476">
        <f t="shared" ref="CO218:CO223" si="471">Q218</f>
        <v>485.19599999999997</v>
      </c>
      <c r="CP218" s="476">
        <f t="shared" ref="CP218:CP223" si="472">V218</f>
        <v>500.79999999999995</v>
      </c>
      <c r="CQ218" s="476">
        <f t="shared" ref="CQ218:CQ223" si="473">AA218</f>
        <v>477.03199999999993</v>
      </c>
      <c r="CR218" s="476">
        <f t="shared" ref="CR218:CR223" si="474">AF218</f>
        <v>455.34999999999997</v>
      </c>
      <c r="CS218" s="476">
        <f t="shared" ref="CS218:CS223" si="475">AK218</f>
        <v>494.91899999999998</v>
      </c>
      <c r="CT218" s="476">
        <f t="shared" ref="CT218:CT223" si="476">AP218</f>
        <v>592.91374625000003</v>
      </c>
      <c r="CU218" s="476">
        <f t="shared" ref="CU218:CU223" si="477">AU218</f>
        <v>591.18783382899994</v>
      </c>
      <c r="CV218" s="476">
        <f t="shared" ref="CV218:CV223" si="478">AZ218</f>
        <v>492.07698399211529</v>
      </c>
      <c r="CW218" s="476">
        <f t="shared" ref="CW218:CW223" si="479">BE218</f>
        <v>425.4093031741819</v>
      </c>
      <c r="CX218" s="476">
        <f t="shared" ref="CX218:CX223" si="480">BJ218</f>
        <v>421.67829944571429</v>
      </c>
      <c r="CY218" s="476">
        <f t="shared" ref="CY218:CY223" si="481">BO218</f>
        <v>414.55844004142853</v>
      </c>
      <c r="CZ218" s="476">
        <f t="shared" ref="CZ218:CZ223" si="482">BT218</f>
        <v>374.77098335750549</v>
      </c>
      <c r="DA218" s="476">
        <f t="shared" ref="DA218:DC223" si="483">BY218</f>
        <v>368.44095801844685</v>
      </c>
      <c r="DB218" s="476">
        <f t="shared" si="483"/>
        <v>373.96757238872351</v>
      </c>
      <c r="DC218" s="682">
        <f t="shared" si="483"/>
        <v>373.96757238872351</v>
      </c>
      <c r="DD218" s="476"/>
      <c r="DE218" s="476"/>
      <c r="DF218" s="598"/>
      <c r="DG218" s="598"/>
      <c r="DH218" s="2671"/>
      <c r="DI218" s="3213"/>
      <c r="DJ218" s="598"/>
      <c r="DK218" s="598"/>
      <c r="DL218" s="598"/>
      <c r="DM218" s="598"/>
      <c r="DN218" s="598"/>
      <c r="DO218" s="598"/>
      <c r="DP218" s="598"/>
      <c r="DQ218" s="598"/>
      <c r="DR218" s="660"/>
      <c r="DS218" s="660"/>
      <c r="DT218" s="660"/>
    </row>
    <row r="219" spans="1:130" ht="12.6" customHeight="1" outlineLevel="1" x14ac:dyDescent="0.25">
      <c r="A219" s="391" t="s">
        <v>1090</v>
      </c>
      <c r="B219" s="281"/>
      <c r="C219" s="446">
        <f>C370</f>
        <v>0</v>
      </c>
      <c r="D219" s="446">
        <f>D370</f>
        <v>0</v>
      </c>
      <c r="E219" s="446">
        <f>E370</f>
        <v>0.56299999999999994</v>
      </c>
      <c r="F219" s="446">
        <f>F370</f>
        <v>3.2000000000000001E-2</v>
      </c>
      <c r="G219" s="447">
        <f t="shared" si="453"/>
        <v>0.59499999999999997</v>
      </c>
      <c r="H219" s="446">
        <f>H370</f>
        <v>0</v>
      </c>
      <c r="I219" s="446">
        <f>I370</f>
        <v>0.48199999999999998</v>
      </c>
      <c r="J219" s="446">
        <f>J370</f>
        <v>0.73299999999999998</v>
      </c>
      <c r="K219" s="446">
        <f>K370</f>
        <v>4.742</v>
      </c>
      <c r="L219" s="447">
        <f t="shared" si="454"/>
        <v>5.9569999999999999</v>
      </c>
      <c r="M219" s="446">
        <f>M370</f>
        <v>8.7100000000000009</v>
      </c>
      <c r="N219" s="446">
        <f>N370</f>
        <v>10.103999999999999</v>
      </c>
      <c r="O219" s="446">
        <f>O370</f>
        <v>11.186999999999999</v>
      </c>
      <c r="P219" s="446">
        <f>P370</f>
        <v>10.87</v>
      </c>
      <c r="Q219" s="447">
        <f t="shared" si="455"/>
        <v>40.870999999999995</v>
      </c>
      <c r="R219" s="446">
        <f>R370</f>
        <v>10.976000000000001</v>
      </c>
      <c r="S219" s="446">
        <f>S370</f>
        <v>11.984999999999999</v>
      </c>
      <c r="T219" s="446">
        <f>T370</f>
        <v>12.673999999999999</v>
      </c>
      <c r="U219" s="446">
        <f>U370</f>
        <v>11.054</v>
      </c>
      <c r="V219" s="447">
        <f t="shared" si="456"/>
        <v>46.689</v>
      </c>
      <c r="W219" s="446">
        <f>W370</f>
        <v>10.7</v>
      </c>
      <c r="X219" s="446">
        <f>X370</f>
        <v>12.077999999999999</v>
      </c>
      <c r="Y219" s="446">
        <f>Y370</f>
        <v>18.495000000000001</v>
      </c>
      <c r="Z219" s="446">
        <f>Z370</f>
        <v>14.507</v>
      </c>
      <c r="AA219" s="447">
        <f t="shared" si="457"/>
        <v>55.779999999999994</v>
      </c>
      <c r="AB219" s="446">
        <f>AB370</f>
        <v>14.365</v>
      </c>
      <c r="AC219" s="446">
        <f>AC370</f>
        <v>17.225999999999999</v>
      </c>
      <c r="AD219" s="446">
        <f>AD370</f>
        <v>19.312000000000001</v>
      </c>
      <c r="AE219" s="454">
        <f>AE370</f>
        <v>16.273</v>
      </c>
      <c r="AF219" s="455">
        <f t="shared" si="458"/>
        <v>67.176000000000002</v>
      </c>
      <c r="AG219" s="454">
        <f>AG370</f>
        <v>16.225000000000001</v>
      </c>
      <c r="AH219" s="454">
        <f>AH370</f>
        <v>17.541</v>
      </c>
      <c r="AI219" s="454">
        <f>AI370</f>
        <v>20.097999999999999</v>
      </c>
      <c r="AJ219" s="454">
        <f>AJ370</f>
        <v>16.626999999999999</v>
      </c>
      <c r="AK219" s="455">
        <f t="shared" si="459"/>
        <v>70.491</v>
      </c>
      <c r="AL219" s="454">
        <f t="shared" ref="AL219:AY219" si="484">AL370</f>
        <v>15.289</v>
      </c>
      <c r="AM219" s="454">
        <f t="shared" si="484"/>
        <v>17.279</v>
      </c>
      <c r="AN219" s="454">
        <f t="shared" si="484"/>
        <v>19.716046419999998</v>
      </c>
      <c r="AO219" s="454">
        <f t="shared" si="484"/>
        <v>16.379764829999999</v>
      </c>
      <c r="AP219" s="456">
        <f t="shared" si="484"/>
        <v>68.663811249999995</v>
      </c>
      <c r="AQ219" s="456">
        <f t="shared" si="484"/>
        <v>17.26727623</v>
      </c>
      <c r="AR219" s="454">
        <f t="shared" si="484"/>
        <v>19.7505852</v>
      </c>
      <c r="AS219" s="454">
        <f t="shared" si="484"/>
        <v>19.120276728033389</v>
      </c>
      <c r="AT219" s="454">
        <f t="shared" si="484"/>
        <v>15.564361912177413</v>
      </c>
      <c r="AU219" s="455">
        <f t="shared" si="484"/>
        <v>71.702500070210803</v>
      </c>
      <c r="AV219" s="454">
        <f t="shared" si="484"/>
        <v>14.457904030353159</v>
      </c>
      <c r="AW219" s="454">
        <f t="shared" si="484"/>
        <v>16.226349629335253</v>
      </c>
      <c r="AX219" s="454">
        <f t="shared" si="484"/>
        <v>17.527237596354148</v>
      </c>
      <c r="AY219" s="1666">
        <f t="shared" si="484"/>
        <v>14.34170851016405</v>
      </c>
      <c r="AZ219" s="1666">
        <f t="shared" si="461"/>
        <v>62.553199766206617</v>
      </c>
      <c r="BA219" s="454">
        <f>BA370</f>
        <v>13.908561961041965</v>
      </c>
      <c r="BB219" s="454">
        <f>BB370</f>
        <v>15.633520691568586</v>
      </c>
      <c r="BC219" s="454">
        <f>BC370</f>
        <v>17.225725872262458</v>
      </c>
      <c r="BD219" s="1666">
        <f>BD370</f>
        <v>15.560424071655422</v>
      </c>
      <c r="BE219" s="1666">
        <f t="shared" si="462"/>
        <v>62.328232596528437</v>
      </c>
      <c r="BF219" s="454">
        <f>BF370</f>
        <v>13.398664868584637</v>
      </c>
      <c r="BG219" s="454">
        <f>BG370</f>
        <v>15.880541253620152</v>
      </c>
      <c r="BH219" s="454">
        <f>BH370</f>
        <v>17.071569702262458</v>
      </c>
      <c r="BI219" s="1666">
        <f>BI370</f>
        <v>14.759412241655422</v>
      </c>
      <c r="BJ219" s="1666">
        <f t="shared" si="463"/>
        <v>61.110188066122674</v>
      </c>
      <c r="BK219" s="454">
        <f>BK370</f>
        <v>13.953017578584635</v>
      </c>
      <c r="BL219" s="454">
        <f>BL370</f>
        <v>15.07967835362015</v>
      </c>
      <c r="BM219" s="454">
        <f>BM370</f>
        <v>16.663537872262459</v>
      </c>
      <c r="BN219" s="1666">
        <f>BN370</f>
        <v>14.751509301655421</v>
      </c>
      <c r="BO219" s="1666">
        <f t="shared" si="464"/>
        <v>60.447743106122658</v>
      </c>
      <c r="BP219" s="454">
        <f>BP370</f>
        <v>13.046358728584638</v>
      </c>
      <c r="BQ219" s="454">
        <f>BQ370</f>
        <v>14.986555053620148</v>
      </c>
      <c r="BR219" s="454">
        <f>BR370</f>
        <v>16.00478922226246</v>
      </c>
      <c r="BS219" s="1666">
        <f>BS370</f>
        <v>14.254227981655422</v>
      </c>
      <c r="BT219" s="3070">
        <f t="shared" si="465"/>
        <v>58.291930986122665</v>
      </c>
      <c r="BU219" s="2915">
        <f>BU370</f>
        <v>11.898351671584638</v>
      </c>
      <c r="BV219" s="2915">
        <f>BV370</f>
        <v>14.856851100420148</v>
      </c>
      <c r="BW219" s="2915">
        <f>BW370</f>
        <v>15.868376708762462</v>
      </c>
      <c r="BX219" s="2915">
        <f>BX370</f>
        <v>14.132841722555423</v>
      </c>
      <c r="BY219" s="3066">
        <f t="shared" si="466"/>
        <v>56.756421203322674</v>
      </c>
      <c r="BZ219" s="455">
        <f t="shared" ref="BZ219:CF219" si="485">BZ370</f>
        <v>57.734151596466674</v>
      </c>
      <c r="CA219" s="455">
        <f t="shared" si="485"/>
        <v>57.734151596466674</v>
      </c>
      <c r="CB219" s="455">
        <f t="shared" si="485"/>
        <v>55.240939093949471</v>
      </c>
      <c r="CC219" s="455">
        <f t="shared" si="485"/>
        <v>52.872387216558131</v>
      </c>
      <c r="CD219" s="455">
        <f t="shared" si="485"/>
        <v>53.772436929966844</v>
      </c>
      <c r="CE219" s="455">
        <f t="shared" si="485"/>
        <v>54.690487637643727</v>
      </c>
      <c r="CF219" s="455">
        <f t="shared" si="485"/>
        <v>55.626899359474152</v>
      </c>
      <c r="CG219" s="588"/>
      <c r="CH219" s="588"/>
      <c r="CI219" s="588"/>
      <c r="CJ219" s="588"/>
      <c r="CK219" s="331"/>
      <c r="CL219" s="1277" t="str">
        <f t="shared" si="468"/>
        <v>Hollywood Slots at Bangor (ME)</v>
      </c>
      <c r="CM219" s="454">
        <f t="shared" si="469"/>
        <v>0.59499999999999997</v>
      </c>
      <c r="CN219" s="454">
        <f t="shared" si="470"/>
        <v>5.9569999999999999</v>
      </c>
      <c r="CO219" s="454">
        <f t="shared" si="471"/>
        <v>40.870999999999995</v>
      </c>
      <c r="CP219" s="454">
        <f t="shared" si="472"/>
        <v>46.689</v>
      </c>
      <c r="CQ219" s="454">
        <f t="shared" si="473"/>
        <v>55.779999999999994</v>
      </c>
      <c r="CR219" s="454">
        <f t="shared" si="474"/>
        <v>67.176000000000002</v>
      </c>
      <c r="CS219" s="454">
        <f t="shared" si="475"/>
        <v>70.491</v>
      </c>
      <c r="CT219" s="454">
        <f t="shared" si="476"/>
        <v>68.663811249999995</v>
      </c>
      <c r="CU219" s="454">
        <f t="shared" si="477"/>
        <v>71.702500070210803</v>
      </c>
      <c r="CV219" s="454">
        <f t="shared" si="478"/>
        <v>62.553199766206617</v>
      </c>
      <c r="CW219" s="454">
        <f t="shared" si="479"/>
        <v>62.328232596528437</v>
      </c>
      <c r="CX219" s="454">
        <f t="shared" si="480"/>
        <v>61.110188066122674</v>
      </c>
      <c r="CY219" s="454">
        <f t="shared" si="481"/>
        <v>60.447743106122658</v>
      </c>
      <c r="CZ219" s="454">
        <f t="shared" si="482"/>
        <v>58.291930986122665</v>
      </c>
      <c r="DA219" s="454">
        <f t="shared" si="483"/>
        <v>56.756421203322674</v>
      </c>
      <c r="DB219" s="454">
        <f t="shared" si="483"/>
        <v>57.734151596466674</v>
      </c>
      <c r="DC219" s="1666">
        <f t="shared" si="483"/>
        <v>57.734151596466674</v>
      </c>
      <c r="DD219" s="331"/>
      <c r="DE219" s="331"/>
      <c r="DF219" s="502"/>
      <c r="DG219" s="503"/>
      <c r="DH219" s="2915"/>
      <c r="DI219" s="3213"/>
      <c r="DJ219" s="502"/>
      <c r="DK219" s="503"/>
      <c r="DL219" s="502"/>
      <c r="DM219" s="502"/>
      <c r="DN219" s="502"/>
      <c r="DO219" s="502"/>
      <c r="DP219" s="503"/>
      <c r="DQ219" s="503"/>
      <c r="DR219" s="296"/>
      <c r="DS219" s="296"/>
      <c r="DT219" s="296"/>
    </row>
    <row r="220" spans="1:130" ht="12.6" customHeight="1" outlineLevel="1" x14ac:dyDescent="0.25">
      <c r="A220" s="392" t="s">
        <v>1549</v>
      </c>
      <c r="B220" s="281"/>
      <c r="C220" s="446">
        <f>C401</f>
        <v>22.51</v>
      </c>
      <c r="D220" s="446">
        <f>D401</f>
        <v>27.157</v>
      </c>
      <c r="E220" s="446">
        <f>E401</f>
        <v>13.632</v>
      </c>
      <c r="F220" s="446">
        <f>F401</f>
        <v>13.206</v>
      </c>
      <c r="G220" s="447">
        <f t="shared" si="453"/>
        <v>76.504999999999995</v>
      </c>
      <c r="H220" s="446">
        <f>H401</f>
        <v>13.275</v>
      </c>
      <c r="I220" s="446">
        <f>I401</f>
        <v>15.262</v>
      </c>
      <c r="J220" s="446">
        <f>J401</f>
        <v>13.212999999999999</v>
      </c>
      <c r="K220" s="446">
        <f>K401</f>
        <v>12.026999999999999</v>
      </c>
      <c r="L220" s="447">
        <f t="shared" si="454"/>
        <v>53.777000000000001</v>
      </c>
      <c r="M220" s="446">
        <f>M401</f>
        <v>13.087</v>
      </c>
      <c r="N220" s="446">
        <f>N401</f>
        <v>13.073</v>
      </c>
      <c r="O220" s="446">
        <f>O401</f>
        <v>12.691000000000001</v>
      </c>
      <c r="P220" s="446">
        <f>P401</f>
        <v>11.452</v>
      </c>
      <c r="Q220" s="447">
        <f t="shared" si="455"/>
        <v>50.302999999999997</v>
      </c>
      <c r="R220" s="446">
        <f>R401</f>
        <v>11.853999999999999</v>
      </c>
      <c r="S220" s="446">
        <f>S401</f>
        <v>13.53</v>
      </c>
      <c r="T220" s="446">
        <f>T401</f>
        <v>11.815</v>
      </c>
      <c r="U220" s="446">
        <f>U401</f>
        <v>11.289</v>
      </c>
      <c r="V220" s="447">
        <f t="shared" si="456"/>
        <v>48.488</v>
      </c>
      <c r="W220" s="446">
        <f>W401</f>
        <v>39.448999999999998</v>
      </c>
      <c r="X220" s="446">
        <f>X401</f>
        <v>61.628</v>
      </c>
      <c r="Y220" s="446">
        <f>Y401</f>
        <v>65.180999999999997</v>
      </c>
      <c r="Z220" s="446">
        <f>Z401</f>
        <v>58.677</v>
      </c>
      <c r="AA220" s="447">
        <f t="shared" si="457"/>
        <v>224.93499999999997</v>
      </c>
      <c r="AB220" s="446">
        <f>AB401</f>
        <v>72.954999999999998</v>
      </c>
      <c r="AC220" s="446">
        <f>AC401</f>
        <v>77.149000000000001</v>
      </c>
      <c r="AD220" s="446">
        <f>AD401</f>
        <v>73.456999999999994</v>
      </c>
      <c r="AE220" s="454">
        <f>AE401</f>
        <v>69.108999999999995</v>
      </c>
      <c r="AF220" s="455">
        <f t="shared" si="458"/>
        <v>292.66999999999996</v>
      </c>
      <c r="AG220" s="454">
        <f>AG401</f>
        <v>75.61</v>
      </c>
      <c r="AH220" s="454">
        <f>AH401</f>
        <v>79.974000000000004</v>
      </c>
      <c r="AI220" s="454">
        <f>AI401</f>
        <v>84.665999999999997</v>
      </c>
      <c r="AJ220" s="454">
        <f>AJ401</f>
        <v>77.513999999999996</v>
      </c>
      <c r="AK220" s="455">
        <f t="shared" si="459"/>
        <v>317.76400000000001</v>
      </c>
      <c r="AL220" s="454">
        <f t="shared" ref="AL220:AY220" si="486">AL401</f>
        <v>82.855999999999995</v>
      </c>
      <c r="AM220" s="454">
        <f t="shared" si="486"/>
        <v>86.423000000000002</v>
      </c>
      <c r="AN220" s="454">
        <f t="shared" si="486"/>
        <v>84.081937019999955</v>
      </c>
      <c r="AO220" s="454">
        <f t="shared" si="486"/>
        <v>80.895194579999995</v>
      </c>
      <c r="AP220" s="456">
        <f t="shared" si="486"/>
        <v>334.25613159999995</v>
      </c>
      <c r="AQ220" s="456">
        <f t="shared" si="486"/>
        <v>88.227292569999946</v>
      </c>
      <c r="AR220" s="454">
        <f t="shared" si="486"/>
        <v>84.303830284473008</v>
      </c>
      <c r="AS220" s="454">
        <f t="shared" si="486"/>
        <v>82.418717243242611</v>
      </c>
      <c r="AT220" s="454">
        <f t="shared" si="486"/>
        <v>74.658614791568255</v>
      </c>
      <c r="AU220" s="455">
        <f t="shared" si="486"/>
        <v>329.60845488928385</v>
      </c>
      <c r="AV220" s="454">
        <f t="shared" si="486"/>
        <v>82.534022018493545</v>
      </c>
      <c r="AW220" s="454">
        <f t="shared" si="486"/>
        <v>82.27683468740139</v>
      </c>
      <c r="AX220" s="454">
        <f t="shared" si="486"/>
        <v>76.563798068666642</v>
      </c>
      <c r="AY220" s="1666">
        <f t="shared" si="486"/>
        <v>69.839183214823763</v>
      </c>
      <c r="AZ220" s="1666">
        <f t="shared" si="461"/>
        <v>311.21383798938535</v>
      </c>
      <c r="BA220" s="454">
        <f>BA401</f>
        <v>72.506372699143469</v>
      </c>
      <c r="BB220" s="454">
        <f>BB401</f>
        <v>73.996981310379397</v>
      </c>
      <c r="BC220" s="454">
        <f>BC401</f>
        <v>72.465064871132654</v>
      </c>
      <c r="BD220" s="1666">
        <f>BD401</f>
        <v>69.699327496506285</v>
      </c>
      <c r="BE220" s="1666">
        <f t="shared" si="462"/>
        <v>288.66774637716179</v>
      </c>
      <c r="BF220" s="454">
        <f>BF401</f>
        <v>73.611877497941606</v>
      </c>
      <c r="BG220" s="454">
        <f>BG401</f>
        <v>75.480076380000057</v>
      </c>
      <c r="BH220" s="454">
        <f>BH401</f>
        <v>73.285837949333995</v>
      </c>
      <c r="BI220" s="1666">
        <f>BI401</f>
        <v>70.146848939999927</v>
      </c>
      <c r="BJ220" s="1666">
        <f t="shared" si="463"/>
        <v>292.52464076727557</v>
      </c>
      <c r="BK220" s="454">
        <f>BK401</f>
        <v>71.727203538151542</v>
      </c>
      <c r="BL220" s="454">
        <f>BL401</f>
        <v>74.191520543329844</v>
      </c>
      <c r="BM220" s="454">
        <f>BM401</f>
        <v>71.764404635455193</v>
      </c>
      <c r="BN220" s="1666">
        <f>BN401</f>
        <v>67.83587745564715</v>
      </c>
      <c r="BO220" s="1666">
        <f t="shared" si="464"/>
        <v>285.51900617258377</v>
      </c>
      <c r="BP220" s="454">
        <f>BP401</f>
        <v>73.275002160176498</v>
      </c>
      <c r="BQ220" s="454">
        <f>BQ401</f>
        <v>74.498116059670352</v>
      </c>
      <c r="BR220" s="454">
        <f>BR401</f>
        <v>71.1177913398095</v>
      </c>
      <c r="BS220" s="1666">
        <f>BS401</f>
        <v>67.302201204762596</v>
      </c>
      <c r="BT220" s="3070">
        <f t="shared" si="465"/>
        <v>286.19311076441892</v>
      </c>
      <c r="BU220" s="2915">
        <f>BU401</f>
        <v>71.839700082147829</v>
      </c>
      <c r="BV220" s="2915">
        <f>BV401</f>
        <v>75.24309722026706</v>
      </c>
      <c r="BW220" s="2915">
        <f>BW401</f>
        <v>71.828969253207589</v>
      </c>
      <c r="BX220" s="2915">
        <f>BX401</f>
        <v>67.975223216810221</v>
      </c>
      <c r="BY220" s="3066">
        <f t="shared" si="466"/>
        <v>286.88698977243268</v>
      </c>
      <c r="BZ220" s="455">
        <f t="shared" ref="BZ220:CF220" si="487">BZ401</f>
        <v>290.4730771445881</v>
      </c>
      <c r="CA220" s="455">
        <f t="shared" si="487"/>
        <v>290.4730771445881</v>
      </c>
      <c r="CB220" s="455">
        <f t="shared" si="487"/>
        <v>275.94942328735868</v>
      </c>
      <c r="CC220" s="455">
        <f t="shared" si="487"/>
        <v>262.15195212299074</v>
      </c>
      <c r="CD220" s="455">
        <f t="shared" si="487"/>
        <v>267.39499116545056</v>
      </c>
      <c r="CE220" s="455">
        <f t="shared" si="487"/>
        <v>272.7428909887596</v>
      </c>
      <c r="CF220" s="455">
        <f t="shared" si="487"/>
        <v>278.19774880853475</v>
      </c>
      <c r="CG220" s="588"/>
      <c r="CH220" s="588"/>
      <c r="CI220" s="588"/>
      <c r="CJ220" s="588"/>
      <c r="CK220" s="331"/>
      <c r="CL220" s="995" t="str">
        <f t="shared" si="468"/>
        <v>Hollywood at Penn National (PA)</v>
      </c>
      <c r="CM220" s="454">
        <f t="shared" si="469"/>
        <v>76.504999999999995</v>
      </c>
      <c r="CN220" s="454">
        <f t="shared" si="470"/>
        <v>53.777000000000001</v>
      </c>
      <c r="CO220" s="454">
        <f t="shared" si="471"/>
        <v>50.302999999999997</v>
      </c>
      <c r="CP220" s="454">
        <f t="shared" si="472"/>
        <v>48.488</v>
      </c>
      <c r="CQ220" s="454">
        <f t="shared" si="473"/>
        <v>224.93499999999997</v>
      </c>
      <c r="CR220" s="454">
        <f t="shared" si="474"/>
        <v>292.66999999999996</v>
      </c>
      <c r="CS220" s="454">
        <f t="shared" si="475"/>
        <v>317.76400000000001</v>
      </c>
      <c r="CT220" s="454">
        <f t="shared" si="476"/>
        <v>334.25613159999995</v>
      </c>
      <c r="CU220" s="454">
        <f t="shared" si="477"/>
        <v>329.60845488928385</v>
      </c>
      <c r="CV220" s="454">
        <f t="shared" si="478"/>
        <v>311.21383798938535</v>
      </c>
      <c r="CW220" s="454">
        <f t="shared" si="479"/>
        <v>288.66774637716179</v>
      </c>
      <c r="CX220" s="454">
        <f t="shared" si="480"/>
        <v>292.52464076727557</v>
      </c>
      <c r="CY220" s="454">
        <f t="shared" si="481"/>
        <v>285.51900617258377</v>
      </c>
      <c r="CZ220" s="454">
        <f t="shared" si="482"/>
        <v>286.19311076441892</v>
      </c>
      <c r="DA220" s="454">
        <f t="shared" si="483"/>
        <v>286.88698977243268</v>
      </c>
      <c r="DB220" s="454">
        <f t="shared" si="483"/>
        <v>290.4730771445881</v>
      </c>
      <c r="DC220" s="1666">
        <f t="shared" si="483"/>
        <v>290.4730771445881</v>
      </c>
      <c r="DD220" s="331"/>
      <c r="DE220" s="331"/>
      <c r="DF220" s="502"/>
      <c r="DG220" s="503"/>
      <c r="DH220" s="2915"/>
      <c r="DI220" s="3213"/>
      <c r="DJ220" s="502"/>
      <c r="DK220" s="503"/>
      <c r="DL220" s="502"/>
      <c r="DM220" s="502"/>
      <c r="DN220" s="502"/>
      <c r="DO220" s="502"/>
      <c r="DP220" s="503"/>
      <c r="DQ220" s="503"/>
      <c r="DR220" s="296"/>
      <c r="DS220" s="296"/>
      <c r="DT220" s="296"/>
    </row>
    <row r="221" spans="1:130" ht="12" customHeight="1" outlineLevel="1" x14ac:dyDescent="0.25">
      <c r="A221" s="392" t="s">
        <v>443</v>
      </c>
      <c r="B221" s="281"/>
      <c r="C221" s="446">
        <f>C430</f>
        <v>0</v>
      </c>
      <c r="D221" s="446">
        <f>D430</f>
        <v>0</v>
      </c>
      <c r="E221" s="446">
        <f>E430</f>
        <v>0</v>
      </c>
      <c r="F221" s="446">
        <f>F430</f>
        <v>0</v>
      </c>
      <c r="G221" s="447">
        <f t="shared" si="453"/>
        <v>0</v>
      </c>
      <c r="H221" s="446">
        <f>H430</f>
        <v>0</v>
      </c>
      <c r="I221" s="446">
        <f>I430</f>
        <v>0</v>
      </c>
      <c r="J221" s="446">
        <f>J430</f>
        <v>0</v>
      </c>
      <c r="K221" s="446">
        <f>K430</f>
        <v>0</v>
      </c>
      <c r="L221" s="447">
        <f t="shared" si="454"/>
        <v>0</v>
      </c>
      <c r="M221" s="446">
        <f>M430</f>
        <v>0</v>
      </c>
      <c r="N221" s="446">
        <f>N430</f>
        <v>0</v>
      </c>
      <c r="O221" s="446">
        <f>O430</f>
        <v>0</v>
      </c>
      <c r="P221" s="446">
        <f>P430</f>
        <v>0</v>
      </c>
      <c r="Q221" s="447">
        <f t="shared" si="455"/>
        <v>0</v>
      </c>
      <c r="R221" s="446">
        <f>R430</f>
        <v>0</v>
      </c>
      <c r="S221" s="446">
        <f>S430</f>
        <v>0</v>
      </c>
      <c r="T221" s="446">
        <f>T430</f>
        <v>0</v>
      </c>
      <c r="U221" s="446">
        <f>U430</f>
        <v>0</v>
      </c>
      <c r="V221" s="447">
        <f t="shared" si="456"/>
        <v>0</v>
      </c>
      <c r="W221" s="446">
        <f>W430</f>
        <v>0</v>
      </c>
      <c r="X221" s="446">
        <f>X430</f>
        <v>0</v>
      </c>
      <c r="Y221" s="446">
        <f>Y430</f>
        <v>0</v>
      </c>
      <c r="Z221" s="446">
        <f>Z430</f>
        <v>0</v>
      </c>
      <c r="AA221" s="447">
        <f t="shared" si="457"/>
        <v>0</v>
      </c>
      <c r="AB221" s="446">
        <f>AB430</f>
        <v>0</v>
      </c>
      <c r="AC221" s="446">
        <f>AC430</f>
        <v>0</v>
      </c>
      <c r="AD221" s="446">
        <f>AD430</f>
        <v>0</v>
      </c>
      <c r="AE221" s="454">
        <f>AE430</f>
        <v>0</v>
      </c>
      <c r="AF221" s="455">
        <f t="shared" si="458"/>
        <v>0</v>
      </c>
      <c r="AG221" s="454">
        <f>AG430</f>
        <v>0</v>
      </c>
      <c r="AH221" s="454">
        <f>AH430</f>
        <v>0</v>
      </c>
      <c r="AI221" s="454">
        <f>AI430</f>
        <v>0</v>
      </c>
      <c r="AJ221" s="454">
        <f>AJ430</f>
        <v>0</v>
      </c>
      <c r="AK221" s="455">
        <f t="shared" si="459"/>
        <v>0</v>
      </c>
      <c r="AL221" s="454">
        <f>AL430</f>
        <v>0</v>
      </c>
      <c r="AM221" s="454">
        <f>AM430</f>
        <v>0</v>
      </c>
      <c r="AN221" s="454">
        <f>AN430</f>
        <v>0</v>
      </c>
      <c r="AO221" s="454">
        <f>AO430</f>
        <v>0</v>
      </c>
      <c r="AP221" s="456">
        <f>SUM(AL221:AO221)</f>
        <v>0</v>
      </c>
      <c r="AQ221" s="456">
        <f>AQ430</f>
        <v>0</v>
      </c>
      <c r="AR221" s="454">
        <f>AR430</f>
        <v>0</v>
      </c>
      <c r="AS221" s="454">
        <f>AS430</f>
        <v>0</v>
      </c>
      <c r="AT221" s="454">
        <f>AT430</f>
        <v>59.608137520000007</v>
      </c>
      <c r="AU221" s="455">
        <f>SUM(AQ221:AT221)</f>
        <v>59.608137520000007</v>
      </c>
      <c r="AV221" s="454">
        <f>AV430</f>
        <v>60.567261299999998</v>
      </c>
      <c r="AW221" s="454">
        <f>AW430</f>
        <v>53.882079300000001</v>
      </c>
      <c r="AX221" s="454">
        <f>AX430</f>
        <v>52.58825774999999</v>
      </c>
      <c r="AY221" s="1666">
        <f>AY430</f>
        <v>54.315371250000005</v>
      </c>
      <c r="AZ221" s="1666">
        <f t="shared" si="461"/>
        <v>221.35296959999999</v>
      </c>
      <c r="BA221" s="454">
        <f>BA430</f>
        <v>56.197766099999996</v>
      </c>
      <c r="BB221" s="454">
        <f>BB430</f>
        <v>54.211288949999989</v>
      </c>
      <c r="BC221" s="454">
        <f>BC430</f>
        <v>54.016905757500005</v>
      </c>
      <c r="BD221" s="1666">
        <f>BD430</f>
        <v>54.118571849999995</v>
      </c>
      <c r="BE221" s="1666">
        <f t="shared" si="462"/>
        <v>218.54453265749999</v>
      </c>
      <c r="BF221" s="454">
        <f>BF430</f>
        <v>55.742122509999994</v>
      </c>
      <c r="BG221" s="454">
        <f>BG430</f>
        <v>56.31760294499999</v>
      </c>
      <c r="BH221" s="454">
        <f>BH430</f>
        <v>53.821367943574998</v>
      </c>
      <c r="BI221" s="1666">
        <f>BI430</f>
        <v>55.440639538499994</v>
      </c>
      <c r="BJ221" s="1666">
        <f t="shared" si="463"/>
        <v>221.32173293707498</v>
      </c>
      <c r="BK221" s="454">
        <f>BK430</f>
        <v>58.404104485500007</v>
      </c>
      <c r="BL221" s="454">
        <f>BL430</f>
        <v>56.902252999999995</v>
      </c>
      <c r="BM221" s="454">
        <f>BM430</f>
        <v>54.944062100753747</v>
      </c>
      <c r="BN221" s="1666">
        <f>BN430</f>
        <v>55.474554798424997</v>
      </c>
      <c r="BO221" s="1666">
        <f t="shared" si="464"/>
        <v>225.72497438467875</v>
      </c>
      <c r="BP221" s="454">
        <f>BP430</f>
        <v>59.961164992274995</v>
      </c>
      <c r="BQ221" s="454">
        <f>BQ430</f>
        <v>58.623043999999993</v>
      </c>
      <c r="BR221" s="454">
        <f>BR430</f>
        <v>58.099213427791433</v>
      </c>
      <c r="BS221" s="1666">
        <f>BS430</f>
        <v>56.901715272346259</v>
      </c>
      <c r="BT221" s="3070">
        <f t="shared" si="465"/>
        <v>233.58513769241267</v>
      </c>
      <c r="BU221" s="2915">
        <f>BU430</f>
        <v>61.425104041888751</v>
      </c>
      <c r="BV221" s="2915">
        <f>BV430</f>
        <v>58.609584001090333</v>
      </c>
      <c r="BW221" s="2915">
        <f>BW430</f>
        <v>58.519476711609627</v>
      </c>
      <c r="BX221" s="2915">
        <f>BX430</f>
        <v>57.556536291545079</v>
      </c>
      <c r="BY221" s="3066">
        <f t="shared" si="466"/>
        <v>236.11070104613381</v>
      </c>
      <c r="BZ221" s="455">
        <f t="shared" ref="BZ221:CF221" si="488">BZ430</f>
        <v>239.00328885367645</v>
      </c>
      <c r="CA221" s="455">
        <f t="shared" si="488"/>
        <v>239.70085739984572</v>
      </c>
      <c r="CB221" s="455">
        <f t="shared" si="488"/>
        <v>229.18070847680886</v>
      </c>
      <c r="CC221" s="455">
        <f t="shared" si="488"/>
        <v>219.2598116972716</v>
      </c>
      <c r="CD221" s="455">
        <f t="shared" si="488"/>
        <v>224.12952160417257</v>
      </c>
      <c r="CE221" s="455">
        <f t="shared" si="488"/>
        <v>229.12085139285924</v>
      </c>
      <c r="CF221" s="455">
        <f t="shared" si="488"/>
        <v>234.2374447451499</v>
      </c>
      <c r="CG221" s="588"/>
      <c r="CH221" s="588"/>
      <c r="CI221" s="588"/>
      <c r="CJ221" s="588"/>
      <c r="CK221" s="331"/>
      <c r="CL221" s="995" t="str">
        <f t="shared" si="468"/>
        <v>Hollywood Columbus (OH)</v>
      </c>
      <c r="CM221" s="454">
        <f t="shared" si="469"/>
        <v>0</v>
      </c>
      <c r="CN221" s="454">
        <f t="shared" si="470"/>
        <v>0</v>
      </c>
      <c r="CO221" s="454">
        <f t="shared" si="471"/>
        <v>0</v>
      </c>
      <c r="CP221" s="454">
        <f t="shared" si="472"/>
        <v>0</v>
      </c>
      <c r="CQ221" s="454">
        <f t="shared" si="473"/>
        <v>0</v>
      </c>
      <c r="CR221" s="454">
        <f t="shared" si="474"/>
        <v>0</v>
      </c>
      <c r="CS221" s="454">
        <f t="shared" si="475"/>
        <v>0</v>
      </c>
      <c r="CT221" s="454">
        <f t="shared" si="476"/>
        <v>0</v>
      </c>
      <c r="CU221" s="454">
        <f t="shared" si="477"/>
        <v>59.608137520000007</v>
      </c>
      <c r="CV221" s="454">
        <f t="shared" si="478"/>
        <v>221.35296959999999</v>
      </c>
      <c r="CW221" s="454">
        <f t="shared" si="479"/>
        <v>218.54453265749999</v>
      </c>
      <c r="CX221" s="454">
        <f t="shared" si="480"/>
        <v>221.32173293707498</v>
      </c>
      <c r="CY221" s="454">
        <f t="shared" si="481"/>
        <v>225.72497438467875</v>
      </c>
      <c r="CZ221" s="454">
        <f t="shared" si="482"/>
        <v>233.58513769241267</v>
      </c>
      <c r="DA221" s="454">
        <f t="shared" si="483"/>
        <v>236.11070104613381</v>
      </c>
      <c r="DB221" s="454">
        <f t="shared" si="483"/>
        <v>239.00328885367645</v>
      </c>
      <c r="DC221" s="1666">
        <f t="shared" si="483"/>
        <v>239.70085739984572</v>
      </c>
      <c r="DD221" s="331"/>
      <c r="DE221" s="331"/>
      <c r="DF221" s="502"/>
      <c r="DG221" s="503"/>
      <c r="DH221" s="2915"/>
      <c r="DI221" s="3213"/>
      <c r="DJ221" s="502"/>
      <c r="DK221" s="503"/>
      <c r="DL221" s="502"/>
      <c r="DM221" s="502"/>
      <c r="DN221" s="502"/>
      <c r="DO221" s="502"/>
      <c r="DP221" s="503"/>
      <c r="DQ221" s="503"/>
      <c r="DR221" s="296"/>
      <c r="DS221" s="296"/>
      <c r="DT221" s="296"/>
    </row>
    <row r="222" spans="1:130" ht="12" customHeight="1" outlineLevel="1" x14ac:dyDescent="0.25">
      <c r="A222" s="392" t="s">
        <v>636</v>
      </c>
      <c r="B222" s="281"/>
      <c r="C222" s="446">
        <f>C459</f>
        <v>0</v>
      </c>
      <c r="D222" s="446">
        <f>D459</f>
        <v>0</v>
      </c>
      <c r="E222" s="446">
        <f>E459</f>
        <v>0</v>
      </c>
      <c r="F222" s="446">
        <f>F459</f>
        <v>0</v>
      </c>
      <c r="G222" s="447">
        <f t="shared" si="453"/>
        <v>0</v>
      </c>
      <c r="H222" s="446">
        <f>H459</f>
        <v>0</v>
      </c>
      <c r="I222" s="446">
        <f>I459</f>
        <v>0</v>
      </c>
      <c r="J222" s="446">
        <f>J459</f>
        <v>0</v>
      </c>
      <c r="K222" s="446">
        <f>K459</f>
        <v>0</v>
      </c>
      <c r="L222" s="447">
        <f t="shared" si="454"/>
        <v>0</v>
      </c>
      <c r="M222" s="446">
        <f>M459</f>
        <v>0</v>
      </c>
      <c r="N222" s="446">
        <f>N459</f>
        <v>0</v>
      </c>
      <c r="O222" s="446">
        <f>O459</f>
        <v>0</v>
      </c>
      <c r="P222" s="446">
        <f>P459</f>
        <v>0</v>
      </c>
      <c r="Q222" s="447">
        <f t="shared" si="455"/>
        <v>0</v>
      </c>
      <c r="R222" s="446">
        <f>R459</f>
        <v>0</v>
      </c>
      <c r="S222" s="446">
        <f>S459</f>
        <v>0</v>
      </c>
      <c r="T222" s="446">
        <f>T459</f>
        <v>0</v>
      </c>
      <c r="U222" s="446">
        <f>U459</f>
        <v>0</v>
      </c>
      <c r="V222" s="447">
        <f t="shared" si="456"/>
        <v>0</v>
      </c>
      <c r="W222" s="446">
        <f>W459</f>
        <v>0</v>
      </c>
      <c r="X222" s="446">
        <f>X459</f>
        <v>0</v>
      </c>
      <c r="Y222" s="446">
        <f>Y459</f>
        <v>0</v>
      </c>
      <c r="Z222" s="446">
        <f>Z459</f>
        <v>0</v>
      </c>
      <c r="AA222" s="447">
        <f t="shared" si="457"/>
        <v>0</v>
      </c>
      <c r="AB222" s="446">
        <f>AB459</f>
        <v>0</v>
      </c>
      <c r="AC222" s="446">
        <f>AC459</f>
        <v>0</v>
      </c>
      <c r="AD222" s="446">
        <f>AD459</f>
        <v>0</v>
      </c>
      <c r="AE222" s="454">
        <f>AE459</f>
        <v>0</v>
      </c>
      <c r="AF222" s="455">
        <f t="shared" si="458"/>
        <v>0</v>
      </c>
      <c r="AG222" s="454">
        <f>AG459</f>
        <v>0</v>
      </c>
      <c r="AH222" s="454">
        <f>AH459</f>
        <v>0</v>
      </c>
      <c r="AI222" s="454">
        <f>AI459</f>
        <v>0</v>
      </c>
      <c r="AJ222" s="454">
        <f>AJ459</f>
        <v>0</v>
      </c>
      <c r="AK222" s="455">
        <f t="shared" si="459"/>
        <v>0</v>
      </c>
      <c r="AL222" s="454">
        <f>AL459</f>
        <v>0</v>
      </c>
      <c r="AM222" s="454">
        <f>AM459</f>
        <v>0</v>
      </c>
      <c r="AN222" s="454">
        <f>AN459</f>
        <v>0</v>
      </c>
      <c r="AO222" s="454">
        <f>AO459</f>
        <v>0</v>
      </c>
      <c r="AP222" s="456">
        <f>SUM(AL222:AO222)</f>
        <v>0</v>
      </c>
      <c r="AQ222" s="456">
        <f>AQ459</f>
        <v>0</v>
      </c>
      <c r="AR222" s="454">
        <f>AR459</f>
        <v>23.843039999999998</v>
      </c>
      <c r="AS222" s="454">
        <f>AS459</f>
        <v>54.578000000000003</v>
      </c>
      <c r="AT222" s="454">
        <f>AT459</f>
        <v>44.735658450000003</v>
      </c>
      <c r="AU222" s="455">
        <f>SUM(AQ222:AT222)</f>
        <v>123.15669845000001</v>
      </c>
      <c r="AV222" s="454">
        <f>AV459</f>
        <v>49.226034900000002</v>
      </c>
      <c r="AW222" s="454">
        <f>AW459</f>
        <v>49.717019100000002</v>
      </c>
      <c r="AX222" s="454">
        <f>AX459</f>
        <v>47.618881799999997</v>
      </c>
      <c r="AY222" s="1666">
        <f>AY459</f>
        <v>45.973250399999998</v>
      </c>
      <c r="AZ222" s="1666">
        <f t="shared" si="461"/>
        <v>192.5351862</v>
      </c>
      <c r="BA222" s="454">
        <f>BA459</f>
        <v>46.416066900000004</v>
      </c>
      <c r="BB222" s="454">
        <f>BB459</f>
        <v>50.096946900000006</v>
      </c>
      <c r="BC222" s="454">
        <f>BC459</f>
        <v>49.248589099499995</v>
      </c>
      <c r="BD222" s="1666">
        <f>BD459</f>
        <v>46.655481599999995</v>
      </c>
      <c r="BE222" s="1666">
        <f t="shared" si="462"/>
        <v>192.41708449950002</v>
      </c>
      <c r="BF222" s="454">
        <f>BF459</f>
        <v>49.195033649999999</v>
      </c>
      <c r="BG222" s="454">
        <f>BG459</f>
        <v>52.687881749999995</v>
      </c>
      <c r="BH222" s="454">
        <f>BH459</f>
        <v>51.43216365</v>
      </c>
      <c r="BI222" s="1666">
        <f>BI459</f>
        <v>49.084957950000003</v>
      </c>
      <c r="BJ222" s="1666">
        <f t="shared" si="463"/>
        <v>202.400037</v>
      </c>
      <c r="BK222" s="454">
        <f>BK459</f>
        <v>53.185766549999997</v>
      </c>
      <c r="BL222" s="454">
        <f>BL459</f>
        <v>53.279187</v>
      </c>
      <c r="BM222" s="454">
        <f>BM459</f>
        <v>48.089999999999996</v>
      </c>
      <c r="BN222" s="1666">
        <f>BN459</f>
        <v>47.071624949999993</v>
      </c>
      <c r="BO222" s="1666">
        <f t="shared" si="464"/>
        <v>201.62657849999999</v>
      </c>
      <c r="BP222" s="454">
        <f>BP459</f>
        <v>51.300108299999998</v>
      </c>
      <c r="BQ222" s="454">
        <f>BQ459</f>
        <v>53.824645349999997</v>
      </c>
      <c r="BR222" s="454">
        <f>BR459</f>
        <v>52.281824430000007</v>
      </c>
      <c r="BS222" s="1666">
        <f>BS459</f>
        <v>50.926039500000002</v>
      </c>
      <c r="BT222" s="3070">
        <f t="shared" si="465"/>
        <v>208.33261758</v>
      </c>
      <c r="BU222" s="2915">
        <f>BU459</f>
        <v>52.905431249999999</v>
      </c>
      <c r="BV222" s="2915">
        <f>BV459</f>
        <v>53.916462600736551</v>
      </c>
      <c r="BW222" s="2915">
        <f>BW459</f>
        <v>52.864204809821288</v>
      </c>
      <c r="BX222" s="2915">
        <f>BX459</f>
        <v>51.930579365408725</v>
      </c>
      <c r="BY222" s="3066">
        <f t="shared" si="466"/>
        <v>211.61667802596656</v>
      </c>
      <c r="BZ222" s="455">
        <f t="shared" ref="BZ222:CF222" si="489">BZ459</f>
        <v>220.33194950062929</v>
      </c>
      <c r="CA222" s="455">
        <f t="shared" si="489"/>
        <v>222.04027667073009</v>
      </c>
      <c r="CB222" s="455">
        <f t="shared" si="489"/>
        <v>210.36192878572578</v>
      </c>
      <c r="CC222" s="455">
        <f t="shared" si="489"/>
        <v>199.84383234643948</v>
      </c>
      <c r="CD222" s="455">
        <f t="shared" si="489"/>
        <v>203.84070899336825</v>
      </c>
      <c r="CE222" s="455">
        <f t="shared" si="489"/>
        <v>208.48716022302528</v>
      </c>
      <c r="CF222" s="455">
        <f t="shared" si="489"/>
        <v>212.07587363670038</v>
      </c>
      <c r="CG222" s="588"/>
      <c r="CH222" s="588"/>
      <c r="CI222" s="588"/>
      <c r="CJ222" s="588"/>
      <c r="CK222" s="331"/>
      <c r="CL222" s="995" t="str">
        <f t="shared" si="468"/>
        <v>Hollywood Toledo (OH)</v>
      </c>
      <c r="CM222" s="454">
        <f t="shared" si="469"/>
        <v>0</v>
      </c>
      <c r="CN222" s="454">
        <f t="shared" si="470"/>
        <v>0</v>
      </c>
      <c r="CO222" s="454">
        <f t="shared" si="471"/>
        <v>0</v>
      </c>
      <c r="CP222" s="454">
        <f t="shared" si="472"/>
        <v>0</v>
      </c>
      <c r="CQ222" s="454">
        <f t="shared" si="473"/>
        <v>0</v>
      </c>
      <c r="CR222" s="454">
        <f t="shared" si="474"/>
        <v>0</v>
      </c>
      <c r="CS222" s="454">
        <f t="shared" si="475"/>
        <v>0</v>
      </c>
      <c r="CT222" s="454">
        <f t="shared" si="476"/>
        <v>0</v>
      </c>
      <c r="CU222" s="454">
        <f t="shared" si="477"/>
        <v>123.15669845000001</v>
      </c>
      <c r="CV222" s="454">
        <f t="shared" si="478"/>
        <v>192.5351862</v>
      </c>
      <c r="CW222" s="454">
        <f t="shared" si="479"/>
        <v>192.41708449950002</v>
      </c>
      <c r="CX222" s="454">
        <f t="shared" si="480"/>
        <v>202.400037</v>
      </c>
      <c r="CY222" s="454">
        <f t="shared" si="481"/>
        <v>201.62657849999999</v>
      </c>
      <c r="CZ222" s="454">
        <f t="shared" si="482"/>
        <v>208.33261758</v>
      </c>
      <c r="DA222" s="454">
        <f t="shared" si="483"/>
        <v>211.61667802596656</v>
      </c>
      <c r="DB222" s="454">
        <f t="shared" si="483"/>
        <v>220.33194950062929</v>
      </c>
      <c r="DC222" s="1666">
        <f t="shared" si="483"/>
        <v>222.04027667073009</v>
      </c>
      <c r="DD222" s="331"/>
      <c r="DE222" s="331"/>
      <c r="DF222" s="502"/>
      <c r="DG222" s="503"/>
      <c r="DH222" s="2915"/>
      <c r="DI222" s="3213"/>
      <c r="DJ222" s="502"/>
      <c r="DK222" s="503"/>
      <c r="DL222" s="502"/>
      <c r="DM222" s="502"/>
      <c r="DN222" s="502"/>
      <c r="DO222" s="502"/>
      <c r="DP222" s="503"/>
      <c r="DQ222" s="503"/>
      <c r="DR222" s="296"/>
      <c r="DS222" s="296"/>
      <c r="DT222" s="296"/>
    </row>
    <row r="223" spans="1:130" ht="12.6" customHeight="1" outlineLevel="1" x14ac:dyDescent="0.25">
      <c r="A223" s="392" t="s">
        <v>1942</v>
      </c>
      <c r="B223" s="281"/>
      <c r="C223" s="446">
        <f>C483</f>
        <v>3.4580000000000002</v>
      </c>
      <c r="D223" s="446">
        <f>D483</f>
        <v>3.9089999999999998</v>
      </c>
      <c r="E223" s="446">
        <f>E483</f>
        <v>4.5839999999999996</v>
      </c>
      <c r="F223" s="446">
        <f>F483</f>
        <v>4.327</v>
      </c>
      <c r="G223" s="447">
        <f t="shared" si="453"/>
        <v>16.277999999999999</v>
      </c>
      <c r="H223" s="446">
        <f>H483</f>
        <v>4.0670000000000002</v>
      </c>
      <c r="I223" s="446">
        <f>I483</f>
        <v>4.7</v>
      </c>
      <c r="J223" s="446">
        <f>J483</f>
        <v>5.2009999999999996</v>
      </c>
      <c r="K223" s="446">
        <f>K483</f>
        <v>4.6269999999999998</v>
      </c>
      <c r="L223" s="447">
        <f t="shared" si="454"/>
        <v>18.594999999999999</v>
      </c>
      <c r="M223" s="446">
        <f>M483</f>
        <v>4.3869999999999996</v>
      </c>
      <c r="N223" s="446">
        <f>N483</f>
        <v>4.9210000000000003</v>
      </c>
      <c r="O223" s="446">
        <f>O483</f>
        <v>4.819</v>
      </c>
      <c r="P223" s="446">
        <f>P483</f>
        <v>4.0190000000000001</v>
      </c>
      <c r="Q223" s="447">
        <f t="shared" si="455"/>
        <v>18.146000000000001</v>
      </c>
      <c r="R223" s="446">
        <f>R483</f>
        <v>3.4740000000000002</v>
      </c>
      <c r="S223" s="446">
        <f>S483</f>
        <v>4.3410000000000002</v>
      </c>
      <c r="T223" s="446">
        <f>T483</f>
        <v>5.2169999999999996</v>
      </c>
      <c r="U223" s="446">
        <f>U483</f>
        <v>4.2409999999999997</v>
      </c>
      <c r="V223" s="447">
        <f t="shared" si="456"/>
        <v>17.273</v>
      </c>
      <c r="W223" s="446">
        <f>W483</f>
        <v>3.9849999999999999</v>
      </c>
      <c r="X223" s="446">
        <f>X483</f>
        <v>4.694</v>
      </c>
      <c r="Y223" s="446">
        <f>Y483</f>
        <v>4.8979999999999997</v>
      </c>
      <c r="Z223" s="446">
        <f>Z483</f>
        <v>3.1480000000000001</v>
      </c>
      <c r="AA223" s="447">
        <f t="shared" si="457"/>
        <v>16.725000000000001</v>
      </c>
      <c r="AB223" s="446">
        <f>AB483</f>
        <v>3.0329999999999999</v>
      </c>
      <c r="AC223" s="446">
        <f>AC483</f>
        <v>3.6739999999999999</v>
      </c>
      <c r="AD223" s="446">
        <f>AD483</f>
        <v>4.2389999999999999</v>
      </c>
      <c r="AE223" s="454">
        <f>AE483</f>
        <v>3.8410000000000002</v>
      </c>
      <c r="AF223" s="455">
        <f t="shared" si="458"/>
        <v>14.786999999999999</v>
      </c>
      <c r="AG223" s="454">
        <f>AG483</f>
        <v>3.194</v>
      </c>
      <c r="AH223" s="454">
        <f>AH483</f>
        <v>4.0119999999999996</v>
      </c>
      <c r="AI223" s="454">
        <f>AI483</f>
        <v>4.3630000000000004</v>
      </c>
      <c r="AJ223" s="454">
        <f>AJ483</f>
        <v>3.621</v>
      </c>
      <c r="AK223" s="455">
        <f t="shared" si="459"/>
        <v>15.19</v>
      </c>
      <c r="AL223" s="454">
        <f t="shared" ref="AL223:AY223" si="490">AL483</f>
        <v>3.3170000000000002</v>
      </c>
      <c r="AM223" s="454">
        <f t="shared" si="490"/>
        <v>4.0369999999999999</v>
      </c>
      <c r="AN223" s="454">
        <f t="shared" si="490"/>
        <v>4.4066300000000007</v>
      </c>
      <c r="AO223" s="454">
        <f t="shared" si="490"/>
        <v>3.6572100000000001</v>
      </c>
      <c r="AP223" s="456">
        <f t="shared" si="490"/>
        <v>15.417840000000002</v>
      </c>
      <c r="AQ223" s="456">
        <f t="shared" si="490"/>
        <v>3.38334</v>
      </c>
      <c r="AR223" s="454">
        <f t="shared" si="490"/>
        <v>4.1177400000000004</v>
      </c>
      <c r="AS223" s="454">
        <f t="shared" si="490"/>
        <v>4.4947626000000005</v>
      </c>
      <c r="AT223" s="454">
        <f t="shared" si="490"/>
        <v>3.7303542000000003</v>
      </c>
      <c r="AU223" s="455">
        <f t="shared" si="490"/>
        <v>15.7261968</v>
      </c>
      <c r="AV223" s="454">
        <f t="shared" si="490"/>
        <v>3.38334</v>
      </c>
      <c r="AW223" s="454">
        <f t="shared" si="490"/>
        <v>4.1177400000000004</v>
      </c>
      <c r="AX223" s="454">
        <f t="shared" si="490"/>
        <v>4.4947626000000005</v>
      </c>
      <c r="AY223" s="1666">
        <f t="shared" si="490"/>
        <v>3.7303542000000003</v>
      </c>
      <c r="AZ223" s="1666">
        <f t="shared" si="461"/>
        <v>15.7261968</v>
      </c>
      <c r="BA223" s="454">
        <f>BA483</f>
        <v>3.38334</v>
      </c>
      <c r="BB223" s="454">
        <f>BB483</f>
        <v>4.1177400000000004</v>
      </c>
      <c r="BC223" s="454">
        <f>BC483</f>
        <v>4.4947626000000005</v>
      </c>
      <c r="BD223" s="1666">
        <f>BD483</f>
        <v>3.7303542000000003</v>
      </c>
      <c r="BE223" s="1666">
        <f t="shared" si="462"/>
        <v>15.7261968</v>
      </c>
      <c r="BF223" s="454">
        <f>BF483</f>
        <v>3.38334</v>
      </c>
      <c r="BG223" s="454">
        <f>BG483</f>
        <v>4.1177400000000004</v>
      </c>
      <c r="BH223" s="454">
        <f>BH483</f>
        <v>4.4947626000000005</v>
      </c>
      <c r="BI223" s="1666">
        <f>BI483</f>
        <v>3.7303542000000003</v>
      </c>
      <c r="BJ223" s="1666">
        <f t="shared" si="463"/>
        <v>15.7261968</v>
      </c>
      <c r="BK223" s="454">
        <f>BK483</f>
        <v>3.38334</v>
      </c>
      <c r="BL223" s="454">
        <f>BL483</f>
        <v>4.1177400000000004</v>
      </c>
      <c r="BM223" s="454">
        <f>BM483</f>
        <v>4.4947626000000005</v>
      </c>
      <c r="BN223" s="1666">
        <f>BN483</f>
        <v>3.7303542000000003</v>
      </c>
      <c r="BO223" s="1666">
        <f t="shared" si="464"/>
        <v>15.7261968</v>
      </c>
      <c r="BP223" s="454">
        <f>BP483</f>
        <v>3.38334</v>
      </c>
      <c r="BQ223" s="454">
        <f>BQ483</f>
        <v>4.1177400000000004</v>
      </c>
      <c r="BR223" s="454">
        <f>BR483</f>
        <v>4.4947626000000005</v>
      </c>
      <c r="BS223" s="1666">
        <f>BS483</f>
        <v>3.7303542000000003</v>
      </c>
      <c r="BT223" s="3070">
        <f t="shared" si="465"/>
        <v>15.7261968</v>
      </c>
      <c r="BU223" s="2915">
        <f>BU483</f>
        <v>3.38334</v>
      </c>
      <c r="BV223" s="2915">
        <f>BV483</f>
        <v>4.1177400000000004</v>
      </c>
      <c r="BW223" s="2915"/>
      <c r="BX223" s="2915"/>
      <c r="BY223" s="3066"/>
      <c r="BZ223" s="455"/>
      <c r="CA223" s="455"/>
      <c r="CB223" s="455">
        <f t="shared" ref="CB223:CF223" si="491">CB483</f>
        <v>0</v>
      </c>
      <c r="CC223" s="455">
        <f t="shared" si="491"/>
        <v>0</v>
      </c>
      <c r="CD223" s="455">
        <f t="shared" si="491"/>
        <v>0</v>
      </c>
      <c r="CE223" s="455">
        <f t="shared" si="491"/>
        <v>0</v>
      </c>
      <c r="CF223" s="455">
        <f t="shared" si="491"/>
        <v>0</v>
      </c>
      <c r="CG223" s="588"/>
      <c r="CH223" s="588"/>
      <c r="CI223" s="588"/>
      <c r="CJ223" s="588"/>
      <c r="CK223" s="331"/>
      <c r="CL223" s="995" t="str">
        <f t="shared" si="468"/>
        <v>Casino Rama Mgmt Contract (Canada)</v>
      </c>
      <c r="CM223" s="454">
        <f t="shared" si="469"/>
        <v>16.277999999999999</v>
      </c>
      <c r="CN223" s="454">
        <f t="shared" si="470"/>
        <v>18.594999999999999</v>
      </c>
      <c r="CO223" s="454">
        <f t="shared" si="471"/>
        <v>18.146000000000001</v>
      </c>
      <c r="CP223" s="454">
        <f t="shared" si="472"/>
        <v>17.273</v>
      </c>
      <c r="CQ223" s="454">
        <f t="shared" si="473"/>
        <v>16.725000000000001</v>
      </c>
      <c r="CR223" s="454">
        <f t="shared" si="474"/>
        <v>14.786999999999999</v>
      </c>
      <c r="CS223" s="454">
        <f t="shared" si="475"/>
        <v>15.19</v>
      </c>
      <c r="CT223" s="454">
        <f t="shared" si="476"/>
        <v>15.417840000000002</v>
      </c>
      <c r="CU223" s="454">
        <f t="shared" si="477"/>
        <v>15.7261968</v>
      </c>
      <c r="CV223" s="454">
        <f t="shared" si="478"/>
        <v>15.7261968</v>
      </c>
      <c r="CW223" s="454">
        <f t="shared" si="479"/>
        <v>15.7261968</v>
      </c>
      <c r="CX223" s="454">
        <f t="shared" si="480"/>
        <v>15.7261968</v>
      </c>
      <c r="CY223" s="454">
        <f t="shared" si="481"/>
        <v>15.7261968</v>
      </c>
      <c r="CZ223" s="454">
        <f t="shared" si="482"/>
        <v>15.7261968</v>
      </c>
      <c r="DA223" s="454">
        <f t="shared" si="483"/>
        <v>0</v>
      </c>
      <c r="DB223" s="454">
        <f t="shared" si="483"/>
        <v>0</v>
      </c>
      <c r="DC223" s="1666">
        <f t="shared" si="483"/>
        <v>0</v>
      </c>
      <c r="DD223" s="331"/>
      <c r="DE223" s="331"/>
      <c r="DF223" s="502"/>
      <c r="DG223" s="503"/>
      <c r="DH223" s="2915"/>
      <c r="DI223" s="3213"/>
      <c r="DJ223" s="502"/>
      <c r="DK223" s="503"/>
      <c r="DL223" s="502"/>
      <c r="DM223" s="502"/>
      <c r="DN223" s="502"/>
      <c r="DO223" s="502"/>
      <c r="DP223" s="503"/>
      <c r="DQ223" s="503"/>
      <c r="DR223" s="296"/>
      <c r="DS223" s="296"/>
      <c r="DT223" s="296"/>
    </row>
    <row r="224" spans="1:130" ht="12" customHeight="1" outlineLevel="1" x14ac:dyDescent="0.25">
      <c r="A224" s="2605" t="s">
        <v>227</v>
      </c>
      <c r="B224" s="281"/>
      <c r="C224" s="446"/>
      <c r="D224" s="446"/>
      <c r="E224" s="446"/>
      <c r="F224" s="446"/>
      <c r="G224" s="447"/>
      <c r="H224" s="446"/>
      <c r="I224" s="446"/>
      <c r="J224" s="446"/>
      <c r="K224" s="446"/>
      <c r="L224" s="447"/>
      <c r="M224" s="446"/>
      <c r="N224" s="446"/>
      <c r="O224" s="446"/>
      <c r="P224" s="446"/>
      <c r="Q224" s="447"/>
      <c r="R224" s="446"/>
      <c r="S224" s="446"/>
      <c r="T224" s="446"/>
      <c r="U224" s="446"/>
      <c r="V224" s="447"/>
      <c r="W224" s="446"/>
      <c r="X224" s="446"/>
      <c r="Y224" s="446"/>
      <c r="Z224" s="446"/>
      <c r="AA224" s="447"/>
      <c r="AB224" s="446"/>
      <c r="AC224" s="446"/>
      <c r="AD224" s="446"/>
      <c r="AE224" s="454"/>
      <c r="AF224" s="455"/>
      <c r="AG224" s="454"/>
      <c r="AH224" s="454"/>
      <c r="AI224" s="454"/>
      <c r="AJ224" s="454"/>
      <c r="AK224" s="455"/>
      <c r="AL224" s="454"/>
      <c r="AM224" s="454"/>
      <c r="AN224" s="454"/>
      <c r="AO224" s="454"/>
      <c r="AP224" s="456"/>
      <c r="AQ224" s="456"/>
      <c r="AR224" s="454"/>
      <c r="AS224" s="454"/>
      <c r="AT224" s="454"/>
      <c r="AU224" s="455"/>
      <c r="AV224" s="454"/>
      <c r="AW224" s="454"/>
      <c r="AX224" s="454"/>
      <c r="AY224" s="1666"/>
      <c r="AZ224" s="1666"/>
      <c r="BA224" s="454">
        <f>BA504</f>
        <v>0</v>
      </c>
      <c r="BB224" s="454">
        <f>BB504</f>
        <v>0</v>
      </c>
      <c r="BC224" s="454">
        <f>BC504</f>
        <v>8.3145550000000004</v>
      </c>
      <c r="BD224" s="1666">
        <f>BD504</f>
        <v>21.757428000000001</v>
      </c>
      <c r="BE224" s="1666">
        <f>SUM(BA224:BD224)</f>
        <v>30.071983000000003</v>
      </c>
      <c r="BF224" s="454">
        <f>BF504</f>
        <v>24.137999999999998</v>
      </c>
      <c r="BG224" s="454">
        <f>BG504</f>
        <v>24.651056000000001</v>
      </c>
      <c r="BH224" s="454">
        <f>BH504</f>
        <v>24.594919999999998</v>
      </c>
      <c r="BI224" s="1666">
        <f>BI504</f>
        <v>24.488244000000002</v>
      </c>
      <c r="BJ224" s="1666">
        <f>SUM(BF224:BI224)</f>
        <v>97.872219999999999</v>
      </c>
      <c r="BK224" s="454">
        <f>BK504</f>
        <v>25.438316275333523</v>
      </c>
      <c r="BL224" s="454">
        <f>BL504</f>
        <v>25.515928849973879</v>
      </c>
      <c r="BM224" s="454">
        <f>BM504</f>
        <v>25.625735126594588</v>
      </c>
      <c r="BN224" s="1666">
        <f>BN504</f>
        <v>25.723315895446831</v>
      </c>
      <c r="BO224" s="1666">
        <f t="shared" si="464"/>
        <v>102.30329614734882</v>
      </c>
      <c r="BP224" s="454">
        <f>BP504</f>
        <v>28.920739496168039</v>
      </c>
      <c r="BQ224" s="454">
        <f>BQ504</f>
        <v>27.99901734368984</v>
      </c>
      <c r="BR224" s="454">
        <f>BR504</f>
        <v>28.081641801519986</v>
      </c>
      <c r="BS224" s="1666">
        <f>BS504</f>
        <v>28.600576678452462</v>
      </c>
      <c r="BT224" s="3070">
        <f t="shared" si="465"/>
        <v>113.60197531983033</v>
      </c>
      <c r="BU224" s="2915">
        <f>BU504</f>
        <v>30.946153846153848</v>
      </c>
      <c r="BV224" s="2915">
        <f>BV504</f>
        <v>29.16011014150947</v>
      </c>
      <c r="BW224" s="2915">
        <f>BW504</f>
        <v>29.190466079904684</v>
      </c>
      <c r="BX224" s="2915">
        <f>BX504</f>
        <v>29.668830513440131</v>
      </c>
      <c r="BY224" s="3066">
        <f t="shared" si="466"/>
        <v>118.96556058100813</v>
      </c>
      <c r="BZ224" s="455">
        <f t="shared" ref="BZ224:CF224" si="492">BZ504</f>
        <v>121.07875350326633</v>
      </c>
      <c r="CA224" s="455">
        <f t="shared" si="492"/>
        <v>122.44350876749614</v>
      </c>
      <c r="CB224" s="455">
        <f t="shared" si="492"/>
        <v>116.74946279651159</v>
      </c>
      <c r="CC224" s="455">
        <f t="shared" si="492"/>
        <v>111.62112399017681</v>
      </c>
      <c r="CD224" s="455">
        <f t="shared" si="492"/>
        <v>113.56989273658402</v>
      </c>
      <c r="CE224" s="455">
        <f t="shared" si="492"/>
        <v>115.83537644747585</v>
      </c>
      <c r="CF224" s="455">
        <f t="shared" si="492"/>
        <v>117.58513586168147</v>
      </c>
      <c r="CG224" s="588"/>
      <c r="CH224" s="588"/>
      <c r="CI224" s="588"/>
      <c r="CJ224" s="588"/>
      <c r="CK224" s="331"/>
      <c r="CL224" s="995" t="str">
        <f t="shared" si="468"/>
        <v>Hollywood Dayton</v>
      </c>
      <c r="CM224" s="454"/>
      <c r="CN224" s="454"/>
      <c r="CO224" s="454"/>
      <c r="CP224" s="454"/>
      <c r="CQ224" s="454"/>
      <c r="CR224" s="454"/>
      <c r="CS224" s="454"/>
      <c r="CT224" s="454"/>
      <c r="CU224" s="454"/>
      <c r="CV224" s="454"/>
      <c r="CW224" s="454"/>
      <c r="CX224" s="454"/>
      <c r="CY224" s="454"/>
      <c r="CZ224" s="454"/>
      <c r="DA224" s="454"/>
      <c r="DB224" s="454"/>
      <c r="DC224" s="1666"/>
      <c r="DD224" s="331"/>
      <c r="DE224" s="331"/>
      <c r="DF224" s="502"/>
      <c r="DG224" s="503"/>
      <c r="DH224" s="2915"/>
      <c r="DI224" s="3213"/>
      <c r="DJ224" s="502"/>
      <c r="DK224" s="503"/>
      <c r="DL224" s="502"/>
      <c r="DM224" s="502"/>
      <c r="DN224" s="502"/>
      <c r="DO224" s="502"/>
      <c r="DP224" s="503"/>
      <c r="DQ224" s="503"/>
      <c r="DR224" s="296"/>
      <c r="DS224" s="296"/>
      <c r="DT224" s="296"/>
    </row>
    <row r="225" spans="1:130" ht="12.6" customHeight="1" outlineLevel="1" x14ac:dyDescent="0.25">
      <c r="A225" s="2605" t="s">
        <v>228</v>
      </c>
      <c r="B225" s="281"/>
      <c r="C225" s="446"/>
      <c r="D225" s="446"/>
      <c r="E225" s="446"/>
      <c r="F225" s="446"/>
      <c r="G225" s="447"/>
      <c r="H225" s="446"/>
      <c r="I225" s="446"/>
      <c r="J225" s="446"/>
      <c r="K225" s="446"/>
      <c r="L225" s="447"/>
      <c r="M225" s="446"/>
      <c r="N225" s="446"/>
      <c r="O225" s="446"/>
      <c r="P225" s="446"/>
      <c r="Q225" s="447"/>
      <c r="R225" s="446"/>
      <c r="S225" s="446"/>
      <c r="T225" s="446"/>
      <c r="U225" s="446"/>
      <c r="V225" s="447"/>
      <c r="W225" s="446"/>
      <c r="X225" s="446"/>
      <c r="Y225" s="446"/>
      <c r="Z225" s="446"/>
      <c r="AA225" s="447"/>
      <c r="AB225" s="446"/>
      <c r="AC225" s="446"/>
      <c r="AD225" s="446"/>
      <c r="AE225" s="454"/>
      <c r="AF225" s="455"/>
      <c r="AG225" s="454"/>
      <c r="AH225" s="454"/>
      <c r="AI225" s="454"/>
      <c r="AJ225" s="454"/>
      <c r="AK225" s="455"/>
      <c r="AL225" s="454"/>
      <c r="AM225" s="454"/>
      <c r="AN225" s="454"/>
      <c r="AO225" s="454"/>
      <c r="AP225" s="456"/>
      <c r="AQ225" s="456"/>
      <c r="AR225" s="454"/>
      <c r="AS225" s="454"/>
      <c r="AT225" s="454"/>
      <c r="AU225" s="455"/>
      <c r="AV225" s="454"/>
      <c r="AW225" s="454"/>
      <c r="AX225" s="454"/>
      <c r="AY225" s="1666"/>
      <c r="AZ225" s="1666"/>
      <c r="BA225" s="454">
        <f>BA532</f>
        <v>0</v>
      </c>
      <c r="BB225" s="454">
        <f>BB532</f>
        <v>0</v>
      </c>
      <c r="BC225" s="454">
        <f>BC532</f>
        <v>6.18649</v>
      </c>
      <c r="BD225" s="1666">
        <f>BD532</f>
        <v>25.257778999999999</v>
      </c>
      <c r="BE225" s="1666">
        <f>SUM(BA225:BD225)</f>
        <v>31.444268999999998</v>
      </c>
      <c r="BF225" s="454">
        <f>BF532</f>
        <v>23.730999999999998</v>
      </c>
      <c r="BG225" s="454">
        <f>BG532</f>
        <v>25.168319</v>
      </c>
      <c r="BH225" s="454">
        <f>BH532</f>
        <v>26.177028</v>
      </c>
      <c r="BI225" s="1666">
        <f>BI532</f>
        <v>26.048952</v>
      </c>
      <c r="BJ225" s="1666">
        <f>SUM(BF225:BI225)</f>
        <v>101.125299</v>
      </c>
      <c r="BK225" s="454">
        <f>BK532</f>
        <v>27.521565046431363</v>
      </c>
      <c r="BL225" s="454">
        <f>BL532</f>
        <v>27.202845619911741</v>
      </c>
      <c r="BM225" s="454">
        <f>BM532</f>
        <v>27.392895785205692</v>
      </c>
      <c r="BN225" s="1666">
        <f>BN532</f>
        <v>27.528355633746472</v>
      </c>
      <c r="BO225" s="1666">
        <f t="shared" si="464"/>
        <v>109.64566208529527</v>
      </c>
      <c r="BP225" s="454">
        <f>BP532</f>
        <v>30.851495777690857</v>
      </c>
      <c r="BQ225" s="454">
        <f>BQ532</f>
        <v>31.123315701865902</v>
      </c>
      <c r="BR225" s="454">
        <f>BR532</f>
        <v>30.411368777042568</v>
      </c>
      <c r="BS225" s="1666">
        <f>BS532</f>
        <v>30.923241054506946</v>
      </c>
      <c r="BT225" s="3070">
        <f t="shared" si="465"/>
        <v>123.30942131110628</v>
      </c>
      <c r="BU225" s="2915">
        <f>BU532</f>
        <v>32.422097902995723</v>
      </c>
      <c r="BV225" s="2915">
        <f>BV532</f>
        <v>33.077959571514853</v>
      </c>
      <c r="BW225" s="2915">
        <f>BW532</f>
        <v>31.627148628040118</v>
      </c>
      <c r="BX225" s="2915">
        <f>BX532</f>
        <v>31.721402385735811</v>
      </c>
      <c r="BY225" s="3066">
        <f t="shared" si="466"/>
        <v>128.84860848828652</v>
      </c>
      <c r="BZ225" s="455">
        <f t="shared" ref="BZ225:CF225" si="493">BZ532</f>
        <v>130.01181262828882</v>
      </c>
      <c r="CA225" s="455">
        <f t="shared" si="493"/>
        <v>130.33762428360902</v>
      </c>
      <c r="CB225" s="455">
        <f t="shared" si="493"/>
        <v>124.06574991869493</v>
      </c>
      <c r="CC225" s="455">
        <f t="shared" si="493"/>
        <v>118.41699034458071</v>
      </c>
      <c r="CD225" s="455">
        <f t="shared" si="493"/>
        <v>120.56351898274411</v>
      </c>
      <c r="CE225" s="455">
        <f t="shared" si="493"/>
        <v>123.05890263136189</v>
      </c>
      <c r="CF225" s="455">
        <f t="shared" si="493"/>
        <v>124.98622658881595</v>
      </c>
      <c r="CG225" s="588"/>
      <c r="CH225" s="588"/>
      <c r="CI225" s="588"/>
      <c r="CJ225" s="588"/>
      <c r="CK225" s="331"/>
      <c r="CL225" s="995"/>
      <c r="CM225" s="454"/>
      <c r="CN225" s="454"/>
      <c r="CO225" s="454"/>
      <c r="CP225" s="454"/>
      <c r="CQ225" s="454"/>
      <c r="CR225" s="454"/>
      <c r="CS225" s="454"/>
      <c r="CT225" s="454"/>
      <c r="CU225" s="454"/>
      <c r="CV225" s="454"/>
      <c r="CW225" s="454"/>
      <c r="CX225" s="454"/>
      <c r="CY225" s="454"/>
      <c r="CZ225" s="454"/>
      <c r="DA225" s="454"/>
      <c r="DB225" s="454"/>
      <c r="DC225" s="1666"/>
      <c r="DD225" s="331"/>
      <c r="DE225" s="331"/>
      <c r="DF225" s="502"/>
      <c r="DG225" s="503"/>
      <c r="DH225" s="2915"/>
      <c r="DI225" s="3213"/>
      <c r="DJ225" s="502"/>
      <c r="DK225" s="503"/>
      <c r="DL225" s="502"/>
      <c r="DM225" s="502"/>
      <c r="DN225" s="502"/>
      <c r="DO225" s="502"/>
      <c r="DP225" s="503"/>
      <c r="DQ225" s="503"/>
      <c r="DR225" s="296"/>
      <c r="DS225" s="296"/>
      <c r="DT225" s="296"/>
    </row>
    <row r="226" spans="1:130" s="1049" customFormat="1" ht="12" customHeight="1" outlineLevel="1" x14ac:dyDescent="0.25">
      <c r="A226" s="2725" t="s">
        <v>204</v>
      </c>
      <c r="B226" s="428"/>
      <c r="C226" s="454"/>
      <c r="D226" s="454"/>
      <c r="E226" s="454"/>
      <c r="F226" s="454"/>
      <c r="G226" s="455"/>
      <c r="H226" s="454"/>
      <c r="I226" s="454"/>
      <c r="J226" s="454"/>
      <c r="K226" s="454"/>
      <c r="L226" s="455"/>
      <c r="M226" s="454"/>
      <c r="N226" s="454"/>
      <c r="O226" s="454"/>
      <c r="P226" s="454"/>
      <c r="Q226" s="455"/>
      <c r="R226" s="454"/>
      <c r="S226" s="454"/>
      <c r="T226" s="454"/>
      <c r="U226" s="454"/>
      <c r="V226" s="455"/>
      <c r="W226" s="454"/>
      <c r="X226" s="454"/>
      <c r="Y226" s="454"/>
      <c r="Z226" s="454"/>
      <c r="AA226" s="455"/>
      <c r="AB226" s="454"/>
      <c r="AC226" s="454"/>
      <c r="AD226" s="454"/>
      <c r="AE226" s="454"/>
      <c r="AF226" s="455"/>
      <c r="AG226" s="454"/>
      <c r="AH226" s="454"/>
      <c r="AI226" s="454"/>
      <c r="AJ226" s="454"/>
      <c r="AK226" s="455"/>
      <c r="AL226" s="454"/>
      <c r="AM226" s="454"/>
      <c r="AN226" s="454"/>
      <c r="AO226" s="454"/>
      <c r="AP226" s="456"/>
      <c r="AQ226" s="456"/>
      <c r="AR226" s="454"/>
      <c r="AS226" s="454"/>
      <c r="AT226" s="454"/>
      <c r="AU226" s="455"/>
      <c r="AV226" s="454"/>
      <c r="AW226" s="454"/>
      <c r="AX226" s="454"/>
      <c r="AY226" s="454"/>
      <c r="AZ226" s="455"/>
      <c r="BA226" s="454"/>
      <c r="BB226" s="454"/>
      <c r="BC226" s="454"/>
      <c r="BD226" s="1666"/>
      <c r="BE226" s="1666"/>
      <c r="BF226" s="454">
        <f t="shared" ref="BF226:CF226" si="494">+BF563</f>
        <v>0</v>
      </c>
      <c r="BG226" s="454">
        <f t="shared" si="494"/>
        <v>7.1533471799999999</v>
      </c>
      <c r="BH226" s="454">
        <f t="shared" si="494"/>
        <v>47.171960286749993</v>
      </c>
      <c r="BI226" s="1666">
        <f t="shared" si="494"/>
        <v>35.659938742999998</v>
      </c>
      <c r="BJ226" s="455">
        <f t="shared" si="494"/>
        <v>89.985246209749988</v>
      </c>
      <c r="BK226" s="454">
        <f t="shared" si="494"/>
        <v>38.559676807743003</v>
      </c>
      <c r="BL226" s="454">
        <f t="shared" si="494"/>
        <v>39.408820607573993</v>
      </c>
      <c r="BM226" s="454">
        <f t="shared" si="494"/>
        <v>40.528565627157001</v>
      </c>
      <c r="BN226" s="1666">
        <f t="shared" si="494"/>
        <v>37.881524999999996</v>
      </c>
      <c r="BO226" s="455">
        <f t="shared" si="494"/>
        <v>156.37858804247401</v>
      </c>
      <c r="BP226" s="454">
        <f t="shared" si="494"/>
        <v>38.673680239427995</v>
      </c>
      <c r="BQ226" s="454">
        <f t="shared" si="494"/>
        <v>43.164688065840004</v>
      </c>
      <c r="BR226" s="454">
        <f t="shared" si="494"/>
        <v>44.887713947963995</v>
      </c>
      <c r="BS226" s="1666">
        <f t="shared" si="494"/>
        <v>39.475768946118002</v>
      </c>
      <c r="BT226" s="3070">
        <f t="shared" si="494"/>
        <v>166.20185119935002</v>
      </c>
      <c r="BU226" s="2915">
        <f t="shared" si="494"/>
        <v>42.509160716861999</v>
      </c>
      <c r="BV226" s="2915">
        <f>+BV563</f>
        <v>44.25753948641605</v>
      </c>
      <c r="BW226" s="2915">
        <f>+BW563</f>
        <v>46.234345366402913</v>
      </c>
      <c r="BX226" s="2915">
        <f>+BX563</f>
        <v>40.660042014501542</v>
      </c>
      <c r="BY226" s="3066">
        <f>+BY563</f>
        <v>173.6610875841825</v>
      </c>
      <c r="BZ226" s="455">
        <f t="shared" si="494"/>
        <v>137.71300536749141</v>
      </c>
      <c r="CA226" s="455">
        <f t="shared" si="494"/>
        <v>101.8051875</v>
      </c>
      <c r="CB226" s="455">
        <f t="shared" si="494"/>
        <v>98.481220312499985</v>
      </c>
      <c r="CC226" s="455">
        <f t="shared" si="494"/>
        <v>95.526783703124991</v>
      </c>
      <c r="CD226" s="455">
        <f t="shared" si="494"/>
        <v>96.482051540156249</v>
      </c>
      <c r="CE226" s="455">
        <f t="shared" si="494"/>
        <v>97.713849787216887</v>
      </c>
      <c r="CF226" s="455">
        <f t="shared" si="494"/>
        <v>98.421340776113382</v>
      </c>
      <c r="CG226" s="588"/>
      <c r="CH226" s="588"/>
      <c r="CI226" s="588"/>
      <c r="CJ226" s="588"/>
      <c r="CK226" s="331"/>
      <c r="CL226" s="995" t="str">
        <f t="shared" ref="CL226:CL248" si="495">A226</f>
        <v>Plainridge Park Casino (MA)</v>
      </c>
      <c r="CM226" s="454"/>
      <c r="CN226" s="454"/>
      <c r="CO226" s="454"/>
      <c r="CP226" s="454"/>
      <c r="CQ226" s="454"/>
      <c r="CR226" s="454"/>
      <c r="CS226" s="454"/>
      <c r="CT226" s="454"/>
      <c r="CU226" s="454"/>
      <c r="CV226" s="454"/>
      <c r="CW226" s="454"/>
      <c r="CX226" s="454"/>
      <c r="CY226" s="454"/>
      <c r="CZ226" s="454"/>
      <c r="DA226" s="454"/>
      <c r="DB226" s="454"/>
      <c r="DC226" s="1666"/>
      <c r="DD226" s="331"/>
      <c r="DE226" s="331"/>
      <c r="DF226" s="502"/>
      <c r="DG226" s="503"/>
      <c r="DH226" s="2915"/>
      <c r="DI226" s="3213"/>
      <c r="DJ226" s="502"/>
      <c r="DK226" s="503"/>
      <c r="DL226" s="502"/>
      <c r="DM226" s="502"/>
      <c r="DN226" s="502"/>
      <c r="DO226" s="502"/>
      <c r="DP226" s="503"/>
      <c r="DQ226" s="503"/>
      <c r="DR226" s="296"/>
      <c r="DS226" s="296"/>
      <c r="DT226" s="296"/>
      <c r="DU226"/>
      <c r="DV226"/>
      <c r="DW226"/>
      <c r="DX226"/>
      <c r="DY226"/>
      <c r="DZ226"/>
    </row>
    <row r="227" spans="1:130" ht="12.6" customHeight="1" outlineLevel="1" x14ac:dyDescent="0.25">
      <c r="A227" s="392" t="s">
        <v>1787</v>
      </c>
      <c r="B227" s="281"/>
      <c r="C227" s="446">
        <f>C591</f>
        <v>0</v>
      </c>
      <c r="D227" s="446">
        <f>D591</f>
        <v>0</v>
      </c>
      <c r="E227" s="446">
        <f>E591</f>
        <v>0</v>
      </c>
      <c r="F227" s="446">
        <f>F591</f>
        <v>0</v>
      </c>
      <c r="G227" s="447">
        <f>SUM(C227:F227)</f>
        <v>0</v>
      </c>
      <c r="H227" s="446">
        <f>H591</f>
        <v>0</v>
      </c>
      <c r="I227" s="446">
        <f>I591</f>
        <v>0</v>
      </c>
      <c r="J227" s="446">
        <f>J591</f>
        <v>0</v>
      </c>
      <c r="K227" s="446">
        <f>K591</f>
        <v>0</v>
      </c>
      <c r="L227" s="447">
        <f>SUM(H227:K227)</f>
        <v>0</v>
      </c>
      <c r="M227" s="446">
        <f>M591</f>
        <v>0</v>
      </c>
      <c r="N227" s="446">
        <f>N591</f>
        <v>0</v>
      </c>
      <c r="O227" s="446">
        <f>O591</f>
        <v>0</v>
      </c>
      <c r="P227" s="446">
        <f>P591</f>
        <v>0</v>
      </c>
      <c r="Q227" s="447">
        <f>SUM(M227:P227)</f>
        <v>0</v>
      </c>
      <c r="R227" s="446">
        <f>R591</f>
        <v>0</v>
      </c>
      <c r="S227" s="446">
        <f>S591</f>
        <v>0</v>
      </c>
      <c r="T227" s="446">
        <f>T591</f>
        <v>0</v>
      </c>
      <c r="U227" s="446">
        <f>U591</f>
        <v>0</v>
      </c>
      <c r="V227" s="447">
        <f>SUM(R227:U227)</f>
        <v>0</v>
      </c>
      <c r="W227" s="446">
        <f>W591</f>
        <v>0</v>
      </c>
      <c r="X227" s="446">
        <f>X591</f>
        <v>0</v>
      </c>
      <c r="Y227" s="446">
        <f>Y591</f>
        <v>0</v>
      </c>
      <c r="Z227" s="446">
        <f>Z591</f>
        <v>0</v>
      </c>
      <c r="AA227" s="447">
        <f>SUM(W227:Z227)</f>
        <v>0</v>
      </c>
      <c r="AB227" s="446">
        <f>AB591</f>
        <v>0</v>
      </c>
      <c r="AC227" s="446">
        <f>AC591</f>
        <v>0</v>
      </c>
      <c r="AD227" s="446">
        <f>AD591</f>
        <v>0</v>
      </c>
      <c r="AE227" s="454">
        <f>AE591</f>
        <v>0</v>
      </c>
      <c r="AF227" s="455">
        <f>SUM(AB227:AE227)</f>
        <v>0</v>
      </c>
      <c r="AG227" s="454">
        <f>AG591</f>
        <v>0</v>
      </c>
      <c r="AH227" s="454">
        <f>AH591</f>
        <v>0</v>
      </c>
      <c r="AI227" s="454">
        <f>AI591</f>
        <v>2.2290000000000001</v>
      </c>
      <c r="AJ227" s="454">
        <f>AJ591</f>
        <v>26.881</v>
      </c>
      <c r="AK227" s="455">
        <f>SUM(AG227:AJ227)</f>
        <v>29.11</v>
      </c>
      <c r="AL227" s="454">
        <f>AL591</f>
        <v>27.754999999999999</v>
      </c>
      <c r="AM227" s="454">
        <f>AM591</f>
        <v>29.59</v>
      </c>
      <c r="AN227" s="454">
        <f>AN591</f>
        <v>29.14979052</v>
      </c>
      <c r="AO227" s="454">
        <f>AO591</f>
        <v>28.792394560000002</v>
      </c>
      <c r="AP227" s="456">
        <f>SUM(AL227:AO227)</f>
        <v>115.28718508</v>
      </c>
      <c r="AQ227" s="456">
        <f>AQ591</f>
        <v>35.090889952855122</v>
      </c>
      <c r="AR227" s="454">
        <f>AR591</f>
        <v>29.875217755935346</v>
      </c>
      <c r="AS227" s="454">
        <f>AS591</f>
        <v>20.168587374740088</v>
      </c>
      <c r="AT227" s="454">
        <f>AT591</f>
        <v>17.531260710216504</v>
      </c>
      <c r="AU227" s="455">
        <f>SUM(AQ227:AT227)</f>
        <v>102.66595579374706</v>
      </c>
      <c r="AV227" s="454">
        <f>AV591</f>
        <v>21.835276376474898</v>
      </c>
      <c r="AW227" s="454">
        <f>AW591</f>
        <v>25.76212431954972</v>
      </c>
      <c r="AX227" s="454">
        <f>AX591</f>
        <v>22.678966083553281</v>
      </c>
      <c r="AY227" s="1666">
        <f>AY591</f>
        <v>8.0956505925580533</v>
      </c>
      <c r="AZ227" s="1666">
        <f>SUM(AV227:AY227)</f>
        <v>78.372017372135957</v>
      </c>
      <c r="BA227" s="454">
        <f>BA591</f>
        <v>0</v>
      </c>
      <c r="BB227" s="454">
        <f>BB591</f>
        <v>0</v>
      </c>
      <c r="BC227" s="454">
        <f>BC591</f>
        <v>0</v>
      </c>
      <c r="BD227" s="1666">
        <f>BD591</f>
        <v>0</v>
      </c>
      <c r="BE227" s="1666">
        <f>SUM(BA227:BD227)</f>
        <v>0</v>
      </c>
      <c r="BF227" s="454">
        <f>BF591</f>
        <v>0</v>
      </c>
      <c r="BG227" s="454">
        <f>BG591</f>
        <v>0</v>
      </c>
      <c r="BH227" s="454">
        <f>BH591</f>
        <v>0</v>
      </c>
      <c r="BI227" s="1666">
        <f>BI591</f>
        <v>0</v>
      </c>
      <c r="BJ227" s="1666">
        <f>SUM(BF227:BI227)</f>
        <v>0</v>
      </c>
      <c r="BK227" s="454">
        <f>BK591</f>
        <v>0</v>
      </c>
      <c r="BL227" s="454">
        <f>BL591</f>
        <v>0</v>
      </c>
      <c r="BM227" s="454">
        <f>BM591</f>
        <v>0</v>
      </c>
      <c r="BN227" s="1666">
        <f>BN591</f>
        <v>0</v>
      </c>
      <c r="BO227" s="1666">
        <f>SUM(BK227:BN227)</f>
        <v>0</v>
      </c>
      <c r="BP227" s="454">
        <f>BP591</f>
        <v>0</v>
      </c>
      <c r="BQ227" s="454">
        <f>BQ591</f>
        <v>0</v>
      </c>
      <c r="BR227" s="454">
        <f>BR591</f>
        <v>0</v>
      </c>
      <c r="BS227" s="1666">
        <f>BS591</f>
        <v>0</v>
      </c>
      <c r="BT227" s="3070">
        <f>SUM(BP227:BS227)</f>
        <v>0</v>
      </c>
      <c r="BU227" s="2915">
        <f>BU591</f>
        <v>0</v>
      </c>
      <c r="BV227" s="2915">
        <f>BV591</f>
        <v>0</v>
      </c>
      <c r="BW227" s="2915">
        <f>BW591</f>
        <v>0</v>
      </c>
      <c r="BX227" s="2915">
        <f>BX591</f>
        <v>0</v>
      </c>
      <c r="BY227" s="3066">
        <f>SUM(BU227:BX227)</f>
        <v>0</v>
      </c>
      <c r="BZ227" s="455">
        <f t="shared" ref="BZ227:CF227" si="496">BZ591</f>
        <v>0</v>
      </c>
      <c r="CA227" s="455">
        <f t="shared" si="496"/>
        <v>0</v>
      </c>
      <c r="CB227" s="455">
        <f t="shared" si="496"/>
        <v>0</v>
      </c>
      <c r="CC227" s="455">
        <f t="shared" si="496"/>
        <v>0</v>
      </c>
      <c r="CD227" s="455">
        <f t="shared" si="496"/>
        <v>0</v>
      </c>
      <c r="CE227" s="455">
        <f t="shared" si="496"/>
        <v>0</v>
      </c>
      <c r="CF227" s="455">
        <f t="shared" si="496"/>
        <v>0</v>
      </c>
      <c r="CG227" s="964"/>
      <c r="CH227" s="964"/>
      <c r="CI227" s="964"/>
      <c r="CJ227" s="964"/>
      <c r="CK227" s="331"/>
      <c r="CL227" s="995" t="str">
        <f t="shared" si="495"/>
        <v>Hollywood Perryville (MD)</v>
      </c>
      <c r="CM227" s="454">
        <f>G227</f>
        <v>0</v>
      </c>
      <c r="CN227" s="454">
        <f>L227</f>
        <v>0</v>
      </c>
      <c r="CO227" s="454">
        <f>Q227</f>
        <v>0</v>
      </c>
      <c r="CP227" s="454">
        <f>V227</f>
        <v>0</v>
      </c>
      <c r="CQ227" s="454">
        <f>AA227</f>
        <v>0</v>
      </c>
      <c r="CR227" s="454">
        <f>AF227</f>
        <v>0</v>
      </c>
      <c r="CS227" s="454">
        <f>AK227</f>
        <v>29.11</v>
      </c>
      <c r="CT227" s="454">
        <f>AP227</f>
        <v>115.28718508</v>
      </c>
      <c r="CU227" s="454">
        <f>AU227</f>
        <v>102.66595579374706</v>
      </c>
      <c r="CV227" s="454">
        <f>AZ227</f>
        <v>78.372017372135957</v>
      </c>
      <c r="CW227" s="454">
        <f>BE227</f>
        <v>0</v>
      </c>
      <c r="CX227" s="454">
        <f>BJ227</f>
        <v>0</v>
      </c>
      <c r="CY227" s="454">
        <f>BO227</f>
        <v>0</v>
      </c>
      <c r="CZ227" s="454">
        <f>BT227</f>
        <v>0</v>
      </c>
      <c r="DA227" s="454">
        <f t="shared" ref="DA227:DC228" si="497">BY227</f>
        <v>0</v>
      </c>
      <c r="DB227" s="454">
        <f t="shared" si="497"/>
        <v>0</v>
      </c>
      <c r="DC227" s="1666">
        <f t="shared" si="497"/>
        <v>0</v>
      </c>
      <c r="DD227" s="331"/>
      <c r="DE227" s="331"/>
      <c r="DF227" s="502"/>
      <c r="DG227" s="503"/>
      <c r="DH227" s="2915"/>
      <c r="DI227" s="3213"/>
      <c r="DJ227" s="502"/>
      <c r="DK227" s="503"/>
      <c r="DL227" s="502"/>
      <c r="DM227" s="502"/>
      <c r="DN227" s="502"/>
      <c r="DO227" s="502"/>
      <c r="DP227" s="503"/>
      <c r="DQ227" s="503"/>
      <c r="DR227" s="296"/>
      <c r="DS227" s="296"/>
      <c r="DT227" s="296"/>
    </row>
    <row r="228" spans="1:130" ht="12.6" customHeight="1" outlineLevel="1" x14ac:dyDescent="0.25">
      <c r="A228" s="2605" t="s">
        <v>208</v>
      </c>
      <c r="B228" s="281"/>
      <c r="C228" s="430"/>
      <c r="D228" s="430"/>
      <c r="E228" s="430"/>
      <c r="F228" s="430"/>
      <c r="G228" s="481"/>
      <c r="H228" s="430"/>
      <c r="I228" s="430"/>
      <c r="J228" s="430"/>
      <c r="K228" s="430"/>
      <c r="L228" s="481"/>
      <c r="M228" s="430"/>
      <c r="N228" s="430"/>
      <c r="O228" s="430"/>
      <c r="P228" s="430"/>
      <c r="Q228" s="481"/>
      <c r="R228" s="430"/>
      <c r="S228" s="430"/>
      <c r="T228" s="430"/>
      <c r="U228" s="430"/>
      <c r="V228" s="481"/>
      <c r="W228" s="509"/>
      <c r="X228" s="509"/>
      <c r="Y228" s="509"/>
      <c r="Z228" s="509"/>
      <c r="AA228" s="510"/>
      <c r="AB228" s="509"/>
      <c r="AC228" s="509"/>
      <c r="AD228" s="509"/>
      <c r="AE228" s="430"/>
      <c r="AF228" s="481"/>
      <c r="AG228" s="430"/>
      <c r="AH228" s="430"/>
      <c r="AI228" s="430"/>
      <c r="AJ228" s="430"/>
      <c r="AK228" s="481"/>
      <c r="AL228" s="2080"/>
      <c r="AM228" s="2080"/>
      <c r="AN228" s="2080"/>
      <c r="AO228" s="2080"/>
      <c r="AP228" s="481"/>
      <c r="AQ228" s="2083"/>
      <c r="AR228" s="2080"/>
      <c r="AS228" s="2080"/>
      <c r="AT228" s="2080"/>
      <c r="AU228" s="481"/>
      <c r="AV228" s="2080">
        <f>AV9-(AV218+AV219+AV220+AV243+AV221+AV222+AV223+AV224+AV226+AV227)</f>
        <v>6.3682426106648791</v>
      </c>
      <c r="AW228" s="2080">
        <f>AW9-(AW218+AW219+AW220+AW243+AW221+AW222+AW223+AW224+AW226+AW227)</f>
        <v>0.79172623322438085</v>
      </c>
      <c r="AX228" s="2080">
        <f>AX9-(AX218+AX219+AX220+AX243+AX221+AX222+AX223+AX224+AX226+AX227)</f>
        <v>-3.2923426540590981</v>
      </c>
      <c r="AY228" s="2080">
        <f>AY9-(AY218+AY219+AY220+AY243+AY221+AY222+AY223+AY224+AY226+AY227)</f>
        <v>1.7341266603266945</v>
      </c>
      <c r="AZ228" s="455">
        <f>SUM(AV228:AY228)</f>
        <v>5.6017528501568563</v>
      </c>
      <c r="BA228" s="2080">
        <f>BA9-(BA218+BA219+BA220+BA221+BA222+BA223+BA224+BA226+BA227+BA225)</f>
        <v>4.5116089585659438</v>
      </c>
      <c r="BB228" s="2080">
        <f>BB9-(BB218+BB219+BB220+BB221+BB222+BB223+BB224+BB226+BB227+BB225)</f>
        <v>3.1956778107942228</v>
      </c>
      <c r="BC228" s="2080">
        <f>BC9-(BC218+BC219+BC220+BC221+BC222+BC223+BC224+BC226+BC227+BC225)</f>
        <v>1.1644477639293882</v>
      </c>
      <c r="BD228" s="2080">
        <f>BD9-(BD218+BD219+BD220+BD221+BD222+BD223+BD224+BD226+BD227+BD225)</f>
        <v>2.1719173618383252</v>
      </c>
      <c r="BE228" s="455">
        <f>SUM(BA228:BD228)</f>
        <v>11.04365189512788</v>
      </c>
      <c r="BF228" s="2080">
        <f>BF9-(BF218+BF219+BF220+BF221+BF222+BF223+BF224+BF226+BF227+BF225)</f>
        <v>0.85357187347381114</v>
      </c>
      <c r="BG228" s="2080">
        <f>BG9-(BG218+BG219+BG220+BG221+BG222+BG223+BG224+BG226+BG227+BG225)</f>
        <v>1.8916474013798279</v>
      </c>
      <c r="BH228" s="2080">
        <f>BH9-(BH218+BH219+BH220+BH221+BH222+BH223+BH224+BH226+BH227+BH225)</f>
        <v>-1.3587958547785774</v>
      </c>
      <c r="BI228" s="2080">
        <f>BI9-(BI218+BI219+BI220+BI221+BI222+BI223+BI224+BI226+BI227+BI225)</f>
        <v>0.70871635398748367</v>
      </c>
      <c r="BJ228" s="455">
        <f>SUM(BF228:BI228)</f>
        <v>2.0951397740625453</v>
      </c>
      <c r="BK228" s="2080">
        <f>BK9-(BK218+BK219+BK220+BK221+BK222+BK223+BK224+BK226+BK227+BK225)</f>
        <v>0.82127320397017911</v>
      </c>
      <c r="BL228" s="2080">
        <f>BL9-(BL218+BL219+BL220+BL221+BL222+BL223+BL224+BL226+BL227+BL225)</f>
        <v>-0.13402191726669344</v>
      </c>
      <c r="BM228" s="2080">
        <f>BM9-(BM218+BM219+BM220+BM221+BM222+BM223+BM224+BM226+BM227+BM225)</f>
        <v>-1.7983625331428925</v>
      </c>
      <c r="BN228" s="2080">
        <f>BN9-(BN218+BN219+BN220+BN221+BN222+BN223+BN224+BN226+BN227+BN225)</f>
        <v>-2.3043740334923086</v>
      </c>
      <c r="BO228" s="455">
        <f>SUM(BK228:BN228)</f>
        <v>-3.4154852799317155</v>
      </c>
      <c r="BP228" s="2080">
        <f>BP9-(BP218+BP219+BP220+BP221+BP222+BP223+BP224+BP226+BP227+BP225)</f>
        <v>2.8956955499626815</v>
      </c>
      <c r="BQ228" s="2080">
        <f>BQ9-(BQ218+BQ219+BQ220+BQ221+BQ222+BQ223+BQ224+BQ226+BQ227+BQ225)</f>
        <v>-0.89729637754339819</v>
      </c>
      <c r="BR228" s="2080">
        <f>BR9-(BR218+BR219+BR220+BR221+BR222+BR223+BR224+BR226+BR227+BR225)</f>
        <v>1.1375303397336438</v>
      </c>
      <c r="BS228" s="2080">
        <f>BS9-(BS218+BS219+BS220+BS221+BS222+BS223+BS224+BS226+BS227+BS225)</f>
        <v>0.96984547710053448</v>
      </c>
      <c r="BT228" s="2587">
        <f>SUM(BP228:BS228)</f>
        <v>4.1057749892534616</v>
      </c>
      <c r="BU228" s="2840"/>
      <c r="BV228" s="2840"/>
      <c r="BW228" s="2840"/>
      <c r="BX228" s="2840"/>
      <c r="BY228" s="2587">
        <f>SUM(BU228:BX228)</f>
        <v>0</v>
      </c>
      <c r="BZ228" s="481"/>
      <c r="CA228" s="481"/>
      <c r="CB228" s="481"/>
      <c r="CC228" s="481"/>
      <c r="CD228" s="481"/>
      <c r="CE228" s="481"/>
      <c r="CF228" s="481"/>
      <c r="CG228" s="331"/>
      <c r="CH228" s="331"/>
      <c r="CI228" s="331"/>
      <c r="CJ228" s="331"/>
      <c r="CK228" s="331"/>
      <c r="CL228" s="995" t="str">
        <f t="shared" si="495"/>
        <v>Other - East/Midwest</v>
      </c>
      <c r="CM228" s="430">
        <f>G228</f>
        <v>0</v>
      </c>
      <c r="CN228" s="430">
        <f>L228</f>
        <v>0</v>
      </c>
      <c r="CO228" s="430">
        <f>Q228</f>
        <v>0</v>
      </c>
      <c r="CP228" s="430">
        <f>V228</f>
        <v>0</v>
      </c>
      <c r="CQ228" s="430">
        <f>AA228</f>
        <v>0</v>
      </c>
      <c r="CR228" s="430">
        <f>AF228</f>
        <v>0</v>
      </c>
      <c r="CS228" s="430">
        <f>AK228</f>
        <v>0</v>
      </c>
      <c r="CT228" s="430">
        <f>AP228</f>
        <v>0</v>
      </c>
      <c r="CU228" s="430">
        <f>AU228</f>
        <v>0</v>
      </c>
      <c r="CV228" s="430">
        <f>AZ228</f>
        <v>5.6017528501568563</v>
      </c>
      <c r="CW228" s="430">
        <f>BE228</f>
        <v>11.04365189512788</v>
      </c>
      <c r="CX228" s="430">
        <f>BJ228</f>
        <v>2.0951397740625453</v>
      </c>
      <c r="CY228" s="430">
        <f>BO228</f>
        <v>-3.4154852799317155</v>
      </c>
      <c r="CZ228" s="430">
        <f>BT228</f>
        <v>4.1057749892534616</v>
      </c>
      <c r="DA228" s="430">
        <f t="shared" si="497"/>
        <v>0</v>
      </c>
      <c r="DB228" s="430">
        <f t="shared" si="497"/>
        <v>0</v>
      </c>
      <c r="DC228" s="853">
        <f t="shared" si="497"/>
        <v>0</v>
      </c>
      <c r="DD228" s="331"/>
      <c r="DE228" s="331"/>
      <c r="DF228" s="502"/>
      <c r="DG228" s="503"/>
      <c r="DH228" s="2840"/>
      <c r="DI228" s="3213"/>
      <c r="DJ228" s="502"/>
      <c r="DK228" s="503"/>
      <c r="DL228" s="502"/>
      <c r="DM228" s="502"/>
      <c r="DN228" s="502"/>
      <c r="DO228" s="502"/>
      <c r="DP228" s="503"/>
      <c r="DQ228" s="503"/>
      <c r="DR228" s="296"/>
      <c r="DS228" s="296"/>
      <c r="DT228" s="296"/>
    </row>
    <row r="229" spans="1:130" ht="12" customHeight="1" outlineLevel="1" x14ac:dyDescent="0.25">
      <c r="A229" s="2166" t="s">
        <v>2506</v>
      </c>
      <c r="B229" s="281"/>
      <c r="C229" s="446"/>
      <c r="D229" s="446"/>
      <c r="E229" s="446"/>
      <c r="F229" s="446"/>
      <c r="G229" s="447"/>
      <c r="H229" s="446"/>
      <c r="I229" s="446"/>
      <c r="J229" s="446"/>
      <c r="K229" s="446"/>
      <c r="L229" s="447"/>
      <c r="M229" s="446"/>
      <c r="N229" s="446"/>
      <c r="O229" s="446"/>
      <c r="P229" s="446"/>
      <c r="Q229" s="447"/>
      <c r="R229" s="446"/>
      <c r="S229" s="446"/>
      <c r="T229" s="446"/>
      <c r="U229" s="446"/>
      <c r="V229" s="447"/>
      <c r="W229" s="446"/>
      <c r="X229" s="446"/>
      <c r="Y229" s="446"/>
      <c r="Z229" s="446"/>
      <c r="AA229" s="447"/>
      <c r="AB229" s="446"/>
      <c r="AC229" s="446"/>
      <c r="AD229" s="446"/>
      <c r="AE229" s="454"/>
      <c r="AF229" s="455"/>
      <c r="AG229" s="454"/>
      <c r="AH229" s="454"/>
      <c r="AI229" s="454"/>
      <c r="AJ229" s="454"/>
      <c r="AK229" s="455"/>
      <c r="AL229" s="454"/>
      <c r="AM229" s="454"/>
      <c r="AN229" s="454"/>
      <c r="AO229" s="454"/>
      <c r="AP229" s="456"/>
      <c r="AQ229" s="456"/>
      <c r="AR229" s="454"/>
      <c r="AS229" s="454"/>
      <c r="AT229" s="454"/>
      <c r="AU229" s="455"/>
      <c r="AV229" s="454"/>
      <c r="AW229" s="454"/>
      <c r="AX229" s="454"/>
      <c r="AY229" s="1666"/>
      <c r="AZ229" s="1666"/>
      <c r="BA229" s="454"/>
      <c r="BB229" s="454"/>
      <c r="BC229" s="454"/>
      <c r="BD229" s="1666"/>
      <c r="BE229" s="1666"/>
      <c r="BF229" s="454"/>
      <c r="BG229" s="454"/>
      <c r="BH229" s="454"/>
      <c r="BI229" s="1666"/>
      <c r="BJ229" s="1666"/>
      <c r="BK229" s="454"/>
      <c r="BL229" s="454"/>
      <c r="BM229" s="454"/>
      <c r="BN229" s="1666"/>
      <c r="BO229" s="1666"/>
      <c r="BP229" s="454"/>
      <c r="BQ229" s="454"/>
      <c r="BR229" s="454"/>
      <c r="BS229" s="1666"/>
      <c r="BT229" s="3070"/>
      <c r="BU229" s="2915"/>
      <c r="BV229" s="2915"/>
      <c r="BW229" s="2915"/>
      <c r="BX229" s="2915"/>
      <c r="BY229" s="3066"/>
      <c r="BZ229" s="455"/>
      <c r="CA229" s="455"/>
      <c r="CB229" s="455"/>
      <c r="CC229" s="455"/>
      <c r="CD229" s="455"/>
      <c r="CE229" s="455"/>
      <c r="CF229" s="455"/>
      <c r="CG229" s="476"/>
      <c r="CH229" s="476"/>
      <c r="CI229" s="476"/>
      <c r="CJ229" s="476"/>
      <c r="CK229" s="331"/>
      <c r="CL229" s="995" t="str">
        <f t="shared" si="495"/>
        <v>South/West</v>
      </c>
      <c r="CM229" s="454"/>
      <c r="CN229" s="454"/>
      <c r="CO229" s="454"/>
      <c r="CP229" s="454"/>
      <c r="CQ229" s="454"/>
      <c r="CR229" s="454"/>
      <c r="CS229" s="454"/>
      <c r="CT229" s="454"/>
      <c r="CU229" s="454"/>
      <c r="CV229" s="454"/>
      <c r="CW229" s="454"/>
      <c r="CX229" s="454"/>
      <c r="CY229" s="454"/>
      <c r="CZ229" s="454"/>
      <c r="DA229" s="454"/>
      <c r="DB229" s="454"/>
      <c r="DC229" s="1666"/>
      <c r="DD229" s="331"/>
      <c r="DE229" s="331"/>
      <c r="DF229" s="502"/>
      <c r="DG229" s="503"/>
      <c r="DH229" s="2915"/>
      <c r="DI229" s="3213"/>
      <c r="DJ229" s="502"/>
      <c r="DK229" s="503"/>
      <c r="DL229" s="502"/>
      <c r="DM229" s="502"/>
      <c r="DN229" s="502"/>
      <c r="DO229" s="502"/>
      <c r="DP229" s="503"/>
      <c r="DQ229" s="503"/>
      <c r="DR229" s="296"/>
      <c r="DS229" s="296"/>
      <c r="DT229" s="296"/>
    </row>
    <row r="230" spans="1:130" ht="12.6" customHeight="1" outlineLevel="1" x14ac:dyDescent="0.25">
      <c r="A230" s="2666" t="s">
        <v>205</v>
      </c>
      <c r="B230" s="281"/>
      <c r="C230" s="446">
        <f>C618</f>
        <v>0</v>
      </c>
      <c r="D230" s="446">
        <f>D618</f>
        <v>0</v>
      </c>
      <c r="E230" s="446">
        <f>E618</f>
        <v>0</v>
      </c>
      <c r="F230" s="446">
        <f>F618</f>
        <v>0</v>
      </c>
      <c r="G230" s="447">
        <f>SUM(C230:F230)</f>
        <v>0</v>
      </c>
      <c r="H230" s="446">
        <f>H618</f>
        <v>0</v>
      </c>
      <c r="I230" s="446">
        <f>I618</f>
        <v>0</v>
      </c>
      <c r="J230" s="446">
        <f>J618</f>
        <v>0</v>
      </c>
      <c r="K230" s="446">
        <f>K618</f>
        <v>0</v>
      </c>
      <c r="L230" s="447">
        <f>SUM(H230:K230)</f>
        <v>0</v>
      </c>
      <c r="M230" s="446">
        <f>M618</f>
        <v>0</v>
      </c>
      <c r="N230" s="446">
        <f>N618</f>
        <v>0</v>
      </c>
      <c r="O230" s="446">
        <f>O618</f>
        <v>0</v>
      </c>
      <c r="P230" s="446">
        <f>P618</f>
        <v>0</v>
      </c>
      <c r="Q230" s="447">
        <f>SUM(M230:P230)</f>
        <v>0</v>
      </c>
      <c r="R230" s="446">
        <f>R618</f>
        <v>0</v>
      </c>
      <c r="S230" s="446">
        <f>S618</f>
        <v>16.913</v>
      </c>
      <c r="T230" s="446">
        <f>T618</f>
        <v>20.367000000000001</v>
      </c>
      <c r="U230" s="446">
        <f>U618</f>
        <v>21.292000000000002</v>
      </c>
      <c r="V230" s="447">
        <f>SUM(R230:U230)</f>
        <v>58.572000000000003</v>
      </c>
      <c r="W230" s="446">
        <f>W618</f>
        <v>21.914999999999999</v>
      </c>
      <c r="X230" s="446">
        <f>X618</f>
        <v>21.491</v>
      </c>
      <c r="Y230" s="446">
        <f>Y618</f>
        <v>23.009</v>
      </c>
      <c r="Z230" s="446">
        <f>Z618</f>
        <v>23.84</v>
      </c>
      <c r="AA230" s="447">
        <f>SUM(W230:Z230)</f>
        <v>90.254999999999995</v>
      </c>
      <c r="AB230" s="446">
        <f>AB618</f>
        <v>22.346</v>
      </c>
      <c r="AC230" s="446">
        <f>AC618</f>
        <v>19.779</v>
      </c>
      <c r="AD230" s="446">
        <f>AD618</f>
        <v>19.86</v>
      </c>
      <c r="AE230" s="454">
        <f>AE618</f>
        <v>19.757999999999999</v>
      </c>
      <c r="AF230" s="455">
        <f>SUM(AB230:AE230)</f>
        <v>81.742999999999995</v>
      </c>
      <c r="AG230" s="454">
        <f>AG618</f>
        <v>20.626000000000001</v>
      </c>
      <c r="AH230" s="454">
        <f>AH618</f>
        <v>20.064</v>
      </c>
      <c r="AI230" s="454">
        <f>AI618</f>
        <v>21.559000000000001</v>
      </c>
      <c r="AJ230" s="454">
        <f>AJ618</f>
        <v>22.731000000000002</v>
      </c>
      <c r="AK230" s="455">
        <f>SUM(AG230:AJ230)</f>
        <v>84.97999999999999</v>
      </c>
      <c r="AL230" s="454">
        <f t="shared" ref="AL230:AY230" si="498">AL618</f>
        <v>22.59</v>
      </c>
      <c r="AM230" s="454">
        <f t="shared" si="498"/>
        <v>21.791</v>
      </c>
      <c r="AN230" s="454">
        <f t="shared" si="498"/>
        <v>22.205770000000001</v>
      </c>
      <c r="AO230" s="454">
        <f t="shared" si="498"/>
        <v>23.412930000000003</v>
      </c>
      <c r="AP230" s="456">
        <f t="shared" si="498"/>
        <v>89.999700000000004</v>
      </c>
      <c r="AQ230" s="456">
        <f t="shared" si="498"/>
        <v>22.364100000000001</v>
      </c>
      <c r="AR230" s="454">
        <f t="shared" si="498"/>
        <v>21.355180000000001</v>
      </c>
      <c r="AS230" s="454">
        <f t="shared" si="498"/>
        <v>21.7616546</v>
      </c>
      <c r="AT230" s="454">
        <f t="shared" si="498"/>
        <v>22.710542100000001</v>
      </c>
      <c r="AU230" s="455">
        <f t="shared" si="498"/>
        <v>88.191476699999996</v>
      </c>
      <c r="AV230" s="454">
        <f t="shared" si="498"/>
        <v>22.140459</v>
      </c>
      <c r="AW230" s="454">
        <f t="shared" si="498"/>
        <v>21.568731800000002</v>
      </c>
      <c r="AX230" s="454">
        <f t="shared" si="498"/>
        <v>22.196887692000001</v>
      </c>
      <c r="AY230" s="1666">
        <f t="shared" si="498"/>
        <v>23.391858363000001</v>
      </c>
      <c r="AZ230" s="1666">
        <f>SUM(AV230:AY230)</f>
        <v>89.297936855000003</v>
      </c>
      <c r="BA230" s="454">
        <f>BA618</f>
        <v>23.026077360000002</v>
      </c>
      <c r="BB230" s="454">
        <f>BB618</f>
        <v>22.431481072000004</v>
      </c>
      <c r="BC230" s="454">
        <f>BC618</f>
        <v>24.416576461200002</v>
      </c>
      <c r="BD230" s="1666">
        <f>BD618</f>
        <v>25.731044199300001</v>
      </c>
      <c r="BE230" s="1666">
        <f>SUM(BA230:BD230)</f>
        <v>95.605179092500009</v>
      </c>
      <c r="BF230" s="454">
        <f>BF618</f>
        <v>23.716859680800003</v>
      </c>
      <c r="BG230" s="454">
        <f>BG618</f>
        <v>22.880110693440006</v>
      </c>
      <c r="BH230" s="454">
        <f>BH618</f>
        <v>22.585333226610004</v>
      </c>
      <c r="BI230" s="1666">
        <f>BI618</f>
        <v>21.871387569405002</v>
      </c>
      <c r="BJ230" s="1666">
        <f>SUM(BF230:BI230)</f>
        <v>91.053691170255021</v>
      </c>
      <c r="BK230" s="454">
        <f>BK618</f>
        <v>20.159330728680001</v>
      </c>
      <c r="BL230" s="454">
        <f>BL618</f>
        <v>19.448094089424004</v>
      </c>
      <c r="BM230" s="454">
        <f>BM618</f>
        <v>18.068266581288004</v>
      </c>
      <c r="BN230" s="1666">
        <f>BN618</f>
        <v>18.15325168260615</v>
      </c>
      <c r="BO230" s="1666">
        <f t="shared" ref="BO230:BO238" si="499">SUM(BK230:BN230)</f>
        <v>75.828943081998162</v>
      </c>
      <c r="BP230" s="454">
        <f>BP618</f>
        <v>17.639414387595</v>
      </c>
      <c r="BQ230" s="454">
        <f>BQ618</f>
        <v>17.017082328246005</v>
      </c>
      <c r="BR230" s="454">
        <f>BR618</f>
        <v>16.713146587691405</v>
      </c>
      <c r="BS230" s="1666">
        <f>BS618</f>
        <v>18.516316716258274</v>
      </c>
      <c r="BT230" s="3070">
        <f t="shared" ref="BT230:BT238" si="500">SUM(BP230:BS230)</f>
        <v>69.885960019790673</v>
      </c>
      <c r="BU230" s="2915">
        <f>BU618</f>
        <v>17.992202675346899</v>
      </c>
      <c r="BV230" s="2915">
        <f>BV618</f>
        <v>17.357423974810924</v>
      </c>
      <c r="BW230" s="2915">
        <f>BW618</f>
        <v>17.047409519445232</v>
      </c>
      <c r="BX230" s="2915">
        <f>BX618</f>
        <v>18.886643050583441</v>
      </c>
      <c r="BY230" s="3066">
        <f t="shared" ref="BY230:BY238" si="501">SUM(BU230:BX230)</f>
        <v>71.283679220186499</v>
      </c>
      <c r="BZ230" s="455">
        <f t="shared" ref="BZ230:CF230" si="502">BZ618</f>
        <v>72.709352804590225</v>
      </c>
      <c r="CA230" s="455">
        <f t="shared" si="502"/>
        <v>73.436446332636123</v>
      </c>
      <c r="CB230" s="455">
        <f t="shared" si="502"/>
        <v>69.764624016004319</v>
      </c>
      <c r="CC230" s="455">
        <f t="shared" si="502"/>
        <v>66.276392815204105</v>
      </c>
      <c r="CD230" s="455">
        <f t="shared" si="502"/>
        <v>67.601920671508182</v>
      </c>
      <c r="CE230" s="455">
        <f t="shared" si="502"/>
        <v>68.953959084938347</v>
      </c>
      <c r="CF230" s="455">
        <f t="shared" si="502"/>
        <v>70.333038266637118</v>
      </c>
      <c r="CG230" s="588"/>
      <c r="CH230" s="588"/>
      <c r="CI230" s="588"/>
      <c r="CJ230" s="588"/>
      <c r="CK230" s="331"/>
      <c r="CL230" s="1277" t="str">
        <f t="shared" si="495"/>
        <v>Zia Park Casino (NM)</v>
      </c>
      <c r="CM230" s="454">
        <f>G230</f>
        <v>0</v>
      </c>
      <c r="CN230" s="454">
        <f>L230</f>
        <v>0</v>
      </c>
      <c r="CO230" s="454">
        <f>Q230</f>
        <v>0</v>
      </c>
      <c r="CP230" s="454">
        <f>V230</f>
        <v>58.572000000000003</v>
      </c>
      <c r="CQ230" s="454">
        <f>AA230</f>
        <v>90.254999999999995</v>
      </c>
      <c r="CR230" s="454">
        <f>AF230</f>
        <v>81.742999999999995</v>
      </c>
      <c r="CS230" s="454">
        <f>AK230</f>
        <v>84.97999999999999</v>
      </c>
      <c r="CT230" s="454">
        <f>AP230</f>
        <v>89.999700000000004</v>
      </c>
      <c r="CU230" s="454">
        <f>AU230</f>
        <v>88.191476699999996</v>
      </c>
      <c r="CV230" s="454">
        <f>AZ230</f>
        <v>89.297936855000003</v>
      </c>
      <c r="CW230" s="454">
        <f>BE230</f>
        <v>95.605179092500009</v>
      </c>
      <c r="CX230" s="454">
        <f>BJ230</f>
        <v>91.053691170255021</v>
      </c>
      <c r="CY230" s="454">
        <f>BO230</f>
        <v>75.828943081998162</v>
      </c>
      <c r="CZ230" s="454">
        <f>BT230</f>
        <v>69.885960019790673</v>
      </c>
      <c r="DA230" s="454">
        <f t="shared" ref="DA230:DC232" si="503">BY230</f>
        <v>71.283679220186499</v>
      </c>
      <c r="DB230" s="454">
        <f t="shared" si="503"/>
        <v>72.709352804590225</v>
      </c>
      <c r="DC230" s="1666">
        <f t="shared" si="503"/>
        <v>73.436446332636123</v>
      </c>
      <c r="DD230" s="331"/>
      <c r="DE230" s="331"/>
      <c r="DF230" s="502"/>
      <c r="DG230" s="503"/>
      <c r="DH230" s="2915"/>
      <c r="DI230" s="3213"/>
      <c r="DJ230" s="502"/>
      <c r="DK230" s="503"/>
      <c r="DL230" s="502"/>
      <c r="DM230" s="502"/>
      <c r="DN230" s="502"/>
      <c r="DO230" s="502"/>
      <c r="DP230" s="503"/>
      <c r="DQ230" s="503"/>
      <c r="DR230" s="296"/>
      <c r="DS230" s="296"/>
      <c r="DT230" s="296"/>
    </row>
    <row r="231" spans="1:130" ht="12" customHeight="1" outlineLevel="1" x14ac:dyDescent="0.25">
      <c r="A231" s="392" t="s">
        <v>143</v>
      </c>
      <c r="B231" s="281"/>
      <c r="C231" s="446"/>
      <c r="D231" s="446"/>
      <c r="E231" s="446"/>
      <c r="F231" s="446"/>
      <c r="G231" s="447"/>
      <c r="H231" s="446"/>
      <c r="I231" s="446"/>
      <c r="J231" s="446"/>
      <c r="K231" s="446"/>
      <c r="L231" s="447"/>
      <c r="M231" s="446"/>
      <c r="N231" s="446"/>
      <c r="O231" s="446"/>
      <c r="P231" s="446"/>
      <c r="Q231" s="447"/>
      <c r="R231" s="446"/>
      <c r="S231" s="446"/>
      <c r="T231" s="446"/>
      <c r="U231" s="446"/>
      <c r="V231" s="447"/>
      <c r="W231" s="446"/>
      <c r="X231" s="446"/>
      <c r="Y231" s="446"/>
      <c r="Z231" s="446"/>
      <c r="AA231" s="447"/>
      <c r="AB231" s="446"/>
      <c r="AC231" s="446"/>
      <c r="AD231" s="446"/>
      <c r="AE231" s="454"/>
      <c r="AF231" s="455"/>
      <c r="AG231" s="454"/>
      <c r="AH231" s="454"/>
      <c r="AI231" s="454"/>
      <c r="AJ231" s="454"/>
      <c r="AK231" s="455"/>
      <c r="AL231" s="454"/>
      <c r="AM231" s="563">
        <v>14.795</v>
      </c>
      <c r="AN231" s="454">
        <f>AN640</f>
        <v>39</v>
      </c>
      <c r="AO231" s="454">
        <f>AO640</f>
        <v>40</v>
      </c>
      <c r="AP231" s="456">
        <f>SUM(AL231:AO231)</f>
        <v>93.795000000000002</v>
      </c>
      <c r="AQ231" s="456">
        <f>AQ640</f>
        <v>41.464020000000005</v>
      </c>
      <c r="AR231" s="454">
        <f>AR640</f>
        <v>42.235059999999997</v>
      </c>
      <c r="AS231" s="454">
        <f>AS640</f>
        <v>36.269999999999996</v>
      </c>
      <c r="AT231" s="454">
        <f>AT640</f>
        <v>38.799999999999997</v>
      </c>
      <c r="AU231" s="455">
        <f>SUM(AQ231:AT231)</f>
        <v>158.76908</v>
      </c>
      <c r="AV231" s="456">
        <f>AV640</f>
        <v>40.220099400000002</v>
      </c>
      <c r="AW231" s="454">
        <f>AW640</f>
        <v>41.390358799999994</v>
      </c>
      <c r="AX231" s="454">
        <f>AX640</f>
        <v>35.907299999999992</v>
      </c>
      <c r="AY231" s="1666">
        <f>AY640</f>
        <v>38.023999999999994</v>
      </c>
      <c r="AZ231" s="455">
        <f>SUM(AV231:AY231)</f>
        <v>155.54175819999998</v>
      </c>
      <c r="BA231" s="456">
        <f>BA640</f>
        <v>39.817898406000005</v>
      </c>
      <c r="BB231" s="454">
        <f>BB640</f>
        <v>39.734744447999994</v>
      </c>
      <c r="BC231" s="454">
        <f>BC640</f>
        <v>34.830080999999993</v>
      </c>
      <c r="BD231" s="1666">
        <f>BD640</f>
        <v>38.784479999999995</v>
      </c>
      <c r="BE231" s="455">
        <f>SUM(BA231:BD231)</f>
        <v>153.16720385399998</v>
      </c>
      <c r="BF231" s="454">
        <f>BF640</f>
        <v>40.614256374120004</v>
      </c>
      <c r="BG231" s="454">
        <f>BG640</f>
        <v>40.926786781439993</v>
      </c>
      <c r="BH231" s="454">
        <f>BH640</f>
        <v>35.874983429999993</v>
      </c>
      <c r="BI231" s="1666">
        <f>BI640</f>
        <v>38.784479999999995</v>
      </c>
      <c r="BJ231" s="455">
        <f>SUM(BF231:BI231)</f>
        <v>156.20050658555999</v>
      </c>
      <c r="BK231" s="454">
        <f>BK640</f>
        <v>41.832684065343607</v>
      </c>
      <c r="BL231" s="454">
        <f>BL640</f>
        <v>41.745322517068793</v>
      </c>
      <c r="BM231" s="454">
        <f>BM640</f>
        <v>36.951232932899991</v>
      </c>
      <c r="BN231" s="1666">
        <f>BN640</f>
        <v>39.560169599999995</v>
      </c>
      <c r="BO231" s="1666">
        <f t="shared" si="499"/>
        <v>160.08940911531238</v>
      </c>
      <c r="BP231" s="454">
        <f>BP640</f>
        <v>42.251010905997042</v>
      </c>
      <c r="BQ231" s="454">
        <f>BQ640</f>
        <v>42.162775742239482</v>
      </c>
      <c r="BR231" s="454">
        <f>BR640</f>
        <v>37.320745262228989</v>
      </c>
      <c r="BS231" s="1666">
        <f>BS640</f>
        <v>39.955771295999995</v>
      </c>
      <c r="BT231" s="3070">
        <f t="shared" si="500"/>
        <v>161.6903032064655</v>
      </c>
      <c r="BU231" s="2915">
        <f>BU640</f>
        <v>43.096031124116983</v>
      </c>
      <c r="BV231" s="2915">
        <f>BV640</f>
        <v>43.006031257084274</v>
      </c>
      <c r="BW231" s="2915">
        <f>BW640</f>
        <v>38.067160167473567</v>
      </c>
      <c r="BX231" s="2915">
        <f>BX640</f>
        <v>40.754886721919995</v>
      </c>
      <c r="BY231" s="3066">
        <f t="shared" si="501"/>
        <v>164.92410927059481</v>
      </c>
      <c r="BZ231" s="455">
        <f t="shared" ref="BZ231:CF231" si="504">BZ640</f>
        <v>167.39797090965371</v>
      </c>
      <c r="CA231" s="455">
        <f t="shared" si="504"/>
        <v>167.39797090965371</v>
      </c>
      <c r="CB231" s="455">
        <f t="shared" si="504"/>
        <v>159.02807236417101</v>
      </c>
      <c r="CC231" s="455">
        <f t="shared" si="504"/>
        <v>151.07666874596245</v>
      </c>
      <c r="CD231" s="455">
        <f t="shared" si="504"/>
        <v>154.09820212088169</v>
      </c>
      <c r="CE231" s="455">
        <f t="shared" si="504"/>
        <v>157.18016616329933</v>
      </c>
      <c r="CF231" s="455">
        <f t="shared" si="504"/>
        <v>160.32376948656531</v>
      </c>
      <c r="CG231" s="588"/>
      <c r="CH231" s="588"/>
      <c r="CI231" s="588"/>
      <c r="CJ231" s="588"/>
      <c r="CK231" s="331"/>
      <c r="CL231" s="995" t="str">
        <f t="shared" si="495"/>
        <v>M Resort (NV)</v>
      </c>
      <c r="CM231" s="454">
        <f>G231</f>
        <v>0</v>
      </c>
      <c r="CN231" s="454">
        <f>L231</f>
        <v>0</v>
      </c>
      <c r="CO231" s="454">
        <f>Q231</f>
        <v>0</v>
      </c>
      <c r="CP231" s="454">
        <f>V231</f>
        <v>0</v>
      </c>
      <c r="CQ231" s="454">
        <f>AA231</f>
        <v>0</v>
      </c>
      <c r="CR231" s="454">
        <f>AF231</f>
        <v>0</v>
      </c>
      <c r="CS231" s="454">
        <f>AK231</f>
        <v>0</v>
      </c>
      <c r="CT231" s="454">
        <f>AP231</f>
        <v>93.795000000000002</v>
      </c>
      <c r="CU231" s="454">
        <f>AU231</f>
        <v>158.76908</v>
      </c>
      <c r="CV231" s="454">
        <f>AZ231</f>
        <v>155.54175819999998</v>
      </c>
      <c r="CW231" s="454">
        <f>BE231</f>
        <v>153.16720385399998</v>
      </c>
      <c r="CX231" s="454">
        <f>BJ231</f>
        <v>156.20050658555999</v>
      </c>
      <c r="CY231" s="454">
        <f>BO231</f>
        <v>160.08940911531238</v>
      </c>
      <c r="CZ231" s="454">
        <f>BT231</f>
        <v>161.6903032064655</v>
      </c>
      <c r="DA231" s="454">
        <f t="shared" si="503"/>
        <v>164.92410927059481</v>
      </c>
      <c r="DB231" s="454">
        <f t="shared" si="503"/>
        <v>167.39797090965371</v>
      </c>
      <c r="DC231" s="1666">
        <f t="shared" si="503"/>
        <v>167.39797090965371</v>
      </c>
      <c r="DD231" s="331"/>
      <c r="DE231" s="331"/>
      <c r="DF231" s="502"/>
      <c r="DG231" s="503"/>
      <c r="DH231" s="2915"/>
      <c r="DI231" s="3213"/>
      <c r="DJ231" s="502"/>
      <c r="DK231" s="503"/>
      <c r="DL231" s="502"/>
      <c r="DM231" s="502"/>
      <c r="DN231" s="502"/>
      <c r="DO231" s="502"/>
      <c r="DP231" s="503"/>
      <c r="DQ231" s="503"/>
      <c r="DR231" s="296"/>
      <c r="DS231" s="296"/>
      <c r="DT231" s="296"/>
    </row>
    <row r="232" spans="1:130" s="1049" customFormat="1" ht="12.6" customHeight="1" outlineLevel="1" x14ac:dyDescent="0.25">
      <c r="A232" s="2725" t="s">
        <v>212</v>
      </c>
      <c r="B232" s="428"/>
      <c r="C232" s="430"/>
      <c r="D232" s="430"/>
      <c r="E232" s="430"/>
      <c r="F232" s="430"/>
      <c r="G232" s="481"/>
      <c r="H232" s="430"/>
      <c r="I232" s="430"/>
      <c r="J232" s="430"/>
      <c r="K232" s="430"/>
      <c r="L232" s="481"/>
      <c r="M232" s="430"/>
      <c r="N232" s="430"/>
      <c r="O232" s="430"/>
      <c r="P232" s="430"/>
      <c r="Q232" s="481"/>
      <c r="R232" s="430"/>
      <c r="S232" s="430"/>
      <c r="T232" s="430"/>
      <c r="U232" s="430"/>
      <c r="V232" s="481"/>
      <c r="W232" s="430"/>
      <c r="X232" s="430"/>
      <c r="Y232" s="430"/>
      <c r="Z232" s="430"/>
      <c r="AA232" s="481"/>
      <c r="AB232" s="430"/>
      <c r="AC232" s="430"/>
      <c r="AD232" s="430"/>
      <c r="AE232" s="430"/>
      <c r="AF232" s="481"/>
      <c r="AG232" s="430"/>
      <c r="AH232" s="430"/>
      <c r="AI232" s="430"/>
      <c r="AJ232" s="430"/>
      <c r="AK232" s="481"/>
      <c r="AL232" s="2080"/>
      <c r="AM232" s="2080"/>
      <c r="AN232" s="2080"/>
      <c r="AO232" s="2080"/>
      <c r="AP232" s="483"/>
      <c r="AQ232" s="2083"/>
      <c r="AR232" s="2080"/>
      <c r="AS232" s="2080"/>
      <c r="AT232" s="2080"/>
      <c r="AU232" s="481"/>
      <c r="AV232" s="2080"/>
      <c r="AW232" s="2080"/>
      <c r="AX232" s="2080"/>
      <c r="AY232" s="2080"/>
      <c r="AZ232" s="481"/>
      <c r="BA232" s="430"/>
      <c r="BB232" s="430"/>
      <c r="BC232" s="430"/>
      <c r="BD232" s="430"/>
      <c r="BE232" s="481"/>
      <c r="BF232" s="430"/>
      <c r="BG232" s="430"/>
      <c r="BH232" s="430"/>
      <c r="BI232" s="430"/>
      <c r="BJ232" s="2587">
        <f>+BJ1222</f>
        <v>0</v>
      </c>
      <c r="BK232" s="430">
        <f>+BK1222</f>
        <v>0</v>
      </c>
      <c r="BL232" s="430">
        <f>+BL1222</f>
        <v>0</v>
      </c>
      <c r="BM232" s="430">
        <f>+BM1222</f>
        <v>0</v>
      </c>
      <c r="BN232" s="430">
        <f>+BN1222+BN1224</f>
        <v>6.5441560000000019</v>
      </c>
      <c r="BO232" s="455">
        <f t="shared" si="499"/>
        <v>6.5441560000000019</v>
      </c>
      <c r="BP232" s="430">
        <f>+BP1222+BP1224</f>
        <v>6.1290501000000015</v>
      </c>
      <c r="BQ232" s="430">
        <f>+BQ1222+BQ1224</f>
        <v>7.1298689199999998</v>
      </c>
      <c r="BR232" s="430">
        <f>+BR1222+BR1224</f>
        <v>7.2026445400000005</v>
      </c>
      <c r="BS232" s="853">
        <f>+BS1222+BS1224</f>
        <v>5.8589845000000009</v>
      </c>
      <c r="BT232" s="3065">
        <f t="shared" si="500"/>
        <v>26.320548060000004</v>
      </c>
      <c r="BU232" s="2840">
        <f t="shared" ref="BU232:CA232" si="505">+BU1222+BU1224</f>
        <v>6.1252053360000005</v>
      </c>
      <c r="BV232" s="2840">
        <f t="shared" si="505"/>
        <v>4.3632986333043489</v>
      </c>
      <c r="BW232" s="2840">
        <f t="shared" si="505"/>
        <v>0</v>
      </c>
      <c r="BX232" s="2840">
        <f t="shared" si="505"/>
        <v>0</v>
      </c>
      <c r="BY232" s="2587">
        <f t="shared" si="501"/>
        <v>10.48850396930435</v>
      </c>
      <c r="BZ232" s="2587">
        <f t="shared" si="505"/>
        <v>0</v>
      </c>
      <c r="CA232" s="2587">
        <f t="shared" si="505"/>
        <v>0</v>
      </c>
      <c r="CB232" s="2587">
        <f>+CB1222</f>
        <v>0</v>
      </c>
      <c r="CC232" s="2587">
        <f>+CC1222</f>
        <v>0</v>
      </c>
      <c r="CD232" s="2587">
        <f>+CD1222</f>
        <v>0</v>
      </c>
      <c r="CE232" s="2587">
        <f>+CE1222</f>
        <v>0</v>
      </c>
      <c r="CF232" s="2587">
        <f>+CF1222</f>
        <v>0</v>
      </c>
      <c r="CG232" s="588"/>
      <c r="CH232" s="588"/>
      <c r="CI232" s="588"/>
      <c r="CJ232" s="588"/>
      <c r="CK232" s="331"/>
      <c r="CL232" s="995" t="str">
        <f t="shared" si="495"/>
        <v>Jamul mgmt contract</v>
      </c>
      <c r="CM232" s="430"/>
      <c r="CN232" s="430"/>
      <c r="CO232" s="430"/>
      <c r="CP232" s="430"/>
      <c r="CQ232" s="430"/>
      <c r="CR232" s="430"/>
      <c r="CS232" s="430"/>
      <c r="CT232" s="454">
        <f>AP232</f>
        <v>0</v>
      </c>
      <c r="CU232" s="454">
        <f>AU232</f>
        <v>0</v>
      </c>
      <c r="CV232" s="454">
        <f>AZ232</f>
        <v>0</v>
      </c>
      <c r="CW232" s="454">
        <f>BE232</f>
        <v>0</v>
      </c>
      <c r="CX232" s="454">
        <f>BJ232</f>
        <v>0</v>
      </c>
      <c r="CY232" s="454">
        <f>BO232</f>
        <v>6.5441560000000019</v>
      </c>
      <c r="CZ232" s="454">
        <f>BT232</f>
        <v>26.320548060000004</v>
      </c>
      <c r="DA232" s="454">
        <f t="shared" si="503"/>
        <v>10.48850396930435</v>
      </c>
      <c r="DB232" s="454">
        <f t="shared" si="503"/>
        <v>0</v>
      </c>
      <c r="DC232" s="1666">
        <f t="shared" si="503"/>
        <v>0</v>
      </c>
      <c r="DD232" s="331"/>
      <c r="DE232" s="331"/>
      <c r="DF232" s="502"/>
      <c r="DG232" s="503"/>
      <c r="DH232" s="2840"/>
      <c r="DI232" s="3213"/>
      <c r="DJ232" s="502"/>
      <c r="DK232" s="503"/>
      <c r="DL232" s="502"/>
      <c r="DM232" s="502"/>
      <c r="DN232" s="502"/>
      <c r="DO232" s="502"/>
      <c r="DP232" s="503"/>
      <c r="DQ232" s="503"/>
      <c r="DR232" s="296"/>
      <c r="DS232" s="296"/>
      <c r="DT232" s="296"/>
      <c r="DU232"/>
      <c r="DV232"/>
      <c r="DW232"/>
      <c r="DX232"/>
      <c r="DY232"/>
      <c r="DZ232"/>
    </row>
    <row r="233" spans="1:130" ht="12.6" customHeight="1" outlineLevel="1" x14ac:dyDescent="0.25">
      <c r="A233" s="2605" t="s">
        <v>2372</v>
      </c>
      <c r="B233" s="281"/>
      <c r="C233" s="430"/>
      <c r="D233" s="430"/>
      <c r="E233" s="430"/>
      <c r="F233" s="430"/>
      <c r="G233" s="481"/>
      <c r="H233" s="430"/>
      <c r="I233" s="430"/>
      <c r="J233" s="430"/>
      <c r="K233" s="430"/>
      <c r="L233" s="481"/>
      <c r="M233" s="430"/>
      <c r="N233" s="430"/>
      <c r="O233" s="430"/>
      <c r="P233" s="430"/>
      <c r="Q233" s="481"/>
      <c r="R233" s="430"/>
      <c r="S233" s="430"/>
      <c r="T233" s="430"/>
      <c r="U233" s="430"/>
      <c r="V233" s="481"/>
      <c r="W233" s="509"/>
      <c r="X233" s="509"/>
      <c r="Y233" s="509"/>
      <c r="Z233" s="509"/>
      <c r="AA233" s="510"/>
      <c r="AB233" s="509"/>
      <c r="AC233" s="509"/>
      <c r="AD233" s="509"/>
      <c r="AE233" s="430"/>
      <c r="AF233" s="481"/>
      <c r="AG233" s="430"/>
      <c r="AH233" s="430"/>
      <c r="AI233" s="430"/>
      <c r="AJ233" s="430"/>
      <c r="AK233" s="481"/>
      <c r="AL233" s="2080"/>
      <c r="AM233" s="2080"/>
      <c r="AN233" s="2080"/>
      <c r="AO233" s="2080"/>
      <c r="AP233" s="483"/>
      <c r="AQ233" s="2083"/>
      <c r="AR233" s="2080"/>
      <c r="AS233" s="2080"/>
      <c r="AT233" s="2080"/>
      <c r="AU233" s="481"/>
      <c r="AV233" s="2080"/>
      <c r="AW233" s="2080"/>
      <c r="AX233" s="2080"/>
      <c r="AY233" s="2080"/>
      <c r="AZ233" s="481"/>
      <c r="BA233" s="430"/>
      <c r="BB233" s="430"/>
      <c r="BC233" s="430"/>
      <c r="BD233" s="430"/>
      <c r="BE233" s="481"/>
      <c r="BF233" s="430"/>
      <c r="BG233" s="430"/>
      <c r="BH233" s="430">
        <f>BH675*(37/92)</f>
        <v>11.502269878430234</v>
      </c>
      <c r="BI233" s="430">
        <f>+BI675</f>
        <v>27.512916101052884</v>
      </c>
      <c r="BJ233" s="455">
        <f>SUM(BF233:BI233)</f>
        <v>39.015185979483121</v>
      </c>
      <c r="BK233" s="430">
        <f>+BK675</f>
        <v>26.811072000000003</v>
      </c>
      <c r="BL233" s="430">
        <f>+BL675</f>
        <v>32.074182</v>
      </c>
      <c r="BM233" s="430">
        <f>+BM675</f>
        <v>31.116984750000004</v>
      </c>
      <c r="BN233" s="430">
        <f>+BN675</f>
        <v>29.598925320000006</v>
      </c>
      <c r="BO233" s="455">
        <f t="shared" si="499"/>
        <v>119.60116407000001</v>
      </c>
      <c r="BP233" s="430">
        <f>+BP675</f>
        <v>29.298302897500001</v>
      </c>
      <c r="BQ233" s="430">
        <f>+BQ675</f>
        <v>31.808330417499999</v>
      </c>
      <c r="BR233" s="430">
        <f>+BR675</f>
        <v>35.623908035625</v>
      </c>
      <c r="BS233" s="853">
        <f>+BS675</f>
        <v>30.52652196048</v>
      </c>
      <c r="BT233" s="3065">
        <f t="shared" si="500"/>
        <v>127.257063311105</v>
      </c>
      <c r="BU233" s="2840">
        <f>+BU675</f>
        <v>30.444180712400001</v>
      </c>
      <c r="BV233" s="2840">
        <f>+BV675</f>
        <v>33.52908554222499</v>
      </c>
      <c r="BW233" s="2840">
        <f>+BW675</f>
        <v>37.79073638510625</v>
      </c>
      <c r="BX233" s="2840">
        <f>+BX675</f>
        <v>33.029818088904008</v>
      </c>
      <c r="BY233" s="2587">
        <f t="shared" si="501"/>
        <v>134.79382072863524</v>
      </c>
      <c r="BZ233" s="2587">
        <f t="shared" ref="BZ233:CF233" si="506">+BZ675</f>
        <v>138.9010671453039</v>
      </c>
      <c r="CA233" s="2587">
        <f t="shared" si="506"/>
        <v>143.15223560750522</v>
      </c>
      <c r="CB233" s="2587">
        <f t="shared" si="506"/>
        <v>138.85766853928007</v>
      </c>
      <c r="CC233" s="2587">
        <f t="shared" si="506"/>
        <v>134.69193848310167</v>
      </c>
      <c r="CD233" s="2587">
        <f t="shared" si="506"/>
        <v>136.03885786793268</v>
      </c>
      <c r="CE233" s="2587">
        <f t="shared" si="506"/>
        <v>137.39924644661198</v>
      </c>
      <c r="CF233" s="2587">
        <f t="shared" si="506"/>
        <v>138.77323891107812</v>
      </c>
      <c r="CG233" s="588"/>
      <c r="CH233" s="588"/>
      <c r="CI233" s="588"/>
      <c r="CJ233" s="588"/>
      <c r="CK233" s="331"/>
      <c r="CL233" s="995" t="str">
        <f t="shared" si="495"/>
        <v>Tropicana</v>
      </c>
      <c r="CM233" s="430"/>
      <c r="CN233" s="430"/>
      <c r="CO233" s="430"/>
      <c r="CP233" s="430"/>
      <c r="CQ233" s="430"/>
      <c r="CR233" s="430"/>
      <c r="CS233" s="430"/>
      <c r="CT233" s="454"/>
      <c r="CU233" s="454"/>
      <c r="CV233" s="454"/>
      <c r="CW233" s="454"/>
      <c r="CX233" s="454"/>
      <c r="CY233" s="454"/>
      <c r="CZ233" s="454"/>
      <c r="DA233" s="454"/>
      <c r="DB233" s="454"/>
      <c r="DC233" s="1666"/>
      <c r="DD233" s="331"/>
      <c r="DE233" s="331"/>
      <c r="DF233" s="502"/>
      <c r="DG233" s="503"/>
      <c r="DH233" s="2840"/>
      <c r="DI233" s="3213"/>
      <c r="DJ233" s="502"/>
      <c r="DK233" s="503"/>
      <c r="DL233" s="502"/>
      <c r="DM233" s="502"/>
      <c r="DN233" s="502"/>
      <c r="DO233" s="502"/>
      <c r="DP233" s="503"/>
      <c r="DQ233" s="503"/>
      <c r="DR233" s="296"/>
      <c r="DS233" s="296"/>
      <c r="DT233" s="296"/>
    </row>
    <row r="234" spans="1:130" ht="12.6" customHeight="1" outlineLevel="1" x14ac:dyDescent="0.25">
      <c r="A234" s="391" t="s">
        <v>616</v>
      </c>
      <c r="B234" s="281"/>
      <c r="C234" s="446">
        <f>C710</f>
        <v>30.888000000000002</v>
      </c>
      <c r="D234" s="446">
        <f>D710</f>
        <v>29.864999999999998</v>
      </c>
      <c r="E234" s="446">
        <f>E710</f>
        <v>30.306000000000001</v>
      </c>
      <c r="F234" s="446">
        <f>F710</f>
        <v>26.449000000000002</v>
      </c>
      <c r="G234" s="447">
        <f>SUM(C234:F234)</f>
        <v>117.508</v>
      </c>
      <c r="H234" s="446">
        <f>H710</f>
        <v>26.193000000000001</v>
      </c>
      <c r="I234" s="446">
        <f>I710</f>
        <v>26.504999999999999</v>
      </c>
      <c r="J234" s="446">
        <f>J710</f>
        <v>26.855</v>
      </c>
      <c r="K234" s="446">
        <f>K710</f>
        <v>27.881</v>
      </c>
      <c r="L234" s="447">
        <f>SUM(H234:K234)</f>
        <v>107.434</v>
      </c>
      <c r="M234" s="446">
        <f>M710</f>
        <v>28.158999999999999</v>
      </c>
      <c r="N234" s="446">
        <f>N710</f>
        <v>26.899000000000001</v>
      </c>
      <c r="O234" s="446">
        <f>O710</f>
        <v>27.088999999999999</v>
      </c>
      <c r="P234" s="446">
        <f>P710</f>
        <v>24.206</v>
      </c>
      <c r="Q234" s="447">
        <f>SUM(M234:P234)</f>
        <v>106.35299999999999</v>
      </c>
      <c r="R234" s="446">
        <f>R710</f>
        <v>26.596</v>
      </c>
      <c r="S234" s="446">
        <f>S710</f>
        <v>26.375</v>
      </c>
      <c r="T234" s="446">
        <f>T710</f>
        <v>26.38</v>
      </c>
      <c r="U234" s="446">
        <f>U710</f>
        <v>24.507000000000001</v>
      </c>
      <c r="V234" s="447">
        <f>SUM(R234:U234)</f>
        <v>103.858</v>
      </c>
      <c r="W234" s="446">
        <f>W710</f>
        <v>24.562000000000001</v>
      </c>
      <c r="X234" s="446">
        <f>X710</f>
        <v>22.109000000000002</v>
      </c>
      <c r="Y234" s="446">
        <f>Y710</f>
        <v>22.346</v>
      </c>
      <c r="Z234" s="446">
        <f>Z710</f>
        <v>19.523</v>
      </c>
      <c r="AA234" s="447">
        <f>SUM(W234:Z234)</f>
        <v>88.54</v>
      </c>
      <c r="AB234" s="446">
        <f>AB710</f>
        <v>24.41</v>
      </c>
      <c r="AC234" s="446">
        <f>AC710</f>
        <v>23.710999999999999</v>
      </c>
      <c r="AD234" s="446">
        <f>AD710</f>
        <v>23.803999999999998</v>
      </c>
      <c r="AE234" s="454">
        <f>AE710</f>
        <v>20.971</v>
      </c>
      <c r="AF234" s="455">
        <f>SUM(AB234:AE234)</f>
        <v>92.896000000000001</v>
      </c>
      <c r="AG234" s="454">
        <f>AG710</f>
        <v>22.361999999999998</v>
      </c>
      <c r="AH234" s="454">
        <f>AH710</f>
        <v>21.916</v>
      </c>
      <c r="AI234" s="454">
        <f>AI710</f>
        <v>21.411999999999999</v>
      </c>
      <c r="AJ234" s="454">
        <f>AJ710</f>
        <v>18.864999999999998</v>
      </c>
      <c r="AK234" s="455">
        <f>SUM(AG234:AJ234)</f>
        <v>84.554999999999993</v>
      </c>
      <c r="AL234" s="454">
        <f t="shared" ref="AL234:AY234" si="507">AL710</f>
        <v>20.535</v>
      </c>
      <c r="AM234" s="454">
        <f t="shared" si="507"/>
        <v>13.646000000000001</v>
      </c>
      <c r="AN234" s="454">
        <f t="shared" si="507"/>
        <v>19.270800000000001</v>
      </c>
      <c r="AO234" s="454">
        <f t="shared" si="507"/>
        <v>16.9785</v>
      </c>
      <c r="AP234" s="456">
        <f t="shared" si="507"/>
        <v>70.430300000000003</v>
      </c>
      <c r="AQ234" s="456">
        <f t="shared" si="507"/>
        <v>20.535</v>
      </c>
      <c r="AR234" s="454">
        <f t="shared" si="507"/>
        <v>17.739800000000002</v>
      </c>
      <c r="AS234" s="454">
        <f t="shared" si="507"/>
        <v>17.343720000000001</v>
      </c>
      <c r="AT234" s="454">
        <f t="shared" si="507"/>
        <v>15.280650000000001</v>
      </c>
      <c r="AU234" s="455">
        <f t="shared" si="507"/>
        <v>70.899169999999998</v>
      </c>
      <c r="AV234" s="454">
        <f t="shared" si="507"/>
        <v>19.097549999999998</v>
      </c>
      <c r="AW234" s="454">
        <f t="shared" si="507"/>
        <v>16.498014000000001</v>
      </c>
      <c r="AX234" s="454">
        <f t="shared" si="507"/>
        <v>16.1296596</v>
      </c>
      <c r="AY234" s="1666">
        <f t="shared" si="507"/>
        <v>14.516617500000001</v>
      </c>
      <c r="AZ234" s="1666">
        <f>SUM(AV234:AY234)</f>
        <v>66.241841099999988</v>
      </c>
      <c r="BA234" s="454">
        <f>BA710</f>
        <v>17.760721499999999</v>
      </c>
      <c r="BB234" s="454">
        <f>BB710</f>
        <v>15.343153020000001</v>
      </c>
      <c r="BC234" s="454">
        <f>BC710</f>
        <v>15.484473216</v>
      </c>
      <c r="BD234" s="1666">
        <f>BD710</f>
        <v>13.935952800000001</v>
      </c>
      <c r="BE234" s="1666">
        <f>SUM(BA234:BD234)</f>
        <v>62.524300535999998</v>
      </c>
      <c r="BF234" s="454">
        <f>BF710</f>
        <v>17.405507069999999</v>
      </c>
      <c r="BG234" s="454">
        <f>BG710</f>
        <v>15.496584550200001</v>
      </c>
      <c r="BH234" s="454">
        <f>BH710</f>
        <v>15.63931794816</v>
      </c>
      <c r="BI234" s="1666">
        <f>BI710</f>
        <v>13.517874216000001</v>
      </c>
      <c r="BJ234" s="1666">
        <f>SUM(BF234:BI234)</f>
        <v>62.059283784359998</v>
      </c>
      <c r="BK234" s="454">
        <f>BK710</f>
        <v>16.8833418579</v>
      </c>
      <c r="BL234" s="454">
        <f>BL710</f>
        <v>15.651550395702001</v>
      </c>
      <c r="BM234" s="454">
        <f>BM710</f>
        <v>15.795711127641601</v>
      </c>
      <c r="BN234" s="1666">
        <f>BN710</f>
        <v>13.653052958160002</v>
      </c>
      <c r="BO234" s="1666">
        <f t="shared" si="499"/>
        <v>61.983656339403609</v>
      </c>
      <c r="BP234" s="454">
        <f>BP710</f>
        <v>15.19500767211</v>
      </c>
      <c r="BQ234" s="454">
        <f>BQ710</f>
        <v>14.086395356131801</v>
      </c>
      <c r="BR234" s="454">
        <f>BR710</f>
        <v>14.216140014877441</v>
      </c>
      <c r="BS234" s="1666">
        <f>BS710</f>
        <v>12.287747662344001</v>
      </c>
      <c r="BT234" s="3070">
        <f t="shared" si="500"/>
        <v>55.785290705463247</v>
      </c>
      <c r="BU234" s="2915">
        <f>BU710</f>
        <v>15.3469577488311</v>
      </c>
      <c r="BV234" s="2915">
        <f>BV710</f>
        <v>14.227259309693119</v>
      </c>
      <c r="BW234" s="2915">
        <f>BW710</f>
        <v>14.358301415026215</v>
      </c>
      <c r="BX234" s="2915">
        <f>BX710</f>
        <v>12.410625138967442</v>
      </c>
      <c r="BY234" s="3066">
        <f t="shared" si="501"/>
        <v>56.343143612517871</v>
      </c>
      <c r="BZ234" s="455">
        <f t="shared" ref="BZ234:CF234" si="508">BZ710</f>
        <v>56.343143612517871</v>
      </c>
      <c r="CA234" s="455">
        <f t="shared" si="508"/>
        <v>56.343143612517871</v>
      </c>
      <c r="CB234" s="455">
        <f t="shared" si="508"/>
        <v>53.525986431891972</v>
      </c>
      <c r="CC234" s="455">
        <f t="shared" si="508"/>
        <v>50.849687110297374</v>
      </c>
      <c r="CD234" s="455">
        <f t="shared" si="508"/>
        <v>51.866680852503322</v>
      </c>
      <c r="CE234" s="455">
        <f t="shared" si="508"/>
        <v>52.904014469553388</v>
      </c>
      <c r="CF234" s="455">
        <f t="shared" si="508"/>
        <v>53.96209475894446</v>
      </c>
      <c r="CG234" s="588"/>
      <c r="CH234" s="588"/>
      <c r="CI234" s="588"/>
      <c r="CJ234" s="588"/>
      <c r="CK234" s="331"/>
      <c r="CL234" s="1277" t="str">
        <f t="shared" si="495"/>
        <v>Hollywood Tunica (MS)</v>
      </c>
      <c r="CM234" s="454">
        <f>G234</f>
        <v>117.508</v>
      </c>
      <c r="CN234" s="454">
        <f>L234</f>
        <v>107.434</v>
      </c>
      <c r="CO234" s="454">
        <f>Q234</f>
        <v>106.35299999999999</v>
      </c>
      <c r="CP234" s="454">
        <f>V234</f>
        <v>103.858</v>
      </c>
      <c r="CQ234" s="454">
        <f>AA234</f>
        <v>88.54</v>
      </c>
      <c r="CR234" s="454">
        <f>AF234</f>
        <v>92.896000000000001</v>
      </c>
      <c r="CS234" s="454">
        <f>AK234</f>
        <v>84.554999999999993</v>
      </c>
      <c r="CT234" s="454">
        <f>AP234</f>
        <v>70.430300000000003</v>
      </c>
      <c r="CU234" s="454">
        <f>AU234</f>
        <v>70.899169999999998</v>
      </c>
      <c r="CV234" s="454">
        <f>AZ234</f>
        <v>66.241841099999988</v>
      </c>
      <c r="CW234" s="454">
        <f>BE234</f>
        <v>62.524300535999998</v>
      </c>
      <c r="CX234" s="454">
        <f>BJ234</f>
        <v>62.059283784359998</v>
      </c>
      <c r="CY234" s="454">
        <f>BO234</f>
        <v>61.983656339403609</v>
      </c>
      <c r="CZ234" s="454">
        <f>BT234</f>
        <v>55.785290705463247</v>
      </c>
      <c r="DA234" s="454">
        <f t="shared" ref="DA234:DC238" si="509">BY234</f>
        <v>56.343143612517871</v>
      </c>
      <c r="DB234" s="454">
        <f t="shared" si="509"/>
        <v>56.343143612517871</v>
      </c>
      <c r="DC234" s="1666">
        <f t="shared" si="509"/>
        <v>56.343143612517871</v>
      </c>
      <c r="DD234" s="331"/>
      <c r="DE234" s="331"/>
      <c r="DF234" s="502"/>
      <c r="DG234" s="503"/>
      <c r="DH234" s="2915"/>
      <c r="DI234" s="3213"/>
      <c r="DJ234" s="502"/>
      <c r="DK234" s="503"/>
      <c r="DL234" s="502"/>
      <c r="DM234" s="502"/>
      <c r="DN234" s="502"/>
      <c r="DO234" s="502"/>
      <c r="DP234" s="503"/>
      <c r="DQ234" s="503"/>
      <c r="DR234" s="296"/>
      <c r="DS234" s="296"/>
      <c r="DT234" s="296"/>
    </row>
    <row r="235" spans="1:130" ht="12.6" customHeight="1" outlineLevel="1" x14ac:dyDescent="0.25">
      <c r="A235" s="2666" t="s">
        <v>2569</v>
      </c>
      <c r="B235" s="281"/>
      <c r="C235" s="446"/>
      <c r="D235" s="446"/>
      <c r="E235" s="446"/>
      <c r="F235" s="446"/>
      <c r="G235" s="447"/>
      <c r="H235" s="446"/>
      <c r="I235" s="446"/>
      <c r="J235" s="446"/>
      <c r="K235" s="446"/>
      <c r="L235" s="447"/>
      <c r="M235" s="446"/>
      <c r="N235" s="446"/>
      <c r="O235" s="446"/>
      <c r="P235" s="446"/>
      <c r="Q235" s="447"/>
      <c r="R235" s="446"/>
      <c r="S235" s="446"/>
      <c r="T235" s="446"/>
      <c r="U235" s="446"/>
      <c r="V235" s="447"/>
      <c r="W235" s="446"/>
      <c r="X235" s="446"/>
      <c r="Y235" s="446"/>
      <c r="Z235" s="446"/>
      <c r="AA235" s="447"/>
      <c r="AB235" s="446"/>
      <c r="AC235" s="446"/>
      <c r="AD235" s="446"/>
      <c r="AE235" s="454"/>
      <c r="AF235" s="455"/>
      <c r="AG235" s="454"/>
      <c r="AH235" s="454"/>
      <c r="AI235" s="454"/>
      <c r="AJ235" s="454"/>
      <c r="AK235" s="455"/>
      <c r="AL235" s="454"/>
      <c r="AM235" s="454"/>
      <c r="AN235" s="454"/>
      <c r="AO235" s="454"/>
      <c r="AP235" s="456"/>
      <c r="AQ235" s="456"/>
      <c r="AR235" s="454"/>
      <c r="AS235" s="454"/>
      <c r="AT235" s="454"/>
      <c r="AU235" s="455"/>
      <c r="AV235" s="454"/>
      <c r="AW235" s="454"/>
      <c r="AX235" s="454"/>
      <c r="AY235" s="1666"/>
      <c r="AZ235" s="1666"/>
      <c r="BA235" s="454"/>
      <c r="BB235" s="454"/>
      <c r="BC235" s="454"/>
      <c r="BD235" s="1666"/>
      <c r="BE235" s="1666"/>
      <c r="BF235" s="454"/>
      <c r="BG235" s="454"/>
      <c r="BH235" s="454"/>
      <c r="BI235" s="1666"/>
      <c r="BJ235" s="1666"/>
      <c r="BK235" s="454"/>
      <c r="BL235" s="454"/>
      <c r="BM235" s="454"/>
      <c r="BN235" s="1666"/>
      <c r="BO235" s="1666"/>
      <c r="BP235" s="454"/>
      <c r="BQ235" s="3320">
        <f>+BQ729*(2/3)</f>
        <v>12.190439122264637</v>
      </c>
      <c r="BR235" s="454">
        <f>+BR729</f>
        <v>18.663786696187856</v>
      </c>
      <c r="BS235" s="1666">
        <f>+BS729</f>
        <v>18.307191378094725</v>
      </c>
      <c r="BT235" s="3070">
        <f t="shared" si="500"/>
        <v>49.16141719654722</v>
      </c>
      <c r="BU235" s="2915">
        <f t="shared" ref="BU235:CA235" si="510">+BU729</f>
        <v>22.750713923352038</v>
      </c>
      <c r="BV235" s="2915">
        <f t="shared" si="510"/>
        <v>18.559943563647909</v>
      </c>
      <c r="BW235" s="2915">
        <f t="shared" si="510"/>
        <v>18.94374349663067</v>
      </c>
      <c r="BX235" s="2915">
        <f t="shared" si="510"/>
        <v>18.581799248766146</v>
      </c>
      <c r="BY235" s="3066">
        <f t="shared" si="501"/>
        <v>78.836200232396763</v>
      </c>
      <c r="BZ235" s="455">
        <f t="shared" si="510"/>
        <v>78.836200232396763</v>
      </c>
      <c r="CA235" s="455">
        <f t="shared" si="510"/>
        <v>78.836200232396763</v>
      </c>
      <c r="CB235" s="455"/>
      <c r="CC235" s="455"/>
      <c r="CD235" s="455"/>
      <c r="CE235" s="455"/>
      <c r="CF235" s="455"/>
      <c r="CG235" s="588"/>
      <c r="CH235" s="588"/>
      <c r="CI235" s="588"/>
      <c r="CJ235" s="588"/>
      <c r="CK235" s="331"/>
      <c r="CL235" s="1277" t="str">
        <f t="shared" si="495"/>
        <v>Ballys / Resorts Tunica (MS)</v>
      </c>
      <c r="CM235" s="454"/>
      <c r="CN235" s="454"/>
      <c r="CO235" s="454"/>
      <c r="CP235" s="454"/>
      <c r="CQ235" s="454"/>
      <c r="CR235" s="454"/>
      <c r="CS235" s="454"/>
      <c r="CT235" s="454"/>
      <c r="CU235" s="454"/>
      <c r="CV235" s="454"/>
      <c r="CW235" s="454"/>
      <c r="CX235" s="454"/>
      <c r="CY235" s="454"/>
      <c r="CZ235" s="454"/>
      <c r="DA235" s="454"/>
      <c r="DB235" s="454"/>
      <c r="DC235" s="1666"/>
      <c r="DD235" s="331"/>
      <c r="DE235" s="331"/>
      <c r="DF235" s="502"/>
      <c r="DG235" s="503"/>
      <c r="DH235" s="2915"/>
      <c r="DI235" s="3213"/>
      <c r="DJ235" s="502"/>
      <c r="DK235" s="503"/>
      <c r="DL235" s="502"/>
      <c r="DM235" s="502"/>
      <c r="DN235" s="502"/>
      <c r="DO235" s="502"/>
      <c r="DP235" s="503"/>
      <c r="DQ235" s="503"/>
      <c r="DR235" s="296"/>
      <c r="DS235" s="296"/>
      <c r="DT235" s="296"/>
    </row>
    <row r="236" spans="1:130" ht="12.6" customHeight="1" outlineLevel="1" x14ac:dyDescent="0.25">
      <c r="A236" s="392" t="s">
        <v>615</v>
      </c>
      <c r="B236" s="281"/>
      <c r="C236" s="446">
        <f>C748</f>
        <v>28.600999999999999</v>
      </c>
      <c r="D236" s="446">
        <f>D748</f>
        <v>28.056999999999999</v>
      </c>
      <c r="E236" s="446">
        <f>E748</f>
        <v>25.507000000000001</v>
      </c>
      <c r="F236" s="446">
        <f>F748</f>
        <v>24.071000000000002</v>
      </c>
      <c r="G236" s="447">
        <f>SUM(C236:F236)</f>
        <v>106.236</v>
      </c>
      <c r="H236" s="446">
        <f>H748</f>
        <v>26.634</v>
      </c>
      <c r="I236" s="446">
        <f>I748</f>
        <v>26.576000000000001</v>
      </c>
      <c r="J236" s="446">
        <f>J748</f>
        <v>16.366</v>
      </c>
      <c r="K236" s="446">
        <f>K748</f>
        <v>0</v>
      </c>
      <c r="L236" s="447">
        <f>SUM(H236:K236)</f>
        <v>69.575999999999993</v>
      </c>
      <c r="M236" s="446">
        <f>M748</f>
        <v>0</v>
      </c>
      <c r="N236" s="446">
        <f>N748</f>
        <v>0</v>
      </c>
      <c r="O236" s="446">
        <f>O748</f>
        <v>10.766999999999999</v>
      </c>
      <c r="P236" s="446">
        <f>P748</f>
        <v>21.417000000000002</v>
      </c>
      <c r="Q236" s="447">
        <f>SUM(M236:P236)</f>
        <v>32.183999999999997</v>
      </c>
      <c r="R236" s="446">
        <f>R748</f>
        <v>23.484000000000002</v>
      </c>
      <c r="S236" s="446">
        <f>S748</f>
        <v>25.466000000000001</v>
      </c>
      <c r="T236" s="446">
        <f>T748</f>
        <v>24.545000000000002</v>
      </c>
      <c r="U236" s="446">
        <f>U748</f>
        <v>23.126999999999999</v>
      </c>
      <c r="V236" s="447">
        <f>SUM(R236:U236)</f>
        <v>96.622</v>
      </c>
      <c r="W236" s="446">
        <f>W748</f>
        <v>25.440999999999999</v>
      </c>
      <c r="X236" s="446">
        <f>X748</f>
        <v>25.850999999999999</v>
      </c>
      <c r="Y236" s="446">
        <f>Y748</f>
        <v>25.036999999999999</v>
      </c>
      <c r="Z236" s="446">
        <f>Z748</f>
        <v>25.667999999999999</v>
      </c>
      <c r="AA236" s="447">
        <f>SUM(W236:Z236)</f>
        <v>101.99700000000001</v>
      </c>
      <c r="AB236" s="446">
        <f>AB748</f>
        <v>25.989000000000001</v>
      </c>
      <c r="AC236" s="446">
        <f>AC748</f>
        <v>25.422000000000001</v>
      </c>
      <c r="AD236" s="446">
        <f>AD748</f>
        <v>23.393999999999998</v>
      </c>
      <c r="AE236" s="454">
        <f>AE748</f>
        <v>20.254999999999999</v>
      </c>
      <c r="AF236" s="455">
        <f>SUM(AB236:AE236)</f>
        <v>95.06</v>
      </c>
      <c r="AG236" s="454">
        <f>AG748</f>
        <v>21.33</v>
      </c>
      <c r="AH236" s="454">
        <f>AH748</f>
        <v>22.123000000000001</v>
      </c>
      <c r="AI236" s="454">
        <f>AI748</f>
        <v>22.436</v>
      </c>
      <c r="AJ236" s="454">
        <f>AJ748</f>
        <v>20.853999999999999</v>
      </c>
      <c r="AK236" s="455">
        <f>SUM(AG236:AJ236)</f>
        <v>86.743000000000009</v>
      </c>
      <c r="AL236" s="454">
        <f t="shared" ref="AL236:AY236" si="511">AL748</f>
        <v>21.811</v>
      </c>
      <c r="AM236" s="454">
        <f t="shared" si="511"/>
        <v>21.632000000000001</v>
      </c>
      <c r="AN236" s="454">
        <f t="shared" si="511"/>
        <v>20.865479999999998</v>
      </c>
      <c r="AO236" s="454">
        <f t="shared" si="511"/>
        <v>19.394219999999997</v>
      </c>
      <c r="AP236" s="456">
        <f t="shared" si="511"/>
        <v>83.702699999999993</v>
      </c>
      <c r="AQ236" s="456">
        <f t="shared" si="511"/>
        <v>21.811</v>
      </c>
      <c r="AR236" s="454">
        <f t="shared" si="511"/>
        <v>21.199360000000002</v>
      </c>
      <c r="AS236" s="454">
        <f t="shared" si="511"/>
        <v>20.865479999999998</v>
      </c>
      <c r="AT236" s="454">
        <f t="shared" si="511"/>
        <v>18.424508999999997</v>
      </c>
      <c r="AU236" s="455">
        <f t="shared" si="511"/>
        <v>82.300348999999997</v>
      </c>
      <c r="AV236" s="454">
        <f t="shared" si="511"/>
        <v>20.284229999999997</v>
      </c>
      <c r="AW236" s="454">
        <f t="shared" si="511"/>
        <v>19.715404800000002</v>
      </c>
      <c r="AX236" s="454">
        <f t="shared" si="511"/>
        <v>19.1962416</v>
      </c>
      <c r="AY236" s="1666">
        <f t="shared" si="511"/>
        <v>17.687528639999996</v>
      </c>
      <c r="AZ236" s="1666">
        <f>SUM(AV236:AY236)</f>
        <v>76.883405039999985</v>
      </c>
      <c r="BA236" s="454">
        <f>BA748</f>
        <v>19.067176199999995</v>
      </c>
      <c r="BB236" s="454">
        <f>BB748</f>
        <v>18.335326464000001</v>
      </c>
      <c r="BC236" s="454">
        <f>BC748</f>
        <v>18.428391936000001</v>
      </c>
      <c r="BD236" s="1666">
        <f>BD748</f>
        <v>17.156902780799996</v>
      </c>
      <c r="BE236" s="1666">
        <f>SUM(BA236:BD236)</f>
        <v>72.987797380799989</v>
      </c>
      <c r="BF236" s="454">
        <f>BF748</f>
        <v>18.685832675999993</v>
      </c>
      <c r="BG236" s="454">
        <f>BG748</f>
        <v>18.518679728640002</v>
      </c>
      <c r="BH236" s="454">
        <f>BH748</f>
        <v>18.612675855359999</v>
      </c>
      <c r="BI236" s="1666">
        <f>BI748</f>
        <v>16.985333752991995</v>
      </c>
      <c r="BJ236" s="1666">
        <f>SUM(BF236:BI236)</f>
        <v>72.802522012991986</v>
      </c>
      <c r="BK236" s="454">
        <f>BK748</f>
        <v>18.498974349239994</v>
      </c>
      <c r="BL236" s="454">
        <f>BL748</f>
        <v>18.703866525926401</v>
      </c>
      <c r="BM236" s="454">
        <f>BM748</f>
        <v>18.798802613913598</v>
      </c>
      <c r="BN236" s="1666">
        <f>BN748</f>
        <v>17.155187090521913</v>
      </c>
      <c r="BO236" s="1666">
        <f t="shared" si="499"/>
        <v>73.156830579601916</v>
      </c>
      <c r="BP236" s="454">
        <f>BP748</f>
        <v>18.683964092732396</v>
      </c>
      <c r="BQ236" s="454">
        <f>BQ748</f>
        <v>18.890905191185666</v>
      </c>
      <c r="BR236" s="454">
        <f>BR748</f>
        <v>19.17477866619187</v>
      </c>
      <c r="BS236" s="1666">
        <f>BS748</f>
        <v>15.439668381469723</v>
      </c>
      <c r="BT236" s="3070">
        <f t="shared" si="500"/>
        <v>72.189316331579647</v>
      </c>
      <c r="BU236" s="2915">
        <f>BU748</f>
        <v>18.964223554123379</v>
      </c>
      <c r="BV236" s="2915">
        <f>BV748</f>
        <v>19.174268769053448</v>
      </c>
      <c r="BW236" s="2915">
        <f>BW748</f>
        <v>19.462400346184747</v>
      </c>
      <c r="BX236" s="2915">
        <f>BX748</f>
        <v>16.983635219616698</v>
      </c>
      <c r="BY236" s="3066">
        <f t="shared" si="501"/>
        <v>74.584527888978272</v>
      </c>
      <c r="BZ236" s="455">
        <f t="shared" ref="BZ236:CF236" si="512">BZ748</f>
        <v>75.330373167868061</v>
      </c>
      <c r="CA236" s="455">
        <f t="shared" si="512"/>
        <v>75.330373167868061</v>
      </c>
      <c r="CB236" s="455">
        <f t="shared" si="512"/>
        <v>71.563854509474652</v>
      </c>
      <c r="CC236" s="455">
        <f t="shared" si="512"/>
        <v>67.985661784000911</v>
      </c>
      <c r="CD236" s="455">
        <f t="shared" si="512"/>
        <v>69.34537501968093</v>
      </c>
      <c r="CE236" s="455">
        <f t="shared" si="512"/>
        <v>70.732282520074548</v>
      </c>
      <c r="CF236" s="455">
        <f t="shared" si="512"/>
        <v>72.146928170476045</v>
      </c>
      <c r="CG236" s="588"/>
      <c r="CH236" s="588"/>
      <c r="CI236" s="588"/>
      <c r="CJ236" s="588"/>
      <c r="CK236" s="331"/>
      <c r="CL236" s="995" t="str">
        <f t="shared" si="495"/>
        <v>Hollywood Bay St. Louis (MS)</v>
      </c>
      <c r="CM236" s="454">
        <f>G236</f>
        <v>106.236</v>
      </c>
      <c r="CN236" s="454">
        <f>L236</f>
        <v>69.575999999999993</v>
      </c>
      <c r="CO236" s="454">
        <f>Q236</f>
        <v>32.183999999999997</v>
      </c>
      <c r="CP236" s="454">
        <f>V236</f>
        <v>96.622</v>
      </c>
      <c r="CQ236" s="454">
        <f>AA236</f>
        <v>101.99700000000001</v>
      </c>
      <c r="CR236" s="454">
        <f>AF236</f>
        <v>95.06</v>
      </c>
      <c r="CS236" s="454">
        <f>AK236</f>
        <v>86.743000000000009</v>
      </c>
      <c r="CT236" s="454">
        <f>AP236</f>
        <v>83.702699999999993</v>
      </c>
      <c r="CU236" s="454">
        <f>AU236</f>
        <v>82.300348999999997</v>
      </c>
      <c r="CV236" s="454">
        <f>AZ236</f>
        <v>76.883405039999985</v>
      </c>
      <c r="CW236" s="454">
        <f>BE236</f>
        <v>72.987797380799989</v>
      </c>
      <c r="CX236" s="454">
        <f>BJ236</f>
        <v>72.802522012991986</v>
      </c>
      <c r="CY236" s="454">
        <f>BO236</f>
        <v>73.156830579601916</v>
      </c>
      <c r="CZ236" s="454">
        <f>BT236</f>
        <v>72.189316331579647</v>
      </c>
      <c r="DA236" s="454">
        <f t="shared" si="509"/>
        <v>74.584527888978272</v>
      </c>
      <c r="DB236" s="454">
        <f t="shared" si="509"/>
        <v>75.330373167868061</v>
      </c>
      <c r="DC236" s="1666">
        <f t="shared" si="509"/>
        <v>75.330373167868061</v>
      </c>
      <c r="DD236" s="331"/>
      <c r="DE236" s="331"/>
      <c r="DF236" s="502"/>
      <c r="DG236" s="503"/>
      <c r="DH236" s="2915"/>
      <c r="DI236" s="3213"/>
      <c r="DJ236" s="502"/>
      <c r="DK236" s="503"/>
      <c r="DL236" s="502"/>
      <c r="DM236" s="502"/>
      <c r="DN236" s="502"/>
      <c r="DO236" s="502"/>
      <c r="DP236" s="503"/>
      <c r="DQ236" s="503"/>
      <c r="DR236" s="296"/>
      <c r="DS236" s="296"/>
      <c r="DT236" s="296"/>
    </row>
    <row r="237" spans="1:130" ht="12.6" customHeight="1" outlineLevel="1" x14ac:dyDescent="0.25">
      <c r="A237" s="391" t="s">
        <v>1453</v>
      </c>
      <c r="B237" s="281"/>
      <c r="C237" s="446">
        <f>C767</f>
        <v>19.594999999999999</v>
      </c>
      <c r="D237" s="446">
        <f>D767</f>
        <v>17.373000000000001</v>
      </c>
      <c r="E237" s="446">
        <f>E767</f>
        <v>16.815999999999999</v>
      </c>
      <c r="F237" s="446">
        <f>F767</f>
        <v>16.606999999999999</v>
      </c>
      <c r="G237" s="447">
        <f>SUM(C237:F237)</f>
        <v>70.391000000000005</v>
      </c>
      <c r="H237" s="446">
        <f>H767</f>
        <v>18.263999999999999</v>
      </c>
      <c r="I237" s="446">
        <f>I767</f>
        <v>16.791</v>
      </c>
      <c r="J237" s="446">
        <f>J767</f>
        <v>10.782</v>
      </c>
      <c r="K237" s="446">
        <f>K767</f>
        <v>0</v>
      </c>
      <c r="L237" s="447">
        <f>SUM(H237:K237)</f>
        <v>45.837000000000003</v>
      </c>
      <c r="M237" s="446">
        <f>M767</f>
        <v>0</v>
      </c>
      <c r="N237" s="446">
        <f>N767</f>
        <v>1.01</v>
      </c>
      <c r="O237" s="446">
        <f>O767</f>
        <v>27.927</v>
      </c>
      <c r="P237" s="446">
        <f>P767</f>
        <v>22.484000000000002</v>
      </c>
      <c r="Q237" s="447">
        <f>SUM(M237:P237)</f>
        <v>51.421000000000006</v>
      </c>
      <c r="R237" s="446">
        <f>R767</f>
        <v>24.067</v>
      </c>
      <c r="S237" s="446">
        <f>S767</f>
        <v>22.670999999999999</v>
      </c>
      <c r="T237" s="446">
        <f>T767</f>
        <v>20.861000000000001</v>
      </c>
      <c r="U237" s="446">
        <f>U767</f>
        <v>18.559999999999999</v>
      </c>
      <c r="V237" s="447">
        <f>SUM(R237:U237)</f>
        <v>86.159000000000006</v>
      </c>
      <c r="W237" s="446">
        <f>W767</f>
        <v>20.648</v>
      </c>
      <c r="X237" s="446">
        <f>X767</f>
        <v>18.957999999999998</v>
      </c>
      <c r="Y237" s="446">
        <f>Y767</f>
        <v>18.013000000000002</v>
      </c>
      <c r="Z237" s="446">
        <f>Z767</f>
        <v>18.082000000000001</v>
      </c>
      <c r="AA237" s="447">
        <f>SUM(W237:Z237)</f>
        <v>75.700999999999993</v>
      </c>
      <c r="AB237" s="446">
        <f>AB767</f>
        <v>19.943000000000001</v>
      </c>
      <c r="AC237" s="446">
        <f>AC767</f>
        <v>18.919</v>
      </c>
      <c r="AD237" s="446">
        <f>AD767</f>
        <v>18.332999999999998</v>
      </c>
      <c r="AE237" s="454">
        <f>AE767</f>
        <v>16.686</v>
      </c>
      <c r="AF237" s="455">
        <f>SUM(AB237:AE237)</f>
        <v>73.881</v>
      </c>
      <c r="AG237" s="454">
        <f>AG767</f>
        <v>18.207000000000001</v>
      </c>
      <c r="AH237" s="454">
        <f>AH767</f>
        <v>17.11</v>
      </c>
      <c r="AI237" s="454">
        <f>AI767</f>
        <v>18.27</v>
      </c>
      <c r="AJ237" s="454">
        <f>AJ767</f>
        <v>17.436</v>
      </c>
      <c r="AK237" s="455">
        <f>SUM(AG237:AJ237)</f>
        <v>71.022999999999996</v>
      </c>
      <c r="AL237" s="454">
        <f t="shared" ref="AL237:AY237" si="513">AL767</f>
        <v>18.853000000000002</v>
      </c>
      <c r="AM237" s="454">
        <f t="shared" si="513"/>
        <v>17.331</v>
      </c>
      <c r="AN237" s="454">
        <f t="shared" si="513"/>
        <v>18.361349999999998</v>
      </c>
      <c r="AO237" s="454">
        <f t="shared" si="513"/>
        <v>16.5642</v>
      </c>
      <c r="AP237" s="456">
        <f t="shared" si="513"/>
        <v>71.109549999999999</v>
      </c>
      <c r="AQ237" s="456">
        <f t="shared" si="513"/>
        <v>17.910350000000001</v>
      </c>
      <c r="AR237" s="454">
        <f t="shared" si="513"/>
        <v>16.63776</v>
      </c>
      <c r="AS237" s="454">
        <f t="shared" si="513"/>
        <v>15.607147499999998</v>
      </c>
      <c r="AT237" s="454">
        <f t="shared" si="513"/>
        <v>14.907780000000001</v>
      </c>
      <c r="AU237" s="455">
        <f t="shared" si="513"/>
        <v>65.063037499999993</v>
      </c>
      <c r="AV237" s="454">
        <f t="shared" si="513"/>
        <v>14.77603875</v>
      </c>
      <c r="AW237" s="454">
        <f t="shared" si="513"/>
        <v>14.973984</v>
      </c>
      <c r="AX237" s="454">
        <f t="shared" si="513"/>
        <v>14.046432749999999</v>
      </c>
      <c r="AY237" s="1666">
        <f t="shared" si="513"/>
        <v>13.8642354</v>
      </c>
      <c r="AZ237" s="1666">
        <f>SUM(AV237:AY237)</f>
        <v>57.660690899999999</v>
      </c>
      <c r="BA237" s="454">
        <f>BA767</f>
        <v>13.889476424999998</v>
      </c>
      <c r="BB237" s="454">
        <f>BB767</f>
        <v>13.92580512</v>
      </c>
      <c r="BC237" s="454">
        <f>BC767</f>
        <v>13.484575439999999</v>
      </c>
      <c r="BD237" s="1666">
        <f>BD767</f>
        <v>13.448308338</v>
      </c>
      <c r="BE237" s="1666">
        <f>SUM(BA237:BD237)</f>
        <v>54.748165322999995</v>
      </c>
      <c r="BF237" s="454">
        <f>BF767</f>
        <v>13.611686896499998</v>
      </c>
      <c r="BG237" s="454">
        <f>BG767</f>
        <v>14.0650631712</v>
      </c>
      <c r="BH237" s="454">
        <f>BH767</f>
        <v>13.619421194399999</v>
      </c>
      <c r="BI237" s="1666">
        <f>BI767</f>
        <v>13.11210062955</v>
      </c>
      <c r="BJ237" s="1666">
        <f>SUM(BF237:BI237)</f>
        <v>54.408271891649996</v>
      </c>
      <c r="BK237" s="454">
        <f>BK767</f>
        <v>12.5908103792625</v>
      </c>
      <c r="BL237" s="454">
        <f>BL767</f>
        <v>13.010183433360002</v>
      </c>
      <c r="BM237" s="454">
        <f>BM767</f>
        <v>12.59796460482</v>
      </c>
      <c r="BN237" s="1666">
        <f>BN767</f>
        <v>12.128693082333751</v>
      </c>
      <c r="BO237" s="1666">
        <f t="shared" si="499"/>
        <v>50.327651499776252</v>
      </c>
      <c r="BP237" s="454">
        <f>BP767</f>
        <v>11.709453652714124</v>
      </c>
      <c r="BQ237" s="454">
        <f>BQ767</f>
        <v>12.099470593024801</v>
      </c>
      <c r="BR237" s="454">
        <f>BR767</f>
        <v>12.0940460206272</v>
      </c>
      <c r="BS237" s="1666">
        <f>BS767</f>
        <v>10.915823774100376</v>
      </c>
      <c r="BT237" s="3070">
        <f t="shared" si="500"/>
        <v>46.8187940404665</v>
      </c>
      <c r="BU237" s="2915">
        <f>BU767</f>
        <v>11.826548189241265</v>
      </c>
      <c r="BV237" s="2915">
        <f>BV767</f>
        <v>12.22046529895505</v>
      </c>
      <c r="BW237" s="2915">
        <f>BW767</f>
        <v>12.214986480833472</v>
      </c>
      <c r="BX237" s="2915">
        <f>BX767</f>
        <v>12.007406151510414</v>
      </c>
      <c r="BY237" s="3066">
        <f t="shared" si="501"/>
        <v>48.269406120540204</v>
      </c>
      <c r="BZ237" s="455">
        <f t="shared" ref="BZ237:CF237" si="514">BZ767</f>
        <v>48.5107531511429</v>
      </c>
      <c r="CA237" s="455">
        <f t="shared" si="514"/>
        <v>48.5107531511429</v>
      </c>
      <c r="CB237" s="455">
        <f t="shared" si="514"/>
        <v>46.08521549358575</v>
      </c>
      <c r="CC237" s="455">
        <f t="shared" si="514"/>
        <v>43.780954718906457</v>
      </c>
      <c r="CD237" s="455">
        <f t="shared" si="514"/>
        <v>44.656573813284588</v>
      </c>
      <c r="CE237" s="455">
        <f t="shared" si="514"/>
        <v>45.549705289550282</v>
      </c>
      <c r="CF237" s="455">
        <f t="shared" si="514"/>
        <v>46.460699395341287</v>
      </c>
      <c r="CG237" s="588"/>
      <c r="CH237" s="588"/>
      <c r="CI237" s="588"/>
      <c r="CJ237" s="588"/>
      <c r="CK237" s="331"/>
      <c r="CL237" s="1277" t="str">
        <f t="shared" si="495"/>
        <v>Boomtown Biloxi (MS)</v>
      </c>
      <c r="CM237" s="454">
        <f>G237</f>
        <v>70.391000000000005</v>
      </c>
      <c r="CN237" s="454">
        <f>L237</f>
        <v>45.837000000000003</v>
      </c>
      <c r="CO237" s="454">
        <f>Q237</f>
        <v>51.421000000000006</v>
      </c>
      <c r="CP237" s="454">
        <f>V237</f>
        <v>86.159000000000006</v>
      </c>
      <c r="CQ237" s="454">
        <f>AA237</f>
        <v>75.700999999999993</v>
      </c>
      <c r="CR237" s="454">
        <f>AF237</f>
        <v>73.881</v>
      </c>
      <c r="CS237" s="454">
        <f>AK237</f>
        <v>71.022999999999996</v>
      </c>
      <c r="CT237" s="454">
        <f>AP237</f>
        <v>71.109549999999999</v>
      </c>
      <c r="CU237" s="454">
        <f>AU237</f>
        <v>65.063037499999993</v>
      </c>
      <c r="CV237" s="454">
        <f>AZ237</f>
        <v>57.660690899999999</v>
      </c>
      <c r="CW237" s="454">
        <f>BE237</f>
        <v>54.748165322999995</v>
      </c>
      <c r="CX237" s="454">
        <f>BJ237</f>
        <v>54.408271891649996</v>
      </c>
      <c r="CY237" s="454">
        <f>BO237</f>
        <v>50.327651499776252</v>
      </c>
      <c r="CZ237" s="454">
        <f>BT237</f>
        <v>46.8187940404665</v>
      </c>
      <c r="DA237" s="454">
        <f t="shared" si="509"/>
        <v>48.269406120540204</v>
      </c>
      <c r="DB237" s="454">
        <f t="shared" si="509"/>
        <v>48.5107531511429</v>
      </c>
      <c r="DC237" s="1666">
        <f t="shared" si="509"/>
        <v>48.5107531511429</v>
      </c>
      <c r="DD237" s="331"/>
      <c r="DE237" s="331"/>
      <c r="DF237" s="502"/>
      <c r="DG237" s="503"/>
      <c r="DH237" s="2915"/>
      <c r="DI237" s="3213"/>
      <c r="DJ237" s="502"/>
      <c r="DK237" s="503"/>
      <c r="DL237" s="502"/>
      <c r="DM237" s="502"/>
      <c r="DN237" s="502"/>
      <c r="DO237" s="502"/>
      <c r="DP237" s="503"/>
      <c r="DQ237" s="503"/>
      <c r="DR237" s="296"/>
      <c r="DS237" s="296"/>
      <c r="DT237" s="296"/>
    </row>
    <row r="238" spans="1:130" ht="12.6" customHeight="1" outlineLevel="1" x14ac:dyDescent="0.25">
      <c r="A238" s="2605" t="s">
        <v>207</v>
      </c>
      <c r="B238" s="281"/>
      <c r="C238" s="430"/>
      <c r="D238" s="430"/>
      <c r="E238" s="430"/>
      <c r="F238" s="430"/>
      <c r="G238" s="481"/>
      <c r="H238" s="430"/>
      <c r="I238" s="430"/>
      <c r="J238" s="430"/>
      <c r="K238" s="430"/>
      <c r="L238" s="481"/>
      <c r="M238" s="430"/>
      <c r="N238" s="430"/>
      <c r="O238" s="430"/>
      <c r="P238" s="430"/>
      <c r="Q238" s="481"/>
      <c r="R238" s="430"/>
      <c r="S238" s="430"/>
      <c r="T238" s="430"/>
      <c r="U238" s="430"/>
      <c r="V238" s="481"/>
      <c r="W238" s="509"/>
      <c r="X238" s="509"/>
      <c r="Y238" s="509"/>
      <c r="Z238" s="509"/>
      <c r="AA238" s="510"/>
      <c r="AB238" s="509"/>
      <c r="AC238" s="509"/>
      <c r="AD238" s="509"/>
      <c r="AE238" s="430"/>
      <c r="AF238" s="481"/>
      <c r="AG238" s="430"/>
      <c r="AH238" s="430"/>
      <c r="AI238" s="430"/>
      <c r="AJ238" s="430"/>
      <c r="AK238" s="481"/>
      <c r="AL238" s="2080"/>
      <c r="AM238" s="2080"/>
      <c r="AN238" s="2080"/>
      <c r="AO238" s="2080"/>
      <c r="AP238" s="481"/>
      <c r="AQ238" s="2083"/>
      <c r="AR238" s="2080"/>
      <c r="AS238" s="2080"/>
      <c r="AT238" s="2080"/>
      <c r="AU238" s="481"/>
      <c r="AV238" s="2080">
        <f>AV10-(AV230+AV231+AV232)</f>
        <v>-0.20855840000000114</v>
      </c>
      <c r="AW238" s="2080">
        <f>AW10-(AW230+AW231+AW232)</f>
        <v>-1.517090599999996</v>
      </c>
      <c r="AX238" s="2080">
        <f>AX10-(AX230+AX231+AX232)</f>
        <v>-0.64118769199999548</v>
      </c>
      <c r="AY238" s="2080">
        <f>AY10-(AY230+AY231+AY232)</f>
        <v>-2.3898583629999948</v>
      </c>
      <c r="AZ238" s="455">
        <f>SUM(AV238:AY238)</f>
        <v>-4.7566950549999873</v>
      </c>
      <c r="BA238" s="2080">
        <f>BA10-(BA230+BA231+BA232+BA233+BA234+BA236+BA237)</f>
        <v>-1.6643498909999863</v>
      </c>
      <c r="BB238" s="2080">
        <f>BB10-(BB230+BB231+BB232+BB233+BB234+BB236+BB237)</f>
        <v>0.44448987600000578</v>
      </c>
      <c r="BC238" s="2080">
        <f>BC10-(BC230+BC231+BC232+BC233+BC234+BC236+BC237)</f>
        <v>3.1159019468000082</v>
      </c>
      <c r="BD238" s="2080">
        <f>BD10-(BD230+BD231+BD232+BD233+BD234+BD236+BD237)</f>
        <v>0.79031188190000989</v>
      </c>
      <c r="BE238" s="455">
        <f>SUM(BA238:BD238)</f>
        <v>2.6863538137000376</v>
      </c>
      <c r="BF238" s="2080">
        <f>BF10-(BF230+BF231+BF232+BF233+BF234+BF236+BF237)</f>
        <v>-0.12814269741998885</v>
      </c>
      <c r="BG238" s="2080">
        <f>BG10-(BG230+BG231+BG232+BG233+BG234+BG236+BG237)</f>
        <v>1.456775075080003</v>
      </c>
      <c r="BH238" s="2080">
        <f>BH10-(BH230+BH231+BH232+BH233+BH234+BH236+BH237)</f>
        <v>0.43199846703977585</v>
      </c>
      <c r="BI238" s="2080">
        <f>BI10-(BI230+BI231+BI232+BI233+BI234+BI236+BI237)</f>
        <v>0.82490773100013826</v>
      </c>
      <c r="BJ238" s="455">
        <f>SUM(BF238:BI238)</f>
        <v>2.5855385756999283</v>
      </c>
      <c r="BK238" s="2080">
        <f>BK10-(BK230+BK231+BK232+BK233+BK234+BK236+BK237)</f>
        <v>-0.80821338042613888</v>
      </c>
      <c r="BL238" s="2080">
        <f>BL10-(BL230+BL231+BL232+BL233+BL234+BL236+BL237)</f>
        <v>-0.52519896148120893</v>
      </c>
      <c r="BM238" s="2080">
        <f>BM10-(BM230+BM231+BM232+BM233+BM234+BM236+BM237)</f>
        <v>1.8400373894368158</v>
      </c>
      <c r="BN238" s="2080">
        <f>BN10-(BN230+BN231+BN232+BN233+BN234+BN236+BN237)</f>
        <v>-1.4314357336218109</v>
      </c>
      <c r="BO238" s="455">
        <f t="shared" si="499"/>
        <v>-0.92481068609234285</v>
      </c>
      <c r="BP238" s="2080">
        <f>BP10-(BP230+BP231+BP232+BP233+BP234+BP236+BP237)</f>
        <v>-1.0862037086485827</v>
      </c>
      <c r="BQ238" s="2080">
        <f>BQ10-(BQ230+BQ231+BQ232+BQ233+BQ234+BQ236+BQ237+BQ235)</f>
        <v>-2.2342676705924021</v>
      </c>
      <c r="BR238" s="2080">
        <f>BR10-(BR230+BR231+BR232+BR233+BR234+BR236+BR237+BR235)</f>
        <v>-0.85619582342974354</v>
      </c>
      <c r="BS238" s="2080">
        <f>BS10-(BS230+BS231+BS232+BS233+BS234+BS236+BS237+BS235)</f>
        <v>-0.26602566874709055</v>
      </c>
      <c r="BT238" s="2587">
        <f t="shared" si="500"/>
        <v>-4.4426928714178189</v>
      </c>
      <c r="BU238" s="3397"/>
      <c r="BV238" s="2840"/>
      <c r="BW238" s="2840"/>
      <c r="BX238" s="2840"/>
      <c r="BY238" s="2587">
        <f t="shared" si="501"/>
        <v>0</v>
      </c>
      <c r="BZ238" s="481"/>
      <c r="CA238" s="481"/>
      <c r="CB238" s="481"/>
      <c r="CC238" s="481"/>
      <c r="CD238" s="481"/>
      <c r="CE238" s="481"/>
      <c r="CF238" s="481"/>
      <c r="CG238" s="331"/>
      <c r="CH238" s="331"/>
      <c r="CI238" s="331"/>
      <c r="CJ238" s="331"/>
      <c r="CK238" s="331"/>
      <c r="CL238" s="995" t="str">
        <f t="shared" si="495"/>
        <v xml:space="preserve">Other - West </v>
      </c>
      <c r="CM238" s="430"/>
      <c r="CN238" s="430"/>
      <c r="CO238" s="430"/>
      <c r="CP238" s="430"/>
      <c r="CQ238" s="430"/>
      <c r="CR238" s="430"/>
      <c r="CS238" s="430"/>
      <c r="CT238" s="454">
        <f>AP238</f>
        <v>0</v>
      </c>
      <c r="CU238" s="454">
        <f>AU238</f>
        <v>0</v>
      </c>
      <c r="CV238" s="454">
        <f>AZ238</f>
        <v>-4.7566950549999873</v>
      </c>
      <c r="CW238" s="454">
        <f>BE238</f>
        <v>2.6863538137000376</v>
      </c>
      <c r="CX238" s="454">
        <f>BJ238</f>
        <v>2.5855385756999283</v>
      </c>
      <c r="CY238" s="454">
        <f>BO238</f>
        <v>-0.92481068609234285</v>
      </c>
      <c r="CZ238" s="454">
        <f>BT238</f>
        <v>-4.4426928714178189</v>
      </c>
      <c r="DA238" s="454">
        <f t="shared" si="509"/>
        <v>0</v>
      </c>
      <c r="DB238" s="454">
        <f t="shared" si="509"/>
        <v>0</v>
      </c>
      <c r="DC238" s="1666">
        <f t="shared" si="509"/>
        <v>0</v>
      </c>
      <c r="DD238" s="331"/>
      <c r="DE238" s="331"/>
      <c r="DF238" s="502"/>
      <c r="DG238" s="503"/>
      <c r="DH238" s="2840"/>
      <c r="DI238" s="3213"/>
      <c r="DJ238" s="502"/>
      <c r="DK238" s="503"/>
      <c r="DL238" s="502"/>
      <c r="DM238" s="502"/>
      <c r="DN238" s="502"/>
      <c r="DO238" s="502"/>
      <c r="DP238" s="503"/>
      <c r="DQ238" s="503"/>
      <c r="DR238" s="296"/>
      <c r="DS238" s="296"/>
      <c r="DT238" s="296"/>
    </row>
    <row r="239" spans="1:130" ht="12" customHeight="1" outlineLevel="1" x14ac:dyDescent="0.25">
      <c r="A239" s="2166" t="s">
        <v>1331</v>
      </c>
      <c r="B239" s="281"/>
      <c r="C239" s="446"/>
      <c r="D239" s="446"/>
      <c r="E239" s="446"/>
      <c r="F239" s="446"/>
      <c r="G239" s="447"/>
      <c r="H239" s="446"/>
      <c r="I239" s="446"/>
      <c r="J239" s="446"/>
      <c r="K239" s="446"/>
      <c r="L239" s="447"/>
      <c r="M239" s="446"/>
      <c r="N239" s="446"/>
      <c r="O239" s="446"/>
      <c r="P239" s="446"/>
      <c r="Q239" s="447"/>
      <c r="R239" s="446"/>
      <c r="S239" s="446"/>
      <c r="T239" s="446"/>
      <c r="U239" s="446"/>
      <c r="V239" s="447"/>
      <c r="W239" s="446"/>
      <c r="X239" s="446"/>
      <c r="Y239" s="446"/>
      <c r="Z239" s="446"/>
      <c r="AA239" s="447"/>
      <c r="AB239" s="446"/>
      <c r="AC239" s="446"/>
      <c r="AD239" s="446"/>
      <c r="AE239" s="454"/>
      <c r="AF239" s="455"/>
      <c r="AG239" s="454"/>
      <c r="AH239" s="454"/>
      <c r="AI239" s="454"/>
      <c r="AJ239" s="454"/>
      <c r="AK239" s="455"/>
      <c r="AL239" s="454"/>
      <c r="AM239" s="454"/>
      <c r="AN239" s="454"/>
      <c r="AO239" s="454"/>
      <c r="AP239" s="456"/>
      <c r="AQ239" s="456"/>
      <c r="AR239" s="454"/>
      <c r="AS239" s="454"/>
      <c r="AT239" s="454"/>
      <c r="AU239" s="455"/>
      <c r="AV239" s="454"/>
      <c r="AW239" s="454"/>
      <c r="AX239" s="454"/>
      <c r="AY239" s="1666"/>
      <c r="AZ239" s="1666"/>
      <c r="BA239" s="454"/>
      <c r="BB239" s="454"/>
      <c r="BC239" s="454"/>
      <c r="BD239" s="1666"/>
      <c r="BE239" s="1666"/>
      <c r="BF239" s="454"/>
      <c r="BG239" s="454"/>
      <c r="BH239" s="454"/>
      <c r="BI239" s="1666"/>
      <c r="BJ239" s="1666"/>
      <c r="BK239" s="454"/>
      <c r="BL239" s="454"/>
      <c r="BM239" s="454"/>
      <c r="BN239" s="1666"/>
      <c r="BO239" s="1666"/>
      <c r="BP239" s="454"/>
      <c r="BQ239" s="454"/>
      <c r="BR239" s="454"/>
      <c r="BS239" s="454"/>
      <c r="BT239" s="3066"/>
      <c r="BU239" s="3391"/>
      <c r="BV239" s="2915"/>
      <c r="BW239" s="2915"/>
      <c r="BX239" s="2915"/>
      <c r="BY239" s="3066"/>
      <c r="BZ239" s="455"/>
      <c r="CA239" s="455"/>
      <c r="CB239" s="455"/>
      <c r="CC239" s="455"/>
      <c r="CD239" s="455"/>
      <c r="CE239" s="455"/>
      <c r="CF239" s="455"/>
      <c r="CG239" s="476"/>
      <c r="CH239" s="476"/>
      <c r="CI239" s="476"/>
      <c r="CJ239" s="476"/>
      <c r="CK239" s="331"/>
      <c r="CL239" s="995" t="str">
        <f t="shared" si="495"/>
        <v>Midwest</v>
      </c>
      <c r="CM239" s="454"/>
      <c r="CN239" s="454"/>
      <c r="CO239" s="454"/>
      <c r="CP239" s="454"/>
      <c r="CQ239" s="454"/>
      <c r="CR239" s="454"/>
      <c r="CS239" s="454"/>
      <c r="CT239" s="454"/>
      <c r="CU239" s="454"/>
      <c r="CV239" s="454"/>
      <c r="CW239" s="454"/>
      <c r="CX239" s="454"/>
      <c r="CY239" s="454"/>
      <c r="CZ239" s="454"/>
      <c r="DA239" s="454"/>
      <c r="DB239" s="454"/>
      <c r="DC239" s="1666"/>
      <c r="DD239" s="331"/>
      <c r="DE239" s="331"/>
      <c r="DF239" s="502"/>
      <c r="DG239" s="503"/>
      <c r="DH239" s="2915"/>
      <c r="DI239" s="3213"/>
      <c r="DJ239" s="502"/>
      <c r="DK239" s="503"/>
      <c r="DL239" s="502"/>
      <c r="DM239" s="502"/>
      <c r="DN239" s="502"/>
      <c r="DO239" s="502"/>
      <c r="DP239" s="503"/>
      <c r="DQ239" s="503"/>
      <c r="DR239" s="296"/>
      <c r="DS239" s="296"/>
      <c r="DT239" s="296"/>
    </row>
    <row r="240" spans="1:130" ht="12.6" customHeight="1" outlineLevel="1" x14ac:dyDescent="0.25">
      <c r="A240" s="391" t="s">
        <v>1094</v>
      </c>
      <c r="B240" s="281"/>
      <c r="C240" s="446">
        <f>C796</f>
        <v>58.869</v>
      </c>
      <c r="D240" s="446">
        <f>D796</f>
        <v>57.475000000000001</v>
      </c>
      <c r="E240" s="446">
        <f>E796</f>
        <v>58.509</v>
      </c>
      <c r="F240" s="446">
        <f>F796</f>
        <v>57.731000000000002</v>
      </c>
      <c r="G240" s="447">
        <f t="shared" ref="G240:G245" si="515">SUM(C240:F240)</f>
        <v>232.584</v>
      </c>
      <c r="H240" s="446">
        <f>H796</f>
        <v>53.460999999999999</v>
      </c>
      <c r="I240" s="446">
        <f>I796</f>
        <v>57.781999999999996</v>
      </c>
      <c r="J240" s="446">
        <f>J796</f>
        <v>58.619</v>
      </c>
      <c r="K240" s="446">
        <f>K796</f>
        <v>62.030999999999999</v>
      </c>
      <c r="L240" s="447">
        <f t="shared" ref="L240:L245" si="516">SUM(H240:K240)</f>
        <v>231.893</v>
      </c>
      <c r="M240" s="446">
        <f>M796</f>
        <v>61.75</v>
      </c>
      <c r="N240" s="446">
        <f>N796</f>
        <v>60.703000000000003</v>
      </c>
      <c r="O240" s="446">
        <f>O796</f>
        <v>61.780999999999999</v>
      </c>
      <c r="P240" s="446">
        <f>P796</f>
        <v>61.241</v>
      </c>
      <c r="Q240" s="447">
        <f t="shared" ref="Q240:Q245" si="517">SUM(M240:P240)</f>
        <v>245.47500000000002</v>
      </c>
      <c r="R240" s="446">
        <f>R796</f>
        <v>64.5</v>
      </c>
      <c r="S240" s="446">
        <f>S796</f>
        <v>64.052000000000007</v>
      </c>
      <c r="T240" s="446">
        <f>T796</f>
        <v>63.755000000000003</v>
      </c>
      <c r="U240" s="446">
        <f>U796</f>
        <v>59.57</v>
      </c>
      <c r="V240" s="447">
        <f t="shared" ref="V240:V245" si="518">SUM(R240:U240)</f>
        <v>251.87700000000001</v>
      </c>
      <c r="W240" s="446">
        <f>W796</f>
        <v>53.625999999999998</v>
      </c>
      <c r="X240" s="446">
        <f>X796</f>
        <v>50.497</v>
      </c>
      <c r="Y240" s="446">
        <f>Y796</f>
        <v>49.256999999999998</v>
      </c>
      <c r="Z240" s="446">
        <f>Z796</f>
        <v>45.313000000000002</v>
      </c>
      <c r="AA240" s="447">
        <f t="shared" ref="AA240:AA245" si="519">SUM(W240:Z240)</f>
        <v>198.69299999999998</v>
      </c>
      <c r="AB240" s="446">
        <f>AB796</f>
        <v>48.753999999999998</v>
      </c>
      <c r="AC240" s="446">
        <f>AC796</f>
        <v>52.345999999999997</v>
      </c>
      <c r="AD240" s="446">
        <f>AD796</f>
        <v>43.38</v>
      </c>
      <c r="AE240" s="454">
        <f>AE796</f>
        <v>40.295999999999999</v>
      </c>
      <c r="AF240" s="455">
        <f t="shared" ref="AF240:AF245" si="520">SUM(AB240:AE240)</f>
        <v>184.77599999999998</v>
      </c>
      <c r="AG240" s="454">
        <f>AG796</f>
        <v>43.988999999999997</v>
      </c>
      <c r="AH240" s="454">
        <f>AH796</f>
        <v>41.889000000000003</v>
      </c>
      <c r="AI240" s="454">
        <f>AI796</f>
        <v>41.884999999999998</v>
      </c>
      <c r="AJ240" s="454">
        <f>AJ796</f>
        <v>40.494</v>
      </c>
      <c r="AK240" s="455">
        <f t="shared" ref="AK240:AK245" si="521">SUM(AG240:AJ240)</f>
        <v>168.25700000000001</v>
      </c>
      <c r="AL240" s="454">
        <f t="shared" ref="AL240:AY240" si="522">AL796</f>
        <v>42.286999999999999</v>
      </c>
      <c r="AM240" s="454">
        <f t="shared" si="522"/>
        <v>43.36</v>
      </c>
      <c r="AN240" s="454">
        <f t="shared" si="522"/>
        <v>41.469000000000001</v>
      </c>
      <c r="AO240" s="454">
        <f t="shared" si="522"/>
        <v>37.19</v>
      </c>
      <c r="AP240" s="456">
        <f t="shared" si="522"/>
        <v>164.30599999999998</v>
      </c>
      <c r="AQ240" s="456">
        <f t="shared" si="522"/>
        <v>36.189</v>
      </c>
      <c r="AR240" s="454">
        <f t="shared" si="522"/>
        <v>36.948999999999998</v>
      </c>
      <c r="AS240" s="454">
        <f t="shared" si="522"/>
        <v>36.125999999999998</v>
      </c>
      <c r="AT240" s="454">
        <f t="shared" si="522"/>
        <v>34.513999999999996</v>
      </c>
      <c r="AU240" s="455">
        <f t="shared" si="522"/>
        <v>143.77800000000002</v>
      </c>
      <c r="AV240" s="454">
        <f t="shared" si="522"/>
        <v>35.209271999999999</v>
      </c>
      <c r="AW240" s="454">
        <f t="shared" si="522"/>
        <v>36.233473000000004</v>
      </c>
      <c r="AX240" s="454">
        <f t="shared" si="522"/>
        <v>33.855093999999994</v>
      </c>
      <c r="AY240" s="1666">
        <f t="shared" si="522"/>
        <v>30.453983999999998</v>
      </c>
      <c r="AZ240" s="1666">
        <f t="shared" ref="AZ240:AZ249" si="523">SUM(AV240:AY240)</f>
        <v>135.751823</v>
      </c>
      <c r="BA240" s="454">
        <f>BA796</f>
        <v>29.234246999999996</v>
      </c>
      <c r="BB240" s="454">
        <f>BB796</f>
        <v>31.345424000000001</v>
      </c>
      <c r="BC240" s="454">
        <f>BC796</f>
        <v>29.966752</v>
      </c>
      <c r="BD240" s="1666">
        <f>BD796</f>
        <v>28.419910000000002</v>
      </c>
      <c r="BE240" s="1666">
        <f t="shared" ref="BE240:BE249" si="524">SUM(BA240:BD240)</f>
        <v>118.96633300000001</v>
      </c>
      <c r="BF240" s="454">
        <f>BF796</f>
        <v>28.407322999999998</v>
      </c>
      <c r="BG240" s="454">
        <f>BG796</f>
        <v>30.211692999999997</v>
      </c>
      <c r="BH240" s="454">
        <f>BH796</f>
        <v>27.485301</v>
      </c>
      <c r="BI240" s="1666">
        <f>BI796</f>
        <v>27.545582999999997</v>
      </c>
      <c r="BJ240" s="1666">
        <f t="shared" ref="BJ240:BJ249" si="525">SUM(BF240:BI240)</f>
        <v>113.64989999999999</v>
      </c>
      <c r="BK240" s="454">
        <f>BK796</f>
        <v>28.969566999999998</v>
      </c>
      <c r="BL240" s="454">
        <f>BL796</f>
        <v>28.7</v>
      </c>
      <c r="BM240" s="454">
        <f>BM796</f>
        <v>28.406834000000003</v>
      </c>
      <c r="BN240" s="1666">
        <f>BN796</f>
        <v>26.942206000000002</v>
      </c>
      <c r="BO240" s="1666">
        <f t="shared" ref="BO240:BO249" si="526">SUM(BK240:BN240)</f>
        <v>113.018607</v>
      </c>
      <c r="BP240" s="454">
        <f>BP796</f>
        <v>29.958572</v>
      </c>
      <c r="BQ240" s="454">
        <f>BQ796</f>
        <v>27.800344000000003</v>
      </c>
      <c r="BR240" s="454">
        <f>BR796</f>
        <v>28.446326999999997</v>
      </c>
      <c r="BS240" s="454">
        <f>BS796</f>
        <v>26.686271999999999</v>
      </c>
      <c r="BT240" s="3066">
        <f t="shared" ref="BT240:BT249" si="527">SUM(BP240:BS240)</f>
        <v>112.891515</v>
      </c>
      <c r="BU240" s="2915">
        <f>BU796</f>
        <v>26.657595000000001</v>
      </c>
      <c r="BV240" s="2915">
        <f>BV796</f>
        <v>27.800344000000003</v>
      </c>
      <c r="BW240" s="2915">
        <f>BW796</f>
        <v>28.750790269999996</v>
      </c>
      <c r="BX240" s="2915">
        <f>BX796</f>
        <v>26.973134720000001</v>
      </c>
      <c r="BY240" s="3066">
        <f t="shared" ref="BY240:BY249" si="528">SUM(BU240:BX240)</f>
        <v>110.18186399</v>
      </c>
      <c r="BZ240" s="455">
        <f t="shared" ref="BZ240:CF240" si="529">BZ796</f>
        <v>111.3636826299</v>
      </c>
      <c r="CA240" s="455">
        <f t="shared" si="529"/>
        <v>111.3636826299</v>
      </c>
      <c r="CB240" s="455">
        <f t="shared" si="529"/>
        <v>105.39549849840499</v>
      </c>
      <c r="CC240" s="455">
        <f t="shared" si="529"/>
        <v>99.725723573484728</v>
      </c>
      <c r="CD240" s="455">
        <f t="shared" si="529"/>
        <v>101.88023804495442</v>
      </c>
      <c r="CE240" s="455">
        <f t="shared" si="529"/>
        <v>104.07784280585352</v>
      </c>
      <c r="CF240" s="455">
        <f t="shared" si="529"/>
        <v>106.31939966197059</v>
      </c>
      <c r="CG240" s="588"/>
      <c r="CH240" s="588"/>
      <c r="CI240" s="588"/>
      <c r="CJ240" s="588"/>
      <c r="CK240" s="331"/>
      <c r="CL240" s="1277" t="str">
        <f t="shared" si="495"/>
        <v>Hollywood Aurora (IL)</v>
      </c>
      <c r="CM240" s="454">
        <f t="shared" ref="CM240:CM247" si="530">G240</f>
        <v>232.584</v>
      </c>
      <c r="CN240" s="454">
        <f t="shared" ref="CN240:CN247" si="531">L240</f>
        <v>231.893</v>
      </c>
      <c r="CO240" s="454">
        <f t="shared" ref="CO240:CO247" si="532">Q240</f>
        <v>245.47500000000002</v>
      </c>
      <c r="CP240" s="454">
        <f t="shared" ref="CP240:CP247" si="533">V240</f>
        <v>251.87700000000001</v>
      </c>
      <c r="CQ240" s="454">
        <f t="shared" ref="CQ240:CQ247" si="534">AA240</f>
        <v>198.69299999999998</v>
      </c>
      <c r="CR240" s="454">
        <f t="shared" ref="CR240:CR247" si="535">AF240</f>
        <v>184.77599999999998</v>
      </c>
      <c r="CS240" s="454">
        <f t="shared" ref="CS240:CS247" si="536">AK240</f>
        <v>168.25700000000001</v>
      </c>
      <c r="CT240" s="454">
        <f t="shared" ref="CT240:CT247" si="537">AP240</f>
        <v>164.30599999999998</v>
      </c>
      <c r="CU240" s="454">
        <f t="shared" ref="CU240:CU247" si="538">AU240</f>
        <v>143.77800000000002</v>
      </c>
      <c r="CV240" s="454">
        <f t="shared" ref="CV240:CV247" si="539">AZ240</f>
        <v>135.751823</v>
      </c>
      <c r="CW240" s="454">
        <f t="shared" ref="CW240:CW247" si="540">BE240</f>
        <v>118.96633300000001</v>
      </c>
      <c r="CX240" s="454">
        <f t="shared" ref="CX240:CX247" si="541">BJ240</f>
        <v>113.64989999999999</v>
      </c>
      <c r="CY240" s="454">
        <f t="shared" ref="CY240:CY247" si="542">BO240</f>
        <v>113.018607</v>
      </c>
      <c r="CZ240" s="454">
        <f t="shared" ref="CZ240:CZ247" si="543">BT240</f>
        <v>112.891515</v>
      </c>
      <c r="DA240" s="454">
        <f t="shared" ref="DA240:DA247" si="544">BY240</f>
        <v>110.18186399</v>
      </c>
      <c r="DB240" s="454">
        <f t="shared" ref="DB240:DB247" si="545">BZ240</f>
        <v>111.3636826299</v>
      </c>
      <c r="DC240" s="1666">
        <f t="shared" ref="DC240:DC247" si="546">CA240</f>
        <v>111.3636826299</v>
      </c>
      <c r="DD240" s="331"/>
      <c r="DE240" s="331"/>
      <c r="DF240" s="502"/>
      <c r="DG240" s="503"/>
      <c r="DH240" s="2915"/>
      <c r="DI240" s="3213"/>
      <c r="DJ240" s="502"/>
      <c r="DK240" s="503"/>
      <c r="DL240" s="502"/>
      <c r="DM240" s="502"/>
      <c r="DN240" s="502"/>
      <c r="DO240" s="502"/>
      <c r="DP240" s="503"/>
      <c r="DQ240" s="503"/>
      <c r="DR240" s="296"/>
      <c r="DS240" s="296"/>
      <c r="DT240" s="296"/>
    </row>
    <row r="241" spans="1:130" ht="12.6" customHeight="1" outlineLevel="1" x14ac:dyDescent="0.25">
      <c r="A241" s="391" t="s">
        <v>1786</v>
      </c>
      <c r="B241" s="281"/>
      <c r="C241" s="453">
        <v>0</v>
      </c>
      <c r="D241" s="453">
        <v>0</v>
      </c>
      <c r="E241" s="453">
        <v>0</v>
      </c>
      <c r="F241" s="453">
        <v>0</v>
      </c>
      <c r="G241" s="447">
        <f t="shared" si="515"/>
        <v>0</v>
      </c>
      <c r="H241" s="453">
        <v>0</v>
      </c>
      <c r="I241" s="453">
        <v>0</v>
      </c>
      <c r="J241" s="453">
        <v>0</v>
      </c>
      <c r="K241" s="446">
        <f>K827</f>
        <v>62.322000000000003</v>
      </c>
      <c r="L241" s="447">
        <f t="shared" si="516"/>
        <v>62.322000000000003</v>
      </c>
      <c r="M241" s="446">
        <f>M827</f>
        <v>60.317</v>
      </c>
      <c r="N241" s="446">
        <f>N827</f>
        <v>59.735999999999997</v>
      </c>
      <c r="O241" s="446">
        <f>O827</f>
        <v>59.851999999999997</v>
      </c>
      <c r="P241" s="446">
        <f>P827</f>
        <v>58.939</v>
      </c>
      <c r="Q241" s="447">
        <f t="shared" si="517"/>
        <v>238.84399999999999</v>
      </c>
      <c r="R241" s="446">
        <f>R827</f>
        <v>59.613</v>
      </c>
      <c r="S241" s="446">
        <f>S827</f>
        <v>58.493000000000002</v>
      </c>
      <c r="T241" s="446">
        <f>T827</f>
        <v>55.926000000000002</v>
      </c>
      <c r="U241" s="446">
        <f>U827</f>
        <v>51.762</v>
      </c>
      <c r="V241" s="447">
        <f t="shared" si="518"/>
        <v>225.79399999999998</v>
      </c>
      <c r="W241" s="446">
        <f>W827</f>
        <v>44.643999999999998</v>
      </c>
      <c r="X241" s="446">
        <f>X827</f>
        <v>44.658999999999999</v>
      </c>
      <c r="Y241" s="446">
        <f>Y827</f>
        <v>42.915999999999997</v>
      </c>
      <c r="Z241" s="446">
        <f>Z827</f>
        <v>36.444000000000003</v>
      </c>
      <c r="AA241" s="447">
        <f t="shared" si="519"/>
        <v>168.66300000000001</v>
      </c>
      <c r="AB241" s="446">
        <f>AB827</f>
        <v>32.869</v>
      </c>
      <c r="AC241" s="446">
        <f>AC827</f>
        <v>3.64</v>
      </c>
      <c r="AD241" s="446">
        <f>AD827</f>
        <v>38.613</v>
      </c>
      <c r="AE241" s="454">
        <f>AE827</f>
        <v>31.936</v>
      </c>
      <c r="AF241" s="455">
        <f t="shared" si="520"/>
        <v>107.05799999999999</v>
      </c>
      <c r="AG241" s="454">
        <f>AG827</f>
        <v>36.043999999999997</v>
      </c>
      <c r="AH241" s="454">
        <f>AH827</f>
        <v>34.408000000000001</v>
      </c>
      <c r="AI241" s="454">
        <f>AI827</f>
        <v>32.256</v>
      </c>
      <c r="AJ241" s="454">
        <f>AJ827</f>
        <v>31.113</v>
      </c>
      <c r="AK241" s="455">
        <f t="shared" si="521"/>
        <v>133.821</v>
      </c>
      <c r="AL241" s="454">
        <f t="shared" ref="AL241:AY241" si="547">AL827</f>
        <v>39.002000000000002</v>
      </c>
      <c r="AM241" s="454">
        <f t="shared" si="547"/>
        <v>38.923999999999999</v>
      </c>
      <c r="AN241" s="454">
        <f t="shared" si="547"/>
        <v>32.870999999999995</v>
      </c>
      <c r="AO241" s="454">
        <f t="shared" si="547"/>
        <v>28.994</v>
      </c>
      <c r="AP241" s="456">
        <f t="shared" si="547"/>
        <v>139.791</v>
      </c>
      <c r="AQ241" s="456">
        <f t="shared" si="547"/>
        <v>33.682000000000002</v>
      </c>
      <c r="AR241" s="454">
        <f t="shared" si="547"/>
        <v>33.875999999999998</v>
      </c>
      <c r="AS241" s="454">
        <f t="shared" si="547"/>
        <v>36.149000000000001</v>
      </c>
      <c r="AT241" s="454">
        <f t="shared" si="547"/>
        <v>32.088999999999999</v>
      </c>
      <c r="AU241" s="455">
        <f t="shared" si="547"/>
        <v>135.79599999999999</v>
      </c>
      <c r="AV241" s="454">
        <f t="shared" si="547"/>
        <v>33.135998000000001</v>
      </c>
      <c r="AW241" s="454">
        <f t="shared" si="547"/>
        <v>33.705632000000001</v>
      </c>
      <c r="AX241" s="454">
        <f t="shared" si="547"/>
        <v>30.455390999999995</v>
      </c>
      <c r="AY241" s="1666">
        <f t="shared" si="547"/>
        <v>27.964942999999998</v>
      </c>
      <c r="AZ241" s="1666">
        <f t="shared" si="523"/>
        <v>125.26196400000001</v>
      </c>
      <c r="BA241" s="454">
        <f>BA827</f>
        <v>27.131957999999997</v>
      </c>
      <c r="BB241" s="454">
        <f>BB827</f>
        <v>31.087440000000001</v>
      </c>
      <c r="BC241" s="454">
        <f>BC827</f>
        <v>29.074675999999997</v>
      </c>
      <c r="BD241" s="1666">
        <f>BD827</f>
        <v>27.315315999999996</v>
      </c>
      <c r="BE241" s="1666">
        <f t="shared" si="524"/>
        <v>114.60938999999999</v>
      </c>
      <c r="BF241" s="454">
        <f>BF827</f>
        <v>28.205186999999999</v>
      </c>
      <c r="BG241" s="454">
        <f>BG827</f>
        <v>32.315408999999995</v>
      </c>
      <c r="BH241" s="454">
        <f>BH827</f>
        <v>31.156564000000003</v>
      </c>
      <c r="BI241" s="1666">
        <f>BI827</f>
        <v>27.625692999999998</v>
      </c>
      <c r="BJ241" s="1666">
        <f t="shared" si="525"/>
        <v>119.302853</v>
      </c>
      <c r="BK241" s="454">
        <f>BK827</f>
        <v>29.401687999999996</v>
      </c>
      <c r="BL241" s="454">
        <f>BL827</f>
        <v>29.1</v>
      </c>
      <c r="BM241" s="454">
        <f>BM827</f>
        <v>27.988585</v>
      </c>
      <c r="BN241" s="1666">
        <f>BN827</f>
        <v>25.869340000000001</v>
      </c>
      <c r="BO241" s="1666">
        <f t="shared" si="526"/>
        <v>112.359613</v>
      </c>
      <c r="BP241" s="454">
        <f>BP827</f>
        <v>28.681711</v>
      </c>
      <c r="BQ241" s="454">
        <f>BQ827</f>
        <v>29.423943000000001</v>
      </c>
      <c r="BR241" s="454">
        <f>BR827</f>
        <v>30.264961</v>
      </c>
      <c r="BS241" s="454">
        <f>BS827</f>
        <v>26.870128000000001</v>
      </c>
      <c r="BT241" s="3066">
        <f t="shared" si="527"/>
        <v>115.24074300000001</v>
      </c>
      <c r="BU241" s="2915">
        <f>BU827</f>
        <v>27.019148999999999</v>
      </c>
      <c r="BV241" s="2915">
        <f>BV827</f>
        <v>29.423943000000001</v>
      </c>
      <c r="BW241" s="2915">
        <f>BW827</f>
        <v>30.587610609999999</v>
      </c>
      <c r="BX241" s="2915">
        <f>BX827</f>
        <v>27.158829280000003</v>
      </c>
      <c r="BY241" s="3066">
        <f t="shared" si="528"/>
        <v>114.18953189</v>
      </c>
      <c r="BZ241" s="455">
        <f t="shared" ref="BZ241:CF241" si="548">BZ827</f>
        <v>114.18953189</v>
      </c>
      <c r="CA241" s="455">
        <f t="shared" si="548"/>
        <v>111.74574125219999</v>
      </c>
      <c r="CB241" s="455">
        <f t="shared" si="548"/>
        <v>109.75845418958998</v>
      </c>
      <c r="CC241" s="455">
        <f t="shared" si="548"/>
        <v>104.07053148011047</v>
      </c>
      <c r="CD241" s="455">
        <f t="shared" si="548"/>
        <v>106.23194210971269</v>
      </c>
      <c r="CE241" s="455">
        <f t="shared" si="548"/>
        <v>108.43658095190695</v>
      </c>
      <c r="CF241" s="455">
        <f t="shared" si="548"/>
        <v>110.68531257094509</v>
      </c>
      <c r="CG241" s="588"/>
      <c r="CH241" s="588"/>
      <c r="CI241" s="588"/>
      <c r="CJ241" s="588"/>
      <c r="CK241" s="331"/>
      <c r="CL241" s="1277" t="str">
        <f t="shared" si="495"/>
        <v>Hollywood Casino Joliet (IL)</v>
      </c>
      <c r="CM241" s="454">
        <f t="shared" si="530"/>
        <v>0</v>
      </c>
      <c r="CN241" s="454">
        <f t="shared" si="531"/>
        <v>62.322000000000003</v>
      </c>
      <c r="CO241" s="454">
        <f t="shared" si="532"/>
        <v>238.84399999999999</v>
      </c>
      <c r="CP241" s="454">
        <f t="shared" si="533"/>
        <v>225.79399999999998</v>
      </c>
      <c r="CQ241" s="454">
        <f t="shared" si="534"/>
        <v>168.66300000000001</v>
      </c>
      <c r="CR241" s="454">
        <f t="shared" si="535"/>
        <v>107.05799999999999</v>
      </c>
      <c r="CS241" s="454">
        <f t="shared" si="536"/>
        <v>133.821</v>
      </c>
      <c r="CT241" s="454">
        <f t="shared" si="537"/>
        <v>139.791</v>
      </c>
      <c r="CU241" s="454">
        <f t="shared" si="538"/>
        <v>135.79599999999999</v>
      </c>
      <c r="CV241" s="454">
        <f t="shared" si="539"/>
        <v>125.26196400000001</v>
      </c>
      <c r="CW241" s="454">
        <f t="shared" si="540"/>
        <v>114.60938999999999</v>
      </c>
      <c r="CX241" s="454">
        <f t="shared" si="541"/>
        <v>119.302853</v>
      </c>
      <c r="CY241" s="454">
        <f t="shared" si="542"/>
        <v>112.359613</v>
      </c>
      <c r="CZ241" s="454">
        <f t="shared" si="543"/>
        <v>115.24074300000001</v>
      </c>
      <c r="DA241" s="454">
        <f t="shared" si="544"/>
        <v>114.18953189</v>
      </c>
      <c r="DB241" s="454">
        <f t="shared" si="545"/>
        <v>114.18953189</v>
      </c>
      <c r="DC241" s="1666">
        <f t="shared" si="546"/>
        <v>111.74574125219999</v>
      </c>
      <c r="DD241" s="331"/>
      <c r="DE241" s="331"/>
      <c r="DF241" s="502"/>
      <c r="DG241" s="503"/>
      <c r="DH241" s="2915"/>
      <c r="DI241" s="3213"/>
      <c r="DJ241" s="502"/>
      <c r="DK241" s="503"/>
      <c r="DL241" s="502"/>
      <c r="DM241" s="502"/>
      <c r="DN241" s="502"/>
      <c r="DO241" s="502"/>
      <c r="DP241" s="503"/>
      <c r="DQ241" s="503"/>
      <c r="DR241" s="296"/>
      <c r="DS241" s="296"/>
      <c r="DT241" s="296"/>
    </row>
    <row r="242" spans="1:130" ht="12.6" customHeight="1" outlineLevel="1" x14ac:dyDescent="0.25">
      <c r="A242" s="391" t="s">
        <v>1020</v>
      </c>
      <c r="B242" s="281"/>
      <c r="C242" s="458">
        <v>0</v>
      </c>
      <c r="D242" s="458">
        <v>0</v>
      </c>
      <c r="E242" s="458">
        <v>0</v>
      </c>
      <c r="F242" s="458">
        <v>0</v>
      </c>
      <c r="G242" s="447">
        <f t="shared" si="515"/>
        <v>0</v>
      </c>
      <c r="H242" s="458">
        <v>0</v>
      </c>
      <c r="I242" s="458">
        <v>0</v>
      </c>
      <c r="J242" s="458">
        <v>0</v>
      </c>
      <c r="K242" s="446">
        <f>K858</f>
        <v>27.695</v>
      </c>
      <c r="L242" s="447">
        <f t="shared" si="516"/>
        <v>27.695</v>
      </c>
      <c r="M242" s="446">
        <f>M858</f>
        <v>29.518999999999998</v>
      </c>
      <c r="N242" s="446">
        <f>N858</f>
        <v>28.204999999999998</v>
      </c>
      <c r="O242" s="446">
        <f>O858</f>
        <v>29.09</v>
      </c>
      <c r="P242" s="446">
        <f>P858</f>
        <v>28.38</v>
      </c>
      <c r="Q242" s="447">
        <f t="shared" si="517"/>
        <v>115.19399999999999</v>
      </c>
      <c r="R242" s="446">
        <f>R858</f>
        <v>30.863</v>
      </c>
      <c r="S242" s="446">
        <f>S858</f>
        <v>30.366</v>
      </c>
      <c r="T242" s="446">
        <f>T858</f>
        <v>30.05</v>
      </c>
      <c r="U242" s="446">
        <f>U858</f>
        <v>27.887</v>
      </c>
      <c r="V242" s="447">
        <f t="shared" si="518"/>
        <v>119.166</v>
      </c>
      <c r="W242" s="446">
        <f>W858</f>
        <v>22.696999999999999</v>
      </c>
      <c r="X242" s="446">
        <f>X858</f>
        <v>21.731000000000002</v>
      </c>
      <c r="Y242" s="446">
        <f>Y858</f>
        <v>20.728000000000002</v>
      </c>
      <c r="Z242" s="446">
        <f>Z858</f>
        <v>18.884</v>
      </c>
      <c r="AA242" s="447">
        <f t="shared" si="519"/>
        <v>84.04</v>
      </c>
      <c r="AB242" s="446">
        <f>AB858</f>
        <v>20.599</v>
      </c>
      <c r="AC242" s="446">
        <f>AC858</f>
        <v>20.5</v>
      </c>
      <c r="AD242" s="446">
        <f>AD858</f>
        <v>19.748999999999999</v>
      </c>
      <c r="AE242" s="454">
        <f>AE858</f>
        <v>17.382000000000001</v>
      </c>
      <c r="AF242" s="455">
        <f t="shared" si="520"/>
        <v>78.23</v>
      </c>
      <c r="AG242" s="454">
        <f>AG858</f>
        <v>18.617999999999999</v>
      </c>
      <c r="AH242" s="454">
        <f>AH858</f>
        <v>18.138000000000002</v>
      </c>
      <c r="AI242" s="454">
        <f>AI858</f>
        <v>18.626000000000001</v>
      </c>
      <c r="AJ242" s="454">
        <f>AJ858</f>
        <v>16.898</v>
      </c>
      <c r="AK242" s="455">
        <f t="shared" si="521"/>
        <v>72.28</v>
      </c>
      <c r="AL242" s="454">
        <f t="shared" ref="AL242:AY242" si="549">AL858</f>
        <v>18.23</v>
      </c>
      <c r="AM242" s="454">
        <f t="shared" si="549"/>
        <v>18.106000000000002</v>
      </c>
      <c r="AN242" s="454">
        <f t="shared" si="549"/>
        <v>16.890000000000004</v>
      </c>
      <c r="AO242" s="454">
        <f t="shared" si="549"/>
        <v>15.834000000000003</v>
      </c>
      <c r="AP242" s="456">
        <f t="shared" si="549"/>
        <v>69.06</v>
      </c>
      <c r="AQ242" s="456">
        <f t="shared" si="549"/>
        <v>17.267000000000003</v>
      </c>
      <c r="AR242" s="454">
        <f t="shared" si="549"/>
        <v>16.917000000000002</v>
      </c>
      <c r="AS242" s="454">
        <f t="shared" si="549"/>
        <v>16.933000000000003</v>
      </c>
      <c r="AT242" s="454">
        <f t="shared" si="549"/>
        <v>15.824000000000002</v>
      </c>
      <c r="AU242" s="455">
        <f t="shared" si="549"/>
        <v>66.941000000000003</v>
      </c>
      <c r="AV242" s="454">
        <f t="shared" si="549"/>
        <v>16.768926000000004</v>
      </c>
      <c r="AW242" s="454">
        <f t="shared" si="549"/>
        <v>14.971563000000003</v>
      </c>
      <c r="AX242" s="454">
        <f t="shared" si="549"/>
        <v>14.950263000000003</v>
      </c>
      <c r="AY242" s="1666">
        <f t="shared" si="549"/>
        <v>13.542350000000004</v>
      </c>
      <c r="AZ242" s="1666">
        <f t="shared" si="523"/>
        <v>60.233102000000017</v>
      </c>
      <c r="BA242" s="454">
        <f>BA858</f>
        <v>13.169376</v>
      </c>
      <c r="BB242" s="454">
        <f>BB858</f>
        <v>12.979374</v>
      </c>
      <c r="BC242" s="454">
        <f>BC858</f>
        <v>12.715969000000001</v>
      </c>
      <c r="BD242" s="1666">
        <f>BD858</f>
        <v>11.681482000000001</v>
      </c>
      <c r="BE242" s="1666">
        <f t="shared" si="524"/>
        <v>50.546201000000003</v>
      </c>
      <c r="BF242" s="454">
        <f>BF858</f>
        <v>12.946052999999999</v>
      </c>
      <c r="BG242" s="454">
        <f>BG858</f>
        <v>13.271667000000001</v>
      </c>
      <c r="BH242" s="454">
        <f>BH858</f>
        <v>12.104216000000001</v>
      </c>
      <c r="BI242" s="1666">
        <f>BI858</f>
        <v>11.256263000000001</v>
      </c>
      <c r="BJ242" s="1666">
        <f t="shared" si="525"/>
        <v>49.578198999999998</v>
      </c>
      <c r="BK242" s="454">
        <f>BK858</f>
        <v>11.876076999999999</v>
      </c>
      <c r="BL242" s="454">
        <f>BL858</f>
        <v>12.2</v>
      </c>
      <c r="BM242" s="454">
        <f>BM858</f>
        <v>11.912684</v>
      </c>
      <c r="BN242" s="1666">
        <f>BN858</f>
        <v>10.222885</v>
      </c>
      <c r="BO242" s="1666">
        <f t="shared" si="526"/>
        <v>46.211645999999995</v>
      </c>
      <c r="BP242" s="454">
        <f>BP858</f>
        <v>11.389593000000001</v>
      </c>
      <c r="BQ242" s="454">
        <f>BQ858</f>
        <v>10.732147000000001</v>
      </c>
      <c r="BR242" s="454">
        <f>BR858</f>
        <v>10.470331</v>
      </c>
      <c r="BS242" s="454">
        <f>BS858</f>
        <v>9.8765839999999994</v>
      </c>
      <c r="BT242" s="3066">
        <f t="shared" si="527"/>
        <v>42.468655000000005</v>
      </c>
      <c r="BU242" s="2915">
        <f>BU858</f>
        <v>10.051483000000001</v>
      </c>
      <c r="BV242" s="2915">
        <f>BV858</f>
        <v>10.701432880000002</v>
      </c>
      <c r="BW242" s="2915">
        <f>BW858</f>
        <v>11.095034309999999</v>
      </c>
      <c r="BX242" s="2915">
        <f>BX858</f>
        <v>9.9903498399999986</v>
      </c>
      <c r="BY242" s="3066">
        <f t="shared" si="528"/>
        <v>41.838300029999999</v>
      </c>
      <c r="BZ242" s="455">
        <f t="shared" ref="BZ242:CF242" si="550">BZ858</f>
        <v>41.838300030000006</v>
      </c>
      <c r="CA242" s="455">
        <f t="shared" si="550"/>
        <v>40.881534029400008</v>
      </c>
      <c r="CB242" s="455">
        <f t="shared" si="550"/>
        <v>38.337457327930004</v>
      </c>
      <c r="CC242" s="455">
        <f t="shared" si="550"/>
        <v>35.910584461533503</v>
      </c>
      <c r="CD242" s="455">
        <f t="shared" si="550"/>
        <v>36.556796150764171</v>
      </c>
      <c r="CE242" s="455">
        <f t="shared" si="550"/>
        <v>37.219932073779461</v>
      </c>
      <c r="CF242" s="455">
        <f t="shared" si="550"/>
        <v>37.900330715255045</v>
      </c>
      <c r="CG242" s="588"/>
      <c r="CH242" s="588"/>
      <c r="CI242" s="588"/>
      <c r="CJ242" s="588"/>
      <c r="CK242" s="331"/>
      <c r="CL242" s="1277" t="str">
        <f t="shared" si="495"/>
        <v>Argosy Alton (IL)</v>
      </c>
      <c r="CM242" s="454">
        <f t="shared" si="530"/>
        <v>0</v>
      </c>
      <c r="CN242" s="454">
        <f t="shared" si="531"/>
        <v>27.695</v>
      </c>
      <c r="CO242" s="454">
        <f t="shared" si="532"/>
        <v>115.19399999999999</v>
      </c>
      <c r="CP242" s="454">
        <f t="shared" si="533"/>
        <v>119.166</v>
      </c>
      <c r="CQ242" s="454">
        <f t="shared" si="534"/>
        <v>84.04</v>
      </c>
      <c r="CR242" s="454">
        <f t="shared" si="535"/>
        <v>78.23</v>
      </c>
      <c r="CS242" s="454">
        <f t="shared" si="536"/>
        <v>72.28</v>
      </c>
      <c r="CT242" s="454">
        <f t="shared" si="537"/>
        <v>69.06</v>
      </c>
      <c r="CU242" s="454">
        <f t="shared" si="538"/>
        <v>66.941000000000003</v>
      </c>
      <c r="CV242" s="454">
        <f t="shared" si="539"/>
        <v>60.233102000000017</v>
      </c>
      <c r="CW242" s="454">
        <f t="shared" si="540"/>
        <v>50.546201000000003</v>
      </c>
      <c r="CX242" s="454">
        <f t="shared" si="541"/>
        <v>49.578198999999998</v>
      </c>
      <c r="CY242" s="454">
        <f t="shared" si="542"/>
        <v>46.211645999999995</v>
      </c>
      <c r="CZ242" s="454">
        <f t="shared" si="543"/>
        <v>42.468655000000005</v>
      </c>
      <c r="DA242" s="454">
        <f t="shared" si="544"/>
        <v>41.838300029999999</v>
      </c>
      <c r="DB242" s="454">
        <f t="shared" si="545"/>
        <v>41.838300030000006</v>
      </c>
      <c r="DC242" s="1666">
        <f t="shared" si="546"/>
        <v>40.881534029400008</v>
      </c>
      <c r="DD242" s="331"/>
      <c r="DE242" s="331"/>
      <c r="DF242" s="502"/>
      <c r="DG242" s="503"/>
      <c r="DH242" s="2915"/>
      <c r="DI242" s="3213"/>
      <c r="DJ242" s="502"/>
      <c r="DK242" s="503"/>
      <c r="DL242" s="502"/>
      <c r="DM242" s="502"/>
      <c r="DN242" s="502"/>
      <c r="DO242" s="502"/>
      <c r="DP242" s="503"/>
      <c r="DQ242" s="503"/>
      <c r="DR242" s="296"/>
      <c r="DS242" s="296"/>
      <c r="DT242" s="296"/>
    </row>
    <row r="243" spans="1:130" ht="12.6" customHeight="1" outlineLevel="1" x14ac:dyDescent="0.25">
      <c r="A243" s="2189" t="s">
        <v>1092</v>
      </c>
      <c r="B243" s="882"/>
      <c r="C243" s="2668">
        <v>0</v>
      </c>
      <c r="D243" s="2668">
        <v>0</v>
      </c>
      <c r="E243" s="2668">
        <v>0</v>
      </c>
      <c r="F243" s="2668">
        <v>0</v>
      </c>
      <c r="G243" s="475">
        <f>SUM(C243:F243)</f>
        <v>0</v>
      </c>
      <c r="H243" s="2668">
        <v>0</v>
      </c>
      <c r="I243" s="2668">
        <v>0</v>
      </c>
      <c r="J243" s="2668">
        <v>0</v>
      </c>
      <c r="K243" s="452">
        <f>K889</f>
        <v>109.541</v>
      </c>
      <c r="L243" s="475">
        <f>SUM(H243:K243)</f>
        <v>109.541</v>
      </c>
      <c r="M243" s="452">
        <f>M889</f>
        <v>120.163</v>
      </c>
      <c r="N243" s="452">
        <f>N889</f>
        <v>114.994</v>
      </c>
      <c r="O243" s="452">
        <f>O889</f>
        <v>120.206</v>
      </c>
      <c r="P243" s="452">
        <f>P889</f>
        <v>118.68300000000001</v>
      </c>
      <c r="Q243" s="475">
        <f>SUM(M243:P243)</f>
        <v>474.04599999999999</v>
      </c>
      <c r="R243" s="452">
        <f>R889</f>
        <v>121.858</v>
      </c>
      <c r="S243" s="452">
        <f>S889</f>
        <v>121.236</v>
      </c>
      <c r="T243" s="452">
        <f>T889</f>
        <v>121.777</v>
      </c>
      <c r="U243" s="452">
        <f>U889</f>
        <v>113.848</v>
      </c>
      <c r="V243" s="475">
        <f>SUM(R243:U243)</f>
        <v>478.71899999999999</v>
      </c>
      <c r="W243" s="452">
        <f>W889</f>
        <v>118.244</v>
      </c>
      <c r="X243" s="452">
        <f>X889</f>
        <v>111.404</v>
      </c>
      <c r="Y243" s="452">
        <f>Y889</f>
        <v>104.925</v>
      </c>
      <c r="Z243" s="452">
        <f>Z889</f>
        <v>97.509</v>
      </c>
      <c r="AA243" s="475">
        <f>SUM(W243:Z243)</f>
        <v>432.08199999999999</v>
      </c>
      <c r="AB243" s="452">
        <f>AB889</f>
        <v>101.501</v>
      </c>
      <c r="AC243" s="452">
        <f>AC889</f>
        <v>95.37</v>
      </c>
      <c r="AD243" s="452">
        <f>AD889</f>
        <v>119.286</v>
      </c>
      <c r="AE243" s="476">
        <f>AE889</f>
        <v>105.858</v>
      </c>
      <c r="AF243" s="477">
        <f>SUM(AB243:AE243)</f>
        <v>422.01500000000004</v>
      </c>
      <c r="AG243" s="476">
        <f>AG889</f>
        <v>111.04600000000001</v>
      </c>
      <c r="AH243" s="476">
        <f>AH889</f>
        <v>110.16500000000001</v>
      </c>
      <c r="AI243" s="476">
        <f>AI889</f>
        <v>110.949</v>
      </c>
      <c r="AJ243" s="476">
        <f>AJ889</f>
        <v>104.13800000000001</v>
      </c>
      <c r="AK243" s="477">
        <f>SUM(AG243:AJ243)</f>
        <v>436.298</v>
      </c>
      <c r="AL243" s="476">
        <f t="shared" ref="AL243:AY243" si="551">AL889</f>
        <v>110.976</v>
      </c>
      <c r="AM243" s="476">
        <f t="shared" si="551"/>
        <v>109.97499999999999</v>
      </c>
      <c r="AN243" s="476">
        <f t="shared" si="551"/>
        <v>110.50735900000001</v>
      </c>
      <c r="AO243" s="476">
        <f t="shared" si="551"/>
        <v>106.145044</v>
      </c>
      <c r="AP243" s="478">
        <f t="shared" si="551"/>
        <v>437.60340299999996</v>
      </c>
      <c r="AQ243" s="478">
        <f t="shared" si="551"/>
        <v>111.69997399999998</v>
      </c>
      <c r="AR243" s="476">
        <f t="shared" si="551"/>
        <v>101.92500699999998</v>
      </c>
      <c r="AS243" s="476">
        <f t="shared" si="551"/>
        <v>96.925848999999985</v>
      </c>
      <c r="AT243" s="476">
        <f t="shared" si="551"/>
        <v>85.957605000000001</v>
      </c>
      <c r="AU243" s="477">
        <f t="shared" si="551"/>
        <v>396.50843499999996</v>
      </c>
      <c r="AV243" s="476">
        <f t="shared" si="551"/>
        <v>87.040630964999991</v>
      </c>
      <c r="AW243" s="476">
        <f t="shared" si="551"/>
        <v>67.606205279999998</v>
      </c>
      <c r="AX243" s="476">
        <f t="shared" si="551"/>
        <v>62.938770210000001</v>
      </c>
      <c r="AY243" s="682">
        <f t="shared" si="551"/>
        <v>55.567248975000005</v>
      </c>
      <c r="AZ243" s="682">
        <f>SUM(AV243:AY243)</f>
        <v>273.15285542999999</v>
      </c>
      <c r="BA243" s="476">
        <f>BA889</f>
        <v>52.198169560000011</v>
      </c>
      <c r="BB243" s="476">
        <f>BB889</f>
        <v>49.582956359999997</v>
      </c>
      <c r="BC243" s="476">
        <f>BC889</f>
        <v>48.364577200000006</v>
      </c>
      <c r="BD243" s="682">
        <f>BD889</f>
        <v>46.8063997</v>
      </c>
      <c r="BE243" s="682">
        <f>SUM(BA243:BD243)</f>
        <v>196.95210281999999</v>
      </c>
      <c r="BF243" s="476">
        <f>BF889</f>
        <v>46.507575580000001</v>
      </c>
      <c r="BG243" s="476">
        <f>BG889</f>
        <v>46.127743510000002</v>
      </c>
      <c r="BH243" s="476">
        <f>BH889</f>
        <v>44.34916217</v>
      </c>
      <c r="BI243" s="682">
        <f>BI889</f>
        <v>44.106096590000007</v>
      </c>
      <c r="BJ243" s="682">
        <f>SUM(BF243:BI243)</f>
        <v>181.09057784999999</v>
      </c>
      <c r="BK243" s="476">
        <f>BK889</f>
        <v>45.879192150000002</v>
      </c>
      <c r="BL243" s="476">
        <f>BL889</f>
        <v>44.165999999999997</v>
      </c>
      <c r="BM243" s="476">
        <f>BM889</f>
        <v>44.186999999999998</v>
      </c>
      <c r="BN243" s="682">
        <f>BN889</f>
        <v>42.780071499999998</v>
      </c>
      <c r="BO243" s="682">
        <f>SUM(BK243:BN243)</f>
        <v>177.01226364999999</v>
      </c>
      <c r="BP243" s="476">
        <f>BP889</f>
        <v>43.860923630000002</v>
      </c>
      <c r="BQ243" s="476">
        <f>BQ889</f>
        <v>44.075715709999997</v>
      </c>
      <c r="BR243" s="476">
        <f>BR889</f>
        <v>47.091833810000004</v>
      </c>
      <c r="BS243" s="476">
        <f>BS889</f>
        <v>44.093866370000001</v>
      </c>
      <c r="BT243" s="2604">
        <f>SUM(BP243:BS243)</f>
        <v>179.12233952</v>
      </c>
      <c r="BU243" s="2577">
        <f>BU889</f>
        <v>44.913244759999998</v>
      </c>
      <c r="BV243" s="2577">
        <f>BV889</f>
        <v>44.957230024199994</v>
      </c>
      <c r="BW243" s="2577">
        <f>BW889</f>
        <v>47.798211317149992</v>
      </c>
      <c r="BX243" s="2577">
        <f>BX889</f>
        <v>44.755274365549994</v>
      </c>
      <c r="BY243" s="2604">
        <f t="shared" si="528"/>
        <v>182.42396046689998</v>
      </c>
      <c r="BZ243" s="477">
        <f t="shared" ref="BZ243:CF243" si="552">BZ889</f>
        <v>183.33608026923449</v>
      </c>
      <c r="CA243" s="477">
        <f t="shared" si="552"/>
        <v>183.33608026923449</v>
      </c>
      <c r="CB243" s="477">
        <f t="shared" si="552"/>
        <v>177.55120395005957</v>
      </c>
      <c r="CC243" s="477">
        <f t="shared" si="552"/>
        <v>168.67364375255659</v>
      </c>
      <c r="CD243" s="477">
        <f t="shared" si="552"/>
        <v>172.04711662760775</v>
      </c>
      <c r="CE243" s="477">
        <f t="shared" si="552"/>
        <v>175.48805896015992</v>
      </c>
      <c r="CF243" s="477">
        <f t="shared" si="552"/>
        <v>178.99782013936311</v>
      </c>
      <c r="CG243" s="588"/>
      <c r="CH243" s="588"/>
      <c r="CI243" s="588"/>
      <c r="CJ243" s="588"/>
      <c r="CK243" s="450"/>
      <c r="CL243" s="2226" t="str">
        <f t="shared" si="495"/>
        <v>Hollywood Lawrenceburg (IN)</v>
      </c>
      <c r="CM243" s="450">
        <f t="shared" si="530"/>
        <v>0</v>
      </c>
      <c r="CN243" s="450">
        <f t="shared" si="531"/>
        <v>109.541</v>
      </c>
      <c r="CO243" s="450">
        <f t="shared" si="532"/>
        <v>474.04599999999999</v>
      </c>
      <c r="CP243" s="450">
        <f t="shared" si="533"/>
        <v>478.71899999999999</v>
      </c>
      <c r="CQ243" s="450">
        <f t="shared" si="534"/>
        <v>432.08199999999999</v>
      </c>
      <c r="CR243" s="450">
        <f t="shared" si="535"/>
        <v>422.01500000000004</v>
      </c>
      <c r="CS243" s="450">
        <f t="shared" si="536"/>
        <v>436.298</v>
      </c>
      <c r="CT243" s="450">
        <f t="shared" si="537"/>
        <v>437.60340299999996</v>
      </c>
      <c r="CU243" s="450">
        <f t="shared" si="538"/>
        <v>396.50843499999996</v>
      </c>
      <c r="CV243" s="450">
        <f t="shared" si="539"/>
        <v>273.15285542999999</v>
      </c>
      <c r="CW243" s="450">
        <f t="shared" si="540"/>
        <v>196.95210281999999</v>
      </c>
      <c r="CX243" s="450">
        <f t="shared" si="541"/>
        <v>181.09057784999999</v>
      </c>
      <c r="CY243" s="450">
        <f t="shared" si="542"/>
        <v>177.01226364999999</v>
      </c>
      <c r="CZ243" s="450">
        <f t="shared" si="543"/>
        <v>179.12233952</v>
      </c>
      <c r="DA243" s="450">
        <f>BY243</f>
        <v>182.42396046689998</v>
      </c>
      <c r="DB243" s="450">
        <f>BZ243</f>
        <v>183.33608026923449</v>
      </c>
      <c r="DC243" s="1861">
        <f>CA243</f>
        <v>183.33608026923449</v>
      </c>
      <c r="DD243" s="450"/>
      <c r="DE243" s="450"/>
      <c r="DF243" s="2144"/>
      <c r="DG243" s="2144"/>
      <c r="DH243" s="2577"/>
      <c r="DI243" s="3213"/>
      <c r="DJ243" s="2144"/>
      <c r="DK243" s="2144"/>
      <c r="DL243" s="2144"/>
      <c r="DM243" s="2144"/>
      <c r="DN243" s="2144"/>
      <c r="DO243" s="2144"/>
      <c r="DP243" s="2144"/>
      <c r="DQ243" s="2144"/>
      <c r="DR243" s="2145"/>
      <c r="DS243" s="2145"/>
      <c r="DT243" s="2145"/>
    </row>
    <row r="244" spans="1:130" ht="12.6" customHeight="1" outlineLevel="1" x14ac:dyDescent="0.25">
      <c r="A244" s="392" t="s">
        <v>1093</v>
      </c>
      <c r="B244" s="281"/>
      <c r="C244" s="453">
        <v>0</v>
      </c>
      <c r="D244" s="453">
        <v>0</v>
      </c>
      <c r="E244" s="453">
        <v>0</v>
      </c>
      <c r="F244" s="453">
        <v>0</v>
      </c>
      <c r="G244" s="447">
        <f t="shared" si="515"/>
        <v>0</v>
      </c>
      <c r="H244" s="453">
        <v>0</v>
      </c>
      <c r="I244" s="453">
        <v>0</v>
      </c>
      <c r="J244" s="453">
        <v>0</v>
      </c>
      <c r="K244" s="446">
        <f>K920</f>
        <v>37.372999999999998</v>
      </c>
      <c r="L244" s="447">
        <f t="shared" si="516"/>
        <v>37.372999999999998</v>
      </c>
      <c r="M244" s="446">
        <f>M920</f>
        <v>38.994999999999997</v>
      </c>
      <c r="N244" s="446">
        <f>N920</f>
        <v>37.606999999999999</v>
      </c>
      <c r="O244" s="446">
        <f>O920</f>
        <v>37.999000000000002</v>
      </c>
      <c r="P244" s="446">
        <f>P920</f>
        <v>38.840000000000003</v>
      </c>
      <c r="Q244" s="447">
        <f t="shared" si="517"/>
        <v>153.441</v>
      </c>
      <c r="R244" s="446">
        <f>R920</f>
        <v>41.715000000000003</v>
      </c>
      <c r="S244" s="446">
        <f>S920</f>
        <v>43.116999999999997</v>
      </c>
      <c r="T244" s="446">
        <f>T920</f>
        <v>44.999000000000002</v>
      </c>
      <c r="U244" s="446">
        <f>U920</f>
        <v>44.594999999999999</v>
      </c>
      <c r="V244" s="447">
        <f t="shared" si="518"/>
        <v>174.42599999999999</v>
      </c>
      <c r="W244" s="446">
        <f>W920</f>
        <v>46.801000000000002</v>
      </c>
      <c r="X244" s="446">
        <f>X920</f>
        <v>46.146000000000001</v>
      </c>
      <c r="Y244" s="446">
        <f>Y920</f>
        <v>46.465000000000003</v>
      </c>
      <c r="Z244" s="446">
        <f>Z920</f>
        <v>46.72</v>
      </c>
      <c r="AA244" s="447">
        <f t="shared" si="519"/>
        <v>186.13200000000001</v>
      </c>
      <c r="AB244" s="446">
        <f>AB920</f>
        <v>50.295000000000002</v>
      </c>
      <c r="AC244" s="446">
        <f>AC920</f>
        <v>48.47</v>
      </c>
      <c r="AD244" s="446">
        <f>AD920</f>
        <v>48.539000000000001</v>
      </c>
      <c r="AE244" s="454">
        <f>AE920</f>
        <v>46.481000000000002</v>
      </c>
      <c r="AF244" s="455">
        <f t="shared" si="520"/>
        <v>193.785</v>
      </c>
      <c r="AG244" s="454">
        <f>AG920</f>
        <v>48.719000000000001</v>
      </c>
      <c r="AH244" s="454">
        <f>AH920</f>
        <v>47.482999999999997</v>
      </c>
      <c r="AI244" s="454">
        <f>AI920</f>
        <v>46.192</v>
      </c>
      <c r="AJ244" s="454">
        <f>AJ920</f>
        <v>47.308</v>
      </c>
      <c r="AK244" s="455">
        <f t="shared" si="521"/>
        <v>189.702</v>
      </c>
      <c r="AL244" s="454">
        <f t="shared" ref="AL244:AY244" si="553">AL920</f>
        <v>48.19</v>
      </c>
      <c r="AM244" s="454">
        <f t="shared" si="553"/>
        <v>49.67</v>
      </c>
      <c r="AN244" s="454">
        <f t="shared" si="553"/>
        <v>48.724066000000008</v>
      </c>
      <c r="AO244" s="454">
        <f t="shared" si="553"/>
        <v>48.219486000000003</v>
      </c>
      <c r="AP244" s="456">
        <f t="shared" si="553"/>
        <v>194.80355200000002</v>
      </c>
      <c r="AQ244" s="456">
        <f t="shared" si="553"/>
        <v>44.406423529999998</v>
      </c>
      <c r="AR244" s="454">
        <f t="shared" si="553"/>
        <v>37.672447320000003</v>
      </c>
      <c r="AS244" s="454">
        <f t="shared" si="553"/>
        <v>38.365864840000008</v>
      </c>
      <c r="AT244" s="454">
        <f t="shared" si="553"/>
        <v>37.155886950000003</v>
      </c>
      <c r="AU244" s="455">
        <f t="shared" si="553"/>
        <v>157.60062264000001</v>
      </c>
      <c r="AV244" s="454">
        <f t="shared" si="553"/>
        <v>38.308220489999997</v>
      </c>
      <c r="AW244" s="454">
        <f t="shared" si="553"/>
        <v>37.253989489999995</v>
      </c>
      <c r="AX244" s="454">
        <f t="shared" si="553"/>
        <v>35.506991729999996</v>
      </c>
      <c r="AY244" s="1666">
        <f t="shared" si="553"/>
        <v>32.930754629999996</v>
      </c>
      <c r="AZ244" s="1666">
        <f t="shared" si="523"/>
        <v>143.99995633999998</v>
      </c>
      <c r="BA244" s="454">
        <f>BA920</f>
        <v>34.823285029999994</v>
      </c>
      <c r="BB244" s="454">
        <f>BB920</f>
        <v>34.676569579999999</v>
      </c>
      <c r="BC244" s="454">
        <f>BC920</f>
        <v>32.435374729999999</v>
      </c>
      <c r="BD244" s="1666">
        <f>BD920</f>
        <v>33.289132599999995</v>
      </c>
      <c r="BE244" s="1666">
        <f t="shared" si="524"/>
        <v>135.22436193999999</v>
      </c>
      <c r="BF244" s="454">
        <f>BF920</f>
        <v>34.699310610000005</v>
      </c>
      <c r="BG244" s="454">
        <f>BG920</f>
        <v>35.368489449999998</v>
      </c>
      <c r="BH244" s="454">
        <f>BH920</f>
        <v>35.062847809999994</v>
      </c>
      <c r="BI244" s="1666">
        <f>BI920</f>
        <v>36.229385779999994</v>
      </c>
      <c r="BJ244" s="1666">
        <f t="shared" si="525"/>
        <v>141.36003364999999</v>
      </c>
      <c r="BK244" s="454">
        <f>BK920</f>
        <v>38.422493559999999</v>
      </c>
      <c r="BL244" s="454">
        <f>BL920</f>
        <v>36.6</v>
      </c>
      <c r="BM244" s="454">
        <f>BM920</f>
        <v>37.299999999999997</v>
      </c>
      <c r="BN244" s="1666">
        <f>BN920</f>
        <v>37.124375999999998</v>
      </c>
      <c r="BO244" s="1666">
        <f t="shared" si="526"/>
        <v>149.44686955999998</v>
      </c>
      <c r="BP244" s="454">
        <f>BP920</f>
        <v>38.513320550000003</v>
      </c>
      <c r="BQ244" s="454">
        <f>BQ920</f>
        <v>38.180358779999999</v>
      </c>
      <c r="BR244" s="454">
        <f>BR920</f>
        <v>38.721120170000006</v>
      </c>
      <c r="BS244" s="454">
        <f>BS920</f>
        <v>40.786304520000002</v>
      </c>
      <c r="BT244" s="3066">
        <f t="shared" si="527"/>
        <v>156.20110402</v>
      </c>
      <c r="BU244" s="2915">
        <f>BU920</f>
        <v>40.846768900000001</v>
      </c>
      <c r="BV244" s="2915">
        <f>BV920</f>
        <v>39.870769543400002</v>
      </c>
      <c r="BW244" s="2915">
        <f>BW920</f>
        <v>40.535542573400008</v>
      </c>
      <c r="BX244" s="2915">
        <f>BX920</f>
        <v>41.622030610400003</v>
      </c>
      <c r="BY244" s="3066">
        <f t="shared" si="528"/>
        <v>162.8751116272</v>
      </c>
      <c r="BZ244" s="455">
        <f t="shared" ref="BZ244:CF244" si="554">BZ920</f>
        <v>164.543862743472</v>
      </c>
      <c r="CA244" s="455">
        <f t="shared" si="554"/>
        <v>164.543862743472</v>
      </c>
      <c r="CB244" s="455">
        <f t="shared" si="554"/>
        <v>156.21666960629838</v>
      </c>
      <c r="CC244" s="455">
        <f t="shared" si="554"/>
        <v>148.31083612598346</v>
      </c>
      <c r="CD244" s="455">
        <f t="shared" si="554"/>
        <v>151.45305284850315</v>
      </c>
      <c r="CE244" s="455">
        <f t="shared" si="554"/>
        <v>154.65611390547321</v>
      </c>
      <c r="CF244" s="455">
        <f t="shared" si="554"/>
        <v>157.92123618358266</v>
      </c>
      <c r="CG244" s="588"/>
      <c r="CH244" s="588"/>
      <c r="CI244" s="588"/>
      <c r="CJ244" s="588"/>
      <c r="CK244" s="331"/>
      <c r="CL244" s="995" t="str">
        <f t="shared" si="495"/>
        <v>Argosy Riverside (MO)</v>
      </c>
      <c r="CM244" s="454">
        <f t="shared" si="530"/>
        <v>0</v>
      </c>
      <c r="CN244" s="454">
        <f t="shared" si="531"/>
        <v>37.372999999999998</v>
      </c>
      <c r="CO244" s="454">
        <f t="shared" si="532"/>
        <v>153.441</v>
      </c>
      <c r="CP244" s="454">
        <f t="shared" si="533"/>
        <v>174.42599999999999</v>
      </c>
      <c r="CQ244" s="454">
        <f t="shared" si="534"/>
        <v>186.13200000000001</v>
      </c>
      <c r="CR244" s="454">
        <f t="shared" si="535"/>
        <v>193.785</v>
      </c>
      <c r="CS244" s="454">
        <f t="shared" si="536"/>
        <v>189.702</v>
      </c>
      <c r="CT244" s="454">
        <f t="shared" si="537"/>
        <v>194.80355200000002</v>
      </c>
      <c r="CU244" s="454">
        <f t="shared" si="538"/>
        <v>157.60062264000001</v>
      </c>
      <c r="CV244" s="454">
        <f t="shared" si="539"/>
        <v>143.99995633999998</v>
      </c>
      <c r="CW244" s="454">
        <f t="shared" si="540"/>
        <v>135.22436193999999</v>
      </c>
      <c r="CX244" s="454">
        <f t="shared" si="541"/>
        <v>141.36003364999999</v>
      </c>
      <c r="CY244" s="454">
        <f t="shared" si="542"/>
        <v>149.44686955999998</v>
      </c>
      <c r="CZ244" s="454">
        <f t="shared" si="543"/>
        <v>156.20110402</v>
      </c>
      <c r="DA244" s="454">
        <f t="shared" si="544"/>
        <v>162.8751116272</v>
      </c>
      <c r="DB244" s="454">
        <f t="shared" si="545"/>
        <v>164.543862743472</v>
      </c>
      <c r="DC244" s="1666">
        <f t="shared" si="546"/>
        <v>164.543862743472</v>
      </c>
      <c r="DD244" s="331"/>
      <c r="DE244" s="331"/>
      <c r="DF244" s="502"/>
      <c r="DG244" s="503"/>
      <c r="DH244" s="2915"/>
      <c r="DI244" s="3213"/>
      <c r="DJ244" s="502"/>
      <c r="DK244" s="503"/>
      <c r="DL244" s="502"/>
      <c r="DM244" s="502"/>
      <c r="DN244" s="502"/>
      <c r="DO244" s="502"/>
      <c r="DP244" s="503"/>
      <c r="DQ244" s="503"/>
      <c r="DR244" s="296"/>
      <c r="DS244" s="296"/>
      <c r="DT244" s="296"/>
    </row>
    <row r="245" spans="1:130" ht="12.6" customHeight="1" outlineLevel="1" x14ac:dyDescent="0.25">
      <c r="A245" s="392" t="s">
        <v>1019</v>
      </c>
      <c r="B245" s="281"/>
      <c r="C245" s="453" t="s">
        <v>2011</v>
      </c>
      <c r="D245" s="453" t="s">
        <v>2011</v>
      </c>
      <c r="E245" s="453" t="s">
        <v>2011</v>
      </c>
      <c r="F245" s="453" t="s">
        <v>2011</v>
      </c>
      <c r="G245" s="447">
        <f t="shared" si="515"/>
        <v>0</v>
      </c>
      <c r="H245" s="453" t="s">
        <v>2011</v>
      </c>
      <c r="I245" s="453" t="s">
        <v>2011</v>
      </c>
      <c r="J245" s="453" t="s">
        <v>2011</v>
      </c>
      <c r="K245" s="446">
        <f>K951</f>
        <v>13.837999999999999</v>
      </c>
      <c r="L245" s="447">
        <f t="shared" si="516"/>
        <v>13.837999999999999</v>
      </c>
      <c r="M245" s="446">
        <f>M951</f>
        <v>14.051</v>
      </c>
      <c r="N245" s="446">
        <f>N951</f>
        <v>13.196</v>
      </c>
      <c r="O245" s="446">
        <f>O951</f>
        <v>13.319000000000001</v>
      </c>
      <c r="P245" s="446">
        <f>P951</f>
        <v>13.343</v>
      </c>
      <c r="Q245" s="447">
        <f t="shared" si="517"/>
        <v>53.909000000000006</v>
      </c>
      <c r="R245" s="446">
        <f>R951</f>
        <v>14.117000000000001</v>
      </c>
      <c r="S245" s="446">
        <f>S951</f>
        <v>13.835000000000001</v>
      </c>
      <c r="T245" s="446">
        <f>T951</f>
        <v>13.504</v>
      </c>
      <c r="U245" s="446">
        <f>U951</f>
        <v>12.961</v>
      </c>
      <c r="V245" s="447">
        <f t="shared" si="518"/>
        <v>54.417000000000002</v>
      </c>
      <c r="W245" s="446">
        <f>W951</f>
        <v>14.271000000000001</v>
      </c>
      <c r="X245" s="446">
        <f>X951</f>
        <v>14.05</v>
      </c>
      <c r="Y245" s="446">
        <f>Y951</f>
        <v>13.747</v>
      </c>
      <c r="Z245" s="446">
        <f>Z951</f>
        <v>12.706</v>
      </c>
      <c r="AA245" s="447">
        <f t="shared" si="519"/>
        <v>54.774000000000001</v>
      </c>
      <c r="AB245" s="446">
        <f>AB951</f>
        <v>13.917</v>
      </c>
      <c r="AC245" s="446">
        <f>AC951</f>
        <v>13.321999999999999</v>
      </c>
      <c r="AD245" s="446">
        <f>AD951</f>
        <v>13.589</v>
      </c>
      <c r="AE245" s="454">
        <f>AE951</f>
        <v>13.099</v>
      </c>
      <c r="AF245" s="455">
        <f t="shared" si="520"/>
        <v>53.926999999999992</v>
      </c>
      <c r="AG245" s="454">
        <f>AG951</f>
        <v>14.673999999999999</v>
      </c>
      <c r="AH245" s="454">
        <f>AH951</f>
        <v>13.824</v>
      </c>
      <c r="AI245" s="454">
        <f>AI951</f>
        <v>13.816000000000001</v>
      </c>
      <c r="AJ245" s="454">
        <f>AJ951</f>
        <v>13.831</v>
      </c>
      <c r="AK245" s="455">
        <f t="shared" si="521"/>
        <v>56.144999999999996</v>
      </c>
      <c r="AL245" s="454">
        <f t="shared" ref="AL245:AY245" si="555">AL951</f>
        <v>15.07</v>
      </c>
      <c r="AM245" s="454">
        <f t="shared" si="555"/>
        <v>14.795</v>
      </c>
      <c r="AN245" s="454">
        <f t="shared" si="555"/>
        <v>14.863498</v>
      </c>
      <c r="AO245" s="454">
        <f t="shared" si="555"/>
        <v>14.055635000000001</v>
      </c>
      <c r="AP245" s="456">
        <f t="shared" si="555"/>
        <v>58.784133000000004</v>
      </c>
      <c r="AQ245" s="456">
        <f t="shared" si="555"/>
        <v>15.531907000000002</v>
      </c>
      <c r="AR245" s="454">
        <f t="shared" si="555"/>
        <v>14.183543</v>
      </c>
      <c r="AS245" s="454">
        <f t="shared" si="555"/>
        <v>13.542945</v>
      </c>
      <c r="AT245" s="454">
        <f t="shared" si="555"/>
        <v>13.528603</v>
      </c>
      <c r="AU245" s="455">
        <f t="shared" si="555"/>
        <v>56.786998000000011</v>
      </c>
      <c r="AV245" s="454">
        <f t="shared" si="555"/>
        <v>13.926765000000001</v>
      </c>
      <c r="AW245" s="454">
        <f t="shared" si="555"/>
        <v>12.637776000000001</v>
      </c>
      <c r="AX245" s="454">
        <f t="shared" si="555"/>
        <v>11.520858</v>
      </c>
      <c r="AY245" s="1666">
        <f t="shared" si="555"/>
        <v>11.459662000000002</v>
      </c>
      <c r="AZ245" s="1666">
        <f t="shared" si="523"/>
        <v>49.545061000000004</v>
      </c>
      <c r="BA245" s="454">
        <f>BA951</f>
        <v>11.821636999999999</v>
      </c>
      <c r="BB245" s="454">
        <f>BB951</f>
        <v>10.691689</v>
      </c>
      <c r="BC245" s="454">
        <f>BC951</f>
        <v>2.470027</v>
      </c>
      <c r="BD245" s="1666">
        <f>BD951</f>
        <v>0</v>
      </c>
      <c r="BE245" s="1666">
        <f t="shared" si="524"/>
        <v>24.983353000000001</v>
      </c>
      <c r="BF245" s="454">
        <f>BF951</f>
        <v>0</v>
      </c>
      <c r="BG245" s="454">
        <f>BG951</f>
        <v>0</v>
      </c>
      <c r="BH245" s="454">
        <f>BH951</f>
        <v>0</v>
      </c>
      <c r="BI245" s="1666">
        <f>BI951</f>
        <v>0</v>
      </c>
      <c r="BJ245" s="1666">
        <f t="shared" si="525"/>
        <v>0</v>
      </c>
      <c r="BK245" s="454">
        <f>BK951</f>
        <v>0</v>
      </c>
      <c r="BL245" s="454">
        <f>BL951</f>
        <v>0</v>
      </c>
      <c r="BM245" s="454">
        <f>BM951</f>
        <v>0</v>
      </c>
      <c r="BN245" s="1666">
        <f>BN951</f>
        <v>0</v>
      </c>
      <c r="BO245" s="1666">
        <f t="shared" si="526"/>
        <v>0</v>
      </c>
      <c r="BP245" s="454">
        <f>BP951</f>
        <v>0</v>
      </c>
      <c r="BQ245" s="454">
        <f>BQ951</f>
        <v>0</v>
      </c>
      <c r="BR245" s="454">
        <f>BR951</f>
        <v>0</v>
      </c>
      <c r="BS245" s="454">
        <f>BS951</f>
        <v>0</v>
      </c>
      <c r="BT245" s="3066">
        <f t="shared" si="527"/>
        <v>0</v>
      </c>
      <c r="BU245" s="2915">
        <f>BU951</f>
        <v>0</v>
      </c>
      <c r="BV245" s="2915">
        <f>BV951</f>
        <v>0</v>
      </c>
      <c r="BW245" s="2915">
        <f>BW951</f>
        <v>0</v>
      </c>
      <c r="BX245" s="2915">
        <f>BX951</f>
        <v>0</v>
      </c>
      <c r="BY245" s="3066">
        <f t="shared" si="528"/>
        <v>0</v>
      </c>
      <c r="BZ245" s="455">
        <f t="shared" ref="BZ245:CF245" si="556">BZ951</f>
        <v>0</v>
      </c>
      <c r="CA245" s="455">
        <f t="shared" si="556"/>
        <v>0</v>
      </c>
      <c r="CB245" s="455">
        <f t="shared" si="556"/>
        <v>0</v>
      </c>
      <c r="CC245" s="455">
        <f t="shared" si="556"/>
        <v>0</v>
      </c>
      <c r="CD245" s="455">
        <f t="shared" si="556"/>
        <v>0</v>
      </c>
      <c r="CE245" s="455">
        <f t="shared" si="556"/>
        <v>0</v>
      </c>
      <c r="CF245" s="455">
        <f t="shared" si="556"/>
        <v>0</v>
      </c>
      <c r="CG245" s="588"/>
      <c r="CH245" s="588"/>
      <c r="CI245" s="588"/>
      <c r="CJ245" s="588"/>
      <c r="CK245" s="331"/>
      <c r="CL245" s="995" t="str">
        <f t="shared" si="495"/>
        <v>Argosy Sioux City (IA)</v>
      </c>
      <c r="CM245" s="454">
        <f t="shared" si="530"/>
        <v>0</v>
      </c>
      <c r="CN245" s="454">
        <f t="shared" si="531"/>
        <v>13.837999999999999</v>
      </c>
      <c r="CO245" s="454">
        <f t="shared" si="532"/>
        <v>53.909000000000006</v>
      </c>
      <c r="CP245" s="454">
        <f t="shared" si="533"/>
        <v>54.417000000000002</v>
      </c>
      <c r="CQ245" s="454">
        <f t="shared" si="534"/>
        <v>54.774000000000001</v>
      </c>
      <c r="CR245" s="454">
        <f t="shared" si="535"/>
        <v>53.926999999999992</v>
      </c>
      <c r="CS245" s="454">
        <f t="shared" si="536"/>
        <v>56.144999999999996</v>
      </c>
      <c r="CT245" s="454">
        <f t="shared" si="537"/>
        <v>58.784133000000004</v>
      </c>
      <c r="CU245" s="454">
        <f t="shared" si="538"/>
        <v>56.786998000000011</v>
      </c>
      <c r="CV245" s="454">
        <f t="shared" si="539"/>
        <v>49.545061000000004</v>
      </c>
      <c r="CW245" s="454">
        <f t="shared" si="540"/>
        <v>24.983353000000001</v>
      </c>
      <c r="CX245" s="454">
        <f t="shared" si="541"/>
        <v>0</v>
      </c>
      <c r="CY245" s="454">
        <f t="shared" si="542"/>
        <v>0</v>
      </c>
      <c r="CZ245" s="454">
        <f t="shared" si="543"/>
        <v>0</v>
      </c>
      <c r="DA245" s="454">
        <f t="shared" si="544"/>
        <v>0</v>
      </c>
      <c r="DB245" s="454">
        <f t="shared" si="545"/>
        <v>0</v>
      </c>
      <c r="DC245" s="1666">
        <f t="shared" si="546"/>
        <v>0</v>
      </c>
      <c r="DD245" s="331"/>
      <c r="DE245" s="331"/>
      <c r="DF245" s="502"/>
      <c r="DG245" s="503"/>
      <c r="DH245" s="2915"/>
      <c r="DI245" s="3213"/>
      <c r="DJ245" s="502"/>
      <c r="DK245" s="503"/>
      <c r="DL245" s="502"/>
      <c r="DM245" s="502"/>
      <c r="DN245" s="502"/>
      <c r="DO245" s="502"/>
      <c r="DP245" s="503"/>
      <c r="DQ245" s="503"/>
      <c r="DR245" s="296"/>
      <c r="DS245" s="296"/>
      <c r="DT245" s="296"/>
    </row>
    <row r="246" spans="1:130" ht="12" customHeight="1" outlineLevel="1" x14ac:dyDescent="0.25">
      <c r="A246" s="392" t="s">
        <v>1789</v>
      </c>
      <c r="B246" s="281"/>
      <c r="C246" s="446"/>
      <c r="D246" s="446"/>
      <c r="E246" s="446"/>
      <c r="F246" s="446"/>
      <c r="G246" s="447"/>
      <c r="H246" s="446"/>
      <c r="I246" s="446"/>
      <c r="J246" s="446"/>
      <c r="K246" s="446"/>
      <c r="L246" s="447"/>
      <c r="M246" s="446"/>
      <c r="N246" s="446"/>
      <c r="O246" s="446"/>
      <c r="P246" s="446"/>
      <c r="Q246" s="447"/>
      <c r="R246" s="446"/>
      <c r="S246" s="446"/>
      <c r="T246" s="446"/>
      <c r="U246" s="446"/>
      <c r="V246" s="447"/>
      <c r="W246" s="446"/>
      <c r="X246" s="446"/>
      <c r="Y246" s="446"/>
      <c r="Z246" s="446"/>
      <c r="AA246" s="447"/>
      <c r="AB246" s="446"/>
      <c r="AC246" s="446"/>
      <c r="AD246" s="446"/>
      <c r="AE246" s="454"/>
      <c r="AF246" s="455"/>
      <c r="AG246" s="454"/>
      <c r="AH246" s="454"/>
      <c r="AI246" s="454"/>
      <c r="AJ246" s="454"/>
      <c r="AK246" s="455"/>
      <c r="AL246" s="454"/>
      <c r="AM246" s="454"/>
      <c r="AN246" s="454"/>
      <c r="AO246" s="454"/>
      <c r="AP246" s="456"/>
      <c r="AQ246" s="456"/>
      <c r="AR246" s="454"/>
      <c r="AS246" s="454"/>
      <c r="AT246" s="454">
        <f>+AT982*0.66</f>
        <v>37.2449820402</v>
      </c>
      <c r="AU246" s="455">
        <f>SUM(AQ246:AT246)</f>
        <v>37.2449820402</v>
      </c>
      <c r="AV246" s="454">
        <f>+AV982</f>
        <v>61.172334346500001</v>
      </c>
      <c r="AW246" s="454">
        <f>+AW982</f>
        <v>56.473926356250004</v>
      </c>
      <c r="AX246" s="454">
        <f>+AX982</f>
        <v>57.462682114499998</v>
      </c>
      <c r="AY246" s="1666">
        <f>+AY982</f>
        <v>51.436608122249993</v>
      </c>
      <c r="AZ246" s="1666">
        <f t="shared" si="523"/>
        <v>226.5455509395</v>
      </c>
      <c r="BA246" s="454">
        <f>+BA982</f>
        <v>55.061691806500001</v>
      </c>
      <c r="BB246" s="454">
        <f>+BB982</f>
        <v>54.606931036250003</v>
      </c>
      <c r="BC246" s="454">
        <f>+BC982</f>
        <v>52.072372974500006</v>
      </c>
      <c r="BD246" s="1666">
        <f>+BD982</f>
        <v>52.242154392250001</v>
      </c>
      <c r="BE246" s="1666">
        <f t="shared" si="524"/>
        <v>213.98315020950002</v>
      </c>
      <c r="BF246" s="454">
        <f>+BF982</f>
        <v>55.539518776499996</v>
      </c>
      <c r="BG246" s="454">
        <f>+BG982</f>
        <v>54.734568916249998</v>
      </c>
      <c r="BH246" s="454">
        <f>+BH982</f>
        <v>57.443867774499999</v>
      </c>
      <c r="BI246" s="1666">
        <f>+BI982</f>
        <v>53.953831762249997</v>
      </c>
      <c r="BJ246" s="1666">
        <f t="shared" si="525"/>
        <v>221.67178722949998</v>
      </c>
      <c r="BK246" s="454">
        <f>+BK982</f>
        <v>58.309426273249997</v>
      </c>
      <c r="BL246" s="454">
        <f>+BL982</f>
        <v>55.479343943125009</v>
      </c>
      <c r="BM246" s="454">
        <f>+BM982</f>
        <v>59.898698420875</v>
      </c>
      <c r="BN246" s="1666">
        <f>+BN982</f>
        <v>57.557588306125005</v>
      </c>
      <c r="BO246" s="1666">
        <f t="shared" si="526"/>
        <v>231.24505694337503</v>
      </c>
      <c r="BP246" s="454">
        <f>+BP982</f>
        <v>60.404127453249998</v>
      </c>
      <c r="BQ246" s="454">
        <f>+BQ982</f>
        <v>58.632504023125001</v>
      </c>
      <c r="BR246" s="454">
        <f>+BR982</f>
        <v>59.885753410874997</v>
      </c>
      <c r="BS246" s="454">
        <f>+BS982</f>
        <v>56.359901706125008</v>
      </c>
      <c r="BT246" s="3066">
        <f t="shared" si="527"/>
        <v>235.28228659337501</v>
      </c>
      <c r="BU246" s="2915">
        <f>+BU982</f>
        <v>58.357494583249995</v>
      </c>
      <c r="BV246" s="2915">
        <f>+BV982</f>
        <v>58.632504023125001</v>
      </c>
      <c r="BW246" s="2915">
        <f>+BW982</f>
        <v>61.105494510675001</v>
      </c>
      <c r="BX246" s="2915">
        <f>+BX982</f>
        <v>57.495288614125009</v>
      </c>
      <c r="BY246" s="3066">
        <f t="shared" si="528"/>
        <v>235.59078173117501</v>
      </c>
      <c r="BZ246" s="455">
        <f t="shared" ref="BZ246:CF246" si="557">+BZ982</f>
        <v>241.54352704111997</v>
      </c>
      <c r="CA246" s="455">
        <f t="shared" si="557"/>
        <v>243.98415261819741</v>
      </c>
      <c r="CB246" s="455">
        <f t="shared" si="557"/>
        <v>231.65899345395627</v>
      </c>
      <c r="CC246" s="455">
        <f t="shared" si="557"/>
        <v>219.95009224792719</v>
      </c>
      <c r="CD246" s="455">
        <f t="shared" si="557"/>
        <v>224.39947470621823</v>
      </c>
      <c r="CE246" s="455">
        <f t="shared" si="557"/>
        <v>228.9378448136751</v>
      </c>
      <c r="CF246" s="455">
        <f t="shared" si="557"/>
        <v>233.56698232328111</v>
      </c>
      <c r="CG246" s="588"/>
      <c r="CH246" s="588"/>
      <c r="CI246" s="588"/>
      <c r="CJ246" s="588"/>
      <c r="CK246" s="331"/>
      <c r="CL246" s="995" t="str">
        <f t="shared" si="495"/>
        <v>Hollywood St. Louis (Maryland Heights, MO)</v>
      </c>
      <c r="CM246" s="454">
        <f t="shared" si="530"/>
        <v>0</v>
      </c>
      <c r="CN246" s="454">
        <f t="shared" si="531"/>
        <v>0</v>
      </c>
      <c r="CO246" s="454">
        <f t="shared" si="532"/>
        <v>0</v>
      </c>
      <c r="CP246" s="454">
        <f t="shared" si="533"/>
        <v>0</v>
      </c>
      <c r="CQ246" s="454">
        <f t="shared" si="534"/>
        <v>0</v>
      </c>
      <c r="CR246" s="454">
        <f t="shared" si="535"/>
        <v>0</v>
      </c>
      <c r="CS246" s="454">
        <f t="shared" si="536"/>
        <v>0</v>
      </c>
      <c r="CT246" s="454">
        <f t="shared" si="537"/>
        <v>0</v>
      </c>
      <c r="CU246" s="454">
        <f t="shared" si="538"/>
        <v>37.2449820402</v>
      </c>
      <c r="CV246" s="454">
        <f t="shared" si="539"/>
        <v>226.5455509395</v>
      </c>
      <c r="CW246" s="454">
        <f t="shared" si="540"/>
        <v>213.98315020950002</v>
      </c>
      <c r="CX246" s="454">
        <f t="shared" si="541"/>
        <v>221.67178722949998</v>
      </c>
      <c r="CY246" s="454">
        <f t="shared" si="542"/>
        <v>231.24505694337503</v>
      </c>
      <c r="CZ246" s="454">
        <f t="shared" si="543"/>
        <v>235.28228659337501</v>
      </c>
      <c r="DA246" s="454">
        <f t="shared" si="544"/>
        <v>235.59078173117501</v>
      </c>
      <c r="DB246" s="454">
        <f t="shared" si="545"/>
        <v>241.54352704111997</v>
      </c>
      <c r="DC246" s="1666">
        <f t="shared" si="546"/>
        <v>243.98415261819741</v>
      </c>
      <c r="DD246" s="331"/>
      <c r="DE246" s="331"/>
      <c r="DF246" s="502"/>
      <c r="DG246" s="503"/>
      <c r="DH246" s="2915"/>
      <c r="DI246" s="3213"/>
      <c r="DJ246" s="502"/>
      <c r="DK246" s="503"/>
      <c r="DL246" s="502"/>
      <c r="DM246" s="502"/>
      <c r="DN246" s="502"/>
      <c r="DO246" s="502"/>
      <c r="DP246" s="503"/>
      <c r="DQ246" s="503"/>
      <c r="DR246" s="296"/>
      <c r="DS246" s="296"/>
      <c r="DT246" s="296"/>
    </row>
    <row r="247" spans="1:130" ht="12.6" customHeight="1" outlineLevel="1" x14ac:dyDescent="0.25">
      <c r="A247" s="391" t="s">
        <v>1548</v>
      </c>
      <c r="B247" s="281"/>
      <c r="C247" s="446">
        <f>C1013</f>
        <v>28.454999999999998</v>
      </c>
      <c r="D247" s="446">
        <f>D1013</f>
        <v>27.503</v>
      </c>
      <c r="E247" s="446">
        <f>E1013</f>
        <v>26.021999999999998</v>
      </c>
      <c r="F247" s="446">
        <f>F1013</f>
        <v>26.428999999999998</v>
      </c>
      <c r="G247" s="447">
        <f>SUM(C247:F247)</f>
        <v>108.40899999999999</v>
      </c>
      <c r="H247" s="446">
        <f>H1013</f>
        <v>29.120999999999999</v>
      </c>
      <c r="I247" s="446">
        <f>I1013</f>
        <v>28.43</v>
      </c>
      <c r="J247" s="446">
        <f>J1013</f>
        <v>28.876999999999999</v>
      </c>
      <c r="K247" s="446">
        <f>K1013</f>
        <v>45.302</v>
      </c>
      <c r="L247" s="447">
        <f>SUM(H247:K247)</f>
        <v>131.72999999999999</v>
      </c>
      <c r="M247" s="446">
        <f>M1013</f>
        <v>43.12</v>
      </c>
      <c r="N247" s="446">
        <f>N1013</f>
        <v>35.447000000000003</v>
      </c>
      <c r="O247" s="446">
        <f>O1013</f>
        <v>33.332999999999998</v>
      </c>
      <c r="P247" s="446">
        <f>P1013</f>
        <v>32.100999999999999</v>
      </c>
      <c r="Q247" s="447">
        <f>SUM(M247:P247)</f>
        <v>144.001</v>
      </c>
      <c r="R247" s="446">
        <f>R1013</f>
        <v>34.881</v>
      </c>
      <c r="S247" s="446">
        <f>S1013</f>
        <v>34.040999999999997</v>
      </c>
      <c r="T247" s="446">
        <f>T1013</f>
        <v>34.201000000000001</v>
      </c>
      <c r="U247" s="446">
        <f>U1013</f>
        <v>32.746000000000002</v>
      </c>
      <c r="V247" s="447">
        <f>SUM(R247:U247)</f>
        <v>135.869</v>
      </c>
      <c r="W247" s="446">
        <f>W1013</f>
        <v>34.765999999999998</v>
      </c>
      <c r="X247" s="446">
        <f>X1013</f>
        <v>33.11</v>
      </c>
      <c r="Y247" s="446">
        <f>Y1013</f>
        <v>29.591000000000001</v>
      </c>
      <c r="Z247" s="446">
        <f>Z1013</f>
        <v>33.545999999999999</v>
      </c>
      <c r="AA247" s="447">
        <f>SUM(W247:Z247)</f>
        <v>131.01300000000001</v>
      </c>
      <c r="AB247" s="446">
        <f>AB1013</f>
        <v>35.088999999999999</v>
      </c>
      <c r="AC247" s="446">
        <f>AC1013</f>
        <v>31.343</v>
      </c>
      <c r="AD247" s="446">
        <f>AD1013</f>
        <v>29.452000000000002</v>
      </c>
      <c r="AE247" s="454">
        <f>AE1013</f>
        <v>27.11</v>
      </c>
      <c r="AF247" s="455">
        <f>SUM(AB247:AE247)</f>
        <v>122.994</v>
      </c>
      <c r="AG247" s="454">
        <f>AG1013</f>
        <v>30.548999999999999</v>
      </c>
      <c r="AH247" s="454">
        <f>AH1013</f>
        <v>29.007000000000001</v>
      </c>
      <c r="AI247" s="454">
        <f>AI1013</f>
        <v>27.221</v>
      </c>
      <c r="AJ247" s="454">
        <f>AJ1013</f>
        <v>27.311</v>
      </c>
      <c r="AK247" s="455">
        <f>SUM(AG247:AJ247)</f>
        <v>114.08799999999999</v>
      </c>
      <c r="AL247" s="454">
        <f t="shared" ref="AL247:AY247" si="558">AL1013</f>
        <v>30.631</v>
      </c>
      <c r="AM247" s="454">
        <f t="shared" si="558"/>
        <v>29.436</v>
      </c>
      <c r="AN247" s="454">
        <f t="shared" si="558"/>
        <v>28.825220529999999</v>
      </c>
      <c r="AO247" s="454">
        <f t="shared" si="558"/>
        <v>27.344238189999999</v>
      </c>
      <c r="AP247" s="456">
        <f t="shared" si="558"/>
        <v>116.23645872</v>
      </c>
      <c r="AQ247" s="456">
        <f t="shared" si="558"/>
        <v>31.852269339999996</v>
      </c>
      <c r="AR247" s="454">
        <f t="shared" si="558"/>
        <v>29.873365969999998</v>
      </c>
      <c r="AS247" s="454">
        <f t="shared" si="558"/>
        <v>25.593019350000002</v>
      </c>
      <c r="AT247" s="454">
        <f t="shared" si="558"/>
        <v>20.191973409999999</v>
      </c>
      <c r="AU247" s="455">
        <f t="shared" si="558"/>
        <v>107.51062807</v>
      </c>
      <c r="AV247" s="454">
        <f t="shared" si="558"/>
        <v>19.856909910000002</v>
      </c>
      <c r="AW247" s="454">
        <f t="shared" si="558"/>
        <v>19.49081837</v>
      </c>
      <c r="AX247" s="454">
        <f t="shared" si="558"/>
        <v>15.56648663</v>
      </c>
      <c r="AY247" s="1666">
        <f t="shared" si="558"/>
        <v>5.6199227333333335</v>
      </c>
      <c r="AZ247" s="1666">
        <f t="shared" si="523"/>
        <v>60.534137643333331</v>
      </c>
      <c r="BA247" s="454">
        <f>BA1013</f>
        <v>0</v>
      </c>
      <c r="BB247" s="454">
        <f>BB1013</f>
        <v>0</v>
      </c>
      <c r="BC247" s="454">
        <f>BC1013</f>
        <v>0</v>
      </c>
      <c r="BD247" s="1666">
        <f>BD1013</f>
        <v>0</v>
      </c>
      <c r="BE247" s="1666">
        <f t="shared" si="524"/>
        <v>0</v>
      </c>
      <c r="BF247" s="454">
        <f>BF1013</f>
        <v>0</v>
      </c>
      <c r="BG247" s="454">
        <f>BG1013</f>
        <v>0</v>
      </c>
      <c r="BH247" s="454">
        <f>BH1013</f>
        <v>0</v>
      </c>
      <c r="BI247" s="1666">
        <f>BI1013</f>
        <v>0</v>
      </c>
      <c r="BJ247" s="1666">
        <f t="shared" si="525"/>
        <v>0</v>
      </c>
      <c r="BK247" s="454">
        <f>BK1013</f>
        <v>0</v>
      </c>
      <c r="BL247" s="454">
        <f>BL1013</f>
        <v>0</v>
      </c>
      <c r="BM247" s="454">
        <f>BM1013</f>
        <v>0</v>
      </c>
      <c r="BN247" s="1666">
        <f>BN1013</f>
        <v>0</v>
      </c>
      <c r="BO247" s="1666">
        <f t="shared" si="526"/>
        <v>0</v>
      </c>
      <c r="BP247" s="454">
        <f>BP1013</f>
        <v>0</v>
      </c>
      <c r="BQ247" s="454">
        <f>BQ1013</f>
        <v>0</v>
      </c>
      <c r="BR247" s="454">
        <f>BR1013</f>
        <v>0</v>
      </c>
      <c r="BS247" s="454">
        <f>BS1013</f>
        <v>0</v>
      </c>
      <c r="BT247" s="3066">
        <f t="shared" si="527"/>
        <v>0</v>
      </c>
      <c r="BU247" s="2915">
        <f>BU1013</f>
        <v>0</v>
      </c>
      <c r="BV247" s="2915">
        <f>BV1013</f>
        <v>0</v>
      </c>
      <c r="BW247" s="2915">
        <f>BW1013</f>
        <v>0</v>
      </c>
      <c r="BX247" s="2915">
        <f>BX1013</f>
        <v>0</v>
      </c>
      <c r="BY247" s="3066">
        <f t="shared" si="528"/>
        <v>0</v>
      </c>
      <c r="BZ247" s="455">
        <f t="shared" ref="BZ247:CF247" si="559">BZ1013</f>
        <v>0</v>
      </c>
      <c r="CA247" s="455">
        <f t="shared" si="559"/>
        <v>0</v>
      </c>
      <c r="CB247" s="455">
        <f t="shared" si="559"/>
        <v>0</v>
      </c>
      <c r="CC247" s="455">
        <f t="shared" si="559"/>
        <v>0</v>
      </c>
      <c r="CD247" s="455">
        <f t="shared" si="559"/>
        <v>0</v>
      </c>
      <c r="CE247" s="455">
        <f t="shared" si="559"/>
        <v>0</v>
      </c>
      <c r="CF247" s="455">
        <f t="shared" si="559"/>
        <v>0</v>
      </c>
      <c r="CG247" s="588"/>
      <c r="CH247" s="588"/>
      <c r="CI247" s="588"/>
      <c r="CJ247" s="588"/>
      <c r="CK247" s="331"/>
      <c r="CL247" s="1277" t="str">
        <f t="shared" si="495"/>
        <v>Hollywood Baton Rouge (LA)</v>
      </c>
      <c r="CM247" s="454">
        <f t="shared" si="530"/>
        <v>108.40899999999999</v>
      </c>
      <c r="CN247" s="454">
        <f t="shared" si="531"/>
        <v>131.72999999999999</v>
      </c>
      <c r="CO247" s="454">
        <f t="shared" si="532"/>
        <v>144.001</v>
      </c>
      <c r="CP247" s="454">
        <f t="shared" si="533"/>
        <v>135.869</v>
      </c>
      <c r="CQ247" s="454">
        <f t="shared" si="534"/>
        <v>131.01300000000001</v>
      </c>
      <c r="CR247" s="454">
        <f t="shared" si="535"/>
        <v>122.994</v>
      </c>
      <c r="CS247" s="454">
        <f t="shared" si="536"/>
        <v>114.08799999999999</v>
      </c>
      <c r="CT247" s="454">
        <f t="shared" si="537"/>
        <v>116.23645872</v>
      </c>
      <c r="CU247" s="454">
        <f t="shared" si="538"/>
        <v>107.51062807</v>
      </c>
      <c r="CV247" s="454">
        <f t="shared" si="539"/>
        <v>60.534137643333331</v>
      </c>
      <c r="CW247" s="454">
        <f t="shared" si="540"/>
        <v>0</v>
      </c>
      <c r="CX247" s="454">
        <f t="shared" si="541"/>
        <v>0</v>
      </c>
      <c r="CY247" s="454">
        <f t="shared" si="542"/>
        <v>0</v>
      </c>
      <c r="CZ247" s="454">
        <f t="shared" si="543"/>
        <v>0</v>
      </c>
      <c r="DA247" s="454">
        <f t="shared" si="544"/>
        <v>0</v>
      </c>
      <c r="DB247" s="454">
        <f t="shared" si="545"/>
        <v>0</v>
      </c>
      <c r="DC247" s="1666">
        <f t="shared" si="546"/>
        <v>0</v>
      </c>
      <c r="DD247" s="331"/>
      <c r="DE247" s="331"/>
      <c r="DF247" s="502"/>
      <c r="DG247" s="503"/>
      <c r="DH247" s="2915"/>
      <c r="DI247" s="3213"/>
      <c r="DJ247" s="502"/>
      <c r="DK247" s="503"/>
      <c r="DL247" s="502"/>
      <c r="DM247" s="502"/>
      <c r="DN247" s="502"/>
      <c r="DO247" s="502"/>
      <c r="DP247" s="503"/>
      <c r="DQ247" s="503"/>
      <c r="DR247" s="296"/>
      <c r="DS247" s="296"/>
      <c r="DT247" s="296"/>
    </row>
    <row r="248" spans="1:130" ht="12.6" customHeight="1" outlineLevel="1" x14ac:dyDescent="0.25">
      <c r="A248" s="2666" t="s">
        <v>2371</v>
      </c>
      <c r="B248" s="281"/>
      <c r="C248" s="446"/>
      <c r="D248" s="446"/>
      <c r="E248" s="446"/>
      <c r="F248" s="446"/>
      <c r="G248" s="447"/>
      <c r="H248" s="446"/>
      <c r="I248" s="446"/>
      <c r="J248" s="446"/>
      <c r="K248" s="446"/>
      <c r="L248" s="447"/>
      <c r="M248" s="446"/>
      <c r="N248" s="446"/>
      <c r="O248" s="446"/>
      <c r="P248" s="446"/>
      <c r="Q248" s="447"/>
      <c r="R248" s="446"/>
      <c r="S248" s="446"/>
      <c r="T248" s="446"/>
      <c r="U248" s="446"/>
      <c r="V248" s="447"/>
      <c r="W248" s="446"/>
      <c r="X248" s="446"/>
      <c r="Y248" s="446"/>
      <c r="Z248" s="446"/>
      <c r="AA248" s="447"/>
      <c r="AB248" s="446"/>
      <c r="AC248" s="446"/>
      <c r="AD248" s="446"/>
      <c r="AE248" s="454"/>
      <c r="AF248" s="455"/>
      <c r="AG248" s="454"/>
      <c r="AH248" s="454"/>
      <c r="AI248" s="454"/>
      <c r="AJ248" s="454"/>
      <c r="AK248" s="455"/>
      <c r="AL248" s="454"/>
      <c r="AM248" s="454"/>
      <c r="AN248" s="454"/>
      <c r="AO248" s="454"/>
      <c r="AP248" s="456"/>
      <c r="AQ248" s="456"/>
      <c r="AR248" s="454"/>
      <c r="AS248" s="454"/>
      <c r="AT248" s="454"/>
      <c r="AU248" s="455"/>
      <c r="AV248" s="454"/>
      <c r="AW248" s="454"/>
      <c r="AX248" s="454"/>
      <c r="AY248" s="454"/>
      <c r="AZ248" s="1666"/>
      <c r="BA248" s="454"/>
      <c r="BB248" s="454"/>
      <c r="BC248" s="454"/>
      <c r="BD248" s="454"/>
      <c r="BE248" s="455"/>
      <c r="BF248" s="454"/>
      <c r="BG248" s="454"/>
      <c r="BH248" s="454"/>
      <c r="BI248" s="1666">
        <f>+BI302/0.25</f>
        <v>10</v>
      </c>
      <c r="BJ248" s="1666">
        <f t="shared" si="525"/>
        <v>10</v>
      </c>
      <c r="BK248" s="2915">
        <f>+BK302/0.25</f>
        <v>11</v>
      </c>
      <c r="BL248" s="454">
        <f>+BL302/0.25</f>
        <v>12</v>
      </c>
      <c r="BM248" s="454">
        <f>+BM302/0.25</f>
        <v>12</v>
      </c>
      <c r="BN248" s="1666">
        <f>+BN302/0.25</f>
        <v>11.2</v>
      </c>
      <c r="BO248" s="1666">
        <f t="shared" si="526"/>
        <v>46.2</v>
      </c>
      <c r="BP248" s="454">
        <f>+BP302/0.25</f>
        <v>16.55</v>
      </c>
      <c r="BQ248" s="454">
        <f>+BQ302/0.25</f>
        <v>17.600000000000001</v>
      </c>
      <c r="BR248" s="454">
        <f>+BR302/0.25</f>
        <v>17.600000000000001</v>
      </c>
      <c r="BS248" s="454">
        <f>+BS302/0.25</f>
        <v>15.76</v>
      </c>
      <c r="BT248" s="3066">
        <f t="shared" si="527"/>
        <v>67.510000000000005</v>
      </c>
      <c r="BU248" s="2915">
        <f>+BU302/0.25</f>
        <v>17.046500000000002</v>
      </c>
      <c r="BV248" s="2915">
        <f>+BV302/0.25</f>
        <v>18.480000000000004</v>
      </c>
      <c r="BW248" s="2915">
        <f>+BW302/0.25</f>
        <v>18.480000000000004</v>
      </c>
      <c r="BX248" s="2915">
        <f>+BX302/0.25</f>
        <v>16.548000000000002</v>
      </c>
      <c r="BY248" s="3066">
        <f t="shared" si="528"/>
        <v>70.554500000000019</v>
      </c>
      <c r="BZ248" s="455">
        <f>+BZ302/0.25</f>
        <v>71.96559000000002</v>
      </c>
      <c r="CA248" s="455">
        <f>+CA302/0.25</f>
        <v>73.404901800000019</v>
      </c>
      <c r="CB248" s="455">
        <f>+CB302/0.3</f>
        <v>62.394166530000021</v>
      </c>
      <c r="CC248" s="455">
        <f>+CC302/0.3</f>
        <v>63.642049860600018</v>
      </c>
      <c r="CD248" s="455">
        <f>+CD302/0.3</f>
        <v>64.914890857812026</v>
      </c>
      <c r="CE248" s="455">
        <f>+CE302/0.3</f>
        <v>66.213188674968265</v>
      </c>
      <c r="CF248" s="455">
        <f>+CF302/0.3</f>
        <v>67.537452448467633</v>
      </c>
      <c r="CG248" s="588"/>
      <c r="CH248" s="588"/>
      <c r="CI248" s="588"/>
      <c r="CJ248" s="588"/>
      <c r="CK248" s="331"/>
      <c r="CL248" s="1277" t="str">
        <f t="shared" si="495"/>
        <v>Prairie State Gaming</v>
      </c>
      <c r="CM248" s="454"/>
      <c r="CN248" s="454"/>
      <c r="CO248" s="454"/>
      <c r="CP248" s="454"/>
      <c r="CQ248" s="454"/>
      <c r="CR248" s="454"/>
      <c r="CS248" s="454"/>
      <c r="CT248" s="454"/>
      <c r="CU248" s="454"/>
      <c r="CV248" s="454"/>
      <c r="CW248" s="454"/>
      <c r="CX248" s="454"/>
      <c r="CY248" s="454"/>
      <c r="CZ248" s="454"/>
      <c r="DA248" s="454"/>
      <c r="DB248" s="454"/>
      <c r="DC248" s="1666"/>
      <c r="DD248" s="331"/>
      <c r="DE248" s="331"/>
      <c r="DF248" s="502"/>
      <c r="DG248" s="503"/>
      <c r="DH248" s="2915"/>
      <c r="DI248" s="3213"/>
      <c r="DJ248" s="502"/>
      <c r="DK248" s="503"/>
      <c r="DL248" s="502"/>
      <c r="DM248" s="502"/>
      <c r="DN248" s="502"/>
      <c r="DO248" s="502"/>
      <c r="DP248" s="503"/>
      <c r="DQ248" s="503"/>
      <c r="DR248" s="296"/>
      <c r="DS248" s="296"/>
      <c r="DT248" s="296"/>
    </row>
    <row r="249" spans="1:130" ht="12.6" customHeight="1" outlineLevel="1" x14ac:dyDescent="0.25">
      <c r="A249" s="2605" t="s">
        <v>206</v>
      </c>
      <c r="B249" s="281"/>
      <c r="C249" s="430"/>
      <c r="D249" s="430"/>
      <c r="E249" s="430"/>
      <c r="F249" s="430"/>
      <c r="G249" s="481"/>
      <c r="H249" s="430"/>
      <c r="I249" s="430"/>
      <c r="J249" s="430"/>
      <c r="K249" s="430"/>
      <c r="L249" s="481"/>
      <c r="M249" s="430"/>
      <c r="N249" s="430"/>
      <c r="O249" s="430"/>
      <c r="P249" s="430"/>
      <c r="Q249" s="481"/>
      <c r="R249" s="430"/>
      <c r="S249" s="430"/>
      <c r="T249" s="430"/>
      <c r="U249" s="430"/>
      <c r="V249" s="481"/>
      <c r="W249" s="509"/>
      <c r="X249" s="509"/>
      <c r="Y249" s="509"/>
      <c r="Z249" s="509"/>
      <c r="AA249" s="510"/>
      <c r="AB249" s="509"/>
      <c r="AC249" s="509"/>
      <c r="AD249" s="509"/>
      <c r="AE249" s="430"/>
      <c r="AF249" s="481"/>
      <c r="AG249" s="430"/>
      <c r="AH249" s="430"/>
      <c r="AI249" s="430"/>
      <c r="AJ249" s="430"/>
      <c r="AK249" s="481"/>
      <c r="AL249" s="2080"/>
      <c r="AM249" s="2080"/>
      <c r="AN249" s="2080"/>
      <c r="AO249" s="2080"/>
      <c r="AP249" s="481"/>
      <c r="AQ249" s="2083"/>
      <c r="AR249" s="2080"/>
      <c r="AS249" s="2080"/>
      <c r="AT249" s="2080"/>
      <c r="AU249" s="481"/>
      <c r="AV249" s="2080">
        <f>AV11-(AV234+AV236+AV247+AV244+AV245+AV237+AV246+AV242+AV241+AV240)</f>
        <v>-4.1922444964999954</v>
      </c>
      <c r="AW249" s="2080">
        <f>AW11-(AW234+AW236+AW247+AW244+AW245+AW237+AW246+AW242+AW241+AW240)</f>
        <v>-3.1945810162500266</v>
      </c>
      <c r="AX249" s="2080">
        <f>AX11-(AX234+AX236+AX247+AX244+AX245+AX237+AX246+AX242+AX241+AX240)</f>
        <v>-2.2461004244999856</v>
      </c>
      <c r="AY249" s="2080">
        <f>AY11-(AY234+AY236+AY247+AY244+AY245+AY237+AY246+AY242+AY241+AY240)</f>
        <v>1.0723939744167126</v>
      </c>
      <c r="AZ249" s="481">
        <f t="shared" si="523"/>
        <v>-8.560531962833295</v>
      </c>
      <c r="BA249" s="2080">
        <f>BA11-(BA247+BA244+BA245+BA246+BA242+BA241+BA240+BA243)</f>
        <v>0.13063560349999648</v>
      </c>
      <c r="BB249" s="2080">
        <f>BB11-(BB247+BB244+BB245+BB246+BB242+BB241+BB240+BB243)</f>
        <v>-3.5403839762499842</v>
      </c>
      <c r="BC249" s="2080">
        <f>BC11-(BC247+BC244+BC245+BC246+BC242+BC241+BC240+BC243)</f>
        <v>-0.75474890449999066</v>
      </c>
      <c r="BD249" s="2080">
        <f>BD11-(BD247+BD244+BD245+BD246+BD242+BD241+BD240+BD243)</f>
        <v>-2.2323946922500113</v>
      </c>
      <c r="BE249" s="481">
        <f t="shared" si="524"/>
        <v>-6.3968919694999897</v>
      </c>
      <c r="BF249" s="2080">
        <f>BF11-(BF247+BF244+BF245+BF246+BF242+BF241+BF240+BF243)</f>
        <v>-1.6069679664999796</v>
      </c>
      <c r="BG249" s="2080">
        <f>BG11-(BG247+BG244+BG245+BG246+BG242+BG241+BG240+BG243)</f>
        <v>-3.1905708762499785</v>
      </c>
      <c r="BH249" s="2080">
        <f>BH11-(BH247+BH244+BH245+BH246+BH242+BH241+BH240+BH243)</f>
        <v>1.5130412455000055</v>
      </c>
      <c r="BI249" s="2080">
        <f>BI11-(BI247+BI244+BI245+BI246+BI242+BI241+BI240+BI243+BI248)</f>
        <v>8.8146867750026558E-2</v>
      </c>
      <c r="BJ249" s="481">
        <f t="shared" si="525"/>
        <v>-3.196350729499926</v>
      </c>
      <c r="BK249" s="2080">
        <f>BK11-(BK247+BK244+BK245+BK246+BK242+BK241+BK240+BK243+BK248)</f>
        <v>-2.7804439832499668</v>
      </c>
      <c r="BL249" s="2080">
        <f>BL11-(BL247+BL244+BL245+BL246+BL242+BL241+BL240+BL243+BL248)</f>
        <v>2.0106560568750069</v>
      </c>
      <c r="BM249" s="2080">
        <f>BM11-(BM247+BM244+BM245+BM246+BM242+BM241+BM240+BM243+BM248)</f>
        <v>-0.52180142087499348</v>
      </c>
      <c r="BN249" s="2080">
        <f>BN11-(BN247+BN244+BN245+BN246+BN242+BN241+BN240+BN243+BN248)</f>
        <v>3.3635331938750141</v>
      </c>
      <c r="BO249" s="481">
        <f t="shared" si="526"/>
        <v>2.0719438466250608</v>
      </c>
      <c r="BP249" s="2080">
        <f>BP11-(BP247+BP244+BP245+BP246+BP242+BP241+BP240+BP243+BP248)</f>
        <v>-1.0202476332500225</v>
      </c>
      <c r="BQ249" s="2080">
        <f>BQ11-(BQ247+BQ244+BQ245+BQ246+BQ242+BQ241+BQ240+BQ243+BQ248)</f>
        <v>-1.5980125131249849</v>
      </c>
      <c r="BR249" s="2080">
        <f>BR11-(BR247+BR244+BR245+BR246+BR242+BR241+BR240+BR243+BR248)</f>
        <v>-0.42932639087501911</v>
      </c>
      <c r="BS249" s="2080">
        <f>BS11-(BS247+BS244+BS245+BS246+BS242+BS241+BS240+BS243+BS248)</f>
        <v>1.8229434038750014</v>
      </c>
      <c r="BT249" s="2587">
        <f t="shared" si="527"/>
        <v>-1.2246431333750252</v>
      </c>
      <c r="BU249" s="3397"/>
      <c r="BV249" s="2840"/>
      <c r="BW249" s="2840"/>
      <c r="BX249" s="2840"/>
      <c r="BY249" s="2587">
        <f t="shared" si="528"/>
        <v>0</v>
      </c>
      <c r="BZ249" s="481"/>
      <c r="CA249" s="481"/>
      <c r="CB249" s="481"/>
      <c r="CC249" s="481"/>
      <c r="CD249" s="481"/>
      <c r="CE249" s="481"/>
      <c r="CF249" s="481"/>
      <c r="CG249" s="331"/>
      <c r="CH249" s="331"/>
      <c r="CI249" s="331"/>
      <c r="CJ249" s="331"/>
      <c r="CK249" s="331"/>
      <c r="CL249" s="995"/>
      <c r="CM249" s="430"/>
      <c r="CN249" s="430"/>
      <c r="CO249" s="430"/>
      <c r="CP249" s="430"/>
      <c r="CQ249" s="430"/>
      <c r="CR249" s="430"/>
      <c r="CS249" s="430"/>
      <c r="CT249" s="430"/>
      <c r="CU249" s="430"/>
      <c r="CV249" s="430"/>
      <c r="CW249" s="430"/>
      <c r="CX249" s="430"/>
      <c r="CY249" s="430"/>
      <c r="CZ249" s="430"/>
      <c r="DA249" s="430"/>
      <c r="DB249" s="430"/>
      <c r="DC249" s="853"/>
      <c r="DD249" s="331"/>
      <c r="DE249" s="331"/>
      <c r="DF249" s="502"/>
      <c r="DG249" s="503"/>
      <c r="DH249" s="2840"/>
      <c r="DI249" s="3213"/>
      <c r="DJ249" s="502"/>
      <c r="DK249" s="503"/>
      <c r="DL249" s="502"/>
      <c r="DM249" s="502"/>
      <c r="DN249" s="502"/>
      <c r="DO249" s="502"/>
      <c r="DP249" s="503"/>
      <c r="DQ249" s="503"/>
      <c r="DR249" s="296"/>
      <c r="DS249" s="296"/>
      <c r="DT249" s="296"/>
    </row>
    <row r="250" spans="1:130" ht="12.6" customHeight="1" outlineLevel="1" x14ac:dyDescent="0.25">
      <c r="A250" s="2605"/>
      <c r="B250" s="281"/>
      <c r="C250" s="430"/>
      <c r="D250" s="430"/>
      <c r="E250" s="430"/>
      <c r="F250" s="430"/>
      <c r="G250" s="481"/>
      <c r="H250" s="430"/>
      <c r="I250" s="430"/>
      <c r="J250" s="430"/>
      <c r="K250" s="430"/>
      <c r="L250" s="481"/>
      <c r="M250" s="430"/>
      <c r="N250" s="430"/>
      <c r="O250" s="430"/>
      <c r="P250" s="430"/>
      <c r="Q250" s="481"/>
      <c r="R250" s="430"/>
      <c r="S250" s="430"/>
      <c r="T250" s="430"/>
      <c r="U250" s="430"/>
      <c r="V250" s="481"/>
      <c r="W250" s="509"/>
      <c r="X250" s="509"/>
      <c r="Y250" s="509"/>
      <c r="Z250" s="509"/>
      <c r="AA250" s="510"/>
      <c r="AB250" s="509"/>
      <c r="AC250" s="509"/>
      <c r="AD250" s="509"/>
      <c r="AE250" s="430"/>
      <c r="AF250" s="481"/>
      <c r="AG250" s="430"/>
      <c r="AH250" s="430"/>
      <c r="AI250" s="430"/>
      <c r="AJ250" s="430"/>
      <c r="AK250" s="481"/>
      <c r="AL250" s="2080"/>
      <c r="AM250" s="2080"/>
      <c r="AN250" s="2080"/>
      <c r="AO250" s="2080"/>
      <c r="AP250" s="483"/>
      <c r="AQ250" s="2083"/>
      <c r="AR250" s="2080"/>
      <c r="AS250" s="2080"/>
      <c r="AT250" s="2080"/>
      <c r="AU250" s="481"/>
      <c r="AV250" s="2080"/>
      <c r="AW250" s="2080"/>
      <c r="AX250" s="2080"/>
      <c r="AY250" s="2080"/>
      <c r="AZ250" s="481"/>
      <c r="BA250" s="2080"/>
      <c r="BB250" s="2080"/>
      <c r="BC250" s="2080"/>
      <c r="BD250" s="2080"/>
      <c r="BE250" s="481"/>
      <c r="BF250" s="2080"/>
      <c r="BG250" s="2080"/>
      <c r="BH250" s="2080"/>
      <c r="BI250" s="2080"/>
      <c r="BJ250" s="481"/>
      <c r="BK250" s="2080"/>
      <c r="BL250" s="2080"/>
      <c r="BM250" s="2080"/>
      <c r="BN250" s="2080"/>
      <c r="BO250" s="481"/>
      <c r="BP250" s="2080"/>
      <c r="BQ250" s="2080"/>
      <c r="BR250" s="2080"/>
      <c r="BS250" s="430"/>
      <c r="BT250" s="2587"/>
      <c r="BU250" s="3397"/>
      <c r="BV250" s="2840"/>
      <c r="BW250" s="2840"/>
      <c r="BX250" s="2840"/>
      <c r="BY250" s="2587"/>
      <c r="BZ250" s="481"/>
      <c r="CA250" s="481"/>
      <c r="CB250" s="481"/>
      <c r="CC250" s="481"/>
      <c r="CD250" s="481"/>
      <c r="CE250" s="481"/>
      <c r="CF250" s="481"/>
      <c r="CG250" s="331"/>
      <c r="CH250" s="331"/>
      <c r="CI250" s="331"/>
      <c r="CJ250" s="331"/>
      <c r="CK250" s="331"/>
      <c r="CL250" s="995"/>
      <c r="CM250" s="430"/>
      <c r="CN250" s="430"/>
      <c r="CO250" s="430"/>
      <c r="CP250" s="430"/>
      <c r="CQ250" s="430"/>
      <c r="CR250" s="430"/>
      <c r="CS250" s="430"/>
      <c r="CT250" s="430"/>
      <c r="CU250" s="430"/>
      <c r="CV250" s="430"/>
      <c r="CW250" s="430"/>
      <c r="CX250" s="430"/>
      <c r="CY250" s="430"/>
      <c r="CZ250" s="430"/>
      <c r="DA250" s="430"/>
      <c r="DB250" s="430"/>
      <c r="DC250" s="853"/>
      <c r="DD250" s="331"/>
      <c r="DE250" s="331"/>
      <c r="DF250" s="502"/>
      <c r="DG250" s="503"/>
      <c r="DH250" s="2840"/>
      <c r="DI250" s="3213"/>
      <c r="DJ250" s="502"/>
      <c r="DK250" s="503"/>
      <c r="DL250" s="502"/>
      <c r="DM250" s="502"/>
      <c r="DN250" s="502"/>
      <c r="DO250" s="502"/>
      <c r="DP250" s="503"/>
      <c r="DQ250" s="503"/>
      <c r="DR250" s="296"/>
      <c r="DS250" s="296"/>
      <c r="DT250" s="296"/>
    </row>
    <row r="251" spans="1:130" ht="12.6" customHeight="1" outlineLevel="1" x14ac:dyDescent="0.25">
      <c r="A251" s="2605" t="s">
        <v>2587</v>
      </c>
      <c r="B251" s="281"/>
      <c r="C251" s="430"/>
      <c r="D251" s="430"/>
      <c r="E251" s="430"/>
      <c r="F251" s="430"/>
      <c r="G251" s="481"/>
      <c r="H251" s="430"/>
      <c r="I251" s="430"/>
      <c r="J251" s="430"/>
      <c r="K251" s="430"/>
      <c r="L251" s="481"/>
      <c r="M251" s="430"/>
      <c r="N251" s="430"/>
      <c r="O251" s="430"/>
      <c r="P251" s="430"/>
      <c r="Q251" s="481"/>
      <c r="R251" s="430"/>
      <c r="S251" s="430"/>
      <c r="T251" s="430"/>
      <c r="U251" s="430"/>
      <c r="V251" s="481"/>
      <c r="W251" s="509"/>
      <c r="X251" s="509"/>
      <c r="Y251" s="509"/>
      <c r="Z251" s="509"/>
      <c r="AA251" s="510"/>
      <c r="AB251" s="509"/>
      <c r="AC251" s="509"/>
      <c r="AD251" s="509"/>
      <c r="AE251" s="430"/>
      <c r="AF251" s="481"/>
      <c r="AG251" s="430"/>
      <c r="AH251" s="430"/>
      <c r="AI251" s="430"/>
      <c r="AJ251" s="430"/>
      <c r="AK251" s="481"/>
      <c r="AL251" s="2080"/>
      <c r="AM251" s="2080"/>
      <c r="AN251" s="2080"/>
      <c r="AO251" s="2080"/>
      <c r="AP251" s="483"/>
      <c r="AQ251" s="2083"/>
      <c r="AR251" s="2080"/>
      <c r="AS251" s="2080"/>
      <c r="AT251" s="2080"/>
      <c r="AU251" s="481"/>
      <c r="AV251" s="2080"/>
      <c r="AW251" s="2080"/>
      <c r="AX251" s="2080"/>
      <c r="AY251" s="2080"/>
      <c r="AZ251" s="481"/>
      <c r="BA251" s="2080"/>
      <c r="BB251" s="2080"/>
      <c r="BC251" s="2080"/>
      <c r="BD251" s="2080"/>
      <c r="BE251" s="481"/>
      <c r="BF251" s="2080"/>
      <c r="BG251" s="2080"/>
      <c r="BH251" s="2080"/>
      <c r="BI251" s="2080"/>
      <c r="BJ251" s="481"/>
      <c r="BK251" s="2080"/>
      <c r="BL251" s="2080"/>
      <c r="BM251" s="2080"/>
      <c r="BN251" s="2080"/>
      <c r="BO251" s="481"/>
      <c r="BP251" s="2080"/>
      <c r="BQ251" s="2080"/>
      <c r="BR251" s="2080"/>
      <c r="BS251" s="430"/>
      <c r="BT251" s="2587"/>
      <c r="BU251" s="3397"/>
      <c r="BV251" s="2840"/>
      <c r="BW251" s="2840">
        <f>+BW1066</f>
        <v>492.37527513410004</v>
      </c>
      <c r="BX251" s="2840">
        <f>+BX1066</f>
        <v>477.75253751954011</v>
      </c>
      <c r="BY251" s="2587">
        <f>SUM(BU251:BX251)</f>
        <v>970.12781265364015</v>
      </c>
      <c r="BZ251" s="481">
        <f>+BZ1066</f>
        <v>1964.0483217812737</v>
      </c>
      <c r="CA251" s="481">
        <f>+CA1066</f>
        <v>1968.0155446456483</v>
      </c>
      <c r="CB251" s="481"/>
      <c r="CC251" s="481"/>
      <c r="CD251" s="481"/>
      <c r="CE251" s="481"/>
      <c r="CF251" s="481"/>
      <c r="CG251" s="331"/>
      <c r="CH251" s="331"/>
      <c r="CI251" s="331"/>
      <c r="CJ251" s="331"/>
      <c r="CK251" s="331"/>
      <c r="CL251" s="995"/>
      <c r="CM251" s="430"/>
      <c r="CN251" s="430"/>
      <c r="CO251" s="430"/>
      <c r="CP251" s="430"/>
      <c r="CQ251" s="430"/>
      <c r="CR251" s="430"/>
      <c r="CS251" s="430"/>
      <c r="CT251" s="430"/>
      <c r="CU251" s="430"/>
      <c r="CV251" s="430"/>
      <c r="CW251" s="430"/>
      <c r="CX251" s="430"/>
      <c r="CY251" s="430"/>
      <c r="CZ251" s="430"/>
      <c r="DA251" s="430"/>
      <c r="DB251" s="430"/>
      <c r="DC251" s="853"/>
      <c r="DD251" s="331"/>
      <c r="DE251" s="331"/>
      <c r="DF251" s="502"/>
      <c r="DG251" s="503"/>
      <c r="DH251" s="2840"/>
      <c r="DI251" s="3213"/>
      <c r="DJ251" s="502"/>
      <c r="DK251" s="503"/>
      <c r="DL251" s="502"/>
      <c r="DM251" s="502"/>
      <c r="DN251" s="502"/>
      <c r="DO251" s="502"/>
      <c r="DP251" s="503"/>
      <c r="DQ251" s="503"/>
      <c r="DR251" s="296"/>
      <c r="DS251" s="296"/>
      <c r="DT251" s="296"/>
    </row>
    <row r="252" spans="1:130" ht="12.6" customHeight="1" outlineLevel="1" x14ac:dyDescent="0.25">
      <c r="A252" s="2605"/>
      <c r="B252" s="281"/>
      <c r="C252" s="430"/>
      <c r="D252" s="430"/>
      <c r="E252" s="430"/>
      <c r="F252" s="430"/>
      <c r="G252" s="481"/>
      <c r="H252" s="430"/>
      <c r="I252" s="430"/>
      <c r="J252" s="430"/>
      <c r="K252" s="430"/>
      <c r="L252" s="481"/>
      <c r="M252" s="430"/>
      <c r="N252" s="430"/>
      <c r="O252" s="430"/>
      <c r="P252" s="430"/>
      <c r="Q252" s="481"/>
      <c r="R252" s="430"/>
      <c r="S252" s="430"/>
      <c r="T252" s="430"/>
      <c r="U252" s="430"/>
      <c r="V252" s="481"/>
      <c r="W252" s="509"/>
      <c r="X252" s="509"/>
      <c r="Y252" s="509"/>
      <c r="Z252" s="509"/>
      <c r="AA252" s="510"/>
      <c r="AB252" s="509"/>
      <c r="AC252" s="509"/>
      <c r="AD252" s="509"/>
      <c r="AE252" s="430"/>
      <c r="AF252" s="481"/>
      <c r="AG252" s="430"/>
      <c r="AH252" s="430"/>
      <c r="AI252" s="430"/>
      <c r="AJ252" s="430"/>
      <c r="AK252" s="481"/>
      <c r="AL252" s="2080"/>
      <c r="AM252" s="2080"/>
      <c r="AN252" s="2080"/>
      <c r="AO252" s="2080"/>
      <c r="AP252" s="483"/>
      <c r="AQ252" s="2083"/>
      <c r="AR252" s="2080"/>
      <c r="AS252" s="2080"/>
      <c r="AT252" s="2080"/>
      <c r="AU252" s="481"/>
      <c r="AV252" s="2080"/>
      <c r="AW252" s="2080"/>
      <c r="AX252" s="2080"/>
      <c r="AY252" s="2080"/>
      <c r="AZ252" s="481"/>
      <c r="BA252" s="2080"/>
      <c r="BB252" s="2080"/>
      <c r="BC252" s="2080"/>
      <c r="BD252" s="2080"/>
      <c r="BE252" s="481"/>
      <c r="BF252" s="2080"/>
      <c r="BG252" s="2080"/>
      <c r="BH252" s="2080"/>
      <c r="BI252" s="2080"/>
      <c r="BJ252" s="481"/>
      <c r="BK252" s="2080"/>
      <c r="BL252" s="2080"/>
      <c r="BM252" s="2080"/>
      <c r="BN252" s="2080"/>
      <c r="BO252" s="481"/>
      <c r="BP252" s="2080"/>
      <c r="BQ252" s="2080"/>
      <c r="BR252" s="2080"/>
      <c r="BS252" s="430"/>
      <c r="BT252" s="2587"/>
      <c r="BU252" s="3397"/>
      <c r="BV252" s="2840"/>
      <c r="BW252" s="2840"/>
      <c r="BX252" s="2840"/>
      <c r="BY252" s="2587"/>
      <c r="BZ252" s="481"/>
      <c r="CA252" s="481"/>
      <c r="CB252" s="481"/>
      <c r="CC252" s="481"/>
      <c r="CD252" s="481"/>
      <c r="CE252" s="481"/>
      <c r="CF252" s="481"/>
      <c r="CG252" s="331"/>
      <c r="CH252" s="331"/>
      <c r="CI252" s="331"/>
      <c r="CJ252" s="331"/>
      <c r="CK252" s="331"/>
      <c r="CL252" s="995"/>
      <c r="CM252" s="430"/>
      <c r="CN252" s="430"/>
      <c r="CO252" s="430"/>
      <c r="CP252" s="430"/>
      <c r="CQ252" s="430"/>
      <c r="CR252" s="430"/>
      <c r="CS252" s="430"/>
      <c r="CT252" s="430"/>
      <c r="CU252" s="430"/>
      <c r="CV252" s="430"/>
      <c r="CW252" s="430"/>
      <c r="CX252" s="430"/>
      <c r="CY252" s="430"/>
      <c r="CZ252" s="430"/>
      <c r="DA252" s="430"/>
      <c r="DB252" s="430"/>
      <c r="DC252" s="853"/>
      <c r="DD252" s="331"/>
      <c r="DE252" s="331"/>
      <c r="DF252" s="502"/>
      <c r="DG252" s="503"/>
      <c r="DH252" s="2840"/>
      <c r="DI252" s="3213"/>
      <c r="DJ252" s="502"/>
      <c r="DK252" s="503"/>
      <c r="DL252" s="502"/>
      <c r="DM252" s="502"/>
      <c r="DN252" s="502"/>
      <c r="DO252" s="502"/>
      <c r="DP252" s="503"/>
      <c r="DQ252" s="503"/>
      <c r="DR252" s="296"/>
      <c r="DS252" s="296"/>
      <c r="DT252" s="296"/>
    </row>
    <row r="253" spans="1:130" ht="12" customHeight="1" outlineLevel="1" x14ac:dyDescent="0.25">
      <c r="A253" s="2166" t="s">
        <v>1623</v>
      </c>
      <c r="B253" s="281"/>
      <c r="C253" s="446"/>
      <c r="D253" s="446"/>
      <c r="E253" s="446"/>
      <c r="F253" s="446"/>
      <c r="G253" s="447"/>
      <c r="H253" s="446"/>
      <c r="I253" s="446"/>
      <c r="J253" s="446"/>
      <c r="K253" s="446"/>
      <c r="L253" s="447"/>
      <c r="M253" s="446"/>
      <c r="N253" s="446"/>
      <c r="O253" s="446"/>
      <c r="P253" s="446"/>
      <c r="Q253" s="447"/>
      <c r="R253" s="446"/>
      <c r="S253" s="446"/>
      <c r="T253" s="446"/>
      <c r="U253" s="446"/>
      <c r="V253" s="447"/>
      <c r="W253" s="446"/>
      <c r="X253" s="446"/>
      <c r="Y253" s="446"/>
      <c r="Z253" s="446"/>
      <c r="AA253" s="447"/>
      <c r="AB253" s="446"/>
      <c r="AC253" s="446"/>
      <c r="AD253" s="446"/>
      <c r="AE253" s="454"/>
      <c r="AF253" s="455"/>
      <c r="AG253" s="454"/>
      <c r="AH253" s="454"/>
      <c r="AI253" s="454"/>
      <c r="AJ253" s="454"/>
      <c r="AK253" s="455"/>
      <c r="AL253" s="454"/>
      <c r="AM253" s="454"/>
      <c r="AN253" s="454"/>
      <c r="AO253" s="454"/>
      <c r="AP253" s="456"/>
      <c r="AQ253" s="456"/>
      <c r="AR253" s="454"/>
      <c r="AS253" s="454"/>
      <c r="AT253" s="454"/>
      <c r="AU253" s="455"/>
      <c r="AV253" s="454"/>
      <c r="AW253" s="454"/>
      <c r="AX253" s="454"/>
      <c r="AY253" s="1666"/>
      <c r="AZ253" s="2603"/>
      <c r="BA253" s="454"/>
      <c r="BB253" s="454"/>
      <c r="BC253" s="454"/>
      <c r="BD253" s="1666"/>
      <c r="BE253" s="2603"/>
      <c r="BF253" s="454"/>
      <c r="BG253" s="454"/>
      <c r="BH253" s="454"/>
      <c r="BI253" s="1666"/>
      <c r="BJ253" s="2603"/>
      <c r="BK253" s="454"/>
      <c r="BL253" s="454"/>
      <c r="BM253" s="454"/>
      <c r="BN253" s="1666"/>
      <c r="BO253" s="2603"/>
      <c r="BP253" s="454"/>
      <c r="BQ253" s="454"/>
      <c r="BR253" s="454"/>
      <c r="BS253" s="454"/>
      <c r="BT253" s="3066"/>
      <c r="BU253" s="3391"/>
      <c r="BV253" s="2915"/>
      <c r="BW253" s="2915"/>
      <c r="BX253" s="2915"/>
      <c r="BY253" s="3066"/>
      <c r="BZ253" s="455"/>
      <c r="CA253" s="455"/>
      <c r="CB253" s="455"/>
      <c r="CC253" s="455"/>
      <c r="CD253" s="455"/>
      <c r="CE253" s="455"/>
      <c r="CF253" s="455"/>
      <c r="CG253" s="476"/>
      <c r="CH253" s="476"/>
      <c r="CI253" s="476"/>
      <c r="CJ253" s="476"/>
      <c r="CK253" s="331"/>
      <c r="CL253" s="995" t="str">
        <f>A253</f>
        <v>Other</v>
      </c>
      <c r="CM253" s="454"/>
      <c r="CN253" s="454"/>
      <c r="CO253" s="454"/>
      <c r="CP253" s="454"/>
      <c r="CQ253" s="454"/>
      <c r="CR253" s="454"/>
      <c r="CS253" s="454"/>
      <c r="CT253" s="454"/>
      <c r="CU253" s="454"/>
      <c r="CV253" s="454"/>
      <c r="CW253" s="454"/>
      <c r="CX253" s="454"/>
      <c r="CY253" s="454"/>
      <c r="CZ253" s="454"/>
      <c r="DA253" s="454"/>
      <c r="DB253" s="454"/>
      <c r="DC253" s="1666"/>
      <c r="DD253" s="331"/>
      <c r="DE253" s="331"/>
      <c r="DF253" s="502"/>
      <c r="DG253" s="503"/>
      <c r="DH253" s="2915"/>
      <c r="DI253" s="3213"/>
      <c r="DJ253" s="502"/>
      <c r="DK253" s="503"/>
      <c r="DL253" s="502"/>
      <c r="DM253" s="502"/>
      <c r="DN253" s="502"/>
      <c r="DO253" s="502"/>
      <c r="DP253" s="503"/>
      <c r="DQ253" s="503"/>
      <c r="DR253" s="296"/>
      <c r="DS253" s="296"/>
      <c r="DT253" s="296"/>
    </row>
    <row r="254" spans="1:130" ht="12.6" customHeight="1" outlineLevel="1" x14ac:dyDescent="0.25">
      <c r="A254" s="392" t="s">
        <v>1089</v>
      </c>
      <c r="B254" s="281"/>
      <c r="C254" s="446">
        <f>C1088</f>
        <v>7.758</v>
      </c>
      <c r="D254" s="446">
        <f>D1088</f>
        <v>8.2080000000000002</v>
      </c>
      <c r="E254" s="446">
        <f>E1088</f>
        <v>8.2889999999999997</v>
      </c>
      <c r="F254" s="446">
        <f>F1088</f>
        <v>7.7809999999999997</v>
      </c>
      <c r="G254" s="447">
        <f>SUM(C254:F254)</f>
        <v>32.036000000000001</v>
      </c>
      <c r="H254" s="446">
        <f>H1088</f>
        <v>7.2069999999999999</v>
      </c>
      <c r="I254" s="446">
        <f>I1088</f>
        <v>6.8970000000000002</v>
      </c>
      <c r="J254" s="446">
        <f>J1088</f>
        <v>7.8879999999999999</v>
      </c>
      <c r="K254" s="446">
        <f>K1088</f>
        <v>8.5280000000000005</v>
      </c>
      <c r="L254" s="447">
        <f>SUM(H254:K254)</f>
        <v>30.519999999999996</v>
      </c>
      <c r="M254" s="446">
        <f>M1088</f>
        <v>6.5860000000000003</v>
      </c>
      <c r="N254" s="446">
        <f>N1088</f>
        <v>7.0359999999999996</v>
      </c>
      <c r="O254" s="446">
        <f>O1088</f>
        <v>6.9029999999999996</v>
      </c>
      <c r="P254" s="446">
        <f>P1088</f>
        <v>6.2869999999999999</v>
      </c>
      <c r="Q254" s="447">
        <f>SUM(M254:P254)</f>
        <v>26.811999999999998</v>
      </c>
      <c r="R254" s="446">
        <f>R1088</f>
        <v>7.1310000000000002</v>
      </c>
      <c r="S254" s="446">
        <f>S1088</f>
        <v>7.4829999999999997</v>
      </c>
      <c r="T254" s="446">
        <f>T1088</f>
        <v>7.8860000000000001</v>
      </c>
      <c r="U254" s="446">
        <f>U1088</f>
        <v>6.3819999999999997</v>
      </c>
      <c r="V254" s="447">
        <f>SUM(R254:U254)</f>
        <v>28.881999999999998</v>
      </c>
      <c r="W254" s="446">
        <f>W1088</f>
        <v>5.7439999999999998</v>
      </c>
      <c r="X254" s="446">
        <f>X1088</f>
        <v>5.7590000000000003</v>
      </c>
      <c r="Y254" s="446">
        <f>Y1088</f>
        <v>6.1260000000000003</v>
      </c>
      <c r="Z254" s="446">
        <f>Z1088</f>
        <v>4.4989999999999997</v>
      </c>
      <c r="AA254" s="447">
        <f>SUM(W254:Z254)</f>
        <v>22.128</v>
      </c>
      <c r="AB254" s="446">
        <f>AB1088</f>
        <v>4.8520000000000003</v>
      </c>
      <c r="AC254" s="446">
        <f>AC1088</f>
        <v>4.72</v>
      </c>
      <c r="AD254" s="446">
        <f>AD1088</f>
        <v>5.4080000000000004</v>
      </c>
      <c r="AE254" s="454">
        <f>AE1088</f>
        <v>4.6779999999999999</v>
      </c>
      <c r="AF254" s="455">
        <f>SUM(AB254:AE254)</f>
        <v>19.658000000000001</v>
      </c>
      <c r="AG254" s="454">
        <f>AG1088</f>
        <v>4.883</v>
      </c>
      <c r="AH254" s="454">
        <f>AH1088</f>
        <v>4.8289999999999997</v>
      </c>
      <c r="AI254" s="454">
        <f>AI1088</f>
        <v>4.4530000000000003</v>
      </c>
      <c r="AJ254" s="454">
        <f>AJ1088</f>
        <v>3.63</v>
      </c>
      <c r="AK254" s="455">
        <f>SUM(AG254:AJ254)</f>
        <v>17.794999999999998</v>
      </c>
      <c r="AL254" s="454">
        <f t="shared" ref="AL254:AY254" si="560">AL1088</f>
        <v>2.9630000000000001</v>
      </c>
      <c r="AM254" s="454">
        <f t="shared" si="560"/>
        <v>3.04</v>
      </c>
      <c r="AN254" s="454">
        <f t="shared" si="560"/>
        <v>4.5420600000000002</v>
      </c>
      <c r="AO254" s="454">
        <f t="shared" si="560"/>
        <v>3.7025999999999999</v>
      </c>
      <c r="AP254" s="456">
        <f t="shared" si="560"/>
        <v>14.24766</v>
      </c>
      <c r="AQ254" s="456">
        <f t="shared" si="560"/>
        <v>3.0222600000000002</v>
      </c>
      <c r="AR254" s="454">
        <f t="shared" si="560"/>
        <v>3.1008</v>
      </c>
      <c r="AS254" s="454">
        <f t="shared" si="560"/>
        <v>4.6329012000000001</v>
      </c>
      <c r="AT254" s="454">
        <f t="shared" si="560"/>
        <v>3.7766519999999999</v>
      </c>
      <c r="AU254" s="455">
        <f t="shared" si="560"/>
        <v>14.532613200000002</v>
      </c>
      <c r="AV254" s="454">
        <f t="shared" si="560"/>
        <v>3.0827052000000008</v>
      </c>
      <c r="AW254" s="454">
        <f t="shared" si="560"/>
        <v>3.1628160000000007</v>
      </c>
      <c r="AX254" s="454">
        <f t="shared" si="560"/>
        <v>0</v>
      </c>
      <c r="AY254" s="1666">
        <f t="shared" si="560"/>
        <v>0</v>
      </c>
      <c r="AZ254" s="1666">
        <f>SUM(AV254:AY254)</f>
        <v>6.2455212000000015</v>
      </c>
      <c r="BA254" s="454">
        <f>BA1088</f>
        <v>0</v>
      </c>
      <c r="BB254" s="454">
        <f>BB1088</f>
        <v>0</v>
      </c>
      <c r="BC254" s="454">
        <f>BC1088</f>
        <v>0</v>
      </c>
      <c r="BD254" s="1666">
        <f>BD1088</f>
        <v>0</v>
      </c>
      <c r="BE254" s="1666">
        <f>SUM(BA254:BD254)</f>
        <v>0</v>
      </c>
      <c r="BF254" s="454">
        <f>BF1088</f>
        <v>0</v>
      </c>
      <c r="BG254" s="454">
        <f>BG1088</f>
        <v>0</v>
      </c>
      <c r="BH254" s="454">
        <f>BH1088</f>
        <v>0</v>
      </c>
      <c r="BI254" s="1666">
        <f>BI1088</f>
        <v>0</v>
      </c>
      <c r="BJ254" s="1666">
        <f>SUM(BF254:BI254)</f>
        <v>0</v>
      </c>
      <c r="BK254" s="454">
        <f>BK1088</f>
        <v>0</v>
      </c>
      <c r="BL254" s="454">
        <f>BL1088</f>
        <v>0</v>
      </c>
      <c r="BM254" s="454">
        <f>BM1088</f>
        <v>0</v>
      </c>
      <c r="BN254" s="1666">
        <f>BN1088</f>
        <v>0</v>
      </c>
      <c r="BO254" s="1666">
        <f>SUM(BK254:BN254)</f>
        <v>0</v>
      </c>
      <c r="BP254" s="454">
        <f>BP1088</f>
        <v>0</v>
      </c>
      <c r="BQ254" s="454">
        <f>BQ1088</f>
        <v>0</v>
      </c>
      <c r="BR254" s="454">
        <f>BR1088</f>
        <v>0</v>
      </c>
      <c r="BS254" s="454">
        <f>BS1088</f>
        <v>0</v>
      </c>
      <c r="BT254" s="3066">
        <f>SUM(BP254:BS254)</f>
        <v>0</v>
      </c>
      <c r="BU254" s="2915">
        <f>BU1088</f>
        <v>0</v>
      </c>
      <c r="BV254" s="2915">
        <f>BV1088</f>
        <v>0</v>
      </c>
      <c r="BW254" s="2915">
        <f>BW1088</f>
        <v>0</v>
      </c>
      <c r="BX254" s="2915">
        <f>BX1088</f>
        <v>0</v>
      </c>
      <c r="BY254" s="3066">
        <f>SUM(BU254:BX254)</f>
        <v>0</v>
      </c>
      <c r="BZ254" s="455">
        <f t="shared" ref="BZ254:CF254" si="561">BZ1088</f>
        <v>0</v>
      </c>
      <c r="CA254" s="455">
        <f t="shared" si="561"/>
        <v>0</v>
      </c>
      <c r="CB254" s="455">
        <f t="shared" si="561"/>
        <v>0</v>
      </c>
      <c r="CC254" s="455">
        <f t="shared" si="561"/>
        <v>0</v>
      </c>
      <c r="CD254" s="455">
        <f t="shared" si="561"/>
        <v>0</v>
      </c>
      <c r="CE254" s="455">
        <f t="shared" si="561"/>
        <v>0</v>
      </c>
      <c r="CF254" s="455">
        <f t="shared" si="561"/>
        <v>0</v>
      </c>
      <c r="CG254" s="588"/>
      <c r="CH254" s="588"/>
      <c r="CI254" s="588"/>
      <c r="CJ254" s="588"/>
      <c r="CK254" s="331"/>
      <c r="CL254" s="995" t="str">
        <f>A254</f>
        <v>Bullwhackers (CO)</v>
      </c>
      <c r="CM254" s="454">
        <f>G254</f>
        <v>32.036000000000001</v>
      </c>
      <c r="CN254" s="454">
        <f>L254</f>
        <v>30.519999999999996</v>
      </c>
      <c r="CO254" s="454">
        <f>Q254</f>
        <v>26.811999999999998</v>
      </c>
      <c r="CP254" s="454">
        <f>V254</f>
        <v>28.881999999999998</v>
      </c>
      <c r="CQ254" s="454">
        <f>AA254</f>
        <v>22.128</v>
      </c>
      <c r="CR254" s="454">
        <f>AF254</f>
        <v>19.658000000000001</v>
      </c>
      <c r="CS254" s="454">
        <f>AK254</f>
        <v>17.794999999999998</v>
      </c>
      <c r="CT254" s="454">
        <f>AP254</f>
        <v>14.24766</v>
      </c>
      <c r="CU254" s="454">
        <f>AU254</f>
        <v>14.532613200000002</v>
      </c>
      <c r="CV254" s="454">
        <f>AZ254</f>
        <v>6.2455212000000015</v>
      </c>
      <c r="CW254" s="454">
        <f>BE254</f>
        <v>0</v>
      </c>
      <c r="CX254" s="454">
        <f>BJ254</f>
        <v>0</v>
      </c>
      <c r="CY254" s="454">
        <f>BO254</f>
        <v>0</v>
      </c>
      <c r="CZ254" s="454">
        <f>BT254</f>
        <v>0</v>
      </c>
      <c r="DA254" s="454">
        <f t="shared" ref="DA254:DC256" si="562">BY254</f>
        <v>0</v>
      </c>
      <c r="DB254" s="454">
        <f t="shared" si="562"/>
        <v>0</v>
      </c>
      <c r="DC254" s="1666">
        <f t="shared" si="562"/>
        <v>0</v>
      </c>
      <c r="DD254" s="331"/>
      <c r="DE254" s="331"/>
      <c r="DF254" s="502"/>
      <c r="DG254" s="503"/>
      <c r="DH254" s="2915"/>
      <c r="DI254" s="3213"/>
      <c r="DJ254" s="502"/>
      <c r="DK254" s="503"/>
      <c r="DL254" s="502"/>
      <c r="DM254" s="502"/>
      <c r="DN254" s="502"/>
      <c r="DO254" s="502"/>
      <c r="DP254" s="503"/>
      <c r="DQ254" s="503"/>
      <c r="DR254" s="296"/>
      <c r="DS254" s="296"/>
      <c r="DT254" s="296"/>
    </row>
    <row r="255" spans="1:130" s="1049" customFormat="1" ht="12.6" customHeight="1" outlineLevel="1" x14ac:dyDescent="0.25">
      <c r="A255" s="2725" t="s">
        <v>2526</v>
      </c>
      <c r="B255" s="428"/>
      <c r="C255" s="454"/>
      <c r="D255" s="454"/>
      <c r="E255" s="454"/>
      <c r="F255" s="454"/>
      <c r="G255" s="455"/>
      <c r="H255" s="454"/>
      <c r="I255" s="454"/>
      <c r="J255" s="454"/>
      <c r="K255" s="454"/>
      <c r="L255" s="455"/>
      <c r="M255" s="454"/>
      <c r="N255" s="454"/>
      <c r="O255" s="454"/>
      <c r="P255" s="454"/>
      <c r="Q255" s="455"/>
      <c r="R255" s="454"/>
      <c r="S255" s="454"/>
      <c r="T255" s="454"/>
      <c r="U255" s="454"/>
      <c r="V255" s="455"/>
      <c r="W255" s="454"/>
      <c r="X255" s="454"/>
      <c r="Y255" s="454"/>
      <c r="Z255" s="454"/>
      <c r="AA255" s="455"/>
      <c r="AB255" s="454"/>
      <c r="AC255" s="454"/>
      <c r="AD255" s="454"/>
      <c r="AE255" s="454"/>
      <c r="AF255" s="455"/>
      <c r="AG255" s="454"/>
      <c r="AH255" s="454"/>
      <c r="AI255" s="454"/>
      <c r="AJ255" s="454"/>
      <c r="AK255" s="455"/>
      <c r="AL255" s="454"/>
      <c r="AM255" s="454"/>
      <c r="AN255" s="454"/>
      <c r="AO255" s="454"/>
      <c r="AP255" s="456"/>
      <c r="AQ255" s="456"/>
      <c r="AR255" s="454"/>
      <c r="AS255" s="454"/>
      <c r="AT255" s="454"/>
      <c r="AU255" s="455"/>
      <c r="AV255" s="454"/>
      <c r="AW255" s="454"/>
      <c r="AX255" s="454"/>
      <c r="AY255" s="1666"/>
      <c r="AZ255" s="1666"/>
      <c r="BA255" s="454"/>
      <c r="BB255" s="454"/>
      <c r="BC255" s="454"/>
      <c r="BD255" s="1666"/>
      <c r="BE255" s="1666"/>
      <c r="BF255" s="454"/>
      <c r="BG255" s="454"/>
      <c r="BH255" s="454"/>
      <c r="BI255" s="1666"/>
      <c r="BJ255" s="1666"/>
      <c r="BK255" s="454"/>
      <c r="BL255" s="454"/>
      <c r="BM255" s="2970">
        <f>+BM302/0.27</f>
        <v>11.111111111111111</v>
      </c>
      <c r="BN255" s="2970">
        <f>+BN302/0.27</f>
        <v>10.370370370370368</v>
      </c>
      <c r="BO255" s="455">
        <f>SUM(BK255:BN255)</f>
        <v>21.481481481481481</v>
      </c>
      <c r="BP255" s="2970">
        <f>+BP311/0.28</f>
        <v>11.55</v>
      </c>
      <c r="BQ255" s="2970">
        <f>+BQ311/0.28</f>
        <v>11.26125</v>
      </c>
      <c r="BR255" s="2970">
        <f>+BR311/0.29</f>
        <v>11.4165775862069</v>
      </c>
      <c r="BS255" s="2970">
        <f>+BS311/0.29</f>
        <v>11.4165775862069</v>
      </c>
      <c r="BT255" s="455">
        <f>SUM(BP255:BS255)</f>
        <v>45.644405172413798</v>
      </c>
      <c r="BU255" s="563">
        <f>+BU311/0.31</f>
        <v>10.953870967741938</v>
      </c>
      <c r="BV255" s="563">
        <f>+BV311/0.31</f>
        <v>11.188596774193552</v>
      </c>
      <c r="BW255" s="563">
        <f>+BW311/0.31</f>
        <v>11.748026612903228</v>
      </c>
      <c r="BX255" s="563">
        <f>+BX311/0.31</f>
        <v>11.748026612903228</v>
      </c>
      <c r="BY255" s="3066">
        <f>SUM(BU255:BX255)</f>
        <v>45.638520967741954</v>
      </c>
      <c r="BZ255" s="3099">
        <f>+BZ311/0.31</f>
        <v>47.920447016129046</v>
      </c>
      <c r="CA255" s="3099">
        <f>+CA311/0.32</f>
        <v>48.744079699218766</v>
      </c>
      <c r="CB255" s="455"/>
      <c r="CC255" s="455"/>
      <c r="CD255" s="455"/>
      <c r="CE255" s="455"/>
      <c r="CF255" s="455"/>
      <c r="CG255" s="588"/>
      <c r="CH255" s="588"/>
      <c r="CI255" s="588"/>
      <c r="CJ255" s="588"/>
      <c r="CK255" s="331"/>
      <c r="CL255" s="995"/>
      <c r="CM255" s="454"/>
      <c r="CN255" s="454"/>
      <c r="CO255" s="454"/>
      <c r="CP255" s="454"/>
      <c r="CQ255" s="454"/>
      <c r="CR255" s="454"/>
      <c r="CS255" s="454"/>
      <c r="CT255" s="454"/>
      <c r="CU255" s="454"/>
      <c r="CV255" s="454"/>
      <c r="CW255" s="454"/>
      <c r="CX255" s="454"/>
      <c r="CY255" s="454"/>
      <c r="CZ255" s="454"/>
      <c r="DA255" s="454"/>
      <c r="DB255" s="454"/>
      <c r="DC255" s="1666"/>
      <c r="DD255" s="331"/>
      <c r="DE255" s="331"/>
      <c r="DF255" s="502"/>
      <c r="DG255" s="503"/>
      <c r="DH255" s="2915"/>
      <c r="DI255" s="3213"/>
      <c r="DJ255" s="502"/>
      <c r="DK255" s="503"/>
      <c r="DL255" s="502"/>
      <c r="DM255" s="502"/>
      <c r="DN255" s="502"/>
      <c r="DO255" s="502"/>
      <c r="DP255" s="503"/>
      <c r="DQ255" s="503"/>
      <c r="DR255" s="296"/>
      <c r="DS255" s="296"/>
      <c r="DT255" s="296"/>
      <c r="DU255"/>
      <c r="DV255"/>
      <c r="DW255"/>
      <c r="DX255"/>
      <c r="DY255"/>
      <c r="DZ255"/>
    </row>
    <row r="256" spans="1:130" ht="12.6" customHeight="1" outlineLevel="1" x14ac:dyDescent="0.25">
      <c r="A256" s="392" t="s">
        <v>2119</v>
      </c>
      <c r="B256" s="281"/>
      <c r="C256" s="430">
        <f>C1107</f>
        <v>0</v>
      </c>
      <c r="D256" s="430">
        <f>D1107</f>
        <v>0</v>
      </c>
      <c r="E256" s="430">
        <f>E1107</f>
        <v>0</v>
      </c>
      <c r="F256" s="430">
        <f>F1107</f>
        <v>0</v>
      </c>
      <c r="G256" s="481">
        <f>SUM(C256:F256)</f>
        <v>0</v>
      </c>
      <c r="H256" s="430">
        <f>H1107</f>
        <v>0</v>
      </c>
      <c r="I256" s="430">
        <f>I1107</f>
        <v>0</v>
      </c>
      <c r="J256" s="430">
        <f>J1107</f>
        <v>0</v>
      </c>
      <c r="K256" s="430">
        <f>K1107</f>
        <v>2.286</v>
      </c>
      <c r="L256" s="481">
        <f>SUM(H256:K256)</f>
        <v>2.286</v>
      </c>
      <c r="M256" s="430">
        <f>M1107</f>
        <v>2.02</v>
      </c>
      <c r="N256" s="430">
        <f>N1107</f>
        <v>2.4119999999999999</v>
      </c>
      <c r="O256" s="430">
        <f>O1107</f>
        <v>2.1749999999999998</v>
      </c>
      <c r="P256" s="430">
        <f>P1107</f>
        <v>1.7450000000000001</v>
      </c>
      <c r="Q256" s="481">
        <f>SUM(M256:P256)</f>
        <v>8.3520000000000003</v>
      </c>
      <c r="R256" s="430">
        <f>R1107</f>
        <v>1.5329999999999999</v>
      </c>
      <c r="S256" s="430">
        <f>S1107</f>
        <v>2.2000000000000002</v>
      </c>
      <c r="T256" s="430">
        <f>T1107</f>
        <v>2.117</v>
      </c>
      <c r="U256" s="430">
        <f>U1107</f>
        <v>3.3319999999999999</v>
      </c>
      <c r="V256" s="481">
        <f>SUM(R256:U256)</f>
        <v>9.1819999999999986</v>
      </c>
      <c r="W256" s="509">
        <f>W1107</f>
        <v>3.4890000000000434</v>
      </c>
      <c r="X256" s="509">
        <f>X1107</f>
        <v>4.3479999999999999</v>
      </c>
      <c r="Y256" s="509">
        <f>Y1107</f>
        <v>3.7890000000000001</v>
      </c>
      <c r="Z256" s="509">
        <f>Z1107</f>
        <v>2.9370000000000003</v>
      </c>
      <c r="AA256" s="510">
        <f>SUM(W256:Z256)</f>
        <v>14.563000000000045</v>
      </c>
      <c r="AB256" s="509">
        <f>AB1107</f>
        <v>3.4050000000000002</v>
      </c>
      <c r="AC256" s="509">
        <f>AC1107</f>
        <v>3.7910000000000004</v>
      </c>
      <c r="AD256" s="509">
        <f>AD1107</f>
        <v>3.3919999999999999</v>
      </c>
      <c r="AE256" s="430">
        <f>AE1107</f>
        <v>2.681</v>
      </c>
      <c r="AF256" s="481">
        <f>SUM(AB256:AE256)</f>
        <v>13.269000000000002</v>
      </c>
      <c r="AG256" s="430">
        <f>AG1107</f>
        <v>3.032</v>
      </c>
      <c r="AH256" s="430">
        <f>AH1107</f>
        <v>3.4630000000000001</v>
      </c>
      <c r="AI256" s="430">
        <f>AI1107</f>
        <v>3.2289999999999996</v>
      </c>
      <c r="AJ256" s="430">
        <f>AJ1107</f>
        <v>6.226</v>
      </c>
      <c r="AK256" s="481">
        <f>SUM(AG256:AJ256)</f>
        <v>15.95</v>
      </c>
      <c r="AL256" s="430">
        <f t="shared" ref="AL256:AY256" si="563">AL1107</f>
        <v>6.7759999999999998</v>
      </c>
      <c r="AM256" s="430">
        <f t="shared" si="563"/>
        <v>5.3120000000000003</v>
      </c>
      <c r="AN256" s="430">
        <f t="shared" si="563"/>
        <v>4.97</v>
      </c>
      <c r="AO256" s="430">
        <f t="shared" si="563"/>
        <v>4.41</v>
      </c>
      <c r="AP256" s="483">
        <f t="shared" si="563"/>
        <v>21.468</v>
      </c>
      <c r="AQ256" s="483">
        <f t="shared" si="563"/>
        <v>4.8239999999999998</v>
      </c>
      <c r="AR256" s="430">
        <f t="shared" si="563"/>
        <v>5.3120000000000003</v>
      </c>
      <c r="AS256" s="430">
        <f t="shared" si="563"/>
        <v>4.97</v>
      </c>
      <c r="AT256" s="430">
        <f t="shared" si="563"/>
        <v>4.41</v>
      </c>
      <c r="AU256" s="481">
        <f t="shared" si="563"/>
        <v>19.515999999999998</v>
      </c>
      <c r="AV256" s="430">
        <f t="shared" si="563"/>
        <v>4.8239999999999998</v>
      </c>
      <c r="AW256" s="430">
        <f t="shared" si="563"/>
        <v>5.3120000000000003</v>
      </c>
      <c r="AX256" s="430">
        <f t="shared" si="563"/>
        <v>4.97</v>
      </c>
      <c r="AY256" s="853">
        <f t="shared" si="563"/>
        <v>4.41</v>
      </c>
      <c r="AZ256" s="1666">
        <f>SUM(AV256:AY256)</f>
        <v>19.515999999999998</v>
      </c>
      <c r="BA256" s="430">
        <f>BA1107</f>
        <v>4.8239999999999998</v>
      </c>
      <c r="BB256" s="430">
        <f>BB1107</f>
        <v>5.3120000000000003</v>
      </c>
      <c r="BC256" s="430">
        <f>BC1107</f>
        <v>4.97</v>
      </c>
      <c r="BD256" s="853">
        <f>BD1107</f>
        <v>4.41</v>
      </c>
      <c r="BE256" s="1666">
        <f>SUM(BA256:BD256)</f>
        <v>19.515999999999998</v>
      </c>
      <c r="BF256" s="430">
        <f>BF1107</f>
        <v>4.8239999999999998</v>
      </c>
      <c r="BG256" s="430">
        <f>BG1107</f>
        <v>5.3120000000000003</v>
      </c>
      <c r="BH256" s="430">
        <f>BH1107</f>
        <v>4.97</v>
      </c>
      <c r="BI256" s="853">
        <f>BI1107</f>
        <v>4.41</v>
      </c>
      <c r="BJ256" s="1666">
        <f>SUM(BF256:BI256)</f>
        <v>19.515999999999998</v>
      </c>
      <c r="BK256" s="430">
        <f>BK1107</f>
        <v>4.8239999999999998</v>
      </c>
      <c r="BL256" s="430">
        <f>BL1107</f>
        <v>5.3120000000000003</v>
      </c>
      <c r="BM256" s="430">
        <f>BM1107</f>
        <v>4.97</v>
      </c>
      <c r="BN256" s="853">
        <f>BN1107</f>
        <v>4.41</v>
      </c>
      <c r="BO256" s="1666">
        <f>SUM(BK256:BN256)</f>
        <v>19.515999999999998</v>
      </c>
      <c r="BP256" s="430">
        <f>BP1107</f>
        <v>4.8239999999999998</v>
      </c>
      <c r="BQ256" s="430">
        <f>BQ1107</f>
        <v>5.3120000000000003</v>
      </c>
      <c r="BR256" s="430">
        <f>BR1107</f>
        <v>4.97</v>
      </c>
      <c r="BS256" s="430">
        <f>BS1107</f>
        <v>4.41</v>
      </c>
      <c r="BT256" s="2587">
        <f>SUM(BP256:BS256)</f>
        <v>19.515999999999998</v>
      </c>
      <c r="BU256" s="2840">
        <f>BU1107</f>
        <v>4.8239999999999998</v>
      </c>
      <c r="BV256" s="2840">
        <f>BV1107</f>
        <v>5.3120000000000003</v>
      </c>
      <c r="BW256" s="2840">
        <f>BW1107</f>
        <v>4.97</v>
      </c>
      <c r="BX256" s="2840">
        <f>BX1107</f>
        <v>4.41</v>
      </c>
      <c r="BY256" s="2587">
        <f>SUM(BU256:BX256)</f>
        <v>19.515999999999998</v>
      </c>
      <c r="BZ256" s="481">
        <f t="shared" ref="BZ256:CF256" si="564">BZ1107</f>
        <v>19.515999999999998</v>
      </c>
      <c r="CA256" s="481">
        <f t="shared" si="564"/>
        <v>19.515999999999998</v>
      </c>
      <c r="CB256" s="481">
        <f t="shared" si="564"/>
        <v>19.515999999999998</v>
      </c>
      <c r="CC256" s="481">
        <f t="shared" si="564"/>
        <v>19.515999999999998</v>
      </c>
      <c r="CD256" s="481">
        <f t="shared" si="564"/>
        <v>19.515999999999998</v>
      </c>
      <c r="CE256" s="481">
        <f t="shared" si="564"/>
        <v>19.515999999999998</v>
      </c>
      <c r="CF256" s="481">
        <f t="shared" si="564"/>
        <v>19.515999999999998</v>
      </c>
      <c r="CG256" s="331"/>
      <c r="CH256" s="331"/>
      <c r="CI256" s="331"/>
      <c r="CJ256" s="331"/>
      <c r="CK256" s="331"/>
      <c r="CL256" s="995" t="str">
        <f>A256</f>
        <v>Other Racing Operations - OH/FL/MD</v>
      </c>
      <c r="CM256" s="430">
        <f>G256</f>
        <v>0</v>
      </c>
      <c r="CN256" s="430">
        <f>L256</f>
        <v>2.286</v>
      </c>
      <c r="CO256" s="430">
        <f>Q256</f>
        <v>8.3520000000000003</v>
      </c>
      <c r="CP256" s="430">
        <f>V256</f>
        <v>9.1819999999999986</v>
      </c>
      <c r="CQ256" s="430">
        <f>AA256</f>
        <v>14.563000000000045</v>
      </c>
      <c r="CR256" s="430">
        <f>AF256</f>
        <v>13.269000000000002</v>
      </c>
      <c r="CS256" s="430">
        <f>AK256</f>
        <v>15.95</v>
      </c>
      <c r="CT256" s="430">
        <f>AP256</f>
        <v>21.468</v>
      </c>
      <c r="CU256" s="430">
        <f>AU256</f>
        <v>19.515999999999998</v>
      </c>
      <c r="CV256" s="430">
        <f>AZ256</f>
        <v>19.515999999999998</v>
      </c>
      <c r="CW256" s="430">
        <f>BE256</f>
        <v>19.515999999999998</v>
      </c>
      <c r="CX256" s="430">
        <f>BJ256</f>
        <v>19.515999999999998</v>
      </c>
      <c r="CY256" s="430">
        <f>BO256</f>
        <v>19.515999999999998</v>
      </c>
      <c r="CZ256" s="430">
        <f>BT256</f>
        <v>19.515999999999998</v>
      </c>
      <c r="DA256" s="430">
        <f t="shared" si="562"/>
        <v>19.515999999999998</v>
      </c>
      <c r="DB256" s="430">
        <f t="shared" si="562"/>
        <v>19.515999999999998</v>
      </c>
      <c r="DC256" s="853">
        <f t="shared" si="562"/>
        <v>19.515999999999998</v>
      </c>
      <c r="DD256" s="331"/>
      <c r="DE256" s="331"/>
      <c r="DF256" s="502"/>
      <c r="DG256" s="503"/>
      <c r="DH256" s="2840"/>
      <c r="DI256" s="3213"/>
      <c r="DJ256" s="502"/>
      <c r="DK256" s="503"/>
      <c r="DL256" s="502"/>
      <c r="DM256" s="502"/>
      <c r="DN256" s="502"/>
      <c r="DO256" s="502"/>
      <c r="DP256" s="503"/>
      <c r="DQ256" s="503"/>
      <c r="DR256" s="296"/>
      <c r="DS256" s="296"/>
      <c r="DT256" s="296"/>
    </row>
    <row r="257" spans="1:124" ht="12.6" customHeight="1" outlineLevel="1" x14ac:dyDescent="0.25">
      <c r="A257" s="392" t="s">
        <v>795</v>
      </c>
      <c r="B257" s="281"/>
      <c r="C257" s="430"/>
      <c r="D257" s="430"/>
      <c r="E257" s="430"/>
      <c r="F257" s="430"/>
      <c r="G257" s="481"/>
      <c r="H257" s="430"/>
      <c r="I257" s="430"/>
      <c r="J257" s="430"/>
      <c r="K257" s="430"/>
      <c r="L257" s="481"/>
      <c r="M257" s="430"/>
      <c r="N257" s="430"/>
      <c r="O257" s="430"/>
      <c r="P257" s="430"/>
      <c r="Q257" s="481"/>
      <c r="R257" s="430"/>
      <c r="S257" s="430"/>
      <c r="T257" s="430"/>
      <c r="U257" s="430"/>
      <c r="V257" s="481"/>
      <c r="W257" s="509"/>
      <c r="X257" s="509"/>
      <c r="Y257" s="509"/>
      <c r="Z257" s="509"/>
      <c r="AA257" s="510"/>
      <c r="AB257" s="509"/>
      <c r="AC257" s="509"/>
      <c r="AD257" s="509"/>
      <c r="AE257" s="430"/>
      <c r="AF257" s="481"/>
      <c r="AG257" s="430"/>
      <c r="AH257" s="430"/>
      <c r="AI257" s="430"/>
      <c r="AJ257" s="430"/>
      <c r="AK257" s="481"/>
      <c r="AL257" s="2080"/>
      <c r="AM257" s="2080"/>
      <c r="AN257" s="2080">
        <f>AN13-(AN254+AN256)</f>
        <v>-7.2817537400000933</v>
      </c>
      <c r="AO257" s="2080">
        <f>AO13-(AO254+AO256)</f>
        <v>-2.3374171600000437</v>
      </c>
      <c r="AP257" s="481">
        <f>SUM(AL257:AO257)</f>
        <v>-9.6191709000001371</v>
      </c>
      <c r="AQ257" s="2083">
        <f>AQ13-(AQ254+AQ256)</f>
        <v>7.8644819671450543</v>
      </c>
      <c r="AR257" s="2080">
        <f>AR13-(AR254+AR256)</f>
        <v>-1.2825288804085027</v>
      </c>
      <c r="AS257" s="2080">
        <f>AS13-(AS254+AS256)</f>
        <v>-4.397109300016135</v>
      </c>
      <c r="AT257" s="2080">
        <f>AT13-(AT254+AT256)</f>
        <v>2.1859867108378044</v>
      </c>
      <c r="AU257" s="481">
        <f>SUM(AQ257:AT257)</f>
        <v>4.3708304975582211</v>
      </c>
      <c r="AV257" s="2080">
        <f>AV13-(AV254+AV256)</f>
        <v>1.2952947999999989</v>
      </c>
      <c r="AW257" s="2080">
        <f>AW13-(AW254+AW256)</f>
        <v>1.7501839999999991</v>
      </c>
      <c r="AX257" s="2080">
        <f>AX13-(AX254+AX256)</f>
        <v>1.6589999999999998</v>
      </c>
      <c r="AY257" s="2080">
        <f>AY13-(AY254+AY256)</f>
        <v>1.5229999999999997</v>
      </c>
      <c r="AZ257" s="481">
        <f>SUM(AV257:AY257)</f>
        <v>6.2274787999999974</v>
      </c>
      <c r="BA257" s="2080">
        <f>BA13-(BA254+BA256)</f>
        <v>2.13</v>
      </c>
      <c r="BB257" s="2080">
        <f>BB13-(BB254+BB256)</f>
        <v>1.718</v>
      </c>
      <c r="BC257" s="2080">
        <f>BC13-(BC254+BC256)</f>
        <v>0.53000000000000025</v>
      </c>
      <c r="BD257" s="2080">
        <f>BD13-(BD254+BD256)</f>
        <v>0.39400000000000013</v>
      </c>
      <c r="BE257" s="481">
        <f>SUM(BA257:BD257)</f>
        <v>4.7720000000000002</v>
      </c>
      <c r="BF257" s="2080">
        <f>BF13-(BF254+BF256)</f>
        <v>-8.3999999999999631E-2</v>
      </c>
      <c r="BG257" s="2080">
        <f>BG13-(BG254+BG256)</f>
        <v>0.53500000000000014</v>
      </c>
      <c r="BH257" s="2080">
        <f>BH13-(BH254+BH256)</f>
        <v>0.39400000000000013</v>
      </c>
      <c r="BI257" s="2080">
        <f>BI13-(BI254+BI256)</f>
        <v>0.57599999999999962</v>
      </c>
      <c r="BJ257" s="481">
        <f>SUM(BF257:BI257)</f>
        <v>1.4210000000000003</v>
      </c>
      <c r="BK257" s="2080">
        <f>BK13-(BK254+BK256)</f>
        <v>1.3760000000000003</v>
      </c>
      <c r="BL257" s="2080">
        <f>BL13-(BL254+BL256)</f>
        <v>2.2299999999999995</v>
      </c>
      <c r="BM257" s="2080">
        <f>BM13-(BM254+BM256+BM255)</f>
        <v>-2.5731111111111105</v>
      </c>
      <c r="BN257" s="2080">
        <f>BN13-(BN254+BN256+BN255)</f>
        <v>-0.33837037037036843</v>
      </c>
      <c r="BO257" s="481">
        <f>SUM(BK257:BN257)</f>
        <v>0.69451851851852098</v>
      </c>
      <c r="BP257" s="2080">
        <f>BP13-(BP254+BP256+BP255)</f>
        <v>-1.7730000000000015</v>
      </c>
      <c r="BQ257" s="2080">
        <f>BQ13-(BQ254+BQ256+BQ255)</f>
        <v>-3.2072500000000019</v>
      </c>
      <c r="BR257" s="2080">
        <f>BR13-(BR254+BR256+BR255)</f>
        <v>-4.1615775862069011</v>
      </c>
      <c r="BS257" s="2080">
        <f>BS13-(BS254+BS256+BS255)</f>
        <v>-4.3255775862069008</v>
      </c>
      <c r="BT257" s="2587">
        <f>SUM(BP257:BS257)</f>
        <v>-13.467405172413805</v>
      </c>
      <c r="BU257" s="2840">
        <f>BP257</f>
        <v>-1.7730000000000015</v>
      </c>
      <c r="BV257" s="2840">
        <f>BQ257</f>
        <v>-3.2072500000000019</v>
      </c>
      <c r="BW257" s="2840">
        <f>BR257</f>
        <v>-4.1615775862069011</v>
      </c>
      <c r="BX257" s="2840">
        <f>BS257</f>
        <v>-4.3255775862069008</v>
      </c>
      <c r="BY257" s="2587">
        <f>SUM(BU257:BX257)</f>
        <v>-13.467405172413805</v>
      </c>
      <c r="BZ257" s="2571">
        <f t="shared" ref="BZ257:CF257" si="565">+BY257</f>
        <v>-13.467405172413805</v>
      </c>
      <c r="CA257" s="2571">
        <f t="shared" si="565"/>
        <v>-13.467405172413805</v>
      </c>
      <c r="CB257" s="2571">
        <f t="shared" si="565"/>
        <v>-13.467405172413805</v>
      </c>
      <c r="CC257" s="2571">
        <f t="shared" si="565"/>
        <v>-13.467405172413805</v>
      </c>
      <c r="CD257" s="2571">
        <f t="shared" si="565"/>
        <v>-13.467405172413805</v>
      </c>
      <c r="CE257" s="2571">
        <f t="shared" si="565"/>
        <v>-13.467405172413805</v>
      </c>
      <c r="CF257" s="2571">
        <f t="shared" si="565"/>
        <v>-13.467405172413805</v>
      </c>
      <c r="CG257" s="331"/>
      <c r="CH257" s="331"/>
      <c r="CI257" s="331"/>
      <c r="CJ257" s="331"/>
      <c r="CK257" s="331"/>
      <c r="CL257" s="995"/>
      <c r="CM257" s="430"/>
      <c r="CN257" s="430"/>
      <c r="CO257" s="430"/>
      <c r="CP257" s="430"/>
      <c r="CQ257" s="430"/>
      <c r="CR257" s="430"/>
      <c r="CS257" s="430"/>
      <c r="CT257" s="430"/>
      <c r="CU257" s="430"/>
      <c r="CV257" s="430"/>
      <c r="CW257" s="430"/>
      <c r="CX257" s="430"/>
      <c r="CY257" s="430"/>
      <c r="CZ257" s="430"/>
      <c r="DA257" s="430"/>
      <c r="DB257" s="430"/>
      <c r="DC257" s="853"/>
      <c r="DD257" s="331"/>
      <c r="DE257" s="331"/>
      <c r="DF257" s="502"/>
      <c r="DG257" s="503"/>
      <c r="DH257" s="2840"/>
      <c r="DI257" s="3213"/>
      <c r="DJ257" s="502"/>
      <c r="DK257" s="503"/>
      <c r="DL257" s="502"/>
      <c r="DM257" s="502"/>
      <c r="DN257" s="502"/>
      <c r="DO257" s="502"/>
      <c r="DP257" s="503"/>
      <c r="DQ257" s="503"/>
      <c r="DR257" s="296"/>
      <c r="DS257" s="296"/>
      <c r="DT257" s="296"/>
    </row>
    <row r="258" spans="1:124" ht="12.6" customHeight="1" outlineLevel="1" x14ac:dyDescent="0.25">
      <c r="A258" s="2191" t="s">
        <v>985</v>
      </c>
      <c r="B258" s="1812"/>
      <c r="C258" s="2148">
        <f t="shared" ref="C258:AH258" si="566">SUM(C218:C257)</f>
        <v>294.18599999999998</v>
      </c>
      <c r="D258" s="2148">
        <f t="shared" si="566"/>
        <v>301.07100000000003</v>
      </c>
      <c r="E258" s="2148">
        <f t="shared" si="566"/>
        <v>288.73099999999999</v>
      </c>
      <c r="F258" s="2148">
        <f t="shared" si="566"/>
        <v>276.68799999999999</v>
      </c>
      <c r="G258" s="2149">
        <f t="shared" si="566"/>
        <v>1160.6759999999999</v>
      </c>
      <c r="H258" s="2148">
        <f t="shared" si="566"/>
        <v>281.43</v>
      </c>
      <c r="I258" s="2148">
        <f t="shared" si="566"/>
        <v>296.20399999999995</v>
      </c>
      <c r="J258" s="2148">
        <f t="shared" si="566"/>
        <v>286.93700000000001</v>
      </c>
      <c r="K258" s="2148">
        <f t="shared" si="566"/>
        <v>524.44399999999996</v>
      </c>
      <c r="L258" s="2149">
        <f t="shared" si="566"/>
        <v>1389.0149999999999</v>
      </c>
      <c r="M258" s="2148">
        <f t="shared" si="566"/>
        <v>547.78099999999995</v>
      </c>
      <c r="N258" s="2148">
        <f t="shared" si="566"/>
        <v>537.79499999999996</v>
      </c>
      <c r="O258" s="2148">
        <f t="shared" si="566"/>
        <v>586.11099999999988</v>
      </c>
      <c r="P258" s="2148">
        <f t="shared" si="566"/>
        <v>572.86099999999999</v>
      </c>
      <c r="Q258" s="2149">
        <f t="shared" si="566"/>
        <v>2244.5480000000002</v>
      </c>
      <c r="R258" s="2148">
        <f t="shared" si="566"/>
        <v>596.25799999999992</v>
      </c>
      <c r="S258" s="2148">
        <f t="shared" si="566"/>
        <v>625.24399999999991</v>
      </c>
      <c r="T258" s="2148">
        <f t="shared" si="566"/>
        <v>629.45000000000005</v>
      </c>
      <c r="U258" s="2148">
        <f t="shared" si="566"/>
        <v>585.84100000000001</v>
      </c>
      <c r="V258" s="2149">
        <f t="shared" si="566"/>
        <v>2436.7929999999997</v>
      </c>
      <c r="W258" s="2148">
        <f t="shared" si="566"/>
        <v>613.49400000000003</v>
      </c>
      <c r="X258" s="2148">
        <f t="shared" si="566"/>
        <v>620.5859999999999</v>
      </c>
      <c r="Y258" s="2148">
        <f t="shared" si="566"/>
        <v>617.88699999999994</v>
      </c>
      <c r="Z258" s="2148">
        <f t="shared" si="566"/>
        <v>571.08600000000013</v>
      </c>
      <c r="AA258" s="2149">
        <f t="shared" si="566"/>
        <v>2423.0529999999999</v>
      </c>
      <c r="AB258" s="2148">
        <f t="shared" si="566"/>
        <v>612.226</v>
      </c>
      <c r="AC258" s="2148">
        <f t="shared" si="566"/>
        <v>580.81700000000001</v>
      </c>
      <c r="AD258" s="2148">
        <f t="shared" si="566"/>
        <v>620.42600000000016</v>
      </c>
      <c r="AE258" s="2148">
        <f t="shared" si="566"/>
        <v>555.80600000000004</v>
      </c>
      <c r="AF258" s="2149">
        <f t="shared" si="566"/>
        <v>2369.2750000000001</v>
      </c>
      <c r="AG258" s="2148">
        <f t="shared" si="566"/>
        <v>592.32299999999998</v>
      </c>
      <c r="AH258" s="2148">
        <f t="shared" si="566"/>
        <v>598.31099999999981</v>
      </c>
      <c r="AI258" s="2148">
        <f t="shared" ref="AI258:BN258" si="567">SUM(AI218:AI257)</f>
        <v>638.25599999999997</v>
      </c>
      <c r="AJ258" s="2148">
        <f t="shared" si="567"/>
        <v>630.221</v>
      </c>
      <c r="AK258" s="2149">
        <f t="shared" si="567"/>
        <v>2459.1109999999999</v>
      </c>
      <c r="AL258" s="2148">
        <f t="shared" si="567"/>
        <v>667.02300000000002</v>
      </c>
      <c r="AM258" s="2148">
        <f t="shared" si="567"/>
        <v>687.87899999999991</v>
      </c>
      <c r="AN258" s="2192">
        <f t="shared" si="567"/>
        <v>710.90499999999986</v>
      </c>
      <c r="AO258" s="2192">
        <f t="shared" si="567"/>
        <v>676.44999999999982</v>
      </c>
      <c r="AP258" s="2151">
        <f t="shared" si="567"/>
        <v>2742.2569999999996</v>
      </c>
      <c r="AQ258" s="2151">
        <f t="shared" si="567"/>
        <v>736.05900000000008</v>
      </c>
      <c r="AR258" s="2148">
        <f t="shared" si="567"/>
        <v>712.55099999999982</v>
      </c>
      <c r="AS258" s="2148">
        <f t="shared" si="567"/>
        <v>707.04399999999987</v>
      </c>
      <c r="AT258" s="2148">
        <f t="shared" si="567"/>
        <v>743.81099999999981</v>
      </c>
      <c r="AU258" s="2149">
        <f t="shared" si="567"/>
        <v>2899.4649999999997</v>
      </c>
      <c r="AV258" s="2148">
        <f t="shared" si="567"/>
        <v>798.24599999999975</v>
      </c>
      <c r="AW258" s="2148">
        <f t="shared" si="567"/>
        <v>761.37100000000009</v>
      </c>
      <c r="AX258" s="2148">
        <f t="shared" si="567"/>
        <v>714.43500000000006</v>
      </c>
      <c r="AY258" s="2152">
        <f t="shared" si="567"/>
        <v>644.702</v>
      </c>
      <c r="AZ258" s="2152">
        <f t="shared" si="567"/>
        <v>2918.7540000000004</v>
      </c>
      <c r="BA258" s="2148">
        <f t="shared" si="567"/>
        <v>641.07999999999993</v>
      </c>
      <c r="BB258" s="2148">
        <f t="shared" si="567"/>
        <v>652.14599999999996</v>
      </c>
      <c r="BC258" s="2148">
        <f t="shared" si="567"/>
        <v>645.94000000000005</v>
      </c>
      <c r="BD258" s="2152">
        <f t="shared" si="567"/>
        <v>651.36199999999997</v>
      </c>
      <c r="BE258" s="2152">
        <f t="shared" si="567"/>
        <v>2590.5280000000007</v>
      </c>
      <c r="BF258" s="2148">
        <f t="shared" si="567"/>
        <v>664.13800000000003</v>
      </c>
      <c r="BG258" s="2148">
        <f t="shared" si="567"/>
        <v>700.9559999999999</v>
      </c>
      <c r="BH258" s="2148">
        <f t="shared" si="567"/>
        <v>739.29700000000003</v>
      </c>
      <c r="BI258" s="2152">
        <f t="shared" si="567"/>
        <v>733.96699999999998</v>
      </c>
      <c r="BJ258" s="2152">
        <f t="shared" si="567"/>
        <v>2838.3580000000002</v>
      </c>
      <c r="BK258" s="2148">
        <f t="shared" si="567"/>
        <v>756.45100000000002</v>
      </c>
      <c r="BL258" s="2148">
        <f t="shared" si="567"/>
        <v>769.42200000000037</v>
      </c>
      <c r="BM258" s="2148">
        <f t="shared" si="567"/>
        <v>765.59700000000009</v>
      </c>
      <c r="BN258" s="2152">
        <f t="shared" si="567"/>
        <v>742.90999999999985</v>
      </c>
      <c r="BO258" s="2152">
        <f t="shared" ref="BO258:CF258" si="568">SUM(BO218:BO257)</f>
        <v>3034.3799999999997</v>
      </c>
      <c r="BP258" s="2148">
        <f t="shared" si="568"/>
        <v>776.22399999999982</v>
      </c>
      <c r="BQ258" s="2148">
        <f t="shared" si="568"/>
        <v>796.46299999999985</v>
      </c>
      <c r="BR258" s="2148">
        <f t="shared" si="568"/>
        <v>806.24699999999996</v>
      </c>
      <c r="BS258" s="2148">
        <f t="shared" si="568"/>
        <v>769.03600000000006</v>
      </c>
      <c r="BT258" s="2149">
        <f t="shared" ref="BT258:BY258" si="569">SUM(BT218:BT257)</f>
        <v>3147.9699999999993</v>
      </c>
      <c r="BU258" s="2148">
        <f t="shared" si="569"/>
        <v>803.54090794012643</v>
      </c>
      <c r="BV258" s="2148">
        <f t="shared" si="569"/>
        <v>814.45111017387399</v>
      </c>
      <c r="BW258" s="2148">
        <f t="shared" si="569"/>
        <v>1300.6085851982223</v>
      </c>
      <c r="BX258" s="2148">
        <f t="shared" si="569"/>
        <v>1249.1798506349539</v>
      </c>
      <c r="BY258" s="2149">
        <f t="shared" si="569"/>
        <v>4160.2793739471763</v>
      </c>
      <c r="BZ258" s="2149">
        <f t="shared" si="568"/>
        <v>5155.140410235319</v>
      </c>
      <c r="CA258" s="2149">
        <f t="shared" si="568"/>
        <v>5133.5775532800353</v>
      </c>
      <c r="CB258" s="2149">
        <f t="shared" si="568"/>
        <v>2891.4850861790696</v>
      </c>
      <c r="CC258" s="2149">
        <f t="shared" si="568"/>
        <v>2758.1919754892201</v>
      </c>
      <c r="CD258" s="2149">
        <f t="shared" si="568"/>
        <v>2811.1486872338328</v>
      </c>
      <c r="CE258" s="2149">
        <f t="shared" si="568"/>
        <v>2866.5880158334617</v>
      </c>
      <c r="CF258" s="2149">
        <f t="shared" si="568"/>
        <v>2920.2713526884058</v>
      </c>
      <c r="CG258" s="2144"/>
      <c r="CH258" s="2144"/>
      <c r="CI258" s="2144"/>
      <c r="CJ258" s="2144"/>
      <c r="CK258" s="2144"/>
      <c r="CL258" s="2228" t="str">
        <f>A258</f>
        <v>Total Net Revenue</v>
      </c>
      <c r="CM258" s="2201">
        <f>G258</f>
        <v>1160.6759999999999</v>
      </c>
      <c r="CN258" s="2201">
        <f>L258</f>
        <v>1389.0149999999999</v>
      </c>
      <c r="CO258" s="2201">
        <f>Q258</f>
        <v>2244.5480000000002</v>
      </c>
      <c r="CP258" s="2201">
        <f>V258</f>
        <v>2436.7929999999997</v>
      </c>
      <c r="CQ258" s="2201">
        <f>AA258</f>
        <v>2423.0529999999999</v>
      </c>
      <c r="CR258" s="2201">
        <f>AF258</f>
        <v>2369.2750000000001</v>
      </c>
      <c r="CS258" s="2201">
        <f>AK258</f>
        <v>2459.1109999999999</v>
      </c>
      <c r="CT258" s="2201">
        <f>AP258</f>
        <v>2742.2569999999996</v>
      </c>
      <c r="CU258" s="2201">
        <f>AU258</f>
        <v>2899.4649999999997</v>
      </c>
      <c r="CV258" s="2201">
        <f>AZ258</f>
        <v>2918.7540000000004</v>
      </c>
      <c r="CW258" s="2201">
        <f>BE258</f>
        <v>2590.5280000000007</v>
      </c>
      <c r="CX258" s="2201">
        <f>BJ258</f>
        <v>2838.3580000000002</v>
      </c>
      <c r="CY258" s="2201">
        <f>BO258</f>
        <v>3034.3799999999997</v>
      </c>
      <c r="CZ258" s="2201">
        <f>BT258</f>
        <v>3147.9699999999993</v>
      </c>
      <c r="DA258" s="2201">
        <f t="shared" ref="DA258:DC259" si="570">BY258</f>
        <v>4160.2793739471763</v>
      </c>
      <c r="DB258" s="2201">
        <f t="shared" si="570"/>
        <v>5155.140410235319</v>
      </c>
      <c r="DC258" s="2202">
        <f t="shared" si="570"/>
        <v>5133.5775532800353</v>
      </c>
      <c r="DD258" s="2144"/>
      <c r="DE258" s="2144"/>
      <c r="DF258" s="2144"/>
      <c r="DG258" s="2144"/>
      <c r="DH258" s="2144"/>
      <c r="DI258" s="3213"/>
      <c r="DJ258" s="2144"/>
      <c r="DK258" s="2144"/>
      <c r="DL258" s="2144"/>
      <c r="DM258" s="2144"/>
      <c r="DN258" s="2144"/>
      <c r="DO258" s="2144"/>
      <c r="DP258" s="2144"/>
      <c r="DQ258" s="2144"/>
      <c r="DR258" s="2154"/>
      <c r="DS258" s="2154"/>
      <c r="DT258" s="2154"/>
    </row>
    <row r="259" spans="1:124" ht="12.6" customHeight="1" outlineLevel="1" x14ac:dyDescent="0.25">
      <c r="A259" s="865" t="s">
        <v>1491</v>
      </c>
      <c r="B259" s="466"/>
      <c r="C259" s="467" t="s">
        <v>553</v>
      </c>
      <c r="D259" s="467" t="s">
        <v>553</v>
      </c>
      <c r="E259" s="467" t="s">
        <v>553</v>
      </c>
      <c r="F259" s="467" t="s">
        <v>553</v>
      </c>
      <c r="G259" s="468" t="s">
        <v>553</v>
      </c>
      <c r="H259" s="467">
        <f t="shared" ref="H259:AU259" si="571">(H258-C258)/C258</f>
        <v>-4.3360323060920553E-2</v>
      </c>
      <c r="I259" s="467">
        <f t="shared" si="571"/>
        <v>-1.6165622062570207E-2</v>
      </c>
      <c r="J259" s="467">
        <f t="shared" si="571"/>
        <v>-6.2133958598140923E-3</v>
      </c>
      <c r="K259" s="467">
        <f t="shared" si="571"/>
        <v>0.89543456890071116</v>
      </c>
      <c r="L259" s="468">
        <f t="shared" si="571"/>
        <v>0.19672931981017955</v>
      </c>
      <c r="M259" s="467">
        <f t="shared" si="571"/>
        <v>0.94642006893366004</v>
      </c>
      <c r="N259" s="467">
        <f t="shared" si="571"/>
        <v>0.81562369177998961</v>
      </c>
      <c r="O259" s="467">
        <f t="shared" si="571"/>
        <v>1.0426469921968928</v>
      </c>
      <c r="P259" s="467">
        <f t="shared" si="571"/>
        <v>9.2320629085278952E-2</v>
      </c>
      <c r="Q259" s="468">
        <f t="shared" si="571"/>
        <v>0.61592783375269555</v>
      </c>
      <c r="R259" s="467">
        <f t="shared" si="571"/>
        <v>8.8497045352065845E-2</v>
      </c>
      <c r="S259" s="467">
        <f t="shared" si="571"/>
        <v>0.16260656941771487</v>
      </c>
      <c r="T259" s="467">
        <f t="shared" si="571"/>
        <v>7.3943331553238512E-2</v>
      </c>
      <c r="U259" s="467">
        <f t="shared" si="571"/>
        <v>2.2658201553256405E-2</v>
      </c>
      <c r="V259" s="468">
        <f t="shared" si="571"/>
        <v>8.5649761110031697E-2</v>
      </c>
      <c r="W259" s="467">
        <f t="shared" si="571"/>
        <v>2.8906949676147081E-2</v>
      </c>
      <c r="X259" s="467">
        <f t="shared" si="571"/>
        <v>-7.4498915623340909E-3</v>
      </c>
      <c r="Y259" s="467">
        <f t="shared" si="571"/>
        <v>-1.8370005560410043E-2</v>
      </c>
      <c r="Z259" s="467">
        <f t="shared" si="571"/>
        <v>-2.5186014635370145E-2</v>
      </c>
      <c r="AA259" s="468">
        <f t="shared" si="571"/>
        <v>-5.6385585480587738E-3</v>
      </c>
      <c r="AB259" s="467">
        <f t="shared" si="571"/>
        <v>-2.0668498795424714E-3</v>
      </c>
      <c r="AC259" s="467">
        <f t="shared" si="571"/>
        <v>-6.4082979635376722E-2</v>
      </c>
      <c r="AD259" s="467">
        <f t="shared" si="571"/>
        <v>4.1091655917671272E-3</v>
      </c>
      <c r="AE259" s="469">
        <f t="shared" si="571"/>
        <v>-2.67560402461277E-2</v>
      </c>
      <c r="AF259" s="470">
        <f t="shared" si="571"/>
        <v>-2.2194314362913151E-2</v>
      </c>
      <c r="AG259" s="469">
        <f t="shared" si="571"/>
        <v>-3.2509236785108801E-2</v>
      </c>
      <c r="AH259" s="469">
        <f t="shared" si="571"/>
        <v>3.0119641814891438E-2</v>
      </c>
      <c r="AI259" s="469">
        <f t="shared" si="571"/>
        <v>2.8738318510184629E-2</v>
      </c>
      <c r="AJ259" s="469">
        <f>(AJ258-AE258)/AE258</f>
        <v>0.13388664390092939</v>
      </c>
      <c r="AK259" s="470">
        <f t="shared" si="571"/>
        <v>3.7917084340146158E-2</v>
      </c>
      <c r="AL259" s="469">
        <f t="shared" si="571"/>
        <v>0.12611362381673522</v>
      </c>
      <c r="AM259" s="469">
        <f t="shared" si="571"/>
        <v>0.14970140946765165</v>
      </c>
      <c r="AN259" s="469">
        <f t="shared" si="571"/>
        <v>0.11382423353638649</v>
      </c>
      <c r="AO259" s="469">
        <f t="shared" si="571"/>
        <v>7.3353633090613948E-2</v>
      </c>
      <c r="AP259" s="471">
        <f t="shared" si="571"/>
        <v>0.11514161011845327</v>
      </c>
      <c r="AQ259" s="471">
        <f t="shared" si="571"/>
        <v>0.10349867995556383</v>
      </c>
      <c r="AR259" s="469">
        <f t="shared" si="571"/>
        <v>3.5866773080730642E-2</v>
      </c>
      <c r="AS259" s="469">
        <f t="shared" si="571"/>
        <v>-5.4311054219621339E-3</v>
      </c>
      <c r="AT259" s="469">
        <f t="shared" si="571"/>
        <v>9.9580161135338907E-2</v>
      </c>
      <c r="AU259" s="470">
        <f t="shared" si="571"/>
        <v>5.7327960143779416E-2</v>
      </c>
      <c r="AV259" s="471">
        <f t="shared" ref="AV259:BA259" si="572">(AV258-AQ258)/AQ258</f>
        <v>8.4486433832070065E-2</v>
      </c>
      <c r="AW259" s="469">
        <f t="shared" si="572"/>
        <v>6.8514394057408223E-2</v>
      </c>
      <c r="AX259" s="469">
        <f t="shared" si="572"/>
        <v>1.0453380553402888E-2</v>
      </c>
      <c r="AY259" s="469">
        <f t="shared" si="572"/>
        <v>-0.13324487000057789</v>
      </c>
      <c r="AZ259" s="470">
        <f t="shared" si="572"/>
        <v>6.6526066015629333E-3</v>
      </c>
      <c r="BA259" s="471">
        <f t="shared" si="572"/>
        <v>-0.19688917952611085</v>
      </c>
      <c r="BB259" s="469">
        <f t="shared" ref="BB259:BJ259" si="573">(BB258-AW258)/AW258</f>
        <v>-0.14345831401511239</v>
      </c>
      <c r="BC259" s="469">
        <f t="shared" si="573"/>
        <v>-9.5872962550826876E-2</v>
      </c>
      <c r="BD259" s="469">
        <f t="shared" si="573"/>
        <v>1.0330354179140081E-2</v>
      </c>
      <c r="BE259" s="470">
        <f t="shared" si="573"/>
        <v>-0.11245414995576866</v>
      </c>
      <c r="BF259" s="469">
        <f t="shared" si="573"/>
        <v>3.5967429961939398E-2</v>
      </c>
      <c r="BG259" s="469">
        <f t="shared" si="573"/>
        <v>7.4845203374704364E-2</v>
      </c>
      <c r="BH259" s="469">
        <f t="shared" si="573"/>
        <v>0.14452890361333864</v>
      </c>
      <c r="BI259" s="469">
        <f t="shared" si="573"/>
        <v>0.12681888105231809</v>
      </c>
      <c r="BJ259" s="470">
        <f t="shared" si="573"/>
        <v>9.5667755762531573E-2</v>
      </c>
      <c r="BK259" s="469">
        <f t="shared" ref="BK259:BT259" si="574">(BK258-BF258)/BF258</f>
        <v>0.13899671453824353</v>
      </c>
      <c r="BL259" s="469">
        <f t="shared" si="574"/>
        <v>9.7675175046651241E-2</v>
      </c>
      <c r="BM259" s="469">
        <f t="shared" si="574"/>
        <v>3.5574336159892528E-2</v>
      </c>
      <c r="BN259" s="469">
        <f t="shared" si="574"/>
        <v>1.2184471508936874E-2</v>
      </c>
      <c r="BO259" s="470">
        <f t="shared" si="574"/>
        <v>6.9061760355811172E-2</v>
      </c>
      <c r="BP259" s="469">
        <f t="shared" si="574"/>
        <v>2.6139168300391959E-2</v>
      </c>
      <c r="BQ259" s="469">
        <f t="shared" si="574"/>
        <v>3.5144563061622197E-2</v>
      </c>
      <c r="BR259" s="469">
        <f t="shared" si="574"/>
        <v>5.3095819340984694E-2</v>
      </c>
      <c r="BS259" s="469">
        <f t="shared" si="574"/>
        <v>3.5167113109259816E-2</v>
      </c>
      <c r="BT259" s="470">
        <f t="shared" si="574"/>
        <v>3.7434335844554641E-2</v>
      </c>
      <c r="BU259" s="469">
        <f>(BU258-BP258)/BP258</f>
        <v>3.5192042426060798E-2</v>
      </c>
      <c r="BV259" s="469">
        <f>(BV258-BQ258)/BQ258</f>
        <v>2.2584991611505036E-2</v>
      </c>
      <c r="BW259" s="469">
        <f>(BW258-BR258)/BR258</f>
        <v>0.61316393760004362</v>
      </c>
      <c r="BX259" s="469">
        <f>(BX258-BS258)/BS258</f>
        <v>0.6243450900022286</v>
      </c>
      <c r="BY259" s="470">
        <f>(BY258-BT258)/BT258</f>
        <v>0.32157529263213347</v>
      </c>
      <c r="BZ259" s="470">
        <f t="shared" ref="BZ259:CF259" si="575">(BZ258-BY258)/BY258</f>
        <v>0.23913322805151946</v>
      </c>
      <c r="CA259" s="470">
        <f t="shared" si="575"/>
        <v>-4.1827875168000302E-3</v>
      </c>
      <c r="CB259" s="470">
        <f t="shared" si="575"/>
        <v>-0.43675048128344895</v>
      </c>
      <c r="CC259" s="470">
        <f t="shared" si="575"/>
        <v>-4.6098494966124372E-2</v>
      </c>
      <c r="CD259" s="470">
        <f t="shared" si="575"/>
        <v>1.9199791825664982E-2</v>
      </c>
      <c r="CE259" s="470">
        <f t="shared" si="575"/>
        <v>1.9721236678583914E-2</v>
      </c>
      <c r="CF259" s="470">
        <f t="shared" si="575"/>
        <v>1.8727259221913588E-2</v>
      </c>
      <c r="CG259" s="492"/>
      <c r="CH259" s="492"/>
      <c r="CI259" s="492"/>
      <c r="CJ259" s="492"/>
      <c r="CK259" s="492"/>
      <c r="CL259" s="1310" t="str">
        <f>A259</f>
        <v>% growth (y-o-y)</v>
      </c>
      <c r="CM259" s="469" t="str">
        <f>G259</f>
        <v xml:space="preserve">n/a </v>
      </c>
      <c r="CN259" s="469">
        <f>L259</f>
        <v>0.19672931981017955</v>
      </c>
      <c r="CO259" s="469">
        <f>Q259</f>
        <v>0.61592783375269555</v>
      </c>
      <c r="CP259" s="469">
        <f>V259</f>
        <v>8.5649761110031697E-2</v>
      </c>
      <c r="CQ259" s="469">
        <f>AA259</f>
        <v>-5.6385585480587738E-3</v>
      </c>
      <c r="CR259" s="469">
        <f>AF259</f>
        <v>-2.2194314362913151E-2</v>
      </c>
      <c r="CS259" s="469">
        <f>AK259</f>
        <v>3.7917084340146158E-2</v>
      </c>
      <c r="CT259" s="469">
        <f>AP259</f>
        <v>0.11514161011845327</v>
      </c>
      <c r="CU259" s="469">
        <f>AU259</f>
        <v>5.7327960143779416E-2</v>
      </c>
      <c r="CV259" s="469">
        <f>AZ259</f>
        <v>6.6526066015629333E-3</v>
      </c>
      <c r="CW259" s="469">
        <f>BE259</f>
        <v>-0.11245414995576866</v>
      </c>
      <c r="CX259" s="469">
        <f>BJ259</f>
        <v>9.5667755762531573E-2</v>
      </c>
      <c r="CY259" s="469">
        <f>BO259</f>
        <v>6.9061760355811172E-2</v>
      </c>
      <c r="CZ259" s="469">
        <f>BT259</f>
        <v>3.7434335844554641E-2</v>
      </c>
      <c r="DA259" s="469">
        <f t="shared" si="570"/>
        <v>0.32157529263213347</v>
      </c>
      <c r="DB259" s="469">
        <f t="shared" si="570"/>
        <v>0.23913322805151946</v>
      </c>
      <c r="DC259" s="1463">
        <f t="shared" si="570"/>
        <v>-4.1827875168000302E-3</v>
      </c>
      <c r="DD259" s="492"/>
      <c r="DE259" s="492"/>
      <c r="DF259" s="962"/>
      <c r="DG259" s="962"/>
      <c r="DH259" s="469"/>
      <c r="DI259" s="3213"/>
      <c r="DJ259" s="962"/>
      <c r="DK259" s="962"/>
      <c r="DL259" s="962"/>
      <c r="DM259" s="962"/>
      <c r="DN259" s="962"/>
      <c r="DO259" s="962"/>
      <c r="DP259" s="962"/>
      <c r="DQ259" s="962"/>
      <c r="DR259" s="963"/>
      <c r="DS259" s="963"/>
      <c r="DT259" s="963"/>
    </row>
    <row r="260" spans="1:124" ht="12.6" customHeight="1" outlineLevel="1" x14ac:dyDescent="0.25">
      <c r="A260" s="865" t="s">
        <v>2574</v>
      </c>
      <c r="B260" s="466"/>
      <c r="C260" s="467"/>
      <c r="D260" s="467"/>
      <c r="E260" s="467"/>
      <c r="F260" s="467"/>
      <c r="G260" s="468"/>
      <c r="H260" s="467"/>
      <c r="I260" s="467"/>
      <c r="J260" s="467"/>
      <c r="K260" s="467"/>
      <c r="L260" s="468"/>
      <c r="M260" s="467"/>
      <c r="N260" s="467"/>
      <c r="O260" s="467"/>
      <c r="P260" s="467"/>
      <c r="Q260" s="468"/>
      <c r="R260" s="467"/>
      <c r="S260" s="467"/>
      <c r="T260" s="467"/>
      <c r="U260" s="467"/>
      <c r="V260" s="468"/>
      <c r="W260" s="467"/>
      <c r="X260" s="467"/>
      <c r="Y260" s="467"/>
      <c r="Z260" s="467"/>
      <c r="AA260" s="468"/>
      <c r="AB260" s="467"/>
      <c r="AC260" s="467"/>
      <c r="AD260" s="467"/>
      <c r="AE260" s="469"/>
      <c r="AF260" s="470"/>
      <c r="AG260" s="469">
        <f>SUM(AG218,AG220:AG230)/SUM(AB218,AB220:AB230)-1</f>
        <v>-6.2861291724858659E-2</v>
      </c>
      <c r="AH260" s="469">
        <f>SUM(AH218,AH220:AH220,AH244:AH254)/SUM(AC218,AC220:AC220,AC244:AC254)-1</f>
        <v>-3.0215322545279144E-2</v>
      </c>
      <c r="AI260" s="469">
        <f>SUM(AI243,AI240:AI241,AI244:AI254)/SUM(AD243,AD240:AD241,AD244:AD254)-1</f>
        <v>-7.2066303010390076E-2</v>
      </c>
      <c r="AJ260" s="1056">
        <f>SUM(AJ243,AJ240:AJ241,AJ244:AJ254)/SUM(AE243,AE240:AE241,AE244:AE254)-1</f>
        <v>-6.0603136666937951E-3</v>
      </c>
      <c r="AK260" s="470"/>
      <c r="AL260" s="469"/>
      <c r="AM260" s="469"/>
      <c r="AN260" s="469"/>
      <c r="AO260" s="469"/>
      <c r="AP260" s="471"/>
      <c r="AQ260" s="471"/>
      <c r="AR260" s="469"/>
      <c r="AS260" s="469"/>
      <c r="AT260" s="469"/>
      <c r="AU260" s="470"/>
      <c r="AV260" s="471"/>
      <c r="AW260" s="469"/>
      <c r="AX260" s="469"/>
      <c r="AY260" s="469"/>
      <c r="AZ260" s="470"/>
      <c r="BA260" s="469">
        <f>SUM(BA218:BA223,BA230,BA231,BA240:BA246,BA256,BA257)/SUM(AV218:AV223,AV230,AV231,AV240:AV246,AV256,AV257)-1</f>
        <v>-0.15768519858208496</v>
      </c>
      <c r="BB260" s="469">
        <f>SUM(BB218:BB223,BB230,BB231,BB240:BB246,BB256,BB257)/SUM(AW218:AW223,AW230,AW231,AW240:AW246,AW256,AW257)-1</f>
        <v>-9.2003869816876249E-2</v>
      </c>
      <c r="BC260" s="469">
        <f>SUM(BC218:BC223,BC230,BC231,BC240:BC246,BC256,BC257)/SUM(AX218:AX223,AX230,AX231,AX240:AX246,AX256,AX257)-1</f>
        <v>-8.2908676392016156E-2</v>
      </c>
      <c r="BD260" s="2955">
        <f t="shared" ref="BD260:BJ260" si="576">SUM(BD218:BD223,BD230,BD231,BD240:BD244,BD256,BD257,BD234:BD246)/SUM(AY218:AY223,AY230,AY231,AY240:AY244,AY256,AY257,AY234:AY246)-1</f>
        <v>-4.6560805797888793E-2</v>
      </c>
      <c r="BE260" s="470">
        <f t="shared" si="576"/>
        <v>-0.10648694188632901</v>
      </c>
      <c r="BF260" s="469">
        <f t="shared" si="576"/>
        <v>-3.1787025627536214E-2</v>
      </c>
      <c r="BG260" s="469">
        <f t="shared" si="576"/>
        <v>-1.180215437600951E-2</v>
      </c>
      <c r="BH260" s="469">
        <f t="shared" si="576"/>
        <v>-4.7626358367063304E-3</v>
      </c>
      <c r="BI260" s="469">
        <f t="shared" si="576"/>
        <v>5.7234805227888153E-3</v>
      </c>
      <c r="BJ260" s="470">
        <f t="shared" si="576"/>
        <v>-1.0895963515408891E-2</v>
      </c>
      <c r="BK260" s="2955">
        <f>SUM(BK218:BK225,BK230,BK231,BK240:BK244,BK256,BK257,BK234:BK246)/SUM(BF218:BF225,BF230,BF231,BF240:BF244,BF256,BF257,BF234:BF246)-1</f>
        <v>2.5662255542338253E-2</v>
      </c>
      <c r="BL260" s="469">
        <f>SUM(BL218:BL225,BL230,BL231,BL240:BL244,BL256,BL257,BL234:BL246)/SUM(BG218:BG225,BG230,BG231,BG240:BG244,BG256,BG257,BG234:BG246)-1</f>
        <v>-2.0610377200269814E-2</v>
      </c>
      <c r="BM260" s="469">
        <f>SUM(BM218:BM225,BM230,BM231,BM240:BM244,BM256,BM257,BM234:BM246)/SUM(BH218:BH225,BH230,BH231,BH240:BH244,BH256,BH257,BH234:BH246)-1</f>
        <v>-9.2352084750280117E-3</v>
      </c>
      <c r="BN260" s="2955">
        <f>SUM(BN218:BN226,BN230,BN231,BN256,BN257,BN234:BN248,BN233)/SUM(BI218:BI226,BI230,BI231,BI256,BI257,BI234:BI248,BI233)-1</f>
        <v>-1.1230438742632187E-2</v>
      </c>
      <c r="BO260" s="470">
        <f>SUM(BO218:BO225,BO230,BO231,BO240:BO244,BO256,BO257,BO234:BO246)/SUM(BJ218:BJ225,BJ230,BJ231,BJ240:BJ244,BJ256,BJ257,BJ234:BJ246)-1</f>
        <v>-6.6173305072743105E-3</v>
      </c>
      <c r="BP260" s="469">
        <f>SUM(BP218:BP226,BP230,BP231,BP256,BP257,BP234:BP248,BP233)/SUM(BK218:BK226,BK230,BK231,BK256,BK257,BK234:BK248,BK233)-1</f>
        <v>-2.2951548687750734E-3</v>
      </c>
      <c r="BQ260" s="469">
        <f>SUM(BQ218:BQ226,BQ230,BQ231,BQ256,BQ257,BQ234:BQ248,BQ233)/SUM(BL218:BL226,BL230,BL231,BL256,BL257,BL234:BL248,BL233)-1</f>
        <v>1.6965543262292382E-2</v>
      </c>
      <c r="BR260" s="469">
        <f>SUM(BR218:BR226,BR230,BR231,BR256,BR257,BR234:BR248,BR233)/SUM(BM218:BM226,BM230,BM231,BM256,BM257,BM234:BM248,BM233)-1</f>
        <v>3.9790275155579868E-2</v>
      </c>
      <c r="BS260" s="469">
        <f>SUM(BS218:BS226,BS230,BS231,BS256,BS257,BS234:BS248,BS232:BS233)/SUM(BN218:BN226,BN230,BN231,BN256,BN257,BN234:BN248,BN232:BN233)-1</f>
        <v>3.1916317668185812E-2</v>
      </c>
      <c r="BT260" s="470">
        <f t="shared" ref="BT260" si="577">SUM(BT218:BT226,BT230,BT231,BT256,BT257,BT234:BT248,BT233)/SUM(BO218:BO226,BO230,BO231,BO256,BO257,BO234:BO248,BO233)-1</f>
        <v>2.1752853195102784E-2</v>
      </c>
      <c r="BU260" s="469">
        <f>SUM(BU218:BU226,BU230,BU231,BU256,BU257,BU234:BU237,BU233,BP240:BP248)/SUM(BP218:BP226,BP230,BP231,BP256,BP257,BP234:BP237,BP233,BU240:BU248)-1</f>
        <v>4.9965041416493161E-2</v>
      </c>
      <c r="BV260" s="469">
        <f t="shared" ref="BV260:BX260" si="578">SUM(BV218:BV226,BV230,BV231,BV256,BV257,BV234:BV237,BV233,BQ240:BQ248)/SUM(BQ218:BQ226,BQ230,BQ231,BQ256,BQ257,BQ234:BQ237,BQ233,BV240:BV248)-1</f>
        <v>1.1771900734443674E-2</v>
      </c>
      <c r="BW260" s="469">
        <f t="shared" si="578"/>
        <v>-3.8243657293245414E-3</v>
      </c>
      <c r="BX260" s="469">
        <f t="shared" si="578"/>
        <v>2.9547079885818839E-3</v>
      </c>
      <c r="BY260" s="470">
        <f>SUM(BY218:BY222,BY224:BY226,BY230,BY231,BY256,BY257,BY236:BY237,BY233:BY234,BY240:BY248)/SUM(BT218:BT222,BT224:BT226,BT230,BT231,BT256,BT257,BT236:BT237,BT233:BT234,BT240:BT248)-1</f>
        <v>1.411014662537502E-2</v>
      </c>
      <c r="BZ260" s="470">
        <f>SUM(BZ218:BZ226,BZ230,BZ231,BZ255:BZ256,BZ257,BZ234:BZ248,BZ233)/SUM(BY218:BY226,BY230,BY231,BY255:BY256,BY257,BY234:BY248,BY233)-1</f>
        <v>3.5944157993366144E-3</v>
      </c>
      <c r="CA260" s="470">
        <f>SUM(CA218:CA226,CA230,CA231,CA255:CA256,CA257,CA234:CA248,CA232:CA233)/SUM(BZ218:BZ226,BZ230,BZ231,BZ255:BZ256,BZ257,BZ234:BZ248,BZ232:BZ233)-1</f>
        <v>-8.0004208941601984E-3</v>
      </c>
      <c r="CB260" s="470">
        <f>SUM(CB218:CB226,CB230,CB231:CB232,CB240:CB246,CB256,CB257)/SUM(CA218:CA226,CA230,CA231:CA232,CA240:CA246,CA256,CA257)-1</f>
        <v>-4.6259375074895193E-2</v>
      </c>
      <c r="CC260" s="470">
        <f>SUM(CC218:CC226,CC230,CC231:CC232,CC240:CC246,CC256,CC257)/SUM(CB218:CB226,CB230,CB231:CB232,CB240:CB246,CB256,CB257)-1</f>
        <v>-4.835795830363776E-2</v>
      </c>
      <c r="CD260" s="470">
        <f>SUM(CD218:CD226,CD230,CD231:CD232,CD240:CD246,CD256,CD257)/SUM(CC218:CC226,CC230,CC231:CC232,CC240:CC246,CC256,CC257)-1</f>
        <v>1.9641167435786366E-2</v>
      </c>
      <c r="CE260" s="470">
        <f>SUM(CE218:CE226,CE230,CE231:CE232,CE240:CE246,CE256,CE257)/SUM(CD218:CD226,CD230,CD231:CD232,CD240:CD246,CD256,CD257)-1</f>
        <v>2.0235951898709414E-2</v>
      </c>
      <c r="CF260" s="470">
        <f>SUM(CF218:CF226,CF230,CF231:CF232,CF240:CF246,CF256,CF257)/SUM(CE218:CE226,CE230,CE231:CE232,CE240:CE246,CE256,CE257)-1</f>
        <v>1.9087961944773024E-2</v>
      </c>
      <c r="CG260" s="492"/>
      <c r="CH260" s="492"/>
      <c r="CI260" s="492"/>
      <c r="CJ260" s="492"/>
      <c r="CK260" s="492"/>
      <c r="CL260" s="1310" t="str">
        <f>A260</f>
        <v>% growth (same-store)</v>
      </c>
      <c r="CM260" s="469"/>
      <c r="CN260" s="469"/>
      <c r="CO260" s="469"/>
      <c r="CP260" s="469"/>
      <c r="CQ260" s="469"/>
      <c r="CR260" s="469"/>
      <c r="CS260" s="469"/>
      <c r="CT260" s="469">
        <f>AP260</f>
        <v>0</v>
      </c>
      <c r="CU260" s="469">
        <f>AU260</f>
        <v>0</v>
      </c>
      <c r="CV260" s="469">
        <f>AZ260</f>
        <v>0</v>
      </c>
      <c r="CW260" s="469">
        <f>BE260</f>
        <v>-0.10648694188632901</v>
      </c>
      <c r="CX260" s="469"/>
      <c r="CY260" s="469"/>
      <c r="CZ260" s="469"/>
      <c r="DA260" s="469"/>
      <c r="DB260" s="469"/>
      <c r="DC260" s="1463"/>
      <c r="DD260" s="492"/>
      <c r="DE260" s="492"/>
      <c r="DF260" s="962"/>
      <c r="DG260" s="962"/>
      <c r="DH260" s="469"/>
      <c r="DI260" s="3213"/>
      <c r="DJ260" s="962"/>
      <c r="DK260" s="962"/>
      <c r="DL260" s="962"/>
      <c r="DM260" s="962"/>
      <c r="DN260" s="962"/>
      <c r="DO260" s="962"/>
      <c r="DP260" s="962"/>
      <c r="DQ260" s="962"/>
      <c r="DR260" s="963"/>
      <c r="DS260" s="963"/>
      <c r="DT260" s="963"/>
    </row>
    <row r="261" spans="1:124" ht="12.6" customHeight="1" outlineLevel="1" x14ac:dyDescent="0.25">
      <c r="A261" s="865" t="s">
        <v>1039</v>
      </c>
      <c r="B261" s="466"/>
      <c r="C261" s="467"/>
      <c r="D261" s="467"/>
      <c r="E261" s="467"/>
      <c r="F261" s="467"/>
      <c r="G261" s="468"/>
      <c r="H261" s="467"/>
      <c r="I261" s="467"/>
      <c r="J261" s="467"/>
      <c r="K261" s="467"/>
      <c r="L261" s="468"/>
      <c r="M261" s="467"/>
      <c r="N261" s="467"/>
      <c r="O261" s="467"/>
      <c r="P261" s="467"/>
      <c r="Q261" s="468"/>
      <c r="R261" s="467"/>
      <c r="S261" s="467"/>
      <c r="T261" s="467"/>
      <c r="U261" s="467"/>
      <c r="V261" s="468"/>
      <c r="W261" s="467"/>
      <c r="X261" s="467"/>
      <c r="Y261" s="467"/>
      <c r="Z261" s="467"/>
      <c r="AA261" s="468"/>
      <c r="AB261" s="467"/>
      <c r="AC261" s="467"/>
      <c r="AD261" s="467"/>
      <c r="AE261" s="469"/>
      <c r="AF261" s="470"/>
      <c r="AG261" s="469"/>
      <c r="AH261" s="469"/>
      <c r="AI261" s="469"/>
      <c r="AJ261" s="1056"/>
      <c r="AK261" s="470"/>
      <c r="AL261" s="469"/>
      <c r="AM261" s="469"/>
      <c r="AN261" s="469"/>
      <c r="AO261" s="469"/>
      <c r="AP261" s="471"/>
      <c r="AQ261" s="471"/>
      <c r="AR261" s="469"/>
      <c r="AS261" s="469"/>
      <c r="AT261" s="469"/>
      <c r="AU261" s="470"/>
      <c r="AV261" s="471"/>
      <c r="AW261" s="469"/>
      <c r="AX261" s="469"/>
      <c r="AY261" s="469"/>
      <c r="AZ261" s="470"/>
      <c r="BA261" s="471">
        <f t="shared" ref="BA261:BJ261" si="579">SUM(BA240,BA241,BA242,BA223,BA222,BA220,BA219,BA230,BA231,BA244,BA234,BA236,BA237,BA246,BA256,BA257,BA221)/SUM(AV240,AV241,AV242,AV223,AV222,AV220,AV219,AV230,AV231,AV244,AV234,AV236,AV237,AV246,AV256,AV257,AV221)-1</f>
        <v>-8.7075538993385271E-2</v>
      </c>
      <c r="BB261" s="469">
        <f t="shared" si="579"/>
        <v>-5.2393344148142784E-2</v>
      </c>
      <c r="BC261" s="469">
        <f t="shared" si="579"/>
        <v>-3.9718497673713382E-2</v>
      </c>
      <c r="BD261" s="469">
        <f t="shared" si="579"/>
        <v>-2.9979640820548825E-3</v>
      </c>
      <c r="BE261" s="470">
        <f t="shared" si="579"/>
        <v>-4.6888894404191639E-2</v>
      </c>
      <c r="BF261" s="469">
        <f t="shared" si="579"/>
        <v>3.2911289390828991E-3</v>
      </c>
      <c r="BG261" s="469">
        <f t="shared" si="579"/>
        <v>1.7864913600788679E-2</v>
      </c>
      <c r="BH261" s="469">
        <f t="shared" si="579"/>
        <v>1.9735399871059878E-2</v>
      </c>
      <c r="BI261" s="469">
        <f t="shared" si="579"/>
        <v>5.382061796116222E-3</v>
      </c>
      <c r="BJ261" s="470">
        <f t="shared" si="579"/>
        <v>1.1616376844922671E-2</v>
      </c>
      <c r="BK261" s="469">
        <f>SUM(BK256:BK257,BK246,BK240:BK245,BK230:BK231,BK219:BK225,BF234:BF236)/SUM(BF256:BF257,BF246,BF240:BF245,BF230:BF231,BF219:BF225,BK234:BK236)-1</f>
        <v>3.032117947320323E-2</v>
      </c>
      <c r="BL261" s="469">
        <f>SUM(BL256:BL257,BL246,BL240:BL245,BL230:BL231,BL219:BL225,BG234:BG236)/SUM(BG256:BG257,BG246,BG240:BG245,BG230:BG231,BG219:BG225,BL234:BL236)-1</f>
        <v>-8.8664757222377544E-3</v>
      </c>
      <c r="BM261" s="469">
        <f>SUM(BM256:BM257,BM246,BM240:BM245,BM230:BM231,BM219:BM225,BH234:BH236)/SUM(BH256:BH257,BH246,BH240:BH245,BH230:BH231,BH219:BH225,BM234:BM236)-1</f>
        <v>-1.1781065972997995E-2</v>
      </c>
      <c r="BN261" s="2955">
        <f>SUM(BN256:BN257,BN246:BN247,BN240:BN245,BN230:BN231,BN219:BN226,BN234:BN236)/SUM(BI256:BI257,BI246:BI247,BI240:BI245,BI230:BI231,BI219:BI226,BI234:BI236)-1</f>
        <v>-5.4395792221580974E-3</v>
      </c>
      <c r="BO261" s="470">
        <f>+AVERAGE(BK261:BN261)</f>
        <v>1.0585146389523459E-3</v>
      </c>
      <c r="BP261" s="469">
        <f>SUM(BP256:BP257,BP246:BP247,BP240:BP245,BP230:BP231,BP219:BP226,BP234:BP236)/SUM(BK256:BK257,BK246:BK247,BK240:BK245,BK230:BK231,BK219:BK226,BK234:BK236)-1</f>
        <v>7.1436904587929284E-4</v>
      </c>
      <c r="BQ261" s="469">
        <f>SUM(BQ256:BQ257,BQ246:BQ247,BQ240:BQ245,BQ230:BQ231,BQ219:BQ226,BQ234:BQ236)/SUM(BL256:BL257,BL246:BL247,BL240:BL245,BL230:BL231,BL219:BL226,BL234:BL236)-1</f>
        <v>3.0742612359615951E-2</v>
      </c>
      <c r="BR261" s="469">
        <f>SUM(BR256:BR257,BR246:BR247,BR240:BR245,BR230:BR231,BR219:BR226,BR234:BR236)/SUM(BM256:BM257,BM246:BM247,BM240:BM245,BM230:BM231,BM219:BM226,BM234:BM236)-1</f>
        <v>6.0803885756079312E-2</v>
      </c>
      <c r="BS261" s="469">
        <f>SUM(BS256:BS257,BS246:BS247,BS240:BS245,BS230:BS231,BS219:BS226,BS234:BS236)/SUM(BN256:BN257,BN246:BN247,BN240:BN245,BN230:BN231,BN219:BN226,BN234:BN236)-1</f>
        <v>4.9366728700366735E-2</v>
      </c>
      <c r="BT261" s="470">
        <f>SUM(BT256:BT257,BT246:BT247,BT240:BT245,BT230:BT231,BT219:BT226,BT234:BT236)/SUM(BO256:BO257,BO246:BO247,BO240:BO245,BO230:BO231,BO219:BO226,BO234:BO236)-1</f>
        <v>3.5019582945879923E-2</v>
      </c>
      <c r="BU261" s="469">
        <f>SUM(BU256:BU257,BU246:BU248,BU240:BU245,BU230:BU231,BU219:BU226,BU232:BU237)/SUM(BP256:BP257,BP246:BP248,BP240:BP245,BP230:BP231,BP219:BP226,BP232:BP237)-1</f>
        <v>4.3243815447224998E-2</v>
      </c>
      <c r="BV261" s="469">
        <f>SUM(BV256:BV257,BV246:BV248,BV240:BV245,BV230:BV231,BV219:BV226,BV232:BV237)/SUM(BQ256:BQ257,BQ246:BQ248,BQ240:BQ245,BQ230:BQ231,BQ219:BQ226,BQ232:BQ237)-1</f>
        <v>2.2210834487556008E-2</v>
      </c>
      <c r="BW261" s="469">
        <f>SUM(BW256:BW257,BW246:BW248,BW240:BW245,BW230:BW231,BW219:BW226,BW232:BW237)/SUM(BR256:BR257,BR246:BR248,BR240:BR245,BR230:BR231,BR219:BR226,BR232:BR237)-1</f>
        <v>5.0048535936768612E-3</v>
      </c>
      <c r="BX261" s="469">
        <f>SUM(BX256:BX257,BX246:BX248,BX240:BX245,BX230:BX231,BX219:BX226,BX232:BX237)/SUM(BS256:BS257,BS246:BS248,BS240:BS245,BS230:BS231,BS219:BS226,BS232:BS237)-1</f>
        <v>9.7645732876396885E-3</v>
      </c>
      <c r="BY261" s="470">
        <f>SUM(BY255:BY257,BY224:BY226,BY246:BY248,BY240:BY245,BY230:BY231,BY218:BY222,BY233:BY234,BY236:BY237)/SUM(BT255:BT257,BT224:BT226,BT246:BT248,BT240:BT245,BT230:BT231,BT218:BT222,BT233:BT234,BT236:BT237)-1</f>
        <v>1.389763363394203E-2</v>
      </c>
      <c r="BZ261" s="470">
        <f>SUM(BZ255:BZ257,BZ246:BZ248,BZ240:BZ245,BZ230:BZ231,BZ218:BZ225,BZ233:BZ237)/SUM(BY255:BY257,BY246:BY248,BY240:BY245,BY230:BY231,BY218:BY225,BY233:BY237)-1</f>
        <v>1.5760839089071554E-2</v>
      </c>
      <c r="CA261" s="470">
        <f>SUM(CA255:CA257,CA246:CA248,CA240:CA245,CA230:CA231,CA218:CA225,CA232:CA237)/SUM(BZ255:BZ257,BZ246:BZ248,BZ240:BZ245,BZ230:BZ231,BZ218:BZ225,BZ232:BZ237)-1</f>
        <v>3.3987715791068407E-3</v>
      </c>
      <c r="CB261" s="470">
        <f>SUM(CB242,CB223,CB222,CB220,CB219,CB230,CB231,CB244,CB234,CB236,CB237,CB246,CB256,CB257,CB224,CB225)/SUM(CA242,CA223,CA222,CA220,CA219,CA230,CA231,CA244,CA234,CA236,CA237,CA246,CA256,CA257,CA224,CA225)-1</f>
        <v>-4.9960708834582923E-2</v>
      </c>
      <c r="CC261" s="470">
        <f>SUM(CC242,CC223,CC222,CC220,CC219,CC230,CC231,CC244,CC234,CC236,CC237,CC246,CC256,CC257,CC224,CC225)/SUM(CB242,CB223,CB222,CB220,CB219,CB230,CB231,CB244,CB234,CB236,CB237,CB246,CB256,CB257,CB224,CB225)-1</f>
        <v>-4.9239045060756381E-2</v>
      </c>
      <c r="CD261" s="470">
        <f>SUM(CD242,CD223,CD222,CD220,CD219,CD230,CD231,CD244,CD234,CD236,CD237,CD246,CD256,CD257,CD224,CD225)/SUM(CC242,CC223,CC222,CC220,CC219,CC230,CC231,CC244,CC234,CC236,CC237,CC246,CC256,CC257,CC224,CC225)-1</f>
        <v>1.9589957686591442E-2</v>
      </c>
      <c r="CE261" s="470">
        <f>SUM(CE242,CE223,CE222,CE220,CE219,CE230,CE231,CE244,CE234,CE236,CE237,CE246,CE256,CE257,CE224,CE225)/SUM(CD242,CD223,CD222,CD220,CD219,CD230,CD231,CD244,CD234,CD236,CD237,CD246,CD256,CD257,CD224,CD225)-1</f>
        <v>2.0335968271085525E-2</v>
      </c>
      <c r="CF261" s="470">
        <f>SUM(CF242,CF223,CF222,CF220,CF219,CF230,CF231,CF244,CF234,CF236,CF237,CF246,CF256,CF257,CF224,CF225)/SUM(CE242,CE223,CE222,CE220,CE219,CE230,CE231,CE244,CE234,CE236,CE237,CE246,CE256,CE257,CE224,CE225)-1</f>
        <v>1.8871744387447098E-2</v>
      </c>
      <c r="CG261" s="492"/>
      <c r="CH261" s="492"/>
      <c r="CI261" s="492"/>
      <c r="CJ261" s="492"/>
      <c r="CK261" s="492"/>
      <c r="CL261" s="1310"/>
      <c r="CM261" s="469"/>
      <c r="CN261" s="469"/>
      <c r="CO261" s="469"/>
      <c r="CP261" s="469"/>
      <c r="CQ261" s="469"/>
      <c r="CR261" s="469"/>
      <c r="CS261" s="469"/>
      <c r="CT261" s="469"/>
      <c r="CU261" s="469"/>
      <c r="CV261" s="469"/>
      <c r="CW261" s="469"/>
      <c r="CX261" s="469"/>
      <c r="CY261" s="469"/>
      <c r="CZ261" s="469"/>
      <c r="DA261" s="469"/>
      <c r="DB261" s="469"/>
      <c r="DC261" s="1463"/>
      <c r="DD261" s="492"/>
      <c r="DE261" s="492"/>
      <c r="DF261" s="962"/>
      <c r="DG261" s="962"/>
      <c r="DH261" s="469"/>
      <c r="DI261" s="3213"/>
      <c r="DJ261" s="962"/>
      <c r="DK261" s="962"/>
      <c r="DL261" s="962"/>
      <c r="DM261" s="962"/>
      <c r="DN261" s="962"/>
      <c r="DO261" s="962"/>
      <c r="DP261" s="962"/>
      <c r="DQ261" s="962"/>
      <c r="DR261" s="963"/>
      <c r="DS261" s="963"/>
      <c r="DT261" s="963"/>
    </row>
    <row r="262" spans="1:124" ht="15.75" outlineLevel="1" x14ac:dyDescent="0.25">
      <c r="A262" s="866"/>
      <c r="B262" s="281"/>
      <c r="C262" s="452"/>
      <c r="D262" s="452"/>
      <c r="E262" s="452"/>
      <c r="F262" s="452"/>
      <c r="G262" s="475"/>
      <c r="H262" s="452"/>
      <c r="I262" s="452"/>
      <c r="J262" s="452"/>
      <c r="K262" s="452"/>
      <c r="L262" s="475"/>
      <c r="M262" s="452"/>
      <c r="N262" s="452"/>
      <c r="O262" s="452"/>
      <c r="P262" s="452"/>
      <c r="Q262" s="475"/>
      <c r="R262" s="452"/>
      <c r="S262" s="452"/>
      <c r="T262" s="452"/>
      <c r="U262" s="452"/>
      <c r="V262" s="475"/>
      <c r="W262" s="452"/>
      <c r="X262" s="452"/>
      <c r="Y262" s="452"/>
      <c r="Z262" s="452"/>
      <c r="AA262" s="475"/>
      <c r="AB262" s="452"/>
      <c r="AC262" s="452"/>
      <c r="AD262" s="452"/>
      <c r="AE262" s="476"/>
      <c r="AF262" s="477"/>
      <c r="AG262" s="454"/>
      <c r="AH262" s="588"/>
      <c r="AI262" s="454"/>
      <c r="AJ262" s="588"/>
      <c r="AK262" s="477"/>
      <c r="AL262" s="454"/>
      <c r="AM262" s="588"/>
      <c r="AN262" s="454"/>
      <c r="AO262" s="454"/>
      <c r="AP262" s="1642"/>
      <c r="AQ262" s="1642"/>
      <c r="AR262" s="1466"/>
      <c r="AS262" s="1466"/>
      <c r="AT262" s="1466"/>
      <c r="AU262" s="587"/>
      <c r="AV262" s="751"/>
      <c r="AW262" s="588"/>
      <c r="AX262" s="588"/>
      <c r="AY262" s="1197"/>
      <c r="AZ262" s="587"/>
      <c r="BA262" s="751"/>
      <c r="BB262" s="588"/>
      <c r="BC262" s="588"/>
      <c r="BD262" s="1197"/>
      <c r="BE262" s="2604"/>
      <c r="BF262" s="588"/>
      <c r="BG262" s="588"/>
      <c r="BH262" s="588"/>
      <c r="BI262" s="1197"/>
      <c r="BJ262" s="2604"/>
      <c r="BK262" s="588"/>
      <c r="BL262" s="588"/>
      <c r="BM262" s="588"/>
      <c r="BN262" s="1197"/>
      <c r="BO262" s="2604"/>
      <c r="BP262" s="588"/>
      <c r="BQ262" s="588"/>
      <c r="BR262" s="588"/>
      <c r="BS262" s="588"/>
      <c r="BT262" s="2604"/>
      <c r="BU262" s="2673"/>
      <c r="BV262" s="2577"/>
      <c r="BW262" s="2577"/>
      <c r="BX262" s="2577"/>
      <c r="BY262" s="470"/>
      <c r="BZ262" s="477"/>
      <c r="CA262" s="477"/>
      <c r="CB262" s="477"/>
      <c r="CC262" s="477"/>
      <c r="CD262" s="477"/>
      <c r="CE262" s="477"/>
      <c r="CF262" s="477"/>
      <c r="CG262" s="331"/>
      <c r="CH262" s="331"/>
      <c r="CI262" s="331"/>
      <c r="CJ262" s="331"/>
      <c r="CK262" s="331"/>
      <c r="CL262" s="2037"/>
      <c r="CM262" s="1466"/>
      <c r="CN262" s="1466"/>
      <c r="CO262" s="1466"/>
      <c r="CP262" s="1466"/>
      <c r="CQ262" s="1466"/>
      <c r="CR262" s="1466"/>
      <c r="CS262" s="1466"/>
      <c r="CT262" s="1466"/>
      <c r="CU262" s="1466"/>
      <c r="CV262" s="1466"/>
      <c r="CW262" s="1466"/>
      <c r="CX262" s="1466"/>
      <c r="CY262" s="1466"/>
      <c r="CZ262" s="1466"/>
      <c r="DA262" s="1466"/>
      <c r="DB262" s="1466"/>
      <c r="DC262" s="1742"/>
      <c r="DD262" s="331"/>
      <c r="DE262" s="331"/>
      <c r="DF262" s="502"/>
      <c r="DG262" s="503"/>
      <c r="DH262" s="2577"/>
      <c r="DI262" s="3213"/>
      <c r="DJ262" s="502"/>
      <c r="DK262" s="503"/>
      <c r="DL262" s="502"/>
      <c r="DM262" s="502"/>
      <c r="DN262" s="502"/>
      <c r="DO262" s="502"/>
      <c r="DP262" s="503"/>
      <c r="DQ262" s="503"/>
      <c r="DR262" s="296"/>
      <c r="DS262" s="296"/>
      <c r="DT262" s="296"/>
    </row>
    <row r="263" spans="1:124" ht="12.6" customHeight="1" outlineLevel="1" x14ac:dyDescent="0.25">
      <c r="A263" s="864" t="s">
        <v>2010</v>
      </c>
      <c r="B263" s="281"/>
      <c r="C263" s="452"/>
      <c r="D263" s="452"/>
      <c r="E263" s="452"/>
      <c r="F263" s="452"/>
      <c r="G263" s="475"/>
      <c r="H263" s="452"/>
      <c r="I263" s="452"/>
      <c r="J263" s="452"/>
      <c r="K263" s="452"/>
      <c r="L263" s="475"/>
      <c r="M263" s="452"/>
      <c r="N263" s="452"/>
      <c r="O263" s="452"/>
      <c r="P263" s="452"/>
      <c r="Q263" s="475"/>
      <c r="R263" s="452"/>
      <c r="S263" s="452"/>
      <c r="T263" s="452"/>
      <c r="U263" s="452"/>
      <c r="V263" s="475"/>
      <c r="W263" s="452"/>
      <c r="X263" s="452"/>
      <c r="Y263" s="452"/>
      <c r="Z263" s="452"/>
      <c r="AA263" s="475"/>
      <c r="AB263" s="476"/>
      <c r="AC263" s="476"/>
      <c r="AD263" s="476"/>
      <c r="AE263" s="476"/>
      <c r="AF263" s="587"/>
      <c r="AG263" s="588"/>
      <c r="AH263" s="476"/>
      <c r="AI263" s="476"/>
      <c r="AJ263" s="476"/>
      <c r="AK263" s="587"/>
      <c r="AL263" s="600"/>
      <c r="AM263" s="600"/>
      <c r="AN263" s="1466"/>
      <c r="AO263" s="1466"/>
      <c r="AP263" s="1723"/>
      <c r="AQ263" s="1723"/>
      <c r="AR263" s="1724"/>
      <c r="AS263" s="1724"/>
      <c r="AT263" s="1724"/>
      <c r="AU263" s="587"/>
      <c r="AV263" s="588"/>
      <c r="AW263" s="588"/>
      <c r="AX263" s="588"/>
      <c r="AY263" s="1197"/>
      <c r="AZ263" s="1742"/>
      <c r="BA263" s="1466"/>
      <c r="BB263" s="1466"/>
      <c r="BC263" s="1466"/>
      <c r="BD263" s="1742"/>
      <c r="BE263" s="477"/>
      <c r="BF263" s="1466"/>
      <c r="BG263" s="1466"/>
      <c r="BH263" s="1466"/>
      <c r="BI263" s="1742"/>
      <c r="BJ263" s="477"/>
      <c r="BK263" s="1466"/>
      <c r="BL263" s="1466"/>
      <c r="BM263" s="1466"/>
      <c r="BN263" s="1742"/>
      <c r="BO263" s="587"/>
      <c r="BP263" s="1466"/>
      <c r="BQ263" s="1466"/>
      <c r="BR263" s="1466"/>
      <c r="BS263" s="1466"/>
      <c r="BT263" s="2604"/>
      <c r="BU263" s="2673"/>
      <c r="BV263" s="2577"/>
      <c r="BW263" s="2577"/>
      <c r="BX263" s="2577"/>
      <c r="BY263" s="2604"/>
      <c r="BZ263" s="477"/>
      <c r="CA263" s="477"/>
      <c r="CB263" s="477"/>
      <c r="CC263" s="477"/>
      <c r="CD263" s="477"/>
      <c r="CE263" s="477"/>
      <c r="CF263" s="477"/>
      <c r="CG263" s="994"/>
      <c r="CH263" s="994"/>
      <c r="CI263" s="994"/>
      <c r="CJ263" s="994"/>
      <c r="CK263" s="331"/>
      <c r="CL263" s="1149" t="str">
        <f>A263</f>
        <v>Property EBITDA</v>
      </c>
      <c r="CM263" s="1724"/>
      <c r="CN263" s="1724"/>
      <c r="CO263" s="1724"/>
      <c r="CP263" s="1724"/>
      <c r="CQ263" s="1724"/>
      <c r="CR263" s="1724"/>
      <c r="CS263" s="1724"/>
      <c r="CT263" s="1724"/>
      <c r="CU263" s="1724"/>
      <c r="CV263" s="1724"/>
      <c r="CW263" s="1724"/>
      <c r="CX263" s="1724"/>
      <c r="CY263" s="1724"/>
      <c r="CZ263" s="1724"/>
      <c r="DA263" s="1724"/>
      <c r="DB263" s="1724"/>
      <c r="DC263" s="2024"/>
      <c r="DD263" s="331"/>
      <c r="DE263" s="331"/>
      <c r="DF263" s="502"/>
      <c r="DG263" s="503"/>
      <c r="DH263" s="2577"/>
      <c r="DI263" s="3213"/>
      <c r="DJ263" s="502"/>
      <c r="DK263" s="503"/>
      <c r="DL263" s="502"/>
      <c r="DM263" s="502"/>
      <c r="DN263" s="502"/>
      <c r="DO263" s="502"/>
      <c r="DP263" s="503"/>
      <c r="DQ263" s="503"/>
      <c r="DR263" s="296"/>
      <c r="DS263" s="296"/>
      <c r="DT263" s="296"/>
    </row>
    <row r="264" spans="1:124" ht="12.6" customHeight="1" outlineLevel="1" x14ac:dyDescent="0.25">
      <c r="A264" s="2165" t="s">
        <v>2504</v>
      </c>
      <c r="B264" s="281"/>
      <c r="C264" s="305"/>
      <c r="D264" s="305"/>
      <c r="E264" s="305"/>
      <c r="F264" s="305"/>
      <c r="G264" s="440"/>
      <c r="H264" s="305"/>
      <c r="I264" s="305"/>
      <c r="J264" s="305"/>
      <c r="K264" s="305"/>
      <c r="L264" s="440"/>
      <c r="M264" s="305"/>
      <c r="N264" s="305"/>
      <c r="O264" s="305"/>
      <c r="P264" s="305"/>
      <c r="Q264" s="440"/>
      <c r="R264" s="305"/>
      <c r="S264" s="305"/>
      <c r="T264" s="305"/>
      <c r="U264" s="305"/>
      <c r="V264" s="440"/>
      <c r="W264" s="305"/>
      <c r="X264" s="305"/>
      <c r="Y264" s="305"/>
      <c r="Z264" s="305"/>
      <c r="AA264" s="440"/>
      <c r="AB264" s="305"/>
      <c r="AC264" s="305"/>
      <c r="AD264" s="305"/>
      <c r="AE264" s="331"/>
      <c r="AF264" s="441"/>
      <c r="AG264" s="450"/>
      <c r="AH264" s="331"/>
      <c r="AI264" s="331"/>
      <c r="AJ264" s="331"/>
      <c r="AK264" s="441"/>
      <c r="AL264" s="450"/>
      <c r="AM264" s="442"/>
      <c r="AN264" s="442"/>
      <c r="AO264" s="442"/>
      <c r="AP264" s="443"/>
      <c r="AQ264" s="443"/>
      <c r="AR264" s="331"/>
      <c r="AS264" s="331"/>
      <c r="AT264" s="331"/>
      <c r="AU264" s="349"/>
      <c r="AV264" s="331"/>
      <c r="AW264" s="331"/>
      <c r="AX264" s="331"/>
      <c r="AY264" s="1306"/>
      <c r="AZ264" s="1197"/>
      <c r="BA264" s="331"/>
      <c r="BB264" s="331"/>
      <c r="BC264" s="331"/>
      <c r="BD264" s="1306"/>
      <c r="BE264" s="349"/>
      <c r="BF264" s="331"/>
      <c r="BG264" s="331"/>
      <c r="BH264" s="331"/>
      <c r="BI264" s="1306"/>
      <c r="BJ264" s="349"/>
      <c r="BK264" s="331"/>
      <c r="BL264" s="331"/>
      <c r="BM264" s="331"/>
      <c r="BN264" s="1306"/>
      <c r="BO264" s="349"/>
      <c r="BP264" s="331"/>
      <c r="BQ264" s="331"/>
      <c r="BR264" s="331"/>
      <c r="BS264" s="331"/>
      <c r="BT264" s="3222"/>
      <c r="BU264" s="3393"/>
      <c r="BV264" s="2601"/>
      <c r="BW264" s="2601"/>
      <c r="BX264" s="2601"/>
      <c r="BY264" s="3222"/>
      <c r="BZ264" s="349"/>
      <c r="CA264" s="349"/>
      <c r="CB264" s="349"/>
      <c r="CC264" s="349"/>
      <c r="CD264" s="349"/>
      <c r="CE264" s="349"/>
      <c r="CF264" s="349"/>
      <c r="CG264" s="1467"/>
      <c r="CH264" s="1467"/>
      <c r="CI264" s="1467"/>
      <c r="CJ264" s="1467"/>
      <c r="CK264" s="331"/>
      <c r="CL264" s="1149"/>
      <c r="CM264" s="331"/>
      <c r="CN264" s="331"/>
      <c r="CO264" s="331"/>
      <c r="CP264" s="331"/>
      <c r="CQ264" s="331"/>
      <c r="CR264" s="331"/>
      <c r="CS264" s="331"/>
      <c r="CT264" s="331"/>
      <c r="CU264" s="331"/>
      <c r="CV264" s="331"/>
      <c r="CW264" s="331"/>
      <c r="CX264" s="331"/>
      <c r="CY264" s="331"/>
      <c r="CZ264" s="331"/>
      <c r="DA264" s="331"/>
      <c r="DB264" s="331"/>
      <c r="DC264" s="1306"/>
      <c r="DD264" s="331"/>
      <c r="DE264" s="331"/>
      <c r="DF264" s="502"/>
      <c r="DG264" s="503"/>
      <c r="DH264" s="2601"/>
      <c r="DI264" s="3213"/>
      <c r="DJ264" s="502"/>
      <c r="DK264" s="503"/>
      <c r="DL264" s="502"/>
      <c r="DM264" s="502"/>
      <c r="DN264" s="502"/>
      <c r="DO264" s="502"/>
      <c r="DP264" s="503"/>
      <c r="DQ264" s="503"/>
      <c r="DR264" s="296"/>
      <c r="DS264" s="296"/>
      <c r="DT264" s="296"/>
    </row>
    <row r="265" spans="1:124" ht="12.6" customHeight="1" outlineLevel="1" x14ac:dyDescent="0.25">
      <c r="A265" s="391" t="s">
        <v>1788</v>
      </c>
      <c r="B265" s="281"/>
      <c r="C265" s="2190">
        <f>C352</f>
        <v>24.887</v>
      </c>
      <c r="D265" s="2190">
        <f>D352</f>
        <v>29.523</v>
      </c>
      <c r="E265" s="2190">
        <f>E352</f>
        <v>30.48</v>
      </c>
      <c r="F265" s="2190">
        <f>F352</f>
        <v>29.472000000000001</v>
      </c>
      <c r="G265" s="448">
        <f t="shared" ref="G265:G270" si="580">SUM(C265:F265)</f>
        <v>114.36199999999999</v>
      </c>
      <c r="H265" s="2190">
        <f>H352</f>
        <v>29.428999999999998</v>
      </c>
      <c r="I265" s="2190">
        <f>I352</f>
        <v>33.179000000000002</v>
      </c>
      <c r="J265" s="2190">
        <f>J352</f>
        <v>35.954000000000001</v>
      </c>
      <c r="K265" s="449">
        <f>K352</f>
        <v>30.957000000000001</v>
      </c>
      <c r="L265" s="448">
        <f t="shared" ref="L265:L270" si="581">SUM(H265:K265)</f>
        <v>129.51900000000001</v>
      </c>
      <c r="M265" s="449">
        <f>M352</f>
        <v>34.149000000000001</v>
      </c>
      <c r="N265" s="449">
        <f>N352</f>
        <v>35.405000000000001</v>
      </c>
      <c r="O265" s="449">
        <f>O352</f>
        <v>37.627000000000002</v>
      </c>
      <c r="P265" s="449">
        <f>P352</f>
        <v>36.453000000000003</v>
      </c>
      <c r="Q265" s="448">
        <f t="shared" ref="Q265:Q270" si="582">SUM(M265:P265)</f>
        <v>143.63400000000001</v>
      </c>
      <c r="R265" s="449">
        <f>R352</f>
        <v>36.784999999999997</v>
      </c>
      <c r="S265" s="449">
        <f>S352</f>
        <v>37.767000000000003</v>
      </c>
      <c r="T265" s="449">
        <f>T352</f>
        <v>40.295999999999999</v>
      </c>
      <c r="U265" s="449">
        <f>U352</f>
        <v>36.512999999999998</v>
      </c>
      <c r="V265" s="448">
        <f t="shared" ref="V265:V270" si="583">SUM(R265:U265)</f>
        <v>151.36099999999999</v>
      </c>
      <c r="W265" s="449">
        <f>W352</f>
        <v>35.401000000000003</v>
      </c>
      <c r="X265" s="449">
        <f>X352</f>
        <v>35.296999999999997</v>
      </c>
      <c r="Y265" s="449">
        <f>Y352</f>
        <v>35.771000000000001</v>
      </c>
      <c r="Z265" s="449">
        <f>Z352</f>
        <v>31.475999999999999</v>
      </c>
      <c r="AA265" s="448">
        <f t="shared" ref="AA265:AA270" si="584">SUM(W265:Z265)</f>
        <v>137.94499999999999</v>
      </c>
      <c r="AB265" s="449">
        <f>AB352</f>
        <v>33.857999999999997</v>
      </c>
      <c r="AC265" s="449">
        <f>AC352</f>
        <v>34.158999999999999</v>
      </c>
      <c r="AD265" s="449">
        <f>AD352</f>
        <v>32.524000000000001</v>
      </c>
      <c r="AE265" s="450">
        <f>AE352</f>
        <v>27.081</v>
      </c>
      <c r="AF265" s="451">
        <f t="shared" ref="AF265:AF270" si="585">SUM(AB265:AE265)</f>
        <v>127.622</v>
      </c>
      <c r="AG265" s="450">
        <f>AG352</f>
        <v>28.35</v>
      </c>
      <c r="AH265" s="450">
        <f>AH352</f>
        <v>31.965</v>
      </c>
      <c r="AI265" s="450">
        <f>AI352</f>
        <v>45.725000000000001</v>
      </c>
      <c r="AJ265" s="450">
        <f>AJ352</f>
        <v>42.133000000000003</v>
      </c>
      <c r="AK265" s="451">
        <f t="shared" ref="AK265:AK270" si="586">SUM(AG265:AJ265)</f>
        <v>148.173</v>
      </c>
      <c r="AL265" s="450">
        <f>AL352</f>
        <v>44.85</v>
      </c>
      <c r="AM265" s="450">
        <f>AM352</f>
        <v>49.262999999999998</v>
      </c>
      <c r="AN265" s="450">
        <f>AN352</f>
        <v>52.411640413659384</v>
      </c>
      <c r="AO265" s="450">
        <f>AO352</f>
        <v>48.154995555051713</v>
      </c>
      <c r="AP265" s="1616">
        <f t="shared" ref="AP265:AP270" si="587">SUM(AL265:AO265)</f>
        <v>194.67963596871107</v>
      </c>
      <c r="AQ265" s="1616">
        <f>AQ352</f>
        <v>55.898732776499983</v>
      </c>
      <c r="AR265" s="450">
        <f>AR352</f>
        <v>51.288871893300026</v>
      </c>
      <c r="AS265" s="450">
        <f>AS352</f>
        <v>47.524497623616384</v>
      </c>
      <c r="AT265" s="450">
        <f>AT352</f>
        <v>42.196614335644114</v>
      </c>
      <c r="AU265" s="451">
        <f t="shared" ref="AU265:AU270" si="588">SUM(AQ265:AT265)</f>
        <v>196.90871662906051</v>
      </c>
      <c r="AV265" s="450">
        <f>AV352</f>
        <v>43.874113224488568</v>
      </c>
      <c r="AW265" s="450">
        <f>AW352</f>
        <v>42.77699787745172</v>
      </c>
      <c r="AX265" s="450">
        <f>AX352</f>
        <v>37.364938801648833</v>
      </c>
      <c r="AY265" s="1861">
        <f>AY352</f>
        <v>31.391478859529187</v>
      </c>
      <c r="AZ265" s="1861">
        <f t="shared" ref="AZ265:AZ270" si="589">SUM(AV265:AY265)</f>
        <v>155.40752876311831</v>
      </c>
      <c r="BA265" s="450">
        <f>BA352</f>
        <v>27.352364809133661</v>
      </c>
      <c r="BB265" s="450">
        <f>BB352</f>
        <v>33.694959041339658</v>
      </c>
      <c r="BC265" s="450">
        <f>BC352</f>
        <v>32.01062094767731</v>
      </c>
      <c r="BD265" s="1861">
        <f>BD352</f>
        <v>29.233472883851576</v>
      </c>
      <c r="BE265" s="451">
        <f t="shared" ref="BE265:BE272" si="590">SUM(BA265:BD265)</f>
        <v>122.2914176820022</v>
      </c>
      <c r="BF265" s="450">
        <f>BF352</f>
        <v>26.345636550057492</v>
      </c>
      <c r="BG265" s="450">
        <f>BG352</f>
        <v>34.666077936134172</v>
      </c>
      <c r="BH265" s="450">
        <f>BH352</f>
        <v>32.086753765163763</v>
      </c>
      <c r="BI265" s="1861">
        <f>BI352</f>
        <v>31.828202472255697</v>
      </c>
      <c r="BJ265" s="451">
        <f t="shared" ref="BJ265:BJ272" si="591">SUM(BF265:BI265)</f>
        <v>124.92667072361112</v>
      </c>
      <c r="BK265" s="450">
        <f>BK352</f>
        <v>28.552131860999495</v>
      </c>
      <c r="BL265" s="450">
        <f>BL352</f>
        <v>33.38174919725985</v>
      </c>
      <c r="BM265" s="450">
        <f>BM352</f>
        <v>32.236106415991713</v>
      </c>
      <c r="BN265" s="1861">
        <f>BN352</f>
        <v>30.226137987533036</v>
      </c>
      <c r="BO265" s="451">
        <f t="shared" ref="BO265:BO275" si="592">SUM(BK265:BN265)</f>
        <v>124.3961254617841</v>
      </c>
      <c r="BP265" s="450">
        <f>BP352</f>
        <v>25.682841550786492</v>
      </c>
      <c r="BQ265" s="450">
        <f>BQ352</f>
        <v>30.706866769117681</v>
      </c>
      <c r="BR265" s="450">
        <f>BR352</f>
        <v>28.632465353700738</v>
      </c>
      <c r="BS265" s="450">
        <f>BS352</f>
        <v>26.671684871186372</v>
      </c>
      <c r="BT265" s="3023">
        <f t="shared" ref="BT265:BT275" si="593">SUM(BP265:BS265)</f>
        <v>111.69385854479128</v>
      </c>
      <c r="BU265" s="2671">
        <f>BU352</f>
        <v>25.579052541192212</v>
      </c>
      <c r="BV265" s="2671">
        <f>BV352</f>
        <v>30.226131186128981</v>
      </c>
      <c r="BW265" s="2671">
        <f>BW352</f>
        <v>28.19362716147495</v>
      </c>
      <c r="BX265" s="2671">
        <f>BX352</f>
        <v>26.273542089424133</v>
      </c>
      <c r="BY265" s="3023">
        <f t="shared" ref="BY265:BY275" si="594">SUM(BU265:BX265)</f>
        <v>110.27235297822028</v>
      </c>
      <c r="BZ265" s="451">
        <f t="shared" ref="BZ265:CF265" si="595">BZ352</f>
        <v>114.63752029293562</v>
      </c>
      <c r="CA265" s="451">
        <f t="shared" si="595"/>
        <v>113.87841732732386</v>
      </c>
      <c r="CB265" s="451">
        <f t="shared" si="595"/>
        <v>106.65110847042186</v>
      </c>
      <c r="CC265" s="451">
        <f t="shared" si="595"/>
        <v>99.831166696081056</v>
      </c>
      <c r="CD265" s="451">
        <f t="shared" si="595"/>
        <v>102.54917241015022</v>
      </c>
      <c r="CE265" s="451">
        <f t="shared" si="595"/>
        <v>105.3287520623023</v>
      </c>
      <c r="CF265" s="451">
        <f t="shared" si="595"/>
        <v>108.17120926953692</v>
      </c>
      <c r="CG265" s="588"/>
      <c r="CH265" s="588"/>
      <c r="CI265" s="588"/>
      <c r="CJ265" s="588"/>
      <c r="CK265" s="331"/>
      <c r="CL265" s="1277" t="str">
        <f t="shared" ref="CL265:CL271" si="596">A265</f>
        <v>Hollywood at Charles Town Races (WV)</v>
      </c>
      <c r="CM265" s="454">
        <f t="shared" ref="CM265:CM270" si="597">G265</f>
        <v>114.36199999999999</v>
      </c>
      <c r="CN265" s="454">
        <f t="shared" ref="CN265:CN270" si="598">L265</f>
        <v>129.51900000000001</v>
      </c>
      <c r="CO265" s="454">
        <f t="shared" ref="CO265:CO270" si="599">Q265</f>
        <v>143.63400000000001</v>
      </c>
      <c r="CP265" s="454">
        <f t="shared" ref="CP265:CP270" si="600">V265</f>
        <v>151.36099999999999</v>
      </c>
      <c r="CQ265" s="454">
        <f t="shared" ref="CQ265:CQ270" si="601">AA265</f>
        <v>137.94499999999999</v>
      </c>
      <c r="CR265" s="454">
        <f t="shared" ref="CR265:CR270" si="602">AF265</f>
        <v>127.622</v>
      </c>
      <c r="CS265" s="454">
        <f t="shared" ref="CS265:CS270" si="603">AK265</f>
        <v>148.173</v>
      </c>
      <c r="CT265" s="454">
        <f t="shared" ref="CT265:CT270" si="604">AP265</f>
        <v>194.67963596871107</v>
      </c>
      <c r="CU265" s="454">
        <f t="shared" ref="CU265:CU270" si="605">AU265</f>
        <v>196.90871662906051</v>
      </c>
      <c r="CV265" s="454">
        <f t="shared" ref="CV265:CV270" si="606">AZ265</f>
        <v>155.40752876311831</v>
      </c>
      <c r="CW265" s="454">
        <f t="shared" ref="CW265:CW270" si="607">BE265</f>
        <v>122.2914176820022</v>
      </c>
      <c r="CX265" s="454">
        <f t="shared" ref="CX265:CX270" si="608">BJ265</f>
        <v>124.92667072361112</v>
      </c>
      <c r="CY265" s="454">
        <f t="shared" ref="CY265:CY270" si="609">BO265</f>
        <v>124.3961254617841</v>
      </c>
      <c r="CZ265" s="454">
        <f t="shared" ref="CZ265:CZ270" si="610">BT265</f>
        <v>111.69385854479128</v>
      </c>
      <c r="DA265" s="454">
        <f t="shared" ref="DA265:DC270" si="611">BY265</f>
        <v>110.27235297822028</v>
      </c>
      <c r="DB265" s="454">
        <f t="shared" si="611"/>
        <v>114.63752029293562</v>
      </c>
      <c r="DC265" s="1666">
        <f t="shared" si="611"/>
        <v>113.87841732732386</v>
      </c>
      <c r="DD265" s="331"/>
      <c r="DE265" s="331"/>
      <c r="DF265" s="502"/>
      <c r="DG265" s="442" t="s">
        <v>560</v>
      </c>
      <c r="DH265" s="2671"/>
      <c r="DI265" s="3213"/>
      <c r="DJ265" s="502"/>
      <c r="DK265" s="296"/>
      <c r="DL265" s="502"/>
      <c r="DM265" s="502"/>
      <c r="DN265" s="502"/>
      <c r="DO265" s="502"/>
      <c r="DP265" s="463"/>
      <c r="DQ265" s="503"/>
      <c r="DR265" s="296"/>
      <c r="DS265" s="296"/>
      <c r="DT265" s="296"/>
    </row>
    <row r="266" spans="1:124" ht="12.6" customHeight="1" outlineLevel="1" x14ac:dyDescent="0.25">
      <c r="A266" s="391" t="s">
        <v>1090</v>
      </c>
      <c r="B266" s="281"/>
      <c r="C266" s="446">
        <f>C380</f>
        <v>0</v>
      </c>
      <c r="D266" s="446">
        <f>D380</f>
        <v>0</v>
      </c>
      <c r="E266" s="446">
        <f>E380</f>
        <v>-6.4000000000000001E-2</v>
      </c>
      <c r="F266" s="446">
        <f>F380</f>
        <v>-3.9E-2</v>
      </c>
      <c r="G266" s="447">
        <f t="shared" si="580"/>
        <v>-0.10300000000000001</v>
      </c>
      <c r="H266" s="446">
        <f>H380</f>
        <v>-6.2E-2</v>
      </c>
      <c r="I266" s="446">
        <f>I380</f>
        <v>-0.06</v>
      </c>
      <c r="J266" s="446">
        <f>J380</f>
        <v>-0.73699999999999999</v>
      </c>
      <c r="K266" s="446">
        <f>K380</f>
        <v>-0.127</v>
      </c>
      <c r="L266" s="447">
        <f t="shared" si="581"/>
        <v>-0.98599999999999999</v>
      </c>
      <c r="M266" s="446">
        <f>M380</f>
        <v>2.194</v>
      </c>
      <c r="N266" s="446">
        <f>N380</f>
        <v>2.7839999999999998</v>
      </c>
      <c r="O266" s="446">
        <f>O380</f>
        <v>3.1909999999999998</v>
      </c>
      <c r="P266" s="446">
        <f>P380</f>
        <v>3.089</v>
      </c>
      <c r="Q266" s="447">
        <f t="shared" si="582"/>
        <v>11.258000000000001</v>
      </c>
      <c r="R266" s="446">
        <f>R380</f>
        <v>3.109</v>
      </c>
      <c r="S266" s="446">
        <f>S380</f>
        <v>3.6219999999999999</v>
      </c>
      <c r="T266" s="446">
        <f>T380</f>
        <v>3.9169999999999998</v>
      </c>
      <c r="U266" s="446">
        <f>U380</f>
        <v>3.089</v>
      </c>
      <c r="V266" s="447">
        <f t="shared" si="583"/>
        <v>13.737</v>
      </c>
      <c r="W266" s="446">
        <f>W380</f>
        <v>2.9239999999999999</v>
      </c>
      <c r="X266" s="446">
        <f>X380</f>
        <v>2.1070000000000002</v>
      </c>
      <c r="Y266" s="446">
        <f>Y380</f>
        <v>3.496</v>
      </c>
      <c r="Z266" s="446">
        <f>Z380</f>
        <v>2.1970000000000001</v>
      </c>
      <c r="AA266" s="447">
        <f t="shared" si="584"/>
        <v>10.724</v>
      </c>
      <c r="AB266" s="446">
        <f>AB380</f>
        <v>2.2160000000000002</v>
      </c>
      <c r="AC266" s="446">
        <f>AC380</f>
        <v>3.492</v>
      </c>
      <c r="AD266" s="446">
        <f>AD380</f>
        <v>3.5049999999999999</v>
      </c>
      <c r="AE266" s="454">
        <f>AE380</f>
        <v>2.5939999999999999</v>
      </c>
      <c r="AF266" s="455">
        <f t="shared" si="585"/>
        <v>11.807</v>
      </c>
      <c r="AG266" s="1724">
        <f>AG380</f>
        <v>2.99</v>
      </c>
      <c r="AH266" s="454">
        <f>AH380</f>
        <v>3.59</v>
      </c>
      <c r="AI266" s="454">
        <f>AI380</f>
        <v>4.6660000000000004</v>
      </c>
      <c r="AJ266" s="454">
        <f>AJ380</f>
        <v>3.694</v>
      </c>
      <c r="AK266" s="455">
        <f t="shared" si="586"/>
        <v>14.940000000000001</v>
      </c>
      <c r="AL266" s="454">
        <f>AL380</f>
        <v>3.105</v>
      </c>
      <c r="AM266" s="454">
        <f>AM380</f>
        <v>4.0060000000000002</v>
      </c>
      <c r="AN266" s="454">
        <f>AN380</f>
        <v>4.8990086064760003</v>
      </c>
      <c r="AO266" s="454">
        <f>AO380</f>
        <v>3.7479153598999986</v>
      </c>
      <c r="AP266" s="456">
        <f t="shared" si="587"/>
        <v>15.757923966376</v>
      </c>
      <c r="AQ266" s="456">
        <f>AQ380</f>
        <v>4.0951786886069996</v>
      </c>
      <c r="AR266" s="454">
        <f>AR380</f>
        <v>5.2526362422840016</v>
      </c>
      <c r="AS266" s="454">
        <f>AS380</f>
        <v>5.022367245660071</v>
      </c>
      <c r="AT266" s="454">
        <f>AT380</f>
        <v>3.5626489206774128</v>
      </c>
      <c r="AU266" s="455">
        <f t="shared" si="588"/>
        <v>17.932831097228487</v>
      </c>
      <c r="AV266" s="454">
        <f>AV380</f>
        <v>2.5296386347860889</v>
      </c>
      <c r="AW266" s="454">
        <f>AW380</f>
        <v>3.8138690765508532</v>
      </c>
      <c r="AX266" s="454">
        <f>AX380</f>
        <v>4.392544612804496</v>
      </c>
      <c r="AY266" s="1666">
        <f>AY380</f>
        <v>3.4046180963640502</v>
      </c>
      <c r="AZ266" s="1666">
        <f t="shared" si="589"/>
        <v>14.140670420505488</v>
      </c>
      <c r="BA266" s="454">
        <f>BA380</f>
        <v>2.3869045614399056</v>
      </c>
      <c r="BB266" s="454">
        <f>BB380</f>
        <v>3.5793820333098747</v>
      </c>
      <c r="BC266" s="454">
        <f>BC380</f>
        <v>4.2735713144093026</v>
      </c>
      <c r="BD266" s="1666">
        <f>BD380</f>
        <v>3.770508989155422</v>
      </c>
      <c r="BE266" s="455">
        <f t="shared" si="590"/>
        <v>14.010366898314505</v>
      </c>
      <c r="BF266" s="454">
        <f>BF380</f>
        <v>2.0355198279365592</v>
      </c>
      <c r="BG266" s="454">
        <f>BG380</f>
        <v>3.7814350899879265</v>
      </c>
      <c r="BH266" s="454">
        <f>BH380</f>
        <v>4.2515378062878355</v>
      </c>
      <c r="BI266" s="1666">
        <f>BI380</f>
        <v>3.5648066689554216</v>
      </c>
      <c r="BJ266" s="455">
        <f t="shared" si="591"/>
        <v>13.633299393167743</v>
      </c>
      <c r="BK266" s="454">
        <f>BK380</f>
        <v>2.3293267642365567</v>
      </c>
      <c r="BL266" s="454">
        <f>BL380</f>
        <v>3.356977752987925</v>
      </c>
      <c r="BM266" s="454">
        <f>BM380</f>
        <v>4.035280936387835</v>
      </c>
      <c r="BN266" s="1666">
        <f>BN380</f>
        <v>3.5080979628274225</v>
      </c>
      <c r="BO266" s="455">
        <f t="shared" si="592"/>
        <v>13.229683416439739</v>
      </c>
      <c r="BP266" s="454">
        <f>BP380</f>
        <v>2.2771852310351637</v>
      </c>
      <c r="BQ266" s="454">
        <f>BQ380</f>
        <v>3.3076224039879243</v>
      </c>
      <c r="BR266" s="454">
        <f>BR380</f>
        <v>3.7452167212465817</v>
      </c>
      <c r="BS266" s="454">
        <f>BS380</f>
        <v>3.3506295620419824</v>
      </c>
      <c r="BT266" s="3066">
        <f t="shared" si="593"/>
        <v>12.680653918311652</v>
      </c>
      <c r="BU266" s="2915">
        <f>BU380</f>
        <v>1.7215759685586587</v>
      </c>
      <c r="BV266" s="2915">
        <f>BV380</f>
        <v>3.3505362457765688</v>
      </c>
      <c r="BW266" s="2915">
        <f>BW380</f>
        <v>3.7898817764219004</v>
      </c>
      <c r="BX266" s="2915">
        <f>BX380</f>
        <v>3.3902637295572511</v>
      </c>
      <c r="BY266" s="3066">
        <f t="shared" si="594"/>
        <v>12.252257720314379</v>
      </c>
      <c r="BZ266" s="455">
        <f t="shared" ref="BZ266:CF266" si="612">BZ380</f>
        <v>13.093367317342569</v>
      </c>
      <c r="CA266" s="455">
        <f t="shared" si="612"/>
        <v>12.881321449787947</v>
      </c>
      <c r="CB266" s="455">
        <f t="shared" si="612"/>
        <v>12.202417802144332</v>
      </c>
      <c r="CC266" s="455">
        <f t="shared" si="612"/>
        <v>11.570309316456722</v>
      </c>
      <c r="CD266" s="455">
        <f t="shared" si="612"/>
        <v>11.845826568213369</v>
      </c>
      <c r="CE266" s="455">
        <f t="shared" si="612"/>
        <v>12.128869255968652</v>
      </c>
      <c r="CF266" s="455">
        <f t="shared" si="612"/>
        <v>12.419608039352177</v>
      </c>
      <c r="CG266" s="588"/>
      <c r="CH266" s="588"/>
      <c r="CI266" s="588"/>
      <c r="CJ266" s="588"/>
      <c r="CK266" s="331"/>
      <c r="CL266" s="1277" t="str">
        <f t="shared" si="596"/>
        <v>Hollywood Slots at Bangor (ME)</v>
      </c>
      <c r="CM266" s="454">
        <f t="shared" si="597"/>
        <v>-0.10300000000000001</v>
      </c>
      <c r="CN266" s="454">
        <f t="shared" si="598"/>
        <v>-0.98599999999999999</v>
      </c>
      <c r="CO266" s="454">
        <f t="shared" si="599"/>
        <v>11.258000000000001</v>
      </c>
      <c r="CP266" s="454">
        <f t="shared" si="600"/>
        <v>13.737</v>
      </c>
      <c r="CQ266" s="454">
        <f t="shared" si="601"/>
        <v>10.724</v>
      </c>
      <c r="CR266" s="454">
        <f t="shared" si="602"/>
        <v>11.807</v>
      </c>
      <c r="CS266" s="454">
        <f t="shared" si="603"/>
        <v>14.940000000000001</v>
      </c>
      <c r="CT266" s="454">
        <f t="shared" si="604"/>
        <v>15.757923966376</v>
      </c>
      <c r="CU266" s="454">
        <f t="shared" si="605"/>
        <v>17.932831097228487</v>
      </c>
      <c r="CV266" s="454">
        <f t="shared" si="606"/>
        <v>14.140670420505488</v>
      </c>
      <c r="CW266" s="454">
        <f t="shared" si="607"/>
        <v>14.010366898314505</v>
      </c>
      <c r="CX266" s="454">
        <f t="shared" si="608"/>
        <v>13.633299393167743</v>
      </c>
      <c r="CY266" s="454">
        <f t="shared" si="609"/>
        <v>13.229683416439739</v>
      </c>
      <c r="CZ266" s="454">
        <f t="shared" si="610"/>
        <v>12.680653918311652</v>
      </c>
      <c r="DA266" s="454">
        <f t="shared" si="611"/>
        <v>12.252257720314379</v>
      </c>
      <c r="DB266" s="454">
        <f t="shared" si="611"/>
        <v>13.093367317342569</v>
      </c>
      <c r="DC266" s="1666">
        <f t="shared" si="611"/>
        <v>12.881321449787947</v>
      </c>
      <c r="DD266" s="331"/>
      <c r="DE266" s="331"/>
      <c r="DF266" s="502"/>
      <c r="DG266" s="503"/>
      <c r="DH266" s="2915"/>
      <c r="DI266" s="3213"/>
      <c r="DJ266" s="502"/>
      <c r="DK266" s="503"/>
      <c r="DL266" s="502"/>
      <c r="DM266" s="502"/>
      <c r="DN266" s="502"/>
      <c r="DO266" s="502"/>
      <c r="DP266" s="503"/>
      <c r="DQ266" s="503"/>
      <c r="DR266" s="296"/>
      <c r="DS266" s="296"/>
      <c r="DT266" s="296"/>
    </row>
    <row r="267" spans="1:124" ht="12.6" customHeight="1" outlineLevel="1" x14ac:dyDescent="0.25">
      <c r="A267" s="392" t="s">
        <v>1549</v>
      </c>
      <c r="B267" s="281"/>
      <c r="C267" s="446">
        <f>C412</f>
        <v>2.3959999999999999</v>
      </c>
      <c r="D267" s="446">
        <f>D412</f>
        <v>3.9590000000000001</v>
      </c>
      <c r="E267" s="446">
        <f>E412</f>
        <v>1.345</v>
      </c>
      <c r="F267" s="446">
        <f>F412</f>
        <v>0.439</v>
      </c>
      <c r="G267" s="447">
        <f t="shared" si="580"/>
        <v>8.1389999999999993</v>
      </c>
      <c r="H267" s="446">
        <f>H412</f>
        <v>1.3260000000000001</v>
      </c>
      <c r="I267" s="446">
        <f>I412</f>
        <v>1.5529999999999999</v>
      </c>
      <c r="J267" s="446">
        <f>J412</f>
        <v>0.26800000000000002</v>
      </c>
      <c r="K267" s="446">
        <f>K412</f>
        <v>-0.44900000000000001</v>
      </c>
      <c r="L267" s="447">
        <f t="shared" si="581"/>
        <v>2.6980000000000004</v>
      </c>
      <c r="M267" s="446">
        <f>M412</f>
        <v>0.91700000000000004</v>
      </c>
      <c r="N267" s="446">
        <f>N412</f>
        <v>0.55300000000000005</v>
      </c>
      <c r="O267" s="446">
        <f>O412</f>
        <v>0.79500000000000004</v>
      </c>
      <c r="P267" s="446">
        <f>P412</f>
        <v>-0.307</v>
      </c>
      <c r="Q267" s="447">
        <f t="shared" si="582"/>
        <v>1.9580000000000002</v>
      </c>
      <c r="R267" s="446">
        <f>R412</f>
        <v>-0.42799999999999999</v>
      </c>
      <c r="S267" s="446">
        <f>S412</f>
        <v>7.9000000000000001E-2</v>
      </c>
      <c r="T267" s="446">
        <f>T412</f>
        <v>-1.0129999999999999</v>
      </c>
      <c r="U267" s="446">
        <f>U412</f>
        <v>-5.1760000000000002</v>
      </c>
      <c r="V267" s="447">
        <f t="shared" si="583"/>
        <v>-6.5380000000000003</v>
      </c>
      <c r="W267" s="446">
        <f>W412</f>
        <v>1.595</v>
      </c>
      <c r="X267" s="446">
        <f>X412</f>
        <v>10.69</v>
      </c>
      <c r="Y267" s="446">
        <f>Y412</f>
        <v>11.667</v>
      </c>
      <c r="Z267" s="446">
        <f>Z412</f>
        <v>10.419</v>
      </c>
      <c r="AA267" s="447">
        <f t="shared" si="584"/>
        <v>34.370999999999995</v>
      </c>
      <c r="AB267" s="446">
        <f>AB412</f>
        <v>13.194000000000001</v>
      </c>
      <c r="AC267" s="446">
        <f>AC412</f>
        <v>12.696</v>
      </c>
      <c r="AD267" s="446">
        <f>AD412</f>
        <v>12.971</v>
      </c>
      <c r="AE267" s="454">
        <f>AE412</f>
        <v>11.967000000000001</v>
      </c>
      <c r="AF267" s="455">
        <f t="shared" si="585"/>
        <v>50.828000000000003</v>
      </c>
      <c r="AG267" s="1724">
        <f>AG412</f>
        <v>15.334</v>
      </c>
      <c r="AH267" s="454">
        <f>AH412</f>
        <v>16.885999999999999</v>
      </c>
      <c r="AI267" s="454">
        <f>AI412</f>
        <v>19.702999999999999</v>
      </c>
      <c r="AJ267" s="454">
        <f>AJ412</f>
        <v>17.603999999999999</v>
      </c>
      <c r="AK267" s="455">
        <f t="shared" si="586"/>
        <v>69.527000000000001</v>
      </c>
      <c r="AL267" s="454">
        <f>AL412</f>
        <v>20.405000000000001</v>
      </c>
      <c r="AM267" s="454">
        <f>AM412</f>
        <v>23.225000000000001</v>
      </c>
      <c r="AN267" s="454">
        <f>AN412</f>
        <v>21.439851802319978</v>
      </c>
      <c r="AO267" s="454">
        <f>AO412</f>
        <v>20.084568675038952</v>
      </c>
      <c r="AP267" s="456">
        <f t="shared" si="587"/>
        <v>85.15442047735894</v>
      </c>
      <c r="AQ267" s="456">
        <f>AQ412</f>
        <v>24.944027261499983</v>
      </c>
      <c r="AR267" s="454">
        <f>AR412</f>
        <v>22.355343108767968</v>
      </c>
      <c r="AS267" s="454">
        <f>AS412</f>
        <v>20.737740635579435</v>
      </c>
      <c r="AT267" s="454">
        <f>AT412</f>
        <v>18.092853778030261</v>
      </c>
      <c r="AU267" s="455">
        <f t="shared" si="588"/>
        <v>86.129964783877639</v>
      </c>
      <c r="AV267" s="454">
        <f>AV412</f>
        <v>22.303711224693515</v>
      </c>
      <c r="AW267" s="454">
        <f>AW412</f>
        <v>22.162925667104545</v>
      </c>
      <c r="AX267" s="454">
        <f>AX412</f>
        <v>18.174959671918344</v>
      </c>
      <c r="AY267" s="1666">
        <f>AY412</f>
        <v>17.137997548801117</v>
      </c>
      <c r="AZ267" s="1666">
        <f t="shared" si="589"/>
        <v>79.779594112517515</v>
      </c>
      <c r="BA267" s="454">
        <f>BA412</f>
        <v>17.909091631483477</v>
      </c>
      <c r="BB267" s="454">
        <f>BB412</f>
        <v>18.063573296036459</v>
      </c>
      <c r="BC267" s="454">
        <f>BC412</f>
        <v>15.971057936211864</v>
      </c>
      <c r="BD267" s="1666">
        <f>BD412</f>
        <v>16.296409301057949</v>
      </c>
      <c r="BE267" s="455">
        <f t="shared" si="590"/>
        <v>68.240132164789742</v>
      </c>
      <c r="BF267" s="454">
        <f>BF412</f>
        <v>19.079609110144816</v>
      </c>
      <c r="BG267" s="454">
        <f>BG412</f>
        <v>19.70083148462394</v>
      </c>
      <c r="BH267" s="454">
        <f>BH412</f>
        <v>17.112909173241661</v>
      </c>
      <c r="BI267" s="1666">
        <f>BI412</f>
        <v>17.192352239850607</v>
      </c>
      <c r="BJ267" s="455">
        <f t="shared" si="591"/>
        <v>73.085702007861016</v>
      </c>
      <c r="BK267" s="454">
        <f>BK412</f>
        <v>18.707578836046601</v>
      </c>
      <c r="BL267" s="454">
        <f>BL412</f>
        <v>19.439569043113153</v>
      </c>
      <c r="BM267" s="454">
        <f>BM412</f>
        <v>17.158024029160586</v>
      </c>
      <c r="BN267" s="1666">
        <f>BN412</f>
        <v>16.873733209417267</v>
      </c>
      <c r="BO267" s="455">
        <f t="shared" si="592"/>
        <v>72.1789051177376</v>
      </c>
      <c r="BP267" s="454">
        <f>BP412</f>
        <v>20.919346768695775</v>
      </c>
      <c r="BQ267" s="454">
        <f>BQ412</f>
        <v>20.046191183250855</v>
      </c>
      <c r="BR267" s="454">
        <f>BR412</f>
        <v>17.026201319877856</v>
      </c>
      <c r="BS267" s="454">
        <f>BS412</f>
        <v>16.715224519965005</v>
      </c>
      <c r="BT267" s="3066">
        <f t="shared" si="593"/>
        <v>74.706963791789491</v>
      </c>
      <c r="BU267" s="2915">
        <f>BU412</f>
        <v>20.40442624752891</v>
      </c>
      <c r="BV267" s="2915">
        <f>BV412</f>
        <v>20.476979508254558</v>
      </c>
      <c r="BW267" s="2915">
        <f>BW412</f>
        <v>17.435403601078953</v>
      </c>
      <c r="BX267" s="2915">
        <f>BX412</f>
        <v>17.103892004625628</v>
      </c>
      <c r="BY267" s="3066">
        <f t="shared" si="594"/>
        <v>75.420701361488057</v>
      </c>
      <c r="BZ267" s="455">
        <f t="shared" ref="BZ267:CF267" si="613">BZ412</f>
        <v>78.401725758313432</v>
      </c>
      <c r="CA267" s="455">
        <f t="shared" si="613"/>
        <v>77.50488888119844</v>
      </c>
      <c r="CB267" s="455">
        <f t="shared" si="613"/>
        <v>71.818033945366238</v>
      </c>
      <c r="CC267" s="455">
        <f t="shared" si="613"/>
        <v>66.469870071078844</v>
      </c>
      <c r="CD267" s="455">
        <f t="shared" si="613"/>
        <v>68.651539628354669</v>
      </c>
      <c r="CE267" s="455">
        <f t="shared" si="613"/>
        <v>70.885365298334591</v>
      </c>
      <c r="CF267" s="455">
        <f t="shared" si="613"/>
        <v>73.172475430488191</v>
      </c>
      <c r="CG267" s="588"/>
      <c r="CH267" s="588"/>
      <c r="CI267" s="588"/>
      <c r="CJ267" s="588"/>
      <c r="CK267" s="331"/>
      <c r="CL267" s="995" t="str">
        <f t="shared" si="596"/>
        <v>Hollywood at Penn National (PA)</v>
      </c>
      <c r="CM267" s="454">
        <f t="shared" si="597"/>
        <v>8.1389999999999993</v>
      </c>
      <c r="CN267" s="454">
        <f t="shared" si="598"/>
        <v>2.6980000000000004</v>
      </c>
      <c r="CO267" s="454">
        <f t="shared" si="599"/>
        <v>1.9580000000000002</v>
      </c>
      <c r="CP267" s="454">
        <f t="shared" si="600"/>
        <v>-6.5380000000000003</v>
      </c>
      <c r="CQ267" s="454">
        <f t="shared" si="601"/>
        <v>34.370999999999995</v>
      </c>
      <c r="CR267" s="454">
        <f t="shared" si="602"/>
        <v>50.828000000000003</v>
      </c>
      <c r="CS267" s="454">
        <f t="shared" si="603"/>
        <v>69.527000000000001</v>
      </c>
      <c r="CT267" s="454">
        <f t="shared" si="604"/>
        <v>85.15442047735894</v>
      </c>
      <c r="CU267" s="454">
        <f t="shared" si="605"/>
        <v>86.129964783877639</v>
      </c>
      <c r="CV267" s="454">
        <f t="shared" si="606"/>
        <v>79.779594112517515</v>
      </c>
      <c r="CW267" s="454">
        <f t="shared" si="607"/>
        <v>68.240132164789742</v>
      </c>
      <c r="CX267" s="454">
        <f t="shared" si="608"/>
        <v>73.085702007861016</v>
      </c>
      <c r="CY267" s="454">
        <f t="shared" si="609"/>
        <v>72.1789051177376</v>
      </c>
      <c r="CZ267" s="454">
        <f t="shared" si="610"/>
        <v>74.706963791789491</v>
      </c>
      <c r="DA267" s="454">
        <f t="shared" si="611"/>
        <v>75.420701361488057</v>
      </c>
      <c r="DB267" s="454">
        <f t="shared" si="611"/>
        <v>78.401725758313432</v>
      </c>
      <c r="DC267" s="1666">
        <f t="shared" si="611"/>
        <v>77.50488888119844</v>
      </c>
      <c r="DD267" s="331"/>
      <c r="DE267" s="331"/>
      <c r="DF267" s="502"/>
      <c r="DG267" s="503"/>
      <c r="DH267" s="2915"/>
      <c r="DI267" s="3213"/>
      <c r="DJ267" s="502"/>
      <c r="DK267" s="503"/>
      <c r="DL267" s="502"/>
      <c r="DM267" s="502"/>
      <c r="DN267" s="502"/>
      <c r="DO267" s="502"/>
      <c r="DP267" s="503"/>
      <c r="DQ267" s="503"/>
      <c r="DR267" s="296"/>
      <c r="DS267" s="296"/>
      <c r="DT267" s="296"/>
    </row>
    <row r="268" spans="1:124" ht="12" customHeight="1" outlineLevel="1" x14ac:dyDescent="0.25">
      <c r="A268" s="392" t="s">
        <v>443</v>
      </c>
      <c r="B268" s="281"/>
      <c r="C268" s="446">
        <f>C440</f>
        <v>0</v>
      </c>
      <c r="D268" s="446">
        <f>D440</f>
        <v>0</v>
      </c>
      <c r="E268" s="446">
        <f>E440</f>
        <v>0</v>
      </c>
      <c r="F268" s="446">
        <f>F440</f>
        <v>0</v>
      </c>
      <c r="G268" s="447">
        <f t="shared" si="580"/>
        <v>0</v>
      </c>
      <c r="H268" s="446">
        <f>H440</f>
        <v>0</v>
      </c>
      <c r="I268" s="446">
        <f>I440</f>
        <v>0</v>
      </c>
      <c r="J268" s="446">
        <f>J440</f>
        <v>0</v>
      </c>
      <c r="K268" s="446">
        <f>K440</f>
        <v>0</v>
      </c>
      <c r="L268" s="447">
        <f t="shared" si="581"/>
        <v>0</v>
      </c>
      <c r="M268" s="446">
        <f>M440</f>
        <v>0</v>
      </c>
      <c r="N268" s="446">
        <f>N440</f>
        <v>0</v>
      </c>
      <c r="O268" s="446">
        <f>O440</f>
        <v>0</v>
      </c>
      <c r="P268" s="446">
        <f>P440</f>
        <v>0</v>
      </c>
      <c r="Q268" s="447">
        <f t="shared" si="582"/>
        <v>0</v>
      </c>
      <c r="R268" s="446">
        <f>R440</f>
        <v>0</v>
      </c>
      <c r="S268" s="446">
        <f>S440</f>
        <v>0</v>
      </c>
      <c r="T268" s="446">
        <f>T440</f>
        <v>0</v>
      </c>
      <c r="U268" s="446">
        <f>U440</f>
        <v>0</v>
      </c>
      <c r="V268" s="447">
        <f t="shared" si="583"/>
        <v>0</v>
      </c>
      <c r="W268" s="446">
        <f>W440</f>
        <v>0</v>
      </c>
      <c r="X268" s="446">
        <f>X440</f>
        <v>0</v>
      </c>
      <c r="Y268" s="446">
        <f>Y440</f>
        <v>0</v>
      </c>
      <c r="Z268" s="446">
        <f>Z440</f>
        <v>0</v>
      </c>
      <c r="AA268" s="447">
        <f t="shared" si="584"/>
        <v>0</v>
      </c>
      <c r="AB268" s="446">
        <f>AB440</f>
        <v>0</v>
      </c>
      <c r="AC268" s="446">
        <f>AC440</f>
        <v>0</v>
      </c>
      <c r="AD268" s="446">
        <f>AD440</f>
        <v>0</v>
      </c>
      <c r="AE268" s="454">
        <f>AE440</f>
        <v>0</v>
      </c>
      <c r="AF268" s="455">
        <f t="shared" si="585"/>
        <v>0</v>
      </c>
      <c r="AG268" s="1586">
        <f>AG440</f>
        <v>0</v>
      </c>
      <c r="AH268" s="454">
        <f>AH440</f>
        <v>0</v>
      </c>
      <c r="AI268" s="454">
        <f>AI440</f>
        <v>0</v>
      </c>
      <c r="AJ268" s="454">
        <f>AJ440</f>
        <v>0</v>
      </c>
      <c r="AK268" s="455">
        <f t="shared" si="586"/>
        <v>0</v>
      </c>
      <c r="AL268" s="1586">
        <f>AL440</f>
        <v>0</v>
      </c>
      <c r="AM268" s="454">
        <f>AM440</f>
        <v>0</v>
      </c>
      <c r="AN268" s="454">
        <f>AN440</f>
        <v>0</v>
      </c>
      <c r="AO268" s="454">
        <f>AO440</f>
        <v>0</v>
      </c>
      <c r="AP268" s="456">
        <f t="shared" si="587"/>
        <v>0</v>
      </c>
      <c r="AQ268" s="456">
        <f>AQ440</f>
        <v>0</v>
      </c>
      <c r="AR268" s="454">
        <f>AR440</f>
        <v>0</v>
      </c>
      <c r="AS268" s="454">
        <f>AS440</f>
        <v>0</v>
      </c>
      <c r="AT268" s="454">
        <f>AT440</f>
        <v>17.207632152000002</v>
      </c>
      <c r="AU268" s="455">
        <f t="shared" si="588"/>
        <v>17.207632152000002</v>
      </c>
      <c r="AV268" s="454">
        <f>AV440</f>
        <v>21.531836319999996</v>
      </c>
      <c r="AW268" s="454">
        <f>AW440</f>
        <v>19.447711519999999</v>
      </c>
      <c r="AX268" s="454">
        <f>AX440</f>
        <v>19.060519599999992</v>
      </c>
      <c r="AY268" s="1666">
        <f>AY440</f>
        <v>19.244826000000003</v>
      </c>
      <c r="AZ268" s="1666">
        <f t="shared" si="589"/>
        <v>79.284893439999991</v>
      </c>
      <c r="BA268" s="454">
        <f>BA440</f>
        <v>19.935611039999998</v>
      </c>
      <c r="BB268" s="454">
        <f>BB440</f>
        <v>19.32345527999999</v>
      </c>
      <c r="BC268" s="454">
        <f>BC440</f>
        <v>19.190163947999999</v>
      </c>
      <c r="BD268" s="1666">
        <f>BD440</f>
        <v>18.749877839999996</v>
      </c>
      <c r="BE268" s="455">
        <f t="shared" si="590"/>
        <v>77.19910810799999</v>
      </c>
      <c r="BF268" s="454">
        <f>BF440</f>
        <v>19.904640609999994</v>
      </c>
      <c r="BG268" s="454">
        <f>BG440</f>
        <v>20.998374824999985</v>
      </c>
      <c r="BH268" s="454">
        <f>BH440</f>
        <v>19.424641983575</v>
      </c>
      <c r="BI268" s="1666">
        <f>BI440</f>
        <v>19.827767538299994</v>
      </c>
      <c r="BJ268" s="455">
        <f t="shared" si="591"/>
        <v>80.155424956874981</v>
      </c>
      <c r="BK268" s="454">
        <f>BK440</f>
        <v>21.920879460000002</v>
      </c>
      <c r="BL268" s="454">
        <f>BL440</f>
        <v>21.608009509999995</v>
      </c>
      <c r="BM268" s="454">
        <f>BM440</f>
        <v>20.219713341953742</v>
      </c>
      <c r="BN268" s="1666">
        <f>BN440</f>
        <v>19.802555714824997</v>
      </c>
      <c r="BO268" s="455">
        <f t="shared" si="592"/>
        <v>83.551158026778737</v>
      </c>
      <c r="BP268" s="454">
        <f>BP440</f>
        <v>23.562005272274995</v>
      </c>
      <c r="BQ268" s="454">
        <f>BQ440</f>
        <v>22.730331979999995</v>
      </c>
      <c r="BR268" s="454">
        <f>BR440</f>
        <v>22.203744317791433</v>
      </c>
      <c r="BS268" s="454">
        <f>BS440</f>
        <v>20.529838302346256</v>
      </c>
      <c r="BT268" s="3066">
        <f t="shared" si="593"/>
        <v>89.025919872412686</v>
      </c>
      <c r="BU268" s="2915">
        <f>BU440</f>
        <v>24.596393881888751</v>
      </c>
      <c r="BV268" s="2915">
        <f>BV440</f>
        <v>22.781951280730532</v>
      </c>
      <c r="BW268" s="2915">
        <f>BW440</f>
        <v>22.709260084008186</v>
      </c>
      <c r="BX268" s="2915">
        <f>BX440</f>
        <v>21.015917400203186</v>
      </c>
      <c r="BY268" s="3066">
        <f t="shared" si="594"/>
        <v>91.103522646830669</v>
      </c>
      <c r="BZ268" s="455">
        <f t="shared" ref="BZ268:CF268" si="614">BZ440</f>
        <v>93.618169124830274</v>
      </c>
      <c r="CA268" s="455">
        <f t="shared" si="614"/>
        <v>93.604557802881033</v>
      </c>
      <c r="CB268" s="455">
        <f t="shared" si="614"/>
        <v>88.952640526093035</v>
      </c>
      <c r="CC268" s="455">
        <f t="shared" si="614"/>
        <v>84.649661310500193</v>
      </c>
      <c r="CD268" s="455">
        <f t="shared" si="614"/>
        <v>87.503008838957555</v>
      </c>
      <c r="CE268" s="455">
        <f t="shared" si="614"/>
        <v>90.444407407924672</v>
      </c>
      <c r="CF268" s="455">
        <f t="shared" si="614"/>
        <v>93.476896906457227</v>
      </c>
      <c r="CG268" s="476"/>
      <c r="CH268" s="476"/>
      <c r="CI268" s="476"/>
      <c r="CJ268" s="476"/>
      <c r="CK268" s="331"/>
      <c r="CL268" s="995" t="str">
        <f t="shared" si="596"/>
        <v>Hollywood Columbus (OH)</v>
      </c>
      <c r="CM268" s="454">
        <f t="shared" si="597"/>
        <v>0</v>
      </c>
      <c r="CN268" s="454">
        <f t="shared" si="598"/>
        <v>0</v>
      </c>
      <c r="CO268" s="454">
        <f t="shared" si="599"/>
        <v>0</v>
      </c>
      <c r="CP268" s="454">
        <f t="shared" si="600"/>
        <v>0</v>
      </c>
      <c r="CQ268" s="454">
        <f t="shared" si="601"/>
        <v>0</v>
      </c>
      <c r="CR268" s="454">
        <f t="shared" si="602"/>
        <v>0</v>
      </c>
      <c r="CS268" s="454">
        <f t="shared" si="603"/>
        <v>0</v>
      </c>
      <c r="CT268" s="454">
        <f t="shared" si="604"/>
        <v>0</v>
      </c>
      <c r="CU268" s="454">
        <f t="shared" si="605"/>
        <v>17.207632152000002</v>
      </c>
      <c r="CV268" s="454">
        <f t="shared" si="606"/>
        <v>79.284893439999991</v>
      </c>
      <c r="CW268" s="454">
        <f t="shared" si="607"/>
        <v>77.19910810799999</v>
      </c>
      <c r="CX268" s="454">
        <f t="shared" si="608"/>
        <v>80.155424956874981</v>
      </c>
      <c r="CY268" s="454">
        <f t="shared" si="609"/>
        <v>83.551158026778737</v>
      </c>
      <c r="CZ268" s="454">
        <f t="shared" si="610"/>
        <v>89.025919872412686</v>
      </c>
      <c r="DA268" s="454">
        <f t="shared" si="611"/>
        <v>91.103522646830669</v>
      </c>
      <c r="DB268" s="454">
        <f t="shared" si="611"/>
        <v>93.618169124830274</v>
      </c>
      <c r="DC268" s="1666">
        <f t="shared" si="611"/>
        <v>93.604557802881033</v>
      </c>
      <c r="DD268" s="331"/>
      <c r="DE268" s="331"/>
      <c r="DF268" s="502"/>
      <c r="DG268" s="503"/>
      <c r="DH268" s="2915"/>
      <c r="DI268" s="3213"/>
      <c r="DJ268" s="502"/>
      <c r="DK268" s="503"/>
      <c r="DL268" s="502"/>
      <c r="DM268" s="502"/>
      <c r="DN268" s="502"/>
      <c r="DO268" s="502"/>
      <c r="DP268" s="503"/>
      <c r="DQ268" s="503"/>
      <c r="DR268" s="296"/>
      <c r="DS268" s="296"/>
      <c r="DT268" s="296"/>
    </row>
    <row r="269" spans="1:124" ht="12" customHeight="1" outlineLevel="1" x14ac:dyDescent="0.25">
      <c r="A269" s="392" t="s">
        <v>636</v>
      </c>
      <c r="B269" s="281"/>
      <c r="C269" s="446">
        <f>C469</f>
        <v>0</v>
      </c>
      <c r="D269" s="446">
        <f>D469</f>
        <v>0</v>
      </c>
      <c r="E269" s="446">
        <f>E469</f>
        <v>0</v>
      </c>
      <c r="F269" s="446">
        <f>F469</f>
        <v>0</v>
      </c>
      <c r="G269" s="447">
        <f t="shared" si="580"/>
        <v>0</v>
      </c>
      <c r="H269" s="446">
        <f>H469</f>
        <v>0</v>
      </c>
      <c r="I269" s="446">
        <f>I469</f>
        <v>0</v>
      </c>
      <c r="J269" s="446">
        <f>J469</f>
        <v>0</v>
      </c>
      <c r="K269" s="446">
        <f>K469</f>
        <v>0</v>
      </c>
      <c r="L269" s="447">
        <f t="shared" si="581"/>
        <v>0</v>
      </c>
      <c r="M269" s="446">
        <f>M469</f>
        <v>0</v>
      </c>
      <c r="N269" s="446">
        <f>N469</f>
        <v>0</v>
      </c>
      <c r="O269" s="446">
        <f>O469</f>
        <v>0</v>
      </c>
      <c r="P269" s="446">
        <f>P469</f>
        <v>0</v>
      </c>
      <c r="Q269" s="447">
        <f t="shared" si="582"/>
        <v>0</v>
      </c>
      <c r="R269" s="446">
        <f>R469</f>
        <v>0</v>
      </c>
      <c r="S269" s="446">
        <f>S469</f>
        <v>0</v>
      </c>
      <c r="T269" s="446">
        <f>T469</f>
        <v>0</v>
      </c>
      <c r="U269" s="446">
        <f>U469</f>
        <v>0</v>
      </c>
      <c r="V269" s="447">
        <f t="shared" si="583"/>
        <v>0</v>
      </c>
      <c r="W269" s="446">
        <f>W469</f>
        <v>0</v>
      </c>
      <c r="X269" s="446">
        <f>X469</f>
        <v>0</v>
      </c>
      <c r="Y269" s="446">
        <f>Y469</f>
        <v>0</v>
      </c>
      <c r="Z269" s="446">
        <f>Z469</f>
        <v>0</v>
      </c>
      <c r="AA269" s="447">
        <f t="shared" si="584"/>
        <v>0</v>
      </c>
      <c r="AB269" s="446">
        <f>AB469</f>
        <v>0</v>
      </c>
      <c r="AC269" s="446">
        <f>AC469</f>
        <v>0</v>
      </c>
      <c r="AD269" s="446">
        <f>AD469</f>
        <v>0</v>
      </c>
      <c r="AE269" s="454">
        <f>AE469</f>
        <v>0</v>
      </c>
      <c r="AF269" s="455">
        <f t="shared" si="585"/>
        <v>0</v>
      </c>
      <c r="AG269" s="1586">
        <f>AG469</f>
        <v>0</v>
      </c>
      <c r="AH269" s="454">
        <f>AH469</f>
        <v>0</v>
      </c>
      <c r="AI269" s="454">
        <f>AI469</f>
        <v>0</v>
      </c>
      <c r="AJ269" s="454">
        <f>AJ469</f>
        <v>0</v>
      </c>
      <c r="AK269" s="455">
        <f t="shared" si="586"/>
        <v>0</v>
      </c>
      <c r="AL269" s="1586">
        <f>AL469</f>
        <v>0</v>
      </c>
      <c r="AM269" s="454">
        <f>AM469</f>
        <v>0</v>
      </c>
      <c r="AN269" s="454">
        <f>AN469</f>
        <v>0</v>
      </c>
      <c r="AO269" s="454">
        <f>AO469</f>
        <v>0</v>
      </c>
      <c r="AP269" s="455">
        <f t="shared" si="587"/>
        <v>0</v>
      </c>
      <c r="AQ269" s="454">
        <f>AQ469</f>
        <v>0</v>
      </c>
      <c r="AR269" s="454">
        <f>AR469</f>
        <v>7.3048368000000004</v>
      </c>
      <c r="AS269" s="454">
        <f>AS469</f>
        <v>17.74418</v>
      </c>
      <c r="AT269" s="454">
        <f>AT469</f>
        <v>15.018399622499999</v>
      </c>
      <c r="AU269" s="455">
        <f t="shared" si="588"/>
        <v>40.067416422500003</v>
      </c>
      <c r="AV269" s="454">
        <f>AV469</f>
        <v>17.018143494</v>
      </c>
      <c r="AW269" s="454">
        <f>AW469</f>
        <v>17.685053936999999</v>
      </c>
      <c r="AX269" s="454">
        <f>AX469</f>
        <v>17.414905343999997</v>
      </c>
      <c r="AY269" s="1666">
        <f>AY469</f>
        <v>18.192271943999998</v>
      </c>
      <c r="AZ269" s="1666">
        <f t="shared" si="589"/>
        <v>70.310374718999995</v>
      </c>
      <c r="BA269" s="454">
        <f>BA469</f>
        <v>15.677098109310002</v>
      </c>
      <c r="BB269" s="454">
        <f>BB469</f>
        <v>17.617443530940008</v>
      </c>
      <c r="BC269" s="454">
        <f>BC469</f>
        <v>17.618136390239997</v>
      </c>
      <c r="BD269" s="1666">
        <f>BD469</f>
        <v>17.326863362399994</v>
      </c>
      <c r="BE269" s="455">
        <f t="shared" si="590"/>
        <v>68.239541392890004</v>
      </c>
      <c r="BF269" s="454">
        <f>BF469</f>
        <v>17.905696550323796</v>
      </c>
      <c r="BG269" s="454">
        <f>BG469</f>
        <v>19.561432057230597</v>
      </c>
      <c r="BH269" s="454">
        <f>BH469</f>
        <v>19.276967900505603</v>
      </c>
      <c r="BI269" s="1666">
        <f>BI469</f>
        <v>18.846135333624002</v>
      </c>
      <c r="BJ269" s="455">
        <f t="shared" si="591"/>
        <v>75.590231841684002</v>
      </c>
      <c r="BK269" s="454">
        <f>BK469</f>
        <v>20.325638294130272</v>
      </c>
      <c r="BL269" s="454">
        <f>BL469</f>
        <v>20.451002170085992</v>
      </c>
      <c r="BM269" s="454">
        <f>BM469</f>
        <v>17.784738613480322</v>
      </c>
      <c r="BN269" s="1666">
        <f>BN469</f>
        <v>17.909927780015273</v>
      </c>
      <c r="BO269" s="455">
        <f t="shared" si="592"/>
        <v>76.471306857711852</v>
      </c>
      <c r="BP269" s="454">
        <f>BP469</f>
        <v>20.324183624199851</v>
      </c>
      <c r="BQ269" s="454">
        <f>BQ469</f>
        <v>20.509914588886843</v>
      </c>
      <c r="BR269" s="454">
        <f>BR469</f>
        <v>20.428600609615131</v>
      </c>
      <c r="BS269" s="454">
        <f>BS469</f>
        <v>20.265599742015588</v>
      </c>
      <c r="BT269" s="3066">
        <f t="shared" si="593"/>
        <v>81.528298564717403</v>
      </c>
      <c r="BU269" s="2915">
        <f>BU469</f>
        <v>21.276446169241851</v>
      </c>
      <c r="BV269" s="2915">
        <f>BV469</f>
        <v>20.572874989391906</v>
      </c>
      <c r="BW269" s="2915">
        <f>BW469</f>
        <v>21.059998180639287</v>
      </c>
      <c r="BX269" s="2915">
        <f>BX469</f>
        <v>20.954427078295851</v>
      </c>
      <c r="BY269" s="3066">
        <f t="shared" si="594"/>
        <v>83.86374641756889</v>
      </c>
      <c r="BZ269" s="455">
        <f t="shared" ref="BZ269:CF269" si="615">BZ469</f>
        <v>90.146156735624544</v>
      </c>
      <c r="CA269" s="455">
        <f t="shared" si="615"/>
        <v>90.708194994474155</v>
      </c>
      <c r="CB269" s="455">
        <f t="shared" si="615"/>
        <v>84.546624857863421</v>
      </c>
      <c r="CC269" s="455">
        <f t="shared" si="615"/>
        <v>79.125262517351842</v>
      </c>
      <c r="CD269" s="455">
        <f t="shared" si="615"/>
        <v>81.286872850043792</v>
      </c>
      <c r="CE269" s="455">
        <f t="shared" si="615"/>
        <v>83.888114702925947</v>
      </c>
      <c r="CF269" s="455">
        <f t="shared" si="615"/>
        <v>85.758201663517383</v>
      </c>
      <c r="CG269" s="600"/>
      <c r="CH269" s="600"/>
      <c r="CI269" s="600"/>
      <c r="CJ269" s="600"/>
      <c r="CK269" s="331"/>
      <c r="CL269" s="995" t="str">
        <f t="shared" si="596"/>
        <v>Hollywood Toledo (OH)</v>
      </c>
      <c r="CM269" s="454">
        <f t="shared" si="597"/>
        <v>0</v>
      </c>
      <c r="CN269" s="454">
        <f t="shared" si="598"/>
        <v>0</v>
      </c>
      <c r="CO269" s="454">
        <f t="shared" si="599"/>
        <v>0</v>
      </c>
      <c r="CP269" s="454">
        <f t="shared" si="600"/>
        <v>0</v>
      </c>
      <c r="CQ269" s="454">
        <f t="shared" si="601"/>
        <v>0</v>
      </c>
      <c r="CR269" s="454">
        <f t="shared" si="602"/>
        <v>0</v>
      </c>
      <c r="CS269" s="454">
        <f t="shared" si="603"/>
        <v>0</v>
      </c>
      <c r="CT269" s="454">
        <f t="shared" si="604"/>
        <v>0</v>
      </c>
      <c r="CU269" s="454">
        <f t="shared" si="605"/>
        <v>40.067416422500003</v>
      </c>
      <c r="CV269" s="454">
        <f t="shared" si="606"/>
        <v>70.310374718999995</v>
      </c>
      <c r="CW269" s="454">
        <f t="shared" si="607"/>
        <v>68.239541392890004</v>
      </c>
      <c r="CX269" s="454">
        <f t="shared" si="608"/>
        <v>75.590231841684002</v>
      </c>
      <c r="CY269" s="454">
        <f t="shared" si="609"/>
        <v>76.471306857711852</v>
      </c>
      <c r="CZ269" s="454">
        <f t="shared" si="610"/>
        <v>81.528298564717403</v>
      </c>
      <c r="DA269" s="454">
        <f t="shared" si="611"/>
        <v>83.86374641756889</v>
      </c>
      <c r="DB269" s="454">
        <f t="shared" si="611"/>
        <v>90.146156735624544</v>
      </c>
      <c r="DC269" s="1666">
        <f t="shared" si="611"/>
        <v>90.708194994474155</v>
      </c>
      <c r="DD269" s="331"/>
      <c r="DE269" s="331"/>
      <c r="DF269" s="502"/>
      <c r="DG269" s="503"/>
      <c r="DH269" s="2915"/>
      <c r="DI269" s="3213"/>
      <c r="DJ269" s="502"/>
      <c r="DK269" s="503"/>
      <c r="DL269" s="502"/>
      <c r="DM269" s="502"/>
      <c r="DN269" s="502"/>
      <c r="DO269" s="502"/>
      <c r="DP269" s="503"/>
      <c r="DQ269" s="503"/>
      <c r="DR269" s="296"/>
      <c r="DS269" s="296"/>
      <c r="DT269" s="296"/>
    </row>
    <row r="270" spans="1:124" ht="12.6" customHeight="1" outlineLevel="1" x14ac:dyDescent="0.25">
      <c r="A270" s="392" t="s">
        <v>1942</v>
      </c>
      <c r="B270" s="281"/>
      <c r="C270" s="446">
        <f>C489</f>
        <v>3.2</v>
      </c>
      <c r="D270" s="446">
        <f>D489</f>
        <v>3.6219999999999999</v>
      </c>
      <c r="E270" s="446">
        <f>E489</f>
        <v>4.2519999999999998</v>
      </c>
      <c r="F270" s="446">
        <f>F489</f>
        <v>4.4109999999999996</v>
      </c>
      <c r="G270" s="447">
        <f t="shared" si="580"/>
        <v>15.484999999999999</v>
      </c>
      <c r="H270" s="446">
        <f>H489</f>
        <v>3.7679999999999998</v>
      </c>
      <c r="I270" s="446">
        <f>I489</f>
        <v>4.3620000000000001</v>
      </c>
      <c r="J270" s="446">
        <f>J489</f>
        <v>4.8289999999999997</v>
      </c>
      <c r="K270" s="446">
        <f>K489</f>
        <v>4.2750000000000004</v>
      </c>
      <c r="L270" s="447">
        <f t="shared" si="581"/>
        <v>17.234000000000002</v>
      </c>
      <c r="M270" s="446">
        <f>M489</f>
        <v>4.0679999999999996</v>
      </c>
      <c r="N270" s="446">
        <f>N489</f>
        <v>4.5640000000000001</v>
      </c>
      <c r="O270" s="446">
        <f>O489</f>
        <v>4.4660000000000002</v>
      </c>
      <c r="P270" s="446">
        <f>P489</f>
        <v>3.6669999999999998</v>
      </c>
      <c r="Q270" s="447">
        <f t="shared" si="582"/>
        <v>16.765000000000001</v>
      </c>
      <c r="R270" s="446">
        <f>R489</f>
        <v>3.1880000000000002</v>
      </c>
      <c r="S270" s="446">
        <f>S489</f>
        <v>3.984</v>
      </c>
      <c r="T270" s="446">
        <f>T489</f>
        <v>4.8109999999999999</v>
      </c>
      <c r="U270" s="446">
        <f>U489</f>
        <v>3.9159999999999999</v>
      </c>
      <c r="V270" s="447">
        <f t="shared" si="583"/>
        <v>15.899000000000001</v>
      </c>
      <c r="W270" s="446">
        <f>W489</f>
        <v>3.5950000000000002</v>
      </c>
      <c r="X270" s="446">
        <f>X489</f>
        <v>4.2720000000000002</v>
      </c>
      <c r="Y270" s="446">
        <f>Y489</f>
        <v>4.4509999999999996</v>
      </c>
      <c r="Z270" s="446">
        <f>Z489</f>
        <v>2.8650000000000002</v>
      </c>
      <c r="AA270" s="447">
        <f t="shared" si="584"/>
        <v>15.183000000000002</v>
      </c>
      <c r="AB270" s="446">
        <f>AB489</f>
        <v>2.734</v>
      </c>
      <c r="AC270" s="446">
        <f>AC489</f>
        <v>3.234</v>
      </c>
      <c r="AD270" s="446">
        <f>AD489</f>
        <v>3.8410000000000002</v>
      </c>
      <c r="AE270" s="454">
        <f>AE489</f>
        <v>3.5859999999999999</v>
      </c>
      <c r="AF270" s="455">
        <f t="shared" si="585"/>
        <v>13.395000000000001</v>
      </c>
      <c r="AG270" s="1724">
        <f>AG489</f>
        <v>2.8090000000000002</v>
      </c>
      <c r="AH270" s="454">
        <f>AH489</f>
        <v>3.6869999999999998</v>
      </c>
      <c r="AI270" s="454">
        <f>AI489</f>
        <v>3.9390000000000001</v>
      </c>
      <c r="AJ270" s="454">
        <f>AJ489</f>
        <v>3.4329999999999998</v>
      </c>
      <c r="AK270" s="455">
        <f t="shared" si="586"/>
        <v>13.868</v>
      </c>
      <c r="AL270" s="454">
        <f>AL489</f>
        <v>3.0249999999999999</v>
      </c>
      <c r="AM270" s="454">
        <f>AM489</f>
        <v>3.653</v>
      </c>
      <c r="AN270" s="454">
        <f>AN489</f>
        <v>4.0226300000000013</v>
      </c>
      <c r="AO270" s="454">
        <f>AO489</f>
        <v>3.2732100000000002</v>
      </c>
      <c r="AP270" s="455">
        <f t="shared" si="587"/>
        <v>13.973840000000001</v>
      </c>
      <c r="AQ270" s="454">
        <f>AQ489</f>
        <v>2.9993400000000001</v>
      </c>
      <c r="AR270" s="454">
        <f>AR489</f>
        <v>3.7337400000000005</v>
      </c>
      <c r="AS270" s="454">
        <f>AS489</f>
        <v>4.110762600000001</v>
      </c>
      <c r="AT270" s="454">
        <f>AT489</f>
        <v>3.3463542000000004</v>
      </c>
      <c r="AU270" s="455">
        <f t="shared" si="588"/>
        <v>14.190196800000002</v>
      </c>
      <c r="AV270" s="454">
        <f>AV489</f>
        <v>2.9833400000000001</v>
      </c>
      <c r="AW270" s="454">
        <f>AW489</f>
        <v>3.7177400000000005</v>
      </c>
      <c r="AX270" s="454">
        <f>AX489</f>
        <v>4.0947626000000001</v>
      </c>
      <c r="AY270" s="1666">
        <f>AY489</f>
        <v>3.3303542000000004</v>
      </c>
      <c r="AZ270" s="1666">
        <f t="shared" si="589"/>
        <v>14.126196800000001</v>
      </c>
      <c r="BA270" s="454">
        <f>BA489</f>
        <v>2.97709</v>
      </c>
      <c r="BB270" s="454">
        <f>BB489</f>
        <v>3.7114900000000004</v>
      </c>
      <c r="BC270" s="454">
        <f>BC489</f>
        <v>4.0885126000000005</v>
      </c>
      <c r="BD270" s="1666">
        <f>BD489</f>
        <v>3.3241042000000003</v>
      </c>
      <c r="BE270" s="455">
        <f t="shared" si="590"/>
        <v>14.1011968</v>
      </c>
      <c r="BF270" s="454">
        <f>BF489</f>
        <v>2.97709</v>
      </c>
      <c r="BG270" s="454">
        <f>BG489</f>
        <v>3.7114900000000004</v>
      </c>
      <c r="BH270" s="454">
        <f>BH489</f>
        <v>4.0885126000000005</v>
      </c>
      <c r="BI270" s="1666">
        <f>BI489</f>
        <v>3.3241042000000003</v>
      </c>
      <c r="BJ270" s="455">
        <f t="shared" si="591"/>
        <v>14.1011968</v>
      </c>
      <c r="BK270" s="454">
        <f>BK489</f>
        <v>2.97709</v>
      </c>
      <c r="BL270" s="454">
        <f>BL489</f>
        <v>3.7114900000000004</v>
      </c>
      <c r="BM270" s="454">
        <f>BM489</f>
        <v>4.0885126000000005</v>
      </c>
      <c r="BN270" s="1666">
        <f>BN489</f>
        <v>3.3241042000000003</v>
      </c>
      <c r="BO270" s="455">
        <f t="shared" si="592"/>
        <v>14.1011968</v>
      </c>
      <c r="BP270" s="454">
        <f>BP489</f>
        <v>2.97709</v>
      </c>
      <c r="BQ270" s="454">
        <f>BQ489</f>
        <v>3.7114900000000004</v>
      </c>
      <c r="BR270" s="454">
        <f>BR489</f>
        <v>4.0885126000000005</v>
      </c>
      <c r="BS270" s="454">
        <f>BS489</f>
        <v>3.2834792000000004</v>
      </c>
      <c r="BT270" s="3066">
        <f t="shared" si="593"/>
        <v>14.0605718</v>
      </c>
      <c r="BU270" s="2915">
        <f>BU489</f>
        <v>2.9364650000000001</v>
      </c>
      <c r="BV270" s="2915">
        <f>BV489</f>
        <v>3.6708650000000005</v>
      </c>
      <c r="BW270" s="2915">
        <f>BW489</f>
        <v>0</v>
      </c>
      <c r="BX270" s="2915">
        <f>BX489</f>
        <v>0</v>
      </c>
      <c r="BY270" s="3066">
        <f t="shared" si="594"/>
        <v>6.607330000000001</v>
      </c>
      <c r="BZ270" s="455">
        <f t="shared" ref="BZ270:CF270" si="616">BZ489</f>
        <v>0</v>
      </c>
      <c r="CA270" s="455">
        <f t="shared" si="616"/>
        <v>0</v>
      </c>
      <c r="CB270" s="455">
        <f t="shared" si="616"/>
        <v>-1.65</v>
      </c>
      <c r="CC270" s="455">
        <f t="shared" si="616"/>
        <v>-1.65</v>
      </c>
      <c r="CD270" s="455">
        <f t="shared" si="616"/>
        <v>-1.65</v>
      </c>
      <c r="CE270" s="455">
        <f t="shared" si="616"/>
        <v>-1.65</v>
      </c>
      <c r="CF270" s="455">
        <f t="shared" si="616"/>
        <v>-1.65</v>
      </c>
      <c r="CG270" s="1574"/>
      <c r="CH270" s="1574"/>
      <c r="CI270" s="1574"/>
      <c r="CJ270" s="1574"/>
      <c r="CK270" s="331"/>
      <c r="CL270" s="995" t="str">
        <f t="shared" si="596"/>
        <v>Casino Rama Mgmt Contract (Canada)</v>
      </c>
      <c r="CM270" s="454">
        <f t="shared" si="597"/>
        <v>15.484999999999999</v>
      </c>
      <c r="CN270" s="454">
        <f t="shared" si="598"/>
        <v>17.234000000000002</v>
      </c>
      <c r="CO270" s="454">
        <f t="shared" si="599"/>
        <v>16.765000000000001</v>
      </c>
      <c r="CP270" s="454">
        <f t="shared" si="600"/>
        <v>15.899000000000001</v>
      </c>
      <c r="CQ270" s="454">
        <f t="shared" si="601"/>
        <v>15.183000000000002</v>
      </c>
      <c r="CR270" s="454">
        <f t="shared" si="602"/>
        <v>13.395000000000001</v>
      </c>
      <c r="CS270" s="454">
        <f t="shared" si="603"/>
        <v>13.868</v>
      </c>
      <c r="CT270" s="454">
        <f t="shared" si="604"/>
        <v>13.973840000000001</v>
      </c>
      <c r="CU270" s="454">
        <f t="shared" si="605"/>
        <v>14.190196800000002</v>
      </c>
      <c r="CV270" s="454">
        <f t="shared" si="606"/>
        <v>14.126196800000001</v>
      </c>
      <c r="CW270" s="454">
        <f t="shared" si="607"/>
        <v>14.1011968</v>
      </c>
      <c r="CX270" s="454">
        <f t="shared" si="608"/>
        <v>14.1011968</v>
      </c>
      <c r="CY270" s="454">
        <f t="shared" si="609"/>
        <v>14.1011968</v>
      </c>
      <c r="CZ270" s="454">
        <f t="shared" si="610"/>
        <v>14.0605718</v>
      </c>
      <c r="DA270" s="454">
        <f t="shared" si="611"/>
        <v>6.607330000000001</v>
      </c>
      <c r="DB270" s="454">
        <f t="shared" si="611"/>
        <v>0</v>
      </c>
      <c r="DC270" s="1666">
        <f t="shared" si="611"/>
        <v>0</v>
      </c>
      <c r="DD270" s="331"/>
      <c r="DE270" s="331"/>
      <c r="DF270" s="502"/>
      <c r="DG270" s="503"/>
      <c r="DH270" s="2915"/>
      <c r="DI270" s="3213"/>
      <c r="DJ270" s="502"/>
      <c r="DK270" s="503"/>
      <c r="DL270" s="502"/>
      <c r="DM270" s="502"/>
      <c r="DN270" s="502"/>
      <c r="DO270" s="502"/>
      <c r="DP270" s="503"/>
      <c r="DQ270" s="503"/>
      <c r="DR270" s="296"/>
      <c r="DS270" s="296"/>
      <c r="DT270" s="296"/>
    </row>
    <row r="271" spans="1:124" ht="12" customHeight="1" outlineLevel="1" x14ac:dyDescent="0.25">
      <c r="A271" s="2605" t="s">
        <v>227</v>
      </c>
      <c r="B271" s="281"/>
      <c r="C271" s="446"/>
      <c r="D271" s="446"/>
      <c r="E271" s="446"/>
      <c r="F271" s="446"/>
      <c r="G271" s="447"/>
      <c r="H271" s="446"/>
      <c r="I271" s="446"/>
      <c r="J271" s="446"/>
      <c r="K271" s="446"/>
      <c r="L271" s="447"/>
      <c r="M271" s="446"/>
      <c r="N271" s="446"/>
      <c r="O271" s="446"/>
      <c r="P271" s="446"/>
      <c r="Q271" s="447"/>
      <c r="R271" s="446"/>
      <c r="S271" s="446"/>
      <c r="T271" s="446"/>
      <c r="U271" s="446"/>
      <c r="V271" s="447"/>
      <c r="W271" s="446"/>
      <c r="X271" s="446"/>
      <c r="Y271" s="446"/>
      <c r="Z271" s="446"/>
      <c r="AA271" s="447"/>
      <c r="AB271" s="446"/>
      <c r="AC271" s="446"/>
      <c r="AD271" s="446"/>
      <c r="AE271" s="454"/>
      <c r="AF271" s="455"/>
      <c r="AG271" s="1586"/>
      <c r="AH271" s="454"/>
      <c r="AI271" s="454"/>
      <c r="AJ271" s="454"/>
      <c r="AK271" s="455"/>
      <c r="AL271" s="1586"/>
      <c r="AM271" s="454"/>
      <c r="AN271" s="454"/>
      <c r="AO271" s="454"/>
      <c r="AP271" s="455"/>
      <c r="AQ271" s="454"/>
      <c r="AR271" s="454"/>
      <c r="AS271" s="454"/>
      <c r="AT271" s="454"/>
      <c r="AU271" s="455"/>
      <c r="AV271" s="454"/>
      <c r="AW271" s="454"/>
      <c r="AX271" s="454"/>
      <c r="AY271" s="1666"/>
      <c r="AZ271" s="1666"/>
      <c r="BA271" s="454">
        <f>BA514</f>
        <v>0</v>
      </c>
      <c r="BB271" s="454">
        <f>BB514</f>
        <v>0</v>
      </c>
      <c r="BC271" s="454">
        <f>BC514</f>
        <v>0.66451885000000033</v>
      </c>
      <c r="BD271" s="1666">
        <f>BD514</f>
        <v>4.3587627600000012</v>
      </c>
      <c r="BE271" s="455">
        <f t="shared" si="590"/>
        <v>5.0232816100000015</v>
      </c>
      <c r="BF271" s="454">
        <f>BF514</f>
        <v>6.7831200000000003</v>
      </c>
      <c r="BG271" s="454">
        <f>BG514</f>
        <v>6.4132323200000023</v>
      </c>
      <c r="BH271" s="454">
        <f>BH514</f>
        <v>6.4008824000000004</v>
      </c>
      <c r="BI271" s="1666">
        <f>BI514</f>
        <v>5.6427663600000031</v>
      </c>
      <c r="BJ271" s="455">
        <f t="shared" si="591"/>
        <v>25.240001080000006</v>
      </c>
      <c r="BK271" s="454">
        <f>BK514</f>
        <v>7.4029104596934445</v>
      </c>
      <c r="BL271" s="454">
        <f>BL514</f>
        <v>7.1485566944851122</v>
      </c>
      <c r="BM271" s="454">
        <f>BM514</f>
        <v>7.1816690221589141</v>
      </c>
      <c r="BN271" s="1666">
        <f>BN514</f>
        <v>6.1845941245868232</v>
      </c>
      <c r="BO271" s="455">
        <f t="shared" si="592"/>
        <v>27.917730300924294</v>
      </c>
      <c r="BP271" s="454">
        <f>BP514</f>
        <v>8.8501560502199865</v>
      </c>
      <c r="BQ271" s="454">
        <f>BQ514</f>
        <v>7.9842152226216605</v>
      </c>
      <c r="BR271" s="454">
        <f>BR514</f>
        <v>8.1507587248815909</v>
      </c>
      <c r="BS271" s="454">
        <f>BS514</f>
        <v>7.7343842199333785</v>
      </c>
      <c r="BT271" s="3066">
        <f t="shared" si="593"/>
        <v>32.719514217656616</v>
      </c>
      <c r="BU271" s="2915">
        <f>BU514</f>
        <v>9.6246923076923068</v>
      </c>
      <c r="BV271" s="2915">
        <f>BV514</f>
        <v>8.560284059502564</v>
      </c>
      <c r="BW271" s="2915">
        <f>BW514</f>
        <v>8.8658217856763351</v>
      </c>
      <c r="BX271" s="2915">
        <f>BX514</f>
        <v>8.4251150596821454</v>
      </c>
      <c r="BY271" s="3066">
        <f t="shared" si="594"/>
        <v>35.475913212553351</v>
      </c>
      <c r="BZ271" s="455">
        <f t="shared" ref="BZ271:CF271" si="617">BZ514</f>
        <v>37.380865460243953</v>
      </c>
      <c r="CA271" s="455">
        <f t="shared" si="617"/>
        <v>37.811029627398099</v>
      </c>
      <c r="CB271" s="455">
        <f t="shared" si="617"/>
        <v>35.463211062274368</v>
      </c>
      <c r="CC271" s="455">
        <f t="shared" si="617"/>
        <v>33.450400530402888</v>
      </c>
      <c r="CD271" s="455">
        <f t="shared" si="617"/>
        <v>34.295915199055173</v>
      </c>
      <c r="CE271" s="455">
        <f t="shared" si="617"/>
        <v>35.349027289997736</v>
      </c>
      <c r="CF271" s="455">
        <f t="shared" si="617"/>
        <v>36.051956482207004</v>
      </c>
      <c r="CG271" s="600"/>
      <c r="CH271" s="600"/>
      <c r="CI271" s="600"/>
      <c r="CJ271" s="600"/>
      <c r="CK271" s="331"/>
      <c r="CL271" s="995" t="str">
        <f t="shared" si="596"/>
        <v>Hollywood Dayton</v>
      </c>
      <c r="CM271" s="454"/>
      <c r="CN271" s="454"/>
      <c r="CO271" s="454"/>
      <c r="CP271" s="454"/>
      <c r="CQ271" s="454"/>
      <c r="CR271" s="454"/>
      <c r="CS271" s="454"/>
      <c r="CT271" s="454"/>
      <c r="CU271" s="454"/>
      <c r="CV271" s="454"/>
      <c r="CW271" s="454"/>
      <c r="CX271" s="454"/>
      <c r="CY271" s="454"/>
      <c r="CZ271" s="454"/>
      <c r="DA271" s="454"/>
      <c r="DB271" s="454"/>
      <c r="DC271" s="1666"/>
      <c r="DD271" s="331"/>
      <c r="DE271" s="331"/>
      <c r="DF271" s="502"/>
      <c r="DG271" s="503"/>
      <c r="DH271" s="2915"/>
      <c r="DI271" s="3213"/>
      <c r="DJ271" s="502"/>
      <c r="DK271" s="503"/>
      <c r="DL271" s="502"/>
      <c r="DM271" s="502"/>
      <c r="DN271" s="502"/>
      <c r="DO271" s="502"/>
      <c r="DP271" s="503"/>
      <c r="DQ271" s="503"/>
      <c r="DR271" s="296"/>
      <c r="DS271" s="296"/>
      <c r="DT271" s="296"/>
    </row>
    <row r="272" spans="1:124" ht="12" customHeight="1" outlineLevel="1" x14ac:dyDescent="0.25">
      <c r="A272" s="2605" t="s">
        <v>228</v>
      </c>
      <c r="B272" s="281"/>
      <c r="C272" s="446"/>
      <c r="D272" s="446"/>
      <c r="E272" s="446"/>
      <c r="F272" s="446"/>
      <c r="G272" s="447"/>
      <c r="H272" s="446"/>
      <c r="I272" s="446"/>
      <c r="J272" s="446"/>
      <c r="K272" s="446"/>
      <c r="L272" s="447"/>
      <c r="M272" s="446"/>
      <c r="N272" s="446"/>
      <c r="O272" s="446"/>
      <c r="P272" s="446"/>
      <c r="Q272" s="447"/>
      <c r="R272" s="446"/>
      <c r="S272" s="446"/>
      <c r="T272" s="446"/>
      <c r="U272" s="446"/>
      <c r="V272" s="447"/>
      <c r="W272" s="446"/>
      <c r="X272" s="446"/>
      <c r="Y272" s="446"/>
      <c r="Z272" s="446"/>
      <c r="AA272" s="447"/>
      <c r="AB272" s="446"/>
      <c r="AC272" s="446"/>
      <c r="AD272" s="446"/>
      <c r="AE272" s="454"/>
      <c r="AF272" s="455"/>
      <c r="AG272" s="1586"/>
      <c r="AH272" s="454"/>
      <c r="AI272" s="454"/>
      <c r="AJ272" s="454"/>
      <c r="AK272" s="455"/>
      <c r="AL272" s="1586"/>
      <c r="AM272" s="454"/>
      <c r="AN272" s="454"/>
      <c r="AO272" s="454"/>
      <c r="AP272" s="455"/>
      <c r="AQ272" s="454"/>
      <c r="AR272" s="454"/>
      <c r="AS272" s="454"/>
      <c r="AT272" s="454"/>
      <c r="AU272" s="455"/>
      <c r="AV272" s="454"/>
      <c r="AW272" s="454"/>
      <c r="AX272" s="454"/>
      <c r="AY272" s="454"/>
      <c r="AZ272" s="455"/>
      <c r="BA272" s="454">
        <f>BA542</f>
        <v>0</v>
      </c>
      <c r="BB272" s="454">
        <f>BB542</f>
        <v>0</v>
      </c>
      <c r="BC272" s="454">
        <f>BC542</f>
        <v>0.5155542999999998</v>
      </c>
      <c r="BD272" s="1666">
        <f>BD542</f>
        <v>5.1188224300000016</v>
      </c>
      <c r="BE272" s="455">
        <f t="shared" si="590"/>
        <v>5.6343767300000014</v>
      </c>
      <c r="BF272" s="454">
        <f>BF542</f>
        <v>6.8300599999999996</v>
      </c>
      <c r="BG272" s="454">
        <f>BG542</f>
        <v>6.7003965600000015</v>
      </c>
      <c r="BH272" s="454">
        <f>BH542</f>
        <v>6.9424867200000016</v>
      </c>
      <c r="BI272" s="1666">
        <f>BI542</f>
        <v>6.4602799199999978</v>
      </c>
      <c r="BJ272" s="455">
        <f t="shared" si="591"/>
        <v>26.9332232</v>
      </c>
      <c r="BK272" s="454">
        <f>BK542</f>
        <v>7.9210290573945059</v>
      </c>
      <c r="BL272" s="454">
        <f>BL542</f>
        <v>7.5140636995488101</v>
      </c>
      <c r="BM272" s="454">
        <f>BM542</f>
        <v>7.5388795554193031</v>
      </c>
      <c r="BN272" s="1666">
        <f>BN542</f>
        <v>7.1024635185605582</v>
      </c>
      <c r="BO272" s="455">
        <f t="shared" si="592"/>
        <v>30.076435830923177</v>
      </c>
      <c r="BP272" s="454">
        <f>BP542</f>
        <v>9.4964520743914207</v>
      </c>
      <c r="BQ272" s="454">
        <f>BQ542</f>
        <v>8.5969894470822226</v>
      </c>
      <c r="BR272" s="454">
        <f>BR542</f>
        <v>8.6737160884551159</v>
      </c>
      <c r="BS272" s="454">
        <f>BS542</f>
        <v>8.7514432063414951</v>
      </c>
      <c r="BT272" s="3066">
        <f t="shared" si="593"/>
        <v>35.518600816270251</v>
      </c>
      <c r="BU272" s="2915">
        <f>BU542</f>
        <v>10.14201231034237</v>
      </c>
      <c r="BV272" s="2915">
        <f>BV542</f>
        <v>9.7472096059247555</v>
      </c>
      <c r="BW272" s="2915">
        <f>BW542</f>
        <v>9.4642260791350807</v>
      </c>
      <c r="BX272" s="2915">
        <f>BX542</f>
        <v>9.4228137682786048</v>
      </c>
      <c r="BY272" s="3066">
        <f t="shared" si="594"/>
        <v>38.776261763680807</v>
      </c>
      <c r="BZ272" s="455">
        <f t="shared" ref="BZ272:CF272" si="618">BZ542</f>
        <v>40.067730439557224</v>
      </c>
      <c r="CA272" s="455">
        <f t="shared" si="618"/>
        <v>39.779023565567627</v>
      </c>
      <c r="CB272" s="455">
        <f t="shared" si="618"/>
        <v>37.113079810729175</v>
      </c>
      <c r="CC272" s="455">
        <f t="shared" si="618"/>
        <v>34.818536603637014</v>
      </c>
      <c r="CD272" s="455">
        <f t="shared" si="618"/>
        <v>35.774903479094021</v>
      </c>
      <c r="CE272" s="455">
        <f t="shared" si="618"/>
        <v>36.960185138434326</v>
      </c>
      <c r="CF272" s="455">
        <f t="shared" si="618"/>
        <v>37.760000550842619</v>
      </c>
      <c r="CG272" s="600"/>
      <c r="CH272" s="600"/>
      <c r="CI272" s="600"/>
      <c r="CJ272" s="600"/>
      <c r="CK272" s="331"/>
      <c r="CL272" s="995"/>
      <c r="CM272" s="454"/>
      <c r="CN272" s="454"/>
      <c r="CO272" s="454"/>
      <c r="CP272" s="454"/>
      <c r="CQ272" s="454"/>
      <c r="CR272" s="454"/>
      <c r="CS272" s="454"/>
      <c r="CT272" s="454"/>
      <c r="CU272" s="454"/>
      <c r="CV272" s="454"/>
      <c r="CW272" s="454"/>
      <c r="CX272" s="454"/>
      <c r="CY272" s="454"/>
      <c r="CZ272" s="454"/>
      <c r="DA272" s="454"/>
      <c r="DB272" s="454"/>
      <c r="DC272" s="1666"/>
      <c r="DD272" s="331"/>
      <c r="DE272" s="331"/>
      <c r="DF272" s="502"/>
      <c r="DG272" s="503"/>
      <c r="DH272" s="2915"/>
      <c r="DI272" s="3213"/>
      <c r="DJ272" s="502"/>
      <c r="DK272" s="503"/>
      <c r="DL272" s="502"/>
      <c r="DM272" s="502"/>
      <c r="DN272" s="502"/>
      <c r="DO272" s="502"/>
      <c r="DP272" s="503"/>
      <c r="DQ272" s="503"/>
      <c r="DR272" s="296"/>
      <c r="DS272" s="296"/>
      <c r="DT272" s="296"/>
    </row>
    <row r="273" spans="1:130" s="1049" customFormat="1" ht="12" customHeight="1" outlineLevel="1" x14ac:dyDescent="0.25">
      <c r="A273" s="2725" t="s">
        <v>204</v>
      </c>
      <c r="B273" s="428"/>
      <c r="C273" s="454"/>
      <c r="D273" s="454"/>
      <c r="E273" s="454"/>
      <c r="F273" s="454"/>
      <c r="G273" s="455"/>
      <c r="H273" s="454"/>
      <c r="I273" s="454"/>
      <c r="J273" s="454"/>
      <c r="K273" s="454"/>
      <c r="L273" s="455"/>
      <c r="M273" s="454"/>
      <c r="N273" s="454"/>
      <c r="O273" s="454"/>
      <c r="P273" s="454"/>
      <c r="Q273" s="455"/>
      <c r="R273" s="454"/>
      <c r="S273" s="454"/>
      <c r="T273" s="454"/>
      <c r="U273" s="454"/>
      <c r="V273" s="455"/>
      <c r="W273" s="454"/>
      <c r="X273" s="454"/>
      <c r="Y273" s="454"/>
      <c r="Z273" s="454"/>
      <c r="AA273" s="455"/>
      <c r="AB273" s="454"/>
      <c r="AC273" s="454"/>
      <c r="AD273" s="454"/>
      <c r="AE273" s="454"/>
      <c r="AF273" s="455"/>
      <c r="AG273" s="454"/>
      <c r="AH273" s="454"/>
      <c r="AI273" s="454"/>
      <c r="AJ273" s="454"/>
      <c r="AK273" s="455"/>
      <c r="AL273" s="454"/>
      <c r="AM273" s="454"/>
      <c r="AN273" s="454"/>
      <c r="AO273" s="454"/>
      <c r="AP273" s="455"/>
      <c r="AQ273" s="454"/>
      <c r="AR273" s="454"/>
      <c r="AS273" s="454"/>
      <c r="AT273" s="454"/>
      <c r="AU273" s="455"/>
      <c r="AV273" s="454"/>
      <c r="AW273" s="454"/>
      <c r="AX273" s="454"/>
      <c r="AY273" s="454"/>
      <c r="AZ273" s="455"/>
      <c r="BA273" s="454"/>
      <c r="BB273" s="454"/>
      <c r="BC273" s="454"/>
      <c r="BD273" s="1666"/>
      <c r="BE273" s="455"/>
      <c r="BF273" s="454">
        <f>+PENN!BF573</f>
        <v>0</v>
      </c>
      <c r="BG273" s="454">
        <f>+PENN!BG573</f>
        <v>-3.7311016441999998</v>
      </c>
      <c r="BH273" s="454">
        <f>+PENN!BH573</f>
        <v>12.834564017462498</v>
      </c>
      <c r="BI273" s="1666">
        <f>+PENN!BI573</f>
        <v>9.0640000973500001</v>
      </c>
      <c r="BJ273" s="455">
        <f>+PENN!BJ573</f>
        <v>18.167462470612492</v>
      </c>
      <c r="BK273" s="454">
        <f>+PENN!BK573</f>
        <v>10.5365976013234</v>
      </c>
      <c r="BL273" s="454">
        <f>+PENN!BL573</f>
        <v>11.176316487931977</v>
      </c>
      <c r="BM273" s="454">
        <f>+PENN!BM573</f>
        <v>12.921701465925601</v>
      </c>
      <c r="BN273" s="1666">
        <f>+PENN!BN573</f>
        <v>10.085143749999997</v>
      </c>
      <c r="BO273" s="455">
        <f t="shared" si="592"/>
        <v>44.719759305180972</v>
      </c>
      <c r="BP273" s="454">
        <f>+PENN!BP573</f>
        <v>11.547936350150977</v>
      </c>
      <c r="BQ273" s="454">
        <f>+PENN!BQ573</f>
        <v>12.682228943423521</v>
      </c>
      <c r="BR273" s="454">
        <f>+PENN!BR573</f>
        <v>14.75007428619066</v>
      </c>
      <c r="BS273" s="454">
        <f>+PENN!BS573</f>
        <v>10.603166460019089</v>
      </c>
      <c r="BT273" s="3066">
        <f t="shared" si="593"/>
        <v>49.583406039784244</v>
      </c>
      <c r="BU273" s="2915">
        <f>+BU573</f>
        <v>12.905754187620978</v>
      </c>
      <c r="BV273" s="2915">
        <f>+BV573</f>
        <v>13.016114246193723</v>
      </c>
      <c r="BW273" s="2915">
        <f>+BW573</f>
        <v>15.423748241608394</v>
      </c>
      <c r="BX273" s="2915">
        <f>+BX573</f>
        <v>11.327861873964679</v>
      </c>
      <c r="BY273" s="3066">
        <f t="shared" si="594"/>
        <v>52.673478549387774</v>
      </c>
      <c r="BZ273" s="455">
        <f>+PENN!BZ573</f>
        <v>40.907655206648187</v>
      </c>
      <c r="CA273" s="455">
        <f>+PENN!CA573</f>
        <v>30.241236093750004</v>
      </c>
      <c r="CB273" s="455">
        <f>+PENN!CB573</f>
        <v>29.007648421875004</v>
      </c>
      <c r="CC273" s="455">
        <f>+PENN!CC573</f>
        <v>27.898602009960925</v>
      </c>
      <c r="CD273" s="455">
        <f>+PENN!CD573</f>
        <v>28.177588030060548</v>
      </c>
      <c r="CE273" s="455">
        <f>+PENN!CE573</f>
        <v>28.537334770389549</v>
      </c>
      <c r="CF273" s="455">
        <f>+PENN!CF573</f>
        <v>28.743957549464767</v>
      </c>
      <c r="CG273" s="476"/>
      <c r="CH273" s="476"/>
      <c r="CI273" s="476"/>
      <c r="CJ273" s="476"/>
      <c r="CK273" s="331"/>
      <c r="CL273" s="995" t="str">
        <f>A273</f>
        <v>Plainridge Park Casino (MA)</v>
      </c>
      <c r="CM273" s="454"/>
      <c r="CN273" s="454"/>
      <c r="CO273" s="454"/>
      <c r="CP273" s="454"/>
      <c r="CQ273" s="454"/>
      <c r="CR273" s="454"/>
      <c r="CS273" s="454"/>
      <c r="CT273" s="454"/>
      <c r="CU273" s="454"/>
      <c r="CV273" s="454"/>
      <c r="CW273" s="454"/>
      <c r="CX273" s="454"/>
      <c r="CY273" s="454"/>
      <c r="CZ273" s="454"/>
      <c r="DA273" s="454"/>
      <c r="DB273" s="454"/>
      <c r="DC273" s="1666"/>
      <c r="DD273" s="331"/>
      <c r="DE273" s="331"/>
      <c r="DF273" s="502"/>
      <c r="DG273" s="503"/>
      <c r="DH273" s="2915"/>
      <c r="DI273" s="3213"/>
      <c r="DJ273" s="502"/>
      <c r="DK273" s="503"/>
      <c r="DL273" s="502"/>
      <c r="DM273" s="502"/>
      <c r="DN273" s="502"/>
      <c r="DO273" s="502"/>
      <c r="DP273" s="503"/>
      <c r="DQ273" s="503"/>
      <c r="DR273" s="296"/>
      <c r="DS273" s="296"/>
      <c r="DT273" s="296"/>
      <c r="DU273"/>
      <c r="DV273"/>
      <c r="DW273"/>
      <c r="DX273"/>
      <c r="DY273"/>
      <c r="DZ273"/>
    </row>
    <row r="274" spans="1:130" ht="12.6" customHeight="1" outlineLevel="1" x14ac:dyDescent="0.25">
      <c r="A274" s="392" t="s">
        <v>1787</v>
      </c>
      <c r="B274" s="281"/>
      <c r="C274" s="446">
        <f>C601</f>
        <v>0</v>
      </c>
      <c r="D274" s="446">
        <f>D601</f>
        <v>0</v>
      </c>
      <c r="E274" s="446">
        <f>E601</f>
        <v>0</v>
      </c>
      <c r="F274" s="446">
        <f>F601</f>
        <v>0</v>
      </c>
      <c r="G274" s="447">
        <f>SUM(C274:F274)</f>
        <v>0</v>
      </c>
      <c r="H274" s="446">
        <f>H601</f>
        <v>0</v>
      </c>
      <c r="I274" s="446">
        <f>I601</f>
        <v>0</v>
      </c>
      <c r="J274" s="446">
        <f>J601</f>
        <v>0</v>
      </c>
      <c r="K274" s="446">
        <f>K601</f>
        <v>0</v>
      </c>
      <c r="L274" s="447">
        <f>SUM(H274:K274)</f>
        <v>0</v>
      </c>
      <c r="M274" s="446">
        <f>M601</f>
        <v>0</v>
      </c>
      <c r="N274" s="446">
        <f>N601</f>
        <v>0</v>
      </c>
      <c r="O274" s="446">
        <f>O601</f>
        <v>0</v>
      </c>
      <c r="P274" s="446">
        <f>P601</f>
        <v>0</v>
      </c>
      <c r="Q274" s="447">
        <f>SUM(M274:P274)</f>
        <v>0</v>
      </c>
      <c r="R274" s="446">
        <f>R601</f>
        <v>0</v>
      </c>
      <c r="S274" s="446">
        <f>S601</f>
        <v>0</v>
      </c>
      <c r="T274" s="446">
        <f>T601</f>
        <v>0</v>
      </c>
      <c r="U274" s="446">
        <f>U601</f>
        <v>0</v>
      </c>
      <c r="V274" s="447">
        <f>SUM(R274:U274)</f>
        <v>0</v>
      </c>
      <c r="W274" s="446">
        <f>W601</f>
        <v>0</v>
      </c>
      <c r="X274" s="446">
        <f>X601</f>
        <v>0</v>
      </c>
      <c r="Y274" s="446">
        <f>Y601</f>
        <v>0</v>
      </c>
      <c r="Z274" s="446">
        <f>Z601</f>
        <v>0</v>
      </c>
      <c r="AA274" s="447">
        <f>SUM(W274:Z274)</f>
        <v>0</v>
      </c>
      <c r="AB274" s="446">
        <f>AB601</f>
        <v>0</v>
      </c>
      <c r="AC274" s="446">
        <f>AC601</f>
        <v>0</v>
      </c>
      <c r="AD274" s="446">
        <f>AD601</f>
        <v>0</v>
      </c>
      <c r="AE274" s="454">
        <f>AE601</f>
        <v>0</v>
      </c>
      <c r="AF274" s="455">
        <f>SUM(AB274:AE274)</f>
        <v>0</v>
      </c>
      <c r="AG274" s="1586">
        <f>AG601</f>
        <v>0</v>
      </c>
      <c r="AH274" s="454">
        <f>AH601</f>
        <v>0</v>
      </c>
      <c r="AI274" s="454">
        <f>AI601</f>
        <v>0.42199999999999971</v>
      </c>
      <c r="AJ274" s="454">
        <f>AJ601</f>
        <v>3.617</v>
      </c>
      <c r="AK274" s="455">
        <f>SUM(AG274:AJ274)</f>
        <v>4.0389999999999997</v>
      </c>
      <c r="AL274" s="454">
        <f>AL601</f>
        <v>4.5540000000000003</v>
      </c>
      <c r="AM274" s="454">
        <f>AM601</f>
        <v>5.6790000000000003</v>
      </c>
      <c r="AN274" s="454">
        <f>AN601</f>
        <v>5.6055693712504002</v>
      </c>
      <c r="AO274" s="454">
        <f>AO601</f>
        <v>5.5459527313375894</v>
      </c>
      <c r="AP274" s="455">
        <f>SUM(AL274:AO274)</f>
        <v>21.38452210258799</v>
      </c>
      <c r="AQ274" s="454">
        <f>AQ601</f>
        <v>7.1840886527551184</v>
      </c>
      <c r="AR274" s="454">
        <f>AR601</f>
        <v>5.7802849808353471</v>
      </c>
      <c r="AS274" s="454">
        <f>AS601</f>
        <v>3.1263572105329303</v>
      </c>
      <c r="AT274" s="454">
        <f>AT601</f>
        <v>2.478860920366575</v>
      </c>
      <c r="AU274" s="455">
        <f>SUM(AQ274:AT274)</f>
        <v>18.569591764489971</v>
      </c>
      <c r="AV274" s="454">
        <f>AV601</f>
        <v>2.9713220654749009</v>
      </c>
      <c r="AW274" s="454">
        <f>AW601</f>
        <v>4.1748003686117201</v>
      </c>
      <c r="AX274" s="454">
        <f>AX601</f>
        <v>3.6144362419754081</v>
      </c>
      <c r="AY274" s="1666">
        <f>AY601</f>
        <v>1.4395880081055816</v>
      </c>
      <c r="AZ274" s="1666">
        <f>SUM(AV274:AY274)</f>
        <v>12.20014668416761</v>
      </c>
      <c r="BA274" s="454">
        <f>BA601</f>
        <v>0</v>
      </c>
      <c r="BB274" s="454">
        <f>BB601</f>
        <v>0</v>
      </c>
      <c r="BC274" s="454">
        <f>BC601</f>
        <v>0</v>
      </c>
      <c r="BD274" s="1666">
        <f>BD601</f>
        <v>0</v>
      </c>
      <c r="BE274" s="455">
        <f>SUM(BA274:BD274)</f>
        <v>0</v>
      </c>
      <c r="BF274" s="454">
        <f>BF601</f>
        <v>0</v>
      </c>
      <c r="BG274" s="454">
        <f>BG601</f>
        <v>0</v>
      </c>
      <c r="BH274" s="454">
        <f>BH601</f>
        <v>0</v>
      </c>
      <c r="BI274" s="1666">
        <f>BI601</f>
        <v>0</v>
      </c>
      <c r="BJ274" s="455">
        <f>SUM(BF274:BI274)</f>
        <v>0</v>
      </c>
      <c r="BK274" s="454">
        <f>BK601</f>
        <v>0</v>
      </c>
      <c r="BL274" s="454">
        <f>BL601</f>
        <v>0</v>
      </c>
      <c r="BM274" s="454">
        <f>BM601</f>
        <v>0</v>
      </c>
      <c r="BN274" s="1666">
        <f>BN601</f>
        <v>0</v>
      </c>
      <c r="BO274" s="455">
        <f t="shared" si="592"/>
        <v>0</v>
      </c>
      <c r="BP274" s="454">
        <f>BP601</f>
        <v>0</v>
      </c>
      <c r="BQ274" s="454">
        <f>BQ601</f>
        <v>0</v>
      </c>
      <c r="BR274" s="454">
        <f>BR601</f>
        <v>0</v>
      </c>
      <c r="BS274" s="454">
        <f>BS601</f>
        <v>0</v>
      </c>
      <c r="BT274" s="3066">
        <f t="shared" si="593"/>
        <v>0</v>
      </c>
      <c r="BU274" s="2915">
        <f>BU601</f>
        <v>0</v>
      </c>
      <c r="BV274" s="2915">
        <f>BV601</f>
        <v>0</v>
      </c>
      <c r="BW274" s="2915">
        <f>BW601</f>
        <v>0</v>
      </c>
      <c r="BX274" s="2915">
        <f>BX601</f>
        <v>0</v>
      </c>
      <c r="BY274" s="3066">
        <f t="shared" si="594"/>
        <v>0</v>
      </c>
      <c r="BZ274" s="455">
        <f t="shared" ref="BZ274:CF274" si="619">BZ601</f>
        <v>0</v>
      </c>
      <c r="CA274" s="455">
        <f t="shared" si="619"/>
        <v>0</v>
      </c>
      <c r="CB274" s="455">
        <f t="shared" si="619"/>
        <v>0</v>
      </c>
      <c r="CC274" s="455">
        <f t="shared" si="619"/>
        <v>0</v>
      </c>
      <c r="CD274" s="455">
        <f t="shared" si="619"/>
        <v>0</v>
      </c>
      <c r="CE274" s="455">
        <f t="shared" si="619"/>
        <v>0</v>
      </c>
      <c r="CF274" s="455">
        <f t="shared" si="619"/>
        <v>0</v>
      </c>
      <c r="CG274" s="964"/>
      <c r="CH274" s="964"/>
      <c r="CI274" s="964"/>
      <c r="CJ274" s="964"/>
      <c r="CK274" s="331"/>
      <c r="CL274" s="995" t="str">
        <f>A274</f>
        <v>Hollywood Perryville (MD)</v>
      </c>
      <c r="CM274" s="454">
        <f>G274</f>
        <v>0</v>
      </c>
      <c r="CN274" s="454">
        <f>L274</f>
        <v>0</v>
      </c>
      <c r="CO274" s="454">
        <f>Q274</f>
        <v>0</v>
      </c>
      <c r="CP274" s="454">
        <f>V274</f>
        <v>0</v>
      </c>
      <c r="CQ274" s="454">
        <f>AA274</f>
        <v>0</v>
      </c>
      <c r="CR274" s="454">
        <f>AF274</f>
        <v>0</v>
      </c>
      <c r="CS274" s="454">
        <f>AK274</f>
        <v>4.0389999999999997</v>
      </c>
      <c r="CT274" s="454">
        <f>AP274</f>
        <v>21.38452210258799</v>
      </c>
      <c r="CU274" s="454">
        <f>AU274</f>
        <v>18.569591764489971</v>
      </c>
      <c r="CV274" s="454">
        <f>AZ274</f>
        <v>12.20014668416761</v>
      </c>
      <c r="CW274" s="454">
        <f>BE274</f>
        <v>0</v>
      </c>
      <c r="CX274" s="454">
        <f>BJ274</f>
        <v>0</v>
      </c>
      <c r="CY274" s="454">
        <f>BO274</f>
        <v>0</v>
      </c>
      <c r="CZ274" s="454">
        <f>BT274</f>
        <v>0</v>
      </c>
      <c r="DA274" s="454">
        <f t="shared" ref="DA274:DC275" si="620">BY274</f>
        <v>0</v>
      </c>
      <c r="DB274" s="454">
        <f t="shared" si="620"/>
        <v>0</v>
      </c>
      <c r="DC274" s="1666">
        <f t="shared" si="620"/>
        <v>0</v>
      </c>
      <c r="DD274" s="331"/>
      <c r="DE274" s="331"/>
      <c r="DF274" s="502"/>
      <c r="DG274" s="503"/>
      <c r="DH274" s="2915"/>
      <c r="DI274" s="3213"/>
      <c r="DJ274" s="502"/>
      <c r="DK274" s="503"/>
      <c r="DL274" s="502"/>
      <c r="DM274" s="502"/>
      <c r="DN274" s="502"/>
      <c r="DO274" s="502"/>
      <c r="DP274" s="503"/>
      <c r="DQ274" s="503"/>
      <c r="DR274" s="296"/>
      <c r="DS274" s="296"/>
      <c r="DT274" s="296"/>
    </row>
    <row r="275" spans="1:130" ht="12.6" customHeight="1" outlineLevel="1" x14ac:dyDescent="0.25">
      <c r="A275" s="2605" t="s">
        <v>209</v>
      </c>
      <c r="B275" s="281"/>
      <c r="C275" s="430"/>
      <c r="D275" s="430"/>
      <c r="E275" s="430"/>
      <c r="F275" s="430"/>
      <c r="G275" s="481"/>
      <c r="H275" s="430"/>
      <c r="I275" s="430"/>
      <c r="J275" s="430"/>
      <c r="K275" s="430"/>
      <c r="L275" s="481"/>
      <c r="M275" s="430"/>
      <c r="N275" s="430"/>
      <c r="O275" s="430"/>
      <c r="P275" s="430"/>
      <c r="Q275" s="481"/>
      <c r="R275" s="430"/>
      <c r="S275" s="430"/>
      <c r="T275" s="430"/>
      <c r="U275" s="430"/>
      <c r="V275" s="481"/>
      <c r="W275" s="509"/>
      <c r="X275" s="509"/>
      <c r="Y275" s="509"/>
      <c r="Z275" s="509"/>
      <c r="AA275" s="510"/>
      <c r="AB275" s="509"/>
      <c r="AC275" s="509"/>
      <c r="AD275" s="509"/>
      <c r="AE275" s="430"/>
      <c r="AF275" s="481"/>
      <c r="AG275" s="935"/>
      <c r="AH275" s="430"/>
      <c r="AI275" s="430"/>
      <c r="AJ275" s="430"/>
      <c r="AK275" s="481"/>
      <c r="AL275" s="2080"/>
      <c r="AM275" s="2080"/>
      <c r="AN275" s="2080"/>
      <c r="AO275" s="2080"/>
      <c r="AP275" s="481"/>
      <c r="AQ275" s="2080"/>
      <c r="AR275" s="2080"/>
      <c r="AS275" s="2080"/>
      <c r="AT275" s="2080"/>
      <c r="AU275" s="481"/>
      <c r="AV275" s="2080">
        <f>AV19-(AV265+AV266+AV267+AV296+AV268+AV269+AV270+AV271+AV273+AV274)</f>
        <v>-1.4873007640310902</v>
      </c>
      <c r="AW275" s="2080">
        <f>AW19-(AW265+AW266+AW267+AW296+AW268+AW269+AW270+AW271+AW273+AW274)</f>
        <v>0.64669757240616832</v>
      </c>
      <c r="AX275" s="2080">
        <f>AX19-(AX265+AX266+AX267+AX296+AX268+AX269+AX270+AX271+AX273+AX274)</f>
        <v>-0.1804634094470714</v>
      </c>
      <c r="AY275" s="2080">
        <f>AY19-(AY265+AY266+AY267+AY296+AY268+AY269+AY270+AY271+AY273+AY274)</f>
        <v>1.474055672077057</v>
      </c>
      <c r="AZ275" s="481">
        <f>SUM(AV275:AY275)</f>
        <v>0.45298907100506369</v>
      </c>
      <c r="BA275" s="2672">
        <f>BA19-(BA265+BA266+BA267+BA268+BA269+BA270+BA271+BA273+BA274+BA272)</f>
        <v>3.9188398486329419</v>
      </c>
      <c r="BB275" s="2672">
        <f>BB19-(BB265+BB266+BB267+BB268+BB269+BB270+BB271+BB273+BB274+BB272)</f>
        <v>2.3926968183740058</v>
      </c>
      <c r="BC275" s="2672">
        <f>BC19-(BC265+BC266+BC267+BC268+BC269+BC270+BC271+BC273+BC274+BC272)</f>
        <v>2.4688637134615306</v>
      </c>
      <c r="BD275" s="2672">
        <f>BD19-(BD265+BD266+BD267+BD268+BD269+BD270+BD271+BD273+BD274+BD272)</f>
        <v>1.9161782335350495</v>
      </c>
      <c r="BE275" s="455">
        <f>SUM(BA275:BD275)</f>
        <v>10.696578614003528</v>
      </c>
      <c r="BF275" s="2672">
        <f>BF19-(BF265+BF266+BF267+BF268+BF269+BF270+BF271+BF273+BF274+BF272)</f>
        <v>-0.61537264846266737</v>
      </c>
      <c r="BG275" s="2672">
        <f>BG19-(BG265+BG266+BG267+BG268+BG269+BG270+BG271+BG273+BG274+BG272)</f>
        <v>1.1788313712233673</v>
      </c>
      <c r="BH275" s="2672">
        <f>BH19-(BH265+BH266+BH267+BH268+BH269+BH270+BH271+BH273+BH274+BH272)</f>
        <v>2.4607436337636273</v>
      </c>
      <c r="BI275" s="2672">
        <f>BI19-(BI265+BI266+BI267+BI268+BI269+BI270+BI271+BI273+BI274+BI272)</f>
        <v>1.7415851696642761</v>
      </c>
      <c r="BJ275" s="455">
        <f>SUM(BF275:BI275)</f>
        <v>4.7657875261886034</v>
      </c>
      <c r="BK275" s="2672">
        <f>BK19-(BK265+BK266+BK267+BK268+BK269+BK270+BK271+BK273+BK274+BK272)</f>
        <v>2.0618176661757275</v>
      </c>
      <c r="BL275" s="2672">
        <f>BL19-(BL265+BL266+BL267+BL268+BL269+BL270+BL271+BL273+BL274+BL272)</f>
        <v>-0.77873455541281089</v>
      </c>
      <c r="BM275" s="2672">
        <f>BM19-(BM265+BM266+BM267+BM268+BM269+BM270+BM271+BM273+BM274+BM272)</f>
        <v>1.2563740195219708</v>
      </c>
      <c r="BN275" s="2672">
        <f>BN19-(BN265+BN266+BN267+BN268+BN269+BN270+BN271+BN273+BN274+BN272)</f>
        <v>-0.11175824776535137</v>
      </c>
      <c r="BO275" s="455">
        <f t="shared" si="592"/>
        <v>2.427698882519536</v>
      </c>
      <c r="BP275" s="2672">
        <f>BP19-(BP265+BP266+BP267+BP268+BP269+BP270+BP271+BP273+BP274+BP272)</f>
        <v>0.93680307824534736</v>
      </c>
      <c r="BQ275" s="2672">
        <f>BQ19-(BQ265+BQ266+BQ267+BQ268+BQ269+BQ270+BQ271+BQ273+BQ274+BQ272)</f>
        <v>-0.39985053837071405</v>
      </c>
      <c r="BR275" s="2672">
        <f>BR19-(BR265+BR266+BR267+BR268+BR269+BR270+BR271+BR273+BR274+BR272)</f>
        <v>-5.529002175907749E-2</v>
      </c>
      <c r="BS275" s="2672">
        <f>BS19-(BS265+BS266+BS267+BS268+BS269+BS270+BS271+BS273+BS274+BS272)</f>
        <v>-0.72845008384915388</v>
      </c>
      <c r="BT275" s="2587">
        <f t="shared" si="593"/>
        <v>-0.24678756573359806</v>
      </c>
      <c r="BU275" s="2840"/>
      <c r="BV275" s="2840"/>
      <c r="BW275" s="2840"/>
      <c r="BX275" s="2840"/>
      <c r="BY275" s="2587">
        <f t="shared" si="594"/>
        <v>0</v>
      </c>
      <c r="BZ275" s="481"/>
      <c r="CA275" s="481"/>
      <c r="CB275" s="481"/>
      <c r="CC275" s="481"/>
      <c r="CD275" s="481"/>
      <c r="CE275" s="481"/>
      <c r="CF275" s="481"/>
      <c r="CG275" s="331"/>
      <c r="CH275" s="331"/>
      <c r="CI275" s="331"/>
      <c r="CJ275" s="331"/>
      <c r="CK275" s="331"/>
      <c r="CL275" s="995" t="str">
        <f>A275</f>
        <v xml:space="preserve">Other - East/Midwest </v>
      </c>
      <c r="CM275" s="430">
        <f>G275</f>
        <v>0</v>
      </c>
      <c r="CN275" s="430">
        <f>L275</f>
        <v>0</v>
      </c>
      <c r="CO275" s="430">
        <f>Q275</f>
        <v>0</v>
      </c>
      <c r="CP275" s="430">
        <f>V275</f>
        <v>0</v>
      </c>
      <c r="CQ275" s="430">
        <f>AA275</f>
        <v>0</v>
      </c>
      <c r="CR275" s="430">
        <f>AF275</f>
        <v>0</v>
      </c>
      <c r="CS275" s="430">
        <f>AK275</f>
        <v>0</v>
      </c>
      <c r="CT275" s="430">
        <f>AP275</f>
        <v>0</v>
      </c>
      <c r="CU275" s="430">
        <f>AU275</f>
        <v>0</v>
      </c>
      <c r="CV275" s="430">
        <f>AZ275</f>
        <v>0.45298907100506369</v>
      </c>
      <c r="CW275" s="430">
        <f>BE275</f>
        <v>10.696578614003528</v>
      </c>
      <c r="CX275" s="430">
        <f>BJ275</f>
        <v>4.7657875261886034</v>
      </c>
      <c r="CY275" s="430">
        <f>BO275</f>
        <v>2.427698882519536</v>
      </c>
      <c r="CZ275" s="430">
        <f>BT275</f>
        <v>-0.24678756573359806</v>
      </c>
      <c r="DA275" s="430">
        <f t="shared" si="620"/>
        <v>0</v>
      </c>
      <c r="DB275" s="430">
        <f t="shared" si="620"/>
        <v>0</v>
      </c>
      <c r="DC275" s="853">
        <f t="shared" si="620"/>
        <v>0</v>
      </c>
      <c r="DD275" s="331"/>
      <c r="DE275" s="331"/>
      <c r="DF275" s="502"/>
      <c r="DG275" s="503"/>
      <c r="DH275" s="2840"/>
      <c r="DI275" s="3213"/>
      <c r="DJ275" s="502"/>
      <c r="DK275" s="503"/>
      <c r="DL275" s="502"/>
      <c r="DM275" s="502"/>
      <c r="DN275" s="502"/>
      <c r="DO275" s="502"/>
      <c r="DP275" s="503"/>
      <c r="DQ275" s="503"/>
      <c r="DR275" s="296"/>
      <c r="DS275" s="296"/>
      <c r="DT275" s="296"/>
    </row>
    <row r="276" spans="1:130" s="1050" customFormat="1" ht="3.95" customHeight="1" outlineLevel="1" x14ac:dyDescent="0.25">
      <c r="A276" s="2605"/>
      <c r="B276" s="2575"/>
      <c r="C276" s="2915" t="s">
        <v>2349</v>
      </c>
      <c r="D276" s="2915" t="s">
        <v>2349</v>
      </c>
      <c r="E276" s="2915" t="s">
        <v>2349</v>
      </c>
      <c r="F276" s="2915" t="s">
        <v>2349</v>
      </c>
      <c r="G276" s="3066" t="s">
        <v>2349</v>
      </c>
      <c r="H276" s="2915" t="s">
        <v>2349</v>
      </c>
      <c r="I276" s="2915" t="s">
        <v>2349</v>
      </c>
      <c r="J276" s="2915" t="s">
        <v>2349</v>
      </c>
      <c r="K276" s="2915" t="s">
        <v>2349</v>
      </c>
      <c r="L276" s="3066" t="s">
        <v>2349</v>
      </c>
      <c r="M276" s="2915" t="s">
        <v>2349</v>
      </c>
      <c r="N276" s="2915" t="s">
        <v>2349</v>
      </c>
      <c r="O276" s="2915" t="s">
        <v>2349</v>
      </c>
      <c r="P276" s="2915" t="s">
        <v>2349</v>
      </c>
      <c r="Q276" s="3066" t="s">
        <v>2349</v>
      </c>
      <c r="R276" s="2915" t="s">
        <v>2349</v>
      </c>
      <c r="S276" s="2915" t="s">
        <v>2349</v>
      </c>
      <c r="T276" s="2915" t="s">
        <v>2349</v>
      </c>
      <c r="U276" s="2915" t="s">
        <v>2349</v>
      </c>
      <c r="V276" s="3066" t="s">
        <v>2349</v>
      </c>
      <c r="W276" s="3067" t="s">
        <v>2349</v>
      </c>
      <c r="X276" s="3067" t="s">
        <v>2349</v>
      </c>
      <c r="Y276" s="3067" t="s">
        <v>2349</v>
      </c>
      <c r="Z276" s="3067" t="s">
        <v>2349</v>
      </c>
      <c r="AA276" s="3068" t="s">
        <v>2349</v>
      </c>
      <c r="AB276" s="3067" t="s">
        <v>2349</v>
      </c>
      <c r="AC276" s="3067" t="s">
        <v>2349</v>
      </c>
      <c r="AD276" s="3067" t="s">
        <v>2349</v>
      </c>
      <c r="AE276" s="2915" t="s">
        <v>2349</v>
      </c>
      <c r="AF276" s="3066" t="s">
        <v>2349</v>
      </c>
      <c r="AG276" s="3069" t="s">
        <v>2349</v>
      </c>
      <c r="AH276" s="2915" t="s">
        <v>2349</v>
      </c>
      <c r="AI276" s="2915" t="s">
        <v>2349</v>
      </c>
      <c r="AJ276" s="2915" t="s">
        <v>2349</v>
      </c>
      <c r="AK276" s="3066" t="s">
        <v>2349</v>
      </c>
      <c r="AL276" s="2915" t="s">
        <v>2349</v>
      </c>
      <c r="AM276" s="2915" t="s">
        <v>2349</v>
      </c>
      <c r="AN276" s="2915" t="s">
        <v>2349</v>
      </c>
      <c r="AO276" s="2915" t="s">
        <v>2349</v>
      </c>
      <c r="AP276" s="3066" t="s">
        <v>2349</v>
      </c>
      <c r="AQ276" s="2915" t="s">
        <v>2349</v>
      </c>
      <c r="AR276" s="2915" t="s">
        <v>2349</v>
      </c>
      <c r="AS276" s="2915" t="s">
        <v>2349</v>
      </c>
      <c r="AT276" s="2915" t="s">
        <v>2349</v>
      </c>
      <c r="AU276" s="3066" t="s">
        <v>2349</v>
      </c>
      <c r="AV276" s="2915" t="s">
        <v>2349</v>
      </c>
      <c r="AW276" s="2915" t="s">
        <v>2349</v>
      </c>
      <c r="AX276" s="2915" t="s">
        <v>2349</v>
      </c>
      <c r="AY276" s="2915" t="s">
        <v>2349</v>
      </c>
      <c r="AZ276" s="3066" t="s">
        <v>2349</v>
      </c>
      <c r="BA276" s="2915" t="s">
        <v>2349</v>
      </c>
      <c r="BB276" s="2915" t="s">
        <v>2349</v>
      </c>
      <c r="BC276" s="2915" t="s">
        <v>2349</v>
      </c>
      <c r="BD276" s="2915" t="s">
        <v>2349</v>
      </c>
      <c r="BE276" s="3066" t="s">
        <v>2349</v>
      </c>
      <c r="BF276" s="2915" t="s">
        <v>2349</v>
      </c>
      <c r="BG276" s="2915" t="s">
        <v>2349</v>
      </c>
      <c r="BH276" s="2915" t="s">
        <v>2349</v>
      </c>
      <c r="BI276" s="3070" t="s">
        <v>2349</v>
      </c>
      <c r="BJ276" s="3066" t="s">
        <v>2349</v>
      </c>
      <c r="BK276" s="2915" t="s">
        <v>2349</v>
      </c>
      <c r="BL276" s="2915" t="s">
        <v>2349</v>
      </c>
      <c r="BM276" s="2915" t="s">
        <v>2349</v>
      </c>
      <c r="BN276" s="3070" t="s">
        <v>2349</v>
      </c>
      <c r="BO276" s="3066" t="s">
        <v>2349</v>
      </c>
      <c r="BP276" s="2915" t="s">
        <v>2349</v>
      </c>
      <c r="BQ276" s="2915" t="s">
        <v>2349</v>
      </c>
      <c r="BR276" s="2915" t="s">
        <v>2349</v>
      </c>
      <c r="BS276" s="2915" t="s">
        <v>2349</v>
      </c>
      <c r="BT276" s="3066" t="s">
        <v>2349</v>
      </c>
      <c r="BU276" s="2915" t="s">
        <v>2349</v>
      </c>
      <c r="BV276" s="2915" t="s">
        <v>2349</v>
      </c>
      <c r="BW276" s="2915" t="s">
        <v>2349</v>
      </c>
      <c r="BX276" s="2915" t="s">
        <v>2349</v>
      </c>
      <c r="BY276" s="3066" t="s">
        <v>2349</v>
      </c>
      <c r="BZ276" s="3066" t="s">
        <v>2349</v>
      </c>
      <c r="CA276" s="3066" t="s">
        <v>2349</v>
      </c>
      <c r="CB276" s="3066" t="s">
        <v>2349</v>
      </c>
      <c r="CC276" s="3066" t="s">
        <v>2349</v>
      </c>
      <c r="CD276" s="3066" t="s">
        <v>2349</v>
      </c>
      <c r="CE276" s="3066" t="s">
        <v>2349</v>
      </c>
      <c r="CF276" s="3066" t="s">
        <v>2349</v>
      </c>
      <c r="CG276" s="2601"/>
      <c r="CH276" s="2601"/>
      <c r="CI276" s="2601"/>
      <c r="CJ276" s="2601"/>
      <c r="CK276" s="2601"/>
      <c r="CL276" s="2725"/>
      <c r="CM276" s="2840"/>
      <c r="CN276" s="2840"/>
      <c r="CO276" s="2840"/>
      <c r="CP276" s="2840"/>
      <c r="CQ276" s="2840"/>
      <c r="CR276" s="2840"/>
      <c r="CS276" s="2840"/>
      <c r="CT276" s="2840"/>
      <c r="CU276" s="2840"/>
      <c r="CV276" s="2840"/>
      <c r="CW276" s="2840"/>
      <c r="CX276" s="2840"/>
      <c r="CY276" s="2840"/>
      <c r="CZ276" s="2840"/>
      <c r="DA276" s="2840"/>
      <c r="DB276" s="2840"/>
      <c r="DC276" s="3065"/>
      <c r="DD276" s="2601"/>
      <c r="DE276" s="2601"/>
      <c r="DF276" s="502"/>
      <c r="DG276" s="503"/>
      <c r="DH276" s="2915"/>
      <c r="DI276" s="3213"/>
      <c r="DJ276" s="502"/>
      <c r="DK276" s="503"/>
      <c r="DL276" s="502"/>
      <c r="DM276" s="502"/>
      <c r="DN276" s="502"/>
      <c r="DO276" s="502"/>
      <c r="DP276" s="503"/>
      <c r="DQ276" s="503"/>
      <c r="DR276" s="2859"/>
      <c r="DS276" s="2859"/>
      <c r="DT276" s="2859"/>
      <c r="DU276"/>
      <c r="DV276"/>
      <c r="DW276"/>
      <c r="DX276"/>
      <c r="DY276"/>
      <c r="DZ276"/>
    </row>
    <row r="277" spans="1:130" s="1050" customFormat="1" ht="12.6" customHeight="1" outlineLevel="1" x14ac:dyDescent="0.25">
      <c r="A277" s="3063" t="s">
        <v>2348</v>
      </c>
      <c r="B277" s="2575"/>
      <c r="C277" s="514">
        <f t="shared" ref="C277:AH277" si="621">SUM(C265:C275)</f>
        <v>30.483000000000001</v>
      </c>
      <c r="D277" s="514">
        <f t="shared" si="621"/>
        <v>37.103999999999999</v>
      </c>
      <c r="E277" s="514">
        <f t="shared" si="621"/>
        <v>36.012999999999998</v>
      </c>
      <c r="F277" s="514">
        <f t="shared" si="621"/>
        <v>34.283000000000001</v>
      </c>
      <c r="G277" s="515">
        <f t="shared" si="621"/>
        <v>137.88299999999998</v>
      </c>
      <c r="H277" s="514">
        <f t="shared" si="621"/>
        <v>34.460999999999999</v>
      </c>
      <c r="I277" s="514">
        <f t="shared" si="621"/>
        <v>39.033999999999999</v>
      </c>
      <c r="J277" s="514">
        <f t="shared" si="621"/>
        <v>40.314</v>
      </c>
      <c r="K277" s="514">
        <f t="shared" si="621"/>
        <v>34.655999999999999</v>
      </c>
      <c r="L277" s="515">
        <f t="shared" si="621"/>
        <v>148.46500000000003</v>
      </c>
      <c r="M277" s="514">
        <f t="shared" si="621"/>
        <v>41.328000000000003</v>
      </c>
      <c r="N277" s="514">
        <f t="shared" si="621"/>
        <v>43.305999999999997</v>
      </c>
      <c r="O277" s="514">
        <f t="shared" si="621"/>
        <v>46.079000000000008</v>
      </c>
      <c r="P277" s="514">
        <f t="shared" si="621"/>
        <v>42.902000000000001</v>
      </c>
      <c r="Q277" s="515">
        <f t="shared" si="621"/>
        <v>173.61500000000001</v>
      </c>
      <c r="R277" s="514">
        <f t="shared" si="621"/>
        <v>42.654000000000003</v>
      </c>
      <c r="S277" s="514">
        <f t="shared" si="621"/>
        <v>45.452000000000005</v>
      </c>
      <c r="T277" s="514">
        <f t="shared" si="621"/>
        <v>48.011000000000003</v>
      </c>
      <c r="U277" s="514">
        <f t="shared" si="621"/>
        <v>38.341999999999992</v>
      </c>
      <c r="V277" s="515">
        <f t="shared" si="621"/>
        <v>174.45899999999997</v>
      </c>
      <c r="W277" s="512">
        <f t="shared" si="621"/>
        <v>43.515000000000001</v>
      </c>
      <c r="X277" s="512">
        <f t="shared" si="621"/>
        <v>52.365999999999993</v>
      </c>
      <c r="Y277" s="512">
        <f t="shared" si="621"/>
        <v>55.385000000000005</v>
      </c>
      <c r="Z277" s="512">
        <f t="shared" si="621"/>
        <v>46.957000000000001</v>
      </c>
      <c r="AA277" s="513">
        <f t="shared" si="621"/>
        <v>198.22299999999996</v>
      </c>
      <c r="AB277" s="512">
        <f t="shared" si="621"/>
        <v>52.002000000000002</v>
      </c>
      <c r="AC277" s="512">
        <f t="shared" si="621"/>
        <v>53.580999999999996</v>
      </c>
      <c r="AD277" s="512">
        <f t="shared" si="621"/>
        <v>52.841000000000001</v>
      </c>
      <c r="AE277" s="514">
        <f t="shared" si="621"/>
        <v>45.228000000000002</v>
      </c>
      <c r="AF277" s="515">
        <f t="shared" si="621"/>
        <v>203.65200000000002</v>
      </c>
      <c r="AG277" s="514">
        <f t="shared" si="621"/>
        <v>49.483000000000004</v>
      </c>
      <c r="AH277" s="514">
        <f t="shared" si="621"/>
        <v>56.128</v>
      </c>
      <c r="AI277" s="514">
        <f t="shared" ref="AI277:BN277" si="622">SUM(AI265:AI275)</f>
        <v>74.455000000000013</v>
      </c>
      <c r="AJ277" s="514">
        <f t="shared" si="622"/>
        <v>70.481000000000009</v>
      </c>
      <c r="AK277" s="515">
        <f t="shared" si="622"/>
        <v>250.54699999999997</v>
      </c>
      <c r="AL277" s="514">
        <f t="shared" si="622"/>
        <v>75.939000000000007</v>
      </c>
      <c r="AM277" s="514">
        <f t="shared" si="622"/>
        <v>85.826000000000008</v>
      </c>
      <c r="AN277" s="514">
        <f t="shared" si="622"/>
        <v>88.378700193705768</v>
      </c>
      <c r="AO277" s="514">
        <f t="shared" si="622"/>
        <v>80.806642321328269</v>
      </c>
      <c r="AP277" s="515">
        <f t="shared" si="622"/>
        <v>330.95034251503398</v>
      </c>
      <c r="AQ277" s="514">
        <f t="shared" si="622"/>
        <v>95.121367379362098</v>
      </c>
      <c r="AR277" s="514">
        <f t="shared" si="622"/>
        <v>95.715713025187341</v>
      </c>
      <c r="AS277" s="514">
        <f t="shared" si="622"/>
        <v>98.265905315388821</v>
      </c>
      <c r="AT277" s="514">
        <f t="shared" si="622"/>
        <v>101.90336392921836</v>
      </c>
      <c r="AU277" s="515">
        <f t="shared" si="622"/>
        <v>391.00634964915668</v>
      </c>
      <c r="AV277" s="514">
        <f t="shared" si="622"/>
        <v>111.72480419941198</v>
      </c>
      <c r="AW277" s="514">
        <f t="shared" si="622"/>
        <v>114.42579601912502</v>
      </c>
      <c r="AX277" s="514">
        <f t="shared" si="622"/>
        <v>103.93660346290001</v>
      </c>
      <c r="AY277" s="514">
        <f t="shared" si="622"/>
        <v>95.615190328877006</v>
      </c>
      <c r="AZ277" s="515">
        <f t="shared" si="622"/>
        <v>425.70239401031398</v>
      </c>
      <c r="BA277" s="514">
        <f t="shared" si="622"/>
        <v>90.156999999999996</v>
      </c>
      <c r="BB277" s="514">
        <f t="shared" si="622"/>
        <v>98.382999999999996</v>
      </c>
      <c r="BC277" s="514">
        <f t="shared" si="622"/>
        <v>96.801000000000002</v>
      </c>
      <c r="BD277" s="514">
        <f t="shared" si="622"/>
        <v>100.095</v>
      </c>
      <c r="BE277" s="2566">
        <f t="shared" si="622"/>
        <v>385.43600000000004</v>
      </c>
      <c r="BF277" s="514">
        <f t="shared" si="622"/>
        <v>101.246</v>
      </c>
      <c r="BG277" s="514">
        <f t="shared" si="622"/>
        <v>112.98099999999999</v>
      </c>
      <c r="BH277" s="514">
        <f t="shared" si="622"/>
        <v>124.88</v>
      </c>
      <c r="BI277" s="1590">
        <f t="shared" si="622"/>
        <v>117.492</v>
      </c>
      <c r="BJ277" s="2566">
        <f t="shared" si="622"/>
        <v>456.59899999999999</v>
      </c>
      <c r="BK277" s="514">
        <f t="shared" si="622"/>
        <v>122.73500000000001</v>
      </c>
      <c r="BL277" s="514">
        <f t="shared" si="622"/>
        <v>127.009</v>
      </c>
      <c r="BM277" s="514">
        <f t="shared" si="622"/>
        <v>124.42100000000001</v>
      </c>
      <c r="BN277" s="1590">
        <f t="shared" si="622"/>
        <v>114.905</v>
      </c>
      <c r="BO277" s="2566">
        <f t="shared" ref="BO277:CF277" si="623">SUM(BO265:BO275)</f>
        <v>489.07000000000005</v>
      </c>
      <c r="BP277" s="514">
        <f t="shared" si="623"/>
        <v>126.57399999999998</v>
      </c>
      <c r="BQ277" s="514">
        <f t="shared" si="623"/>
        <v>129.87599999999998</v>
      </c>
      <c r="BR277" s="514">
        <f t="shared" si="623"/>
        <v>127.64400000000001</v>
      </c>
      <c r="BS277" s="514">
        <f t="shared" si="623"/>
        <v>117.17700000000001</v>
      </c>
      <c r="BT277" s="515">
        <f t="shared" ref="BT277:BY277" si="624">SUM(BT265:BT275)</f>
        <v>501.27100000000002</v>
      </c>
      <c r="BU277" s="514">
        <f t="shared" si="624"/>
        <v>129.18681861406606</v>
      </c>
      <c r="BV277" s="514">
        <f t="shared" si="624"/>
        <v>132.4029461219036</v>
      </c>
      <c r="BW277" s="514">
        <f t="shared" si="624"/>
        <v>126.94196691004308</v>
      </c>
      <c r="BX277" s="514">
        <f t="shared" si="624"/>
        <v>117.91383300403146</v>
      </c>
      <c r="BY277" s="515">
        <f t="shared" si="624"/>
        <v>506.44556465004422</v>
      </c>
      <c r="BZ277" s="515">
        <f t="shared" si="623"/>
        <v>508.25319033549584</v>
      </c>
      <c r="CA277" s="515">
        <f t="shared" si="623"/>
        <v>496.40866974238116</v>
      </c>
      <c r="CB277" s="515">
        <f t="shared" si="623"/>
        <v>464.10476489676745</v>
      </c>
      <c r="CC277" s="515">
        <f t="shared" si="623"/>
        <v>436.16380905546959</v>
      </c>
      <c r="CD277" s="515">
        <f t="shared" si="623"/>
        <v>448.43482700392929</v>
      </c>
      <c r="CE277" s="515">
        <f t="shared" si="623"/>
        <v>461.87205592627777</v>
      </c>
      <c r="CF277" s="515">
        <f t="shared" si="623"/>
        <v>473.90430589186627</v>
      </c>
      <c r="CG277" s="2601"/>
      <c r="CH277" s="2601"/>
      <c r="CI277" s="2601"/>
      <c r="CJ277" s="2601"/>
      <c r="CK277" s="2601"/>
      <c r="CL277" s="2725"/>
      <c r="CM277" s="2840"/>
      <c r="CN277" s="2840"/>
      <c r="CO277" s="2840"/>
      <c r="CP277" s="2840"/>
      <c r="CQ277" s="2840"/>
      <c r="CR277" s="2840"/>
      <c r="CS277" s="2840"/>
      <c r="CT277" s="2840"/>
      <c r="CU277" s="2840"/>
      <c r="CV277" s="2840"/>
      <c r="CW277" s="2840"/>
      <c r="CX277" s="2840"/>
      <c r="CY277" s="2840"/>
      <c r="CZ277" s="2840"/>
      <c r="DA277" s="2840"/>
      <c r="DB277" s="2840"/>
      <c r="DC277" s="3065"/>
      <c r="DD277" s="2601"/>
      <c r="DE277" s="2601"/>
      <c r="DF277" s="502"/>
      <c r="DG277" s="503"/>
      <c r="DH277" s="514"/>
      <c r="DI277" s="3213"/>
      <c r="DJ277" s="502"/>
      <c r="DK277" s="503"/>
      <c r="DL277" s="502"/>
      <c r="DM277" s="502"/>
      <c r="DN277" s="502"/>
      <c r="DO277" s="502"/>
      <c r="DP277" s="503"/>
      <c r="DQ277" s="503"/>
      <c r="DR277" s="2859"/>
      <c r="DS277" s="2859"/>
      <c r="DT277" s="2859"/>
      <c r="DU277"/>
      <c r="DV277"/>
      <c r="DW277"/>
      <c r="DX277"/>
      <c r="DY277"/>
      <c r="DZ277"/>
    </row>
    <row r="278" spans="1:130" ht="12.6" customHeight="1" outlineLevel="1" x14ac:dyDescent="0.25">
      <c r="A278" s="392"/>
      <c r="B278" s="281"/>
      <c r="C278" s="430"/>
      <c r="D278" s="430"/>
      <c r="E278" s="430"/>
      <c r="F278" s="430"/>
      <c r="G278" s="481"/>
      <c r="H278" s="430"/>
      <c r="I278" s="430"/>
      <c r="J278" s="430"/>
      <c r="K278" s="430"/>
      <c r="L278" s="481"/>
      <c r="M278" s="430"/>
      <c r="N278" s="430"/>
      <c r="O278" s="430"/>
      <c r="P278" s="430"/>
      <c r="Q278" s="481"/>
      <c r="R278" s="430"/>
      <c r="S278" s="430"/>
      <c r="T278" s="430"/>
      <c r="U278" s="430"/>
      <c r="V278" s="481"/>
      <c r="W278" s="509"/>
      <c r="X278" s="509"/>
      <c r="Y278" s="509"/>
      <c r="Z278" s="509"/>
      <c r="AA278" s="510"/>
      <c r="AB278" s="509"/>
      <c r="AC278" s="509"/>
      <c r="AD278" s="509"/>
      <c r="AE278" s="430"/>
      <c r="AF278" s="481"/>
      <c r="AG278" s="935"/>
      <c r="AH278" s="430"/>
      <c r="AI278" s="430"/>
      <c r="AJ278" s="430"/>
      <c r="AK278" s="481"/>
      <c r="AL278" s="2080"/>
      <c r="AM278" s="2080"/>
      <c r="AN278" s="2080"/>
      <c r="AO278" s="2080"/>
      <c r="AP278" s="481"/>
      <c r="AQ278" s="2080"/>
      <c r="AR278" s="2080"/>
      <c r="AS278" s="2080"/>
      <c r="AT278" s="2080"/>
      <c r="AU278" s="481"/>
      <c r="AV278" s="2080"/>
      <c r="AW278" s="2080"/>
      <c r="AX278" s="2080"/>
      <c r="AY278" s="853"/>
      <c r="AZ278" s="853"/>
      <c r="BA278" s="430"/>
      <c r="BB278" s="430"/>
      <c r="BC278" s="430"/>
      <c r="BD278" s="853"/>
      <c r="BE278" s="481"/>
      <c r="BF278" s="430"/>
      <c r="BG278" s="430"/>
      <c r="BH278" s="430"/>
      <c r="BI278" s="853"/>
      <c r="BJ278" s="481"/>
      <c r="BK278" s="430"/>
      <c r="BL278" s="430"/>
      <c r="BM278" s="430"/>
      <c r="BN278" s="853"/>
      <c r="BO278" s="481"/>
      <c r="BP278" s="430"/>
      <c r="BQ278" s="430"/>
      <c r="BR278" s="430"/>
      <c r="BS278" s="430"/>
      <c r="BT278" s="2587"/>
      <c r="BU278" s="3397"/>
      <c r="BV278" s="2840"/>
      <c r="BW278" s="2840"/>
      <c r="BX278" s="2840"/>
      <c r="BY278" s="2587"/>
      <c r="BZ278" s="481"/>
      <c r="CA278" s="481"/>
      <c r="CB278" s="481"/>
      <c r="CC278" s="481"/>
      <c r="CD278" s="481"/>
      <c r="CE278" s="481"/>
      <c r="CF278" s="481"/>
      <c r="CG278" s="331"/>
      <c r="CH278" s="331"/>
      <c r="CI278" s="331"/>
      <c r="CJ278" s="331"/>
      <c r="CK278" s="331"/>
      <c r="CL278" s="995"/>
      <c r="CM278" s="430"/>
      <c r="CN278" s="430"/>
      <c r="CO278" s="430"/>
      <c r="CP278" s="430"/>
      <c r="CQ278" s="430"/>
      <c r="CR278" s="430"/>
      <c r="CS278" s="430"/>
      <c r="CT278" s="430"/>
      <c r="CU278" s="430"/>
      <c r="CV278" s="430"/>
      <c r="CW278" s="430"/>
      <c r="CX278" s="430"/>
      <c r="CY278" s="430"/>
      <c r="CZ278" s="430"/>
      <c r="DA278" s="430"/>
      <c r="DB278" s="430"/>
      <c r="DC278" s="853"/>
      <c r="DD278" s="331"/>
      <c r="DE278" s="331"/>
      <c r="DF278" s="502"/>
      <c r="DG278" s="503"/>
      <c r="DH278" s="2840"/>
      <c r="DI278" s="3213"/>
      <c r="DJ278" s="502"/>
      <c r="DK278" s="503"/>
      <c r="DL278" s="502"/>
      <c r="DM278" s="502"/>
      <c r="DN278" s="502"/>
      <c r="DO278" s="502"/>
      <c r="DP278" s="503"/>
      <c r="DQ278" s="503"/>
      <c r="DR278" s="296"/>
      <c r="DS278" s="296"/>
      <c r="DT278" s="296"/>
    </row>
    <row r="279" spans="1:130" ht="12" customHeight="1" outlineLevel="1" x14ac:dyDescent="0.25">
      <c r="A279" s="2166" t="s">
        <v>2506</v>
      </c>
      <c r="B279" s="281"/>
      <c r="C279" s="446"/>
      <c r="D279" s="446"/>
      <c r="E279" s="446"/>
      <c r="F279" s="446"/>
      <c r="G279" s="447"/>
      <c r="H279" s="446"/>
      <c r="I279" s="446"/>
      <c r="J279" s="446"/>
      <c r="K279" s="446"/>
      <c r="L279" s="447"/>
      <c r="M279" s="446"/>
      <c r="N279" s="446"/>
      <c r="O279" s="446"/>
      <c r="P279" s="446"/>
      <c r="Q279" s="447"/>
      <c r="R279" s="446"/>
      <c r="S279" s="446"/>
      <c r="T279" s="446"/>
      <c r="U279" s="446"/>
      <c r="V279" s="447"/>
      <c r="W279" s="446"/>
      <c r="X279" s="446"/>
      <c r="Y279" s="446"/>
      <c r="Z279" s="446"/>
      <c r="AA279" s="447"/>
      <c r="AB279" s="446"/>
      <c r="AC279" s="446"/>
      <c r="AD279" s="446"/>
      <c r="AE279" s="454"/>
      <c r="AF279" s="455"/>
      <c r="AG279" s="454"/>
      <c r="AH279" s="454"/>
      <c r="AI279" s="454"/>
      <c r="AJ279" s="454"/>
      <c r="AK279" s="455"/>
      <c r="AL279" s="454"/>
      <c r="AM279" s="454"/>
      <c r="AN279" s="454"/>
      <c r="AO279" s="454"/>
      <c r="AP279" s="455"/>
      <c r="AQ279" s="454"/>
      <c r="AR279" s="454"/>
      <c r="AS279" s="454"/>
      <c r="AT279" s="454"/>
      <c r="AU279" s="455"/>
      <c r="AV279" s="454"/>
      <c r="AW279" s="454"/>
      <c r="AX279" s="454"/>
      <c r="AY279" s="1666"/>
      <c r="AZ279" s="1666"/>
      <c r="BA279" s="454"/>
      <c r="BB279" s="454"/>
      <c r="BC279" s="454"/>
      <c r="BD279" s="1666"/>
      <c r="BE279" s="455"/>
      <c r="BF279" s="454"/>
      <c r="BG279" s="454"/>
      <c r="BH279" s="454"/>
      <c r="BI279" s="1666"/>
      <c r="BJ279" s="455"/>
      <c r="BK279" s="454"/>
      <c r="BL279" s="454"/>
      <c r="BM279" s="454"/>
      <c r="BN279" s="1666"/>
      <c r="BO279" s="455"/>
      <c r="BP279" s="454"/>
      <c r="BQ279" s="454"/>
      <c r="BR279" s="588"/>
      <c r="BS279" s="454"/>
      <c r="BT279" s="3066"/>
      <c r="BU279" s="3391"/>
      <c r="BV279" s="2915"/>
      <c r="BW279" s="2915"/>
      <c r="BX279" s="2915"/>
      <c r="BY279" s="3066"/>
      <c r="BZ279" s="455"/>
      <c r="CA279" s="455"/>
      <c r="CB279" s="455"/>
      <c r="CC279" s="455"/>
      <c r="CD279" s="455"/>
      <c r="CE279" s="455"/>
      <c r="CF279" s="455"/>
      <c r="CG279" s="476"/>
      <c r="CH279" s="476"/>
      <c r="CI279" s="476"/>
      <c r="CJ279" s="476"/>
      <c r="CK279" s="331"/>
      <c r="CL279" s="995" t="str">
        <f t="shared" ref="CL279:CL288" si="625">A279</f>
        <v>South/West</v>
      </c>
      <c r="CM279" s="454"/>
      <c r="CN279" s="454"/>
      <c r="CO279" s="454"/>
      <c r="CP279" s="454"/>
      <c r="CQ279" s="454"/>
      <c r="CR279" s="454"/>
      <c r="CS279" s="454"/>
      <c r="CT279" s="454"/>
      <c r="CU279" s="454"/>
      <c r="CV279" s="454"/>
      <c r="CW279" s="454"/>
      <c r="CX279" s="454"/>
      <c r="CY279" s="454"/>
      <c r="CZ279" s="454"/>
      <c r="DA279" s="454"/>
      <c r="DB279" s="454"/>
      <c r="DC279" s="1666"/>
      <c r="DD279" s="331"/>
      <c r="DE279" s="331"/>
      <c r="DF279" s="502"/>
      <c r="DG279" s="503"/>
      <c r="DH279" s="2915"/>
      <c r="DI279" s="3213"/>
      <c r="DJ279" s="502"/>
      <c r="DK279" s="503"/>
      <c r="DL279" s="502"/>
      <c r="DM279" s="502"/>
      <c r="DN279" s="502"/>
      <c r="DO279" s="502"/>
      <c r="DP279" s="503"/>
      <c r="DQ279" s="503"/>
      <c r="DR279" s="296"/>
      <c r="DS279" s="296"/>
      <c r="DT279" s="296"/>
    </row>
    <row r="280" spans="1:130" ht="12.6" customHeight="1" outlineLevel="1" x14ac:dyDescent="0.25">
      <c r="A280" s="2666" t="s">
        <v>205</v>
      </c>
      <c r="B280" s="281"/>
      <c r="C280" s="446">
        <f>C628</f>
        <v>0</v>
      </c>
      <c r="D280" s="446">
        <f>D628</f>
        <v>0</v>
      </c>
      <c r="E280" s="446">
        <f>E628</f>
        <v>0</v>
      </c>
      <c r="F280" s="446">
        <f>F628</f>
        <v>0</v>
      </c>
      <c r="G280" s="447">
        <f>SUM(C280:F280)</f>
        <v>0</v>
      </c>
      <c r="H280" s="446">
        <f>H628</f>
        <v>0</v>
      </c>
      <c r="I280" s="446">
        <f>I628</f>
        <v>0</v>
      </c>
      <c r="J280" s="446">
        <f>J628</f>
        <v>0</v>
      </c>
      <c r="K280" s="446">
        <f>K628</f>
        <v>0</v>
      </c>
      <c r="L280" s="447">
        <f>SUM(H280:K280)</f>
        <v>0</v>
      </c>
      <c r="M280" s="446">
        <f>M628</f>
        <v>0</v>
      </c>
      <c r="N280" s="446">
        <f>N628</f>
        <v>0</v>
      </c>
      <c r="O280" s="446">
        <f>O628</f>
        <v>0</v>
      </c>
      <c r="P280" s="446">
        <f>P628</f>
        <v>0</v>
      </c>
      <c r="Q280" s="447">
        <f>SUM(M280:P280)</f>
        <v>0</v>
      </c>
      <c r="R280" s="446">
        <f>R628</f>
        <v>0</v>
      </c>
      <c r="S280" s="446">
        <f>S628</f>
        <v>6.49</v>
      </c>
      <c r="T280" s="446">
        <f>T628</f>
        <v>7.3310000000000004</v>
      </c>
      <c r="U280" s="446">
        <f>U628</f>
        <v>6.3819999999999997</v>
      </c>
      <c r="V280" s="447">
        <f>SUM(R280:U280)</f>
        <v>20.203000000000003</v>
      </c>
      <c r="W280" s="446">
        <f>W628</f>
        <v>8.375</v>
      </c>
      <c r="X280" s="446">
        <f>X628</f>
        <v>8.1579999999999995</v>
      </c>
      <c r="Y280" s="446">
        <f>Y628</f>
        <v>8.3520000000000003</v>
      </c>
      <c r="Z280" s="446">
        <f>Z628</f>
        <v>7.5670000000000002</v>
      </c>
      <c r="AA280" s="447">
        <f>SUM(W280:Z280)</f>
        <v>32.451999999999998</v>
      </c>
      <c r="AB280" s="446">
        <f>AB628</f>
        <v>8.3789999999999996</v>
      </c>
      <c r="AC280" s="446">
        <f>AC628</f>
        <v>6.6859999999999999</v>
      </c>
      <c r="AD280" s="446">
        <f>AD628</f>
        <v>5.6340000000000003</v>
      </c>
      <c r="AE280" s="454">
        <f>AE628</f>
        <v>5.6180000000000003</v>
      </c>
      <c r="AF280" s="455">
        <f>SUM(AB280:AE280)</f>
        <v>26.317</v>
      </c>
      <c r="AG280" s="1724">
        <f>AG628</f>
        <v>7.1070000000000002</v>
      </c>
      <c r="AH280" s="454">
        <f>AH628</f>
        <v>6.843</v>
      </c>
      <c r="AI280" s="454">
        <f>AI628</f>
        <v>7.0419999999999998</v>
      </c>
      <c r="AJ280" s="454">
        <f>AJ628</f>
        <v>6.6840000000000002</v>
      </c>
      <c r="AK280" s="455">
        <f>SUM(AG280:AJ280)</f>
        <v>27.675999999999998</v>
      </c>
      <c r="AL280" s="454">
        <f>AL628</f>
        <v>7.782</v>
      </c>
      <c r="AM280" s="454">
        <f>AM628</f>
        <v>7.532</v>
      </c>
      <c r="AN280" s="454">
        <f>AN628</f>
        <v>7.2981806500000008</v>
      </c>
      <c r="AO280" s="454">
        <f>AO628</f>
        <v>6.9392908500000026</v>
      </c>
      <c r="AP280" s="455">
        <f>SUM(AL280:AO280)</f>
        <v>29.551471500000002</v>
      </c>
      <c r="AQ280" s="454">
        <f>AQ628</f>
        <v>7.7041800000000009</v>
      </c>
      <c r="AR280" s="454">
        <f>AR628</f>
        <v>7.4226218499999987</v>
      </c>
      <c r="AS280" s="454">
        <f>AS628</f>
        <v>7.1980360999999995</v>
      </c>
      <c r="AT280" s="454">
        <f>AT628</f>
        <v>6.8428446585000025</v>
      </c>
      <c r="AU280" s="455">
        <f>SUM(AQ280:AT280)</f>
        <v>29.167682608500002</v>
      </c>
      <c r="AV280" s="454">
        <f>AV628</f>
        <v>7.7123504700000005</v>
      </c>
      <c r="AW280" s="454">
        <f>AW628</f>
        <v>7.6569440465000014</v>
      </c>
      <c r="AX280" s="454">
        <f>AX628</f>
        <v>7.5642192775500003</v>
      </c>
      <c r="AY280" s="1666">
        <f>AY628</f>
        <v>7.3665677201550004</v>
      </c>
      <c r="AZ280" s="1666">
        <f>SUM(AV280:AY280)</f>
        <v>30.300081514205001</v>
      </c>
      <c r="BA280" s="454">
        <f>BA628</f>
        <v>8.3514680964000014</v>
      </c>
      <c r="BB280" s="454">
        <f>BB628</f>
        <v>8.2738080056800012</v>
      </c>
      <c r="BC280" s="454">
        <f>BC628</f>
        <v>8.7948639254487002</v>
      </c>
      <c r="BD280" s="1666">
        <f>BD628</f>
        <v>8.6695129076160029</v>
      </c>
      <c r="BE280" s="455">
        <f>SUM(BA280:BD280)</f>
        <v>34.089652935144706</v>
      </c>
      <c r="BF280" s="454">
        <f>BF628</f>
        <v>8.8400611367640014</v>
      </c>
      <c r="BG280" s="454">
        <f>BG628</f>
        <v>8.6256358841856038</v>
      </c>
      <c r="BH280" s="454">
        <f>BH628</f>
        <v>7.9431889293818507</v>
      </c>
      <c r="BI280" s="1666">
        <f>BI628</f>
        <v>6.7574944827924615</v>
      </c>
      <c r="BJ280" s="455">
        <f>SUM(BF280:BI280)</f>
        <v>32.166380433123919</v>
      </c>
      <c r="BK280" s="454">
        <f>BK628</f>
        <v>7.0329946171914024</v>
      </c>
      <c r="BL280" s="454">
        <f>BL628</f>
        <v>6.8798875844571619</v>
      </c>
      <c r="BM280" s="454">
        <f>BM628</f>
        <v>5.6300573828059441</v>
      </c>
      <c r="BN280" s="1666">
        <f>BN628</f>
        <v>4.8671657406918598</v>
      </c>
      <c r="BO280" s="455">
        <f t="shared" ref="BO280:BO288" si="626">SUM(BK280:BN280)</f>
        <v>24.410105325146368</v>
      </c>
      <c r="BP280" s="454">
        <f>BP628</f>
        <v>5.8349292676170226</v>
      </c>
      <c r="BQ280" s="454">
        <f>BQ628</f>
        <v>5.7202900023623204</v>
      </c>
      <c r="BR280" s="454">
        <f>BR628</f>
        <v>5.1068914481409209</v>
      </c>
      <c r="BS280" s="454">
        <f>BS628</f>
        <v>5.0129572946007226</v>
      </c>
      <c r="BT280" s="3066">
        <f t="shared" ref="BT280:BT288" si="627">SUM(BP280:BS280)</f>
        <v>21.675068012720985</v>
      </c>
      <c r="BU280" s="2915">
        <f>BU628</f>
        <v>5.9876494272668257</v>
      </c>
      <c r="BV280" s="2915">
        <f>BV628</f>
        <v>5.8685342928420585</v>
      </c>
      <c r="BW280" s="2915">
        <f>BW628</f>
        <v>5.2857221166292181</v>
      </c>
      <c r="BX280" s="2915">
        <f>BX628</f>
        <v>5.1621491619787108</v>
      </c>
      <c r="BY280" s="3066">
        <f t="shared" ref="BY280:BY288" si="628">SUM(BU280:BX280)</f>
        <v>22.304054998716815</v>
      </c>
      <c r="BZ280" s="455">
        <f t="shared" ref="BZ280:CF280" si="629">BZ628</f>
        <v>23.225117500213642</v>
      </c>
      <c r="CA280" s="455">
        <f t="shared" si="629"/>
        <v>23.457368675215768</v>
      </c>
      <c r="CB280" s="455">
        <f t="shared" si="629"/>
        <v>21.96787763920009</v>
      </c>
      <c r="CC280" s="455">
        <f t="shared" si="629"/>
        <v>20.562359833052845</v>
      </c>
      <c r="CD280" s="455">
        <f t="shared" si="629"/>
        <v>21.122562132944715</v>
      </c>
      <c r="CE280" s="455">
        <f t="shared" si="629"/>
        <v>21.695458029866728</v>
      </c>
      <c r="CF280" s="455">
        <f t="shared" si="629"/>
        <v>22.281316291269825</v>
      </c>
      <c r="CG280" s="588"/>
      <c r="CH280" s="588"/>
      <c r="CI280" s="588"/>
      <c r="CJ280" s="588"/>
      <c r="CK280" s="331"/>
      <c r="CL280" s="1277" t="str">
        <f t="shared" si="625"/>
        <v>Zia Park Casino (NM)</v>
      </c>
      <c r="CM280" s="454">
        <f>G280</f>
        <v>0</v>
      </c>
      <c r="CN280" s="454">
        <f>L280</f>
        <v>0</v>
      </c>
      <c r="CO280" s="454">
        <f>Q280</f>
        <v>0</v>
      </c>
      <c r="CP280" s="454">
        <f>V280</f>
        <v>20.203000000000003</v>
      </c>
      <c r="CQ280" s="454">
        <f>AA280</f>
        <v>32.451999999999998</v>
      </c>
      <c r="CR280" s="454">
        <f>AF280</f>
        <v>26.317</v>
      </c>
      <c r="CS280" s="454">
        <f>AK280</f>
        <v>27.675999999999998</v>
      </c>
      <c r="CT280" s="454">
        <f>AP280</f>
        <v>29.551471500000002</v>
      </c>
      <c r="CU280" s="454">
        <f>AU280</f>
        <v>29.167682608500002</v>
      </c>
      <c r="CV280" s="454">
        <f>AZ280</f>
        <v>30.300081514205001</v>
      </c>
      <c r="CW280" s="454">
        <f>BE280</f>
        <v>34.089652935144706</v>
      </c>
      <c r="CX280" s="454">
        <f>BJ280</f>
        <v>32.166380433123919</v>
      </c>
      <c r="CY280" s="454">
        <f>BO280</f>
        <v>24.410105325146368</v>
      </c>
      <c r="CZ280" s="454">
        <f>BT280</f>
        <v>21.675068012720985</v>
      </c>
      <c r="DA280" s="454">
        <f t="shared" ref="DA280:DC282" si="630">BY280</f>
        <v>22.304054998716815</v>
      </c>
      <c r="DB280" s="454">
        <f t="shared" si="630"/>
        <v>23.225117500213642</v>
      </c>
      <c r="DC280" s="1666">
        <f t="shared" si="630"/>
        <v>23.457368675215768</v>
      </c>
      <c r="DD280" s="331"/>
      <c r="DE280" s="331"/>
      <c r="DF280" s="502"/>
      <c r="DG280" s="503"/>
      <c r="DH280" s="2915"/>
      <c r="DI280" s="3213"/>
      <c r="DJ280" s="502"/>
      <c r="DK280" s="503"/>
      <c r="DL280" s="502"/>
      <c r="DM280" s="502"/>
      <c r="DN280" s="502"/>
      <c r="DO280" s="502"/>
      <c r="DP280" s="503"/>
      <c r="DQ280" s="503"/>
      <c r="DR280" s="296"/>
      <c r="DS280" s="296"/>
      <c r="DT280" s="296"/>
    </row>
    <row r="281" spans="1:130" ht="12.6" customHeight="1" outlineLevel="1" x14ac:dyDescent="0.25">
      <c r="A281" s="392" t="s">
        <v>143</v>
      </c>
      <c r="B281" s="281"/>
      <c r="C281" s="446"/>
      <c r="D281" s="446"/>
      <c r="E281" s="446"/>
      <c r="F281" s="446"/>
      <c r="G281" s="447"/>
      <c r="H281" s="446"/>
      <c r="I281" s="446"/>
      <c r="J281" s="446"/>
      <c r="K281" s="446"/>
      <c r="L281" s="447"/>
      <c r="M281" s="446"/>
      <c r="N281" s="446"/>
      <c r="O281" s="446"/>
      <c r="P281" s="446"/>
      <c r="Q281" s="447"/>
      <c r="R281" s="446"/>
      <c r="S281" s="446"/>
      <c r="T281" s="446"/>
      <c r="U281" s="446"/>
      <c r="V281" s="447"/>
      <c r="W281" s="446"/>
      <c r="X281" s="446"/>
      <c r="Y281" s="446"/>
      <c r="Z281" s="446"/>
      <c r="AA281" s="447"/>
      <c r="AB281" s="446"/>
      <c r="AC281" s="446"/>
      <c r="AD281" s="446"/>
      <c r="AE281" s="454"/>
      <c r="AF281" s="455"/>
      <c r="AG281" s="1586"/>
      <c r="AH281" s="454"/>
      <c r="AI281" s="454"/>
      <c r="AJ281" s="454"/>
      <c r="AK281" s="455"/>
      <c r="AL281" s="1586"/>
      <c r="AM281" s="563">
        <f>1.126+0.957</f>
        <v>2.0829999999999997</v>
      </c>
      <c r="AN281" s="454">
        <f>AN647</f>
        <v>6</v>
      </c>
      <c r="AO281" s="454">
        <f>AO647</f>
        <v>7</v>
      </c>
      <c r="AP281" s="455">
        <f>SUM(AL281:AO281)</f>
        <v>15.083</v>
      </c>
      <c r="AQ281" s="454">
        <f>AQ647</f>
        <v>8.862870000000008</v>
      </c>
      <c r="AR281" s="454">
        <f>AR647</f>
        <v>7.3284400000000005</v>
      </c>
      <c r="AS281" s="454">
        <f>AS647</f>
        <v>6.5699999999999967</v>
      </c>
      <c r="AT281" s="454">
        <f>AT647</f>
        <v>7.7799999999999976</v>
      </c>
      <c r="AU281" s="455">
        <f>SUM(AQ281:AT281)</f>
        <v>30.541310000000003</v>
      </c>
      <c r="AV281" s="456">
        <f>AV647</f>
        <v>9.5750184000000083</v>
      </c>
      <c r="AW281" s="454">
        <f>AW647</f>
        <v>8.5781360000000006</v>
      </c>
      <c r="AX281" s="454">
        <f>AX647</f>
        <v>7.6922999999999959</v>
      </c>
      <c r="AY281" s="1666">
        <f>AY647</f>
        <v>8.5549999999999962</v>
      </c>
      <c r="AZ281" s="455">
        <f>SUM(AV281:AY281)</f>
        <v>34.400454400000001</v>
      </c>
      <c r="BA281" s="456">
        <f>BA647</f>
        <v>10.705071456000013</v>
      </c>
      <c r="BB281" s="454">
        <f>BB647</f>
        <v>9.3834383579999994</v>
      </c>
      <c r="BC281" s="454">
        <f>BC647</f>
        <v>8.0258309999999966</v>
      </c>
      <c r="BD281" s="1666">
        <f>BD647</f>
        <v>10.788929999999997</v>
      </c>
      <c r="BE281" s="455">
        <f>SUM(BA281:BD281)</f>
        <v>38.90327081400001</v>
      </c>
      <c r="BF281" s="454">
        <f>BF647</f>
        <v>12.083685963120011</v>
      </c>
      <c r="BG281" s="454">
        <f>BG647</f>
        <v>11.18250681324</v>
      </c>
      <c r="BH281" s="454">
        <f>BH647</f>
        <v>9.606818429999997</v>
      </c>
      <c r="BI281" s="1666">
        <f>BI647</f>
        <v>11.348840999999997</v>
      </c>
      <c r="BJ281" s="455">
        <f>SUM(BF281:BI281)</f>
        <v>44.221852206359998</v>
      </c>
      <c r="BK281" s="454">
        <f>BK647</f>
        <v>13.016807950233613</v>
      </c>
      <c r="BL281" s="454">
        <f>BL647</f>
        <v>11.7035997491868</v>
      </c>
      <c r="BM281" s="454">
        <f>BM647</f>
        <v>10.026363807899997</v>
      </c>
      <c r="BN281" s="1666">
        <f>BN647</f>
        <v>11.301461429999996</v>
      </c>
      <c r="BO281" s="455">
        <f t="shared" si="626"/>
        <v>46.048232937320407</v>
      </c>
      <c r="BP281" s="454">
        <f>BP647</f>
        <v>13.2910554103115</v>
      </c>
      <c r="BQ281" s="454">
        <f>BQ647</f>
        <v>11.970844360518083</v>
      </c>
      <c r="BR281" s="454">
        <f>BR647</f>
        <v>10.261251791604</v>
      </c>
      <c r="BS281" s="454">
        <f>BS647</f>
        <v>11.555769585149999</v>
      </c>
      <c r="BT281" s="3066">
        <f t="shared" si="627"/>
        <v>47.078921147583586</v>
      </c>
      <c r="BU281" s="2915">
        <f>BU647</f>
        <v>13.846476073474587</v>
      </c>
      <c r="BV281" s="2915">
        <f>BV647</f>
        <v>12.66314021845427</v>
      </c>
      <c r="BW281" s="2915">
        <f>BW647</f>
        <v>11.007666696848577</v>
      </c>
      <c r="BX281" s="2915">
        <f>BX647</f>
        <v>12.212885002515751</v>
      </c>
      <c r="BY281" s="3066">
        <f t="shared" si="628"/>
        <v>49.730167991293186</v>
      </c>
      <c r="BZ281" s="455">
        <f t="shared" ref="BZ281:CF281" si="631">BZ647</f>
        <v>53.067984189946841</v>
      </c>
      <c r="CA281" s="455">
        <f t="shared" si="631"/>
        <v>51.924684322749769</v>
      </c>
      <c r="CB281" s="455">
        <f t="shared" si="631"/>
        <v>47.018984374874194</v>
      </c>
      <c r="CC281" s="455">
        <f t="shared" si="631"/>
        <v>42.427853396344545</v>
      </c>
      <c r="CD281" s="455">
        <f t="shared" si="631"/>
        <v>44.362898617767613</v>
      </c>
      <c r="CE281" s="455">
        <f t="shared" si="631"/>
        <v>46.347509625154103</v>
      </c>
      <c r="CF281" s="455">
        <f t="shared" si="631"/>
        <v>48.382786383038635</v>
      </c>
      <c r="CG281" s="1395"/>
      <c r="CH281" s="1395"/>
      <c r="CI281" s="1395"/>
      <c r="CJ281" s="1395"/>
      <c r="CK281" s="331"/>
      <c r="CL281" s="1277" t="str">
        <f t="shared" si="625"/>
        <v>M Resort (NV)</v>
      </c>
      <c r="CM281" s="454">
        <f>G281</f>
        <v>0</v>
      </c>
      <c r="CN281" s="454">
        <f>L281</f>
        <v>0</v>
      </c>
      <c r="CO281" s="454">
        <f>Q281</f>
        <v>0</v>
      </c>
      <c r="CP281" s="454">
        <f>V281</f>
        <v>0</v>
      </c>
      <c r="CQ281" s="454">
        <f>AA281</f>
        <v>0</v>
      </c>
      <c r="CR281" s="454">
        <f>AF281</f>
        <v>0</v>
      </c>
      <c r="CS281" s="454">
        <f>AK281</f>
        <v>0</v>
      </c>
      <c r="CT281" s="454">
        <f>AP281</f>
        <v>15.083</v>
      </c>
      <c r="CU281" s="454">
        <f>AU281</f>
        <v>30.541310000000003</v>
      </c>
      <c r="CV281" s="454">
        <f>AZ281</f>
        <v>34.400454400000001</v>
      </c>
      <c r="CW281" s="454">
        <f>BE281</f>
        <v>38.90327081400001</v>
      </c>
      <c r="CX281" s="454">
        <f>BJ281</f>
        <v>44.221852206359998</v>
      </c>
      <c r="CY281" s="454">
        <f>BO281</f>
        <v>46.048232937320407</v>
      </c>
      <c r="CZ281" s="454">
        <f>BT281</f>
        <v>47.078921147583586</v>
      </c>
      <c r="DA281" s="454">
        <f t="shared" si="630"/>
        <v>49.730167991293186</v>
      </c>
      <c r="DB281" s="454">
        <f t="shared" si="630"/>
        <v>53.067984189946841</v>
      </c>
      <c r="DC281" s="1666">
        <f t="shared" si="630"/>
        <v>51.924684322749769</v>
      </c>
      <c r="DD281" s="331"/>
      <c r="DE281" s="331"/>
      <c r="DF281" s="502"/>
      <c r="DG281" s="503"/>
      <c r="DH281" s="2915"/>
      <c r="DI281" s="3213"/>
      <c r="DJ281" s="502"/>
      <c r="DK281" s="503"/>
      <c r="DL281" s="502"/>
      <c r="DM281" s="502"/>
      <c r="DN281" s="502"/>
      <c r="DO281" s="502"/>
      <c r="DP281" s="503"/>
      <c r="DQ281" s="503"/>
      <c r="DR281" s="296"/>
      <c r="DS281" s="296"/>
      <c r="DT281" s="296"/>
    </row>
    <row r="282" spans="1:130" ht="12.6" customHeight="1" outlineLevel="1" x14ac:dyDescent="0.25">
      <c r="A282" s="2605" t="s">
        <v>212</v>
      </c>
      <c r="B282" s="281"/>
      <c r="C282" s="430"/>
      <c r="D282" s="430"/>
      <c r="E282" s="430"/>
      <c r="F282" s="430"/>
      <c r="G282" s="481"/>
      <c r="H282" s="430"/>
      <c r="I282" s="430"/>
      <c r="J282" s="430"/>
      <c r="K282" s="430"/>
      <c r="L282" s="481"/>
      <c r="M282" s="430"/>
      <c r="N282" s="430"/>
      <c r="O282" s="430"/>
      <c r="P282" s="430"/>
      <c r="Q282" s="481"/>
      <c r="R282" s="430"/>
      <c r="S282" s="430"/>
      <c r="T282" s="430"/>
      <c r="U282" s="430"/>
      <c r="V282" s="481"/>
      <c r="W282" s="509"/>
      <c r="X282" s="509"/>
      <c r="Y282" s="509"/>
      <c r="Z282" s="509"/>
      <c r="AA282" s="510"/>
      <c r="AB282" s="509"/>
      <c r="AC282" s="509"/>
      <c r="AD282" s="509"/>
      <c r="AE282" s="430"/>
      <c r="AF282" s="481"/>
      <c r="AG282" s="935"/>
      <c r="AH282" s="430"/>
      <c r="AI282" s="430"/>
      <c r="AJ282" s="430"/>
      <c r="AK282" s="481"/>
      <c r="AL282" s="2080"/>
      <c r="AM282" s="2080"/>
      <c r="AN282" s="2080"/>
      <c r="AO282" s="2080"/>
      <c r="AP282" s="481"/>
      <c r="AQ282" s="2080"/>
      <c r="AR282" s="2080"/>
      <c r="AS282" s="2080"/>
      <c r="AT282" s="2080"/>
      <c r="AU282" s="481"/>
      <c r="AV282" s="2080"/>
      <c r="AW282" s="2080"/>
      <c r="AX282" s="2080"/>
      <c r="AY282" s="2580"/>
      <c r="AZ282" s="853"/>
      <c r="BA282" s="2082"/>
      <c r="BB282" s="2082"/>
      <c r="BC282" s="2082"/>
      <c r="BD282" s="2082"/>
      <c r="BE282" s="481"/>
      <c r="BF282" s="2082"/>
      <c r="BG282" s="2082"/>
      <c r="BH282" s="2082"/>
      <c r="BI282" s="2082"/>
      <c r="BJ282" s="481"/>
      <c r="BK282" s="2840">
        <f>+BK232</f>
        <v>0</v>
      </c>
      <c r="BL282" s="2840">
        <f>+BL232</f>
        <v>0</v>
      </c>
      <c r="BM282" s="2840">
        <f>+BM232</f>
        <v>0</v>
      </c>
      <c r="BN282" s="2840">
        <f>BN1222</f>
        <v>-0.38639840000000003</v>
      </c>
      <c r="BO282" s="455">
        <f t="shared" si="626"/>
        <v>-0.38639840000000003</v>
      </c>
      <c r="BP282" s="2840">
        <f>BP1222</f>
        <v>-0.5428202999999987</v>
      </c>
      <c r="BQ282" s="2840">
        <f>BQ1222</f>
        <v>0.30003724000000043</v>
      </c>
      <c r="BR282" s="2840">
        <f>BR1222</f>
        <v>0.30514438000000071</v>
      </c>
      <c r="BS282" s="2840">
        <f>BS1222</f>
        <v>-0.50536749999999964</v>
      </c>
      <c r="BT282" s="2587">
        <f t="shared" si="627"/>
        <v>-0.4430061799999972</v>
      </c>
      <c r="BU282" s="2840">
        <f t="shared" ref="BU282:CA282" si="632">BU1222</f>
        <v>-0.39151810799999931</v>
      </c>
      <c r="BV282" s="2840">
        <f t="shared" si="632"/>
        <v>0.21344082530434885</v>
      </c>
      <c r="BW282" s="2840">
        <f t="shared" si="632"/>
        <v>0</v>
      </c>
      <c r="BX282" s="2840">
        <f t="shared" si="632"/>
        <v>0</v>
      </c>
      <c r="BY282" s="2587">
        <f t="shared" si="628"/>
        <v>-0.17807728269565046</v>
      </c>
      <c r="BZ282" s="2587">
        <f t="shared" si="632"/>
        <v>0</v>
      </c>
      <c r="CA282" s="2587">
        <f t="shared" si="632"/>
        <v>0</v>
      </c>
      <c r="CB282" s="2587">
        <f>+CB232</f>
        <v>0</v>
      </c>
      <c r="CC282" s="2587">
        <f>+CC232</f>
        <v>0</v>
      </c>
      <c r="CD282" s="2587">
        <f>+CD232</f>
        <v>0</v>
      </c>
      <c r="CE282" s="2587">
        <f>+CE232</f>
        <v>0</v>
      </c>
      <c r="CF282" s="2587">
        <f>+CF232</f>
        <v>0</v>
      </c>
      <c r="CG282" s="331"/>
      <c r="CH282" s="331"/>
      <c r="CI282" s="331"/>
      <c r="CJ282" s="331"/>
      <c r="CK282" s="331"/>
      <c r="CL282" s="1277" t="str">
        <f t="shared" si="625"/>
        <v>Jamul mgmt contract</v>
      </c>
      <c r="CM282" s="454">
        <f>G282</f>
        <v>0</v>
      </c>
      <c r="CN282" s="454">
        <f>L282</f>
        <v>0</v>
      </c>
      <c r="CO282" s="454">
        <f>Q282</f>
        <v>0</v>
      </c>
      <c r="CP282" s="454">
        <f>V282</f>
        <v>0</v>
      </c>
      <c r="CQ282" s="454">
        <f>AA282</f>
        <v>0</v>
      </c>
      <c r="CR282" s="454">
        <f>AF282</f>
        <v>0</v>
      </c>
      <c r="CS282" s="454">
        <f>AK282</f>
        <v>0</v>
      </c>
      <c r="CT282" s="454">
        <f>AP282</f>
        <v>0</v>
      </c>
      <c r="CU282" s="454">
        <f>AU282</f>
        <v>0</v>
      </c>
      <c r="CV282" s="454">
        <f>AZ282</f>
        <v>0</v>
      </c>
      <c r="CW282" s="454">
        <f>BE282</f>
        <v>0</v>
      </c>
      <c r="CX282" s="454">
        <f>BJ282</f>
        <v>0</v>
      </c>
      <c r="CY282" s="454">
        <f>BO282</f>
        <v>-0.38639840000000003</v>
      </c>
      <c r="CZ282" s="454">
        <f>BT282</f>
        <v>-0.4430061799999972</v>
      </c>
      <c r="DA282" s="454">
        <f t="shared" si="630"/>
        <v>-0.17807728269565046</v>
      </c>
      <c r="DB282" s="454">
        <f t="shared" si="630"/>
        <v>0</v>
      </c>
      <c r="DC282" s="1666">
        <f t="shared" si="630"/>
        <v>0</v>
      </c>
      <c r="DD282" s="331"/>
      <c r="DE282" s="331"/>
      <c r="DF282" s="502"/>
      <c r="DG282" s="503"/>
      <c r="DH282" s="2840"/>
      <c r="DI282" s="3213"/>
      <c r="DJ282" s="502"/>
      <c r="DK282" s="503"/>
      <c r="DL282" s="502"/>
      <c r="DM282" s="502"/>
      <c r="DN282" s="502"/>
      <c r="DO282" s="502"/>
      <c r="DP282" s="503"/>
      <c r="DQ282" s="503"/>
      <c r="DR282" s="296"/>
      <c r="DS282" s="296"/>
      <c r="DT282" s="296"/>
    </row>
    <row r="283" spans="1:130" ht="12.6" customHeight="1" outlineLevel="1" x14ac:dyDescent="0.25">
      <c r="A283" s="2605" t="s">
        <v>2372</v>
      </c>
      <c r="B283" s="281"/>
      <c r="C283" s="430"/>
      <c r="D283" s="430"/>
      <c r="E283" s="430"/>
      <c r="F283" s="430"/>
      <c r="G283" s="481"/>
      <c r="H283" s="430"/>
      <c r="I283" s="430"/>
      <c r="J283" s="430"/>
      <c r="K283" s="430"/>
      <c r="L283" s="481"/>
      <c r="M283" s="430"/>
      <c r="N283" s="430"/>
      <c r="O283" s="430"/>
      <c r="P283" s="430"/>
      <c r="Q283" s="481"/>
      <c r="R283" s="430"/>
      <c r="S283" s="430"/>
      <c r="T283" s="430"/>
      <c r="U283" s="430"/>
      <c r="V283" s="481"/>
      <c r="W283" s="509"/>
      <c r="X283" s="509"/>
      <c r="Y283" s="509"/>
      <c r="Z283" s="509"/>
      <c r="AA283" s="510"/>
      <c r="AB283" s="509"/>
      <c r="AC283" s="509"/>
      <c r="AD283" s="509"/>
      <c r="AE283" s="430"/>
      <c r="AF283" s="481"/>
      <c r="AG283" s="935"/>
      <c r="AH283" s="430"/>
      <c r="AI283" s="430"/>
      <c r="AJ283" s="430"/>
      <c r="AK283" s="481"/>
      <c r="AL283" s="2080"/>
      <c r="AM283" s="2080"/>
      <c r="AN283" s="2080"/>
      <c r="AO283" s="2080"/>
      <c r="AP283" s="481"/>
      <c r="AQ283" s="2080"/>
      <c r="AR283" s="2080"/>
      <c r="AS283" s="2080"/>
      <c r="AT283" s="2080"/>
      <c r="AU283" s="481"/>
      <c r="AV283" s="2080"/>
      <c r="AW283" s="2080"/>
      <c r="AX283" s="2080"/>
      <c r="AY283" s="3098"/>
      <c r="AZ283" s="853"/>
      <c r="BA283" s="2082"/>
      <c r="BB283" s="2082"/>
      <c r="BC283" s="2082"/>
      <c r="BD283" s="2082"/>
      <c r="BE283" s="481"/>
      <c r="BF283" s="2082"/>
      <c r="BG283" s="2082"/>
      <c r="BH283" s="2840">
        <f>BH695*(37/92)</f>
        <v>-0.28101716504802615</v>
      </c>
      <c r="BI283" s="2840">
        <f>BI695</f>
        <v>0.92513410105288685</v>
      </c>
      <c r="BJ283" s="455">
        <f>SUM(BF283:BI283)</f>
        <v>0.64411693600486064</v>
      </c>
      <c r="BK283" s="2840">
        <f>BK695</f>
        <v>2.0063245000000016</v>
      </c>
      <c r="BL283" s="2840">
        <f>BL695</f>
        <v>7.0424766000000005</v>
      </c>
      <c r="BM283" s="2840">
        <f>BM695</f>
        <v>2.0379069750000021</v>
      </c>
      <c r="BN283" s="2840">
        <f>BN695</f>
        <v>2.9788651880000074</v>
      </c>
      <c r="BO283" s="455">
        <f t="shared" si="626"/>
        <v>14.065573263000012</v>
      </c>
      <c r="BP283" s="2840">
        <f>BP695</f>
        <v>4.8378971524999983</v>
      </c>
      <c r="BQ283" s="2840">
        <f>BQ695</f>
        <v>4.0068934237500002</v>
      </c>
      <c r="BR283" s="2840">
        <f>BR695</f>
        <v>4.8831906262499984</v>
      </c>
      <c r="BS283" s="2840">
        <f>BS695</f>
        <v>3.6124369028800025</v>
      </c>
      <c r="BT283" s="2587">
        <f t="shared" si="627"/>
        <v>17.34041810538</v>
      </c>
      <c r="BU283" s="2840">
        <f t="shared" ref="BU283:CF283" si="633">BU695</f>
        <v>5.3096233006999967</v>
      </c>
      <c r="BV283" s="2840">
        <f t="shared" si="633"/>
        <v>5.7259719099874893</v>
      </c>
      <c r="BW283" s="2840">
        <f t="shared" si="633"/>
        <v>6.9584422211625068</v>
      </c>
      <c r="BX283" s="2840">
        <f t="shared" si="633"/>
        <v>5.5221881855400063</v>
      </c>
      <c r="BY283" s="2587">
        <f t="shared" si="628"/>
        <v>23.516225617389999</v>
      </c>
      <c r="BZ283" s="2587">
        <f t="shared" si="633"/>
        <v>25.937688690710047</v>
      </c>
      <c r="CA283" s="2587">
        <f t="shared" si="633"/>
        <v>28.488213838535245</v>
      </c>
      <c r="CB283" s="2587">
        <f t="shared" si="633"/>
        <v>24.399156282001996</v>
      </c>
      <c r="CC283" s="2587">
        <f t="shared" si="633"/>
        <v>20.528889815154031</v>
      </c>
      <c r="CD283" s="2587">
        <f t="shared" si="633"/>
        <v>21.708375239477789</v>
      </c>
      <c r="CE283" s="2587">
        <f t="shared" si="633"/>
        <v>22.90158644363845</v>
      </c>
      <c r="CF283" s="2587">
        <f t="shared" si="633"/>
        <v>24.108484718698634</v>
      </c>
      <c r="CG283" s="331"/>
      <c r="CH283" s="331"/>
      <c r="CI283" s="331"/>
      <c r="CJ283" s="331"/>
      <c r="CK283" s="331"/>
      <c r="CL283" s="1277" t="str">
        <f t="shared" si="625"/>
        <v>Tropicana</v>
      </c>
      <c r="CM283" s="454"/>
      <c r="CN283" s="454"/>
      <c r="CO283" s="454"/>
      <c r="CP283" s="454"/>
      <c r="CQ283" s="454"/>
      <c r="CR283" s="454"/>
      <c r="CS283" s="454"/>
      <c r="CT283" s="454"/>
      <c r="CU283" s="454"/>
      <c r="CV283" s="454"/>
      <c r="CW283" s="454"/>
      <c r="CX283" s="454"/>
      <c r="CY283" s="454"/>
      <c r="CZ283" s="454"/>
      <c r="DA283" s="454"/>
      <c r="DB283" s="454"/>
      <c r="DC283" s="1666"/>
      <c r="DD283" s="331"/>
      <c r="DE283" s="331"/>
      <c r="DF283" s="502"/>
      <c r="DG283" s="503"/>
      <c r="DH283" s="2840"/>
      <c r="DI283" s="3213"/>
      <c r="DJ283" s="502"/>
      <c r="DK283" s="503"/>
      <c r="DL283" s="502"/>
      <c r="DM283" s="502"/>
      <c r="DN283" s="502"/>
      <c r="DO283" s="502"/>
      <c r="DP283" s="503"/>
      <c r="DQ283" s="503"/>
      <c r="DR283" s="296"/>
      <c r="DS283" s="296"/>
      <c r="DT283" s="296"/>
    </row>
    <row r="284" spans="1:130" ht="12.6" customHeight="1" outlineLevel="1" x14ac:dyDescent="0.25">
      <c r="A284" s="391" t="s">
        <v>616</v>
      </c>
      <c r="B284" s="281"/>
      <c r="C284" s="446">
        <f>C717</f>
        <v>7.0209999999999999</v>
      </c>
      <c r="D284" s="446">
        <f>D717</f>
        <v>6.7729999999999997</v>
      </c>
      <c r="E284" s="446">
        <f>E717</f>
        <v>6.9640000000000004</v>
      </c>
      <c r="F284" s="446">
        <f>F717</f>
        <v>5.117</v>
      </c>
      <c r="G284" s="447">
        <f>SUM(C284:F284)</f>
        <v>25.875000000000004</v>
      </c>
      <c r="H284" s="446">
        <f>H717</f>
        <v>6.1859999999999999</v>
      </c>
      <c r="I284" s="446">
        <f>I717</f>
        <v>6.95</v>
      </c>
      <c r="J284" s="446">
        <f>J717</f>
        <v>7.3460000000000001</v>
      </c>
      <c r="K284" s="446">
        <f>K717</f>
        <v>7.423</v>
      </c>
      <c r="L284" s="447">
        <f>SUM(H284:K284)</f>
        <v>27.905000000000001</v>
      </c>
      <c r="M284" s="446">
        <f>M717</f>
        <v>7.9260000000000002</v>
      </c>
      <c r="N284" s="446">
        <f>N717</f>
        <v>6.9740000000000002</v>
      </c>
      <c r="O284" s="446">
        <f>O717</f>
        <v>6.5970000000000004</v>
      </c>
      <c r="P284" s="446">
        <f>P717</f>
        <v>5.3949999999999996</v>
      </c>
      <c r="Q284" s="447">
        <f>SUM(M284:P284)</f>
        <v>26.891999999999999</v>
      </c>
      <c r="R284" s="446">
        <f>R717</f>
        <v>6.8079999999999998</v>
      </c>
      <c r="S284" s="446">
        <f>S717</f>
        <v>6.2169999999999996</v>
      </c>
      <c r="T284" s="446">
        <f>T717</f>
        <v>7.5469999999999997</v>
      </c>
      <c r="U284" s="446">
        <f>U717</f>
        <v>6.5759999999999996</v>
      </c>
      <c r="V284" s="447">
        <f>SUM(R284:U284)</f>
        <v>27.148</v>
      </c>
      <c r="W284" s="446">
        <f>W717</f>
        <v>6.3529999999999998</v>
      </c>
      <c r="X284" s="446">
        <f>X717</f>
        <v>5.5019999999999998</v>
      </c>
      <c r="Y284" s="446">
        <f>Y717</f>
        <v>5.5069999999999997</v>
      </c>
      <c r="Z284" s="446">
        <f>Z717</f>
        <v>4.0279999999999996</v>
      </c>
      <c r="AA284" s="447">
        <f>SUM(W284:Z284)</f>
        <v>21.39</v>
      </c>
      <c r="AB284" s="446">
        <f>AB717</f>
        <v>6.4610000000000003</v>
      </c>
      <c r="AC284" s="446">
        <f>AC717</f>
        <v>5.7089999999999996</v>
      </c>
      <c r="AD284" s="446">
        <f>AD717</f>
        <v>5.8</v>
      </c>
      <c r="AE284" s="454">
        <f>AE717</f>
        <v>3.2949999999999999</v>
      </c>
      <c r="AF284" s="455">
        <f>SUM(AB284:AE284)</f>
        <v>21.265000000000001</v>
      </c>
      <c r="AG284" s="1724">
        <f>AG717</f>
        <v>6.6340000000000003</v>
      </c>
      <c r="AH284" s="454">
        <f>AH717</f>
        <v>5.7839999999999998</v>
      </c>
      <c r="AI284" s="454">
        <f>AI717</f>
        <v>5.4009999999999998</v>
      </c>
      <c r="AJ284" s="454">
        <f>AJ717</f>
        <v>4.5540000000000003</v>
      </c>
      <c r="AK284" s="455">
        <f>SUM(AG284:AJ284)</f>
        <v>22.372999999999998</v>
      </c>
      <c r="AL284" s="454">
        <f>AL717</f>
        <v>6.09</v>
      </c>
      <c r="AM284" s="454">
        <f>AM717</f>
        <v>3.67</v>
      </c>
      <c r="AN284" s="454">
        <f>AN717</f>
        <v>4.8609000000000009</v>
      </c>
      <c r="AO284" s="454">
        <f>AO717</f>
        <v>2.6675000000000022</v>
      </c>
      <c r="AP284" s="456">
        <f>SUM(AL284:AO284)</f>
        <v>17.288400000000003</v>
      </c>
      <c r="AQ284" s="456">
        <f>AQ717</f>
        <v>6.09</v>
      </c>
      <c r="AR284" s="454">
        <f>AR717</f>
        <v>3.7734000000000023</v>
      </c>
      <c r="AS284" s="454">
        <f>AS717</f>
        <v>3.3661170000000009</v>
      </c>
      <c r="AT284" s="454">
        <f>AT717</f>
        <v>1.3989800000000034</v>
      </c>
      <c r="AU284" s="455">
        <f>SUM(AQ284:AT284)</f>
        <v>14.628497000000007</v>
      </c>
      <c r="AV284" s="454">
        <f>AV717</f>
        <v>4.9414499999999979</v>
      </c>
      <c r="AW284" s="454">
        <f>AW717</f>
        <v>2.9506060000000023</v>
      </c>
      <c r="AX284" s="454">
        <f>AX717</f>
        <v>2.29183263</v>
      </c>
      <c r="AY284" s="1666">
        <f>AY717</f>
        <v>1.4678477000000036</v>
      </c>
      <c r="AZ284" s="1666">
        <f>SUM(AV284:AY284)</f>
        <v>11.651736330000004</v>
      </c>
      <c r="BA284" s="454">
        <f>BA717</f>
        <v>5.374133999999998</v>
      </c>
      <c r="BB284" s="454">
        <f>BB717</f>
        <v>3.4891710200000023</v>
      </c>
      <c r="BC284" s="454">
        <f>BC717</f>
        <v>3.0304289429999987</v>
      </c>
      <c r="BD284" s="1666">
        <f>BD717</f>
        <v>2.1920599800000033</v>
      </c>
      <c r="BE284" s="455">
        <f>SUM(BA284:BD284)</f>
        <v>14.085793943000002</v>
      </c>
      <c r="BF284" s="454">
        <f>BF717</f>
        <v>5.947913632499997</v>
      </c>
      <c r="BG284" s="454">
        <f>BG717</f>
        <v>4.2353016502000038</v>
      </c>
      <c r="BH284" s="454">
        <f>BH717</f>
        <v>3.8079758888100006</v>
      </c>
      <c r="BI284" s="1666">
        <f>BI717</f>
        <v>2.3611760370000034</v>
      </c>
      <c r="BJ284" s="455">
        <f>SUM(BF284:BI284)</f>
        <v>16.352367208510003</v>
      </c>
      <c r="BK284" s="454">
        <f>BK717</f>
        <v>5.5403243547749987</v>
      </c>
      <c r="BL284" s="454">
        <f>BL717</f>
        <v>4.1650418377020042</v>
      </c>
      <c r="BM284" s="454">
        <f>BM717</f>
        <v>3.727742227104601</v>
      </c>
      <c r="BN284" s="1666">
        <f>BN717</f>
        <v>2.384787797370004</v>
      </c>
      <c r="BO284" s="455">
        <f t="shared" si="626"/>
        <v>15.817896216951608</v>
      </c>
      <c r="BP284" s="454">
        <f>BP717</f>
        <v>4.4191410441412504</v>
      </c>
      <c r="BQ284" s="454">
        <f>BQ717</f>
        <v>3.1742122260318038</v>
      </c>
      <c r="BR284" s="454">
        <f>BR717</f>
        <v>2.751569559367292</v>
      </c>
      <c r="BS284" s="454">
        <f>BS717</f>
        <v>1.5828957595935034</v>
      </c>
      <c r="BT284" s="3066">
        <f t="shared" si="627"/>
        <v>11.92781858913385</v>
      </c>
      <c r="BU284" s="2915">
        <f>BU717</f>
        <v>4.2478151220232867</v>
      </c>
      <c r="BV284" s="2915">
        <f>BV717</f>
        <v>3.260515263942624</v>
      </c>
      <c r="BW284" s="2915">
        <f>BW717</f>
        <v>2.8364081072385172</v>
      </c>
      <c r="BX284" s="2915">
        <f>BX717</f>
        <v>1.6522489767031914</v>
      </c>
      <c r="BY284" s="3066">
        <f t="shared" si="628"/>
        <v>11.996987469907619</v>
      </c>
      <c r="BZ284" s="455">
        <f t="shared" ref="BZ284:CF284" si="634">BZ717</f>
        <v>12.218718250620668</v>
      </c>
      <c r="CA284" s="455">
        <f t="shared" si="634"/>
        <v>11.777473997001692</v>
      </c>
      <c r="CB284" s="455">
        <f t="shared" si="634"/>
        <v>10.297286904841279</v>
      </c>
      <c r="CC284" s="455">
        <f t="shared" si="634"/>
        <v>8.9178485690582008</v>
      </c>
      <c r="CD284" s="455">
        <f t="shared" si="634"/>
        <v>9.5155239258517597</v>
      </c>
      <c r="CE284" s="455">
        <f t="shared" si="634"/>
        <v>10.12934597363531</v>
      </c>
      <c r="CF284" s="455">
        <f t="shared" si="634"/>
        <v>10.7596795780672</v>
      </c>
      <c r="CG284" s="588"/>
      <c r="CH284" s="588"/>
      <c r="CI284" s="588"/>
      <c r="CJ284" s="588"/>
      <c r="CK284" s="331"/>
      <c r="CL284" s="1277" t="str">
        <f t="shared" si="625"/>
        <v>Hollywood Tunica (MS)</v>
      </c>
      <c r="CM284" s="454">
        <f>G284</f>
        <v>25.875000000000004</v>
      </c>
      <c r="CN284" s="454">
        <f>L284</f>
        <v>27.905000000000001</v>
      </c>
      <c r="CO284" s="454">
        <f>Q284</f>
        <v>26.891999999999999</v>
      </c>
      <c r="CP284" s="454">
        <f>V284</f>
        <v>27.148</v>
      </c>
      <c r="CQ284" s="454">
        <f>AA284</f>
        <v>21.39</v>
      </c>
      <c r="CR284" s="454">
        <f>AF284</f>
        <v>21.265000000000001</v>
      </c>
      <c r="CS284" s="454">
        <f>AK284</f>
        <v>22.372999999999998</v>
      </c>
      <c r="CT284" s="454">
        <f>AP284</f>
        <v>17.288400000000003</v>
      </c>
      <c r="CU284" s="454">
        <f>AU284</f>
        <v>14.628497000000007</v>
      </c>
      <c r="CV284" s="454">
        <f>AZ284</f>
        <v>11.651736330000004</v>
      </c>
      <c r="CW284" s="454">
        <f>BE284</f>
        <v>14.085793943000002</v>
      </c>
      <c r="CX284" s="454">
        <f>BJ284</f>
        <v>16.352367208510003</v>
      </c>
      <c r="CY284" s="454">
        <f>BO284</f>
        <v>15.817896216951608</v>
      </c>
      <c r="CZ284" s="454">
        <f>BT284</f>
        <v>11.92781858913385</v>
      </c>
      <c r="DA284" s="454">
        <f t="shared" ref="DA284:DC288" si="635">BY284</f>
        <v>11.996987469907619</v>
      </c>
      <c r="DB284" s="454">
        <f t="shared" si="635"/>
        <v>12.218718250620668</v>
      </c>
      <c r="DC284" s="1666">
        <f t="shared" si="635"/>
        <v>11.777473997001692</v>
      </c>
      <c r="DD284" s="331"/>
      <c r="DE284" s="331"/>
      <c r="DF284" s="502"/>
      <c r="DG284" s="503"/>
      <c r="DH284" s="2915"/>
      <c r="DI284" s="3213"/>
      <c r="DJ284" s="502"/>
      <c r="DK284" s="503"/>
      <c r="DL284" s="502"/>
      <c r="DM284" s="502"/>
      <c r="DN284" s="502"/>
      <c r="DO284" s="502"/>
      <c r="DP284" s="503"/>
      <c r="DQ284" s="503"/>
      <c r="DR284" s="296"/>
      <c r="DS284" s="296"/>
      <c r="DT284" s="296"/>
    </row>
    <row r="285" spans="1:130" ht="12.6" customHeight="1" outlineLevel="1" x14ac:dyDescent="0.25">
      <c r="A285" s="2666" t="s">
        <v>2569</v>
      </c>
      <c r="B285" s="281"/>
      <c r="C285" s="446"/>
      <c r="D285" s="446"/>
      <c r="E285" s="446"/>
      <c r="F285" s="446"/>
      <c r="G285" s="447"/>
      <c r="H285" s="446"/>
      <c r="I285" s="446"/>
      <c r="J285" s="446"/>
      <c r="K285" s="446"/>
      <c r="L285" s="447"/>
      <c r="M285" s="446"/>
      <c r="N285" s="446"/>
      <c r="O285" s="446"/>
      <c r="P285" s="446"/>
      <c r="Q285" s="447"/>
      <c r="R285" s="446"/>
      <c r="S285" s="446"/>
      <c r="T285" s="446"/>
      <c r="U285" s="446"/>
      <c r="V285" s="447"/>
      <c r="W285" s="446"/>
      <c r="X285" s="446"/>
      <c r="Y285" s="446"/>
      <c r="Z285" s="446"/>
      <c r="AA285" s="447"/>
      <c r="AB285" s="446"/>
      <c r="AC285" s="446"/>
      <c r="AD285" s="446"/>
      <c r="AE285" s="454"/>
      <c r="AF285" s="455"/>
      <c r="AG285" s="1724"/>
      <c r="AH285" s="454"/>
      <c r="AI285" s="454"/>
      <c r="AJ285" s="454"/>
      <c r="AK285" s="455"/>
      <c r="AL285" s="454"/>
      <c r="AM285" s="454"/>
      <c r="AN285" s="454"/>
      <c r="AO285" s="454"/>
      <c r="AP285" s="456"/>
      <c r="AQ285" s="456"/>
      <c r="AR285" s="454"/>
      <c r="AS285" s="454"/>
      <c r="AT285" s="454"/>
      <c r="AU285" s="455"/>
      <c r="AV285" s="454"/>
      <c r="AW285" s="454"/>
      <c r="AX285" s="454"/>
      <c r="AY285" s="1666"/>
      <c r="AZ285" s="1666"/>
      <c r="BA285" s="454"/>
      <c r="BB285" s="454"/>
      <c r="BC285" s="454"/>
      <c r="BD285" s="1666"/>
      <c r="BE285" s="455"/>
      <c r="BF285" s="454"/>
      <c r="BG285" s="454"/>
      <c r="BH285" s="454"/>
      <c r="BI285" s="1666"/>
      <c r="BJ285" s="455"/>
      <c r="BK285" s="454"/>
      <c r="BL285" s="454"/>
      <c r="BM285" s="454"/>
      <c r="BN285" s="1666"/>
      <c r="BO285" s="455"/>
      <c r="BP285" s="454"/>
      <c r="BQ285" s="3320">
        <f>+BQ736*(2/3)</f>
        <v>3.2948358191714471</v>
      </c>
      <c r="BR285" s="454">
        <f>+BR736</f>
        <v>4.6449231566910427</v>
      </c>
      <c r="BS285" s="454">
        <f>+BS736</f>
        <v>3.1977292358266389</v>
      </c>
      <c r="BT285" s="3066">
        <f t="shared" si="627"/>
        <v>11.137488211689128</v>
      </c>
      <c r="BU285" s="2915">
        <f t="shared" ref="BU285:CA285" si="636">+BU736</f>
        <v>7.239835281370592</v>
      </c>
      <c r="BV285" s="2915">
        <f t="shared" si="636"/>
        <v>5.1498215842349264</v>
      </c>
      <c r="BW285" s="2915">
        <f t="shared" si="636"/>
        <v>4.8547856394363755</v>
      </c>
      <c r="BX285" s="2915">
        <f t="shared" si="636"/>
        <v>3.3967897957867201</v>
      </c>
      <c r="BY285" s="3066">
        <f t="shared" si="628"/>
        <v>20.641232300828616</v>
      </c>
      <c r="BZ285" s="455">
        <f t="shared" si="636"/>
        <v>22.096106499117823</v>
      </c>
      <c r="CA285" s="455">
        <f t="shared" si="636"/>
        <v>21.528705561785031</v>
      </c>
      <c r="CB285" s="455"/>
      <c r="CC285" s="455"/>
      <c r="CD285" s="455"/>
      <c r="CE285" s="455"/>
      <c r="CF285" s="455"/>
      <c r="CG285" s="588"/>
      <c r="CH285" s="588"/>
      <c r="CI285" s="588"/>
      <c r="CJ285" s="588"/>
      <c r="CK285" s="331"/>
      <c r="CL285" s="1277" t="str">
        <f t="shared" si="625"/>
        <v>Ballys / Resorts Tunica (MS)</v>
      </c>
      <c r="CM285" s="454"/>
      <c r="CN285" s="454"/>
      <c r="CO285" s="454"/>
      <c r="CP285" s="454"/>
      <c r="CQ285" s="454"/>
      <c r="CR285" s="454"/>
      <c r="CS285" s="454"/>
      <c r="CT285" s="454"/>
      <c r="CU285" s="454"/>
      <c r="CV285" s="454"/>
      <c r="CW285" s="454"/>
      <c r="CX285" s="454"/>
      <c r="CY285" s="454"/>
      <c r="CZ285" s="454"/>
      <c r="DA285" s="454"/>
      <c r="DB285" s="454"/>
      <c r="DC285" s="1666"/>
      <c r="DD285" s="331"/>
      <c r="DE285" s="331"/>
      <c r="DF285" s="502"/>
      <c r="DG285" s="503"/>
      <c r="DH285" s="2915"/>
      <c r="DI285" s="3213"/>
      <c r="DJ285" s="502"/>
      <c r="DK285" s="503"/>
      <c r="DL285" s="502"/>
      <c r="DM285" s="502"/>
      <c r="DN285" s="502"/>
      <c r="DO285" s="502"/>
      <c r="DP285" s="503"/>
      <c r="DQ285" s="503"/>
      <c r="DR285" s="296"/>
      <c r="DS285" s="296"/>
      <c r="DT285" s="296"/>
    </row>
    <row r="286" spans="1:130" ht="12.6" customHeight="1" outlineLevel="1" x14ac:dyDescent="0.25">
      <c r="A286" s="392" t="s">
        <v>615</v>
      </c>
      <c r="B286" s="281"/>
      <c r="C286" s="446">
        <f>C755</f>
        <v>6.5730000000000004</v>
      </c>
      <c r="D286" s="446">
        <f>D755</f>
        <v>5.9470000000000001</v>
      </c>
      <c r="E286" s="446">
        <f>E755</f>
        <v>4.1769999999999996</v>
      </c>
      <c r="F286" s="446">
        <f>F755</f>
        <v>4.0220000000000002</v>
      </c>
      <c r="G286" s="447">
        <f>SUM(C286:F286)</f>
        <v>20.719000000000001</v>
      </c>
      <c r="H286" s="446">
        <f>H755</f>
        <v>5.7169999999999996</v>
      </c>
      <c r="I286" s="446">
        <f>I755</f>
        <v>5.375</v>
      </c>
      <c r="J286" s="446">
        <f>J755</f>
        <v>3.0110000000000001</v>
      </c>
      <c r="K286" s="446">
        <f>K755</f>
        <v>0</v>
      </c>
      <c r="L286" s="447">
        <f>SUM(H286:K286)</f>
        <v>14.102999999999998</v>
      </c>
      <c r="M286" s="446">
        <f>M755</f>
        <v>0</v>
      </c>
      <c r="N286" s="446">
        <f>N755</f>
        <v>0</v>
      </c>
      <c r="O286" s="446">
        <f>O755</f>
        <v>3.1560000000000001</v>
      </c>
      <c r="P286" s="446">
        <f>P755</f>
        <v>2.6139999999999999</v>
      </c>
      <c r="Q286" s="447">
        <f>SUM(M286:P286)</f>
        <v>5.77</v>
      </c>
      <c r="R286" s="446">
        <f>R755</f>
        <v>4.4260000000000002</v>
      </c>
      <c r="S286" s="446">
        <f>S755</f>
        <v>5.2220000000000004</v>
      </c>
      <c r="T286" s="446">
        <f>T755</f>
        <v>4.6260000000000003</v>
      </c>
      <c r="U286" s="446">
        <f>U755</f>
        <v>3.68</v>
      </c>
      <c r="V286" s="447">
        <f>SUM(R286:U286)</f>
        <v>17.954000000000001</v>
      </c>
      <c r="W286" s="446">
        <f>W755</f>
        <v>5.4390000000000001</v>
      </c>
      <c r="X286" s="446">
        <f>X755</f>
        <v>5.7610000000000001</v>
      </c>
      <c r="Y286" s="446">
        <f>Y755</f>
        <v>5.2859999999999996</v>
      </c>
      <c r="Z286" s="446">
        <f>Z755</f>
        <v>5.1790000000000003</v>
      </c>
      <c r="AA286" s="447">
        <f>SUM(W286:Z286)</f>
        <v>21.664999999999999</v>
      </c>
      <c r="AB286" s="446">
        <f>AB755</f>
        <v>6.133</v>
      </c>
      <c r="AC286" s="446">
        <f>AC755</f>
        <v>5.952</v>
      </c>
      <c r="AD286" s="446">
        <f>AD755</f>
        <v>4.7530000000000001</v>
      </c>
      <c r="AE286" s="454">
        <f>AE755</f>
        <v>2.754</v>
      </c>
      <c r="AF286" s="455">
        <f>SUM(AB286:AE286)</f>
        <v>19.592000000000002</v>
      </c>
      <c r="AG286" s="1724">
        <f>AG755</f>
        <v>4.0449999999999999</v>
      </c>
      <c r="AH286" s="454">
        <f>AH755</f>
        <v>4.3819999999999997</v>
      </c>
      <c r="AI286" s="454">
        <f>AI755</f>
        <v>5.3659999999999997</v>
      </c>
      <c r="AJ286" s="454">
        <f>AJ755</f>
        <v>4.3220000000000001</v>
      </c>
      <c r="AK286" s="455">
        <f>SUM(AG286:AJ286)</f>
        <v>18.114999999999998</v>
      </c>
      <c r="AL286" s="454">
        <f>AL755</f>
        <v>5.6260000000000003</v>
      </c>
      <c r="AM286" s="454">
        <f>AM755</f>
        <v>5.3840000000000003</v>
      </c>
      <c r="AN286" s="454">
        <f>AN755</f>
        <v>4.307579999999998</v>
      </c>
      <c r="AO286" s="454">
        <f>AO755</f>
        <v>3.3581799999999973</v>
      </c>
      <c r="AP286" s="456">
        <f>SUM(AL286:AO286)</f>
        <v>18.675759999999997</v>
      </c>
      <c r="AQ286" s="456">
        <f>AQ755</f>
        <v>6.2734000000000023</v>
      </c>
      <c r="AR286" s="454">
        <f>AR755</f>
        <v>5.6012800000000009</v>
      </c>
      <c r="AS286" s="454">
        <f>AS755</f>
        <v>5.1354749999999996</v>
      </c>
      <c r="AT286" s="454">
        <f>AT755</f>
        <v>2.3884689999999971</v>
      </c>
      <c r="AU286" s="455">
        <f>SUM(AQ286:AT286)</f>
        <v>19.398624000000002</v>
      </c>
      <c r="AV286" s="454">
        <f>AV755</f>
        <v>4.9020060000000001</v>
      </c>
      <c r="AW286" s="454">
        <f>AW755</f>
        <v>4.7412480000000006</v>
      </c>
      <c r="AX286" s="454">
        <f>AX755</f>
        <v>3.7808367000000018</v>
      </c>
      <c r="AY286" s="1666">
        <f>AY755</f>
        <v>2.613651039999997</v>
      </c>
      <c r="AZ286" s="1666">
        <f>SUM(AV286:AY286)</f>
        <v>16.037741740000001</v>
      </c>
      <c r="BA286" s="454">
        <f>BA755</f>
        <v>5.2231745999999966</v>
      </c>
      <c r="BB286" s="454">
        <f>BB755</f>
        <v>4.8585853439999998</v>
      </c>
      <c r="BC286" s="454">
        <f>BC755</f>
        <v>4.5545275260000011</v>
      </c>
      <c r="BD286" s="1666">
        <f>BD755</f>
        <v>3.2135660007999949</v>
      </c>
      <c r="BE286" s="455">
        <f>SUM(BA286:BD286)</f>
        <v>17.849853470799992</v>
      </c>
      <c r="BF286" s="454">
        <f>BF755</f>
        <v>5.8801311959999936</v>
      </c>
      <c r="BG286" s="454">
        <f>BG755</f>
        <v>5.7157756646400006</v>
      </c>
      <c r="BH286" s="454">
        <f>BH755</f>
        <v>5.4325046658599998</v>
      </c>
      <c r="BI286" s="1666">
        <f>BI755</f>
        <v>3.739163811991995</v>
      </c>
      <c r="BJ286" s="455">
        <f>SUM(BF286:BI286)</f>
        <v>20.767575338491987</v>
      </c>
      <c r="BK286" s="454">
        <f>BK755</f>
        <v>5.8213298840399936</v>
      </c>
      <c r="BL286" s="454">
        <f>BL755</f>
        <v>5.6449043806463983</v>
      </c>
      <c r="BM286" s="454">
        <f>BM755</f>
        <v>5.355028000623598</v>
      </c>
      <c r="BN286" s="1666">
        <f>BN755</f>
        <v>3.6440937507019129</v>
      </c>
      <c r="BO286" s="455">
        <f t="shared" si="626"/>
        <v>20.465356016011903</v>
      </c>
      <c r="BP286" s="454">
        <f>BP755</f>
        <v>6.1330960721843955</v>
      </c>
      <c r="BQ286" s="454">
        <f>BQ755</f>
        <v>5.9625326673584649</v>
      </c>
      <c r="BR286" s="454">
        <f>BR755</f>
        <v>5.8654417990347696</v>
      </c>
      <c r="BS286" s="454">
        <f>BS755</f>
        <v>2.9419070421362221</v>
      </c>
      <c r="BT286" s="3066">
        <f t="shared" si="627"/>
        <v>20.902977580713852</v>
      </c>
      <c r="BU286" s="2915">
        <f>BU755</f>
        <v>6.0995838330616792</v>
      </c>
      <c r="BV286" s="2915">
        <f>BV755</f>
        <v>6.2458962452262465</v>
      </c>
      <c r="BW286" s="2915">
        <f>BW755</f>
        <v>6.1530634790276473</v>
      </c>
      <c r="BX286" s="2915">
        <f>BX755</f>
        <v>3.8609858133165211</v>
      </c>
      <c r="BY286" s="3066">
        <f t="shared" si="628"/>
        <v>22.359529370632092</v>
      </c>
      <c r="BZ286" s="455">
        <f t="shared" ref="BZ286:CF286" si="637">BZ755</f>
        <v>23.366499642113617</v>
      </c>
      <c r="CA286" s="455">
        <f t="shared" si="637"/>
        <v>22.846860906856072</v>
      </c>
      <c r="CB286" s="455">
        <f t="shared" si="637"/>
        <v>20.654847616293026</v>
      </c>
      <c r="CC286" s="455">
        <f t="shared" si="637"/>
        <v>18.603925097614734</v>
      </c>
      <c r="CD286" s="455">
        <f t="shared" si="637"/>
        <v>19.469820966430888</v>
      </c>
      <c r="CE286" s="455">
        <f t="shared" si="637"/>
        <v>20.357972926292007</v>
      </c>
      <c r="CF286" s="455">
        <f t="shared" si="637"/>
        <v>21.268875480755675</v>
      </c>
      <c r="CG286" s="588"/>
      <c r="CH286" s="588"/>
      <c r="CI286" s="588"/>
      <c r="CJ286" s="588"/>
      <c r="CK286" s="331"/>
      <c r="CL286" s="995" t="str">
        <f t="shared" si="625"/>
        <v>Hollywood Bay St. Louis (MS)</v>
      </c>
      <c r="CM286" s="454">
        <f>G286</f>
        <v>20.719000000000001</v>
      </c>
      <c r="CN286" s="454">
        <f>L286</f>
        <v>14.102999999999998</v>
      </c>
      <c r="CO286" s="454">
        <f>Q286</f>
        <v>5.77</v>
      </c>
      <c r="CP286" s="454">
        <f>V286</f>
        <v>17.954000000000001</v>
      </c>
      <c r="CQ286" s="454">
        <f>AA286</f>
        <v>21.664999999999999</v>
      </c>
      <c r="CR286" s="454">
        <f>AF286</f>
        <v>19.592000000000002</v>
      </c>
      <c r="CS286" s="454">
        <f>AK286</f>
        <v>18.114999999999998</v>
      </c>
      <c r="CT286" s="454">
        <f>AP286</f>
        <v>18.675759999999997</v>
      </c>
      <c r="CU286" s="454">
        <f>AU286</f>
        <v>19.398624000000002</v>
      </c>
      <c r="CV286" s="454">
        <f>AZ286</f>
        <v>16.037741740000001</v>
      </c>
      <c r="CW286" s="454">
        <f>BE286</f>
        <v>17.849853470799992</v>
      </c>
      <c r="CX286" s="454">
        <f>BJ286</f>
        <v>20.767575338491987</v>
      </c>
      <c r="CY286" s="454">
        <f>BO286</f>
        <v>20.465356016011903</v>
      </c>
      <c r="CZ286" s="454">
        <f>BT286</f>
        <v>20.902977580713852</v>
      </c>
      <c r="DA286" s="454">
        <f t="shared" si="635"/>
        <v>22.359529370632092</v>
      </c>
      <c r="DB286" s="454">
        <f t="shared" si="635"/>
        <v>23.366499642113617</v>
      </c>
      <c r="DC286" s="1666">
        <f t="shared" si="635"/>
        <v>22.846860906856072</v>
      </c>
      <c r="DD286" s="331"/>
      <c r="DE286" s="331"/>
      <c r="DF286" s="502"/>
      <c r="DG286" s="503"/>
      <c r="DH286" s="2915"/>
      <c r="DI286" s="3213"/>
      <c r="DJ286" s="502"/>
      <c r="DK286" s="503"/>
      <c r="DL286" s="502"/>
      <c r="DM286" s="502"/>
      <c r="DN286" s="502"/>
      <c r="DO286" s="502"/>
      <c r="DP286" s="503"/>
      <c r="DQ286" s="503"/>
      <c r="DR286" s="296"/>
      <c r="DS286" s="296"/>
      <c r="DT286" s="296"/>
    </row>
    <row r="287" spans="1:130" ht="12.6" customHeight="1" outlineLevel="1" x14ac:dyDescent="0.25">
      <c r="A287" s="391" t="s">
        <v>1453</v>
      </c>
      <c r="B287" s="281"/>
      <c r="C287" s="446">
        <f>C774</f>
        <v>4.8949999999999996</v>
      </c>
      <c r="D287" s="446">
        <f>D774</f>
        <v>3.8319999999999999</v>
      </c>
      <c r="E287" s="446">
        <f>E774</f>
        <v>3.3610000000000002</v>
      </c>
      <c r="F287" s="446">
        <f>F774</f>
        <v>3.8140000000000001</v>
      </c>
      <c r="G287" s="447">
        <f>SUM(C287:F287)</f>
        <v>15.902000000000001</v>
      </c>
      <c r="H287" s="446">
        <f>H774</f>
        <v>4.819</v>
      </c>
      <c r="I287" s="446">
        <f>I774</f>
        <v>3.7949999999999999</v>
      </c>
      <c r="J287" s="446">
        <f>J774</f>
        <v>2.355</v>
      </c>
      <c r="K287" s="446">
        <f>K774</f>
        <v>-0.122</v>
      </c>
      <c r="L287" s="447">
        <f>SUM(H287:K287)</f>
        <v>10.847000000000001</v>
      </c>
      <c r="M287" s="446">
        <f>M774</f>
        <v>0</v>
      </c>
      <c r="N287" s="446">
        <f>N774</f>
        <v>0.26200000000000001</v>
      </c>
      <c r="O287" s="446">
        <f>O774</f>
        <v>12.456</v>
      </c>
      <c r="P287" s="446">
        <f>P774</f>
        <v>5.6909999999999998</v>
      </c>
      <c r="Q287" s="447">
        <f>SUM(M287:P287)</f>
        <v>18.408999999999999</v>
      </c>
      <c r="R287" s="446">
        <f>R774</f>
        <v>8.0820000000000007</v>
      </c>
      <c r="S287" s="446">
        <f>S774</f>
        <v>7.2649999999999997</v>
      </c>
      <c r="T287" s="446">
        <f>T774</f>
        <v>5.0490000000000004</v>
      </c>
      <c r="U287" s="446">
        <f>U774</f>
        <v>3.6389999999999998</v>
      </c>
      <c r="V287" s="447">
        <f>SUM(R287:U287)</f>
        <v>24.035</v>
      </c>
      <c r="W287" s="446">
        <f>W774</f>
        <v>6.8150000000000004</v>
      </c>
      <c r="X287" s="446">
        <f>X774</f>
        <v>5.1239999999999997</v>
      </c>
      <c r="Y287" s="446">
        <f>Y774</f>
        <v>4.593</v>
      </c>
      <c r="Z287" s="446">
        <f>Z774</f>
        <v>4.5309999999999997</v>
      </c>
      <c r="AA287" s="447">
        <f>SUM(W287:Z287)</f>
        <v>21.062999999999999</v>
      </c>
      <c r="AB287" s="446">
        <f>AB774</f>
        <v>6.7489999999999997</v>
      </c>
      <c r="AC287" s="446">
        <f>AC774</f>
        <v>4.79</v>
      </c>
      <c r="AD287" s="446">
        <f>AD774</f>
        <v>4.7270000000000003</v>
      </c>
      <c r="AE287" s="454">
        <f>AE774</f>
        <v>3.56</v>
      </c>
      <c r="AF287" s="455">
        <f>SUM(AB287:AE287)</f>
        <v>19.825999999999997</v>
      </c>
      <c r="AG287" s="1724">
        <f>AG774</f>
        <v>5.2149999999999999</v>
      </c>
      <c r="AH287" s="454">
        <f>AH774</f>
        <v>4.0590000000000002</v>
      </c>
      <c r="AI287" s="454">
        <f>AI774</f>
        <v>4.5140000000000002</v>
      </c>
      <c r="AJ287" s="454">
        <f>AJ774</f>
        <v>3.9209999999999998</v>
      </c>
      <c r="AK287" s="455">
        <f>SUM(AG287:AJ287)</f>
        <v>17.709</v>
      </c>
      <c r="AL287" s="454">
        <f>AL774</f>
        <v>5.7430000000000003</v>
      </c>
      <c r="AM287" s="454">
        <f>AM774</f>
        <v>4.6929999999999996</v>
      </c>
      <c r="AN287" s="454">
        <f>AN774</f>
        <v>4.7429099999999984</v>
      </c>
      <c r="AO287" s="454">
        <f>AO774</f>
        <v>3.1843499999999985</v>
      </c>
      <c r="AP287" s="456">
        <f>SUM(AL287:AO287)</f>
        <v>18.363259999999997</v>
      </c>
      <c r="AQ287" s="456">
        <f>AQ774</f>
        <v>4.8003499999999999</v>
      </c>
      <c r="AR287" s="454">
        <f>AR774</f>
        <v>4.2525200000000005</v>
      </c>
      <c r="AS287" s="454">
        <f>AS774</f>
        <v>3.0781826999999975</v>
      </c>
      <c r="AT287" s="454">
        <f>AT774</f>
        <v>1.7955269999999999</v>
      </c>
      <c r="AU287" s="455">
        <f>SUM(AQ287:AT287)</f>
        <v>13.926579699999998</v>
      </c>
      <c r="AV287" s="454">
        <f>AV774</f>
        <v>2.3215387499999984</v>
      </c>
      <c r="AW287" s="454">
        <f>AW774</f>
        <v>2.8364488000000012</v>
      </c>
      <c r="AX287" s="454">
        <f>AX774</f>
        <v>1.7680472459999983</v>
      </c>
      <c r="AY287" s="1666">
        <f>AY774</f>
        <v>1.5387175800000001</v>
      </c>
      <c r="AZ287" s="1666">
        <f>SUM(AV287:AY287)</f>
        <v>8.4647523759999981</v>
      </c>
      <c r="BA287" s="454">
        <f>BA774</f>
        <v>2.6804264249999967</v>
      </c>
      <c r="BB287" s="454">
        <f>BB774</f>
        <v>3.0020234400000003</v>
      </c>
      <c r="BC287" s="454">
        <f>BC774</f>
        <v>2.1270688487999969</v>
      </c>
      <c r="BD287" s="1666">
        <f>BD774</f>
        <v>2.0472043544999998</v>
      </c>
      <c r="BE287" s="455">
        <f>SUM(BA287:BD287)</f>
        <v>9.8567230682999938</v>
      </c>
      <c r="BF287" s="454">
        <f>BF774</f>
        <v>3.2433156464999975</v>
      </c>
      <c r="BG287" s="454">
        <f>BG774</f>
        <v>3.6874705752000008</v>
      </c>
      <c r="BH287" s="454">
        <f>BH774</f>
        <v>2.8297899327599989</v>
      </c>
      <c r="BI287" s="1666">
        <f>BI774</f>
        <v>2.281051845224999</v>
      </c>
      <c r="BJ287" s="455">
        <f>SUM(BF287:BI287)</f>
        <v>12.041627999684996</v>
      </c>
      <c r="BK287" s="454">
        <f>BK774</f>
        <v>2.1187554167624985</v>
      </c>
      <c r="BL287" s="454">
        <f>BL774</f>
        <v>2.5288149114000014</v>
      </c>
      <c r="BM287" s="454">
        <f>BM774</f>
        <v>1.7004370305635987</v>
      </c>
      <c r="BN287" s="1666">
        <f>BN774</f>
        <v>1.1893338101655004</v>
      </c>
      <c r="BO287" s="455">
        <f t="shared" si="626"/>
        <v>7.537341168891599</v>
      </c>
      <c r="BP287" s="454">
        <f>BP774</f>
        <v>1.8657219879641236</v>
      </c>
      <c r="BQ287" s="454">
        <f>BQ774</f>
        <v>2.1421704971628017</v>
      </c>
      <c r="BR287" s="454">
        <f>BR774</f>
        <v>1.7413948250836189</v>
      </c>
      <c r="BS287" s="454">
        <f>BS774</f>
        <v>0.79691644734474387</v>
      </c>
      <c r="BT287" s="3066">
        <f t="shared" si="627"/>
        <v>6.546203757555288</v>
      </c>
      <c r="BU287" s="2915">
        <f>BU774</f>
        <v>1.7367232328725155</v>
      </c>
      <c r="BV287" s="2915">
        <f>BV774</f>
        <v>2.1635922021344314</v>
      </c>
      <c r="BW287" s="2915">
        <f>BW774</f>
        <v>1.7588087733344544</v>
      </c>
      <c r="BX287" s="2915">
        <f>BX774</f>
        <v>1.3825534584170001</v>
      </c>
      <c r="BY287" s="3066">
        <f t="shared" si="628"/>
        <v>7.0416776667584013</v>
      </c>
      <c r="BZ287" s="455">
        <f t="shared" ref="BZ287:CF287" si="638">BZ774</f>
        <v>7.9014406241678259</v>
      </c>
      <c r="CA287" s="455">
        <f t="shared" si="638"/>
        <v>7.6983940615329516</v>
      </c>
      <c r="CB287" s="455">
        <f t="shared" si="638"/>
        <v>6.4972271766641043</v>
      </c>
      <c r="CC287" s="455">
        <f t="shared" si="638"/>
        <v>5.3806060514924638</v>
      </c>
      <c r="CD287" s="455">
        <f t="shared" si="638"/>
        <v>5.8722216591964553</v>
      </c>
      <c r="CE287" s="455">
        <f t="shared" si="638"/>
        <v>6.3775096139212692</v>
      </c>
      <c r="CF287" s="455">
        <f t="shared" si="638"/>
        <v>6.8967817629559818</v>
      </c>
      <c r="CG287" s="588"/>
      <c r="CH287" s="588"/>
      <c r="CI287" s="588"/>
      <c r="CJ287" s="588"/>
      <c r="CK287" s="331"/>
      <c r="CL287" s="1277" t="str">
        <f t="shared" si="625"/>
        <v>Boomtown Biloxi (MS)</v>
      </c>
      <c r="CM287" s="454">
        <f>G287</f>
        <v>15.902000000000001</v>
      </c>
      <c r="CN287" s="454">
        <f>L287</f>
        <v>10.847000000000001</v>
      </c>
      <c r="CO287" s="454">
        <f>Q287</f>
        <v>18.408999999999999</v>
      </c>
      <c r="CP287" s="454">
        <f>V287</f>
        <v>24.035</v>
      </c>
      <c r="CQ287" s="454">
        <f>AA287</f>
        <v>21.062999999999999</v>
      </c>
      <c r="CR287" s="454">
        <f>AF287</f>
        <v>19.825999999999997</v>
      </c>
      <c r="CS287" s="454">
        <f>AK287</f>
        <v>17.709</v>
      </c>
      <c r="CT287" s="454">
        <f>AP287</f>
        <v>18.363259999999997</v>
      </c>
      <c r="CU287" s="454">
        <f>AU287</f>
        <v>13.926579699999998</v>
      </c>
      <c r="CV287" s="454">
        <f>AZ287</f>
        <v>8.4647523759999981</v>
      </c>
      <c r="CW287" s="454">
        <f>BE287</f>
        <v>9.8567230682999938</v>
      </c>
      <c r="CX287" s="454">
        <f>BJ287</f>
        <v>12.041627999684996</v>
      </c>
      <c r="CY287" s="454">
        <f>BO287</f>
        <v>7.537341168891599</v>
      </c>
      <c r="CZ287" s="454">
        <f>BT287</f>
        <v>6.546203757555288</v>
      </c>
      <c r="DA287" s="454">
        <f t="shared" si="635"/>
        <v>7.0416776667584013</v>
      </c>
      <c r="DB287" s="454">
        <f t="shared" si="635"/>
        <v>7.9014406241678259</v>
      </c>
      <c r="DC287" s="1666">
        <f t="shared" si="635"/>
        <v>7.6983940615329516</v>
      </c>
      <c r="DD287" s="331"/>
      <c r="DE287" s="331"/>
      <c r="DF287" s="502"/>
      <c r="DG287" s="503"/>
      <c r="DH287" s="2915"/>
      <c r="DI287" s="3213"/>
      <c r="DJ287" s="502"/>
      <c r="DK287" s="503"/>
      <c r="DL287" s="502"/>
      <c r="DM287" s="502"/>
      <c r="DN287" s="502"/>
      <c r="DO287" s="502"/>
      <c r="DP287" s="503"/>
      <c r="DQ287" s="503"/>
      <c r="DR287" s="296"/>
      <c r="DS287" s="296"/>
      <c r="DT287" s="296"/>
    </row>
    <row r="288" spans="1:130" ht="12.6" customHeight="1" outlineLevel="1" x14ac:dyDescent="0.25">
      <c r="A288" s="2605" t="s">
        <v>210</v>
      </c>
      <c r="B288" s="281"/>
      <c r="C288" s="430"/>
      <c r="D288" s="430"/>
      <c r="E288" s="430"/>
      <c r="F288" s="430"/>
      <c r="G288" s="481"/>
      <c r="H288" s="430"/>
      <c r="I288" s="430"/>
      <c r="J288" s="430"/>
      <c r="K288" s="430"/>
      <c r="L288" s="481"/>
      <c r="M288" s="430"/>
      <c r="N288" s="430"/>
      <c r="O288" s="430"/>
      <c r="P288" s="430"/>
      <c r="Q288" s="481"/>
      <c r="R288" s="430"/>
      <c r="S288" s="430"/>
      <c r="T288" s="430"/>
      <c r="U288" s="430"/>
      <c r="V288" s="481"/>
      <c r="W288" s="509"/>
      <c r="X288" s="509"/>
      <c r="Y288" s="509"/>
      <c r="Z288" s="509"/>
      <c r="AA288" s="510"/>
      <c r="AB288" s="509"/>
      <c r="AC288" s="509"/>
      <c r="AD288" s="509"/>
      <c r="AE288" s="430"/>
      <c r="AF288" s="481"/>
      <c r="AG288" s="935"/>
      <c r="AH288" s="430"/>
      <c r="AI288" s="430"/>
      <c r="AJ288" s="430"/>
      <c r="AK288" s="481"/>
      <c r="AL288" s="2080"/>
      <c r="AM288" s="2080"/>
      <c r="AN288" s="2080"/>
      <c r="AO288" s="2080"/>
      <c r="AP288" s="481"/>
      <c r="AQ288" s="2080"/>
      <c r="AR288" s="2080"/>
      <c r="AS288" s="2080"/>
      <c r="AT288" s="2080"/>
      <c r="AU288" s="481"/>
      <c r="AV288" s="2080">
        <f>AV20-(AV280+AV281+AV282)</f>
        <v>0.63463112999999183</v>
      </c>
      <c r="AW288" s="2080">
        <f>AW20-(AW280+AW281+AW282)</f>
        <v>1.3569199534999967</v>
      </c>
      <c r="AX288" s="2080">
        <f>AX20-(AX280+AX281+AX282)</f>
        <v>-4.3505192775499957</v>
      </c>
      <c r="AY288" s="2080">
        <f>AY20-(AY280+AY281+AY282)</f>
        <v>-0.81656772015499612</v>
      </c>
      <c r="AZ288" s="481">
        <f>SUM(AV288:AY288)</f>
        <v>-3.1755359142050033</v>
      </c>
      <c r="BA288" s="2080">
        <f>BA20-(BA280+BA281+BA282+BA283+BA284+BA286+BA287)</f>
        <v>0.46772542259999028</v>
      </c>
      <c r="BB288" s="2080">
        <f>BB20-(BB280+BB281+BB282+BB283+BB284+BB286+BB287)</f>
        <v>2.9219738323199955</v>
      </c>
      <c r="BC288" s="2080">
        <f>BC20-(BC280+BC281+BC282+BC283+BC284+BC286+BC287)</f>
        <v>1.0402797567513069</v>
      </c>
      <c r="BD288" s="2080">
        <f>BD20-(BD280+BD281+BD282+BD283+BD284+BD286+BD287)</f>
        <v>3.0867267570840013</v>
      </c>
      <c r="BE288" s="455">
        <f>SUM(BA288:BD288)</f>
        <v>7.5167057687552941</v>
      </c>
      <c r="BF288" s="2080">
        <f>BF20-(BF280+BF281+BF282+BF283+BF284+BF286+BF287)</f>
        <v>-0.10110757488400424</v>
      </c>
      <c r="BG288" s="2080">
        <f>BG20-(BG280+BG281+BG282+BG283+BG284+BG286+BG287)</f>
        <v>0.78230941253438857</v>
      </c>
      <c r="BH288" s="2080">
        <f>BH20-(BH280+BH281+BH282+BH283+BH284+BH286+BH287)</f>
        <v>0.12373931823617568</v>
      </c>
      <c r="BI288" s="2080">
        <f>BI20-(BI280+BI281+BI282+BI283+BI284+BI286+BI287)</f>
        <v>1.8511387219376552</v>
      </c>
      <c r="BJ288" s="455">
        <f>SUM(BF288:BI288)</f>
        <v>2.6560798778242152</v>
      </c>
      <c r="BK288" s="2080">
        <f>BK20-(BK280+BK281+BK282+BK283+BK284+BK286+BK287)</f>
        <v>-0.81053672300250668</v>
      </c>
      <c r="BL288" s="2080">
        <f>BL20-(BL280+BL281+BL282+BL283+BL284+BL286+BL287)</f>
        <v>-1.4927250633923634</v>
      </c>
      <c r="BM288" s="2080">
        <f>BM20-(BM280+BM281+BM282+BM283+BM284+BM286+BM287)</f>
        <v>2.8464576002257047E-2</v>
      </c>
      <c r="BN288" s="2080">
        <f>BN20-(BN280+BN281+BN282+BN283+BN284+BN286+BN287)</f>
        <v>2.886690683070718</v>
      </c>
      <c r="BO288" s="455">
        <f t="shared" si="626"/>
        <v>0.6118934726781049</v>
      </c>
      <c r="BP288" s="2080">
        <f>BP20-(BP280+BP281+BP282+BP283+BP284+BP286+BP287)</f>
        <v>0.50197936528171283</v>
      </c>
      <c r="BQ288" s="2080">
        <f>BQ20-(BQ280+BQ281+BQ282+BQ283+BQ284+BQ286+BQ287+BQ285)</f>
        <v>-1.5228162363549274</v>
      </c>
      <c r="BR288" s="2080">
        <f>BR20-(BR280+BR281+BR282+BR283+BR284+BR286+BR287+BR285)</f>
        <v>-0.51380758617164446</v>
      </c>
      <c r="BS288" s="2080">
        <f>BS20-(BS280+BS281+BS282+BS283+BS284+BS286+BS287+BS285)</f>
        <v>0.6917552324681715</v>
      </c>
      <c r="BT288" s="2587">
        <f t="shared" si="627"/>
        <v>-0.84288922477668748</v>
      </c>
      <c r="BU288" s="482"/>
      <c r="BV288" s="482"/>
      <c r="BW288" s="482"/>
      <c r="BX288" s="482"/>
      <c r="BY288" s="2587">
        <f t="shared" si="628"/>
        <v>0</v>
      </c>
      <c r="BZ288" s="481"/>
      <c r="CA288" s="481"/>
      <c r="CB288" s="481"/>
      <c r="CC288" s="481"/>
      <c r="CD288" s="481"/>
      <c r="CE288" s="481"/>
      <c r="CF288" s="481"/>
      <c r="CG288" s="331"/>
      <c r="CH288" s="331"/>
      <c r="CI288" s="331"/>
      <c r="CJ288" s="331"/>
      <c r="CK288" s="331"/>
      <c r="CL288" s="1277" t="str">
        <f t="shared" si="625"/>
        <v>Other - West</v>
      </c>
      <c r="CM288" s="454">
        <f>G288</f>
        <v>0</v>
      </c>
      <c r="CN288" s="454">
        <f>L288</f>
        <v>0</v>
      </c>
      <c r="CO288" s="454">
        <f>Q288</f>
        <v>0</v>
      </c>
      <c r="CP288" s="454">
        <f>V288</f>
        <v>0</v>
      </c>
      <c r="CQ288" s="454">
        <f>AA288</f>
        <v>0</v>
      </c>
      <c r="CR288" s="454">
        <f>AF288</f>
        <v>0</v>
      </c>
      <c r="CS288" s="454">
        <f>AK288</f>
        <v>0</v>
      </c>
      <c r="CT288" s="454">
        <f>AP288</f>
        <v>0</v>
      </c>
      <c r="CU288" s="454">
        <f>AU288</f>
        <v>0</v>
      </c>
      <c r="CV288" s="454">
        <f>AZ288</f>
        <v>-3.1755359142050033</v>
      </c>
      <c r="CW288" s="454">
        <f>BE288</f>
        <v>7.5167057687552941</v>
      </c>
      <c r="CX288" s="454">
        <f>BJ288</f>
        <v>2.6560798778242152</v>
      </c>
      <c r="CY288" s="454">
        <f>BO288</f>
        <v>0.6118934726781049</v>
      </c>
      <c r="CZ288" s="454">
        <f>BT288</f>
        <v>-0.84288922477668748</v>
      </c>
      <c r="DA288" s="454">
        <f t="shared" si="635"/>
        <v>0</v>
      </c>
      <c r="DB288" s="454">
        <f t="shared" si="635"/>
        <v>0</v>
      </c>
      <c r="DC288" s="1666">
        <f t="shared" si="635"/>
        <v>0</v>
      </c>
      <c r="DD288" s="331"/>
      <c r="DE288" s="331"/>
      <c r="DF288" s="502"/>
      <c r="DG288" s="503"/>
      <c r="DH288" s="2840"/>
      <c r="DI288" s="3213"/>
      <c r="DJ288" s="502"/>
      <c r="DK288" s="503"/>
      <c r="DL288" s="502"/>
      <c r="DM288" s="502"/>
      <c r="DN288" s="502"/>
      <c r="DO288" s="502"/>
      <c r="DP288" s="503"/>
      <c r="DQ288" s="503"/>
      <c r="DR288" s="296"/>
      <c r="DS288" s="296"/>
      <c r="DT288" s="296"/>
    </row>
    <row r="289" spans="1:130" s="1050" customFormat="1" ht="3.95" customHeight="1" outlineLevel="1" x14ac:dyDescent="0.25">
      <c r="A289" s="2605"/>
      <c r="B289" s="2575"/>
      <c r="C289" s="2915" t="s">
        <v>2349</v>
      </c>
      <c r="D289" s="2915" t="s">
        <v>2349</v>
      </c>
      <c r="E289" s="2915" t="s">
        <v>2349</v>
      </c>
      <c r="F289" s="2915" t="s">
        <v>2349</v>
      </c>
      <c r="G289" s="3066" t="s">
        <v>2349</v>
      </c>
      <c r="H289" s="2915" t="s">
        <v>2349</v>
      </c>
      <c r="I289" s="2915" t="s">
        <v>2349</v>
      </c>
      <c r="J289" s="2915" t="s">
        <v>2349</v>
      </c>
      <c r="K289" s="2915" t="s">
        <v>2349</v>
      </c>
      <c r="L289" s="3066" t="s">
        <v>2349</v>
      </c>
      <c r="M289" s="2915" t="s">
        <v>2349</v>
      </c>
      <c r="N289" s="2915" t="s">
        <v>2349</v>
      </c>
      <c r="O289" s="2915" t="s">
        <v>2349</v>
      </c>
      <c r="P289" s="2915" t="s">
        <v>2349</v>
      </c>
      <c r="Q289" s="3066" t="s">
        <v>2349</v>
      </c>
      <c r="R289" s="2915" t="s">
        <v>2349</v>
      </c>
      <c r="S289" s="2915" t="s">
        <v>2349</v>
      </c>
      <c r="T289" s="2915" t="s">
        <v>2349</v>
      </c>
      <c r="U289" s="2915" t="s">
        <v>2349</v>
      </c>
      <c r="V289" s="3066" t="s">
        <v>2349</v>
      </c>
      <c r="W289" s="3067" t="s">
        <v>2349</v>
      </c>
      <c r="X289" s="3067" t="s">
        <v>2349</v>
      </c>
      <c r="Y289" s="3067" t="s">
        <v>2349</v>
      </c>
      <c r="Z289" s="3067" t="s">
        <v>2349</v>
      </c>
      <c r="AA289" s="3068" t="s">
        <v>2349</v>
      </c>
      <c r="AB289" s="3067" t="s">
        <v>2349</v>
      </c>
      <c r="AC289" s="3067" t="s">
        <v>2349</v>
      </c>
      <c r="AD289" s="3067" t="s">
        <v>2349</v>
      </c>
      <c r="AE289" s="2915" t="s">
        <v>2349</v>
      </c>
      <c r="AF289" s="3066" t="s">
        <v>2349</v>
      </c>
      <c r="AG289" s="3069" t="s">
        <v>2349</v>
      </c>
      <c r="AH289" s="2915" t="s">
        <v>2349</v>
      </c>
      <c r="AI289" s="2915" t="s">
        <v>2349</v>
      </c>
      <c r="AJ289" s="2915" t="s">
        <v>2349</v>
      </c>
      <c r="AK289" s="3066" t="s">
        <v>2349</v>
      </c>
      <c r="AL289" s="2915" t="s">
        <v>2349</v>
      </c>
      <c r="AM289" s="2915" t="s">
        <v>2349</v>
      </c>
      <c r="AN289" s="2915" t="s">
        <v>2349</v>
      </c>
      <c r="AO289" s="2915" t="s">
        <v>2349</v>
      </c>
      <c r="AP289" s="3066" t="s">
        <v>2349</v>
      </c>
      <c r="AQ289" s="2915" t="s">
        <v>2349</v>
      </c>
      <c r="AR289" s="2915" t="s">
        <v>2349</v>
      </c>
      <c r="AS289" s="2915" t="s">
        <v>2349</v>
      </c>
      <c r="AT289" s="2915" t="s">
        <v>2349</v>
      </c>
      <c r="AU289" s="3066" t="s">
        <v>2349</v>
      </c>
      <c r="AV289" s="2915" t="s">
        <v>2349</v>
      </c>
      <c r="AW289" s="2915" t="s">
        <v>2349</v>
      </c>
      <c r="AX289" s="2915" t="s">
        <v>2349</v>
      </c>
      <c r="AY289" s="2915" t="s">
        <v>2349</v>
      </c>
      <c r="AZ289" s="3066" t="s">
        <v>2349</v>
      </c>
      <c r="BA289" s="2915" t="s">
        <v>2349</v>
      </c>
      <c r="BB289" s="2915" t="s">
        <v>2349</v>
      </c>
      <c r="BC289" s="2915" t="s">
        <v>2349</v>
      </c>
      <c r="BD289" s="2915" t="s">
        <v>2349</v>
      </c>
      <c r="BE289" s="3066" t="s">
        <v>2349</v>
      </c>
      <c r="BF289" s="2915" t="s">
        <v>2349</v>
      </c>
      <c r="BG289" s="2915" t="s">
        <v>2349</v>
      </c>
      <c r="BH289" s="2915" t="s">
        <v>2349</v>
      </c>
      <c r="BI289" s="3070" t="s">
        <v>2349</v>
      </c>
      <c r="BJ289" s="3066" t="s">
        <v>2349</v>
      </c>
      <c r="BK289" s="2915" t="s">
        <v>2349</v>
      </c>
      <c r="BL289" s="2915" t="s">
        <v>2349</v>
      </c>
      <c r="BM289" s="2915" t="s">
        <v>2349</v>
      </c>
      <c r="BN289" s="3070" t="s">
        <v>2349</v>
      </c>
      <c r="BO289" s="3066" t="s">
        <v>2349</v>
      </c>
      <c r="BP289" s="2915" t="s">
        <v>2349</v>
      </c>
      <c r="BQ289" s="2915" t="s">
        <v>2349</v>
      </c>
      <c r="BR289" s="2915" t="s">
        <v>2349</v>
      </c>
      <c r="BS289" s="2915" t="s">
        <v>2349</v>
      </c>
      <c r="BT289" s="3066" t="s">
        <v>2349</v>
      </c>
      <c r="BU289" s="2915" t="s">
        <v>2349</v>
      </c>
      <c r="BV289" s="2915" t="s">
        <v>2349</v>
      </c>
      <c r="BW289" s="2915" t="s">
        <v>2349</v>
      </c>
      <c r="BX289" s="2915" t="s">
        <v>2349</v>
      </c>
      <c r="BY289" s="3066" t="s">
        <v>2349</v>
      </c>
      <c r="BZ289" s="3066" t="s">
        <v>2349</v>
      </c>
      <c r="CA289" s="3066" t="s">
        <v>2349</v>
      </c>
      <c r="CB289" s="3066" t="s">
        <v>2349</v>
      </c>
      <c r="CC289" s="3066" t="s">
        <v>2349</v>
      </c>
      <c r="CD289" s="3066" t="s">
        <v>2349</v>
      </c>
      <c r="CE289" s="3066" t="s">
        <v>2349</v>
      </c>
      <c r="CF289" s="3066" t="s">
        <v>2349</v>
      </c>
      <c r="CG289" s="2601"/>
      <c r="CH289" s="2601"/>
      <c r="CI289" s="2601"/>
      <c r="CJ289" s="2601"/>
      <c r="CK289" s="2601"/>
      <c r="CL289" s="2725"/>
      <c r="CM289" s="2840"/>
      <c r="CN289" s="2840"/>
      <c r="CO289" s="2840"/>
      <c r="CP289" s="2840"/>
      <c r="CQ289" s="2840"/>
      <c r="CR289" s="2840"/>
      <c r="CS289" s="2840"/>
      <c r="CT289" s="2840"/>
      <c r="CU289" s="2840"/>
      <c r="CV289" s="2840"/>
      <c r="CW289" s="2840"/>
      <c r="CX289" s="2840"/>
      <c r="CY289" s="2840"/>
      <c r="CZ289" s="2840"/>
      <c r="DA289" s="2840"/>
      <c r="DB289" s="2840"/>
      <c r="DC289" s="3065"/>
      <c r="DD289" s="2601"/>
      <c r="DE289" s="2601"/>
      <c r="DF289" s="502"/>
      <c r="DG289" s="503"/>
      <c r="DH289" s="2915"/>
      <c r="DI289" s="3213"/>
      <c r="DJ289" s="502"/>
      <c r="DK289" s="503"/>
      <c r="DL289" s="502"/>
      <c r="DM289" s="502"/>
      <c r="DN289" s="502"/>
      <c r="DO289" s="502"/>
      <c r="DP289" s="503"/>
      <c r="DQ289" s="503"/>
      <c r="DR289" s="2859"/>
      <c r="DS289" s="2859"/>
      <c r="DT289" s="2859"/>
      <c r="DU289"/>
      <c r="DV289"/>
      <c r="DW289"/>
      <c r="DX289"/>
      <c r="DY289"/>
      <c r="DZ289"/>
    </row>
    <row r="290" spans="1:130" ht="12.6" customHeight="1" outlineLevel="1" x14ac:dyDescent="0.25">
      <c r="A290" s="3063" t="s">
        <v>2350</v>
      </c>
      <c r="B290" s="281"/>
      <c r="C290" s="514">
        <f>SUM(C280:C288)</f>
        <v>18.489000000000001</v>
      </c>
      <c r="D290" s="514">
        <f t="shared" ref="D290:CA290" si="639">SUM(D280:D288)</f>
        <v>16.552</v>
      </c>
      <c r="E290" s="514">
        <f t="shared" si="639"/>
        <v>14.502000000000001</v>
      </c>
      <c r="F290" s="514">
        <f t="shared" si="639"/>
        <v>12.952999999999999</v>
      </c>
      <c r="G290" s="515">
        <f t="shared" si="639"/>
        <v>62.496000000000009</v>
      </c>
      <c r="H290" s="514">
        <f t="shared" si="639"/>
        <v>16.721999999999998</v>
      </c>
      <c r="I290" s="514">
        <f t="shared" si="639"/>
        <v>16.119999999999997</v>
      </c>
      <c r="J290" s="514">
        <f t="shared" si="639"/>
        <v>12.712</v>
      </c>
      <c r="K290" s="514">
        <f t="shared" si="639"/>
        <v>7.3010000000000002</v>
      </c>
      <c r="L290" s="515">
        <f t="shared" si="639"/>
        <v>52.854999999999997</v>
      </c>
      <c r="M290" s="514">
        <f t="shared" si="639"/>
        <v>7.9260000000000002</v>
      </c>
      <c r="N290" s="514">
        <f t="shared" si="639"/>
        <v>7.2360000000000007</v>
      </c>
      <c r="O290" s="514">
        <f t="shared" si="639"/>
        <v>22.209</v>
      </c>
      <c r="P290" s="514">
        <f t="shared" si="639"/>
        <v>13.7</v>
      </c>
      <c r="Q290" s="515">
        <f t="shared" si="639"/>
        <v>51.070999999999998</v>
      </c>
      <c r="R290" s="514">
        <f t="shared" si="639"/>
        <v>19.316000000000003</v>
      </c>
      <c r="S290" s="514">
        <f t="shared" si="639"/>
        <v>25.194000000000003</v>
      </c>
      <c r="T290" s="514">
        <f t="shared" si="639"/>
        <v>24.553000000000001</v>
      </c>
      <c r="U290" s="514">
        <f t="shared" si="639"/>
        <v>20.276999999999997</v>
      </c>
      <c r="V290" s="515">
        <f t="shared" si="639"/>
        <v>89.34</v>
      </c>
      <c r="W290" s="512">
        <f t="shared" si="639"/>
        <v>26.982000000000003</v>
      </c>
      <c r="X290" s="512">
        <f t="shared" si="639"/>
        <v>24.544999999999998</v>
      </c>
      <c r="Y290" s="512">
        <f t="shared" si="639"/>
        <v>23.738</v>
      </c>
      <c r="Z290" s="512">
        <f t="shared" si="639"/>
        <v>21.305</v>
      </c>
      <c r="AA290" s="513">
        <f t="shared" si="639"/>
        <v>96.570000000000007</v>
      </c>
      <c r="AB290" s="512">
        <f t="shared" si="639"/>
        <v>27.721999999999998</v>
      </c>
      <c r="AC290" s="512">
        <f t="shared" si="639"/>
        <v>23.137</v>
      </c>
      <c r="AD290" s="512">
        <f t="shared" si="639"/>
        <v>20.914000000000001</v>
      </c>
      <c r="AE290" s="514">
        <f t="shared" si="639"/>
        <v>15.227</v>
      </c>
      <c r="AF290" s="515">
        <f t="shared" si="639"/>
        <v>87</v>
      </c>
      <c r="AG290" s="514">
        <f t="shared" si="639"/>
        <v>23.001000000000001</v>
      </c>
      <c r="AH290" s="514">
        <f t="shared" si="639"/>
        <v>21.068000000000001</v>
      </c>
      <c r="AI290" s="514">
        <f t="shared" si="639"/>
        <v>22.322999999999997</v>
      </c>
      <c r="AJ290" s="514">
        <f t="shared" si="639"/>
        <v>19.480999999999998</v>
      </c>
      <c r="AK290" s="515">
        <f t="shared" si="639"/>
        <v>85.87299999999999</v>
      </c>
      <c r="AL290" s="514">
        <f t="shared" si="639"/>
        <v>25.241</v>
      </c>
      <c r="AM290" s="514">
        <f t="shared" si="639"/>
        <v>23.362000000000002</v>
      </c>
      <c r="AN290" s="514">
        <f t="shared" si="639"/>
        <v>27.209570649999996</v>
      </c>
      <c r="AO290" s="514">
        <f t="shared" si="639"/>
        <v>23.149320849999999</v>
      </c>
      <c r="AP290" s="515">
        <f t="shared" si="639"/>
        <v>98.961891500000007</v>
      </c>
      <c r="AQ290" s="514">
        <f t="shared" si="639"/>
        <v>33.730800000000009</v>
      </c>
      <c r="AR290" s="514">
        <f t="shared" si="639"/>
        <v>28.378261850000005</v>
      </c>
      <c r="AS290" s="514">
        <f t="shared" si="639"/>
        <v>25.347810799999998</v>
      </c>
      <c r="AT290" s="514">
        <f t="shared" si="639"/>
        <v>20.205820658499999</v>
      </c>
      <c r="AU290" s="515">
        <f t="shared" si="639"/>
        <v>107.6626933085</v>
      </c>
      <c r="AV290" s="514">
        <f t="shared" si="639"/>
        <v>30.086994749999995</v>
      </c>
      <c r="AW290" s="514">
        <f t="shared" si="639"/>
        <v>28.120302799999997</v>
      </c>
      <c r="AX290" s="514">
        <f t="shared" si="639"/>
        <v>18.746716576000001</v>
      </c>
      <c r="AY290" s="514">
        <f t="shared" si="639"/>
        <v>20.725216320000001</v>
      </c>
      <c r="AZ290" s="515">
        <f t="shared" si="639"/>
        <v>97.679230446000005</v>
      </c>
      <c r="BA290" s="514">
        <f t="shared" si="639"/>
        <v>32.802</v>
      </c>
      <c r="BB290" s="514">
        <f t="shared" si="639"/>
        <v>31.928999999999998</v>
      </c>
      <c r="BC290" s="514">
        <f t="shared" si="639"/>
        <v>27.573</v>
      </c>
      <c r="BD290" s="514">
        <f t="shared" si="639"/>
        <v>29.998000000000001</v>
      </c>
      <c r="BE290" s="2566">
        <f t="shared" si="639"/>
        <v>122.30199999999999</v>
      </c>
      <c r="BF290" s="514">
        <f t="shared" si="639"/>
        <v>35.893999999999998</v>
      </c>
      <c r="BG290" s="514">
        <f t="shared" si="639"/>
        <v>34.228999999999999</v>
      </c>
      <c r="BH290" s="514">
        <f t="shared" si="639"/>
        <v>29.463000000000001</v>
      </c>
      <c r="BI290" s="1590">
        <f t="shared" si="639"/>
        <v>29.263999999999999</v>
      </c>
      <c r="BJ290" s="2566">
        <f t="shared" si="639"/>
        <v>128.84999999999997</v>
      </c>
      <c r="BK290" s="514">
        <f t="shared" si="639"/>
        <v>34.725999999999999</v>
      </c>
      <c r="BL290" s="514">
        <f t="shared" ref="BL290:BU290" si="640">SUM(BL280:BL288)</f>
        <v>36.472000000000001</v>
      </c>
      <c r="BM290" s="514">
        <f t="shared" si="640"/>
        <v>28.506</v>
      </c>
      <c r="BN290" s="1590">
        <f t="shared" si="640"/>
        <v>28.866</v>
      </c>
      <c r="BO290" s="2566">
        <f t="shared" si="640"/>
        <v>128.57000000000002</v>
      </c>
      <c r="BP290" s="514">
        <f t="shared" si="640"/>
        <v>36.341000000000001</v>
      </c>
      <c r="BQ290" s="514">
        <f t="shared" si="640"/>
        <v>35.048999999999999</v>
      </c>
      <c r="BR290" s="514">
        <f t="shared" si="640"/>
        <v>35.045999999999999</v>
      </c>
      <c r="BS290" s="514">
        <f t="shared" si="640"/>
        <v>28.887000000000004</v>
      </c>
      <c r="BT290" s="515">
        <f t="shared" si="640"/>
        <v>135.32300000000001</v>
      </c>
      <c r="BU290" s="514">
        <f t="shared" si="640"/>
        <v>44.076188162769483</v>
      </c>
      <c r="BV290" s="514">
        <f>SUM(BV280:BV288)</f>
        <v>41.290912542126399</v>
      </c>
      <c r="BW290" s="514">
        <f>SUM(BW280:BW288)</f>
        <v>38.854897033677304</v>
      </c>
      <c r="BX290" s="514">
        <f>SUM(BX280:BX288)</f>
        <v>33.189800394257901</v>
      </c>
      <c r="BY290" s="515">
        <f>SUM(BY280:BY288)</f>
        <v>157.41179813283108</v>
      </c>
      <c r="BZ290" s="515">
        <f t="shared" si="639"/>
        <v>167.81355539689045</v>
      </c>
      <c r="CA290" s="515">
        <f t="shared" si="639"/>
        <v>167.72170136367652</v>
      </c>
      <c r="CB290" s="515">
        <f>SUM(CB280:CB288)</f>
        <v>130.83537999387471</v>
      </c>
      <c r="CC290" s="515">
        <f>SUM(CC280:CC288)</f>
        <v>116.42148276271683</v>
      </c>
      <c r="CD290" s="515">
        <f>SUM(CD280:CD288)</f>
        <v>122.05140254166922</v>
      </c>
      <c r="CE290" s="515">
        <f>SUM(CE280:CE288)</f>
        <v>127.80938261250787</v>
      </c>
      <c r="CF290" s="515">
        <f>SUM(CF280:CF288)</f>
        <v>133.69792421478593</v>
      </c>
      <c r="CG290" s="331"/>
      <c r="CH290" s="331"/>
      <c r="CI290" s="331"/>
      <c r="CJ290" s="331"/>
      <c r="CK290" s="331"/>
      <c r="CL290" s="995"/>
      <c r="CM290" s="430"/>
      <c r="CN290" s="430"/>
      <c r="CO290" s="430"/>
      <c r="CP290" s="430"/>
      <c r="CQ290" s="430"/>
      <c r="CR290" s="430"/>
      <c r="CS290" s="430"/>
      <c r="CT290" s="430"/>
      <c r="CU290" s="430"/>
      <c r="CV290" s="430"/>
      <c r="CW290" s="430"/>
      <c r="CX290" s="430"/>
      <c r="CY290" s="430"/>
      <c r="CZ290" s="430"/>
      <c r="DA290" s="430"/>
      <c r="DB290" s="430"/>
      <c r="DC290" s="853"/>
      <c r="DD290" s="331"/>
      <c r="DE290" s="331"/>
      <c r="DF290" s="502"/>
      <c r="DG290" s="503"/>
      <c r="DH290" s="514"/>
      <c r="DI290" s="3213"/>
      <c r="DJ290" s="502"/>
      <c r="DK290" s="503"/>
      <c r="DL290" s="502"/>
      <c r="DM290" s="502"/>
      <c r="DN290" s="502"/>
      <c r="DO290" s="502"/>
      <c r="DP290" s="503"/>
      <c r="DQ290" s="503"/>
      <c r="DR290" s="296"/>
      <c r="DS290" s="296"/>
      <c r="DT290" s="296"/>
    </row>
    <row r="291" spans="1:130" ht="12.6" customHeight="1" outlineLevel="1" x14ac:dyDescent="0.25">
      <c r="A291" s="2605"/>
      <c r="B291" s="281"/>
      <c r="C291" s="430"/>
      <c r="D291" s="430"/>
      <c r="E291" s="430"/>
      <c r="F291" s="430"/>
      <c r="G291" s="481"/>
      <c r="H291" s="430"/>
      <c r="I291" s="430"/>
      <c r="J291" s="430"/>
      <c r="K291" s="430"/>
      <c r="L291" s="481"/>
      <c r="M291" s="430"/>
      <c r="N291" s="430"/>
      <c r="O291" s="430"/>
      <c r="P291" s="430"/>
      <c r="Q291" s="481"/>
      <c r="R291" s="430"/>
      <c r="S291" s="430"/>
      <c r="T291" s="430"/>
      <c r="U291" s="430"/>
      <c r="V291" s="481"/>
      <c r="W291" s="509"/>
      <c r="X291" s="509"/>
      <c r="Y291" s="509"/>
      <c r="Z291" s="509"/>
      <c r="AA291" s="510"/>
      <c r="AB291" s="509"/>
      <c r="AC291" s="509"/>
      <c r="AD291" s="509"/>
      <c r="AE291" s="430"/>
      <c r="AF291" s="481"/>
      <c r="AG291" s="935"/>
      <c r="AH291" s="430"/>
      <c r="AI291" s="430"/>
      <c r="AJ291" s="430"/>
      <c r="AK291" s="481"/>
      <c r="AL291" s="2080"/>
      <c r="AM291" s="2080"/>
      <c r="AN291" s="2080"/>
      <c r="AO291" s="2080"/>
      <c r="AP291" s="481"/>
      <c r="AQ291" s="2080"/>
      <c r="AR291" s="2080"/>
      <c r="AS291" s="2080"/>
      <c r="AT291" s="2080"/>
      <c r="AU291" s="481"/>
      <c r="AV291" s="2080"/>
      <c r="AW291" s="2080"/>
      <c r="AX291" s="2080"/>
      <c r="AY291" s="2080"/>
      <c r="AZ291" s="481"/>
      <c r="BA291" s="2080"/>
      <c r="BB291" s="430"/>
      <c r="BC291" s="430"/>
      <c r="BD291" s="853"/>
      <c r="BE291" s="455"/>
      <c r="BF291" s="430"/>
      <c r="BG291" s="430"/>
      <c r="BH291" s="430"/>
      <c r="BI291" s="853"/>
      <c r="BJ291" s="455"/>
      <c r="BK291" s="430"/>
      <c r="BL291" s="430"/>
      <c r="BM291" s="430"/>
      <c r="BN291" s="853"/>
      <c r="BO291" s="455"/>
      <c r="BP291" s="430"/>
      <c r="BQ291" s="430"/>
      <c r="BR291" s="430"/>
      <c r="BS291" s="430"/>
      <c r="BT291" s="2587"/>
      <c r="BU291" s="3397"/>
      <c r="BV291" s="2840"/>
      <c r="BW291" s="2840"/>
      <c r="BX291" s="2840"/>
      <c r="BY291" s="2587"/>
      <c r="BZ291" s="481"/>
      <c r="CA291" s="481"/>
      <c r="CB291" s="481"/>
      <c r="CC291" s="481"/>
      <c r="CD291" s="481"/>
      <c r="CE291" s="481"/>
      <c r="CF291" s="481"/>
      <c r="CG291" s="331"/>
      <c r="CH291" s="331"/>
      <c r="CI291" s="331"/>
      <c r="CJ291" s="331"/>
      <c r="CK291" s="331"/>
      <c r="CL291" s="995"/>
      <c r="CM291" s="430"/>
      <c r="CN291" s="430"/>
      <c r="CO291" s="430"/>
      <c r="CP291" s="430"/>
      <c r="CQ291" s="430"/>
      <c r="CR291" s="430"/>
      <c r="CS291" s="430"/>
      <c r="CT291" s="430"/>
      <c r="CU291" s="430"/>
      <c r="CV291" s="430"/>
      <c r="CW291" s="430"/>
      <c r="CX291" s="430"/>
      <c r="CY291" s="430"/>
      <c r="CZ291" s="430"/>
      <c r="DA291" s="430"/>
      <c r="DB291" s="430"/>
      <c r="DC291" s="853"/>
      <c r="DD291" s="331"/>
      <c r="DE291" s="331"/>
      <c r="DF291" s="502"/>
      <c r="DG291" s="503"/>
      <c r="DH291" s="2840"/>
      <c r="DI291" s="3213"/>
      <c r="DJ291" s="502"/>
      <c r="DK291" s="503"/>
      <c r="DL291" s="502"/>
      <c r="DM291" s="502"/>
      <c r="DN291" s="502"/>
      <c r="DO291" s="502"/>
      <c r="DP291" s="503"/>
      <c r="DQ291" s="503"/>
      <c r="DR291" s="296"/>
      <c r="DS291" s="296"/>
      <c r="DT291" s="296"/>
    </row>
    <row r="292" spans="1:130" ht="12.6" customHeight="1" outlineLevel="1" x14ac:dyDescent="0.25">
      <c r="A292" s="2166" t="s">
        <v>1331</v>
      </c>
      <c r="B292" s="281"/>
      <c r="C292" s="446"/>
      <c r="D292" s="446"/>
      <c r="E292" s="446"/>
      <c r="F292" s="446"/>
      <c r="G292" s="447"/>
      <c r="H292" s="446"/>
      <c r="I292" s="446"/>
      <c r="J292" s="446"/>
      <c r="K292" s="446"/>
      <c r="L292" s="447"/>
      <c r="M292" s="446"/>
      <c r="N292" s="446"/>
      <c r="O292" s="446"/>
      <c r="P292" s="446"/>
      <c r="Q292" s="447"/>
      <c r="R292" s="446"/>
      <c r="S292" s="446"/>
      <c r="T292" s="446"/>
      <c r="U292" s="446"/>
      <c r="V292" s="447"/>
      <c r="W292" s="446"/>
      <c r="X292" s="446"/>
      <c r="Y292" s="446"/>
      <c r="Z292" s="446"/>
      <c r="AA292" s="447"/>
      <c r="AB292" s="446"/>
      <c r="AC292" s="446"/>
      <c r="AD292" s="446"/>
      <c r="AE292" s="454"/>
      <c r="AF292" s="455"/>
      <c r="AG292" s="1586"/>
      <c r="AH292" s="454"/>
      <c r="AI292" s="454"/>
      <c r="AJ292" s="454"/>
      <c r="AK292" s="455"/>
      <c r="AL292" s="1586"/>
      <c r="AM292" s="563"/>
      <c r="AN292" s="454"/>
      <c r="AO292" s="454"/>
      <c r="AP292" s="456"/>
      <c r="AQ292" s="456"/>
      <c r="AR292" s="454"/>
      <c r="AS292" s="454"/>
      <c r="AT292" s="454"/>
      <c r="AU292" s="455"/>
      <c r="AV292" s="454"/>
      <c r="AW292" s="454"/>
      <c r="AX292" s="454"/>
      <c r="AY292" s="1666"/>
      <c r="AZ292" s="1666"/>
      <c r="BA292" s="454"/>
      <c r="BB292" s="454"/>
      <c r="BC292" s="454"/>
      <c r="BD292" s="1666"/>
      <c r="BE292" s="455"/>
      <c r="BF292" s="454"/>
      <c r="BG292" s="454"/>
      <c r="BH292" s="454"/>
      <c r="BI292" s="1666"/>
      <c r="BJ292" s="455"/>
      <c r="BK292" s="454"/>
      <c r="BL292" s="454"/>
      <c r="BM292" s="454"/>
      <c r="BN292" s="1666"/>
      <c r="BO292" s="455"/>
      <c r="BP292" s="454"/>
      <c r="BQ292" s="454"/>
      <c r="BR292" s="454"/>
      <c r="BS292" s="454"/>
      <c r="BT292" s="3066"/>
      <c r="BU292" s="3391"/>
      <c r="BV292" s="2915"/>
      <c r="BW292" s="2915"/>
      <c r="BX292" s="2915"/>
      <c r="BY292" s="3066"/>
      <c r="BZ292" s="455"/>
      <c r="CA292" s="455"/>
      <c r="CB292" s="455"/>
      <c r="CC292" s="455"/>
      <c r="CD292" s="455"/>
      <c r="CE292" s="455"/>
      <c r="CF292" s="455"/>
      <c r="CG292" s="1395"/>
      <c r="CH292" s="1395"/>
      <c r="CI292" s="1395"/>
      <c r="CJ292" s="1395"/>
      <c r="CK292" s="331"/>
      <c r="CL292" s="995"/>
      <c r="CM292" s="454"/>
      <c r="CN292" s="454"/>
      <c r="CO292" s="454"/>
      <c r="CP292" s="454"/>
      <c r="CQ292" s="454"/>
      <c r="CR292" s="454"/>
      <c r="CS292" s="454"/>
      <c r="CT292" s="454"/>
      <c r="CU292" s="454"/>
      <c r="CV292" s="454"/>
      <c r="CW292" s="454"/>
      <c r="CX292" s="454"/>
      <c r="CY292" s="454"/>
      <c r="CZ292" s="454"/>
      <c r="DA292" s="454"/>
      <c r="DB292" s="454"/>
      <c r="DC292" s="1666"/>
      <c r="DD292" s="331"/>
      <c r="DE292" s="331"/>
      <c r="DF292" s="502"/>
      <c r="DG292" s="503"/>
      <c r="DH292" s="2915"/>
      <c r="DI292" s="3213"/>
      <c r="DJ292" s="502"/>
      <c r="DK292" s="503"/>
      <c r="DL292" s="502"/>
      <c r="DM292" s="502"/>
      <c r="DN292" s="502"/>
      <c r="DO292" s="502"/>
      <c r="DP292" s="503"/>
      <c r="DQ292" s="503"/>
      <c r="DR292" s="296"/>
      <c r="DS292" s="296"/>
      <c r="DT292" s="296"/>
    </row>
    <row r="293" spans="1:130" ht="12.6" customHeight="1" outlineLevel="1" x14ac:dyDescent="0.25">
      <c r="A293" s="391" t="s">
        <v>1094</v>
      </c>
      <c r="B293" s="281"/>
      <c r="C293" s="446">
        <f>C806</f>
        <v>17.238</v>
      </c>
      <c r="D293" s="446">
        <f>D806</f>
        <v>17.033000000000001</v>
      </c>
      <c r="E293" s="446">
        <f>E806</f>
        <v>17.696000000000002</v>
      </c>
      <c r="F293" s="446">
        <f>F806</f>
        <v>17.041</v>
      </c>
      <c r="G293" s="447">
        <f t="shared" ref="G293:G298" si="641">SUM(C293:F293)</f>
        <v>69.007999999999996</v>
      </c>
      <c r="H293" s="446">
        <f>H806</f>
        <v>16.238</v>
      </c>
      <c r="I293" s="446">
        <f>I806</f>
        <v>18.972000000000001</v>
      </c>
      <c r="J293" s="446">
        <f>J806</f>
        <v>20.059000000000001</v>
      </c>
      <c r="K293" s="446">
        <f>K806</f>
        <v>19.837</v>
      </c>
      <c r="L293" s="447">
        <f t="shared" ref="L293:L298" si="642">SUM(H293:K293)</f>
        <v>75.106000000000009</v>
      </c>
      <c r="M293" s="446">
        <f>M806</f>
        <v>21.399000000000001</v>
      </c>
      <c r="N293" s="446">
        <f>N806</f>
        <v>20.12</v>
      </c>
      <c r="O293" s="446">
        <f>O806</f>
        <v>18.963999999999999</v>
      </c>
      <c r="P293" s="446">
        <f>P806</f>
        <v>18.573</v>
      </c>
      <c r="Q293" s="447">
        <f t="shared" ref="Q293:Q298" si="643">SUM(M293:P293)</f>
        <v>79.056000000000012</v>
      </c>
      <c r="R293" s="446">
        <f>R806</f>
        <v>20.670999999999999</v>
      </c>
      <c r="S293" s="446">
        <f>S806</f>
        <v>20.593</v>
      </c>
      <c r="T293" s="446">
        <f>T806</f>
        <v>21.303999999999998</v>
      </c>
      <c r="U293" s="446">
        <f>U806</f>
        <v>19.837</v>
      </c>
      <c r="V293" s="447">
        <f t="shared" ref="V293:V298" si="644">SUM(R293:U293)</f>
        <v>82.405000000000001</v>
      </c>
      <c r="W293" s="446">
        <f>W806</f>
        <v>16.058</v>
      </c>
      <c r="X293" s="446">
        <f>X806</f>
        <v>14.311999999999999</v>
      </c>
      <c r="Y293" s="446">
        <f>Y806</f>
        <v>17.565000000000001</v>
      </c>
      <c r="Z293" s="446">
        <f>Z806</f>
        <v>16.581</v>
      </c>
      <c r="AA293" s="447">
        <f t="shared" ref="AA293:AA298" si="645">SUM(W293:Z293)</f>
        <v>64.516000000000005</v>
      </c>
      <c r="AB293" s="446">
        <f>AB806</f>
        <v>15.28</v>
      </c>
      <c r="AC293" s="446">
        <f>AC806</f>
        <v>16.876000000000001</v>
      </c>
      <c r="AD293" s="446">
        <f>AD806</f>
        <v>12.917999999999999</v>
      </c>
      <c r="AE293" s="454">
        <f>AE806</f>
        <v>11.821</v>
      </c>
      <c r="AF293" s="455">
        <f t="shared" ref="AF293:AF298" si="646">SUM(AB293:AE293)</f>
        <v>56.894999999999996</v>
      </c>
      <c r="AG293" s="1724">
        <f>AG806</f>
        <v>12.821</v>
      </c>
      <c r="AH293" s="454">
        <f>AH806</f>
        <v>12.577999999999999</v>
      </c>
      <c r="AI293" s="454">
        <f>AI806</f>
        <v>13.411</v>
      </c>
      <c r="AJ293" s="454">
        <f>AJ806</f>
        <v>13.003</v>
      </c>
      <c r="AK293" s="455">
        <f t="shared" ref="AK293:AK298" si="647">SUM(AG293:AJ293)</f>
        <v>51.813000000000002</v>
      </c>
      <c r="AL293" s="454">
        <f>AL806</f>
        <v>14.71</v>
      </c>
      <c r="AM293" s="454">
        <f>AM806</f>
        <v>14.779</v>
      </c>
      <c r="AN293" s="454">
        <f>AN806</f>
        <v>13.855028000000004</v>
      </c>
      <c r="AO293" s="454">
        <f>AO806</f>
        <v>10.671110999999996</v>
      </c>
      <c r="AP293" s="456">
        <f t="shared" ref="AP293:AP298" si="648">SUM(AL293:AO293)</f>
        <v>54.015139000000005</v>
      </c>
      <c r="AQ293" s="456">
        <f>AQ806</f>
        <v>12.105038895</v>
      </c>
      <c r="AR293" s="454">
        <f>AR806</f>
        <v>13.039055874999995</v>
      </c>
      <c r="AS293" s="454">
        <f>AS806</f>
        <v>12.983553874999998</v>
      </c>
      <c r="AT293" s="454">
        <f>AT806</f>
        <v>11.669269549999989</v>
      </c>
      <c r="AU293" s="455">
        <f t="shared" ref="AU293:AU301" si="649">SUM(AQ293:AT293)</f>
        <v>49.796918194999982</v>
      </c>
      <c r="AV293" s="454">
        <f>AV806</f>
        <v>12.413419850850001</v>
      </c>
      <c r="AW293" s="454">
        <f>AW806</f>
        <v>14.245317568750004</v>
      </c>
      <c r="AX293" s="454">
        <f>AX806</f>
        <v>12.457005356249994</v>
      </c>
      <c r="AY293" s="1666">
        <f>AY806</f>
        <v>10.343410991249996</v>
      </c>
      <c r="AZ293" s="1666">
        <f t="shared" ref="AZ293:AZ303" si="650">SUM(AV293:AY293)</f>
        <v>49.459153767099991</v>
      </c>
      <c r="BA293" s="454">
        <f>BA806</f>
        <v>9.2644798466399969</v>
      </c>
      <c r="BB293" s="454">
        <f>BB806</f>
        <v>11.313502271300003</v>
      </c>
      <c r="BC293" s="454">
        <f>BC806</f>
        <v>10.540053520450002</v>
      </c>
      <c r="BD293" s="1666">
        <f>BD806</f>
        <v>9.9283285204000009</v>
      </c>
      <c r="BE293" s="455">
        <f t="shared" ref="BE293:BE303" si="651">SUM(BA293:BD293)</f>
        <v>41.046364158789999</v>
      </c>
      <c r="BF293" s="454">
        <f>BF806</f>
        <v>9.3090036811283028</v>
      </c>
      <c r="BG293" s="454">
        <f>BG806</f>
        <v>10.915638127949499</v>
      </c>
      <c r="BH293" s="454">
        <f>BH806</f>
        <v>8.9162608682159998</v>
      </c>
      <c r="BI293" s="1666">
        <f>BI806</f>
        <v>9.7582121487584921</v>
      </c>
      <c r="BJ293" s="455">
        <f t="shared" ref="BJ293:BJ303" si="652">SUM(BF293:BI293)</f>
        <v>38.899114826052298</v>
      </c>
      <c r="BK293" s="454">
        <f>BK806</f>
        <v>9.8262632498008671</v>
      </c>
      <c r="BL293" s="454">
        <f>BL806</f>
        <v>9.6974756762700025</v>
      </c>
      <c r="BM293" s="454">
        <f>BM806</f>
        <v>9.7160658975464074</v>
      </c>
      <c r="BN293" s="1666">
        <f>BN806</f>
        <v>9.130388532783666</v>
      </c>
      <c r="BO293" s="455">
        <f t="shared" ref="BO293:BO298" si="653">SUM(BK293:BN293)</f>
        <v>38.370193356400947</v>
      </c>
      <c r="BP293" s="454">
        <f>BP806</f>
        <v>10.950869354819343</v>
      </c>
      <c r="BQ293" s="454">
        <f>BQ806</f>
        <v>8.9438568296196088</v>
      </c>
      <c r="BR293" s="454">
        <f>BR806</f>
        <v>9.571782295784363</v>
      </c>
      <c r="BS293" s="454">
        <f>BS806</f>
        <v>8.754324108974</v>
      </c>
      <c r="BT293" s="3066">
        <f t="shared" ref="BT293:BT298" si="654">SUM(BP293:BS293)</f>
        <v>38.220832589197315</v>
      </c>
      <c r="BU293" s="2915">
        <f>BU806</f>
        <v>8.5779677947033761</v>
      </c>
      <c r="BV293" s="2915">
        <f>BV806</f>
        <v>9.1520087452114574</v>
      </c>
      <c r="BW293" s="2915">
        <f>BW806</f>
        <v>10.113379099871864</v>
      </c>
      <c r="BX293" s="2915">
        <f>BX806</f>
        <v>9.2380017835626234</v>
      </c>
      <c r="BY293" s="3066">
        <f t="shared" ref="BY293:BY298" si="655">SUM(BU293:BX293)</f>
        <v>37.081357423349317</v>
      </c>
      <c r="BZ293" s="455">
        <f t="shared" ref="BZ293:CF293" si="656">BZ806</f>
        <v>38.288060215350328</v>
      </c>
      <c r="CA293" s="455">
        <f t="shared" si="656"/>
        <v>38.288060215350328</v>
      </c>
      <c r="CB293" s="455">
        <f t="shared" si="656"/>
        <v>35.930841500981998</v>
      </c>
      <c r="CC293" s="455">
        <f t="shared" si="656"/>
        <v>33.71245569344012</v>
      </c>
      <c r="CD293" s="455">
        <f t="shared" si="656"/>
        <v>34.613080267567923</v>
      </c>
      <c r="CE293" s="455">
        <f t="shared" si="656"/>
        <v>35.535006087780872</v>
      </c>
      <c r="CF293" s="455">
        <f t="shared" si="656"/>
        <v>36.478692066546685</v>
      </c>
      <c r="CG293" s="588"/>
      <c r="CH293" s="588"/>
      <c r="CI293" s="588"/>
      <c r="CJ293" s="588"/>
      <c r="CK293" s="331"/>
      <c r="CL293" s="1277" t="str">
        <f t="shared" ref="CL293:CL302" si="657">A293</f>
        <v>Hollywood Aurora (IL)</v>
      </c>
      <c r="CM293" s="454">
        <f t="shared" ref="CM293:CM301" si="658">G293</f>
        <v>69.007999999999996</v>
      </c>
      <c r="CN293" s="454">
        <f t="shared" ref="CN293:CN301" si="659">L293</f>
        <v>75.106000000000009</v>
      </c>
      <c r="CO293" s="454">
        <f t="shared" ref="CO293:CO301" si="660">Q293</f>
        <v>79.056000000000012</v>
      </c>
      <c r="CP293" s="454">
        <f t="shared" ref="CP293:CP301" si="661">V293</f>
        <v>82.405000000000001</v>
      </c>
      <c r="CQ293" s="454">
        <f t="shared" ref="CQ293:CQ301" si="662">AA293</f>
        <v>64.516000000000005</v>
      </c>
      <c r="CR293" s="454">
        <f t="shared" ref="CR293:CR301" si="663">AF293</f>
        <v>56.894999999999996</v>
      </c>
      <c r="CS293" s="454">
        <f t="shared" ref="CS293:CS301" si="664">AK293</f>
        <v>51.813000000000002</v>
      </c>
      <c r="CT293" s="454">
        <f t="shared" ref="CT293:CT301" si="665">AP293</f>
        <v>54.015139000000005</v>
      </c>
      <c r="CU293" s="454">
        <f t="shared" ref="CU293:CU301" si="666">AU293</f>
        <v>49.796918194999982</v>
      </c>
      <c r="CV293" s="454">
        <f t="shared" ref="CV293:CV301" si="667">AZ293</f>
        <v>49.459153767099991</v>
      </c>
      <c r="CW293" s="454">
        <f t="shared" ref="CW293:CW301" si="668">BE293</f>
        <v>41.046364158789999</v>
      </c>
      <c r="CX293" s="454">
        <f t="shared" ref="CX293:CX301" si="669">BJ293</f>
        <v>38.899114826052298</v>
      </c>
      <c r="CY293" s="454">
        <f t="shared" ref="CY293:CY301" si="670">BO293</f>
        <v>38.370193356400947</v>
      </c>
      <c r="CZ293" s="454">
        <f t="shared" ref="CZ293:CZ301" si="671">BT293</f>
        <v>38.220832589197315</v>
      </c>
      <c r="DA293" s="454">
        <f t="shared" ref="DA293:DA301" si="672">BY293</f>
        <v>37.081357423349317</v>
      </c>
      <c r="DB293" s="454">
        <f t="shared" ref="DB293:DB301" si="673">BZ293</f>
        <v>38.288060215350328</v>
      </c>
      <c r="DC293" s="1666">
        <f t="shared" ref="DC293:DC301" si="674">CA293</f>
        <v>38.288060215350328</v>
      </c>
      <c r="DD293" s="331"/>
      <c r="DE293" s="331"/>
      <c r="DF293" s="502"/>
      <c r="DG293" s="503"/>
      <c r="DH293" s="2915"/>
      <c r="DI293" s="3213"/>
      <c r="DJ293" s="502"/>
      <c r="DK293" s="503"/>
      <c r="DL293" s="502"/>
      <c r="DM293" s="502"/>
      <c r="DN293" s="502"/>
      <c r="DO293" s="502"/>
      <c r="DP293" s="503"/>
      <c r="DQ293" s="503"/>
      <c r="DR293" s="296"/>
      <c r="DS293" s="296"/>
      <c r="DT293" s="296"/>
    </row>
    <row r="294" spans="1:130" ht="12.6" customHeight="1" outlineLevel="1" x14ac:dyDescent="0.25">
      <c r="A294" s="391" t="s">
        <v>1786</v>
      </c>
      <c r="B294" s="281"/>
      <c r="C294" s="453" t="s">
        <v>2011</v>
      </c>
      <c r="D294" s="453" t="s">
        <v>2011</v>
      </c>
      <c r="E294" s="453" t="s">
        <v>2011</v>
      </c>
      <c r="F294" s="453" t="s">
        <v>2011</v>
      </c>
      <c r="G294" s="447">
        <f t="shared" si="641"/>
        <v>0</v>
      </c>
      <c r="H294" s="453" t="s">
        <v>2011</v>
      </c>
      <c r="I294" s="453" t="s">
        <v>2011</v>
      </c>
      <c r="J294" s="453" t="s">
        <v>2011</v>
      </c>
      <c r="K294" s="446">
        <f>K837</f>
        <v>15.917</v>
      </c>
      <c r="L294" s="447">
        <f t="shared" si="642"/>
        <v>15.917</v>
      </c>
      <c r="M294" s="446">
        <f>M837</f>
        <v>17.521000000000001</v>
      </c>
      <c r="N294" s="446">
        <f>N837</f>
        <v>17.263000000000002</v>
      </c>
      <c r="O294" s="446">
        <f>O837</f>
        <v>13.784000000000001</v>
      </c>
      <c r="P294" s="446">
        <f>P837</f>
        <v>12.176</v>
      </c>
      <c r="Q294" s="447">
        <f t="shared" si="643"/>
        <v>60.744000000000007</v>
      </c>
      <c r="R294" s="446">
        <f>R837</f>
        <v>13.246</v>
      </c>
      <c r="S294" s="446">
        <f>S837</f>
        <v>14.132</v>
      </c>
      <c r="T294" s="446">
        <f>T837</f>
        <v>11.154999999999999</v>
      </c>
      <c r="U294" s="446">
        <f>U837</f>
        <v>12.141999999999999</v>
      </c>
      <c r="V294" s="447">
        <f t="shared" si="644"/>
        <v>50.674999999999997</v>
      </c>
      <c r="W294" s="446">
        <f>W837</f>
        <v>9.5470000000000006</v>
      </c>
      <c r="X294" s="446">
        <f>X837</f>
        <v>12.577999999999999</v>
      </c>
      <c r="Y294" s="446">
        <f>Y837</f>
        <v>10.46</v>
      </c>
      <c r="Z294" s="446">
        <f>Z837</f>
        <v>8.5090000000000003</v>
      </c>
      <c r="AA294" s="447">
        <f t="shared" si="645"/>
        <v>41.094000000000001</v>
      </c>
      <c r="AB294" s="446">
        <f>AB837</f>
        <v>7.3380000000000001</v>
      </c>
      <c r="AC294" s="446">
        <f>AC837</f>
        <v>-0.61899999999999999</v>
      </c>
      <c r="AD294" s="446">
        <f>AD837</f>
        <v>10.75</v>
      </c>
      <c r="AE294" s="454">
        <f>AE837</f>
        <v>6.2480000000000002</v>
      </c>
      <c r="AF294" s="455">
        <f t="shared" si="646"/>
        <v>23.717000000000002</v>
      </c>
      <c r="AG294" s="1724">
        <f>AG837</f>
        <v>8.5540000000000003</v>
      </c>
      <c r="AH294" s="454">
        <f>AH837</f>
        <v>10.010999999999999</v>
      </c>
      <c r="AI294" s="454">
        <f>AI837</f>
        <v>8.01</v>
      </c>
      <c r="AJ294" s="454">
        <f>AJ837</f>
        <v>6.5439999999999996</v>
      </c>
      <c r="AK294" s="455">
        <f t="shared" si="647"/>
        <v>33.118999999999993</v>
      </c>
      <c r="AL294" s="454">
        <f>AL837</f>
        <v>8.0440000000000005</v>
      </c>
      <c r="AM294" s="454">
        <f>AM837</f>
        <v>9.3279999999999994</v>
      </c>
      <c r="AN294" s="454">
        <f>AN837</f>
        <v>6.4061194499999985</v>
      </c>
      <c r="AO294" s="454">
        <f>AO837</f>
        <v>4.1658345000000025</v>
      </c>
      <c r="AP294" s="456">
        <f t="shared" si="648"/>
        <v>27.943953950000001</v>
      </c>
      <c r="AQ294" s="456">
        <f>AQ837</f>
        <v>6.2354867250000012</v>
      </c>
      <c r="AR294" s="454">
        <f>AR837</f>
        <v>7.5184889749999968</v>
      </c>
      <c r="AS294" s="454">
        <f>AS837</f>
        <v>10.671751002500002</v>
      </c>
      <c r="AT294" s="454">
        <f>AT837</f>
        <v>8.8139056000000018</v>
      </c>
      <c r="AU294" s="455">
        <f t="shared" si="649"/>
        <v>33.239632302499999</v>
      </c>
      <c r="AV294" s="454">
        <f>AV837</f>
        <v>8.2212558874999999</v>
      </c>
      <c r="AW294" s="454">
        <f>AW837</f>
        <v>9.5517765720000014</v>
      </c>
      <c r="AX294" s="454">
        <f>AX837</f>
        <v>7.1953378073250001</v>
      </c>
      <c r="AY294" s="1666">
        <f>AY837</f>
        <v>6.8423966570000019</v>
      </c>
      <c r="AZ294" s="1666">
        <f t="shared" si="650"/>
        <v>31.810766923825003</v>
      </c>
      <c r="BA294" s="454">
        <f>BA837</f>
        <v>4.7735303047499968</v>
      </c>
      <c r="BB294" s="454">
        <f>BB837</f>
        <v>8.1583086713599968</v>
      </c>
      <c r="BC294" s="454">
        <f>BC837</f>
        <v>6.9896241165784971</v>
      </c>
      <c r="BD294" s="1666">
        <f>BD837</f>
        <v>6.952324650219996</v>
      </c>
      <c r="BE294" s="455">
        <f t="shared" si="651"/>
        <v>26.873787742908487</v>
      </c>
      <c r="BF294" s="454">
        <f>BF837</f>
        <v>5.4574661020724982</v>
      </c>
      <c r="BG294" s="454">
        <f>BG837</f>
        <v>8.7624739406257959</v>
      </c>
      <c r="BH294" s="454">
        <f>BH837</f>
        <v>7.8994942199640015</v>
      </c>
      <c r="BI294" s="1666">
        <f>BI837</f>
        <v>6.5903780816788</v>
      </c>
      <c r="BJ294" s="455">
        <f t="shared" si="652"/>
        <v>28.709812344341096</v>
      </c>
      <c r="BK294" s="454">
        <f>BK837</f>
        <v>6.6370759493053946</v>
      </c>
      <c r="BL294" s="454">
        <f>BL837</f>
        <v>6.3670964638320413</v>
      </c>
      <c r="BM294" s="454">
        <f>BM837</f>
        <v>5.3527575030075667</v>
      </c>
      <c r="BN294" s="1666">
        <f>BN837</f>
        <v>5.4386984583809479</v>
      </c>
      <c r="BO294" s="455">
        <f t="shared" si="653"/>
        <v>23.79562837452595</v>
      </c>
      <c r="BP294" s="454">
        <f>BP837</f>
        <v>6.2316467564026254</v>
      </c>
      <c r="BQ294" s="454">
        <f>BQ837</f>
        <v>6.1819133381578624</v>
      </c>
      <c r="BR294" s="454">
        <f>BR837</f>
        <v>6.7089254425190816</v>
      </c>
      <c r="BS294" s="454">
        <f>BS837</f>
        <v>5.5903671359661828</v>
      </c>
      <c r="BT294" s="3066">
        <f t="shared" si="654"/>
        <v>24.712852673045752</v>
      </c>
      <c r="BU294" s="2915">
        <f>BU837</f>
        <v>5.5832492534059739</v>
      </c>
      <c r="BV294" s="2915">
        <f>BV837</f>
        <v>6.2804643797203639</v>
      </c>
      <c r="BW294" s="2915">
        <f>BW837</f>
        <v>7.2465462964938894</v>
      </c>
      <c r="BX294" s="2915">
        <f>BX837</f>
        <v>5.9616331391286828</v>
      </c>
      <c r="BY294" s="3066">
        <f t="shared" si="655"/>
        <v>25.07189306874891</v>
      </c>
      <c r="BZ294" s="455">
        <f t="shared" ref="BZ294:CF294" si="675">BZ837</f>
        <v>25.568544672606919</v>
      </c>
      <c r="CA294" s="455">
        <f t="shared" si="675"/>
        <v>24.176303603515919</v>
      </c>
      <c r="CB294" s="455">
        <f t="shared" si="675"/>
        <v>26.240368247701255</v>
      </c>
      <c r="CC294" s="455">
        <f t="shared" si="675"/>
        <v>24.430730764946489</v>
      </c>
      <c r="CD294" s="455">
        <f t="shared" si="675"/>
        <v>25.199471879374727</v>
      </c>
      <c r="CE294" s="455">
        <f t="shared" si="675"/>
        <v>25.98821408108283</v>
      </c>
      <c r="CF294" s="455">
        <f t="shared" si="675"/>
        <v>26.797403654466279</v>
      </c>
      <c r="CG294" s="588"/>
      <c r="CH294" s="588"/>
      <c r="CI294" s="588"/>
      <c r="CJ294" s="588"/>
      <c r="CK294" s="331"/>
      <c r="CL294" s="1277" t="str">
        <f t="shared" si="657"/>
        <v>Hollywood Casino Joliet (IL)</v>
      </c>
      <c r="CM294" s="454">
        <f t="shared" si="658"/>
        <v>0</v>
      </c>
      <c r="CN294" s="454">
        <f t="shared" si="659"/>
        <v>15.917</v>
      </c>
      <c r="CO294" s="454">
        <f t="shared" si="660"/>
        <v>60.744000000000007</v>
      </c>
      <c r="CP294" s="454">
        <f t="shared" si="661"/>
        <v>50.674999999999997</v>
      </c>
      <c r="CQ294" s="454">
        <f t="shared" si="662"/>
        <v>41.094000000000001</v>
      </c>
      <c r="CR294" s="454">
        <f t="shared" si="663"/>
        <v>23.717000000000002</v>
      </c>
      <c r="CS294" s="454">
        <f t="shared" si="664"/>
        <v>33.118999999999993</v>
      </c>
      <c r="CT294" s="454">
        <f t="shared" si="665"/>
        <v>27.943953950000001</v>
      </c>
      <c r="CU294" s="454">
        <f t="shared" si="666"/>
        <v>33.239632302499999</v>
      </c>
      <c r="CV294" s="454">
        <f t="shared" si="667"/>
        <v>31.810766923825003</v>
      </c>
      <c r="CW294" s="454">
        <f t="shared" si="668"/>
        <v>26.873787742908487</v>
      </c>
      <c r="CX294" s="454">
        <f t="shared" si="669"/>
        <v>28.709812344341096</v>
      </c>
      <c r="CY294" s="454">
        <f t="shared" si="670"/>
        <v>23.79562837452595</v>
      </c>
      <c r="CZ294" s="454">
        <f t="shared" si="671"/>
        <v>24.712852673045752</v>
      </c>
      <c r="DA294" s="454">
        <f t="shared" si="672"/>
        <v>25.07189306874891</v>
      </c>
      <c r="DB294" s="454">
        <f t="shared" si="673"/>
        <v>25.568544672606919</v>
      </c>
      <c r="DC294" s="1666">
        <f t="shared" si="674"/>
        <v>24.176303603515919</v>
      </c>
      <c r="DD294" s="331"/>
      <c r="DE294" s="331"/>
      <c r="DF294" s="502"/>
      <c r="DG294" s="503"/>
      <c r="DH294" s="2915"/>
      <c r="DI294" s="3213"/>
      <c r="DJ294" s="502"/>
      <c r="DK294" s="503"/>
      <c r="DL294" s="502"/>
      <c r="DM294" s="502"/>
      <c r="DN294" s="502"/>
      <c r="DO294" s="502"/>
      <c r="DP294" s="503"/>
      <c r="DQ294" s="503"/>
      <c r="DR294" s="296"/>
      <c r="DS294" s="296"/>
      <c r="DT294" s="296"/>
    </row>
    <row r="295" spans="1:130" ht="12.6" customHeight="1" outlineLevel="1" x14ac:dyDescent="0.25">
      <c r="A295" s="391" t="s">
        <v>1020</v>
      </c>
      <c r="B295" s="281"/>
      <c r="C295" s="453" t="s">
        <v>2011</v>
      </c>
      <c r="D295" s="453" t="s">
        <v>2011</v>
      </c>
      <c r="E295" s="453" t="s">
        <v>2011</v>
      </c>
      <c r="F295" s="453" t="s">
        <v>2011</v>
      </c>
      <c r="G295" s="447">
        <f t="shared" si="641"/>
        <v>0</v>
      </c>
      <c r="H295" s="453" t="s">
        <v>2011</v>
      </c>
      <c r="I295" s="453" t="s">
        <v>2011</v>
      </c>
      <c r="J295" s="453" t="s">
        <v>2011</v>
      </c>
      <c r="K295" s="446">
        <f>K868</f>
        <v>5.2050000000000001</v>
      </c>
      <c r="L295" s="447">
        <f t="shared" si="642"/>
        <v>5.2050000000000001</v>
      </c>
      <c r="M295" s="446">
        <f>M868</f>
        <v>8.1829999999999998</v>
      </c>
      <c r="N295" s="446">
        <f>N868</f>
        <v>7.6920000000000002</v>
      </c>
      <c r="O295" s="446">
        <f>O868</f>
        <v>7.6379999999999999</v>
      </c>
      <c r="P295" s="446">
        <f>P868</f>
        <v>6.952</v>
      </c>
      <c r="Q295" s="447">
        <f t="shared" si="643"/>
        <v>30.464999999999996</v>
      </c>
      <c r="R295" s="446">
        <f>R868</f>
        <v>8.7899999999999991</v>
      </c>
      <c r="S295" s="446">
        <f>S868</f>
        <v>8.6270000000000007</v>
      </c>
      <c r="T295" s="446">
        <f>T868</f>
        <v>11.558</v>
      </c>
      <c r="U295" s="446">
        <f>U868</f>
        <v>8.65</v>
      </c>
      <c r="V295" s="447">
        <f t="shared" si="644"/>
        <v>37.625</v>
      </c>
      <c r="W295" s="446">
        <f>W868</f>
        <v>5.1470000000000002</v>
      </c>
      <c r="X295" s="446">
        <f>X868</f>
        <v>5.7130000000000001</v>
      </c>
      <c r="Y295" s="446">
        <f>Y868</f>
        <v>5.4880000000000004</v>
      </c>
      <c r="Z295" s="446">
        <f>Z868</f>
        <v>3.4809999999999999</v>
      </c>
      <c r="AA295" s="447">
        <f t="shared" si="645"/>
        <v>19.829000000000001</v>
      </c>
      <c r="AB295" s="446">
        <f>AB868</f>
        <v>4.8780000000000001</v>
      </c>
      <c r="AC295" s="446">
        <f>AC868</f>
        <v>4.92</v>
      </c>
      <c r="AD295" s="446">
        <f>AD868</f>
        <v>4.7789999999999999</v>
      </c>
      <c r="AE295" s="454">
        <f>AE868</f>
        <v>4.1849999999999996</v>
      </c>
      <c r="AF295" s="455">
        <f t="shared" si="646"/>
        <v>18.762</v>
      </c>
      <c r="AG295" s="1724">
        <f>AG868</f>
        <v>4.2069999999999999</v>
      </c>
      <c r="AH295" s="454">
        <f>AH868</f>
        <v>3.758</v>
      </c>
      <c r="AI295" s="454">
        <f>AI868</f>
        <v>4.7949999999999999</v>
      </c>
      <c r="AJ295" s="454">
        <f>AJ868</f>
        <v>3.7170000000000001</v>
      </c>
      <c r="AK295" s="455">
        <f t="shared" si="647"/>
        <v>16.477</v>
      </c>
      <c r="AL295" s="454">
        <f>AL868</f>
        <v>5.0110000000000001</v>
      </c>
      <c r="AM295" s="454">
        <f>AM868</f>
        <v>4.9720000000000004</v>
      </c>
      <c r="AN295" s="454">
        <f>AN868</f>
        <v>4.2199808450000038</v>
      </c>
      <c r="AO295" s="454">
        <f>AO868</f>
        <v>3.7776943750000047</v>
      </c>
      <c r="AP295" s="456">
        <f t="shared" si="648"/>
        <v>17.980675220000009</v>
      </c>
      <c r="AQ295" s="456">
        <f>AQ868</f>
        <v>4.8417521250000028</v>
      </c>
      <c r="AR295" s="454">
        <f>AR868</f>
        <v>4.6026373450000015</v>
      </c>
      <c r="AS295" s="454">
        <f>AS868</f>
        <v>4.8554060277500035</v>
      </c>
      <c r="AT295" s="454">
        <f>AT868</f>
        <v>4.3131135812500041</v>
      </c>
      <c r="AU295" s="455">
        <f t="shared" si="649"/>
        <v>18.612909079000012</v>
      </c>
      <c r="AV295" s="454">
        <f>AV868</f>
        <v>5.0264877250000026</v>
      </c>
      <c r="AW295" s="454">
        <f>AW868</f>
        <v>3.6228446027500034</v>
      </c>
      <c r="AX295" s="454">
        <f>AX868</f>
        <v>3.7428076041400029</v>
      </c>
      <c r="AY295" s="1666">
        <f>AY868</f>
        <v>3.1530397422500052</v>
      </c>
      <c r="AZ295" s="1666">
        <f t="shared" si="650"/>
        <v>15.545179674140014</v>
      </c>
      <c r="BA295" s="454">
        <f>BA868</f>
        <v>2.8536290700000002</v>
      </c>
      <c r="BB295" s="454">
        <f>BB868</f>
        <v>2.7632666066062495</v>
      </c>
      <c r="BC295" s="454">
        <f>BC868</f>
        <v>2.6801786078920014</v>
      </c>
      <c r="BD295" s="1666">
        <f>BD868</f>
        <v>2.3768491106437519</v>
      </c>
      <c r="BE295" s="455">
        <f t="shared" si="651"/>
        <v>10.673923395142003</v>
      </c>
      <c r="BF295" s="454">
        <f>BF868</f>
        <v>2.9958666058374988</v>
      </c>
      <c r="BG295" s="454">
        <f>BG868</f>
        <v>3.1032893826133758</v>
      </c>
      <c r="BH295" s="454">
        <f>BH868</f>
        <v>2.3301689161255812</v>
      </c>
      <c r="BI295" s="1666">
        <f>BI868</f>
        <v>2.1189838324376886</v>
      </c>
      <c r="BJ295" s="455">
        <f t="shared" si="652"/>
        <v>10.548308737014144</v>
      </c>
      <c r="BK295" s="454">
        <f>BK868</f>
        <v>2.7142893602331242</v>
      </c>
      <c r="BL295" s="454">
        <f>BL868</f>
        <v>2.4236224763633736</v>
      </c>
      <c r="BM295" s="454">
        <f>BM868</f>
        <v>2.5426128543887021</v>
      </c>
      <c r="BN295" s="1666">
        <f>BN868</f>
        <v>1.4447919261876887</v>
      </c>
      <c r="BO295" s="455">
        <f t="shared" si="653"/>
        <v>9.1253166171728886</v>
      </c>
      <c r="BP295" s="454">
        <f>BP868</f>
        <v>2.6245198815964699</v>
      </c>
      <c r="BQ295" s="454">
        <f>BQ868</f>
        <v>1.4404953419202062</v>
      </c>
      <c r="BR295" s="454">
        <f>BR868</f>
        <v>1.3311617393009278</v>
      </c>
      <c r="BS295" s="454">
        <f>BS868</f>
        <v>1.3060982896639342</v>
      </c>
      <c r="BT295" s="3066">
        <f t="shared" si="654"/>
        <v>6.7022752524815381</v>
      </c>
      <c r="BU295" s="2915">
        <f>BU868</f>
        <v>1.7811484936102921</v>
      </c>
      <c r="BV295" s="2915">
        <f>BV868</f>
        <v>1.4697905371260056</v>
      </c>
      <c r="BW295" s="2915">
        <f>BW868</f>
        <v>2.0894337647024077</v>
      </c>
      <c r="BX295" s="2915">
        <f>BX868</f>
        <v>1.4835809453922941</v>
      </c>
      <c r="BY295" s="3066">
        <f t="shared" si="655"/>
        <v>6.8239537408309996</v>
      </c>
      <c r="BZ295" s="455">
        <f t="shared" ref="BZ295:CF295" si="676">BZ868</f>
        <v>7.1936261364075733</v>
      </c>
      <c r="CA295" s="455">
        <f t="shared" si="676"/>
        <v>6.238998994393576</v>
      </c>
      <c r="CB295" s="455">
        <f t="shared" si="676"/>
        <v>5.0304409343547647</v>
      </c>
      <c r="CC295" s="455">
        <f t="shared" si="676"/>
        <v>3.8870215206274636</v>
      </c>
      <c r="CD295" s="455">
        <f t="shared" si="676"/>
        <v>4.0859509240396505</v>
      </c>
      <c r="CE295" s="455">
        <f t="shared" si="676"/>
        <v>4.295165805250079</v>
      </c>
      <c r="CF295" s="455">
        <f t="shared" si="676"/>
        <v>4.5148949427120044</v>
      </c>
      <c r="CG295" s="588"/>
      <c r="CH295" s="588"/>
      <c r="CI295" s="588"/>
      <c r="CJ295" s="588"/>
      <c r="CK295" s="331"/>
      <c r="CL295" s="1277" t="str">
        <f t="shared" si="657"/>
        <v>Argosy Alton (IL)</v>
      </c>
      <c r="CM295" s="454">
        <f t="shared" si="658"/>
        <v>0</v>
      </c>
      <c r="CN295" s="454">
        <f t="shared" si="659"/>
        <v>5.2050000000000001</v>
      </c>
      <c r="CO295" s="454">
        <f t="shared" si="660"/>
        <v>30.464999999999996</v>
      </c>
      <c r="CP295" s="454">
        <f t="shared" si="661"/>
        <v>37.625</v>
      </c>
      <c r="CQ295" s="454">
        <f t="shared" si="662"/>
        <v>19.829000000000001</v>
      </c>
      <c r="CR295" s="454">
        <f t="shared" si="663"/>
        <v>18.762</v>
      </c>
      <c r="CS295" s="454">
        <f t="shared" si="664"/>
        <v>16.477</v>
      </c>
      <c r="CT295" s="454">
        <f t="shared" si="665"/>
        <v>17.980675220000009</v>
      </c>
      <c r="CU295" s="454">
        <f t="shared" si="666"/>
        <v>18.612909079000012</v>
      </c>
      <c r="CV295" s="454">
        <f t="shared" si="667"/>
        <v>15.545179674140014</v>
      </c>
      <c r="CW295" s="454">
        <f t="shared" si="668"/>
        <v>10.673923395142003</v>
      </c>
      <c r="CX295" s="454">
        <f t="shared" si="669"/>
        <v>10.548308737014144</v>
      </c>
      <c r="CY295" s="454">
        <f t="shared" si="670"/>
        <v>9.1253166171728886</v>
      </c>
      <c r="CZ295" s="454">
        <f t="shared" si="671"/>
        <v>6.7022752524815381</v>
      </c>
      <c r="DA295" s="454">
        <f t="shared" si="672"/>
        <v>6.8239537408309996</v>
      </c>
      <c r="DB295" s="454">
        <f t="shared" si="673"/>
        <v>7.1936261364075733</v>
      </c>
      <c r="DC295" s="1666">
        <f t="shared" si="674"/>
        <v>6.238998994393576</v>
      </c>
      <c r="DD295" s="331"/>
      <c r="DE295" s="331"/>
      <c r="DF295" s="502"/>
      <c r="DG295" s="503"/>
      <c r="DH295" s="2915"/>
      <c r="DI295" s="3213"/>
      <c r="DJ295" s="502"/>
      <c r="DK295" s="503"/>
      <c r="DL295" s="502"/>
      <c r="DM295" s="502"/>
      <c r="DN295" s="502"/>
      <c r="DO295" s="502"/>
      <c r="DP295" s="503"/>
      <c r="DQ295" s="503"/>
      <c r="DR295" s="296"/>
      <c r="DS295" s="296"/>
      <c r="DT295" s="296"/>
    </row>
    <row r="296" spans="1:130" ht="12.6" customHeight="1" outlineLevel="1" x14ac:dyDescent="0.25">
      <c r="A296" s="2189" t="s">
        <v>1092</v>
      </c>
      <c r="B296" s="882"/>
      <c r="C296" s="2668" t="s">
        <v>2011</v>
      </c>
      <c r="D296" s="2668" t="s">
        <v>2011</v>
      </c>
      <c r="E296" s="2668" t="s">
        <v>2011</v>
      </c>
      <c r="F296" s="2668" t="s">
        <v>2011</v>
      </c>
      <c r="G296" s="475">
        <f>SUM(C296:F296)</f>
        <v>0</v>
      </c>
      <c r="H296" s="2668" t="s">
        <v>2011</v>
      </c>
      <c r="I296" s="2668" t="s">
        <v>2011</v>
      </c>
      <c r="J296" s="2668" t="s">
        <v>2011</v>
      </c>
      <c r="K296" s="452">
        <f>K899</f>
        <v>35.536000000000001</v>
      </c>
      <c r="L296" s="475">
        <f>SUM(H296:K296)</f>
        <v>35.536000000000001</v>
      </c>
      <c r="M296" s="452">
        <f>M899</f>
        <v>40.759</v>
      </c>
      <c r="N296" s="452">
        <f>N899</f>
        <v>37.981999999999999</v>
      </c>
      <c r="O296" s="452">
        <f>O899</f>
        <v>39.851999999999997</v>
      </c>
      <c r="P296" s="452">
        <f>P899</f>
        <v>38.033000000000001</v>
      </c>
      <c r="Q296" s="475">
        <f>SUM(M296:P296)</f>
        <v>156.62599999999998</v>
      </c>
      <c r="R296" s="452">
        <f>R899</f>
        <v>41.706000000000003</v>
      </c>
      <c r="S296" s="452">
        <f>S899</f>
        <v>40.82</v>
      </c>
      <c r="T296" s="452">
        <f>T899</f>
        <v>41.381999999999998</v>
      </c>
      <c r="U296" s="452">
        <f>U899</f>
        <v>35.895000000000003</v>
      </c>
      <c r="V296" s="475">
        <f>SUM(R296:U296)</f>
        <v>159.80300000000003</v>
      </c>
      <c r="W296" s="452">
        <f>W899</f>
        <v>39.271999999999998</v>
      </c>
      <c r="X296" s="452">
        <f>X899</f>
        <v>35.585999999999999</v>
      </c>
      <c r="Y296" s="452">
        <f>Y899</f>
        <v>34.040999999999997</v>
      </c>
      <c r="Z296" s="452">
        <f>Z899</f>
        <v>27.163</v>
      </c>
      <c r="AA296" s="475">
        <f>SUM(W296:Z296)</f>
        <v>136.06200000000001</v>
      </c>
      <c r="AB296" s="452">
        <f>AB899</f>
        <v>30.861000000000001</v>
      </c>
      <c r="AC296" s="452">
        <f>AC899</f>
        <v>27.111000000000001</v>
      </c>
      <c r="AD296" s="452">
        <f>AD899</f>
        <v>37.609000000000002</v>
      </c>
      <c r="AE296" s="476">
        <f>AE899</f>
        <v>32.893999999999998</v>
      </c>
      <c r="AF296" s="477">
        <f>SUM(AB296:AE296)</f>
        <v>128.47499999999999</v>
      </c>
      <c r="AG296" s="476">
        <f>AG899</f>
        <v>33.832000000000001</v>
      </c>
      <c r="AH296" s="476">
        <f>AH899</f>
        <v>33.481999999999999</v>
      </c>
      <c r="AI296" s="476">
        <f>AI899</f>
        <v>33.563000000000002</v>
      </c>
      <c r="AJ296" s="476">
        <f>AJ899</f>
        <v>32.14</v>
      </c>
      <c r="AK296" s="477">
        <f>SUM(AG296:AJ296)</f>
        <v>133.017</v>
      </c>
      <c r="AL296" s="476">
        <f>AL899</f>
        <v>36.118000000000002</v>
      </c>
      <c r="AM296" s="476">
        <f>AM899</f>
        <v>36.133000000000003</v>
      </c>
      <c r="AN296" s="476">
        <f>AN899</f>
        <v>35.832480248500019</v>
      </c>
      <c r="AO296" s="476">
        <f>AO899</f>
        <v>35.201270478400005</v>
      </c>
      <c r="AP296" s="478">
        <f>SUM(AL296:AO296)</f>
        <v>143.28475072690003</v>
      </c>
      <c r="AQ296" s="478">
        <f>AQ899</f>
        <v>42.645261753899987</v>
      </c>
      <c r="AR296" s="476">
        <f>AR899</f>
        <v>36.206592349499999</v>
      </c>
      <c r="AS296" s="476">
        <f>AS899</f>
        <v>33.479529517799989</v>
      </c>
      <c r="AT296" s="476">
        <f>AT899</f>
        <v>24.395325990890015</v>
      </c>
      <c r="AU296" s="477">
        <f>SUM(AQ296:AT296)</f>
        <v>136.72670961208999</v>
      </c>
      <c r="AV296" s="476">
        <f>AV899</f>
        <v>35.821195800587979</v>
      </c>
      <c r="AW296" s="476">
        <f>AW899</f>
        <v>23.969203980874994</v>
      </c>
      <c r="AX296" s="476">
        <f>AX899</f>
        <v>21.007396537099993</v>
      </c>
      <c r="AY296" s="682">
        <f>AY899</f>
        <v>16.078809671123004</v>
      </c>
      <c r="AZ296" s="682">
        <f>SUM(AV296:AY296)</f>
        <v>96.87660598968597</v>
      </c>
      <c r="BA296" s="476">
        <f>BA899</f>
        <v>12.973291251529204</v>
      </c>
      <c r="BB296" s="476">
        <f>BB899</f>
        <v>15.882818195581251</v>
      </c>
      <c r="BC296" s="476">
        <f>BC899</f>
        <v>16.243374180495003</v>
      </c>
      <c r="BD296" s="682">
        <f>BD899</f>
        <v>16.891246331066853</v>
      </c>
      <c r="BE296" s="477">
        <f>SUM(BA296:BD296)</f>
        <v>61.990729958672311</v>
      </c>
      <c r="BF296" s="476">
        <f>BF899</f>
        <v>12.311044801963043</v>
      </c>
      <c r="BG296" s="476">
        <f>BG899</f>
        <v>15.398953601052195</v>
      </c>
      <c r="BH296" s="476">
        <f>BH899</f>
        <v>15.11249824872025</v>
      </c>
      <c r="BI296" s="682">
        <f>BI899</f>
        <v>16.460755727845523</v>
      </c>
      <c r="BJ296" s="477">
        <f>SUM(BF296:BI296)</f>
        <v>59.283252379581015</v>
      </c>
      <c r="BK296" s="476">
        <f>BK899</f>
        <v>12.530451472976473</v>
      </c>
      <c r="BL296" s="476">
        <f>BL899</f>
        <v>14.464743947910101</v>
      </c>
      <c r="BM296" s="476">
        <f>BM899</f>
        <v>15.316184928720247</v>
      </c>
      <c r="BN296" s="682">
        <f>BN899</f>
        <v>15.447552496598966</v>
      </c>
      <c r="BO296" s="477">
        <f>SUM(BK296:BN296)</f>
        <v>57.758932846205788</v>
      </c>
      <c r="BP296" s="476">
        <f>BP899</f>
        <v>11.863654245743117</v>
      </c>
      <c r="BQ296" s="476">
        <f>BQ899</f>
        <v>14.299441185410103</v>
      </c>
      <c r="BR296" s="476">
        <f>BR899</f>
        <v>17.278417457031264</v>
      </c>
      <c r="BS296" s="476">
        <f>BS899</f>
        <v>16.112774025042434</v>
      </c>
      <c r="BT296" s="2604">
        <f>SUM(BP296:BS296)</f>
        <v>59.554286913226917</v>
      </c>
      <c r="BU296" s="2577">
        <f>BU899</f>
        <v>11.638114433779634</v>
      </c>
      <c r="BV296" s="2577">
        <f>BV899</f>
        <v>14.831298513535099</v>
      </c>
      <c r="BW296" s="2577">
        <f>BW899</f>
        <v>17.80182714803594</v>
      </c>
      <c r="BX296" s="2577">
        <f>BX899</f>
        <v>16.430208264517429</v>
      </c>
      <c r="BY296" s="2604">
        <f t="shared" si="655"/>
        <v>60.70144835986811</v>
      </c>
      <c r="BZ296" s="477">
        <f t="shared" ref="BZ296:CF296" si="677">BZ899</f>
        <v>62.222363604428594</v>
      </c>
      <c r="CA296" s="477">
        <f t="shared" si="677"/>
        <v>61.569846413068746</v>
      </c>
      <c r="CB296" s="477">
        <f t="shared" si="677"/>
        <v>61.630197060155211</v>
      </c>
      <c r="CC296" s="477">
        <f t="shared" si="677"/>
        <v>58.345145022396949</v>
      </c>
      <c r="CD296" s="477">
        <f t="shared" si="677"/>
        <v>59.702140882448901</v>
      </c>
      <c r="CE296" s="477">
        <f t="shared" si="677"/>
        <v>61.092477589297914</v>
      </c>
      <c r="CF296" s="477">
        <f t="shared" si="677"/>
        <v>62.516883969175908</v>
      </c>
      <c r="CG296" s="2143"/>
      <c r="CH296" s="2143"/>
      <c r="CI296" s="2143"/>
      <c r="CJ296" s="2143"/>
      <c r="CK296" s="450"/>
      <c r="CL296" s="2226" t="str">
        <f t="shared" si="657"/>
        <v>Hollywood Lawrenceburg (IN)</v>
      </c>
      <c r="CM296" s="450">
        <f t="shared" si="658"/>
        <v>0</v>
      </c>
      <c r="CN296" s="450">
        <f t="shared" si="659"/>
        <v>35.536000000000001</v>
      </c>
      <c r="CO296" s="450">
        <f t="shared" si="660"/>
        <v>156.62599999999998</v>
      </c>
      <c r="CP296" s="450">
        <f t="shared" si="661"/>
        <v>159.80300000000003</v>
      </c>
      <c r="CQ296" s="450">
        <f t="shared" si="662"/>
        <v>136.06200000000001</v>
      </c>
      <c r="CR296" s="450">
        <f t="shared" si="663"/>
        <v>128.47499999999999</v>
      </c>
      <c r="CS296" s="450">
        <f t="shared" si="664"/>
        <v>133.017</v>
      </c>
      <c r="CT296" s="450">
        <f t="shared" si="665"/>
        <v>143.28475072690003</v>
      </c>
      <c r="CU296" s="450">
        <f t="shared" si="666"/>
        <v>136.72670961208999</v>
      </c>
      <c r="CV296" s="450">
        <f t="shared" si="667"/>
        <v>96.87660598968597</v>
      </c>
      <c r="CW296" s="450">
        <f t="shared" si="668"/>
        <v>61.990729958672311</v>
      </c>
      <c r="CX296" s="450">
        <f t="shared" si="669"/>
        <v>59.283252379581015</v>
      </c>
      <c r="CY296" s="450">
        <f t="shared" si="670"/>
        <v>57.758932846205788</v>
      </c>
      <c r="CZ296" s="450">
        <f t="shared" si="671"/>
        <v>59.554286913226917</v>
      </c>
      <c r="DA296" s="450">
        <f>BY296</f>
        <v>60.70144835986811</v>
      </c>
      <c r="DB296" s="450">
        <f>BZ296</f>
        <v>62.222363604428594</v>
      </c>
      <c r="DC296" s="1861">
        <f>CA296</f>
        <v>61.569846413068746</v>
      </c>
      <c r="DD296" s="450"/>
      <c r="DE296" s="450"/>
      <c r="DF296" s="2144"/>
      <c r="DG296" s="450"/>
      <c r="DH296" s="2577"/>
      <c r="DI296" s="3213"/>
      <c r="DJ296" s="2144"/>
      <c r="DK296" s="2144"/>
      <c r="DL296" s="2144"/>
      <c r="DM296" s="2144"/>
      <c r="DN296" s="2144"/>
      <c r="DO296" s="2144"/>
      <c r="DP296" s="2144"/>
      <c r="DQ296" s="2144"/>
      <c r="DR296" s="2145"/>
      <c r="DS296" s="2145"/>
      <c r="DT296" s="2145"/>
    </row>
    <row r="297" spans="1:130" ht="12.6" customHeight="1" outlineLevel="1" x14ac:dyDescent="0.25">
      <c r="A297" s="392" t="s">
        <v>1093</v>
      </c>
      <c r="B297" s="281"/>
      <c r="C297" s="453" t="s">
        <v>2011</v>
      </c>
      <c r="D297" s="453" t="s">
        <v>2011</v>
      </c>
      <c r="E297" s="453" t="s">
        <v>2011</v>
      </c>
      <c r="F297" s="453" t="s">
        <v>2011</v>
      </c>
      <c r="G297" s="447">
        <f t="shared" si="641"/>
        <v>0</v>
      </c>
      <c r="H297" s="453" t="s">
        <v>2011</v>
      </c>
      <c r="I297" s="453" t="s">
        <v>2011</v>
      </c>
      <c r="J297" s="453" t="s">
        <v>2011</v>
      </c>
      <c r="K297" s="446">
        <f>K930</f>
        <v>10.712</v>
      </c>
      <c r="L297" s="447">
        <f t="shared" si="642"/>
        <v>10.712</v>
      </c>
      <c r="M297" s="446">
        <f>M930</f>
        <v>13.157999999999999</v>
      </c>
      <c r="N297" s="446">
        <f>N930</f>
        <v>12.443</v>
      </c>
      <c r="O297" s="446">
        <f>O930</f>
        <v>11.499000000000001</v>
      </c>
      <c r="P297" s="446">
        <f>P930</f>
        <v>12.412000000000001</v>
      </c>
      <c r="Q297" s="447">
        <f t="shared" si="643"/>
        <v>49.512</v>
      </c>
      <c r="R297" s="446">
        <f>R930</f>
        <v>13.066000000000001</v>
      </c>
      <c r="S297" s="446">
        <f>S930</f>
        <v>14.071999999999999</v>
      </c>
      <c r="T297" s="446">
        <f>T930</f>
        <v>14.81</v>
      </c>
      <c r="U297" s="446">
        <f>U930</f>
        <v>14.765000000000001</v>
      </c>
      <c r="V297" s="447">
        <f t="shared" si="644"/>
        <v>56.713000000000001</v>
      </c>
      <c r="W297" s="446">
        <f>W930</f>
        <v>16.163</v>
      </c>
      <c r="X297" s="446">
        <f>X930</f>
        <v>15.641999999999999</v>
      </c>
      <c r="Y297" s="446">
        <f>Y930</f>
        <v>15.673</v>
      </c>
      <c r="Z297" s="446">
        <f>Z930</f>
        <v>16.055</v>
      </c>
      <c r="AA297" s="447">
        <f t="shared" si="645"/>
        <v>63.533000000000001</v>
      </c>
      <c r="AB297" s="446">
        <f>AB930</f>
        <v>17.396000000000001</v>
      </c>
      <c r="AC297" s="446">
        <f>AC930</f>
        <v>16.568000000000001</v>
      </c>
      <c r="AD297" s="446">
        <f>AD930</f>
        <v>16.866</v>
      </c>
      <c r="AE297" s="454">
        <f>AE930</f>
        <v>15.176</v>
      </c>
      <c r="AF297" s="455">
        <f t="shared" si="646"/>
        <v>66.006</v>
      </c>
      <c r="AG297" s="1724">
        <f>AG930</f>
        <v>17.481000000000002</v>
      </c>
      <c r="AH297" s="454">
        <f>AH930</f>
        <v>16.417000000000002</v>
      </c>
      <c r="AI297" s="454">
        <f>AI930</f>
        <v>16.128</v>
      </c>
      <c r="AJ297" s="454">
        <f>AJ930</f>
        <v>16.762</v>
      </c>
      <c r="AK297" s="455">
        <f t="shared" si="647"/>
        <v>66.788000000000011</v>
      </c>
      <c r="AL297" s="454">
        <f>AL930</f>
        <v>17.571999999999999</v>
      </c>
      <c r="AM297" s="454">
        <f>AM930</f>
        <v>18.212</v>
      </c>
      <c r="AN297" s="454">
        <f>AN930</f>
        <v>18.319349098325013</v>
      </c>
      <c r="AO297" s="454">
        <f>AO930</f>
        <v>17.316842378325006</v>
      </c>
      <c r="AP297" s="456">
        <f t="shared" si="648"/>
        <v>71.420191476650018</v>
      </c>
      <c r="AQ297" s="456">
        <f>AQ930</f>
        <v>17.266110810400001</v>
      </c>
      <c r="AR297" s="454">
        <f>AR930</f>
        <v>12.582486816399999</v>
      </c>
      <c r="AS297" s="454">
        <f>AS930</f>
        <v>13.345910697976258</v>
      </c>
      <c r="AT297" s="454">
        <f>AT930</f>
        <v>10.898177042892502</v>
      </c>
      <c r="AU297" s="455">
        <f t="shared" si="649"/>
        <v>54.092685367668764</v>
      </c>
      <c r="AV297" s="454">
        <f>AV930</f>
        <v>12.894998688299999</v>
      </c>
      <c r="AW297" s="454">
        <f>AW930</f>
        <v>13.053570361179993</v>
      </c>
      <c r="AX297" s="454">
        <f>AX930</f>
        <v>10.896720477763537</v>
      </c>
      <c r="AY297" s="1666">
        <f>AY930</f>
        <v>9.8430731757186223</v>
      </c>
      <c r="AZ297" s="1666">
        <f t="shared" si="650"/>
        <v>46.688362702962152</v>
      </c>
      <c r="BA297" s="454">
        <f>BA930</f>
        <v>10.848909796279997</v>
      </c>
      <c r="BB297" s="454">
        <f>BB930</f>
        <v>11.544229746181593</v>
      </c>
      <c r="BC297" s="454">
        <f>BC930</f>
        <v>9.0576510373689985</v>
      </c>
      <c r="BD297" s="1666">
        <f>BD930</f>
        <v>10.346763055874995</v>
      </c>
      <c r="BE297" s="455">
        <f t="shared" si="651"/>
        <v>41.797553635705583</v>
      </c>
      <c r="BF297" s="454">
        <f>BF930</f>
        <v>10.665701349282408</v>
      </c>
      <c r="BG297" s="454">
        <f>BG930</f>
        <v>11.664069948877227</v>
      </c>
      <c r="BH297" s="454">
        <f>BH930</f>
        <v>10.315081993729166</v>
      </c>
      <c r="BI297" s="1666">
        <f>BI930</f>
        <v>12.009362123373119</v>
      </c>
      <c r="BJ297" s="455">
        <f t="shared" si="652"/>
        <v>44.654215415261916</v>
      </c>
      <c r="BK297" s="454">
        <f>BK930</f>
        <v>12.824064234622334</v>
      </c>
      <c r="BL297" s="454">
        <f>BL930</f>
        <v>12.368746164727234</v>
      </c>
      <c r="BM297" s="454">
        <f>BM930</f>
        <v>11.459507704418339</v>
      </c>
      <c r="BN297" s="1666">
        <f>BN930</f>
        <v>11.637907721060511</v>
      </c>
      <c r="BO297" s="455">
        <f t="shared" si="653"/>
        <v>48.290225824828426</v>
      </c>
      <c r="BP297" s="454">
        <f>BP930</f>
        <v>12.803726960801889</v>
      </c>
      <c r="BQ297" s="454">
        <f>BQ930</f>
        <v>13.328265451688502</v>
      </c>
      <c r="BR297" s="454">
        <f>BR930</f>
        <v>11.868716822421987</v>
      </c>
      <c r="BS297" s="454">
        <f>BS930</f>
        <v>13.327076825406564</v>
      </c>
      <c r="BT297" s="3066">
        <f t="shared" si="654"/>
        <v>51.327786060318942</v>
      </c>
      <c r="BU297" s="2915">
        <f>BU930</f>
        <v>13.311116099001424</v>
      </c>
      <c r="BV297" s="2915">
        <f>BV930</f>
        <v>14.567282512785447</v>
      </c>
      <c r="BW297" s="2915">
        <f>BW930</f>
        <v>13.31304889135399</v>
      </c>
      <c r="BX297" s="2915">
        <f>BX930</f>
        <v>13.715157861672097</v>
      </c>
      <c r="BY297" s="3066">
        <f t="shared" si="655"/>
        <v>54.906605364812961</v>
      </c>
      <c r="BZ297" s="455">
        <f t="shared" ref="BZ297:CF297" si="678">BZ930</f>
        <v>56.961116621080379</v>
      </c>
      <c r="CA297" s="455">
        <f t="shared" si="678"/>
        <v>56.377821211248374</v>
      </c>
      <c r="CB297" s="455">
        <f t="shared" si="678"/>
        <v>52.355673422825276</v>
      </c>
      <c r="CC297" s="455">
        <f t="shared" si="678"/>
        <v>48.574980725659174</v>
      </c>
      <c r="CD297" s="455">
        <f t="shared" si="678"/>
        <v>50.246791217794424</v>
      </c>
      <c r="CE297" s="455">
        <f t="shared" si="678"/>
        <v>51.955581028548579</v>
      </c>
      <c r="CF297" s="455">
        <f t="shared" si="678"/>
        <v>53.702145175381801</v>
      </c>
      <c r="CG297" s="588"/>
      <c r="CH297" s="588"/>
      <c r="CI297" s="588"/>
      <c r="CJ297" s="588"/>
      <c r="CK297" s="331"/>
      <c r="CL297" s="995" t="str">
        <f t="shared" si="657"/>
        <v>Argosy Riverside (MO)</v>
      </c>
      <c r="CM297" s="454">
        <f t="shared" si="658"/>
        <v>0</v>
      </c>
      <c r="CN297" s="454">
        <f t="shared" si="659"/>
        <v>10.712</v>
      </c>
      <c r="CO297" s="454">
        <f t="shared" si="660"/>
        <v>49.512</v>
      </c>
      <c r="CP297" s="454">
        <f t="shared" si="661"/>
        <v>56.713000000000001</v>
      </c>
      <c r="CQ297" s="454">
        <f t="shared" si="662"/>
        <v>63.533000000000001</v>
      </c>
      <c r="CR297" s="454">
        <f t="shared" si="663"/>
        <v>66.006</v>
      </c>
      <c r="CS297" s="454">
        <f t="shared" si="664"/>
        <v>66.788000000000011</v>
      </c>
      <c r="CT297" s="454">
        <f t="shared" si="665"/>
        <v>71.420191476650018</v>
      </c>
      <c r="CU297" s="454">
        <f t="shared" si="666"/>
        <v>54.092685367668764</v>
      </c>
      <c r="CV297" s="454">
        <f t="shared" si="667"/>
        <v>46.688362702962152</v>
      </c>
      <c r="CW297" s="454">
        <f t="shared" si="668"/>
        <v>41.797553635705583</v>
      </c>
      <c r="CX297" s="454">
        <f t="shared" si="669"/>
        <v>44.654215415261916</v>
      </c>
      <c r="CY297" s="454">
        <f t="shared" si="670"/>
        <v>48.290225824828426</v>
      </c>
      <c r="CZ297" s="454">
        <f t="shared" si="671"/>
        <v>51.327786060318942</v>
      </c>
      <c r="DA297" s="454">
        <f t="shared" si="672"/>
        <v>54.906605364812961</v>
      </c>
      <c r="DB297" s="454">
        <f t="shared" si="673"/>
        <v>56.961116621080379</v>
      </c>
      <c r="DC297" s="1666">
        <f t="shared" si="674"/>
        <v>56.377821211248374</v>
      </c>
      <c r="DD297" s="331"/>
      <c r="DE297" s="331"/>
      <c r="DF297" s="502"/>
      <c r="DG297" s="503"/>
      <c r="DH297" s="2915"/>
      <c r="DI297" s="3213"/>
      <c r="DJ297" s="502"/>
      <c r="DK297" s="503"/>
      <c r="DL297" s="502"/>
      <c r="DM297" s="502"/>
      <c r="DN297" s="502"/>
      <c r="DO297" s="502"/>
      <c r="DP297" s="503"/>
      <c r="DQ297" s="503"/>
      <c r="DR297" s="296"/>
      <c r="DS297" s="296"/>
      <c r="DT297" s="296"/>
    </row>
    <row r="298" spans="1:130" ht="12.6" customHeight="1" outlineLevel="1" x14ac:dyDescent="0.25">
      <c r="A298" s="392" t="s">
        <v>1019</v>
      </c>
      <c r="B298" s="281"/>
      <c r="C298" s="453" t="s">
        <v>2011</v>
      </c>
      <c r="D298" s="453" t="s">
        <v>2011</v>
      </c>
      <c r="E298" s="453" t="s">
        <v>2011</v>
      </c>
      <c r="F298" s="453" t="s">
        <v>2011</v>
      </c>
      <c r="G298" s="447">
        <f t="shared" si="641"/>
        <v>0</v>
      </c>
      <c r="H298" s="453" t="s">
        <v>2011</v>
      </c>
      <c r="I298" s="453" t="s">
        <v>2011</v>
      </c>
      <c r="J298" s="453" t="s">
        <v>2011</v>
      </c>
      <c r="K298" s="446">
        <f>K961</f>
        <v>4.1580000000000004</v>
      </c>
      <c r="L298" s="447">
        <f t="shared" si="642"/>
        <v>4.1580000000000004</v>
      </c>
      <c r="M298" s="446">
        <f>M961</f>
        <v>4.718</v>
      </c>
      <c r="N298" s="446">
        <f>N961</f>
        <v>4.2510000000000003</v>
      </c>
      <c r="O298" s="446">
        <f>O961</f>
        <v>4.2149999999999999</v>
      </c>
      <c r="P298" s="446">
        <f>P961</f>
        <v>4.3849999999999998</v>
      </c>
      <c r="Q298" s="447">
        <f t="shared" si="643"/>
        <v>17.569000000000003</v>
      </c>
      <c r="R298" s="446">
        <f>R961</f>
        <v>4.6289999999999996</v>
      </c>
      <c r="S298" s="446">
        <f>S961</f>
        <v>4.6710000000000003</v>
      </c>
      <c r="T298" s="446">
        <f>T961</f>
        <v>4.4059999999999997</v>
      </c>
      <c r="U298" s="446">
        <f>U961</f>
        <v>4.056</v>
      </c>
      <c r="V298" s="447">
        <f t="shared" si="644"/>
        <v>17.762</v>
      </c>
      <c r="W298" s="446">
        <f>W961</f>
        <v>4.8520000000000003</v>
      </c>
      <c r="X298" s="446">
        <f>X961</f>
        <v>5.0419999999999998</v>
      </c>
      <c r="Y298" s="446">
        <f>Y961</f>
        <v>4.7039999999999997</v>
      </c>
      <c r="Z298" s="446">
        <f>Z961</f>
        <v>4.4800000000000004</v>
      </c>
      <c r="AA298" s="447">
        <f t="shared" si="645"/>
        <v>19.077999999999999</v>
      </c>
      <c r="AB298" s="446">
        <f>AB961</f>
        <v>4.9950000000000001</v>
      </c>
      <c r="AC298" s="446">
        <f>AC961</f>
        <v>4.7</v>
      </c>
      <c r="AD298" s="446">
        <f>AD961</f>
        <v>5.14</v>
      </c>
      <c r="AE298" s="454">
        <f>AE961</f>
        <v>4.609</v>
      </c>
      <c r="AF298" s="455">
        <f t="shared" si="646"/>
        <v>19.444000000000003</v>
      </c>
      <c r="AG298" s="1724">
        <f>AG961</f>
        <v>5.5</v>
      </c>
      <c r="AH298" s="454">
        <f>AH961</f>
        <v>5.0430000000000001</v>
      </c>
      <c r="AI298" s="454">
        <f>AI961</f>
        <v>5.0510000000000002</v>
      </c>
      <c r="AJ298" s="454">
        <f>AJ961</f>
        <v>4.8490000000000002</v>
      </c>
      <c r="AK298" s="455">
        <f t="shared" si="647"/>
        <v>20.442999999999998</v>
      </c>
      <c r="AL298" s="454">
        <f>AL961</f>
        <v>6.1070000000000002</v>
      </c>
      <c r="AM298" s="454">
        <f>AM961</f>
        <v>6.0540000000000003</v>
      </c>
      <c r="AN298" s="454">
        <f>AN961</f>
        <v>6.1380731973957623</v>
      </c>
      <c r="AO298" s="454">
        <f>AO961</f>
        <v>5.1189715827157247</v>
      </c>
      <c r="AP298" s="456">
        <f t="shared" si="648"/>
        <v>23.418044780111487</v>
      </c>
      <c r="AQ298" s="456">
        <f>AQ961</f>
        <v>6.8026488594500005</v>
      </c>
      <c r="AR298" s="454">
        <f>AR961</f>
        <v>5.7217114189</v>
      </c>
      <c r="AS298" s="454">
        <f>AS961</f>
        <v>5.3575765534660782</v>
      </c>
      <c r="AT298" s="454">
        <f>AT961</f>
        <v>5.0238308508299383</v>
      </c>
      <c r="AU298" s="455">
        <f t="shared" si="649"/>
        <v>22.905767682646015</v>
      </c>
      <c r="AV298" s="454">
        <f>AV961</f>
        <v>5.787520807161</v>
      </c>
      <c r="AW298" s="454">
        <f>AW961</f>
        <v>4.9006907202049996</v>
      </c>
      <c r="AX298" s="454">
        <f>AX961</f>
        <v>3.8267677134660794</v>
      </c>
      <c r="AY298" s="1666">
        <f>AY961</f>
        <v>3.4461680108299397</v>
      </c>
      <c r="AZ298" s="1666">
        <f t="shared" si="650"/>
        <v>17.96114725166202</v>
      </c>
      <c r="BA298" s="454">
        <f>BA961</f>
        <v>5.3717358671609974</v>
      </c>
      <c r="BB298" s="454">
        <f>BB961</f>
        <v>4.6439467802049998</v>
      </c>
      <c r="BC298" s="454">
        <f>BC961</f>
        <v>0.61487458087315705</v>
      </c>
      <c r="BD298" s="1666">
        <f>BD961</f>
        <v>0</v>
      </c>
      <c r="BE298" s="455">
        <f t="shared" si="651"/>
        <v>10.630557228239155</v>
      </c>
      <c r="BF298" s="454">
        <f>BF961</f>
        <v>0</v>
      </c>
      <c r="BG298" s="454">
        <f>BG961</f>
        <v>0</v>
      </c>
      <c r="BH298" s="454">
        <f>BH961</f>
        <v>0</v>
      </c>
      <c r="BI298" s="1666">
        <f>BI961</f>
        <v>0</v>
      </c>
      <c r="BJ298" s="455">
        <f t="shared" si="652"/>
        <v>0</v>
      </c>
      <c r="BK298" s="454">
        <f>BK961</f>
        <v>0</v>
      </c>
      <c r="BL298" s="454">
        <f>BL961</f>
        <v>0</v>
      </c>
      <c r="BM298" s="454">
        <f>BM961</f>
        <v>0</v>
      </c>
      <c r="BN298" s="1666">
        <f>BN961</f>
        <v>0</v>
      </c>
      <c r="BO298" s="455">
        <f t="shared" si="653"/>
        <v>0</v>
      </c>
      <c r="BP298" s="454">
        <f>BP961</f>
        <v>0</v>
      </c>
      <c r="BQ298" s="454">
        <f>BQ961</f>
        <v>0</v>
      </c>
      <c r="BR298" s="454">
        <f>BR961</f>
        <v>0</v>
      </c>
      <c r="BS298" s="454">
        <f>BS961</f>
        <v>0</v>
      </c>
      <c r="BT298" s="3066">
        <f t="shared" si="654"/>
        <v>0</v>
      </c>
      <c r="BU298" s="2915">
        <f>BU961</f>
        <v>0</v>
      </c>
      <c r="BV298" s="2915">
        <f>BV961</f>
        <v>0</v>
      </c>
      <c r="BW298" s="2915">
        <f>BW961</f>
        <v>0</v>
      </c>
      <c r="BX298" s="2915">
        <f>BX961</f>
        <v>0</v>
      </c>
      <c r="BY298" s="3066">
        <f t="shared" si="655"/>
        <v>0</v>
      </c>
      <c r="BZ298" s="455">
        <f t="shared" ref="BZ298:CF298" si="679">BZ961</f>
        <v>0</v>
      </c>
      <c r="CA298" s="455">
        <f t="shared" si="679"/>
        <v>0</v>
      </c>
      <c r="CB298" s="455">
        <f t="shared" si="679"/>
        <v>0</v>
      </c>
      <c r="CC298" s="455">
        <f t="shared" si="679"/>
        <v>0</v>
      </c>
      <c r="CD298" s="455">
        <f t="shared" si="679"/>
        <v>0</v>
      </c>
      <c r="CE298" s="455">
        <f t="shared" si="679"/>
        <v>0</v>
      </c>
      <c r="CF298" s="455">
        <f t="shared" si="679"/>
        <v>0</v>
      </c>
      <c r="CG298" s="588"/>
      <c r="CH298" s="588"/>
      <c r="CI298" s="588"/>
      <c r="CJ298" s="588"/>
      <c r="CK298" s="331"/>
      <c r="CL298" s="995" t="str">
        <f t="shared" si="657"/>
        <v>Argosy Sioux City (IA)</v>
      </c>
      <c r="CM298" s="454">
        <f t="shared" si="658"/>
        <v>0</v>
      </c>
      <c r="CN298" s="454">
        <f t="shared" si="659"/>
        <v>4.1580000000000004</v>
      </c>
      <c r="CO298" s="454">
        <f t="shared" si="660"/>
        <v>17.569000000000003</v>
      </c>
      <c r="CP298" s="454">
        <f t="shared" si="661"/>
        <v>17.762</v>
      </c>
      <c r="CQ298" s="454">
        <f t="shared" si="662"/>
        <v>19.077999999999999</v>
      </c>
      <c r="CR298" s="454">
        <f t="shared" si="663"/>
        <v>19.444000000000003</v>
      </c>
      <c r="CS298" s="454">
        <f t="shared" si="664"/>
        <v>20.442999999999998</v>
      </c>
      <c r="CT298" s="454">
        <f t="shared" si="665"/>
        <v>23.418044780111487</v>
      </c>
      <c r="CU298" s="454">
        <f t="shared" si="666"/>
        <v>22.905767682646015</v>
      </c>
      <c r="CV298" s="454">
        <f t="shared" si="667"/>
        <v>17.96114725166202</v>
      </c>
      <c r="CW298" s="454">
        <f t="shared" si="668"/>
        <v>10.630557228239155</v>
      </c>
      <c r="CX298" s="454">
        <f t="shared" si="669"/>
        <v>0</v>
      </c>
      <c r="CY298" s="454">
        <f t="shared" si="670"/>
        <v>0</v>
      </c>
      <c r="CZ298" s="454">
        <f t="shared" si="671"/>
        <v>0</v>
      </c>
      <c r="DA298" s="454">
        <f t="shared" si="672"/>
        <v>0</v>
      </c>
      <c r="DB298" s="454">
        <f t="shared" si="673"/>
        <v>0</v>
      </c>
      <c r="DC298" s="1666">
        <f t="shared" si="674"/>
        <v>0</v>
      </c>
      <c r="DD298" s="331"/>
      <c r="DE298" s="331"/>
      <c r="DF298" s="502"/>
      <c r="DG298" s="503"/>
      <c r="DH298" s="2915"/>
      <c r="DI298" s="3213"/>
      <c r="DJ298" s="502"/>
      <c r="DK298" s="503"/>
      <c r="DL298" s="502"/>
      <c r="DM298" s="502"/>
      <c r="DN298" s="502"/>
      <c r="DO298" s="502"/>
      <c r="DP298" s="503"/>
      <c r="DQ298" s="503"/>
      <c r="DR298" s="296"/>
      <c r="DS298" s="296"/>
      <c r="DT298" s="296"/>
    </row>
    <row r="299" spans="1:130" ht="12" customHeight="1" outlineLevel="1" x14ac:dyDescent="0.25">
      <c r="A299" s="392" t="s">
        <v>1789</v>
      </c>
      <c r="B299" s="428"/>
      <c r="C299" s="454"/>
      <c r="D299" s="454"/>
      <c r="E299" s="454"/>
      <c r="F299" s="454"/>
      <c r="G299" s="455"/>
      <c r="H299" s="454"/>
      <c r="I299" s="454"/>
      <c r="J299" s="454"/>
      <c r="K299" s="454"/>
      <c r="L299" s="455"/>
      <c r="M299" s="454"/>
      <c r="N299" s="454"/>
      <c r="O299" s="454"/>
      <c r="P299" s="454"/>
      <c r="Q299" s="455"/>
      <c r="R299" s="454"/>
      <c r="S299" s="454"/>
      <c r="T299" s="454"/>
      <c r="U299" s="454"/>
      <c r="V299" s="455"/>
      <c r="W299" s="454"/>
      <c r="X299" s="454"/>
      <c r="Y299" s="454"/>
      <c r="Z299" s="454"/>
      <c r="AA299" s="455"/>
      <c r="AB299" s="454"/>
      <c r="AC299" s="454"/>
      <c r="AD299" s="454"/>
      <c r="AE299" s="454"/>
      <c r="AF299" s="455"/>
      <c r="AG299" s="1586"/>
      <c r="AH299" s="454"/>
      <c r="AI299" s="454"/>
      <c r="AJ299" s="454"/>
      <c r="AK299" s="455"/>
      <c r="AL299" s="1586"/>
      <c r="AM299" s="454"/>
      <c r="AN299" s="454"/>
      <c r="AO299" s="454"/>
      <c r="AP299" s="456"/>
      <c r="AQ299" s="456"/>
      <c r="AR299" s="454"/>
      <c r="AS299" s="454"/>
      <c r="AT299" s="454">
        <f>+AT992*0.66</f>
        <v>9.8075460279059996</v>
      </c>
      <c r="AU299" s="455">
        <f t="shared" si="649"/>
        <v>9.8075460279059996</v>
      </c>
      <c r="AV299" s="454">
        <f>+AV992</f>
        <v>20.803069694880001</v>
      </c>
      <c r="AW299" s="454">
        <f>+AW992</f>
        <v>17.809168441954</v>
      </c>
      <c r="AX299" s="454">
        <f>+AX992</f>
        <v>18.9507233852</v>
      </c>
      <c r="AY299" s="1666">
        <f>+AY992</f>
        <v>15.255942686394995</v>
      </c>
      <c r="AZ299" s="1666">
        <f t="shared" si="650"/>
        <v>72.818904208428989</v>
      </c>
      <c r="BA299" s="454">
        <f>+BA992</f>
        <v>18.579090194561999</v>
      </c>
      <c r="BB299" s="454">
        <f>+BB992</f>
        <v>17.405703681253961</v>
      </c>
      <c r="BC299" s="454">
        <f>+BC992</f>
        <v>16.053345292650008</v>
      </c>
      <c r="BD299" s="1666">
        <f>+BD992</f>
        <v>16.476078455582801</v>
      </c>
      <c r="BE299" s="455">
        <f t="shared" si="651"/>
        <v>68.514217624048769</v>
      </c>
      <c r="BF299" s="454">
        <f>+BF992</f>
        <v>18.724862297562872</v>
      </c>
      <c r="BG299" s="454">
        <f>+BG992</f>
        <v>16.672346078222503</v>
      </c>
      <c r="BH299" s="454">
        <f>+BH992</f>
        <v>18.995597726350006</v>
      </c>
      <c r="BI299" s="1666">
        <f>+BI992</f>
        <v>16.908288570364199</v>
      </c>
      <c r="BJ299" s="455">
        <f t="shared" si="652"/>
        <v>71.301094672499573</v>
      </c>
      <c r="BK299" s="454">
        <f>+BK992</f>
        <v>20.031105695227453</v>
      </c>
      <c r="BL299" s="454">
        <f>+BL992</f>
        <v>16.985254996096288</v>
      </c>
      <c r="BM299" s="454">
        <f>+BM992</f>
        <v>20.278388892225003</v>
      </c>
      <c r="BN299" s="1666">
        <f>+BN992</f>
        <v>19.165365764108451</v>
      </c>
      <c r="BO299" s="455">
        <f>+BO992</f>
        <v>76.460115347657165</v>
      </c>
      <c r="BP299" s="454">
        <f t="shared" ref="BP299:BX299" si="680">+BP992</f>
        <v>21.629356459143736</v>
      </c>
      <c r="BQ299" s="454">
        <f t="shared" si="680"/>
        <v>19.655006603798704</v>
      </c>
      <c r="BR299" s="454">
        <f t="shared" si="680"/>
        <v>19.911122076635003</v>
      </c>
      <c r="BS299" s="454">
        <f t="shared" si="680"/>
        <v>17.047143762963792</v>
      </c>
      <c r="BT299" s="3066">
        <f t="shared" si="680"/>
        <v>78.242628902541213</v>
      </c>
      <c r="BU299" s="2915">
        <f t="shared" si="680"/>
        <v>19.865904102309749</v>
      </c>
      <c r="BV299" s="2915">
        <f t="shared" si="680"/>
        <v>19.847136117815971</v>
      </c>
      <c r="BW299" s="2915">
        <f t="shared" si="680"/>
        <v>21.275941889601405</v>
      </c>
      <c r="BX299" s="2915">
        <f t="shared" si="680"/>
        <v>18.328108510219408</v>
      </c>
      <c r="BY299" s="3066">
        <f t="shared" ref="BY299:CF299" si="681">+BY992</f>
        <v>79.317090619946526</v>
      </c>
      <c r="BZ299" s="455">
        <f t="shared" si="681"/>
        <v>84.301585728102822</v>
      </c>
      <c r="CA299" s="455">
        <f t="shared" si="681"/>
        <v>85.154791892050099</v>
      </c>
      <c r="CB299" s="455">
        <f t="shared" si="681"/>
        <v>79.145646783096652</v>
      </c>
      <c r="CC299" s="455">
        <f t="shared" si="681"/>
        <v>73.487972549021464</v>
      </c>
      <c r="CD299" s="455">
        <f t="shared" si="681"/>
        <v>75.778091188705076</v>
      </c>
      <c r="CE299" s="455">
        <f t="shared" si="681"/>
        <v>78.122011986936116</v>
      </c>
      <c r="CF299" s="455">
        <f t="shared" si="681"/>
        <v>80.520890984743033</v>
      </c>
      <c r="CG299" s="331"/>
      <c r="CH299" s="331"/>
      <c r="CI299" s="331"/>
      <c r="CJ299" s="331"/>
      <c r="CK299" s="331"/>
      <c r="CL299" s="995" t="str">
        <f t="shared" si="657"/>
        <v>Hollywood St. Louis (Maryland Heights, MO)</v>
      </c>
      <c r="CM299" s="454">
        <f t="shared" si="658"/>
        <v>0</v>
      </c>
      <c r="CN299" s="454">
        <f t="shared" si="659"/>
        <v>0</v>
      </c>
      <c r="CO299" s="454">
        <f t="shared" si="660"/>
        <v>0</v>
      </c>
      <c r="CP299" s="454">
        <f t="shared" si="661"/>
        <v>0</v>
      </c>
      <c r="CQ299" s="454">
        <f t="shared" si="662"/>
        <v>0</v>
      </c>
      <c r="CR299" s="454">
        <f t="shared" si="663"/>
        <v>0</v>
      </c>
      <c r="CS299" s="454">
        <f t="shared" si="664"/>
        <v>0</v>
      </c>
      <c r="CT299" s="454">
        <f t="shared" si="665"/>
        <v>0</v>
      </c>
      <c r="CU299" s="454">
        <f t="shared" si="666"/>
        <v>9.8075460279059996</v>
      </c>
      <c r="CV299" s="454">
        <f t="shared" si="667"/>
        <v>72.818904208428989</v>
      </c>
      <c r="CW299" s="454">
        <f t="shared" si="668"/>
        <v>68.514217624048769</v>
      </c>
      <c r="CX299" s="454">
        <f t="shared" si="669"/>
        <v>71.301094672499573</v>
      </c>
      <c r="CY299" s="454">
        <f t="shared" si="670"/>
        <v>76.460115347657165</v>
      </c>
      <c r="CZ299" s="454">
        <f t="shared" si="671"/>
        <v>78.242628902541213</v>
      </c>
      <c r="DA299" s="454">
        <f t="shared" si="672"/>
        <v>79.317090619946526</v>
      </c>
      <c r="DB299" s="454">
        <f t="shared" si="673"/>
        <v>84.301585728102822</v>
      </c>
      <c r="DC299" s="1666">
        <f t="shared" si="674"/>
        <v>85.154791892050099</v>
      </c>
      <c r="DD299" s="331"/>
      <c r="DE299" s="331"/>
      <c r="DF299" s="502"/>
      <c r="DG299" s="503"/>
      <c r="DH299" s="2915"/>
      <c r="DI299" s="3213"/>
      <c r="DJ299" s="502"/>
      <c r="DK299" s="503"/>
      <c r="DL299" s="502"/>
      <c r="DM299" s="502"/>
      <c r="DN299" s="502"/>
      <c r="DO299" s="502"/>
      <c r="DP299" s="503"/>
      <c r="DQ299" s="503"/>
      <c r="DR299" s="296"/>
      <c r="DS299" s="296"/>
      <c r="DT299" s="296"/>
    </row>
    <row r="300" spans="1:130" ht="12" customHeight="1" outlineLevel="1" x14ac:dyDescent="0.25">
      <c r="A300" s="995" t="s">
        <v>598</v>
      </c>
      <c r="B300" s="428"/>
      <c r="C300" s="454">
        <f>C1166</f>
        <v>0</v>
      </c>
      <c r="D300" s="454">
        <f>D1166</f>
        <v>0</v>
      </c>
      <c r="E300" s="454">
        <f>E1166</f>
        <v>0</v>
      </c>
      <c r="F300" s="454">
        <f>F1166</f>
        <v>0</v>
      </c>
      <c r="G300" s="455">
        <f>SUM(C300:F300)</f>
        <v>0</v>
      </c>
      <c r="H300" s="454">
        <f>H1166</f>
        <v>0</v>
      </c>
      <c r="I300" s="454">
        <f>I1166</f>
        <v>0</v>
      </c>
      <c r="J300" s="454">
        <f>J1166</f>
        <v>0</v>
      </c>
      <c r="K300" s="454">
        <f>K1166</f>
        <v>0</v>
      </c>
      <c r="L300" s="455">
        <f>SUM(H300:K300)</f>
        <v>0</v>
      </c>
      <c r="M300" s="454">
        <f>M1166</f>
        <v>0</v>
      </c>
      <c r="N300" s="454">
        <f>N1166</f>
        <v>0</v>
      </c>
      <c r="O300" s="454">
        <f>O1166</f>
        <v>0</v>
      </c>
      <c r="P300" s="454">
        <f>P1166</f>
        <v>0</v>
      </c>
      <c r="Q300" s="455">
        <f>SUM(M300:P300)</f>
        <v>0</v>
      </c>
      <c r="R300" s="454">
        <f>R1166</f>
        <v>0</v>
      </c>
      <c r="S300" s="454">
        <f>S1166</f>
        <v>0</v>
      </c>
      <c r="T300" s="454">
        <f>T1166</f>
        <v>0</v>
      </c>
      <c r="U300" s="454">
        <f>U1166</f>
        <v>0</v>
      </c>
      <c r="V300" s="455">
        <f>SUM(R300:U300)</f>
        <v>0</v>
      </c>
      <c r="W300" s="454">
        <f>W1166</f>
        <v>0</v>
      </c>
      <c r="X300" s="454">
        <f>X1166</f>
        <v>0</v>
      </c>
      <c r="Y300" s="454">
        <f>Y1166</f>
        <v>0</v>
      </c>
      <c r="Z300" s="454">
        <f>Z1166</f>
        <v>0</v>
      </c>
      <c r="AA300" s="455">
        <f>SUM(W300:Z300)</f>
        <v>0</v>
      </c>
      <c r="AB300" s="454">
        <f>AB1166</f>
        <v>0</v>
      </c>
      <c r="AC300" s="454">
        <f>AC1166</f>
        <v>0</v>
      </c>
      <c r="AD300" s="454">
        <f>AD1166</f>
        <v>0</v>
      </c>
      <c r="AE300" s="454">
        <f>AE1166</f>
        <v>0</v>
      </c>
      <c r="AF300" s="455">
        <f>SUM(AB300:AE300)</f>
        <v>0</v>
      </c>
      <c r="AG300" s="1586">
        <f>AG1166</f>
        <v>0</v>
      </c>
      <c r="AH300" s="454">
        <f>AH1166</f>
        <v>0</v>
      </c>
      <c r="AI300" s="454">
        <f>AI1166</f>
        <v>0</v>
      </c>
      <c r="AJ300" s="454">
        <f>AJ1166</f>
        <v>0</v>
      </c>
      <c r="AK300" s="455">
        <f>SUM(AG300:AJ300)</f>
        <v>0</v>
      </c>
      <c r="AL300" s="1586">
        <f>AL1166</f>
        <v>0</v>
      </c>
      <c r="AM300" s="454">
        <f>AM1166</f>
        <v>0</v>
      </c>
      <c r="AN300" s="454">
        <f>AN1166</f>
        <v>0</v>
      </c>
      <c r="AO300" s="454">
        <f>AO1166</f>
        <v>0</v>
      </c>
      <c r="AP300" s="456">
        <f>SUM(AL300:AO300)</f>
        <v>0</v>
      </c>
      <c r="AQ300" s="456">
        <f>AQ1166*0.5</f>
        <v>3.7329645400000011</v>
      </c>
      <c r="AR300" s="454">
        <f>AR1166*0.5</f>
        <v>4.2817599999999985</v>
      </c>
      <c r="AS300" s="454">
        <f>AS1166*0.5</f>
        <v>4.3383999999999983</v>
      </c>
      <c r="AT300" s="454">
        <f>AT1166*0.5</f>
        <v>4.5576000000000008</v>
      </c>
      <c r="AU300" s="455">
        <f t="shared" si="649"/>
        <v>16.910724539999997</v>
      </c>
      <c r="AV300" s="454">
        <f>AV1166*0.5</f>
        <v>5.1494070355406247</v>
      </c>
      <c r="AW300" s="454">
        <f>AW1166*0.5</f>
        <v>5.2467311627250002</v>
      </c>
      <c r="AX300" s="454">
        <f>AX1166*0.5</f>
        <v>5.2064678163468727</v>
      </c>
      <c r="AY300" s="1666">
        <f>AY1166*0.5</f>
        <v>5.174343268087501</v>
      </c>
      <c r="AZ300" s="1666">
        <f t="shared" si="650"/>
        <v>20.776949282699999</v>
      </c>
      <c r="BA300" s="454">
        <f>BA1166*0.5</f>
        <v>5.2746666666666666</v>
      </c>
      <c r="BB300" s="454">
        <f>BB1166*0.5</f>
        <v>4.2646666666666668</v>
      </c>
      <c r="BC300" s="454">
        <f>BC1166*0.5</f>
        <v>5.0826666666666664</v>
      </c>
      <c r="BD300" s="1666">
        <f>BD1166*0.5</f>
        <v>4.4936666666666669</v>
      </c>
      <c r="BE300" s="455">
        <f t="shared" si="651"/>
        <v>19.115666666666666</v>
      </c>
      <c r="BF300" s="454">
        <f>BF1166*0.5</f>
        <v>6.7736666666666672</v>
      </c>
      <c r="BG300" s="454">
        <f>BG1166*0.5</f>
        <v>6.9456666666666669</v>
      </c>
      <c r="BH300" s="454">
        <f>BH1166*0.5</f>
        <v>6.5506666666666664</v>
      </c>
      <c r="BI300" s="1666">
        <f>BI1166*0.5</f>
        <v>5.3846666666666669</v>
      </c>
      <c r="BJ300" s="455">
        <f t="shared" si="652"/>
        <v>25.654666666666671</v>
      </c>
      <c r="BK300" s="454">
        <f>BK1166*0.5</f>
        <v>7.4006666666666669</v>
      </c>
      <c r="BL300" s="454">
        <f>BL1166*0.5</f>
        <v>6.339666666666667</v>
      </c>
      <c r="BM300" s="454">
        <f>BM1166*0.5</f>
        <v>6.2966666666666669</v>
      </c>
      <c r="BN300" s="1666">
        <f>BN1166*0.5</f>
        <v>5.4666666666666668</v>
      </c>
      <c r="BO300" s="455">
        <f>SUM(BK300:BN300)</f>
        <v>25.503666666666668</v>
      </c>
      <c r="BP300" s="454">
        <f>BP1166*0.5</f>
        <v>7.339666666666667</v>
      </c>
      <c r="BQ300" s="454">
        <f>BQ1166*0.5</f>
        <v>7.8126666666666669</v>
      </c>
      <c r="BR300" s="454">
        <f>BR1166*0.5</f>
        <v>7.5726666666666667</v>
      </c>
      <c r="BS300" s="454">
        <f>BS1166*0.5</f>
        <v>7.1126666666666667</v>
      </c>
      <c r="BT300" s="3066">
        <f>SUM(BP300:BS300)</f>
        <v>29.837666666666667</v>
      </c>
      <c r="BU300" s="2915">
        <f>BU1166*0.5</f>
        <v>7.3613359233791389</v>
      </c>
      <c r="BV300" s="2915">
        <f>BV1166*0.5</f>
        <v>7.8409222525532911</v>
      </c>
      <c r="BW300" s="2915">
        <f>BW1166*0.5</f>
        <v>7.5988774908070233</v>
      </c>
      <c r="BX300" s="2915">
        <f>BX1166*0.5</f>
        <v>8.1250482373389996</v>
      </c>
      <c r="BY300" s="3066">
        <f>SUM(BU300:BX300)</f>
        <v>30.926183904078457</v>
      </c>
      <c r="BZ300" s="455">
        <f t="shared" ref="BZ300:CF300" si="682">BZ1166*0.5</f>
        <v>31.058083765888682</v>
      </c>
      <c r="CA300" s="455">
        <f t="shared" si="682"/>
        <v>30.960241594334761</v>
      </c>
      <c r="CB300" s="455">
        <f t="shared" si="682"/>
        <v>23.08524917832171</v>
      </c>
      <c r="CC300" s="455">
        <f t="shared" si="682"/>
        <v>21.240184051568122</v>
      </c>
      <c r="CD300" s="455">
        <f t="shared" si="682"/>
        <v>22.014158011707345</v>
      </c>
      <c r="CE300" s="455">
        <f t="shared" si="682"/>
        <v>22.874690006125142</v>
      </c>
      <c r="CF300" s="455">
        <f t="shared" si="682"/>
        <v>23.630439023371679</v>
      </c>
      <c r="CG300" s="331"/>
      <c r="CH300" s="331"/>
      <c r="CI300" s="331"/>
      <c r="CJ300" s="331"/>
      <c r="CK300" s="331"/>
      <c r="CL300" s="995" t="str">
        <f t="shared" si="657"/>
        <v>Hollywood Kansas City Joint Venture (KS)</v>
      </c>
      <c r="CM300" s="454">
        <f t="shared" si="658"/>
        <v>0</v>
      </c>
      <c r="CN300" s="454">
        <f t="shared" si="659"/>
        <v>0</v>
      </c>
      <c r="CO300" s="454">
        <f t="shared" si="660"/>
        <v>0</v>
      </c>
      <c r="CP300" s="454">
        <f t="shared" si="661"/>
        <v>0</v>
      </c>
      <c r="CQ300" s="454">
        <f t="shared" si="662"/>
        <v>0</v>
      </c>
      <c r="CR300" s="454">
        <f t="shared" si="663"/>
        <v>0</v>
      </c>
      <c r="CS300" s="454">
        <f t="shared" si="664"/>
        <v>0</v>
      </c>
      <c r="CT300" s="454">
        <f t="shared" si="665"/>
        <v>0</v>
      </c>
      <c r="CU300" s="454">
        <f t="shared" si="666"/>
        <v>16.910724539999997</v>
      </c>
      <c r="CV300" s="454">
        <f t="shared" si="667"/>
        <v>20.776949282699999</v>
      </c>
      <c r="CW300" s="454">
        <f t="shared" si="668"/>
        <v>19.115666666666666</v>
      </c>
      <c r="CX300" s="454">
        <f t="shared" si="669"/>
        <v>25.654666666666671</v>
      </c>
      <c r="CY300" s="454">
        <f t="shared" si="670"/>
        <v>25.503666666666668</v>
      </c>
      <c r="CZ300" s="454">
        <f t="shared" si="671"/>
        <v>29.837666666666667</v>
      </c>
      <c r="DA300" s="454">
        <f t="shared" si="672"/>
        <v>30.926183904078457</v>
      </c>
      <c r="DB300" s="454">
        <f t="shared" si="673"/>
        <v>31.058083765888682</v>
      </c>
      <c r="DC300" s="1666">
        <f t="shared" si="674"/>
        <v>30.960241594334761</v>
      </c>
      <c r="DD300" s="331"/>
      <c r="DE300" s="331"/>
      <c r="DF300" s="502"/>
      <c r="DG300" s="503"/>
      <c r="DH300" s="2915"/>
      <c r="DI300" s="3213"/>
      <c r="DJ300" s="502"/>
      <c r="DK300" s="503"/>
      <c r="DL300" s="502"/>
      <c r="DM300" s="502"/>
      <c r="DN300" s="502"/>
      <c r="DO300" s="502"/>
      <c r="DP300" s="503"/>
      <c r="DQ300" s="503"/>
      <c r="DR300" s="296"/>
      <c r="DS300" s="296"/>
      <c r="DT300" s="296"/>
    </row>
    <row r="301" spans="1:130" ht="12.6" customHeight="1" outlineLevel="1" x14ac:dyDescent="0.25">
      <c r="A301" s="391" t="s">
        <v>1548</v>
      </c>
      <c r="B301" s="281"/>
      <c r="C301" s="446">
        <f>C1023</f>
        <v>9.2449999999999992</v>
      </c>
      <c r="D301" s="446">
        <f>D1023</f>
        <v>9.0109999999999992</v>
      </c>
      <c r="E301" s="446">
        <f>E1023</f>
        <v>7.7009999999999996</v>
      </c>
      <c r="F301" s="446">
        <f>F1023</f>
        <v>7.8079999999999998</v>
      </c>
      <c r="G301" s="447">
        <f>SUM(C301:F301)</f>
        <v>33.765000000000001</v>
      </c>
      <c r="H301" s="446">
        <f>H1023</f>
        <v>11.145</v>
      </c>
      <c r="I301" s="446">
        <f>I1023</f>
        <v>10.074</v>
      </c>
      <c r="J301" s="446">
        <f>J1023</f>
        <v>10.859</v>
      </c>
      <c r="K301" s="446">
        <f>K1023</f>
        <v>20.620999999999999</v>
      </c>
      <c r="L301" s="447">
        <f>SUM(H301:K301)</f>
        <v>52.698999999999998</v>
      </c>
      <c r="M301" s="446">
        <f>M1023</f>
        <v>21.068999999999999</v>
      </c>
      <c r="N301" s="446">
        <f>N1023</f>
        <v>15.532999999999999</v>
      </c>
      <c r="O301" s="446">
        <f>O1023</f>
        <v>13.89</v>
      </c>
      <c r="P301" s="446">
        <f>P1023</f>
        <v>11.351000000000001</v>
      </c>
      <c r="Q301" s="447">
        <f>SUM(M301:P301)</f>
        <v>61.842999999999996</v>
      </c>
      <c r="R301" s="446">
        <f>R1023</f>
        <v>14.631</v>
      </c>
      <c r="S301" s="446">
        <f>S1023</f>
        <v>14.347</v>
      </c>
      <c r="T301" s="446">
        <f>T1023</f>
        <v>13.862</v>
      </c>
      <c r="U301" s="446">
        <f>U1023</f>
        <v>13.26</v>
      </c>
      <c r="V301" s="447">
        <f>SUM(R301:U301)</f>
        <v>56.1</v>
      </c>
      <c r="W301" s="446">
        <f>W1023</f>
        <v>14.243</v>
      </c>
      <c r="X301" s="446">
        <f>X1023</f>
        <v>14.009</v>
      </c>
      <c r="Y301" s="446">
        <f>Y1023</f>
        <v>11.223000000000001</v>
      </c>
      <c r="Z301" s="446">
        <f>Z1023</f>
        <v>14.215</v>
      </c>
      <c r="AA301" s="447">
        <f>SUM(W301:Z301)</f>
        <v>53.69</v>
      </c>
      <c r="AB301" s="446">
        <f>AB1023</f>
        <v>14.808999999999999</v>
      </c>
      <c r="AC301" s="446">
        <f>AC1023</f>
        <v>12.5</v>
      </c>
      <c r="AD301" s="446">
        <f>AD1023</f>
        <v>11.074999999999999</v>
      </c>
      <c r="AE301" s="454">
        <f>AE1023</f>
        <v>9.58</v>
      </c>
      <c r="AF301" s="455">
        <f>SUM(AB301:AE301)</f>
        <v>47.963999999999999</v>
      </c>
      <c r="AG301" s="1724">
        <f>AG1023</f>
        <v>11.763</v>
      </c>
      <c r="AH301" s="454">
        <f>AH1023</f>
        <v>10.574999999999999</v>
      </c>
      <c r="AI301" s="454">
        <f>AI1023</f>
        <v>9.4510000000000005</v>
      </c>
      <c r="AJ301" s="454">
        <f>AJ1023</f>
        <v>9.7810000000000006</v>
      </c>
      <c r="AK301" s="455">
        <f>SUM(AG301:AJ301)</f>
        <v>41.57</v>
      </c>
      <c r="AL301" s="454">
        <f>AL1023</f>
        <v>13.048999999999999</v>
      </c>
      <c r="AM301" s="454">
        <f>AM1023</f>
        <v>11.382</v>
      </c>
      <c r="AN301" s="454">
        <f>AN1023</f>
        <v>11.098481904500002</v>
      </c>
      <c r="AO301" s="454">
        <f>AO1023</f>
        <v>10.271697786955997</v>
      </c>
      <c r="AP301" s="456">
        <f>SUM(AL301:AO301)</f>
        <v>45.801179691455999</v>
      </c>
      <c r="AQ301" s="456">
        <f>AQ1023</f>
        <v>13.989377391799994</v>
      </c>
      <c r="AR301" s="454">
        <f>AR1023</f>
        <v>12.159610224339996</v>
      </c>
      <c r="AS301" s="454">
        <f>AS1023</f>
        <v>9.2597377112760029</v>
      </c>
      <c r="AT301" s="454">
        <f>AT1023</f>
        <v>5.8165145368903985</v>
      </c>
      <c r="AU301" s="455">
        <f t="shared" si="649"/>
        <v>41.225239864306388</v>
      </c>
      <c r="AV301" s="454">
        <f>AV1023</f>
        <v>6.0612820737850015</v>
      </c>
      <c r="AW301" s="454">
        <f>AW1023</f>
        <v>7.1090852499079986</v>
      </c>
      <c r="AX301" s="454">
        <f>AX1023</f>
        <v>4.3645458791432006</v>
      </c>
      <c r="AY301" s="1666">
        <f>AY1023</f>
        <v>1.7959509812976</v>
      </c>
      <c r="AZ301" s="1666">
        <f t="shared" si="650"/>
        <v>19.330864184133802</v>
      </c>
      <c r="BA301" s="454">
        <f>BA1023</f>
        <v>0</v>
      </c>
      <c r="BB301" s="454">
        <f>BB1023</f>
        <v>0</v>
      </c>
      <c r="BC301" s="454">
        <f>BC1023</f>
        <v>0</v>
      </c>
      <c r="BD301" s="1666">
        <f>BD1023</f>
        <v>0</v>
      </c>
      <c r="BE301" s="455">
        <f t="shared" si="651"/>
        <v>0</v>
      </c>
      <c r="BF301" s="454">
        <f>BF1023</f>
        <v>0</v>
      </c>
      <c r="BG301" s="454">
        <f>BG1023</f>
        <v>0</v>
      </c>
      <c r="BH301" s="454">
        <f>BH1023</f>
        <v>0</v>
      </c>
      <c r="BI301" s="1666">
        <f>BI1023</f>
        <v>0</v>
      </c>
      <c r="BJ301" s="455">
        <f t="shared" si="652"/>
        <v>0</v>
      </c>
      <c r="BK301" s="454">
        <f>BK1023</f>
        <v>0</v>
      </c>
      <c r="BL301" s="454">
        <f>BL1023</f>
        <v>0</v>
      </c>
      <c r="BM301" s="454">
        <f>BM1023</f>
        <v>0</v>
      </c>
      <c r="BN301" s="1666">
        <f>BN1023</f>
        <v>0</v>
      </c>
      <c r="BO301" s="455">
        <f>SUM(BK301:BN301)</f>
        <v>0</v>
      </c>
      <c r="BP301" s="454">
        <f>BP1023</f>
        <v>0</v>
      </c>
      <c r="BQ301" s="454">
        <f>BQ1023</f>
        <v>0</v>
      </c>
      <c r="BR301" s="454">
        <f>BR1023</f>
        <v>0</v>
      </c>
      <c r="BS301" s="454">
        <f>BS1023</f>
        <v>0</v>
      </c>
      <c r="BT301" s="3066">
        <f>SUM(BP301:BS301)</f>
        <v>0</v>
      </c>
      <c r="BU301" s="2915">
        <f>BU1023</f>
        <v>0</v>
      </c>
      <c r="BV301" s="2915">
        <f>BV1023</f>
        <v>0</v>
      </c>
      <c r="BW301" s="2915">
        <f>BW1023</f>
        <v>0</v>
      </c>
      <c r="BX301" s="2915">
        <f>BX1023</f>
        <v>0</v>
      </c>
      <c r="BY301" s="3066">
        <f>SUM(BU301:BX301)</f>
        <v>0</v>
      </c>
      <c r="BZ301" s="455">
        <f t="shared" ref="BZ301:CF301" si="683">BZ1023</f>
        <v>0</v>
      </c>
      <c r="CA301" s="455">
        <f t="shared" si="683"/>
        <v>0</v>
      </c>
      <c r="CB301" s="455">
        <f t="shared" si="683"/>
        <v>0</v>
      </c>
      <c r="CC301" s="455">
        <f t="shared" si="683"/>
        <v>0</v>
      </c>
      <c r="CD301" s="455">
        <f t="shared" si="683"/>
        <v>0</v>
      </c>
      <c r="CE301" s="455">
        <f t="shared" si="683"/>
        <v>0</v>
      </c>
      <c r="CF301" s="455">
        <f t="shared" si="683"/>
        <v>0</v>
      </c>
      <c r="CG301" s="588"/>
      <c r="CH301" s="588"/>
      <c r="CI301" s="588"/>
      <c r="CJ301" s="588"/>
      <c r="CK301" s="331"/>
      <c r="CL301" s="1277" t="str">
        <f t="shared" si="657"/>
        <v>Hollywood Baton Rouge (LA)</v>
      </c>
      <c r="CM301" s="454">
        <f t="shared" si="658"/>
        <v>33.765000000000001</v>
      </c>
      <c r="CN301" s="454">
        <f t="shared" si="659"/>
        <v>52.698999999999998</v>
      </c>
      <c r="CO301" s="454">
        <f t="shared" si="660"/>
        <v>61.842999999999996</v>
      </c>
      <c r="CP301" s="454">
        <f t="shared" si="661"/>
        <v>56.1</v>
      </c>
      <c r="CQ301" s="454">
        <f t="shared" si="662"/>
        <v>53.69</v>
      </c>
      <c r="CR301" s="454">
        <f t="shared" si="663"/>
        <v>47.963999999999999</v>
      </c>
      <c r="CS301" s="454">
        <f t="shared" si="664"/>
        <v>41.57</v>
      </c>
      <c r="CT301" s="454">
        <f t="shared" si="665"/>
        <v>45.801179691455999</v>
      </c>
      <c r="CU301" s="454">
        <f t="shared" si="666"/>
        <v>41.225239864306388</v>
      </c>
      <c r="CV301" s="454">
        <f t="shared" si="667"/>
        <v>19.330864184133802</v>
      </c>
      <c r="CW301" s="454">
        <f t="shared" si="668"/>
        <v>0</v>
      </c>
      <c r="CX301" s="454">
        <f t="shared" si="669"/>
        <v>0</v>
      </c>
      <c r="CY301" s="454">
        <f t="shared" si="670"/>
        <v>0</v>
      </c>
      <c r="CZ301" s="454">
        <f t="shared" si="671"/>
        <v>0</v>
      </c>
      <c r="DA301" s="454">
        <f t="shared" si="672"/>
        <v>0</v>
      </c>
      <c r="DB301" s="454">
        <f t="shared" si="673"/>
        <v>0</v>
      </c>
      <c r="DC301" s="1666">
        <f t="shared" si="674"/>
        <v>0</v>
      </c>
      <c r="DD301" s="331"/>
      <c r="DE301" s="331"/>
      <c r="DF301" s="502"/>
      <c r="DG301" s="503"/>
      <c r="DH301" s="2915"/>
      <c r="DI301" s="3213"/>
      <c r="DJ301" s="502"/>
      <c r="DK301" s="503"/>
      <c r="DL301" s="502"/>
      <c r="DM301" s="502"/>
      <c r="DN301" s="502"/>
      <c r="DO301" s="502"/>
      <c r="DP301" s="503"/>
      <c r="DQ301" s="503"/>
      <c r="DR301" s="296"/>
      <c r="DS301" s="296"/>
      <c r="DT301" s="296"/>
    </row>
    <row r="302" spans="1:130" ht="12.6" customHeight="1" outlineLevel="1" x14ac:dyDescent="0.25">
      <c r="A302" s="2666" t="s">
        <v>2371</v>
      </c>
      <c r="B302" s="281"/>
      <c r="C302" s="446"/>
      <c r="D302" s="446"/>
      <c r="E302" s="446"/>
      <c r="F302" s="446"/>
      <c r="G302" s="447"/>
      <c r="H302" s="446"/>
      <c r="I302" s="446"/>
      <c r="J302" s="446"/>
      <c r="K302" s="446"/>
      <c r="L302" s="447"/>
      <c r="M302" s="446"/>
      <c r="N302" s="446"/>
      <c r="O302" s="446"/>
      <c r="P302" s="446"/>
      <c r="Q302" s="447"/>
      <c r="R302" s="446"/>
      <c r="S302" s="446"/>
      <c r="T302" s="446"/>
      <c r="U302" s="446"/>
      <c r="V302" s="447"/>
      <c r="W302" s="446"/>
      <c r="X302" s="446"/>
      <c r="Y302" s="446"/>
      <c r="Z302" s="446"/>
      <c r="AA302" s="447"/>
      <c r="AB302" s="446"/>
      <c r="AC302" s="446"/>
      <c r="AD302" s="446"/>
      <c r="AE302" s="454"/>
      <c r="AF302" s="455"/>
      <c r="AG302" s="1724"/>
      <c r="AH302" s="454"/>
      <c r="AI302" s="454"/>
      <c r="AJ302" s="454"/>
      <c r="AK302" s="455"/>
      <c r="AL302" s="454"/>
      <c r="AM302" s="454"/>
      <c r="AN302" s="454"/>
      <c r="AO302" s="454"/>
      <c r="AP302" s="456"/>
      <c r="AQ302" s="454"/>
      <c r="AR302" s="454"/>
      <c r="AS302" s="454"/>
      <c r="AT302" s="454"/>
      <c r="AU302" s="455"/>
      <c r="AV302" s="454"/>
      <c r="AW302" s="454"/>
      <c r="AX302" s="454"/>
      <c r="AY302" s="454"/>
      <c r="AZ302" s="1666"/>
      <c r="BA302" s="454"/>
      <c r="BB302" s="454"/>
      <c r="BC302" s="454"/>
      <c r="BD302" s="454"/>
      <c r="BE302" s="455"/>
      <c r="BF302" s="454"/>
      <c r="BG302" s="454"/>
      <c r="BH302" s="454"/>
      <c r="BI302" s="2964">
        <v>2.5</v>
      </c>
      <c r="BJ302" s="455">
        <f t="shared" si="652"/>
        <v>2.5</v>
      </c>
      <c r="BK302" s="2970">
        <v>2.75</v>
      </c>
      <c r="BL302" s="2970">
        <v>3</v>
      </c>
      <c r="BM302" s="2970">
        <v>3</v>
      </c>
      <c r="BN302" s="2970">
        <v>2.8</v>
      </c>
      <c r="BO302" s="455">
        <f>SUM(BK302:BN302)</f>
        <v>11.55</v>
      </c>
      <c r="BP302" s="2970">
        <f>+BK302*1.05+1.25</f>
        <v>4.1375000000000002</v>
      </c>
      <c r="BQ302" s="2970">
        <f>+BL302*1.05+1.25</f>
        <v>4.4000000000000004</v>
      </c>
      <c r="BR302" s="2970">
        <f>+BM302*1.05+1.25</f>
        <v>4.4000000000000004</v>
      </c>
      <c r="BS302" s="2970">
        <f>+BN302*1.05+1</f>
        <v>3.94</v>
      </c>
      <c r="BT302" s="3066">
        <f>SUM(BP302:BS302)</f>
        <v>16.877500000000001</v>
      </c>
      <c r="BU302" s="563">
        <f>BP302*1.03</f>
        <v>4.2616250000000004</v>
      </c>
      <c r="BV302" s="563">
        <f>BQ302*1.05</f>
        <v>4.620000000000001</v>
      </c>
      <c r="BW302" s="563">
        <f>BR302*1.05</f>
        <v>4.620000000000001</v>
      </c>
      <c r="BX302" s="563">
        <f>BS302*1.05</f>
        <v>4.1370000000000005</v>
      </c>
      <c r="BY302" s="3066">
        <f>SUM(BU302:BX302)</f>
        <v>17.638625000000005</v>
      </c>
      <c r="BZ302" s="3099">
        <f t="shared" ref="BZ302:CF302" si="684">+BY302*1.02</f>
        <v>17.991397500000005</v>
      </c>
      <c r="CA302" s="3099">
        <f t="shared" si="684"/>
        <v>18.351225450000005</v>
      </c>
      <c r="CB302" s="3099">
        <f t="shared" si="684"/>
        <v>18.718249959000005</v>
      </c>
      <c r="CC302" s="3099">
        <f t="shared" si="684"/>
        <v>19.092614958180004</v>
      </c>
      <c r="CD302" s="3099">
        <f t="shared" si="684"/>
        <v>19.474467257343605</v>
      </c>
      <c r="CE302" s="3099">
        <f t="shared" si="684"/>
        <v>19.863956602490479</v>
      </c>
      <c r="CF302" s="3099">
        <f t="shared" si="684"/>
        <v>20.261235734540289</v>
      </c>
      <c r="CG302" s="588"/>
      <c r="CH302" s="588"/>
      <c r="CI302" s="588"/>
      <c r="CJ302" s="588"/>
      <c r="CK302" s="331"/>
      <c r="CL302" s="1277" t="str">
        <f t="shared" si="657"/>
        <v>Prairie State Gaming</v>
      </c>
      <c r="CM302" s="454"/>
      <c r="CN302" s="454"/>
      <c r="CO302" s="454"/>
      <c r="CP302" s="454"/>
      <c r="CQ302" s="454"/>
      <c r="CR302" s="454"/>
      <c r="CS302" s="454"/>
      <c r="CT302" s="454"/>
      <c r="CU302" s="454"/>
      <c r="CV302" s="454"/>
      <c r="CW302" s="454"/>
      <c r="CX302" s="454"/>
      <c r="CY302" s="454"/>
      <c r="CZ302" s="454"/>
      <c r="DA302" s="454"/>
      <c r="DB302" s="454"/>
      <c r="DC302" s="1666"/>
      <c r="DD302" s="331"/>
      <c r="DE302" s="331"/>
      <c r="DF302" s="502"/>
      <c r="DG302" s="503"/>
      <c r="DH302" s="2915"/>
      <c r="DI302" s="3213"/>
      <c r="DJ302" s="502"/>
      <c r="DK302" s="503"/>
      <c r="DL302" s="502"/>
      <c r="DM302" s="502"/>
      <c r="DN302" s="502"/>
      <c r="DO302" s="502"/>
      <c r="DP302" s="503"/>
      <c r="DQ302" s="503"/>
      <c r="DR302" s="296"/>
      <c r="DS302" s="296"/>
      <c r="DT302" s="296"/>
    </row>
    <row r="303" spans="1:130" ht="12.6" customHeight="1" outlineLevel="1" x14ac:dyDescent="0.25">
      <c r="A303" s="2605" t="s">
        <v>211</v>
      </c>
      <c r="B303" s="281"/>
      <c r="C303" s="430"/>
      <c r="D303" s="430"/>
      <c r="E303" s="430"/>
      <c r="F303" s="430"/>
      <c r="G303" s="481"/>
      <c r="H303" s="430"/>
      <c r="I303" s="430"/>
      <c r="J303" s="430"/>
      <c r="K303" s="430"/>
      <c r="L303" s="481"/>
      <c r="M303" s="430"/>
      <c r="N303" s="430"/>
      <c r="O303" s="430"/>
      <c r="P303" s="430"/>
      <c r="Q303" s="481"/>
      <c r="R303" s="430"/>
      <c r="S303" s="430"/>
      <c r="T303" s="430"/>
      <c r="U303" s="430"/>
      <c r="V303" s="481"/>
      <c r="W303" s="509"/>
      <c r="X303" s="509"/>
      <c r="Y303" s="509"/>
      <c r="Z303" s="509"/>
      <c r="AA303" s="510"/>
      <c r="AB303" s="509"/>
      <c r="AC303" s="509"/>
      <c r="AD303" s="509"/>
      <c r="AE303" s="430"/>
      <c r="AF303" s="481"/>
      <c r="AG303" s="935"/>
      <c r="AH303" s="430"/>
      <c r="AI303" s="430"/>
      <c r="AJ303" s="430"/>
      <c r="AK303" s="481"/>
      <c r="AL303" s="2080"/>
      <c r="AM303" s="2080"/>
      <c r="AN303" s="2080"/>
      <c r="AO303" s="2080"/>
      <c r="AP303" s="481"/>
      <c r="AQ303" s="2080"/>
      <c r="AR303" s="2080"/>
      <c r="AS303" s="2080"/>
      <c r="AT303" s="2080"/>
      <c r="AU303" s="481"/>
      <c r="AV303" s="2080">
        <f>AV21-(AV297+AV301+AV284+AV286+AV298+AV287+AV300+AV299+AV295+AV294+AV293)</f>
        <v>-3.8164365130166402</v>
      </c>
      <c r="AW303" s="2080">
        <f>AW21-(AW297+AW301+AW284+AW286+AW298+AW287+AW300+AW299+AW295+AW294+AW293)</f>
        <v>-2.4634874794719934</v>
      </c>
      <c r="AX303" s="2080">
        <f>AX21-(AX297+AX301+AX284+AX286+AX298+AX287+AX300+AX299+AX295+AX294+AX293)</f>
        <v>-1.0020926156346945</v>
      </c>
      <c r="AY303" s="2080">
        <f>AY21-(AY297+AY301+AY284+AY286+AY298+AY287+AY300+AY299+AY295+AY294+AY293)</f>
        <v>3.1034581671713468</v>
      </c>
      <c r="AZ303" s="481">
        <f t="shared" si="650"/>
        <v>-4.1785584409519814</v>
      </c>
      <c r="BA303" s="2080">
        <f>BA21-(BA297+BA301+BA298+BA300+BA299+BA295+BA294+BA293+BA296)</f>
        <v>4.0586670024111413</v>
      </c>
      <c r="BB303" s="2080">
        <f>BB21-(BB297+BB301+BB298+BB300+BB299+BB295+BB294+BB293+BB296)</f>
        <v>-3.971442619154729</v>
      </c>
      <c r="BC303" s="2080">
        <f>BC21-(BC297+BC301+BC298+BC300+BC299+BC295+BC294+BC293+BC296)</f>
        <v>-1.3697680029743395</v>
      </c>
      <c r="BD303" s="2080">
        <f>BD21-(BD297+BD301+BD298+BD300+BD299+BD295+BD294+BD293+BD296)</f>
        <v>-4.8182567904550595</v>
      </c>
      <c r="BE303" s="455">
        <f t="shared" si="651"/>
        <v>-6.1008004101729867</v>
      </c>
      <c r="BF303" s="2080">
        <f>BF21-(BF297+BF301+BF298+BF300+BF299+BF295+BF294+BF293+BF296)</f>
        <v>3.7843884954867093</v>
      </c>
      <c r="BG303" s="2080">
        <f>BG21-(BG297+BG301+BG298+BG300+BG299+BG295+BG294+BG293+BG296)</f>
        <v>-2.0504377460072618</v>
      </c>
      <c r="BH303" s="2080">
        <f>BH21-(BH297+BH301+BH298+BH300+BH299+BH295+BH294+BH293+BH296)</f>
        <v>-1.2097686397716814</v>
      </c>
      <c r="BI303" s="2080">
        <f>BI21-(BI297+BI301+BI298+BI300+BI299+BI295+BI294+BI293+BI296+BI302)</f>
        <v>9.2443528488754936</v>
      </c>
      <c r="BJ303" s="455">
        <f t="shared" si="652"/>
        <v>9.7685349585832597</v>
      </c>
      <c r="BK303" s="2080">
        <f>BK21-(BK297+BK301+BK298+BK300+BK299+BK295+BK294+BK293+BK296+BK302)</f>
        <v>0.37308337116769508</v>
      </c>
      <c r="BL303" s="2080">
        <f>BL21-(BL297+BL301+BL298+BL300+BL299+BL295+BL294+BL293+BL296+BL302)</f>
        <v>1.5223936081342941</v>
      </c>
      <c r="BM303" s="2080">
        <f>BM21-(BM297+BM301+BM298+BM300+BM299+BM295+BM294+BM293+BM296+BM302)</f>
        <v>-2.3181844469729214</v>
      </c>
      <c r="BN303" s="2080">
        <f>BN21-(BN297+BN301+BN298+BN300+BN299+BN295+BN294+BN293+BN296+BN302)</f>
        <v>-3.1563715657868983</v>
      </c>
      <c r="BO303" s="455">
        <f>SUM(BK303:BN303)</f>
        <v>-3.5790790334578304</v>
      </c>
      <c r="BP303" s="2080">
        <f>BP21-(BP297+BP301+BP298+BP300+BP299+BP295+BP294+BP293+BP296+BP302)</f>
        <v>0.52505967482613869</v>
      </c>
      <c r="BQ303" s="2080">
        <f>BQ21-(BQ297+BQ301+BQ298+BQ300+BQ299+BQ295+BQ294+BQ293+BQ296+BQ302)</f>
        <v>-0.57164541726166362</v>
      </c>
      <c r="BR303" s="2080">
        <f>BR21-(BR297+BR301+BR298+BR300+BR299+BR295+BR294+BR293+BR296+BR302)</f>
        <v>-2.5987925003593091</v>
      </c>
      <c r="BS303" s="2080">
        <f>BS21-(BS297+BS301+BS298+BS300+BS299+BS295+BS294+BS293+BS296+BS302)</f>
        <v>-5.0534508146835719</v>
      </c>
      <c r="BT303" s="455">
        <f>SUM(BP303:BS303)</f>
        <v>-7.698829057478406</v>
      </c>
      <c r="BU303" s="2915"/>
      <c r="BV303" s="2915"/>
      <c r="BW303" s="2915"/>
      <c r="BX303" s="2915"/>
      <c r="BY303" s="3066">
        <f>SUM(BU303:BX303)</f>
        <v>0</v>
      </c>
      <c r="BZ303" s="3382"/>
      <c r="CA303" s="3382"/>
      <c r="CB303" s="481"/>
      <c r="CC303" s="481"/>
      <c r="CD303" s="481"/>
      <c r="CE303" s="481"/>
      <c r="CF303" s="481"/>
      <c r="CG303" s="331"/>
      <c r="CH303" s="331"/>
      <c r="CI303" s="331"/>
      <c r="CJ303" s="331"/>
      <c r="CK303" s="331"/>
      <c r="CL303" s="995"/>
      <c r="CM303" s="430"/>
      <c r="CN303" s="430"/>
      <c r="CO303" s="430"/>
      <c r="CP303" s="430"/>
      <c r="CQ303" s="430"/>
      <c r="CR303" s="430"/>
      <c r="CS303" s="430"/>
      <c r="CT303" s="430"/>
      <c r="CU303" s="430"/>
      <c r="CV303" s="430"/>
      <c r="CW303" s="430"/>
      <c r="CX303" s="430"/>
      <c r="CY303" s="430"/>
      <c r="CZ303" s="430"/>
      <c r="DA303" s="430"/>
      <c r="DB303" s="430"/>
      <c r="DC303" s="853"/>
      <c r="DD303" s="331"/>
      <c r="DE303" s="331"/>
      <c r="DF303" s="502"/>
      <c r="DG303" s="503"/>
      <c r="DH303" s="2840"/>
      <c r="DI303" s="3213"/>
      <c r="DJ303" s="502"/>
      <c r="DK303" s="503"/>
      <c r="DL303" s="502"/>
      <c r="DM303" s="502"/>
      <c r="DN303" s="502"/>
      <c r="DO303" s="502"/>
      <c r="DP303" s="503"/>
      <c r="DQ303" s="503"/>
      <c r="DR303" s="296"/>
      <c r="DS303" s="296"/>
      <c r="DT303" s="296"/>
    </row>
    <row r="304" spans="1:130" s="1050" customFormat="1" ht="3.95" customHeight="1" outlineLevel="1" x14ac:dyDescent="0.25">
      <c r="A304" s="2605"/>
      <c r="B304" s="2575"/>
      <c r="C304" s="2915" t="s">
        <v>2349</v>
      </c>
      <c r="D304" s="2915" t="s">
        <v>2349</v>
      </c>
      <c r="E304" s="2915" t="s">
        <v>2349</v>
      </c>
      <c r="F304" s="2915" t="s">
        <v>2349</v>
      </c>
      <c r="G304" s="3066" t="s">
        <v>2349</v>
      </c>
      <c r="H304" s="2915" t="s">
        <v>2349</v>
      </c>
      <c r="I304" s="2915" t="s">
        <v>2349</v>
      </c>
      <c r="J304" s="2915" t="s">
        <v>2349</v>
      </c>
      <c r="K304" s="2915" t="s">
        <v>2349</v>
      </c>
      <c r="L304" s="3066" t="s">
        <v>2349</v>
      </c>
      <c r="M304" s="2915" t="s">
        <v>2349</v>
      </c>
      <c r="N304" s="2915" t="s">
        <v>2349</v>
      </c>
      <c r="O304" s="2915" t="s">
        <v>2349</v>
      </c>
      <c r="P304" s="2915" t="s">
        <v>2349</v>
      </c>
      <c r="Q304" s="3066" t="s">
        <v>2349</v>
      </c>
      <c r="R304" s="2915" t="s">
        <v>2349</v>
      </c>
      <c r="S304" s="2915" t="s">
        <v>2349</v>
      </c>
      <c r="T304" s="2915" t="s">
        <v>2349</v>
      </c>
      <c r="U304" s="2915" t="s">
        <v>2349</v>
      </c>
      <c r="V304" s="3066" t="s">
        <v>2349</v>
      </c>
      <c r="W304" s="3067" t="s">
        <v>2349</v>
      </c>
      <c r="X304" s="3067" t="s">
        <v>2349</v>
      </c>
      <c r="Y304" s="3067" t="s">
        <v>2349</v>
      </c>
      <c r="Z304" s="3067" t="s">
        <v>2349</v>
      </c>
      <c r="AA304" s="3068" t="s">
        <v>2349</v>
      </c>
      <c r="AB304" s="3067" t="s">
        <v>2349</v>
      </c>
      <c r="AC304" s="3067" t="s">
        <v>2349</v>
      </c>
      <c r="AD304" s="3067" t="s">
        <v>2349</v>
      </c>
      <c r="AE304" s="2915" t="s">
        <v>2349</v>
      </c>
      <c r="AF304" s="3066" t="s">
        <v>2349</v>
      </c>
      <c r="AG304" s="3069" t="s">
        <v>2349</v>
      </c>
      <c r="AH304" s="2915" t="s">
        <v>2349</v>
      </c>
      <c r="AI304" s="2915" t="s">
        <v>2349</v>
      </c>
      <c r="AJ304" s="2915" t="s">
        <v>2349</v>
      </c>
      <c r="AK304" s="3066" t="s">
        <v>2349</v>
      </c>
      <c r="AL304" s="2915" t="s">
        <v>2349</v>
      </c>
      <c r="AM304" s="2915" t="s">
        <v>2349</v>
      </c>
      <c r="AN304" s="2915" t="s">
        <v>2349</v>
      </c>
      <c r="AO304" s="2915" t="s">
        <v>2349</v>
      </c>
      <c r="AP304" s="3066" t="s">
        <v>2349</v>
      </c>
      <c r="AQ304" s="2915" t="s">
        <v>2349</v>
      </c>
      <c r="AR304" s="2915" t="s">
        <v>2349</v>
      </c>
      <c r="AS304" s="2915" t="s">
        <v>2349</v>
      </c>
      <c r="AT304" s="2915" t="s">
        <v>2349</v>
      </c>
      <c r="AU304" s="3066" t="s">
        <v>2349</v>
      </c>
      <c r="AV304" s="2915" t="s">
        <v>2349</v>
      </c>
      <c r="AW304" s="2915" t="s">
        <v>2349</v>
      </c>
      <c r="AX304" s="2915" t="s">
        <v>2349</v>
      </c>
      <c r="AY304" s="2915" t="s">
        <v>2349</v>
      </c>
      <c r="AZ304" s="3066" t="s">
        <v>2349</v>
      </c>
      <c r="BA304" s="2915" t="s">
        <v>2349</v>
      </c>
      <c r="BB304" s="2915" t="s">
        <v>2349</v>
      </c>
      <c r="BC304" s="2915" t="s">
        <v>2349</v>
      </c>
      <c r="BD304" s="2915" t="s">
        <v>2349</v>
      </c>
      <c r="BE304" s="3066" t="s">
        <v>2349</v>
      </c>
      <c r="BF304" s="2915" t="s">
        <v>2349</v>
      </c>
      <c r="BG304" s="2915" t="s">
        <v>2349</v>
      </c>
      <c r="BH304" s="2915" t="s">
        <v>2349</v>
      </c>
      <c r="BI304" s="3070" t="s">
        <v>2349</v>
      </c>
      <c r="BJ304" s="3066" t="s">
        <v>2349</v>
      </c>
      <c r="BK304" s="2915" t="s">
        <v>2349</v>
      </c>
      <c r="BL304" s="2915" t="s">
        <v>2349</v>
      </c>
      <c r="BM304" s="2915" t="s">
        <v>2349</v>
      </c>
      <c r="BN304" s="3070" t="s">
        <v>2349</v>
      </c>
      <c r="BO304" s="3066" t="s">
        <v>2349</v>
      </c>
      <c r="BP304" s="2915" t="s">
        <v>2349</v>
      </c>
      <c r="BQ304" s="2915" t="s">
        <v>2349</v>
      </c>
      <c r="BR304" s="2915" t="s">
        <v>2349</v>
      </c>
      <c r="BS304" s="2915" t="s">
        <v>2349</v>
      </c>
      <c r="BT304" s="3066" t="s">
        <v>2349</v>
      </c>
      <c r="BU304" s="2915" t="s">
        <v>2349</v>
      </c>
      <c r="BV304" s="2915" t="s">
        <v>2349</v>
      </c>
      <c r="BW304" s="2915" t="s">
        <v>2349</v>
      </c>
      <c r="BX304" s="2915" t="s">
        <v>2349</v>
      </c>
      <c r="BY304" s="3066" t="s">
        <v>2349</v>
      </c>
      <c r="BZ304" s="3066" t="s">
        <v>2349</v>
      </c>
      <c r="CA304" s="3066" t="s">
        <v>2349</v>
      </c>
      <c r="CB304" s="3066" t="s">
        <v>2349</v>
      </c>
      <c r="CC304" s="3066" t="s">
        <v>2349</v>
      </c>
      <c r="CD304" s="3066" t="s">
        <v>2349</v>
      </c>
      <c r="CE304" s="3066" t="s">
        <v>2349</v>
      </c>
      <c r="CF304" s="3066" t="s">
        <v>2349</v>
      </c>
      <c r="CG304" s="2601"/>
      <c r="CH304" s="2601"/>
      <c r="CI304" s="2601"/>
      <c r="CJ304" s="2601"/>
      <c r="CK304" s="2601"/>
      <c r="CL304" s="2725"/>
      <c r="CM304" s="2840"/>
      <c r="CN304" s="2840"/>
      <c r="CO304" s="2840"/>
      <c r="CP304" s="2840"/>
      <c r="CQ304" s="2840"/>
      <c r="CR304" s="2840"/>
      <c r="CS304" s="2840"/>
      <c r="CT304" s="2840"/>
      <c r="CU304" s="2840"/>
      <c r="CV304" s="2840"/>
      <c r="CW304" s="2840"/>
      <c r="CX304" s="2840"/>
      <c r="CY304" s="2840"/>
      <c r="CZ304" s="2840"/>
      <c r="DA304" s="2840"/>
      <c r="DB304" s="2840"/>
      <c r="DC304" s="3065"/>
      <c r="DD304" s="2601"/>
      <c r="DE304" s="2601"/>
      <c r="DF304" s="502"/>
      <c r="DG304" s="503"/>
      <c r="DH304" s="2915"/>
      <c r="DI304" s="3213"/>
      <c r="DJ304" s="502"/>
      <c r="DK304" s="503"/>
      <c r="DL304" s="502"/>
      <c r="DM304" s="502"/>
      <c r="DN304" s="502"/>
      <c r="DO304" s="502"/>
      <c r="DP304" s="503"/>
      <c r="DQ304" s="503"/>
      <c r="DR304" s="2859"/>
      <c r="DS304" s="2859"/>
      <c r="DT304" s="2859"/>
      <c r="DU304"/>
      <c r="DV304"/>
      <c r="DW304"/>
      <c r="DX304"/>
      <c r="DY304"/>
      <c r="DZ304"/>
    </row>
    <row r="305" spans="1:124" ht="12.6" customHeight="1" outlineLevel="1" x14ac:dyDescent="0.25">
      <c r="A305" s="3063" t="s">
        <v>2351</v>
      </c>
      <c r="B305" s="281"/>
      <c r="C305" s="514">
        <f t="shared" ref="C305:AH305" si="685">SUM(C293:C303)</f>
        <v>26.482999999999997</v>
      </c>
      <c r="D305" s="514">
        <f t="shared" si="685"/>
        <v>26.044</v>
      </c>
      <c r="E305" s="514">
        <f t="shared" si="685"/>
        <v>25.397000000000002</v>
      </c>
      <c r="F305" s="514">
        <f t="shared" si="685"/>
        <v>24.849</v>
      </c>
      <c r="G305" s="515">
        <f t="shared" si="685"/>
        <v>102.773</v>
      </c>
      <c r="H305" s="514">
        <f t="shared" si="685"/>
        <v>27.382999999999999</v>
      </c>
      <c r="I305" s="514">
        <f t="shared" si="685"/>
        <v>29.045999999999999</v>
      </c>
      <c r="J305" s="514">
        <f t="shared" si="685"/>
        <v>30.917999999999999</v>
      </c>
      <c r="K305" s="514">
        <f t="shared" si="685"/>
        <v>111.986</v>
      </c>
      <c r="L305" s="515">
        <f t="shared" si="685"/>
        <v>199.33299999999997</v>
      </c>
      <c r="M305" s="514">
        <f t="shared" si="685"/>
        <v>126.807</v>
      </c>
      <c r="N305" s="514">
        <f t="shared" si="685"/>
        <v>115.28400000000001</v>
      </c>
      <c r="O305" s="514">
        <f t="shared" si="685"/>
        <v>109.842</v>
      </c>
      <c r="P305" s="514">
        <f t="shared" si="685"/>
        <v>103.88200000000002</v>
      </c>
      <c r="Q305" s="515">
        <f t="shared" si="685"/>
        <v>455.815</v>
      </c>
      <c r="R305" s="514">
        <f t="shared" si="685"/>
        <v>116.73900000000002</v>
      </c>
      <c r="S305" s="514">
        <f t="shared" si="685"/>
        <v>117.262</v>
      </c>
      <c r="T305" s="514">
        <f t="shared" si="685"/>
        <v>118.477</v>
      </c>
      <c r="U305" s="514">
        <f t="shared" si="685"/>
        <v>108.605</v>
      </c>
      <c r="V305" s="515">
        <f t="shared" si="685"/>
        <v>461.08300000000008</v>
      </c>
      <c r="W305" s="512">
        <f t="shared" si="685"/>
        <v>105.282</v>
      </c>
      <c r="X305" s="512">
        <f t="shared" si="685"/>
        <v>102.88199999999999</v>
      </c>
      <c r="Y305" s="512">
        <f t="shared" si="685"/>
        <v>99.153999999999996</v>
      </c>
      <c r="Z305" s="512">
        <f t="shared" si="685"/>
        <v>90.483999999999995</v>
      </c>
      <c r="AA305" s="513">
        <f t="shared" si="685"/>
        <v>397.80200000000002</v>
      </c>
      <c r="AB305" s="512">
        <f t="shared" si="685"/>
        <v>95.557000000000002</v>
      </c>
      <c r="AC305" s="512">
        <f t="shared" si="685"/>
        <v>82.055999999999997</v>
      </c>
      <c r="AD305" s="512">
        <f t="shared" si="685"/>
        <v>99.137</v>
      </c>
      <c r="AE305" s="514">
        <f t="shared" si="685"/>
        <v>84.512999999999991</v>
      </c>
      <c r="AF305" s="515">
        <f t="shared" si="685"/>
        <v>361.26300000000003</v>
      </c>
      <c r="AG305" s="514">
        <f t="shared" si="685"/>
        <v>94.158000000000015</v>
      </c>
      <c r="AH305" s="514">
        <f t="shared" si="685"/>
        <v>91.864000000000004</v>
      </c>
      <c r="AI305" s="514">
        <f t="shared" ref="AI305:BN305" si="686">SUM(AI293:AI303)</f>
        <v>90.40900000000002</v>
      </c>
      <c r="AJ305" s="514">
        <f t="shared" si="686"/>
        <v>86.796000000000006</v>
      </c>
      <c r="AK305" s="515">
        <f t="shared" si="686"/>
        <v>363.22699999999998</v>
      </c>
      <c r="AL305" s="514">
        <f t="shared" si="686"/>
        <v>100.61099999999999</v>
      </c>
      <c r="AM305" s="514">
        <f t="shared" si="686"/>
        <v>100.86000000000001</v>
      </c>
      <c r="AN305" s="514">
        <f t="shared" si="686"/>
        <v>95.869512743720804</v>
      </c>
      <c r="AO305" s="514">
        <f t="shared" si="686"/>
        <v>86.523422101396747</v>
      </c>
      <c r="AP305" s="515">
        <f t="shared" si="686"/>
        <v>383.86393484511757</v>
      </c>
      <c r="AQ305" s="514">
        <f t="shared" si="686"/>
        <v>107.61864110054998</v>
      </c>
      <c r="AR305" s="514">
        <f t="shared" si="686"/>
        <v>96.112343004139987</v>
      </c>
      <c r="AS305" s="514">
        <f t="shared" si="686"/>
        <v>94.291865385768332</v>
      </c>
      <c r="AT305" s="514">
        <f t="shared" si="686"/>
        <v>85.295283180658856</v>
      </c>
      <c r="AU305" s="515">
        <f t="shared" si="686"/>
        <v>383.31813267111716</v>
      </c>
      <c r="AV305" s="514">
        <f t="shared" si="686"/>
        <v>108.36220105058797</v>
      </c>
      <c r="AW305" s="514">
        <f t="shared" si="686"/>
        <v>97.044901180875016</v>
      </c>
      <c r="AX305" s="514">
        <f t="shared" si="686"/>
        <v>86.645679961100001</v>
      </c>
      <c r="AY305" s="514">
        <f t="shared" si="686"/>
        <v>75.036593351123003</v>
      </c>
      <c r="AZ305" s="515">
        <f t="shared" si="686"/>
        <v>367.08937554368595</v>
      </c>
      <c r="BA305" s="514">
        <f t="shared" si="686"/>
        <v>73.99799999999999</v>
      </c>
      <c r="BB305" s="514">
        <f t="shared" si="686"/>
        <v>72.004999999999995</v>
      </c>
      <c r="BC305" s="514">
        <f t="shared" si="686"/>
        <v>65.891999999999996</v>
      </c>
      <c r="BD305" s="514">
        <f t="shared" si="686"/>
        <v>62.646999999999998</v>
      </c>
      <c r="BE305" s="2566">
        <f t="shared" si="686"/>
        <v>274.54199999999992</v>
      </c>
      <c r="BF305" s="514">
        <f t="shared" si="686"/>
        <v>70.021999999999991</v>
      </c>
      <c r="BG305" s="514">
        <f t="shared" si="686"/>
        <v>71.412000000000006</v>
      </c>
      <c r="BH305" s="514">
        <f t="shared" si="686"/>
        <v>68.91</v>
      </c>
      <c r="BI305" s="1590">
        <f t="shared" si="686"/>
        <v>80.97499999999998</v>
      </c>
      <c r="BJ305" s="2566">
        <f t="shared" si="686"/>
        <v>291.31899999999996</v>
      </c>
      <c r="BK305" s="514">
        <f t="shared" si="686"/>
        <v>75.087000000000003</v>
      </c>
      <c r="BL305" s="514">
        <f t="shared" si="686"/>
        <v>73.168999999999997</v>
      </c>
      <c r="BM305" s="514">
        <f t="shared" si="686"/>
        <v>71.644000000000005</v>
      </c>
      <c r="BN305" s="1590">
        <f t="shared" si="686"/>
        <v>67.374999999999986</v>
      </c>
      <c r="BO305" s="2566">
        <f t="shared" ref="BO305:CF305" si="687">SUM(BO293:BO303)</f>
        <v>287.27499999999998</v>
      </c>
      <c r="BP305" s="514">
        <f t="shared" si="687"/>
        <v>78.105999999999995</v>
      </c>
      <c r="BQ305" s="514">
        <f t="shared" si="687"/>
        <v>75.489999999999995</v>
      </c>
      <c r="BR305" s="514">
        <f t="shared" si="687"/>
        <v>76.043999999999983</v>
      </c>
      <c r="BS305" s="514">
        <f t="shared" si="687"/>
        <v>68.137</v>
      </c>
      <c r="BT305" s="515">
        <f t="shared" ref="BT305:BY305" si="688">SUM(BT293:BT303)</f>
        <v>297.77699999999999</v>
      </c>
      <c r="BU305" s="514">
        <f t="shared" si="688"/>
        <v>72.380461100189578</v>
      </c>
      <c r="BV305" s="514">
        <f t="shared" si="688"/>
        <v>78.608903058747643</v>
      </c>
      <c r="BW305" s="514">
        <f t="shared" si="688"/>
        <v>84.059054580866515</v>
      </c>
      <c r="BX305" s="514">
        <f t="shared" si="688"/>
        <v>77.418738741831532</v>
      </c>
      <c r="BY305" s="515">
        <f t="shared" si="688"/>
        <v>312.4671574816353</v>
      </c>
      <c r="BZ305" s="515">
        <f t="shared" si="687"/>
        <v>323.58477824386529</v>
      </c>
      <c r="CA305" s="515">
        <f t="shared" si="687"/>
        <v>321.11728937396185</v>
      </c>
      <c r="CB305" s="515">
        <f t="shared" si="687"/>
        <v>302.13666708643683</v>
      </c>
      <c r="CC305" s="515">
        <f t="shared" si="687"/>
        <v>282.77110528583978</v>
      </c>
      <c r="CD305" s="515">
        <f t="shared" si="687"/>
        <v>291.11415162898163</v>
      </c>
      <c r="CE305" s="515">
        <f t="shared" si="687"/>
        <v>299.727103187512</v>
      </c>
      <c r="CF305" s="515">
        <f t="shared" si="687"/>
        <v>308.42258555093758</v>
      </c>
      <c r="CG305" s="331"/>
      <c r="CH305" s="331"/>
      <c r="CI305" s="331"/>
      <c r="CJ305" s="331"/>
      <c r="CK305" s="331"/>
      <c r="CL305" s="995"/>
      <c r="CM305" s="430"/>
      <c r="CN305" s="430"/>
      <c r="CO305" s="430"/>
      <c r="CP305" s="430"/>
      <c r="CQ305" s="430"/>
      <c r="CR305" s="430"/>
      <c r="CS305" s="430"/>
      <c r="CT305" s="430"/>
      <c r="CU305" s="430"/>
      <c r="CV305" s="430"/>
      <c r="CW305" s="430"/>
      <c r="CX305" s="430"/>
      <c r="CY305" s="430"/>
      <c r="CZ305" s="430"/>
      <c r="DA305" s="430"/>
      <c r="DB305" s="430"/>
      <c r="DC305" s="853"/>
      <c r="DD305" s="331"/>
      <c r="DE305" s="331"/>
      <c r="DF305" s="502"/>
      <c r="DG305" s="503"/>
      <c r="DH305" s="514"/>
      <c r="DI305" s="3213"/>
      <c r="DJ305" s="502"/>
      <c r="DK305" s="503"/>
      <c r="DL305" s="502"/>
      <c r="DM305" s="502"/>
      <c r="DN305" s="502"/>
      <c r="DO305" s="502"/>
      <c r="DP305" s="503"/>
      <c r="DQ305" s="503"/>
      <c r="DR305" s="296"/>
      <c r="DS305" s="296"/>
      <c r="DT305" s="296"/>
    </row>
    <row r="306" spans="1:124" ht="12.6" customHeight="1" outlineLevel="1" x14ac:dyDescent="0.25">
      <c r="A306" s="2605"/>
      <c r="B306" s="281"/>
      <c r="C306" s="2915"/>
      <c r="D306" s="454"/>
      <c r="E306" s="454"/>
      <c r="F306" s="454"/>
      <c r="G306" s="455"/>
      <c r="H306" s="454"/>
      <c r="I306" s="454"/>
      <c r="J306" s="454"/>
      <c r="K306" s="454"/>
      <c r="L306" s="455"/>
      <c r="M306" s="454"/>
      <c r="N306" s="454"/>
      <c r="O306" s="454"/>
      <c r="P306" s="454"/>
      <c r="Q306" s="455"/>
      <c r="R306" s="454"/>
      <c r="S306" s="454"/>
      <c r="T306" s="454"/>
      <c r="U306" s="454"/>
      <c r="V306" s="455"/>
      <c r="W306" s="446"/>
      <c r="X306" s="446"/>
      <c r="Y306" s="446"/>
      <c r="Z306" s="446"/>
      <c r="AA306" s="447"/>
      <c r="AB306" s="446"/>
      <c r="AC306" s="446"/>
      <c r="AD306" s="446"/>
      <c r="AE306" s="454"/>
      <c r="AF306" s="455"/>
      <c r="AG306" s="1586"/>
      <c r="AH306" s="454"/>
      <c r="AI306" s="454"/>
      <c r="AJ306" s="454"/>
      <c r="AK306" s="455"/>
      <c r="AL306" s="2076"/>
      <c r="AM306" s="2076"/>
      <c r="AN306" s="2076"/>
      <c r="AO306" s="2076"/>
      <c r="AP306" s="456"/>
      <c r="AQ306" s="2076"/>
      <c r="AR306" s="2076"/>
      <c r="AS306" s="2076"/>
      <c r="AT306" s="2076"/>
      <c r="AU306" s="455"/>
      <c r="AV306" s="2076"/>
      <c r="AW306" s="2076"/>
      <c r="AX306" s="2076"/>
      <c r="AY306" s="2076"/>
      <c r="AZ306" s="455"/>
      <c r="BA306" s="3064"/>
      <c r="BB306" s="3064"/>
      <c r="BC306" s="3064"/>
      <c r="BD306" s="3064"/>
      <c r="BE306" s="455"/>
      <c r="BF306" s="3064"/>
      <c r="BG306" s="454"/>
      <c r="BH306" s="454"/>
      <c r="BI306" s="1666"/>
      <c r="BJ306" s="455"/>
      <c r="BK306" s="454"/>
      <c r="BL306" s="454"/>
      <c r="BM306" s="454"/>
      <c r="BN306" s="1666"/>
      <c r="BO306" s="455"/>
      <c r="BP306" s="454"/>
      <c r="BQ306" s="454"/>
      <c r="BR306" s="454"/>
      <c r="BS306" s="454"/>
      <c r="BT306" s="3066"/>
      <c r="BU306" s="3391"/>
      <c r="BV306" s="2915"/>
      <c r="BW306" s="2915"/>
      <c r="BX306" s="2915"/>
      <c r="BY306" s="3066"/>
      <c r="BZ306" s="455"/>
      <c r="CA306" s="455"/>
      <c r="CB306" s="455"/>
      <c r="CC306" s="455"/>
      <c r="CD306" s="455"/>
      <c r="CE306" s="455"/>
      <c r="CF306" s="455"/>
      <c r="CG306" s="331"/>
      <c r="CH306" s="331"/>
      <c r="CI306" s="331"/>
      <c r="CJ306" s="331"/>
      <c r="CK306" s="331"/>
      <c r="CL306" s="995"/>
      <c r="CM306" s="430"/>
      <c r="CN306" s="430"/>
      <c r="CO306" s="430"/>
      <c r="CP306" s="430"/>
      <c r="CQ306" s="430"/>
      <c r="CR306" s="430"/>
      <c r="CS306" s="430"/>
      <c r="CT306" s="430"/>
      <c r="CU306" s="430"/>
      <c r="CV306" s="430"/>
      <c r="CW306" s="430"/>
      <c r="CX306" s="430"/>
      <c r="CY306" s="430"/>
      <c r="CZ306" s="430"/>
      <c r="DA306" s="430"/>
      <c r="DB306" s="430"/>
      <c r="DC306" s="853"/>
      <c r="DD306" s="331"/>
      <c r="DE306" s="331"/>
      <c r="DF306" s="502"/>
      <c r="DG306" s="503"/>
      <c r="DH306" s="2915"/>
      <c r="DI306" s="3213"/>
      <c r="DJ306" s="502"/>
      <c r="DK306" s="503"/>
      <c r="DL306" s="502"/>
      <c r="DM306" s="502"/>
      <c r="DN306" s="502"/>
      <c r="DO306" s="502"/>
      <c r="DP306" s="503"/>
      <c r="DQ306" s="503"/>
      <c r="DR306" s="296"/>
      <c r="DS306" s="296"/>
      <c r="DT306" s="296"/>
    </row>
    <row r="307" spans="1:124" ht="12.6" customHeight="1" outlineLevel="1" x14ac:dyDescent="0.25">
      <c r="A307" s="2605" t="s">
        <v>2587</v>
      </c>
      <c r="B307" s="281"/>
      <c r="C307" s="2915"/>
      <c r="D307" s="454"/>
      <c r="E307" s="454"/>
      <c r="F307" s="454"/>
      <c r="G307" s="455"/>
      <c r="H307" s="454"/>
      <c r="I307" s="454"/>
      <c r="J307" s="454"/>
      <c r="K307" s="454"/>
      <c r="L307" s="455"/>
      <c r="M307" s="454"/>
      <c r="N307" s="454"/>
      <c r="O307" s="454"/>
      <c r="P307" s="454"/>
      <c r="Q307" s="455"/>
      <c r="R307" s="454"/>
      <c r="S307" s="454"/>
      <c r="T307" s="454"/>
      <c r="U307" s="454"/>
      <c r="V307" s="455"/>
      <c r="W307" s="446"/>
      <c r="X307" s="446"/>
      <c r="Y307" s="446"/>
      <c r="Z307" s="446"/>
      <c r="AA307" s="447"/>
      <c r="AB307" s="446"/>
      <c r="AC307" s="446"/>
      <c r="AD307" s="446"/>
      <c r="AE307" s="454"/>
      <c r="AF307" s="455"/>
      <c r="AG307" s="1586"/>
      <c r="AH307" s="454"/>
      <c r="AI307" s="454"/>
      <c r="AJ307" s="454"/>
      <c r="AK307" s="455"/>
      <c r="AL307" s="2076"/>
      <c r="AM307" s="2076"/>
      <c r="AN307" s="2076"/>
      <c r="AO307" s="2076"/>
      <c r="AP307" s="456"/>
      <c r="AQ307" s="2076"/>
      <c r="AR307" s="2076"/>
      <c r="AS307" s="2076"/>
      <c r="AT307" s="2076"/>
      <c r="AU307" s="455"/>
      <c r="AV307" s="2076"/>
      <c r="AW307" s="2076"/>
      <c r="AX307" s="2076"/>
      <c r="AY307" s="2076"/>
      <c r="AZ307" s="455"/>
      <c r="BA307" s="3064"/>
      <c r="BB307" s="3064"/>
      <c r="BC307" s="3064"/>
      <c r="BD307" s="3064"/>
      <c r="BE307" s="455"/>
      <c r="BF307" s="3064"/>
      <c r="BG307" s="454"/>
      <c r="BH307" s="454"/>
      <c r="BI307" s="1666"/>
      <c r="BJ307" s="455"/>
      <c r="BK307" s="454"/>
      <c r="BL307" s="454"/>
      <c r="BM307" s="454"/>
      <c r="BN307" s="1666"/>
      <c r="BO307" s="455"/>
      <c r="BP307" s="454"/>
      <c r="BQ307" s="454"/>
      <c r="BR307" s="454"/>
      <c r="BS307" s="454"/>
      <c r="BT307" s="3066"/>
      <c r="BU307" s="3391"/>
      <c r="BV307" s="2915"/>
      <c r="BW307" s="2915">
        <f>+BW1072</f>
        <v>154.77807082295033</v>
      </c>
      <c r="BX307" s="2915">
        <f>+BX1072</f>
        <v>147.79500675095755</v>
      </c>
      <c r="BY307" s="3066">
        <f>SUM(BU307:BX307)</f>
        <v>302.57307757390788</v>
      </c>
      <c r="BZ307" s="455">
        <f>+BZ1072</f>
        <v>642.07786875153533</v>
      </c>
      <c r="CA307" s="455">
        <f>+CA1072</f>
        <v>639.43523935076155</v>
      </c>
      <c r="CB307" s="455"/>
      <c r="CC307" s="455"/>
      <c r="CD307" s="455"/>
      <c r="CE307" s="455"/>
      <c r="CF307" s="455"/>
      <c r="CG307" s="331"/>
      <c r="CH307" s="331"/>
      <c r="CI307" s="331"/>
      <c r="CJ307" s="331"/>
      <c r="CK307" s="331"/>
      <c r="CL307" s="995"/>
      <c r="CM307" s="430"/>
      <c r="CN307" s="430"/>
      <c r="CO307" s="430"/>
      <c r="CP307" s="430"/>
      <c r="CQ307" s="430"/>
      <c r="CR307" s="430"/>
      <c r="CS307" s="430"/>
      <c r="CT307" s="430"/>
      <c r="CU307" s="430"/>
      <c r="CV307" s="430"/>
      <c r="CW307" s="430"/>
      <c r="CX307" s="430"/>
      <c r="CY307" s="430"/>
      <c r="CZ307" s="430"/>
      <c r="DA307" s="430"/>
      <c r="DB307" s="430"/>
      <c r="DC307" s="853"/>
      <c r="DD307" s="331"/>
      <c r="DE307" s="331"/>
      <c r="DF307" s="502"/>
      <c r="DG307" s="503"/>
      <c r="DH307" s="2915"/>
      <c r="DI307" s="3213"/>
      <c r="DJ307" s="502"/>
      <c r="DK307" s="503"/>
      <c r="DL307" s="502"/>
      <c r="DM307" s="502"/>
      <c r="DN307" s="502"/>
      <c r="DO307" s="502"/>
      <c r="DP307" s="503"/>
      <c r="DQ307" s="503"/>
      <c r="DR307" s="296"/>
      <c r="DS307" s="296"/>
      <c r="DT307" s="296"/>
    </row>
    <row r="308" spans="1:124" ht="12.6" customHeight="1" outlineLevel="1" x14ac:dyDescent="0.25">
      <c r="A308" s="2605"/>
      <c r="B308" s="281"/>
      <c r="C308" s="2915"/>
      <c r="D308" s="454"/>
      <c r="E308" s="454"/>
      <c r="F308" s="454"/>
      <c r="G308" s="455"/>
      <c r="H308" s="454"/>
      <c r="I308" s="454"/>
      <c r="J308" s="454"/>
      <c r="K308" s="454"/>
      <c r="L308" s="455"/>
      <c r="M308" s="454"/>
      <c r="N308" s="454"/>
      <c r="O308" s="454"/>
      <c r="P308" s="454"/>
      <c r="Q308" s="455"/>
      <c r="R308" s="454"/>
      <c r="S308" s="454"/>
      <c r="T308" s="454"/>
      <c r="U308" s="454"/>
      <c r="V308" s="455"/>
      <c r="W308" s="446"/>
      <c r="X308" s="446"/>
      <c r="Y308" s="446"/>
      <c r="Z308" s="446"/>
      <c r="AA308" s="447"/>
      <c r="AB308" s="446"/>
      <c r="AC308" s="446"/>
      <c r="AD308" s="446"/>
      <c r="AE308" s="454"/>
      <c r="AF308" s="455"/>
      <c r="AG308" s="1586"/>
      <c r="AH308" s="454"/>
      <c r="AI308" s="454"/>
      <c r="AJ308" s="454"/>
      <c r="AK308" s="455"/>
      <c r="AL308" s="2076"/>
      <c r="AM308" s="2076"/>
      <c r="AN308" s="2076"/>
      <c r="AO308" s="2076"/>
      <c r="AP308" s="456"/>
      <c r="AQ308" s="2076"/>
      <c r="AR308" s="2076"/>
      <c r="AS308" s="2076"/>
      <c r="AT308" s="2076"/>
      <c r="AU308" s="455"/>
      <c r="AV308" s="2076"/>
      <c r="AW308" s="2076"/>
      <c r="AX308" s="2076"/>
      <c r="AY308" s="2076"/>
      <c r="AZ308" s="455"/>
      <c r="BA308" s="3064"/>
      <c r="BB308" s="3064"/>
      <c r="BC308" s="3064"/>
      <c r="BD308" s="3064"/>
      <c r="BE308" s="455"/>
      <c r="BF308" s="3064"/>
      <c r="BG308" s="454"/>
      <c r="BH308" s="454"/>
      <c r="BI308" s="1666"/>
      <c r="BJ308" s="455"/>
      <c r="BK308" s="454"/>
      <c r="BL308" s="454"/>
      <c r="BM308" s="454"/>
      <c r="BN308" s="1666"/>
      <c r="BO308" s="455"/>
      <c r="BP308" s="454"/>
      <c r="BQ308" s="454"/>
      <c r="BR308" s="454"/>
      <c r="BS308" s="454"/>
      <c r="BT308" s="3066"/>
      <c r="BU308" s="3391"/>
      <c r="BV308" s="2915"/>
      <c r="BW308" s="2915"/>
      <c r="BX308" s="2915"/>
      <c r="BY308" s="3066"/>
      <c r="BZ308" s="455"/>
      <c r="CA308" s="455"/>
      <c r="CB308" s="455"/>
      <c r="CC308" s="455"/>
      <c r="CD308" s="455"/>
      <c r="CE308" s="455"/>
      <c r="CF308" s="455"/>
      <c r="CG308" s="331"/>
      <c r="CH308" s="331"/>
      <c r="CI308" s="331"/>
      <c r="CJ308" s="331"/>
      <c r="CK308" s="331"/>
      <c r="CL308" s="995"/>
      <c r="CM308" s="430"/>
      <c r="CN308" s="430"/>
      <c r="CO308" s="430"/>
      <c r="CP308" s="430"/>
      <c r="CQ308" s="430"/>
      <c r="CR308" s="430"/>
      <c r="CS308" s="430"/>
      <c r="CT308" s="430"/>
      <c r="CU308" s="430"/>
      <c r="CV308" s="430"/>
      <c r="CW308" s="430"/>
      <c r="CX308" s="430"/>
      <c r="CY308" s="430"/>
      <c r="CZ308" s="430"/>
      <c r="DA308" s="430"/>
      <c r="DB308" s="430"/>
      <c r="DC308" s="853"/>
      <c r="DD308" s="331"/>
      <c r="DE308" s="331"/>
      <c r="DF308" s="502"/>
      <c r="DG308" s="503"/>
      <c r="DH308" s="2915"/>
      <c r="DI308" s="3213"/>
      <c r="DJ308" s="502"/>
      <c r="DK308" s="503"/>
      <c r="DL308" s="502"/>
      <c r="DM308" s="502"/>
      <c r="DN308" s="502"/>
      <c r="DO308" s="502"/>
      <c r="DP308" s="503"/>
      <c r="DQ308" s="503"/>
      <c r="DR308" s="296"/>
      <c r="DS308" s="296"/>
      <c r="DT308" s="296"/>
    </row>
    <row r="309" spans="1:124" ht="12.6" customHeight="1" outlineLevel="1" x14ac:dyDescent="0.25">
      <c r="A309" s="2166" t="s">
        <v>1623</v>
      </c>
      <c r="B309" s="281"/>
      <c r="C309" s="446"/>
      <c r="D309" s="446"/>
      <c r="E309" s="446"/>
      <c r="F309" s="446"/>
      <c r="G309" s="447"/>
      <c r="H309" s="446"/>
      <c r="I309" s="446"/>
      <c r="J309" s="446"/>
      <c r="K309" s="446"/>
      <c r="L309" s="447"/>
      <c r="M309" s="446"/>
      <c r="N309" s="446"/>
      <c r="O309" s="446"/>
      <c r="P309" s="446"/>
      <c r="Q309" s="447"/>
      <c r="R309" s="446"/>
      <c r="S309" s="446"/>
      <c r="T309" s="446"/>
      <c r="U309" s="446"/>
      <c r="V309" s="447"/>
      <c r="W309" s="446"/>
      <c r="X309" s="446"/>
      <c r="Y309" s="446"/>
      <c r="Z309" s="446"/>
      <c r="AA309" s="447"/>
      <c r="AB309" s="446"/>
      <c r="AC309" s="446"/>
      <c r="AD309" s="446"/>
      <c r="AE309" s="454"/>
      <c r="AF309" s="455"/>
      <c r="AG309" s="1586"/>
      <c r="AH309" s="454"/>
      <c r="AI309" s="454"/>
      <c r="AJ309" s="454"/>
      <c r="AK309" s="455"/>
      <c r="AL309" s="1586"/>
      <c r="AM309" s="563"/>
      <c r="AN309" s="454"/>
      <c r="AO309" s="454"/>
      <c r="AP309" s="456"/>
      <c r="AQ309" s="456"/>
      <c r="AR309" s="454"/>
      <c r="AS309" s="454"/>
      <c r="AT309" s="454"/>
      <c r="AU309" s="455"/>
      <c r="AV309" s="454"/>
      <c r="AW309" s="454"/>
      <c r="AX309" s="454"/>
      <c r="AY309" s="1666"/>
      <c r="AZ309" s="455"/>
      <c r="BA309" s="454"/>
      <c r="BB309" s="454"/>
      <c r="BC309" s="454"/>
      <c r="BD309" s="1666"/>
      <c r="BE309" s="455"/>
      <c r="BF309" s="454"/>
      <c r="BG309" s="454"/>
      <c r="BH309" s="454"/>
      <c r="BI309" s="1666"/>
      <c r="BJ309" s="455"/>
      <c r="BK309" s="454"/>
      <c r="BL309" s="454"/>
      <c r="BM309" s="454"/>
      <c r="BN309" s="1666"/>
      <c r="BO309" s="455"/>
      <c r="BP309" s="454"/>
      <c r="BQ309" s="454"/>
      <c r="BR309" s="454"/>
      <c r="BS309" s="454"/>
      <c r="BT309" s="3066"/>
      <c r="BU309" s="3391"/>
      <c r="BV309" s="2915"/>
      <c r="BW309" s="2915"/>
      <c r="BX309" s="2915"/>
      <c r="BY309" s="3066"/>
      <c r="BZ309" s="455"/>
      <c r="CA309" s="455"/>
      <c r="CB309" s="455"/>
      <c r="CC309" s="455"/>
      <c r="CD309" s="455"/>
      <c r="CE309" s="455"/>
      <c r="CF309" s="455"/>
      <c r="CG309" s="1395"/>
      <c r="CH309" s="1395"/>
      <c r="CI309" s="1395"/>
      <c r="CJ309" s="1395"/>
      <c r="CK309" s="331"/>
      <c r="CL309" s="995"/>
      <c r="CM309" s="454"/>
      <c r="CN309" s="454"/>
      <c r="CO309" s="454"/>
      <c r="CP309" s="454"/>
      <c r="CQ309" s="454"/>
      <c r="CR309" s="454"/>
      <c r="CS309" s="454"/>
      <c r="CT309" s="454"/>
      <c r="CU309" s="454"/>
      <c r="CV309" s="454"/>
      <c r="CW309" s="454"/>
      <c r="CX309" s="454"/>
      <c r="CY309" s="454"/>
      <c r="CZ309" s="454"/>
      <c r="DA309" s="454"/>
      <c r="DB309" s="454"/>
      <c r="DC309" s="1666"/>
      <c r="DD309" s="331"/>
      <c r="DE309" s="331"/>
      <c r="DF309" s="502"/>
      <c r="DG309" s="503"/>
      <c r="DH309" s="2915"/>
      <c r="DI309" s="3213"/>
      <c r="DJ309" s="502"/>
      <c r="DK309" s="503"/>
      <c r="DL309" s="502"/>
      <c r="DM309" s="502"/>
      <c r="DN309" s="502"/>
      <c r="DO309" s="502"/>
      <c r="DP309" s="503"/>
      <c r="DQ309" s="503"/>
      <c r="DR309" s="296"/>
      <c r="DS309" s="296"/>
      <c r="DT309" s="296"/>
    </row>
    <row r="310" spans="1:124" ht="12.6" customHeight="1" outlineLevel="1" x14ac:dyDescent="0.25">
      <c r="A310" s="392" t="s">
        <v>1089</v>
      </c>
      <c r="B310" s="281"/>
      <c r="C310" s="446">
        <f>C1095</f>
        <v>1.1479999999999999</v>
      </c>
      <c r="D310" s="446">
        <f>D1095</f>
        <v>1.2430000000000001</v>
      </c>
      <c r="E310" s="446">
        <f>E1095</f>
        <v>1.522</v>
      </c>
      <c r="F310" s="446">
        <f>F1095</f>
        <v>0.86199999999999999</v>
      </c>
      <c r="G310" s="447">
        <f>SUM(C310:F310)</f>
        <v>4.7750000000000004</v>
      </c>
      <c r="H310" s="446">
        <f>H1095</f>
        <v>0.84299999999999997</v>
      </c>
      <c r="I310" s="446">
        <f>I1095</f>
        <v>0.95799999999999996</v>
      </c>
      <c r="J310" s="446">
        <f>J1095</f>
        <v>1.383</v>
      </c>
      <c r="K310" s="446">
        <f>K1095</f>
        <v>0.84499999999999997</v>
      </c>
      <c r="L310" s="447">
        <f>SUM(H310:K310)</f>
        <v>4.0289999999999999</v>
      </c>
      <c r="M310" s="446">
        <f>M1095</f>
        <v>0.626</v>
      </c>
      <c r="N310" s="446">
        <f>N1095</f>
        <v>0.91600000000000004</v>
      </c>
      <c r="O310" s="446">
        <f>O1095</f>
        <v>0.92200000000000004</v>
      </c>
      <c r="P310" s="446">
        <f>P1095</f>
        <v>0.69699999999999995</v>
      </c>
      <c r="Q310" s="447">
        <f>SUM(M310:P310)</f>
        <v>3.161</v>
      </c>
      <c r="R310" s="446">
        <f>R1095</f>
        <v>0.78500000000000003</v>
      </c>
      <c r="S310" s="446">
        <f>S1095</f>
        <v>0.97599999999999998</v>
      </c>
      <c r="T310" s="446">
        <f>T1095</f>
        <v>0.77600000000000002</v>
      </c>
      <c r="U310" s="446">
        <f>U1095</f>
        <v>0.81299999999999994</v>
      </c>
      <c r="V310" s="447">
        <f>SUM(R310:U310)</f>
        <v>3.3499999999999996</v>
      </c>
      <c r="W310" s="446">
        <f>W1095</f>
        <v>5.8000000000000003E-2</v>
      </c>
      <c r="X310" s="446">
        <f>X1095</f>
        <v>0.107</v>
      </c>
      <c r="Y310" s="446">
        <f>Y1095</f>
        <v>-0.28299999999999997</v>
      </c>
      <c r="Z310" s="446">
        <f>Z1095</f>
        <v>-0.66500000000000004</v>
      </c>
      <c r="AA310" s="447">
        <f>SUM(W310:Z310)</f>
        <v>-0.78300000000000003</v>
      </c>
      <c r="AB310" s="446">
        <f>AB1095</f>
        <v>0.154</v>
      </c>
      <c r="AC310" s="446">
        <f>AC1095</f>
        <v>0.157</v>
      </c>
      <c r="AD310" s="446">
        <f>AD1095</f>
        <v>1.7999999999999999E-2</v>
      </c>
      <c r="AE310" s="454">
        <f>AE1095</f>
        <v>-0.30599999999999999</v>
      </c>
      <c r="AF310" s="455">
        <f>SUM(AB310:AE310)</f>
        <v>2.300000000000002E-2</v>
      </c>
      <c r="AG310" s="1724">
        <f>AG1095</f>
        <v>-0.36799999999999999</v>
      </c>
      <c r="AH310" s="454">
        <f>AH1095</f>
        <v>-0.247</v>
      </c>
      <c r="AI310" s="454">
        <f>AI1095</f>
        <v>-0.38200000000000001</v>
      </c>
      <c r="AJ310" s="454">
        <f>AJ1095</f>
        <v>-0.51600000000000001</v>
      </c>
      <c r="AK310" s="455">
        <f>SUM(AG310:AJ310)</f>
        <v>-1.5129999999999999</v>
      </c>
      <c r="AL310" s="454">
        <f>AL1095</f>
        <v>0.13500000000000001</v>
      </c>
      <c r="AM310" s="454">
        <f>AM1095</f>
        <v>0.48699999999999999</v>
      </c>
      <c r="AN310" s="454">
        <f>AN1095</f>
        <v>-0.34128999999999987</v>
      </c>
      <c r="AO310" s="454">
        <f>AO1095</f>
        <v>-0.48485999999999985</v>
      </c>
      <c r="AP310" s="456">
        <f>SUM(AL310:AO310)</f>
        <v>-0.20414999999999972</v>
      </c>
      <c r="AQ310" s="456">
        <f>AQ1095</f>
        <v>0.16597999999999979</v>
      </c>
      <c r="AR310" s="454">
        <f>AR1095</f>
        <v>0.52227000000000023</v>
      </c>
      <c r="AS310" s="454">
        <f>AS1095</f>
        <v>-0.29928229999999978</v>
      </c>
      <c r="AT310" s="454">
        <f>AT1095</f>
        <v>-0.45268259999999971</v>
      </c>
      <c r="AU310" s="455">
        <f>SUM(AQ310:AT310)</f>
        <v>-6.3714899999999464E-2</v>
      </c>
      <c r="AV310" s="454">
        <f>AV1095</f>
        <v>0.25498800000000044</v>
      </c>
      <c r="AW310" s="454">
        <f>AW1095</f>
        <v>0.61007130000000087</v>
      </c>
      <c r="AX310" s="454">
        <f>AX1095</f>
        <v>0</v>
      </c>
      <c r="AY310" s="1666">
        <f>AY1095</f>
        <v>0</v>
      </c>
      <c r="AZ310" s="1666">
        <f>SUM(AV310:AY310)</f>
        <v>0.86505930000000131</v>
      </c>
      <c r="BA310" s="454">
        <f>BA1095</f>
        <v>0</v>
      </c>
      <c r="BB310" s="454">
        <f>BB1095</f>
        <v>0</v>
      </c>
      <c r="BC310" s="454">
        <f>BC1095</f>
        <v>0</v>
      </c>
      <c r="BD310" s="1666">
        <f>BD1095</f>
        <v>0</v>
      </c>
      <c r="BE310" s="455">
        <f>SUM(BA310:BD310)</f>
        <v>0</v>
      </c>
      <c r="BF310" s="454">
        <f>BF1095</f>
        <v>0</v>
      </c>
      <c r="BG310" s="454">
        <f>BG1095</f>
        <v>0</v>
      </c>
      <c r="BH310" s="454">
        <f>BH1095</f>
        <v>0</v>
      </c>
      <c r="BI310" s="1666">
        <f>BI1095</f>
        <v>0</v>
      </c>
      <c r="BJ310" s="455">
        <f>SUM(BF310:BI310)</f>
        <v>0</v>
      </c>
      <c r="BK310" s="454">
        <f>BK1095</f>
        <v>0</v>
      </c>
      <c r="BL310" s="454">
        <f>BL1095</f>
        <v>0</v>
      </c>
      <c r="BM310" s="454">
        <f>BM1095</f>
        <v>0</v>
      </c>
      <c r="BN310" s="1666">
        <f>BN1095</f>
        <v>0</v>
      </c>
      <c r="BO310" s="455">
        <f>SUM(BK310:BN310)</f>
        <v>0</v>
      </c>
      <c r="BP310" s="454">
        <f>BP1095</f>
        <v>0</v>
      </c>
      <c r="BQ310" s="454">
        <f>BQ1095</f>
        <v>0</v>
      </c>
      <c r="BR310" s="454">
        <f>BR1095</f>
        <v>0</v>
      </c>
      <c r="BS310" s="454">
        <f>BS1095</f>
        <v>0</v>
      </c>
      <c r="BT310" s="3066">
        <f>SUM(BP310:BS310)</f>
        <v>0</v>
      </c>
      <c r="BU310" s="2915">
        <f>BU1095</f>
        <v>0</v>
      </c>
      <c r="BV310" s="2915">
        <f>BV1095</f>
        <v>0</v>
      </c>
      <c r="BW310" s="2915">
        <f>BW1095</f>
        <v>0</v>
      </c>
      <c r="BX310" s="2915">
        <f>BX1095</f>
        <v>0</v>
      </c>
      <c r="BY310" s="3066">
        <f>SUM(BU310:BX310)</f>
        <v>0</v>
      </c>
      <c r="BZ310" s="455">
        <f t="shared" ref="BZ310:CF310" si="689">BZ1095</f>
        <v>0</v>
      </c>
      <c r="CA310" s="455">
        <f t="shared" si="689"/>
        <v>0</v>
      </c>
      <c r="CB310" s="455">
        <f t="shared" si="689"/>
        <v>0</v>
      </c>
      <c r="CC310" s="455">
        <f t="shared" si="689"/>
        <v>0</v>
      </c>
      <c r="CD310" s="455">
        <f t="shared" si="689"/>
        <v>0</v>
      </c>
      <c r="CE310" s="455">
        <f t="shared" si="689"/>
        <v>0</v>
      </c>
      <c r="CF310" s="455">
        <f t="shared" si="689"/>
        <v>0</v>
      </c>
      <c r="CG310" s="588"/>
      <c r="CH310" s="588"/>
      <c r="CI310" s="588"/>
      <c r="CJ310" s="588"/>
      <c r="CK310" s="331"/>
      <c r="CL310" s="995" t="str">
        <f>A310</f>
        <v>Bullwhackers (CO)</v>
      </c>
      <c r="CM310" s="454">
        <f>G310</f>
        <v>4.7750000000000004</v>
      </c>
      <c r="CN310" s="454">
        <f>L310</f>
        <v>4.0289999999999999</v>
      </c>
      <c r="CO310" s="454">
        <f>Q310</f>
        <v>3.161</v>
      </c>
      <c r="CP310" s="454">
        <f>V310</f>
        <v>3.3499999999999996</v>
      </c>
      <c r="CQ310" s="454">
        <f>AA310</f>
        <v>-0.78300000000000003</v>
      </c>
      <c r="CR310" s="454">
        <f>AF310</f>
        <v>2.300000000000002E-2</v>
      </c>
      <c r="CS310" s="454">
        <f>AK310</f>
        <v>-1.5129999999999999</v>
      </c>
      <c r="CT310" s="454">
        <f>AP310</f>
        <v>-0.20414999999999972</v>
      </c>
      <c r="CU310" s="454">
        <f>AU310</f>
        <v>-6.3714899999999464E-2</v>
      </c>
      <c r="CV310" s="454">
        <f>AZ310</f>
        <v>0.86505930000000131</v>
      </c>
      <c r="CW310" s="454">
        <f>BE310</f>
        <v>0</v>
      </c>
      <c r="CX310" s="454">
        <f>BJ310</f>
        <v>0</v>
      </c>
      <c r="CY310" s="454">
        <f>BO310</f>
        <v>0</v>
      </c>
      <c r="CZ310" s="454">
        <f>BT310</f>
        <v>0</v>
      </c>
      <c r="DA310" s="454">
        <f t="shared" ref="DA310:DC312" si="690">BY310</f>
        <v>0</v>
      </c>
      <c r="DB310" s="454">
        <f t="shared" si="690"/>
        <v>0</v>
      </c>
      <c r="DC310" s="1666">
        <f t="shared" si="690"/>
        <v>0</v>
      </c>
      <c r="DD310" s="331"/>
      <c r="DE310" s="331"/>
      <c r="DF310" s="502"/>
      <c r="DG310" s="503"/>
      <c r="DH310" s="2915"/>
      <c r="DI310" s="3213"/>
      <c r="DJ310" s="502"/>
      <c r="DK310" s="503"/>
      <c r="DL310" s="502"/>
      <c r="DM310" s="502"/>
      <c r="DN310" s="502"/>
      <c r="DO310" s="502"/>
      <c r="DP310" s="503"/>
      <c r="DQ310" s="503"/>
      <c r="DR310" s="296"/>
      <c r="DS310" s="296"/>
      <c r="DT310" s="296"/>
    </row>
    <row r="311" spans="1:124" ht="12.6" customHeight="1" outlineLevel="1" x14ac:dyDescent="0.25">
      <c r="A311" s="2605" t="s">
        <v>2526</v>
      </c>
      <c r="B311" s="281"/>
      <c r="C311" s="446"/>
      <c r="D311" s="446"/>
      <c r="E311" s="446"/>
      <c r="F311" s="446"/>
      <c r="G311" s="447"/>
      <c r="H311" s="446"/>
      <c r="I311" s="446"/>
      <c r="J311" s="446"/>
      <c r="K311" s="446"/>
      <c r="L311" s="447"/>
      <c r="M311" s="446"/>
      <c r="N311" s="446"/>
      <c r="O311" s="446"/>
      <c r="P311" s="446"/>
      <c r="Q311" s="447"/>
      <c r="R311" s="446"/>
      <c r="S311" s="446"/>
      <c r="T311" s="446"/>
      <c r="U311" s="446"/>
      <c r="V311" s="447"/>
      <c r="W311" s="446"/>
      <c r="X311" s="446"/>
      <c r="Y311" s="446"/>
      <c r="Z311" s="446"/>
      <c r="AA311" s="447"/>
      <c r="AB311" s="446"/>
      <c r="AC311" s="446"/>
      <c r="AD311" s="446"/>
      <c r="AE311" s="454"/>
      <c r="AF311" s="455"/>
      <c r="AG311" s="1724"/>
      <c r="AH311" s="454"/>
      <c r="AI311" s="454"/>
      <c r="AJ311" s="454"/>
      <c r="AK311" s="455"/>
      <c r="AL311" s="454"/>
      <c r="AM311" s="454"/>
      <c r="AN311" s="454"/>
      <c r="AO311" s="454"/>
      <c r="AP311" s="456"/>
      <c r="AQ311" s="456"/>
      <c r="AR311" s="454"/>
      <c r="AS311" s="454"/>
      <c r="AT311" s="454"/>
      <c r="AU311" s="455"/>
      <c r="AV311" s="454"/>
      <c r="AW311" s="454"/>
      <c r="AX311" s="454"/>
      <c r="AY311" s="1666"/>
      <c r="AZ311" s="1666"/>
      <c r="BA311" s="454"/>
      <c r="BB311" s="454"/>
      <c r="BC311" s="454"/>
      <c r="BD311" s="1666"/>
      <c r="BE311" s="455"/>
      <c r="BF311" s="454"/>
      <c r="BG311" s="454"/>
      <c r="BH311" s="454"/>
      <c r="BI311" s="1666"/>
      <c r="BJ311" s="455"/>
      <c r="BK311" s="454"/>
      <c r="BL311" s="454"/>
      <c r="BM311" s="3320">
        <f>(11.2*1.1)/4*0.95*(2/3)</f>
        <v>1.9506666666666663</v>
      </c>
      <c r="BN311" s="2970">
        <f>(11.2*1.1)/4</f>
        <v>3.08</v>
      </c>
      <c r="BO311" s="455">
        <f>SUM(BK311:BN311)</f>
        <v>5.0306666666666668</v>
      </c>
      <c r="BP311" s="2970">
        <f>+BN311*1.05</f>
        <v>3.2340000000000004</v>
      </c>
      <c r="BQ311" s="2970">
        <f>+BP311*0.975</f>
        <v>3.1531500000000006</v>
      </c>
      <c r="BR311" s="2970">
        <f>+BQ311*1.05</f>
        <v>3.3108075000000006</v>
      </c>
      <c r="BS311" s="2970">
        <f>+BR311</f>
        <v>3.3108075000000006</v>
      </c>
      <c r="BT311" s="455">
        <f>SUM(BP311:BS311)</f>
        <v>13.008765000000002</v>
      </c>
      <c r="BU311" s="563">
        <f>BP311*1.05</f>
        <v>3.3957000000000006</v>
      </c>
      <c r="BV311" s="563">
        <f>BQ311*1.1</f>
        <v>3.468465000000001</v>
      </c>
      <c r="BW311" s="563">
        <f>BR311*1.1</f>
        <v>3.6418882500000009</v>
      </c>
      <c r="BX311" s="563">
        <f>BS311*1.1</f>
        <v>3.6418882500000009</v>
      </c>
      <c r="BY311" s="3066">
        <f>SUM(BU311:BX311)</f>
        <v>14.147941500000004</v>
      </c>
      <c r="BZ311" s="3099">
        <f>+BY311*1.05</f>
        <v>14.855338575000005</v>
      </c>
      <c r="CA311" s="3099">
        <f>+BZ311*1.05</f>
        <v>15.598105503750006</v>
      </c>
      <c r="CB311" s="455"/>
      <c r="CC311" s="455"/>
      <c r="CD311" s="455"/>
      <c r="CE311" s="455"/>
      <c r="CF311" s="455"/>
      <c r="CG311" s="588"/>
      <c r="CH311" s="588"/>
      <c r="CI311" s="588"/>
      <c r="CJ311" s="588"/>
      <c r="CK311" s="331"/>
      <c r="CL311" s="995"/>
      <c r="CM311" s="454"/>
      <c r="CN311" s="454"/>
      <c r="CO311" s="454"/>
      <c r="CP311" s="454"/>
      <c r="CQ311" s="454"/>
      <c r="CR311" s="454"/>
      <c r="CS311" s="454"/>
      <c r="CT311" s="454"/>
      <c r="CU311" s="454"/>
      <c r="CV311" s="454"/>
      <c r="CW311" s="454"/>
      <c r="CX311" s="454"/>
      <c r="CY311" s="454"/>
      <c r="CZ311" s="454"/>
      <c r="DA311" s="454"/>
      <c r="DB311" s="454"/>
      <c r="DC311" s="1666"/>
      <c r="DD311" s="331"/>
      <c r="DE311" s="331"/>
      <c r="DF311" s="502"/>
      <c r="DG311" s="503"/>
      <c r="DH311" s="2915"/>
      <c r="DI311" s="3213"/>
      <c r="DJ311" s="502"/>
      <c r="DK311" s="503"/>
      <c r="DL311" s="502"/>
      <c r="DM311" s="502"/>
      <c r="DN311" s="502"/>
      <c r="DO311" s="502"/>
      <c r="DP311" s="503"/>
      <c r="DQ311" s="503"/>
      <c r="DR311" s="296"/>
      <c r="DS311" s="296"/>
      <c r="DT311" s="296"/>
    </row>
    <row r="312" spans="1:124" ht="12.6" customHeight="1" outlineLevel="1" x14ac:dyDescent="0.25">
      <c r="A312" s="995" t="s">
        <v>435</v>
      </c>
      <c r="B312" s="281"/>
      <c r="C312" s="430">
        <f>C1115</f>
        <v>0.46</v>
      </c>
      <c r="D312" s="430">
        <f>D1115</f>
        <v>0.63200000000000001</v>
      </c>
      <c r="E312" s="430">
        <f>E1115</f>
        <v>0.20499999999999999</v>
      </c>
      <c r="F312" s="430">
        <f>F1115</f>
        <v>0.33700000000000002</v>
      </c>
      <c r="G312" s="481">
        <f>SUM(C312:F312)</f>
        <v>1.6340000000000001</v>
      </c>
      <c r="H312" s="430">
        <f>H1115</f>
        <v>0.34300000000000003</v>
      </c>
      <c r="I312" s="430">
        <f>I1115</f>
        <v>0.64200000000000002</v>
      </c>
      <c r="J312" s="430">
        <f>J1115</f>
        <v>0.23</v>
      </c>
      <c r="K312" s="430">
        <f>K1115</f>
        <v>0.374</v>
      </c>
      <c r="L312" s="481">
        <f>SUM(H312:K312)</f>
        <v>1.589</v>
      </c>
      <c r="M312" s="430">
        <f>M1115</f>
        <v>0.434</v>
      </c>
      <c r="N312" s="430">
        <f>N1115</f>
        <v>0.48699999999999999</v>
      </c>
      <c r="O312" s="430">
        <f>O1115</f>
        <v>-1.8280000000000001</v>
      </c>
      <c r="P312" s="430">
        <f>P1115</f>
        <v>-0.27600000000000002</v>
      </c>
      <c r="Q312" s="481">
        <f>SUM(M312:P312)</f>
        <v>-1.1830000000000001</v>
      </c>
      <c r="R312" s="430">
        <f>R1115</f>
        <v>-0.13799999999999998</v>
      </c>
      <c r="S312" s="430">
        <f>S1115</f>
        <v>0.13</v>
      </c>
      <c r="T312" s="430">
        <f>T1115</f>
        <v>-0.45500000000000002</v>
      </c>
      <c r="U312" s="430">
        <f>U1115</f>
        <v>-0.40200000000000002</v>
      </c>
      <c r="V312" s="481">
        <f>SUM(R312:U312)</f>
        <v>-0.86499999999999999</v>
      </c>
      <c r="W312" s="509">
        <f>W1115</f>
        <v>-0.83399999999999996</v>
      </c>
      <c r="X312" s="509">
        <f>X1115</f>
        <v>-0.30299999999999999</v>
      </c>
      <c r="Y312" s="509">
        <f>Y1115</f>
        <v>-0.54</v>
      </c>
      <c r="Z312" s="509">
        <f>Z1115</f>
        <v>-0.97499999999999998</v>
      </c>
      <c r="AA312" s="510">
        <f>SUM(W312:Z312)</f>
        <v>-2.6520000000000001</v>
      </c>
      <c r="AB312" s="509">
        <f>AB1115</f>
        <v>-0.18400000000000002</v>
      </c>
      <c r="AC312" s="509">
        <f>AC1115</f>
        <v>-0.53499999999999992</v>
      </c>
      <c r="AD312" s="509">
        <f>AD1115</f>
        <v>-0.41099999999999998</v>
      </c>
      <c r="AE312" s="430">
        <f>AE1115</f>
        <v>-0.91300000000000003</v>
      </c>
      <c r="AF312" s="481">
        <f>SUM(AB312:AE312)</f>
        <v>-2.0430000000000001</v>
      </c>
      <c r="AG312" s="935">
        <f>AG1115</f>
        <v>-1.357</v>
      </c>
      <c r="AH312" s="430">
        <f>AH1115</f>
        <v>-0.59399999999999997</v>
      </c>
      <c r="AI312" s="430">
        <f>AI1115</f>
        <v>-5.0510000000000002</v>
      </c>
      <c r="AJ312" s="430">
        <f>AJ1115</f>
        <v>-7.09</v>
      </c>
      <c r="AK312" s="481">
        <f>SUM(AG312:AJ312)</f>
        <v>-14.092000000000001</v>
      </c>
      <c r="AL312" s="430">
        <f>AL1115</f>
        <v>-3.2530000000000001</v>
      </c>
      <c r="AM312" s="430">
        <f>AM1115</f>
        <v>-0.77</v>
      </c>
      <c r="AN312" s="430">
        <f>AN1115</f>
        <v>-2.2119999999999997</v>
      </c>
      <c r="AO312" s="430">
        <f>AO1115</f>
        <v>-3.2119999999999997</v>
      </c>
      <c r="AP312" s="483">
        <f>SUM(AL312:AO312)</f>
        <v>-9.4469999999999992</v>
      </c>
      <c r="AQ312" s="483">
        <f>AQ1115</f>
        <v>-3.4884000000000004</v>
      </c>
      <c r="AR312" s="430">
        <f>AR1115</f>
        <v>-0.73697999999999997</v>
      </c>
      <c r="AS312" s="430">
        <f>AS1115</f>
        <v>-1.7696000000000001</v>
      </c>
      <c r="AT312" s="430">
        <f>AT1115</f>
        <v>-3.2119999999999997</v>
      </c>
      <c r="AU312" s="481">
        <f>SUM(AQ312:AT312)</f>
        <v>-9.2069799999999997</v>
      </c>
      <c r="AV312" s="430">
        <f>AV1115</f>
        <v>-2.8204000000000002</v>
      </c>
      <c r="AW312" s="430">
        <f>AW1115</f>
        <v>-1.2220800000000001</v>
      </c>
      <c r="AX312" s="430">
        <f>AX1115</f>
        <v>-1.3696000000000002</v>
      </c>
      <c r="AY312" s="853">
        <f>AY1115</f>
        <v>-1.462</v>
      </c>
      <c r="AZ312" s="853">
        <f>SUM(AV312:AY312)</f>
        <v>-6.8740800000000002</v>
      </c>
      <c r="BA312" s="430">
        <f>BA1115</f>
        <v>-0.98099999999999998</v>
      </c>
      <c r="BB312" s="430">
        <f>BB1115</f>
        <v>-1.2220800000000001</v>
      </c>
      <c r="BC312" s="430">
        <f>BC1115</f>
        <v>-1.3696000000000002</v>
      </c>
      <c r="BD312" s="853">
        <f>BD1115</f>
        <v>-1.462</v>
      </c>
      <c r="BE312" s="481">
        <f>SUM(BA312:BD312)</f>
        <v>-5.0346799999999998</v>
      </c>
      <c r="BF312" s="430">
        <f>BF1115</f>
        <v>-0.98099999999999998</v>
      </c>
      <c r="BG312" s="430">
        <f>BG1115</f>
        <v>-1.2220800000000001</v>
      </c>
      <c r="BH312" s="430">
        <f>BH1115</f>
        <v>-1.3696000000000002</v>
      </c>
      <c r="BI312" s="853">
        <f>BI1115</f>
        <v>-1.462</v>
      </c>
      <c r="BJ312" s="481">
        <f>SUM(BF312:BI312)</f>
        <v>-5.0346799999999998</v>
      </c>
      <c r="BK312" s="430">
        <f>BK1115</f>
        <v>-0.98099999999999998</v>
      </c>
      <c r="BL312" s="430">
        <f>BL1115</f>
        <v>-1.2220800000000001</v>
      </c>
      <c r="BM312" s="430">
        <f>BM1115</f>
        <v>-1.3696000000000002</v>
      </c>
      <c r="BN312" s="853">
        <f>BN1115</f>
        <v>-1.462</v>
      </c>
      <c r="BO312" s="481">
        <f>SUM(BK312:BN312)</f>
        <v>-5.0346799999999998</v>
      </c>
      <c r="BP312" s="430">
        <f>BP1115</f>
        <v>-0.98099999999999998</v>
      </c>
      <c r="BQ312" s="430">
        <f>BQ1115</f>
        <v>-1.2220800000000001</v>
      </c>
      <c r="BR312" s="430">
        <f>BR1115</f>
        <v>-1.3696000000000002</v>
      </c>
      <c r="BS312" s="430">
        <f>BS1115</f>
        <v>-1.462</v>
      </c>
      <c r="BT312" s="2587">
        <f>SUM(BP312:BS312)</f>
        <v>-5.0346799999999998</v>
      </c>
      <c r="BU312" s="2840">
        <f>BU1115</f>
        <v>-0.98099999999999998</v>
      </c>
      <c r="BV312" s="2840">
        <f>BV1115</f>
        <v>-1.2220800000000001</v>
      </c>
      <c r="BW312" s="2840">
        <f>BW1115</f>
        <v>-1.3696000000000002</v>
      </c>
      <c r="BX312" s="2840">
        <f>BX1115</f>
        <v>-1.462</v>
      </c>
      <c r="BY312" s="2587">
        <f>SUM(BU312:BX312)</f>
        <v>-5.0346799999999998</v>
      </c>
      <c r="BZ312" s="481">
        <f t="shared" ref="BZ312:CF312" si="691">BZ1115</f>
        <v>-5.0346799999999998</v>
      </c>
      <c r="CA312" s="481">
        <f t="shared" si="691"/>
        <v>-5.0346799999999998</v>
      </c>
      <c r="CB312" s="481">
        <f t="shared" si="691"/>
        <v>-5.0346799999999998</v>
      </c>
      <c r="CC312" s="481">
        <f t="shared" si="691"/>
        <v>-5.0346799999999998</v>
      </c>
      <c r="CD312" s="481">
        <f t="shared" si="691"/>
        <v>-5.0346799999999998</v>
      </c>
      <c r="CE312" s="481">
        <f t="shared" si="691"/>
        <v>-5.0346799999999998</v>
      </c>
      <c r="CF312" s="481">
        <f t="shared" si="691"/>
        <v>-5.0346799999999998</v>
      </c>
      <c r="CG312" s="331"/>
      <c r="CH312" s="331"/>
      <c r="CI312" s="331"/>
      <c r="CJ312" s="331"/>
      <c r="CK312" s="331"/>
      <c r="CL312" s="995" t="str">
        <f>A312</f>
        <v>Other Racing Operations - OH/FL/NJ JV</v>
      </c>
      <c r="CM312" s="430">
        <f>G312</f>
        <v>1.6340000000000001</v>
      </c>
      <c r="CN312" s="430">
        <f>L312</f>
        <v>1.589</v>
      </c>
      <c r="CO312" s="430">
        <f>Q312</f>
        <v>-1.1830000000000001</v>
      </c>
      <c r="CP312" s="430">
        <f>V312</f>
        <v>-0.86499999999999999</v>
      </c>
      <c r="CQ312" s="430">
        <f>AA312</f>
        <v>-2.6520000000000001</v>
      </c>
      <c r="CR312" s="430">
        <f>AF312</f>
        <v>-2.0430000000000001</v>
      </c>
      <c r="CS312" s="430">
        <f>AK312</f>
        <v>-14.092000000000001</v>
      </c>
      <c r="CT312" s="430">
        <f>AP312</f>
        <v>-9.4469999999999992</v>
      </c>
      <c r="CU312" s="430">
        <f>AU312</f>
        <v>-9.2069799999999997</v>
      </c>
      <c r="CV312" s="430">
        <f>AZ312</f>
        <v>-6.8740800000000002</v>
      </c>
      <c r="CW312" s="430">
        <f>BE312</f>
        <v>-5.0346799999999998</v>
      </c>
      <c r="CX312" s="430">
        <f>BJ312</f>
        <v>-5.0346799999999998</v>
      </c>
      <c r="CY312" s="430">
        <f>BO312</f>
        <v>-5.0346799999999998</v>
      </c>
      <c r="CZ312" s="430">
        <f>BT312</f>
        <v>-5.0346799999999998</v>
      </c>
      <c r="DA312" s="430">
        <f t="shared" si="690"/>
        <v>-5.0346799999999998</v>
      </c>
      <c r="DB312" s="430">
        <f t="shared" si="690"/>
        <v>-5.0346799999999998</v>
      </c>
      <c r="DC312" s="853">
        <f t="shared" si="690"/>
        <v>-5.0346799999999998</v>
      </c>
      <c r="DD312" s="331"/>
      <c r="DE312" s="331"/>
      <c r="DF312" s="502"/>
      <c r="DG312" s="503"/>
      <c r="DH312" s="2840"/>
      <c r="DI312" s="3213"/>
      <c r="DJ312" s="502"/>
      <c r="DK312" s="503"/>
      <c r="DL312" s="502"/>
      <c r="DM312" s="502"/>
      <c r="DN312" s="502"/>
      <c r="DO312" s="502"/>
      <c r="DP312" s="503"/>
      <c r="DQ312" s="503"/>
      <c r="DR312" s="296"/>
      <c r="DS312" s="296"/>
      <c r="DT312" s="296"/>
    </row>
    <row r="313" spans="1:124" ht="12.6" customHeight="1" outlineLevel="1" x14ac:dyDescent="0.25">
      <c r="A313" s="392" t="s">
        <v>795</v>
      </c>
      <c r="B313" s="281"/>
      <c r="C313" s="430"/>
      <c r="D313" s="430"/>
      <c r="E313" s="430"/>
      <c r="F313" s="430"/>
      <c r="G313" s="481"/>
      <c r="H313" s="430"/>
      <c r="I313" s="430"/>
      <c r="J313" s="430"/>
      <c r="K313" s="430"/>
      <c r="L313" s="481"/>
      <c r="M313" s="430"/>
      <c r="N313" s="430"/>
      <c r="O313" s="430"/>
      <c r="P313" s="430"/>
      <c r="Q313" s="481"/>
      <c r="R313" s="430"/>
      <c r="S313" s="430"/>
      <c r="T313" s="430"/>
      <c r="U313" s="430"/>
      <c r="V313" s="481"/>
      <c r="W313" s="509"/>
      <c r="X313" s="509"/>
      <c r="Y313" s="509"/>
      <c r="Z313" s="509"/>
      <c r="AA313" s="510"/>
      <c r="AB313" s="509"/>
      <c r="AC313" s="509"/>
      <c r="AD313" s="509"/>
      <c r="AE313" s="430"/>
      <c r="AF313" s="481"/>
      <c r="AG313" s="935"/>
      <c r="AH313" s="430"/>
      <c r="AI313" s="430"/>
      <c r="AJ313" s="430"/>
      <c r="AK313" s="481"/>
      <c r="AL313" s="2080"/>
      <c r="AM313" s="2080"/>
      <c r="AN313" s="2080">
        <f>AN23-(AN312+AN310)</f>
        <v>1.8015064125734694</v>
      </c>
      <c r="AO313" s="2080">
        <f>AO23-(AO312+AO310)</f>
        <v>-1.4395252727249939</v>
      </c>
      <c r="AP313" s="481">
        <f>SUM(AL313:AO313)</f>
        <v>0.36198113984847557</v>
      </c>
      <c r="AQ313" s="2080">
        <f>AQ23-(AQ312+AQ310)</f>
        <v>-3.9083884799120985</v>
      </c>
      <c r="AR313" s="2080">
        <f>AR23-(AR312+AR310)</f>
        <v>0.50639212067267492</v>
      </c>
      <c r="AS313" s="2080">
        <f>AS23-(AS312+AS310)</f>
        <v>2.2543007988428641</v>
      </c>
      <c r="AT313" s="2080">
        <f>AT23-(AT312+AT310)</f>
        <v>7.66321483162276</v>
      </c>
      <c r="AU313" s="481">
        <f>SUM(AQ313:AT313)</f>
        <v>6.5155192712262</v>
      </c>
      <c r="AV313" s="2080">
        <f>AV23-(AV312+AV310)</f>
        <v>3.1984119999999989</v>
      </c>
      <c r="AW313" s="2080">
        <f>AW23-(AW312+AW310)</f>
        <v>1.0410086999999968</v>
      </c>
      <c r="AX313" s="2080">
        <f>AX23-(AX312+AX310)</f>
        <v>1.4125999999999994</v>
      </c>
      <c r="AY313" s="2580">
        <f>AY23-(AY312+AY310)</f>
        <v>0.17899999999999872</v>
      </c>
      <c r="AZ313" s="853">
        <f>SUM(AV313:AY313)</f>
        <v>5.8310206999999936</v>
      </c>
      <c r="BA313" s="2799">
        <f>BA23-(BA312+BA310)</f>
        <v>0.35699999999999765</v>
      </c>
      <c r="BB313" s="2876">
        <f>BB23-(BB312+BB310)</f>
        <v>0.13808000000000042</v>
      </c>
      <c r="BC313" s="2876">
        <f>BC23-(BC312+BC310)</f>
        <v>1.2985999999999986</v>
      </c>
      <c r="BD313" s="2876">
        <f>BD23-(BD312+BD310)</f>
        <v>0.35200000000001475</v>
      </c>
      <c r="BE313" s="481">
        <f>SUM(BA313:BD313)</f>
        <v>2.1456800000000111</v>
      </c>
      <c r="BF313" s="2876">
        <f>BF23-(BF312+BF310)</f>
        <v>1.4979999999999993</v>
      </c>
      <c r="BG313" s="2876">
        <f>BG23-(BG312+BG310)</f>
        <v>1.6820800000000009</v>
      </c>
      <c r="BH313" s="2876">
        <f>BH23-(BH312+BH310)</f>
        <v>2.2786000000000008</v>
      </c>
      <c r="BI313" s="2876">
        <f>BI23-(BI312+BI310)</f>
        <v>1.1590000000000027</v>
      </c>
      <c r="BJ313" s="481">
        <f>SUM(BF313:BI313)</f>
        <v>6.6176800000000036</v>
      </c>
      <c r="BK313" s="2876">
        <f>BK23-(BK312+BK310)</f>
        <v>1.9160000000000021</v>
      </c>
      <c r="BL313" s="2876">
        <f>BL23-(BL312+BL310)</f>
        <v>2.3520800000000008</v>
      </c>
      <c r="BM313" s="2876">
        <f>BM23-(BM312+BM310+BM311)</f>
        <v>2.7079333333333353</v>
      </c>
      <c r="BN313" s="2876">
        <f>BN23-(BN312+BN310+BN311)</f>
        <v>1.7400000000000004</v>
      </c>
      <c r="BO313" s="481">
        <f>SUM(BK313:BN313)</f>
        <v>8.7160133333333381</v>
      </c>
      <c r="BP313" s="2876">
        <f>BP23-(BP312+BP310+BP311)</f>
        <v>2.4359999999999995</v>
      </c>
      <c r="BQ313" s="2876">
        <f>BQ23-(BQ312+BQ310+BQ311)</f>
        <v>2.7919299999999985</v>
      </c>
      <c r="BR313" s="2876">
        <f>BR23-(BR312+BR310+BR311)</f>
        <v>2.1117925000000004</v>
      </c>
      <c r="BS313" s="2876">
        <f>BS23-(BS312+BS310+BS311)</f>
        <v>0.86119250000000025</v>
      </c>
      <c r="BT313" s="2587">
        <f>SUM(BP313:BS313)</f>
        <v>8.2009149999999984</v>
      </c>
      <c r="BU313" s="3508">
        <v>1</v>
      </c>
      <c r="BV313" s="3508">
        <f>+BQ313</f>
        <v>2.7919299999999985</v>
      </c>
      <c r="BW313" s="3508">
        <f>+BR313+0.5</f>
        <v>2.6117925000000004</v>
      </c>
      <c r="BX313" s="3508">
        <f>+BS313+1.5</f>
        <v>2.3611925000000005</v>
      </c>
      <c r="BY313" s="2587">
        <f>SUM(BU313:BX313)</f>
        <v>8.7649149999999985</v>
      </c>
      <c r="BZ313" s="2492">
        <f t="shared" ref="BZ313:CF313" si="692">+BY313</f>
        <v>8.7649149999999985</v>
      </c>
      <c r="CA313" s="2492">
        <f t="shared" si="692"/>
        <v>8.7649149999999985</v>
      </c>
      <c r="CB313" s="2492">
        <f t="shared" si="692"/>
        <v>8.7649149999999985</v>
      </c>
      <c r="CC313" s="2492">
        <f t="shared" si="692"/>
        <v>8.7649149999999985</v>
      </c>
      <c r="CD313" s="2492">
        <f t="shared" si="692"/>
        <v>8.7649149999999985</v>
      </c>
      <c r="CE313" s="2492">
        <f t="shared" si="692"/>
        <v>8.7649149999999985</v>
      </c>
      <c r="CF313" s="2492">
        <f t="shared" si="692"/>
        <v>8.7649149999999985</v>
      </c>
      <c r="CG313" s="331"/>
      <c r="CH313" s="331"/>
      <c r="CI313" s="331"/>
      <c r="CJ313" s="331"/>
      <c r="CK313" s="331"/>
      <c r="CL313" s="995"/>
      <c r="CM313" s="430"/>
      <c r="CN313" s="430"/>
      <c r="CO313" s="430"/>
      <c r="CP313" s="430"/>
      <c r="CQ313" s="430"/>
      <c r="CR313" s="430"/>
      <c r="CS313" s="430"/>
      <c r="CT313" s="430"/>
      <c r="CU313" s="430"/>
      <c r="CV313" s="430"/>
      <c r="CW313" s="430"/>
      <c r="CX313" s="430"/>
      <c r="CY313" s="430"/>
      <c r="CZ313" s="430"/>
      <c r="DA313" s="430"/>
      <c r="DB313" s="430"/>
      <c r="DC313" s="853"/>
      <c r="DD313" s="331"/>
      <c r="DE313" s="331"/>
      <c r="DF313" s="502"/>
      <c r="DG313" s="503"/>
      <c r="DH313" s="2840"/>
      <c r="DI313" s="3213"/>
      <c r="DJ313" s="502"/>
      <c r="DK313" s="503"/>
      <c r="DL313" s="502"/>
      <c r="DM313" s="502"/>
      <c r="DN313" s="502"/>
      <c r="DO313" s="502"/>
      <c r="DP313" s="503"/>
      <c r="DQ313" s="503"/>
      <c r="DR313" s="296"/>
      <c r="DS313" s="296"/>
      <c r="DT313" s="296"/>
    </row>
    <row r="314" spans="1:124" ht="12.6" customHeight="1" outlineLevel="1" x14ac:dyDescent="0.25">
      <c r="A314" s="2191" t="s">
        <v>1860</v>
      </c>
      <c r="B314" s="1812"/>
      <c r="C314" s="2148">
        <f t="shared" ref="C314:AH314" si="693">+C277+C290+C305+C310+C312+C313</f>
        <v>77.062999999999988</v>
      </c>
      <c r="D314" s="2148">
        <f t="shared" si="693"/>
        <v>81.575000000000003</v>
      </c>
      <c r="E314" s="2148">
        <f t="shared" si="693"/>
        <v>77.63900000000001</v>
      </c>
      <c r="F314" s="2148">
        <f t="shared" si="693"/>
        <v>73.284000000000006</v>
      </c>
      <c r="G314" s="2149">
        <f t="shared" si="693"/>
        <v>309.56099999999998</v>
      </c>
      <c r="H314" s="2148">
        <f t="shared" si="693"/>
        <v>79.751999999999995</v>
      </c>
      <c r="I314" s="2148">
        <f t="shared" si="693"/>
        <v>85.799999999999983</v>
      </c>
      <c r="J314" s="2148">
        <f t="shared" si="693"/>
        <v>85.556999999999988</v>
      </c>
      <c r="K314" s="2148">
        <f t="shared" si="693"/>
        <v>155.16200000000001</v>
      </c>
      <c r="L314" s="2149">
        <f t="shared" si="693"/>
        <v>406.27100000000002</v>
      </c>
      <c r="M314" s="2148">
        <f t="shared" si="693"/>
        <v>177.12100000000001</v>
      </c>
      <c r="N314" s="2148">
        <f t="shared" si="693"/>
        <v>167.22900000000001</v>
      </c>
      <c r="O314" s="2148">
        <f t="shared" si="693"/>
        <v>177.22399999999999</v>
      </c>
      <c r="P314" s="2148">
        <f t="shared" si="693"/>
        <v>160.90500000000003</v>
      </c>
      <c r="Q314" s="2149">
        <f t="shared" si="693"/>
        <v>682.47899999999993</v>
      </c>
      <c r="R314" s="2148">
        <f t="shared" si="693"/>
        <v>179.35600000000002</v>
      </c>
      <c r="S314" s="2148">
        <f t="shared" si="693"/>
        <v>189.01400000000001</v>
      </c>
      <c r="T314" s="2148">
        <f t="shared" si="693"/>
        <v>191.36199999999999</v>
      </c>
      <c r="U314" s="2148">
        <f t="shared" si="693"/>
        <v>167.63499999999999</v>
      </c>
      <c r="V314" s="2149">
        <f t="shared" si="693"/>
        <v>727.36700000000008</v>
      </c>
      <c r="W314" s="2148">
        <f t="shared" si="693"/>
        <v>175.00299999999999</v>
      </c>
      <c r="X314" s="2148">
        <f t="shared" si="693"/>
        <v>179.59699999999998</v>
      </c>
      <c r="Y314" s="2148">
        <f t="shared" si="693"/>
        <v>177.45400000000001</v>
      </c>
      <c r="Z314" s="2148">
        <f t="shared" si="693"/>
        <v>157.10599999999999</v>
      </c>
      <c r="AA314" s="2149">
        <f t="shared" si="693"/>
        <v>689.16</v>
      </c>
      <c r="AB314" s="2148">
        <f t="shared" si="693"/>
        <v>175.251</v>
      </c>
      <c r="AC314" s="2148">
        <f t="shared" si="693"/>
        <v>158.39600000000002</v>
      </c>
      <c r="AD314" s="2148">
        <f t="shared" si="693"/>
        <v>172.499</v>
      </c>
      <c r="AE314" s="2148">
        <f t="shared" si="693"/>
        <v>143.74899999999997</v>
      </c>
      <c r="AF314" s="2149">
        <f t="shared" si="693"/>
        <v>649.8950000000001</v>
      </c>
      <c r="AG314" s="2148">
        <f t="shared" si="693"/>
        <v>164.91700000000003</v>
      </c>
      <c r="AH314" s="2148">
        <f t="shared" si="693"/>
        <v>168.21899999999999</v>
      </c>
      <c r="AI314" s="2148">
        <f t="shared" ref="AI314:BL314" si="694">+AI277+AI290+AI305+AI310+AI312+AI313</f>
        <v>181.75400000000002</v>
      </c>
      <c r="AJ314" s="2148">
        <f t="shared" si="694"/>
        <v>169.15200000000002</v>
      </c>
      <c r="AK314" s="2149">
        <f t="shared" si="694"/>
        <v>684.04199999999992</v>
      </c>
      <c r="AL314" s="2148">
        <f t="shared" si="694"/>
        <v>198.673</v>
      </c>
      <c r="AM314" s="2148">
        <f t="shared" si="694"/>
        <v>209.76500000000001</v>
      </c>
      <c r="AN314" s="2192">
        <f t="shared" si="694"/>
        <v>210.70600000000007</v>
      </c>
      <c r="AO314" s="2192">
        <f t="shared" si="694"/>
        <v>185.34300000000002</v>
      </c>
      <c r="AP314" s="2151">
        <f t="shared" si="694"/>
        <v>804.48699999999997</v>
      </c>
      <c r="AQ314" s="2193">
        <f t="shared" si="694"/>
        <v>229.23999999999995</v>
      </c>
      <c r="AR314" s="2192">
        <f t="shared" si="694"/>
        <v>220.49800000000002</v>
      </c>
      <c r="AS314" s="2192">
        <f t="shared" si="694"/>
        <v>218.09100000000004</v>
      </c>
      <c r="AT314" s="2192">
        <f t="shared" si="694"/>
        <v>211.40299999999999</v>
      </c>
      <c r="AU314" s="2149">
        <f t="shared" si="694"/>
        <v>879.23199999999997</v>
      </c>
      <c r="AV314" s="2192">
        <f t="shared" si="694"/>
        <v>250.80699999999993</v>
      </c>
      <c r="AW314" s="2192">
        <f t="shared" si="694"/>
        <v>240.01999999999998</v>
      </c>
      <c r="AX314" s="2192">
        <f t="shared" si="694"/>
        <v>209.37200000000001</v>
      </c>
      <c r="AY314" s="2581">
        <f t="shared" si="694"/>
        <v>190.09400000000002</v>
      </c>
      <c r="AZ314" s="2149">
        <f t="shared" si="694"/>
        <v>890.29299999999978</v>
      </c>
      <c r="BA314" s="2151">
        <f t="shared" si="694"/>
        <v>196.333</v>
      </c>
      <c r="BB314" s="2148">
        <f t="shared" si="694"/>
        <v>201.23299999999998</v>
      </c>
      <c r="BC314" s="2148">
        <f t="shared" si="694"/>
        <v>190.19499999999999</v>
      </c>
      <c r="BD314" s="2152">
        <f t="shared" si="694"/>
        <v>191.63</v>
      </c>
      <c r="BE314" s="2149">
        <f t="shared" si="694"/>
        <v>779.39099999999996</v>
      </c>
      <c r="BF314" s="2148">
        <f t="shared" si="694"/>
        <v>207.67899999999997</v>
      </c>
      <c r="BG314" s="2148">
        <f t="shared" si="694"/>
        <v>219.08199999999999</v>
      </c>
      <c r="BH314" s="2148">
        <f t="shared" si="694"/>
        <v>224.16200000000001</v>
      </c>
      <c r="BI314" s="2152">
        <f t="shared" si="694"/>
        <v>227.428</v>
      </c>
      <c r="BJ314" s="2149">
        <f t="shared" si="694"/>
        <v>878.35099999999989</v>
      </c>
      <c r="BK314" s="2148">
        <f t="shared" si="694"/>
        <v>233.483</v>
      </c>
      <c r="BL314" s="2148">
        <f t="shared" si="694"/>
        <v>237.77999999999997</v>
      </c>
      <c r="BM314" s="2148">
        <f>+BM277+BM290+BM305+BM310+BM312+BM313+BM311</f>
        <v>227.86000000000004</v>
      </c>
      <c r="BN314" s="2148">
        <f>+BN277+BN290+BN305+BN310+BN312+BN313+BN311</f>
        <v>214.50400000000005</v>
      </c>
      <c r="BO314" s="2149">
        <f t="shared" ref="BO314:BU314" si="695">+BO277+BO290+BO305+BO310+BO312+BO313+BO311</f>
        <v>913.62700000000007</v>
      </c>
      <c r="BP314" s="2148">
        <f t="shared" si="695"/>
        <v>245.71</v>
      </c>
      <c r="BQ314" s="2148">
        <f t="shared" si="695"/>
        <v>245.13799999999998</v>
      </c>
      <c r="BR314" s="2148">
        <f t="shared" si="695"/>
        <v>242.78700000000001</v>
      </c>
      <c r="BS314" s="2148">
        <f t="shared" si="695"/>
        <v>216.91100000000003</v>
      </c>
      <c r="BT314" s="2149">
        <f t="shared" si="695"/>
        <v>950.54600000000016</v>
      </c>
      <c r="BU314" s="2148">
        <f t="shared" si="695"/>
        <v>249.05816787702511</v>
      </c>
      <c r="BV314" s="2148">
        <f>+BV277+BV290+BV305+BV310+BV312+BV313+BV311</f>
        <v>257.34107672277764</v>
      </c>
      <c r="BW314" s="3532">
        <f>+BW277+BW290+BW305+BW310+BW312+BW313+BW311+BW307</f>
        <v>409.51807009753725</v>
      </c>
      <c r="BX314" s="2148">
        <f t="shared" ref="BX314:CA314" si="696">+BX277+BX290+BX305+BX310+BX312+BX313+BX311+BX307</f>
        <v>380.85845964107841</v>
      </c>
      <c r="BY314" s="2149">
        <f t="shared" si="696"/>
        <v>1296.7757743384184</v>
      </c>
      <c r="BZ314" s="2149">
        <f t="shared" si="696"/>
        <v>1660.3149663027871</v>
      </c>
      <c r="CA314" s="2149">
        <f t="shared" si="696"/>
        <v>1644.0112403345311</v>
      </c>
      <c r="CB314" s="2149">
        <f>+CB277+CB290+CB305+CB310+CB312+CB313</f>
        <v>900.80704697707893</v>
      </c>
      <c r="CC314" s="2149">
        <f>+CC277+CC290+CC305+CC310+CC312+CC313</f>
        <v>839.08663210402619</v>
      </c>
      <c r="CD314" s="2149">
        <f>+CD277+CD290+CD305+CD310+CD312+CD313</f>
        <v>865.33061617458009</v>
      </c>
      <c r="CE314" s="2149">
        <f>+CE277+CE290+CE305+CE310+CE312+CE313</f>
        <v>893.13877672629769</v>
      </c>
      <c r="CF314" s="2149">
        <f>+CF277+CF290+CF305+CF310+CF312+CF313</f>
        <v>919.75505065758978</v>
      </c>
      <c r="CG314" s="2144"/>
      <c r="CH314" s="2144"/>
      <c r="CI314" s="2144"/>
      <c r="CJ314" s="2144"/>
      <c r="CK314" s="2144"/>
      <c r="CL314" s="2228" t="str">
        <f>A314</f>
        <v>Total Property EBITDA</v>
      </c>
      <c r="CM314" s="2201">
        <f>G314</f>
        <v>309.56099999999998</v>
      </c>
      <c r="CN314" s="2201">
        <f>L314</f>
        <v>406.27100000000002</v>
      </c>
      <c r="CO314" s="2201">
        <f>Q314</f>
        <v>682.47899999999993</v>
      </c>
      <c r="CP314" s="2201">
        <f>V314</f>
        <v>727.36700000000008</v>
      </c>
      <c r="CQ314" s="2201">
        <f>AA314</f>
        <v>689.16</v>
      </c>
      <c r="CR314" s="2201">
        <f>AF314</f>
        <v>649.8950000000001</v>
      </c>
      <c r="CS314" s="2201">
        <f>AK314</f>
        <v>684.04199999999992</v>
      </c>
      <c r="CT314" s="2201">
        <f>AP314</f>
        <v>804.48699999999997</v>
      </c>
      <c r="CU314" s="2201">
        <f>AU314</f>
        <v>879.23199999999997</v>
      </c>
      <c r="CV314" s="2201">
        <f>AZ314</f>
        <v>890.29299999999978</v>
      </c>
      <c r="CW314" s="2201">
        <f>BE314</f>
        <v>779.39099999999996</v>
      </c>
      <c r="CX314" s="2201">
        <f>BJ314</f>
        <v>878.35099999999989</v>
      </c>
      <c r="CY314" s="2201">
        <f>BO314</f>
        <v>913.62700000000007</v>
      </c>
      <c r="CZ314" s="2201">
        <f>BT314</f>
        <v>950.54600000000016</v>
      </c>
      <c r="DA314" s="2201">
        <f t="shared" ref="DA314:DC316" si="697">BY314</f>
        <v>1296.7757743384184</v>
      </c>
      <c r="DB314" s="2201">
        <f t="shared" si="697"/>
        <v>1660.3149663027871</v>
      </c>
      <c r="DC314" s="2202">
        <f t="shared" si="697"/>
        <v>1644.0112403345311</v>
      </c>
      <c r="DD314" s="2144"/>
      <c r="DE314" s="2144"/>
      <c r="DF314" s="2144"/>
      <c r="DG314" s="2144"/>
      <c r="DH314" s="2144"/>
      <c r="DI314" s="3213"/>
      <c r="DJ314" s="2144"/>
      <c r="DK314" s="2144"/>
      <c r="DL314" s="2144"/>
      <c r="DM314" s="2144"/>
      <c r="DN314" s="2144"/>
      <c r="DO314" s="2144"/>
      <c r="DP314" s="2144"/>
      <c r="DQ314" s="2144"/>
      <c r="DR314" s="2154"/>
      <c r="DS314" s="2154"/>
      <c r="DT314" s="2154"/>
    </row>
    <row r="315" spans="1:124" ht="12.6" customHeight="1" outlineLevel="1" x14ac:dyDescent="0.25">
      <c r="A315" s="865" t="s">
        <v>803</v>
      </c>
      <c r="B315" s="466"/>
      <c r="C315" s="467" t="s">
        <v>553</v>
      </c>
      <c r="D315" s="467" t="s">
        <v>553</v>
      </c>
      <c r="E315" s="467" t="s">
        <v>553</v>
      </c>
      <c r="F315" s="467" t="s">
        <v>553</v>
      </c>
      <c r="G315" s="468" t="s">
        <v>553</v>
      </c>
      <c r="H315" s="467">
        <f t="shared" ref="H315:AK315" si="698">(H314-C314)/C314</f>
        <v>3.4893528671346916E-2</v>
      </c>
      <c r="I315" s="467">
        <f t="shared" si="698"/>
        <v>5.1792828685258717E-2</v>
      </c>
      <c r="J315" s="467">
        <f t="shared" si="698"/>
        <v>0.10198482721312713</v>
      </c>
      <c r="K315" s="467">
        <f t="shared" si="698"/>
        <v>1.1172697996834233</v>
      </c>
      <c r="L315" s="468">
        <f t="shared" si="698"/>
        <v>0.31241015502598857</v>
      </c>
      <c r="M315" s="467">
        <f t="shared" si="698"/>
        <v>1.2208972815728762</v>
      </c>
      <c r="N315" s="467">
        <f t="shared" si="698"/>
        <v>0.94905594405594462</v>
      </c>
      <c r="O315" s="467">
        <f t="shared" si="698"/>
        <v>1.0714143787182815</v>
      </c>
      <c r="P315" s="467">
        <f t="shared" si="698"/>
        <v>3.7012928423196548E-2</v>
      </c>
      <c r="Q315" s="468">
        <f t="shared" si="698"/>
        <v>0.67986147177622791</v>
      </c>
      <c r="R315" s="467">
        <f t="shared" si="698"/>
        <v>1.2618492443019255E-2</v>
      </c>
      <c r="S315" s="467">
        <f t="shared" si="698"/>
        <v>0.13027046744284779</v>
      </c>
      <c r="T315" s="467">
        <f t="shared" si="698"/>
        <v>7.9774748341082502E-2</v>
      </c>
      <c r="U315" s="467">
        <f t="shared" si="698"/>
        <v>4.1825922127963461E-2</v>
      </c>
      <c r="V315" s="468">
        <f t="shared" si="698"/>
        <v>6.5771987123413547E-2</v>
      </c>
      <c r="W315" s="467">
        <f t="shared" si="698"/>
        <v>-2.4270166596043825E-2</v>
      </c>
      <c r="X315" s="467">
        <f t="shared" si="698"/>
        <v>-4.98217063286319E-2</v>
      </c>
      <c r="Y315" s="467">
        <f t="shared" si="698"/>
        <v>-7.2679006281288802E-2</v>
      </c>
      <c r="Z315" s="467">
        <f t="shared" si="698"/>
        <v>-6.2809079249560043E-2</v>
      </c>
      <c r="AA315" s="468">
        <f t="shared" si="698"/>
        <v>-5.2527816081840532E-2</v>
      </c>
      <c r="AB315" s="467">
        <f t="shared" si="698"/>
        <v>1.4171185636818735E-3</v>
      </c>
      <c r="AC315" s="467">
        <f t="shared" si="698"/>
        <v>-0.11804762885794289</v>
      </c>
      <c r="AD315" s="467">
        <f t="shared" si="698"/>
        <v>-2.7922729270684302E-2</v>
      </c>
      <c r="AE315" s="469">
        <f t="shared" si="698"/>
        <v>-8.5019031736534745E-2</v>
      </c>
      <c r="AF315" s="470">
        <f t="shared" si="698"/>
        <v>-5.6975158163561253E-2</v>
      </c>
      <c r="AG315" s="469">
        <f t="shared" si="698"/>
        <v>-5.8966853256186696E-2</v>
      </c>
      <c r="AH315" s="469">
        <f t="shared" si="698"/>
        <v>6.201545493573056E-2</v>
      </c>
      <c r="AI315" s="469">
        <f t="shared" si="698"/>
        <v>5.365248494194183E-2</v>
      </c>
      <c r="AJ315" s="469">
        <f>(AJ314-AE314)/AE314</f>
        <v>0.1767177510800079</v>
      </c>
      <c r="AK315" s="470">
        <f t="shared" si="698"/>
        <v>5.2542333761607364E-2</v>
      </c>
      <c r="AL315" s="469">
        <f t="shared" ref="AL315:AU315" si="699">(AL314-AG314)/AG314</f>
        <v>0.20468478082914415</v>
      </c>
      <c r="AM315" s="469">
        <f t="shared" si="699"/>
        <v>0.24697566862245063</v>
      </c>
      <c r="AN315" s="469">
        <f t="shared" si="699"/>
        <v>0.15929223015724581</v>
      </c>
      <c r="AO315" s="469">
        <f t="shared" si="699"/>
        <v>9.5718643586833144E-2</v>
      </c>
      <c r="AP315" s="471">
        <f t="shared" si="699"/>
        <v>0.17607836945684632</v>
      </c>
      <c r="AQ315" s="471">
        <f t="shared" si="699"/>
        <v>0.1538558334549735</v>
      </c>
      <c r="AR315" s="469">
        <f t="shared" si="699"/>
        <v>5.1166781874955325E-2</v>
      </c>
      <c r="AS315" s="469">
        <f t="shared" si="699"/>
        <v>3.504883581862861E-2</v>
      </c>
      <c r="AT315" s="469">
        <f t="shared" si="699"/>
        <v>0.14060417712025797</v>
      </c>
      <c r="AU315" s="470">
        <f t="shared" si="699"/>
        <v>9.2910140250867954E-2</v>
      </c>
      <c r="AV315" s="471">
        <f t="shared" ref="AV315:BA315" si="700">(AV314-AQ314)/AQ314</f>
        <v>9.408043971383695E-2</v>
      </c>
      <c r="AW315" s="469">
        <f t="shared" si="700"/>
        <v>8.8535950439459596E-2</v>
      </c>
      <c r="AX315" s="469">
        <f t="shared" si="700"/>
        <v>-3.997872447739715E-2</v>
      </c>
      <c r="AY315" s="469">
        <f t="shared" si="700"/>
        <v>-0.10079800192050241</v>
      </c>
      <c r="AZ315" s="470">
        <f t="shared" si="700"/>
        <v>1.2580297350414689E-2</v>
      </c>
      <c r="BA315" s="471">
        <f t="shared" si="700"/>
        <v>-0.2171948948793293</v>
      </c>
      <c r="BB315" s="469">
        <f t="shared" ref="BB315:BJ315" si="701">(BB314-AW314)/AW314</f>
        <v>-0.16159903341388221</v>
      </c>
      <c r="BC315" s="469">
        <f t="shared" si="701"/>
        <v>-9.1592954167701607E-2</v>
      </c>
      <c r="BD315" s="469">
        <f t="shared" si="701"/>
        <v>8.0802129472785714E-3</v>
      </c>
      <c r="BE315" s="470">
        <f t="shared" si="701"/>
        <v>-0.12456797930568908</v>
      </c>
      <c r="BF315" s="469">
        <f t="shared" si="701"/>
        <v>5.778957179893332E-2</v>
      </c>
      <c r="BG315" s="469">
        <f t="shared" si="701"/>
        <v>8.8698175746522792E-2</v>
      </c>
      <c r="BH315" s="469">
        <f t="shared" si="701"/>
        <v>0.17859039406924479</v>
      </c>
      <c r="BI315" s="469">
        <f t="shared" si="701"/>
        <v>0.18680791107864114</v>
      </c>
      <c r="BJ315" s="470">
        <f t="shared" si="701"/>
        <v>0.12697092986703712</v>
      </c>
      <c r="BK315" s="469">
        <f t="shared" ref="BK315:BT315" si="702">(BK314-BF314)/BF314</f>
        <v>0.12424944264947363</v>
      </c>
      <c r="BL315" s="469">
        <f t="shared" si="702"/>
        <v>8.5347039008225142E-2</v>
      </c>
      <c r="BM315" s="469">
        <f t="shared" si="702"/>
        <v>1.6496997707015622E-2</v>
      </c>
      <c r="BN315" s="469">
        <f t="shared" si="702"/>
        <v>-5.6826775946673014E-2</v>
      </c>
      <c r="BO315" s="470">
        <f t="shared" si="702"/>
        <v>4.016162103760363E-2</v>
      </c>
      <c r="BP315" s="469">
        <f t="shared" si="702"/>
        <v>5.2367838343690992E-2</v>
      </c>
      <c r="BQ315" s="469">
        <f t="shared" si="702"/>
        <v>3.0944570611489634E-2</v>
      </c>
      <c r="BR315" s="469">
        <f t="shared" si="702"/>
        <v>6.5509523391556052E-2</v>
      </c>
      <c r="BS315" s="469">
        <f t="shared" si="702"/>
        <v>1.1221235967627557E-2</v>
      </c>
      <c r="BT315" s="470">
        <f t="shared" si="702"/>
        <v>4.0409269866148977E-2</v>
      </c>
      <c r="BU315" s="469">
        <f>(BU314-BP314)/BP314</f>
        <v>1.3626502287351369E-2</v>
      </c>
      <c r="BV315" s="469">
        <f>(BV314-BQ314)/BQ314</f>
        <v>4.9780436826512689E-2</v>
      </c>
      <c r="BW315" s="469">
        <f>(BW314-BR314)/BR314</f>
        <v>0.68673804650799775</v>
      </c>
      <c r="BX315" s="469">
        <f>(BX314-BS314)/BS314</f>
        <v>0.75582824126521186</v>
      </c>
      <c r="BY315" s="470">
        <f>(BY314-BT314)/BT314</f>
        <v>0.36424305014004388</v>
      </c>
      <c r="BZ315" s="470">
        <f t="shared" ref="BZ315:CF315" si="703">(BZ314-BY314)/BY314</f>
        <v>0.28034082619243639</v>
      </c>
      <c r="CA315" s="470">
        <f t="shared" si="703"/>
        <v>-9.8196584980266548E-3</v>
      </c>
      <c r="CB315" s="470">
        <f t="shared" si="703"/>
        <v>-0.45206758635434968</v>
      </c>
      <c r="CC315" s="470">
        <f t="shared" si="703"/>
        <v>-6.8516798442212021E-2</v>
      </c>
      <c r="CD315" s="470">
        <f t="shared" si="703"/>
        <v>3.1276846831353504E-2</v>
      </c>
      <c r="CE315" s="470">
        <f t="shared" si="703"/>
        <v>3.2135879664874037E-2</v>
      </c>
      <c r="CF315" s="470">
        <f t="shared" si="703"/>
        <v>2.9800826730254755E-2</v>
      </c>
      <c r="CG315" s="492"/>
      <c r="CH315" s="492"/>
      <c r="CI315" s="492"/>
      <c r="CJ315" s="492"/>
      <c r="CK315" s="492"/>
      <c r="CL315" s="1310" t="str">
        <f>A315</f>
        <v>% Growth (y-o-y)</v>
      </c>
      <c r="CM315" s="469" t="str">
        <f>G315</f>
        <v xml:space="preserve">n/a </v>
      </c>
      <c r="CN315" s="469">
        <f>L315</f>
        <v>0.31241015502598857</v>
      </c>
      <c r="CO315" s="469">
        <f>Q315</f>
        <v>0.67986147177622791</v>
      </c>
      <c r="CP315" s="469">
        <f>V315</f>
        <v>6.5771987123413547E-2</v>
      </c>
      <c r="CQ315" s="469">
        <f>AA315</f>
        <v>-5.2527816081840532E-2</v>
      </c>
      <c r="CR315" s="469">
        <f>AF315</f>
        <v>-5.6975158163561253E-2</v>
      </c>
      <c r="CS315" s="469">
        <f>AK315</f>
        <v>5.2542333761607364E-2</v>
      </c>
      <c r="CT315" s="469">
        <f>AP315</f>
        <v>0.17607836945684632</v>
      </c>
      <c r="CU315" s="469">
        <f>AU315</f>
        <v>9.2910140250867954E-2</v>
      </c>
      <c r="CV315" s="469">
        <f>AZ315</f>
        <v>1.2580297350414689E-2</v>
      </c>
      <c r="CW315" s="469">
        <f>BE315</f>
        <v>-0.12456797930568908</v>
      </c>
      <c r="CX315" s="469">
        <f>BJ315</f>
        <v>0.12697092986703712</v>
      </c>
      <c r="CY315" s="469">
        <f>BO315</f>
        <v>4.016162103760363E-2</v>
      </c>
      <c r="CZ315" s="469">
        <f>BT315</f>
        <v>4.0409269866148977E-2</v>
      </c>
      <c r="DA315" s="469">
        <f t="shared" si="697"/>
        <v>0.36424305014004388</v>
      </c>
      <c r="DB315" s="469">
        <f t="shared" si="697"/>
        <v>0.28034082619243639</v>
      </c>
      <c r="DC315" s="1463">
        <f t="shared" si="697"/>
        <v>-9.8196584980266548E-3</v>
      </c>
      <c r="DD315" s="492"/>
      <c r="DE315" s="492"/>
      <c r="DF315" s="962"/>
      <c r="DG315" s="962"/>
      <c r="DH315" s="469"/>
      <c r="DI315" s="3213"/>
      <c r="DJ315" s="962"/>
      <c r="DK315" s="962"/>
      <c r="DL315" s="962"/>
      <c r="DM315" s="962"/>
      <c r="DN315" s="962"/>
      <c r="DO315" s="962"/>
      <c r="DP315" s="962"/>
      <c r="DQ315" s="962"/>
      <c r="DR315" s="963"/>
      <c r="DS315" s="963"/>
      <c r="DT315" s="963"/>
    </row>
    <row r="316" spans="1:124" ht="12.6" customHeight="1" outlineLevel="1" x14ac:dyDescent="0.25">
      <c r="A316" s="865" t="s">
        <v>2015</v>
      </c>
      <c r="B316" s="479"/>
      <c r="C316" s="467">
        <f t="shared" ref="C316:AH316" si="704">C314/C258</f>
        <v>0.26195332204795602</v>
      </c>
      <c r="D316" s="467">
        <f t="shared" si="704"/>
        <v>0.27094937738938657</v>
      </c>
      <c r="E316" s="467">
        <f t="shared" si="704"/>
        <v>0.26889734735792142</v>
      </c>
      <c r="F316" s="467">
        <f t="shared" si="704"/>
        <v>0.26486150465506275</v>
      </c>
      <c r="G316" s="468">
        <f t="shared" si="704"/>
        <v>0.26670750493677819</v>
      </c>
      <c r="H316" s="467">
        <f t="shared" si="704"/>
        <v>0.28338130263298156</v>
      </c>
      <c r="I316" s="467">
        <f t="shared" si="704"/>
        <v>0.28966523071936906</v>
      </c>
      <c r="J316" s="467">
        <f t="shared" si="704"/>
        <v>0.29817346664947353</v>
      </c>
      <c r="K316" s="467">
        <f t="shared" si="704"/>
        <v>0.2958599964915225</v>
      </c>
      <c r="L316" s="468">
        <f t="shared" si="704"/>
        <v>0.29248856203856693</v>
      </c>
      <c r="M316" s="467">
        <f t="shared" si="704"/>
        <v>0.3233427227304343</v>
      </c>
      <c r="N316" s="467">
        <f t="shared" si="704"/>
        <v>0.3109530583214794</v>
      </c>
      <c r="O316" s="467">
        <f t="shared" si="704"/>
        <v>0.30237275874365099</v>
      </c>
      <c r="P316" s="467">
        <f t="shared" si="704"/>
        <v>0.28087965492501676</v>
      </c>
      <c r="Q316" s="468">
        <f t="shared" si="704"/>
        <v>0.30406077303760037</v>
      </c>
      <c r="R316" s="467">
        <f t="shared" si="704"/>
        <v>0.30080267266854288</v>
      </c>
      <c r="S316" s="467">
        <f t="shared" si="704"/>
        <v>0.30230438036990365</v>
      </c>
      <c r="T316" s="467">
        <f t="shared" si="704"/>
        <v>0.30401461593454598</v>
      </c>
      <c r="U316" s="467">
        <f t="shared" si="704"/>
        <v>0.28614419270757763</v>
      </c>
      <c r="V316" s="468">
        <f t="shared" si="704"/>
        <v>0.29849355279664713</v>
      </c>
      <c r="W316" s="467">
        <f t="shared" si="704"/>
        <v>0.28525625352489181</v>
      </c>
      <c r="X316" s="467">
        <f t="shared" si="704"/>
        <v>0.28939905186388348</v>
      </c>
      <c r="Y316" s="467">
        <f t="shared" si="704"/>
        <v>0.28719490780676732</v>
      </c>
      <c r="Z316" s="467">
        <f t="shared" si="704"/>
        <v>0.27510042270341062</v>
      </c>
      <c r="AA316" s="468">
        <f t="shared" si="704"/>
        <v>0.28441804615912242</v>
      </c>
      <c r="AB316" s="467">
        <f t="shared" si="704"/>
        <v>0.28625213564925373</v>
      </c>
      <c r="AC316" s="467">
        <f t="shared" si="704"/>
        <v>0.27271240339039665</v>
      </c>
      <c r="AD316" s="467">
        <f t="shared" si="704"/>
        <v>0.27803315786250082</v>
      </c>
      <c r="AE316" s="469">
        <f t="shared" si="704"/>
        <v>0.25863160887072101</v>
      </c>
      <c r="AF316" s="470">
        <f t="shared" si="704"/>
        <v>0.27430121028584697</v>
      </c>
      <c r="AG316" s="469">
        <f t="shared" si="704"/>
        <v>0.2784241030653884</v>
      </c>
      <c r="AH316" s="469">
        <f t="shared" si="704"/>
        <v>0.28115645542201306</v>
      </c>
      <c r="AI316" s="469">
        <f t="shared" ref="AI316:BN316" si="705">AI314/AI258</f>
        <v>0.28476661402321329</v>
      </c>
      <c r="AJ316" s="469">
        <f t="shared" si="705"/>
        <v>0.26840108469885965</v>
      </c>
      <c r="AK316" s="470">
        <f t="shared" si="705"/>
        <v>0.27816637801221661</v>
      </c>
      <c r="AL316" s="469">
        <f t="shared" si="705"/>
        <v>0.2978502990151764</v>
      </c>
      <c r="AM316" s="469">
        <f t="shared" si="705"/>
        <v>0.30494461962060193</v>
      </c>
      <c r="AN316" s="469">
        <f t="shared" si="705"/>
        <v>0.29639121964256843</v>
      </c>
      <c r="AO316" s="469">
        <f t="shared" si="705"/>
        <v>0.27399364328479575</v>
      </c>
      <c r="AP316" s="471">
        <f t="shared" si="705"/>
        <v>0.29336674133751872</v>
      </c>
      <c r="AQ316" s="471">
        <f t="shared" si="705"/>
        <v>0.31144242513168091</v>
      </c>
      <c r="AR316" s="469">
        <f t="shared" si="705"/>
        <v>0.3094487271788266</v>
      </c>
      <c r="AS316" s="469">
        <f t="shared" si="705"/>
        <v>0.30845463648655541</v>
      </c>
      <c r="AT316" s="469">
        <f t="shared" si="705"/>
        <v>0.28421601724093898</v>
      </c>
      <c r="AU316" s="470">
        <f t="shared" si="705"/>
        <v>0.30323939071518369</v>
      </c>
      <c r="AV316" s="471">
        <f t="shared" si="705"/>
        <v>0.31419762830004788</v>
      </c>
      <c r="AW316" s="469">
        <f t="shared" si="705"/>
        <v>0.31524710029670155</v>
      </c>
      <c r="AX316" s="469">
        <f t="shared" si="705"/>
        <v>0.29305955055393423</v>
      </c>
      <c r="AY316" s="469">
        <f t="shared" si="705"/>
        <v>0.29485560770712677</v>
      </c>
      <c r="AZ316" s="470">
        <f t="shared" si="705"/>
        <v>0.30502502095072065</v>
      </c>
      <c r="BA316" s="471">
        <f t="shared" si="705"/>
        <v>0.30625350970237725</v>
      </c>
      <c r="BB316" s="469">
        <f t="shared" si="705"/>
        <v>0.30857047348293171</v>
      </c>
      <c r="BC316" s="469">
        <f t="shared" si="705"/>
        <v>0.29444685264885279</v>
      </c>
      <c r="BD316" s="469">
        <f t="shared" si="705"/>
        <v>0.29419892471467479</v>
      </c>
      <c r="BE316" s="470">
        <f t="shared" si="705"/>
        <v>0.30086183202806521</v>
      </c>
      <c r="BF316" s="469">
        <f t="shared" si="705"/>
        <v>0.31270458850419636</v>
      </c>
      <c r="BG316" s="469">
        <f t="shared" si="705"/>
        <v>0.31254743521704648</v>
      </c>
      <c r="BH316" s="469">
        <f t="shared" si="705"/>
        <v>0.30320967080889005</v>
      </c>
      <c r="BI316" s="469">
        <f t="shared" si="705"/>
        <v>0.30986134253992348</v>
      </c>
      <c r="BJ316" s="470">
        <f t="shared" si="705"/>
        <v>0.30945743982964791</v>
      </c>
      <c r="BK316" s="469">
        <f t="shared" si="705"/>
        <v>0.30865581511558582</v>
      </c>
      <c r="BL316" s="469">
        <f t="shared" si="705"/>
        <v>0.30903717335870284</v>
      </c>
      <c r="BM316" s="469">
        <f t="shared" si="705"/>
        <v>0.29762394575736323</v>
      </c>
      <c r="BN316" s="469">
        <f t="shared" si="705"/>
        <v>0.28873484002099864</v>
      </c>
      <c r="BO316" s="470">
        <f t="shared" ref="BO316:CF316" si="706">BO314/BO258</f>
        <v>0.30109182106394061</v>
      </c>
      <c r="BP316" s="469">
        <f t="shared" si="706"/>
        <v>0.31654522405903457</v>
      </c>
      <c r="BQ316" s="469">
        <f t="shared" si="706"/>
        <v>0.30778328685701661</v>
      </c>
      <c r="BR316" s="469">
        <f t="shared" si="706"/>
        <v>0.30113228328291458</v>
      </c>
      <c r="BS316" s="469">
        <f t="shared" si="706"/>
        <v>0.28205571650741967</v>
      </c>
      <c r="BT316" s="470">
        <f t="shared" ref="BT316:BY316" si="707">BT314/BT258</f>
        <v>0.30195522828997745</v>
      </c>
      <c r="BU316" s="469">
        <f t="shared" si="707"/>
        <v>0.30995082567169435</v>
      </c>
      <c r="BV316" s="469">
        <f t="shared" si="707"/>
        <v>0.3159687223802039</v>
      </c>
      <c r="BW316" s="469">
        <f t="shared" si="707"/>
        <v>0.31486649769817082</v>
      </c>
      <c r="BX316" s="469">
        <f t="shared" si="707"/>
        <v>0.30488680989169759</v>
      </c>
      <c r="BY316" s="470">
        <f t="shared" si="707"/>
        <v>0.31170401258607489</v>
      </c>
      <c r="BZ316" s="470">
        <f t="shared" si="706"/>
        <v>0.32206978553024473</v>
      </c>
      <c r="CA316" s="470">
        <f t="shared" si="706"/>
        <v>0.32024669409817536</v>
      </c>
      <c r="CB316" s="470">
        <f t="shared" si="706"/>
        <v>0.31153784997295053</v>
      </c>
      <c r="CC316" s="470">
        <f t="shared" si="706"/>
        <v>0.30421618203540657</v>
      </c>
      <c r="CD316" s="470">
        <f t="shared" si="706"/>
        <v>0.30782100573487076</v>
      </c>
      <c r="CE316" s="470">
        <f t="shared" si="706"/>
        <v>0.31156858669368898</v>
      </c>
      <c r="CF316" s="470">
        <f t="shared" si="706"/>
        <v>0.31495533790408281</v>
      </c>
      <c r="CG316" s="492"/>
      <c r="CH316" s="492"/>
      <c r="CI316" s="492"/>
      <c r="CJ316" s="492"/>
      <c r="CK316" s="492"/>
      <c r="CL316" s="1310" t="str">
        <f>A316</f>
        <v>% Margin</v>
      </c>
      <c r="CM316" s="469">
        <f>G316</f>
        <v>0.26670750493677819</v>
      </c>
      <c r="CN316" s="469">
        <f>L316</f>
        <v>0.29248856203856693</v>
      </c>
      <c r="CO316" s="469">
        <f>Q316</f>
        <v>0.30406077303760037</v>
      </c>
      <c r="CP316" s="469">
        <f>V316</f>
        <v>0.29849355279664713</v>
      </c>
      <c r="CQ316" s="469">
        <f>AA316</f>
        <v>0.28441804615912242</v>
      </c>
      <c r="CR316" s="469">
        <f>AF316</f>
        <v>0.27430121028584697</v>
      </c>
      <c r="CS316" s="469">
        <f>AK316</f>
        <v>0.27816637801221661</v>
      </c>
      <c r="CT316" s="469">
        <f>AP316</f>
        <v>0.29336674133751872</v>
      </c>
      <c r="CU316" s="469">
        <f>AU316</f>
        <v>0.30323939071518369</v>
      </c>
      <c r="CV316" s="469">
        <f>AZ316</f>
        <v>0.30502502095072065</v>
      </c>
      <c r="CW316" s="469">
        <f>BE316</f>
        <v>0.30086183202806521</v>
      </c>
      <c r="CX316" s="469">
        <f>BJ316</f>
        <v>0.30945743982964791</v>
      </c>
      <c r="CY316" s="469">
        <f>BO316</f>
        <v>0.30109182106394061</v>
      </c>
      <c r="CZ316" s="469">
        <f>BT316</f>
        <v>0.30195522828997745</v>
      </c>
      <c r="DA316" s="469">
        <f t="shared" si="697"/>
        <v>0.31170401258607489</v>
      </c>
      <c r="DB316" s="469">
        <f t="shared" si="697"/>
        <v>0.32206978553024473</v>
      </c>
      <c r="DC316" s="1463">
        <f t="shared" si="697"/>
        <v>0.32024669409817536</v>
      </c>
      <c r="DD316" s="492"/>
      <c r="DE316" s="492"/>
      <c r="DF316" s="962"/>
      <c r="DG316" s="962"/>
      <c r="DH316" s="469"/>
      <c r="DI316" s="3213"/>
      <c r="DJ316" s="962"/>
      <c r="DK316" s="962"/>
      <c r="DL316" s="962"/>
      <c r="DM316" s="962"/>
      <c r="DN316" s="962"/>
      <c r="DO316" s="962"/>
      <c r="DP316" s="962"/>
      <c r="DQ316" s="962"/>
      <c r="DR316" s="963"/>
      <c r="DS316" s="963"/>
      <c r="DT316" s="963"/>
    </row>
    <row r="317" spans="1:124" ht="12.6" customHeight="1" outlineLevel="1" x14ac:dyDescent="0.25">
      <c r="A317" s="865" t="s">
        <v>858</v>
      </c>
      <c r="B317" s="479"/>
      <c r="C317" s="467"/>
      <c r="D317" s="467"/>
      <c r="E317" s="467"/>
      <c r="F317" s="467"/>
      <c r="G317" s="468"/>
      <c r="H317" s="467"/>
      <c r="I317" s="467"/>
      <c r="J317" s="467"/>
      <c r="K317" s="467"/>
      <c r="L317" s="468"/>
      <c r="M317" s="467"/>
      <c r="N317" s="467"/>
      <c r="O317" s="467"/>
      <c r="P317" s="467"/>
      <c r="Q317" s="468"/>
      <c r="R317" s="467"/>
      <c r="S317" s="467"/>
      <c r="T317" s="467"/>
      <c r="U317" s="467"/>
      <c r="V317" s="468"/>
      <c r="W317" s="467"/>
      <c r="X317" s="467"/>
      <c r="Y317" s="467"/>
      <c r="Z317" s="467"/>
      <c r="AA317" s="468"/>
      <c r="AB317" s="467"/>
      <c r="AC317" s="467"/>
      <c r="AD317" s="467"/>
      <c r="AE317" s="469"/>
      <c r="AF317" s="470"/>
      <c r="AG317" s="469"/>
      <c r="AH317" s="469"/>
      <c r="AI317" s="469"/>
      <c r="AJ317" s="469"/>
      <c r="AK317" s="470"/>
      <c r="AL317" s="469"/>
      <c r="AM317" s="469"/>
      <c r="AN317" s="469"/>
      <c r="AO317" s="469"/>
      <c r="AP317" s="471"/>
      <c r="AQ317" s="471"/>
      <c r="AR317" s="469"/>
      <c r="AS317" s="469"/>
      <c r="AT317" s="469"/>
      <c r="AU317" s="470"/>
      <c r="AV317" s="471"/>
      <c r="AW317" s="469"/>
      <c r="AX317" s="469"/>
      <c r="AY317" s="469"/>
      <c r="AZ317" s="470">
        <f t="shared" ref="AZ317:BO317" si="708">(AZ314-AU314)/(AZ258-AU258)</f>
        <v>0.57343563689146271</v>
      </c>
      <c r="BA317" s="471">
        <f t="shared" si="708"/>
        <v>0.34660168229769794</v>
      </c>
      <c r="BB317" s="469">
        <f t="shared" si="708"/>
        <v>0.35511100938429807</v>
      </c>
      <c r="BC317" s="469">
        <f t="shared" si="708"/>
        <v>0.27997664063070327</v>
      </c>
      <c r="BD317" s="469">
        <f t="shared" si="708"/>
        <v>0.23063063063062766</v>
      </c>
      <c r="BE317" s="470">
        <f t="shared" si="708"/>
        <v>0.33788304400017038</v>
      </c>
      <c r="BF317" s="469">
        <f t="shared" si="708"/>
        <v>0.49206349206348871</v>
      </c>
      <c r="BG317" s="469">
        <f t="shared" si="708"/>
        <v>0.3656832616267166</v>
      </c>
      <c r="BH317" s="469">
        <f t="shared" si="708"/>
        <v>0.36383988345812335</v>
      </c>
      <c r="BI317" s="469">
        <f t="shared" si="708"/>
        <v>0.4333635978451667</v>
      </c>
      <c r="BJ317" s="470">
        <f t="shared" si="708"/>
        <v>0.399305975870557</v>
      </c>
      <c r="BK317" s="469">
        <f t="shared" si="708"/>
        <v>0.27952726051585403</v>
      </c>
      <c r="BL317" s="469">
        <f t="shared" si="708"/>
        <v>0.27309905646598098</v>
      </c>
      <c r="BM317" s="469">
        <f t="shared" si="708"/>
        <v>0.14060836501901242</v>
      </c>
      <c r="BN317" s="469">
        <f t="shared" si="708"/>
        <v>-1.4451526333445306</v>
      </c>
      <c r="BO317" s="470">
        <f t="shared" si="708"/>
        <v>0.17995939231310912</v>
      </c>
      <c r="BP317" s="469">
        <f t="shared" ref="BP317:BX317" si="709">(BP314-BK314)/(BP258-BK258)</f>
        <v>0.61836848227381425</v>
      </c>
      <c r="BQ317" s="469">
        <f t="shared" si="709"/>
        <v>0.2721053215487646</v>
      </c>
      <c r="BR317" s="469">
        <f t="shared" si="709"/>
        <v>0.36720787207872113</v>
      </c>
      <c r="BS317" s="469">
        <f t="shared" si="709"/>
        <v>9.2130444767662995E-2</v>
      </c>
      <c r="BT317" s="470">
        <f t="shared" si="709"/>
        <v>0.32501980808169906</v>
      </c>
      <c r="BU317" s="469">
        <f t="shared" si="709"/>
        <v>0.12256760114884316</v>
      </c>
      <c r="BV317" s="469">
        <f t="shared" si="709"/>
        <v>0.67839681905558769</v>
      </c>
      <c r="BW317" s="469">
        <f t="shared" si="709"/>
        <v>0.33726542492310302</v>
      </c>
      <c r="BX317" s="469">
        <f t="shared" si="709"/>
        <v>0.34145487737533298</v>
      </c>
      <c r="BY317" s="470">
        <f>(BY314-BT314)/(BY258-BT258)</f>
        <v>0.34201972563822641</v>
      </c>
      <c r="BZ317" s="470">
        <f>(BZ314-BY314)/(BZ258-BY258)</f>
        <v>0.36541705695977866</v>
      </c>
      <c r="CA317" s="470">
        <f>(CA314-BZ314)/(CA258-BZ258)</f>
        <v>0.75610231065698386</v>
      </c>
      <c r="CB317" s="470"/>
      <c r="CC317" s="470"/>
      <c r="CD317" s="470"/>
      <c r="CE317" s="470"/>
      <c r="CF317" s="470"/>
      <c r="CG317" s="492"/>
      <c r="CH317" s="492"/>
      <c r="CI317" s="492"/>
      <c r="CJ317" s="492"/>
      <c r="CK317" s="492"/>
      <c r="CL317" s="1310"/>
      <c r="CM317" s="469"/>
      <c r="CN317" s="469"/>
      <c r="CO317" s="469"/>
      <c r="CP317" s="469"/>
      <c r="CQ317" s="469"/>
      <c r="CR317" s="469"/>
      <c r="CS317" s="469"/>
      <c r="CT317" s="469"/>
      <c r="CU317" s="469"/>
      <c r="CV317" s="469"/>
      <c r="CW317" s="469"/>
      <c r="CX317" s="469"/>
      <c r="CY317" s="469"/>
      <c r="CZ317" s="469"/>
      <c r="DA317" s="469"/>
      <c r="DB317" s="469"/>
      <c r="DC317" s="1463"/>
      <c r="DD317" s="492"/>
      <c r="DE317" s="492"/>
      <c r="DF317" s="962"/>
      <c r="DG317" s="962"/>
      <c r="DH317" s="469"/>
      <c r="DI317" s="3213"/>
      <c r="DJ317" s="962"/>
      <c r="DK317" s="962"/>
      <c r="DL317" s="962"/>
      <c r="DM317" s="962"/>
      <c r="DN317" s="962"/>
      <c r="DO317" s="962"/>
      <c r="DP317" s="962"/>
      <c r="DQ317" s="962"/>
      <c r="DR317" s="963"/>
      <c r="DS317" s="963"/>
      <c r="DT317" s="963"/>
    </row>
    <row r="318" spans="1:124" ht="12.6" customHeight="1" outlineLevel="1" x14ac:dyDescent="0.25">
      <c r="A318" s="465" t="s">
        <v>2416</v>
      </c>
      <c r="B318" s="479"/>
      <c r="C318" s="467"/>
      <c r="D318" s="467"/>
      <c r="E318" s="467"/>
      <c r="F318" s="467"/>
      <c r="G318" s="468"/>
      <c r="H318" s="467"/>
      <c r="I318" s="467"/>
      <c r="J318" s="467"/>
      <c r="K318" s="467"/>
      <c r="L318" s="468"/>
      <c r="M318" s="467"/>
      <c r="N318" s="467"/>
      <c r="O318" s="467"/>
      <c r="P318" s="467"/>
      <c r="Q318" s="468"/>
      <c r="R318" s="467"/>
      <c r="S318" s="467"/>
      <c r="T318" s="467"/>
      <c r="U318" s="467"/>
      <c r="V318" s="468"/>
      <c r="W318" s="467"/>
      <c r="X318" s="467"/>
      <c r="Y318" s="467"/>
      <c r="Z318" s="467"/>
      <c r="AA318" s="468"/>
      <c r="AB318" s="467"/>
      <c r="AC318" s="467"/>
      <c r="AD318" s="467"/>
      <c r="AE318" s="469"/>
      <c r="AF318" s="470"/>
      <c r="AG318" s="469"/>
      <c r="AH318" s="469"/>
      <c r="AI318" s="469"/>
      <c r="AJ318" s="469"/>
      <c r="AK318" s="470"/>
      <c r="AL318" s="469"/>
      <c r="AM318" s="469"/>
      <c r="AN318" s="469"/>
      <c r="AO318" s="469"/>
      <c r="AP318" s="471"/>
      <c r="AQ318" s="471"/>
      <c r="AR318" s="469"/>
      <c r="AS318" s="469"/>
      <c r="AT318" s="469"/>
      <c r="AU318" s="470"/>
      <c r="AV318" s="471"/>
      <c r="AW318" s="469"/>
      <c r="AX318" s="469"/>
      <c r="AY318" s="469"/>
      <c r="AZ318" s="470"/>
      <c r="BA318" s="471">
        <f>(SUM(BA265:BA270,BA280:BA281,BA293:BA300,BA284:BA288,BA312:BA313)-SUM(AV265:AV270,AV280:AV281,AV293:AV300,AV284:AV288,AV312:AV313))/(SUM(BA218:BA225,BA230:BA231,BA240:BA244,BA234:BA246,BA256:BA257)-SUM(AV218:AV225,AV230:AV231,AV240:AV244,AV234:AV246,AV256:AV257))</f>
        <v>0.34644753235437786</v>
      </c>
      <c r="BB318" s="469">
        <f t="shared" ref="BB318:BH318" si="710">(SUM(BB265:BB270,BB280:BB281,BB293:BB300,BB284:BB288,BB312:BB313)-SUM(AW265:AW270,AW280:AW281,AW293:AW300,AW284:AW288,AW312:AW313))/(SUM(BB218:BB225,BB230:BB231,BB240:BB244,BB234:BB246,BB256:BB257)-SUM(AW218:AW225,AW230:AW231,AW240:AW244,AW234:AW246,AW256:AW257))</f>
        <v>0.29183727975770035</v>
      </c>
      <c r="BC318" s="469">
        <f t="shared" si="710"/>
        <v>0.23896488097479351</v>
      </c>
      <c r="BD318" s="469">
        <f t="shared" si="710"/>
        <v>0.2693932153019139</v>
      </c>
      <c r="BE318" s="470">
        <f t="shared" si="710"/>
        <v>0.31167136512476057</v>
      </c>
      <c r="BF318" s="469">
        <f t="shared" si="710"/>
        <v>0.11213948106443322</v>
      </c>
      <c r="BG318" s="469">
        <f t="shared" si="710"/>
        <v>0.19285461254386208</v>
      </c>
      <c r="BH318" s="469">
        <f t="shared" si="710"/>
        <v>0.27961177607309479</v>
      </c>
      <c r="BI318" s="469">
        <f>(SUM(BI265:BI272,BI280:BI281,BI293:BI300,BI284:BI288,BI312:BI313)-SUM(BD265:BD272,BD280:BD281,BD293:BD300,BD284:BD288,BD312:BD313))/(SUM(BI218:BI225,BI230:BI231,BI240:BI244,BI234:BI246,BI256:BI257)-SUM(BD218:BD225,BD230:BD231,BD240:BD244,BD234:BD246,BD256:BD257))</f>
        <v>1.2038522889961369</v>
      </c>
      <c r="BJ318" s="470">
        <f>(SUM(BJ265:BJ272,BJ280:BJ281,BJ293:BJ297,BJ284:BJ300,BJ312:BJ313)-SUM(BE265:BE272,BE280:BE281,BE293:BE297,BE284:BE300,BE312:BE313))/(SUM(BJ218:BJ225,BJ230:BJ231,BJ240:BJ244,BJ234:BJ246,BJ256:BJ257)-SUM(BE218:BE225,BE230:BE231,BE240:BE244,BE234:BE246,BE256:BE257))</f>
        <v>0.7163442771708689</v>
      </c>
      <c r="BK318" s="469">
        <f>(SUM(BK265:BK272,BK280:BK281,BK293:BK300,BK284:BK288,BK312:BK313)-SUM(BF265:BF272,BF280:BF281,BF293:BF300,BF284:BF288,BF312:BF313))/(SUM(BK218:BK225,BK230:BK231,BK240:BK244,BK234:BK246,BK256:BK257)-SUM(BF218:BF225,BF230:BF231,BF240:BF244,BF234:BF246,BF256:BF257))</f>
        <v>0.53723536268968997</v>
      </c>
      <c r="BL318" s="469">
        <f>(SUM(BL265:BL272,BL280:BL281,BL293:BL300,BL284:BL288,BL312:BL313)-SUM(BG265:BG272,BG280:BG281,BG293:BG300,BG284:BG288,BG312:BG313))/(SUM(BL218:BL225,BL230:BL231,BL240:BL244,BL234:BL246,BL256:BL257)-SUM(BG218:BG225,BG230:BG231,BG240:BG244,BG234:BG246,BG256:BG257))</f>
        <v>0.44780645949052045</v>
      </c>
      <c r="BM318" s="469">
        <f>(SUM(BM265:BM273,BM280:BM281,BM293:BM300,BM283:BM288,BM312:BM313)-SUM(BH265:BH273,BH280:BH281,BH293:BH300,BH283:BH288,BH312:BH313))/(SUM(BM218:BM225,BM230:BM231,BM240:BM244,BM234:BM246,BM256:BM257)-SUM(BH218:BH225,BH230:BH231,BH240:BH244,BH234:BH246,BH256:BH257))</f>
        <v>-0.13819806785968991</v>
      </c>
      <c r="BN318" s="469">
        <f>(SUM(BN265:BN273,BN280:BN281,BN293:BN300,BN283:BN288,BN312:BN313)-SUM(BI265:BI273,BI280:BI281,BI293:BI300,BI283:BI288,BI312:BI313))/(SUM(BN218:BN225,BN230:BN231,BN240:BN244,BN234:BN246,BN256:BN257)-SUM(BI218:BI225,BI230:BI231,BI240:BI244,BI234:BI246,BI256:BI257))</f>
        <v>9.4704279617626452E-2</v>
      </c>
      <c r="BO318" s="470">
        <f>(SUM(BO265:BO272,BO280:BO281,BO293:BO300,BO284:BO288,BO312:BO313)-SUM(BJ265:BJ272,BJ280:BJ281,BJ293:BJ300,BJ284:BJ288,BJ312:BJ313))/(SUM(BO218:BO225,BO230:BO231,BO240:BO244,BO234:BO246,BO256:BO257)-SUM(BJ218:BJ225,BJ230:BJ231,BJ240:BJ244,BJ234:BJ246,BJ256:BJ257))</f>
        <v>0.12372766121273916</v>
      </c>
      <c r="BP318" s="469">
        <f>(SUM(BP265:BP273,BP280:BP281,BP293:BP302,BP283:BP288,BP312:BP313)-SUM(BK265:BK273,BK280:BK281,BK293:BK302,BK283:BK288,BK312:BK313))/(SUM(BP218:BP225,BP230:BP231,BP240:BP244,BP234:BP246,BP256:BP257)-SUM(BK218:BK225,BK230:BK231,BK240:BK244,BK234:BK246,BK256:BK257))</f>
        <v>-0.87306078129254838</v>
      </c>
      <c r="BQ318" s="469">
        <f>(SUM(BQ265:BQ273,BQ280:BQ281,BQ293:BQ302,BQ283:BQ288,BQ312:BQ313)-SUM(BL265:BL273,BL280:BL281,BL293:BL302,BL283:BL288,BL312:BL313))/(SUM(BQ218:BQ225,BQ230:BQ231,BQ240:BQ244,BQ234:BQ246,BQ256:BQ257)-SUM(BL218:BL225,BL230:BL231,BL240:BL244,BL234:BL246,BL256:BL257))</f>
        <v>1.6635408182956553</v>
      </c>
      <c r="BR318" s="469">
        <f>(SUM(BR265:BR273,BR280:BR281,BR293:BR302,BR283:BR288,BR311:BR313)-SUM(BM265:BM273,BM280:BM281,BM293:BM302,BM283:BM288,BM311:BM313))/(SUM(BR218:BR225,BR230:BR231,BR240:BR244,BR234:BR246,BR256:BR257)-SUM(BM218:BM225,BM230:BM231,BM240:BM244,BM234:BM246,BM256:BM257))</f>
        <v>0.77777091954540023</v>
      </c>
      <c r="BS318" s="469">
        <f>(SUM(BS265:BS273,BS280:BS281,BS293:BS302,BS283:BS288,BS311:BS313)-SUM(BN265:BN273,BN280:BN281,BN293:BN302,BN283:BN288,BN311:BN313))/(SUM(BS218:BS225,BS230:BS231,BS240:BS244,BS234:BS246,BS256:BS257)-SUM(BN218:BN225,BN230:BN231,BN240:BN244,BN234:BN246,BN256:BN257))</f>
        <v>0.22575667560335777</v>
      </c>
      <c r="BT318" s="470">
        <f>(SUM(BT265:BT273,BT280:BT281,BT293:BT302,BT283:BT288,BT312:BT313)-SUM(BO265:BO273,BO280:BO281,BO293:BO302,BO283:BO288,BO312:BO313))/(SUM(BT218:BT225,BT230:BT231,BT240:BT244,BT234:BT246,BT256:BT257)-SUM(BO218:BO225,BO230:BO231,BO240:BO244,BO234:BO246,BO256:BO257))</f>
        <v>1.0370749998144793</v>
      </c>
      <c r="BU318" s="469">
        <f>(SUM(BU265:BU273,BU280:BU281,BU293:BU302,BU283:BU288,BU311:BU313)-SUM(BP265:BP273,BP280:BP281,BP293:BP302,BP283:BP288,BP311:BP313))/(SUM(BU218:BU225,BU230:BU231,BU240:BU244,BU234:BU246,BU256:BU257)-SUM(BL218:BL225,BL230:BL231,BL240:BL244,BL234:BL246,BL256:BL257))</f>
        <v>0.41888004781720867</v>
      </c>
      <c r="BV318" s="469">
        <f>(SUM(BV265:BV273,BV280:BV281,BV293:BV302,BV283:BV288,BV311:BV313)-SUM(BQ265:BQ273,BQ280:BQ281,BQ293:BQ302,BQ283:BQ288,BQ311:BQ313))/(SUM(BV218:BV225,BV230:BV231,BV240:BV244,BV234:BV246,BV256:BV257)-SUM(BM218:BM225,BM230:BM231,BM240:BM244,BM234:BM246,BM256:BM257))</f>
        <v>0.34899573193676386</v>
      </c>
      <c r="BW318" s="469">
        <f>(SUM(BW265:BW273,BW280:BW281,BW293:BW302,BW283:BW288,BW311:BW313)-SUM(BR265:BR273,BR280:BR281,BR293:BR302,BR283:BR288,BR311:BR313))/(SUM(BW218:BW225,BW230:BW231,BW240:BW244,BW234:BW246,BW256:BW257)-SUM(BN218:BN225,BN230:BN231,BN240:BN244,BN234:BN246,BN256:BN257))</f>
        <v>0.15111976313984388</v>
      </c>
      <c r="BX318" s="469">
        <f>(SUM(BX265:BX273,BX280:BX281,BX293:BX302,BX283:BX288,BX311:BX313)-SUM(BS265:BS273,BS280:BS281,BS293:BS302,BS283:BS288,BS311:BS313))/(SUM(BX218:BX225,BX230:BX231,BX240:BX244,BX234:BX246,BX256:BX257)-SUM(BO218:BO225,BO230:BO231,BO240:BO244,BO234:BO246,BO256:BO257))</f>
        <v>-4.004335101103893E-3</v>
      </c>
      <c r="BY318" s="470">
        <f>(SUM(BY265:BY273,BY280:BY281,BY293:BY302,BY283:BY288,BY311:BY313)-SUM(BT265:BT273,BT280:BT281,BT293:BT302,BT283:BT288,BT311:BT313))/(SUM(BY218:BY225,BY230:BY231,BY240:BY244,BY234:BY246,BY256:BY257)-SUM(BT218:BT225,BT230:BT231,BT240:BT244,BT234:BT246,BT256:BT257))</f>
        <v>0.73168517851009984</v>
      </c>
      <c r="BZ318" s="470">
        <f>(SUM(BZ265:BZ273,BZ280:BZ281,BZ293:BZ302,BZ283:BZ288,BZ311:BZ313)-SUM(BY265:BY273,BY280:BY281,BY293:BY302,BY283:BY288,BY311:BY313))/(SUM(BZ218:BZ225,BZ230:BZ231,BZ240:BZ244,BZ234:BZ246,BZ255:BZ257)-SUM(BY218:BY225,BY230:BY231,BY240:BY244,BY234:BY246,BY255:BY257))</f>
        <v>0.52291882178188487</v>
      </c>
      <c r="CA318" s="470">
        <f>(SUM(CA265:CA273,CA280:CA281,CA293:CA302,CA283:CA288,CA311:CA313)-SUM(BZ265:BZ273,BZ280:BZ281,BZ293:BZ302,BZ283:BZ288,BZ311:BZ313))/(SUM(CA218:CA225,CA230:CA231,CA240:CA244,CA233:CF246,CA255:CA257)-SUM(BZ218:BZ225,BZ230:BZ231,BZ240:BZ244,BZ233:BZ246,BZ255:BZ257))</f>
        <v>-2.4592210391469185E-3</v>
      </c>
      <c r="CB318" s="470"/>
      <c r="CC318" s="470"/>
      <c r="CD318" s="470"/>
      <c r="CE318" s="470"/>
      <c r="CF318" s="470"/>
      <c r="CG318" s="492"/>
      <c r="CH318" s="492"/>
      <c r="CI318" s="492"/>
      <c r="CJ318" s="492"/>
      <c r="CK318" s="492"/>
      <c r="CL318" s="1310"/>
      <c r="CM318" s="469"/>
      <c r="CN318" s="469"/>
      <c r="CO318" s="469"/>
      <c r="CP318" s="469"/>
      <c r="CQ318" s="469"/>
      <c r="CR318" s="469"/>
      <c r="CS318" s="469"/>
      <c r="CT318" s="469"/>
      <c r="CU318" s="469"/>
      <c r="CV318" s="469"/>
      <c r="CW318" s="469"/>
      <c r="CX318" s="469"/>
      <c r="CY318" s="469"/>
      <c r="CZ318" s="469"/>
      <c r="DA318" s="469"/>
      <c r="DB318" s="469"/>
      <c r="DC318" s="1463"/>
      <c r="DD318" s="492"/>
      <c r="DE318" s="492"/>
      <c r="DF318" s="962"/>
      <c r="DG318" s="962"/>
      <c r="DH318" s="469"/>
      <c r="DI318" s="3213"/>
      <c r="DJ318" s="962"/>
      <c r="DK318" s="962"/>
      <c r="DL318" s="962"/>
      <c r="DM318" s="962"/>
      <c r="DN318" s="962"/>
      <c r="DO318" s="962"/>
      <c r="DP318" s="962"/>
      <c r="DQ318" s="962"/>
      <c r="DR318" s="963"/>
      <c r="DS318" s="963"/>
      <c r="DT318" s="963"/>
    </row>
    <row r="319" spans="1:124" ht="12" customHeight="1" outlineLevel="1" x14ac:dyDescent="0.25">
      <c r="A319" s="281"/>
      <c r="B319" s="281"/>
      <c r="C319" s="305"/>
      <c r="D319" s="305"/>
      <c r="E319" s="305"/>
      <c r="F319" s="305"/>
      <c r="G319" s="440"/>
      <c r="H319" s="305"/>
      <c r="I319" s="305"/>
      <c r="J319" s="305"/>
      <c r="K319" s="305"/>
      <c r="L319" s="440"/>
      <c r="M319" s="305"/>
      <c r="N319" s="305"/>
      <c r="O319" s="305"/>
      <c r="P319" s="305"/>
      <c r="Q319" s="440"/>
      <c r="R319" s="305"/>
      <c r="S319" s="305"/>
      <c r="T319" s="305"/>
      <c r="U319" s="305"/>
      <c r="V319" s="440"/>
      <c r="W319" s="305"/>
      <c r="X319" s="305"/>
      <c r="Y319" s="305"/>
      <c r="Z319" s="305"/>
      <c r="AA319" s="440"/>
      <c r="AB319" s="305"/>
      <c r="AC319" s="305"/>
      <c r="AD319" s="305"/>
      <c r="AE319" s="331"/>
      <c r="AF319" s="441"/>
      <c r="AG319" s="331"/>
      <c r="AH319" s="331"/>
      <c r="AI319" s="331"/>
      <c r="AJ319" s="331"/>
      <c r="AK319" s="441"/>
      <c r="AL319" s="442"/>
      <c r="AM319" s="442"/>
      <c r="AN319" s="442"/>
      <c r="AO319" s="442"/>
      <c r="AP319" s="443"/>
      <c r="AQ319" s="443"/>
      <c r="AR319" s="331"/>
      <c r="AS319" s="331"/>
      <c r="AT319" s="331"/>
      <c r="AU319" s="349"/>
      <c r="AV319" s="443"/>
      <c r="AW319" s="331"/>
      <c r="AX319" s="331"/>
      <c r="AY319" s="1306"/>
      <c r="AZ319" s="349"/>
      <c r="BA319" s="443"/>
      <c r="BB319" s="331"/>
      <c r="BC319" s="331"/>
      <c r="BD319" s="1306"/>
      <c r="BE319" s="1197"/>
      <c r="BF319" s="331"/>
      <c r="BG319" s="331"/>
      <c r="BH319" s="331"/>
      <c r="BI319" s="1306"/>
      <c r="BJ319" s="1197"/>
      <c r="BK319" s="331"/>
      <c r="BL319" s="331"/>
      <c r="BM319" s="331"/>
      <c r="BN319" s="1306"/>
      <c r="BO319" s="1197"/>
      <c r="BP319" s="331"/>
      <c r="BQ319" s="331"/>
      <c r="BR319" s="331"/>
      <c r="BS319" s="331"/>
      <c r="BT319" s="3222"/>
      <c r="BU319" s="3393"/>
      <c r="BV319" s="2601"/>
      <c r="BW319" s="2601"/>
      <c r="BX319" s="2601"/>
      <c r="BY319" s="3222"/>
      <c r="BZ319" s="349"/>
      <c r="CA319" s="349"/>
      <c r="CB319" s="349"/>
      <c r="CC319" s="349"/>
      <c r="CD319" s="349"/>
      <c r="CE319" s="349"/>
      <c r="CF319" s="349"/>
      <c r="CG319" s="331"/>
      <c r="CH319" s="331"/>
      <c r="CI319" s="331"/>
      <c r="CJ319" s="331"/>
      <c r="CK319" s="331"/>
      <c r="CL319" s="520"/>
      <c r="CM319" s="331"/>
      <c r="CN319" s="331"/>
      <c r="CO319" s="331"/>
      <c r="CP319" s="331"/>
      <c r="CQ319" s="331"/>
      <c r="CR319" s="331"/>
      <c r="CS319" s="331"/>
      <c r="CT319" s="331"/>
      <c r="CU319" s="331"/>
      <c r="CV319" s="331"/>
      <c r="CW319" s="331"/>
      <c r="CX319" s="331"/>
      <c r="CY319" s="331"/>
      <c r="CZ319" s="331"/>
      <c r="DA319" s="331"/>
      <c r="DB319" s="331"/>
      <c r="DC319" s="1306"/>
      <c r="DD319" s="331"/>
      <c r="DE319" s="331"/>
      <c r="DF319" s="502"/>
      <c r="DG319" s="503"/>
      <c r="DH319" s="2601"/>
      <c r="DI319" s="3213"/>
      <c r="DJ319" s="502"/>
      <c r="DK319" s="503"/>
      <c r="DL319" s="502"/>
      <c r="DM319" s="502"/>
      <c r="DN319" s="502"/>
      <c r="DO319" s="502"/>
      <c r="DP319" s="503"/>
      <c r="DQ319" s="503"/>
      <c r="DR319" s="296"/>
      <c r="DS319" s="296"/>
      <c r="DT319" s="296"/>
    </row>
    <row r="320" spans="1:124" ht="12" customHeight="1" outlineLevel="1" x14ac:dyDescent="0.25">
      <c r="A320" s="281" t="s">
        <v>1091</v>
      </c>
      <c r="B320" s="281"/>
      <c r="C320" s="545">
        <v>6</v>
      </c>
      <c r="D320" s="547">
        <f>C320</f>
        <v>6</v>
      </c>
      <c r="E320" s="547">
        <f t="shared" ref="E320:BD320" si="711">D320</f>
        <v>6</v>
      </c>
      <c r="F320" s="547">
        <f t="shared" si="711"/>
        <v>6</v>
      </c>
      <c r="G320" s="548">
        <f t="shared" si="711"/>
        <v>6</v>
      </c>
      <c r="H320" s="547">
        <f t="shared" si="711"/>
        <v>6</v>
      </c>
      <c r="I320" s="547">
        <f t="shared" si="711"/>
        <v>6</v>
      </c>
      <c r="J320" s="547">
        <f t="shared" si="711"/>
        <v>6</v>
      </c>
      <c r="K320" s="547">
        <f t="shared" si="711"/>
        <v>6</v>
      </c>
      <c r="L320" s="548">
        <f t="shared" si="711"/>
        <v>6</v>
      </c>
      <c r="M320" s="547">
        <f t="shared" si="711"/>
        <v>6</v>
      </c>
      <c r="N320" s="547">
        <f t="shared" si="711"/>
        <v>6</v>
      </c>
      <c r="O320" s="547">
        <f t="shared" si="711"/>
        <v>6</v>
      </c>
      <c r="P320" s="547">
        <f t="shared" si="711"/>
        <v>6</v>
      </c>
      <c r="Q320" s="548">
        <f t="shared" si="711"/>
        <v>6</v>
      </c>
      <c r="R320" s="547">
        <f t="shared" si="711"/>
        <v>6</v>
      </c>
      <c r="S320" s="547">
        <f t="shared" si="711"/>
        <v>6</v>
      </c>
      <c r="T320" s="547">
        <f t="shared" si="711"/>
        <v>6</v>
      </c>
      <c r="U320" s="547">
        <f t="shared" si="711"/>
        <v>6</v>
      </c>
      <c r="V320" s="548">
        <f t="shared" si="711"/>
        <v>6</v>
      </c>
      <c r="W320" s="547">
        <f t="shared" si="711"/>
        <v>6</v>
      </c>
      <c r="X320" s="547">
        <f t="shared" si="711"/>
        <v>6</v>
      </c>
      <c r="Y320" s="547">
        <f t="shared" si="711"/>
        <v>6</v>
      </c>
      <c r="Z320" s="547">
        <f t="shared" si="711"/>
        <v>6</v>
      </c>
      <c r="AA320" s="548">
        <f t="shared" si="711"/>
        <v>6</v>
      </c>
      <c r="AB320" s="547">
        <f t="shared" si="711"/>
        <v>6</v>
      </c>
      <c r="AC320" s="547">
        <f t="shared" si="711"/>
        <v>6</v>
      </c>
      <c r="AD320" s="547">
        <f t="shared" si="711"/>
        <v>6</v>
      </c>
      <c r="AE320" s="547">
        <f t="shared" si="711"/>
        <v>6</v>
      </c>
      <c r="AF320" s="548">
        <f t="shared" si="711"/>
        <v>6</v>
      </c>
      <c r="AG320" s="547">
        <f t="shared" si="711"/>
        <v>6</v>
      </c>
      <c r="AH320" s="547">
        <f t="shared" si="711"/>
        <v>6</v>
      </c>
      <c r="AI320" s="547">
        <f t="shared" si="711"/>
        <v>6</v>
      </c>
      <c r="AJ320" s="547">
        <f t="shared" si="711"/>
        <v>6</v>
      </c>
      <c r="AK320" s="548">
        <f t="shared" si="711"/>
        <v>6</v>
      </c>
      <c r="AL320" s="547">
        <f t="shared" si="711"/>
        <v>6</v>
      </c>
      <c r="AM320" s="547">
        <f t="shared" si="711"/>
        <v>6</v>
      </c>
      <c r="AN320" s="547">
        <f t="shared" si="711"/>
        <v>6</v>
      </c>
      <c r="AO320" s="547">
        <f t="shared" si="711"/>
        <v>6</v>
      </c>
      <c r="AP320" s="548">
        <f t="shared" si="711"/>
        <v>6</v>
      </c>
      <c r="AQ320" s="547">
        <f t="shared" si="711"/>
        <v>6</v>
      </c>
      <c r="AR320" s="547">
        <f t="shared" si="711"/>
        <v>6</v>
      </c>
      <c r="AS320" s="547">
        <f t="shared" si="711"/>
        <v>6</v>
      </c>
      <c r="AT320" s="547">
        <f t="shared" si="711"/>
        <v>6</v>
      </c>
      <c r="AU320" s="548">
        <f>AP320</f>
        <v>6</v>
      </c>
      <c r="AV320" s="1919">
        <f t="shared" si="711"/>
        <v>6</v>
      </c>
      <c r="AW320" s="547">
        <f t="shared" si="711"/>
        <v>6</v>
      </c>
      <c r="AX320" s="547">
        <f t="shared" si="711"/>
        <v>6</v>
      </c>
      <c r="AY320" s="1918">
        <f t="shared" si="711"/>
        <v>6</v>
      </c>
      <c r="AZ320" s="548">
        <f>AU320</f>
        <v>6</v>
      </c>
      <c r="BA320" s="1919">
        <f t="shared" si="711"/>
        <v>6</v>
      </c>
      <c r="BB320" s="547">
        <f>BA320</f>
        <v>6</v>
      </c>
      <c r="BC320" s="547">
        <f t="shared" si="711"/>
        <v>6</v>
      </c>
      <c r="BD320" s="1918">
        <f t="shared" si="711"/>
        <v>6</v>
      </c>
      <c r="BE320" s="1918">
        <f>AZ320</f>
        <v>6</v>
      </c>
      <c r="BF320" s="547">
        <f>BD320</f>
        <v>6</v>
      </c>
      <c r="BG320" s="547">
        <f>BF320</f>
        <v>6</v>
      </c>
      <c r="BH320" s="547">
        <f>BG320</f>
        <v>6</v>
      </c>
      <c r="BI320" s="1918">
        <f>BH320</f>
        <v>6</v>
      </c>
      <c r="BJ320" s="1918">
        <f>BE320</f>
        <v>6</v>
      </c>
      <c r="BK320" s="547">
        <f>BJ320</f>
        <v>6</v>
      </c>
      <c r="BL320" s="547">
        <f>BK320</f>
        <v>6</v>
      </c>
      <c r="BM320" s="547">
        <f>BL320</f>
        <v>6</v>
      </c>
      <c r="BN320" s="1918">
        <f>BM320</f>
        <v>6</v>
      </c>
      <c r="BO320" s="1918">
        <f>BJ320</f>
        <v>6</v>
      </c>
      <c r="BP320" s="547">
        <f>BO320</f>
        <v>6</v>
      </c>
      <c r="BQ320" s="547">
        <f>BP320</f>
        <v>6</v>
      </c>
      <c r="BR320" s="547">
        <f>BQ320</f>
        <v>6</v>
      </c>
      <c r="BS320" s="547">
        <f>BR320</f>
        <v>6</v>
      </c>
      <c r="BT320" s="3233">
        <f>BO320</f>
        <v>6</v>
      </c>
      <c r="BU320" s="3296">
        <f>BT320</f>
        <v>6</v>
      </c>
      <c r="BV320" s="3296">
        <f>BU320</f>
        <v>6</v>
      </c>
      <c r="BW320" s="3296">
        <f>BV320</f>
        <v>6</v>
      </c>
      <c r="BX320" s="3296">
        <f>BW320</f>
        <v>6</v>
      </c>
      <c r="BY320" s="3233">
        <f>BT320</f>
        <v>6</v>
      </c>
      <c r="BZ320" s="548">
        <f t="shared" ref="BZ320:CF320" si="712">BY320</f>
        <v>6</v>
      </c>
      <c r="CA320" s="548">
        <f t="shared" si="712"/>
        <v>6</v>
      </c>
      <c r="CB320" s="548">
        <f t="shared" si="712"/>
        <v>6</v>
      </c>
      <c r="CC320" s="548">
        <f t="shared" si="712"/>
        <v>6</v>
      </c>
      <c r="CD320" s="548">
        <f t="shared" si="712"/>
        <v>6</v>
      </c>
      <c r="CE320" s="548">
        <f t="shared" si="712"/>
        <v>6</v>
      </c>
      <c r="CF320" s="548">
        <f t="shared" si="712"/>
        <v>6</v>
      </c>
      <c r="CG320" s="547"/>
      <c r="CH320" s="547"/>
      <c r="CI320" s="547"/>
      <c r="CJ320" s="547"/>
      <c r="CK320" s="547"/>
      <c r="CL320" s="520" t="str">
        <f>A320</f>
        <v>Positions/Table</v>
      </c>
      <c r="CM320" s="547">
        <f>G320</f>
        <v>6</v>
      </c>
      <c r="CN320" s="547">
        <f>L320</f>
        <v>6</v>
      </c>
      <c r="CO320" s="547">
        <f>Q320</f>
        <v>6</v>
      </c>
      <c r="CP320" s="547">
        <f>V320</f>
        <v>6</v>
      </c>
      <c r="CQ320" s="547">
        <f>AA320</f>
        <v>6</v>
      </c>
      <c r="CR320" s="547">
        <f>AF320</f>
        <v>6</v>
      </c>
      <c r="CS320" s="547">
        <f>AK320</f>
        <v>6</v>
      </c>
      <c r="CT320" s="547">
        <f>AP320</f>
        <v>6</v>
      </c>
      <c r="CU320" s="547">
        <f>AU320</f>
        <v>6</v>
      </c>
      <c r="CV320" s="547">
        <f>AZ320</f>
        <v>6</v>
      </c>
      <c r="CW320" s="547">
        <f>BE320</f>
        <v>6</v>
      </c>
      <c r="CX320" s="547">
        <f>BJ320</f>
        <v>6</v>
      </c>
      <c r="CY320" s="547">
        <f>BO320</f>
        <v>6</v>
      </c>
      <c r="CZ320" s="547">
        <f>BT320</f>
        <v>6</v>
      </c>
      <c r="DA320" s="547">
        <f>BY320</f>
        <v>6</v>
      </c>
      <c r="DB320" s="547">
        <f>BZ320</f>
        <v>6</v>
      </c>
      <c r="DC320" s="1918">
        <f>CA320</f>
        <v>6</v>
      </c>
      <c r="DD320" s="547"/>
      <c r="DE320" s="547"/>
      <c r="DF320" s="547"/>
      <c r="DG320" s="547"/>
      <c r="DH320" s="3296"/>
      <c r="DI320" s="3214"/>
      <c r="DJ320" s="547"/>
      <c r="DK320" s="547"/>
      <c r="DL320" s="547"/>
      <c r="DM320" s="547"/>
      <c r="DN320" s="547"/>
      <c r="DO320" s="547"/>
      <c r="DP320" s="547"/>
      <c r="DQ320" s="503"/>
      <c r="DR320" s="296"/>
      <c r="DS320" s="296"/>
      <c r="DT320" s="296"/>
    </row>
    <row r="321" spans="1:124" ht="12" customHeight="1" outlineLevel="1" x14ac:dyDescent="0.25">
      <c r="A321" s="511"/>
      <c r="B321" s="281"/>
      <c r="C321" s="305"/>
      <c r="D321" s="305"/>
      <c r="E321" s="305"/>
      <c r="F321" s="305"/>
      <c r="G321" s="440"/>
      <c r="H321" s="305"/>
      <c r="I321" s="305"/>
      <c r="J321" s="305"/>
      <c r="K321" s="305"/>
      <c r="L321" s="440"/>
      <c r="M321" s="305"/>
      <c r="N321" s="305"/>
      <c r="O321" s="305"/>
      <c r="P321" s="305"/>
      <c r="Q321" s="440"/>
      <c r="R321" s="305"/>
      <c r="S321" s="305"/>
      <c r="T321" s="305"/>
      <c r="U321" s="305"/>
      <c r="V321" s="440"/>
      <c r="W321" s="305"/>
      <c r="X321" s="305"/>
      <c r="Y321" s="305"/>
      <c r="Z321" s="305"/>
      <c r="AA321" s="440"/>
      <c r="AB321" s="305"/>
      <c r="AC321" s="305"/>
      <c r="AD321" s="305"/>
      <c r="AE321" s="331"/>
      <c r="AF321" s="441"/>
      <c r="AG321" s="331"/>
      <c r="AH321" s="331"/>
      <c r="AI321" s="331"/>
      <c r="AJ321" s="331"/>
      <c r="AK321" s="441"/>
      <c r="AL321" s="442"/>
      <c r="AM321" s="442"/>
      <c r="AN321" s="442"/>
      <c r="AO321" s="442"/>
      <c r="AP321" s="443"/>
      <c r="AQ321" s="443"/>
      <c r="AR321" s="331"/>
      <c r="AS321" s="331"/>
      <c r="AT321" s="331"/>
      <c r="AU321" s="349"/>
      <c r="AV321" s="443"/>
      <c r="AW321" s="331"/>
      <c r="AX321" s="331"/>
      <c r="AY321" s="1306"/>
      <c r="AZ321" s="349"/>
      <c r="BA321" s="443"/>
      <c r="BB321" s="331"/>
      <c r="BC321" s="331"/>
      <c r="BD321" s="1306"/>
      <c r="BE321" s="3130"/>
      <c r="BF321" s="331"/>
      <c r="BG321" s="331"/>
      <c r="BH321" s="331"/>
      <c r="BI321" s="1306"/>
      <c r="BJ321" s="3130"/>
      <c r="BK321" s="331"/>
      <c r="BL321" s="331"/>
      <c r="BM321" s="331"/>
      <c r="BN321" s="1306"/>
      <c r="BO321" s="3130"/>
      <c r="BP321" s="331"/>
      <c r="BQ321" s="331"/>
      <c r="BR321" s="331"/>
      <c r="BS321" s="331"/>
      <c r="BT321" s="3222"/>
      <c r="BU321" s="3393"/>
      <c r="BV321" s="2601"/>
      <c r="BW321" s="2601"/>
      <c r="BX321" s="2601"/>
      <c r="BY321" s="3222"/>
      <c r="BZ321" s="349"/>
      <c r="CA321" s="349"/>
      <c r="CB321" s="349"/>
      <c r="CC321" s="349"/>
      <c r="CD321" s="349"/>
      <c r="CE321" s="349"/>
      <c r="CF321" s="349"/>
      <c r="CG321" s="331"/>
      <c r="CH321" s="331"/>
      <c r="CI321" s="331"/>
      <c r="CJ321" s="331"/>
      <c r="CK321" s="331"/>
      <c r="CL321" s="1118"/>
      <c r="CM321" s="331"/>
      <c r="CN321" s="331"/>
      <c r="CO321" s="331"/>
      <c r="CP321" s="331"/>
      <c r="CQ321" s="331"/>
      <c r="CR321" s="331"/>
      <c r="CS321" s="331"/>
      <c r="CT321" s="331"/>
      <c r="CU321" s="331"/>
      <c r="CV321" s="331"/>
      <c r="CW321" s="331"/>
      <c r="CX321" s="331"/>
      <c r="CY321" s="331"/>
      <c r="CZ321" s="331"/>
      <c r="DA321" s="331"/>
      <c r="DB321" s="331"/>
      <c r="DC321" s="1306"/>
      <c r="DD321" s="331"/>
      <c r="DE321" s="331"/>
      <c r="DF321" s="502"/>
      <c r="DG321" s="503"/>
      <c r="DH321" s="2601"/>
      <c r="DI321" s="3213"/>
      <c r="DJ321" s="502"/>
      <c r="DK321" s="503"/>
      <c r="DL321" s="502"/>
      <c r="DM321" s="502"/>
      <c r="DN321" s="502"/>
      <c r="DO321" s="502"/>
      <c r="DP321" s="503"/>
      <c r="DQ321" s="503"/>
      <c r="DR321" s="296"/>
      <c r="DS321" s="296"/>
      <c r="DT321" s="296"/>
    </row>
    <row r="322" spans="1:124" ht="12" customHeight="1" x14ac:dyDescent="0.25">
      <c r="A322" s="333" t="s">
        <v>796</v>
      </c>
      <c r="B322" s="281"/>
      <c r="C322" s="305"/>
      <c r="D322" s="305"/>
      <c r="E322" s="305"/>
      <c r="F322" s="305"/>
      <c r="G322" s="440"/>
      <c r="H322" s="305"/>
      <c r="I322" s="305"/>
      <c r="J322" s="305"/>
      <c r="K322" s="305"/>
      <c r="L322" s="440"/>
      <c r="M322" s="305"/>
      <c r="N322" s="305"/>
      <c r="O322" s="305"/>
      <c r="P322" s="305"/>
      <c r="Q322" s="440"/>
      <c r="R322" s="305"/>
      <c r="S322" s="305"/>
      <c r="T322" s="305"/>
      <c r="U322" s="305"/>
      <c r="V322" s="440"/>
      <c r="W322" s="305"/>
      <c r="X322" s="305"/>
      <c r="Y322" s="305"/>
      <c r="Z322" s="305"/>
      <c r="AA322" s="440"/>
      <c r="AB322" s="1055"/>
      <c r="AC322" s="1055"/>
      <c r="AD322" s="1055"/>
      <c r="AE322" s="1055"/>
      <c r="AF322" s="441"/>
      <c r="AG322" s="1055"/>
      <c r="AH322" s="1055"/>
      <c r="AI322" s="1055"/>
      <c r="AJ322" s="1055"/>
      <c r="AK322" s="441"/>
      <c r="AL322" s="1055"/>
      <c r="AM322" s="1055"/>
      <c r="AN322" s="1055"/>
      <c r="AO322" s="1055"/>
      <c r="AP322" s="751"/>
      <c r="AQ322" s="751"/>
      <c r="AR322" s="588"/>
      <c r="AS322" s="588"/>
      <c r="AT322" s="588"/>
      <c r="AU322" s="349">
        <f>+AU336+AU367+AU398+AU886+AU427+AU456+AU483+AU588+AU618+AU640+AU793+AU824+AU855+AU917+AU948+AU710+AU748+AU767+AU979+AU1010+AU1107+AU1153</f>
        <v>3129.1275526150007</v>
      </c>
      <c r="AV322" s="443"/>
      <c r="AW322" s="331"/>
      <c r="AX322" s="331"/>
      <c r="AY322" s="1306"/>
      <c r="AZ322" s="349"/>
      <c r="BA322" s="443"/>
      <c r="BB322" s="331"/>
      <c r="BC322" s="331"/>
      <c r="BD322" s="1306"/>
      <c r="BE322" s="1306"/>
      <c r="BF322" s="331"/>
      <c r="BG322" s="331"/>
      <c r="BH322" s="331"/>
      <c r="BI322" s="1306"/>
      <c r="BJ322" s="3130"/>
      <c r="BK322" s="331"/>
      <c r="BL322" s="331"/>
      <c r="BM322" s="331"/>
      <c r="BN322" s="1306"/>
      <c r="BO322" s="3130"/>
      <c r="BP322" s="331"/>
      <c r="BQ322" s="331"/>
      <c r="BR322" s="331"/>
      <c r="BS322" s="331"/>
      <c r="BT322" s="3222"/>
      <c r="BU322" s="3393"/>
      <c r="BV322" s="2601"/>
      <c r="BW322" s="2601"/>
      <c r="BX322" s="2601"/>
      <c r="BY322" s="3222"/>
      <c r="BZ322" s="349"/>
      <c r="CA322" s="349"/>
      <c r="CB322" s="349"/>
      <c r="CC322" s="349"/>
      <c r="CD322" s="349"/>
      <c r="CE322" s="349"/>
      <c r="CF322" s="349"/>
      <c r="CG322" s="331"/>
      <c r="CH322" s="331"/>
      <c r="CI322" s="331"/>
      <c r="CJ322" s="331"/>
      <c r="CK322" s="331"/>
      <c r="CL322" s="1149" t="str">
        <f>A322</f>
        <v>PROPERTIES / REGIONS</v>
      </c>
      <c r="CM322" s="588"/>
      <c r="CN322" s="588"/>
      <c r="CO322" s="588"/>
      <c r="CP322" s="588"/>
      <c r="CQ322" s="588"/>
      <c r="CR322" s="588"/>
      <c r="CS322" s="588"/>
      <c r="CT322" s="588"/>
      <c r="CU322" s="588"/>
      <c r="CV322" s="588"/>
      <c r="CW322" s="588"/>
      <c r="CX322" s="588"/>
      <c r="CY322" s="588"/>
      <c r="CZ322" s="588"/>
      <c r="DA322" s="588"/>
      <c r="DB322" s="588"/>
      <c r="DC322" s="1197"/>
      <c r="DD322" s="331"/>
      <c r="DE322" s="331"/>
      <c r="DF322" s="502"/>
      <c r="DG322" s="503"/>
      <c r="DH322" s="2601"/>
      <c r="DI322" s="3213"/>
      <c r="DJ322" s="502"/>
      <c r="DK322" s="503"/>
      <c r="DL322" s="502"/>
      <c r="DM322" s="502"/>
      <c r="DN322" s="502"/>
      <c r="DO322" s="502"/>
      <c r="DP322" s="503"/>
      <c r="DQ322" s="503"/>
      <c r="DR322" s="296"/>
      <c r="DS322" s="296"/>
      <c r="DT322" s="296"/>
    </row>
    <row r="323" spans="1:124" ht="5.0999999999999996" customHeight="1" x14ac:dyDescent="0.25">
      <c r="A323" s="281"/>
      <c r="B323" s="281"/>
      <c r="C323" s="305"/>
      <c r="D323" s="305"/>
      <c r="E323" s="305"/>
      <c r="F323" s="305"/>
      <c r="G323" s="440"/>
      <c r="H323" s="305"/>
      <c r="I323" s="305"/>
      <c r="J323" s="305"/>
      <c r="K323" s="305"/>
      <c r="L323" s="440"/>
      <c r="M323" s="305"/>
      <c r="N323" s="305"/>
      <c r="O323" s="305"/>
      <c r="P323" s="305"/>
      <c r="Q323" s="440"/>
      <c r="R323" s="305"/>
      <c r="S323" s="305"/>
      <c r="T323" s="305"/>
      <c r="U323" s="305"/>
      <c r="V323" s="440"/>
      <c r="W323" s="305"/>
      <c r="X323" s="305"/>
      <c r="Y323" s="305"/>
      <c r="Z323" s="305"/>
      <c r="AA323" s="440"/>
      <c r="AB323" s="305"/>
      <c r="AC323" s="305"/>
      <c r="AD323" s="305"/>
      <c r="AE323" s="331"/>
      <c r="AF323" s="441"/>
      <c r="AG323" s="331"/>
      <c r="AH323" s="331"/>
      <c r="AI323" s="331"/>
      <c r="AJ323" s="331"/>
      <c r="AK323" s="441"/>
      <c r="AL323" s="442"/>
      <c r="AM323" s="442"/>
      <c r="AN323" s="442"/>
      <c r="AO323" s="442"/>
      <c r="AP323" s="443"/>
      <c r="AQ323" s="443"/>
      <c r="AR323" s="331"/>
      <c r="AS323" s="331"/>
      <c r="AT323" s="331"/>
      <c r="AU323" s="349"/>
      <c r="AV323" s="443"/>
      <c r="AW323" s="331"/>
      <c r="AX323" s="331"/>
      <c r="AY323" s="1306"/>
      <c r="AZ323" s="1685"/>
      <c r="BA323" s="1896"/>
      <c r="BB323" s="1897"/>
      <c r="BC323" s="1897"/>
      <c r="BD323" s="1898"/>
      <c r="BE323" s="1306"/>
      <c r="BF323" s="1897"/>
      <c r="BG323" s="1897"/>
      <c r="BH323" s="1897"/>
      <c r="BI323" s="1898"/>
      <c r="BJ323" s="1306"/>
      <c r="BK323" s="1897"/>
      <c r="BL323" s="1897"/>
      <c r="BM323" s="1897"/>
      <c r="BN323" s="1898"/>
      <c r="BO323" s="1306"/>
      <c r="BP323" s="1897"/>
      <c r="BQ323" s="1897"/>
      <c r="BR323" s="1897"/>
      <c r="BS323" s="1897"/>
      <c r="BT323" s="3222"/>
      <c r="BU323" s="3393"/>
      <c r="BV323" s="2601"/>
      <c r="BW323" s="2601"/>
      <c r="BX323" s="2601"/>
      <c r="BY323" s="3222"/>
      <c r="BZ323" s="349"/>
      <c r="CA323" s="349"/>
      <c r="CB323" s="349"/>
      <c r="CC323" s="349"/>
      <c r="CD323" s="349"/>
      <c r="CE323" s="349"/>
      <c r="CF323" s="349"/>
      <c r="CG323" s="331"/>
      <c r="CH323" s="331"/>
      <c r="CI323" s="331"/>
      <c r="CJ323" s="331"/>
      <c r="CK323" s="331"/>
      <c r="CL323" s="520"/>
      <c r="CM323" s="331"/>
      <c r="CN323" s="331"/>
      <c r="CO323" s="331"/>
      <c r="CP323" s="331"/>
      <c r="CQ323" s="331"/>
      <c r="CR323" s="331"/>
      <c r="CS323" s="331"/>
      <c r="CT323" s="331"/>
      <c r="CU323" s="331"/>
      <c r="CV323" s="331"/>
      <c r="CW323" s="331"/>
      <c r="CX323" s="331"/>
      <c r="CY323" s="331"/>
      <c r="CZ323" s="331"/>
      <c r="DA323" s="331"/>
      <c r="DB323" s="331"/>
      <c r="DC323" s="1306"/>
      <c r="DD323" s="331"/>
      <c r="DE323" s="331"/>
      <c r="DF323" s="502"/>
      <c r="DG323" s="503"/>
      <c r="DH323" s="2601"/>
      <c r="DI323" s="3213"/>
      <c r="DJ323" s="502"/>
      <c r="DK323" s="503"/>
      <c r="DL323" s="502"/>
      <c r="DM323" s="502"/>
      <c r="DN323" s="502"/>
      <c r="DO323" s="502"/>
      <c r="DP323" s="503"/>
      <c r="DQ323" s="503"/>
      <c r="DR323" s="296"/>
      <c r="DS323" s="296"/>
      <c r="DT323" s="296"/>
    </row>
    <row r="324" spans="1:124" ht="12" customHeight="1" x14ac:dyDescent="0.25">
      <c r="A324" s="462" t="s">
        <v>2504</v>
      </c>
      <c r="B324" s="409"/>
      <c r="C324" s="433" t="str">
        <f t="shared" ref="C324:AH324" si="713">C$6</f>
        <v>1Q04</v>
      </c>
      <c r="D324" s="433" t="str">
        <f t="shared" si="713"/>
        <v>2Q04</v>
      </c>
      <c r="E324" s="433" t="str">
        <f t="shared" si="713"/>
        <v>3Q04</v>
      </c>
      <c r="F324" s="433" t="str">
        <f t="shared" si="713"/>
        <v>4Q04</v>
      </c>
      <c r="G324" s="434">
        <f t="shared" si="713"/>
        <v>2004</v>
      </c>
      <c r="H324" s="433" t="str">
        <f t="shared" si="713"/>
        <v>1Q05</v>
      </c>
      <c r="I324" s="433" t="str">
        <f t="shared" si="713"/>
        <v>2Q05</v>
      </c>
      <c r="J324" s="433" t="str">
        <f t="shared" si="713"/>
        <v>3Q05</v>
      </c>
      <c r="K324" s="433" t="str">
        <f t="shared" si="713"/>
        <v>4Q05</v>
      </c>
      <c r="L324" s="434">
        <f t="shared" si="713"/>
        <v>2005</v>
      </c>
      <c r="M324" s="433" t="str">
        <f t="shared" si="713"/>
        <v>1Q06</v>
      </c>
      <c r="N324" s="433" t="str">
        <f t="shared" si="713"/>
        <v>2Q06</v>
      </c>
      <c r="O324" s="433" t="str">
        <f t="shared" si="713"/>
        <v>3Q06</v>
      </c>
      <c r="P324" s="433" t="str">
        <f t="shared" si="713"/>
        <v>4Q06</v>
      </c>
      <c r="Q324" s="434">
        <f t="shared" si="713"/>
        <v>2006</v>
      </c>
      <c r="R324" s="433" t="str">
        <f t="shared" si="713"/>
        <v>1Q07</v>
      </c>
      <c r="S324" s="433" t="str">
        <f t="shared" si="713"/>
        <v>2Q07</v>
      </c>
      <c r="T324" s="433" t="str">
        <f t="shared" si="713"/>
        <v>3Q07</v>
      </c>
      <c r="U324" s="433" t="str">
        <f t="shared" si="713"/>
        <v>4Q07</v>
      </c>
      <c r="V324" s="434">
        <f t="shared" si="713"/>
        <v>2007</v>
      </c>
      <c r="W324" s="433" t="str">
        <f t="shared" si="713"/>
        <v>1Q08</v>
      </c>
      <c r="X324" s="433" t="str">
        <f t="shared" si="713"/>
        <v>2Q08</v>
      </c>
      <c r="Y324" s="433" t="str">
        <f t="shared" si="713"/>
        <v>3Q08</v>
      </c>
      <c r="Z324" s="433" t="str">
        <f t="shared" si="713"/>
        <v>4Q08</v>
      </c>
      <c r="AA324" s="434">
        <f t="shared" si="713"/>
        <v>2008</v>
      </c>
      <c r="AB324" s="433" t="str">
        <f t="shared" si="713"/>
        <v>1Q09</v>
      </c>
      <c r="AC324" s="433" t="str">
        <f t="shared" si="713"/>
        <v>2Q09</v>
      </c>
      <c r="AD324" s="433" t="str">
        <f t="shared" si="713"/>
        <v>3Q09</v>
      </c>
      <c r="AE324" s="433" t="str">
        <f t="shared" si="713"/>
        <v>4Q09</v>
      </c>
      <c r="AF324" s="434">
        <f t="shared" si="713"/>
        <v>2009</v>
      </c>
      <c r="AG324" s="433" t="str">
        <f t="shared" si="713"/>
        <v>1Q10</v>
      </c>
      <c r="AH324" s="433" t="str">
        <f t="shared" si="713"/>
        <v>2Q10</v>
      </c>
      <c r="AI324" s="433" t="str">
        <f t="shared" ref="AI324:CF324" si="714">AI$6</f>
        <v>3Q10</v>
      </c>
      <c r="AJ324" s="433" t="str">
        <f t="shared" si="714"/>
        <v>4Q10</v>
      </c>
      <c r="AK324" s="434">
        <f t="shared" si="714"/>
        <v>2010</v>
      </c>
      <c r="AL324" s="435" t="str">
        <f t="shared" si="714"/>
        <v>1Q11</v>
      </c>
      <c r="AM324" s="435" t="str">
        <f t="shared" si="714"/>
        <v>2Q11</v>
      </c>
      <c r="AN324" s="435" t="str">
        <f t="shared" si="714"/>
        <v>3Q11</v>
      </c>
      <c r="AO324" s="435" t="str">
        <f t="shared" si="714"/>
        <v>4Q11</v>
      </c>
      <c r="AP324" s="436">
        <f t="shared" si="714"/>
        <v>2011</v>
      </c>
      <c r="AQ324" s="436" t="str">
        <f t="shared" si="714"/>
        <v>1Q12</v>
      </c>
      <c r="AR324" s="437" t="str">
        <f t="shared" si="714"/>
        <v>2Q12</v>
      </c>
      <c r="AS324" s="437" t="str">
        <f t="shared" si="714"/>
        <v>3Q12</v>
      </c>
      <c r="AT324" s="437" t="str">
        <f t="shared" si="714"/>
        <v>4Q12</v>
      </c>
      <c r="AU324" s="438">
        <f t="shared" si="714"/>
        <v>2012</v>
      </c>
      <c r="AV324" s="436" t="str">
        <f t="shared" si="714"/>
        <v>1Q13</v>
      </c>
      <c r="AW324" s="437" t="str">
        <f t="shared" si="714"/>
        <v>2Q13</v>
      </c>
      <c r="AX324" s="437" t="str">
        <f t="shared" si="714"/>
        <v>3Q13</v>
      </c>
      <c r="AY324" s="861" t="str">
        <f t="shared" si="714"/>
        <v>4Q13</v>
      </c>
      <c r="AZ324" s="438">
        <f t="shared" si="714"/>
        <v>2013</v>
      </c>
      <c r="BA324" s="436" t="str">
        <f t="shared" si="714"/>
        <v>1Q14</v>
      </c>
      <c r="BB324" s="437" t="str">
        <f t="shared" si="714"/>
        <v>2Q14</v>
      </c>
      <c r="BC324" s="437" t="str">
        <f t="shared" si="714"/>
        <v>3Q14</v>
      </c>
      <c r="BD324" s="861" t="str">
        <f t="shared" si="714"/>
        <v>4Q14</v>
      </c>
      <c r="BE324" s="861">
        <f t="shared" si="714"/>
        <v>2014</v>
      </c>
      <c r="BF324" s="437" t="str">
        <f t="shared" si="714"/>
        <v>1Q15</v>
      </c>
      <c r="BG324" s="437" t="str">
        <f t="shared" si="714"/>
        <v>2Q15</v>
      </c>
      <c r="BH324" s="437" t="str">
        <f t="shared" si="714"/>
        <v>3Q15</v>
      </c>
      <c r="BI324" s="861" t="str">
        <f t="shared" si="714"/>
        <v>4Q15</v>
      </c>
      <c r="BJ324" s="861">
        <f t="shared" si="714"/>
        <v>2015</v>
      </c>
      <c r="BK324" s="437" t="str">
        <f t="shared" si="714"/>
        <v>1Q16</v>
      </c>
      <c r="BL324" s="437" t="str">
        <f t="shared" si="714"/>
        <v>2Q16</v>
      </c>
      <c r="BM324" s="437" t="str">
        <f t="shared" si="714"/>
        <v>3Q16</v>
      </c>
      <c r="BN324" s="861" t="str">
        <f t="shared" si="714"/>
        <v>4Q16</v>
      </c>
      <c r="BO324" s="861">
        <f t="shared" si="714"/>
        <v>2016</v>
      </c>
      <c r="BP324" s="437" t="str">
        <f t="shared" si="714"/>
        <v>1Q17</v>
      </c>
      <c r="BQ324" s="437" t="str">
        <f t="shared" si="714"/>
        <v>2Q17</v>
      </c>
      <c r="BR324" s="437" t="str">
        <f t="shared" si="714"/>
        <v>3Q17</v>
      </c>
      <c r="BS324" s="437" t="str">
        <f t="shared" si="714"/>
        <v>4Q17</v>
      </c>
      <c r="BT324" s="438">
        <f t="shared" si="714"/>
        <v>2017</v>
      </c>
      <c r="BU324" s="437" t="str">
        <f t="shared" si="714"/>
        <v>1Q18E</v>
      </c>
      <c r="BV324" s="437" t="str">
        <f t="shared" si="714"/>
        <v>2Q18E</v>
      </c>
      <c r="BW324" s="437" t="str">
        <f t="shared" si="714"/>
        <v>3Q18E</v>
      </c>
      <c r="BX324" s="437" t="str">
        <f t="shared" si="714"/>
        <v>4Q18E</v>
      </c>
      <c r="BY324" s="438" t="str">
        <f t="shared" si="714"/>
        <v>2018E</v>
      </c>
      <c r="BZ324" s="438" t="str">
        <f t="shared" si="714"/>
        <v>2019E</v>
      </c>
      <c r="CA324" s="438" t="str">
        <f t="shared" si="714"/>
        <v>2020E</v>
      </c>
      <c r="CB324" s="438" t="str">
        <f t="shared" si="714"/>
        <v>2021E</v>
      </c>
      <c r="CC324" s="438" t="str">
        <f t="shared" si="714"/>
        <v>2022E</v>
      </c>
      <c r="CD324" s="438" t="str">
        <f t="shared" si="714"/>
        <v>2023E</v>
      </c>
      <c r="CE324" s="438" t="str">
        <f t="shared" si="714"/>
        <v>2024E</v>
      </c>
      <c r="CF324" s="438" t="str">
        <f t="shared" si="714"/>
        <v>2025E</v>
      </c>
      <c r="CG324" s="331"/>
      <c r="CH324" s="331"/>
      <c r="CI324" s="331"/>
      <c r="CJ324" s="331"/>
      <c r="CK324" s="331"/>
      <c r="CL324" s="2225" t="str">
        <f t="shared" ref="CL324:CL331" si="715">A324</f>
        <v>Northeast</v>
      </c>
      <c r="CM324" s="2199">
        <f t="shared" ref="CM324:CM331" si="716">G324</f>
        <v>2004</v>
      </c>
      <c r="CN324" s="2199">
        <f t="shared" ref="CN324:CN331" si="717">L324</f>
        <v>2005</v>
      </c>
      <c r="CO324" s="2199">
        <f t="shared" ref="CO324:CO331" si="718">Q324</f>
        <v>2006</v>
      </c>
      <c r="CP324" s="2199">
        <f t="shared" ref="CP324:CP331" si="719">V324</f>
        <v>2007</v>
      </c>
      <c r="CQ324" s="2199">
        <f t="shared" ref="CQ324:CQ331" si="720">AA324</f>
        <v>2008</v>
      </c>
      <c r="CR324" s="2199">
        <f t="shared" ref="CR324:CR331" si="721">AF324</f>
        <v>2009</v>
      </c>
      <c r="CS324" s="2199">
        <f t="shared" ref="CS324:CS331" si="722">AK324</f>
        <v>2010</v>
      </c>
      <c r="CT324" s="2199">
        <f t="shared" ref="CT324:CT331" si="723">AP324</f>
        <v>2011</v>
      </c>
      <c r="CU324" s="2199">
        <f t="shared" ref="CU324:CU331" si="724">AU324</f>
        <v>2012</v>
      </c>
      <c r="CV324" s="2199">
        <f t="shared" ref="CV324:CV331" si="725">AZ324</f>
        <v>2013</v>
      </c>
      <c r="CW324" s="2199">
        <f t="shared" ref="CW324:CW331" si="726">BE324</f>
        <v>2014</v>
      </c>
      <c r="CX324" s="2199">
        <f t="shared" ref="CX324:CX331" si="727">BJ324</f>
        <v>2015</v>
      </c>
      <c r="CY324" s="2199">
        <f t="shared" ref="CY324:CY331" si="728">BO324</f>
        <v>2016</v>
      </c>
      <c r="CZ324" s="2199">
        <f t="shared" ref="CZ324:CZ331" si="729">BT324</f>
        <v>2017</v>
      </c>
      <c r="DA324" s="2199" t="str">
        <f t="shared" ref="DA324:DC331" si="730">BY324</f>
        <v>2018E</v>
      </c>
      <c r="DB324" s="2199" t="str">
        <f t="shared" si="730"/>
        <v>2019E</v>
      </c>
      <c r="DC324" s="2200" t="str">
        <f t="shared" si="730"/>
        <v>2020E</v>
      </c>
      <c r="DD324" s="331"/>
      <c r="DE324" s="331"/>
      <c r="DF324" s="502"/>
      <c r="DG324" s="503"/>
      <c r="DH324" s="537"/>
      <c r="DI324" s="3213"/>
      <c r="DJ324" s="502"/>
      <c r="DK324" s="503"/>
      <c r="DL324" s="502"/>
      <c r="DM324" s="502"/>
      <c r="DN324" s="502"/>
      <c r="DO324" s="502"/>
      <c r="DP324" s="503"/>
      <c r="DQ324" s="503"/>
      <c r="DR324" s="296"/>
      <c r="DS324" s="296"/>
      <c r="DT324" s="296"/>
    </row>
    <row r="325" spans="1:124" ht="12" customHeight="1" x14ac:dyDescent="0.25">
      <c r="A325" s="2123" t="s">
        <v>1788</v>
      </c>
      <c r="B325" s="523"/>
      <c r="C325" s="2116"/>
      <c r="D325" s="2116"/>
      <c r="E325" s="2116"/>
      <c r="F325" s="2116"/>
      <c r="G325" s="2117"/>
      <c r="H325" s="2116"/>
      <c r="I325" s="2116"/>
      <c r="J325" s="2116"/>
      <c r="K325" s="2116"/>
      <c r="L325" s="2117"/>
      <c r="M325" s="2116"/>
      <c r="N325" s="2116"/>
      <c r="O325" s="2116"/>
      <c r="P325" s="2116"/>
      <c r="Q325" s="2117"/>
      <c r="R325" s="2116"/>
      <c r="S325" s="2116"/>
      <c r="T325" s="2116"/>
      <c r="U325" s="2116"/>
      <c r="V325" s="2117"/>
      <c r="W325" s="2116"/>
      <c r="X325" s="2116"/>
      <c r="Y325" s="2116"/>
      <c r="Z325" s="2116"/>
      <c r="AA325" s="2117"/>
      <c r="AB325" s="2116"/>
      <c r="AC325" s="2116"/>
      <c r="AD325" s="2116"/>
      <c r="AE325" s="2116"/>
      <c r="AF325" s="2117"/>
      <c r="AG325" s="2116"/>
      <c r="AH325" s="2116"/>
      <c r="AI325" s="2116"/>
      <c r="AJ325" s="2116"/>
      <c r="AK325" s="2117"/>
      <c r="AL325" s="2118"/>
      <c r="AM325" s="2118"/>
      <c r="AN325" s="2118"/>
      <c r="AO325" s="2118"/>
      <c r="AP325" s="2119"/>
      <c r="AQ325" s="2119"/>
      <c r="AR325" s="2120"/>
      <c r="AS325" s="2120"/>
      <c r="AT325" s="2120"/>
      <c r="AU325" s="2121"/>
      <c r="AV325" s="2119"/>
      <c r="AW325" s="2120"/>
      <c r="AX325" s="2120"/>
      <c r="AY325" s="2122"/>
      <c r="AZ325" s="2121"/>
      <c r="BA325" s="2119"/>
      <c r="BB325" s="2120"/>
      <c r="BC325" s="2120"/>
      <c r="BD325" s="2122"/>
      <c r="BE325" s="2122"/>
      <c r="BF325" s="2120"/>
      <c r="BG325" s="2120"/>
      <c r="BH325" s="2120"/>
      <c r="BI325" s="2122"/>
      <c r="BJ325" s="2122"/>
      <c r="BK325" s="2120"/>
      <c r="BL325" s="2120"/>
      <c r="BM325" s="2120"/>
      <c r="BN325" s="2122"/>
      <c r="BO325" s="2122"/>
      <c r="BP325" s="2120"/>
      <c r="BQ325" s="2120"/>
      <c r="BR325" s="2120"/>
      <c r="BS325" s="2120"/>
      <c r="BT325" s="2121"/>
      <c r="BU325" s="2119"/>
      <c r="BV325" s="2120"/>
      <c r="BW325" s="2120"/>
      <c r="BX325" s="2120"/>
      <c r="BY325" s="2121"/>
      <c r="BZ325" s="2121"/>
      <c r="CA325" s="2121"/>
      <c r="CB325" s="2121"/>
      <c r="CC325" s="2121"/>
      <c r="CD325" s="2121"/>
      <c r="CE325" s="2121"/>
      <c r="CF325" s="2121"/>
      <c r="CG325" s="331"/>
      <c r="CH325" s="331"/>
      <c r="CI325" s="331"/>
      <c r="CJ325" s="331"/>
      <c r="CK325" s="331"/>
      <c r="CL325" s="2225" t="str">
        <f t="shared" si="715"/>
        <v>Hollywood at Charles Town Races (WV)</v>
      </c>
      <c r="CM325" s="2199">
        <f t="shared" si="716"/>
        <v>0</v>
      </c>
      <c r="CN325" s="2199">
        <f t="shared" si="717"/>
        <v>0</v>
      </c>
      <c r="CO325" s="2199">
        <f t="shared" si="718"/>
        <v>0</v>
      </c>
      <c r="CP325" s="2199">
        <f t="shared" si="719"/>
        <v>0</v>
      </c>
      <c r="CQ325" s="2199">
        <f t="shared" si="720"/>
        <v>0</v>
      </c>
      <c r="CR325" s="2199">
        <f t="shared" si="721"/>
        <v>0</v>
      </c>
      <c r="CS325" s="2199">
        <f t="shared" si="722"/>
        <v>0</v>
      </c>
      <c r="CT325" s="2199">
        <f t="shared" si="723"/>
        <v>0</v>
      </c>
      <c r="CU325" s="2199">
        <f t="shared" si="724"/>
        <v>0</v>
      </c>
      <c r="CV325" s="2199">
        <f t="shared" si="725"/>
        <v>0</v>
      </c>
      <c r="CW325" s="2199">
        <f t="shared" si="726"/>
        <v>0</v>
      </c>
      <c r="CX325" s="2199">
        <f t="shared" si="727"/>
        <v>0</v>
      </c>
      <c r="CY325" s="2199">
        <f t="shared" si="728"/>
        <v>0</v>
      </c>
      <c r="CZ325" s="2199">
        <f t="shared" si="729"/>
        <v>0</v>
      </c>
      <c r="DA325" s="2199">
        <f t="shared" si="730"/>
        <v>0</v>
      </c>
      <c r="DB325" s="2199">
        <f t="shared" si="730"/>
        <v>0</v>
      </c>
      <c r="DC325" s="2200">
        <f t="shared" si="730"/>
        <v>0</v>
      </c>
      <c r="DD325" s="331"/>
      <c r="DE325" s="331"/>
      <c r="DF325" s="502"/>
      <c r="DG325" s="503"/>
      <c r="DH325" s="537"/>
      <c r="DI325" s="3213"/>
      <c r="DJ325" s="502"/>
      <c r="DK325" s="503"/>
      <c r="DL325" s="502"/>
      <c r="DM325" s="502"/>
      <c r="DN325" s="502"/>
      <c r="DO325" s="502"/>
      <c r="DP325" s="503"/>
      <c r="DQ325" s="503"/>
      <c r="DR325" s="296"/>
      <c r="DS325" s="296"/>
      <c r="DT325" s="296"/>
    </row>
    <row r="326" spans="1:124" ht="12" customHeight="1" x14ac:dyDescent="0.25">
      <c r="A326" s="281" t="s">
        <v>894</v>
      </c>
      <c r="B326" s="474"/>
      <c r="C326" s="549">
        <f>C327+(C328*C$320)</f>
        <v>3500</v>
      </c>
      <c r="D326" s="549">
        <f>D327+(D328*D$320)</f>
        <v>3538</v>
      </c>
      <c r="E326" s="549">
        <f>E327+(E328*E$320)</f>
        <v>3765</v>
      </c>
      <c r="F326" s="549">
        <f>F327+(F328*F$320)</f>
        <v>3793</v>
      </c>
      <c r="G326" s="550">
        <f>F326</f>
        <v>3793</v>
      </c>
      <c r="H326" s="549">
        <f>H327+(H328*H$320)</f>
        <v>3786</v>
      </c>
      <c r="I326" s="549">
        <f>I327+(I328*I$320)</f>
        <v>4386</v>
      </c>
      <c r="J326" s="549">
        <f>J327+(J328*J$320)</f>
        <v>4473</v>
      </c>
      <c r="K326" s="549">
        <f>K327+(K328*K$320)</f>
        <v>4113</v>
      </c>
      <c r="L326" s="550">
        <f>K326</f>
        <v>4113</v>
      </c>
      <c r="M326" s="549">
        <f>M327+(M328*M$320)</f>
        <v>4113</v>
      </c>
      <c r="N326" s="549">
        <f>N327+(N328*N$320)</f>
        <v>4113</v>
      </c>
      <c r="O326" s="549">
        <f>O327+(O328*O$320)</f>
        <v>4153</v>
      </c>
      <c r="P326" s="549">
        <f>P327+(P328*P$320)</f>
        <v>4145</v>
      </c>
      <c r="Q326" s="550">
        <f>P326</f>
        <v>4145</v>
      </c>
      <c r="R326" s="549">
        <f>R327+(R328*R$320)</f>
        <v>4131</v>
      </c>
      <c r="S326" s="549">
        <f>S327+(S328*S$320)</f>
        <v>5010</v>
      </c>
      <c r="T326" s="549">
        <f>T327+(T328*T$320)</f>
        <v>5027</v>
      </c>
      <c r="U326" s="549">
        <f>U327+(U328*U$320)</f>
        <v>5020</v>
      </c>
      <c r="V326" s="550">
        <f>U326</f>
        <v>5020</v>
      </c>
      <c r="W326" s="549">
        <f>W327+(W328*W$320)</f>
        <v>5000</v>
      </c>
      <c r="X326" s="549">
        <f>X327+(X328*X$320)</f>
        <v>5019</v>
      </c>
      <c r="Y326" s="549">
        <f>Y327+(Y328*Y$320)</f>
        <v>5023</v>
      </c>
      <c r="Z326" s="549">
        <f>Z327+(Z328*Z$320)</f>
        <v>5006</v>
      </c>
      <c r="AA326" s="550">
        <f>Z326</f>
        <v>5006</v>
      </c>
      <c r="AB326" s="549">
        <f>AB327+(AB328*AB$320)</f>
        <v>5003</v>
      </c>
      <c r="AC326" s="549">
        <f>AC327+(AC328*AC$320)</f>
        <v>5003</v>
      </c>
      <c r="AD326" s="549">
        <f>AD327+(AD328*AD$320)</f>
        <v>5003</v>
      </c>
      <c r="AE326" s="551">
        <f>AE327+(AE328*AE$320)</f>
        <v>5034</v>
      </c>
      <c r="AF326" s="552">
        <f>AE326</f>
        <v>5034</v>
      </c>
      <c r="AG326" s="549">
        <f>AG327+(AG328*AG$320)</f>
        <v>4982.333333333333</v>
      </c>
      <c r="AH326" s="549">
        <f>AH327+(AH328*AH$320)</f>
        <v>4477</v>
      </c>
      <c r="AI326" s="549">
        <f>AI327+(AI328*AI$320)</f>
        <v>5264.666666666667</v>
      </c>
      <c r="AJ326" s="551">
        <f>AJ327+(AJ328*AJ$320)</f>
        <v>5208.333333333333</v>
      </c>
      <c r="AK326" s="552">
        <f>AJ326</f>
        <v>5208.333333333333</v>
      </c>
      <c r="AL326" s="549">
        <f>AL327+(AL328*AL$320)</f>
        <v>5141</v>
      </c>
      <c r="AM326" s="549">
        <f>AM327+(AM328*AM$320)</f>
        <v>4859</v>
      </c>
      <c r="AN326" s="549">
        <f>AN327+(AN328*AN$320)</f>
        <v>4966</v>
      </c>
      <c r="AO326" s="551">
        <f>AO327+(AO328*AO$320)</f>
        <v>5017</v>
      </c>
      <c r="AP326" s="553">
        <f>AO326</f>
        <v>5017</v>
      </c>
      <c r="AQ326" s="553">
        <f>AQ327+(AQ328*AQ$320)</f>
        <v>4879</v>
      </c>
      <c r="AR326" s="551">
        <f>AR327+(AR328*AR$320)</f>
        <v>4308</v>
      </c>
      <c r="AS326" s="551">
        <f>AS327+(AS328*AS$320)</f>
        <v>4335</v>
      </c>
      <c r="AT326" s="551">
        <f>AT327+(AT328*AT$320)</f>
        <v>4327</v>
      </c>
      <c r="AU326" s="552">
        <f>AT326</f>
        <v>4327</v>
      </c>
      <c r="AV326" s="553">
        <f>AV327+(AV328*AV$320)</f>
        <v>4329</v>
      </c>
      <c r="AW326" s="551">
        <f>AW327+(AW328*AW$320)</f>
        <v>4149</v>
      </c>
      <c r="AX326" s="551">
        <f>AX327+(AX328*AX$320)</f>
        <v>4145</v>
      </c>
      <c r="AY326" s="1895">
        <f>AY327+(AY328*AY$320)</f>
        <v>3849</v>
      </c>
      <c r="AZ326" s="552">
        <f>AY326</f>
        <v>3849</v>
      </c>
      <c r="BA326" s="553">
        <f>BA327+(BA328*BA$320)</f>
        <v>3664</v>
      </c>
      <c r="BB326" s="551">
        <f>BB327+(BB328*BB$320)</f>
        <v>3400.3333333333335</v>
      </c>
      <c r="BC326" s="551">
        <f>BC327+(BC328*BC$320)</f>
        <v>3407</v>
      </c>
      <c r="BD326" s="1895">
        <f>BD327+(BD328*BD$320)</f>
        <v>3402</v>
      </c>
      <c r="BE326" s="1895">
        <f>BD326</f>
        <v>3402</v>
      </c>
      <c r="BF326" s="551">
        <f>BF327+(BF328*BF$320)</f>
        <v>3365</v>
      </c>
      <c r="BG326" s="551">
        <f>BG327+(BG328*BG$320)</f>
        <v>3231</v>
      </c>
      <c r="BH326" s="551">
        <f>BH327+(BH328*BH$320)</f>
        <v>3355</v>
      </c>
      <c r="BI326" s="1895">
        <f>BI327+(BI328*BI$320)</f>
        <v>3349</v>
      </c>
      <c r="BJ326" s="1895">
        <f>BI326</f>
        <v>3349</v>
      </c>
      <c r="BK326" s="551">
        <f>BK327+(BK328*BK$320)</f>
        <v>3205</v>
      </c>
      <c r="BL326" s="551">
        <f>BL327+(BL328*BL$320)</f>
        <v>3213</v>
      </c>
      <c r="BM326" s="551">
        <f>BM327+(BM328*BM$320)</f>
        <v>3237</v>
      </c>
      <c r="BN326" s="1895">
        <f>BN327+(BN328*BN$320)</f>
        <v>3064</v>
      </c>
      <c r="BO326" s="1895">
        <f>BN326</f>
        <v>3064</v>
      </c>
      <c r="BP326" s="551">
        <f>BP327+(BP328*BP$320)</f>
        <v>3140.8333333333335</v>
      </c>
      <c r="BQ326" s="551">
        <f>BQ327+(BQ328*BQ$320)</f>
        <v>3075</v>
      </c>
      <c r="BR326" s="551">
        <f>BR327+(BR328*BR$320)</f>
        <v>3004</v>
      </c>
      <c r="BS326" s="551">
        <f>BS327+(BS328*BS$320)</f>
        <v>2794</v>
      </c>
      <c r="BT326" s="3234">
        <f>BS326</f>
        <v>2794</v>
      </c>
      <c r="BU326" s="3297">
        <f>BU327+(BU328*BU$320)</f>
        <v>2794</v>
      </c>
      <c r="BV326" s="3297">
        <f>BV327+(BV328*BV$320)</f>
        <v>2794</v>
      </c>
      <c r="BW326" s="3297">
        <f>BW327+(BW328*BW$320)</f>
        <v>2794</v>
      </c>
      <c r="BX326" s="3297">
        <f>BX327+(BX328*BX$320)</f>
        <v>2794</v>
      </c>
      <c r="BY326" s="3234">
        <f>BX326</f>
        <v>2794</v>
      </c>
      <c r="BZ326" s="552">
        <f t="shared" ref="BZ326:CF326" si="731">BZ327+(BZ328*BZ$320)</f>
        <v>2794</v>
      </c>
      <c r="CA326" s="552">
        <f t="shared" si="731"/>
        <v>2794</v>
      </c>
      <c r="CB326" s="552">
        <f t="shared" si="731"/>
        <v>2794</v>
      </c>
      <c r="CC326" s="552">
        <f t="shared" si="731"/>
        <v>2794</v>
      </c>
      <c r="CD326" s="552">
        <f t="shared" si="731"/>
        <v>2794</v>
      </c>
      <c r="CE326" s="552">
        <f t="shared" si="731"/>
        <v>2794</v>
      </c>
      <c r="CF326" s="552">
        <f t="shared" si="731"/>
        <v>2794</v>
      </c>
      <c r="CG326" s="331"/>
      <c r="CH326" s="331"/>
      <c r="CI326" s="331"/>
      <c r="CJ326" s="331"/>
      <c r="CK326" s="331"/>
      <c r="CL326" s="520" t="str">
        <f t="shared" si="715"/>
        <v>Positions</v>
      </c>
      <c r="CM326" s="551">
        <f t="shared" si="716"/>
        <v>3793</v>
      </c>
      <c r="CN326" s="551">
        <f t="shared" si="717"/>
        <v>4113</v>
      </c>
      <c r="CO326" s="551">
        <f t="shared" si="718"/>
        <v>4145</v>
      </c>
      <c r="CP326" s="551">
        <f t="shared" si="719"/>
        <v>5020</v>
      </c>
      <c r="CQ326" s="551">
        <f t="shared" si="720"/>
        <v>5006</v>
      </c>
      <c r="CR326" s="551">
        <f t="shared" si="721"/>
        <v>5034</v>
      </c>
      <c r="CS326" s="551">
        <f t="shared" si="722"/>
        <v>5208.333333333333</v>
      </c>
      <c r="CT326" s="551">
        <f t="shared" si="723"/>
        <v>5017</v>
      </c>
      <c r="CU326" s="551">
        <f t="shared" si="724"/>
        <v>4327</v>
      </c>
      <c r="CV326" s="551">
        <f t="shared" si="725"/>
        <v>3849</v>
      </c>
      <c r="CW326" s="551">
        <f t="shared" si="726"/>
        <v>3402</v>
      </c>
      <c r="CX326" s="551">
        <f t="shared" si="727"/>
        <v>3349</v>
      </c>
      <c r="CY326" s="551">
        <f t="shared" si="728"/>
        <v>3064</v>
      </c>
      <c r="CZ326" s="551">
        <f t="shared" si="729"/>
        <v>2794</v>
      </c>
      <c r="DA326" s="551">
        <f t="shared" si="730"/>
        <v>2794</v>
      </c>
      <c r="DB326" s="551">
        <f t="shared" si="730"/>
        <v>2794</v>
      </c>
      <c r="DC326" s="1895">
        <f t="shared" si="730"/>
        <v>2794</v>
      </c>
      <c r="DD326" s="331"/>
      <c r="DE326" s="331"/>
      <c r="DF326" s="502"/>
      <c r="DG326" s="503"/>
      <c r="DH326" s="3297"/>
      <c r="DI326" s="3213"/>
      <c r="DJ326" s="502"/>
      <c r="DK326" s="503"/>
      <c r="DL326" s="502"/>
      <c r="DM326" s="502"/>
      <c r="DN326" s="502"/>
      <c r="DO326" s="502"/>
      <c r="DP326" s="503"/>
      <c r="DQ326" s="503"/>
      <c r="DR326" s="296"/>
      <c r="DS326" s="296"/>
      <c r="DT326" s="296"/>
    </row>
    <row r="327" spans="1:124" ht="12" customHeight="1" x14ac:dyDescent="0.25">
      <c r="A327" s="281" t="s">
        <v>585</v>
      </c>
      <c r="B327" s="281"/>
      <c r="C327" s="554">
        <v>3500</v>
      </c>
      <c r="D327" s="554">
        <v>3538</v>
      </c>
      <c r="E327" s="554">
        <v>3765</v>
      </c>
      <c r="F327" s="554">
        <v>3793</v>
      </c>
      <c r="G327" s="550">
        <f>F327</f>
        <v>3793</v>
      </c>
      <c r="H327" s="554">
        <v>3786</v>
      </c>
      <c r="I327" s="554">
        <v>4386</v>
      </c>
      <c r="J327" s="554">
        <v>4473</v>
      </c>
      <c r="K327" s="554">
        <v>4113</v>
      </c>
      <c r="L327" s="550">
        <f>K327</f>
        <v>4113</v>
      </c>
      <c r="M327" s="554">
        <v>4113</v>
      </c>
      <c r="N327" s="554">
        <v>4113</v>
      </c>
      <c r="O327" s="554">
        <v>4153</v>
      </c>
      <c r="P327" s="554">
        <v>4145</v>
      </c>
      <c r="Q327" s="550">
        <f>P327</f>
        <v>4145</v>
      </c>
      <c r="R327" s="554">
        <v>4131</v>
      </c>
      <c r="S327" s="554">
        <v>5010</v>
      </c>
      <c r="T327" s="554">
        <v>5027</v>
      </c>
      <c r="U327" s="554">
        <v>5020</v>
      </c>
      <c r="V327" s="550">
        <f>U327</f>
        <v>5020</v>
      </c>
      <c r="W327" s="554">
        <v>5000</v>
      </c>
      <c r="X327" s="554">
        <v>5019</v>
      </c>
      <c r="Y327" s="554">
        <v>5023</v>
      </c>
      <c r="Z327" s="554">
        <v>5006</v>
      </c>
      <c r="AA327" s="550">
        <f>Z327</f>
        <v>5006</v>
      </c>
      <c r="AB327" s="555">
        <v>5003</v>
      </c>
      <c r="AC327" s="555">
        <v>5003</v>
      </c>
      <c r="AD327" s="555">
        <v>5003</v>
      </c>
      <c r="AE327" s="555">
        <v>5034</v>
      </c>
      <c r="AF327" s="552">
        <f>AE327</f>
        <v>5034</v>
      </c>
      <c r="AG327" s="555">
        <v>4982.333333333333</v>
      </c>
      <c r="AH327" s="555">
        <v>4477</v>
      </c>
      <c r="AI327" s="555">
        <v>4604.666666666667</v>
      </c>
      <c r="AJ327" s="555">
        <v>4536.333333333333</v>
      </c>
      <c r="AK327" s="552">
        <f>AJ327</f>
        <v>4536.333333333333</v>
      </c>
      <c r="AL327" s="555">
        <v>4439</v>
      </c>
      <c r="AM327" s="2661">
        <v>4055</v>
      </c>
      <c r="AN327" s="2661">
        <v>4144</v>
      </c>
      <c r="AO327" s="2661">
        <v>4195</v>
      </c>
      <c r="AP327" s="553">
        <f>AO327</f>
        <v>4195</v>
      </c>
      <c r="AQ327" s="2660">
        <v>4057</v>
      </c>
      <c r="AR327" s="2661">
        <v>3486</v>
      </c>
      <c r="AS327" s="555">
        <v>3513</v>
      </c>
      <c r="AT327" s="555">
        <v>3505</v>
      </c>
      <c r="AU327" s="552">
        <f>AT327</f>
        <v>3505</v>
      </c>
      <c r="AV327" s="2660">
        <v>3507</v>
      </c>
      <c r="AW327" s="2661">
        <v>3261</v>
      </c>
      <c r="AX327" s="2661">
        <v>3221</v>
      </c>
      <c r="AY327" s="2661">
        <v>3105</v>
      </c>
      <c r="AZ327" s="552">
        <f>AY327</f>
        <v>3105</v>
      </c>
      <c r="BA327" s="2660">
        <v>2920</v>
      </c>
      <c r="BB327" s="2661">
        <v>2650.3333333333335</v>
      </c>
      <c r="BC327" s="2661">
        <v>2657</v>
      </c>
      <c r="BD327" s="2661">
        <v>2652</v>
      </c>
      <c r="BE327" s="1692">
        <f>BD327</f>
        <v>2652</v>
      </c>
      <c r="BF327" s="2661">
        <v>2627</v>
      </c>
      <c r="BG327" s="2971">
        <v>2493</v>
      </c>
      <c r="BH327" s="2971">
        <v>2617</v>
      </c>
      <c r="BI327" s="2971">
        <v>2611</v>
      </c>
      <c r="BJ327" s="1692">
        <f>BI327</f>
        <v>2611</v>
      </c>
      <c r="BK327" s="2971">
        <v>2467</v>
      </c>
      <c r="BL327" s="2971">
        <v>2475</v>
      </c>
      <c r="BM327" s="2971">
        <v>2499</v>
      </c>
      <c r="BN327" s="2971">
        <v>2326</v>
      </c>
      <c r="BO327" s="1692">
        <f>BN327</f>
        <v>2326</v>
      </c>
      <c r="BP327" s="2971">
        <v>2444.8333333333335</v>
      </c>
      <c r="BQ327" s="2971">
        <v>2451</v>
      </c>
      <c r="BR327" s="2971">
        <v>2446</v>
      </c>
      <c r="BS327" s="2971">
        <v>2236</v>
      </c>
      <c r="BT327" s="3234">
        <f>BS327</f>
        <v>2236</v>
      </c>
      <c r="BU327" s="3562">
        <f t="shared" ref="BU327:BX328" si="732">BT327</f>
        <v>2236</v>
      </c>
      <c r="BV327" s="3444">
        <f t="shared" si="732"/>
        <v>2236</v>
      </c>
      <c r="BW327" s="3444">
        <f t="shared" si="732"/>
        <v>2236</v>
      </c>
      <c r="BX327" s="3444">
        <f t="shared" si="732"/>
        <v>2236</v>
      </c>
      <c r="BY327" s="3234">
        <f>BX327</f>
        <v>2236</v>
      </c>
      <c r="BZ327" s="2558">
        <f>BY327</f>
        <v>2236</v>
      </c>
      <c r="CA327" s="2558">
        <f>BZ327</f>
        <v>2236</v>
      </c>
      <c r="CB327" s="2558">
        <f t="shared" ref="CB327:CF328" si="733">CA327</f>
        <v>2236</v>
      </c>
      <c r="CC327" s="2558">
        <f t="shared" si="733"/>
        <v>2236</v>
      </c>
      <c r="CD327" s="2558">
        <f t="shared" si="733"/>
        <v>2236</v>
      </c>
      <c r="CE327" s="2558">
        <f t="shared" si="733"/>
        <v>2236</v>
      </c>
      <c r="CF327" s="2558">
        <f t="shared" si="733"/>
        <v>2236</v>
      </c>
      <c r="CG327" s="331"/>
      <c r="CH327" s="331"/>
      <c r="CI327" s="331"/>
      <c r="CJ327" s="331"/>
      <c r="CK327" s="331"/>
      <c r="CL327" s="520" t="str">
        <f t="shared" si="715"/>
        <v>Slots</v>
      </c>
      <c r="CM327" s="551">
        <f t="shared" si="716"/>
        <v>3793</v>
      </c>
      <c r="CN327" s="551">
        <f t="shared" si="717"/>
        <v>4113</v>
      </c>
      <c r="CO327" s="551">
        <f t="shared" si="718"/>
        <v>4145</v>
      </c>
      <c r="CP327" s="551">
        <f t="shared" si="719"/>
        <v>5020</v>
      </c>
      <c r="CQ327" s="551">
        <f t="shared" si="720"/>
        <v>5006</v>
      </c>
      <c r="CR327" s="551">
        <f t="shared" si="721"/>
        <v>5034</v>
      </c>
      <c r="CS327" s="551">
        <f t="shared" si="722"/>
        <v>4536.333333333333</v>
      </c>
      <c r="CT327" s="551">
        <f t="shared" si="723"/>
        <v>4195</v>
      </c>
      <c r="CU327" s="551">
        <f t="shared" si="724"/>
        <v>3505</v>
      </c>
      <c r="CV327" s="551">
        <f t="shared" si="725"/>
        <v>3105</v>
      </c>
      <c r="CW327" s="551">
        <f t="shared" si="726"/>
        <v>2652</v>
      </c>
      <c r="CX327" s="551">
        <f t="shared" si="727"/>
        <v>2611</v>
      </c>
      <c r="CY327" s="551">
        <f t="shared" si="728"/>
        <v>2326</v>
      </c>
      <c r="CZ327" s="551">
        <f t="shared" si="729"/>
        <v>2236</v>
      </c>
      <c r="DA327" s="551">
        <f t="shared" si="730"/>
        <v>2236</v>
      </c>
      <c r="DB327" s="551">
        <f t="shared" si="730"/>
        <v>2236</v>
      </c>
      <c r="DC327" s="1895">
        <f t="shared" si="730"/>
        <v>2236</v>
      </c>
      <c r="DD327" s="331"/>
      <c r="DE327" s="331"/>
      <c r="DF327" s="331"/>
      <c r="DG327" s="442"/>
      <c r="DH327" s="3297"/>
      <c r="DI327" s="3213"/>
      <c r="DJ327" s="331"/>
      <c r="DK327" s="442"/>
      <c r="DL327" s="331"/>
      <c r="DM327" s="331"/>
      <c r="DN327" s="331"/>
      <c r="DO327" s="331"/>
      <c r="DP327" s="442"/>
      <c r="DQ327" s="442"/>
      <c r="DR327" s="296"/>
      <c r="DS327" s="296"/>
      <c r="DT327" s="296"/>
    </row>
    <row r="328" spans="1:124" ht="12" customHeight="1" x14ac:dyDescent="0.25">
      <c r="A328" s="281" t="s">
        <v>584</v>
      </c>
      <c r="B328" s="281"/>
      <c r="C328" s="554">
        <v>0</v>
      </c>
      <c r="D328" s="554">
        <v>0</v>
      </c>
      <c r="E328" s="554">
        <v>0</v>
      </c>
      <c r="F328" s="554">
        <v>0</v>
      </c>
      <c r="G328" s="550">
        <f>F328</f>
        <v>0</v>
      </c>
      <c r="H328" s="554">
        <v>0</v>
      </c>
      <c r="I328" s="554">
        <v>0</v>
      </c>
      <c r="J328" s="554">
        <v>0</v>
      </c>
      <c r="K328" s="554">
        <v>0</v>
      </c>
      <c r="L328" s="550">
        <f>K328</f>
        <v>0</v>
      </c>
      <c r="M328" s="554">
        <v>0</v>
      </c>
      <c r="N328" s="554">
        <v>0</v>
      </c>
      <c r="O328" s="554">
        <v>0</v>
      </c>
      <c r="P328" s="554">
        <v>0</v>
      </c>
      <c r="Q328" s="550">
        <f>P328</f>
        <v>0</v>
      </c>
      <c r="R328" s="554">
        <v>0</v>
      </c>
      <c r="S328" s="554">
        <v>0</v>
      </c>
      <c r="T328" s="554">
        <v>0</v>
      </c>
      <c r="U328" s="554">
        <v>0</v>
      </c>
      <c r="V328" s="550">
        <f>U328</f>
        <v>0</v>
      </c>
      <c r="W328" s="554">
        <v>0</v>
      </c>
      <c r="X328" s="554">
        <v>0</v>
      </c>
      <c r="Y328" s="554">
        <v>0</v>
      </c>
      <c r="Z328" s="554">
        <v>0</v>
      </c>
      <c r="AA328" s="550">
        <f>Z328</f>
        <v>0</v>
      </c>
      <c r="AB328" s="555">
        <v>0</v>
      </c>
      <c r="AC328" s="555">
        <v>0</v>
      </c>
      <c r="AD328" s="555">
        <v>0</v>
      </c>
      <c r="AE328" s="555">
        <v>0</v>
      </c>
      <c r="AF328" s="556">
        <f>AE328</f>
        <v>0</v>
      </c>
      <c r="AG328" s="555">
        <v>0</v>
      </c>
      <c r="AH328" s="555">
        <v>0</v>
      </c>
      <c r="AI328" s="555">
        <v>110</v>
      </c>
      <c r="AJ328" s="555">
        <v>112</v>
      </c>
      <c r="AK328" s="552">
        <f>AJ328</f>
        <v>112</v>
      </c>
      <c r="AL328" s="555">
        <v>117</v>
      </c>
      <c r="AM328" s="555">
        <v>134</v>
      </c>
      <c r="AN328" s="555">
        <v>137</v>
      </c>
      <c r="AO328" s="2661">
        <v>137</v>
      </c>
      <c r="AP328" s="552">
        <f>AO328</f>
        <v>137</v>
      </c>
      <c r="AQ328" s="2661">
        <v>137</v>
      </c>
      <c r="AR328" s="2661">
        <v>137</v>
      </c>
      <c r="AS328" s="2661">
        <v>137</v>
      </c>
      <c r="AT328" s="2661">
        <v>137</v>
      </c>
      <c r="AU328" s="552">
        <f>AT328</f>
        <v>137</v>
      </c>
      <c r="AV328" s="2661">
        <v>137</v>
      </c>
      <c r="AW328" s="2661">
        <v>148</v>
      </c>
      <c r="AX328" s="2661">
        <v>154</v>
      </c>
      <c r="AY328" s="2661">
        <v>124</v>
      </c>
      <c r="AZ328" s="552">
        <f>AY328</f>
        <v>124</v>
      </c>
      <c r="BA328" s="2661">
        <v>124</v>
      </c>
      <c r="BB328" s="2661">
        <v>125</v>
      </c>
      <c r="BC328" s="2661">
        <v>125</v>
      </c>
      <c r="BD328" s="2661">
        <v>125</v>
      </c>
      <c r="BE328" s="1692">
        <f>BD328</f>
        <v>125</v>
      </c>
      <c r="BF328" s="2971">
        <v>123</v>
      </c>
      <c r="BG328" s="2971">
        <v>123</v>
      </c>
      <c r="BH328" s="2971">
        <v>123</v>
      </c>
      <c r="BI328" s="2971">
        <v>123</v>
      </c>
      <c r="BJ328" s="1692">
        <f>BI328</f>
        <v>123</v>
      </c>
      <c r="BK328" s="2971">
        <v>123</v>
      </c>
      <c r="BL328" s="2971">
        <v>123</v>
      </c>
      <c r="BM328" s="2971">
        <v>123</v>
      </c>
      <c r="BN328" s="2971">
        <v>123</v>
      </c>
      <c r="BO328" s="1692">
        <f>BN328</f>
        <v>123</v>
      </c>
      <c r="BP328" s="3380">
        <v>116</v>
      </c>
      <c r="BQ328" s="3380">
        <v>104</v>
      </c>
      <c r="BR328" s="3380">
        <v>93</v>
      </c>
      <c r="BS328" s="3380">
        <v>93</v>
      </c>
      <c r="BT328" s="3234">
        <f>BS328</f>
        <v>93</v>
      </c>
      <c r="BU328" s="3562">
        <f t="shared" si="732"/>
        <v>93</v>
      </c>
      <c r="BV328" s="3444">
        <f t="shared" si="732"/>
        <v>93</v>
      </c>
      <c r="BW328" s="3444">
        <f t="shared" si="732"/>
        <v>93</v>
      </c>
      <c r="BX328" s="3444">
        <f t="shared" si="732"/>
        <v>93</v>
      </c>
      <c r="BY328" s="3234">
        <f>BX328</f>
        <v>93</v>
      </c>
      <c r="BZ328" s="2558">
        <f>BY328</f>
        <v>93</v>
      </c>
      <c r="CA328" s="2558">
        <f>BZ328</f>
        <v>93</v>
      </c>
      <c r="CB328" s="2558">
        <f t="shared" si="733"/>
        <v>93</v>
      </c>
      <c r="CC328" s="2558">
        <f t="shared" si="733"/>
        <v>93</v>
      </c>
      <c r="CD328" s="2558">
        <f t="shared" si="733"/>
        <v>93</v>
      </c>
      <c r="CE328" s="2558">
        <f t="shared" si="733"/>
        <v>93</v>
      </c>
      <c r="CF328" s="2558">
        <f t="shared" si="733"/>
        <v>93</v>
      </c>
      <c r="CG328" s="331"/>
      <c r="CH328" s="331"/>
      <c r="CI328" s="331"/>
      <c r="CJ328" s="331"/>
      <c r="CK328" s="331"/>
      <c r="CL328" s="520" t="str">
        <f t="shared" si="715"/>
        <v>Tables</v>
      </c>
      <c r="CM328" s="551">
        <f t="shared" si="716"/>
        <v>0</v>
      </c>
      <c r="CN328" s="551">
        <f t="shared" si="717"/>
        <v>0</v>
      </c>
      <c r="CO328" s="551">
        <f t="shared" si="718"/>
        <v>0</v>
      </c>
      <c r="CP328" s="551">
        <f t="shared" si="719"/>
        <v>0</v>
      </c>
      <c r="CQ328" s="551">
        <f t="shared" si="720"/>
        <v>0</v>
      </c>
      <c r="CR328" s="551">
        <f t="shared" si="721"/>
        <v>0</v>
      </c>
      <c r="CS328" s="551">
        <f t="shared" si="722"/>
        <v>112</v>
      </c>
      <c r="CT328" s="551">
        <f t="shared" si="723"/>
        <v>137</v>
      </c>
      <c r="CU328" s="551">
        <f t="shared" si="724"/>
        <v>137</v>
      </c>
      <c r="CV328" s="551">
        <f t="shared" si="725"/>
        <v>124</v>
      </c>
      <c r="CW328" s="551">
        <f t="shared" si="726"/>
        <v>125</v>
      </c>
      <c r="CX328" s="551">
        <f t="shared" si="727"/>
        <v>123</v>
      </c>
      <c r="CY328" s="551">
        <f t="shared" si="728"/>
        <v>123</v>
      </c>
      <c r="CZ328" s="551">
        <f t="shared" si="729"/>
        <v>93</v>
      </c>
      <c r="DA328" s="551">
        <f t="shared" si="730"/>
        <v>93</v>
      </c>
      <c r="DB328" s="551">
        <f t="shared" si="730"/>
        <v>93</v>
      </c>
      <c r="DC328" s="1895">
        <f t="shared" si="730"/>
        <v>93</v>
      </c>
      <c r="DD328" s="331"/>
      <c r="DE328" s="331"/>
      <c r="DF328" s="331"/>
      <c r="DG328" s="442"/>
      <c r="DH328" s="3297"/>
      <c r="DI328" s="3213"/>
      <c r="DJ328" s="331"/>
      <c r="DK328" s="442"/>
      <c r="DL328" s="331"/>
      <c r="DM328" s="331"/>
      <c r="DN328" s="331"/>
      <c r="DO328" s="331"/>
      <c r="DP328" s="442"/>
      <c r="DQ328" s="442"/>
      <c r="DR328" s="296"/>
      <c r="DS328" s="296"/>
      <c r="DT328" s="296"/>
    </row>
    <row r="329" spans="1:124" ht="12" customHeight="1" x14ac:dyDescent="0.25">
      <c r="A329" s="511" t="s">
        <v>2111</v>
      </c>
      <c r="B329" s="281"/>
      <c r="C329" s="549">
        <f>C326</f>
        <v>3500</v>
      </c>
      <c r="D329" s="549">
        <f>AVERAGE(C326:D326)</f>
        <v>3519</v>
      </c>
      <c r="E329" s="549">
        <f>AVERAGE(D326:E326)</f>
        <v>3651.5</v>
      </c>
      <c r="F329" s="549">
        <f>AVERAGE(E326:F326)</f>
        <v>3779</v>
      </c>
      <c r="G329" s="550">
        <f>AVERAGE(C329:F329)</f>
        <v>3612.375</v>
      </c>
      <c r="H329" s="549">
        <f>AVERAGE(G326:H326)</f>
        <v>3789.5</v>
      </c>
      <c r="I329" s="549">
        <f>AVERAGE(H326:I326)</f>
        <v>4086</v>
      </c>
      <c r="J329" s="549">
        <f>AVERAGE(I326:J326)</f>
        <v>4429.5</v>
      </c>
      <c r="K329" s="549">
        <f>AVERAGE(J326:K326)</f>
        <v>4293</v>
      </c>
      <c r="L329" s="550">
        <f>AVERAGE(H329:K329)</f>
        <v>4149.5</v>
      </c>
      <c r="M329" s="549">
        <f>AVERAGE(L326:M326)</f>
        <v>4113</v>
      </c>
      <c r="N329" s="549">
        <f>AVERAGE(M326:N326)</f>
        <v>4113</v>
      </c>
      <c r="O329" s="549">
        <f>AVERAGE(N326:O326)</f>
        <v>4133</v>
      </c>
      <c r="P329" s="549">
        <f>AVERAGE(O326:P326)</f>
        <v>4149</v>
      </c>
      <c r="Q329" s="550">
        <f>AVERAGE(M329:P329)</f>
        <v>4127</v>
      </c>
      <c r="R329" s="549">
        <f>AVERAGE(Q326:R326)</f>
        <v>4138</v>
      </c>
      <c r="S329" s="549">
        <f>AVERAGE(R326:S326)</f>
        <v>4570.5</v>
      </c>
      <c r="T329" s="549">
        <f>AVERAGE(S326:T326)</f>
        <v>5018.5</v>
      </c>
      <c r="U329" s="549">
        <f>AVERAGE(T326:U326)</f>
        <v>5023.5</v>
      </c>
      <c r="V329" s="550">
        <f>AVERAGE(R329:U329)</f>
        <v>4687.625</v>
      </c>
      <c r="W329" s="549">
        <f>AVERAGE(V326:W326)</f>
        <v>5010</v>
      </c>
      <c r="X329" s="549">
        <f>AVERAGE(W326:X326)</f>
        <v>5009.5</v>
      </c>
      <c r="Y329" s="549">
        <f>AVERAGE(X326:Y326)</f>
        <v>5021</v>
      </c>
      <c r="Z329" s="549">
        <f>AVERAGE(Y326:Z326)</f>
        <v>5014.5</v>
      </c>
      <c r="AA329" s="550">
        <f>AVERAGE(W329:Z329)</f>
        <v>5013.75</v>
      </c>
      <c r="AB329" s="549">
        <f>AVERAGE(AA326:AB326)</f>
        <v>5004.5</v>
      </c>
      <c r="AC329" s="549">
        <f>AVERAGE(AB326:AC326)</f>
        <v>5003</v>
      </c>
      <c r="AD329" s="549">
        <f>AVERAGE(AC326:AD326)</f>
        <v>5003</v>
      </c>
      <c r="AE329" s="551">
        <f>AVERAGE(AD326:AE326)</f>
        <v>5018.5</v>
      </c>
      <c r="AF329" s="552">
        <f>AVERAGE(AB329:AE329)</f>
        <v>5007.25</v>
      </c>
      <c r="AG329" s="549">
        <f>AVERAGE(AF326:AG326)</f>
        <v>5008.1666666666661</v>
      </c>
      <c r="AH329" s="549">
        <f>AVERAGE(AG326:AH326)</f>
        <v>4729.6666666666661</v>
      </c>
      <c r="AI329" s="549">
        <f>AI326</f>
        <v>5264.666666666667</v>
      </c>
      <c r="AJ329" s="551">
        <f>AVERAGE(AI326:AJ326)</f>
        <v>5236.5</v>
      </c>
      <c r="AK329" s="552">
        <f>AVERAGE(AG329:AJ329)</f>
        <v>5059.75</v>
      </c>
      <c r="AL329" s="549">
        <f>AVERAGE(AK326:AL326)</f>
        <v>5174.6666666666661</v>
      </c>
      <c r="AM329" s="549">
        <f>AVERAGE(AL326:AM326)</f>
        <v>5000</v>
      </c>
      <c r="AN329" s="549">
        <f>AVERAGE(AM326:AN326)</f>
        <v>4912.5</v>
      </c>
      <c r="AO329" s="551">
        <f>AVERAGE(AN326:AO326)</f>
        <v>4991.5</v>
      </c>
      <c r="AP329" s="553">
        <f>AVERAGE(AL329:AO329)</f>
        <v>5019.6666666666661</v>
      </c>
      <c r="AQ329" s="553">
        <f>AVERAGE(AP326:AQ326)</f>
        <v>4948</v>
      </c>
      <c r="AR329" s="551">
        <f>AVERAGE(AQ326:AR326)</f>
        <v>4593.5</v>
      </c>
      <c r="AS329" s="551">
        <f>AVERAGE(AR326:AS326)</f>
        <v>4321.5</v>
      </c>
      <c r="AT329" s="551">
        <f>AVERAGE(AS326:AT326)</f>
        <v>4331</v>
      </c>
      <c r="AU329" s="552">
        <f>AVERAGE(AQ329:AT329)</f>
        <v>4548.5</v>
      </c>
      <c r="AV329" s="553">
        <f>AVERAGE(AU326:AV326)</f>
        <v>4328</v>
      </c>
      <c r="AW329" s="551">
        <f>AVERAGE(AV326:AW326)</f>
        <v>4239</v>
      </c>
      <c r="AX329" s="551">
        <f>AVERAGE(AW326:AX326)</f>
        <v>4147</v>
      </c>
      <c r="AY329" s="1895">
        <f>AVERAGE(AX326:AY326)</f>
        <v>3997</v>
      </c>
      <c r="AZ329" s="552">
        <f>AVERAGE(AV329:AY329)</f>
        <v>4177.75</v>
      </c>
      <c r="BA329" s="553">
        <f>AVERAGE(AZ326:BA326)</f>
        <v>3756.5</v>
      </c>
      <c r="BB329" s="551">
        <f>AVERAGE(BA326:BB326)</f>
        <v>3532.166666666667</v>
      </c>
      <c r="BC329" s="551">
        <f>AVERAGE(BB326:BC326)</f>
        <v>3403.666666666667</v>
      </c>
      <c r="BD329" s="1895">
        <f>AVERAGE(BC326:BD326)</f>
        <v>3404.5</v>
      </c>
      <c r="BE329" s="1895">
        <f>AVERAGE(BA329:BD329)</f>
        <v>3524.2083333333335</v>
      </c>
      <c r="BF329" s="551">
        <f>AVERAGE(BE326:BF326)</f>
        <v>3383.5</v>
      </c>
      <c r="BG329" s="551">
        <f>AVERAGE(BF326:BG326)</f>
        <v>3298</v>
      </c>
      <c r="BH329" s="551">
        <f>AVERAGE(BG326:BH326)</f>
        <v>3293</v>
      </c>
      <c r="BI329" s="1895">
        <f>AVERAGE(BH326:BI326)</f>
        <v>3352</v>
      </c>
      <c r="BJ329" s="1895">
        <f>AVERAGE(BF329:BI329)</f>
        <v>3331.625</v>
      </c>
      <c r="BK329" s="551">
        <f>AVERAGE(BJ326:BK326)</f>
        <v>3277</v>
      </c>
      <c r="BL329" s="551">
        <f>AVERAGE(BK326:BL326)</f>
        <v>3209</v>
      </c>
      <c r="BM329" s="551">
        <f>AVERAGE(BL326:BM326)</f>
        <v>3225</v>
      </c>
      <c r="BN329" s="1895">
        <f>AVERAGE(BM326:BN326)</f>
        <v>3150.5</v>
      </c>
      <c r="BO329" s="552">
        <f>AVERAGE(BK329:BN329)</f>
        <v>3215.375</v>
      </c>
      <c r="BP329" s="551">
        <f>AVERAGE(BO326:BP326)</f>
        <v>3102.416666666667</v>
      </c>
      <c r="BQ329" s="551">
        <f>AVERAGE(BP326:BQ326)</f>
        <v>3107.916666666667</v>
      </c>
      <c r="BR329" s="551">
        <f>AVERAGE(BQ326:BR326)</f>
        <v>3039.5</v>
      </c>
      <c r="BS329" s="551">
        <f>AVERAGE(BR326:BS326)</f>
        <v>2899</v>
      </c>
      <c r="BT329" s="3234">
        <f>AVERAGE(BP329:BS329)</f>
        <v>3037.2083333333335</v>
      </c>
      <c r="BU329" s="3297">
        <f>AVERAGE(BT326:BU326)</f>
        <v>2794</v>
      </c>
      <c r="BV329" s="3297">
        <f>AVERAGE(BU326:BV326)</f>
        <v>2794</v>
      </c>
      <c r="BW329" s="3297">
        <f>AVERAGE(BV326:BW326)</f>
        <v>2794</v>
      </c>
      <c r="BX329" s="3297">
        <f>AVERAGE(BW326:BX326)</f>
        <v>2794</v>
      </c>
      <c r="BY329" s="3234">
        <f>AVERAGE(BU329:BX329)</f>
        <v>2794</v>
      </c>
      <c r="BZ329" s="552">
        <f t="shared" ref="BZ329:CF329" si="734">AVERAGE(BY326:BZ326)</f>
        <v>2794</v>
      </c>
      <c r="CA329" s="552">
        <f t="shared" si="734"/>
        <v>2794</v>
      </c>
      <c r="CB329" s="552">
        <f t="shared" si="734"/>
        <v>2794</v>
      </c>
      <c r="CC329" s="552">
        <f t="shared" si="734"/>
        <v>2794</v>
      </c>
      <c r="CD329" s="552">
        <f t="shared" si="734"/>
        <v>2794</v>
      </c>
      <c r="CE329" s="552">
        <f t="shared" si="734"/>
        <v>2794</v>
      </c>
      <c r="CF329" s="552">
        <f t="shared" si="734"/>
        <v>2794</v>
      </c>
      <c r="CG329" s="331"/>
      <c r="CH329" s="331"/>
      <c r="CI329" s="331"/>
      <c r="CJ329" s="331"/>
      <c r="CK329" s="331"/>
      <c r="CL329" s="1118" t="str">
        <f t="shared" si="715"/>
        <v>Average Positions</v>
      </c>
      <c r="CM329" s="551">
        <f t="shared" si="716"/>
        <v>3612.375</v>
      </c>
      <c r="CN329" s="551">
        <f t="shared" si="717"/>
        <v>4149.5</v>
      </c>
      <c r="CO329" s="551">
        <f t="shared" si="718"/>
        <v>4127</v>
      </c>
      <c r="CP329" s="551">
        <f t="shared" si="719"/>
        <v>4687.625</v>
      </c>
      <c r="CQ329" s="551">
        <f t="shared" si="720"/>
        <v>5013.75</v>
      </c>
      <c r="CR329" s="551">
        <f t="shared" si="721"/>
        <v>5007.25</v>
      </c>
      <c r="CS329" s="551">
        <f t="shared" si="722"/>
        <v>5059.75</v>
      </c>
      <c r="CT329" s="551">
        <f t="shared" si="723"/>
        <v>5019.6666666666661</v>
      </c>
      <c r="CU329" s="551">
        <f t="shared" si="724"/>
        <v>4548.5</v>
      </c>
      <c r="CV329" s="551">
        <f t="shared" si="725"/>
        <v>4177.75</v>
      </c>
      <c r="CW329" s="551">
        <f t="shared" si="726"/>
        <v>3524.2083333333335</v>
      </c>
      <c r="CX329" s="551">
        <f t="shared" si="727"/>
        <v>3331.625</v>
      </c>
      <c r="CY329" s="551">
        <f t="shared" si="728"/>
        <v>3215.375</v>
      </c>
      <c r="CZ329" s="551">
        <f t="shared" si="729"/>
        <v>3037.2083333333335</v>
      </c>
      <c r="DA329" s="551">
        <f t="shared" si="730"/>
        <v>2794</v>
      </c>
      <c r="DB329" s="551">
        <f t="shared" si="730"/>
        <v>2794</v>
      </c>
      <c r="DC329" s="1895">
        <f t="shared" si="730"/>
        <v>2794</v>
      </c>
      <c r="DD329" s="331"/>
      <c r="DE329" s="331"/>
      <c r="DF329" s="502"/>
      <c r="DG329" s="503"/>
      <c r="DH329" s="3297"/>
      <c r="DI329" s="3213"/>
      <c r="DJ329" s="502"/>
      <c r="DK329" s="503"/>
      <c r="DL329" s="502"/>
      <c r="DM329" s="502"/>
      <c r="DN329" s="502"/>
      <c r="DO329" s="502"/>
      <c r="DP329" s="503"/>
      <c r="DQ329" s="503"/>
      <c r="DR329" s="296"/>
      <c r="DS329" s="296"/>
      <c r="DT329" s="296"/>
    </row>
    <row r="330" spans="1:124" ht="12" customHeight="1" x14ac:dyDescent="0.25">
      <c r="A330" s="557" t="s">
        <v>901</v>
      </c>
      <c r="B330" s="558"/>
      <c r="C330" s="318">
        <f t="shared" ref="C330:AH330" si="735">C336*1000000/C329/C$5</f>
        <v>273.32337821036111</v>
      </c>
      <c r="D330" s="318">
        <f t="shared" si="735"/>
        <v>296.83355024060904</v>
      </c>
      <c r="E330" s="318">
        <f t="shared" si="735"/>
        <v>293.57550649226937</v>
      </c>
      <c r="F330" s="318">
        <f t="shared" si="735"/>
        <v>236.49828654717928</v>
      </c>
      <c r="G330" s="559">
        <f t="shared" si="735"/>
        <v>274.52252622599843</v>
      </c>
      <c r="H330" s="318">
        <f t="shared" si="735"/>
        <v>282.84320931521307</v>
      </c>
      <c r="I330" s="318">
        <f t="shared" si="735"/>
        <v>267.48829092102221</v>
      </c>
      <c r="J330" s="318">
        <f t="shared" si="735"/>
        <v>271.2219347065377</v>
      </c>
      <c r="K330" s="318">
        <f t="shared" si="735"/>
        <v>245.05832042050253</v>
      </c>
      <c r="L330" s="559">
        <f t="shared" si="735"/>
        <v>266.23982193794598</v>
      </c>
      <c r="M330" s="318">
        <f t="shared" si="735"/>
        <v>284.5833731258611</v>
      </c>
      <c r="N330" s="318">
        <f t="shared" si="735"/>
        <v>296.29985866309715</v>
      </c>
      <c r="O330" s="318">
        <f t="shared" si="735"/>
        <v>313.03384082517175</v>
      </c>
      <c r="P330" s="318">
        <f t="shared" si="735"/>
        <v>304.27909815880207</v>
      </c>
      <c r="Q330" s="559">
        <f t="shared" si="735"/>
        <v>299.6748633157523</v>
      </c>
      <c r="R330" s="318">
        <f t="shared" si="735"/>
        <v>305.34615219375974</v>
      </c>
      <c r="S330" s="318">
        <f t="shared" si="735"/>
        <v>287.25521409997941</v>
      </c>
      <c r="T330" s="318">
        <f t="shared" si="735"/>
        <v>264.21341471338656</v>
      </c>
      <c r="U330" s="318">
        <f t="shared" si="735"/>
        <v>234.09332716666449</v>
      </c>
      <c r="V330" s="559">
        <f t="shared" si="735"/>
        <v>270.81962732391059</v>
      </c>
      <c r="W330" s="318">
        <f t="shared" si="735"/>
        <v>251.74241407295298</v>
      </c>
      <c r="X330" s="318">
        <f t="shared" si="735"/>
        <v>254.99263463156262</v>
      </c>
      <c r="Y330" s="318">
        <f t="shared" si="735"/>
        <v>244.95341738610881</v>
      </c>
      <c r="Z330" s="318">
        <f t="shared" si="735"/>
        <v>213.90683539474657</v>
      </c>
      <c r="AA330" s="559">
        <f t="shared" si="735"/>
        <v>241.32994477754482</v>
      </c>
      <c r="AB330" s="318">
        <f t="shared" si="735"/>
        <v>250.2192471220346</v>
      </c>
      <c r="AC330" s="318">
        <f t="shared" si="735"/>
        <v>257.20831237521224</v>
      </c>
      <c r="AD330" s="318">
        <f t="shared" si="735"/>
        <v>230.2966046459081</v>
      </c>
      <c r="AE330" s="560">
        <f t="shared" si="735"/>
        <v>192.76503025761204</v>
      </c>
      <c r="AF330" s="561">
        <f t="shared" si="735"/>
        <v>232.43009964318858</v>
      </c>
      <c r="AG330" s="318">
        <f t="shared" si="735"/>
        <v>217.53358403496514</v>
      </c>
      <c r="AH330" s="318">
        <f t="shared" si="735"/>
        <v>246.9797451825784</v>
      </c>
      <c r="AI330" s="318">
        <f t="shared" ref="AI330:CA330" si="736">AI336*1000000/AI329/AI$5</f>
        <v>267.56095848863907</v>
      </c>
      <c r="AJ330" s="560">
        <f t="shared" si="736"/>
        <v>253.13494717264689</v>
      </c>
      <c r="AK330" s="561">
        <f t="shared" si="736"/>
        <v>246.8543414416896</v>
      </c>
      <c r="AL330" s="318">
        <f t="shared" si="736"/>
        <v>283.9259640986001</v>
      </c>
      <c r="AM330" s="318">
        <f t="shared" si="736"/>
        <v>302.08188604395599</v>
      </c>
      <c r="AN330" s="318">
        <f t="shared" si="736"/>
        <v>315.2200865582476</v>
      </c>
      <c r="AO330" s="560">
        <f t="shared" si="736"/>
        <v>293.58169758154071</v>
      </c>
      <c r="AP330" s="562">
        <f t="shared" si="736"/>
        <v>298.52933326359243</v>
      </c>
      <c r="AQ330" s="562">
        <f t="shared" si="736"/>
        <v>334.61497465953607</v>
      </c>
      <c r="AR330" s="560">
        <f t="shared" si="736"/>
        <v>338.93342001418631</v>
      </c>
      <c r="AS330" s="560">
        <f t="shared" si="736"/>
        <v>335.96366338177666</v>
      </c>
      <c r="AT330" s="560">
        <f t="shared" si="736"/>
        <v>304.63002370423533</v>
      </c>
      <c r="AU330" s="561">
        <f t="shared" si="736"/>
        <v>328.7552729957813</v>
      </c>
      <c r="AV330" s="562">
        <f t="shared" si="736"/>
        <v>318.53713297134942</v>
      </c>
      <c r="AW330" s="560">
        <f t="shared" si="736"/>
        <v>313.48785751874925</v>
      </c>
      <c r="AX330" s="560">
        <f t="shared" si="736"/>
        <v>295.28298331166582</v>
      </c>
      <c r="AY330" s="1878">
        <f t="shared" si="736"/>
        <v>266.11680722498397</v>
      </c>
      <c r="AZ330" s="561">
        <f t="shared" si="736"/>
        <v>298.72492703436262</v>
      </c>
      <c r="BA330" s="562">
        <f t="shared" si="736"/>
        <v>280.43878351597971</v>
      </c>
      <c r="BB330" s="560">
        <f t="shared" si="736"/>
        <v>323.35945109389735</v>
      </c>
      <c r="BC330" s="560">
        <f t="shared" si="736"/>
        <v>325.89095999412388</v>
      </c>
      <c r="BD330" s="1878">
        <f t="shared" si="736"/>
        <v>292.89149405837543</v>
      </c>
      <c r="BE330" s="1878">
        <f t="shared" si="736"/>
        <v>305.15743023604017</v>
      </c>
      <c r="BF330" s="560">
        <f>BF336*1000000/BF329/BF$5</f>
        <v>293.05745070029383</v>
      </c>
      <c r="BG330" s="560">
        <f>BG336*1000000/BG329/BG$5</f>
        <v>333.46146545692017</v>
      </c>
      <c r="BH330" s="560">
        <f>BH336*1000000/BH329/BH$5</f>
        <v>329.62273638038903</v>
      </c>
      <c r="BI330" s="1878">
        <f>BI336*1000000/BI329/BI$5</f>
        <v>309.67539182596101</v>
      </c>
      <c r="BJ330" s="1878">
        <f t="shared" si="736"/>
        <v>316.33606698423154</v>
      </c>
      <c r="BK330" s="560">
        <f t="shared" ref="BK330:BU330" si="737">BK336*1000000/BK329/BK$5</f>
        <v>307.54052223551338</v>
      </c>
      <c r="BL330" s="560">
        <f t="shared" si="737"/>
        <v>325.15708889783576</v>
      </c>
      <c r="BM330" s="560">
        <f t="shared" si="737"/>
        <v>330.44286749482404</v>
      </c>
      <c r="BN330" s="1878">
        <f t="shared" si="737"/>
        <v>311.72849305690403</v>
      </c>
      <c r="BO330" s="561">
        <f t="shared" si="737"/>
        <v>318.70305522023602</v>
      </c>
      <c r="BP330" s="560">
        <f t="shared" si="737"/>
        <v>296.03235741210449</v>
      </c>
      <c r="BQ330" s="560">
        <f t="shared" si="737"/>
        <v>306.41060438360773</v>
      </c>
      <c r="BR330" s="560">
        <f t="shared" si="737"/>
        <v>309.26363242667196</v>
      </c>
      <c r="BS330" s="560">
        <f t="shared" si="737"/>
        <v>306.02620764120843</v>
      </c>
      <c r="BT330" s="2589">
        <f t="shared" si="737"/>
        <v>304.36823403443964</v>
      </c>
      <c r="BU330" s="2588">
        <f t="shared" si="737"/>
        <v>327.30721723989052</v>
      </c>
      <c r="BV330" s="2588">
        <f>BV336*1000000/BV329/BV$5</f>
        <v>333.70068436420149</v>
      </c>
      <c r="BW330" s="2588">
        <f>BW336*1000000/BW329/BW$5</f>
        <v>329.39511742728979</v>
      </c>
      <c r="BX330" s="2588">
        <f>BX336*1000000/BX329/BX$5</f>
        <v>310.86707754526668</v>
      </c>
      <c r="BY330" s="2589">
        <f>BY336*1000000/BY329/BY$5</f>
        <v>325.28365415399361</v>
      </c>
      <c r="BZ330" s="561">
        <f t="shared" si="736"/>
        <v>330.16290896630352</v>
      </c>
      <c r="CA330" s="561">
        <f t="shared" si="736"/>
        <v>329.26082451557591</v>
      </c>
      <c r="CB330" s="561">
        <f>CB336*1000000/CB329/CB$5</f>
        <v>313.65476351798839</v>
      </c>
      <c r="CC330" s="561">
        <f>CC336*1000000/CC329/CC$5</f>
        <v>297.97202534208895</v>
      </c>
      <c r="CD330" s="561">
        <f>CD336*1000000/CD329/CD$5</f>
        <v>303.93146584893071</v>
      </c>
      <c r="CE330" s="561">
        <f>CE336*1000000/CE329/CE$5</f>
        <v>309.1630730479697</v>
      </c>
      <c r="CF330" s="561">
        <f>CF336*1000000/CF329/CF$5</f>
        <v>316.21029706922752</v>
      </c>
      <c r="CG330" s="560"/>
      <c r="CH330" s="560"/>
      <c r="CI330" s="560"/>
      <c r="CJ330" s="560"/>
      <c r="CK330" s="560"/>
      <c r="CL330" s="1307" t="str">
        <f t="shared" si="715"/>
        <v>Daily Win / Position</v>
      </c>
      <c r="CM330" s="560">
        <f t="shared" si="716"/>
        <v>274.52252622599843</v>
      </c>
      <c r="CN330" s="560">
        <f t="shared" si="717"/>
        <v>266.23982193794598</v>
      </c>
      <c r="CO330" s="560">
        <f t="shared" si="718"/>
        <v>299.6748633157523</v>
      </c>
      <c r="CP330" s="560">
        <f t="shared" si="719"/>
        <v>270.81962732391059</v>
      </c>
      <c r="CQ330" s="560">
        <f t="shared" si="720"/>
        <v>241.32994477754482</v>
      </c>
      <c r="CR330" s="560">
        <f t="shared" si="721"/>
        <v>232.43009964318858</v>
      </c>
      <c r="CS330" s="560">
        <f t="shared" si="722"/>
        <v>246.8543414416896</v>
      </c>
      <c r="CT330" s="560">
        <f t="shared" si="723"/>
        <v>298.52933326359243</v>
      </c>
      <c r="CU330" s="560">
        <f t="shared" si="724"/>
        <v>328.7552729957813</v>
      </c>
      <c r="CV330" s="560">
        <f t="shared" si="725"/>
        <v>298.72492703436262</v>
      </c>
      <c r="CW330" s="560">
        <f t="shared" si="726"/>
        <v>305.15743023604017</v>
      </c>
      <c r="CX330" s="560">
        <f t="shared" si="727"/>
        <v>316.33606698423154</v>
      </c>
      <c r="CY330" s="560">
        <f t="shared" si="728"/>
        <v>318.70305522023602</v>
      </c>
      <c r="CZ330" s="560">
        <f t="shared" si="729"/>
        <v>304.36823403443964</v>
      </c>
      <c r="DA330" s="560">
        <f t="shared" si="730"/>
        <v>325.28365415399361</v>
      </c>
      <c r="DB330" s="560">
        <f t="shared" si="730"/>
        <v>330.16290896630352</v>
      </c>
      <c r="DC330" s="1878">
        <f t="shared" si="730"/>
        <v>329.26082451557591</v>
      </c>
      <c r="DD330" s="560"/>
      <c r="DE330" s="560"/>
      <c r="DF330" s="707"/>
      <c r="DG330" s="707"/>
      <c r="DH330" s="2588"/>
      <c r="DI330" s="3213"/>
      <c r="DJ330" s="707"/>
      <c r="DK330" s="707"/>
      <c r="DL330" s="707"/>
      <c r="DM330" s="707"/>
      <c r="DN330" s="707"/>
      <c r="DO330" s="707"/>
      <c r="DP330" s="707"/>
      <c r="DQ330" s="707"/>
      <c r="DR330" s="968"/>
      <c r="DS330" s="968"/>
      <c r="DT330" s="968"/>
    </row>
    <row r="331" spans="1:124" ht="12" customHeight="1" x14ac:dyDescent="0.25">
      <c r="A331" s="465" t="s">
        <v>803</v>
      </c>
      <c r="B331" s="466"/>
      <c r="C331" s="467" t="s">
        <v>553</v>
      </c>
      <c r="D331" s="467" t="s">
        <v>553</v>
      </c>
      <c r="E331" s="467" t="s">
        <v>553</v>
      </c>
      <c r="F331" s="467" t="s">
        <v>553</v>
      </c>
      <c r="G331" s="468" t="s">
        <v>553</v>
      </c>
      <c r="H331" s="467">
        <f>(H330-C330)/C330</f>
        <v>3.4829918930407405E-2</v>
      </c>
      <c r="I331" s="467">
        <f>(I330-D330)/D330</f>
        <v>-9.8860992282711918E-2</v>
      </c>
      <c r="J331" s="467">
        <f>(J330-E330)/E330</f>
        <v>-7.6142495853346343E-2</v>
      </c>
      <c r="K331" s="467">
        <f>(K330-F330)/F330</f>
        <v>3.6194908632522373E-2</v>
      </c>
      <c r="L331" s="468">
        <f>(L330-G330)/G330</f>
        <v>-3.0171310172316383E-2</v>
      </c>
      <c r="M331" s="467">
        <f t="shared" ref="M331:AF331" si="738">(M330-H330)/H330</f>
        <v>6.1523973471419345E-3</v>
      </c>
      <c r="N331" s="467">
        <f t="shared" si="738"/>
        <v>0.10771151007346993</v>
      </c>
      <c r="O331" s="467">
        <f t="shared" si="738"/>
        <v>0.15416122653897651</v>
      </c>
      <c r="P331" s="467">
        <f t="shared" si="738"/>
        <v>0.24165993481339842</v>
      </c>
      <c r="Q331" s="468">
        <f t="shared" si="738"/>
        <v>0.12558242089569616</v>
      </c>
      <c r="R331" s="467">
        <f t="shared" si="738"/>
        <v>7.2958510681212549E-2</v>
      </c>
      <c r="S331" s="467">
        <f t="shared" si="738"/>
        <v>-3.0525308395107288E-2</v>
      </c>
      <c r="T331" s="467">
        <f t="shared" si="738"/>
        <v>-0.15595894035958632</v>
      </c>
      <c r="U331" s="467">
        <f t="shared" si="738"/>
        <v>-0.23066247868102954</v>
      </c>
      <c r="V331" s="468">
        <f t="shared" si="738"/>
        <v>-9.6288476359254735E-2</v>
      </c>
      <c r="W331" s="467">
        <f t="shared" si="738"/>
        <v>-0.17555072410669217</v>
      </c>
      <c r="X331" s="467">
        <f t="shared" si="738"/>
        <v>-0.11231329453671038</v>
      </c>
      <c r="Y331" s="467">
        <f t="shared" si="738"/>
        <v>-7.2895607318691991E-2</v>
      </c>
      <c r="Z331" s="467">
        <f t="shared" si="738"/>
        <v>-8.6232666331176558E-2</v>
      </c>
      <c r="AA331" s="468">
        <f t="shared" si="738"/>
        <v>-0.10889049230946243</v>
      </c>
      <c r="AB331" s="467">
        <f t="shared" si="738"/>
        <v>-6.0504979128267926E-3</v>
      </c>
      <c r="AC331" s="467">
        <f t="shared" si="738"/>
        <v>8.6891833046512934E-3</v>
      </c>
      <c r="AD331" s="467">
        <f t="shared" si="738"/>
        <v>-5.9835102104731391E-2</v>
      </c>
      <c r="AE331" s="469">
        <f t="shared" si="738"/>
        <v>-9.8836510287851023E-2</v>
      </c>
      <c r="AF331" s="470">
        <f t="shared" si="738"/>
        <v>-3.6878329137977534E-2</v>
      </c>
      <c r="AG331" s="467">
        <f t="shared" ref="AG331:AU331" si="739">(AG330-AB330)/AB330</f>
        <v>-0.13062809301447667</v>
      </c>
      <c r="AH331" s="467">
        <f t="shared" si="739"/>
        <v>-3.9767638526831676E-2</v>
      </c>
      <c r="AI331" s="467">
        <f t="shared" si="739"/>
        <v>0.16181026159732867</v>
      </c>
      <c r="AJ331" s="469">
        <f t="shared" si="739"/>
        <v>0.31317877954500473</v>
      </c>
      <c r="AK331" s="470">
        <f t="shared" si="739"/>
        <v>6.2058407326091428E-2</v>
      </c>
      <c r="AL331" s="467">
        <f t="shared" si="739"/>
        <v>0.30520519559390619</v>
      </c>
      <c r="AM331" s="467">
        <f t="shared" si="739"/>
        <v>0.22310388578886758</v>
      </c>
      <c r="AN331" s="467">
        <f t="shared" si="739"/>
        <v>0.17812437337202985</v>
      </c>
      <c r="AO331" s="469">
        <f t="shared" si="739"/>
        <v>0.15978335216317532</v>
      </c>
      <c r="AP331" s="471">
        <f t="shared" si="739"/>
        <v>0.20933393968324912</v>
      </c>
      <c r="AQ331" s="471">
        <f t="shared" si="739"/>
        <v>0.17852897223352562</v>
      </c>
      <c r="AR331" s="469">
        <f t="shared" si="739"/>
        <v>0.12199186933329742</v>
      </c>
      <c r="AS331" s="469">
        <f t="shared" si="739"/>
        <v>6.5806646556122853E-2</v>
      </c>
      <c r="AT331" s="469">
        <f t="shared" si="739"/>
        <v>3.7632884521440597E-2</v>
      </c>
      <c r="AU331" s="470">
        <f t="shared" si="739"/>
        <v>0.10124947991459274</v>
      </c>
      <c r="AV331" s="471">
        <f t="shared" ref="AV331:BA331" si="740">(AV330-AQ330)/AQ330</f>
        <v>-4.804878115375897E-2</v>
      </c>
      <c r="AW331" s="469">
        <f t="shared" si="740"/>
        <v>-7.507540122296591E-2</v>
      </c>
      <c r="AX331" s="469">
        <f t="shared" si="740"/>
        <v>-0.12108654745761246</v>
      </c>
      <c r="AY331" s="1463">
        <f t="shared" si="740"/>
        <v>-0.12642620057911219</v>
      </c>
      <c r="AZ331" s="470">
        <f t="shared" si="740"/>
        <v>-9.13455948181979E-2</v>
      </c>
      <c r="BA331" s="471">
        <f t="shared" si="740"/>
        <v>-0.11960410737669458</v>
      </c>
      <c r="BB331" s="469">
        <f t="shared" ref="BB331:BJ331" si="741">(BB330-AW330)/AW330</f>
        <v>3.1489556416256698E-2</v>
      </c>
      <c r="BC331" s="469">
        <f t="shared" si="741"/>
        <v>0.1036564191379491</v>
      </c>
      <c r="BD331" s="1463">
        <f t="shared" si="741"/>
        <v>0.10061253594837867</v>
      </c>
      <c r="BE331" s="1463">
        <f t="shared" si="741"/>
        <v>2.1533198670553564E-2</v>
      </c>
      <c r="BF331" s="469">
        <f t="shared" si="741"/>
        <v>4.4996155760300159E-2</v>
      </c>
      <c r="BG331" s="469">
        <f t="shared" si="741"/>
        <v>3.1240819864236432E-2</v>
      </c>
      <c r="BH331" s="469">
        <f t="shared" si="741"/>
        <v>1.1450996941837358E-2</v>
      </c>
      <c r="BI331" s="1463">
        <f t="shared" si="741"/>
        <v>5.7304148833494058E-2</v>
      </c>
      <c r="BJ331" s="1463">
        <f t="shared" si="741"/>
        <v>3.6632359695599276E-2</v>
      </c>
      <c r="BK331" s="469">
        <f t="shared" ref="BK331:BT331" si="742">(BK330-BF330)/BF330</f>
        <v>4.9420588013069172E-2</v>
      </c>
      <c r="BL331" s="469">
        <f t="shared" si="742"/>
        <v>-2.4903556840384738E-2</v>
      </c>
      <c r="BM331" s="469">
        <f t="shared" si="742"/>
        <v>2.4880902435339657E-3</v>
      </c>
      <c r="BN331" s="1463">
        <f t="shared" si="742"/>
        <v>6.629849465393964E-3</v>
      </c>
      <c r="BO331" s="470">
        <f t="shared" si="742"/>
        <v>7.4825114270718794E-3</v>
      </c>
      <c r="BP331" s="469">
        <f t="shared" si="742"/>
        <v>-3.7419995061970988E-2</v>
      </c>
      <c r="BQ331" s="469">
        <f t="shared" si="742"/>
        <v>-5.7653623907668115E-2</v>
      </c>
      <c r="BR331" s="469">
        <f t="shared" si="742"/>
        <v>-6.4093485293592628E-2</v>
      </c>
      <c r="BS331" s="469">
        <f t="shared" si="742"/>
        <v>-1.8292474196943822E-2</v>
      </c>
      <c r="BT331" s="470">
        <f t="shared" si="742"/>
        <v>-4.4978612382270626E-2</v>
      </c>
      <c r="BU331" s="469">
        <f>(BU330-BP330)/BP330</f>
        <v>0.10564676139185868</v>
      </c>
      <c r="BV331" s="469">
        <f>(BV330-BQ330)/BQ330</f>
        <v>8.906375820605808E-2</v>
      </c>
      <c r="BW331" s="469">
        <f>(BW330-BR330)/BR330</f>
        <v>6.5094899269771425E-2</v>
      </c>
      <c r="BX331" s="469">
        <f>(BX330-BS330)/BS330</f>
        <v>1.5818481499904054E-2</v>
      </c>
      <c r="BY331" s="470">
        <f>(BY330-BT330)/BT330</f>
        <v>6.8717486849128165E-2</v>
      </c>
      <c r="BZ331" s="470">
        <f t="shared" ref="BZ331:CF331" si="743">(BZ330-BY330)/BY330</f>
        <v>1.5000000000000017E-2</v>
      </c>
      <c r="CA331" s="470">
        <f t="shared" si="743"/>
        <v>-2.732240437158496E-3</v>
      </c>
      <c r="CB331" s="470">
        <f t="shared" si="743"/>
        <v>-4.7397260273972446E-2</v>
      </c>
      <c r="CC331" s="470">
        <f t="shared" si="743"/>
        <v>-5.0000000000000037E-2</v>
      </c>
      <c r="CD331" s="470">
        <f t="shared" si="743"/>
        <v>1.9999999999999931E-2</v>
      </c>
      <c r="CE331" s="470">
        <f t="shared" si="743"/>
        <v>1.7213114754098421E-2</v>
      </c>
      <c r="CF331" s="470">
        <f t="shared" si="743"/>
        <v>2.2794520547945167E-2</v>
      </c>
      <c r="CG331" s="492"/>
      <c r="CH331" s="492"/>
      <c r="CI331" s="492"/>
      <c r="CJ331" s="492"/>
      <c r="CK331" s="492"/>
      <c r="CL331" s="1310" t="str">
        <f t="shared" si="715"/>
        <v>% Growth (y-o-y)</v>
      </c>
      <c r="CM331" s="469" t="str">
        <f t="shared" si="716"/>
        <v xml:space="preserve">n/a </v>
      </c>
      <c r="CN331" s="469">
        <f t="shared" si="717"/>
        <v>-3.0171310172316383E-2</v>
      </c>
      <c r="CO331" s="469">
        <f t="shared" si="718"/>
        <v>0.12558242089569616</v>
      </c>
      <c r="CP331" s="469">
        <f t="shared" si="719"/>
        <v>-9.6288476359254735E-2</v>
      </c>
      <c r="CQ331" s="469">
        <f t="shared" si="720"/>
        <v>-0.10889049230946243</v>
      </c>
      <c r="CR331" s="469">
        <f t="shared" si="721"/>
        <v>-3.6878329137977534E-2</v>
      </c>
      <c r="CS331" s="469">
        <f t="shared" si="722"/>
        <v>6.2058407326091428E-2</v>
      </c>
      <c r="CT331" s="469">
        <f t="shared" si="723"/>
        <v>0.20933393968324912</v>
      </c>
      <c r="CU331" s="469">
        <f t="shared" si="724"/>
        <v>0.10124947991459274</v>
      </c>
      <c r="CV331" s="469">
        <f t="shared" si="725"/>
        <v>-9.13455948181979E-2</v>
      </c>
      <c r="CW331" s="469">
        <f t="shared" si="726"/>
        <v>2.1533198670553564E-2</v>
      </c>
      <c r="CX331" s="469">
        <f t="shared" si="727"/>
        <v>3.6632359695599276E-2</v>
      </c>
      <c r="CY331" s="469">
        <f t="shared" si="728"/>
        <v>7.4825114270718794E-3</v>
      </c>
      <c r="CZ331" s="469">
        <f t="shared" si="729"/>
        <v>-4.4978612382270626E-2</v>
      </c>
      <c r="DA331" s="469">
        <f t="shared" si="730"/>
        <v>6.8717486849128165E-2</v>
      </c>
      <c r="DB331" s="469">
        <f t="shared" si="730"/>
        <v>1.5000000000000017E-2</v>
      </c>
      <c r="DC331" s="1463">
        <f t="shared" si="730"/>
        <v>-2.732240437158496E-3</v>
      </c>
      <c r="DD331" s="492"/>
      <c r="DE331" s="492"/>
      <c r="DF331" s="962"/>
      <c r="DG331" s="962"/>
      <c r="DH331" s="469"/>
      <c r="DI331" s="3213"/>
      <c r="DJ331" s="962"/>
      <c r="DK331" s="962"/>
      <c r="DL331" s="962"/>
      <c r="DM331" s="962"/>
      <c r="DN331" s="962"/>
      <c r="DO331" s="962"/>
      <c r="DP331" s="962"/>
      <c r="DQ331" s="962"/>
      <c r="DR331" s="963"/>
      <c r="DS331" s="963"/>
      <c r="DT331" s="963"/>
    </row>
    <row r="332" spans="1:124" ht="12" customHeight="1" x14ac:dyDescent="0.25">
      <c r="A332" s="281"/>
      <c r="B332" s="281"/>
      <c r="C332" s="446"/>
      <c r="D332" s="446"/>
      <c r="E332" s="446"/>
      <c r="F332" s="446"/>
      <c r="G332" s="447"/>
      <c r="H332" s="446"/>
      <c r="I332" s="446"/>
      <c r="J332" s="446"/>
      <c r="K332" s="446"/>
      <c r="L332" s="447"/>
      <c r="M332" s="446"/>
      <c r="N332" s="446"/>
      <c r="O332" s="446"/>
      <c r="P332" s="446"/>
      <c r="Q332" s="447"/>
      <c r="R332" s="446"/>
      <c r="S332" s="446"/>
      <c r="T332" s="446"/>
      <c r="U332" s="446"/>
      <c r="V332" s="447"/>
      <c r="W332" s="446"/>
      <c r="X332" s="446"/>
      <c r="Y332" s="446"/>
      <c r="Z332" s="446"/>
      <c r="AA332" s="447"/>
      <c r="AB332" s="446"/>
      <c r="AC332" s="446"/>
      <c r="AD332" s="446"/>
      <c r="AE332" s="454"/>
      <c r="AF332" s="455"/>
      <c r="AG332" s="454"/>
      <c r="AH332" s="454"/>
      <c r="AI332" s="454"/>
      <c r="AJ332" s="454"/>
      <c r="AK332" s="455"/>
      <c r="AL332" s="454"/>
      <c r="AM332" s="454"/>
      <c r="AN332" s="454"/>
      <c r="AO332" s="454"/>
      <c r="AP332" s="456"/>
      <c r="AQ332" s="456"/>
      <c r="AR332" s="454"/>
      <c r="AS332" s="454"/>
      <c r="AT332" s="454"/>
      <c r="AU332" s="455"/>
      <c r="AV332" s="456"/>
      <c r="AW332" s="454"/>
      <c r="AX332" s="454"/>
      <c r="AY332" s="1666"/>
      <c r="AZ332" s="455"/>
      <c r="BA332" s="456"/>
      <c r="BB332" s="454"/>
      <c r="BC332" s="454"/>
      <c r="BD332" s="1666"/>
      <c r="BE332" s="1666"/>
      <c r="BF332" s="454"/>
      <c r="BG332" s="454"/>
      <c r="BH332" s="454"/>
      <c r="BI332" s="1666"/>
      <c r="BJ332" s="454"/>
      <c r="BK332" s="456"/>
      <c r="BL332" s="454"/>
      <c r="BM332" s="454"/>
      <c r="BN332" s="1666"/>
      <c r="BO332" s="455"/>
      <c r="BP332" s="454"/>
      <c r="BQ332" s="454"/>
      <c r="BR332" s="454"/>
      <c r="BS332" s="454"/>
      <c r="BT332" s="3066"/>
      <c r="BU332" s="2915"/>
      <c r="BV332" s="2915"/>
      <c r="BW332" s="2915"/>
      <c r="BX332" s="2915"/>
      <c r="BY332" s="3066"/>
      <c r="BZ332" s="455"/>
      <c r="CA332" s="455"/>
      <c r="CB332" s="455"/>
      <c r="CC332" s="455"/>
      <c r="CD332" s="455"/>
      <c r="CE332" s="455"/>
      <c r="CF332" s="455"/>
      <c r="CG332" s="331"/>
      <c r="CH332" s="331"/>
      <c r="CI332" s="331"/>
      <c r="CJ332" s="331"/>
      <c r="CK332" s="331"/>
      <c r="CL332" s="520"/>
      <c r="CM332" s="454"/>
      <c r="CN332" s="454"/>
      <c r="CO332" s="454"/>
      <c r="CP332" s="454"/>
      <c r="CQ332" s="454"/>
      <c r="CR332" s="454"/>
      <c r="CS332" s="454"/>
      <c r="CT332" s="454"/>
      <c r="CU332" s="454"/>
      <c r="CV332" s="454"/>
      <c r="CW332" s="454"/>
      <c r="CX332" s="454"/>
      <c r="CY332" s="454"/>
      <c r="CZ332" s="454"/>
      <c r="DA332" s="454"/>
      <c r="DB332" s="454"/>
      <c r="DC332" s="1666"/>
      <c r="DD332" s="331"/>
      <c r="DE332" s="331"/>
      <c r="DF332" s="502"/>
      <c r="DG332" s="503"/>
      <c r="DH332" s="2915"/>
      <c r="DI332" s="3213"/>
      <c r="DJ332" s="502"/>
      <c r="DK332" s="503"/>
      <c r="DL332" s="502"/>
      <c r="DM332" s="502"/>
      <c r="DN332" s="502"/>
      <c r="DO332" s="502"/>
      <c r="DP332" s="503"/>
      <c r="DQ332" s="503"/>
      <c r="DR332" s="296"/>
      <c r="DS332" s="296"/>
      <c r="DT332" s="296"/>
    </row>
    <row r="333" spans="1:124" ht="12" customHeight="1" x14ac:dyDescent="0.25">
      <c r="A333" s="312" t="s">
        <v>2214</v>
      </c>
      <c r="B333" s="281"/>
      <c r="C333" s="446">
        <f>C336</f>
        <v>87.053495960000006</v>
      </c>
      <c r="D333" s="446">
        <f>D336</f>
        <v>95.054710959999994</v>
      </c>
      <c r="E333" s="446">
        <f>E336</f>
        <v>98.623168499999991</v>
      </c>
      <c r="F333" s="446">
        <f>F336</f>
        <v>82.222886287284723</v>
      </c>
      <c r="G333" s="447">
        <f>SUM(C333:F333)</f>
        <v>362.95426170728467</v>
      </c>
      <c r="H333" s="446">
        <f>H336</f>
        <v>96.465090752999998</v>
      </c>
      <c r="I333" s="446">
        <f>I336</f>
        <v>99.459101260000011</v>
      </c>
      <c r="J333" s="446">
        <f>J336</f>
        <v>110.5267355</v>
      </c>
      <c r="K333" s="446">
        <f>K336</f>
        <v>96.78725399999999</v>
      </c>
      <c r="L333" s="447">
        <f>SUM(H333:K333)</f>
        <v>403.23818151299997</v>
      </c>
      <c r="M333" s="446">
        <f>M336</f>
        <v>105.34422723</v>
      </c>
      <c r="N333" s="446">
        <f>N336</f>
        <v>110.9</v>
      </c>
      <c r="O333" s="446">
        <f>O336</f>
        <v>119.0267355</v>
      </c>
      <c r="P333" s="446">
        <f>P336</f>
        <v>116.14576600000001</v>
      </c>
      <c r="Q333" s="447">
        <f>SUM(M333:P333)</f>
        <v>451.41672873000005</v>
      </c>
      <c r="R333" s="446">
        <f>R336</f>
        <v>113.71701400000001</v>
      </c>
      <c r="S333" s="446">
        <f>S336</f>
        <v>119.473896</v>
      </c>
      <c r="T333" s="446">
        <f>T336</f>
        <v>121.98786199999999</v>
      </c>
      <c r="U333" s="446">
        <f>U336</f>
        <v>108.18904026999999</v>
      </c>
      <c r="V333" s="447">
        <f>SUM(R333:U333)</f>
        <v>463.36781226999994</v>
      </c>
      <c r="W333" s="446">
        <f>W336</f>
        <v>114.771884</v>
      </c>
      <c r="X333" s="446">
        <f>X336</f>
        <v>116.24208988999999</v>
      </c>
      <c r="Y333" s="446">
        <f>Y336</f>
        <v>113.15182200000001</v>
      </c>
      <c r="Z333" s="446">
        <f>Z336</f>
        <v>98.682496000000015</v>
      </c>
      <c r="AA333" s="447">
        <f>SUM(W333:Z333)</f>
        <v>442.84829189000004</v>
      </c>
      <c r="AB333" s="446">
        <f>AB336</f>
        <v>112.7</v>
      </c>
      <c r="AC333" s="446">
        <f>AC336</f>
        <v>117.1</v>
      </c>
      <c r="AD333" s="446">
        <f>AD336</f>
        <v>106</v>
      </c>
      <c r="AE333" s="446">
        <f>AE336</f>
        <v>89</v>
      </c>
      <c r="AF333" s="447">
        <f>SUM(AB333:AE333)</f>
        <v>424.8</v>
      </c>
      <c r="AG333" s="563">
        <v>98.05</v>
      </c>
      <c r="AH333" s="563">
        <v>106.3</v>
      </c>
      <c r="AI333" s="563">
        <v>104.74962012</v>
      </c>
      <c r="AJ333" s="563">
        <v>88.615548630000006</v>
      </c>
      <c r="AK333" s="455">
        <f>SUM(AG333:AJ333)</f>
        <v>397.71516874999998</v>
      </c>
      <c r="AL333" s="563">
        <v>98.037000000000006</v>
      </c>
      <c r="AM333" s="563">
        <v>99.174953799999997</v>
      </c>
      <c r="AN333" s="563">
        <v>103.50700000000001</v>
      </c>
      <c r="AO333" s="563">
        <v>96.228999999999999</v>
      </c>
      <c r="AP333" s="455">
        <f>SUM(AL333:AO333)</f>
        <v>396.94795379999999</v>
      </c>
      <c r="AQ333" s="1682">
        <v>107.42359999999999</v>
      </c>
      <c r="AR333" s="563">
        <v>102.17699999999999</v>
      </c>
      <c r="AS333" s="563">
        <v>93.627938359999987</v>
      </c>
      <c r="AT333" s="2077">
        <v>80.620055704999984</v>
      </c>
      <c r="AU333" s="455">
        <f>SUM(AQ333:AT333)</f>
        <v>383.84859406499993</v>
      </c>
      <c r="AV333" s="1682">
        <v>83.17961827500001</v>
      </c>
      <c r="AW333" s="563">
        <v>88.91802955</v>
      </c>
      <c r="AX333" s="563">
        <v>83.501560424999994</v>
      </c>
      <c r="AY333" s="563">
        <v>73.803803820000013</v>
      </c>
      <c r="AZ333" s="455">
        <f>SUM(AV333:AY333)</f>
        <v>329.40301207000005</v>
      </c>
      <c r="BA333" s="2659">
        <v>71.965524615000007</v>
      </c>
      <c r="BB333" s="2852">
        <v>80.14418117999999</v>
      </c>
      <c r="BC333" s="2852">
        <v>78.515317919999987</v>
      </c>
      <c r="BD333" s="2852">
        <v>70.327625669999989</v>
      </c>
      <c r="BE333" s="455">
        <f>SUM(BA333:BD333)</f>
        <v>300.95264938499997</v>
      </c>
      <c r="BF333" s="2970">
        <v>68.461989599999981</v>
      </c>
      <c r="BG333" s="2970">
        <v>76.444014339999967</v>
      </c>
      <c r="BH333" s="2970">
        <v>78.802690722857122</v>
      </c>
      <c r="BI333" s="2964">
        <v>74.563546354285734</v>
      </c>
      <c r="BJ333" s="455">
        <f>SUM(BF333:BI333)</f>
        <v>298.27224101714279</v>
      </c>
      <c r="BK333" s="2970">
        <v>71.058848335714302</v>
      </c>
      <c r="BL333" s="2970">
        <v>75.063152978571395</v>
      </c>
      <c r="BM333" s="2970">
        <v>77.232975285714289</v>
      </c>
      <c r="BN333" s="2970">
        <v>71.954366048571416</v>
      </c>
      <c r="BO333" s="455">
        <f>SUM(BK333:BN333)</f>
        <v>295.30934264857137</v>
      </c>
      <c r="BP333" s="2970">
        <v>65.528686505714276</v>
      </c>
      <c r="BQ333" s="2970">
        <v>70.407673909999986</v>
      </c>
      <c r="BR333" s="2970">
        <v>70.349043839999993</v>
      </c>
      <c r="BS333" s="2970">
        <v>65.722741194714274</v>
      </c>
      <c r="BT333" s="3066">
        <f>SUM(BP333:BS333)</f>
        <v>272.00814545042851</v>
      </c>
      <c r="BU333" s="2970">
        <v>65.718535144285724</v>
      </c>
      <c r="BV333" s="2915">
        <f t="shared" ref="BV333:BX334" si="744">BQ333*(1+BV337)</f>
        <v>68.999520431799979</v>
      </c>
      <c r="BW333" s="2915">
        <f t="shared" si="744"/>
        <v>68.942062963199987</v>
      </c>
      <c r="BX333" s="2915">
        <f t="shared" si="744"/>
        <v>64.408286370819994</v>
      </c>
      <c r="BY333" s="3066">
        <f>SUM(BU333:BX333)</f>
        <v>268.0684049101057</v>
      </c>
      <c r="BZ333" s="455">
        <f>+BY333*(1+BZ337)</f>
        <v>272.08943098375727</v>
      </c>
      <c r="CA333" s="455">
        <f>+BZ333*(1+CA337)</f>
        <v>272.08943098375727</v>
      </c>
      <c r="CB333" s="455">
        <f t="shared" ref="CB333:CF334" si="745">+CA333*(1+CB337)</f>
        <v>258.48495943456942</v>
      </c>
      <c r="CC333" s="455">
        <f t="shared" si="745"/>
        <v>245.56071146284094</v>
      </c>
      <c r="CD333" s="455">
        <f t="shared" si="745"/>
        <v>250.47192569209776</v>
      </c>
      <c r="CE333" s="455">
        <f t="shared" si="745"/>
        <v>255.48136420593971</v>
      </c>
      <c r="CF333" s="455">
        <f t="shared" si="745"/>
        <v>260.59099149005851</v>
      </c>
      <c r="CG333" s="600"/>
      <c r="CH333" s="600"/>
      <c r="CI333" s="600"/>
      <c r="CJ333" s="600"/>
      <c r="CK333" s="331"/>
      <c r="CL333" s="2025" t="str">
        <f>A333</f>
        <v>Slot revenue</v>
      </c>
      <c r="CM333" s="454">
        <f>G333</f>
        <v>362.95426170728467</v>
      </c>
      <c r="CN333" s="454">
        <f>L333</f>
        <v>403.23818151299997</v>
      </c>
      <c r="CO333" s="454">
        <f>Q333</f>
        <v>451.41672873000005</v>
      </c>
      <c r="CP333" s="454">
        <f>V333</f>
        <v>463.36781226999994</v>
      </c>
      <c r="CQ333" s="454">
        <f>AA333</f>
        <v>442.84829189000004</v>
      </c>
      <c r="CR333" s="454">
        <f>AF333</f>
        <v>424.8</v>
      </c>
      <c r="CS333" s="454">
        <f>AK333</f>
        <v>397.71516874999998</v>
      </c>
      <c r="CT333" s="454">
        <f>AP333</f>
        <v>396.94795379999999</v>
      </c>
      <c r="CU333" s="454">
        <f>AU333</f>
        <v>383.84859406499993</v>
      </c>
      <c r="CV333" s="454">
        <f>AZ333</f>
        <v>329.40301207000005</v>
      </c>
      <c r="CW333" s="454">
        <f>BE333</f>
        <v>300.95264938499997</v>
      </c>
      <c r="CX333" s="454">
        <f>BJ333</f>
        <v>298.27224101714279</v>
      </c>
      <c r="CY333" s="454">
        <f>BO333</f>
        <v>295.30934264857137</v>
      </c>
      <c r="CZ333" s="454">
        <f>BT333</f>
        <v>272.00814545042851</v>
      </c>
      <c r="DA333" s="454">
        <f t="shared" ref="DA333:DC336" si="746">BY333</f>
        <v>268.0684049101057</v>
      </c>
      <c r="DB333" s="454">
        <f t="shared" si="746"/>
        <v>272.08943098375727</v>
      </c>
      <c r="DC333" s="1666">
        <f t="shared" si="746"/>
        <v>272.08943098375727</v>
      </c>
      <c r="DD333" s="331"/>
      <c r="DE333" s="331"/>
      <c r="DF333" s="502"/>
      <c r="DG333" s="503"/>
      <c r="DH333" s="2915"/>
      <c r="DI333" s="3213"/>
      <c r="DJ333" s="502"/>
      <c r="DK333" s="503"/>
      <c r="DL333" s="502"/>
      <c r="DM333" s="502"/>
      <c r="DN333" s="502"/>
      <c r="DO333" s="502"/>
      <c r="DP333" s="503"/>
      <c r="DQ333" s="503"/>
      <c r="DR333" s="296"/>
      <c r="DS333" s="296"/>
      <c r="DT333" s="296"/>
    </row>
    <row r="334" spans="1:124" ht="12" customHeight="1" x14ac:dyDescent="0.25">
      <c r="A334" s="705" t="s">
        <v>2215</v>
      </c>
      <c r="B334" s="281"/>
      <c r="C334" s="446"/>
      <c r="D334" s="446"/>
      <c r="E334" s="446"/>
      <c r="F334" s="1053"/>
      <c r="G334" s="447"/>
      <c r="H334" s="446"/>
      <c r="I334" s="446"/>
      <c r="J334" s="446"/>
      <c r="K334" s="1053"/>
      <c r="L334" s="447"/>
      <c r="M334" s="446"/>
      <c r="N334" s="446"/>
      <c r="O334" s="446"/>
      <c r="P334" s="1053"/>
      <c r="Q334" s="447"/>
      <c r="R334" s="446"/>
      <c r="S334" s="446"/>
      <c r="T334" s="446"/>
      <c r="U334" s="1053"/>
      <c r="V334" s="447"/>
      <c r="W334" s="446"/>
      <c r="X334" s="446"/>
      <c r="Y334" s="446"/>
      <c r="Z334" s="1053"/>
      <c r="AA334" s="447"/>
      <c r="AB334" s="446"/>
      <c r="AC334" s="446"/>
      <c r="AD334" s="446"/>
      <c r="AE334" s="1053"/>
      <c r="AF334" s="455"/>
      <c r="AG334" s="563">
        <v>0</v>
      </c>
      <c r="AH334" s="563">
        <v>0</v>
      </c>
      <c r="AI334" s="563">
        <v>24.843351750000004</v>
      </c>
      <c r="AJ334" s="563">
        <v>33.334237250000001</v>
      </c>
      <c r="AK334" s="455">
        <f>SUM(AG334:AJ334)</f>
        <v>58.177589000000005</v>
      </c>
      <c r="AL334" s="563">
        <v>34.192999999999998</v>
      </c>
      <c r="AM334" s="563">
        <v>38.272304349999999</v>
      </c>
      <c r="AN334" s="563">
        <v>38.956718119999998</v>
      </c>
      <c r="AO334" s="563">
        <v>38.588999999999999</v>
      </c>
      <c r="AP334" s="455">
        <f>SUM(AL334:AO334)</f>
        <v>150.01102247</v>
      </c>
      <c r="AQ334" s="1682">
        <v>43.242815409999999</v>
      </c>
      <c r="AR334" s="563">
        <v>39.5000505</v>
      </c>
      <c r="AS334" s="563">
        <v>39.943823000000002</v>
      </c>
      <c r="AT334" s="2077">
        <v>40.760386500000003</v>
      </c>
      <c r="AU334" s="455">
        <f>SUM(AQ334:AT334)</f>
        <v>163.44707541000002</v>
      </c>
      <c r="AV334" s="1682">
        <v>40.896965760000001</v>
      </c>
      <c r="AW334" s="563">
        <v>32.009597999999997</v>
      </c>
      <c r="AX334" s="563">
        <v>29.155984500000002</v>
      </c>
      <c r="AY334" s="563">
        <v>24.053733000000001</v>
      </c>
      <c r="AZ334" s="455">
        <f>SUM(AV334:AY334)</f>
        <v>126.11628125999999</v>
      </c>
      <c r="BA334" s="2659">
        <v>22.846621509999999</v>
      </c>
      <c r="BB334" s="2852">
        <v>23.792331000000001</v>
      </c>
      <c r="BC334" s="2852">
        <v>23.533308249999997</v>
      </c>
      <c r="BD334" s="2852">
        <v>21.410090750000002</v>
      </c>
      <c r="BE334" s="455">
        <f>SUM(BA334:BD334)</f>
        <v>91.582351509999995</v>
      </c>
      <c r="BF334" s="2970">
        <v>20.778399999999998</v>
      </c>
      <c r="BG334" s="2970">
        <v>23.63377375</v>
      </c>
      <c r="BH334" s="2970">
        <v>21.058495000000001</v>
      </c>
      <c r="BI334" s="2964">
        <v>20.935389678571429</v>
      </c>
      <c r="BJ334" s="455">
        <f>SUM(BF334:BI334)</f>
        <v>86.406058428571413</v>
      </c>
      <c r="BK334" s="2970">
        <v>20.651888178571429</v>
      </c>
      <c r="BL334" s="2970">
        <v>19.888894964285715</v>
      </c>
      <c r="BM334" s="2970">
        <v>20.809423500000001</v>
      </c>
      <c r="BN334" s="2970">
        <v>18.39889075</v>
      </c>
      <c r="BO334" s="455">
        <f>SUM(BK334:BN334)</f>
        <v>79.749097392857152</v>
      </c>
      <c r="BP334" s="2970">
        <v>17.128728250000002</v>
      </c>
      <c r="BQ334" s="2970">
        <v>16.251500892857141</v>
      </c>
      <c r="BR334" s="2970">
        <v>16.13158275</v>
      </c>
      <c r="BS334" s="2970">
        <v>15.896896592857143</v>
      </c>
      <c r="BT334" s="3066">
        <f>SUM(BP334:BS334)</f>
        <v>65.408708485714286</v>
      </c>
      <c r="BU334" s="2970">
        <v>16.586137702857144</v>
      </c>
      <c r="BV334" s="2915">
        <f t="shared" si="744"/>
        <v>15.845213370535712</v>
      </c>
      <c r="BW334" s="2915">
        <f t="shared" si="744"/>
        <v>15.728293181249999</v>
      </c>
      <c r="BX334" s="2915">
        <f t="shared" si="744"/>
        <v>15.499474178035713</v>
      </c>
      <c r="BY334" s="3066">
        <f>SUM(BU334:BX334)</f>
        <v>63.659118432678568</v>
      </c>
      <c r="BZ334" s="455">
        <f>+BY334*(1+BZ338)</f>
        <v>64.614005209168738</v>
      </c>
      <c r="CA334" s="455">
        <f>+BZ334*(1+CA338)</f>
        <v>64.614005209168738</v>
      </c>
      <c r="CB334" s="455">
        <f t="shared" si="745"/>
        <v>61.383304948710297</v>
      </c>
      <c r="CC334" s="455">
        <f t="shared" si="745"/>
        <v>58.314139701274776</v>
      </c>
      <c r="CD334" s="455">
        <f t="shared" si="745"/>
        <v>59.480422495300274</v>
      </c>
      <c r="CE334" s="455">
        <f t="shared" si="745"/>
        <v>60.670030945206278</v>
      </c>
      <c r="CF334" s="455">
        <f t="shared" si="745"/>
        <v>61.883431564110403</v>
      </c>
      <c r="CG334" s="331"/>
      <c r="CH334" s="331"/>
      <c r="CI334" s="331"/>
      <c r="CJ334" s="331"/>
      <c r="CK334" s="331"/>
      <c r="CL334" s="2025" t="str">
        <f>A334</f>
        <v>Table revenue</v>
      </c>
      <c r="CM334" s="1579"/>
      <c r="CN334" s="1579"/>
      <c r="CO334" s="1579"/>
      <c r="CP334" s="1579"/>
      <c r="CQ334" s="1579"/>
      <c r="CR334" s="1579"/>
      <c r="CS334" s="1579">
        <f>AK334</f>
        <v>58.177589000000005</v>
      </c>
      <c r="CT334" s="1579">
        <f>AP334</f>
        <v>150.01102247</v>
      </c>
      <c r="CU334" s="1579">
        <f>AU334</f>
        <v>163.44707541000002</v>
      </c>
      <c r="CV334" s="1579">
        <f>AZ334</f>
        <v>126.11628125999999</v>
      </c>
      <c r="CW334" s="1579">
        <f>BE334</f>
        <v>91.582351509999995</v>
      </c>
      <c r="CX334" s="1579">
        <f>BJ334</f>
        <v>86.406058428571413</v>
      </c>
      <c r="CY334" s="1579">
        <f>BO334</f>
        <v>79.749097392857152</v>
      </c>
      <c r="CZ334" s="1579">
        <f>BT334</f>
        <v>65.408708485714286</v>
      </c>
      <c r="DA334" s="1579">
        <f t="shared" si="746"/>
        <v>63.659118432678568</v>
      </c>
      <c r="DB334" s="1579">
        <f t="shared" si="746"/>
        <v>64.614005209168738</v>
      </c>
      <c r="DC334" s="2026">
        <f t="shared" si="746"/>
        <v>64.614005209168738</v>
      </c>
      <c r="DD334" s="331"/>
      <c r="DE334" s="331"/>
      <c r="DF334" s="502"/>
      <c r="DG334" s="503"/>
      <c r="DH334" s="2915"/>
      <c r="DI334" s="3213"/>
      <c r="DJ334" s="502"/>
      <c r="DK334" s="503"/>
      <c r="DL334" s="502"/>
      <c r="DM334" s="502"/>
      <c r="DN334" s="502"/>
      <c r="DO334" s="502"/>
      <c r="DP334" s="503"/>
      <c r="DQ334" s="503"/>
      <c r="DR334" s="296"/>
      <c r="DS334" s="296"/>
      <c r="DT334" s="296"/>
    </row>
    <row r="335" spans="1:124" ht="4.5" customHeight="1" x14ac:dyDescent="0.25">
      <c r="A335" s="1953"/>
      <c r="B335" s="281"/>
      <c r="C335" s="544" t="s">
        <v>1151</v>
      </c>
      <c r="D335" s="544" t="s">
        <v>1151</v>
      </c>
      <c r="E335" s="544" t="s">
        <v>1151</v>
      </c>
      <c r="F335" s="544" t="s">
        <v>1151</v>
      </c>
      <c r="G335" s="461" t="s">
        <v>1151</v>
      </c>
      <c r="H335" s="544" t="s">
        <v>1151</v>
      </c>
      <c r="I335" s="544" t="s">
        <v>1151</v>
      </c>
      <c r="J335" s="544" t="s">
        <v>1151</v>
      </c>
      <c r="K335" s="544" t="s">
        <v>1151</v>
      </c>
      <c r="L335" s="461" t="s">
        <v>1151</v>
      </c>
      <c r="M335" s="544" t="s">
        <v>1151</v>
      </c>
      <c r="N335" s="544" t="s">
        <v>1151</v>
      </c>
      <c r="O335" s="544" t="s">
        <v>1151</v>
      </c>
      <c r="P335" s="544" t="s">
        <v>1151</v>
      </c>
      <c r="Q335" s="461" t="s">
        <v>1151</v>
      </c>
      <c r="R335" s="544" t="s">
        <v>1151</v>
      </c>
      <c r="S335" s="544" t="s">
        <v>1151</v>
      </c>
      <c r="T335" s="544" t="s">
        <v>1151</v>
      </c>
      <c r="U335" s="544" t="s">
        <v>1151</v>
      </c>
      <c r="V335" s="461" t="s">
        <v>1151</v>
      </c>
      <c r="W335" s="544" t="s">
        <v>1151</v>
      </c>
      <c r="X335" s="544" t="s">
        <v>1151</v>
      </c>
      <c r="Y335" s="544" t="s">
        <v>1151</v>
      </c>
      <c r="Z335" s="544" t="s">
        <v>1151</v>
      </c>
      <c r="AA335" s="461" t="s">
        <v>1151</v>
      </c>
      <c r="AB335" s="544" t="s">
        <v>1151</v>
      </c>
      <c r="AC335" s="544" t="s">
        <v>1151</v>
      </c>
      <c r="AD335" s="544" t="s">
        <v>1151</v>
      </c>
      <c r="AE335" s="544" t="s">
        <v>1151</v>
      </c>
      <c r="AF335" s="461" t="s">
        <v>1151</v>
      </c>
      <c r="AG335" s="544" t="s">
        <v>1151</v>
      </c>
      <c r="AH335" s="544" t="s">
        <v>1151</v>
      </c>
      <c r="AI335" s="544" t="s">
        <v>1151</v>
      </c>
      <c r="AJ335" s="544" t="s">
        <v>1151</v>
      </c>
      <c r="AK335" s="461" t="s">
        <v>1151</v>
      </c>
      <c r="AL335" s="544" t="s">
        <v>1151</v>
      </c>
      <c r="AM335" s="544" t="s">
        <v>1151</v>
      </c>
      <c r="AN335" s="544" t="s">
        <v>1151</v>
      </c>
      <c r="AO335" s="544" t="s">
        <v>1151</v>
      </c>
      <c r="AP335" s="461" t="s">
        <v>1151</v>
      </c>
      <c r="AQ335" s="544" t="s">
        <v>1151</v>
      </c>
      <c r="AR335" s="544" t="s">
        <v>1151</v>
      </c>
      <c r="AS335" s="544" t="s">
        <v>1151</v>
      </c>
      <c r="AT335" s="544" t="s">
        <v>1151</v>
      </c>
      <c r="AU335" s="461" t="s">
        <v>1151</v>
      </c>
      <c r="AV335" s="544" t="s">
        <v>1151</v>
      </c>
      <c r="AW335" s="544" t="s">
        <v>1151</v>
      </c>
      <c r="AX335" s="544" t="s">
        <v>1151</v>
      </c>
      <c r="AY335" s="544" t="s">
        <v>1151</v>
      </c>
      <c r="AZ335" s="461" t="s">
        <v>1151</v>
      </c>
      <c r="BA335" s="544" t="s">
        <v>1151</v>
      </c>
      <c r="BB335" s="544" t="s">
        <v>1151</v>
      </c>
      <c r="BC335" s="544" t="s">
        <v>1151</v>
      </c>
      <c r="BD335" s="544" t="s">
        <v>1151</v>
      </c>
      <c r="BE335" s="461" t="s">
        <v>1151</v>
      </c>
      <c r="BF335" s="544" t="s">
        <v>1151</v>
      </c>
      <c r="BG335" s="544" t="s">
        <v>1151</v>
      </c>
      <c r="BH335" s="544" t="s">
        <v>1151</v>
      </c>
      <c r="BI335" s="544" t="s">
        <v>1151</v>
      </c>
      <c r="BJ335" s="3085" t="s">
        <v>1151</v>
      </c>
      <c r="BK335" s="3085" t="s">
        <v>1151</v>
      </c>
      <c r="BL335" s="609" t="s">
        <v>1151</v>
      </c>
      <c r="BM335" s="544" t="s">
        <v>1151</v>
      </c>
      <c r="BN335" s="544" t="s">
        <v>1151</v>
      </c>
      <c r="BO335" s="461" t="s">
        <v>1151</v>
      </c>
      <c r="BP335" s="544" t="s">
        <v>1151</v>
      </c>
      <c r="BQ335" s="544" t="s">
        <v>1151</v>
      </c>
      <c r="BR335" s="544" t="s">
        <v>1151</v>
      </c>
      <c r="BS335" s="544" t="s">
        <v>1151</v>
      </c>
      <c r="BT335" s="461" t="s">
        <v>1151</v>
      </c>
      <c r="BU335" s="544" t="s">
        <v>1151</v>
      </c>
      <c r="BV335" s="544" t="s">
        <v>1151</v>
      </c>
      <c r="BW335" s="544" t="s">
        <v>1151</v>
      </c>
      <c r="BX335" s="544" t="s">
        <v>1151</v>
      </c>
      <c r="BY335" s="461" t="s">
        <v>1151</v>
      </c>
      <c r="BZ335" s="461" t="s">
        <v>1151</v>
      </c>
      <c r="CA335" s="461" t="s">
        <v>1151</v>
      </c>
      <c r="CB335" s="461" t="s">
        <v>1151</v>
      </c>
      <c r="CC335" s="461" t="s">
        <v>1151</v>
      </c>
      <c r="CD335" s="461" t="s">
        <v>1151</v>
      </c>
      <c r="CE335" s="461" t="s">
        <v>1151</v>
      </c>
      <c r="CF335" s="461" t="s">
        <v>1151</v>
      </c>
      <c r="CG335" s="331"/>
      <c r="CH335" s="331"/>
      <c r="CI335" s="331"/>
      <c r="CJ335" s="331"/>
      <c r="CK335" s="331"/>
      <c r="CL335" s="2027"/>
      <c r="CM335" s="2029" t="str">
        <f>G335</f>
        <v xml:space="preserve">                </v>
      </c>
      <c r="CN335" s="2029" t="str">
        <f>L335</f>
        <v xml:space="preserve">                </v>
      </c>
      <c r="CO335" s="2029" t="str">
        <f>Q335</f>
        <v xml:space="preserve">                </v>
      </c>
      <c r="CP335" s="2029" t="str">
        <f>V335</f>
        <v xml:space="preserve">                </v>
      </c>
      <c r="CQ335" s="2029" t="str">
        <f>AA335</f>
        <v xml:space="preserve">                </v>
      </c>
      <c r="CR335" s="2029" t="str">
        <f>AF335</f>
        <v xml:space="preserve">                </v>
      </c>
      <c r="CS335" s="2029" t="str">
        <f>AK335</f>
        <v xml:space="preserve">                </v>
      </c>
      <c r="CT335" s="2029" t="str">
        <f>AP335</f>
        <v xml:space="preserve">                </v>
      </c>
      <c r="CU335" s="2029" t="str">
        <f>AU335</f>
        <v xml:space="preserve">                </v>
      </c>
      <c r="CV335" s="2029" t="str">
        <f>AZ335</f>
        <v xml:space="preserve">                </v>
      </c>
      <c r="CW335" s="2029" t="str">
        <f>BE335</f>
        <v xml:space="preserve">                </v>
      </c>
      <c r="CX335" s="2029" t="str">
        <f>BJ335</f>
        <v xml:space="preserve">                </v>
      </c>
      <c r="CY335" s="2029" t="str">
        <f>BO335</f>
        <v xml:space="preserve">                </v>
      </c>
      <c r="CZ335" s="2029" t="str">
        <f>BT335</f>
        <v xml:space="preserve">                </v>
      </c>
      <c r="DA335" s="2029" t="str">
        <f t="shared" si="746"/>
        <v xml:space="preserve">                </v>
      </c>
      <c r="DB335" s="2029" t="str">
        <f t="shared" si="746"/>
        <v xml:space="preserve">                </v>
      </c>
      <c r="DC335" s="2030" t="str">
        <f t="shared" si="746"/>
        <v xml:space="preserve">                </v>
      </c>
      <c r="DD335" s="331"/>
      <c r="DE335" s="331"/>
      <c r="DF335" s="502"/>
      <c r="DG335" s="503"/>
      <c r="DH335" s="2029"/>
      <c r="DI335" s="3213"/>
      <c r="DJ335" s="502"/>
      <c r="DK335" s="503"/>
      <c r="DL335" s="502"/>
      <c r="DM335" s="502"/>
      <c r="DN335" s="502"/>
      <c r="DO335" s="502"/>
      <c r="DP335" s="503"/>
      <c r="DQ335" s="503"/>
      <c r="DR335" s="296"/>
      <c r="DS335" s="296"/>
      <c r="DT335" s="296"/>
    </row>
    <row r="336" spans="1:124" ht="12" customHeight="1" x14ac:dyDescent="0.25">
      <c r="A336" s="311" t="s">
        <v>730</v>
      </c>
      <c r="B336" s="311"/>
      <c r="C336" s="565">
        <v>87.053495960000006</v>
      </c>
      <c r="D336" s="565">
        <v>95.054710959999994</v>
      </c>
      <c r="E336" s="565">
        <v>98.623168499999991</v>
      </c>
      <c r="F336" s="565">
        <v>82.222886287284723</v>
      </c>
      <c r="G336" s="447">
        <f>SUM(C336:F336)</f>
        <v>362.95426170728467</v>
      </c>
      <c r="H336" s="565">
        <v>96.465090752999998</v>
      </c>
      <c r="I336" s="565">
        <v>99.459101260000011</v>
      </c>
      <c r="J336" s="565">
        <v>110.5267355</v>
      </c>
      <c r="K336" s="565">
        <v>96.78725399999999</v>
      </c>
      <c r="L336" s="447">
        <f>SUM(H336:K336)</f>
        <v>403.23818151299997</v>
      </c>
      <c r="M336" s="565">
        <v>105.34422723</v>
      </c>
      <c r="N336" s="565">
        <v>110.9</v>
      </c>
      <c r="O336" s="565">
        <v>119.0267355</v>
      </c>
      <c r="P336" s="565">
        <v>116.14576600000001</v>
      </c>
      <c r="Q336" s="447">
        <f>SUM(M336:P336)</f>
        <v>451.41672873000005</v>
      </c>
      <c r="R336" s="565">
        <v>113.71701400000001</v>
      </c>
      <c r="S336" s="565">
        <v>119.473896</v>
      </c>
      <c r="T336" s="565">
        <v>121.98786199999999</v>
      </c>
      <c r="U336" s="565">
        <v>108.18904026999999</v>
      </c>
      <c r="V336" s="447">
        <f>SUM(R336:U336)</f>
        <v>463.36781226999994</v>
      </c>
      <c r="W336" s="565">
        <v>114.771884</v>
      </c>
      <c r="X336" s="565">
        <v>116.24208988999999</v>
      </c>
      <c r="Y336" s="565">
        <v>113.15182200000001</v>
      </c>
      <c r="Z336" s="565">
        <v>98.682496000000015</v>
      </c>
      <c r="AA336" s="447">
        <f>SUM(W336:Z336)</f>
        <v>442.84829189000004</v>
      </c>
      <c r="AB336" s="563">
        <v>112.7</v>
      </c>
      <c r="AC336" s="563">
        <v>117.1</v>
      </c>
      <c r="AD336" s="563">
        <v>106</v>
      </c>
      <c r="AE336" s="563">
        <v>89</v>
      </c>
      <c r="AF336" s="455">
        <f>SUM(AB336:AE336)</f>
        <v>424.8</v>
      </c>
      <c r="AG336" s="454">
        <f>AG334+AG333</f>
        <v>98.05</v>
      </c>
      <c r="AH336" s="454">
        <f>AH334+AH333</f>
        <v>106.3</v>
      </c>
      <c r="AI336" s="454">
        <f>AI334+AI333</f>
        <v>129.59297187000001</v>
      </c>
      <c r="AJ336" s="454">
        <f>AJ334+AJ333</f>
        <v>121.94978588000001</v>
      </c>
      <c r="AK336" s="455">
        <f>SUM(AG336:AJ336)</f>
        <v>455.89275774999999</v>
      </c>
      <c r="AL336" s="454">
        <f>AL334+AL333</f>
        <v>132.23000000000002</v>
      </c>
      <c r="AM336" s="454">
        <f>AM334+AM333</f>
        <v>137.44725814999998</v>
      </c>
      <c r="AN336" s="454">
        <f>AN334+AN333</f>
        <v>142.46371812000001</v>
      </c>
      <c r="AO336" s="454">
        <f>AO334+AO333</f>
        <v>134.81799999999998</v>
      </c>
      <c r="AP336" s="456">
        <f>SUM(AL336:AO336)</f>
        <v>546.95897626999999</v>
      </c>
      <c r="AQ336" s="456">
        <f>AQ334+AQ333</f>
        <v>150.66641540999998</v>
      </c>
      <c r="AR336" s="454">
        <f>AR334+AR333</f>
        <v>141.67705050000001</v>
      </c>
      <c r="AS336" s="454">
        <f>AS334+AS333</f>
        <v>133.57176135999998</v>
      </c>
      <c r="AT336" s="454">
        <f>AT334+AT333</f>
        <v>121.38044220499998</v>
      </c>
      <c r="AU336" s="455">
        <f>SUM(AQ336:AT336)</f>
        <v>547.29566947499995</v>
      </c>
      <c r="AV336" s="456">
        <f>AV334+AV333</f>
        <v>124.07658403500001</v>
      </c>
      <c r="AW336" s="454">
        <f>AW334+AW333</f>
        <v>120.92762755</v>
      </c>
      <c r="AX336" s="454">
        <f>AX334+AX333</f>
        <v>112.657544925</v>
      </c>
      <c r="AY336" s="1666">
        <f>AY334+AY333</f>
        <v>97.857536820000007</v>
      </c>
      <c r="AZ336" s="455">
        <f>SUM(AV336:AY336)</f>
        <v>455.51929333000004</v>
      </c>
      <c r="BA336" s="456">
        <f>BA334+BA333</f>
        <v>94.812146124999998</v>
      </c>
      <c r="BB336" s="454">
        <f>BB334+BB333</f>
        <v>103.93651217999999</v>
      </c>
      <c r="BC336" s="454">
        <f>BC334+BC333</f>
        <v>102.04862616999998</v>
      </c>
      <c r="BD336" s="1666">
        <f>BD334+BD333</f>
        <v>91.737716419999998</v>
      </c>
      <c r="BE336" s="455">
        <f>SUM(BA336:BD336)</f>
        <v>392.53500089499994</v>
      </c>
      <c r="BF336" s="454">
        <f>BF334+BF333</f>
        <v>89.240389599999986</v>
      </c>
      <c r="BG336" s="454">
        <f>BG334+BG333</f>
        <v>100.07778808999997</v>
      </c>
      <c r="BH336" s="454">
        <f>BH334+BH333</f>
        <v>99.86118572285713</v>
      </c>
      <c r="BI336" s="1666">
        <f>BI334+BI333</f>
        <v>95.498936032857159</v>
      </c>
      <c r="BJ336" s="454">
        <f>SUM(BF336:BI336)</f>
        <v>384.67829944571429</v>
      </c>
      <c r="BK336" s="456">
        <f>BK334+BK333</f>
        <v>91.710736514285728</v>
      </c>
      <c r="BL336" s="454">
        <f>BL334+BL333</f>
        <v>94.952047942857106</v>
      </c>
      <c r="BM336" s="454">
        <f>BM334+BM333</f>
        <v>98.042398785714283</v>
      </c>
      <c r="BN336" s="1666">
        <f>BN334+BN333</f>
        <v>90.353256798571408</v>
      </c>
      <c r="BO336" s="455">
        <f>SUM(BK336:BN336)</f>
        <v>375.05844004142853</v>
      </c>
      <c r="BP336" s="454">
        <f>BP334+BP333</f>
        <v>82.657414755714285</v>
      </c>
      <c r="BQ336" s="454">
        <f>BQ334+BQ333</f>
        <v>86.659174802857123</v>
      </c>
      <c r="BR336" s="454">
        <f>BR334+BR333</f>
        <v>86.480626589999986</v>
      </c>
      <c r="BS336" s="454">
        <f>BS334+BS333</f>
        <v>81.619637787571421</v>
      </c>
      <c r="BT336" s="3066">
        <f>SUM(BP336:BS336)</f>
        <v>337.41685393614284</v>
      </c>
      <c r="BU336" s="2915">
        <f>BU334+BU333</f>
        <v>82.304672847142868</v>
      </c>
      <c r="BV336" s="2915">
        <f>BV334+BV333</f>
        <v>84.844733802335696</v>
      </c>
      <c r="BW336" s="2915">
        <f>BW334+BW333</f>
        <v>84.670356144449983</v>
      </c>
      <c r="BX336" s="2915">
        <f>BX334+BX333</f>
        <v>79.907760548855705</v>
      </c>
      <c r="BY336" s="3066">
        <f>SUM(BU336:BX336)</f>
        <v>331.72752334278425</v>
      </c>
      <c r="BZ336" s="455">
        <f t="shared" ref="BZ336:CF336" si="747">BZ334+BZ333</f>
        <v>336.70343619292601</v>
      </c>
      <c r="CA336" s="455">
        <f t="shared" si="747"/>
        <v>336.70343619292601</v>
      </c>
      <c r="CB336" s="455">
        <f t="shared" si="747"/>
        <v>319.86826438327972</v>
      </c>
      <c r="CC336" s="455">
        <f t="shared" si="747"/>
        <v>303.87485116411574</v>
      </c>
      <c r="CD336" s="455">
        <f t="shared" si="747"/>
        <v>309.952348187398</v>
      </c>
      <c r="CE336" s="455">
        <f t="shared" si="747"/>
        <v>316.151395151146</v>
      </c>
      <c r="CF336" s="455">
        <f t="shared" si="747"/>
        <v>322.47442305416894</v>
      </c>
      <c r="CG336" s="476"/>
      <c r="CH336" s="476"/>
      <c r="CI336" s="476"/>
      <c r="CJ336" s="476"/>
      <c r="CK336" s="476"/>
      <c r="CL336" s="528" t="str">
        <f>A336</f>
        <v>Casino revenue</v>
      </c>
      <c r="CM336" s="454">
        <f>G336</f>
        <v>362.95426170728467</v>
      </c>
      <c r="CN336" s="454">
        <f>L336</f>
        <v>403.23818151299997</v>
      </c>
      <c r="CO336" s="454">
        <f>Q336</f>
        <v>451.41672873000005</v>
      </c>
      <c r="CP336" s="454">
        <f>V336</f>
        <v>463.36781226999994</v>
      </c>
      <c r="CQ336" s="454">
        <f>AA336</f>
        <v>442.84829189000004</v>
      </c>
      <c r="CR336" s="454">
        <f>AF336</f>
        <v>424.8</v>
      </c>
      <c r="CS336" s="454">
        <f>AK336</f>
        <v>455.89275774999999</v>
      </c>
      <c r="CT336" s="454">
        <f>AP336</f>
        <v>546.95897626999999</v>
      </c>
      <c r="CU336" s="454">
        <f>AU336</f>
        <v>547.29566947499995</v>
      </c>
      <c r="CV336" s="454">
        <f>AZ336</f>
        <v>455.51929333000004</v>
      </c>
      <c r="CW336" s="454">
        <f>BE336</f>
        <v>392.53500089499994</v>
      </c>
      <c r="CX336" s="454">
        <f>BJ336</f>
        <v>384.67829944571429</v>
      </c>
      <c r="CY336" s="454">
        <f>BO336</f>
        <v>375.05844004142853</v>
      </c>
      <c r="CZ336" s="454">
        <f>BT336</f>
        <v>337.41685393614284</v>
      </c>
      <c r="DA336" s="454">
        <f t="shared" si="746"/>
        <v>331.72752334278425</v>
      </c>
      <c r="DB336" s="454">
        <f t="shared" si="746"/>
        <v>336.70343619292601</v>
      </c>
      <c r="DC336" s="1666">
        <f t="shared" si="746"/>
        <v>336.70343619292601</v>
      </c>
      <c r="DD336" s="476"/>
      <c r="DE336" s="476"/>
      <c r="DF336" s="598"/>
      <c r="DG336" s="598"/>
      <c r="DH336" s="2915"/>
      <c r="DI336" s="3213"/>
      <c r="DJ336" s="598"/>
      <c r="DK336" s="598"/>
      <c r="DL336" s="598"/>
      <c r="DM336" s="598"/>
      <c r="DN336" s="598"/>
      <c r="DO336" s="598"/>
      <c r="DP336" s="598"/>
      <c r="DQ336" s="598"/>
      <c r="DR336" s="660"/>
      <c r="DS336" s="660"/>
      <c r="DT336" s="660"/>
    </row>
    <row r="337" spans="1:124" ht="12" customHeight="1" x14ac:dyDescent="0.25">
      <c r="A337" s="465" t="s">
        <v>2107</v>
      </c>
      <c r="B337" s="466"/>
      <c r="C337" s="467"/>
      <c r="D337" s="467"/>
      <c r="E337" s="467"/>
      <c r="F337" s="467"/>
      <c r="G337" s="468"/>
      <c r="H337" s="467">
        <f>+H333/C333-1</f>
        <v>0.10811277237303019</v>
      </c>
      <c r="I337" s="467">
        <f t="shared" ref="I337:BU337" si="748">+I333/D333-1</f>
        <v>4.6335318423654348E-2</v>
      </c>
      <c r="J337" s="467">
        <f t="shared" si="748"/>
        <v>0.12069747079764537</v>
      </c>
      <c r="K337" s="467">
        <f t="shared" si="748"/>
        <v>0.17713277130442395</v>
      </c>
      <c r="L337" s="468">
        <f t="shared" si="748"/>
        <v>0.11098897039044409</v>
      </c>
      <c r="M337" s="467">
        <f t="shared" si="748"/>
        <v>9.2045074624302448E-2</v>
      </c>
      <c r="N337" s="467">
        <f t="shared" si="748"/>
        <v>0.11503118965545323</v>
      </c>
      <c r="O337" s="467">
        <f t="shared" si="748"/>
        <v>7.6904469869192971E-2</v>
      </c>
      <c r="P337" s="467">
        <f t="shared" si="748"/>
        <v>0.20001096425361986</v>
      </c>
      <c r="Q337" s="468">
        <f t="shared" si="748"/>
        <v>0.11947913026546275</v>
      </c>
      <c r="R337" s="467">
        <f t="shared" si="748"/>
        <v>7.9480261901010874E-2</v>
      </c>
      <c r="S337" s="467">
        <f t="shared" si="748"/>
        <v>7.7311956717763586E-2</v>
      </c>
      <c r="T337" s="467">
        <f t="shared" si="748"/>
        <v>2.4877826713141982E-2</v>
      </c>
      <c r="U337" s="467">
        <f t="shared" si="748"/>
        <v>-6.8506377839033905E-2</v>
      </c>
      <c r="V337" s="468">
        <f t="shared" si="748"/>
        <v>2.6474613764586596E-2</v>
      </c>
      <c r="W337" s="467">
        <f t="shared" si="748"/>
        <v>9.2762724142581021E-3</v>
      </c>
      <c r="X337" s="467">
        <f t="shared" si="748"/>
        <v>-2.7050311559271512E-2</v>
      </c>
      <c r="Y337" s="467">
        <f t="shared" si="748"/>
        <v>-7.2433763942841956E-2</v>
      </c>
      <c r="Z337" s="467">
        <f t="shared" si="748"/>
        <v>-8.786975322338697E-2</v>
      </c>
      <c r="AA337" s="468">
        <f t="shared" si="748"/>
        <v>-4.4283439282233439E-2</v>
      </c>
      <c r="AB337" s="467">
        <f t="shared" si="748"/>
        <v>-1.805219124920876E-2</v>
      </c>
      <c r="AC337" s="467">
        <f t="shared" si="748"/>
        <v>7.3803741038367399E-3</v>
      </c>
      <c r="AD337" s="467">
        <f t="shared" si="748"/>
        <v>-6.3205539898420815E-2</v>
      </c>
      <c r="AE337" s="469">
        <f t="shared" si="748"/>
        <v>-9.8117664149881434E-2</v>
      </c>
      <c r="AF337" s="470">
        <f t="shared" si="748"/>
        <v>-4.075502202565362E-2</v>
      </c>
      <c r="AG337" s="467">
        <f t="shared" si="748"/>
        <v>-0.12999112688553682</v>
      </c>
      <c r="AH337" s="467">
        <f t="shared" si="748"/>
        <v>-9.2228864218616535E-2</v>
      </c>
      <c r="AI337" s="467">
        <f t="shared" si="748"/>
        <v>-1.1796036603773596E-2</v>
      </c>
      <c r="AJ337" s="469">
        <f t="shared" si="748"/>
        <v>-4.3196783146066675E-3</v>
      </c>
      <c r="AK337" s="470">
        <f t="shared" si="748"/>
        <v>-6.3759018950094282E-2</v>
      </c>
      <c r="AL337" s="467">
        <f t="shared" si="748"/>
        <v>-1.3258541560423609E-4</v>
      </c>
      <c r="AM337" s="467">
        <f t="shared" si="748"/>
        <v>-6.702771589840073E-2</v>
      </c>
      <c r="AN337" s="467">
        <f t="shared" si="748"/>
        <v>-1.1862764930091974E-2</v>
      </c>
      <c r="AO337" s="469">
        <f t="shared" si="748"/>
        <v>8.5915524845292524E-2</v>
      </c>
      <c r="AP337" s="471">
        <f t="shared" si="748"/>
        <v>-1.9290562952660739E-3</v>
      </c>
      <c r="AQ337" s="471">
        <f t="shared" si="748"/>
        <v>9.5745483847934798E-2</v>
      </c>
      <c r="AR337" s="469">
        <f t="shared" si="748"/>
        <v>3.0270205177549636E-2</v>
      </c>
      <c r="AS337" s="469">
        <f t="shared" si="748"/>
        <v>-9.5443415807626719E-2</v>
      </c>
      <c r="AT337" s="469">
        <f t="shared" si="748"/>
        <v>-0.1622062402706046</v>
      </c>
      <c r="AU337" s="470">
        <f t="shared" si="748"/>
        <v>-3.300019463408066E-2</v>
      </c>
      <c r="AV337" s="469">
        <f t="shared" si="748"/>
        <v>-0.22568580577266062</v>
      </c>
      <c r="AW337" s="469">
        <f t="shared" si="748"/>
        <v>-0.12976472640613834</v>
      </c>
      <c r="AX337" s="469">
        <f t="shared" si="748"/>
        <v>-0.10815551546231861</v>
      </c>
      <c r="AY337" s="469">
        <f t="shared" si="748"/>
        <v>-8.4547843900549813E-2</v>
      </c>
      <c r="AZ337" s="1468">
        <f t="shared" si="748"/>
        <v>-0.14184129585682481</v>
      </c>
      <c r="BA337" s="469">
        <f t="shared" si="748"/>
        <v>-0.134817806243413</v>
      </c>
      <c r="BB337" s="469">
        <f t="shared" si="748"/>
        <v>-9.867344580624493E-2</v>
      </c>
      <c r="BC337" s="469">
        <f t="shared" si="748"/>
        <v>-5.9714363176225693E-2</v>
      </c>
      <c r="BD337" s="1463">
        <f t="shared" si="748"/>
        <v>-4.7100257304868332E-2</v>
      </c>
      <c r="BE337" s="1689">
        <f>+BE333/AZ333-1</f>
        <v>-8.6369467316692927E-2</v>
      </c>
      <c r="BF337" s="469">
        <f t="shared" si="748"/>
        <v>-4.8683519417709764E-2</v>
      </c>
      <c r="BG337" s="469">
        <f t="shared" si="748"/>
        <v>-4.616887696050731E-2</v>
      </c>
      <c r="BH337" s="469">
        <f t="shared" si="748"/>
        <v>3.6600858338233788E-3</v>
      </c>
      <c r="BI337" s="1463">
        <f t="shared" si="748"/>
        <v>6.023124830293658E-2</v>
      </c>
      <c r="BJ337" s="1862">
        <f>+BJ333/BE333-1</f>
        <v>-8.9064122656326017E-3</v>
      </c>
      <c r="BK337" s="471">
        <f t="shared" si="748"/>
        <v>3.7931394499150173E-2</v>
      </c>
      <c r="BL337" s="469">
        <f t="shared" si="748"/>
        <v>-1.8063695023745274E-2</v>
      </c>
      <c r="BM337" s="469">
        <f t="shared" si="748"/>
        <v>-1.9919566486167328E-2</v>
      </c>
      <c r="BN337" s="469">
        <f t="shared" si="748"/>
        <v>-3.4992706668174001E-2</v>
      </c>
      <c r="BO337" s="1468">
        <f>+BO333/BJ333-1</f>
        <v>-9.9335370883578689E-3</v>
      </c>
      <c r="BP337" s="469">
        <f t="shared" si="748"/>
        <v>-7.7825097922682773E-2</v>
      </c>
      <c r="BQ337" s="469">
        <f t="shared" si="748"/>
        <v>-6.202083024543914E-2</v>
      </c>
      <c r="BR337" s="469">
        <f t="shared" si="748"/>
        <v>-8.9132024504403717E-2</v>
      </c>
      <c r="BS337" s="469">
        <f t="shared" si="748"/>
        <v>-8.660523601376191E-2</v>
      </c>
      <c r="BT337" s="468">
        <f>+BT333/BO333-1</f>
        <v>-7.8904368514585488E-2</v>
      </c>
      <c r="BU337" s="469">
        <f t="shared" si="748"/>
        <v>2.897183641165979E-3</v>
      </c>
      <c r="BV337" s="540">
        <v>-0.02</v>
      </c>
      <c r="BW337" s="540">
        <v>-0.02</v>
      </c>
      <c r="BX337" s="540">
        <v>-0.02</v>
      </c>
      <c r="BY337" s="468">
        <f>+BY333/BT333-1</f>
        <v>-1.4483906479340392E-2</v>
      </c>
      <c r="BZ337" s="566">
        <v>1.4999999999999999E-2</v>
      </c>
      <c r="CA337" s="566">
        <v>0</v>
      </c>
      <c r="CB337" s="566">
        <v>-0.05</v>
      </c>
      <c r="CC337" s="566">
        <v>-0.05</v>
      </c>
      <c r="CD337" s="566">
        <v>0.02</v>
      </c>
      <c r="CE337" s="566">
        <v>0.02</v>
      </c>
      <c r="CF337" s="566">
        <v>0.02</v>
      </c>
      <c r="CG337" s="476"/>
      <c r="CH337" s="476"/>
      <c r="CI337" s="476"/>
      <c r="CJ337" s="476"/>
      <c r="CK337" s="492"/>
      <c r="CL337" s="1310"/>
      <c r="CM337" s="469"/>
      <c r="CN337" s="469"/>
      <c r="CO337" s="469"/>
      <c r="CP337" s="469"/>
      <c r="CQ337" s="469"/>
      <c r="CR337" s="469"/>
      <c r="CS337" s="469"/>
      <c r="CT337" s="469"/>
      <c r="CU337" s="469"/>
      <c r="CV337" s="469"/>
      <c r="CW337" s="469"/>
      <c r="CX337" s="469"/>
      <c r="CY337" s="469"/>
      <c r="CZ337" s="469"/>
      <c r="DA337" s="469"/>
      <c r="DB337" s="469"/>
      <c r="DC337" s="1463"/>
      <c r="DD337" s="492"/>
      <c r="DE337" s="492"/>
      <c r="DF337" s="962"/>
      <c r="DG337" s="962"/>
      <c r="DH337" s="469"/>
      <c r="DI337" s="3213"/>
      <c r="DJ337" s="962"/>
      <c r="DK337" s="962"/>
      <c r="DL337" s="962"/>
      <c r="DM337" s="962"/>
      <c r="DN337" s="962"/>
      <c r="DO337" s="962"/>
      <c r="DP337" s="962"/>
      <c r="DQ337" s="962"/>
      <c r="DR337" s="963"/>
      <c r="DS337" s="963"/>
      <c r="DT337" s="963"/>
    </row>
    <row r="338" spans="1:124" ht="12" customHeight="1" x14ac:dyDescent="0.25">
      <c r="A338" s="465" t="s">
        <v>2108</v>
      </c>
      <c r="B338" s="466"/>
      <c r="C338" s="467"/>
      <c r="D338" s="467"/>
      <c r="E338" s="467"/>
      <c r="F338" s="467"/>
      <c r="G338" s="468"/>
      <c r="H338" s="467"/>
      <c r="I338" s="467"/>
      <c r="J338" s="467"/>
      <c r="K338" s="467"/>
      <c r="L338" s="468"/>
      <c r="M338" s="467"/>
      <c r="N338" s="467"/>
      <c r="O338" s="467"/>
      <c r="P338" s="467"/>
      <c r="Q338" s="468"/>
      <c r="R338" s="467"/>
      <c r="S338" s="467"/>
      <c r="T338" s="467"/>
      <c r="U338" s="467"/>
      <c r="V338" s="468"/>
      <c r="W338" s="467"/>
      <c r="X338" s="467"/>
      <c r="Y338" s="467"/>
      <c r="Z338" s="467"/>
      <c r="AA338" s="468"/>
      <c r="AB338" s="467"/>
      <c r="AC338" s="467"/>
      <c r="AD338" s="467"/>
      <c r="AE338" s="469"/>
      <c r="AF338" s="470"/>
      <c r="AG338" s="467"/>
      <c r="AH338" s="467"/>
      <c r="AI338" s="467"/>
      <c r="AJ338" s="469"/>
      <c r="AK338" s="470"/>
      <c r="AL338" s="467"/>
      <c r="AM338" s="467"/>
      <c r="AN338" s="467">
        <f t="shared" ref="AN338:BU338" si="749">+AN334/AI334-1</f>
        <v>0.56809429387884403</v>
      </c>
      <c r="AO338" s="469">
        <f t="shared" si="749"/>
        <v>0.15763860773505467</v>
      </c>
      <c r="AP338" s="471">
        <f t="shared" si="749"/>
        <v>1.5785018775872612</v>
      </c>
      <c r="AQ338" s="471">
        <f t="shared" si="749"/>
        <v>0.26466865761998082</v>
      </c>
      <c r="AR338" s="469">
        <f t="shared" si="749"/>
        <v>3.2079232511642575E-2</v>
      </c>
      <c r="AS338" s="469">
        <f t="shared" si="749"/>
        <v>2.5338502000075591E-2</v>
      </c>
      <c r="AT338" s="469">
        <f t="shared" si="749"/>
        <v>5.6269571639586458E-2</v>
      </c>
      <c r="AU338" s="470">
        <f t="shared" si="749"/>
        <v>8.9567104595177582E-2</v>
      </c>
      <c r="AV338" s="469">
        <f t="shared" si="749"/>
        <v>-5.4248309869701861E-2</v>
      </c>
      <c r="AW338" s="469">
        <f t="shared" si="749"/>
        <v>-0.18963146642053041</v>
      </c>
      <c r="AX338" s="469">
        <f t="shared" si="749"/>
        <v>-0.27007526295117013</v>
      </c>
      <c r="AY338" s="469">
        <f t="shared" si="749"/>
        <v>-0.40987475670771667</v>
      </c>
      <c r="AZ338" s="1468">
        <f>+AZ334/AU334-1</f>
        <v>-0.22839683155148127</v>
      </c>
      <c r="BA338" s="469">
        <f t="shared" si="749"/>
        <v>-0.44136145346152944</v>
      </c>
      <c r="BB338" s="467">
        <f t="shared" si="749"/>
        <v>-0.25671259601573249</v>
      </c>
      <c r="BC338" s="467">
        <f t="shared" si="749"/>
        <v>-0.19284810121915119</v>
      </c>
      <c r="BD338" s="1463">
        <f t="shared" si="749"/>
        <v>-0.10990569530309491</v>
      </c>
      <c r="BE338" s="1689">
        <f>+BE334/AZ334-1</f>
        <v>-0.27382610242689609</v>
      </c>
      <c r="BF338" s="469">
        <f t="shared" si="749"/>
        <v>-9.0526361155619295E-2</v>
      </c>
      <c r="BG338" s="469">
        <f t="shared" si="749"/>
        <v>-6.6642167175633427E-3</v>
      </c>
      <c r="BH338" s="469">
        <f t="shared" si="749"/>
        <v>-0.10516214820753034</v>
      </c>
      <c r="BI338" s="1463">
        <f t="shared" si="749"/>
        <v>-2.2171838362178509E-2</v>
      </c>
      <c r="BJ338" s="1862">
        <f>+BJ334/BE334-1</f>
        <v>-5.6520639578285792E-2</v>
      </c>
      <c r="BK338" s="471">
        <f t="shared" si="749"/>
        <v>-6.0886219068151393E-3</v>
      </c>
      <c r="BL338" s="469">
        <f t="shared" si="749"/>
        <v>-0.15845454159491923</v>
      </c>
      <c r="BM338" s="469">
        <f t="shared" si="749"/>
        <v>-1.1827602114965918E-2</v>
      </c>
      <c r="BN338" s="469">
        <f t="shared" si="749"/>
        <v>-0.12115842922033981</v>
      </c>
      <c r="BO338" s="1468">
        <f>+BO334/BJ334-1</f>
        <v>-7.7042757843390319E-2</v>
      </c>
      <c r="BP338" s="469">
        <f t="shared" si="749"/>
        <v>-0.17059747264306258</v>
      </c>
      <c r="BQ338" s="469">
        <f t="shared" si="749"/>
        <v>-0.18288567956943835</v>
      </c>
      <c r="BR338" s="469">
        <f t="shared" si="749"/>
        <v>-0.22479434617686556</v>
      </c>
      <c r="BS338" s="469">
        <f t="shared" si="749"/>
        <v>-0.13598614129185238</v>
      </c>
      <c r="BT338" s="468">
        <f>+BT334/BO334-1</f>
        <v>-0.17981882398617954</v>
      </c>
      <c r="BU338" s="469">
        <f t="shared" si="749"/>
        <v>-3.1677223155365142E-2</v>
      </c>
      <c r="BV338" s="540">
        <v>-2.5000000000000001E-2</v>
      </c>
      <c r="BW338" s="540">
        <v>-2.5000000000000001E-2</v>
      </c>
      <c r="BX338" s="540">
        <v>-2.5000000000000001E-2</v>
      </c>
      <c r="BY338" s="468">
        <f>+BY334/BT334-1</f>
        <v>-2.6748579715770382E-2</v>
      </c>
      <c r="BZ338" s="566">
        <v>1.4999999999999999E-2</v>
      </c>
      <c r="CA338" s="566">
        <v>0</v>
      </c>
      <c r="CB338" s="566">
        <v>-0.05</v>
      </c>
      <c r="CC338" s="566">
        <v>-0.05</v>
      </c>
      <c r="CD338" s="566">
        <v>0.02</v>
      </c>
      <c r="CE338" s="566">
        <v>0.02</v>
      </c>
      <c r="CF338" s="566">
        <v>0.02</v>
      </c>
      <c r="CG338" s="476"/>
      <c r="CH338" s="476"/>
      <c r="CI338" s="476"/>
      <c r="CJ338" s="476"/>
      <c r="CK338" s="492"/>
      <c r="CL338" s="1310"/>
      <c r="CM338" s="469"/>
      <c r="CN338" s="469"/>
      <c r="CO338" s="469"/>
      <c r="CP338" s="469"/>
      <c r="CQ338" s="469"/>
      <c r="CR338" s="469"/>
      <c r="CS338" s="469"/>
      <c r="CT338" s="469"/>
      <c r="CU338" s="469"/>
      <c r="CV338" s="469"/>
      <c r="CW338" s="469"/>
      <c r="CX338" s="469"/>
      <c r="CY338" s="469"/>
      <c r="CZ338" s="469"/>
      <c r="DA338" s="469"/>
      <c r="DB338" s="469"/>
      <c r="DC338" s="1463"/>
      <c r="DD338" s="492"/>
      <c r="DE338" s="492"/>
      <c r="DF338" s="962"/>
      <c r="DG338" s="962"/>
      <c r="DH338" s="469"/>
      <c r="DI338" s="3213"/>
      <c r="DJ338" s="962"/>
      <c r="DK338" s="962"/>
      <c r="DL338" s="962"/>
      <c r="DM338" s="962"/>
      <c r="DN338" s="962"/>
      <c r="DO338" s="962"/>
      <c r="DP338" s="962"/>
      <c r="DQ338" s="962"/>
      <c r="DR338" s="963"/>
      <c r="DS338" s="963"/>
      <c r="DT338" s="963"/>
    </row>
    <row r="339" spans="1:124" ht="12" customHeight="1" x14ac:dyDescent="0.25">
      <c r="A339" s="465" t="s">
        <v>2109</v>
      </c>
      <c r="B339" s="466"/>
      <c r="C339" s="467" t="s">
        <v>553</v>
      </c>
      <c r="D339" s="467" t="s">
        <v>553</v>
      </c>
      <c r="E339" s="467" t="s">
        <v>553</v>
      </c>
      <c r="F339" s="467" t="s">
        <v>553</v>
      </c>
      <c r="G339" s="468" t="s">
        <v>553</v>
      </c>
      <c r="H339" s="467">
        <f>(H336-C336)/C336</f>
        <v>0.10811277237303028</v>
      </c>
      <c r="I339" s="467">
        <f t="shared" ref="I339:AE339" si="750">(I336-D336)/D336</f>
        <v>4.6335318423654251E-2</v>
      </c>
      <c r="J339" s="467">
        <f t="shared" si="750"/>
        <v>0.1206974707976454</v>
      </c>
      <c r="K339" s="467">
        <f t="shared" si="750"/>
        <v>0.17713277130442404</v>
      </c>
      <c r="L339" s="468">
        <f t="shared" si="750"/>
        <v>0.11098897039044406</v>
      </c>
      <c r="M339" s="467">
        <f t="shared" si="750"/>
        <v>9.2045074624302559E-2</v>
      </c>
      <c r="N339" s="467">
        <f t="shared" si="750"/>
        <v>0.11503118965545329</v>
      </c>
      <c r="O339" s="467">
        <f t="shared" si="750"/>
        <v>7.6904469869192874E-2</v>
      </c>
      <c r="P339" s="467">
        <f t="shared" si="750"/>
        <v>0.20001096425361981</v>
      </c>
      <c r="Q339" s="468">
        <f t="shared" si="750"/>
        <v>0.11947913026546284</v>
      </c>
      <c r="R339" s="467">
        <f t="shared" si="750"/>
        <v>7.9480261901010901E-2</v>
      </c>
      <c r="S339" s="467">
        <f t="shared" si="750"/>
        <v>7.7311956717763669E-2</v>
      </c>
      <c r="T339" s="467">
        <f t="shared" si="750"/>
        <v>2.4877826713142037E-2</v>
      </c>
      <c r="U339" s="467">
        <f t="shared" si="750"/>
        <v>-6.8506377839033891E-2</v>
      </c>
      <c r="V339" s="468">
        <f t="shared" si="750"/>
        <v>2.6474613764586569E-2</v>
      </c>
      <c r="W339" s="467">
        <f t="shared" si="750"/>
        <v>9.2762724142580275E-3</v>
      </c>
      <c r="X339" s="467">
        <f t="shared" si="750"/>
        <v>-2.705031155927156E-2</v>
      </c>
      <c r="Y339" s="467">
        <f t="shared" si="750"/>
        <v>-7.2433763942841983E-2</v>
      </c>
      <c r="Z339" s="467">
        <f t="shared" si="750"/>
        <v>-8.7869753223386998E-2</v>
      </c>
      <c r="AA339" s="468">
        <f t="shared" si="750"/>
        <v>-4.428343928223348E-2</v>
      </c>
      <c r="AB339" s="467">
        <f t="shared" si="750"/>
        <v>-1.8052191249208711E-2</v>
      </c>
      <c r="AC339" s="467">
        <f t="shared" si="750"/>
        <v>7.3803741038366323E-3</v>
      </c>
      <c r="AD339" s="467">
        <f t="shared" si="750"/>
        <v>-6.3205539898420801E-2</v>
      </c>
      <c r="AE339" s="469">
        <f t="shared" si="750"/>
        <v>-9.8117664149881378E-2</v>
      </c>
      <c r="AF339" s="470">
        <f t="shared" ref="AF339:AU339" si="751">(AF336-AA336)/AA336</f>
        <v>-4.0755022025653606E-2</v>
      </c>
      <c r="AG339" s="467">
        <f t="shared" si="751"/>
        <v>-0.12999112688553688</v>
      </c>
      <c r="AH339" s="467">
        <f t="shared" si="751"/>
        <v>-9.2228864218616549E-2</v>
      </c>
      <c r="AI339" s="467">
        <f t="shared" si="751"/>
        <v>0.22257520632075484</v>
      </c>
      <c r="AJ339" s="469">
        <f t="shared" si="751"/>
        <v>0.37022231325842703</v>
      </c>
      <c r="AK339" s="470">
        <f t="shared" si="751"/>
        <v>7.3193874176082807E-2</v>
      </c>
      <c r="AL339" s="467">
        <f t="shared" si="751"/>
        <v>0.34859765425803185</v>
      </c>
      <c r="AM339" s="467">
        <f t="shared" si="751"/>
        <v>0.29301277657572894</v>
      </c>
      <c r="AN339" s="467">
        <f t="shared" si="751"/>
        <v>9.9316699542249601E-2</v>
      </c>
      <c r="AO339" s="469">
        <f t="shared" si="751"/>
        <v>0.105520596261337</v>
      </c>
      <c r="AP339" s="471">
        <f t="shared" si="751"/>
        <v>0.19975359768697709</v>
      </c>
      <c r="AQ339" s="471">
        <f t="shared" si="751"/>
        <v>0.1394268729486498</v>
      </c>
      <c r="AR339" s="469">
        <f t="shared" si="751"/>
        <v>3.0773930356500355E-2</v>
      </c>
      <c r="AS339" s="469">
        <f t="shared" si="751"/>
        <v>-6.2415588174598649E-2</v>
      </c>
      <c r="AT339" s="469">
        <f t="shared" si="751"/>
        <v>-9.9671837551365577E-2</v>
      </c>
      <c r="AU339" s="470">
        <f t="shared" si="751"/>
        <v>6.1557304954760583E-4</v>
      </c>
      <c r="AV339" s="471">
        <f t="shared" ref="AV339:BA339" si="752">(AV336-AQ336)/AQ336</f>
        <v>-0.17648147599876571</v>
      </c>
      <c r="AW339" s="469">
        <f t="shared" si="752"/>
        <v>-0.14645578007709872</v>
      </c>
      <c r="AX339" s="469">
        <f t="shared" si="752"/>
        <v>-0.15657663133326813</v>
      </c>
      <c r="AY339" s="1463">
        <f t="shared" si="752"/>
        <v>-0.19379485654922918</v>
      </c>
      <c r="AZ339" s="1468">
        <f t="shared" si="752"/>
        <v>-0.16769066751987555</v>
      </c>
      <c r="BA339" s="469">
        <f t="shared" si="752"/>
        <v>-0.23585786260641237</v>
      </c>
      <c r="BB339" s="469">
        <f t="shared" ref="BB339:BJ339" si="753">(BB336-AW336)/AW336</f>
        <v>-0.14050648072934929</v>
      </c>
      <c r="BC339" s="469">
        <f t="shared" si="753"/>
        <v>-9.4169624964424187E-2</v>
      </c>
      <c r="BD339" s="469">
        <f t="shared" si="753"/>
        <v>-6.253805888510007E-2</v>
      </c>
      <c r="BE339" s="1468">
        <f t="shared" si="753"/>
        <v>-0.13826920913615673</v>
      </c>
      <c r="BF339" s="469">
        <f t="shared" si="753"/>
        <v>-5.8766273655004371E-2</v>
      </c>
      <c r="BG339" s="469">
        <f t="shared" si="753"/>
        <v>-3.7125780046547874E-2</v>
      </c>
      <c r="BH339" s="469">
        <f t="shared" si="753"/>
        <v>-2.1435275801742312E-2</v>
      </c>
      <c r="BI339" s="469">
        <f t="shared" si="753"/>
        <v>4.0999708294866245E-2</v>
      </c>
      <c r="BJ339" s="1862">
        <f t="shared" si="753"/>
        <v>-2.00152889076693E-2</v>
      </c>
      <c r="BK339" s="471">
        <f t="shared" ref="BK339:BT339" si="754">(BK336-BF336)/BF336</f>
        <v>2.7681937801465425E-2</v>
      </c>
      <c r="BL339" s="469">
        <f t="shared" si="754"/>
        <v>-5.1217560309519281E-2</v>
      </c>
      <c r="BM339" s="469">
        <f t="shared" si="754"/>
        <v>-1.8213151826481325E-2</v>
      </c>
      <c r="BN339" s="469">
        <f t="shared" si="754"/>
        <v>-5.3882058251574029E-2</v>
      </c>
      <c r="BO339" s="1468">
        <f t="shared" si="754"/>
        <v>-2.5007543753175279E-2</v>
      </c>
      <c r="BP339" s="469">
        <f t="shared" si="754"/>
        <v>-9.8716051169878152E-2</v>
      </c>
      <c r="BQ339" s="469">
        <f t="shared" si="754"/>
        <v>-8.7337485811687807E-2</v>
      </c>
      <c r="BR339" s="469">
        <f t="shared" si="754"/>
        <v>-0.1179262476123642</v>
      </c>
      <c r="BS339" s="469">
        <f t="shared" si="754"/>
        <v>-9.6660810251369675E-2</v>
      </c>
      <c r="BT339" s="468">
        <f t="shared" si="754"/>
        <v>-0.10036192253433314</v>
      </c>
      <c r="BU339" s="469">
        <f>(BU336-BP336)/BP336</f>
        <v>-4.2675168297231477E-3</v>
      </c>
      <c r="BV339" s="469">
        <f>(BV336-BQ336)/BQ336</f>
        <v>-2.0937667646260639E-2</v>
      </c>
      <c r="BW339" s="469">
        <f>(BW336-BR336)/BR336</f>
        <v>-2.0932670320861553E-2</v>
      </c>
      <c r="BX339" s="469">
        <f>(BX336-BS336)/BS336</f>
        <v>-2.0973840182569276E-2</v>
      </c>
      <c r="BY339" s="468">
        <f>(BY336-BT336)/BT336</f>
        <v>-1.6861429792227611E-2</v>
      </c>
      <c r="BZ339" s="468">
        <f t="shared" ref="BZ339:CF339" si="755">+BZ336/BY336-1</f>
        <v>1.4999999999999902E-2</v>
      </c>
      <c r="CA339" s="468">
        <f t="shared" si="755"/>
        <v>0</v>
      </c>
      <c r="CB339" s="468">
        <f t="shared" si="755"/>
        <v>-4.9999999999999933E-2</v>
      </c>
      <c r="CC339" s="468">
        <f t="shared" si="755"/>
        <v>-5.0000000000000044E-2</v>
      </c>
      <c r="CD339" s="468">
        <f t="shared" si="755"/>
        <v>1.9999999999999796E-2</v>
      </c>
      <c r="CE339" s="468">
        <f t="shared" si="755"/>
        <v>2.000000000000024E-2</v>
      </c>
      <c r="CF339" s="468">
        <f t="shared" si="755"/>
        <v>2.0000000000000018E-2</v>
      </c>
      <c r="CG339" s="476"/>
      <c r="CH339" s="476"/>
      <c r="CI339" s="476"/>
      <c r="CJ339" s="476"/>
      <c r="CK339" s="492"/>
      <c r="CL339" s="1310" t="str">
        <f>A339</f>
        <v>% Total Casino Growth (y-o-y)</v>
      </c>
      <c r="CM339" s="469" t="str">
        <f>G339</f>
        <v xml:space="preserve">n/a </v>
      </c>
      <c r="CN339" s="469">
        <f>L339</f>
        <v>0.11098897039044406</v>
      </c>
      <c r="CO339" s="469">
        <f>Q339</f>
        <v>0.11947913026546284</v>
      </c>
      <c r="CP339" s="469">
        <f>V339</f>
        <v>2.6474613764586569E-2</v>
      </c>
      <c r="CQ339" s="469">
        <f>AA339</f>
        <v>-4.428343928223348E-2</v>
      </c>
      <c r="CR339" s="469">
        <f>AF339</f>
        <v>-4.0755022025653606E-2</v>
      </c>
      <c r="CS339" s="469">
        <f>AK339</f>
        <v>7.3193874176082807E-2</v>
      </c>
      <c r="CT339" s="469">
        <f>AP339</f>
        <v>0.19975359768697709</v>
      </c>
      <c r="CU339" s="469">
        <f>AU339</f>
        <v>6.1557304954760583E-4</v>
      </c>
      <c r="CV339" s="469">
        <f>AZ339</f>
        <v>-0.16769066751987555</v>
      </c>
      <c r="CW339" s="469">
        <f>BE339</f>
        <v>-0.13826920913615673</v>
      </c>
      <c r="CX339" s="469">
        <f>BJ339</f>
        <v>-2.00152889076693E-2</v>
      </c>
      <c r="CY339" s="469">
        <f>BO339</f>
        <v>-2.5007543753175279E-2</v>
      </c>
      <c r="CZ339" s="469">
        <f>BT339</f>
        <v>-0.10036192253433314</v>
      </c>
      <c r="DA339" s="469">
        <f t="shared" ref="DA339:DC342" si="756">BY339</f>
        <v>-1.6861429792227611E-2</v>
      </c>
      <c r="DB339" s="469">
        <f t="shared" si="756"/>
        <v>1.4999999999999902E-2</v>
      </c>
      <c r="DC339" s="1463">
        <f t="shared" si="756"/>
        <v>0</v>
      </c>
      <c r="DD339" s="492"/>
      <c r="DE339" s="492"/>
      <c r="DF339" s="962"/>
      <c r="DG339" s="962"/>
      <c r="DH339" s="469"/>
      <c r="DI339" s="3213"/>
      <c r="DJ339" s="962"/>
      <c r="DK339" s="962"/>
      <c r="DL339" s="962"/>
      <c r="DM339" s="962"/>
      <c r="DN339" s="962"/>
      <c r="DO339" s="962"/>
      <c r="DP339" s="962"/>
      <c r="DQ339" s="962"/>
      <c r="DR339" s="963"/>
      <c r="DS339" s="963"/>
      <c r="DT339" s="963"/>
    </row>
    <row r="340" spans="1:124" ht="12" customHeight="1" x14ac:dyDescent="0.25">
      <c r="A340" s="311" t="s">
        <v>645</v>
      </c>
      <c r="B340" s="311"/>
      <c r="C340" s="446">
        <f t="shared" ref="C340:AE340" si="757">C341-C336</f>
        <v>6.9985040400000003</v>
      </c>
      <c r="D340" s="446">
        <f t="shared" si="757"/>
        <v>6.4692890400000067</v>
      </c>
      <c r="E340" s="446">
        <f t="shared" si="757"/>
        <v>5.8798315000000088</v>
      </c>
      <c r="F340" s="446">
        <f t="shared" si="757"/>
        <v>17.832113712715284</v>
      </c>
      <c r="G340" s="447">
        <f t="shared" si="757"/>
        <v>37.179738292715342</v>
      </c>
      <c r="H340" s="446">
        <f t="shared" si="757"/>
        <v>6.7429092470000001</v>
      </c>
      <c r="I340" s="446">
        <f t="shared" si="757"/>
        <v>13.319898739999985</v>
      </c>
      <c r="J340" s="446">
        <f t="shared" si="757"/>
        <v>7.8762645000000049</v>
      </c>
      <c r="K340" s="446">
        <f t="shared" si="757"/>
        <v>9.4637460000000146</v>
      </c>
      <c r="L340" s="447">
        <f t="shared" si="757"/>
        <v>37.40281848699999</v>
      </c>
      <c r="M340" s="446">
        <f t="shared" si="757"/>
        <v>11.57277277</v>
      </c>
      <c r="N340" s="446">
        <f t="shared" si="757"/>
        <v>11.551999999999992</v>
      </c>
      <c r="O340" s="446">
        <f t="shared" si="757"/>
        <v>7.9462644999999981</v>
      </c>
      <c r="P340" s="446">
        <f t="shared" si="757"/>
        <v>2.7082339999999903</v>
      </c>
      <c r="Q340" s="447">
        <f t="shared" si="757"/>
        <v>33.779271269999924</v>
      </c>
      <c r="R340" s="446">
        <f t="shared" si="757"/>
        <v>5.8789859999999976</v>
      </c>
      <c r="S340" s="446">
        <f t="shared" si="757"/>
        <v>9.66610399999999</v>
      </c>
      <c r="T340" s="446">
        <f t="shared" si="757"/>
        <v>11.388138000000012</v>
      </c>
      <c r="U340" s="446">
        <f t="shared" si="757"/>
        <v>10.49895973000001</v>
      </c>
      <c r="V340" s="447">
        <f t="shared" si="757"/>
        <v>37.43218773000001</v>
      </c>
      <c r="W340" s="446">
        <f t="shared" si="757"/>
        <v>7.7401160000000004</v>
      </c>
      <c r="X340" s="446">
        <f t="shared" si="757"/>
        <v>5.8309101100000049</v>
      </c>
      <c r="Y340" s="446">
        <f t="shared" si="757"/>
        <v>10.212177999999994</v>
      </c>
      <c r="Z340" s="446">
        <f t="shared" si="757"/>
        <v>10.400503999999984</v>
      </c>
      <c r="AA340" s="447">
        <f t="shared" si="757"/>
        <v>34.183708109999884</v>
      </c>
      <c r="AB340" s="446">
        <f t="shared" si="757"/>
        <v>5.2039999999999935</v>
      </c>
      <c r="AC340" s="446">
        <f t="shared" si="757"/>
        <v>4.335000000000008</v>
      </c>
      <c r="AD340" s="446">
        <f t="shared" si="757"/>
        <v>10.619</v>
      </c>
      <c r="AE340" s="446">
        <f t="shared" si="757"/>
        <v>10.391999999999996</v>
      </c>
      <c r="AF340" s="455">
        <f>SUM(AB340:AE340)</f>
        <v>30.549999999999997</v>
      </c>
      <c r="AG340" s="2168">
        <f>AG341-AG336</f>
        <v>5.1650000000000063</v>
      </c>
      <c r="AH340" s="2168">
        <f>AH341-AH336</f>
        <v>6.0649999999999977</v>
      </c>
      <c r="AI340" s="2168">
        <f>AI341-AI336</f>
        <v>15.00302812999999</v>
      </c>
      <c r="AJ340" s="2168">
        <f>AJ341-AJ336</f>
        <v>12.793214119999988</v>
      </c>
      <c r="AK340" s="455">
        <f>SUM(AG340:AJ340)</f>
        <v>39.026242249999981</v>
      </c>
      <c r="AL340" s="2168">
        <f>AL341-AL336</f>
        <v>7.6619999999999777</v>
      </c>
      <c r="AM340" s="2168">
        <f>AM341-AM336</f>
        <v>11.289741850000013</v>
      </c>
      <c r="AN340" s="565">
        <f>+AI340</f>
        <v>15.00302812999999</v>
      </c>
      <c r="AO340" s="565">
        <v>12</v>
      </c>
      <c r="AP340" s="456">
        <f>SUM(AL340:AO340)</f>
        <v>45.95476997999998</v>
      </c>
      <c r="AQ340" s="1682">
        <v>11</v>
      </c>
      <c r="AR340" s="563">
        <f>+AM340</f>
        <v>11.289741850000013</v>
      </c>
      <c r="AS340" s="563">
        <f>+AN340*0.8</f>
        <v>12.002422503999993</v>
      </c>
      <c r="AT340" s="563">
        <f>+AO340*0.8</f>
        <v>9.6000000000000014</v>
      </c>
      <c r="AU340" s="455">
        <f>SUM(AQ340:AT340)</f>
        <v>43.892164354000009</v>
      </c>
      <c r="AV340" s="1682">
        <f>+AQ340*(1+AV339)</f>
        <v>9.0587037640135772</v>
      </c>
      <c r="AW340" s="563">
        <f>+AR340*(1+AW339)</f>
        <v>9.6362939004891928</v>
      </c>
      <c r="AX340" s="563">
        <f>+AS340*(1+AX339)</f>
        <v>10.123123620485066</v>
      </c>
      <c r="AY340" s="2077">
        <f>+AT340*(1+AY339)</f>
        <v>7.7395693771274017</v>
      </c>
      <c r="AZ340" s="455">
        <f>SUM(AV340:AY340)</f>
        <v>36.557690662115242</v>
      </c>
      <c r="BA340" s="1682">
        <f>+AV340*(1+BA339)</f>
        <v>6.9221372562486723</v>
      </c>
      <c r="BB340" s="2170">
        <f>+AW340*(1+BB339)</f>
        <v>8.2823321572577626</v>
      </c>
      <c r="BC340" s="2170">
        <f>+AX340*(1+BC339)</f>
        <v>9.1698328656754828</v>
      </c>
      <c r="BD340" s="2170">
        <v>8.5</v>
      </c>
      <c r="BE340" s="1598">
        <f>SUM(BA340:BD340)</f>
        <v>32.874302279181919</v>
      </c>
      <c r="BF340" s="2170">
        <v>7.5</v>
      </c>
      <c r="BG340" s="2970">
        <v>9.5</v>
      </c>
      <c r="BH340" s="2970">
        <v>10</v>
      </c>
      <c r="BI340" s="2970">
        <v>10</v>
      </c>
      <c r="BJ340" s="3086">
        <f>SUM(BF340:BI340)</f>
        <v>37</v>
      </c>
      <c r="BK340" s="3168">
        <v>8.5</v>
      </c>
      <c r="BL340" s="2970">
        <v>11</v>
      </c>
      <c r="BM340" s="2970">
        <v>10</v>
      </c>
      <c r="BN340" s="2970">
        <v>10</v>
      </c>
      <c r="BO340" s="1598">
        <f>SUM(BK340:BN340)</f>
        <v>39.5</v>
      </c>
      <c r="BP340" s="2970">
        <f>+BK340</f>
        <v>8.5</v>
      </c>
      <c r="BQ340" s="2970">
        <f>+BL340</f>
        <v>11</v>
      </c>
      <c r="BR340" s="454">
        <f>+BM340*(1+BR339)</f>
        <v>8.8207375238763586</v>
      </c>
      <c r="BS340" s="454">
        <f>+BN340*(1+BS339)</f>
        <v>9.0333918974863039</v>
      </c>
      <c r="BT340" s="3066">
        <f>SUM(BP340:BS340)</f>
        <v>37.354129421362664</v>
      </c>
      <c r="BU340" s="2915">
        <f>+BP340*(1+BU339)</f>
        <v>8.4637261069473535</v>
      </c>
      <c r="BV340" s="2915">
        <f>+BQ340*(1+BV339)</f>
        <v>10.769685655891134</v>
      </c>
      <c r="BW340" s="2915">
        <f>+BR340*(1+BW339)</f>
        <v>8.6360959333022027</v>
      </c>
      <c r="BX340" s="2915">
        <f>+BS340*(1+BX339)</f>
        <v>8.8439269795219104</v>
      </c>
      <c r="BY340" s="3066">
        <f>SUM(BU340:BX340)</f>
        <v>36.713434675662597</v>
      </c>
      <c r="BZ340" s="564">
        <f t="shared" ref="BZ340:CF340" si="758">+BY340*(1+BZ339)</f>
        <v>37.264136195797533</v>
      </c>
      <c r="CA340" s="564">
        <f t="shared" si="758"/>
        <v>37.264136195797533</v>
      </c>
      <c r="CB340" s="564">
        <f t="shared" si="758"/>
        <v>35.400929386007661</v>
      </c>
      <c r="CC340" s="564">
        <f t="shared" si="758"/>
        <v>33.630882916707279</v>
      </c>
      <c r="CD340" s="564">
        <f t="shared" si="758"/>
        <v>34.303500575041419</v>
      </c>
      <c r="CE340" s="564">
        <f t="shared" si="758"/>
        <v>34.989570586542257</v>
      </c>
      <c r="CF340" s="564">
        <f t="shared" si="758"/>
        <v>35.6893619982731</v>
      </c>
      <c r="CG340" s="969"/>
      <c r="CH340" s="969"/>
      <c r="CI340" s="969"/>
      <c r="CJ340" s="969"/>
      <c r="CK340" s="969"/>
      <c r="CL340" s="528" t="str">
        <f>A340</f>
        <v>Other revenue</v>
      </c>
      <c r="CM340" s="454">
        <f>G340</f>
        <v>37.179738292715342</v>
      </c>
      <c r="CN340" s="454">
        <f>L340</f>
        <v>37.40281848699999</v>
      </c>
      <c r="CO340" s="454">
        <f>Q340</f>
        <v>33.779271269999924</v>
      </c>
      <c r="CP340" s="454">
        <f>V340</f>
        <v>37.43218773000001</v>
      </c>
      <c r="CQ340" s="454">
        <f>AA340</f>
        <v>34.183708109999884</v>
      </c>
      <c r="CR340" s="454">
        <f>AF340</f>
        <v>30.549999999999997</v>
      </c>
      <c r="CS340" s="454">
        <f>AK340</f>
        <v>39.026242249999981</v>
      </c>
      <c r="CT340" s="454">
        <f>AP340</f>
        <v>45.95476997999998</v>
      </c>
      <c r="CU340" s="454">
        <f>AU340</f>
        <v>43.892164354000009</v>
      </c>
      <c r="CV340" s="454">
        <f>AZ340</f>
        <v>36.557690662115242</v>
      </c>
      <c r="CW340" s="454">
        <f>BE340</f>
        <v>32.874302279181919</v>
      </c>
      <c r="CX340" s="454">
        <f>BJ340</f>
        <v>37</v>
      </c>
      <c r="CY340" s="454">
        <f>BO340</f>
        <v>39.5</v>
      </c>
      <c r="CZ340" s="454">
        <f>BT340</f>
        <v>37.354129421362664</v>
      </c>
      <c r="DA340" s="454">
        <f t="shared" si="756"/>
        <v>36.713434675662597</v>
      </c>
      <c r="DB340" s="454">
        <f t="shared" si="756"/>
        <v>37.264136195797533</v>
      </c>
      <c r="DC340" s="1666">
        <f t="shared" si="756"/>
        <v>37.264136195797533</v>
      </c>
      <c r="DD340" s="969"/>
      <c r="DE340" s="969"/>
      <c r="DF340" s="970"/>
      <c r="DG340" s="970"/>
      <c r="DH340" s="2915"/>
      <c r="DI340" s="3215"/>
      <c r="DJ340" s="970"/>
      <c r="DK340" s="970"/>
      <c r="DL340" s="970"/>
      <c r="DM340" s="970"/>
      <c r="DN340" s="970"/>
      <c r="DO340" s="970"/>
      <c r="DP340" s="970"/>
      <c r="DQ340" s="970"/>
      <c r="DR340" s="971"/>
      <c r="DS340" s="971"/>
      <c r="DT340" s="971"/>
    </row>
    <row r="341" spans="1:124" ht="12" customHeight="1" x14ac:dyDescent="0.25">
      <c r="A341" s="999" t="s">
        <v>898</v>
      </c>
      <c r="B341" s="1000"/>
      <c r="C341" s="1001">
        <v>94.052000000000007</v>
      </c>
      <c r="D341" s="1001">
        <v>101.524</v>
      </c>
      <c r="E341" s="1001">
        <v>104.503</v>
      </c>
      <c r="F341" s="1001">
        <v>100.05500000000001</v>
      </c>
      <c r="G341" s="1002">
        <f>SUM(C341:F341)</f>
        <v>400.13400000000001</v>
      </c>
      <c r="H341" s="1001">
        <v>103.208</v>
      </c>
      <c r="I341" s="1001">
        <v>112.779</v>
      </c>
      <c r="J341" s="1001">
        <v>118.40300000000001</v>
      </c>
      <c r="K341" s="1001">
        <v>106.251</v>
      </c>
      <c r="L341" s="1002">
        <f>SUM(H341:K341)</f>
        <v>440.64099999999996</v>
      </c>
      <c r="M341" s="1001">
        <v>116.917</v>
      </c>
      <c r="N341" s="1001">
        <v>122.452</v>
      </c>
      <c r="O341" s="1001">
        <v>126.973</v>
      </c>
      <c r="P341" s="1001">
        <v>118.854</v>
      </c>
      <c r="Q341" s="1002">
        <f>SUM(M341:P341)</f>
        <v>485.19599999999997</v>
      </c>
      <c r="R341" s="1001">
        <v>119.596</v>
      </c>
      <c r="S341" s="1001">
        <v>129.13999999999999</v>
      </c>
      <c r="T341" s="1001">
        <v>133.376</v>
      </c>
      <c r="U341" s="1001">
        <v>118.688</v>
      </c>
      <c r="V341" s="1002">
        <f>SUM(R341:U341)</f>
        <v>500.79999999999995</v>
      </c>
      <c r="W341" s="1001">
        <v>122.512</v>
      </c>
      <c r="X341" s="1001">
        <v>122.07299999999999</v>
      </c>
      <c r="Y341" s="1001">
        <v>123.364</v>
      </c>
      <c r="Z341" s="1001">
        <v>109.083</v>
      </c>
      <c r="AA341" s="1002">
        <f>SUM(W341:Z341)</f>
        <v>477.03199999999993</v>
      </c>
      <c r="AB341" s="1001">
        <v>117.904</v>
      </c>
      <c r="AC341" s="1001">
        <v>121.435</v>
      </c>
      <c r="AD341" s="1001">
        <v>116.619</v>
      </c>
      <c r="AE341" s="1003">
        <v>99.391999999999996</v>
      </c>
      <c r="AF341" s="1004">
        <f>SUM(AB341:AE341)</f>
        <v>455.34999999999997</v>
      </c>
      <c r="AG341" s="1001">
        <v>103.215</v>
      </c>
      <c r="AH341" s="1001">
        <v>112.36499999999999</v>
      </c>
      <c r="AI341" s="1001">
        <v>144.596</v>
      </c>
      <c r="AJ341" s="1001">
        <v>134.74299999999999</v>
      </c>
      <c r="AK341" s="1004">
        <f>SUM(AG341:AJ341)</f>
        <v>494.91899999999998</v>
      </c>
      <c r="AL341" s="1001">
        <v>139.892</v>
      </c>
      <c r="AM341" s="1001">
        <v>148.73699999999999</v>
      </c>
      <c r="AN341" s="1592">
        <f>AN336+AN340</f>
        <v>157.46674625</v>
      </c>
      <c r="AO341" s="1005">
        <f>AO336+AO340</f>
        <v>146.81799999999998</v>
      </c>
      <c r="AP341" s="1006">
        <f>SUM(AL341:AO341)</f>
        <v>592.91374625000003</v>
      </c>
      <c r="AQ341" s="1006">
        <f>AQ336+AQ340</f>
        <v>161.66641540999998</v>
      </c>
      <c r="AR341" s="1015">
        <f>AR336+AR340</f>
        <v>152.96679235000002</v>
      </c>
      <c r="AS341" s="1015">
        <f>AS336+AS340</f>
        <v>145.57418386399996</v>
      </c>
      <c r="AT341" s="1015">
        <f>AT336+AT340</f>
        <v>130.98044220499997</v>
      </c>
      <c r="AU341" s="1004">
        <f>SUM(AQ341:AT341)</f>
        <v>591.18783382899994</v>
      </c>
      <c r="AV341" s="1006">
        <f>AV336+AV340</f>
        <v>133.13528779901358</v>
      </c>
      <c r="AW341" s="1015">
        <f>AW336+AW340</f>
        <v>130.5639214504892</v>
      </c>
      <c r="AX341" s="1015">
        <f>AX336+AX340</f>
        <v>122.78066854548506</v>
      </c>
      <c r="AY341" s="1871">
        <f>AY336+AY340</f>
        <v>105.5971061971274</v>
      </c>
      <c r="AZ341" s="1002">
        <f>SUM(AV341:AY341)</f>
        <v>492.07698399211529</v>
      </c>
      <c r="BA341" s="1006">
        <f>BA336+BA340</f>
        <v>101.73428338124867</v>
      </c>
      <c r="BB341" s="1015">
        <f>BB336+BB340</f>
        <v>112.21884433725776</v>
      </c>
      <c r="BC341" s="1015">
        <f>BC336+BC340</f>
        <v>111.21845903567547</v>
      </c>
      <c r="BD341" s="1871">
        <f>BD336+BD340</f>
        <v>100.23771642</v>
      </c>
      <c r="BE341" s="1002">
        <f>SUM(BA341:BD341)</f>
        <v>425.4093031741819</v>
      </c>
      <c r="BF341" s="1015">
        <f>BF336+BF340</f>
        <v>96.740389599999986</v>
      </c>
      <c r="BG341" s="1015">
        <f>BG336+BG340</f>
        <v>109.57778808999997</v>
      </c>
      <c r="BH341" s="1015">
        <f>BH336+BH340</f>
        <v>109.86118572285713</v>
      </c>
      <c r="BI341" s="1871">
        <f>BI336+BI340</f>
        <v>105.49893603285716</v>
      </c>
      <c r="BJ341" s="1002">
        <f>SUM(BF341:BI341)</f>
        <v>421.67829944571429</v>
      </c>
      <c r="BK341" s="1015">
        <f>BK336+BK340</f>
        <v>100.21073651428573</v>
      </c>
      <c r="BL341" s="1015">
        <f>BL336+BL340</f>
        <v>105.95204794285711</v>
      </c>
      <c r="BM341" s="1015">
        <f>BM336+BM340</f>
        <v>108.04239878571428</v>
      </c>
      <c r="BN341" s="1871">
        <f>BN336+BN340</f>
        <v>100.35325679857141</v>
      </c>
      <c r="BO341" s="1002">
        <f>SUM(BK341:BN341)</f>
        <v>414.55844004142853</v>
      </c>
      <c r="BP341" s="1015">
        <f>BP336+BP340</f>
        <v>91.157414755714285</v>
      </c>
      <c r="BQ341" s="1015">
        <f>BQ336+BQ340</f>
        <v>97.659174802857123</v>
      </c>
      <c r="BR341" s="1015">
        <f>BR336+BR340</f>
        <v>95.301364113876346</v>
      </c>
      <c r="BS341" s="1015">
        <f>BS336+BS340</f>
        <v>90.653029685057732</v>
      </c>
      <c r="BT341" s="1002">
        <f>SUM(BP341:BS341)</f>
        <v>374.77098335750549</v>
      </c>
      <c r="BU341" s="1015">
        <f>BU336+BU340</f>
        <v>90.768398954090216</v>
      </c>
      <c r="BV341" s="1015">
        <f>BV336+BV340</f>
        <v>95.614419458226834</v>
      </c>
      <c r="BW341" s="1015">
        <f>BW336+BW340</f>
        <v>93.306452077752184</v>
      </c>
      <c r="BX341" s="1015">
        <f>BX336+BX340</f>
        <v>88.751687528377616</v>
      </c>
      <c r="BY341" s="1002">
        <f>SUM(BU341:BX341)</f>
        <v>368.44095801844685</v>
      </c>
      <c r="BZ341" s="1002">
        <f t="shared" ref="BZ341:CF341" si="759">BZ336+BZ340</f>
        <v>373.96757238872351</v>
      </c>
      <c r="CA341" s="1002">
        <f t="shared" si="759"/>
        <v>373.96757238872351</v>
      </c>
      <c r="CB341" s="1002">
        <f t="shared" si="759"/>
        <v>355.26919376928737</v>
      </c>
      <c r="CC341" s="1002">
        <f t="shared" si="759"/>
        <v>337.505734080823</v>
      </c>
      <c r="CD341" s="1002">
        <f t="shared" si="759"/>
        <v>344.25584876243943</v>
      </c>
      <c r="CE341" s="1002">
        <f t="shared" si="759"/>
        <v>351.14096573768825</v>
      </c>
      <c r="CF341" s="1002">
        <f t="shared" si="759"/>
        <v>358.16378505244205</v>
      </c>
      <c r="CG341" s="598"/>
      <c r="CH341" s="598"/>
      <c r="CI341" s="598"/>
      <c r="CJ341" s="598"/>
      <c r="CK341" s="598"/>
      <c r="CL341" s="2221" t="str">
        <f>A341</f>
        <v>Net Revenue</v>
      </c>
      <c r="CM341" s="1015">
        <f>G341</f>
        <v>400.13400000000001</v>
      </c>
      <c r="CN341" s="1015">
        <f>L341</f>
        <v>440.64099999999996</v>
      </c>
      <c r="CO341" s="1015">
        <f>Q341</f>
        <v>485.19599999999997</v>
      </c>
      <c r="CP341" s="1015">
        <f>V341</f>
        <v>500.79999999999995</v>
      </c>
      <c r="CQ341" s="1015">
        <f>AA341</f>
        <v>477.03199999999993</v>
      </c>
      <c r="CR341" s="1015">
        <f>AF341</f>
        <v>455.34999999999997</v>
      </c>
      <c r="CS341" s="1015">
        <f>AK341</f>
        <v>494.91899999999998</v>
      </c>
      <c r="CT341" s="1015">
        <f>AP341</f>
        <v>592.91374625000003</v>
      </c>
      <c r="CU341" s="1015">
        <f>AU341</f>
        <v>591.18783382899994</v>
      </c>
      <c r="CV341" s="1015">
        <f>AZ341</f>
        <v>492.07698399211529</v>
      </c>
      <c r="CW341" s="1015">
        <f>BE341</f>
        <v>425.4093031741819</v>
      </c>
      <c r="CX341" s="1015">
        <f>BJ341</f>
        <v>421.67829944571429</v>
      </c>
      <c r="CY341" s="1015">
        <f>BO341</f>
        <v>414.55844004142853</v>
      </c>
      <c r="CZ341" s="1015">
        <f>BT341</f>
        <v>374.77098335750549</v>
      </c>
      <c r="DA341" s="1015">
        <f t="shared" si="756"/>
        <v>368.44095801844685</v>
      </c>
      <c r="DB341" s="1015">
        <f t="shared" si="756"/>
        <v>373.96757238872351</v>
      </c>
      <c r="DC341" s="1871">
        <f t="shared" si="756"/>
        <v>373.96757238872351</v>
      </c>
      <c r="DD341" s="598"/>
      <c r="DE341" s="598"/>
      <c r="DF341" s="598"/>
      <c r="DG341" s="598"/>
      <c r="DH341" s="463"/>
      <c r="DI341" s="3213"/>
      <c r="DJ341" s="598"/>
      <c r="DK341" s="598"/>
      <c r="DL341" s="598"/>
      <c r="DM341" s="598"/>
      <c r="DN341" s="598"/>
      <c r="DO341" s="598"/>
      <c r="DP341" s="598"/>
      <c r="DQ341" s="598"/>
      <c r="DR341" s="654"/>
      <c r="DS341" s="654"/>
      <c r="DT341" s="654"/>
    </row>
    <row r="342" spans="1:124" ht="12" customHeight="1" x14ac:dyDescent="0.25">
      <c r="A342" s="465" t="s">
        <v>803</v>
      </c>
      <c r="B342" s="466"/>
      <c r="C342" s="467" t="s">
        <v>553</v>
      </c>
      <c r="D342" s="467" t="s">
        <v>553</v>
      </c>
      <c r="E342" s="467" t="s">
        <v>553</v>
      </c>
      <c r="F342" s="467" t="s">
        <v>553</v>
      </c>
      <c r="G342" s="468" t="s">
        <v>553</v>
      </c>
      <c r="H342" s="467">
        <f t="shared" ref="H342:AF342" si="760">(H341-C341)/C341</f>
        <v>9.735040190532887E-2</v>
      </c>
      <c r="I342" s="467">
        <f t="shared" si="760"/>
        <v>0.11086048619045738</v>
      </c>
      <c r="J342" s="467">
        <f t="shared" si="760"/>
        <v>0.13301053558271059</v>
      </c>
      <c r="K342" s="467">
        <f t="shared" si="760"/>
        <v>6.1925940732597044E-2</v>
      </c>
      <c r="L342" s="468">
        <f t="shared" si="760"/>
        <v>0.10123358674843914</v>
      </c>
      <c r="M342" s="467">
        <f t="shared" si="760"/>
        <v>0.13282885047670726</v>
      </c>
      <c r="N342" s="467">
        <f t="shared" si="760"/>
        <v>8.5769513827928981E-2</v>
      </c>
      <c r="O342" s="467">
        <f t="shared" si="760"/>
        <v>7.2379922806009925E-2</v>
      </c>
      <c r="P342" s="467">
        <f t="shared" si="760"/>
        <v>0.11861535420843092</v>
      </c>
      <c r="Q342" s="468">
        <f t="shared" si="760"/>
        <v>0.10111405883701247</v>
      </c>
      <c r="R342" s="467">
        <f t="shared" si="760"/>
        <v>2.2913690908935417E-2</v>
      </c>
      <c r="S342" s="467">
        <f t="shared" si="760"/>
        <v>5.4617319439453728E-2</v>
      </c>
      <c r="T342" s="467">
        <f t="shared" si="760"/>
        <v>5.0428043757334284E-2</v>
      </c>
      <c r="U342" s="467">
        <f t="shared" si="760"/>
        <v>-1.3966715466033691E-3</v>
      </c>
      <c r="V342" s="468">
        <f t="shared" si="760"/>
        <v>3.2160199177239682E-2</v>
      </c>
      <c r="W342" s="467">
        <f t="shared" si="760"/>
        <v>2.4382086357403229E-2</v>
      </c>
      <c r="X342" s="467">
        <f t="shared" si="760"/>
        <v>-5.472355583088117E-2</v>
      </c>
      <c r="Y342" s="467">
        <f t="shared" si="760"/>
        <v>-7.5065978886756243E-2</v>
      </c>
      <c r="Z342" s="467">
        <f t="shared" si="760"/>
        <v>-8.0926462658398521E-2</v>
      </c>
      <c r="AA342" s="468">
        <f t="shared" si="760"/>
        <v>-4.7460063897763638E-2</v>
      </c>
      <c r="AB342" s="467">
        <f t="shared" si="760"/>
        <v>-3.7612642026903523E-2</v>
      </c>
      <c r="AC342" s="467">
        <f t="shared" si="760"/>
        <v>-5.2263809359972399E-3</v>
      </c>
      <c r="AD342" s="467">
        <f t="shared" si="760"/>
        <v>-5.4675594176583152E-2</v>
      </c>
      <c r="AE342" s="469">
        <f t="shared" si="760"/>
        <v>-8.8840607610718464E-2</v>
      </c>
      <c r="AF342" s="470">
        <f t="shared" si="760"/>
        <v>-4.5451877442184097E-2</v>
      </c>
      <c r="AG342" s="467">
        <f>(AG341-AB341)/AB341</f>
        <v>-0.1245844076536843</v>
      </c>
      <c r="AH342" s="467">
        <f t="shared" ref="AH342:AU342" si="761">(AH341-AC341)/AC341</f>
        <v>-7.4690163461934425E-2</v>
      </c>
      <c r="AI342" s="467">
        <f t="shared" si="761"/>
        <v>0.23990087378557529</v>
      </c>
      <c r="AJ342" s="469">
        <f t="shared" si="761"/>
        <v>0.35567248873148744</v>
      </c>
      <c r="AK342" s="470">
        <f t="shared" si="761"/>
        <v>8.6897990556714655E-2</v>
      </c>
      <c r="AL342" s="467">
        <f t="shared" si="761"/>
        <v>0.3553456377464515</v>
      </c>
      <c r="AM342" s="467">
        <f t="shared" si="761"/>
        <v>0.32369510078761182</v>
      </c>
      <c r="AN342" s="467">
        <f t="shared" si="761"/>
        <v>8.9011772455669561E-2</v>
      </c>
      <c r="AO342" s="469">
        <f t="shared" si="761"/>
        <v>8.961504493739926E-2</v>
      </c>
      <c r="AP342" s="471">
        <f t="shared" si="761"/>
        <v>0.19800158460273307</v>
      </c>
      <c r="AQ342" s="471">
        <f t="shared" si="761"/>
        <v>0.15565161274411682</v>
      </c>
      <c r="AR342" s="469">
        <f t="shared" si="761"/>
        <v>2.8438064166952576E-2</v>
      </c>
      <c r="AS342" s="469">
        <f t="shared" si="761"/>
        <v>-7.5524278422054697E-2</v>
      </c>
      <c r="AT342" s="469">
        <f t="shared" si="761"/>
        <v>-0.10787204426568957</v>
      </c>
      <c r="AU342" s="470">
        <f t="shared" si="761"/>
        <v>-2.9108996576921392E-3</v>
      </c>
      <c r="AV342" s="471">
        <f t="shared" ref="AV342:BA342" si="762">(AV341-AQ341)/AQ341</f>
        <v>-0.17648147599876574</v>
      </c>
      <c r="AW342" s="469">
        <f t="shared" si="762"/>
        <v>-0.14645578007709864</v>
      </c>
      <c r="AX342" s="469">
        <f t="shared" si="762"/>
        <v>-0.15657663133326807</v>
      </c>
      <c r="AY342" s="1463">
        <f t="shared" si="762"/>
        <v>-0.19379485654922918</v>
      </c>
      <c r="AZ342" s="470">
        <f t="shared" si="762"/>
        <v>-0.1676469713440556</v>
      </c>
      <c r="BA342" s="471">
        <f t="shared" si="762"/>
        <v>-0.23585786260641234</v>
      </c>
      <c r="BB342" s="469">
        <f t="shared" ref="BB342:BJ342" si="763">(BB341-AW341)/AW341</f>
        <v>-0.14050648072934932</v>
      </c>
      <c r="BC342" s="469">
        <f t="shared" si="763"/>
        <v>-9.4169624964424103E-2</v>
      </c>
      <c r="BD342" s="1463">
        <f t="shared" si="763"/>
        <v>-5.075318794364081E-2</v>
      </c>
      <c r="BE342" s="470">
        <f t="shared" si="763"/>
        <v>-0.13548221718697906</v>
      </c>
      <c r="BF342" s="469">
        <f t="shared" si="763"/>
        <v>-4.908761938720399E-2</v>
      </c>
      <c r="BG342" s="469">
        <f t="shared" si="763"/>
        <v>-2.3534872978378526E-2</v>
      </c>
      <c r="BH342" s="469">
        <f t="shared" si="763"/>
        <v>-1.2203669468059833E-2</v>
      </c>
      <c r="BI342" s="1463">
        <f t="shared" si="763"/>
        <v>5.2487424901146419E-2</v>
      </c>
      <c r="BJ342" s="469">
        <f t="shared" si="763"/>
        <v>-8.7703858393053773E-3</v>
      </c>
      <c r="BK342" s="3087">
        <f t="shared" ref="BK342:BT342" si="764">(BK341-BF341)/BF341</f>
        <v>3.5872782078249371E-2</v>
      </c>
      <c r="BL342" s="469">
        <f t="shared" si="764"/>
        <v>-3.3088276468629933E-2</v>
      </c>
      <c r="BM342" s="469">
        <f t="shared" si="764"/>
        <v>-1.6555318652131015E-2</v>
      </c>
      <c r="BN342" s="1463">
        <f t="shared" si="764"/>
        <v>-4.8774702644234752E-2</v>
      </c>
      <c r="BO342" s="470">
        <f t="shared" si="764"/>
        <v>-1.6884576260254896E-2</v>
      </c>
      <c r="BP342" s="469">
        <f t="shared" si="764"/>
        <v>-9.0342832250123517E-2</v>
      </c>
      <c r="BQ342" s="469">
        <f t="shared" si="764"/>
        <v>-7.8270059909295586E-2</v>
      </c>
      <c r="BR342" s="469">
        <f t="shared" si="764"/>
        <v>-0.11792624761236417</v>
      </c>
      <c r="BS342" s="469">
        <f t="shared" si="764"/>
        <v>-9.6660810251369592E-2</v>
      </c>
      <c r="BT342" s="470">
        <f t="shared" si="764"/>
        <v>-9.597550753024571E-2</v>
      </c>
      <c r="BU342" s="469">
        <f>(BU341-BP341)/BP341</f>
        <v>-4.267516829723204E-3</v>
      </c>
      <c r="BV342" s="469">
        <f>(BV341-BQ341)/BQ341</f>
        <v>-2.093766764626059E-2</v>
      </c>
      <c r="BW342" s="469">
        <f>(BW341-BR341)/BR341</f>
        <v>-2.0932670320861584E-2</v>
      </c>
      <c r="BX342" s="469">
        <f>(BX341-BS341)/BS341</f>
        <v>-2.0973840182569346E-2</v>
      </c>
      <c r="BY342" s="470">
        <f>(BY341-BT341)/BT341</f>
        <v>-1.6890382714128731E-2</v>
      </c>
      <c r="BZ342" s="470">
        <f t="shared" ref="BZ342:CF342" si="765">(BZ341-BY341)/BY341</f>
        <v>1.4999999999999887E-2</v>
      </c>
      <c r="CA342" s="470">
        <f t="shared" si="765"/>
        <v>0</v>
      </c>
      <c r="CB342" s="470">
        <f t="shared" si="765"/>
        <v>-4.9999999999999906E-2</v>
      </c>
      <c r="CC342" s="470">
        <f t="shared" si="765"/>
        <v>-4.9999999999999989E-2</v>
      </c>
      <c r="CD342" s="470">
        <f t="shared" si="765"/>
        <v>1.9999999999999893E-2</v>
      </c>
      <c r="CE342" s="470">
        <f t="shared" si="765"/>
        <v>2.0000000000000094E-2</v>
      </c>
      <c r="CF342" s="470">
        <f t="shared" si="765"/>
        <v>2.0000000000000111E-2</v>
      </c>
      <c r="CG342" s="492"/>
      <c r="CH342" s="492"/>
      <c r="CI342" s="492"/>
      <c r="CJ342" s="492"/>
      <c r="CK342" s="492"/>
      <c r="CL342" s="1310" t="str">
        <f>A342</f>
        <v>% Growth (y-o-y)</v>
      </c>
      <c r="CM342" s="469" t="str">
        <f>G342</f>
        <v xml:space="preserve">n/a </v>
      </c>
      <c r="CN342" s="469">
        <f>L342</f>
        <v>0.10123358674843914</v>
      </c>
      <c r="CO342" s="469">
        <f>Q342</f>
        <v>0.10111405883701247</v>
      </c>
      <c r="CP342" s="469">
        <f>V342</f>
        <v>3.2160199177239682E-2</v>
      </c>
      <c r="CQ342" s="469">
        <f>AA342</f>
        <v>-4.7460063897763638E-2</v>
      </c>
      <c r="CR342" s="469">
        <f>AF342</f>
        <v>-4.5451877442184097E-2</v>
      </c>
      <c r="CS342" s="469">
        <f>AK342</f>
        <v>8.6897990556714655E-2</v>
      </c>
      <c r="CT342" s="469">
        <f>AP342</f>
        <v>0.19800158460273307</v>
      </c>
      <c r="CU342" s="469">
        <f>AU342</f>
        <v>-2.9108996576921392E-3</v>
      </c>
      <c r="CV342" s="469">
        <f>AZ342</f>
        <v>-0.1676469713440556</v>
      </c>
      <c r="CW342" s="469">
        <f>BE342</f>
        <v>-0.13548221718697906</v>
      </c>
      <c r="CX342" s="469">
        <f>BJ342</f>
        <v>-8.7703858393053773E-3</v>
      </c>
      <c r="CY342" s="469">
        <f>BO342</f>
        <v>-1.6884576260254896E-2</v>
      </c>
      <c r="CZ342" s="469">
        <f>BT342</f>
        <v>-9.597550753024571E-2</v>
      </c>
      <c r="DA342" s="469">
        <f t="shared" si="756"/>
        <v>-1.6890382714128731E-2</v>
      </c>
      <c r="DB342" s="469">
        <f t="shared" si="756"/>
        <v>1.4999999999999887E-2</v>
      </c>
      <c r="DC342" s="1463">
        <f t="shared" si="756"/>
        <v>0</v>
      </c>
      <c r="DD342" s="492"/>
      <c r="DE342" s="492"/>
      <c r="DF342" s="962"/>
      <c r="DG342" s="962"/>
      <c r="DH342" s="469"/>
      <c r="DI342" s="3213"/>
      <c r="DJ342" s="962"/>
      <c r="DK342" s="962"/>
      <c r="DL342" s="962"/>
      <c r="DM342" s="962"/>
      <c r="DN342" s="962"/>
      <c r="DO342" s="962"/>
      <c r="DP342" s="962"/>
      <c r="DQ342" s="962"/>
      <c r="DR342" s="963"/>
      <c r="DS342" s="963"/>
      <c r="DT342" s="963"/>
    </row>
    <row r="343" spans="1:124" ht="12" customHeight="1" x14ac:dyDescent="0.25">
      <c r="A343" s="281"/>
      <c r="B343" s="281"/>
      <c r="C343" s="446"/>
      <c r="D343" s="446"/>
      <c r="E343" s="446"/>
      <c r="F343" s="446"/>
      <c r="G343" s="447"/>
      <c r="H343" s="446"/>
      <c r="I343" s="446"/>
      <c r="J343" s="446"/>
      <c r="K343" s="446"/>
      <c r="L343" s="447"/>
      <c r="M343" s="446"/>
      <c r="N343" s="446"/>
      <c r="O343" s="446"/>
      <c r="P343" s="446"/>
      <c r="Q343" s="447"/>
      <c r="R343" s="446"/>
      <c r="S343" s="446"/>
      <c r="T343" s="446"/>
      <c r="U343" s="446"/>
      <c r="V343" s="447"/>
      <c r="W343" s="446"/>
      <c r="X343" s="446"/>
      <c r="Y343" s="446"/>
      <c r="Z343" s="446"/>
      <c r="AA343" s="447"/>
      <c r="AB343" s="446"/>
      <c r="AC343" s="446"/>
      <c r="AD343" s="446"/>
      <c r="AE343" s="454"/>
      <c r="AF343" s="455"/>
      <c r="AG343" s="454"/>
      <c r="AH343" s="454"/>
      <c r="AI343" s="454"/>
      <c r="AJ343" s="454"/>
      <c r="AK343" s="455"/>
      <c r="AL343" s="454"/>
      <c r="AM343" s="454"/>
      <c r="AN343" s="454"/>
      <c r="AO343" s="454"/>
      <c r="AP343" s="456"/>
      <c r="AQ343" s="456"/>
      <c r="AR343" s="454"/>
      <c r="AS343" s="454"/>
      <c r="AT343" s="454"/>
      <c r="AU343" s="455"/>
      <c r="AV343" s="456"/>
      <c r="AW343" s="454"/>
      <c r="AX343" s="454"/>
      <c r="AY343" s="1666"/>
      <c r="AZ343" s="455"/>
      <c r="BA343" s="456"/>
      <c r="BB343" s="454"/>
      <c r="BC343" s="454"/>
      <c r="BD343" s="1666"/>
      <c r="BE343" s="455"/>
      <c r="BF343" s="454"/>
      <c r="BG343" s="454"/>
      <c r="BH343" s="454"/>
      <c r="BI343" s="1666"/>
      <c r="BJ343" s="454"/>
      <c r="BK343" s="456"/>
      <c r="BL343" s="454"/>
      <c r="BM343" s="454"/>
      <c r="BN343" s="1666"/>
      <c r="BO343" s="455"/>
      <c r="BP343" s="454"/>
      <c r="BQ343" s="454"/>
      <c r="BR343" s="454"/>
      <c r="BS343" s="454"/>
      <c r="BT343" s="3066"/>
      <c r="BU343" s="3391"/>
      <c r="BV343" s="2915"/>
      <c r="BW343" s="2915"/>
      <c r="BX343" s="2915"/>
      <c r="BY343" s="3066"/>
      <c r="BZ343" s="455"/>
      <c r="CA343" s="455"/>
      <c r="CB343" s="455"/>
      <c r="CC343" s="455"/>
      <c r="CD343" s="455"/>
      <c r="CE343" s="455"/>
      <c r="CF343" s="455"/>
      <c r="CG343" s="331"/>
      <c r="CH343" s="331"/>
      <c r="CI343" s="331"/>
      <c r="CJ343" s="331"/>
      <c r="CK343" s="331"/>
      <c r="CL343" s="520"/>
      <c r="CM343" s="454"/>
      <c r="CN343" s="454"/>
      <c r="CO343" s="454"/>
      <c r="CP343" s="454"/>
      <c r="CQ343" s="454"/>
      <c r="CR343" s="454"/>
      <c r="CS343" s="454"/>
      <c r="CT343" s="454"/>
      <c r="CU343" s="454"/>
      <c r="CV343" s="454"/>
      <c r="CW343" s="454"/>
      <c r="CX343" s="454"/>
      <c r="CY343" s="454"/>
      <c r="CZ343" s="454"/>
      <c r="DA343" s="454"/>
      <c r="DB343" s="454"/>
      <c r="DC343" s="1666"/>
      <c r="DD343" s="331"/>
      <c r="DE343" s="331"/>
      <c r="DF343" s="502"/>
      <c r="DG343" s="503"/>
      <c r="DH343" s="2915"/>
      <c r="DI343" s="3213"/>
      <c r="DJ343" s="502"/>
      <c r="DK343" s="503"/>
      <c r="DL343" s="502"/>
      <c r="DM343" s="502"/>
      <c r="DN343" s="502"/>
      <c r="DO343" s="502"/>
      <c r="DP343" s="503"/>
      <c r="DQ343" s="503"/>
      <c r="DR343" s="296"/>
      <c r="DS343" s="296"/>
      <c r="DT343" s="296"/>
    </row>
    <row r="344" spans="1:124" ht="12" customHeight="1" x14ac:dyDescent="0.25">
      <c r="A344" s="311" t="s">
        <v>601</v>
      </c>
      <c r="B344" s="311"/>
      <c r="C344" s="446">
        <f>C350-C347</f>
        <v>17.716383887640006</v>
      </c>
      <c r="D344" s="446">
        <f>D350-D347</f>
        <v>15.82366582264001</v>
      </c>
      <c r="E344" s="446">
        <f>E350-E347</f>
        <v>15.736707416500003</v>
      </c>
      <c r="F344" s="446">
        <f>F350-F347</f>
        <v>21.98927420421473</v>
      </c>
      <c r="G344" s="447">
        <f>SUM(C344:F344)</f>
        <v>71.26603133099475</v>
      </c>
      <c r="H344" s="446">
        <f>H350-H347</f>
        <v>16.768131364977002</v>
      </c>
      <c r="I344" s="446">
        <f>I350-I347</f>
        <v>20.819671155339989</v>
      </c>
      <c r="J344" s="446">
        <f>J350-J347</f>
        <v>17.12769931950001</v>
      </c>
      <c r="K344" s="446">
        <f>K350-K347</f>
        <v>18.092732886000022</v>
      </c>
      <c r="L344" s="447">
        <f>SUM(H344:K344)</f>
        <v>72.808234725817016</v>
      </c>
      <c r="M344" s="446">
        <f>M350-M347</f>
        <v>20.509561707070006</v>
      </c>
      <c r="N344" s="446">
        <f>N350-N347</f>
        <v>21.505099999999999</v>
      </c>
      <c r="O344" s="446">
        <f>O350-O347</f>
        <v>19.001199319500003</v>
      </c>
      <c r="P344" s="446">
        <f>P350-P347</f>
        <v>13.758852293999993</v>
      </c>
      <c r="Q344" s="447">
        <f>SUM(M344:P344)</f>
        <v>74.774713320570001</v>
      </c>
      <c r="R344" s="446">
        <f>R350-R347</f>
        <v>15.604244726000005</v>
      </c>
      <c r="S344" s="446">
        <f>S350-S347</f>
        <v>20.763927463999991</v>
      </c>
      <c r="T344" s="446">
        <f>T350-T347</f>
        <v>20.985173558000014</v>
      </c>
      <c r="U344" s="446">
        <f>U350-U347</f>
        <v>18.235277200430019</v>
      </c>
      <c r="V344" s="447">
        <f>SUM(R344:U344)</f>
        <v>75.588622948430029</v>
      </c>
      <c r="W344" s="446">
        <f>W350-W347</f>
        <v>19.280816555999991</v>
      </c>
      <c r="X344" s="446">
        <f>X350-X347</f>
        <v>18.076924875010008</v>
      </c>
      <c r="Y344" s="446">
        <f>Y350-Y347</f>
        <v>20.720273198000001</v>
      </c>
      <c r="Z344" s="446">
        <f>Z350-Z347</f>
        <v>19.285644863999991</v>
      </c>
      <c r="AA344" s="447">
        <f>SUM(W344:Z344)</f>
        <v>77.36365949300999</v>
      </c>
      <c r="AB344" s="446">
        <f>AB350-AB347</f>
        <v>17.440299999999993</v>
      </c>
      <c r="AC344" s="446">
        <f>AC350-AC347</f>
        <v>18.069900000000018</v>
      </c>
      <c r="AD344" s="446">
        <f>AD350-AD347</f>
        <v>21.449000000000005</v>
      </c>
      <c r="AE344" s="446">
        <f>AE350-AE347</f>
        <v>19.711999999999996</v>
      </c>
      <c r="AF344" s="455">
        <f>SUM(AB344:AE344)</f>
        <v>76.671200000000013</v>
      </c>
      <c r="AG344" s="446">
        <f>AG350-AG347</f>
        <v>16.917450000000017</v>
      </c>
      <c r="AH344" s="446">
        <f>AH350-AH347</f>
        <v>17.576699999999995</v>
      </c>
      <c r="AI344" s="446">
        <f>AI350-AI347</f>
        <v>28.268801396580017</v>
      </c>
      <c r="AJ344" s="446">
        <f>AJ350-AJ347</f>
        <v>28.571227722169979</v>
      </c>
      <c r="AK344" s="455">
        <f>SUM(AG344:AJ344)</f>
        <v>91.334179118750001</v>
      </c>
      <c r="AL344" s="446">
        <f>AL350-AL347</f>
        <v>25.134583000000006</v>
      </c>
      <c r="AM344" s="446">
        <f>AM350-AM347</f>
        <v>27.466295781699998</v>
      </c>
      <c r="AN344" s="446">
        <f>+AI344*(1+AN346)</f>
        <v>30.24761749434062</v>
      </c>
      <c r="AO344" s="446">
        <f>+AJ344*(1+AO346)</f>
        <v>28.285515444948278</v>
      </c>
      <c r="AP344" s="456">
        <f>SUM(AL344:AO344)</f>
        <v>111.13401172098889</v>
      </c>
      <c r="AQ344" s="456">
        <f>+AL344*(1+AQ346)</f>
        <v>27.14534964000001</v>
      </c>
      <c r="AR344" s="454">
        <f>+AM344*(1+AR346)</f>
        <v>27.466295781699998</v>
      </c>
      <c r="AS344" s="454">
        <f>+AN344*(1+AS346)</f>
        <v>28.735236619623588</v>
      </c>
      <c r="AT344" s="454">
        <f>+AO344*(1+AT346)</f>
        <v>26.871239672700863</v>
      </c>
      <c r="AU344" s="455">
        <f>SUM(AQ344:AT344)</f>
        <v>110.21812171402446</v>
      </c>
      <c r="AV344" s="456">
        <f>AQ344*(1+AV346)</f>
        <v>25.788082158000009</v>
      </c>
      <c r="AW344" s="454">
        <f>AR344*(1+AW346)</f>
        <v>24.033008808987496</v>
      </c>
      <c r="AX344" s="454">
        <f>AS344*(1+AX346)</f>
        <v>25.861712957661229</v>
      </c>
      <c r="AY344" s="1666">
        <f>AT344*(1+AY346)</f>
        <v>22.168772729978212</v>
      </c>
      <c r="AZ344" s="455">
        <f>SUM(AV344:AY344)</f>
        <v>97.851576654626953</v>
      </c>
      <c r="BA344" s="456">
        <f>AV344*(1+BA346)</f>
        <v>23.853975996150009</v>
      </c>
      <c r="BB344" s="454">
        <f>AW344*(1+BB346)</f>
        <v>22.831358368538119</v>
      </c>
      <c r="BC344" s="454">
        <f>AX344*(1+BC346)</f>
        <v>24.568627309778165</v>
      </c>
      <c r="BD344" s="1666">
        <f>AY344*(1+BD346)</f>
        <v>21.947085002678431</v>
      </c>
      <c r="BE344" s="455">
        <f>SUM(BA344:BD344)</f>
        <v>93.201046677144731</v>
      </c>
      <c r="BF344" s="454">
        <f>BA344*(1+BF346)</f>
        <v>22.661277196342507</v>
      </c>
      <c r="BG344" s="454">
        <f>BB344*(1+BG346)</f>
        <v>21.46147686642583</v>
      </c>
      <c r="BH344" s="454">
        <f>BC344*(1+BH346)</f>
        <v>23.83156849048482</v>
      </c>
      <c r="BI344" s="1666">
        <f>BD344*(1+BI346)</f>
        <v>22.276291277718606</v>
      </c>
      <c r="BJ344" s="454">
        <f>SUM(BF344:BI344)</f>
        <v>90.230613830971748</v>
      </c>
      <c r="BK344" s="456">
        <f>BF344*(1+BK346)</f>
        <v>22.434664424379083</v>
      </c>
      <c r="BL344" s="454">
        <f>BG344*(1+BL346)</f>
        <v>21.246862097761571</v>
      </c>
      <c r="BM344" s="454">
        <f>BH344*(1+BM346)</f>
        <v>22.878305750865426</v>
      </c>
      <c r="BN344" s="1666">
        <f>BI344*(1+BN346)</f>
        <v>21.162476713832675</v>
      </c>
      <c r="BO344" s="455">
        <f>SUM(BK344:BN344)</f>
        <v>87.722308986838755</v>
      </c>
      <c r="BP344" s="454">
        <f>BK344*(1+BP346)</f>
        <v>20.752064592550653</v>
      </c>
      <c r="BQ344" s="454">
        <f>BL344*(1+BQ346)</f>
        <v>19.653347440429453</v>
      </c>
      <c r="BR344" s="454">
        <f>BM344*(1+BR346)</f>
        <v>19.446559888235612</v>
      </c>
      <c r="BS344" s="454">
        <f>BN344*(1+BS346)</f>
        <v>19.575290960295224</v>
      </c>
      <c r="BT344" s="3066">
        <f>SUM(BP344:BS344)</f>
        <v>79.427262881510941</v>
      </c>
      <c r="BU344" s="2915">
        <f>BP344*(1+BU346)</f>
        <v>20.544543946625147</v>
      </c>
      <c r="BV344" s="2915">
        <f>BQ344*(1+BV346)</f>
        <v>19.063747017216571</v>
      </c>
      <c r="BW344" s="2915">
        <f>BR344*(1+BW346)</f>
        <v>18.863163091588543</v>
      </c>
      <c r="BX344" s="2915">
        <f>BS344*(1+BX346)</f>
        <v>18.988032231486365</v>
      </c>
      <c r="BY344" s="3066">
        <f>SUM(BU344:BX344)</f>
        <v>77.459486286916615</v>
      </c>
      <c r="BZ344" s="455">
        <f t="shared" ref="BZ344:CF344" si="766">BY344*(1+BZ346)</f>
        <v>75.910296561178285</v>
      </c>
      <c r="CA344" s="455">
        <f t="shared" si="766"/>
        <v>76.669399526790073</v>
      </c>
      <c r="CB344" s="455">
        <f t="shared" si="766"/>
        <v>74.369317540986373</v>
      </c>
      <c r="CC344" s="455">
        <f t="shared" si="766"/>
        <v>72.13823801475678</v>
      </c>
      <c r="CD344" s="455">
        <f t="shared" si="766"/>
        <v>72.859620394904354</v>
      </c>
      <c r="CE344" s="455">
        <f t="shared" si="766"/>
        <v>73.588216598853393</v>
      </c>
      <c r="CF344" s="455">
        <f t="shared" si="766"/>
        <v>74.324098764841921</v>
      </c>
      <c r="CG344" s="476"/>
      <c r="CH344" s="476"/>
      <c r="CI344" s="476"/>
      <c r="CJ344" s="476"/>
      <c r="CK344" s="476"/>
      <c r="CL344" s="528" t="str">
        <f t="shared" ref="CL344:CL350" si="767">A344</f>
        <v>Operating expenses</v>
      </c>
      <c r="CM344" s="454">
        <f>G344</f>
        <v>71.26603133099475</v>
      </c>
      <c r="CN344" s="454">
        <f>L344</f>
        <v>72.808234725817016</v>
      </c>
      <c r="CO344" s="454">
        <f>Q344</f>
        <v>74.774713320570001</v>
      </c>
      <c r="CP344" s="454">
        <f>V344</f>
        <v>75.588622948430029</v>
      </c>
      <c r="CQ344" s="454">
        <f>AA344</f>
        <v>77.36365949300999</v>
      </c>
      <c r="CR344" s="454">
        <f>AF344</f>
        <v>76.671200000000013</v>
      </c>
      <c r="CS344" s="454">
        <f t="shared" ref="CS344:CS350" si="768">AK344</f>
        <v>91.334179118750001</v>
      </c>
      <c r="CT344" s="454">
        <f t="shared" ref="CT344:CT350" si="769">AP344</f>
        <v>111.13401172098889</v>
      </c>
      <c r="CU344" s="454">
        <f t="shared" ref="CU344:CU350" si="770">AU344</f>
        <v>110.21812171402446</v>
      </c>
      <c r="CV344" s="454">
        <f t="shared" ref="CV344:CV350" si="771">AZ344</f>
        <v>97.851576654626953</v>
      </c>
      <c r="CW344" s="454">
        <f t="shared" ref="CW344:CW350" si="772">BE344</f>
        <v>93.201046677144731</v>
      </c>
      <c r="CX344" s="454">
        <f t="shared" ref="CX344:CX350" si="773">BJ344</f>
        <v>90.230613830971748</v>
      </c>
      <c r="CY344" s="454">
        <f t="shared" ref="CY344:CY350" si="774">BO344</f>
        <v>87.722308986838755</v>
      </c>
      <c r="CZ344" s="454">
        <f t="shared" ref="CZ344:CZ350" si="775">BT344</f>
        <v>79.427262881510941</v>
      </c>
      <c r="DA344" s="454">
        <f t="shared" ref="DA344:DC350" si="776">BY344</f>
        <v>77.459486286916615</v>
      </c>
      <c r="DB344" s="454">
        <f t="shared" si="776"/>
        <v>75.910296561178285</v>
      </c>
      <c r="DC344" s="1666">
        <f t="shared" si="776"/>
        <v>76.669399526790073</v>
      </c>
      <c r="DD344" s="476"/>
      <c r="DE344" s="476"/>
      <c r="DF344" s="598"/>
      <c r="DG344" s="598"/>
      <c r="DH344" s="2915"/>
      <c r="DI344" s="3213"/>
      <c r="DJ344" s="598"/>
      <c r="DK344" s="598"/>
      <c r="DL344" s="598"/>
      <c r="DM344" s="598"/>
      <c r="DN344" s="598"/>
      <c r="DO344" s="598"/>
      <c r="DP344" s="598"/>
      <c r="DQ344" s="598"/>
      <c r="DR344" s="660"/>
      <c r="DS344" s="660"/>
      <c r="DT344" s="660"/>
    </row>
    <row r="345" spans="1:124" ht="12" customHeight="1" x14ac:dyDescent="0.25">
      <c r="A345" s="465" t="s">
        <v>1285</v>
      </c>
      <c r="B345" s="466"/>
      <c r="C345" s="467">
        <f>C344/C341</f>
        <v>0.18836796546208487</v>
      </c>
      <c r="D345" s="467">
        <f t="shared" ref="D345:AF345" si="777">D344/D341</f>
        <v>0.15586133153382462</v>
      </c>
      <c r="E345" s="467">
        <f t="shared" si="777"/>
        <v>0.15058617854511358</v>
      </c>
      <c r="F345" s="467">
        <f t="shared" si="777"/>
        <v>0.21977186751501404</v>
      </c>
      <c r="G345" s="468">
        <f t="shared" si="777"/>
        <v>0.17810541301412713</v>
      </c>
      <c r="H345" s="467">
        <f t="shared" si="777"/>
        <v>0.16246929855221495</v>
      </c>
      <c r="I345" s="467">
        <f t="shared" si="777"/>
        <v>0.18460592091914266</v>
      </c>
      <c r="J345" s="467">
        <f t="shared" si="777"/>
        <v>0.14465595736172232</v>
      </c>
      <c r="K345" s="467">
        <f t="shared" si="777"/>
        <v>0.17028294214642706</v>
      </c>
      <c r="L345" s="468">
        <f t="shared" si="777"/>
        <v>0.16523254696185108</v>
      </c>
      <c r="M345" s="467">
        <f t="shared" si="777"/>
        <v>0.17541984234174676</v>
      </c>
      <c r="N345" s="467">
        <f t="shared" si="777"/>
        <v>0.17562065135726651</v>
      </c>
      <c r="O345" s="467">
        <f t="shared" si="777"/>
        <v>0.1496475575082892</v>
      </c>
      <c r="P345" s="467">
        <f t="shared" si="777"/>
        <v>0.1157626356201726</v>
      </c>
      <c r="Q345" s="468">
        <f t="shared" si="777"/>
        <v>0.15411238617088766</v>
      </c>
      <c r="R345" s="467">
        <f t="shared" si="777"/>
        <v>0.13047463732900769</v>
      </c>
      <c r="S345" s="467">
        <f t="shared" si="777"/>
        <v>0.16078618138454384</v>
      </c>
      <c r="T345" s="467">
        <f t="shared" si="777"/>
        <v>0.15733845337991853</v>
      </c>
      <c r="U345" s="467">
        <f t="shared" si="777"/>
        <v>0.15364044554150394</v>
      </c>
      <c r="V345" s="468">
        <f t="shared" si="777"/>
        <v>0.15093574869894177</v>
      </c>
      <c r="W345" s="467">
        <f t="shared" si="777"/>
        <v>0.1573790041465325</v>
      </c>
      <c r="X345" s="467">
        <f t="shared" si="777"/>
        <v>0.14808290838277102</v>
      </c>
      <c r="Y345" s="467">
        <f t="shared" si="777"/>
        <v>0.16796045197950779</v>
      </c>
      <c r="Z345" s="467">
        <f t="shared" si="777"/>
        <v>0.17679789576744306</v>
      </c>
      <c r="AA345" s="468">
        <f t="shared" si="777"/>
        <v>0.16217708558966695</v>
      </c>
      <c r="AB345" s="467">
        <f t="shared" si="777"/>
        <v>0.14791949382548508</v>
      </c>
      <c r="AC345" s="467">
        <f t="shared" si="777"/>
        <v>0.14880306336723365</v>
      </c>
      <c r="AD345" s="467">
        <f t="shared" si="777"/>
        <v>0.18392371740453961</v>
      </c>
      <c r="AE345" s="469">
        <f t="shared" si="777"/>
        <v>0.19832582099162907</v>
      </c>
      <c r="AF345" s="470">
        <f t="shared" si="777"/>
        <v>0.16837860986054687</v>
      </c>
      <c r="AG345" s="467">
        <f>AG344/AG341</f>
        <v>0.1639049556750474</v>
      </c>
      <c r="AH345" s="467">
        <f>AH344/AH341</f>
        <v>0.15642504338539578</v>
      </c>
      <c r="AI345" s="467">
        <f>AI344/AI341</f>
        <v>0.1955019599199149</v>
      </c>
      <c r="AJ345" s="467">
        <f>AJ344/AJ341</f>
        <v>0.21204238975063625</v>
      </c>
      <c r="AK345" s="470">
        <f t="shared" ref="AK345:AU345" si="778">AK344/AK341</f>
        <v>0.18454369122775646</v>
      </c>
      <c r="AL345" s="467">
        <f>AL344/AL341</f>
        <v>0.17967133931890319</v>
      </c>
      <c r="AM345" s="467">
        <f t="shared" si="778"/>
        <v>0.18466350525894698</v>
      </c>
      <c r="AN345" s="467">
        <f t="shared" si="778"/>
        <v>0.19208892172267528</v>
      </c>
      <c r="AO345" s="469">
        <f t="shared" si="778"/>
        <v>0.19265700012905965</v>
      </c>
      <c r="AP345" s="471">
        <f t="shared" si="778"/>
        <v>0.18743706386279266</v>
      </c>
      <c r="AQ345" s="471">
        <f t="shared" si="778"/>
        <v>0.1679096401757722</v>
      </c>
      <c r="AR345" s="469">
        <f t="shared" si="778"/>
        <v>0.17955724480941562</v>
      </c>
      <c r="AS345" s="469">
        <f t="shared" si="778"/>
        <v>0.19739239373973727</v>
      </c>
      <c r="AT345" s="469">
        <f t="shared" si="778"/>
        <v>0.20515459575746564</v>
      </c>
      <c r="AU345" s="470">
        <f t="shared" si="778"/>
        <v>0.1864350303019004</v>
      </c>
      <c r="AV345" s="471">
        <f t="shared" ref="AV345:BJ345" si="779">AV344/AV341</f>
        <v>0.19369832434606474</v>
      </c>
      <c r="AW345" s="469">
        <f t="shared" si="779"/>
        <v>0.18407082555421705</v>
      </c>
      <c r="AX345" s="469">
        <f t="shared" si="779"/>
        <v>0.21063342677663102</v>
      </c>
      <c r="AY345" s="1463">
        <f t="shared" si="779"/>
        <v>0.20993731294675647</v>
      </c>
      <c r="AZ345" s="470">
        <f t="shared" si="779"/>
        <v>0.19885420338252371</v>
      </c>
      <c r="BA345" s="471">
        <f t="shared" si="779"/>
        <v>0.23447332800052628</v>
      </c>
      <c r="BB345" s="469">
        <f t="shared" si="779"/>
        <v>0.20345387179288463</v>
      </c>
      <c r="BC345" s="469">
        <f t="shared" si="779"/>
        <v>0.22090422329891574</v>
      </c>
      <c r="BD345" s="1463">
        <f t="shared" si="779"/>
        <v>0.21895036904790685</v>
      </c>
      <c r="BE345" s="470">
        <f t="shared" si="779"/>
        <v>0.21908558647337337</v>
      </c>
      <c r="BF345" s="469">
        <f t="shared" si="779"/>
        <v>0.23424835572858299</v>
      </c>
      <c r="BG345" s="469">
        <f t="shared" si="779"/>
        <v>0.19585608762971915</v>
      </c>
      <c r="BH345" s="469">
        <f t="shared" si="779"/>
        <v>0.21692436990989578</v>
      </c>
      <c r="BI345" s="1463">
        <f t="shared" si="779"/>
        <v>0.21115180982280957</v>
      </c>
      <c r="BJ345" s="469">
        <f t="shared" si="779"/>
        <v>0.21397974225749264</v>
      </c>
      <c r="BK345" s="471">
        <f t="shared" ref="BK345:BU345" si="780">BK344/BK341</f>
        <v>0.22387485817131847</v>
      </c>
      <c r="BL345" s="469">
        <f t="shared" si="780"/>
        <v>0.20053281187373176</v>
      </c>
      <c r="BM345" s="469">
        <f t="shared" si="780"/>
        <v>0.2117530340680521</v>
      </c>
      <c r="BN345" s="1463">
        <f t="shared" si="780"/>
        <v>0.21087981983793411</v>
      </c>
      <c r="BO345" s="470">
        <f t="shared" si="780"/>
        <v>0.21160420465223745</v>
      </c>
      <c r="BP345" s="469">
        <f t="shared" si="780"/>
        <v>0.22765086798657583</v>
      </c>
      <c r="BQ345" s="469">
        <f t="shared" si="780"/>
        <v>0.2012442505284662</v>
      </c>
      <c r="BR345" s="469">
        <f t="shared" si="780"/>
        <v>0.2040533214718602</v>
      </c>
      <c r="BS345" s="469">
        <f t="shared" si="780"/>
        <v>0.21593642295577689</v>
      </c>
      <c r="BT345" s="470">
        <f t="shared" si="780"/>
        <v>0.21193546568076443</v>
      </c>
      <c r="BU345" s="469">
        <f t="shared" si="780"/>
        <v>0.22634027021911426</v>
      </c>
      <c r="BV345" s="469">
        <f t="shared" ref="BV345:CF345" si="781">BV344/BV341</f>
        <v>0.19938150673544974</v>
      </c>
      <c r="BW345" s="469">
        <f t="shared" si="781"/>
        <v>0.2021635446589469</v>
      </c>
      <c r="BX345" s="469">
        <f t="shared" si="781"/>
        <v>0.21394559089837137</v>
      </c>
      <c r="BY345" s="470">
        <f t="shared" si="781"/>
        <v>0.21023581825297075</v>
      </c>
      <c r="BZ345" s="470">
        <f t="shared" si="781"/>
        <v>0.2029863072787304</v>
      </c>
      <c r="CA345" s="470">
        <f t="shared" si="781"/>
        <v>0.20501617035151773</v>
      </c>
      <c r="CB345" s="470">
        <f t="shared" si="781"/>
        <v>0.20933230025365493</v>
      </c>
      <c r="CC345" s="470">
        <f t="shared" si="781"/>
        <v>0.2137392960484687</v>
      </c>
      <c r="CD345" s="470">
        <f t="shared" si="781"/>
        <v>0.21164381275387592</v>
      </c>
      <c r="CE345" s="470">
        <f t="shared" si="781"/>
        <v>0.20956887341315161</v>
      </c>
      <c r="CF345" s="470">
        <f t="shared" si="781"/>
        <v>0.20751427661498342</v>
      </c>
      <c r="CG345" s="492"/>
      <c r="CH345" s="492"/>
      <c r="CI345" s="492"/>
      <c r="CJ345" s="492"/>
      <c r="CK345" s="492"/>
      <c r="CL345" s="1310" t="str">
        <f t="shared" si="767"/>
        <v>% of Net Revenue</v>
      </c>
      <c r="CM345" s="469">
        <f>G345</f>
        <v>0.17810541301412713</v>
      </c>
      <c r="CN345" s="469">
        <f>L345</f>
        <v>0.16523254696185108</v>
      </c>
      <c r="CO345" s="469">
        <f>Q345</f>
        <v>0.15411238617088766</v>
      </c>
      <c r="CP345" s="469">
        <f>V345</f>
        <v>0.15093574869894177</v>
      </c>
      <c r="CQ345" s="469">
        <f>AA345</f>
        <v>0.16217708558966695</v>
      </c>
      <c r="CR345" s="469">
        <f>AF345</f>
        <v>0.16837860986054687</v>
      </c>
      <c r="CS345" s="469">
        <f t="shared" si="768"/>
        <v>0.18454369122775646</v>
      </c>
      <c r="CT345" s="469">
        <f t="shared" si="769"/>
        <v>0.18743706386279266</v>
      </c>
      <c r="CU345" s="469">
        <f t="shared" si="770"/>
        <v>0.1864350303019004</v>
      </c>
      <c r="CV345" s="469">
        <f t="shared" si="771"/>
        <v>0.19885420338252371</v>
      </c>
      <c r="CW345" s="469">
        <f t="shared" si="772"/>
        <v>0.21908558647337337</v>
      </c>
      <c r="CX345" s="469">
        <f t="shared" si="773"/>
        <v>0.21397974225749264</v>
      </c>
      <c r="CY345" s="469">
        <f t="shared" si="774"/>
        <v>0.21160420465223745</v>
      </c>
      <c r="CZ345" s="469">
        <f t="shared" si="775"/>
        <v>0.21193546568076443</v>
      </c>
      <c r="DA345" s="469">
        <f t="shared" si="776"/>
        <v>0.21023581825297075</v>
      </c>
      <c r="DB345" s="469">
        <f t="shared" si="776"/>
        <v>0.2029863072787304</v>
      </c>
      <c r="DC345" s="1463">
        <f t="shared" si="776"/>
        <v>0.20501617035151773</v>
      </c>
      <c r="DD345" s="492"/>
      <c r="DE345" s="492"/>
      <c r="DF345" s="962"/>
      <c r="DG345" s="962"/>
      <c r="DH345" s="469"/>
      <c r="DI345" s="3213"/>
      <c r="DJ345" s="962"/>
      <c r="DK345" s="962"/>
      <c r="DL345" s="962"/>
      <c r="DM345" s="962"/>
      <c r="DN345" s="962"/>
      <c r="DO345" s="962"/>
      <c r="DP345" s="962"/>
      <c r="DQ345" s="962"/>
      <c r="DR345" s="963"/>
      <c r="DS345" s="963"/>
      <c r="DT345" s="963"/>
    </row>
    <row r="346" spans="1:124" ht="12" customHeight="1" x14ac:dyDescent="0.25">
      <c r="A346" s="465" t="s">
        <v>803</v>
      </c>
      <c r="B346" s="466"/>
      <c r="C346" s="467" t="s">
        <v>553</v>
      </c>
      <c r="D346" s="467" t="s">
        <v>553</v>
      </c>
      <c r="E346" s="467" t="s">
        <v>553</v>
      </c>
      <c r="F346" s="467" t="s">
        <v>553</v>
      </c>
      <c r="G346" s="468" t="s">
        <v>553</v>
      </c>
      <c r="H346" s="467">
        <f>(H344-C344)/C344</f>
        <v>-5.352404467395637E-2</v>
      </c>
      <c r="I346" s="467">
        <f t="shared" ref="I346:AF346" si="782">(I344-D344)/D344</f>
        <v>0.315729957185512</v>
      </c>
      <c r="J346" s="467">
        <f t="shared" si="782"/>
        <v>8.8391546349876601E-2</v>
      </c>
      <c r="K346" s="467">
        <f t="shared" si="782"/>
        <v>-0.17720190680362932</v>
      </c>
      <c r="L346" s="468">
        <f t="shared" si="782"/>
        <v>2.1640090882281766E-2</v>
      </c>
      <c r="M346" s="467">
        <f t="shared" si="782"/>
        <v>0.22312744698002523</v>
      </c>
      <c r="N346" s="467">
        <f t="shared" si="782"/>
        <v>3.2922174396794221E-2</v>
      </c>
      <c r="O346" s="467">
        <f t="shared" si="782"/>
        <v>0.10938421822170824</v>
      </c>
      <c r="P346" s="467">
        <f t="shared" si="782"/>
        <v>-0.2395370903504325</v>
      </c>
      <c r="Q346" s="468">
        <f t="shared" si="782"/>
        <v>2.7009013501816063E-2</v>
      </c>
      <c r="R346" s="467">
        <f t="shared" si="782"/>
        <v>-0.23917219934441858</v>
      </c>
      <c r="S346" s="467">
        <f t="shared" si="782"/>
        <v>-3.4464965798810872E-2</v>
      </c>
      <c r="T346" s="467">
        <f t="shared" si="782"/>
        <v>0.10441310599083894</v>
      </c>
      <c r="U346" s="467">
        <f t="shared" si="782"/>
        <v>0.32534871446960151</v>
      </c>
      <c r="V346" s="468">
        <f t="shared" si="782"/>
        <v>1.0884824450889962E-2</v>
      </c>
      <c r="W346" s="467">
        <f t="shared" si="782"/>
        <v>0.23561357147097495</v>
      </c>
      <c r="X346" s="467">
        <f t="shared" si="782"/>
        <v>-0.12940724213416011</v>
      </c>
      <c r="Y346" s="467">
        <f t="shared" si="782"/>
        <v>-1.262321511270165E-2</v>
      </c>
      <c r="Z346" s="467">
        <f t="shared" si="782"/>
        <v>5.7600860794438727E-2</v>
      </c>
      <c r="AA346" s="468">
        <f t="shared" si="782"/>
        <v>2.3482853309696773E-2</v>
      </c>
      <c r="AB346" s="467">
        <f t="shared" si="782"/>
        <v>-9.5458434068615594E-2</v>
      </c>
      <c r="AC346" s="467">
        <f t="shared" si="782"/>
        <v>-3.8861006828106234E-4</v>
      </c>
      <c r="AD346" s="467">
        <f t="shared" si="782"/>
        <v>3.5169748730453206E-2</v>
      </c>
      <c r="AE346" s="469">
        <f t="shared" si="782"/>
        <v>2.2107382926866554E-2</v>
      </c>
      <c r="AF346" s="470">
        <f t="shared" si="782"/>
        <v>-8.9507075744334821E-3</v>
      </c>
      <c r="AG346" s="467">
        <f>(AG344-AB344)/AB344</f>
        <v>-2.9979415491704679E-2</v>
      </c>
      <c r="AH346" s="467">
        <f t="shared" ref="AH346:AP346" si="783">(AH344-AC344)/AC344</f>
        <v>-2.7294008267894257E-2</v>
      </c>
      <c r="AI346" s="467">
        <f t="shared" si="783"/>
        <v>0.31795428209147325</v>
      </c>
      <c r="AJ346" s="467">
        <f t="shared" si="783"/>
        <v>0.44943322454190265</v>
      </c>
      <c r="AK346" s="470">
        <f t="shared" si="783"/>
        <v>0.19124494097848976</v>
      </c>
      <c r="AL346" s="467">
        <f>(AL344-AG344)/AG344</f>
        <v>0.4857193607783668</v>
      </c>
      <c r="AM346" s="467">
        <f>(AM344-AH344)/AH344</f>
        <v>0.56265372804337588</v>
      </c>
      <c r="AN346" s="538">
        <v>7.0000000000000007E-2</v>
      </c>
      <c r="AO346" s="540">
        <v>-0.01</v>
      </c>
      <c r="AP346" s="471">
        <f t="shared" si="783"/>
        <v>0.21678448082941368</v>
      </c>
      <c r="AQ346" s="1667">
        <v>0.08</v>
      </c>
      <c r="AR346" s="540">
        <v>0</v>
      </c>
      <c r="AS346" s="540">
        <v>-0.05</v>
      </c>
      <c r="AT346" s="540">
        <v>-0.05</v>
      </c>
      <c r="AU346" s="470">
        <f>(AU344-AP344)/AP344</f>
        <v>-8.2413114831474746E-3</v>
      </c>
      <c r="AV346" s="1667">
        <v>-0.05</v>
      </c>
      <c r="AW346" s="540">
        <v>-0.125</v>
      </c>
      <c r="AX346" s="540">
        <v>-0.1</v>
      </c>
      <c r="AY346" s="1668">
        <v>-0.17499999999999999</v>
      </c>
      <c r="AZ346" s="470">
        <f>(AZ344-AU344)/AU344</f>
        <v>-0.11220065146350572</v>
      </c>
      <c r="BA346" s="1667">
        <v>-7.4999999999999997E-2</v>
      </c>
      <c r="BB346" s="540">
        <v>-0.05</v>
      </c>
      <c r="BC346" s="540">
        <v>-0.05</v>
      </c>
      <c r="BD346" s="540">
        <v>-0.01</v>
      </c>
      <c r="BE346" s="470">
        <f>(BE344-AZ344)/AZ344</f>
        <v>-4.7526367346093445E-2</v>
      </c>
      <c r="BF346" s="540">
        <v>-0.05</v>
      </c>
      <c r="BG346" s="540">
        <v>-0.06</v>
      </c>
      <c r="BH346" s="540">
        <v>-0.03</v>
      </c>
      <c r="BI346" s="540">
        <v>1.4999999999999999E-2</v>
      </c>
      <c r="BJ346" s="471">
        <f>(BJ344-BE344)/BE344</f>
        <v>-3.1871239133856304E-2</v>
      </c>
      <c r="BK346" s="1667">
        <v>-0.01</v>
      </c>
      <c r="BL346" s="540">
        <v>-0.01</v>
      </c>
      <c r="BM346" s="540">
        <v>-0.04</v>
      </c>
      <c r="BN346" s="540">
        <v>-0.05</v>
      </c>
      <c r="BO346" s="470">
        <f>(BO344-BJ344)/BJ344</f>
        <v>-2.7798822790142824E-2</v>
      </c>
      <c r="BP346" s="540">
        <v>-7.4999999999999997E-2</v>
      </c>
      <c r="BQ346" s="540">
        <v>-7.4999999999999997E-2</v>
      </c>
      <c r="BR346" s="540">
        <v>-0.15</v>
      </c>
      <c r="BS346" s="540">
        <v>-7.4999999999999997E-2</v>
      </c>
      <c r="BT346" s="470">
        <f>(BT344-BO344)/BO344</f>
        <v>-9.4560280060256324E-2</v>
      </c>
      <c r="BU346" s="540">
        <v>-0.01</v>
      </c>
      <c r="BV346" s="540">
        <v>-0.03</v>
      </c>
      <c r="BW346" s="540">
        <v>-0.03</v>
      </c>
      <c r="BX346" s="540">
        <v>-0.03</v>
      </c>
      <c r="BY346" s="470">
        <f>(BY344-BT344)/BT344</f>
        <v>-2.4774573908329718E-2</v>
      </c>
      <c r="BZ346" s="539">
        <v>-0.02</v>
      </c>
      <c r="CA346" s="539">
        <v>0.01</v>
      </c>
      <c r="CB346" s="539">
        <v>-0.03</v>
      </c>
      <c r="CC346" s="539">
        <v>-0.03</v>
      </c>
      <c r="CD346" s="539">
        <v>0.01</v>
      </c>
      <c r="CE346" s="539">
        <v>0.01</v>
      </c>
      <c r="CF346" s="539">
        <v>0.01</v>
      </c>
      <c r="CG346" s="492"/>
      <c r="CH346" s="492"/>
      <c r="CI346" s="492"/>
      <c r="CJ346" s="492"/>
      <c r="CK346" s="492"/>
      <c r="CL346" s="1310" t="str">
        <f t="shared" si="767"/>
        <v>% Growth (y-o-y)</v>
      </c>
      <c r="CM346" s="469" t="str">
        <f>G346</f>
        <v xml:space="preserve">n/a </v>
      </c>
      <c r="CN346" s="469">
        <f>L346</f>
        <v>2.1640090882281766E-2</v>
      </c>
      <c r="CO346" s="469">
        <f>Q346</f>
        <v>2.7009013501816063E-2</v>
      </c>
      <c r="CP346" s="469">
        <f>V346</f>
        <v>1.0884824450889962E-2</v>
      </c>
      <c r="CQ346" s="469">
        <f>AA346</f>
        <v>2.3482853309696773E-2</v>
      </c>
      <c r="CR346" s="469">
        <f>AF346</f>
        <v>-8.9507075744334821E-3</v>
      </c>
      <c r="CS346" s="469">
        <f t="shared" si="768"/>
        <v>0.19124494097848976</v>
      </c>
      <c r="CT346" s="469">
        <f t="shared" si="769"/>
        <v>0.21678448082941368</v>
      </c>
      <c r="CU346" s="469">
        <f t="shared" si="770"/>
        <v>-8.2413114831474746E-3</v>
      </c>
      <c r="CV346" s="469">
        <f t="shared" si="771"/>
        <v>-0.11220065146350572</v>
      </c>
      <c r="CW346" s="469">
        <f t="shared" si="772"/>
        <v>-4.7526367346093445E-2</v>
      </c>
      <c r="CX346" s="469">
        <f t="shared" si="773"/>
        <v>-3.1871239133856304E-2</v>
      </c>
      <c r="CY346" s="469">
        <f t="shared" si="774"/>
        <v>-2.7798822790142824E-2</v>
      </c>
      <c r="CZ346" s="469">
        <f t="shared" si="775"/>
        <v>-9.4560280060256324E-2</v>
      </c>
      <c r="DA346" s="469">
        <f t="shared" si="776"/>
        <v>-2.4774573908329718E-2</v>
      </c>
      <c r="DB346" s="469">
        <f t="shared" si="776"/>
        <v>-0.02</v>
      </c>
      <c r="DC346" s="1463">
        <f t="shared" si="776"/>
        <v>0.01</v>
      </c>
      <c r="DD346" s="492"/>
      <c r="DE346" s="492"/>
      <c r="DF346" s="962"/>
      <c r="DG346" s="962"/>
      <c r="DH346" s="469"/>
      <c r="DI346" s="3213"/>
      <c r="DJ346" s="962"/>
      <c r="DK346" s="962"/>
      <c r="DL346" s="962"/>
      <c r="DM346" s="962"/>
      <c r="DN346" s="962"/>
      <c r="DO346" s="962"/>
      <c r="DP346" s="962"/>
      <c r="DQ346" s="962"/>
      <c r="DR346" s="963"/>
      <c r="DS346" s="963"/>
      <c r="DT346" s="963"/>
    </row>
    <row r="347" spans="1:124" ht="12" customHeight="1" x14ac:dyDescent="0.25">
      <c r="A347" s="311" t="s">
        <v>2161</v>
      </c>
      <c r="B347" s="311"/>
      <c r="C347" s="446">
        <f>C348*C333</f>
        <v>51.44861611236</v>
      </c>
      <c r="D347" s="446">
        <f>D348*D333</f>
        <v>56.177334177359995</v>
      </c>
      <c r="E347" s="446">
        <f>E348*E333</f>
        <v>58.286292583499993</v>
      </c>
      <c r="F347" s="446">
        <f>F348*F333</f>
        <v>48.593725795785268</v>
      </c>
      <c r="G347" s="447">
        <f>SUM(C347:F347)</f>
        <v>214.50596866900526</v>
      </c>
      <c r="H347" s="446">
        <f>H348*H333</f>
        <v>57.010868635022995</v>
      </c>
      <c r="I347" s="446">
        <f>I348*I333</f>
        <v>58.780328844660005</v>
      </c>
      <c r="J347" s="446">
        <f>J348*J333</f>
        <v>65.321300680500002</v>
      </c>
      <c r="K347" s="446">
        <f>K348*K333</f>
        <v>57.20126711399999</v>
      </c>
      <c r="L347" s="447">
        <f>SUM(H347:K347)</f>
        <v>238.313765274183</v>
      </c>
      <c r="M347" s="446">
        <f>M348*M333</f>
        <v>62.258438292929995</v>
      </c>
      <c r="N347" s="446">
        <f>N348*N333</f>
        <v>65.541899999999998</v>
      </c>
      <c r="O347" s="446">
        <f>O348*O333</f>
        <v>70.344800680500001</v>
      </c>
      <c r="P347" s="446">
        <f>P348*P333</f>
        <v>68.642147706000003</v>
      </c>
      <c r="Q347" s="447">
        <f>SUM(M347:P347)</f>
        <v>266.78728667943</v>
      </c>
      <c r="R347" s="446">
        <f>R348*R333</f>
        <v>67.206755274000002</v>
      </c>
      <c r="S347" s="446">
        <f>S348*S333</f>
        <v>70.609072535999999</v>
      </c>
      <c r="T347" s="446">
        <f>T348*T333</f>
        <v>72.094826441999999</v>
      </c>
      <c r="U347" s="446">
        <f>U348*U333</f>
        <v>63.939722799569992</v>
      </c>
      <c r="V347" s="447">
        <f>SUM(R347:U347)</f>
        <v>273.85037705156998</v>
      </c>
      <c r="W347" s="446">
        <f>W348*W333</f>
        <v>67.830183443999999</v>
      </c>
      <c r="X347" s="446">
        <f>X348*X333</f>
        <v>68.699075124989989</v>
      </c>
      <c r="Y347" s="446">
        <f>Y348*Y333</f>
        <v>66.872726802000003</v>
      </c>
      <c r="Z347" s="446">
        <f>Z348*Z333</f>
        <v>58.321355136000008</v>
      </c>
      <c r="AA347" s="447">
        <f>SUM(W347:Z347)</f>
        <v>261.72334050698998</v>
      </c>
      <c r="AB347" s="446">
        <f>AB348*AB333</f>
        <v>66.605699999999999</v>
      </c>
      <c r="AC347" s="446">
        <f>AC348*AC333</f>
        <v>69.206099999999992</v>
      </c>
      <c r="AD347" s="446">
        <f>AD348*AD333</f>
        <v>62.645999999999994</v>
      </c>
      <c r="AE347" s="446">
        <f>AE348*AE333</f>
        <v>52.598999999999997</v>
      </c>
      <c r="AF347" s="455">
        <f>SUM(AB347:AE347)</f>
        <v>251.05679999999998</v>
      </c>
      <c r="AG347" s="446">
        <f>(AG348*AG333)+(AG349*AG334)</f>
        <v>57.947549999999993</v>
      </c>
      <c r="AH347" s="446">
        <f>(AH348*AH333)+(AH349*AH334)</f>
        <v>62.823299999999996</v>
      </c>
      <c r="AI347" s="446">
        <f>(AI348*AI333)+(AI349*AI334)</f>
        <v>70.602198603419993</v>
      </c>
      <c r="AJ347" s="446">
        <f>(AJ348*AJ333)+(AJ349*AJ334)</f>
        <v>64.038772277830006</v>
      </c>
      <c r="AK347" s="455">
        <f>SUM(AG347:AJ347)</f>
        <v>255.41182088124998</v>
      </c>
      <c r="AL347" s="446">
        <f>(AL348*AL333)+(AL349*AL334)</f>
        <v>69.907416999999995</v>
      </c>
      <c r="AM347" s="446">
        <f>(AM348*AM333)+(AM349*AM334)</f>
        <v>72.007704218299992</v>
      </c>
      <c r="AN347" s="446">
        <f>(AN348*AN333)+(AN349*AN334)</f>
        <v>74.807488341999999</v>
      </c>
      <c r="AO347" s="446">
        <f>(AO348*AO333)+(AO349*AO334)</f>
        <v>70.377488999999997</v>
      </c>
      <c r="AP347" s="456">
        <f>SUM(AL347:AO347)</f>
        <v>287.10009856030001</v>
      </c>
      <c r="AQ347" s="456">
        <f>(AQ348*AQ333)+(AQ349*AQ334)</f>
        <v>78.622332993499995</v>
      </c>
      <c r="AR347" s="454">
        <f>(AR348*AR333)+(AR349*AR334)</f>
        <v>74.211624674999996</v>
      </c>
      <c r="AS347" s="454">
        <f>(AS348*AS333)+(AS349*AS334)</f>
        <v>69.314449620759987</v>
      </c>
      <c r="AT347" s="454">
        <f>(AT348*AT333)+(AT349*AT334)</f>
        <v>61.912588196654994</v>
      </c>
      <c r="AU347" s="455">
        <f>SUM(AQ347:AT347)</f>
        <v>284.06099548591499</v>
      </c>
      <c r="AV347" s="456">
        <f>(AV348*AV333)+(AV349*AV334)</f>
        <v>63.473092416525006</v>
      </c>
      <c r="AW347" s="454">
        <f>(AW348*AW333)+(AW349*AW334)</f>
        <v>63.753914764049995</v>
      </c>
      <c r="AX347" s="454">
        <f>(AX348*AX333)+(AX349*AX334)</f>
        <v>59.554016786174998</v>
      </c>
      <c r="AY347" s="1666">
        <f>(AY348*AY333)+(AY349*AY334)</f>
        <v>52.036854607620008</v>
      </c>
      <c r="AZ347" s="455">
        <f>SUM(AV347:AY347)</f>
        <v>238.81787857437001</v>
      </c>
      <c r="BA347" s="456">
        <f>(BA348*BA333)+(BA349*BA334)</f>
        <v>50.527942575965</v>
      </c>
      <c r="BB347" s="454">
        <f>(BB348*BB333)+(BB349*BB334)</f>
        <v>55.692526927379987</v>
      </c>
      <c r="BC347" s="454">
        <f>(BC348*BC333)+(BC349*BC334)</f>
        <v>54.63921077821999</v>
      </c>
      <c r="BD347" s="1666">
        <f>(BD348*BD333)+(BD349*BD334)</f>
        <v>49.057158533469988</v>
      </c>
      <c r="BE347" s="1666">
        <f>SUM(BA347:BD347)</f>
        <v>209.91683881503496</v>
      </c>
      <c r="BF347" s="454">
        <f>(BF348*BF333)+(BF349*BF334)</f>
        <v>47.733475853599984</v>
      </c>
      <c r="BG347" s="454">
        <f>(BG348*BG333)+(BG349*BG334)</f>
        <v>53.450233287439971</v>
      </c>
      <c r="BH347" s="454">
        <f>(BH348*BH333)+(BH349*BH334)</f>
        <v>53.942863467208554</v>
      </c>
      <c r="BI347" s="1666">
        <f>(BI348*BI333)+(BI349*BI334)</f>
        <v>51.394442282882864</v>
      </c>
      <c r="BJ347" s="454">
        <f>SUM(BF347:BI347)</f>
        <v>206.52101489113139</v>
      </c>
      <c r="BK347" s="456">
        <f>(BK348*BK333)+(BK349*BK334)</f>
        <v>49.223940228907146</v>
      </c>
      <c r="BL347" s="454">
        <f>(BL348*BL333)+(BL349*BL334)</f>
        <v>51.323436647835692</v>
      </c>
      <c r="BM347" s="454">
        <f>(BM348*BM333)+(BM349*BM334)</f>
        <v>52.927986618857148</v>
      </c>
      <c r="BN347" s="1666">
        <f>(BN348*BN333)+(BN349*BN334)</f>
        <v>48.964642097205704</v>
      </c>
      <c r="BO347" s="455">
        <f>SUM(BK347:BN347)</f>
        <v>202.4400055928057</v>
      </c>
      <c r="BP347" s="454">
        <f>(BP348*BP333)+(BP349*BP334)</f>
        <v>44.72250861237714</v>
      </c>
      <c r="BQ347" s="454">
        <f>(BQ348*BQ333)+(BQ349*BQ334)</f>
        <v>47.298960593309985</v>
      </c>
      <c r="BR347" s="454">
        <f>(BR348*BR333)+(BR349*BR334)</f>
        <v>47.222338871939989</v>
      </c>
      <c r="BS347" s="454">
        <f>(BS348*BS333)+(BS349*BS334)</f>
        <v>44.406053853576132</v>
      </c>
      <c r="BT347" s="3068">
        <f>SUM(BP347:BS347)</f>
        <v>183.64986193120325</v>
      </c>
      <c r="BU347" s="2915">
        <f>(BU348*BU333)+(BU349*BU334)</f>
        <v>44.644802466272857</v>
      </c>
      <c r="BV347" s="2915">
        <f>(BV348*BV333)+(BV349*BV334)</f>
        <v>46.324541254881282</v>
      </c>
      <c r="BW347" s="2915">
        <f>(BW348*BW333)+(BW349*BW334)</f>
        <v>46.249661824688694</v>
      </c>
      <c r="BX347" s="2915">
        <f>(BX348*BX333)+(BX349*BX334)</f>
        <v>43.490113207467118</v>
      </c>
      <c r="BY347" s="3068">
        <f>SUM(BU347:BX347)</f>
        <v>180.70911875330995</v>
      </c>
      <c r="BZ347" s="447">
        <f t="shared" ref="BZ347:CF347" si="784">(BZ348*BZ333)+(BZ349*BZ334)</f>
        <v>183.41975553460961</v>
      </c>
      <c r="CA347" s="447">
        <f t="shared" si="784"/>
        <v>183.41975553460961</v>
      </c>
      <c r="CB347" s="447">
        <f t="shared" si="784"/>
        <v>174.24876775787914</v>
      </c>
      <c r="CC347" s="447">
        <f t="shared" si="784"/>
        <v>165.53632936998517</v>
      </c>
      <c r="CD347" s="447">
        <f t="shared" si="784"/>
        <v>168.84705595738487</v>
      </c>
      <c r="CE347" s="447">
        <f t="shared" si="784"/>
        <v>172.22399707653256</v>
      </c>
      <c r="CF347" s="447">
        <f t="shared" si="784"/>
        <v>175.66847701806321</v>
      </c>
      <c r="CG347" s="476"/>
      <c r="CH347" s="476"/>
      <c r="CI347" s="476"/>
      <c r="CJ347" s="476"/>
      <c r="CK347" s="476"/>
      <c r="CL347" s="528" t="str">
        <f t="shared" si="767"/>
        <v>Tax expense</v>
      </c>
      <c r="CM347" s="454">
        <f>G347</f>
        <v>214.50596866900526</v>
      </c>
      <c r="CN347" s="454">
        <f>L347</f>
        <v>238.313765274183</v>
      </c>
      <c r="CO347" s="454">
        <f>Q347</f>
        <v>266.78728667943</v>
      </c>
      <c r="CP347" s="454">
        <f>V347</f>
        <v>273.85037705156998</v>
      </c>
      <c r="CQ347" s="454">
        <f>AA347</f>
        <v>261.72334050698998</v>
      </c>
      <c r="CR347" s="454">
        <f>AF347</f>
        <v>251.05679999999998</v>
      </c>
      <c r="CS347" s="454">
        <f t="shared" si="768"/>
        <v>255.41182088124998</v>
      </c>
      <c r="CT347" s="454">
        <f t="shared" si="769"/>
        <v>287.10009856030001</v>
      </c>
      <c r="CU347" s="454">
        <f t="shared" si="770"/>
        <v>284.06099548591499</v>
      </c>
      <c r="CV347" s="454">
        <f t="shared" si="771"/>
        <v>238.81787857437001</v>
      </c>
      <c r="CW347" s="454">
        <f t="shared" si="772"/>
        <v>209.91683881503496</v>
      </c>
      <c r="CX347" s="454">
        <f t="shared" si="773"/>
        <v>206.52101489113139</v>
      </c>
      <c r="CY347" s="454">
        <f t="shared" si="774"/>
        <v>202.4400055928057</v>
      </c>
      <c r="CZ347" s="454">
        <f t="shared" si="775"/>
        <v>183.64986193120325</v>
      </c>
      <c r="DA347" s="454">
        <f t="shared" si="776"/>
        <v>180.70911875330995</v>
      </c>
      <c r="DB347" s="454">
        <f t="shared" si="776"/>
        <v>183.41975553460961</v>
      </c>
      <c r="DC347" s="1666">
        <f t="shared" si="776"/>
        <v>183.41975553460961</v>
      </c>
      <c r="DD347" s="476"/>
      <c r="DE347" s="476"/>
      <c r="DF347" s="598"/>
      <c r="DG347" s="598"/>
      <c r="DH347" s="2915"/>
      <c r="DI347" s="3213"/>
      <c r="DJ347" s="598"/>
      <c r="DK347" s="598"/>
      <c r="DL347" s="598"/>
      <c r="DM347" s="598"/>
      <c r="DN347" s="598"/>
      <c r="DO347" s="598"/>
      <c r="DP347" s="598"/>
      <c r="DQ347" s="598"/>
      <c r="DR347" s="660"/>
      <c r="DS347" s="660"/>
      <c r="DT347" s="660"/>
    </row>
    <row r="348" spans="1:124" ht="12" customHeight="1" x14ac:dyDescent="0.25">
      <c r="A348" s="465" t="s">
        <v>1168</v>
      </c>
      <c r="B348" s="466"/>
      <c r="C348" s="540">
        <v>0.59099999999999997</v>
      </c>
      <c r="D348" s="540">
        <v>0.59099999999999997</v>
      </c>
      <c r="E348" s="540">
        <v>0.59099999999999997</v>
      </c>
      <c r="F348" s="540">
        <v>0.59099999999999997</v>
      </c>
      <c r="G348" s="470">
        <f>F348</f>
        <v>0.59099999999999997</v>
      </c>
      <c r="H348" s="540">
        <v>0.59099999999999997</v>
      </c>
      <c r="I348" s="540">
        <v>0.59099999999999997</v>
      </c>
      <c r="J348" s="540">
        <v>0.59099999999999997</v>
      </c>
      <c r="K348" s="540">
        <v>0.59099999999999997</v>
      </c>
      <c r="L348" s="470">
        <f>K348</f>
        <v>0.59099999999999997</v>
      </c>
      <c r="M348" s="540">
        <v>0.59099999999999997</v>
      </c>
      <c r="N348" s="540">
        <v>0.59099999999999997</v>
      </c>
      <c r="O348" s="540">
        <v>0.59099999999999997</v>
      </c>
      <c r="P348" s="540">
        <v>0.59099999999999997</v>
      </c>
      <c r="Q348" s="470">
        <f>P348</f>
        <v>0.59099999999999997</v>
      </c>
      <c r="R348" s="540">
        <v>0.59099999999999997</v>
      </c>
      <c r="S348" s="540">
        <v>0.59099999999999997</v>
      </c>
      <c r="T348" s="540">
        <v>0.59099999999999997</v>
      </c>
      <c r="U348" s="540">
        <v>0.59099999999999997</v>
      </c>
      <c r="V348" s="470">
        <f>U348</f>
        <v>0.59099999999999997</v>
      </c>
      <c r="W348" s="540">
        <v>0.59099999999999997</v>
      </c>
      <c r="X348" s="540">
        <v>0.59099999999999997</v>
      </c>
      <c r="Y348" s="540">
        <v>0.59099999999999997</v>
      </c>
      <c r="Z348" s="540">
        <v>0.59099999999999997</v>
      </c>
      <c r="AA348" s="470">
        <f>Z348</f>
        <v>0.59099999999999997</v>
      </c>
      <c r="AB348" s="540">
        <v>0.59099999999999997</v>
      </c>
      <c r="AC348" s="540">
        <v>0.59099999999999997</v>
      </c>
      <c r="AD348" s="540">
        <v>0.59099999999999997</v>
      </c>
      <c r="AE348" s="540">
        <v>0.59099999999999997</v>
      </c>
      <c r="AF348" s="470">
        <f>AE348</f>
        <v>0.59099999999999997</v>
      </c>
      <c r="AG348" s="540">
        <f>AE348</f>
        <v>0.59099999999999997</v>
      </c>
      <c r="AH348" s="540">
        <f>AG348</f>
        <v>0.59099999999999997</v>
      </c>
      <c r="AI348" s="540">
        <f t="shared" ref="AI348:AP348" si="785">AH348</f>
        <v>0.59099999999999997</v>
      </c>
      <c r="AJ348" s="540">
        <f t="shared" si="785"/>
        <v>0.59099999999999997</v>
      </c>
      <c r="AK348" s="470">
        <f t="shared" si="785"/>
        <v>0.59099999999999997</v>
      </c>
      <c r="AL348" s="540">
        <f t="shared" si="785"/>
        <v>0.59099999999999997</v>
      </c>
      <c r="AM348" s="540">
        <f t="shared" si="785"/>
        <v>0.59099999999999997</v>
      </c>
      <c r="AN348" s="540">
        <f t="shared" si="785"/>
        <v>0.59099999999999997</v>
      </c>
      <c r="AO348" s="540">
        <f t="shared" si="785"/>
        <v>0.59099999999999997</v>
      </c>
      <c r="AP348" s="470">
        <f t="shared" si="785"/>
        <v>0.59099999999999997</v>
      </c>
      <c r="AQ348" s="471">
        <f>+AO348</f>
        <v>0.59099999999999997</v>
      </c>
      <c r="AR348" s="469">
        <f>AQ348</f>
        <v>0.59099999999999997</v>
      </c>
      <c r="AS348" s="469">
        <f>AR348</f>
        <v>0.59099999999999997</v>
      </c>
      <c r="AT348" s="1463">
        <f>AS348</f>
        <v>0.59099999999999997</v>
      </c>
      <c r="AU348" s="470">
        <f>AT348</f>
        <v>0.59099999999999997</v>
      </c>
      <c r="AV348" s="471">
        <f>+AT348</f>
        <v>0.59099999999999997</v>
      </c>
      <c r="AW348" s="469">
        <f>AV348</f>
        <v>0.59099999999999997</v>
      </c>
      <c r="AX348" s="469">
        <f>AW348</f>
        <v>0.59099999999999997</v>
      </c>
      <c r="AY348" s="1463">
        <f>AX348</f>
        <v>0.59099999999999997</v>
      </c>
      <c r="AZ348" s="470">
        <f>AY348</f>
        <v>0.59099999999999997</v>
      </c>
      <c r="BA348" s="471">
        <f>+AY348</f>
        <v>0.59099999999999997</v>
      </c>
      <c r="BB348" s="469">
        <f>BA348</f>
        <v>0.59099999999999997</v>
      </c>
      <c r="BC348" s="469">
        <f>BB348</f>
        <v>0.59099999999999997</v>
      </c>
      <c r="BD348" s="1463">
        <f>BC348</f>
        <v>0.59099999999999997</v>
      </c>
      <c r="BE348" s="1463">
        <f>BD348</f>
        <v>0.59099999999999997</v>
      </c>
      <c r="BF348" s="469">
        <f>BD348</f>
        <v>0.59099999999999997</v>
      </c>
      <c r="BG348" s="469">
        <f t="shared" ref="BG348:CA348" si="786">BF348</f>
        <v>0.59099999999999997</v>
      </c>
      <c r="BH348" s="469">
        <f t="shared" si="786"/>
        <v>0.59099999999999997</v>
      </c>
      <c r="BI348" s="1463">
        <f t="shared" si="786"/>
        <v>0.59099999999999997</v>
      </c>
      <c r="BJ348" s="469">
        <f t="shared" si="786"/>
        <v>0.59099999999999997</v>
      </c>
      <c r="BK348" s="471">
        <f t="shared" si="786"/>
        <v>0.59099999999999997</v>
      </c>
      <c r="BL348" s="469">
        <f>BK348</f>
        <v>0.59099999999999997</v>
      </c>
      <c r="BM348" s="469">
        <f t="shared" si="786"/>
        <v>0.59099999999999997</v>
      </c>
      <c r="BN348" s="469">
        <f t="shared" si="786"/>
        <v>0.59099999999999997</v>
      </c>
      <c r="BO348" s="470">
        <f t="shared" si="786"/>
        <v>0.59099999999999997</v>
      </c>
      <c r="BP348" s="469">
        <f t="shared" ref="BP348:BS349" si="787">BO348</f>
        <v>0.59099999999999997</v>
      </c>
      <c r="BQ348" s="469">
        <f t="shared" si="787"/>
        <v>0.59099999999999997</v>
      </c>
      <c r="BR348" s="469">
        <f t="shared" si="787"/>
        <v>0.59099999999999997</v>
      </c>
      <c r="BS348" s="469">
        <f t="shared" si="787"/>
        <v>0.59099999999999997</v>
      </c>
      <c r="BT348" s="470">
        <f t="shared" si="786"/>
        <v>0.59099999999999997</v>
      </c>
      <c r="BU348" s="469">
        <f t="shared" ref="BU348:BX349" si="788">BT348</f>
        <v>0.59099999999999997</v>
      </c>
      <c r="BV348" s="469">
        <f t="shared" si="788"/>
        <v>0.59099999999999997</v>
      </c>
      <c r="BW348" s="469">
        <f t="shared" si="788"/>
        <v>0.59099999999999997</v>
      </c>
      <c r="BX348" s="469">
        <f t="shared" si="788"/>
        <v>0.59099999999999997</v>
      </c>
      <c r="BY348" s="470">
        <f>BX348</f>
        <v>0.59099999999999997</v>
      </c>
      <c r="BZ348" s="470">
        <f t="shared" si="786"/>
        <v>0.59099999999999997</v>
      </c>
      <c r="CA348" s="470">
        <f t="shared" si="786"/>
        <v>0.59099999999999997</v>
      </c>
      <c r="CB348" s="470">
        <f>CA348</f>
        <v>0.59099999999999997</v>
      </c>
      <c r="CC348" s="470">
        <f>CB348</f>
        <v>0.59099999999999997</v>
      </c>
      <c r="CD348" s="470">
        <f>CC348</f>
        <v>0.59099999999999997</v>
      </c>
      <c r="CE348" s="470">
        <f>CD348</f>
        <v>0.59099999999999997</v>
      </c>
      <c r="CF348" s="470">
        <f>CE348</f>
        <v>0.59099999999999997</v>
      </c>
      <c r="CG348" s="492"/>
      <c r="CH348" s="492"/>
      <c r="CI348" s="492"/>
      <c r="CJ348" s="492"/>
      <c r="CK348" s="492"/>
      <c r="CL348" s="1310" t="str">
        <f t="shared" si="767"/>
        <v>% of Slot revenue</v>
      </c>
      <c r="CM348" s="469">
        <f>G348</f>
        <v>0.59099999999999997</v>
      </c>
      <c r="CN348" s="469">
        <f>L348</f>
        <v>0.59099999999999997</v>
      </c>
      <c r="CO348" s="469">
        <f>Q348</f>
        <v>0.59099999999999997</v>
      </c>
      <c r="CP348" s="469">
        <f>V348</f>
        <v>0.59099999999999997</v>
      </c>
      <c r="CQ348" s="469">
        <f>AA348</f>
        <v>0.59099999999999997</v>
      </c>
      <c r="CR348" s="469">
        <f>AF348</f>
        <v>0.59099999999999997</v>
      </c>
      <c r="CS348" s="469">
        <f t="shared" si="768"/>
        <v>0.59099999999999997</v>
      </c>
      <c r="CT348" s="469">
        <f t="shared" si="769"/>
        <v>0.59099999999999997</v>
      </c>
      <c r="CU348" s="469">
        <f t="shared" si="770"/>
        <v>0.59099999999999997</v>
      </c>
      <c r="CV348" s="469">
        <f t="shared" si="771"/>
        <v>0.59099999999999997</v>
      </c>
      <c r="CW348" s="469">
        <f t="shared" si="772"/>
        <v>0.59099999999999997</v>
      </c>
      <c r="CX348" s="469">
        <f t="shared" si="773"/>
        <v>0.59099999999999997</v>
      </c>
      <c r="CY348" s="469">
        <f t="shared" si="774"/>
        <v>0.59099999999999997</v>
      </c>
      <c r="CZ348" s="469">
        <f t="shared" si="775"/>
        <v>0.59099999999999997</v>
      </c>
      <c r="DA348" s="469">
        <f t="shared" si="776"/>
        <v>0.59099999999999997</v>
      </c>
      <c r="DB348" s="469">
        <f t="shared" si="776"/>
        <v>0.59099999999999997</v>
      </c>
      <c r="DC348" s="1463">
        <f t="shared" si="776"/>
        <v>0.59099999999999997</v>
      </c>
      <c r="DD348" s="492"/>
      <c r="DE348" s="492"/>
      <c r="DF348" s="962"/>
      <c r="DG348" s="962"/>
      <c r="DH348" s="469"/>
      <c r="DI348" s="3213"/>
      <c r="DJ348" s="962"/>
      <c r="DK348" s="962"/>
      <c r="DL348" s="962"/>
      <c r="DM348" s="962"/>
      <c r="DN348" s="962"/>
      <c r="DO348" s="962"/>
      <c r="DP348" s="962"/>
      <c r="DQ348" s="962"/>
      <c r="DR348" s="963"/>
      <c r="DS348" s="963"/>
      <c r="DT348" s="963"/>
    </row>
    <row r="349" spans="1:124" ht="12" customHeight="1" x14ac:dyDescent="0.25">
      <c r="A349" s="465" t="s">
        <v>1167</v>
      </c>
      <c r="B349" s="466"/>
      <c r="C349" s="540"/>
      <c r="D349" s="540"/>
      <c r="E349" s="540"/>
      <c r="F349" s="540"/>
      <c r="G349" s="470"/>
      <c r="H349" s="540"/>
      <c r="I349" s="540"/>
      <c r="J349" s="540"/>
      <c r="K349" s="540"/>
      <c r="L349" s="470"/>
      <c r="M349" s="540"/>
      <c r="N349" s="540"/>
      <c r="O349" s="540"/>
      <c r="P349" s="540"/>
      <c r="Q349" s="470"/>
      <c r="R349" s="540"/>
      <c r="S349" s="540"/>
      <c r="T349" s="540"/>
      <c r="U349" s="540"/>
      <c r="V349" s="470"/>
      <c r="W349" s="540"/>
      <c r="X349" s="540"/>
      <c r="Y349" s="540"/>
      <c r="Z349" s="540"/>
      <c r="AA349" s="470"/>
      <c r="AB349" s="540"/>
      <c r="AC349" s="540"/>
      <c r="AD349" s="540"/>
      <c r="AE349" s="1404"/>
      <c r="AF349" s="470"/>
      <c r="AG349" s="540"/>
      <c r="AH349" s="540"/>
      <c r="AI349" s="540">
        <v>0.35</v>
      </c>
      <c r="AJ349" s="540">
        <v>0.35</v>
      </c>
      <c r="AK349" s="539">
        <v>0.35</v>
      </c>
      <c r="AL349" s="540">
        <v>0.35</v>
      </c>
      <c r="AM349" s="540">
        <v>0.35</v>
      </c>
      <c r="AN349" s="540">
        <v>0.35</v>
      </c>
      <c r="AO349" s="540">
        <v>0.35</v>
      </c>
      <c r="AP349" s="539">
        <v>0.35</v>
      </c>
      <c r="AQ349" s="1667">
        <v>0.35</v>
      </c>
      <c r="AR349" s="540">
        <v>0.35</v>
      </c>
      <c r="AS349" s="540">
        <v>0.35</v>
      </c>
      <c r="AT349" s="1668">
        <v>0.35</v>
      </c>
      <c r="AU349" s="539">
        <v>0.35</v>
      </c>
      <c r="AV349" s="1667">
        <v>0.35</v>
      </c>
      <c r="AW349" s="540">
        <v>0.35</v>
      </c>
      <c r="AX349" s="540">
        <v>0.35</v>
      </c>
      <c r="AY349" s="1668">
        <v>0.35</v>
      </c>
      <c r="AZ349" s="539">
        <v>0.35</v>
      </c>
      <c r="BA349" s="1667">
        <v>0.35</v>
      </c>
      <c r="BB349" s="540">
        <v>0.35</v>
      </c>
      <c r="BC349" s="540">
        <v>0.35</v>
      </c>
      <c r="BD349" s="1668">
        <v>0.35</v>
      </c>
      <c r="BE349" s="1668">
        <v>0.35</v>
      </c>
      <c r="BF349" s="540">
        <v>0.35</v>
      </c>
      <c r="BG349" s="540">
        <v>0.35</v>
      </c>
      <c r="BH349" s="540">
        <v>0.35</v>
      </c>
      <c r="BI349" s="1668">
        <v>0.35</v>
      </c>
      <c r="BJ349" s="540">
        <v>0.35</v>
      </c>
      <c r="BK349" s="1667">
        <v>0.35</v>
      </c>
      <c r="BL349" s="540">
        <f>BK349</f>
        <v>0.35</v>
      </c>
      <c r="BM349" s="540">
        <f>BL349</f>
        <v>0.35</v>
      </c>
      <c r="BN349" s="540">
        <f>BM349</f>
        <v>0.35</v>
      </c>
      <c r="BO349" s="539">
        <v>0.35</v>
      </c>
      <c r="BP349" s="540">
        <f t="shared" si="787"/>
        <v>0.35</v>
      </c>
      <c r="BQ349" s="540">
        <f t="shared" si="787"/>
        <v>0.35</v>
      </c>
      <c r="BR349" s="540">
        <f t="shared" si="787"/>
        <v>0.35</v>
      </c>
      <c r="BS349" s="540">
        <f t="shared" si="787"/>
        <v>0.35</v>
      </c>
      <c r="BT349" s="470">
        <v>0.35</v>
      </c>
      <c r="BU349" s="540">
        <f t="shared" si="788"/>
        <v>0.35</v>
      </c>
      <c r="BV349" s="540">
        <f t="shared" si="788"/>
        <v>0.35</v>
      </c>
      <c r="BW349" s="540">
        <f t="shared" si="788"/>
        <v>0.35</v>
      </c>
      <c r="BX349" s="540">
        <f t="shared" si="788"/>
        <v>0.35</v>
      </c>
      <c r="BY349" s="470">
        <v>0.35</v>
      </c>
      <c r="BZ349" s="539">
        <v>0.35</v>
      </c>
      <c r="CA349" s="539">
        <v>0.35</v>
      </c>
      <c r="CB349" s="539">
        <v>0.35</v>
      </c>
      <c r="CC349" s="539">
        <v>0.35</v>
      </c>
      <c r="CD349" s="539">
        <v>0.35</v>
      </c>
      <c r="CE349" s="539">
        <v>0.35</v>
      </c>
      <c r="CF349" s="539">
        <v>0.35</v>
      </c>
      <c r="CG349" s="492"/>
      <c r="CH349" s="492"/>
      <c r="CI349" s="492"/>
      <c r="CJ349" s="492"/>
      <c r="CK349" s="492"/>
      <c r="CL349" s="1310" t="str">
        <f t="shared" si="767"/>
        <v>% of Table revenue</v>
      </c>
      <c r="CM349" s="469"/>
      <c r="CN349" s="469"/>
      <c r="CO349" s="469"/>
      <c r="CP349" s="469"/>
      <c r="CQ349" s="469"/>
      <c r="CR349" s="469"/>
      <c r="CS349" s="469">
        <f t="shared" si="768"/>
        <v>0.35</v>
      </c>
      <c r="CT349" s="469">
        <f t="shared" si="769"/>
        <v>0.35</v>
      </c>
      <c r="CU349" s="469">
        <f t="shared" si="770"/>
        <v>0.35</v>
      </c>
      <c r="CV349" s="469">
        <f t="shared" si="771"/>
        <v>0.35</v>
      </c>
      <c r="CW349" s="469">
        <f t="shared" si="772"/>
        <v>0.35</v>
      </c>
      <c r="CX349" s="469">
        <f t="shared" si="773"/>
        <v>0.35</v>
      </c>
      <c r="CY349" s="469">
        <f t="shared" si="774"/>
        <v>0.35</v>
      </c>
      <c r="CZ349" s="469">
        <f t="shared" si="775"/>
        <v>0.35</v>
      </c>
      <c r="DA349" s="469">
        <f t="shared" si="776"/>
        <v>0.35</v>
      </c>
      <c r="DB349" s="469">
        <f t="shared" si="776"/>
        <v>0.35</v>
      </c>
      <c r="DC349" s="1463">
        <f t="shared" si="776"/>
        <v>0.35</v>
      </c>
      <c r="DD349" s="492"/>
      <c r="DE349" s="492"/>
      <c r="DF349" s="962"/>
      <c r="DG349" s="962"/>
      <c r="DH349" s="469"/>
      <c r="DI349" s="3213"/>
      <c r="DJ349" s="962"/>
      <c r="DK349" s="962"/>
      <c r="DL349" s="962"/>
      <c r="DM349" s="962"/>
      <c r="DN349" s="962"/>
      <c r="DO349" s="962"/>
      <c r="DP349" s="962"/>
      <c r="DQ349" s="962"/>
      <c r="DR349" s="963"/>
      <c r="DS349" s="963"/>
      <c r="DT349" s="963"/>
    </row>
    <row r="350" spans="1:124" ht="12" customHeight="1" x14ac:dyDescent="0.25">
      <c r="A350" s="311" t="s">
        <v>2162</v>
      </c>
      <c r="B350" s="311"/>
      <c r="C350" s="446">
        <f>C341-C352</f>
        <v>69.165000000000006</v>
      </c>
      <c r="D350" s="446">
        <f>D341-D352</f>
        <v>72.001000000000005</v>
      </c>
      <c r="E350" s="446">
        <f>E341-E352</f>
        <v>74.022999999999996</v>
      </c>
      <c r="F350" s="446">
        <f>F341-F352</f>
        <v>70.582999999999998</v>
      </c>
      <c r="G350" s="447">
        <f>SUM(C350:F350)</f>
        <v>285.77199999999999</v>
      </c>
      <c r="H350" s="446">
        <f>H341-H352</f>
        <v>73.778999999999996</v>
      </c>
      <c r="I350" s="446">
        <f>I341-I352</f>
        <v>79.599999999999994</v>
      </c>
      <c r="J350" s="446">
        <f>J341-J352</f>
        <v>82.449000000000012</v>
      </c>
      <c r="K350" s="446">
        <f>K341-K352</f>
        <v>75.294000000000011</v>
      </c>
      <c r="L350" s="447">
        <f>SUM(H350:K350)</f>
        <v>311.12200000000001</v>
      </c>
      <c r="M350" s="446">
        <f>M341-M352</f>
        <v>82.768000000000001</v>
      </c>
      <c r="N350" s="446">
        <f>N341-N352</f>
        <v>87.046999999999997</v>
      </c>
      <c r="O350" s="446">
        <f>O341-O352</f>
        <v>89.346000000000004</v>
      </c>
      <c r="P350" s="446">
        <f>P341-P352</f>
        <v>82.400999999999996</v>
      </c>
      <c r="Q350" s="447">
        <f>SUM(M350:P350)</f>
        <v>341.56200000000001</v>
      </c>
      <c r="R350" s="446">
        <f>R341-R352</f>
        <v>82.811000000000007</v>
      </c>
      <c r="S350" s="446">
        <f>S341-S352</f>
        <v>91.37299999999999</v>
      </c>
      <c r="T350" s="446">
        <f>T341-T352</f>
        <v>93.080000000000013</v>
      </c>
      <c r="U350" s="446">
        <f>U341-U352</f>
        <v>82.175000000000011</v>
      </c>
      <c r="V350" s="447">
        <f>SUM(R350:U350)</f>
        <v>349.43900000000002</v>
      </c>
      <c r="W350" s="446">
        <f t="shared" ref="W350:AC350" si="789">W341-W352</f>
        <v>87.11099999999999</v>
      </c>
      <c r="X350" s="446">
        <f t="shared" si="789"/>
        <v>86.775999999999996</v>
      </c>
      <c r="Y350" s="446">
        <f t="shared" si="789"/>
        <v>87.593000000000004</v>
      </c>
      <c r="Z350" s="446">
        <f t="shared" si="789"/>
        <v>77.606999999999999</v>
      </c>
      <c r="AA350" s="447">
        <f>SUM(W350:Z350)</f>
        <v>339.08699999999999</v>
      </c>
      <c r="AB350" s="446">
        <f t="shared" si="789"/>
        <v>84.045999999999992</v>
      </c>
      <c r="AC350" s="446">
        <f t="shared" si="789"/>
        <v>87.27600000000001</v>
      </c>
      <c r="AD350" s="446">
        <f>AD341-AD352</f>
        <v>84.094999999999999</v>
      </c>
      <c r="AE350" s="446">
        <f>AE341-AE352</f>
        <v>72.310999999999993</v>
      </c>
      <c r="AF350" s="455">
        <f>SUM(AB350:AE350)</f>
        <v>327.72800000000001</v>
      </c>
      <c r="AG350" s="446">
        <f>AG341-AG352</f>
        <v>74.865000000000009</v>
      </c>
      <c r="AH350" s="446">
        <f>AH341-AH352</f>
        <v>80.399999999999991</v>
      </c>
      <c r="AI350" s="446">
        <f>AI341-AI352</f>
        <v>98.871000000000009</v>
      </c>
      <c r="AJ350" s="446">
        <f>AJ341-AJ352</f>
        <v>92.609999999999985</v>
      </c>
      <c r="AK350" s="455">
        <f>SUM(AG350:AJ350)</f>
        <v>346.74599999999998</v>
      </c>
      <c r="AL350" s="446">
        <f>AL341-AL352</f>
        <v>95.042000000000002</v>
      </c>
      <c r="AM350" s="446">
        <f>AM341-AM352</f>
        <v>99.47399999999999</v>
      </c>
      <c r="AN350" s="446">
        <f>AN344+AN347</f>
        <v>105.05510583634062</v>
      </c>
      <c r="AO350" s="446">
        <f>AO344+AO347</f>
        <v>98.663004444948271</v>
      </c>
      <c r="AP350" s="456">
        <f>SUM(AL350:AO350)</f>
        <v>398.23411028128891</v>
      </c>
      <c r="AQ350" s="456">
        <f>AQ344+AQ347</f>
        <v>105.7676826335</v>
      </c>
      <c r="AR350" s="454">
        <f>AR344+AR347</f>
        <v>101.67792045669999</v>
      </c>
      <c r="AS350" s="454">
        <f>AS344+AS347</f>
        <v>98.049686240383579</v>
      </c>
      <c r="AT350" s="454">
        <f>AT344+AT347</f>
        <v>88.783827869355861</v>
      </c>
      <c r="AU350" s="455">
        <f>SUM(AQ350:AT350)</f>
        <v>394.27911719993938</v>
      </c>
      <c r="AV350" s="456">
        <f>AV344+AV347</f>
        <v>89.261174574525015</v>
      </c>
      <c r="AW350" s="454">
        <f>AW344+AW347</f>
        <v>87.786923573037484</v>
      </c>
      <c r="AX350" s="454">
        <f>AX344+AX347</f>
        <v>85.415729743836224</v>
      </c>
      <c r="AY350" s="1666">
        <f>AY344+AY347</f>
        <v>74.205627337598216</v>
      </c>
      <c r="AZ350" s="447">
        <f>SUM(AV350:AY350)</f>
        <v>336.66945522899692</v>
      </c>
      <c r="BA350" s="456">
        <f>BA344+BA347</f>
        <v>74.381918572115012</v>
      </c>
      <c r="BB350" s="454">
        <f>BB344+BB347</f>
        <v>78.523885295918106</v>
      </c>
      <c r="BC350" s="454">
        <f>BC344+BC347</f>
        <v>79.207838087998155</v>
      </c>
      <c r="BD350" s="1666">
        <f>BD344+BD347</f>
        <v>71.004243536148422</v>
      </c>
      <c r="BE350" s="856">
        <f>SUM(BA350:BD350)</f>
        <v>303.11788549217965</v>
      </c>
      <c r="BF350" s="454">
        <f>BF344+BF347</f>
        <v>70.394753049942494</v>
      </c>
      <c r="BG350" s="454">
        <f>BG344+BG347</f>
        <v>74.911710153865798</v>
      </c>
      <c r="BH350" s="454">
        <f>BH344+BH347</f>
        <v>77.774431957693366</v>
      </c>
      <c r="BI350" s="1666">
        <f>BI344+BI347</f>
        <v>73.670733560601462</v>
      </c>
      <c r="BJ350" s="856">
        <f>SUM(BF350:BI350)</f>
        <v>296.75162872210308</v>
      </c>
      <c r="BK350" s="454">
        <f>BK344+BK347</f>
        <v>71.658604653286233</v>
      </c>
      <c r="BL350" s="454">
        <f>BL344+BL347</f>
        <v>72.570298745597256</v>
      </c>
      <c r="BM350" s="454">
        <f>BM344+BM347</f>
        <v>75.80629236972257</v>
      </c>
      <c r="BN350" s="454">
        <f>BN344+BN347</f>
        <v>70.127118811038372</v>
      </c>
      <c r="BO350" s="447">
        <f>SUM(BK350:BN350)</f>
        <v>290.16231457964443</v>
      </c>
      <c r="BP350" s="454">
        <f>BP344+BP347</f>
        <v>65.474573204927793</v>
      </c>
      <c r="BQ350" s="454">
        <f>BQ344+BQ347</f>
        <v>66.952308033739442</v>
      </c>
      <c r="BR350" s="454">
        <f>BR344+BR347</f>
        <v>66.668898760175608</v>
      </c>
      <c r="BS350" s="454">
        <f>BS344+BS347</f>
        <v>63.98134481387136</v>
      </c>
      <c r="BT350" s="3068">
        <f>SUM(BP350:BS350)</f>
        <v>263.0771248127142</v>
      </c>
      <c r="BU350" s="2915">
        <f>BU344+BU347</f>
        <v>65.189346412898004</v>
      </c>
      <c r="BV350" s="2915">
        <f>BV344+BV347</f>
        <v>65.388288272097853</v>
      </c>
      <c r="BW350" s="2915">
        <f>BW344+BW347</f>
        <v>65.112824916277233</v>
      </c>
      <c r="BX350" s="2915">
        <f>BX344+BX347</f>
        <v>62.478145438953483</v>
      </c>
      <c r="BY350" s="3068">
        <f>SUM(BU350:BX350)</f>
        <v>258.16860504022662</v>
      </c>
      <c r="BZ350" s="447">
        <f t="shared" ref="BZ350:CF350" si="790">BZ344+BZ347</f>
        <v>259.33005209578789</v>
      </c>
      <c r="CA350" s="447">
        <f t="shared" si="790"/>
        <v>260.08915506139965</v>
      </c>
      <c r="CB350" s="447">
        <f t="shared" si="790"/>
        <v>248.61808529886551</v>
      </c>
      <c r="CC350" s="447">
        <f t="shared" si="790"/>
        <v>237.67456738474195</v>
      </c>
      <c r="CD350" s="447">
        <f t="shared" si="790"/>
        <v>241.70667635228921</v>
      </c>
      <c r="CE350" s="447">
        <f t="shared" si="790"/>
        <v>245.81221367538595</v>
      </c>
      <c r="CF350" s="447">
        <f t="shared" si="790"/>
        <v>249.99257578290513</v>
      </c>
      <c r="CG350" s="476"/>
      <c r="CH350" s="476"/>
      <c r="CI350" s="476"/>
      <c r="CJ350" s="476"/>
      <c r="CK350" s="476"/>
      <c r="CL350" s="528" t="str">
        <f t="shared" si="767"/>
        <v>Total expenses</v>
      </c>
      <c r="CM350" s="454">
        <f>G350</f>
        <v>285.77199999999999</v>
      </c>
      <c r="CN350" s="454">
        <f>L350</f>
        <v>311.12200000000001</v>
      </c>
      <c r="CO350" s="454">
        <f>Q350</f>
        <v>341.56200000000001</v>
      </c>
      <c r="CP350" s="454">
        <f>V350</f>
        <v>349.43900000000002</v>
      </c>
      <c r="CQ350" s="454">
        <f>AA350</f>
        <v>339.08699999999999</v>
      </c>
      <c r="CR350" s="454">
        <f>AF350</f>
        <v>327.72800000000001</v>
      </c>
      <c r="CS350" s="454">
        <f t="shared" si="768"/>
        <v>346.74599999999998</v>
      </c>
      <c r="CT350" s="454">
        <f t="shared" si="769"/>
        <v>398.23411028128891</v>
      </c>
      <c r="CU350" s="454">
        <f t="shared" si="770"/>
        <v>394.27911719993938</v>
      </c>
      <c r="CV350" s="454">
        <f t="shared" si="771"/>
        <v>336.66945522899692</v>
      </c>
      <c r="CW350" s="454">
        <f t="shared" si="772"/>
        <v>303.11788549217965</v>
      </c>
      <c r="CX350" s="454">
        <f t="shared" si="773"/>
        <v>296.75162872210308</v>
      </c>
      <c r="CY350" s="454">
        <f t="shared" si="774"/>
        <v>290.16231457964443</v>
      </c>
      <c r="CZ350" s="454">
        <f t="shared" si="775"/>
        <v>263.0771248127142</v>
      </c>
      <c r="DA350" s="454">
        <f t="shared" si="776"/>
        <v>258.16860504022662</v>
      </c>
      <c r="DB350" s="454">
        <f t="shared" si="776"/>
        <v>259.33005209578789</v>
      </c>
      <c r="DC350" s="1666">
        <f t="shared" si="776"/>
        <v>260.08915506139965</v>
      </c>
      <c r="DD350" s="476"/>
      <c r="DE350" s="476"/>
      <c r="DF350" s="598"/>
      <c r="DG350" s="598"/>
      <c r="DH350" s="2915"/>
      <c r="DI350" s="3213"/>
      <c r="DJ350" s="598"/>
      <c r="DK350" s="598"/>
      <c r="DL350" s="598"/>
      <c r="DM350" s="598"/>
      <c r="DN350" s="598"/>
      <c r="DO350" s="598"/>
      <c r="DP350" s="598"/>
      <c r="DQ350" s="598"/>
      <c r="DR350" s="660"/>
      <c r="DS350" s="660"/>
      <c r="DT350" s="660"/>
    </row>
    <row r="351" spans="1:124" ht="6" customHeight="1" x14ac:dyDescent="0.25">
      <c r="A351" s="281"/>
      <c r="B351" s="281"/>
      <c r="C351" s="446"/>
      <c r="D351" s="446"/>
      <c r="E351" s="446"/>
      <c r="F351" s="446"/>
      <c r="G351" s="447"/>
      <c r="H351" s="446"/>
      <c r="I351" s="446"/>
      <c r="J351" s="446"/>
      <c r="K351" s="446"/>
      <c r="L351" s="447"/>
      <c r="M351" s="446"/>
      <c r="N351" s="446"/>
      <c r="O351" s="446"/>
      <c r="P351" s="446"/>
      <c r="Q351" s="447"/>
      <c r="R351" s="446"/>
      <c r="S351" s="446"/>
      <c r="T351" s="446"/>
      <c r="U351" s="446"/>
      <c r="V351" s="447"/>
      <c r="W351" s="446"/>
      <c r="X351" s="446"/>
      <c r="Y351" s="446"/>
      <c r="Z351" s="446"/>
      <c r="AA351" s="447"/>
      <c r="AB351" s="446"/>
      <c r="AC351" s="446"/>
      <c r="AD351" s="446"/>
      <c r="AE351" s="454"/>
      <c r="AF351" s="455"/>
      <c r="AG351" s="454"/>
      <c r="AH351" s="454"/>
      <c r="AI351" s="454"/>
      <c r="AJ351" s="454"/>
      <c r="AK351" s="455"/>
      <c r="AL351" s="454"/>
      <c r="AM351" s="454"/>
      <c r="AN351" s="454"/>
      <c r="AO351" s="454"/>
      <c r="AP351" s="456"/>
      <c r="AQ351" s="456"/>
      <c r="AR351" s="454"/>
      <c r="AS351" s="454"/>
      <c r="AT351" s="454"/>
      <c r="AU351" s="455"/>
      <c r="AV351" s="456"/>
      <c r="AW351" s="454"/>
      <c r="AX351" s="454"/>
      <c r="AY351" s="1666"/>
      <c r="AZ351" s="455"/>
      <c r="BA351" s="456"/>
      <c r="BB351" s="454"/>
      <c r="BC351" s="454"/>
      <c r="BD351" s="1666"/>
      <c r="BE351" s="1666"/>
      <c r="BF351" s="454"/>
      <c r="BG351" s="454"/>
      <c r="BH351" s="454"/>
      <c r="BI351" s="1666"/>
      <c r="BJ351" s="1666"/>
      <c r="BK351" s="454"/>
      <c r="BL351" s="454"/>
      <c r="BM351" s="454"/>
      <c r="BN351" s="454"/>
      <c r="BO351" s="455"/>
      <c r="BP351" s="454"/>
      <c r="BQ351" s="454"/>
      <c r="BR351" s="454"/>
      <c r="BS351" s="454"/>
      <c r="BT351" s="3066"/>
      <c r="BU351" s="3391"/>
      <c r="BV351" s="2915"/>
      <c r="BW351" s="2915"/>
      <c r="BX351" s="2915"/>
      <c r="BY351" s="3066"/>
      <c r="BZ351" s="455"/>
      <c r="CA351" s="455"/>
      <c r="CB351" s="455"/>
      <c r="CC351" s="455"/>
      <c r="CD351" s="455"/>
      <c r="CE351" s="455"/>
      <c r="CF351" s="455"/>
      <c r="CG351" s="331"/>
      <c r="CH351" s="331"/>
      <c r="CI351" s="331"/>
      <c r="CJ351" s="331"/>
      <c r="CK351" s="331"/>
      <c r="CL351" s="520"/>
      <c r="CM351" s="454"/>
      <c r="CN351" s="454"/>
      <c r="CO351" s="454"/>
      <c r="CP351" s="454"/>
      <c r="CQ351" s="454"/>
      <c r="CR351" s="454"/>
      <c r="CS351" s="454"/>
      <c r="CT351" s="454"/>
      <c r="CU351" s="454"/>
      <c r="CV351" s="454"/>
      <c r="CW351" s="454"/>
      <c r="CX351" s="454"/>
      <c r="CY351" s="454"/>
      <c r="CZ351" s="454"/>
      <c r="DA351" s="454"/>
      <c r="DB351" s="454"/>
      <c r="DC351" s="1666"/>
      <c r="DD351" s="331"/>
      <c r="DE351" s="331"/>
      <c r="DF351" s="502"/>
      <c r="DG351" s="503"/>
      <c r="DH351" s="2915"/>
      <c r="DI351" s="3213"/>
      <c r="DJ351" s="502"/>
      <c r="DK351" s="503"/>
      <c r="DL351" s="502"/>
      <c r="DM351" s="502"/>
      <c r="DN351" s="502"/>
      <c r="DO351" s="502"/>
      <c r="DP351" s="503"/>
      <c r="DQ351" s="503"/>
      <c r="DR351" s="296"/>
      <c r="DS351" s="296"/>
      <c r="DT351" s="296"/>
    </row>
    <row r="352" spans="1:124" ht="12" customHeight="1" x14ac:dyDescent="0.25">
      <c r="A352" s="999" t="s">
        <v>2010</v>
      </c>
      <c r="B352" s="1000"/>
      <c r="C352" s="1001">
        <v>24.887</v>
      </c>
      <c r="D352" s="1001">
        <v>29.523</v>
      </c>
      <c r="E352" s="1001">
        <v>30.48</v>
      </c>
      <c r="F352" s="1001">
        <v>29.472000000000001</v>
      </c>
      <c r="G352" s="1002">
        <f>SUM(C352:F352)</f>
        <v>114.36199999999999</v>
      </c>
      <c r="H352" s="1001">
        <v>29.428999999999998</v>
      </c>
      <c r="I352" s="1001">
        <v>33.179000000000002</v>
      </c>
      <c r="J352" s="1001">
        <v>35.954000000000001</v>
      </c>
      <c r="K352" s="1001">
        <v>30.957000000000001</v>
      </c>
      <c r="L352" s="1002">
        <f>SUM(H352:K352)</f>
        <v>129.51900000000001</v>
      </c>
      <c r="M352" s="1001">
        <v>34.149000000000001</v>
      </c>
      <c r="N352" s="1001">
        <v>35.405000000000001</v>
      </c>
      <c r="O352" s="1001">
        <v>37.627000000000002</v>
      </c>
      <c r="P352" s="1001">
        <v>36.453000000000003</v>
      </c>
      <c r="Q352" s="1002">
        <f>SUM(M352:P352)</f>
        <v>143.63400000000001</v>
      </c>
      <c r="R352" s="1001">
        <v>36.784999999999997</v>
      </c>
      <c r="S352" s="1001">
        <v>37.767000000000003</v>
      </c>
      <c r="T352" s="1001">
        <v>40.295999999999999</v>
      </c>
      <c r="U352" s="1001">
        <v>36.512999999999998</v>
      </c>
      <c r="V352" s="1002">
        <f>SUM(R352:U352)</f>
        <v>151.36099999999999</v>
      </c>
      <c r="W352" s="1001">
        <v>35.401000000000003</v>
      </c>
      <c r="X352" s="1001">
        <v>35.296999999999997</v>
      </c>
      <c r="Y352" s="1001">
        <v>35.771000000000001</v>
      </c>
      <c r="Z352" s="1001">
        <v>31.475999999999999</v>
      </c>
      <c r="AA352" s="1002">
        <f>SUM(W352:Z352)</f>
        <v>137.94499999999999</v>
      </c>
      <c r="AB352" s="1001">
        <v>33.857999999999997</v>
      </c>
      <c r="AC352" s="1001">
        <v>34.158999999999999</v>
      </c>
      <c r="AD352" s="1001">
        <v>32.524000000000001</v>
      </c>
      <c r="AE352" s="1003">
        <v>27.081</v>
      </c>
      <c r="AF352" s="1004">
        <f>SUM(AB352:AE352)</f>
        <v>127.622</v>
      </c>
      <c r="AG352" s="1001">
        <v>28.35</v>
      </c>
      <c r="AH352" s="1001">
        <v>31.965</v>
      </c>
      <c r="AI352" s="1001">
        <v>45.725000000000001</v>
      </c>
      <c r="AJ352" s="1001">
        <v>42.133000000000003</v>
      </c>
      <c r="AK352" s="1004">
        <f>SUM(AG352:AJ352)</f>
        <v>148.173</v>
      </c>
      <c r="AL352" s="1001">
        <v>44.85</v>
      </c>
      <c r="AM352" s="1001">
        <v>49.262999999999998</v>
      </c>
      <c r="AN352" s="1592">
        <f>AN341-AN350</f>
        <v>52.411640413659384</v>
      </c>
      <c r="AO352" s="1005">
        <f>AO341-AO350</f>
        <v>48.154995555051713</v>
      </c>
      <c r="AP352" s="1006">
        <f>SUM(AL352:AO352)</f>
        <v>194.67963596871107</v>
      </c>
      <c r="AQ352" s="1006">
        <f>AQ341-AQ350</f>
        <v>55.898732776499983</v>
      </c>
      <c r="AR352" s="1015">
        <f>AR341-AR350</f>
        <v>51.288871893300026</v>
      </c>
      <c r="AS352" s="1015">
        <f>AS341-AS350</f>
        <v>47.524497623616384</v>
      </c>
      <c r="AT352" s="1015">
        <f>AT341-AT350</f>
        <v>42.196614335644114</v>
      </c>
      <c r="AU352" s="1004">
        <f>SUM(AQ352:AT352)</f>
        <v>196.90871662906051</v>
      </c>
      <c r="AV352" s="1006">
        <f>AV341-AV350</f>
        <v>43.874113224488568</v>
      </c>
      <c r="AW352" s="1015">
        <f>AW341-AW350</f>
        <v>42.77699787745172</v>
      </c>
      <c r="AX352" s="1015">
        <f>AX341-AX350</f>
        <v>37.364938801648833</v>
      </c>
      <c r="AY352" s="1871">
        <f>AY341-AY350</f>
        <v>31.391478859529187</v>
      </c>
      <c r="AZ352" s="1002">
        <f>SUM(AV352:AY352)</f>
        <v>155.40752876311831</v>
      </c>
      <c r="BA352" s="1006">
        <f>BA341-BA350</f>
        <v>27.352364809133661</v>
      </c>
      <c r="BB352" s="1015">
        <f>BB341-BB350</f>
        <v>33.694959041339658</v>
      </c>
      <c r="BC352" s="1015">
        <f>BC341-BC350</f>
        <v>32.01062094767731</v>
      </c>
      <c r="BD352" s="1871">
        <f>BD341-BD350</f>
        <v>29.233472883851576</v>
      </c>
      <c r="BE352" s="1672">
        <f>SUM(BA352:BD352)</f>
        <v>122.2914176820022</v>
      </c>
      <c r="BF352" s="1015">
        <f>BF341-BF350</f>
        <v>26.345636550057492</v>
      </c>
      <c r="BG352" s="1015">
        <f>BG341-BG350</f>
        <v>34.666077936134172</v>
      </c>
      <c r="BH352" s="1015">
        <f>BH341-BH350</f>
        <v>32.086753765163763</v>
      </c>
      <c r="BI352" s="1871">
        <f>BI341-BI350</f>
        <v>31.828202472255697</v>
      </c>
      <c r="BJ352" s="1672">
        <f>SUM(BF352:BI352)</f>
        <v>124.92667072361112</v>
      </c>
      <c r="BK352" s="1015">
        <f>BK341-BK350</f>
        <v>28.552131860999495</v>
      </c>
      <c r="BL352" s="1015">
        <f>BL341-BL350</f>
        <v>33.38174919725985</v>
      </c>
      <c r="BM352" s="1015">
        <f>BM341-BM350</f>
        <v>32.236106415991713</v>
      </c>
      <c r="BN352" s="1015">
        <f>BN341-BN350</f>
        <v>30.226137987533036</v>
      </c>
      <c r="BO352" s="1002">
        <f>SUM(BK352:BN352)</f>
        <v>124.3961254617841</v>
      </c>
      <c r="BP352" s="1015">
        <f>BP341-BP350</f>
        <v>25.682841550786492</v>
      </c>
      <c r="BQ352" s="1015">
        <f>BQ341-BQ350</f>
        <v>30.706866769117681</v>
      </c>
      <c r="BR352" s="1015">
        <f>BR341-BR350</f>
        <v>28.632465353700738</v>
      </c>
      <c r="BS352" s="1015">
        <f>BS341-BS350</f>
        <v>26.671684871186372</v>
      </c>
      <c r="BT352" s="1002">
        <f>SUM(BP352:BS352)</f>
        <v>111.69385854479128</v>
      </c>
      <c r="BU352" s="1015">
        <f>BU341-BU350</f>
        <v>25.579052541192212</v>
      </c>
      <c r="BV352" s="1015">
        <f>BV341-BV350</f>
        <v>30.226131186128981</v>
      </c>
      <c r="BW352" s="1015">
        <f>BW341-BW350</f>
        <v>28.19362716147495</v>
      </c>
      <c r="BX352" s="1015">
        <f>BX341-BX350</f>
        <v>26.273542089424133</v>
      </c>
      <c r="BY352" s="1002">
        <f>SUM(BU352:BX352)</f>
        <v>110.27235297822028</v>
      </c>
      <c r="BZ352" s="1002">
        <f t="shared" ref="BZ352:CF352" si="791">BZ341-BZ350</f>
        <v>114.63752029293562</v>
      </c>
      <c r="CA352" s="1002">
        <f t="shared" si="791"/>
        <v>113.87841732732386</v>
      </c>
      <c r="CB352" s="1002">
        <f t="shared" si="791"/>
        <v>106.65110847042186</v>
      </c>
      <c r="CC352" s="1002">
        <f t="shared" si="791"/>
        <v>99.831166696081056</v>
      </c>
      <c r="CD352" s="1002">
        <f t="shared" si="791"/>
        <v>102.54917241015022</v>
      </c>
      <c r="CE352" s="1002">
        <f t="shared" si="791"/>
        <v>105.3287520623023</v>
      </c>
      <c r="CF352" s="1002">
        <f t="shared" si="791"/>
        <v>108.17120926953692</v>
      </c>
      <c r="CG352" s="598"/>
      <c r="CH352" s="598"/>
      <c r="CI352" s="598"/>
      <c r="CJ352" s="598"/>
      <c r="CK352" s="598"/>
      <c r="CL352" s="2221" t="str">
        <f t="shared" ref="CL352:CL357" si="792">A352</f>
        <v>Property EBITDA</v>
      </c>
      <c r="CM352" s="1015">
        <f t="shared" ref="CM352:CM357" si="793">G352</f>
        <v>114.36199999999999</v>
      </c>
      <c r="CN352" s="1015">
        <f t="shared" ref="CN352:CN357" si="794">L352</f>
        <v>129.51900000000001</v>
      </c>
      <c r="CO352" s="1015">
        <f t="shared" ref="CO352:CO357" si="795">Q352</f>
        <v>143.63400000000001</v>
      </c>
      <c r="CP352" s="1015">
        <f t="shared" ref="CP352:CP357" si="796">V352</f>
        <v>151.36099999999999</v>
      </c>
      <c r="CQ352" s="1015">
        <f t="shared" ref="CQ352:CQ357" si="797">AA352</f>
        <v>137.94499999999999</v>
      </c>
      <c r="CR352" s="1015">
        <f t="shared" ref="CR352:CR357" si="798">AF352</f>
        <v>127.622</v>
      </c>
      <c r="CS352" s="1015">
        <f t="shared" ref="CS352:CS357" si="799">AK352</f>
        <v>148.173</v>
      </c>
      <c r="CT352" s="1015">
        <f t="shared" ref="CT352:CT357" si="800">AP352</f>
        <v>194.67963596871107</v>
      </c>
      <c r="CU352" s="1015">
        <f t="shared" ref="CU352:CU357" si="801">AU352</f>
        <v>196.90871662906051</v>
      </c>
      <c r="CV352" s="1015">
        <f t="shared" ref="CV352:CV357" si="802">AZ352</f>
        <v>155.40752876311831</v>
      </c>
      <c r="CW352" s="1015">
        <f t="shared" ref="CW352:CW357" si="803">BE352</f>
        <v>122.2914176820022</v>
      </c>
      <c r="CX352" s="1015">
        <f t="shared" ref="CX352:CX357" si="804">BJ352</f>
        <v>124.92667072361112</v>
      </c>
      <c r="CY352" s="1015">
        <f t="shared" ref="CY352:CY357" si="805">BO352</f>
        <v>124.3961254617841</v>
      </c>
      <c r="CZ352" s="1015">
        <f t="shared" ref="CZ352:CZ357" si="806">BT352</f>
        <v>111.69385854479128</v>
      </c>
      <c r="DA352" s="1015">
        <f t="shared" ref="DA352:DC357" si="807">BY352</f>
        <v>110.27235297822028</v>
      </c>
      <c r="DB352" s="1015">
        <f t="shared" si="807"/>
        <v>114.63752029293562</v>
      </c>
      <c r="DC352" s="1871">
        <f t="shared" si="807"/>
        <v>113.87841732732386</v>
      </c>
      <c r="DD352" s="598"/>
      <c r="DE352" s="598"/>
      <c r="DF352" s="598"/>
      <c r="DG352" s="598"/>
      <c r="DH352" s="463"/>
      <c r="DI352" s="3213"/>
      <c r="DJ352" s="598"/>
      <c r="DK352" s="598"/>
      <c r="DL352" s="598"/>
      <c r="DM352" s="598"/>
      <c r="DN352" s="598"/>
      <c r="DO352" s="598"/>
      <c r="DP352" s="598"/>
      <c r="DQ352" s="598"/>
      <c r="DR352" s="654"/>
      <c r="DS352" s="654"/>
      <c r="DT352" s="654"/>
    </row>
    <row r="353" spans="1:124" ht="12" customHeight="1" x14ac:dyDescent="0.25">
      <c r="A353" s="465" t="s">
        <v>2015</v>
      </c>
      <c r="B353" s="466"/>
      <c r="C353" s="467">
        <f>C352/C341</f>
        <v>0.26460893973546545</v>
      </c>
      <c r="D353" s="467">
        <f t="shared" ref="D353:AF353" si="808">D352/D341</f>
        <v>0.29079823490012213</v>
      </c>
      <c r="E353" s="467">
        <f t="shared" si="808"/>
        <v>0.29166626795403006</v>
      </c>
      <c r="F353" s="467">
        <f t="shared" si="808"/>
        <v>0.29455799310379288</v>
      </c>
      <c r="G353" s="468">
        <f t="shared" si="808"/>
        <v>0.28580925389994349</v>
      </c>
      <c r="H353" s="467">
        <f t="shared" si="808"/>
        <v>0.28514262460274398</v>
      </c>
      <c r="I353" s="467">
        <f t="shared" si="808"/>
        <v>0.2941948412381738</v>
      </c>
      <c r="J353" s="467">
        <f t="shared" si="808"/>
        <v>0.30365784650726757</v>
      </c>
      <c r="K353" s="467">
        <f t="shared" si="808"/>
        <v>0.29135725781404409</v>
      </c>
      <c r="L353" s="468">
        <f t="shared" si="808"/>
        <v>0.2939331564697793</v>
      </c>
      <c r="M353" s="467">
        <f t="shared" si="808"/>
        <v>0.29207899621098726</v>
      </c>
      <c r="N353" s="467">
        <f t="shared" si="808"/>
        <v>0.28913370136869959</v>
      </c>
      <c r="O353" s="467">
        <f t="shared" si="808"/>
        <v>0.29633859166909504</v>
      </c>
      <c r="P353" s="467">
        <f t="shared" si="808"/>
        <v>0.30670402342369635</v>
      </c>
      <c r="Q353" s="468">
        <f t="shared" si="808"/>
        <v>0.29603294338782682</v>
      </c>
      <c r="R353" s="467">
        <f t="shared" si="808"/>
        <v>0.30757717649419708</v>
      </c>
      <c r="S353" s="467">
        <f t="shared" si="808"/>
        <v>0.29245005420473907</v>
      </c>
      <c r="T353" s="467">
        <f t="shared" si="808"/>
        <v>0.30212332053742802</v>
      </c>
      <c r="U353" s="467">
        <f t="shared" si="808"/>
        <v>0.30763851442437312</v>
      </c>
      <c r="V353" s="468">
        <f t="shared" si="808"/>
        <v>0.30223841853035144</v>
      </c>
      <c r="W353" s="467">
        <f t="shared" si="808"/>
        <v>0.28895944887031477</v>
      </c>
      <c r="X353" s="467">
        <f t="shared" si="808"/>
        <v>0.28914665814717422</v>
      </c>
      <c r="Y353" s="467">
        <f t="shared" si="808"/>
        <v>0.28996303621802144</v>
      </c>
      <c r="Z353" s="467">
        <f t="shared" si="808"/>
        <v>0.28855091994169579</v>
      </c>
      <c r="AA353" s="468">
        <f t="shared" si="808"/>
        <v>0.28917347263915211</v>
      </c>
      <c r="AB353" s="467">
        <f t="shared" si="808"/>
        <v>0.28716582982765637</v>
      </c>
      <c r="AC353" s="467">
        <f t="shared" si="808"/>
        <v>0.28129451970189812</v>
      </c>
      <c r="AD353" s="467">
        <f t="shared" si="808"/>
        <v>0.27889108978811344</v>
      </c>
      <c r="AE353" s="469">
        <f t="shared" si="808"/>
        <v>0.27246659690920799</v>
      </c>
      <c r="AF353" s="470">
        <f t="shared" si="808"/>
        <v>0.28027231799714508</v>
      </c>
      <c r="AG353" s="467">
        <f t="shared" ref="AG353:AP353" si="809">AG352/AG341</f>
        <v>0.27466937945066122</v>
      </c>
      <c r="AH353" s="467">
        <f t="shared" si="809"/>
        <v>0.28447470297690564</v>
      </c>
      <c r="AI353" s="467">
        <f t="shared" si="809"/>
        <v>0.31622589836510001</v>
      </c>
      <c r="AJ353" s="469">
        <f t="shared" si="809"/>
        <v>0.31269156839316331</v>
      </c>
      <c r="AK353" s="470">
        <f t="shared" si="809"/>
        <v>0.299388384765992</v>
      </c>
      <c r="AL353" s="467">
        <f>AL352/AL341</f>
        <v>0.32060446630257627</v>
      </c>
      <c r="AM353" s="467">
        <f>AM352/AM341</f>
        <v>0.33120877791000219</v>
      </c>
      <c r="AN353" s="467">
        <f>AN352/AN341</f>
        <v>0.33284259478155936</v>
      </c>
      <c r="AO353" s="469">
        <f>AO352/AO341</f>
        <v>0.3279910879800278</v>
      </c>
      <c r="AP353" s="471">
        <f t="shared" si="809"/>
        <v>0.32834394075023698</v>
      </c>
      <c r="AQ353" s="471">
        <f t="shared" ref="AQ353:BK353" si="810">AQ352/AQ341</f>
        <v>0.3457658947576463</v>
      </c>
      <c r="AR353" s="469">
        <f t="shared" si="810"/>
        <v>0.33529415832912979</v>
      </c>
      <c r="AS353" s="469">
        <f t="shared" si="810"/>
        <v>0.32646240124564452</v>
      </c>
      <c r="AT353" s="469">
        <f t="shared" si="810"/>
        <v>0.32215965700895555</v>
      </c>
      <c r="AU353" s="470">
        <f t="shared" si="810"/>
        <v>0.33307301903309466</v>
      </c>
      <c r="AV353" s="471">
        <f>AV352/AV341</f>
        <v>0.32954533655061236</v>
      </c>
      <c r="AW353" s="469">
        <f>AW352/AW341</f>
        <v>0.32763260632971314</v>
      </c>
      <c r="AX353" s="469">
        <f>AX352/AX341</f>
        <v>0.30432265310403239</v>
      </c>
      <c r="AY353" s="1463">
        <f>AY352/AY341</f>
        <v>0.2972759386126354</v>
      </c>
      <c r="AZ353" s="470">
        <f t="shared" si="810"/>
        <v>0.31581954413378632</v>
      </c>
      <c r="BA353" s="471">
        <f>BA352/BA341</f>
        <v>0.26886083923775062</v>
      </c>
      <c r="BB353" s="469">
        <f>BB352/BB341</f>
        <v>0.30026114811942151</v>
      </c>
      <c r="BC353" s="469">
        <f>BC352/BC341</f>
        <v>0.2878175190092257</v>
      </c>
      <c r="BD353" s="1463">
        <f>BD352/BD341</f>
        <v>0.29164144922617918</v>
      </c>
      <c r="BE353" s="1463">
        <f t="shared" si="810"/>
        <v>0.2874676617777927</v>
      </c>
      <c r="BF353" s="469">
        <f t="shared" si="810"/>
        <v>0.2723333724310068</v>
      </c>
      <c r="BG353" s="469">
        <f t="shared" si="810"/>
        <v>0.31636044622165344</v>
      </c>
      <c r="BH353" s="469">
        <f t="shared" si="810"/>
        <v>0.2920663340199865</v>
      </c>
      <c r="BI353" s="1463">
        <f t="shared" si="810"/>
        <v>0.30169216552423761</v>
      </c>
      <c r="BJ353" s="1463">
        <f t="shared" si="810"/>
        <v>0.29626061120011188</v>
      </c>
      <c r="BK353" s="469">
        <f t="shared" si="810"/>
        <v>0.28492088626580636</v>
      </c>
      <c r="BL353" s="469">
        <f t="shared" ref="BL353:CF353" si="811">BL352/BL341</f>
        <v>0.31506469054060721</v>
      </c>
      <c r="BM353" s="469">
        <f t="shared" si="811"/>
        <v>0.29836533414930133</v>
      </c>
      <c r="BN353" s="469">
        <f t="shared" si="811"/>
        <v>0.3011973796545816</v>
      </c>
      <c r="BO353" s="470">
        <f t="shared" si="811"/>
        <v>0.3000689732655128</v>
      </c>
      <c r="BP353" s="469">
        <f t="shared" si="811"/>
        <v>0.2817416621523543</v>
      </c>
      <c r="BQ353" s="469">
        <f t="shared" si="811"/>
        <v>0.31442889857614609</v>
      </c>
      <c r="BR353" s="469">
        <f t="shared" si="811"/>
        <v>0.30044129609191722</v>
      </c>
      <c r="BS353" s="469">
        <f t="shared" si="811"/>
        <v>0.29421724749683292</v>
      </c>
      <c r="BT353" s="470">
        <f t="shared" si="811"/>
        <v>0.29803230107130013</v>
      </c>
      <c r="BU353" s="469">
        <f t="shared" si="811"/>
        <v>0.28180570370234082</v>
      </c>
      <c r="BV353" s="469">
        <f t="shared" si="811"/>
        <v>0.31612523882273358</v>
      </c>
      <c r="BW353" s="469">
        <f t="shared" si="811"/>
        <v>0.30216160333672559</v>
      </c>
      <c r="BX353" s="469">
        <f t="shared" si="811"/>
        <v>0.29603428195124049</v>
      </c>
      <c r="BY353" s="470">
        <f t="shared" si="811"/>
        <v>0.29929450181458717</v>
      </c>
      <c r="BZ353" s="470">
        <f t="shared" si="811"/>
        <v>0.30654401278882748</v>
      </c>
      <c r="CA353" s="470">
        <f t="shared" si="811"/>
        <v>0.30451414971604024</v>
      </c>
      <c r="CB353" s="470">
        <f t="shared" si="811"/>
        <v>0.30019801981390298</v>
      </c>
      <c r="CC353" s="470">
        <f t="shared" si="811"/>
        <v>0.29579102401908924</v>
      </c>
      <c r="CD353" s="470">
        <f t="shared" si="811"/>
        <v>0.29788650731368199</v>
      </c>
      <c r="CE353" s="470">
        <f t="shared" si="811"/>
        <v>0.29996144665440633</v>
      </c>
      <c r="CF353" s="470">
        <f t="shared" si="811"/>
        <v>0.30201604345257455</v>
      </c>
      <c r="CG353" s="492"/>
      <c r="CH353" s="492"/>
      <c r="CI353" s="492"/>
      <c r="CJ353" s="492"/>
      <c r="CK353" s="492"/>
      <c r="CL353" s="1310" t="str">
        <f t="shared" si="792"/>
        <v>% Margin</v>
      </c>
      <c r="CM353" s="469">
        <f t="shared" si="793"/>
        <v>0.28580925389994349</v>
      </c>
      <c r="CN353" s="469">
        <f t="shared" si="794"/>
        <v>0.2939331564697793</v>
      </c>
      <c r="CO353" s="469">
        <f t="shared" si="795"/>
        <v>0.29603294338782682</v>
      </c>
      <c r="CP353" s="469">
        <f t="shared" si="796"/>
        <v>0.30223841853035144</v>
      </c>
      <c r="CQ353" s="469">
        <f t="shared" si="797"/>
        <v>0.28917347263915211</v>
      </c>
      <c r="CR353" s="469">
        <f t="shared" si="798"/>
        <v>0.28027231799714508</v>
      </c>
      <c r="CS353" s="469">
        <f t="shared" si="799"/>
        <v>0.299388384765992</v>
      </c>
      <c r="CT353" s="469">
        <f t="shared" si="800"/>
        <v>0.32834394075023698</v>
      </c>
      <c r="CU353" s="469">
        <f t="shared" si="801"/>
        <v>0.33307301903309466</v>
      </c>
      <c r="CV353" s="469">
        <f t="shared" si="802"/>
        <v>0.31581954413378632</v>
      </c>
      <c r="CW353" s="469">
        <f t="shared" si="803"/>
        <v>0.2874676617777927</v>
      </c>
      <c r="CX353" s="469">
        <f t="shared" si="804"/>
        <v>0.29626061120011188</v>
      </c>
      <c r="CY353" s="469">
        <f t="shared" si="805"/>
        <v>0.3000689732655128</v>
      </c>
      <c r="CZ353" s="469">
        <f t="shared" si="806"/>
        <v>0.29803230107130013</v>
      </c>
      <c r="DA353" s="469">
        <f t="shared" si="807"/>
        <v>0.29929450181458717</v>
      </c>
      <c r="DB353" s="469">
        <f t="shared" si="807"/>
        <v>0.30654401278882748</v>
      </c>
      <c r="DC353" s="1463">
        <f t="shared" si="807"/>
        <v>0.30451414971604024</v>
      </c>
      <c r="DD353" s="492"/>
      <c r="DE353" s="492"/>
      <c r="DF353" s="962"/>
      <c r="DG353" s="962"/>
      <c r="DH353" s="469"/>
      <c r="DI353" s="3213"/>
      <c r="DJ353" s="962"/>
      <c r="DK353" s="962"/>
      <c r="DL353" s="962"/>
      <c r="DM353" s="962"/>
      <c r="DN353" s="962"/>
      <c r="DO353" s="962"/>
      <c r="DP353" s="962"/>
      <c r="DQ353" s="962"/>
      <c r="DR353" s="963"/>
      <c r="DS353" s="963"/>
      <c r="DT353" s="963"/>
    </row>
    <row r="354" spans="1:124" ht="12" customHeight="1" x14ac:dyDescent="0.25">
      <c r="A354" s="465" t="s">
        <v>1455</v>
      </c>
      <c r="B354" s="466"/>
      <c r="C354" s="467">
        <f t="shared" ref="C354:AP354" si="812">(C352+C347)/C341</f>
        <v>0.8116320345379151</v>
      </c>
      <c r="D354" s="467">
        <f t="shared" si="812"/>
        <v>0.84413866846617536</v>
      </c>
      <c r="E354" s="467">
        <f t="shared" si="812"/>
        <v>0.84941382145488631</v>
      </c>
      <c r="F354" s="467">
        <f t="shared" si="812"/>
        <v>0.7802281324849859</v>
      </c>
      <c r="G354" s="468">
        <f t="shared" si="812"/>
        <v>0.82189458698587281</v>
      </c>
      <c r="H354" s="467">
        <f t="shared" si="812"/>
        <v>0.83753070144778496</v>
      </c>
      <c r="I354" s="467">
        <f t="shared" si="812"/>
        <v>0.81539407908085737</v>
      </c>
      <c r="J354" s="467">
        <f t="shared" si="812"/>
        <v>0.85534404263827779</v>
      </c>
      <c r="K354" s="467">
        <f t="shared" si="812"/>
        <v>0.82971705785357297</v>
      </c>
      <c r="L354" s="468">
        <f t="shared" si="812"/>
        <v>0.83476745303814903</v>
      </c>
      <c r="M354" s="467">
        <f t="shared" si="812"/>
        <v>0.82458015765825321</v>
      </c>
      <c r="N354" s="467">
        <f t="shared" si="812"/>
        <v>0.82437934864273343</v>
      </c>
      <c r="O354" s="467">
        <f t="shared" si="812"/>
        <v>0.85035244249171082</v>
      </c>
      <c r="P354" s="467">
        <f t="shared" si="812"/>
        <v>0.88423736437982736</v>
      </c>
      <c r="Q354" s="468">
        <f t="shared" si="812"/>
        <v>0.84588761382911248</v>
      </c>
      <c r="R354" s="467">
        <f t="shared" si="812"/>
        <v>0.86952536267099234</v>
      </c>
      <c r="S354" s="467">
        <f t="shared" si="812"/>
        <v>0.8392138186154563</v>
      </c>
      <c r="T354" s="467">
        <f t="shared" si="812"/>
        <v>0.84266154662008153</v>
      </c>
      <c r="U354" s="467">
        <f t="shared" si="812"/>
        <v>0.84635955445849609</v>
      </c>
      <c r="V354" s="468">
        <f t="shared" si="812"/>
        <v>0.84906425130105834</v>
      </c>
      <c r="W354" s="467">
        <f t="shared" si="812"/>
        <v>0.8426209958534675</v>
      </c>
      <c r="X354" s="467">
        <f t="shared" si="812"/>
        <v>0.85191709161722895</v>
      </c>
      <c r="Y354" s="467">
        <f t="shared" si="812"/>
        <v>0.83203954802049218</v>
      </c>
      <c r="Z354" s="467">
        <f t="shared" si="812"/>
        <v>0.82320210423255691</v>
      </c>
      <c r="AA354" s="468">
        <f t="shared" si="812"/>
        <v>0.83782291441033319</v>
      </c>
      <c r="AB354" s="467">
        <f t="shared" si="812"/>
        <v>0.85208050617451481</v>
      </c>
      <c r="AC354" s="467">
        <f t="shared" si="812"/>
        <v>0.8511969366327663</v>
      </c>
      <c r="AD354" s="467">
        <f t="shared" si="812"/>
        <v>0.81607628259546028</v>
      </c>
      <c r="AE354" s="467">
        <f>(AE352+AE347)/AE341</f>
        <v>0.8016741790083709</v>
      </c>
      <c r="AF354" s="468">
        <f t="shared" si="812"/>
        <v>0.83162139013945313</v>
      </c>
      <c r="AG354" s="467">
        <f t="shared" si="812"/>
        <v>0.83609504432495274</v>
      </c>
      <c r="AH354" s="467">
        <f t="shared" si="812"/>
        <v>0.84357495661460413</v>
      </c>
      <c r="AI354" s="467">
        <f t="shared" si="812"/>
        <v>0.80449804008008508</v>
      </c>
      <c r="AJ354" s="467">
        <f t="shared" si="812"/>
        <v>0.78795761024936362</v>
      </c>
      <c r="AK354" s="468">
        <f t="shared" si="812"/>
        <v>0.81545630877224351</v>
      </c>
      <c r="AL354" s="467">
        <f t="shared" si="812"/>
        <v>0.82032866068109689</v>
      </c>
      <c r="AM354" s="467">
        <f t="shared" si="812"/>
        <v>0.81533649474105296</v>
      </c>
      <c r="AN354" s="467">
        <f t="shared" si="812"/>
        <v>0.80791107827732478</v>
      </c>
      <c r="AO354" s="467">
        <f>(AO352+AO347)/AO341</f>
        <v>0.80734299987094038</v>
      </c>
      <c r="AP354" s="468">
        <f t="shared" si="812"/>
        <v>0.8125629361372072</v>
      </c>
      <c r="AQ354" s="581">
        <f t="shared" ref="AQ354:BE354" si="813">(AQ352+AQ347)/AQ341</f>
        <v>0.83209035982422785</v>
      </c>
      <c r="AR354" s="467">
        <f t="shared" si="813"/>
        <v>0.82044275519058441</v>
      </c>
      <c r="AS354" s="467">
        <f t="shared" si="813"/>
        <v>0.80260760626026273</v>
      </c>
      <c r="AT354" s="1669">
        <f t="shared" si="813"/>
        <v>0.79484540424253436</v>
      </c>
      <c r="AU354" s="468">
        <f t="shared" si="813"/>
        <v>0.81356496969809966</v>
      </c>
      <c r="AV354" s="581">
        <f t="shared" si="813"/>
        <v>0.80630167565393529</v>
      </c>
      <c r="AW354" s="467">
        <f t="shared" si="813"/>
        <v>0.81592917444578295</v>
      </c>
      <c r="AX354" s="467">
        <f t="shared" si="813"/>
        <v>0.78936657322336901</v>
      </c>
      <c r="AY354" s="1669">
        <f t="shared" si="813"/>
        <v>0.79006268705324367</v>
      </c>
      <c r="AZ354" s="468">
        <f t="shared" si="813"/>
        <v>0.80114579661747631</v>
      </c>
      <c r="BA354" s="581">
        <f t="shared" si="813"/>
        <v>0.76552667199947366</v>
      </c>
      <c r="BB354" s="467">
        <f t="shared" si="813"/>
        <v>0.79654612820711534</v>
      </c>
      <c r="BC354" s="467">
        <f t="shared" si="813"/>
        <v>0.77909577670108432</v>
      </c>
      <c r="BD354" s="1669">
        <f t="shared" si="813"/>
        <v>0.78104963095209312</v>
      </c>
      <c r="BE354" s="1669">
        <f t="shared" si="813"/>
        <v>0.78091441352662661</v>
      </c>
      <c r="BF354" s="467">
        <f t="shared" ref="BF354:BK354" si="814">(BF352+BF347)/BF341</f>
        <v>0.76575164427141695</v>
      </c>
      <c r="BG354" s="467">
        <f t="shared" si="814"/>
        <v>0.80414391237028093</v>
      </c>
      <c r="BH354" s="467">
        <f t="shared" si="814"/>
        <v>0.78307563009010428</v>
      </c>
      <c r="BI354" s="1669">
        <f t="shared" si="814"/>
        <v>0.78884819017719054</v>
      </c>
      <c r="BJ354" s="1669">
        <f t="shared" si="814"/>
        <v>0.78602025774250728</v>
      </c>
      <c r="BK354" s="467">
        <f t="shared" si="814"/>
        <v>0.77612514182868153</v>
      </c>
      <c r="BL354" s="469">
        <f t="shared" ref="BL354:BU354" si="815">(BL352+BL347)/BL341</f>
        <v>0.79946718812626827</v>
      </c>
      <c r="BM354" s="467">
        <f t="shared" si="815"/>
        <v>0.78824696593194798</v>
      </c>
      <c r="BN354" s="1669">
        <f t="shared" si="815"/>
        <v>0.78912018016206609</v>
      </c>
      <c r="BO354" s="1669">
        <f t="shared" si="815"/>
        <v>0.78839579534776272</v>
      </c>
      <c r="BP354" s="467">
        <f t="shared" si="815"/>
        <v>0.77234913201342414</v>
      </c>
      <c r="BQ354" s="467">
        <f t="shared" si="815"/>
        <v>0.79875574947153372</v>
      </c>
      <c r="BR354" s="467">
        <f t="shared" si="815"/>
        <v>0.79594667852813961</v>
      </c>
      <c r="BS354" s="467">
        <f t="shared" si="815"/>
        <v>0.78406357704422303</v>
      </c>
      <c r="BT354" s="468">
        <f t="shared" si="815"/>
        <v>0.78806453431923551</v>
      </c>
      <c r="BU354" s="467">
        <f t="shared" si="815"/>
        <v>0.77365972978088571</v>
      </c>
      <c r="BV354" s="467">
        <f t="shared" ref="BV354:CF354" si="816">(BV352+BV347)/BV341</f>
        <v>0.80061849326455026</v>
      </c>
      <c r="BW354" s="467">
        <f t="shared" si="816"/>
        <v>0.79783645534105319</v>
      </c>
      <c r="BX354" s="467">
        <f t="shared" si="816"/>
        <v>0.7860544091016286</v>
      </c>
      <c r="BY354" s="468">
        <f t="shared" si="816"/>
        <v>0.78976418174702923</v>
      </c>
      <c r="BZ354" s="468">
        <f t="shared" si="816"/>
        <v>0.79701369272126965</v>
      </c>
      <c r="CA354" s="468">
        <f t="shared" si="816"/>
        <v>0.79498382964848247</v>
      </c>
      <c r="CB354" s="468">
        <f t="shared" si="816"/>
        <v>0.79066769974634499</v>
      </c>
      <c r="CC354" s="468">
        <f t="shared" si="816"/>
        <v>0.78626070395153125</v>
      </c>
      <c r="CD354" s="468">
        <f t="shared" si="816"/>
        <v>0.788356187246124</v>
      </c>
      <c r="CE354" s="468">
        <f t="shared" si="816"/>
        <v>0.79043112658684844</v>
      </c>
      <c r="CF354" s="468">
        <f t="shared" si="816"/>
        <v>0.79248572338501655</v>
      </c>
      <c r="CG354" s="492"/>
      <c r="CH354" s="492"/>
      <c r="CI354" s="492"/>
      <c r="CJ354" s="492"/>
      <c r="CK354" s="492"/>
      <c r="CL354" s="1310" t="str">
        <f t="shared" si="792"/>
        <v>% Margin before gaming taxes</v>
      </c>
      <c r="CM354" s="469">
        <f t="shared" si="793"/>
        <v>0.82189458698587281</v>
      </c>
      <c r="CN354" s="469">
        <f t="shared" si="794"/>
        <v>0.83476745303814903</v>
      </c>
      <c r="CO354" s="469">
        <f t="shared" si="795"/>
        <v>0.84588761382911248</v>
      </c>
      <c r="CP354" s="469">
        <f t="shared" si="796"/>
        <v>0.84906425130105834</v>
      </c>
      <c r="CQ354" s="469">
        <f t="shared" si="797"/>
        <v>0.83782291441033319</v>
      </c>
      <c r="CR354" s="469">
        <f t="shared" si="798"/>
        <v>0.83162139013945313</v>
      </c>
      <c r="CS354" s="469">
        <f t="shared" si="799"/>
        <v>0.81545630877224351</v>
      </c>
      <c r="CT354" s="469">
        <f t="shared" si="800"/>
        <v>0.8125629361372072</v>
      </c>
      <c r="CU354" s="469">
        <f t="shared" si="801"/>
        <v>0.81356496969809966</v>
      </c>
      <c r="CV354" s="469">
        <f t="shared" si="802"/>
        <v>0.80114579661747631</v>
      </c>
      <c r="CW354" s="469">
        <f t="shared" si="803"/>
        <v>0.78091441352662661</v>
      </c>
      <c r="CX354" s="469">
        <f t="shared" si="804"/>
        <v>0.78602025774250728</v>
      </c>
      <c r="CY354" s="469">
        <f t="shared" si="805"/>
        <v>0.78839579534776272</v>
      </c>
      <c r="CZ354" s="469">
        <f t="shared" si="806"/>
        <v>0.78806453431923551</v>
      </c>
      <c r="DA354" s="469">
        <f t="shared" si="807"/>
        <v>0.78976418174702923</v>
      </c>
      <c r="DB354" s="469">
        <f t="shared" si="807"/>
        <v>0.79701369272126965</v>
      </c>
      <c r="DC354" s="1463">
        <f t="shared" si="807"/>
        <v>0.79498382964848247</v>
      </c>
      <c r="DD354" s="492"/>
      <c r="DE354" s="492"/>
      <c r="DF354" s="962"/>
      <c r="DG354" s="962"/>
      <c r="DH354" s="469"/>
      <c r="DI354" s="3213"/>
      <c r="DJ354" s="962"/>
      <c r="DK354" s="962"/>
      <c r="DL354" s="962"/>
      <c r="DM354" s="962"/>
      <c r="DN354" s="962"/>
      <c r="DO354" s="962"/>
      <c r="DP354" s="962"/>
      <c r="DQ354" s="962"/>
      <c r="DR354" s="963"/>
      <c r="DS354" s="963"/>
      <c r="DT354" s="963"/>
    </row>
    <row r="355" spans="1:124" ht="12" customHeight="1" x14ac:dyDescent="0.25">
      <c r="A355" s="465" t="s">
        <v>803</v>
      </c>
      <c r="B355" s="466"/>
      <c r="C355" s="467" t="s">
        <v>553</v>
      </c>
      <c r="D355" s="467" t="s">
        <v>553</v>
      </c>
      <c r="E355" s="467" t="s">
        <v>553</v>
      </c>
      <c r="F355" s="467" t="s">
        <v>553</v>
      </c>
      <c r="G355" s="468" t="s">
        <v>553</v>
      </c>
      <c r="H355" s="467">
        <f>(H352-C352)/C352</f>
        <v>0.18250492224856343</v>
      </c>
      <c r="I355" s="467">
        <f t="shared" ref="I355:AF355" si="817">(I352-D352)/D352</f>
        <v>0.1238356535582428</v>
      </c>
      <c r="J355" s="467">
        <f t="shared" si="817"/>
        <v>0.17959317585301837</v>
      </c>
      <c r="K355" s="467">
        <f t="shared" si="817"/>
        <v>5.0386807817589557E-2</v>
      </c>
      <c r="L355" s="468">
        <f t="shared" si="817"/>
        <v>0.13253528269879866</v>
      </c>
      <c r="M355" s="467">
        <f t="shared" si="817"/>
        <v>0.16038601379591569</v>
      </c>
      <c r="N355" s="467">
        <f t="shared" si="817"/>
        <v>6.7090629615117969E-2</v>
      </c>
      <c r="O355" s="467">
        <f t="shared" si="817"/>
        <v>4.6531679368081488E-2</v>
      </c>
      <c r="P355" s="467">
        <f t="shared" si="817"/>
        <v>0.17753658300222896</v>
      </c>
      <c r="Q355" s="468">
        <f t="shared" si="817"/>
        <v>0.1089801496305562</v>
      </c>
      <c r="R355" s="467">
        <f t="shared" si="817"/>
        <v>7.71911329760753E-2</v>
      </c>
      <c r="S355" s="467">
        <f t="shared" si="817"/>
        <v>6.6713740997034365E-2</v>
      </c>
      <c r="T355" s="467">
        <f t="shared" si="817"/>
        <v>7.0933106545831362E-2</v>
      </c>
      <c r="U355" s="467">
        <f t="shared" si="817"/>
        <v>1.6459550654265812E-3</v>
      </c>
      <c r="V355" s="468">
        <f t="shared" si="817"/>
        <v>5.3796454878371237E-2</v>
      </c>
      <c r="W355" s="467">
        <f t="shared" si="817"/>
        <v>-3.7624031534592726E-2</v>
      </c>
      <c r="X355" s="467">
        <f t="shared" si="817"/>
        <v>-6.5401011465035769E-2</v>
      </c>
      <c r="Y355" s="467">
        <f t="shared" si="817"/>
        <v>-0.1122940242207663</v>
      </c>
      <c r="Z355" s="467">
        <f t="shared" si="817"/>
        <v>-0.13795086681455918</v>
      </c>
      <c r="AA355" s="468">
        <f t="shared" si="817"/>
        <v>-8.863577804057847E-2</v>
      </c>
      <c r="AB355" s="467">
        <f t="shared" si="817"/>
        <v>-4.3586339368944557E-2</v>
      </c>
      <c r="AC355" s="467">
        <f t="shared" si="817"/>
        <v>-3.2240700342805288E-2</v>
      </c>
      <c r="AD355" s="467">
        <f t="shared" si="817"/>
        <v>-9.0771854295378929E-2</v>
      </c>
      <c r="AE355" s="469">
        <f t="shared" si="817"/>
        <v>-0.13963019443385435</v>
      </c>
      <c r="AF355" s="470">
        <f t="shared" si="817"/>
        <v>-7.4834173039979662E-2</v>
      </c>
      <c r="AG355" s="467">
        <f t="shared" ref="AG355:AU355" si="818">(AG352-AB352)/AB352</f>
        <v>-0.16267942583732045</v>
      </c>
      <c r="AH355" s="467">
        <f t="shared" si="818"/>
        <v>-6.4229046517755184E-2</v>
      </c>
      <c r="AI355" s="467">
        <f t="shared" si="818"/>
        <v>0.40588488500799408</v>
      </c>
      <c r="AJ355" s="469">
        <f t="shared" si="818"/>
        <v>0.55581403936339147</v>
      </c>
      <c r="AK355" s="470">
        <f t="shared" si="818"/>
        <v>0.16103022989766655</v>
      </c>
      <c r="AL355" s="467">
        <f t="shared" si="818"/>
        <v>0.58201058201058198</v>
      </c>
      <c r="AM355" s="467">
        <f t="shared" si="818"/>
        <v>0.54115438761144996</v>
      </c>
      <c r="AN355" s="467">
        <f t="shared" si="818"/>
        <v>0.14623598498981702</v>
      </c>
      <c r="AO355" s="469">
        <f t="shared" si="818"/>
        <v>0.14292824045407898</v>
      </c>
      <c r="AP355" s="471">
        <f t="shared" si="818"/>
        <v>0.31386714157580037</v>
      </c>
      <c r="AQ355" s="471">
        <f t="shared" si="818"/>
        <v>0.2463485568896317</v>
      </c>
      <c r="AR355" s="469">
        <f t="shared" si="818"/>
        <v>4.1123599725961232E-2</v>
      </c>
      <c r="AS355" s="469">
        <f>(AS352-AN352)/AN352</f>
        <v>-9.3245369758915744E-2</v>
      </c>
      <c r="AT355" s="469">
        <f t="shared" si="818"/>
        <v>-0.12373339776546886</v>
      </c>
      <c r="AU355" s="470">
        <f t="shared" si="818"/>
        <v>1.1449993982460995E-2</v>
      </c>
      <c r="AV355" s="471">
        <f t="shared" ref="AV355:BA355" si="819">(AV352-AQ352)/AQ352</f>
        <v>-0.21511434973113749</v>
      </c>
      <c r="AW355" s="469">
        <f t="shared" si="819"/>
        <v>-0.16595947038094691</v>
      </c>
      <c r="AX355" s="469">
        <f t="shared" si="819"/>
        <v>-0.21377519658238225</v>
      </c>
      <c r="AY355" s="1463">
        <f t="shared" si="819"/>
        <v>-0.25606640831815902</v>
      </c>
      <c r="AZ355" s="470">
        <f t="shared" si="819"/>
        <v>-0.21076358922252658</v>
      </c>
      <c r="BA355" s="471">
        <f t="shared" si="819"/>
        <v>-0.37657167749052545</v>
      </c>
      <c r="BB355" s="469">
        <f t="shared" ref="BB355:BJ355" si="820">(BB352-AW352)/AW352</f>
        <v>-0.2123112721030691</v>
      </c>
      <c r="BC355" s="469">
        <f t="shared" si="820"/>
        <v>-0.14329791579198969</v>
      </c>
      <c r="BD355" s="1463">
        <f t="shared" si="820"/>
        <v>-6.8744960545958078E-2</v>
      </c>
      <c r="BE355" s="1463">
        <f t="shared" si="820"/>
        <v>-0.21309206410195036</v>
      </c>
      <c r="BF355" s="469">
        <f t="shared" si="820"/>
        <v>-3.6805894704212069E-2</v>
      </c>
      <c r="BG355" s="469">
        <f t="shared" si="820"/>
        <v>2.882089554117186E-2</v>
      </c>
      <c r="BH355" s="469">
        <f t="shared" si="820"/>
        <v>2.3783611574075777E-3</v>
      </c>
      <c r="BI355" s="1463">
        <f t="shared" si="820"/>
        <v>8.8758855258604483E-2</v>
      </c>
      <c r="BJ355" s="1463">
        <f t="shared" si="820"/>
        <v>2.1548961419855659E-2</v>
      </c>
      <c r="BK355" s="469">
        <f t="shared" ref="BK355:BT355" si="821">(BK352-BF352)/BF352</f>
        <v>8.375183141806411E-2</v>
      </c>
      <c r="BL355" s="469">
        <f t="shared" si="821"/>
        <v>-3.7048573572137575E-2</v>
      </c>
      <c r="BM355" s="469">
        <f t="shared" si="821"/>
        <v>4.6546513218828842E-3</v>
      </c>
      <c r="BN355" s="1463">
        <f t="shared" si="821"/>
        <v>-5.0334745926012101E-2</v>
      </c>
      <c r="BO355" s="1463">
        <f t="shared" si="821"/>
        <v>-4.2468534441361403E-3</v>
      </c>
      <c r="BP355" s="469">
        <f t="shared" si="821"/>
        <v>-0.10049303233053089</v>
      </c>
      <c r="BQ355" s="469">
        <f t="shared" si="821"/>
        <v>-8.013008582431437E-2</v>
      </c>
      <c r="BR355" s="469">
        <f t="shared" si="821"/>
        <v>-0.11178896780484875</v>
      </c>
      <c r="BS355" s="469">
        <f t="shared" si="821"/>
        <v>-0.11759534472491065</v>
      </c>
      <c r="BT355" s="470">
        <f t="shared" si="821"/>
        <v>-0.10211143530266216</v>
      </c>
      <c r="BU355" s="469">
        <f>(BU352-BP352)/BP352</f>
        <v>-4.0411809335443877E-3</v>
      </c>
      <c r="BV355" s="469">
        <f>(BV352-BQ352)/BQ352</f>
        <v>-1.5655637763478444E-2</v>
      </c>
      <c r="BW355" s="469">
        <f>(BW352-BR352)/BR352</f>
        <v>-1.5326594717037458E-2</v>
      </c>
      <c r="BX355" s="469">
        <f>(BX352-BS352)/BS352</f>
        <v>-1.492754521077728E-2</v>
      </c>
      <c r="BY355" s="470">
        <f>(BY352-BT352)/BT352</f>
        <v>-1.2726801500916454E-2</v>
      </c>
      <c r="BZ355" s="470">
        <f t="shared" ref="BZ355:CF355" si="822">(BZ352-BY352)/BY352</f>
        <v>3.958532847827681E-2</v>
      </c>
      <c r="CA355" s="470">
        <f t="shared" si="822"/>
        <v>-6.6217671463235451E-3</v>
      </c>
      <c r="CB355" s="470">
        <f t="shared" si="822"/>
        <v>-6.3465132608300542E-2</v>
      </c>
      <c r="CC355" s="470">
        <f t="shared" si="822"/>
        <v>-6.3946281216872833E-2</v>
      </c>
      <c r="CD355" s="470">
        <f t="shared" si="822"/>
        <v>2.7226023736091044E-2</v>
      </c>
      <c r="CE355" s="470">
        <f t="shared" si="822"/>
        <v>2.7104847234017852E-2</v>
      </c>
      <c r="CF355" s="470">
        <f t="shared" si="822"/>
        <v>2.6986526960400079E-2</v>
      </c>
      <c r="CG355" s="492"/>
      <c r="CH355" s="492"/>
      <c r="CI355" s="492"/>
      <c r="CJ355" s="492"/>
      <c r="CK355" s="492"/>
      <c r="CL355" s="1310" t="str">
        <f t="shared" si="792"/>
        <v>% Growth (y-o-y)</v>
      </c>
      <c r="CM355" s="469" t="str">
        <f t="shared" si="793"/>
        <v xml:space="preserve">n/a </v>
      </c>
      <c r="CN355" s="469">
        <f t="shared" si="794"/>
        <v>0.13253528269879866</v>
      </c>
      <c r="CO355" s="469">
        <f t="shared" si="795"/>
        <v>0.1089801496305562</v>
      </c>
      <c r="CP355" s="469">
        <f t="shared" si="796"/>
        <v>5.3796454878371237E-2</v>
      </c>
      <c r="CQ355" s="469">
        <f t="shared" si="797"/>
        <v>-8.863577804057847E-2</v>
      </c>
      <c r="CR355" s="469">
        <f t="shared" si="798"/>
        <v>-7.4834173039979662E-2</v>
      </c>
      <c r="CS355" s="469">
        <f t="shared" si="799"/>
        <v>0.16103022989766655</v>
      </c>
      <c r="CT355" s="469">
        <f t="shared" si="800"/>
        <v>0.31386714157580037</v>
      </c>
      <c r="CU355" s="469">
        <f t="shared" si="801"/>
        <v>1.1449993982460995E-2</v>
      </c>
      <c r="CV355" s="469">
        <f t="shared" si="802"/>
        <v>-0.21076358922252658</v>
      </c>
      <c r="CW355" s="469">
        <f t="shared" si="803"/>
        <v>-0.21309206410195036</v>
      </c>
      <c r="CX355" s="469">
        <f t="shared" si="804"/>
        <v>2.1548961419855659E-2</v>
      </c>
      <c r="CY355" s="469">
        <f t="shared" si="805"/>
        <v>-4.2468534441361403E-3</v>
      </c>
      <c r="CZ355" s="469">
        <f t="shared" si="806"/>
        <v>-0.10211143530266216</v>
      </c>
      <c r="DA355" s="469">
        <f t="shared" si="807"/>
        <v>-1.2726801500916454E-2</v>
      </c>
      <c r="DB355" s="469">
        <f t="shared" si="807"/>
        <v>3.958532847827681E-2</v>
      </c>
      <c r="DC355" s="1463">
        <f t="shared" si="807"/>
        <v>-6.6217671463235451E-3</v>
      </c>
      <c r="DD355" s="492"/>
      <c r="DE355" s="492"/>
      <c r="DF355" s="962"/>
      <c r="DG355" s="962"/>
      <c r="DH355" s="469"/>
      <c r="DI355" s="3213"/>
      <c r="DJ355" s="962"/>
      <c r="DK355" s="962"/>
      <c r="DL355" s="962"/>
      <c r="DM355" s="962"/>
      <c r="DN355" s="962"/>
      <c r="DO355" s="962"/>
      <c r="DP355" s="962"/>
      <c r="DQ355" s="962"/>
      <c r="DR355" s="963"/>
      <c r="DS355" s="963"/>
      <c r="DT355" s="963"/>
    </row>
    <row r="356" spans="1:124" ht="12" customHeight="1" x14ac:dyDescent="0.25">
      <c r="A356" s="311" t="s">
        <v>900</v>
      </c>
      <c r="B356" s="311"/>
      <c r="C356" s="565">
        <v>4.6130000000000004</v>
      </c>
      <c r="D356" s="565">
        <v>4.6900000000000004</v>
      </c>
      <c r="E356" s="565">
        <v>4.577</v>
      </c>
      <c r="F356" s="565">
        <v>4.181</v>
      </c>
      <c r="G356" s="447">
        <f>SUM(C356:F356)</f>
        <v>18.061</v>
      </c>
      <c r="H356" s="565">
        <v>4.1289999999999996</v>
      </c>
      <c r="I356" s="565">
        <v>4.5670000000000002</v>
      </c>
      <c r="J356" s="565">
        <v>4.8280000000000003</v>
      </c>
      <c r="K356" s="565">
        <v>4.7610000000000001</v>
      </c>
      <c r="L356" s="447">
        <f>SUM(H356:K356)</f>
        <v>18.285</v>
      </c>
      <c r="M356" s="565">
        <v>4.657</v>
      </c>
      <c r="N356" s="565">
        <v>4.8710000000000004</v>
      </c>
      <c r="O356" s="565">
        <v>5.7119999999999997</v>
      </c>
      <c r="P356" s="565">
        <v>5.681</v>
      </c>
      <c r="Q356" s="447">
        <f>SUM(M356:P356)</f>
        <v>20.920999999999999</v>
      </c>
      <c r="R356" s="565">
        <v>6.0620000000000003</v>
      </c>
      <c r="S356" s="565">
        <v>6.4720000000000004</v>
      </c>
      <c r="T356" s="565">
        <v>6.0679999999999996</v>
      </c>
      <c r="U356" s="565">
        <v>5.7960000000000003</v>
      </c>
      <c r="V356" s="447">
        <f>SUM(R356:U356)</f>
        <v>24.398</v>
      </c>
      <c r="W356" s="565">
        <v>5.7560000000000002</v>
      </c>
      <c r="X356" s="565">
        <v>5.9459999999999997</v>
      </c>
      <c r="Y356" s="565">
        <v>5.6349999999999998</v>
      </c>
      <c r="Z356" s="565">
        <v>5.8449999999999998</v>
      </c>
      <c r="AA356" s="447">
        <f>SUM(W356:Z356)</f>
        <v>23.181999999999999</v>
      </c>
      <c r="AB356" s="565">
        <v>6.0380000000000003</v>
      </c>
      <c r="AC356" s="565">
        <v>6.1509999999999998</v>
      </c>
      <c r="AD356" s="565">
        <v>6.0839999999999996</v>
      </c>
      <c r="AE356" s="563">
        <v>6.3739999999999997</v>
      </c>
      <c r="AF356" s="455">
        <f>SUM(AB356:AE356)</f>
        <v>24.646999999999998</v>
      </c>
      <c r="AG356" s="565">
        <v>6.2640000000000002</v>
      </c>
      <c r="AH356" s="565">
        <v>5.9409999999999998</v>
      </c>
      <c r="AI356" s="565">
        <v>6.0049999999999999</v>
      </c>
      <c r="AJ356" s="563">
        <v>6.1929999999999996</v>
      </c>
      <c r="AK356" s="455">
        <f>SUM(AG356:AJ356)</f>
        <v>24.402999999999999</v>
      </c>
      <c r="AL356" s="565">
        <v>6.1449999999999996</v>
      </c>
      <c r="AM356" s="563">
        <v>6.258</v>
      </c>
      <c r="AN356" s="674">
        <f>AM356</f>
        <v>6.258</v>
      </c>
      <c r="AO356" s="454">
        <f>AN356</f>
        <v>6.258</v>
      </c>
      <c r="AP356" s="456">
        <f>SUM(AL356:AO356)</f>
        <v>24.918999999999997</v>
      </c>
      <c r="AQ356" s="456">
        <f>+AO356</f>
        <v>6.258</v>
      </c>
      <c r="AR356" s="454">
        <f>AQ356</f>
        <v>6.258</v>
      </c>
      <c r="AS356" s="454">
        <f>AR356</f>
        <v>6.258</v>
      </c>
      <c r="AT356" s="454">
        <f>AS356</f>
        <v>6.258</v>
      </c>
      <c r="AU356" s="455">
        <f>SUM(AQ356:AT356)</f>
        <v>25.032</v>
      </c>
      <c r="AV356" s="456">
        <f>+AT356</f>
        <v>6.258</v>
      </c>
      <c r="AW356" s="454">
        <f>AV356</f>
        <v>6.258</v>
      </c>
      <c r="AX356" s="454">
        <f>AW356</f>
        <v>6.258</v>
      </c>
      <c r="AY356" s="1666">
        <f>AX356</f>
        <v>6.258</v>
      </c>
      <c r="AZ356" s="455">
        <f>SUM(AV356:AY356)</f>
        <v>25.032</v>
      </c>
      <c r="BA356" s="456">
        <f>+AY356</f>
        <v>6.258</v>
      </c>
      <c r="BB356" s="454">
        <f>BA356</f>
        <v>6.258</v>
      </c>
      <c r="BC356" s="454">
        <f>BB356</f>
        <v>6.258</v>
      </c>
      <c r="BD356" s="1666">
        <f>BC356</f>
        <v>6.258</v>
      </c>
      <c r="BE356" s="1666">
        <f>SUM(BA356:BD356)</f>
        <v>25.032</v>
      </c>
      <c r="BF356" s="454">
        <f>BD356</f>
        <v>6.258</v>
      </c>
      <c r="BG356" s="454">
        <f>BF356</f>
        <v>6.258</v>
      </c>
      <c r="BH356" s="454">
        <f>BG356</f>
        <v>6.258</v>
      </c>
      <c r="BI356" s="1666">
        <f>BH356</f>
        <v>6.258</v>
      </c>
      <c r="BJ356" s="1666">
        <f>SUM(BF356:BI356)</f>
        <v>25.032</v>
      </c>
      <c r="BK356" s="454">
        <f>BJ356/4</f>
        <v>6.258</v>
      </c>
      <c r="BL356" s="454">
        <f>BK356</f>
        <v>6.258</v>
      </c>
      <c r="BM356" s="454">
        <f>BL356</f>
        <v>6.258</v>
      </c>
      <c r="BN356" s="1666">
        <f>BM356</f>
        <v>6.258</v>
      </c>
      <c r="BO356" s="1666">
        <f>SUM(BK356:BN356)</f>
        <v>25.032</v>
      </c>
      <c r="BP356" s="454">
        <f>BN356</f>
        <v>6.258</v>
      </c>
      <c r="BQ356" s="454">
        <f>BP356</f>
        <v>6.258</v>
      </c>
      <c r="BR356" s="454">
        <f>BQ356</f>
        <v>6.258</v>
      </c>
      <c r="BS356" s="454">
        <f>BR356</f>
        <v>6.258</v>
      </c>
      <c r="BT356" s="3066">
        <f>SUM(BP356:BS356)</f>
        <v>25.032</v>
      </c>
      <c r="BU356" s="2915">
        <f>BS356</f>
        <v>6.258</v>
      </c>
      <c r="BV356" s="2915">
        <f>BU356</f>
        <v>6.258</v>
      </c>
      <c r="BW356" s="2915">
        <f>BV356</f>
        <v>6.258</v>
      </c>
      <c r="BX356" s="2915">
        <f>BW356</f>
        <v>6.258</v>
      </c>
      <c r="BY356" s="3066">
        <f>SUM(BU356:BX356)</f>
        <v>25.032</v>
      </c>
      <c r="BZ356" s="455">
        <f t="shared" ref="BZ356:CF356" si="823">BY356</f>
        <v>25.032</v>
      </c>
      <c r="CA356" s="455">
        <f t="shared" si="823"/>
        <v>25.032</v>
      </c>
      <c r="CB356" s="455">
        <f t="shared" si="823"/>
        <v>25.032</v>
      </c>
      <c r="CC356" s="455">
        <f t="shared" si="823"/>
        <v>25.032</v>
      </c>
      <c r="CD356" s="455">
        <f t="shared" si="823"/>
        <v>25.032</v>
      </c>
      <c r="CE356" s="455">
        <f t="shared" si="823"/>
        <v>25.032</v>
      </c>
      <c r="CF356" s="455">
        <f t="shared" si="823"/>
        <v>25.032</v>
      </c>
      <c r="CG356" s="476"/>
      <c r="CH356" s="476"/>
      <c r="CI356" s="476"/>
      <c r="CJ356" s="476"/>
      <c r="CK356" s="476"/>
      <c r="CL356" s="528" t="str">
        <f t="shared" si="792"/>
        <v>Depreciation and Amortization</v>
      </c>
      <c r="CM356" s="454">
        <f t="shared" si="793"/>
        <v>18.061</v>
      </c>
      <c r="CN356" s="454">
        <f t="shared" si="794"/>
        <v>18.285</v>
      </c>
      <c r="CO356" s="454">
        <f t="shared" si="795"/>
        <v>20.920999999999999</v>
      </c>
      <c r="CP356" s="454">
        <f t="shared" si="796"/>
        <v>24.398</v>
      </c>
      <c r="CQ356" s="454">
        <f t="shared" si="797"/>
        <v>23.181999999999999</v>
      </c>
      <c r="CR356" s="454">
        <f t="shared" si="798"/>
        <v>24.646999999999998</v>
      </c>
      <c r="CS356" s="454">
        <f t="shared" si="799"/>
        <v>24.402999999999999</v>
      </c>
      <c r="CT356" s="454">
        <f t="shared" si="800"/>
        <v>24.918999999999997</v>
      </c>
      <c r="CU356" s="454">
        <f t="shared" si="801"/>
        <v>25.032</v>
      </c>
      <c r="CV356" s="454">
        <f t="shared" si="802"/>
        <v>25.032</v>
      </c>
      <c r="CW356" s="454">
        <f t="shared" si="803"/>
        <v>25.032</v>
      </c>
      <c r="CX356" s="454">
        <f t="shared" si="804"/>
        <v>25.032</v>
      </c>
      <c r="CY356" s="454">
        <f t="shared" si="805"/>
        <v>25.032</v>
      </c>
      <c r="CZ356" s="454">
        <f t="shared" si="806"/>
        <v>25.032</v>
      </c>
      <c r="DA356" s="454">
        <f t="shared" si="807"/>
        <v>25.032</v>
      </c>
      <c r="DB356" s="454">
        <f t="shared" si="807"/>
        <v>25.032</v>
      </c>
      <c r="DC356" s="1666">
        <f t="shared" si="807"/>
        <v>25.032</v>
      </c>
      <c r="DD356" s="476"/>
      <c r="DE356" s="476"/>
      <c r="DF356" s="598"/>
      <c r="DG356" s="598"/>
      <c r="DH356" s="2915"/>
      <c r="DI356" s="3213"/>
      <c r="DJ356" s="598"/>
      <c r="DK356" s="598"/>
      <c r="DL356" s="598"/>
      <c r="DM356" s="598"/>
      <c r="DN356" s="598"/>
      <c r="DO356" s="598"/>
      <c r="DP356" s="598"/>
      <c r="DQ356" s="598"/>
      <c r="DR356" s="660"/>
      <c r="DS356" s="660"/>
      <c r="DT356" s="660"/>
    </row>
    <row r="357" spans="1:124" ht="12" customHeight="1" x14ac:dyDescent="0.25">
      <c r="A357" s="465" t="s">
        <v>1285</v>
      </c>
      <c r="B357" s="466"/>
      <c r="C357" s="467">
        <f>C356/C341</f>
        <v>4.9047335516522773E-2</v>
      </c>
      <c r="D357" s="467">
        <f t="shared" ref="D357:AF357" si="824">D356/D341</f>
        <v>4.6195973365903635E-2</v>
      </c>
      <c r="E357" s="467">
        <f t="shared" si="824"/>
        <v>4.3797785709501165E-2</v>
      </c>
      <c r="F357" s="467">
        <f t="shared" si="824"/>
        <v>4.1787017140572681E-2</v>
      </c>
      <c r="G357" s="468">
        <f t="shared" si="824"/>
        <v>4.5137378978042354E-2</v>
      </c>
      <c r="H357" s="467">
        <f t="shared" si="824"/>
        <v>4.0006588636539803E-2</v>
      </c>
      <c r="I357" s="467">
        <f t="shared" si="824"/>
        <v>4.0495127639010808E-2</v>
      </c>
      <c r="J357" s="467">
        <f t="shared" si="824"/>
        <v>4.0775993851507139E-2</v>
      </c>
      <c r="K357" s="467">
        <f t="shared" si="824"/>
        <v>4.4808990033034984E-2</v>
      </c>
      <c r="L357" s="468">
        <f t="shared" si="824"/>
        <v>4.1496365522046295E-2</v>
      </c>
      <c r="M357" s="467">
        <f t="shared" si="824"/>
        <v>3.9831675462079934E-2</v>
      </c>
      <c r="N357" s="467">
        <f t="shared" si="824"/>
        <v>3.9778852121647668E-2</v>
      </c>
      <c r="O357" s="467">
        <f t="shared" si="824"/>
        <v>4.4985941893158389E-2</v>
      </c>
      <c r="P357" s="467">
        <f t="shared" si="824"/>
        <v>4.7798138893095733E-2</v>
      </c>
      <c r="Q357" s="468">
        <f t="shared" si="824"/>
        <v>4.3118657202450145E-2</v>
      </c>
      <c r="R357" s="467">
        <f t="shared" si="824"/>
        <v>5.0687313956988528E-2</v>
      </c>
      <c r="S357" s="467">
        <f t="shared" si="824"/>
        <v>5.0116153012234793E-2</v>
      </c>
      <c r="T357" s="467">
        <f t="shared" si="824"/>
        <v>4.5495441458733202E-2</v>
      </c>
      <c r="U357" s="467">
        <f t="shared" si="824"/>
        <v>4.8833917497977893E-2</v>
      </c>
      <c r="V357" s="468">
        <f t="shared" si="824"/>
        <v>4.8718051118210863E-2</v>
      </c>
      <c r="W357" s="467">
        <f t="shared" si="824"/>
        <v>4.6983152670758782E-2</v>
      </c>
      <c r="X357" s="467">
        <f t="shared" si="824"/>
        <v>4.8708559632351135E-2</v>
      </c>
      <c r="Y357" s="467">
        <f t="shared" si="824"/>
        <v>4.5677831458123923E-2</v>
      </c>
      <c r="Z357" s="467">
        <f t="shared" si="824"/>
        <v>5.3583051437895914E-2</v>
      </c>
      <c r="AA357" s="468">
        <f t="shared" si="824"/>
        <v>4.8596320582267025E-2</v>
      </c>
      <c r="AB357" s="467">
        <f t="shared" si="824"/>
        <v>5.1211154837834172E-2</v>
      </c>
      <c r="AC357" s="467">
        <f t="shared" si="824"/>
        <v>5.0652612508749535E-2</v>
      </c>
      <c r="AD357" s="467">
        <f t="shared" si="824"/>
        <v>5.2169886553649056E-2</v>
      </c>
      <c r="AE357" s="469">
        <f t="shared" si="824"/>
        <v>6.412990985189955E-2</v>
      </c>
      <c r="AF357" s="470">
        <f t="shared" si="824"/>
        <v>5.4127594158339738E-2</v>
      </c>
      <c r="AG357" s="467">
        <f t="shared" ref="AG357:AU357" si="825">AG356/AG341</f>
        <v>6.0688853364336583E-2</v>
      </c>
      <c r="AH357" s="467">
        <f t="shared" si="825"/>
        <v>5.2872335691718952E-2</v>
      </c>
      <c r="AI357" s="467">
        <f t="shared" si="825"/>
        <v>4.1529502890813023E-2</v>
      </c>
      <c r="AJ357" s="469">
        <f t="shared" si="825"/>
        <v>4.5961571287562245E-2</v>
      </c>
      <c r="AK357" s="470">
        <f t="shared" si="825"/>
        <v>4.9307058326716086E-2</v>
      </c>
      <c r="AL357" s="467">
        <f t="shared" si="825"/>
        <v>4.3926743487833472E-2</v>
      </c>
      <c r="AM357" s="467">
        <f t="shared" si="825"/>
        <v>4.2074265313943406E-2</v>
      </c>
      <c r="AN357" s="467">
        <f t="shared" si="825"/>
        <v>3.9741724199118006E-2</v>
      </c>
      <c r="AO357" s="469">
        <f t="shared" si="825"/>
        <v>4.262420139219987E-2</v>
      </c>
      <c r="AP357" s="471">
        <f t="shared" si="825"/>
        <v>4.2028035540759727E-2</v>
      </c>
      <c r="AQ357" s="471">
        <f t="shared" si="825"/>
        <v>3.8709338511212561E-2</v>
      </c>
      <c r="AR357" s="469">
        <f t="shared" si="825"/>
        <v>4.091084021479123E-2</v>
      </c>
      <c r="AS357" s="469">
        <f t="shared" si="825"/>
        <v>4.2988391443406083E-2</v>
      </c>
      <c r="AT357" s="469">
        <f t="shared" si="825"/>
        <v>4.777812545636001E-2</v>
      </c>
      <c r="AU357" s="470">
        <f t="shared" si="825"/>
        <v>4.2341872696995422E-2</v>
      </c>
      <c r="AV357" s="471">
        <f t="shared" ref="AV357:BJ357" si="826">AV356/AV341</f>
        <v>4.700481820753135E-2</v>
      </c>
      <c r="AW357" s="469">
        <f t="shared" si="826"/>
        <v>4.7930545670482785E-2</v>
      </c>
      <c r="AX357" s="469">
        <f t="shared" si="826"/>
        <v>5.0968935697574207E-2</v>
      </c>
      <c r="AY357" s="1463">
        <f t="shared" si="826"/>
        <v>5.9262987645870152E-2</v>
      </c>
      <c r="AZ357" s="470">
        <f t="shared" si="826"/>
        <v>5.0870089059888025E-2</v>
      </c>
      <c r="BA357" s="471">
        <f t="shared" si="826"/>
        <v>6.1513187020231709E-2</v>
      </c>
      <c r="BB357" s="469">
        <f t="shared" si="826"/>
        <v>5.5766034991346657E-2</v>
      </c>
      <c r="BC357" s="469">
        <f t="shared" si="826"/>
        <v>5.6267638072495012E-2</v>
      </c>
      <c r="BD357" s="1463">
        <f t="shared" si="826"/>
        <v>6.2431589859636587E-2</v>
      </c>
      <c r="BE357" s="1463">
        <f t="shared" si="826"/>
        <v>5.8842154633724032E-2</v>
      </c>
      <c r="BF357" s="469">
        <f t="shared" si="826"/>
        <v>6.4688596209664231E-2</v>
      </c>
      <c r="BG357" s="469">
        <f t="shared" si="826"/>
        <v>5.7110114276627773E-2</v>
      </c>
      <c r="BH357" s="469">
        <f t="shared" si="826"/>
        <v>5.69627931723478E-2</v>
      </c>
      <c r="BI357" s="1463">
        <f t="shared" si="826"/>
        <v>5.9318133768201935E-2</v>
      </c>
      <c r="BJ357" s="1463">
        <f t="shared" si="826"/>
        <v>5.9362789199501005E-2</v>
      </c>
      <c r="BK357" s="469">
        <f t="shared" ref="BK357:BT357" si="827">BK356/BK341</f>
        <v>6.2448398421938341E-2</v>
      </c>
      <c r="BL357" s="469">
        <f t="shared" si="827"/>
        <v>5.9064455303168034E-2</v>
      </c>
      <c r="BM357" s="469">
        <f t="shared" si="827"/>
        <v>5.7921705463165385E-2</v>
      </c>
      <c r="BN357" s="1463">
        <f t="shared" si="827"/>
        <v>6.2359710084556881E-2</v>
      </c>
      <c r="BO357" s="1463">
        <f t="shared" si="827"/>
        <v>6.038231907061993E-2</v>
      </c>
      <c r="BP357" s="469">
        <f t="shared" si="827"/>
        <v>6.8650476944418962E-2</v>
      </c>
      <c r="BQ357" s="469">
        <f t="shared" si="827"/>
        <v>6.4080000805176937E-2</v>
      </c>
      <c r="BR357" s="469">
        <f t="shared" si="827"/>
        <v>6.5665376966926384E-2</v>
      </c>
      <c r="BS357" s="469">
        <f t="shared" si="827"/>
        <v>6.9032441847131129E-2</v>
      </c>
      <c r="BT357" s="470">
        <f t="shared" si="827"/>
        <v>6.6792791095358656E-2</v>
      </c>
      <c r="BU357" s="469">
        <f t="shared" ref="BU357:CF357" si="828">BU356/BU341</f>
        <v>6.8944699610326232E-2</v>
      </c>
      <c r="BV357" s="469">
        <f t="shared" si="828"/>
        <v>6.5450379089882674E-2</v>
      </c>
      <c r="BW357" s="469">
        <f t="shared" si="828"/>
        <v>6.7069316865517661E-2</v>
      </c>
      <c r="BX357" s="469">
        <f t="shared" si="828"/>
        <v>7.0511335325303612E-2</v>
      </c>
      <c r="BY357" s="470">
        <f t="shared" si="828"/>
        <v>6.7940329258254495E-2</v>
      </c>
      <c r="BZ357" s="470">
        <f t="shared" si="828"/>
        <v>6.6936284983501973E-2</v>
      </c>
      <c r="CA357" s="470">
        <f t="shared" si="828"/>
        <v>6.6936284983501973E-2</v>
      </c>
      <c r="CB357" s="470">
        <f t="shared" si="828"/>
        <v>7.0459247351054702E-2</v>
      </c>
      <c r="CC357" s="470">
        <f t="shared" si="828"/>
        <v>7.4167628790583889E-2</v>
      </c>
      <c r="CD357" s="470">
        <f t="shared" si="828"/>
        <v>7.2713361559395978E-2</v>
      </c>
      <c r="CE357" s="470">
        <f t="shared" si="828"/>
        <v>7.1287609371956842E-2</v>
      </c>
      <c r="CF357" s="470">
        <f t="shared" si="828"/>
        <v>6.9889813109761598E-2</v>
      </c>
      <c r="CG357" s="492"/>
      <c r="CH357" s="492"/>
      <c r="CI357" s="492"/>
      <c r="CJ357" s="492"/>
      <c r="CK357" s="492"/>
      <c r="CL357" s="1310" t="str">
        <f t="shared" si="792"/>
        <v>% of Net Revenue</v>
      </c>
      <c r="CM357" s="469">
        <f t="shared" si="793"/>
        <v>4.5137378978042354E-2</v>
      </c>
      <c r="CN357" s="469">
        <f t="shared" si="794"/>
        <v>4.1496365522046295E-2</v>
      </c>
      <c r="CO357" s="469">
        <f t="shared" si="795"/>
        <v>4.3118657202450145E-2</v>
      </c>
      <c r="CP357" s="469">
        <f t="shared" si="796"/>
        <v>4.8718051118210863E-2</v>
      </c>
      <c r="CQ357" s="469">
        <f t="shared" si="797"/>
        <v>4.8596320582267025E-2</v>
      </c>
      <c r="CR357" s="469">
        <f t="shared" si="798"/>
        <v>5.4127594158339738E-2</v>
      </c>
      <c r="CS357" s="469">
        <f t="shared" si="799"/>
        <v>4.9307058326716086E-2</v>
      </c>
      <c r="CT357" s="469">
        <f t="shared" si="800"/>
        <v>4.2028035540759727E-2</v>
      </c>
      <c r="CU357" s="469">
        <f t="shared" si="801"/>
        <v>4.2341872696995422E-2</v>
      </c>
      <c r="CV357" s="469">
        <f t="shared" si="802"/>
        <v>5.0870089059888025E-2</v>
      </c>
      <c r="CW357" s="469">
        <f t="shared" si="803"/>
        <v>5.8842154633724032E-2</v>
      </c>
      <c r="CX357" s="469">
        <f t="shared" si="804"/>
        <v>5.9362789199501005E-2</v>
      </c>
      <c r="CY357" s="469">
        <f t="shared" si="805"/>
        <v>6.038231907061993E-2</v>
      </c>
      <c r="CZ357" s="469">
        <f t="shared" si="806"/>
        <v>6.6792791095358656E-2</v>
      </c>
      <c r="DA357" s="469">
        <f t="shared" si="807"/>
        <v>6.7940329258254495E-2</v>
      </c>
      <c r="DB357" s="469">
        <f t="shared" si="807"/>
        <v>6.6936284983501973E-2</v>
      </c>
      <c r="DC357" s="1463">
        <f t="shared" si="807"/>
        <v>6.6936284983501973E-2</v>
      </c>
      <c r="DD357" s="492"/>
      <c r="DE357" s="492"/>
      <c r="DF357" s="962"/>
      <c r="DG357" s="962"/>
      <c r="DH357" s="469"/>
      <c r="DI357" s="3213"/>
      <c r="DJ357" s="962"/>
      <c r="DK357" s="962"/>
      <c r="DL357" s="962"/>
      <c r="DM357" s="962"/>
      <c r="DN357" s="962"/>
      <c r="DO357" s="962"/>
      <c r="DP357" s="962"/>
      <c r="DQ357" s="962"/>
      <c r="DR357" s="963"/>
      <c r="DS357" s="963"/>
      <c r="DT357" s="963"/>
    </row>
    <row r="358" spans="1:124" ht="12" customHeight="1" x14ac:dyDescent="0.25">
      <c r="A358" s="281"/>
      <c r="B358" s="281"/>
      <c r="C358" s="305"/>
      <c r="D358" s="305"/>
      <c r="E358" s="305"/>
      <c r="F358" s="305"/>
      <c r="G358" s="440"/>
      <c r="H358" s="305"/>
      <c r="I358" s="305"/>
      <c r="J358" s="305"/>
      <c r="K358" s="305"/>
      <c r="L358" s="440"/>
      <c r="M358" s="305"/>
      <c r="N358" s="305"/>
      <c r="O358" s="305"/>
      <c r="P358" s="305"/>
      <c r="Q358" s="440"/>
      <c r="R358" s="305"/>
      <c r="S358" s="305"/>
      <c r="T358" s="305"/>
      <c r="U358" s="305"/>
      <c r="V358" s="440"/>
      <c r="W358" s="305"/>
      <c r="X358" s="305"/>
      <c r="Y358" s="305"/>
      <c r="Z358" s="305"/>
      <c r="AA358" s="440"/>
      <c r="AB358" s="305"/>
      <c r="AC358" s="305"/>
      <c r="AD358" s="305"/>
      <c r="AE358" s="331"/>
      <c r="AF358" s="441"/>
      <c r="AG358" s="331"/>
      <c r="AH358" s="331"/>
      <c r="AI358" s="331"/>
      <c r="AJ358" s="331"/>
      <c r="AK358" s="441"/>
      <c r="AL358" s="442"/>
      <c r="AM358" s="442"/>
      <c r="AN358" s="442"/>
      <c r="AO358" s="442"/>
      <c r="AP358" s="443"/>
      <c r="AQ358" s="443"/>
      <c r="AR358" s="331"/>
      <c r="AS358" s="331"/>
      <c r="AT358" s="331"/>
      <c r="AU358" s="349"/>
      <c r="AV358" s="443"/>
      <c r="AW358" s="331"/>
      <c r="AX358" s="331"/>
      <c r="AY358" s="1306"/>
      <c r="AZ358" s="349"/>
      <c r="BA358" s="443"/>
      <c r="BB358" s="331"/>
      <c r="BC358" s="331"/>
      <c r="BD358" s="1306"/>
      <c r="BE358" s="1306"/>
      <c r="BF358" s="331"/>
      <c r="BG358" s="331"/>
      <c r="BH358" s="331"/>
      <c r="BI358" s="1306"/>
      <c r="BJ358" s="1306"/>
      <c r="BK358" s="331"/>
      <c r="BL358" s="331"/>
      <c r="BM358" s="331"/>
      <c r="BN358" s="1306"/>
      <c r="BO358" s="1306"/>
      <c r="BP358" s="331"/>
      <c r="BQ358" s="331"/>
      <c r="BR358" s="331"/>
      <c r="BS358" s="331"/>
      <c r="BT358" s="3222"/>
      <c r="BU358" s="3393"/>
      <c r="BV358" s="2601"/>
      <c r="BW358" s="2601"/>
      <c r="BX358" s="2601"/>
      <c r="BY358" s="3222"/>
      <c r="BZ358" s="349"/>
      <c r="CA358" s="349"/>
      <c r="CB358" s="349"/>
      <c r="CC358" s="349"/>
      <c r="CD358" s="349"/>
      <c r="CE358" s="349"/>
      <c r="CF358" s="349"/>
      <c r="CG358" s="331"/>
      <c r="CH358" s="331"/>
      <c r="CI358" s="331"/>
      <c r="CJ358" s="331"/>
      <c r="CK358" s="331"/>
      <c r="CL358" s="520"/>
      <c r="CM358" s="331"/>
      <c r="CN358" s="331"/>
      <c r="CO358" s="331"/>
      <c r="CP358" s="331"/>
      <c r="CQ358" s="331"/>
      <c r="CR358" s="331"/>
      <c r="CS358" s="331"/>
      <c r="CT358" s="331"/>
      <c r="CU358" s="331"/>
      <c r="CV358" s="331"/>
      <c r="CW358" s="331"/>
      <c r="CX358" s="331"/>
      <c r="CY358" s="331"/>
      <c r="CZ358" s="331"/>
      <c r="DA358" s="331"/>
      <c r="DB358" s="331"/>
      <c r="DC358" s="1306"/>
      <c r="DD358" s="331"/>
      <c r="DE358" s="331"/>
      <c r="DF358" s="502"/>
      <c r="DG358" s="503"/>
      <c r="DH358" s="2601"/>
      <c r="DI358" s="3213"/>
      <c r="DJ358" s="502"/>
      <c r="DK358" s="503"/>
      <c r="DL358" s="502"/>
      <c r="DM358" s="502"/>
      <c r="DN358" s="502"/>
      <c r="DO358" s="502"/>
      <c r="DP358" s="503"/>
      <c r="DQ358" s="503"/>
      <c r="DR358" s="296"/>
      <c r="DS358" s="296"/>
      <c r="DT358" s="296"/>
    </row>
    <row r="359" spans="1:124" ht="12" customHeight="1" x14ac:dyDescent="0.25">
      <c r="A359" s="2125" t="s">
        <v>1090</v>
      </c>
      <c r="B359" s="428"/>
      <c r="C359" s="502"/>
      <c r="D359" s="502"/>
      <c r="E359" s="502"/>
      <c r="F359" s="502"/>
      <c r="G359" s="534"/>
      <c r="H359" s="502"/>
      <c r="I359" s="502"/>
      <c r="J359" s="502"/>
      <c r="K359" s="502"/>
      <c r="L359" s="534"/>
      <c r="M359" s="502"/>
      <c r="N359" s="502"/>
      <c r="O359" s="502"/>
      <c r="P359" s="502"/>
      <c r="Q359" s="534"/>
      <c r="R359" s="502"/>
      <c r="S359" s="502"/>
      <c r="T359" s="502"/>
      <c r="U359" s="502"/>
      <c r="V359" s="534"/>
      <c r="W359" s="502"/>
      <c r="X359" s="502"/>
      <c r="Y359" s="502"/>
      <c r="Z359" s="502"/>
      <c r="AA359" s="534"/>
      <c r="AB359" s="502"/>
      <c r="AC359" s="502"/>
      <c r="AD359" s="502"/>
      <c r="AE359" s="502"/>
      <c r="AF359" s="534"/>
      <c r="AG359" s="502"/>
      <c r="AH359" s="502"/>
      <c r="AI359" s="502"/>
      <c r="AJ359" s="502"/>
      <c r="AK359" s="534"/>
      <c r="AL359" s="503"/>
      <c r="AM359" s="503"/>
      <c r="AN359" s="503"/>
      <c r="AO359" s="503"/>
      <c r="AP359" s="535"/>
      <c r="AQ359" s="535"/>
      <c r="AR359" s="537"/>
      <c r="AS359" s="537"/>
      <c r="AT359" s="537"/>
      <c r="AU359" s="536"/>
      <c r="AV359" s="535"/>
      <c r="AW359" s="537"/>
      <c r="AX359" s="537"/>
      <c r="AY359" s="1926"/>
      <c r="AZ359" s="536"/>
      <c r="BA359" s="535"/>
      <c r="BB359" s="537"/>
      <c r="BC359" s="537"/>
      <c r="BD359" s="1926"/>
      <c r="BE359" s="1926"/>
      <c r="BF359" s="537"/>
      <c r="BG359" s="537"/>
      <c r="BH359" s="537"/>
      <c r="BI359" s="1926"/>
      <c r="BJ359" s="1926"/>
      <c r="BK359" s="537"/>
      <c r="BL359" s="537"/>
      <c r="BM359" s="537"/>
      <c r="BN359" s="1926"/>
      <c r="BO359" s="1926"/>
      <c r="BP359" s="537"/>
      <c r="BQ359" s="537"/>
      <c r="BR359" s="537"/>
      <c r="BS359" s="537"/>
      <c r="BT359" s="536"/>
      <c r="BU359" s="535"/>
      <c r="BV359" s="537"/>
      <c r="BW359" s="537"/>
      <c r="BX359" s="537"/>
      <c r="BY359" s="536"/>
      <c r="BZ359" s="536"/>
      <c r="CA359" s="536"/>
      <c r="CB359" s="536"/>
      <c r="CC359" s="536"/>
      <c r="CD359" s="536"/>
      <c r="CE359" s="536"/>
      <c r="CF359" s="536"/>
      <c r="CG359" s="331"/>
      <c r="CH359" s="331"/>
      <c r="CI359" s="331"/>
      <c r="CJ359" s="331"/>
      <c r="CK359" s="331"/>
      <c r="CL359" s="2036" t="str">
        <f t="shared" ref="CL359:CL365" si="829">A359</f>
        <v>Hollywood Slots at Bangor (ME)</v>
      </c>
      <c r="CM359" s="503">
        <f>G359</f>
        <v>0</v>
      </c>
      <c r="CN359" s="503">
        <f t="shared" ref="CN359:CN365" si="830">L359</f>
        <v>0</v>
      </c>
      <c r="CO359" s="503">
        <f t="shared" ref="CO359:CO365" si="831">Q359</f>
        <v>0</v>
      </c>
      <c r="CP359" s="503">
        <f t="shared" ref="CP359:CP365" si="832">V359</f>
        <v>0</v>
      </c>
      <c r="CQ359" s="503">
        <f t="shared" ref="CQ359:CQ365" si="833">AA359</f>
        <v>0</v>
      </c>
      <c r="CR359" s="503">
        <f t="shared" ref="CR359:CR365" si="834">AF359</f>
        <v>0</v>
      </c>
      <c r="CS359" s="503">
        <f t="shared" ref="CS359:CS365" si="835">AK359</f>
        <v>0</v>
      </c>
      <c r="CT359" s="503">
        <f t="shared" ref="CT359:CT365" si="836">AP359</f>
        <v>0</v>
      </c>
      <c r="CU359" s="503">
        <f t="shared" ref="CU359:CU365" si="837">AU359</f>
        <v>0</v>
      </c>
      <c r="CV359" s="503">
        <f t="shared" ref="CV359:CV365" si="838">AZ359</f>
        <v>0</v>
      </c>
      <c r="CW359" s="503">
        <f t="shared" ref="CW359:CW365" si="839">BE359</f>
        <v>0</v>
      </c>
      <c r="CX359" s="503">
        <f t="shared" ref="CX359:CX365" si="840">BJ359</f>
        <v>0</v>
      </c>
      <c r="CY359" s="503">
        <f t="shared" ref="CY359:CY365" si="841">BO359</f>
        <v>0</v>
      </c>
      <c r="CZ359" s="503">
        <f t="shared" ref="CZ359:CZ365" si="842">BT359</f>
        <v>0</v>
      </c>
      <c r="DA359" s="503">
        <f t="shared" ref="DA359:DC365" si="843">BY359</f>
        <v>0</v>
      </c>
      <c r="DB359" s="503">
        <f t="shared" si="843"/>
        <v>0</v>
      </c>
      <c r="DC359" s="2124">
        <f t="shared" si="843"/>
        <v>0</v>
      </c>
      <c r="DD359" s="331"/>
      <c r="DE359" s="331"/>
      <c r="DF359" s="502"/>
      <c r="DG359" s="503"/>
      <c r="DH359" s="537"/>
      <c r="DI359" s="3213"/>
      <c r="DJ359" s="502"/>
      <c r="DK359" s="503"/>
      <c r="DL359" s="502"/>
      <c r="DM359" s="502"/>
      <c r="DN359" s="502"/>
      <c r="DO359" s="502"/>
      <c r="DP359" s="503"/>
      <c r="DQ359" s="503"/>
      <c r="DR359" s="428"/>
      <c r="DS359" s="428"/>
      <c r="DT359" s="428"/>
    </row>
    <row r="360" spans="1:124" ht="12" customHeight="1" x14ac:dyDescent="0.25">
      <c r="A360" s="281" t="s">
        <v>894</v>
      </c>
      <c r="B360" s="474"/>
      <c r="C360" s="549"/>
      <c r="D360" s="549"/>
      <c r="E360" s="549"/>
      <c r="F360" s="549"/>
      <c r="G360" s="550"/>
      <c r="H360" s="549"/>
      <c r="I360" s="549"/>
      <c r="J360" s="549"/>
      <c r="K360" s="549">
        <f>K361+(K362*K$320)</f>
        <v>475</v>
      </c>
      <c r="L360" s="550">
        <f>K360</f>
        <v>475</v>
      </c>
      <c r="M360" s="549">
        <f>M361+(M362*M$320)</f>
        <v>475</v>
      </c>
      <c r="N360" s="549">
        <f>N361+(N362*N$320)</f>
        <v>475</v>
      </c>
      <c r="O360" s="549">
        <f>O361+(O362*O$320)</f>
        <v>475</v>
      </c>
      <c r="P360" s="549">
        <f>P361+(P362*P$320)</f>
        <v>475</v>
      </c>
      <c r="Q360" s="550">
        <f>P360</f>
        <v>475</v>
      </c>
      <c r="R360" s="549">
        <f>R361+(R362*R$320)</f>
        <v>475</v>
      </c>
      <c r="S360" s="549">
        <f>S361+(S362*S$320)</f>
        <v>475</v>
      </c>
      <c r="T360" s="549">
        <f>T361+(T362*T$320)</f>
        <v>475</v>
      </c>
      <c r="U360" s="549">
        <f>U361+(U362*U$320)</f>
        <v>479</v>
      </c>
      <c r="V360" s="550">
        <f>U360</f>
        <v>479</v>
      </c>
      <c r="W360" s="549">
        <f>W361+(W362*W$320)</f>
        <v>479</v>
      </c>
      <c r="X360" s="549">
        <f>X361+(X362*X$320)</f>
        <v>479</v>
      </c>
      <c r="Y360" s="549">
        <f>Y361+(Y362*Y$320)</f>
        <v>1000</v>
      </c>
      <c r="Z360" s="549">
        <f>Z361+(Z362*Z$320)</f>
        <v>1000</v>
      </c>
      <c r="AA360" s="550">
        <f>Z360</f>
        <v>1000</v>
      </c>
      <c r="AB360" s="549">
        <f>AB361+(AB362*AB$320)</f>
        <v>1000</v>
      </c>
      <c r="AC360" s="549">
        <f>AC361+(AC362*AC$320)</f>
        <v>1000</v>
      </c>
      <c r="AD360" s="549">
        <f>AD361+(AD362*AD$320)</f>
        <v>1000</v>
      </c>
      <c r="AE360" s="551">
        <f>AE361+(AE362*AE$320)</f>
        <v>1000</v>
      </c>
      <c r="AF360" s="552">
        <f>AE360</f>
        <v>1000</v>
      </c>
      <c r="AG360" s="549">
        <f>AG361+(AG362*AG$320)</f>
        <v>1000</v>
      </c>
      <c r="AH360" s="549">
        <f>AH361+(AH362*AH$320)</f>
        <v>1000</v>
      </c>
      <c r="AI360" s="549">
        <f>AI361+(AI362*AI$320)</f>
        <v>1000</v>
      </c>
      <c r="AJ360" s="551">
        <f>AJ361+(AJ362*AJ$320)</f>
        <v>1000</v>
      </c>
      <c r="AK360" s="552">
        <f>AJ360</f>
        <v>1000</v>
      </c>
      <c r="AL360" s="549">
        <f>AL361+(AL362*AL$320)</f>
        <v>1000</v>
      </c>
      <c r="AM360" s="549">
        <f>AM361+(AM362*AM$320)</f>
        <v>1000</v>
      </c>
      <c r="AN360" s="549">
        <f>AN361+(AN362*AN$320)</f>
        <v>1000</v>
      </c>
      <c r="AO360" s="551">
        <f>AO361+(AO362*AO$320)</f>
        <v>1000</v>
      </c>
      <c r="AP360" s="553">
        <f>AO360</f>
        <v>1000</v>
      </c>
      <c r="AQ360" s="553">
        <f>AQ361+(AQ362*AQ$320)</f>
        <v>1058</v>
      </c>
      <c r="AR360" s="551">
        <f>AR361+(AR362*AR$320)</f>
        <v>1013</v>
      </c>
      <c r="AS360" s="551">
        <f>AS361+(AS362*AS$320)</f>
        <v>1019</v>
      </c>
      <c r="AT360" s="551">
        <f>AT361+(AT362*AT$320)</f>
        <v>1021</v>
      </c>
      <c r="AU360" s="1692">
        <f>AT360</f>
        <v>1021</v>
      </c>
      <c r="AV360" s="1912">
        <f>AV361+(AV362*AV$320)</f>
        <v>1038</v>
      </c>
      <c r="AW360" s="1839">
        <f>AW361+(AW362*AW$320)</f>
        <v>1001</v>
      </c>
      <c r="AX360" s="1839">
        <f>AX361+(AX362*AX$320)</f>
        <v>996</v>
      </c>
      <c r="AY360" s="551">
        <f>AY361+(AY362*AY$320)</f>
        <v>984</v>
      </c>
      <c r="AZ360" s="1692">
        <f>AY360</f>
        <v>984</v>
      </c>
      <c r="BA360" s="1912">
        <f>BA361+(BA362*BA$320)</f>
        <v>962</v>
      </c>
      <c r="BB360" s="1839">
        <f>BB361+(BB362*BB$320)</f>
        <v>939.66666666666663</v>
      </c>
      <c r="BC360" s="1839">
        <f>BC361+(BC362*BC$320)</f>
        <v>994</v>
      </c>
      <c r="BD360" s="1906">
        <f>BD361+(BD362*BD$320)</f>
        <v>995</v>
      </c>
      <c r="BE360" s="1906">
        <f>BD360</f>
        <v>995</v>
      </c>
      <c r="BF360" s="1839">
        <f>BF361+(BF362*BF$320)</f>
        <v>793</v>
      </c>
      <c r="BG360" s="1839">
        <f>BG361+(BG362*BG$320)</f>
        <v>877</v>
      </c>
      <c r="BH360" s="1839">
        <f>BH361+(BH362*BH$320)</f>
        <v>883</v>
      </c>
      <c r="BI360" s="1906">
        <f>BI361+(BI362*BI$320)</f>
        <v>883</v>
      </c>
      <c r="BJ360" s="1906">
        <f>BI360</f>
        <v>883</v>
      </c>
      <c r="BK360" s="1839">
        <f>BK361+(BK362*BK$320)</f>
        <v>884</v>
      </c>
      <c r="BL360" s="1839">
        <f>BL361+(BL362*BL$320)</f>
        <v>874</v>
      </c>
      <c r="BM360" s="1839">
        <f>BM361+(BM362*BM$320)</f>
        <v>881</v>
      </c>
      <c r="BN360" s="1906">
        <f>BN361+(BN362*BN$320)</f>
        <v>886</v>
      </c>
      <c r="BO360" s="1906">
        <f>BN360</f>
        <v>886</v>
      </c>
      <c r="BP360" s="1839">
        <f>BP361+(BP362*BP$320)</f>
        <v>886</v>
      </c>
      <c r="BQ360" s="1839">
        <f>BQ361+(BQ362*BQ$320)</f>
        <v>886</v>
      </c>
      <c r="BR360" s="1839">
        <f>BR361+(BR362*BR$320)</f>
        <v>875</v>
      </c>
      <c r="BS360" s="1839">
        <f>BS361+(BS362*BS$320)</f>
        <v>875</v>
      </c>
      <c r="BT360" s="3234">
        <f>BS360</f>
        <v>875</v>
      </c>
      <c r="BU360" s="1839">
        <f>BU361+(BU362*BU$320)</f>
        <v>838</v>
      </c>
      <c r="BV360" s="1839">
        <f>BV361+(BV362*BV$320)</f>
        <v>838</v>
      </c>
      <c r="BW360" s="1839">
        <f>BW361+(BW362*BW$320)</f>
        <v>838</v>
      </c>
      <c r="BX360" s="1839">
        <f>BX361+(BX362*BX$320)</f>
        <v>838</v>
      </c>
      <c r="BY360" s="3234">
        <f>BX360</f>
        <v>838</v>
      </c>
      <c r="BZ360" s="552">
        <f t="shared" ref="BZ360:CF360" si="844">BZ361+(BZ362*BZ$320)</f>
        <v>838</v>
      </c>
      <c r="CA360" s="552">
        <f t="shared" si="844"/>
        <v>838</v>
      </c>
      <c r="CB360" s="552">
        <f t="shared" si="844"/>
        <v>838</v>
      </c>
      <c r="CC360" s="552">
        <f t="shared" si="844"/>
        <v>838</v>
      </c>
      <c r="CD360" s="552">
        <f t="shared" si="844"/>
        <v>838</v>
      </c>
      <c r="CE360" s="552">
        <f t="shared" si="844"/>
        <v>838</v>
      </c>
      <c r="CF360" s="552">
        <f t="shared" si="844"/>
        <v>838</v>
      </c>
      <c r="CG360" s="331"/>
      <c r="CH360" s="331"/>
      <c r="CI360" s="331"/>
      <c r="CJ360" s="331"/>
      <c r="CK360" s="331"/>
      <c r="CL360" s="520" t="str">
        <f t="shared" si="829"/>
        <v>Positions</v>
      </c>
      <c r="CM360" s="551"/>
      <c r="CN360" s="551">
        <f t="shared" si="830"/>
        <v>475</v>
      </c>
      <c r="CO360" s="551">
        <f t="shared" si="831"/>
        <v>475</v>
      </c>
      <c r="CP360" s="551">
        <f t="shared" si="832"/>
        <v>479</v>
      </c>
      <c r="CQ360" s="551">
        <f t="shared" si="833"/>
        <v>1000</v>
      </c>
      <c r="CR360" s="551">
        <f t="shared" si="834"/>
        <v>1000</v>
      </c>
      <c r="CS360" s="551">
        <f t="shared" si="835"/>
        <v>1000</v>
      </c>
      <c r="CT360" s="551">
        <f t="shared" si="836"/>
        <v>1000</v>
      </c>
      <c r="CU360" s="551">
        <f t="shared" si="837"/>
        <v>1021</v>
      </c>
      <c r="CV360" s="551">
        <f t="shared" si="838"/>
        <v>984</v>
      </c>
      <c r="CW360" s="551">
        <f t="shared" si="839"/>
        <v>995</v>
      </c>
      <c r="CX360" s="551">
        <f t="shared" si="840"/>
        <v>883</v>
      </c>
      <c r="CY360" s="551">
        <f t="shared" si="841"/>
        <v>886</v>
      </c>
      <c r="CZ360" s="551">
        <f t="shared" si="842"/>
        <v>875</v>
      </c>
      <c r="DA360" s="551">
        <f t="shared" si="843"/>
        <v>838</v>
      </c>
      <c r="DB360" s="551">
        <f t="shared" si="843"/>
        <v>838</v>
      </c>
      <c r="DC360" s="1895">
        <f t="shared" si="843"/>
        <v>838</v>
      </c>
      <c r="DD360" s="331"/>
      <c r="DE360" s="331"/>
      <c r="DF360" s="502"/>
      <c r="DG360" s="503"/>
      <c r="DH360" s="3297"/>
      <c r="DI360" s="3213"/>
      <c r="DJ360" s="502"/>
      <c r="DK360" s="503"/>
      <c r="DL360" s="502"/>
      <c r="DM360" s="502"/>
      <c r="DN360" s="502"/>
      <c r="DO360" s="502"/>
      <c r="DP360" s="503"/>
      <c r="DQ360" s="503"/>
      <c r="DR360" s="296"/>
      <c r="DS360" s="296"/>
      <c r="DT360" s="296"/>
    </row>
    <row r="361" spans="1:124" ht="12" customHeight="1" x14ac:dyDescent="0.25">
      <c r="A361" s="281" t="s">
        <v>585</v>
      </c>
      <c r="B361" s="281"/>
      <c r="C361" s="554"/>
      <c r="D361" s="554"/>
      <c r="E361" s="554"/>
      <c r="F361" s="554"/>
      <c r="G361" s="550"/>
      <c r="H361" s="554"/>
      <c r="I361" s="554"/>
      <c r="J361" s="554"/>
      <c r="K361" s="554">
        <v>475</v>
      </c>
      <c r="L361" s="550">
        <v>475</v>
      </c>
      <c r="M361" s="554">
        <v>475</v>
      </c>
      <c r="N361" s="554">
        <v>475</v>
      </c>
      <c r="O361" s="554">
        <v>475</v>
      </c>
      <c r="P361" s="554">
        <v>475</v>
      </c>
      <c r="Q361" s="550">
        <v>475</v>
      </c>
      <c r="R361" s="554">
        <v>475</v>
      </c>
      <c r="S361" s="554">
        <v>475</v>
      </c>
      <c r="T361" s="554">
        <v>475</v>
      </c>
      <c r="U361" s="554">
        <v>479</v>
      </c>
      <c r="V361" s="550">
        <v>479</v>
      </c>
      <c r="W361" s="554">
        <v>479</v>
      </c>
      <c r="X361" s="554">
        <v>479</v>
      </c>
      <c r="Y361" s="554">
        <v>1000</v>
      </c>
      <c r="Z361" s="554">
        <v>1000</v>
      </c>
      <c r="AA361" s="550">
        <v>1000</v>
      </c>
      <c r="AB361" s="555">
        <v>1000</v>
      </c>
      <c r="AC361" s="555">
        <v>1000</v>
      </c>
      <c r="AD361" s="555">
        <v>1000</v>
      </c>
      <c r="AE361" s="555">
        <v>1000</v>
      </c>
      <c r="AF361" s="552">
        <f>AE361</f>
        <v>1000</v>
      </c>
      <c r="AG361" s="551">
        <f>AE361</f>
        <v>1000</v>
      </c>
      <c r="AH361" s="551">
        <f>AG361</f>
        <v>1000</v>
      </c>
      <c r="AI361" s="551">
        <f>AH361</f>
        <v>1000</v>
      </c>
      <c r="AJ361" s="551">
        <f>AI361</f>
        <v>1000</v>
      </c>
      <c r="AK361" s="552">
        <f>AJ361</f>
        <v>1000</v>
      </c>
      <c r="AL361" s="551">
        <f>AJ361</f>
        <v>1000</v>
      </c>
      <c r="AM361" s="551">
        <f>AL361</f>
        <v>1000</v>
      </c>
      <c r="AN361" s="551">
        <f>AM361</f>
        <v>1000</v>
      </c>
      <c r="AO361" s="551">
        <f>AN361</f>
        <v>1000</v>
      </c>
      <c r="AP361" s="553">
        <f>AO361</f>
        <v>1000</v>
      </c>
      <c r="AQ361" s="2487">
        <v>974</v>
      </c>
      <c r="AR361" s="555">
        <v>923</v>
      </c>
      <c r="AS361" s="555">
        <v>923</v>
      </c>
      <c r="AT361" s="555">
        <v>925</v>
      </c>
      <c r="AU361" s="1692">
        <f>AT361</f>
        <v>925</v>
      </c>
      <c r="AV361" s="2487">
        <v>942</v>
      </c>
      <c r="AW361" s="555">
        <v>905</v>
      </c>
      <c r="AX361" s="555">
        <v>900</v>
      </c>
      <c r="AY361" s="555">
        <v>888</v>
      </c>
      <c r="AZ361" s="1692">
        <f>AY361</f>
        <v>888</v>
      </c>
      <c r="BA361" s="2660">
        <v>866</v>
      </c>
      <c r="BB361" s="2661">
        <v>843.66666666666663</v>
      </c>
      <c r="BC361" s="2661">
        <v>898</v>
      </c>
      <c r="BD361" s="2661">
        <v>899</v>
      </c>
      <c r="BE361" s="1692">
        <f>BD361</f>
        <v>899</v>
      </c>
      <c r="BF361" s="2661">
        <v>697</v>
      </c>
      <c r="BG361" s="2661">
        <v>781</v>
      </c>
      <c r="BH361" s="2661">
        <v>787</v>
      </c>
      <c r="BI361" s="2661">
        <v>787</v>
      </c>
      <c r="BJ361" s="1692">
        <f>BI361</f>
        <v>787</v>
      </c>
      <c r="BK361" s="2661">
        <v>788</v>
      </c>
      <c r="BL361" s="2971">
        <v>772</v>
      </c>
      <c r="BM361" s="2971">
        <v>773</v>
      </c>
      <c r="BN361" s="2971">
        <v>778</v>
      </c>
      <c r="BO361" s="1692">
        <f>BN361</f>
        <v>778</v>
      </c>
      <c r="BP361" s="3381">
        <v>778</v>
      </c>
      <c r="BQ361" s="2971">
        <v>778</v>
      </c>
      <c r="BR361" s="2971">
        <v>767</v>
      </c>
      <c r="BS361" s="2971">
        <v>767</v>
      </c>
      <c r="BT361" s="3234">
        <f>BS361</f>
        <v>767</v>
      </c>
      <c r="BU361" s="2971">
        <v>730</v>
      </c>
      <c r="BV361" s="3444">
        <f>BU361</f>
        <v>730</v>
      </c>
      <c r="BW361" s="3444">
        <f>BV361</f>
        <v>730</v>
      </c>
      <c r="BX361" s="3444">
        <f>BW361</f>
        <v>730</v>
      </c>
      <c r="BY361" s="3234">
        <f>BX361</f>
        <v>730</v>
      </c>
      <c r="BZ361" s="2558">
        <f t="shared" ref="BZ361:CF361" si="845">BY361</f>
        <v>730</v>
      </c>
      <c r="CA361" s="2558">
        <f t="shared" si="845"/>
        <v>730</v>
      </c>
      <c r="CB361" s="2558">
        <f t="shared" si="845"/>
        <v>730</v>
      </c>
      <c r="CC361" s="2558">
        <f t="shared" si="845"/>
        <v>730</v>
      </c>
      <c r="CD361" s="2558">
        <f t="shared" si="845"/>
        <v>730</v>
      </c>
      <c r="CE361" s="2558">
        <f t="shared" si="845"/>
        <v>730</v>
      </c>
      <c r="CF361" s="2558">
        <f t="shared" si="845"/>
        <v>730</v>
      </c>
      <c r="CG361" s="331"/>
      <c r="CH361" s="331"/>
      <c r="CI361" s="331"/>
      <c r="CJ361" s="331"/>
      <c r="CK361" s="331"/>
      <c r="CL361" s="520" t="str">
        <f t="shared" si="829"/>
        <v>Slots</v>
      </c>
      <c r="CM361" s="551"/>
      <c r="CN361" s="551">
        <f t="shared" si="830"/>
        <v>475</v>
      </c>
      <c r="CO361" s="551">
        <f t="shared" si="831"/>
        <v>475</v>
      </c>
      <c r="CP361" s="551">
        <f t="shared" si="832"/>
        <v>479</v>
      </c>
      <c r="CQ361" s="551">
        <f t="shared" si="833"/>
        <v>1000</v>
      </c>
      <c r="CR361" s="551">
        <f t="shared" si="834"/>
        <v>1000</v>
      </c>
      <c r="CS361" s="551">
        <f t="shared" si="835"/>
        <v>1000</v>
      </c>
      <c r="CT361" s="551">
        <f t="shared" si="836"/>
        <v>1000</v>
      </c>
      <c r="CU361" s="551">
        <f t="shared" si="837"/>
        <v>925</v>
      </c>
      <c r="CV361" s="551">
        <f t="shared" si="838"/>
        <v>888</v>
      </c>
      <c r="CW361" s="551">
        <f t="shared" si="839"/>
        <v>899</v>
      </c>
      <c r="CX361" s="551">
        <f t="shared" si="840"/>
        <v>787</v>
      </c>
      <c r="CY361" s="551">
        <f t="shared" si="841"/>
        <v>778</v>
      </c>
      <c r="CZ361" s="551">
        <f t="shared" si="842"/>
        <v>767</v>
      </c>
      <c r="DA361" s="551">
        <f t="shared" si="843"/>
        <v>730</v>
      </c>
      <c r="DB361" s="551">
        <f t="shared" si="843"/>
        <v>730</v>
      </c>
      <c r="DC361" s="1895">
        <f t="shared" si="843"/>
        <v>730</v>
      </c>
      <c r="DD361" s="331"/>
      <c r="DE361" s="331"/>
      <c r="DF361" s="502"/>
      <c r="DG361" s="503"/>
      <c r="DH361" s="3297"/>
      <c r="DI361" s="3213"/>
      <c r="DJ361" s="502"/>
      <c r="DK361" s="503"/>
      <c r="DL361" s="502"/>
      <c r="DM361" s="502"/>
      <c r="DN361" s="502"/>
      <c r="DO361" s="502"/>
      <c r="DP361" s="503"/>
      <c r="DQ361" s="503"/>
      <c r="DR361" s="296"/>
      <c r="DS361" s="296"/>
      <c r="DT361" s="296"/>
    </row>
    <row r="362" spans="1:124" ht="12" customHeight="1" x14ac:dyDescent="0.25">
      <c r="A362" s="281" t="s">
        <v>584</v>
      </c>
      <c r="B362" s="281"/>
      <c r="C362" s="554"/>
      <c r="D362" s="554"/>
      <c r="E362" s="554"/>
      <c r="F362" s="554"/>
      <c r="G362" s="550"/>
      <c r="H362" s="554"/>
      <c r="I362" s="554"/>
      <c r="J362" s="554"/>
      <c r="K362" s="554">
        <v>0</v>
      </c>
      <c r="L362" s="550">
        <v>0</v>
      </c>
      <c r="M362" s="554">
        <v>0</v>
      </c>
      <c r="N362" s="554">
        <v>0</v>
      </c>
      <c r="O362" s="554">
        <v>0</v>
      </c>
      <c r="P362" s="554">
        <v>0</v>
      </c>
      <c r="Q362" s="550">
        <v>0</v>
      </c>
      <c r="R362" s="554">
        <v>0</v>
      </c>
      <c r="S362" s="554">
        <v>0</v>
      </c>
      <c r="T362" s="554">
        <v>0</v>
      </c>
      <c r="U362" s="554">
        <v>0</v>
      </c>
      <c r="V362" s="550">
        <v>0</v>
      </c>
      <c r="W362" s="554">
        <v>0</v>
      </c>
      <c r="X362" s="554">
        <v>0</v>
      </c>
      <c r="Y362" s="554">
        <v>0</v>
      </c>
      <c r="Z362" s="554">
        <v>0</v>
      </c>
      <c r="AA362" s="550">
        <v>0</v>
      </c>
      <c r="AB362" s="551">
        <v>0</v>
      </c>
      <c r="AC362" s="551">
        <v>0</v>
      </c>
      <c r="AD362" s="551">
        <v>0</v>
      </c>
      <c r="AE362" s="551">
        <v>0</v>
      </c>
      <c r="AF362" s="556">
        <f>AE362</f>
        <v>0</v>
      </c>
      <c r="AG362" s="551">
        <v>0</v>
      </c>
      <c r="AH362" s="551">
        <v>0</v>
      </c>
      <c r="AI362" s="551">
        <v>0</v>
      </c>
      <c r="AJ362" s="551">
        <v>0</v>
      </c>
      <c r="AK362" s="556">
        <f>AJ362</f>
        <v>0</v>
      </c>
      <c r="AL362" s="551">
        <v>0</v>
      </c>
      <c r="AM362" s="551">
        <v>0</v>
      </c>
      <c r="AN362" s="551">
        <v>0</v>
      </c>
      <c r="AO362" s="551">
        <v>0</v>
      </c>
      <c r="AP362" s="553">
        <f>AO362</f>
        <v>0</v>
      </c>
      <c r="AQ362" s="2487">
        <v>14</v>
      </c>
      <c r="AR362" s="555">
        <v>15</v>
      </c>
      <c r="AS362" s="555">
        <v>16</v>
      </c>
      <c r="AT362" s="555">
        <v>16</v>
      </c>
      <c r="AU362" s="1692">
        <f>AT362</f>
        <v>16</v>
      </c>
      <c r="AV362" s="2487">
        <v>16</v>
      </c>
      <c r="AW362" s="555">
        <v>16</v>
      </c>
      <c r="AX362" s="555">
        <v>16</v>
      </c>
      <c r="AY362" s="555">
        <v>16</v>
      </c>
      <c r="AZ362" s="1692">
        <f>AY362</f>
        <v>16</v>
      </c>
      <c r="BA362" s="555">
        <v>16</v>
      </c>
      <c r="BB362" s="2661">
        <v>16</v>
      </c>
      <c r="BC362" s="2661">
        <v>16</v>
      </c>
      <c r="BD362" s="2661">
        <v>16</v>
      </c>
      <c r="BE362" s="1692">
        <f>BD362</f>
        <v>16</v>
      </c>
      <c r="BF362" s="2661">
        <v>16</v>
      </c>
      <c r="BG362" s="2661">
        <v>16</v>
      </c>
      <c r="BH362" s="2661">
        <v>16</v>
      </c>
      <c r="BI362" s="2661">
        <v>16</v>
      </c>
      <c r="BJ362" s="1692">
        <f>BI362</f>
        <v>16</v>
      </c>
      <c r="BK362" s="2661">
        <v>16</v>
      </c>
      <c r="BL362" s="2971">
        <v>17</v>
      </c>
      <c r="BM362" s="2971">
        <v>18</v>
      </c>
      <c r="BN362" s="2971">
        <v>18</v>
      </c>
      <c r="BO362" s="1692">
        <f>BN362</f>
        <v>18</v>
      </c>
      <c r="BP362" s="3381">
        <v>18</v>
      </c>
      <c r="BQ362" s="2971">
        <v>18</v>
      </c>
      <c r="BR362" s="2971">
        <v>18</v>
      </c>
      <c r="BS362" s="2971">
        <v>18</v>
      </c>
      <c r="BT362" s="3234">
        <f>BS362</f>
        <v>18</v>
      </c>
      <c r="BU362" s="2971">
        <v>18</v>
      </c>
      <c r="BV362" s="3444">
        <f>+BU362</f>
        <v>18</v>
      </c>
      <c r="BW362" s="3444">
        <f>+BV362</f>
        <v>18</v>
      </c>
      <c r="BX362" s="3444">
        <f>+BW362</f>
        <v>18</v>
      </c>
      <c r="BY362" s="3234">
        <f>BX362</f>
        <v>18</v>
      </c>
      <c r="BZ362" s="2558">
        <f t="shared" ref="BZ362:CF362" si="846">+BY362</f>
        <v>18</v>
      </c>
      <c r="CA362" s="2558">
        <f t="shared" si="846"/>
        <v>18</v>
      </c>
      <c r="CB362" s="2558">
        <f t="shared" si="846"/>
        <v>18</v>
      </c>
      <c r="CC362" s="2558">
        <f t="shared" si="846"/>
        <v>18</v>
      </c>
      <c r="CD362" s="2558">
        <f t="shared" si="846"/>
        <v>18</v>
      </c>
      <c r="CE362" s="2558">
        <f t="shared" si="846"/>
        <v>18</v>
      </c>
      <c r="CF362" s="2558">
        <f t="shared" si="846"/>
        <v>18</v>
      </c>
      <c r="CG362" s="331"/>
      <c r="CH362" s="331"/>
      <c r="CI362" s="331"/>
      <c r="CJ362" s="331"/>
      <c r="CK362" s="331"/>
      <c r="CL362" s="520" t="str">
        <f t="shared" si="829"/>
        <v>Tables</v>
      </c>
      <c r="CM362" s="551"/>
      <c r="CN362" s="551">
        <f t="shared" si="830"/>
        <v>0</v>
      </c>
      <c r="CO362" s="551">
        <f t="shared" si="831"/>
        <v>0</v>
      </c>
      <c r="CP362" s="551">
        <f t="shared" si="832"/>
        <v>0</v>
      </c>
      <c r="CQ362" s="551">
        <f t="shared" si="833"/>
        <v>0</v>
      </c>
      <c r="CR362" s="551">
        <f t="shared" si="834"/>
        <v>0</v>
      </c>
      <c r="CS362" s="551">
        <f t="shared" si="835"/>
        <v>0</v>
      </c>
      <c r="CT362" s="551">
        <f t="shared" si="836"/>
        <v>0</v>
      </c>
      <c r="CU362" s="551">
        <f t="shared" si="837"/>
        <v>16</v>
      </c>
      <c r="CV362" s="551">
        <f t="shared" si="838"/>
        <v>16</v>
      </c>
      <c r="CW362" s="551">
        <f t="shared" si="839"/>
        <v>16</v>
      </c>
      <c r="CX362" s="551">
        <f t="shared" si="840"/>
        <v>16</v>
      </c>
      <c r="CY362" s="551">
        <f t="shared" si="841"/>
        <v>18</v>
      </c>
      <c r="CZ362" s="551">
        <f t="shared" si="842"/>
        <v>18</v>
      </c>
      <c r="DA362" s="551">
        <f t="shared" si="843"/>
        <v>18</v>
      </c>
      <c r="DB362" s="551">
        <f t="shared" si="843"/>
        <v>18</v>
      </c>
      <c r="DC362" s="1895">
        <f t="shared" si="843"/>
        <v>18</v>
      </c>
      <c r="DD362" s="331"/>
      <c r="DE362" s="331"/>
      <c r="DF362" s="502"/>
      <c r="DG362" s="503"/>
      <c r="DH362" s="3297"/>
      <c r="DI362" s="3213"/>
      <c r="DJ362" s="502"/>
      <c r="DK362" s="503"/>
      <c r="DL362" s="502"/>
      <c r="DM362" s="502"/>
      <c r="DN362" s="502"/>
      <c r="DO362" s="502"/>
      <c r="DP362" s="503"/>
      <c r="DQ362" s="503"/>
      <c r="DR362" s="296"/>
      <c r="DS362" s="296"/>
      <c r="DT362" s="296"/>
    </row>
    <row r="363" spans="1:124" ht="12" customHeight="1" x14ac:dyDescent="0.25">
      <c r="A363" s="511" t="s">
        <v>2111</v>
      </c>
      <c r="B363" s="281"/>
      <c r="C363" s="549"/>
      <c r="D363" s="549"/>
      <c r="E363" s="549"/>
      <c r="F363" s="549"/>
      <c r="G363" s="550"/>
      <c r="H363" s="549"/>
      <c r="I363" s="549"/>
      <c r="J363" s="549"/>
      <c r="K363" s="549">
        <f>K360/3*2</f>
        <v>316.66666666666669</v>
      </c>
      <c r="L363" s="550">
        <f>AVERAGE(H363:K363)</f>
        <v>316.66666666666669</v>
      </c>
      <c r="M363" s="549">
        <f>AVERAGE(L360:M360)</f>
        <v>475</v>
      </c>
      <c r="N363" s="549">
        <f>AVERAGE(M360:N360)</f>
        <v>475</v>
      </c>
      <c r="O363" s="549">
        <f>AVERAGE(N360:O360)</f>
        <v>475</v>
      </c>
      <c r="P363" s="549">
        <f>AVERAGE(O360:P360)</f>
        <v>475</v>
      </c>
      <c r="Q363" s="550">
        <f>AVERAGE(M363:P363)</f>
        <v>475</v>
      </c>
      <c r="R363" s="549">
        <f>AVERAGE(Q360:R360)</f>
        <v>475</v>
      </c>
      <c r="S363" s="549">
        <f>AVERAGE(R360:S360)</f>
        <v>475</v>
      </c>
      <c r="T363" s="549">
        <f>AVERAGE(S360:T360)</f>
        <v>475</v>
      </c>
      <c r="U363" s="549">
        <f>AVERAGE(T360:U360)</f>
        <v>477</v>
      </c>
      <c r="V363" s="550">
        <f>AVERAGE(R363:U363)</f>
        <v>475.5</v>
      </c>
      <c r="W363" s="549">
        <f>AVERAGE(V360:W360)</f>
        <v>479</v>
      </c>
      <c r="X363" s="549">
        <f>AVERAGE(W360:X360)</f>
        <v>479</v>
      </c>
      <c r="Y363" s="549">
        <f>AVERAGE(X360:Y360)</f>
        <v>739.5</v>
      </c>
      <c r="Z363" s="549">
        <f>AVERAGE(Y360:Z360)</f>
        <v>1000</v>
      </c>
      <c r="AA363" s="550">
        <f>AVERAGE(W363:Z363)</f>
        <v>674.375</v>
      </c>
      <c r="AB363" s="549">
        <f>AVERAGE(AA360:AB360)</f>
        <v>1000</v>
      </c>
      <c r="AC363" s="549">
        <f>AVERAGE(AB360:AC360)</f>
        <v>1000</v>
      </c>
      <c r="AD363" s="549">
        <f>AVERAGE(AC360:AD360)</f>
        <v>1000</v>
      </c>
      <c r="AE363" s="551">
        <f>AVERAGE(AD360:AE360)</f>
        <v>1000</v>
      </c>
      <c r="AF363" s="552">
        <f>AVERAGE(AB363:AE363)</f>
        <v>1000</v>
      </c>
      <c r="AG363" s="549">
        <f>AVERAGE(AF360:AG360)</f>
        <v>1000</v>
      </c>
      <c r="AH363" s="549">
        <f>AVERAGE(AG360:AH360)</f>
        <v>1000</v>
      </c>
      <c r="AI363" s="549">
        <f>AVERAGE(AH360:AI360)</f>
        <v>1000</v>
      </c>
      <c r="AJ363" s="551">
        <f>AVERAGE(AI360:AJ360)</f>
        <v>1000</v>
      </c>
      <c r="AK363" s="552">
        <f>AVERAGE(AG363:AJ363)</f>
        <v>1000</v>
      </c>
      <c r="AL363" s="549">
        <f>AVERAGE(AK360:AL360)</f>
        <v>1000</v>
      </c>
      <c r="AM363" s="549">
        <f>AVERAGE(AL360:AM360)</f>
        <v>1000</v>
      </c>
      <c r="AN363" s="549">
        <f>AVERAGE(AM360:AN360)</f>
        <v>1000</v>
      </c>
      <c r="AO363" s="551">
        <f>AVERAGE(AN360:AO360)</f>
        <v>1000</v>
      </c>
      <c r="AP363" s="553">
        <f>AVERAGE(AL363:AO363)</f>
        <v>1000</v>
      </c>
      <c r="AQ363" s="553">
        <f>AVERAGE(AP360:AQ360)</f>
        <v>1029</v>
      </c>
      <c r="AR363" s="551">
        <f>AVERAGE(AQ360:AR360)</f>
        <v>1035.5</v>
      </c>
      <c r="AS363" s="551">
        <f>AVERAGE(AR360:AS360)</f>
        <v>1016</v>
      </c>
      <c r="AT363" s="551">
        <f>AVERAGE(AS360:AT360)</f>
        <v>1020</v>
      </c>
      <c r="AU363" s="1692">
        <f>AVERAGE(AQ363:AT363)</f>
        <v>1025.125</v>
      </c>
      <c r="AV363" s="1912">
        <f>AVERAGE(AU360:AV360)</f>
        <v>1029.5</v>
      </c>
      <c r="AW363" s="1839">
        <f>AVERAGE(AV360:AW360)</f>
        <v>1019.5</v>
      </c>
      <c r="AX363" s="1839">
        <f>AVERAGE(AW360:AX360)</f>
        <v>998.5</v>
      </c>
      <c r="AY363" s="551">
        <f>AVERAGE(AX360:AY360)</f>
        <v>990</v>
      </c>
      <c r="AZ363" s="1692">
        <f>AVERAGE(AV363:AY363)</f>
        <v>1009.375</v>
      </c>
      <c r="BA363" s="1912">
        <f>AVERAGE(AZ360:BA360)</f>
        <v>973</v>
      </c>
      <c r="BB363" s="1839">
        <f>AVERAGE(BA360:BB360)</f>
        <v>950.83333333333326</v>
      </c>
      <c r="BC363" s="1839">
        <f>AVERAGE(BB360:BC360)</f>
        <v>966.83333333333326</v>
      </c>
      <c r="BD363" s="1906">
        <f>AVERAGE(BC360:BD360)</f>
        <v>994.5</v>
      </c>
      <c r="BE363" s="1906">
        <f>AVERAGE(BA363:BD363)</f>
        <v>971.29166666666663</v>
      </c>
      <c r="BF363" s="1839">
        <f>AVERAGE(BE360:BF360)</f>
        <v>894</v>
      </c>
      <c r="BG363" s="1839">
        <f>AVERAGE(BF360:BG360)</f>
        <v>835</v>
      </c>
      <c r="BH363" s="1839">
        <f>AVERAGE(BG360:BH360)</f>
        <v>880</v>
      </c>
      <c r="BI363" s="1906">
        <f>AVERAGE(BH360:BI360)</f>
        <v>883</v>
      </c>
      <c r="BJ363" s="1906">
        <f>AVERAGE(BF363:BI363)</f>
        <v>873</v>
      </c>
      <c r="BK363" s="1839">
        <f>AVERAGE(BJ360:BK360)</f>
        <v>883.5</v>
      </c>
      <c r="BL363" s="1839">
        <f>AVERAGE(BK360:BL360)</f>
        <v>879</v>
      </c>
      <c r="BM363" s="1839">
        <f>AVERAGE(BL360:BM360)</f>
        <v>877.5</v>
      </c>
      <c r="BN363" s="1906">
        <f>AVERAGE(BM360:BN360)</f>
        <v>883.5</v>
      </c>
      <c r="BO363" s="1906">
        <f>AVERAGE(BK363:BN363)</f>
        <v>880.875</v>
      </c>
      <c r="BP363" s="1839">
        <f>AVERAGE(BO360:BP360)</f>
        <v>886</v>
      </c>
      <c r="BQ363" s="1839">
        <f>AVERAGE(BP360:BQ360)</f>
        <v>886</v>
      </c>
      <c r="BR363" s="1839">
        <f>AVERAGE(BQ360:BR360)</f>
        <v>880.5</v>
      </c>
      <c r="BS363" s="1839">
        <f>AVERAGE(BR360:BS360)</f>
        <v>875</v>
      </c>
      <c r="BT363" s="3234">
        <f>AVERAGE(BP363:BS363)</f>
        <v>881.875</v>
      </c>
      <c r="BU363" s="1839">
        <f>AVERAGE(BT360:BU360)</f>
        <v>856.5</v>
      </c>
      <c r="BV363" s="1839">
        <f>AVERAGE(BU360:BV360)</f>
        <v>838</v>
      </c>
      <c r="BW363" s="1839">
        <f>AVERAGE(BV360:BW360)</f>
        <v>838</v>
      </c>
      <c r="BX363" s="1839">
        <f>AVERAGE(BW360:BX360)</f>
        <v>838</v>
      </c>
      <c r="BY363" s="3234">
        <f>AVERAGE(BU363:BX363)</f>
        <v>842.625</v>
      </c>
      <c r="BZ363" s="552">
        <f t="shared" ref="BZ363:CF363" si="847">AVERAGE(BY360:BZ360)</f>
        <v>838</v>
      </c>
      <c r="CA363" s="552">
        <f t="shared" si="847"/>
        <v>838</v>
      </c>
      <c r="CB363" s="552">
        <f t="shared" si="847"/>
        <v>838</v>
      </c>
      <c r="CC363" s="552">
        <f t="shared" si="847"/>
        <v>838</v>
      </c>
      <c r="CD363" s="552">
        <f t="shared" si="847"/>
        <v>838</v>
      </c>
      <c r="CE363" s="552">
        <f t="shared" si="847"/>
        <v>838</v>
      </c>
      <c r="CF363" s="552">
        <f t="shared" si="847"/>
        <v>838</v>
      </c>
      <c r="CG363" s="331"/>
      <c r="CH363" s="331"/>
      <c r="CI363" s="331"/>
      <c r="CJ363" s="331"/>
      <c r="CK363" s="331"/>
      <c r="CL363" s="1118" t="str">
        <f t="shared" si="829"/>
        <v>Average Positions</v>
      </c>
      <c r="CM363" s="551"/>
      <c r="CN363" s="551">
        <f t="shared" si="830"/>
        <v>316.66666666666669</v>
      </c>
      <c r="CO363" s="551">
        <f t="shared" si="831"/>
        <v>475</v>
      </c>
      <c r="CP363" s="551">
        <f t="shared" si="832"/>
        <v>475.5</v>
      </c>
      <c r="CQ363" s="551">
        <f t="shared" si="833"/>
        <v>674.375</v>
      </c>
      <c r="CR363" s="551">
        <f t="shared" si="834"/>
        <v>1000</v>
      </c>
      <c r="CS363" s="551">
        <f t="shared" si="835"/>
        <v>1000</v>
      </c>
      <c r="CT363" s="551">
        <f t="shared" si="836"/>
        <v>1000</v>
      </c>
      <c r="CU363" s="551">
        <f t="shared" si="837"/>
        <v>1025.125</v>
      </c>
      <c r="CV363" s="551">
        <f t="shared" si="838"/>
        <v>1009.375</v>
      </c>
      <c r="CW363" s="551">
        <f t="shared" si="839"/>
        <v>971.29166666666663</v>
      </c>
      <c r="CX363" s="551">
        <f t="shared" si="840"/>
        <v>873</v>
      </c>
      <c r="CY363" s="551">
        <f t="shared" si="841"/>
        <v>880.875</v>
      </c>
      <c r="CZ363" s="551">
        <f t="shared" si="842"/>
        <v>881.875</v>
      </c>
      <c r="DA363" s="551">
        <f t="shared" si="843"/>
        <v>842.625</v>
      </c>
      <c r="DB363" s="551">
        <f t="shared" si="843"/>
        <v>838</v>
      </c>
      <c r="DC363" s="1895">
        <f t="shared" si="843"/>
        <v>838</v>
      </c>
      <c r="DD363" s="331"/>
      <c r="DE363" s="331"/>
      <c r="DF363" s="502"/>
      <c r="DG363" s="503"/>
      <c r="DH363" s="3297"/>
      <c r="DI363" s="3213"/>
      <c r="DJ363" s="502"/>
      <c r="DK363" s="503"/>
      <c r="DL363" s="502"/>
      <c r="DM363" s="502"/>
      <c r="DN363" s="502"/>
      <c r="DO363" s="502"/>
      <c r="DP363" s="503"/>
      <c r="DQ363" s="503"/>
      <c r="DR363" s="296"/>
      <c r="DS363" s="296"/>
      <c r="DT363" s="296"/>
    </row>
    <row r="364" spans="1:124" ht="12" customHeight="1" x14ac:dyDescent="0.25">
      <c r="A364" s="557" t="s">
        <v>901</v>
      </c>
      <c r="B364" s="558"/>
      <c r="C364" s="318"/>
      <c r="D364" s="318"/>
      <c r="E364" s="318"/>
      <c r="F364" s="318"/>
      <c r="G364" s="559"/>
      <c r="H364" s="318"/>
      <c r="I364" s="318"/>
      <c r="J364" s="318"/>
      <c r="K364" s="318">
        <f t="shared" ref="K364:AP364" si="848">K367*1000000/K363/K$5</f>
        <v>142.64256144164759</v>
      </c>
      <c r="L364" s="559">
        <f t="shared" si="848"/>
        <v>35.953741514059118</v>
      </c>
      <c r="M364" s="318">
        <f t="shared" si="848"/>
        <v>189.42038269005846</v>
      </c>
      <c r="N364" s="318">
        <f t="shared" si="848"/>
        <v>209.34463736263737</v>
      </c>
      <c r="O364" s="318">
        <f t="shared" si="848"/>
        <v>236.13215537757435</v>
      </c>
      <c r="P364" s="318">
        <f t="shared" si="848"/>
        <v>230.01143409610984</v>
      </c>
      <c r="Q364" s="559">
        <f t="shared" si="848"/>
        <v>216.39289499639511</v>
      </c>
      <c r="R364" s="318">
        <f t="shared" si="848"/>
        <v>242.45901660818717</v>
      </c>
      <c r="S364" s="318">
        <f t="shared" si="848"/>
        <v>250.02303620589936</v>
      </c>
      <c r="T364" s="318">
        <f t="shared" si="848"/>
        <v>269.73670343249427</v>
      </c>
      <c r="U364" s="318">
        <f t="shared" si="848"/>
        <v>234.52978306444263</v>
      </c>
      <c r="V364" s="559">
        <f t="shared" si="848"/>
        <v>249.20828912608212</v>
      </c>
      <c r="W364" s="318">
        <f t="shared" si="848"/>
        <v>231.5164605749157</v>
      </c>
      <c r="X364" s="318">
        <f t="shared" si="848"/>
        <v>253.41652159948612</v>
      </c>
      <c r="Y364" s="318">
        <f t="shared" si="848"/>
        <v>245.63070641150011</v>
      </c>
      <c r="Z364" s="318">
        <f t="shared" si="848"/>
        <v>137.67824141304348</v>
      </c>
      <c r="AA364" s="559">
        <f t="shared" si="848"/>
        <v>204.66382635206654</v>
      </c>
      <c r="AB364" s="318">
        <f t="shared" si="848"/>
        <v>143.33333333333334</v>
      </c>
      <c r="AC364" s="318">
        <f t="shared" si="848"/>
        <v>164.83516483516485</v>
      </c>
      <c r="AD364" s="318">
        <f t="shared" si="848"/>
        <v>183.69565217391303</v>
      </c>
      <c r="AE364" s="560">
        <f t="shared" si="848"/>
        <v>157.60869565217391</v>
      </c>
      <c r="AF364" s="559">
        <f t="shared" si="848"/>
        <v>162.46575342465752</v>
      </c>
      <c r="AG364" s="318">
        <f t="shared" si="848"/>
        <v>164.55555555555554</v>
      </c>
      <c r="AH364" s="318">
        <f t="shared" si="848"/>
        <v>165.93406593406593</v>
      </c>
      <c r="AI364" s="318">
        <f t="shared" si="848"/>
        <v>189.05180239130436</v>
      </c>
      <c r="AJ364" s="560">
        <f t="shared" si="848"/>
        <v>156.52173913043478</v>
      </c>
      <c r="AK364" s="559">
        <f t="shared" si="848"/>
        <v>169.04867347945205</v>
      </c>
      <c r="AL364" s="318">
        <f t="shared" si="848"/>
        <v>150.19453122222222</v>
      </c>
      <c r="AM364" s="318">
        <f t="shared" si="848"/>
        <v>162.32426065934067</v>
      </c>
      <c r="AN364" s="318">
        <f t="shared" si="848"/>
        <v>184.90013304347826</v>
      </c>
      <c r="AO364" s="560">
        <f t="shared" si="848"/>
        <v>153.83440032608695</v>
      </c>
      <c r="AP364" s="580">
        <f t="shared" si="848"/>
        <v>162.88381534246571</v>
      </c>
      <c r="AQ364" s="580">
        <f t="shared" ref="AQ364:CA364" si="849">AQ367*1000000/AQ363/AQ$5</f>
        <v>165.4842965003898</v>
      </c>
      <c r="AR364" s="318">
        <f t="shared" si="849"/>
        <v>182.98844768944235</v>
      </c>
      <c r="AS364" s="318">
        <f t="shared" si="849"/>
        <v>176.48908732026703</v>
      </c>
      <c r="AT364" s="318">
        <f t="shared" si="849"/>
        <v>143.31014972293264</v>
      </c>
      <c r="AU364" s="1699">
        <f t="shared" si="849"/>
        <v>167.06982789650468</v>
      </c>
      <c r="AV364" s="1916">
        <f t="shared" si="849"/>
        <v>140.03164664616048</v>
      </c>
      <c r="AW364" s="1844">
        <f t="shared" si="849"/>
        <v>152.69591105314498</v>
      </c>
      <c r="AX364" s="1844">
        <f t="shared" si="849"/>
        <v>164.62007543924582</v>
      </c>
      <c r="AY364" s="318">
        <f t="shared" si="849"/>
        <v>136.05405731225295</v>
      </c>
      <c r="AZ364" s="1699">
        <f t="shared" si="849"/>
        <v>148.34909553076889</v>
      </c>
      <c r="BA364" s="1916">
        <f t="shared" si="849"/>
        <v>142.5333847207948</v>
      </c>
      <c r="BB364" s="1844">
        <f t="shared" si="849"/>
        <v>157.74158580385432</v>
      </c>
      <c r="BC364" s="1844">
        <f t="shared" si="849"/>
        <v>167.08724882516509</v>
      </c>
      <c r="BD364" s="1911">
        <f t="shared" si="849"/>
        <v>146.94758126215928</v>
      </c>
      <c r="BE364" s="1911">
        <f t="shared" si="849"/>
        <v>153.55172270507839</v>
      </c>
      <c r="BF364" s="1844">
        <f>BF367*1000000/BF363/BF$5</f>
        <v>149.44149888143178</v>
      </c>
      <c r="BG364" s="1844">
        <f>BG367*1000000/BG363/BG$5</f>
        <v>182.46208488517473</v>
      </c>
      <c r="BH364" s="1844">
        <f>BH367*1000000/BH363/BH$5</f>
        <v>181.67035363142296</v>
      </c>
      <c r="BI364" s="1911">
        <f>BI367*1000000/BI363/BI$5</f>
        <v>155.64294364567436</v>
      </c>
      <c r="BJ364" s="1911">
        <f t="shared" si="849"/>
        <v>167.08338910072339</v>
      </c>
      <c r="BK364" s="1766">
        <f t="shared" ref="BK364:BU364" si="850">BK367*1000000/BK363/BK$5</f>
        <v>156.4508754516564</v>
      </c>
      <c r="BL364" s="1766">
        <f t="shared" si="850"/>
        <v>163.31643876032953</v>
      </c>
      <c r="BM364" s="1844">
        <f t="shared" si="850"/>
        <v>177.13365539452496</v>
      </c>
      <c r="BN364" s="1911">
        <f t="shared" si="850"/>
        <v>155.45763182500428</v>
      </c>
      <c r="BO364" s="1911">
        <f t="shared" si="850"/>
        <v>163.08250865190084</v>
      </c>
      <c r="BP364" s="1844">
        <f t="shared" si="850"/>
        <v>146.37267193378483</v>
      </c>
      <c r="BQ364" s="1844">
        <f t="shared" si="850"/>
        <v>160.87112494728746</v>
      </c>
      <c r="BR364" s="1844">
        <f t="shared" si="850"/>
        <v>168.39803656519271</v>
      </c>
      <c r="BS364" s="1844">
        <f t="shared" si="850"/>
        <v>150.79038397515527</v>
      </c>
      <c r="BT364" s="3235">
        <f t="shared" si="850"/>
        <v>156.64640273390097</v>
      </c>
      <c r="BU364" s="1844">
        <f t="shared" si="850"/>
        <v>136.52136995524424</v>
      </c>
      <c r="BV364" s="1844">
        <f>BV367*1000000/BV363/BV$5</f>
        <v>168.38484312203306</v>
      </c>
      <c r="BW364" s="1844">
        <f>BW367*1000000/BW363/BW$5</f>
        <v>175.16912468221443</v>
      </c>
      <c r="BX364" s="1844">
        <f>BX367*1000000/BX363/BX$5</f>
        <v>155.87371135856597</v>
      </c>
      <c r="BY364" s="3235">
        <f>BY367*1000000/BY363/BY$5</f>
        <v>158.95050620821675</v>
      </c>
      <c r="BZ364" s="559">
        <f t="shared" si="849"/>
        <v>163.02432422383367</v>
      </c>
      <c r="CA364" s="559">
        <f t="shared" si="849"/>
        <v>162.57890257294886</v>
      </c>
      <c r="CB364" s="559">
        <f>CB367*1000000/CB363/CB$5</f>
        <v>154.87310801264198</v>
      </c>
      <c r="CC364" s="559">
        <f>CC367*1000000/CC363/CC$5</f>
        <v>147.12945261200986</v>
      </c>
      <c r="CD364" s="559">
        <f>CD367*1000000/CD363/CD$5</f>
        <v>150.07204166425009</v>
      </c>
      <c r="CE364" s="559">
        <f>CE367*1000000/CE363/CE$5</f>
        <v>152.65524893879862</v>
      </c>
      <c r="CF364" s="559">
        <f>CF367*1000000/CF363/CF$5</f>
        <v>156.13495214748579</v>
      </c>
      <c r="CG364" s="560"/>
      <c r="CH364" s="560"/>
      <c r="CI364" s="560"/>
      <c r="CJ364" s="560"/>
      <c r="CK364" s="560"/>
      <c r="CL364" s="1307" t="str">
        <f t="shared" si="829"/>
        <v>Daily Win / Position</v>
      </c>
      <c r="CM364" s="560"/>
      <c r="CN364" s="560">
        <f t="shared" si="830"/>
        <v>35.953741514059118</v>
      </c>
      <c r="CO364" s="560">
        <f t="shared" si="831"/>
        <v>216.39289499639511</v>
      </c>
      <c r="CP364" s="560">
        <f t="shared" si="832"/>
        <v>249.20828912608212</v>
      </c>
      <c r="CQ364" s="560">
        <f t="shared" si="833"/>
        <v>204.66382635206654</v>
      </c>
      <c r="CR364" s="560">
        <f t="shared" si="834"/>
        <v>162.46575342465752</v>
      </c>
      <c r="CS364" s="560">
        <f t="shared" si="835"/>
        <v>169.04867347945205</v>
      </c>
      <c r="CT364" s="560">
        <f t="shared" si="836"/>
        <v>162.88381534246571</v>
      </c>
      <c r="CU364" s="560">
        <f t="shared" si="837"/>
        <v>167.06982789650468</v>
      </c>
      <c r="CV364" s="560">
        <f t="shared" si="838"/>
        <v>148.34909553076889</v>
      </c>
      <c r="CW364" s="560">
        <f t="shared" si="839"/>
        <v>153.55172270507839</v>
      </c>
      <c r="CX364" s="560">
        <f t="shared" si="840"/>
        <v>167.08338910072339</v>
      </c>
      <c r="CY364" s="560">
        <f t="shared" si="841"/>
        <v>163.08250865190084</v>
      </c>
      <c r="CZ364" s="560">
        <f t="shared" si="842"/>
        <v>156.64640273390097</v>
      </c>
      <c r="DA364" s="560">
        <f t="shared" si="843"/>
        <v>158.95050620821675</v>
      </c>
      <c r="DB364" s="560">
        <f t="shared" si="843"/>
        <v>163.02432422383367</v>
      </c>
      <c r="DC364" s="1878">
        <f t="shared" si="843"/>
        <v>162.57890257294886</v>
      </c>
      <c r="DD364" s="560"/>
      <c r="DE364" s="560"/>
      <c r="DF364" s="707"/>
      <c r="DG364" s="707"/>
      <c r="DH364" s="2588"/>
      <c r="DI364" s="3213"/>
      <c r="DJ364" s="707"/>
      <c r="DK364" s="707"/>
      <c r="DL364" s="707"/>
      <c r="DM364" s="707"/>
      <c r="DN364" s="707"/>
      <c r="DO364" s="707"/>
      <c r="DP364" s="707"/>
      <c r="DQ364" s="707"/>
      <c r="DR364" s="968"/>
      <c r="DS364" s="968"/>
      <c r="DT364" s="968"/>
    </row>
    <row r="365" spans="1:124" ht="12" customHeight="1" x14ac:dyDescent="0.25">
      <c r="A365" s="465" t="s">
        <v>1491</v>
      </c>
      <c r="B365" s="466"/>
      <c r="C365" s="467"/>
      <c r="D365" s="467"/>
      <c r="E365" s="467"/>
      <c r="F365" s="467"/>
      <c r="G365" s="468"/>
      <c r="H365" s="467"/>
      <c r="I365" s="467"/>
      <c r="J365" s="467"/>
      <c r="K365" s="467" t="s">
        <v>553</v>
      </c>
      <c r="L365" s="468" t="s">
        <v>553</v>
      </c>
      <c r="M365" s="467" t="s">
        <v>553</v>
      </c>
      <c r="N365" s="467" t="s">
        <v>553</v>
      </c>
      <c r="O365" s="467" t="s">
        <v>553</v>
      </c>
      <c r="P365" s="467">
        <f t="shared" ref="P365:AA365" si="851">(P364-K364)/K364</f>
        <v>0.61250212959897832</v>
      </c>
      <c r="Q365" s="468">
        <f t="shared" si="851"/>
        <v>5.018647458756921</v>
      </c>
      <c r="R365" s="467">
        <f t="shared" si="851"/>
        <v>0.28000489263562445</v>
      </c>
      <c r="S365" s="467">
        <f t="shared" si="851"/>
        <v>0.19431306842026627</v>
      </c>
      <c r="T365" s="467">
        <f t="shared" si="851"/>
        <v>0.14231246058456706</v>
      </c>
      <c r="U365" s="467">
        <f t="shared" si="851"/>
        <v>1.964401894231399E-2</v>
      </c>
      <c r="V365" s="468">
        <f t="shared" si="851"/>
        <v>0.1516472808880055</v>
      </c>
      <c r="W365" s="467">
        <f t="shared" si="851"/>
        <v>-4.5131569806515386E-2</v>
      </c>
      <c r="X365" s="467">
        <f t="shared" si="851"/>
        <v>1.3572690921136362E-2</v>
      </c>
      <c r="Y365" s="467">
        <f t="shared" si="851"/>
        <v>-8.9368620266492754E-2</v>
      </c>
      <c r="Z365" s="467">
        <f t="shared" si="851"/>
        <v>-0.41296052205355466</v>
      </c>
      <c r="AA365" s="468">
        <f t="shared" si="851"/>
        <v>-0.17874390506922172</v>
      </c>
      <c r="AB365" s="467">
        <f t="shared" ref="AB365:AU365" si="852">(AB364-W364)/W364</f>
        <v>-0.38089355297934613</v>
      </c>
      <c r="AC365" s="467">
        <f t="shared" si="852"/>
        <v>-0.34954846750015883</v>
      </c>
      <c r="AD365" s="467">
        <f t="shared" si="852"/>
        <v>-0.25214703463755278</v>
      </c>
      <c r="AE365" s="469">
        <f t="shared" si="852"/>
        <v>0.14476110411185306</v>
      </c>
      <c r="AF365" s="468">
        <f t="shared" si="852"/>
        <v>-0.20618237076648369</v>
      </c>
      <c r="AG365" s="467">
        <f t="shared" si="852"/>
        <v>0.14806201550387579</v>
      </c>
      <c r="AH365" s="467">
        <f t="shared" si="852"/>
        <v>6.6666666666665561E-3</v>
      </c>
      <c r="AI365" s="467">
        <f t="shared" si="852"/>
        <v>2.9157740828402515E-2</v>
      </c>
      <c r="AJ365" s="469">
        <f t="shared" si="852"/>
        <v>-6.8965517241378997E-3</v>
      </c>
      <c r="AK365" s="468">
        <f t="shared" si="852"/>
        <v>4.0518816526138327E-2</v>
      </c>
      <c r="AL365" s="467">
        <f t="shared" si="852"/>
        <v>-8.7271586090479331E-2</v>
      </c>
      <c r="AM365" s="467">
        <f t="shared" si="852"/>
        <v>-2.175445562913899E-2</v>
      </c>
      <c r="AN365" s="467">
        <f t="shared" si="852"/>
        <v>-2.1960485408294952E-2</v>
      </c>
      <c r="AO365" s="469">
        <f t="shared" si="852"/>
        <v>-1.7169109027777813E-2</v>
      </c>
      <c r="AP365" s="581">
        <f t="shared" si="852"/>
        <v>-3.6467947426607174E-2</v>
      </c>
      <c r="AQ365" s="581">
        <f t="shared" si="852"/>
        <v>0.10179974699308733</v>
      </c>
      <c r="AR365" s="467">
        <f t="shared" si="852"/>
        <v>0.12730190142968381</v>
      </c>
      <c r="AS365" s="467">
        <f t="shared" si="852"/>
        <v>-4.5489668313182983E-2</v>
      </c>
      <c r="AT365" s="467">
        <f t="shared" si="852"/>
        <v>-6.8412855517659091E-2</v>
      </c>
      <c r="AU365" s="1689">
        <f t="shared" si="852"/>
        <v>2.5699376854832458E-2</v>
      </c>
      <c r="AV365" s="1730">
        <f t="shared" ref="AV365:BA365" si="853">(AV364-AQ364)/AQ364</f>
        <v>-0.15380704025997638</v>
      </c>
      <c r="AW365" s="1465">
        <f t="shared" si="853"/>
        <v>-0.16554343740708785</v>
      </c>
      <c r="AX365" s="1465">
        <f t="shared" si="853"/>
        <v>-6.7250684227762092E-2</v>
      </c>
      <c r="AY365" s="467">
        <f>(AY364-AT364)/AT364</f>
        <v>-5.063209008369738E-2</v>
      </c>
      <c r="AZ365" s="1689">
        <f>(AZ364-AU364)/AU364</f>
        <v>-0.11205334081826421</v>
      </c>
      <c r="BA365" s="1730">
        <f t="shared" si="853"/>
        <v>1.7865519220493384E-2</v>
      </c>
      <c r="BB365" s="1465">
        <f t="shared" ref="BB365:BJ365" si="854">(BB364-AW364)/AW364</f>
        <v>3.304394149070055E-2</v>
      </c>
      <c r="BC365" s="1465">
        <f t="shared" si="854"/>
        <v>1.4987074810506902E-2</v>
      </c>
      <c r="BD365" s="1868">
        <f t="shared" si="854"/>
        <v>8.0067615513332135E-2</v>
      </c>
      <c r="BE365" s="1868">
        <f t="shared" si="854"/>
        <v>3.5070164436765493E-2</v>
      </c>
      <c r="BF365" s="1465">
        <f t="shared" si="854"/>
        <v>4.8466639406403784E-2</v>
      </c>
      <c r="BG365" s="1465">
        <f t="shared" si="854"/>
        <v>0.15671516775582195</v>
      </c>
      <c r="BH365" s="1465">
        <f t="shared" si="854"/>
        <v>8.7278382454649028E-2</v>
      </c>
      <c r="BI365" s="1868">
        <f t="shared" si="854"/>
        <v>5.9173225641613515E-2</v>
      </c>
      <c r="BJ365" s="1868">
        <f t="shared" si="854"/>
        <v>8.8124484422977253E-2</v>
      </c>
      <c r="BK365" s="1465">
        <f t="shared" ref="BK365:BT365" si="855">(BK364-BF364)/BF364</f>
        <v>4.6903816026269377E-2</v>
      </c>
      <c r="BL365" s="1465">
        <f t="shared" si="855"/>
        <v>-0.10492944951765597</v>
      </c>
      <c r="BM365" s="1465">
        <f t="shared" si="855"/>
        <v>-2.4972144030181994E-2</v>
      </c>
      <c r="BN365" s="1868">
        <f t="shared" si="855"/>
        <v>-1.1906214077520121E-3</v>
      </c>
      <c r="BO365" s="1868">
        <f t="shared" si="855"/>
        <v>-2.3945411152814799E-2</v>
      </c>
      <c r="BP365" s="1465">
        <f t="shared" si="855"/>
        <v>-6.4417686949829536E-2</v>
      </c>
      <c r="BQ365" s="1465">
        <f t="shared" si="855"/>
        <v>-1.4972857794374446E-2</v>
      </c>
      <c r="BR365" s="1465">
        <f t="shared" si="855"/>
        <v>-4.9316539027412086E-2</v>
      </c>
      <c r="BS365" s="1465">
        <f t="shared" si="855"/>
        <v>-3.0022635717896769E-2</v>
      </c>
      <c r="BT365" s="470">
        <f t="shared" si="855"/>
        <v>-3.9465335499208672E-2</v>
      </c>
      <c r="BU365" s="1465">
        <f>(BU364-BP364)/BP364</f>
        <v>-6.7302877295271762E-2</v>
      </c>
      <c r="BV365" s="1465">
        <f>(BV364-BQ364)/BQ364</f>
        <v>4.6706443914081047E-2</v>
      </c>
      <c r="BW365" s="1465">
        <f>(BW364-BR364)/BR364</f>
        <v>4.0208830548926246E-2</v>
      </c>
      <c r="BX365" s="1465">
        <f>(BX364-BS364)/BS364</f>
        <v>3.3711217183771153E-2</v>
      </c>
      <c r="BY365" s="470">
        <f>(BY364-BT364)/BT364</f>
        <v>1.4708945970689268E-2</v>
      </c>
      <c r="BZ365" s="470">
        <f t="shared" ref="BZ365:CF365" si="856">(BZ364-BY364)/BY364</f>
        <v>2.5629474940334171E-2</v>
      </c>
      <c r="CA365" s="470">
        <f t="shared" si="856"/>
        <v>-2.732240437158587E-3</v>
      </c>
      <c r="CB365" s="470">
        <f t="shared" si="856"/>
        <v>-4.7397260273972563E-2</v>
      </c>
      <c r="CC365" s="470">
        <f t="shared" si="856"/>
        <v>-5.0000000000000148E-2</v>
      </c>
      <c r="CD365" s="470">
        <f t="shared" si="856"/>
        <v>2.0000000000000271E-2</v>
      </c>
      <c r="CE365" s="470">
        <f t="shared" si="856"/>
        <v>1.7213114754098098E-2</v>
      </c>
      <c r="CF365" s="470">
        <f t="shared" si="856"/>
        <v>2.2794520547945427E-2</v>
      </c>
      <c r="CG365" s="331"/>
      <c r="CH365" s="331"/>
      <c r="CI365" s="331"/>
      <c r="CJ365" s="331"/>
      <c r="CK365" s="331"/>
      <c r="CL365" s="1310" t="str">
        <f t="shared" si="829"/>
        <v>% growth (y-o-y)</v>
      </c>
      <c r="CM365" s="469"/>
      <c r="CN365" s="469" t="str">
        <f t="shared" si="830"/>
        <v xml:space="preserve">n/a </v>
      </c>
      <c r="CO365" s="469">
        <f t="shared" si="831"/>
        <v>5.018647458756921</v>
      </c>
      <c r="CP365" s="469">
        <f t="shared" si="832"/>
        <v>0.1516472808880055</v>
      </c>
      <c r="CQ365" s="469">
        <f t="shared" si="833"/>
        <v>-0.17874390506922172</v>
      </c>
      <c r="CR365" s="469">
        <f t="shared" si="834"/>
        <v>-0.20618237076648369</v>
      </c>
      <c r="CS365" s="469">
        <f t="shared" si="835"/>
        <v>4.0518816526138327E-2</v>
      </c>
      <c r="CT365" s="469">
        <f t="shared" si="836"/>
        <v>-3.6467947426607174E-2</v>
      </c>
      <c r="CU365" s="469">
        <f t="shared" si="837"/>
        <v>2.5699376854832458E-2</v>
      </c>
      <c r="CV365" s="469">
        <f t="shared" si="838"/>
        <v>-0.11205334081826421</v>
      </c>
      <c r="CW365" s="469">
        <f t="shared" si="839"/>
        <v>3.5070164436765493E-2</v>
      </c>
      <c r="CX365" s="469">
        <f t="shared" si="840"/>
        <v>8.8124484422977253E-2</v>
      </c>
      <c r="CY365" s="469">
        <f t="shared" si="841"/>
        <v>-2.3945411152814799E-2</v>
      </c>
      <c r="CZ365" s="469">
        <f t="shared" si="842"/>
        <v>-3.9465335499208672E-2</v>
      </c>
      <c r="DA365" s="469">
        <f t="shared" si="843"/>
        <v>1.4708945970689268E-2</v>
      </c>
      <c r="DB365" s="469">
        <f t="shared" si="843"/>
        <v>2.5629474940334171E-2</v>
      </c>
      <c r="DC365" s="1463">
        <f t="shared" si="843"/>
        <v>-2.732240437158587E-3</v>
      </c>
      <c r="DD365" s="331"/>
      <c r="DE365" s="331"/>
      <c r="DF365" s="502"/>
      <c r="DG365" s="503"/>
      <c r="DH365" s="469"/>
      <c r="DI365" s="3213"/>
      <c r="DJ365" s="502"/>
      <c r="DK365" s="503"/>
      <c r="DL365" s="502"/>
      <c r="DM365" s="502"/>
      <c r="DN365" s="502"/>
      <c r="DO365" s="502"/>
      <c r="DP365" s="503"/>
      <c r="DQ365" s="503"/>
      <c r="DR365" s="296"/>
      <c r="DS365" s="296"/>
      <c r="DT365" s="296"/>
    </row>
    <row r="366" spans="1:124" ht="5.0999999999999996" customHeight="1" x14ac:dyDescent="0.25">
      <c r="A366" s="281"/>
      <c r="B366" s="281"/>
      <c r="C366" s="446"/>
      <c r="D366" s="446"/>
      <c r="E366" s="446"/>
      <c r="F366" s="446"/>
      <c r="G366" s="447"/>
      <c r="H366" s="446"/>
      <c r="I366" s="446"/>
      <c r="J366" s="446"/>
      <c r="K366" s="446"/>
      <c r="L366" s="447"/>
      <c r="M366" s="446"/>
      <c r="N366" s="446"/>
      <c r="O366" s="446"/>
      <c r="P366" s="446"/>
      <c r="Q366" s="447"/>
      <c r="R366" s="446"/>
      <c r="S366" s="446"/>
      <c r="T366" s="446"/>
      <c r="U366" s="446"/>
      <c r="V366" s="447"/>
      <c r="W366" s="446"/>
      <c r="X366" s="446"/>
      <c r="Y366" s="446"/>
      <c r="Z366" s="446"/>
      <c r="AA366" s="447"/>
      <c r="AB366" s="446"/>
      <c r="AC366" s="446"/>
      <c r="AD366" s="446"/>
      <c r="AE366" s="454"/>
      <c r="AF366" s="455"/>
      <c r="AG366" s="454"/>
      <c r="AH366" s="454"/>
      <c r="AI366" s="454"/>
      <c r="AJ366" s="454"/>
      <c r="AK366" s="455"/>
      <c r="AL366" s="454"/>
      <c r="AM366" s="454"/>
      <c r="AN366" s="454"/>
      <c r="AO366" s="454"/>
      <c r="AP366" s="456"/>
      <c r="AQ366" s="456"/>
      <c r="AR366" s="454"/>
      <c r="AS366" s="454"/>
      <c r="AT366" s="454"/>
      <c r="AU366" s="1693"/>
      <c r="AV366" s="1863"/>
      <c r="AW366" s="1841"/>
      <c r="AX366" s="1841"/>
      <c r="AY366" s="1864"/>
      <c r="AZ366" s="1693"/>
      <c r="BA366" s="1863"/>
      <c r="BB366" s="1841"/>
      <c r="BC366" s="1841"/>
      <c r="BD366" s="1864"/>
      <c r="BE366" s="1864"/>
      <c r="BF366" s="1841"/>
      <c r="BG366" s="1841"/>
      <c r="BH366" s="1841"/>
      <c r="BI366" s="1864"/>
      <c r="BJ366" s="1864"/>
      <c r="BK366" s="1841"/>
      <c r="BL366" s="1841"/>
      <c r="BM366" s="1841"/>
      <c r="BN366" s="1864"/>
      <c r="BO366" s="1864"/>
      <c r="BP366" s="1841"/>
      <c r="BQ366" s="1841"/>
      <c r="BR366" s="1841"/>
      <c r="BS366" s="1841"/>
      <c r="BT366" s="3066"/>
      <c r="BU366" s="3391"/>
      <c r="BV366" s="2915"/>
      <c r="BW366" s="1841"/>
      <c r="BX366" s="2915"/>
      <c r="BY366" s="3066"/>
      <c r="BZ366" s="455"/>
      <c r="CA366" s="455"/>
      <c r="CB366" s="455"/>
      <c r="CC366" s="455"/>
      <c r="CD366" s="455"/>
      <c r="CE366" s="455"/>
      <c r="CF366" s="455"/>
      <c r="CG366" s="331"/>
      <c r="CH366" s="331"/>
      <c r="CI366" s="331"/>
      <c r="CJ366" s="331"/>
      <c r="CK366" s="331"/>
      <c r="CL366" s="520"/>
      <c r="CM366" s="454"/>
      <c r="CN366" s="454"/>
      <c r="CO366" s="454"/>
      <c r="CP366" s="454"/>
      <c r="CQ366" s="454"/>
      <c r="CR366" s="454"/>
      <c r="CS366" s="454"/>
      <c r="CT366" s="454"/>
      <c r="CU366" s="454"/>
      <c r="CV366" s="454"/>
      <c r="CW366" s="454"/>
      <c r="CX366" s="454"/>
      <c r="CY366" s="454"/>
      <c r="CZ366" s="454"/>
      <c r="DA366" s="454"/>
      <c r="DB366" s="454"/>
      <c r="DC366" s="1666"/>
      <c r="DD366" s="331"/>
      <c r="DE366" s="331"/>
      <c r="DF366" s="502"/>
      <c r="DG366" s="503"/>
      <c r="DH366" s="2915"/>
      <c r="DI366" s="3213"/>
      <c r="DJ366" s="502"/>
      <c r="DK366" s="503"/>
      <c r="DL366" s="502"/>
      <c r="DM366" s="502"/>
      <c r="DN366" s="502"/>
      <c r="DO366" s="502"/>
      <c r="DP366" s="503"/>
      <c r="DQ366" s="503"/>
      <c r="DR366" s="296"/>
      <c r="DS366" s="296"/>
      <c r="DT366" s="296"/>
    </row>
    <row r="367" spans="1:124" ht="12" customHeight="1" x14ac:dyDescent="0.25">
      <c r="A367" s="311" t="s">
        <v>730</v>
      </c>
      <c r="B367" s="311"/>
      <c r="C367" s="565"/>
      <c r="D367" s="565"/>
      <c r="E367" s="565">
        <v>0</v>
      </c>
      <c r="F367" s="565">
        <v>0</v>
      </c>
      <c r="G367" s="447">
        <f>SUM(C367:F367)</f>
        <v>0</v>
      </c>
      <c r="H367" s="565">
        <v>0</v>
      </c>
      <c r="I367" s="565">
        <v>0</v>
      </c>
      <c r="J367" s="565">
        <v>0</v>
      </c>
      <c r="K367" s="565">
        <v>4.1556532900000001</v>
      </c>
      <c r="L367" s="447">
        <f>SUM(H367:K367)</f>
        <v>4.1556532900000001</v>
      </c>
      <c r="M367" s="565">
        <v>8.0977213599999995</v>
      </c>
      <c r="N367" s="565">
        <v>9.0489219500000004</v>
      </c>
      <c r="O367" s="565">
        <v>10.31897519</v>
      </c>
      <c r="P367" s="565">
        <v>10.05149967</v>
      </c>
      <c r="Q367" s="447">
        <f>SUM(M367:P367)</f>
        <v>37.517118170000003</v>
      </c>
      <c r="R367" s="565">
        <v>10.365122960000001</v>
      </c>
      <c r="S367" s="565">
        <v>10.807245740000001</v>
      </c>
      <c r="T367" s="565">
        <v>11.787493939999999</v>
      </c>
      <c r="U367" s="565">
        <v>10.292104999999999</v>
      </c>
      <c r="V367" s="447">
        <f>SUM(R367:U367)</f>
        <v>43.251967639999997</v>
      </c>
      <c r="W367" s="565">
        <v>10.091571</v>
      </c>
      <c r="X367" s="565">
        <v>11.046172760000001</v>
      </c>
      <c r="Y367" s="565">
        <v>16.71123948</v>
      </c>
      <c r="Z367" s="565">
        <v>12.666398210000001</v>
      </c>
      <c r="AA367" s="447">
        <f>SUM(W367:Z367)</f>
        <v>50.515381449999992</v>
      </c>
      <c r="AB367" s="563">
        <v>12.9</v>
      </c>
      <c r="AC367" s="563">
        <v>15</v>
      </c>
      <c r="AD367" s="563">
        <v>16.899999999999999</v>
      </c>
      <c r="AE367" s="563">
        <v>14.5</v>
      </c>
      <c r="AF367" s="455">
        <f>SUM(AB367:AE367)</f>
        <v>59.3</v>
      </c>
      <c r="AG367" s="563">
        <v>14.81</v>
      </c>
      <c r="AH367" s="563">
        <v>15.1</v>
      </c>
      <c r="AI367" s="563">
        <v>17.392765820000001</v>
      </c>
      <c r="AJ367" s="563">
        <v>14.4</v>
      </c>
      <c r="AK367" s="455">
        <f>SUM(AG367:AJ367)</f>
        <v>61.702765820000003</v>
      </c>
      <c r="AL367" s="563">
        <v>13.517507809999998</v>
      </c>
      <c r="AM367" s="563">
        <v>14.771507719999999</v>
      </c>
      <c r="AN367" s="563">
        <v>17.01081224</v>
      </c>
      <c r="AO367" s="563">
        <v>14.152764829999999</v>
      </c>
      <c r="AP367" s="456">
        <f>SUM(AL367:AO367)</f>
        <v>59.452592599999988</v>
      </c>
      <c r="AQ367" s="1682">
        <v>15.49578404</v>
      </c>
      <c r="AR367" s="563">
        <v>17.243092919999999</v>
      </c>
      <c r="AS367" s="563">
        <v>16.49678797</v>
      </c>
      <c r="AT367" s="563">
        <v>13.448224449999998</v>
      </c>
      <c r="AU367" s="1693">
        <f>SUM(AQ367:AT367)</f>
        <v>62.683889379999997</v>
      </c>
      <c r="AV367" s="1682">
        <v>12.97463222</v>
      </c>
      <c r="AW367" s="563">
        <v>14.166286799999998</v>
      </c>
      <c r="AX367" s="563">
        <v>15.122329369999999</v>
      </c>
      <c r="AY367" s="563">
        <v>12.39180354</v>
      </c>
      <c r="AZ367" s="1693">
        <f>SUM(AV367:AY367)</f>
        <v>54.655051929999999</v>
      </c>
      <c r="BA367" s="2659">
        <v>12.4816485</v>
      </c>
      <c r="BB367" s="2852">
        <v>13.648722162999999</v>
      </c>
      <c r="BC367" s="2852">
        <v>14.862188</v>
      </c>
      <c r="BD367" s="2852">
        <v>13.444822</v>
      </c>
      <c r="BE367" s="1693">
        <f>SUM(BA367:BD367)</f>
        <v>54.437380662999999</v>
      </c>
      <c r="BF367" s="2970">
        <v>12.024063</v>
      </c>
      <c r="BG367" s="2970">
        <v>13.864381520000002</v>
      </c>
      <c r="BH367" s="2970">
        <v>14.708031829999999</v>
      </c>
      <c r="BI367" s="2964">
        <v>12.643810170000002</v>
      </c>
      <c r="BJ367" s="1864">
        <f>SUM(BF367:BI367)</f>
        <v>53.240286520000005</v>
      </c>
      <c r="BK367" s="2970">
        <v>12.578415709999998</v>
      </c>
      <c r="BL367" s="2970">
        <v>13.06351862</v>
      </c>
      <c r="BM367" s="2970">
        <v>14.3</v>
      </c>
      <c r="BN367" s="2964">
        <v>12.635907229999999</v>
      </c>
      <c r="BO367" s="1864">
        <f>SUM(BK367:BN367)</f>
        <v>52.577841559999996</v>
      </c>
      <c r="BP367" s="2970">
        <v>11.67175686</v>
      </c>
      <c r="BQ367" s="2970">
        <v>12.970395319999998</v>
      </c>
      <c r="BR367" s="2970">
        <v>13.641251350000001</v>
      </c>
      <c r="BS367" s="2970">
        <v>12.13862591</v>
      </c>
      <c r="BT367" s="3066">
        <f>SUM(BP367:BS367)</f>
        <v>50.422029440000003</v>
      </c>
      <c r="BU367" s="2970">
        <v>10.523749803000001</v>
      </c>
      <c r="BV367" s="1841">
        <f>+BQ367*(1+BV368)</f>
        <v>12.840691366799998</v>
      </c>
      <c r="BW367" s="1841">
        <f>+BR367*(1+BW368)</f>
        <v>13.504838836500001</v>
      </c>
      <c r="BX367" s="1841">
        <f>+BS367*(1+BX368)</f>
        <v>12.017239650900001</v>
      </c>
      <c r="BY367" s="3066">
        <f>SUM(BU367:BX367)</f>
        <v>48.886519657200004</v>
      </c>
      <c r="BZ367" s="455">
        <f t="shared" ref="BZ367:CF367" si="857">+BY367*(1+BZ368)</f>
        <v>49.864250050344005</v>
      </c>
      <c r="CA367" s="455">
        <f t="shared" si="857"/>
        <v>49.864250050344005</v>
      </c>
      <c r="CB367" s="455">
        <f t="shared" si="857"/>
        <v>47.371037547826802</v>
      </c>
      <c r="CC367" s="455">
        <f t="shared" si="857"/>
        <v>45.002485670435462</v>
      </c>
      <c r="CD367" s="455">
        <f t="shared" si="857"/>
        <v>45.902535383844175</v>
      </c>
      <c r="CE367" s="455">
        <f t="shared" si="857"/>
        <v>46.820586091521058</v>
      </c>
      <c r="CF367" s="455">
        <f t="shared" si="857"/>
        <v>47.756997813351482</v>
      </c>
      <c r="CG367" s="331"/>
      <c r="CH367" s="331"/>
      <c r="CI367" s="331"/>
      <c r="CJ367" s="331"/>
      <c r="CK367" s="331"/>
      <c r="CL367" s="528" t="str">
        <f>A367</f>
        <v>Casino revenue</v>
      </c>
      <c r="CM367" s="454">
        <f>G367</f>
        <v>0</v>
      </c>
      <c r="CN367" s="454">
        <f>L367</f>
        <v>4.1556532900000001</v>
      </c>
      <c r="CO367" s="454">
        <f>Q367</f>
        <v>37.517118170000003</v>
      </c>
      <c r="CP367" s="454">
        <f>V367</f>
        <v>43.251967639999997</v>
      </c>
      <c r="CQ367" s="454">
        <f>AA367</f>
        <v>50.515381449999992</v>
      </c>
      <c r="CR367" s="454">
        <f>AF367</f>
        <v>59.3</v>
      </c>
      <c r="CS367" s="454">
        <f>AK367</f>
        <v>61.702765820000003</v>
      </c>
      <c r="CT367" s="454">
        <f>AP367</f>
        <v>59.452592599999988</v>
      </c>
      <c r="CU367" s="454">
        <f>AU367</f>
        <v>62.683889379999997</v>
      </c>
      <c r="CV367" s="454">
        <f>AZ367</f>
        <v>54.655051929999999</v>
      </c>
      <c r="CW367" s="454">
        <f>BE367</f>
        <v>54.437380662999999</v>
      </c>
      <c r="CX367" s="454">
        <f>BJ367</f>
        <v>53.240286520000005</v>
      </c>
      <c r="CY367" s="454">
        <f>BO367</f>
        <v>52.577841559999996</v>
      </c>
      <c r="CZ367" s="454">
        <f>BT367</f>
        <v>50.422029440000003</v>
      </c>
      <c r="DA367" s="454">
        <f t="shared" ref="DA367:DC371" si="858">BY367</f>
        <v>48.886519657200004</v>
      </c>
      <c r="DB367" s="454">
        <f t="shared" si="858"/>
        <v>49.864250050344005</v>
      </c>
      <c r="DC367" s="1666">
        <f t="shared" si="858"/>
        <v>49.864250050344005</v>
      </c>
      <c r="DD367" s="331"/>
      <c r="DE367" s="331"/>
      <c r="DF367" s="502"/>
      <c r="DG367" s="503"/>
      <c r="DH367" s="2915"/>
      <c r="DI367" s="3213"/>
      <c r="DJ367" s="502"/>
      <c r="DK367" s="503"/>
      <c r="DL367" s="502"/>
      <c r="DM367" s="502"/>
      <c r="DN367" s="502"/>
      <c r="DO367" s="502"/>
      <c r="DP367" s="503"/>
      <c r="DQ367" s="503"/>
      <c r="DR367" s="296"/>
      <c r="DS367" s="296"/>
      <c r="DT367" s="296"/>
    </row>
    <row r="368" spans="1:124" ht="12" customHeight="1" x14ac:dyDescent="0.25">
      <c r="A368" s="465" t="s">
        <v>1491</v>
      </c>
      <c r="B368" s="466"/>
      <c r="C368" s="467"/>
      <c r="D368" s="467"/>
      <c r="E368" s="467" t="s">
        <v>553</v>
      </c>
      <c r="F368" s="467" t="s">
        <v>553</v>
      </c>
      <c r="G368" s="468" t="s">
        <v>553</v>
      </c>
      <c r="H368" s="467" t="s">
        <v>553</v>
      </c>
      <c r="I368" s="467" t="s">
        <v>553</v>
      </c>
      <c r="J368" s="467" t="s">
        <v>553</v>
      </c>
      <c r="K368" s="467" t="s">
        <v>553</v>
      </c>
      <c r="L368" s="468" t="s">
        <v>553</v>
      </c>
      <c r="M368" s="467" t="s">
        <v>553</v>
      </c>
      <c r="N368" s="467" t="s">
        <v>553</v>
      </c>
      <c r="O368" s="467" t="s">
        <v>553</v>
      </c>
      <c r="P368" s="467">
        <f t="shared" ref="P368:AA368" si="859">(P367-K367)/K367</f>
        <v>1.4187531943984673</v>
      </c>
      <c r="Q368" s="468">
        <f t="shared" si="859"/>
        <v>8.0279711881353801</v>
      </c>
      <c r="R368" s="467">
        <f t="shared" si="859"/>
        <v>0.28000489263562428</v>
      </c>
      <c r="S368" s="467">
        <f t="shared" si="859"/>
        <v>0.19431306842026638</v>
      </c>
      <c r="T368" s="467">
        <f t="shared" si="859"/>
        <v>0.14231246058456698</v>
      </c>
      <c r="U368" s="467">
        <f t="shared" si="859"/>
        <v>2.3937256916807845E-2</v>
      </c>
      <c r="V368" s="468">
        <f t="shared" si="859"/>
        <v>0.15285954118367703</v>
      </c>
      <c r="W368" s="467">
        <f t="shared" si="859"/>
        <v>-2.6391578860729761E-2</v>
      </c>
      <c r="X368" s="467">
        <f t="shared" si="859"/>
        <v>2.2108039897314316E-2</v>
      </c>
      <c r="Y368" s="467">
        <f t="shared" si="859"/>
        <v>0.4177092743430077</v>
      </c>
      <c r="Z368" s="467">
        <f t="shared" si="859"/>
        <v>0.23069072944747468</v>
      </c>
      <c r="AA368" s="468">
        <f t="shared" si="859"/>
        <v>0.1679325636802404</v>
      </c>
      <c r="AB368" s="467">
        <f t="shared" ref="AB368:AP368" si="860">(AB367-W367)/W367</f>
        <v>0.27829452916696523</v>
      </c>
      <c r="AC368" s="467">
        <f t="shared" si="860"/>
        <v>0.35793639352785195</v>
      </c>
      <c r="AD368" s="467">
        <f t="shared" si="860"/>
        <v>1.1295423072950833E-2</v>
      </c>
      <c r="AE368" s="469">
        <f t="shared" si="860"/>
        <v>0.14476110411185308</v>
      </c>
      <c r="AF368" s="470">
        <f t="shared" si="860"/>
        <v>0.17389987559917763</v>
      </c>
      <c r="AG368" s="467">
        <f>(AG367-AB367)/AB367</f>
        <v>0.14806201550387599</v>
      </c>
      <c r="AH368" s="467">
        <f>(AH367-AC367)/AC367</f>
        <v>6.6666666666666428E-3</v>
      </c>
      <c r="AI368" s="467">
        <f>(AI367-AD367)/AD367</f>
        <v>2.9157740828402515E-2</v>
      </c>
      <c r="AJ368" s="467">
        <f>(AJ367-AE367)/AE367</f>
        <v>-6.8965517241379067E-3</v>
      </c>
      <c r="AK368" s="470">
        <f t="shared" si="860"/>
        <v>4.0518816526138389E-2</v>
      </c>
      <c r="AL368" s="467">
        <f>(AL367-AG367)/AG367</f>
        <v>-8.727158609047958E-2</v>
      </c>
      <c r="AM368" s="467">
        <f>(AM367-AH367)/AH367</f>
        <v>-2.1754455629139122E-2</v>
      </c>
      <c r="AN368" s="467">
        <f>(AN367-AI367)/AI367</f>
        <v>-2.1960485408294948E-2</v>
      </c>
      <c r="AO368" s="467">
        <f>(AO367-AJ367)/AJ367</f>
        <v>-1.7169109027777883E-2</v>
      </c>
      <c r="AP368" s="471">
        <f t="shared" si="860"/>
        <v>-3.6467947426607188E-2</v>
      </c>
      <c r="AQ368" s="1730">
        <f t="shared" ref="AQ368:BU368" si="861">(AQ367-AL367)/AL367</f>
        <v>0.14634918342984132</v>
      </c>
      <c r="AR368" s="1465">
        <f t="shared" si="861"/>
        <v>0.1673211189304378</v>
      </c>
      <c r="AS368" s="1465">
        <f t="shared" si="861"/>
        <v>-3.021750300619391E-2</v>
      </c>
      <c r="AT368" s="1465">
        <f t="shared" si="861"/>
        <v>-4.9781112628012276E-2</v>
      </c>
      <c r="AU368" s="1689">
        <f t="shared" si="861"/>
        <v>5.4350813626250653E-2</v>
      </c>
      <c r="AV368" s="1465">
        <f t="shared" si="861"/>
        <v>-0.16269920989425457</v>
      </c>
      <c r="AW368" s="1465">
        <f t="shared" si="861"/>
        <v>-0.17843702021876021</v>
      </c>
      <c r="AX368" s="1465">
        <f t="shared" si="861"/>
        <v>-8.3316740355728808E-2</v>
      </c>
      <c r="AY368" s="1463">
        <f t="shared" si="861"/>
        <v>-7.8554675669470872E-2</v>
      </c>
      <c r="AZ368" s="1689">
        <f>(AZ367-AU367)/AU367</f>
        <v>-0.12808454499892102</v>
      </c>
      <c r="BA368" s="471">
        <f t="shared" si="861"/>
        <v>-3.7995968721185054E-2</v>
      </c>
      <c r="BB368" s="469">
        <f t="shared" si="861"/>
        <v>-3.6534954029026123E-2</v>
      </c>
      <c r="BC368" s="469">
        <f t="shared" si="861"/>
        <v>-1.7202466871014826E-2</v>
      </c>
      <c r="BD368" s="469">
        <f t="shared" si="861"/>
        <v>8.4977013765665341E-2</v>
      </c>
      <c r="BE368" s="1689">
        <f>(BE367-AZ367)/AZ367</f>
        <v>-3.982637639404033E-3</v>
      </c>
      <c r="BF368" s="469">
        <f t="shared" si="861"/>
        <v>-3.6660662251464651E-2</v>
      </c>
      <c r="BG368" s="469">
        <f t="shared" si="861"/>
        <v>1.5800699466550012E-2</v>
      </c>
      <c r="BH368" s="469">
        <f t="shared" si="861"/>
        <v>-1.0372373838899109E-2</v>
      </c>
      <c r="BI368" s="469">
        <f t="shared" si="861"/>
        <v>-5.9577719214133025E-2</v>
      </c>
      <c r="BJ368" s="1689">
        <f>(BJ367-BE367)/BE367</f>
        <v>-2.1990296528239004E-2</v>
      </c>
      <c r="BK368" s="469">
        <f t="shared" si="861"/>
        <v>4.6103609902908703E-2</v>
      </c>
      <c r="BL368" s="469">
        <f t="shared" si="861"/>
        <v>-5.7764055240741956E-2</v>
      </c>
      <c r="BM368" s="469">
        <f t="shared" si="861"/>
        <v>-2.774210953009603E-2</v>
      </c>
      <c r="BN368" s="1463">
        <f t="shared" si="861"/>
        <v>-6.2504418318096275E-4</v>
      </c>
      <c r="BO368" s="1868">
        <f>(BO367-BJ367)/BJ367</f>
        <v>-1.2442550619091015E-2</v>
      </c>
      <c r="BP368" s="469">
        <f t="shared" si="861"/>
        <v>-7.2080528335471739E-2</v>
      </c>
      <c r="BQ368" s="469">
        <f t="shared" si="861"/>
        <v>-7.1285005754446592E-3</v>
      </c>
      <c r="BR368" s="469">
        <f t="shared" si="861"/>
        <v>-4.6066339160839138E-2</v>
      </c>
      <c r="BS368" s="469">
        <f t="shared" si="861"/>
        <v>-3.9354619415008091E-2</v>
      </c>
      <c r="BT368" s="470">
        <f>(BT367-BO367)/BO367</f>
        <v>-4.100229404700563E-2</v>
      </c>
      <c r="BU368" s="469">
        <f t="shared" si="861"/>
        <v>-9.8357691200225972E-2</v>
      </c>
      <c r="BV368" s="540">
        <v>-0.01</v>
      </c>
      <c r="BW368" s="540">
        <v>-0.01</v>
      </c>
      <c r="BX368" s="540">
        <v>-0.01</v>
      </c>
      <c r="BY368" s="470">
        <f>(BY367-BT367)/BT367</f>
        <v>-3.0453153112910449E-2</v>
      </c>
      <c r="BZ368" s="566">
        <v>0.02</v>
      </c>
      <c r="CA368" s="566">
        <v>0</v>
      </c>
      <c r="CB368" s="566">
        <v>-0.05</v>
      </c>
      <c r="CC368" s="566">
        <v>-0.05</v>
      </c>
      <c r="CD368" s="566">
        <v>0.02</v>
      </c>
      <c r="CE368" s="566">
        <v>0.02</v>
      </c>
      <c r="CF368" s="566">
        <v>0.02</v>
      </c>
      <c r="CG368" s="331"/>
      <c r="CH368" s="331"/>
      <c r="CI368" s="331"/>
      <c r="CJ368" s="331"/>
      <c r="CK368" s="331"/>
      <c r="CL368" s="1310" t="str">
        <f>A368</f>
        <v>% growth (y-o-y)</v>
      </c>
      <c r="CM368" s="469" t="str">
        <f>G368</f>
        <v xml:space="preserve">n/a </v>
      </c>
      <c r="CN368" s="469" t="str">
        <f>L368</f>
        <v xml:space="preserve">n/a </v>
      </c>
      <c r="CO368" s="469">
        <f>Q368</f>
        <v>8.0279711881353801</v>
      </c>
      <c r="CP368" s="469">
        <f>V368</f>
        <v>0.15285954118367703</v>
      </c>
      <c r="CQ368" s="469">
        <f>AA368</f>
        <v>0.1679325636802404</v>
      </c>
      <c r="CR368" s="469">
        <f>AF368</f>
        <v>0.17389987559917763</v>
      </c>
      <c r="CS368" s="469">
        <f>AK368</f>
        <v>4.0518816526138389E-2</v>
      </c>
      <c r="CT368" s="469">
        <f>AP368</f>
        <v>-3.6467947426607188E-2</v>
      </c>
      <c r="CU368" s="469">
        <f>AU368</f>
        <v>5.4350813626250653E-2</v>
      </c>
      <c r="CV368" s="469">
        <f>AZ368</f>
        <v>-0.12808454499892102</v>
      </c>
      <c r="CW368" s="469">
        <f>BE368</f>
        <v>-3.982637639404033E-3</v>
      </c>
      <c r="CX368" s="469">
        <f>BJ368</f>
        <v>-2.1990296528239004E-2</v>
      </c>
      <c r="CY368" s="469">
        <f>BO368</f>
        <v>-1.2442550619091015E-2</v>
      </c>
      <c r="CZ368" s="469">
        <f>BT368</f>
        <v>-4.100229404700563E-2</v>
      </c>
      <c r="DA368" s="469">
        <f t="shared" si="858"/>
        <v>-3.0453153112910449E-2</v>
      </c>
      <c r="DB368" s="469">
        <f t="shared" si="858"/>
        <v>0.02</v>
      </c>
      <c r="DC368" s="1463">
        <f t="shared" si="858"/>
        <v>0</v>
      </c>
      <c r="DD368" s="331"/>
      <c r="DE368" s="331"/>
      <c r="DF368" s="502"/>
      <c r="DG368" s="503"/>
      <c r="DH368" s="469"/>
      <c r="DI368" s="3213"/>
      <c r="DJ368" s="502"/>
      <c r="DK368" s="503"/>
      <c r="DL368" s="502"/>
      <c r="DM368" s="502"/>
      <c r="DN368" s="502"/>
      <c r="DO368" s="502"/>
      <c r="DP368" s="503"/>
      <c r="DQ368" s="503"/>
      <c r="DR368" s="296"/>
      <c r="DS368" s="296"/>
      <c r="DT368" s="296"/>
    </row>
    <row r="369" spans="1:124" ht="12" customHeight="1" x14ac:dyDescent="0.25">
      <c r="A369" s="311" t="s">
        <v>645</v>
      </c>
      <c r="B369" s="311"/>
      <c r="C369" s="446"/>
      <c r="D369" s="446"/>
      <c r="E369" s="446">
        <f t="shared" ref="E369:AD369" si="862">E370-E367</f>
        <v>0.56299999999999994</v>
      </c>
      <c r="F369" s="446">
        <f t="shared" si="862"/>
        <v>3.2000000000000001E-2</v>
      </c>
      <c r="G369" s="447">
        <f t="shared" si="862"/>
        <v>0.59499999999999997</v>
      </c>
      <c r="H369" s="446">
        <f t="shared" si="862"/>
        <v>0</v>
      </c>
      <c r="I369" s="446">
        <f t="shared" si="862"/>
        <v>0.48199999999999998</v>
      </c>
      <c r="J369" s="446">
        <f t="shared" si="862"/>
        <v>0.73299999999999998</v>
      </c>
      <c r="K369" s="446">
        <f t="shared" si="862"/>
        <v>0.58634670999999994</v>
      </c>
      <c r="L369" s="447">
        <f t="shared" si="862"/>
        <v>1.8013467099999998</v>
      </c>
      <c r="M369" s="446">
        <f t="shared" si="862"/>
        <v>0.61227864000000132</v>
      </c>
      <c r="N369" s="446">
        <f t="shared" si="862"/>
        <v>1.0550780499999988</v>
      </c>
      <c r="O369" s="446">
        <f t="shared" si="862"/>
        <v>0.86802480999999965</v>
      </c>
      <c r="P369" s="446">
        <f t="shared" si="862"/>
        <v>0.81850032999999911</v>
      </c>
      <c r="Q369" s="447">
        <f>Q370-Q367</f>
        <v>3.3538818299999917</v>
      </c>
      <c r="R369" s="446">
        <f t="shared" si="862"/>
        <v>0.61087704000000009</v>
      </c>
      <c r="S369" s="446">
        <f t="shared" si="862"/>
        <v>1.1777542599999986</v>
      </c>
      <c r="T369" s="446">
        <f t="shared" si="862"/>
        <v>0.88650606000000032</v>
      </c>
      <c r="U369" s="446">
        <f t="shared" si="862"/>
        <v>0.76189500000000088</v>
      </c>
      <c r="V369" s="447">
        <f t="shared" si="862"/>
        <v>3.4370323600000035</v>
      </c>
      <c r="W369" s="446">
        <f t="shared" si="862"/>
        <v>0.60842899999999922</v>
      </c>
      <c r="X369" s="446">
        <f t="shared" si="862"/>
        <v>1.0318272399999984</v>
      </c>
      <c r="Y369" s="446">
        <f t="shared" si="862"/>
        <v>1.7837605200000013</v>
      </c>
      <c r="Z369" s="446">
        <f t="shared" si="862"/>
        <v>1.8406017899999991</v>
      </c>
      <c r="AA369" s="447">
        <f t="shared" si="862"/>
        <v>5.2646185500000016</v>
      </c>
      <c r="AB369" s="446">
        <f t="shared" si="862"/>
        <v>1.4649999999999999</v>
      </c>
      <c r="AC369" s="446">
        <f t="shared" si="862"/>
        <v>2.2259999999999991</v>
      </c>
      <c r="AD369" s="446">
        <f t="shared" si="862"/>
        <v>2.4120000000000026</v>
      </c>
      <c r="AE369" s="446">
        <f>AE370-AE367</f>
        <v>1.7729999999999997</v>
      </c>
      <c r="AF369" s="455">
        <f>SUM(AB369:AE369)</f>
        <v>7.8760000000000012</v>
      </c>
      <c r="AG369" s="2168">
        <f>AG370-AG367</f>
        <v>1.4150000000000009</v>
      </c>
      <c r="AH369" s="2168">
        <f>AH370-AH367</f>
        <v>2.4410000000000007</v>
      </c>
      <c r="AI369" s="2168">
        <f>AI370-AI367</f>
        <v>2.7052341799999979</v>
      </c>
      <c r="AJ369" s="2168">
        <f>AJ370-AJ367</f>
        <v>2.2269999999999985</v>
      </c>
      <c r="AK369" s="455">
        <f>SUM(AG369:AJ369)</f>
        <v>8.7882341799999981</v>
      </c>
      <c r="AL369" s="2168">
        <f>AL370-AL367</f>
        <v>1.7714921900000018</v>
      </c>
      <c r="AM369" s="2168">
        <f>AM370-AM367</f>
        <v>2.507492280000001</v>
      </c>
      <c r="AN369" s="565">
        <f>+AI369</f>
        <v>2.7052341799999979</v>
      </c>
      <c r="AO369" s="565">
        <f>+AJ369</f>
        <v>2.2269999999999985</v>
      </c>
      <c r="AP369" s="456">
        <f>SUM(AL369:AO369)</f>
        <v>9.2112186499999993</v>
      </c>
      <c r="AQ369" s="1682">
        <f>+AL369</f>
        <v>1.7714921900000018</v>
      </c>
      <c r="AR369" s="563">
        <f>+AM369</f>
        <v>2.507492280000001</v>
      </c>
      <c r="AS369" s="2170">
        <f>+AN369*(1+AS368)</f>
        <v>2.6234887580333894</v>
      </c>
      <c r="AT369" s="2171">
        <f>+AO369*(1+AT368)</f>
        <v>2.1161374621774152</v>
      </c>
      <c r="AU369" s="1693">
        <f>SUM(AQ369:AT369)</f>
        <v>9.0186106902108065</v>
      </c>
      <c r="AV369" s="2172">
        <f>+AQ369*(1+AV368)</f>
        <v>1.4832718103531588</v>
      </c>
      <c r="AW369" s="2170">
        <f>+AR369*(1+AW368)</f>
        <v>2.0600628293352559</v>
      </c>
      <c r="AX369" s="563">
        <f>+AS369*(1+AX368)</f>
        <v>2.4049082263541481</v>
      </c>
      <c r="AY369" s="2077">
        <f>+AT369*(1+AY368)</f>
        <v>1.9499049701640512</v>
      </c>
      <c r="AZ369" s="1693">
        <f>SUM(AV369:AY369)</f>
        <v>7.898147836206614</v>
      </c>
      <c r="BA369" s="2172">
        <f>+AV369*(1+BA368)</f>
        <v>1.4269134610419647</v>
      </c>
      <c r="BB369" s="2170">
        <f>+AW369*(1+BB368)</f>
        <v>1.984798528568587</v>
      </c>
      <c r="BC369" s="2170">
        <f>+AX369*(1+BC368)</f>
        <v>2.36353787226246</v>
      </c>
      <c r="BD369" s="2170">
        <f>+AY369*(1+BD368)</f>
        <v>2.1156020716554211</v>
      </c>
      <c r="BE369" s="2938">
        <f>SUM(BA369:BD369)</f>
        <v>7.8908519335284328</v>
      </c>
      <c r="BF369" s="2170">
        <f>+BA369*(1+BF368)</f>
        <v>1.3746018685846366</v>
      </c>
      <c r="BG369" s="2170">
        <f>+BB369*(1+BG368)</f>
        <v>2.01615973362015</v>
      </c>
      <c r="BH369" s="1841">
        <f>+BC369</f>
        <v>2.36353787226246</v>
      </c>
      <c r="BI369" s="1864">
        <f>+BD369</f>
        <v>2.1156020716554211</v>
      </c>
      <c r="BJ369" s="1864">
        <f>SUM(BF369:BI369)</f>
        <v>7.8699015461226685</v>
      </c>
      <c r="BK369" s="1841">
        <f>+BF369</f>
        <v>1.3746018685846366</v>
      </c>
      <c r="BL369" s="1841">
        <f>+BG369</f>
        <v>2.01615973362015</v>
      </c>
      <c r="BM369" s="1841">
        <f>+BH369</f>
        <v>2.36353787226246</v>
      </c>
      <c r="BN369" s="1864">
        <f>+BI369</f>
        <v>2.1156020716554211</v>
      </c>
      <c r="BO369" s="1864">
        <f>SUM(BK369:BN369)</f>
        <v>7.8699015461226685</v>
      </c>
      <c r="BP369" s="1841">
        <f>+BK369</f>
        <v>1.3746018685846366</v>
      </c>
      <c r="BQ369" s="1841">
        <f>+BL369</f>
        <v>2.01615973362015</v>
      </c>
      <c r="BR369" s="1841">
        <f>+BM369</f>
        <v>2.36353787226246</v>
      </c>
      <c r="BS369" s="1841">
        <f>+BN369</f>
        <v>2.1156020716554211</v>
      </c>
      <c r="BT369" s="3066">
        <f>SUM(BP369:BS369)</f>
        <v>7.8699015461226685</v>
      </c>
      <c r="BU369" s="1841">
        <f>+BP369</f>
        <v>1.3746018685846366</v>
      </c>
      <c r="BV369" s="1841">
        <f>+BQ369</f>
        <v>2.01615973362015</v>
      </c>
      <c r="BW369" s="1841">
        <f>+BR369</f>
        <v>2.36353787226246</v>
      </c>
      <c r="BX369" s="1841">
        <f>+BS369</f>
        <v>2.1156020716554211</v>
      </c>
      <c r="BY369" s="3066">
        <f>SUM(BU369:BX369)</f>
        <v>7.8699015461226685</v>
      </c>
      <c r="BZ369" s="564">
        <f t="shared" ref="BZ369:CF369" si="863">+BY369</f>
        <v>7.8699015461226685</v>
      </c>
      <c r="CA369" s="564">
        <f t="shared" si="863"/>
        <v>7.8699015461226685</v>
      </c>
      <c r="CB369" s="564">
        <f t="shared" si="863"/>
        <v>7.8699015461226685</v>
      </c>
      <c r="CC369" s="564">
        <f t="shared" si="863"/>
        <v>7.8699015461226685</v>
      </c>
      <c r="CD369" s="564">
        <f t="shared" si="863"/>
        <v>7.8699015461226685</v>
      </c>
      <c r="CE369" s="564">
        <f t="shared" si="863"/>
        <v>7.8699015461226685</v>
      </c>
      <c r="CF369" s="564">
        <f t="shared" si="863"/>
        <v>7.8699015461226685</v>
      </c>
      <c r="CG369" s="331"/>
      <c r="CH369" s="331"/>
      <c r="CI369" s="331"/>
      <c r="CJ369" s="331"/>
      <c r="CK369" s="331"/>
      <c r="CL369" s="528" t="str">
        <f>A369</f>
        <v>Other revenue</v>
      </c>
      <c r="CM369" s="454">
        <f>G369</f>
        <v>0.59499999999999997</v>
      </c>
      <c r="CN369" s="454">
        <f>L369</f>
        <v>1.8013467099999998</v>
      </c>
      <c r="CO369" s="454">
        <f>Q369</f>
        <v>3.3538818299999917</v>
      </c>
      <c r="CP369" s="454">
        <f>V369</f>
        <v>3.4370323600000035</v>
      </c>
      <c r="CQ369" s="454">
        <f>AA369</f>
        <v>5.2646185500000016</v>
      </c>
      <c r="CR369" s="454">
        <f>AF369</f>
        <v>7.8760000000000012</v>
      </c>
      <c r="CS369" s="454">
        <f>AK369</f>
        <v>8.7882341799999981</v>
      </c>
      <c r="CT369" s="454">
        <f>AP369</f>
        <v>9.2112186499999993</v>
      </c>
      <c r="CU369" s="454">
        <f>AU369</f>
        <v>9.0186106902108065</v>
      </c>
      <c r="CV369" s="454">
        <f>AZ369</f>
        <v>7.898147836206614</v>
      </c>
      <c r="CW369" s="454">
        <f>BE369</f>
        <v>7.8908519335284328</v>
      </c>
      <c r="CX369" s="454">
        <f>BJ369</f>
        <v>7.8699015461226685</v>
      </c>
      <c r="CY369" s="454">
        <f>BO369</f>
        <v>7.8699015461226685</v>
      </c>
      <c r="CZ369" s="454">
        <f>BT369</f>
        <v>7.8699015461226685</v>
      </c>
      <c r="DA369" s="454">
        <f t="shared" si="858"/>
        <v>7.8699015461226685</v>
      </c>
      <c r="DB369" s="454">
        <f t="shared" si="858"/>
        <v>7.8699015461226685</v>
      </c>
      <c r="DC369" s="1666">
        <f t="shared" si="858"/>
        <v>7.8699015461226685</v>
      </c>
      <c r="DD369" s="331"/>
      <c r="DE369" s="331"/>
      <c r="DF369" s="502"/>
      <c r="DG369" s="503"/>
      <c r="DH369" s="2915"/>
      <c r="DI369" s="3213"/>
      <c r="DJ369" s="502"/>
      <c r="DK369" s="503"/>
      <c r="DL369" s="502"/>
      <c r="DM369" s="502"/>
      <c r="DN369" s="502"/>
      <c r="DO369" s="502"/>
      <c r="DP369" s="503"/>
      <c r="DQ369" s="503"/>
      <c r="DR369" s="296"/>
      <c r="DS369" s="296"/>
      <c r="DT369" s="296"/>
    </row>
    <row r="370" spans="1:124" ht="12" customHeight="1" x14ac:dyDescent="0.25">
      <c r="A370" s="999" t="s">
        <v>1418</v>
      </c>
      <c r="B370" s="1000"/>
      <c r="C370" s="1001"/>
      <c r="D370" s="1001"/>
      <c r="E370" s="1001">
        <v>0.56299999999999994</v>
      </c>
      <c r="F370" s="1001">
        <v>3.2000000000000001E-2</v>
      </c>
      <c r="G370" s="1002">
        <f>SUM(C370:F370)</f>
        <v>0.59499999999999997</v>
      </c>
      <c r="H370" s="1001">
        <v>0</v>
      </c>
      <c r="I370" s="1001">
        <v>0.48199999999999998</v>
      </c>
      <c r="J370" s="1001">
        <v>0.73299999999999998</v>
      </c>
      <c r="K370" s="1001">
        <v>4.742</v>
      </c>
      <c r="L370" s="1002">
        <f>SUM(H370:K370)</f>
        <v>5.9569999999999999</v>
      </c>
      <c r="M370" s="1001">
        <v>8.7100000000000009</v>
      </c>
      <c r="N370" s="1001">
        <v>10.103999999999999</v>
      </c>
      <c r="O370" s="1001">
        <v>11.186999999999999</v>
      </c>
      <c r="P370" s="1001">
        <v>10.87</v>
      </c>
      <c r="Q370" s="1002">
        <f>SUM(M370:P370)</f>
        <v>40.870999999999995</v>
      </c>
      <c r="R370" s="1001">
        <v>10.976000000000001</v>
      </c>
      <c r="S370" s="1001">
        <v>11.984999999999999</v>
      </c>
      <c r="T370" s="1001">
        <v>12.673999999999999</v>
      </c>
      <c r="U370" s="1001">
        <v>11.054</v>
      </c>
      <c r="V370" s="1002">
        <f>SUM(R370:U370)</f>
        <v>46.689</v>
      </c>
      <c r="W370" s="1001">
        <v>10.7</v>
      </c>
      <c r="X370" s="1001">
        <v>12.077999999999999</v>
      </c>
      <c r="Y370" s="1001">
        <v>18.495000000000001</v>
      </c>
      <c r="Z370" s="1001">
        <v>14.507</v>
      </c>
      <c r="AA370" s="1002">
        <f>SUM(W370:Z370)</f>
        <v>55.779999999999994</v>
      </c>
      <c r="AB370" s="1001">
        <v>14.365</v>
      </c>
      <c r="AC370" s="1001">
        <v>17.225999999999999</v>
      </c>
      <c r="AD370" s="1001">
        <v>19.312000000000001</v>
      </c>
      <c r="AE370" s="1003">
        <v>16.273</v>
      </c>
      <c r="AF370" s="1004">
        <f>SUM(AB370:AE370)</f>
        <v>67.176000000000002</v>
      </c>
      <c r="AG370" s="1003">
        <v>16.225000000000001</v>
      </c>
      <c r="AH370" s="1003">
        <v>17.541</v>
      </c>
      <c r="AI370" s="1003">
        <v>20.097999999999999</v>
      </c>
      <c r="AJ370" s="1003">
        <v>16.626999999999999</v>
      </c>
      <c r="AK370" s="1004">
        <f>SUM(AG370:AJ370)</f>
        <v>70.491</v>
      </c>
      <c r="AL370" s="1003">
        <v>15.289</v>
      </c>
      <c r="AM370" s="1003">
        <v>17.279</v>
      </c>
      <c r="AN370" s="1592">
        <f>AN367+AN369</f>
        <v>19.716046419999998</v>
      </c>
      <c r="AO370" s="1015">
        <f>AO367+AO369</f>
        <v>16.379764829999999</v>
      </c>
      <c r="AP370" s="1006">
        <f>SUM(AL370:AO370)</f>
        <v>68.663811249999995</v>
      </c>
      <c r="AQ370" s="1006">
        <f>AQ367+AQ369</f>
        <v>17.26727623</v>
      </c>
      <c r="AR370" s="1015">
        <f>AR367+AR369</f>
        <v>19.7505852</v>
      </c>
      <c r="AS370" s="1015">
        <f>AS367+AS369</f>
        <v>19.120276728033389</v>
      </c>
      <c r="AT370" s="1015">
        <f>AT367+AT369</f>
        <v>15.564361912177413</v>
      </c>
      <c r="AU370" s="1698">
        <f>SUM(AQ370:AT370)</f>
        <v>71.702500070210803</v>
      </c>
      <c r="AV370" s="1915">
        <f>AV367+AV369</f>
        <v>14.457904030353159</v>
      </c>
      <c r="AW370" s="1843">
        <f>AW367+AW369</f>
        <v>16.226349629335253</v>
      </c>
      <c r="AX370" s="1843">
        <f>AX367+AX369</f>
        <v>17.527237596354148</v>
      </c>
      <c r="AY370" s="1910">
        <f>AY367+AY369</f>
        <v>14.34170851016405</v>
      </c>
      <c r="AZ370" s="1698">
        <f>SUM(AV370:AY370)</f>
        <v>62.553199766206617</v>
      </c>
      <c r="BA370" s="1915">
        <f>BA367+BA369</f>
        <v>13.908561961041965</v>
      </c>
      <c r="BB370" s="1843">
        <f>BB367+BB369</f>
        <v>15.633520691568586</v>
      </c>
      <c r="BC370" s="1843">
        <f>BC367+BC369</f>
        <v>17.225725872262458</v>
      </c>
      <c r="BD370" s="1910">
        <f>BD367+BD369</f>
        <v>15.560424071655422</v>
      </c>
      <c r="BE370" s="1910">
        <f>SUM(BA370:BD370)</f>
        <v>62.328232596528437</v>
      </c>
      <c r="BF370" s="1843">
        <f>BF367+BF369</f>
        <v>13.398664868584637</v>
      </c>
      <c r="BG370" s="1843">
        <f>BG367+BG369</f>
        <v>15.880541253620152</v>
      </c>
      <c r="BH370" s="1843">
        <f>BH367+BH369</f>
        <v>17.071569702262458</v>
      </c>
      <c r="BI370" s="1910">
        <f>BI367+BI369</f>
        <v>14.759412241655422</v>
      </c>
      <c r="BJ370" s="1910">
        <f>SUM(BF370:BI370)</f>
        <v>61.110188066122674</v>
      </c>
      <c r="BK370" s="1843">
        <f>BK367+BK369</f>
        <v>13.953017578584635</v>
      </c>
      <c r="BL370" s="1843">
        <f>BL367+BL369</f>
        <v>15.07967835362015</v>
      </c>
      <c r="BM370" s="1843">
        <f>BM367+BM369</f>
        <v>16.663537872262459</v>
      </c>
      <c r="BN370" s="1910">
        <f>BN367+BN369</f>
        <v>14.751509301655421</v>
      </c>
      <c r="BO370" s="1910">
        <f>SUM(BK370:BN370)</f>
        <v>60.447743106122658</v>
      </c>
      <c r="BP370" s="1843">
        <f>BP367+BP369</f>
        <v>13.046358728584638</v>
      </c>
      <c r="BQ370" s="1843">
        <f>BQ367+BQ369</f>
        <v>14.986555053620148</v>
      </c>
      <c r="BR370" s="1843">
        <f>BR367+BR369</f>
        <v>16.00478922226246</v>
      </c>
      <c r="BS370" s="1843">
        <f>BS367+BS369</f>
        <v>14.254227981655422</v>
      </c>
      <c r="BT370" s="1004">
        <f>SUM(BP370:BS370)</f>
        <v>58.291930986122665</v>
      </c>
      <c r="BU370" s="1843">
        <f>BU367+BU369</f>
        <v>11.898351671584638</v>
      </c>
      <c r="BV370" s="1843">
        <f>BV367+BV369</f>
        <v>14.856851100420148</v>
      </c>
      <c r="BW370" s="1843">
        <f>BW367+BW369</f>
        <v>15.868376708762462</v>
      </c>
      <c r="BX370" s="1843">
        <f>BX367+BX369</f>
        <v>14.132841722555423</v>
      </c>
      <c r="BY370" s="1004">
        <f>SUM(BU370:BX370)</f>
        <v>56.756421203322674</v>
      </c>
      <c r="BZ370" s="1004">
        <f t="shared" ref="BZ370:CF370" si="864">BZ367+BZ369</f>
        <v>57.734151596466674</v>
      </c>
      <c r="CA370" s="1004">
        <f t="shared" si="864"/>
        <v>57.734151596466674</v>
      </c>
      <c r="CB370" s="1004">
        <f t="shared" si="864"/>
        <v>55.240939093949471</v>
      </c>
      <c r="CC370" s="1004">
        <f t="shared" si="864"/>
        <v>52.872387216558131</v>
      </c>
      <c r="CD370" s="1004">
        <f t="shared" si="864"/>
        <v>53.772436929966844</v>
      </c>
      <c r="CE370" s="1004">
        <f t="shared" si="864"/>
        <v>54.690487637643727</v>
      </c>
      <c r="CF370" s="1004">
        <f t="shared" si="864"/>
        <v>55.626899359474152</v>
      </c>
      <c r="CG370" s="502"/>
      <c r="CH370" s="502"/>
      <c r="CI370" s="502"/>
      <c r="CJ370" s="502"/>
      <c r="CK370" s="502"/>
      <c r="CL370" s="2221" t="str">
        <f>A370</f>
        <v>Net revenue</v>
      </c>
      <c r="CM370" s="1015">
        <f>G370</f>
        <v>0.59499999999999997</v>
      </c>
      <c r="CN370" s="1015">
        <f>L370</f>
        <v>5.9569999999999999</v>
      </c>
      <c r="CO370" s="1015">
        <f>Q370</f>
        <v>40.870999999999995</v>
      </c>
      <c r="CP370" s="1015">
        <f>V370</f>
        <v>46.689</v>
      </c>
      <c r="CQ370" s="1015">
        <f>AA370</f>
        <v>55.779999999999994</v>
      </c>
      <c r="CR370" s="1015">
        <f>AF370</f>
        <v>67.176000000000002</v>
      </c>
      <c r="CS370" s="1015">
        <f>AK370</f>
        <v>70.491</v>
      </c>
      <c r="CT370" s="1015">
        <f>AP370</f>
        <v>68.663811249999995</v>
      </c>
      <c r="CU370" s="1015">
        <f>AU370</f>
        <v>71.702500070210803</v>
      </c>
      <c r="CV370" s="1015">
        <f>AZ370</f>
        <v>62.553199766206617</v>
      </c>
      <c r="CW370" s="1015">
        <f>BE370</f>
        <v>62.328232596528437</v>
      </c>
      <c r="CX370" s="1015">
        <f>BJ370</f>
        <v>61.110188066122674</v>
      </c>
      <c r="CY370" s="1015">
        <f>BO370</f>
        <v>60.447743106122658</v>
      </c>
      <c r="CZ370" s="1015">
        <f>BT370</f>
        <v>58.291930986122665</v>
      </c>
      <c r="DA370" s="1015">
        <f t="shared" si="858"/>
        <v>56.756421203322674</v>
      </c>
      <c r="DB370" s="1015">
        <f t="shared" si="858"/>
        <v>57.734151596466674</v>
      </c>
      <c r="DC370" s="1871">
        <f t="shared" si="858"/>
        <v>57.734151596466674</v>
      </c>
      <c r="DD370" s="502"/>
      <c r="DE370" s="502"/>
      <c r="DF370" s="502"/>
      <c r="DG370" s="503"/>
      <c r="DH370" s="463"/>
      <c r="DI370" s="3213"/>
      <c r="DJ370" s="502"/>
      <c r="DK370" s="503"/>
      <c r="DL370" s="502"/>
      <c r="DM370" s="502"/>
      <c r="DN370" s="502"/>
      <c r="DO370" s="502"/>
      <c r="DP370" s="503"/>
      <c r="DQ370" s="503"/>
      <c r="DR370" s="719"/>
      <c r="DS370" s="719"/>
      <c r="DT370" s="719"/>
    </row>
    <row r="371" spans="1:124" ht="12" customHeight="1" x14ac:dyDescent="0.25">
      <c r="A371" s="465" t="s">
        <v>1491</v>
      </c>
      <c r="B371" s="466"/>
      <c r="C371" s="467"/>
      <c r="D371" s="467"/>
      <c r="E371" s="467" t="s">
        <v>553</v>
      </c>
      <c r="F371" s="467" t="s">
        <v>553</v>
      </c>
      <c r="G371" s="468" t="s">
        <v>553</v>
      </c>
      <c r="H371" s="467" t="s">
        <v>553</v>
      </c>
      <c r="I371" s="467" t="s">
        <v>553</v>
      </c>
      <c r="J371" s="467" t="s">
        <v>553</v>
      </c>
      <c r="K371" s="467" t="s">
        <v>553</v>
      </c>
      <c r="L371" s="468" t="s">
        <v>553</v>
      </c>
      <c r="M371" s="467" t="s">
        <v>553</v>
      </c>
      <c r="N371" s="467" t="s">
        <v>553</v>
      </c>
      <c r="O371" s="467" t="s">
        <v>553</v>
      </c>
      <c r="P371" s="467">
        <f t="shared" ref="P371:AA371" si="865">(P370-K370)/K370</f>
        <v>1.292281737663433</v>
      </c>
      <c r="Q371" s="468">
        <f t="shared" si="865"/>
        <v>5.8610038610038604</v>
      </c>
      <c r="R371" s="467">
        <f t="shared" si="865"/>
        <v>0.26016073478760043</v>
      </c>
      <c r="S371" s="467">
        <f t="shared" si="865"/>
        <v>0.1861638954869359</v>
      </c>
      <c r="T371" s="467">
        <f t="shared" si="865"/>
        <v>0.13292214177169931</v>
      </c>
      <c r="U371" s="467">
        <f t="shared" si="865"/>
        <v>1.6927322907083816E-2</v>
      </c>
      <c r="V371" s="468">
        <f t="shared" si="865"/>
        <v>0.14235032174402401</v>
      </c>
      <c r="W371" s="467">
        <f t="shared" si="865"/>
        <v>-2.5145772594752328E-2</v>
      </c>
      <c r="X371" s="467">
        <f t="shared" si="865"/>
        <v>7.7596996245306617E-3</v>
      </c>
      <c r="Y371" s="467">
        <f t="shared" si="865"/>
        <v>0.45928672873599508</v>
      </c>
      <c r="Z371" s="467">
        <f t="shared" si="865"/>
        <v>0.31237561063868274</v>
      </c>
      <c r="AA371" s="468">
        <f t="shared" si="865"/>
        <v>0.19471395831994676</v>
      </c>
      <c r="AB371" s="467">
        <f t="shared" ref="AB371:AU371" si="866">(AB370-W370)/W370</f>
        <v>0.34252336448598142</v>
      </c>
      <c r="AC371" s="467">
        <f t="shared" si="866"/>
        <v>0.42622950819672129</v>
      </c>
      <c r="AD371" s="467">
        <f t="shared" si="866"/>
        <v>4.4174101108407686E-2</v>
      </c>
      <c r="AE371" s="469">
        <f t="shared" si="866"/>
        <v>0.12173433514854898</v>
      </c>
      <c r="AF371" s="470">
        <f t="shared" si="866"/>
        <v>0.20430261742560074</v>
      </c>
      <c r="AG371" s="467">
        <f>(AG370-AB370)/AB370</f>
        <v>0.12948137835015672</v>
      </c>
      <c r="AH371" s="467">
        <f t="shared" si="866"/>
        <v>1.8286311389759741E-2</v>
      </c>
      <c r="AI371" s="467">
        <f t="shared" si="866"/>
        <v>4.0700082850041307E-2</v>
      </c>
      <c r="AJ371" s="469">
        <f t="shared" si="866"/>
        <v>2.175382535488227E-2</v>
      </c>
      <c r="AK371" s="470">
        <f t="shared" si="866"/>
        <v>4.9347981421936374E-2</v>
      </c>
      <c r="AL371" s="467">
        <f>(AL370-AG370)/AG370</f>
        <v>-5.7688751926040165E-2</v>
      </c>
      <c r="AM371" s="467">
        <f t="shared" si="866"/>
        <v>-1.4936434638846157E-2</v>
      </c>
      <c r="AN371" s="467">
        <f t="shared" si="866"/>
        <v>-1.9004556672305759E-2</v>
      </c>
      <c r="AO371" s="469">
        <f t="shared" si="866"/>
        <v>-1.486949960906957E-2</v>
      </c>
      <c r="AP371" s="471">
        <f t="shared" si="866"/>
        <v>-2.5920879970492756E-2</v>
      </c>
      <c r="AQ371" s="471">
        <f t="shared" si="866"/>
        <v>0.12939212701942576</v>
      </c>
      <c r="AR371" s="469">
        <f t="shared" si="866"/>
        <v>0.14303982869379014</v>
      </c>
      <c r="AS371" s="469">
        <f t="shared" si="866"/>
        <v>-3.0217503006193934E-2</v>
      </c>
      <c r="AT371" s="469">
        <f t="shared" si="866"/>
        <v>-4.9781112628012415E-2</v>
      </c>
      <c r="AU371" s="1689">
        <f t="shared" si="866"/>
        <v>4.4254590080168445E-2</v>
      </c>
      <c r="AV371" s="1730">
        <f t="shared" ref="AV371:BA371" si="867">(AV370-AQ370)/AQ370</f>
        <v>-0.16269920989425446</v>
      </c>
      <c r="AW371" s="1465">
        <f t="shared" si="867"/>
        <v>-0.17843702021876023</v>
      </c>
      <c r="AX371" s="1465">
        <f t="shared" si="867"/>
        <v>-8.3316740355728766E-2</v>
      </c>
      <c r="AY371" s="1868">
        <f t="shared" si="867"/>
        <v>-7.8554675669470886E-2</v>
      </c>
      <c r="AZ371" s="1689">
        <f t="shared" si="867"/>
        <v>-0.12760085485227471</v>
      </c>
      <c r="BA371" s="1730">
        <f t="shared" si="867"/>
        <v>-3.7995968721185082E-2</v>
      </c>
      <c r="BB371" s="1465">
        <f t="shared" ref="BB371:BJ371" si="868">(BB370-AW370)/AW370</f>
        <v>-3.6534954029026019E-2</v>
      </c>
      <c r="BC371" s="1465">
        <f t="shared" si="868"/>
        <v>-1.7202466871014916E-2</v>
      </c>
      <c r="BD371" s="1868">
        <f t="shared" si="868"/>
        <v>8.4977013765665466E-2</v>
      </c>
      <c r="BE371" s="1868">
        <f t="shared" si="868"/>
        <v>-3.5964134611658235E-3</v>
      </c>
      <c r="BF371" s="1465">
        <f t="shared" si="868"/>
        <v>-3.6660662251464603E-2</v>
      </c>
      <c r="BG371" s="1465">
        <f t="shared" si="868"/>
        <v>1.5800699466549946E-2</v>
      </c>
      <c r="BH371" s="1465">
        <f t="shared" si="868"/>
        <v>-8.9491828177893275E-3</v>
      </c>
      <c r="BI371" s="1868">
        <f t="shared" si="868"/>
        <v>-5.1477506417007518E-2</v>
      </c>
      <c r="BJ371" s="1868">
        <f t="shared" si="868"/>
        <v>-1.9542420499720787E-2</v>
      </c>
      <c r="BK371" s="1465">
        <f t="shared" ref="BK371:BT371" si="869">(BK370-BF370)/BF370</f>
        <v>4.1373727564435824E-2</v>
      </c>
      <c r="BL371" s="1465">
        <f t="shared" si="869"/>
        <v>-5.0430453673449963E-2</v>
      </c>
      <c r="BM371" s="1465">
        <f t="shared" si="869"/>
        <v>-2.3901248515297523E-2</v>
      </c>
      <c r="BN371" s="1868">
        <f t="shared" si="869"/>
        <v>-5.3545086149816949E-4</v>
      </c>
      <c r="BO371" s="1868">
        <f t="shared" si="869"/>
        <v>-1.0840172170362738E-2</v>
      </c>
      <c r="BP371" s="1465">
        <f t="shared" si="869"/>
        <v>-6.4979410001715712E-2</v>
      </c>
      <c r="BQ371" s="1465">
        <f t="shared" si="869"/>
        <v>-6.1754168634270698E-3</v>
      </c>
      <c r="BR371" s="1465">
        <f t="shared" si="869"/>
        <v>-3.9532340313909543E-2</v>
      </c>
      <c r="BS371" s="1465">
        <f t="shared" si="869"/>
        <v>-3.3710538347706147E-2</v>
      </c>
      <c r="BT371" s="470">
        <f t="shared" si="869"/>
        <v>-3.566406302738595E-2</v>
      </c>
      <c r="BU371" s="1465">
        <f>(BU370-BP370)/BP370</f>
        <v>-8.7994442041878701E-2</v>
      </c>
      <c r="BV371" s="1465">
        <f>(BV370-BQ370)/BQ370</f>
        <v>-8.6546876674415373E-3</v>
      </c>
      <c r="BW371" s="1465">
        <f>(BW370-BR370)/BR370</f>
        <v>-8.5232308658117137E-3</v>
      </c>
      <c r="BX371" s="1465">
        <f>(BX370-BS370)/BS370</f>
        <v>-8.5158073279183091E-3</v>
      </c>
      <c r="BY371" s="470">
        <f>(BY370-BT370)/BT370</f>
        <v>-2.6341721003641898E-2</v>
      </c>
      <c r="BZ371" s="470">
        <f t="shared" ref="BZ371:CF371" si="870">(BZ370-BY370)/BY370</f>
        <v>1.7226780202391642E-2</v>
      </c>
      <c r="CA371" s="470">
        <f t="shared" si="870"/>
        <v>0</v>
      </c>
      <c r="CB371" s="470">
        <f t="shared" si="870"/>
        <v>-4.3184362003680803E-2</v>
      </c>
      <c r="CC371" s="470">
        <f t="shared" si="870"/>
        <v>-4.2876748951770939E-2</v>
      </c>
      <c r="CD371" s="470">
        <f t="shared" si="870"/>
        <v>1.7023057985300172E-2</v>
      </c>
      <c r="CE371" s="470">
        <f t="shared" si="870"/>
        <v>1.7072886409677721E-2</v>
      </c>
      <c r="CF371" s="470">
        <f t="shared" si="870"/>
        <v>1.71220218044991E-2</v>
      </c>
      <c r="CG371" s="331"/>
      <c r="CH371" s="331"/>
      <c r="CI371" s="331"/>
      <c r="CJ371" s="331"/>
      <c r="CK371" s="331"/>
      <c r="CL371" s="1310" t="str">
        <f>A371</f>
        <v>% growth (y-o-y)</v>
      </c>
      <c r="CM371" s="469" t="str">
        <f>G371</f>
        <v xml:space="preserve">n/a </v>
      </c>
      <c r="CN371" s="469" t="str">
        <f>L371</f>
        <v xml:space="preserve">n/a </v>
      </c>
      <c r="CO371" s="469">
        <f>Q371</f>
        <v>5.8610038610038604</v>
      </c>
      <c r="CP371" s="469">
        <f>V371</f>
        <v>0.14235032174402401</v>
      </c>
      <c r="CQ371" s="469">
        <f>AA371</f>
        <v>0.19471395831994676</v>
      </c>
      <c r="CR371" s="469">
        <f>AF371</f>
        <v>0.20430261742560074</v>
      </c>
      <c r="CS371" s="469">
        <f>AK371</f>
        <v>4.9347981421936374E-2</v>
      </c>
      <c r="CT371" s="469">
        <f>AP371</f>
        <v>-2.5920879970492756E-2</v>
      </c>
      <c r="CU371" s="469">
        <f>AU371</f>
        <v>4.4254590080168445E-2</v>
      </c>
      <c r="CV371" s="469">
        <f>AZ371</f>
        <v>-0.12760085485227471</v>
      </c>
      <c r="CW371" s="469">
        <f>BE371</f>
        <v>-3.5964134611658235E-3</v>
      </c>
      <c r="CX371" s="469">
        <f>BJ371</f>
        <v>-1.9542420499720787E-2</v>
      </c>
      <c r="CY371" s="469">
        <f>BO371</f>
        <v>-1.0840172170362738E-2</v>
      </c>
      <c r="CZ371" s="469">
        <f>BT371</f>
        <v>-3.566406302738595E-2</v>
      </c>
      <c r="DA371" s="469">
        <f t="shared" si="858"/>
        <v>-2.6341721003641898E-2</v>
      </c>
      <c r="DB371" s="469">
        <f t="shared" si="858"/>
        <v>1.7226780202391642E-2</v>
      </c>
      <c r="DC371" s="1463">
        <f t="shared" si="858"/>
        <v>0</v>
      </c>
      <c r="DD371" s="331"/>
      <c r="DE371" s="331"/>
      <c r="DF371" s="502"/>
      <c r="DG371" s="503"/>
      <c r="DH371" s="469"/>
      <c r="DI371" s="3213"/>
      <c r="DJ371" s="502"/>
      <c r="DK371" s="503"/>
      <c r="DL371" s="502"/>
      <c r="DM371" s="502"/>
      <c r="DN371" s="502"/>
      <c r="DO371" s="502"/>
      <c r="DP371" s="503"/>
      <c r="DQ371" s="503"/>
      <c r="DR371" s="296"/>
      <c r="DS371" s="296"/>
      <c r="DT371" s="296"/>
    </row>
    <row r="372" spans="1:124" ht="5.0999999999999996" customHeight="1" x14ac:dyDescent="0.25">
      <c r="A372" s="281"/>
      <c r="B372" s="281"/>
      <c r="C372" s="446"/>
      <c r="D372" s="446"/>
      <c r="E372" s="446"/>
      <c r="F372" s="446"/>
      <c r="G372" s="447"/>
      <c r="H372" s="446"/>
      <c r="I372" s="446"/>
      <c r="J372" s="446"/>
      <c r="K372" s="446"/>
      <c r="L372" s="447"/>
      <c r="M372" s="446"/>
      <c r="N372" s="446"/>
      <c r="O372" s="446"/>
      <c r="P372" s="446"/>
      <c r="Q372" s="447"/>
      <c r="R372" s="446"/>
      <c r="S372" s="446"/>
      <c r="T372" s="446"/>
      <c r="U372" s="446"/>
      <c r="V372" s="447"/>
      <c r="W372" s="446"/>
      <c r="X372" s="446"/>
      <c r="Y372" s="446"/>
      <c r="Z372" s="446"/>
      <c r="AA372" s="447"/>
      <c r="AB372" s="446"/>
      <c r="AC372" s="446"/>
      <c r="AD372" s="446"/>
      <c r="AE372" s="454"/>
      <c r="AF372" s="455"/>
      <c r="AG372" s="454"/>
      <c r="AH372" s="454"/>
      <c r="AI372" s="454"/>
      <c r="AJ372" s="454"/>
      <c r="AK372" s="455"/>
      <c r="AL372" s="454"/>
      <c r="AM372" s="454"/>
      <c r="AN372" s="454"/>
      <c r="AO372" s="454"/>
      <c r="AP372" s="456"/>
      <c r="AQ372" s="456"/>
      <c r="AR372" s="454"/>
      <c r="AS372" s="454"/>
      <c r="AT372" s="454"/>
      <c r="AU372" s="1693"/>
      <c r="AV372" s="1863"/>
      <c r="AW372" s="1841"/>
      <c r="AX372" s="1841"/>
      <c r="AY372" s="1864"/>
      <c r="AZ372" s="1693"/>
      <c r="BA372" s="1863"/>
      <c r="BB372" s="1841"/>
      <c r="BC372" s="1841"/>
      <c r="BD372" s="1864"/>
      <c r="BE372" s="1864"/>
      <c r="BF372" s="1841"/>
      <c r="BG372" s="1841"/>
      <c r="BH372" s="1841"/>
      <c r="BI372" s="1864"/>
      <c r="BJ372" s="1864"/>
      <c r="BK372" s="1841"/>
      <c r="BL372" s="1841"/>
      <c r="BM372" s="1841"/>
      <c r="BN372" s="1864"/>
      <c r="BO372" s="1864"/>
      <c r="BP372" s="1841"/>
      <c r="BQ372" s="1841"/>
      <c r="BR372" s="1841"/>
      <c r="BS372" s="1841"/>
      <c r="BT372" s="3066"/>
      <c r="BU372" s="3391"/>
      <c r="BV372" s="2915"/>
      <c r="BW372" s="2915"/>
      <c r="BX372" s="2915"/>
      <c r="BY372" s="3066"/>
      <c r="BZ372" s="455"/>
      <c r="CA372" s="455"/>
      <c r="CB372" s="455"/>
      <c r="CC372" s="455"/>
      <c r="CD372" s="455"/>
      <c r="CE372" s="455"/>
      <c r="CF372" s="455"/>
      <c r="CG372" s="331"/>
      <c r="CH372" s="331"/>
      <c r="CI372" s="331"/>
      <c r="CJ372" s="331"/>
      <c r="CK372" s="331"/>
      <c r="CL372" s="520"/>
      <c r="CM372" s="454"/>
      <c r="CN372" s="454"/>
      <c r="CO372" s="454"/>
      <c r="CP372" s="454"/>
      <c r="CQ372" s="454"/>
      <c r="CR372" s="454"/>
      <c r="CS372" s="454"/>
      <c r="CT372" s="454"/>
      <c r="CU372" s="454"/>
      <c r="CV372" s="454"/>
      <c r="CW372" s="454"/>
      <c r="CX372" s="454"/>
      <c r="CY372" s="454"/>
      <c r="CZ372" s="454"/>
      <c r="DA372" s="454"/>
      <c r="DB372" s="454"/>
      <c r="DC372" s="1666"/>
      <c r="DD372" s="331"/>
      <c r="DE372" s="331"/>
      <c r="DF372" s="502"/>
      <c r="DG372" s="503"/>
      <c r="DH372" s="2915"/>
      <c r="DI372" s="3213"/>
      <c r="DJ372" s="502"/>
      <c r="DK372" s="503"/>
      <c r="DL372" s="502"/>
      <c r="DM372" s="502"/>
      <c r="DN372" s="502"/>
      <c r="DO372" s="502"/>
      <c r="DP372" s="503"/>
      <c r="DQ372" s="503"/>
      <c r="DR372" s="296"/>
      <c r="DS372" s="296"/>
      <c r="DT372" s="296"/>
    </row>
    <row r="373" spans="1:124" ht="12" customHeight="1" x14ac:dyDescent="0.25">
      <c r="A373" s="311" t="s">
        <v>601</v>
      </c>
      <c r="B373" s="311"/>
      <c r="C373" s="446"/>
      <c r="D373" s="446"/>
      <c r="E373" s="446">
        <f>E378-E376</f>
        <v>0.627</v>
      </c>
      <c r="F373" s="446">
        <f>F378-F376</f>
        <v>7.1000000000000008E-2</v>
      </c>
      <c r="G373" s="447">
        <f>SUM(C373:F373)</f>
        <v>0.69799999999999995</v>
      </c>
      <c r="H373" s="446">
        <f>H378-H376</f>
        <v>6.2E-2</v>
      </c>
      <c r="I373" s="446">
        <f>I378-I376</f>
        <v>0.54200000000000004</v>
      </c>
      <c r="J373" s="446">
        <f>J378-J376</f>
        <v>1.47</v>
      </c>
      <c r="K373" s="446">
        <f>K378-K376</f>
        <v>2.8742864207999999</v>
      </c>
      <c r="L373" s="447">
        <f>SUM(H373:K373)</f>
        <v>4.9482864207999997</v>
      </c>
      <c r="M373" s="446">
        <f>M378-M376</f>
        <v>2.6290937472000011</v>
      </c>
      <c r="N373" s="446">
        <f>N378-N376</f>
        <v>2.9765174639999996</v>
      </c>
      <c r="O373" s="446">
        <f>O378-O376</f>
        <v>3.0428919087999997</v>
      </c>
      <c r="P373" s="446">
        <f>P378-P376</f>
        <v>2.9562801583999994</v>
      </c>
      <c r="Q373" s="447">
        <f>SUM(M373:P373)</f>
        <v>11.604783278399999</v>
      </c>
      <c r="R373" s="446">
        <f>R378-R376</f>
        <v>2.8917409792000006</v>
      </c>
      <c r="S373" s="446">
        <f>S378-S376</f>
        <v>3.1755220447999992</v>
      </c>
      <c r="T373" s="446">
        <f>T378-T376</f>
        <v>3.0990029088000002</v>
      </c>
      <c r="U373" s="446">
        <f>U378-U376</f>
        <v>3.0247896000000001</v>
      </c>
      <c r="V373" s="447">
        <f>SUM(R373:U373)</f>
        <v>12.1910555328</v>
      </c>
      <c r="W373" s="446">
        <f>W378-W376</f>
        <v>2.9320459200000002</v>
      </c>
      <c r="X373" s="446">
        <f>X378-X376</f>
        <v>4.6688370751999999</v>
      </c>
      <c r="Y373" s="446">
        <f>Y378-Y376</f>
        <v>7.1447174444000012</v>
      </c>
      <c r="Z373" s="446">
        <f>Z378-Z376</f>
        <v>6.356792841299999</v>
      </c>
      <c r="AA373" s="447">
        <f>SUM(W373:Z373)</f>
        <v>21.102393280899999</v>
      </c>
      <c r="AB373" s="446">
        <f>AB378-AB376</f>
        <v>6.0860000000000012</v>
      </c>
      <c r="AC373" s="446">
        <f>AC378-AC376</f>
        <v>6.6839999999999984</v>
      </c>
      <c r="AD373" s="446">
        <f>AD378-AD376</f>
        <v>7.8640000000000034</v>
      </c>
      <c r="AE373" s="446">
        <f>AE378-AE376</f>
        <v>6.8640000000000008</v>
      </c>
      <c r="AF373" s="455">
        <f>SUM(AB373:AE373)</f>
        <v>27.498000000000005</v>
      </c>
      <c r="AG373" s="446">
        <f>AG378-AG376</f>
        <v>6.2743000000000011</v>
      </c>
      <c r="AH373" s="446">
        <f>AH378-AH376</f>
        <v>6.854000000000001</v>
      </c>
      <c r="AI373" s="446">
        <f>AI378-AI376</f>
        <v>7.2574000645999988</v>
      </c>
      <c r="AJ373" s="446">
        <f>AJ378-AJ376</f>
        <v>6.165</v>
      </c>
      <c r="AK373" s="455">
        <f>SUM(AG373:AJ373)</f>
        <v>26.550700064600001</v>
      </c>
      <c r="AL373" s="446">
        <f>AL378-AL376</f>
        <v>5.830771329300001</v>
      </c>
      <c r="AM373" s="446">
        <f>AM378-AM376</f>
        <v>6.3303913716000002</v>
      </c>
      <c r="AN373" s="446">
        <f>AI373*(1+AN375)</f>
        <v>6.8219560607239984</v>
      </c>
      <c r="AO373" s="446">
        <f>AJ373*(1+AO375)</f>
        <v>5.9800500000000003</v>
      </c>
      <c r="AP373" s="456">
        <f>SUM(AL373:AO373)</f>
        <v>24.963168761623997</v>
      </c>
      <c r="AQ373" s="456">
        <f>AL373*(1+AQ375)</f>
        <v>5.8890790425930009</v>
      </c>
      <c r="AR373" s="454">
        <f>AM373*(1+AR375)</f>
        <v>6.3936952853160003</v>
      </c>
      <c r="AS373" s="454">
        <f>AN373*(1+AS375)</f>
        <v>6.3444191364733182</v>
      </c>
      <c r="AT373" s="454">
        <f>AO373*(1+AT375)</f>
        <v>5.6810475</v>
      </c>
      <c r="AU373" s="1693">
        <f>SUM(AQ373:AT373)</f>
        <v>24.308240964382321</v>
      </c>
      <c r="AV373" s="1863">
        <f>AQ373*(1+AV375)</f>
        <v>5.8301882521670709</v>
      </c>
      <c r="AW373" s="1841">
        <f>AR373*(1+AW375)</f>
        <v>5.7543257567844002</v>
      </c>
      <c r="AX373" s="1841">
        <f>AS373*(1+AX375)</f>
        <v>6.0271981796496519</v>
      </c>
      <c r="AY373" s="1864">
        <f>AT373*(1+AY375)</f>
        <v>5.1129427500000002</v>
      </c>
      <c r="AZ373" s="1693">
        <f>SUM(AV373:AY373)</f>
        <v>22.724654938601127</v>
      </c>
      <c r="BA373" s="1863">
        <f>AV373*(1+BA375)</f>
        <v>5.6552826046020588</v>
      </c>
      <c r="BB373" s="1841">
        <f>AW373*(1+BB375)</f>
        <v>5.6392392416487125</v>
      </c>
      <c r="BC373" s="1841">
        <f>AX373*(1+BC375)</f>
        <v>5.9669261978531551</v>
      </c>
      <c r="BD373" s="1864">
        <f>AY373*(1+BD375)</f>
        <v>5.4708487425000003</v>
      </c>
      <c r="BE373" s="1864">
        <f>SUM(BA373:BD373)</f>
        <v>22.732296786603925</v>
      </c>
      <c r="BF373" s="1841">
        <f>BA373*(1+BF375)</f>
        <v>5.7118354306480796</v>
      </c>
      <c r="BG373" s="1841">
        <f>BB373*(1+BG375)</f>
        <v>5.582846849232225</v>
      </c>
      <c r="BH373" s="1841">
        <f>BC373*(1+BH375)</f>
        <v>5.9072569358746234</v>
      </c>
      <c r="BI373" s="1864">
        <f>BD373*(1+BI375)</f>
        <v>5.2520147927999998</v>
      </c>
      <c r="BJ373" s="1864">
        <f>SUM(BF373:BI373)</f>
        <v>22.453954008554931</v>
      </c>
      <c r="BK373" s="1841">
        <f>BF373*(1+BK375)</f>
        <v>5.7118354306480796</v>
      </c>
      <c r="BL373" s="1841">
        <f>BG373*(1+BL375)</f>
        <v>5.582846849232225</v>
      </c>
      <c r="BM373" s="1841">
        <f>BH373*(1+BM375)</f>
        <v>5.9072569358746234</v>
      </c>
      <c r="BN373" s="1864">
        <f>BI373*(1+BN375)</f>
        <v>5.3045349407279998</v>
      </c>
      <c r="BO373" s="1864">
        <f>SUM(BK373:BN373)</f>
        <v>22.50647415648293</v>
      </c>
      <c r="BP373" s="1841">
        <f>BK373*(1+BP375)</f>
        <v>5.283447773349474</v>
      </c>
      <c r="BQ373" s="1841">
        <f>BL373*(1+BQ375)</f>
        <v>5.582846849232225</v>
      </c>
      <c r="BR373" s="1841">
        <f>BM373*(1+BR375)</f>
        <v>5.848184366515877</v>
      </c>
      <c r="BS373" s="1841">
        <f>BN373*(1+BS375)</f>
        <v>5.1984442419134398</v>
      </c>
      <c r="BT373" s="3066">
        <f>SUM(BP373:BS373)</f>
        <v>21.912923231011014</v>
      </c>
      <c r="BU373" s="1841">
        <f>BP373*(1+BU375)</f>
        <v>5.2306132956159797</v>
      </c>
      <c r="BV373" s="1841">
        <f>BQ373*(1+BV375)</f>
        <v>5.4711899122475804</v>
      </c>
      <c r="BW373" s="1841">
        <f>BR373*(1+BW375)</f>
        <v>5.7312206791855598</v>
      </c>
      <c r="BX373" s="1841">
        <f>BS373*(1+BX375)</f>
        <v>5.0944753570751713</v>
      </c>
      <c r="BY373" s="3066">
        <f>SUM(BU373:BX373)</f>
        <v>21.527499244124289</v>
      </c>
      <c r="BZ373" s="455">
        <f t="shared" ref="BZ373:CF373" si="871">BY373*(1+BZ375)</f>
        <v>21.204586755462426</v>
      </c>
      <c r="CA373" s="455">
        <f t="shared" si="871"/>
        <v>21.416632623017051</v>
      </c>
      <c r="CB373" s="455">
        <f t="shared" si="871"/>
        <v>20.77413364432654</v>
      </c>
      <c r="CC373" s="455">
        <f t="shared" si="871"/>
        <v>20.150909634996744</v>
      </c>
      <c r="CD373" s="455">
        <f t="shared" si="871"/>
        <v>20.35241873134671</v>
      </c>
      <c r="CE373" s="455">
        <f t="shared" si="871"/>
        <v>20.555942918660175</v>
      </c>
      <c r="CF373" s="455">
        <f t="shared" si="871"/>
        <v>20.761502347846779</v>
      </c>
      <c r="CG373" s="331"/>
      <c r="CH373" s="331"/>
      <c r="CI373" s="331"/>
      <c r="CJ373" s="331"/>
      <c r="CK373" s="331"/>
      <c r="CL373" s="528" t="str">
        <f t="shared" ref="CL373:CL378" si="872">A373</f>
        <v>Operating expenses</v>
      </c>
      <c r="CM373" s="454">
        <f>G373</f>
        <v>0.69799999999999995</v>
      </c>
      <c r="CN373" s="454">
        <f t="shared" ref="CN373:CN378" si="873">L373</f>
        <v>4.9482864207999997</v>
      </c>
      <c r="CO373" s="454">
        <f t="shared" ref="CO373:CO378" si="874">Q373</f>
        <v>11.604783278399999</v>
      </c>
      <c r="CP373" s="454">
        <f t="shared" ref="CP373:CP378" si="875">V373</f>
        <v>12.1910555328</v>
      </c>
      <c r="CQ373" s="454">
        <f t="shared" ref="CQ373:CQ378" si="876">AA373</f>
        <v>21.102393280899999</v>
      </c>
      <c r="CR373" s="454">
        <f t="shared" ref="CR373:CR378" si="877">AF373</f>
        <v>27.498000000000005</v>
      </c>
      <c r="CS373" s="454">
        <f t="shared" ref="CS373:CS378" si="878">AK373</f>
        <v>26.550700064600001</v>
      </c>
      <c r="CT373" s="454">
        <f t="shared" ref="CT373:CT378" si="879">AP373</f>
        <v>24.963168761623997</v>
      </c>
      <c r="CU373" s="454">
        <f t="shared" ref="CU373:CU378" si="880">AU373</f>
        <v>24.308240964382321</v>
      </c>
      <c r="CV373" s="454">
        <f t="shared" ref="CV373:CV378" si="881">AZ373</f>
        <v>22.724654938601127</v>
      </c>
      <c r="CW373" s="454">
        <f t="shared" ref="CW373:CW378" si="882">BE373</f>
        <v>22.732296786603925</v>
      </c>
      <c r="CX373" s="454">
        <f t="shared" ref="CX373:CX378" si="883">BJ373</f>
        <v>22.453954008554931</v>
      </c>
      <c r="CY373" s="454">
        <f t="shared" ref="CY373:CY378" si="884">BO373</f>
        <v>22.50647415648293</v>
      </c>
      <c r="CZ373" s="454">
        <f t="shared" ref="CZ373:CZ378" si="885">BT373</f>
        <v>21.912923231011014</v>
      </c>
      <c r="DA373" s="454">
        <f t="shared" ref="DA373:DC378" si="886">BY373</f>
        <v>21.527499244124289</v>
      </c>
      <c r="DB373" s="454">
        <f t="shared" si="886"/>
        <v>21.204586755462426</v>
      </c>
      <c r="DC373" s="1666">
        <f t="shared" si="886"/>
        <v>21.416632623017051</v>
      </c>
      <c r="DD373" s="331"/>
      <c r="DE373" s="331"/>
      <c r="DF373" s="502"/>
      <c r="DG373" s="503"/>
      <c r="DH373" s="2915"/>
      <c r="DI373" s="3213"/>
      <c r="DJ373" s="502"/>
      <c r="DK373" s="503"/>
      <c r="DL373" s="502"/>
      <c r="DM373" s="502"/>
      <c r="DN373" s="502"/>
      <c r="DO373" s="502"/>
      <c r="DP373" s="503"/>
      <c r="DQ373" s="503"/>
      <c r="DR373" s="296"/>
      <c r="DS373" s="296"/>
      <c r="DT373" s="296"/>
    </row>
    <row r="374" spans="1:124" ht="12" customHeight="1" x14ac:dyDescent="0.25">
      <c r="A374" s="465" t="s">
        <v>646</v>
      </c>
      <c r="B374" s="466"/>
      <c r="C374" s="467"/>
      <c r="D374" s="467"/>
      <c r="E374" s="467" t="s">
        <v>553</v>
      </c>
      <c r="F374" s="467" t="s">
        <v>553</v>
      </c>
      <c r="G374" s="468" t="s">
        <v>553</v>
      </c>
      <c r="H374" s="467" t="s">
        <v>553</v>
      </c>
      <c r="I374" s="467" t="s">
        <v>553</v>
      </c>
      <c r="J374" s="467" t="s">
        <v>553</v>
      </c>
      <c r="K374" s="467" t="s">
        <v>553</v>
      </c>
      <c r="L374" s="468" t="s">
        <v>553</v>
      </c>
      <c r="M374" s="467">
        <f t="shared" ref="M374:AA374" si="887">M373/M370</f>
        <v>0.30184773216991972</v>
      </c>
      <c r="N374" s="467">
        <f t="shared" si="887"/>
        <v>0.29458803087885982</v>
      </c>
      <c r="O374" s="467">
        <f t="shared" si="887"/>
        <v>0.27200249475283811</v>
      </c>
      <c r="P374" s="467">
        <f t="shared" si="887"/>
        <v>0.2719668958969641</v>
      </c>
      <c r="Q374" s="468">
        <f t="shared" si="887"/>
        <v>0.28393685690098114</v>
      </c>
      <c r="R374" s="467">
        <f t="shared" si="887"/>
        <v>0.26346036618075808</v>
      </c>
      <c r="S374" s="467">
        <f t="shared" si="887"/>
        <v>0.26495803460992901</v>
      </c>
      <c r="T374" s="467">
        <f t="shared" si="887"/>
        <v>0.24451656215875023</v>
      </c>
      <c r="U374" s="467">
        <f t="shared" si="887"/>
        <v>0.27363756106386827</v>
      </c>
      <c r="V374" s="468">
        <f t="shared" si="887"/>
        <v>0.26111194355843992</v>
      </c>
      <c r="W374" s="467">
        <f t="shared" si="887"/>
        <v>0.27402298317757012</v>
      </c>
      <c r="X374" s="467">
        <f t="shared" si="887"/>
        <v>0.38655713488988247</v>
      </c>
      <c r="Y374" s="467">
        <f t="shared" si="887"/>
        <v>0.38630534979183567</v>
      </c>
      <c r="Z374" s="467">
        <f t="shared" si="887"/>
        <v>0.4381879672778658</v>
      </c>
      <c r="AA374" s="468">
        <f t="shared" si="887"/>
        <v>0.37831468771782006</v>
      </c>
      <c r="AB374" s="467">
        <f t="shared" ref="AB374:AU374" si="888">AB373/AB370</f>
        <v>0.42366863905325453</v>
      </c>
      <c r="AC374" s="467">
        <f t="shared" si="888"/>
        <v>0.38801811215604309</v>
      </c>
      <c r="AD374" s="467">
        <f t="shared" si="888"/>
        <v>0.40720795360397694</v>
      </c>
      <c r="AE374" s="469">
        <f t="shared" si="888"/>
        <v>0.42180298654212506</v>
      </c>
      <c r="AF374" s="470">
        <f t="shared" si="888"/>
        <v>0.40934262236513047</v>
      </c>
      <c r="AG374" s="467">
        <f>AG373/AG370</f>
        <v>0.38670570107858249</v>
      </c>
      <c r="AH374" s="467">
        <f t="shared" si="888"/>
        <v>0.39074169089561606</v>
      </c>
      <c r="AI374" s="467">
        <f t="shared" si="888"/>
        <v>0.36110061023982482</v>
      </c>
      <c r="AJ374" s="469">
        <f t="shared" si="888"/>
        <v>0.37078246226017925</v>
      </c>
      <c r="AK374" s="470">
        <f t="shared" si="888"/>
        <v>0.37665375813366248</v>
      </c>
      <c r="AL374" s="467">
        <f>AL373/AL370</f>
        <v>0.3813703531493231</v>
      </c>
      <c r="AM374" s="467">
        <f>AM373/AM370</f>
        <v>0.36636329484345159</v>
      </c>
      <c r="AN374" s="467">
        <f t="shared" si="888"/>
        <v>0.34601034687176391</v>
      </c>
      <c r="AO374" s="469">
        <f t="shared" si="888"/>
        <v>0.3650876591980961</v>
      </c>
      <c r="AP374" s="471">
        <f t="shared" si="888"/>
        <v>0.36355641067949018</v>
      </c>
      <c r="AQ374" s="471">
        <f t="shared" si="888"/>
        <v>0.34105431361324789</v>
      </c>
      <c r="AR374" s="469">
        <f t="shared" si="888"/>
        <v>0.32372181485113666</v>
      </c>
      <c r="AS374" s="469">
        <f t="shared" si="888"/>
        <v>0.33181628209237074</v>
      </c>
      <c r="AT374" s="469">
        <f t="shared" si="888"/>
        <v>0.36500355954555397</v>
      </c>
      <c r="AU374" s="1689">
        <f t="shared" si="888"/>
        <v>0.33901524968557284</v>
      </c>
      <c r="AV374" s="1730">
        <f t="shared" ref="AV374:BJ374" si="889">AV373/AV370</f>
        <v>0.40325265957825412</v>
      </c>
      <c r="AW374" s="1465">
        <f t="shared" si="889"/>
        <v>0.35462848319139406</v>
      </c>
      <c r="AX374" s="1465">
        <f t="shared" si="889"/>
        <v>0.34387610406464586</v>
      </c>
      <c r="AY374" s="1868">
        <f t="shared" si="889"/>
        <v>0.35650862283084533</v>
      </c>
      <c r="AZ374" s="1689">
        <f t="shared" si="889"/>
        <v>0.3632852519700801</v>
      </c>
      <c r="BA374" s="1730">
        <f t="shared" si="889"/>
        <v>0.40660440816545718</v>
      </c>
      <c r="BB374" s="1465">
        <f t="shared" si="889"/>
        <v>0.36071460504031228</v>
      </c>
      <c r="BC374" s="1465">
        <f t="shared" si="889"/>
        <v>0.34639621239191637</v>
      </c>
      <c r="BD374" s="1868">
        <f t="shared" si="889"/>
        <v>0.35158738073633844</v>
      </c>
      <c r="BE374" s="1868">
        <f t="shared" si="889"/>
        <v>0.36471909822564214</v>
      </c>
      <c r="BF374" s="1465">
        <f t="shared" si="889"/>
        <v>0.42629885042056787</v>
      </c>
      <c r="BG374" s="1465">
        <f t="shared" si="889"/>
        <v>0.3515526807349561</v>
      </c>
      <c r="BH374" s="1465">
        <f t="shared" si="889"/>
        <v>0.34602892639050919</v>
      </c>
      <c r="BI374" s="1868">
        <f t="shared" si="889"/>
        <v>0.35584173047062556</v>
      </c>
      <c r="BJ374" s="1868">
        <f t="shared" si="889"/>
        <v>0.36743388818013811</v>
      </c>
      <c r="BK374" s="1465">
        <f t="shared" ref="BK374:BT374" si="890">BK373/BK370</f>
        <v>0.40936201782005327</v>
      </c>
      <c r="BL374" s="1465">
        <f t="shared" si="890"/>
        <v>0.37022320491948435</v>
      </c>
      <c r="BM374" s="1465">
        <f t="shared" si="890"/>
        <v>0.35450196597852346</v>
      </c>
      <c r="BN374" s="1868">
        <f t="shared" si="890"/>
        <v>0.35959269199204741</v>
      </c>
      <c r="BO374" s="1868">
        <f t="shared" si="890"/>
        <v>0.37232943696459175</v>
      </c>
      <c r="BP374" s="1465">
        <f t="shared" si="890"/>
        <v>0.40497489631136796</v>
      </c>
      <c r="BQ374" s="1465">
        <f t="shared" si="890"/>
        <v>0.37252369402157132</v>
      </c>
      <c r="BR374" s="1465">
        <f t="shared" si="890"/>
        <v>0.36540214840075036</v>
      </c>
      <c r="BS374" s="1465">
        <f t="shared" si="890"/>
        <v>0.36469489954865419</v>
      </c>
      <c r="BT374" s="470">
        <f t="shared" si="890"/>
        <v>0.37591692126698872</v>
      </c>
      <c r="BU374" s="1465">
        <f t="shared" ref="BU374:CF374" si="891">BU373/BU370</f>
        <v>0.4396082280966368</v>
      </c>
      <c r="BV374" s="1465">
        <f t="shared" si="891"/>
        <v>0.36826039887367901</v>
      </c>
      <c r="BW374" s="1465">
        <f t="shared" si="891"/>
        <v>0.36117246170623113</v>
      </c>
      <c r="BX374" s="1465">
        <f t="shared" si="891"/>
        <v>0.36047070059127617</v>
      </c>
      <c r="BY374" s="470">
        <f t="shared" si="891"/>
        <v>0.37929627675086763</v>
      </c>
      <c r="BZ374" s="470">
        <f t="shared" si="891"/>
        <v>0.36727978447959292</v>
      </c>
      <c r="CA374" s="470">
        <f t="shared" si="891"/>
        <v>0.37095258232438888</v>
      </c>
      <c r="CB374" s="470">
        <f t="shared" si="891"/>
        <v>0.37606409277357716</v>
      </c>
      <c r="CC374" s="470">
        <f t="shared" si="891"/>
        <v>0.38112350691602687</v>
      </c>
      <c r="CD374" s="470">
        <f t="shared" si="891"/>
        <v>0.37849165656846973</v>
      </c>
      <c r="CE374" s="470">
        <f t="shared" si="891"/>
        <v>0.37585956546694638</v>
      </c>
      <c r="CF374" s="470">
        <f t="shared" si="891"/>
        <v>0.37322774749103038</v>
      </c>
      <c r="CG374" s="331"/>
      <c r="CH374" s="331"/>
      <c r="CI374" s="331"/>
      <c r="CJ374" s="331"/>
      <c r="CK374" s="331"/>
      <c r="CL374" s="1310" t="str">
        <f t="shared" si="872"/>
        <v>% of Net revenue</v>
      </c>
      <c r="CM374" s="469" t="str">
        <f>G374</f>
        <v xml:space="preserve">n/a </v>
      </c>
      <c r="CN374" s="469" t="str">
        <f t="shared" si="873"/>
        <v xml:space="preserve">n/a </v>
      </c>
      <c r="CO374" s="469">
        <f t="shared" si="874"/>
        <v>0.28393685690098114</v>
      </c>
      <c r="CP374" s="469">
        <f t="shared" si="875"/>
        <v>0.26111194355843992</v>
      </c>
      <c r="CQ374" s="469">
        <f t="shared" si="876"/>
        <v>0.37831468771782006</v>
      </c>
      <c r="CR374" s="469">
        <f t="shared" si="877"/>
        <v>0.40934262236513047</v>
      </c>
      <c r="CS374" s="469">
        <f t="shared" si="878"/>
        <v>0.37665375813366248</v>
      </c>
      <c r="CT374" s="469">
        <f t="shared" si="879"/>
        <v>0.36355641067949018</v>
      </c>
      <c r="CU374" s="469">
        <f t="shared" si="880"/>
        <v>0.33901524968557284</v>
      </c>
      <c r="CV374" s="469">
        <f t="shared" si="881"/>
        <v>0.3632852519700801</v>
      </c>
      <c r="CW374" s="469">
        <f t="shared" si="882"/>
        <v>0.36471909822564214</v>
      </c>
      <c r="CX374" s="469">
        <f t="shared" si="883"/>
        <v>0.36743388818013811</v>
      </c>
      <c r="CY374" s="469">
        <f t="shared" si="884"/>
        <v>0.37232943696459175</v>
      </c>
      <c r="CZ374" s="469">
        <f t="shared" si="885"/>
        <v>0.37591692126698872</v>
      </c>
      <c r="DA374" s="469">
        <f t="shared" si="886"/>
        <v>0.37929627675086763</v>
      </c>
      <c r="DB374" s="469">
        <f t="shared" si="886"/>
        <v>0.36727978447959292</v>
      </c>
      <c r="DC374" s="1463">
        <f t="shared" si="886"/>
        <v>0.37095258232438888</v>
      </c>
      <c r="DD374" s="331"/>
      <c r="DE374" s="331"/>
      <c r="DF374" s="502"/>
      <c r="DG374" s="503"/>
      <c r="DH374" s="469"/>
      <c r="DI374" s="3213"/>
      <c r="DJ374" s="502"/>
      <c r="DK374" s="503"/>
      <c r="DL374" s="502"/>
      <c r="DM374" s="502"/>
      <c r="DN374" s="502"/>
      <c r="DO374" s="502"/>
      <c r="DP374" s="503"/>
      <c r="DQ374" s="503"/>
      <c r="DR374" s="296"/>
      <c r="DS374" s="296"/>
      <c r="DT374" s="296"/>
    </row>
    <row r="375" spans="1:124" ht="12" customHeight="1" x14ac:dyDescent="0.25">
      <c r="A375" s="465" t="s">
        <v>1491</v>
      </c>
      <c r="B375" s="466"/>
      <c r="C375" s="467"/>
      <c r="D375" s="467"/>
      <c r="E375" s="467" t="s">
        <v>553</v>
      </c>
      <c r="F375" s="467" t="s">
        <v>553</v>
      </c>
      <c r="G375" s="468" t="s">
        <v>553</v>
      </c>
      <c r="H375" s="467" t="s">
        <v>553</v>
      </c>
      <c r="I375" s="467" t="s">
        <v>553</v>
      </c>
      <c r="J375" s="467" t="s">
        <v>553</v>
      </c>
      <c r="K375" s="467" t="s">
        <v>553</v>
      </c>
      <c r="L375" s="468" t="s">
        <v>553</v>
      </c>
      <c r="M375" s="467" t="s">
        <v>553</v>
      </c>
      <c r="N375" s="467" t="s">
        <v>553</v>
      </c>
      <c r="O375" s="467" t="s">
        <v>553</v>
      </c>
      <c r="P375" s="467">
        <f t="shared" ref="P375:AA375" si="892">(P373-K373)/K373</f>
        <v>2.8526641258381689E-2</v>
      </c>
      <c r="Q375" s="468">
        <f t="shared" si="892"/>
        <v>1.3452125223834215</v>
      </c>
      <c r="R375" s="467">
        <f t="shared" si="892"/>
        <v>9.9900291604177377E-2</v>
      </c>
      <c r="S375" s="467">
        <f t="shared" si="892"/>
        <v>6.685819357920611E-2</v>
      </c>
      <c r="T375" s="467">
        <f t="shared" si="892"/>
        <v>1.8440024056631213E-2</v>
      </c>
      <c r="U375" s="467">
        <f t="shared" si="892"/>
        <v>2.3174204719852893E-2</v>
      </c>
      <c r="V375" s="468">
        <f t="shared" si="892"/>
        <v>5.0519879633705023E-2</v>
      </c>
      <c r="W375" s="467">
        <f t="shared" si="892"/>
        <v>1.3937949868231258E-2</v>
      </c>
      <c r="X375" s="467">
        <f t="shared" si="892"/>
        <v>0.47025812113171855</v>
      </c>
      <c r="Y375" s="467">
        <f t="shared" si="892"/>
        <v>1.3054891055802809</v>
      </c>
      <c r="Z375" s="467">
        <f t="shared" si="892"/>
        <v>1.1015652927727597</v>
      </c>
      <c r="AA375" s="468">
        <f t="shared" si="892"/>
        <v>0.73097343573934759</v>
      </c>
      <c r="AB375" s="467">
        <f t="shared" ref="AB375:AP375" si="893">(AB373-W373)/W373</f>
        <v>1.0756837259902126</v>
      </c>
      <c r="AC375" s="467">
        <f t="shared" si="893"/>
        <v>0.43161988571076332</v>
      </c>
      <c r="AD375" s="467">
        <f t="shared" si="893"/>
        <v>0.10067333819670822</v>
      </c>
      <c r="AE375" s="469">
        <f t="shared" si="893"/>
        <v>7.9789788870369277E-2</v>
      </c>
      <c r="AF375" s="470">
        <f t="shared" si="893"/>
        <v>0.30307494671179014</v>
      </c>
      <c r="AG375" s="467">
        <f>(AG373-AB373)/AB373</f>
        <v>3.0939861978310858E-2</v>
      </c>
      <c r="AH375" s="467">
        <f>(AH373-AC373)/AC373</f>
        <v>2.543387193297466E-2</v>
      </c>
      <c r="AI375" s="467">
        <f>(AI373-AD373)/AD373</f>
        <v>-7.7136309181078888E-2</v>
      </c>
      <c r="AJ375" s="469">
        <v>0</v>
      </c>
      <c r="AK375" s="470">
        <f t="shared" si="893"/>
        <v>-3.4449775816423146E-2</v>
      </c>
      <c r="AL375" s="467">
        <f>(AL373-AG373)/AG373</f>
        <v>-7.068974558118038E-2</v>
      </c>
      <c r="AM375" s="467">
        <f>(AM373-AH373)/AH373</f>
        <v>-7.6394605836008267E-2</v>
      </c>
      <c r="AN375" s="538">
        <v>-0.06</v>
      </c>
      <c r="AO375" s="540">
        <v>-0.03</v>
      </c>
      <c r="AP375" s="471">
        <f t="shared" si="893"/>
        <v>-5.9792446116803386E-2</v>
      </c>
      <c r="AQ375" s="1667">
        <v>0.01</v>
      </c>
      <c r="AR375" s="469">
        <f>+AQ375</f>
        <v>0.01</v>
      </c>
      <c r="AS375" s="540">
        <v>-7.0000000000000007E-2</v>
      </c>
      <c r="AT375" s="540">
        <v>-0.05</v>
      </c>
      <c r="AU375" s="1689">
        <f>(AU373-AP373)/AP373</f>
        <v>-2.6235763716363596E-2</v>
      </c>
      <c r="AV375" s="1667">
        <v>-0.01</v>
      </c>
      <c r="AW375" s="540">
        <v>-0.1</v>
      </c>
      <c r="AX375" s="540">
        <v>-0.05</v>
      </c>
      <c r="AY375" s="1668">
        <v>-0.1</v>
      </c>
      <c r="AZ375" s="1689">
        <f>(AZ373-AU373)/AU373</f>
        <v>-6.5146055944629883E-2</v>
      </c>
      <c r="BA375" s="1667">
        <v>-0.03</v>
      </c>
      <c r="BB375" s="540">
        <v>-0.02</v>
      </c>
      <c r="BC375" s="540">
        <v>-0.01</v>
      </c>
      <c r="BD375" s="1668">
        <v>7.0000000000000007E-2</v>
      </c>
      <c r="BE375" s="1868">
        <f>(BE373-AZ373)/AZ373</f>
        <v>3.3628004576727034E-4</v>
      </c>
      <c r="BF375" s="540">
        <v>0.01</v>
      </c>
      <c r="BG375" s="540">
        <v>-0.01</v>
      </c>
      <c r="BH375" s="540">
        <v>-0.01</v>
      </c>
      <c r="BI375" s="540">
        <v>-0.04</v>
      </c>
      <c r="BJ375" s="1689">
        <f>(BJ373-BE373)/BE373</f>
        <v>-1.224437550951829E-2</v>
      </c>
      <c r="BK375" s="540">
        <v>0</v>
      </c>
      <c r="BL375" s="540">
        <v>0</v>
      </c>
      <c r="BM375" s="540">
        <v>0</v>
      </c>
      <c r="BN375" s="540">
        <v>0.01</v>
      </c>
      <c r="BO375" s="1689">
        <f>(BO373-BJ373)/BJ373</f>
        <v>2.3390155652759357E-3</v>
      </c>
      <c r="BP375" s="540">
        <v>-7.4999999999999997E-2</v>
      </c>
      <c r="BQ375" s="540">
        <v>0</v>
      </c>
      <c r="BR375" s="540">
        <v>-0.01</v>
      </c>
      <c r="BS375" s="540">
        <v>-0.02</v>
      </c>
      <c r="BT375" s="470">
        <f>(BT373-BO373)/BO373</f>
        <v>-2.6372452714942277E-2</v>
      </c>
      <c r="BU375" s="540">
        <v>-0.01</v>
      </c>
      <c r="BV375" s="540">
        <v>-0.02</v>
      </c>
      <c r="BW375" s="540">
        <v>-0.02</v>
      </c>
      <c r="BX375" s="540">
        <v>-0.02</v>
      </c>
      <c r="BY375" s="470">
        <f>(BY373-BT373)/BT373</f>
        <v>-1.7588889570939369E-2</v>
      </c>
      <c r="BZ375" s="539">
        <v>-1.4999999999999999E-2</v>
      </c>
      <c r="CA375" s="539">
        <v>0.01</v>
      </c>
      <c r="CB375" s="539">
        <v>-0.03</v>
      </c>
      <c r="CC375" s="539">
        <v>-0.03</v>
      </c>
      <c r="CD375" s="539">
        <v>0.01</v>
      </c>
      <c r="CE375" s="539">
        <v>0.01</v>
      </c>
      <c r="CF375" s="539">
        <v>0.01</v>
      </c>
      <c r="CG375" s="331"/>
      <c r="CH375" s="331"/>
      <c r="CI375" s="331"/>
      <c r="CJ375" s="331"/>
      <c r="CK375" s="331"/>
      <c r="CL375" s="1310" t="str">
        <f t="shared" si="872"/>
        <v>% growth (y-o-y)</v>
      </c>
      <c r="CM375" s="469" t="str">
        <f>G375</f>
        <v xml:space="preserve">n/a </v>
      </c>
      <c r="CN375" s="469" t="str">
        <f t="shared" si="873"/>
        <v xml:space="preserve">n/a </v>
      </c>
      <c r="CO375" s="469">
        <f t="shared" si="874"/>
        <v>1.3452125223834215</v>
      </c>
      <c r="CP375" s="469">
        <f t="shared" si="875"/>
        <v>5.0519879633705023E-2</v>
      </c>
      <c r="CQ375" s="469">
        <f t="shared" si="876"/>
        <v>0.73097343573934759</v>
      </c>
      <c r="CR375" s="469">
        <f t="shared" si="877"/>
        <v>0.30307494671179014</v>
      </c>
      <c r="CS375" s="469">
        <f t="shared" si="878"/>
        <v>-3.4449775816423146E-2</v>
      </c>
      <c r="CT375" s="469">
        <f t="shared" si="879"/>
        <v>-5.9792446116803386E-2</v>
      </c>
      <c r="CU375" s="469">
        <f t="shared" si="880"/>
        <v>-2.6235763716363596E-2</v>
      </c>
      <c r="CV375" s="469">
        <f t="shared" si="881"/>
        <v>-6.5146055944629883E-2</v>
      </c>
      <c r="CW375" s="469">
        <f t="shared" si="882"/>
        <v>3.3628004576727034E-4</v>
      </c>
      <c r="CX375" s="469">
        <f t="shared" si="883"/>
        <v>-1.224437550951829E-2</v>
      </c>
      <c r="CY375" s="469">
        <f t="shared" si="884"/>
        <v>2.3390155652759357E-3</v>
      </c>
      <c r="CZ375" s="469">
        <f t="shared" si="885"/>
        <v>-2.6372452714942277E-2</v>
      </c>
      <c r="DA375" s="469">
        <f t="shared" si="886"/>
        <v>-1.7588889570939369E-2</v>
      </c>
      <c r="DB375" s="469">
        <f t="shared" si="886"/>
        <v>-1.4999999999999999E-2</v>
      </c>
      <c r="DC375" s="1463">
        <f t="shared" si="886"/>
        <v>0.01</v>
      </c>
      <c r="DD375" s="331"/>
      <c r="DE375" s="331"/>
      <c r="DF375" s="502"/>
      <c r="DG375" s="503"/>
      <c r="DH375" s="469"/>
      <c r="DI375" s="3213"/>
      <c r="DJ375" s="502"/>
      <c r="DK375" s="503"/>
      <c r="DL375" s="502"/>
      <c r="DM375" s="502"/>
      <c r="DN375" s="502"/>
      <c r="DO375" s="502"/>
      <c r="DP375" s="503"/>
      <c r="DQ375" s="503"/>
      <c r="DR375" s="296"/>
      <c r="DS375" s="296"/>
      <c r="DT375" s="296"/>
    </row>
    <row r="376" spans="1:124" ht="12" customHeight="1" x14ac:dyDescent="0.25">
      <c r="A376" s="311" t="s">
        <v>2161</v>
      </c>
      <c r="B376" s="311"/>
      <c r="C376" s="446"/>
      <c r="D376" s="446"/>
      <c r="E376" s="446">
        <f>Taxes!E682</f>
        <v>0</v>
      </c>
      <c r="F376" s="446">
        <f>Taxes!F682</f>
        <v>0</v>
      </c>
      <c r="G376" s="447">
        <f>Taxes!G682</f>
        <v>0</v>
      </c>
      <c r="H376" s="446">
        <f>Taxes!H682</f>
        <v>0</v>
      </c>
      <c r="I376" s="446">
        <f>Taxes!I682</f>
        <v>0</v>
      </c>
      <c r="J376" s="446">
        <f>Taxes!J682</f>
        <v>0</v>
      </c>
      <c r="K376" s="446">
        <f>K377*K367</f>
        <v>1.9947135791999999</v>
      </c>
      <c r="L376" s="447">
        <f>SUM(H376:K376)</f>
        <v>1.9947135791999999</v>
      </c>
      <c r="M376" s="446">
        <f>M377*M367</f>
        <v>3.8869062527999998</v>
      </c>
      <c r="N376" s="446">
        <f>N377*N367</f>
        <v>4.3434825359999998</v>
      </c>
      <c r="O376" s="446">
        <f>O377*O367</f>
        <v>4.9531080911999998</v>
      </c>
      <c r="P376" s="446">
        <f>P377*P367</f>
        <v>4.8247198415999994</v>
      </c>
      <c r="Q376" s="447">
        <f>SUM(M376:P376)</f>
        <v>18.0082167216</v>
      </c>
      <c r="R376" s="446">
        <f>R377*R367</f>
        <v>4.9752590208000003</v>
      </c>
      <c r="S376" s="446">
        <f>S377*S367</f>
        <v>5.1874779552000003</v>
      </c>
      <c r="T376" s="446">
        <f>T377*T367</f>
        <v>5.6579970911999995</v>
      </c>
      <c r="U376" s="446">
        <f>U377*U367</f>
        <v>4.9402103999999998</v>
      </c>
      <c r="V376" s="447">
        <f>SUM(R376:U376)</f>
        <v>20.760944467199998</v>
      </c>
      <c r="W376" s="446">
        <f>W377*W367</f>
        <v>4.8439540799999996</v>
      </c>
      <c r="X376" s="446">
        <f>X377*X367</f>
        <v>5.3021629248000002</v>
      </c>
      <c r="Y376" s="446">
        <f>Y377*Y367</f>
        <v>7.8542825555999993</v>
      </c>
      <c r="Z376" s="446">
        <f>Z377*Z367</f>
        <v>5.9532071586999997</v>
      </c>
      <c r="AA376" s="447">
        <f>SUM(W376:Z376)</f>
        <v>23.953606719099998</v>
      </c>
      <c r="AB376" s="446">
        <f>AB377*AB367</f>
        <v>6.0629999999999997</v>
      </c>
      <c r="AC376" s="446">
        <f>AC377*AC367</f>
        <v>7.05</v>
      </c>
      <c r="AD376" s="446">
        <f>AD377*AD367</f>
        <v>7.9429999999999987</v>
      </c>
      <c r="AE376" s="446">
        <f>AE377*AE367</f>
        <v>6.8149999999999995</v>
      </c>
      <c r="AF376" s="447">
        <f>SUM(AB376:AE376)</f>
        <v>27.870999999999995</v>
      </c>
      <c r="AG376" s="446">
        <f>AG377*AG367</f>
        <v>6.9607000000000001</v>
      </c>
      <c r="AH376" s="446">
        <f>AH377*AH367</f>
        <v>7.0969999999999995</v>
      </c>
      <c r="AI376" s="446">
        <f>AI377*AI367</f>
        <v>8.1745999353999999</v>
      </c>
      <c r="AJ376" s="446">
        <f>AJ377*AJ367</f>
        <v>6.7679999999999998</v>
      </c>
      <c r="AK376" s="447">
        <f>SUM(AG376:AJ376)</f>
        <v>29.000299935400001</v>
      </c>
      <c r="AL376" s="446">
        <f>AL377*AL367</f>
        <v>6.3532286706999983</v>
      </c>
      <c r="AM376" s="446">
        <f>AM377*AM367</f>
        <v>6.9426086283999995</v>
      </c>
      <c r="AN376" s="446">
        <f>AN377*AN367</f>
        <v>7.9950817527999991</v>
      </c>
      <c r="AO376" s="446">
        <f>AO377*AO367</f>
        <v>6.6517994700999994</v>
      </c>
      <c r="AP376" s="582">
        <f>SUM(AL376:AO376)</f>
        <v>27.942718521999996</v>
      </c>
      <c r="AQ376" s="582">
        <f>AQ377*AQ367</f>
        <v>7.2830184987999997</v>
      </c>
      <c r="AR376" s="446">
        <f>AR377*AR367</f>
        <v>8.1042536723999987</v>
      </c>
      <c r="AS376" s="446">
        <f>AS377*AS367</f>
        <v>7.7534903458999995</v>
      </c>
      <c r="AT376" s="446">
        <f>AT377*AT367</f>
        <v>6.3206654914999989</v>
      </c>
      <c r="AU376" s="1700">
        <f>SUM(AQ376:AT376)</f>
        <v>29.461428008599999</v>
      </c>
      <c r="AV376" s="1917">
        <f>AV377*AV367</f>
        <v>6.0980771434000003</v>
      </c>
      <c r="AW376" s="1845">
        <f>AW377*AW367</f>
        <v>6.6581547959999998</v>
      </c>
      <c r="AX376" s="1845">
        <f>AX377*AX367</f>
        <v>7.1074948038999999</v>
      </c>
      <c r="AY376" s="1859">
        <f>AY377*AY367</f>
        <v>5.8241476637999998</v>
      </c>
      <c r="AZ376" s="1700">
        <f>SUM(AV376:AY376)</f>
        <v>25.687874407099997</v>
      </c>
      <c r="BA376" s="1917">
        <f>BA377*BA367</f>
        <v>5.8663747949999996</v>
      </c>
      <c r="BB376" s="1845">
        <f>BB377*BB367</f>
        <v>6.4148994166099991</v>
      </c>
      <c r="BC376" s="1845">
        <f>BC377*BC367</f>
        <v>6.9852283599999998</v>
      </c>
      <c r="BD376" s="1859">
        <f>BD377*BD367</f>
        <v>6.31906634</v>
      </c>
      <c r="BE376" s="1859">
        <f>SUM(BA376:BD376)</f>
        <v>25.585568911609997</v>
      </c>
      <c r="BF376" s="1845">
        <f>BF377*BF367</f>
        <v>5.6513096099999993</v>
      </c>
      <c r="BG376" s="1845">
        <f>BG377*BG367</f>
        <v>6.5162593144000009</v>
      </c>
      <c r="BH376" s="1845">
        <f>BH377*BH367</f>
        <v>6.9127749600999993</v>
      </c>
      <c r="BI376" s="1859">
        <f>BI377*BI367</f>
        <v>5.9425907799000006</v>
      </c>
      <c r="BJ376" s="1859">
        <f>SUM(BF376:BI376)</f>
        <v>25.022934664400001</v>
      </c>
      <c r="BK376" s="1845">
        <f>BK377*BK367</f>
        <v>5.911855383699999</v>
      </c>
      <c r="BL376" s="1841">
        <f>BL377*BL367</f>
        <v>6.1398537513999996</v>
      </c>
      <c r="BM376" s="1845">
        <f>BM377*BM367</f>
        <v>6.7210000000000001</v>
      </c>
      <c r="BN376" s="1859">
        <f>BN377*BN367</f>
        <v>5.9388763980999988</v>
      </c>
      <c r="BO376" s="1859">
        <f>SUM(BK376:BN376)</f>
        <v>24.711585533199997</v>
      </c>
      <c r="BP376" s="1845">
        <f>BP377*BP367</f>
        <v>5.4857257241999999</v>
      </c>
      <c r="BQ376" s="1845">
        <f>BQ377*BQ367</f>
        <v>6.0960858003999983</v>
      </c>
      <c r="BR376" s="1845">
        <f>BR377*BR367</f>
        <v>6.4113881345000001</v>
      </c>
      <c r="BS376" s="1845">
        <f>BS377*BS367</f>
        <v>5.7051541776999999</v>
      </c>
      <c r="BT376" s="3068">
        <f>SUM(BP376:BS376)</f>
        <v>23.698353836799999</v>
      </c>
      <c r="BU376" s="1845">
        <f>BU377*BU367</f>
        <v>4.9461624074100001</v>
      </c>
      <c r="BV376" s="1845">
        <f>BV377*BV367</f>
        <v>6.0351249423959983</v>
      </c>
      <c r="BW376" s="1845">
        <f>BW377*BW367</f>
        <v>6.3472742531550006</v>
      </c>
      <c r="BX376" s="1845">
        <f>BX377*BX367</f>
        <v>5.6481026359230002</v>
      </c>
      <c r="BY376" s="3068">
        <f>SUM(BU376:BX376)</f>
        <v>22.976664238883998</v>
      </c>
      <c r="BZ376" s="447">
        <f t="shared" ref="BZ376:CF376" si="894">BZ377*BZ367</f>
        <v>23.436197523661679</v>
      </c>
      <c r="CA376" s="447">
        <f t="shared" si="894"/>
        <v>23.436197523661679</v>
      </c>
      <c r="CB376" s="447">
        <f t="shared" si="894"/>
        <v>22.264387647478596</v>
      </c>
      <c r="CC376" s="447">
        <f t="shared" si="894"/>
        <v>21.151168265104666</v>
      </c>
      <c r="CD376" s="447">
        <f t="shared" si="894"/>
        <v>21.574191630406762</v>
      </c>
      <c r="CE376" s="447">
        <f t="shared" si="894"/>
        <v>22.005675463014896</v>
      </c>
      <c r="CF376" s="447">
        <f t="shared" si="894"/>
        <v>22.445788972275196</v>
      </c>
      <c r="CG376" s="331"/>
      <c r="CH376" s="331"/>
      <c r="CI376" s="331"/>
      <c r="CJ376" s="331"/>
      <c r="CK376" s="331"/>
      <c r="CL376" s="528" t="str">
        <f t="shared" si="872"/>
        <v>Tax expense</v>
      </c>
      <c r="CM376" s="454">
        <f>G376</f>
        <v>0</v>
      </c>
      <c r="CN376" s="454">
        <f t="shared" si="873"/>
        <v>1.9947135791999999</v>
      </c>
      <c r="CO376" s="454">
        <f t="shared" si="874"/>
        <v>18.0082167216</v>
      </c>
      <c r="CP376" s="454">
        <f t="shared" si="875"/>
        <v>20.760944467199998</v>
      </c>
      <c r="CQ376" s="454">
        <f t="shared" si="876"/>
        <v>23.953606719099998</v>
      </c>
      <c r="CR376" s="454">
        <f t="shared" si="877"/>
        <v>27.870999999999995</v>
      </c>
      <c r="CS376" s="454">
        <f t="shared" si="878"/>
        <v>29.000299935400001</v>
      </c>
      <c r="CT376" s="454">
        <f t="shared" si="879"/>
        <v>27.942718521999996</v>
      </c>
      <c r="CU376" s="454">
        <f t="shared" si="880"/>
        <v>29.461428008599999</v>
      </c>
      <c r="CV376" s="454">
        <f t="shared" si="881"/>
        <v>25.687874407099997</v>
      </c>
      <c r="CW376" s="454">
        <f t="shared" si="882"/>
        <v>25.585568911609997</v>
      </c>
      <c r="CX376" s="454">
        <f t="shared" si="883"/>
        <v>25.022934664400001</v>
      </c>
      <c r="CY376" s="454">
        <f t="shared" si="884"/>
        <v>24.711585533199997</v>
      </c>
      <c r="CZ376" s="454">
        <f t="shared" si="885"/>
        <v>23.698353836799999</v>
      </c>
      <c r="DA376" s="454">
        <f t="shared" si="886"/>
        <v>22.976664238883998</v>
      </c>
      <c r="DB376" s="454">
        <f t="shared" si="886"/>
        <v>23.436197523661679</v>
      </c>
      <c r="DC376" s="1666">
        <f t="shared" si="886"/>
        <v>23.436197523661679</v>
      </c>
      <c r="DD376" s="331"/>
      <c r="DE376" s="331"/>
      <c r="DF376" s="502"/>
      <c r="DG376" s="503"/>
      <c r="DH376" s="2915"/>
      <c r="DI376" s="3213"/>
      <c r="DJ376" s="502"/>
      <c r="DK376" s="503"/>
      <c r="DL376" s="502"/>
      <c r="DM376" s="502"/>
      <c r="DN376" s="502"/>
      <c r="DO376" s="502"/>
      <c r="DP376" s="503"/>
      <c r="DQ376" s="503"/>
      <c r="DR376" s="296"/>
      <c r="DS376" s="296"/>
      <c r="DT376" s="296"/>
    </row>
    <row r="377" spans="1:124" ht="12" customHeight="1" x14ac:dyDescent="0.25">
      <c r="A377" s="465" t="s">
        <v>1810</v>
      </c>
      <c r="B377" s="466"/>
      <c r="C377" s="538"/>
      <c r="D377" s="538"/>
      <c r="E377" s="538"/>
      <c r="F377" s="538"/>
      <c r="G377" s="468"/>
      <c r="H377" s="538"/>
      <c r="I377" s="538"/>
      <c r="J377" s="538"/>
      <c r="K377" s="540">
        <v>0.48</v>
      </c>
      <c r="L377" s="470">
        <f>L376/L367</f>
        <v>0.48</v>
      </c>
      <c r="M377" s="469">
        <f>K377</f>
        <v>0.48</v>
      </c>
      <c r="N377" s="469">
        <f>M377</f>
        <v>0.48</v>
      </c>
      <c r="O377" s="469">
        <f>N377</f>
        <v>0.48</v>
      </c>
      <c r="P377" s="469">
        <f>O377</f>
        <v>0.48</v>
      </c>
      <c r="Q377" s="470">
        <f>Q376/Q367</f>
        <v>0.48</v>
      </c>
      <c r="R377" s="469">
        <f>P377</f>
        <v>0.48</v>
      </c>
      <c r="S377" s="469">
        <f>R377</f>
        <v>0.48</v>
      </c>
      <c r="T377" s="469">
        <f>S377</f>
        <v>0.48</v>
      </c>
      <c r="U377" s="469">
        <f>T377</f>
        <v>0.48</v>
      </c>
      <c r="V377" s="470">
        <f>V376/V367</f>
        <v>0.48</v>
      </c>
      <c r="W377" s="469">
        <f>U377</f>
        <v>0.48</v>
      </c>
      <c r="X377" s="469">
        <f>W377</f>
        <v>0.48</v>
      </c>
      <c r="Y377" s="540">
        <v>0.47</v>
      </c>
      <c r="Z377" s="469">
        <f>Y377</f>
        <v>0.47</v>
      </c>
      <c r="AA377" s="470">
        <f>AA376/AA367</f>
        <v>0.47418441733057531</v>
      </c>
      <c r="AB377" s="469">
        <f>Z377</f>
        <v>0.47</v>
      </c>
      <c r="AC377" s="469">
        <f>AB377</f>
        <v>0.47</v>
      </c>
      <c r="AD377" s="469">
        <f>AC377</f>
        <v>0.47</v>
      </c>
      <c r="AE377" s="469">
        <f>AD377</f>
        <v>0.47</v>
      </c>
      <c r="AF377" s="470">
        <f>AF376/AF367</f>
        <v>0.46999999999999992</v>
      </c>
      <c r="AG377" s="469">
        <f>AE377</f>
        <v>0.47</v>
      </c>
      <c r="AH377" s="469">
        <f>AG377</f>
        <v>0.47</v>
      </c>
      <c r="AI377" s="469">
        <f>AH377</f>
        <v>0.47</v>
      </c>
      <c r="AJ377" s="469">
        <f>AI377</f>
        <v>0.47</v>
      </c>
      <c r="AK377" s="470">
        <f>AK376/AK367</f>
        <v>0.47</v>
      </c>
      <c r="AL377" s="469">
        <f>AJ377</f>
        <v>0.47</v>
      </c>
      <c r="AM377" s="469">
        <f>AK377</f>
        <v>0.47</v>
      </c>
      <c r="AN377" s="469">
        <f>AM377</f>
        <v>0.47</v>
      </c>
      <c r="AO377" s="469">
        <f>AN377</f>
        <v>0.47</v>
      </c>
      <c r="AP377" s="471">
        <f>AP376/AP367</f>
        <v>0.47000000000000003</v>
      </c>
      <c r="AQ377" s="471">
        <f>+AO377</f>
        <v>0.47</v>
      </c>
      <c r="AR377" s="469">
        <f>AQ377</f>
        <v>0.47</v>
      </c>
      <c r="AS377" s="469">
        <f>AR377</f>
        <v>0.47</v>
      </c>
      <c r="AT377" s="469">
        <f>AS377</f>
        <v>0.47</v>
      </c>
      <c r="AU377" s="1689">
        <f>AU376/AU367</f>
        <v>0.47000000000000003</v>
      </c>
      <c r="AV377" s="1730">
        <f>AU377</f>
        <v>0.47000000000000003</v>
      </c>
      <c r="AW377" s="1465">
        <f>AV377</f>
        <v>0.47000000000000003</v>
      </c>
      <c r="AX377" s="1465">
        <f>AW377</f>
        <v>0.47000000000000003</v>
      </c>
      <c r="AY377" s="1868">
        <f>AX377</f>
        <v>0.47000000000000003</v>
      </c>
      <c r="AZ377" s="1689">
        <f>AZ376/AZ367</f>
        <v>0.47</v>
      </c>
      <c r="BA377" s="1730">
        <f>AZ377</f>
        <v>0.47</v>
      </c>
      <c r="BB377" s="1465">
        <f>BA377</f>
        <v>0.47</v>
      </c>
      <c r="BC377" s="1465">
        <f>BB377</f>
        <v>0.47</v>
      </c>
      <c r="BD377" s="1868">
        <f>BC377</f>
        <v>0.47</v>
      </c>
      <c r="BE377" s="1868">
        <f>BE376/BE367</f>
        <v>0.47</v>
      </c>
      <c r="BF377" s="1465">
        <f>BD377</f>
        <v>0.47</v>
      </c>
      <c r="BG377" s="1465">
        <f>BF377</f>
        <v>0.47</v>
      </c>
      <c r="BH377" s="1465">
        <f>BG377</f>
        <v>0.47</v>
      </c>
      <c r="BI377" s="1868">
        <f>BH377</f>
        <v>0.47</v>
      </c>
      <c r="BJ377" s="1868">
        <f>BJ376/BJ367</f>
        <v>0.47</v>
      </c>
      <c r="BK377" s="1465">
        <f>BJ377</f>
        <v>0.47</v>
      </c>
      <c r="BL377" s="1465">
        <f>BK377</f>
        <v>0.47</v>
      </c>
      <c r="BM377" s="1465">
        <f>BL377</f>
        <v>0.47</v>
      </c>
      <c r="BN377" s="1868">
        <f>BM377</f>
        <v>0.47</v>
      </c>
      <c r="BO377" s="1868">
        <f>BO376/BO367</f>
        <v>0.47</v>
      </c>
      <c r="BP377" s="1465">
        <f>BO377</f>
        <v>0.47</v>
      </c>
      <c r="BQ377" s="1465">
        <f>BP377</f>
        <v>0.47</v>
      </c>
      <c r="BR377" s="1465">
        <f>BQ377</f>
        <v>0.47</v>
      </c>
      <c r="BS377" s="1465">
        <f>BR377</f>
        <v>0.47</v>
      </c>
      <c r="BT377" s="470">
        <f>BT376/BT367</f>
        <v>0.47</v>
      </c>
      <c r="BU377" s="1465">
        <f>BT377</f>
        <v>0.47</v>
      </c>
      <c r="BV377" s="1465">
        <f>BU377</f>
        <v>0.47</v>
      </c>
      <c r="BW377" s="1465">
        <f>BV377</f>
        <v>0.47</v>
      </c>
      <c r="BX377" s="1465">
        <f>BW377</f>
        <v>0.47</v>
      </c>
      <c r="BY377" s="470">
        <f>BY376/BY367</f>
        <v>0.46999999999999992</v>
      </c>
      <c r="BZ377" s="470">
        <f t="shared" ref="BZ377:CF377" si="895">BD377</f>
        <v>0.47</v>
      </c>
      <c r="CA377" s="470">
        <f t="shared" si="895"/>
        <v>0.47</v>
      </c>
      <c r="CB377" s="470">
        <f t="shared" si="895"/>
        <v>0.47</v>
      </c>
      <c r="CC377" s="470">
        <f t="shared" si="895"/>
        <v>0.47</v>
      </c>
      <c r="CD377" s="470">
        <f t="shared" si="895"/>
        <v>0.47</v>
      </c>
      <c r="CE377" s="470">
        <f t="shared" si="895"/>
        <v>0.47</v>
      </c>
      <c r="CF377" s="470">
        <f t="shared" si="895"/>
        <v>0.47</v>
      </c>
      <c r="CG377" s="331"/>
      <c r="CH377" s="331"/>
      <c r="CI377" s="331"/>
      <c r="CJ377" s="331"/>
      <c r="CK377" s="331"/>
      <c r="CL377" s="1310" t="str">
        <f t="shared" si="872"/>
        <v>% of Gaming revenue</v>
      </c>
      <c r="CM377" s="469"/>
      <c r="CN377" s="469">
        <f t="shared" si="873"/>
        <v>0.48</v>
      </c>
      <c r="CO377" s="469">
        <f t="shared" si="874"/>
        <v>0.48</v>
      </c>
      <c r="CP377" s="469">
        <f t="shared" si="875"/>
        <v>0.48</v>
      </c>
      <c r="CQ377" s="469">
        <f t="shared" si="876"/>
        <v>0.47418441733057531</v>
      </c>
      <c r="CR377" s="469">
        <f t="shared" si="877"/>
        <v>0.46999999999999992</v>
      </c>
      <c r="CS377" s="469">
        <f t="shared" si="878"/>
        <v>0.47</v>
      </c>
      <c r="CT377" s="469">
        <f t="shared" si="879"/>
        <v>0.47000000000000003</v>
      </c>
      <c r="CU377" s="469">
        <f t="shared" si="880"/>
        <v>0.47000000000000003</v>
      </c>
      <c r="CV377" s="469">
        <f t="shared" si="881"/>
        <v>0.47</v>
      </c>
      <c r="CW377" s="469">
        <f t="shared" si="882"/>
        <v>0.47</v>
      </c>
      <c r="CX377" s="469">
        <f t="shared" si="883"/>
        <v>0.47</v>
      </c>
      <c r="CY377" s="469">
        <f t="shared" si="884"/>
        <v>0.47</v>
      </c>
      <c r="CZ377" s="469">
        <f t="shared" si="885"/>
        <v>0.47</v>
      </c>
      <c r="DA377" s="469">
        <f t="shared" si="886"/>
        <v>0.46999999999999992</v>
      </c>
      <c r="DB377" s="469">
        <f t="shared" si="886"/>
        <v>0.47</v>
      </c>
      <c r="DC377" s="1463">
        <f t="shared" si="886"/>
        <v>0.47</v>
      </c>
      <c r="DD377" s="331"/>
      <c r="DE377" s="331"/>
      <c r="DF377" s="502"/>
      <c r="DG377" s="503"/>
      <c r="DH377" s="469"/>
      <c r="DI377" s="3213"/>
      <c r="DJ377" s="502"/>
      <c r="DK377" s="503"/>
      <c r="DL377" s="502"/>
      <c r="DM377" s="502"/>
      <c r="DN377" s="502"/>
      <c r="DO377" s="502"/>
      <c r="DP377" s="503"/>
      <c r="DQ377" s="503"/>
      <c r="DR377" s="296"/>
      <c r="DS377" s="296"/>
      <c r="DT377" s="296"/>
    </row>
    <row r="378" spans="1:124" ht="12" customHeight="1" x14ac:dyDescent="0.25">
      <c r="A378" s="311" t="s">
        <v>2162</v>
      </c>
      <c r="B378" s="311"/>
      <c r="C378" s="446"/>
      <c r="D378" s="446"/>
      <c r="E378" s="446">
        <f>E370-E380</f>
        <v>0.627</v>
      </c>
      <c r="F378" s="446">
        <f>F370-F380</f>
        <v>7.1000000000000008E-2</v>
      </c>
      <c r="G378" s="447">
        <f>SUM(C378:F378)</f>
        <v>0.69799999999999995</v>
      </c>
      <c r="H378" s="446">
        <f>H370-H380</f>
        <v>6.2E-2</v>
      </c>
      <c r="I378" s="446">
        <f>I370-I380</f>
        <v>0.54200000000000004</v>
      </c>
      <c r="J378" s="446">
        <f>J370-J380</f>
        <v>1.47</v>
      </c>
      <c r="K378" s="446">
        <f>K370-K380</f>
        <v>4.8689999999999998</v>
      </c>
      <c r="L378" s="447">
        <f>SUM(H378:K378)</f>
        <v>6.9429999999999996</v>
      </c>
      <c r="M378" s="446">
        <f>M370-M380</f>
        <v>6.5160000000000009</v>
      </c>
      <c r="N378" s="446">
        <f>N370-N380</f>
        <v>7.3199999999999994</v>
      </c>
      <c r="O378" s="446">
        <f>O370-O380</f>
        <v>7.9959999999999996</v>
      </c>
      <c r="P378" s="446">
        <f>P370-P380</f>
        <v>7.7809999999999988</v>
      </c>
      <c r="Q378" s="447">
        <f>SUM(M378:P378)</f>
        <v>29.613</v>
      </c>
      <c r="R378" s="446">
        <f>R370-R380</f>
        <v>7.8670000000000009</v>
      </c>
      <c r="S378" s="446">
        <f>S370-S380</f>
        <v>8.3629999999999995</v>
      </c>
      <c r="T378" s="446">
        <f>T370-T380</f>
        <v>8.7569999999999997</v>
      </c>
      <c r="U378" s="446">
        <f>U370-U380</f>
        <v>7.9649999999999999</v>
      </c>
      <c r="V378" s="447">
        <f>SUM(R378:U378)</f>
        <v>32.951999999999998</v>
      </c>
      <c r="W378" s="446">
        <f>W370-W380</f>
        <v>7.7759999999999998</v>
      </c>
      <c r="X378" s="446">
        <f>X370-X380</f>
        <v>9.9710000000000001</v>
      </c>
      <c r="Y378" s="446">
        <f>Y370-Y380</f>
        <v>14.999000000000001</v>
      </c>
      <c r="Z378" s="446">
        <f>Z370-Z380</f>
        <v>12.309999999999999</v>
      </c>
      <c r="AA378" s="447">
        <f>SUM(W378:Z378)</f>
        <v>45.055999999999997</v>
      </c>
      <c r="AB378" s="446">
        <f>AB370-AB380</f>
        <v>12.149000000000001</v>
      </c>
      <c r="AC378" s="446">
        <f>AC370-AC380</f>
        <v>13.733999999999998</v>
      </c>
      <c r="AD378" s="446">
        <f>AD370-AD380</f>
        <v>15.807000000000002</v>
      </c>
      <c r="AE378" s="446">
        <f>AE370-AE380</f>
        <v>13.679</v>
      </c>
      <c r="AF378" s="455">
        <f>SUM(AB378:AE378)</f>
        <v>55.369</v>
      </c>
      <c r="AG378" s="446">
        <f>AG370-AG380</f>
        <v>13.235000000000001</v>
      </c>
      <c r="AH378" s="446">
        <f>AH370-AH380</f>
        <v>13.951000000000001</v>
      </c>
      <c r="AI378" s="446">
        <f>AI370-AI380</f>
        <v>15.431999999999999</v>
      </c>
      <c r="AJ378" s="446">
        <f>AJ370-AJ380</f>
        <v>12.933</v>
      </c>
      <c r="AK378" s="455">
        <f>SUM(AG378:AJ378)</f>
        <v>55.550999999999995</v>
      </c>
      <c r="AL378" s="446">
        <f>AL370-AL380</f>
        <v>12.183999999999999</v>
      </c>
      <c r="AM378" s="446">
        <f>AM370-AM380</f>
        <v>13.273</v>
      </c>
      <c r="AN378" s="454">
        <f>AN373+AN376</f>
        <v>14.817037813523998</v>
      </c>
      <c r="AO378" s="454">
        <f>AO373+AO376</f>
        <v>12.631849470100001</v>
      </c>
      <c r="AP378" s="456">
        <f>SUM(AL378:AO378)</f>
        <v>52.905887283623997</v>
      </c>
      <c r="AQ378" s="456">
        <f>AQ373+AQ376</f>
        <v>13.172097541393001</v>
      </c>
      <c r="AR378" s="454">
        <f>AR373+AR376</f>
        <v>14.497948957715998</v>
      </c>
      <c r="AS378" s="454">
        <f>AS373+AS376</f>
        <v>14.097909482373318</v>
      </c>
      <c r="AT378" s="454">
        <f>AT373+AT376</f>
        <v>12.0017129915</v>
      </c>
      <c r="AU378" s="1693">
        <f>SUM(AQ378:AT378)</f>
        <v>53.769668972982316</v>
      </c>
      <c r="AV378" s="1863">
        <f>AV373+AV376</f>
        <v>11.92826539556707</v>
      </c>
      <c r="AW378" s="1841">
        <f>AW373+AW376</f>
        <v>12.4124805527844</v>
      </c>
      <c r="AX378" s="1841">
        <f>AX373+AX376</f>
        <v>13.134692983549652</v>
      </c>
      <c r="AY378" s="1864">
        <f>AY373+AY376</f>
        <v>10.9370904138</v>
      </c>
      <c r="AZ378" s="1693">
        <f>SUM(AV378:AY378)</f>
        <v>48.412529345701124</v>
      </c>
      <c r="BA378" s="1863">
        <f>BA373+BA376</f>
        <v>11.521657399602059</v>
      </c>
      <c r="BB378" s="1841">
        <f>BB373+BB376</f>
        <v>12.054138658258712</v>
      </c>
      <c r="BC378" s="1841">
        <f>BC373+BC376</f>
        <v>12.952154557853156</v>
      </c>
      <c r="BD378" s="1864">
        <f>BD373+BD376</f>
        <v>11.7899150825</v>
      </c>
      <c r="BE378" s="1864">
        <f>SUM(BA378:BD378)</f>
        <v>48.317865698213929</v>
      </c>
      <c r="BF378" s="1841">
        <f>BF373+BF376</f>
        <v>11.363145040648078</v>
      </c>
      <c r="BG378" s="1841">
        <f>BG373+BG376</f>
        <v>12.099106163632225</v>
      </c>
      <c r="BH378" s="1841">
        <f>BH373+BH376</f>
        <v>12.820031895974623</v>
      </c>
      <c r="BI378" s="1864">
        <f>BI373+BI376</f>
        <v>11.1946055727</v>
      </c>
      <c r="BJ378" s="1864">
        <f>SUM(BF378:BI378)</f>
        <v>47.476888672954928</v>
      </c>
      <c r="BK378" s="1841">
        <f>BK373+BK376</f>
        <v>11.623690814348079</v>
      </c>
      <c r="BL378" s="1841">
        <f>BL373+BL376</f>
        <v>11.722700600632225</v>
      </c>
      <c r="BM378" s="1841">
        <f>BM373+BM376</f>
        <v>12.628256935874624</v>
      </c>
      <c r="BN378" s="1864">
        <f>BN373+BN376</f>
        <v>11.243411338827999</v>
      </c>
      <c r="BO378" s="1864">
        <f>SUM(BK378:BN378)</f>
        <v>47.218059689682924</v>
      </c>
      <c r="BP378" s="1841">
        <f>BP373+BP376</f>
        <v>10.769173497549474</v>
      </c>
      <c r="BQ378" s="1841">
        <f>BQ373+BQ376</f>
        <v>11.678932649632223</v>
      </c>
      <c r="BR378" s="1841">
        <f>BR373+BR376</f>
        <v>12.259572501015878</v>
      </c>
      <c r="BS378" s="1841">
        <f>BS373+BS376</f>
        <v>10.90359841961344</v>
      </c>
      <c r="BT378" s="3066">
        <f>SUM(BP378:BS378)</f>
        <v>45.61127706781101</v>
      </c>
      <c r="BU378" s="1841">
        <f>BU373+BU376</f>
        <v>10.17677570302598</v>
      </c>
      <c r="BV378" s="1841">
        <f>BV373+BV376</f>
        <v>11.506314854643579</v>
      </c>
      <c r="BW378" s="1841">
        <f>BW373+BW376</f>
        <v>12.078494932340561</v>
      </c>
      <c r="BX378" s="1841">
        <f>BX373+BX376</f>
        <v>10.742577992998172</v>
      </c>
      <c r="BY378" s="3066">
        <f>SUM(BU378:BX378)</f>
        <v>44.504163483008291</v>
      </c>
      <c r="BZ378" s="455">
        <f t="shared" ref="BZ378:CF378" si="896">BZ373+BZ376</f>
        <v>44.640784279124105</v>
      </c>
      <c r="CA378" s="455">
        <f t="shared" si="896"/>
        <v>44.852830146678727</v>
      </c>
      <c r="CB378" s="455">
        <f t="shared" si="896"/>
        <v>43.038521291805139</v>
      </c>
      <c r="CC378" s="455">
        <f t="shared" si="896"/>
        <v>41.302077900101409</v>
      </c>
      <c r="CD378" s="455">
        <f t="shared" si="896"/>
        <v>41.926610361753475</v>
      </c>
      <c r="CE378" s="455">
        <f t="shared" si="896"/>
        <v>42.561618381675075</v>
      </c>
      <c r="CF378" s="455">
        <f t="shared" si="896"/>
        <v>43.207291320121975</v>
      </c>
      <c r="CG378" s="331"/>
      <c r="CH378" s="331"/>
      <c r="CI378" s="331"/>
      <c r="CJ378" s="331"/>
      <c r="CK378" s="331"/>
      <c r="CL378" s="528" t="str">
        <f t="shared" si="872"/>
        <v>Total expenses</v>
      </c>
      <c r="CM378" s="454">
        <f>G378</f>
        <v>0.69799999999999995</v>
      </c>
      <c r="CN378" s="454">
        <f t="shared" si="873"/>
        <v>6.9429999999999996</v>
      </c>
      <c r="CO378" s="454">
        <f t="shared" si="874"/>
        <v>29.613</v>
      </c>
      <c r="CP378" s="454">
        <f t="shared" si="875"/>
        <v>32.951999999999998</v>
      </c>
      <c r="CQ378" s="454">
        <f t="shared" si="876"/>
        <v>45.055999999999997</v>
      </c>
      <c r="CR378" s="454">
        <f t="shared" si="877"/>
        <v>55.369</v>
      </c>
      <c r="CS378" s="454">
        <f t="shared" si="878"/>
        <v>55.550999999999995</v>
      </c>
      <c r="CT378" s="454">
        <f t="shared" si="879"/>
        <v>52.905887283623997</v>
      </c>
      <c r="CU378" s="454">
        <f t="shared" si="880"/>
        <v>53.769668972982316</v>
      </c>
      <c r="CV378" s="454">
        <f t="shared" si="881"/>
        <v>48.412529345701124</v>
      </c>
      <c r="CW378" s="454">
        <f t="shared" si="882"/>
        <v>48.317865698213929</v>
      </c>
      <c r="CX378" s="454">
        <f t="shared" si="883"/>
        <v>47.476888672954928</v>
      </c>
      <c r="CY378" s="454">
        <f t="shared" si="884"/>
        <v>47.218059689682924</v>
      </c>
      <c r="CZ378" s="454">
        <f t="shared" si="885"/>
        <v>45.61127706781101</v>
      </c>
      <c r="DA378" s="454">
        <f t="shared" si="886"/>
        <v>44.504163483008291</v>
      </c>
      <c r="DB378" s="454">
        <f t="shared" si="886"/>
        <v>44.640784279124105</v>
      </c>
      <c r="DC378" s="1666">
        <f t="shared" si="886"/>
        <v>44.852830146678727</v>
      </c>
      <c r="DD378" s="331"/>
      <c r="DE378" s="331"/>
      <c r="DF378" s="502"/>
      <c r="DG378" s="503"/>
      <c r="DH378" s="2915"/>
      <c r="DI378" s="3213"/>
      <c r="DJ378" s="502"/>
      <c r="DK378" s="503"/>
      <c r="DL378" s="502"/>
      <c r="DM378" s="502"/>
      <c r="DN378" s="502"/>
      <c r="DO378" s="502"/>
      <c r="DP378" s="503"/>
      <c r="DQ378" s="503"/>
      <c r="DR378" s="296"/>
      <c r="DS378" s="296"/>
      <c r="DT378" s="296"/>
    </row>
    <row r="379" spans="1:124" ht="5.0999999999999996" customHeight="1" x14ac:dyDescent="0.25">
      <c r="A379" s="281"/>
      <c r="B379" s="281"/>
      <c r="C379" s="446"/>
      <c r="D379" s="446"/>
      <c r="E379" s="446"/>
      <c r="F379" s="446"/>
      <c r="G379" s="447"/>
      <c r="H379" s="446"/>
      <c r="I379" s="446"/>
      <c r="J379" s="446"/>
      <c r="K379" s="446"/>
      <c r="L379" s="447"/>
      <c r="M379" s="446"/>
      <c r="N379" s="446"/>
      <c r="O379" s="446"/>
      <c r="P379" s="446"/>
      <c r="Q379" s="447"/>
      <c r="R379" s="446"/>
      <c r="S379" s="446"/>
      <c r="T379" s="446"/>
      <c r="U379" s="446"/>
      <c r="V379" s="447"/>
      <c r="W379" s="446"/>
      <c r="X379" s="446"/>
      <c r="Y379" s="446"/>
      <c r="Z379" s="446"/>
      <c r="AA379" s="447"/>
      <c r="AB379" s="446"/>
      <c r="AC379" s="446"/>
      <c r="AD379" s="446"/>
      <c r="AE379" s="454"/>
      <c r="AF379" s="455"/>
      <c r="AG379" s="454"/>
      <c r="AH379" s="454"/>
      <c r="AI379" s="454"/>
      <c r="AJ379" s="454"/>
      <c r="AK379" s="455"/>
      <c r="AL379" s="454"/>
      <c r="AM379" s="454"/>
      <c r="AN379" s="454"/>
      <c r="AO379" s="454"/>
      <c r="AP379" s="456"/>
      <c r="AQ379" s="456"/>
      <c r="AR379" s="454"/>
      <c r="AS379" s="454"/>
      <c r="AT379" s="454"/>
      <c r="AU379" s="1693"/>
      <c r="AV379" s="1863"/>
      <c r="AW379" s="1841"/>
      <c r="AX379" s="1841"/>
      <c r="AY379" s="1864"/>
      <c r="AZ379" s="1693"/>
      <c r="BA379" s="1863"/>
      <c r="BB379" s="1841"/>
      <c r="BC379" s="1841"/>
      <c r="BD379" s="1864"/>
      <c r="BE379" s="1864"/>
      <c r="BF379" s="1841"/>
      <c r="BG379" s="1841"/>
      <c r="BH379" s="1841"/>
      <c r="BI379" s="1864"/>
      <c r="BJ379" s="1864"/>
      <c r="BK379" s="1841"/>
      <c r="BL379" s="1841"/>
      <c r="BM379" s="1841"/>
      <c r="BN379" s="1864"/>
      <c r="BO379" s="1864"/>
      <c r="BP379" s="1841"/>
      <c r="BQ379" s="1841"/>
      <c r="BR379" s="1841"/>
      <c r="BS379" s="1841"/>
      <c r="BT379" s="3066"/>
      <c r="BU379" s="1841"/>
      <c r="BV379" s="1841"/>
      <c r="BW379" s="1841"/>
      <c r="BX379" s="1841"/>
      <c r="BY379" s="3066"/>
      <c r="BZ379" s="455"/>
      <c r="CA379" s="455"/>
      <c r="CB379" s="455"/>
      <c r="CC379" s="455"/>
      <c r="CD379" s="455"/>
      <c r="CE379" s="455"/>
      <c r="CF379" s="455"/>
      <c r="CG379" s="331"/>
      <c r="CH379" s="331"/>
      <c r="CI379" s="331"/>
      <c r="CJ379" s="331"/>
      <c r="CK379" s="331"/>
      <c r="CL379" s="520"/>
      <c r="CM379" s="454"/>
      <c r="CN379" s="454"/>
      <c r="CO379" s="454"/>
      <c r="CP379" s="454"/>
      <c r="CQ379" s="454"/>
      <c r="CR379" s="454"/>
      <c r="CS379" s="454"/>
      <c r="CT379" s="454"/>
      <c r="CU379" s="454"/>
      <c r="CV379" s="454"/>
      <c r="CW379" s="454"/>
      <c r="CX379" s="454"/>
      <c r="CY379" s="454"/>
      <c r="CZ379" s="454"/>
      <c r="DA379" s="454"/>
      <c r="DB379" s="454"/>
      <c r="DC379" s="1666"/>
      <c r="DD379" s="331"/>
      <c r="DE379" s="331"/>
      <c r="DF379" s="502"/>
      <c r="DG379" s="503"/>
      <c r="DH379" s="2915"/>
      <c r="DI379" s="3213"/>
      <c r="DJ379" s="502"/>
      <c r="DK379" s="503"/>
      <c r="DL379" s="502"/>
      <c r="DM379" s="502"/>
      <c r="DN379" s="502"/>
      <c r="DO379" s="502"/>
      <c r="DP379" s="503"/>
      <c r="DQ379" s="503"/>
      <c r="DR379" s="296"/>
      <c r="DS379" s="296"/>
      <c r="DT379" s="296"/>
    </row>
    <row r="380" spans="1:124" ht="12" customHeight="1" x14ac:dyDescent="0.25">
      <c r="A380" s="999" t="s">
        <v>2010</v>
      </c>
      <c r="B380" s="1000"/>
      <c r="C380" s="1001"/>
      <c r="D380" s="1001"/>
      <c r="E380" s="1001">
        <v>-6.4000000000000001E-2</v>
      </c>
      <c r="F380" s="1001">
        <v>-3.9E-2</v>
      </c>
      <c r="G380" s="1002">
        <f>SUM(E380:F380)</f>
        <v>-0.10300000000000001</v>
      </c>
      <c r="H380" s="1001">
        <v>-6.2E-2</v>
      </c>
      <c r="I380" s="1001">
        <v>-0.06</v>
      </c>
      <c r="J380" s="1001">
        <v>-0.73699999999999999</v>
      </c>
      <c r="K380" s="1001">
        <v>-0.127</v>
      </c>
      <c r="L380" s="1002">
        <f>SUM(J380:K380)</f>
        <v>-0.86399999999999999</v>
      </c>
      <c r="M380" s="1001">
        <v>2.194</v>
      </c>
      <c r="N380" s="1001">
        <v>2.7839999999999998</v>
      </c>
      <c r="O380" s="1001">
        <v>3.1909999999999998</v>
      </c>
      <c r="P380" s="1001">
        <v>3.089</v>
      </c>
      <c r="Q380" s="1002">
        <f>SUM(M380:P380)</f>
        <v>11.258000000000001</v>
      </c>
      <c r="R380" s="1001">
        <v>3.109</v>
      </c>
      <c r="S380" s="1001">
        <v>3.6219999999999999</v>
      </c>
      <c r="T380" s="1001">
        <v>3.9169999999999998</v>
      </c>
      <c r="U380" s="1001">
        <v>3.089</v>
      </c>
      <c r="V380" s="1002">
        <f>SUM(R380:U380)</f>
        <v>13.737</v>
      </c>
      <c r="W380" s="1001">
        <v>2.9239999999999999</v>
      </c>
      <c r="X380" s="1001">
        <v>2.1070000000000002</v>
      </c>
      <c r="Y380" s="1001">
        <v>3.496</v>
      </c>
      <c r="Z380" s="1001">
        <v>2.1970000000000001</v>
      </c>
      <c r="AA380" s="1002">
        <f>SUM(W380:Z380)</f>
        <v>10.724</v>
      </c>
      <c r="AB380" s="1001">
        <v>2.2160000000000002</v>
      </c>
      <c r="AC380" s="1001">
        <v>3.492</v>
      </c>
      <c r="AD380" s="1001">
        <v>3.5049999999999999</v>
      </c>
      <c r="AE380" s="1003">
        <v>2.5939999999999999</v>
      </c>
      <c r="AF380" s="1002">
        <f>SUM(AB380:AE380)</f>
        <v>11.807</v>
      </c>
      <c r="AG380" s="1003">
        <v>2.99</v>
      </c>
      <c r="AH380" s="1003">
        <v>3.59</v>
      </c>
      <c r="AI380" s="1003">
        <v>4.6660000000000004</v>
      </c>
      <c r="AJ380" s="1003">
        <v>3.694</v>
      </c>
      <c r="AK380" s="1002">
        <f>SUM(AG380:AJ380)</f>
        <v>14.940000000000001</v>
      </c>
      <c r="AL380" s="1003">
        <v>3.105</v>
      </c>
      <c r="AM380" s="1003">
        <v>4.0060000000000002</v>
      </c>
      <c r="AN380" s="1592">
        <f>AN370-AN378</f>
        <v>4.8990086064760003</v>
      </c>
      <c r="AO380" s="1015">
        <f>AO370-AO378</f>
        <v>3.7479153598999986</v>
      </c>
      <c r="AP380" s="1002">
        <f>SUM(AL380:AO380)</f>
        <v>15.757923966376</v>
      </c>
      <c r="AQ380" s="1671">
        <f>AQ370-AQ378</f>
        <v>4.0951786886069996</v>
      </c>
      <c r="AR380" s="1005">
        <f>AR370-AR378</f>
        <v>5.2526362422840016</v>
      </c>
      <c r="AS380" s="1005">
        <f>AS370-AS378</f>
        <v>5.022367245660071</v>
      </c>
      <c r="AT380" s="1672">
        <f>AT370-AT378</f>
        <v>3.5626489206774128</v>
      </c>
      <c r="AU380" s="1698">
        <f>SUM(AQ380:AT380)</f>
        <v>17.932831097228487</v>
      </c>
      <c r="AV380" s="1915">
        <f>AV370-AV378</f>
        <v>2.5296386347860889</v>
      </c>
      <c r="AW380" s="1843">
        <f>AW370-AW378</f>
        <v>3.8138690765508532</v>
      </c>
      <c r="AX380" s="1843">
        <f>AX370-AX378</f>
        <v>4.392544612804496</v>
      </c>
      <c r="AY380" s="1910">
        <f>AY370-AY378</f>
        <v>3.4046180963640502</v>
      </c>
      <c r="AZ380" s="1698">
        <f>SUM(AV380:AY380)</f>
        <v>14.140670420505488</v>
      </c>
      <c r="BA380" s="1915">
        <f>BA370-BA378</f>
        <v>2.3869045614399056</v>
      </c>
      <c r="BB380" s="1843">
        <f>BB370-BB378</f>
        <v>3.5793820333098747</v>
      </c>
      <c r="BC380" s="1843">
        <f>BC370-BC378</f>
        <v>4.2735713144093026</v>
      </c>
      <c r="BD380" s="1910">
        <f>BD370-BD378</f>
        <v>3.770508989155422</v>
      </c>
      <c r="BE380" s="1910">
        <f>SUM(BA380:BD380)</f>
        <v>14.010366898314505</v>
      </c>
      <c r="BF380" s="1843">
        <f>BF370-BF378</f>
        <v>2.0355198279365592</v>
      </c>
      <c r="BG380" s="1843">
        <f>BG370-BG378</f>
        <v>3.7814350899879265</v>
      </c>
      <c r="BH380" s="1843">
        <f>BH370-BH378</f>
        <v>4.2515378062878355</v>
      </c>
      <c r="BI380" s="1910">
        <f>BI370-BI378</f>
        <v>3.5648066689554216</v>
      </c>
      <c r="BJ380" s="1910">
        <f>SUM(BF380:BI380)</f>
        <v>13.633299393167743</v>
      </c>
      <c r="BK380" s="1843">
        <f>BK370-BK378</f>
        <v>2.3293267642365567</v>
      </c>
      <c r="BL380" s="1843">
        <f>BL370-BL378</f>
        <v>3.356977752987925</v>
      </c>
      <c r="BM380" s="1843">
        <f>BM370-BM378</f>
        <v>4.035280936387835</v>
      </c>
      <c r="BN380" s="1910">
        <f>BN370-BN378</f>
        <v>3.5080979628274225</v>
      </c>
      <c r="BO380" s="1910">
        <f>SUM(BK380:BN380)</f>
        <v>13.229683416439739</v>
      </c>
      <c r="BP380" s="1843">
        <f>BP370-BP378</f>
        <v>2.2771852310351637</v>
      </c>
      <c r="BQ380" s="1843">
        <f>BQ370-BQ378</f>
        <v>3.3076224039879243</v>
      </c>
      <c r="BR380" s="1843">
        <f>BR370-BR378</f>
        <v>3.7452167212465817</v>
      </c>
      <c r="BS380" s="1843">
        <f>BS370-BS378</f>
        <v>3.3506295620419824</v>
      </c>
      <c r="BT380" s="1004">
        <f>SUM(BP380:BS380)</f>
        <v>12.680653918311652</v>
      </c>
      <c r="BU380" s="1843">
        <f>BU370-BU378</f>
        <v>1.7215759685586587</v>
      </c>
      <c r="BV380" s="1843">
        <f>BV370-BV378</f>
        <v>3.3505362457765688</v>
      </c>
      <c r="BW380" s="1843">
        <f>BW370-BW378</f>
        <v>3.7898817764219004</v>
      </c>
      <c r="BX380" s="1843">
        <f>BX370-BX378</f>
        <v>3.3902637295572511</v>
      </c>
      <c r="BY380" s="1004">
        <f>SUM(BU380:BX380)</f>
        <v>12.252257720314379</v>
      </c>
      <c r="BZ380" s="1004">
        <f t="shared" ref="BZ380:CF380" si="897">BZ370-BZ378</f>
        <v>13.093367317342569</v>
      </c>
      <c r="CA380" s="1004">
        <f t="shared" si="897"/>
        <v>12.881321449787947</v>
      </c>
      <c r="CB380" s="1004">
        <f t="shared" si="897"/>
        <v>12.202417802144332</v>
      </c>
      <c r="CC380" s="1004">
        <f t="shared" si="897"/>
        <v>11.570309316456722</v>
      </c>
      <c r="CD380" s="1004">
        <f t="shared" si="897"/>
        <v>11.845826568213369</v>
      </c>
      <c r="CE380" s="1004">
        <f t="shared" si="897"/>
        <v>12.128869255968652</v>
      </c>
      <c r="CF380" s="1004">
        <f t="shared" si="897"/>
        <v>12.419608039352177</v>
      </c>
      <c r="CG380" s="502"/>
      <c r="CH380" s="502"/>
      <c r="CI380" s="502"/>
      <c r="CJ380" s="502"/>
      <c r="CK380" s="502"/>
      <c r="CL380" s="2221" t="str">
        <f t="shared" ref="CL380:CL385" si="898">A380</f>
        <v>Property EBITDA</v>
      </c>
      <c r="CM380" s="1015">
        <f>G380</f>
        <v>-0.10300000000000001</v>
      </c>
      <c r="CN380" s="1015">
        <f>L380</f>
        <v>-0.86399999999999999</v>
      </c>
      <c r="CO380" s="1015">
        <f t="shared" ref="CO380:CO385" si="899">Q380</f>
        <v>11.258000000000001</v>
      </c>
      <c r="CP380" s="1015">
        <f t="shared" ref="CP380:CP385" si="900">V380</f>
        <v>13.737</v>
      </c>
      <c r="CQ380" s="1015">
        <f t="shared" ref="CQ380:CQ385" si="901">AA380</f>
        <v>10.724</v>
      </c>
      <c r="CR380" s="1015">
        <f t="shared" ref="CR380:CR385" si="902">AF380</f>
        <v>11.807</v>
      </c>
      <c r="CS380" s="1015">
        <f t="shared" ref="CS380:CS385" si="903">AK380</f>
        <v>14.940000000000001</v>
      </c>
      <c r="CT380" s="1015">
        <f t="shared" ref="CT380:CT385" si="904">AP380</f>
        <v>15.757923966376</v>
      </c>
      <c r="CU380" s="1015">
        <f t="shared" ref="CU380:CU385" si="905">AU380</f>
        <v>17.932831097228487</v>
      </c>
      <c r="CV380" s="1015">
        <f t="shared" ref="CV380:CV385" si="906">AZ380</f>
        <v>14.140670420505488</v>
      </c>
      <c r="CW380" s="1015">
        <f t="shared" ref="CW380:CW385" si="907">BE380</f>
        <v>14.010366898314505</v>
      </c>
      <c r="CX380" s="1015">
        <f t="shared" ref="CX380:CX385" si="908">BJ380</f>
        <v>13.633299393167743</v>
      </c>
      <c r="CY380" s="1015">
        <f t="shared" ref="CY380:CY385" si="909">BO380</f>
        <v>13.229683416439739</v>
      </c>
      <c r="CZ380" s="1015">
        <f t="shared" ref="CZ380:CZ385" si="910">BT380</f>
        <v>12.680653918311652</v>
      </c>
      <c r="DA380" s="1015">
        <f t="shared" ref="DA380:DC385" si="911">BY380</f>
        <v>12.252257720314379</v>
      </c>
      <c r="DB380" s="1015">
        <f t="shared" si="911"/>
        <v>13.093367317342569</v>
      </c>
      <c r="DC380" s="1871">
        <f t="shared" si="911"/>
        <v>12.881321449787947</v>
      </c>
      <c r="DD380" s="502"/>
      <c r="DE380" s="502"/>
      <c r="DF380" s="502"/>
      <c r="DG380" s="503"/>
      <c r="DH380" s="463"/>
      <c r="DI380" s="3213"/>
      <c r="DJ380" s="502"/>
      <c r="DK380" s="503"/>
      <c r="DL380" s="502"/>
      <c r="DM380" s="502"/>
      <c r="DN380" s="502"/>
      <c r="DO380" s="502"/>
      <c r="DP380" s="503"/>
      <c r="DQ380" s="503"/>
      <c r="DR380" s="719"/>
      <c r="DS380" s="719"/>
      <c r="DT380" s="719"/>
    </row>
    <row r="381" spans="1:124" ht="12" customHeight="1" x14ac:dyDescent="0.25">
      <c r="A381" s="465" t="s">
        <v>1892</v>
      </c>
      <c r="B381" s="466"/>
      <c r="C381" s="467"/>
      <c r="D381" s="467"/>
      <c r="E381" s="467" t="s">
        <v>553</v>
      </c>
      <c r="F381" s="467" t="s">
        <v>553</v>
      </c>
      <c r="G381" s="468" t="s">
        <v>553</v>
      </c>
      <c r="H381" s="467" t="s">
        <v>553</v>
      </c>
      <c r="I381" s="467" t="s">
        <v>553</v>
      </c>
      <c r="J381" s="467" t="s">
        <v>553</v>
      </c>
      <c r="K381" s="467" t="s">
        <v>553</v>
      </c>
      <c r="L381" s="468" t="s">
        <v>553</v>
      </c>
      <c r="M381" s="467">
        <f t="shared" ref="M381:AA381" si="912">M380/M370</f>
        <v>0.25189437428243394</v>
      </c>
      <c r="N381" s="467">
        <f t="shared" si="912"/>
        <v>0.27553444180522568</v>
      </c>
      <c r="O381" s="467">
        <f t="shared" si="912"/>
        <v>0.28524179851613479</v>
      </c>
      <c r="P381" s="467">
        <f t="shared" si="912"/>
        <v>0.28417663293468265</v>
      </c>
      <c r="Q381" s="468">
        <f t="shared" si="912"/>
        <v>0.27545203200313184</v>
      </c>
      <c r="R381" s="467">
        <f t="shared" si="912"/>
        <v>0.28325437317784252</v>
      </c>
      <c r="S381" s="467">
        <f t="shared" si="912"/>
        <v>0.30221109720483941</v>
      </c>
      <c r="T381" s="467">
        <f t="shared" si="912"/>
        <v>0.30905791383935616</v>
      </c>
      <c r="U381" s="467">
        <f t="shared" si="912"/>
        <v>0.27944635426090103</v>
      </c>
      <c r="V381" s="468">
        <f t="shared" si="912"/>
        <v>0.2942234787637345</v>
      </c>
      <c r="W381" s="467">
        <f t="shared" si="912"/>
        <v>0.27327102803738318</v>
      </c>
      <c r="X381" s="467">
        <f t="shared" si="912"/>
        <v>0.17444941215433021</v>
      </c>
      <c r="Y381" s="467">
        <f t="shared" si="912"/>
        <v>0.18902406055690726</v>
      </c>
      <c r="Z381" s="467">
        <f t="shared" si="912"/>
        <v>0.15144413041979735</v>
      </c>
      <c r="AA381" s="468">
        <f t="shared" si="912"/>
        <v>0.192255288633919</v>
      </c>
      <c r="AB381" s="467">
        <f t="shared" ref="AB381:AU381" si="913">AB380/AB370</f>
        <v>0.15426383571179952</v>
      </c>
      <c r="AC381" s="467">
        <f t="shared" si="913"/>
        <v>0.20271682340647859</v>
      </c>
      <c r="AD381" s="467">
        <f t="shared" si="913"/>
        <v>0.18149337199668597</v>
      </c>
      <c r="AE381" s="469">
        <f t="shared" si="913"/>
        <v>0.15940514963436367</v>
      </c>
      <c r="AF381" s="470">
        <f t="shared" si="913"/>
        <v>0.17576217696796476</v>
      </c>
      <c r="AG381" s="467">
        <f>AG380/AG370</f>
        <v>0.18428351309707242</v>
      </c>
      <c r="AH381" s="467">
        <f t="shared" si="913"/>
        <v>0.20466336012770081</v>
      </c>
      <c r="AI381" s="467">
        <f t="shared" si="913"/>
        <v>0.23216240421932532</v>
      </c>
      <c r="AJ381" s="469">
        <f t="shared" si="913"/>
        <v>0.22216876165273353</v>
      </c>
      <c r="AK381" s="470">
        <f t="shared" si="913"/>
        <v>0.21194195003617486</v>
      </c>
      <c r="AL381" s="467">
        <f t="shared" si="913"/>
        <v>0.20308718686637453</v>
      </c>
      <c r="AM381" s="467">
        <f t="shared" si="913"/>
        <v>0.23184212049308411</v>
      </c>
      <c r="AN381" s="467">
        <f t="shared" si="913"/>
        <v>0.24847824468025376</v>
      </c>
      <c r="AO381" s="469">
        <f t="shared" si="913"/>
        <v>0.2288137466440047</v>
      </c>
      <c r="AP381" s="471">
        <f t="shared" si="913"/>
        <v>0.22949387282046627</v>
      </c>
      <c r="AQ381" s="471">
        <f t="shared" si="913"/>
        <v>0.23716413834233308</v>
      </c>
      <c r="AR381" s="469">
        <f t="shared" si="913"/>
        <v>0.26594838528045245</v>
      </c>
      <c r="AS381" s="469">
        <f t="shared" si="913"/>
        <v>0.26267230945964687</v>
      </c>
      <c r="AT381" s="469">
        <f t="shared" si="913"/>
        <v>0.2288978462965468</v>
      </c>
      <c r="AU381" s="1689">
        <f t="shared" si="913"/>
        <v>0.25010049969901649</v>
      </c>
      <c r="AV381" s="1730">
        <f t="shared" ref="AV381:BJ381" si="914">AV380/AV370</f>
        <v>0.17496579237732693</v>
      </c>
      <c r="AW381" s="1465">
        <f t="shared" si="914"/>
        <v>0.23504171694019491</v>
      </c>
      <c r="AX381" s="1465">
        <f t="shared" si="914"/>
        <v>0.25061248748737175</v>
      </c>
      <c r="AY381" s="1868">
        <f t="shared" si="914"/>
        <v>0.23739278301125546</v>
      </c>
      <c r="AZ381" s="1689">
        <f t="shared" si="914"/>
        <v>0.22605830674300315</v>
      </c>
      <c r="BA381" s="1730">
        <f t="shared" si="914"/>
        <v>0.17161404379012377</v>
      </c>
      <c r="BB381" s="1465">
        <f t="shared" si="914"/>
        <v>0.22895559509127678</v>
      </c>
      <c r="BC381" s="1465">
        <f t="shared" si="914"/>
        <v>0.24809237916010118</v>
      </c>
      <c r="BD381" s="1868">
        <f t="shared" si="914"/>
        <v>0.24231402510576242</v>
      </c>
      <c r="BE381" s="1868">
        <f t="shared" si="914"/>
        <v>0.22478363840361576</v>
      </c>
      <c r="BF381" s="1465">
        <f t="shared" si="914"/>
        <v>0.15191960153501327</v>
      </c>
      <c r="BG381" s="1465">
        <f t="shared" si="914"/>
        <v>0.23811751939663298</v>
      </c>
      <c r="BH381" s="1465">
        <f t="shared" si="914"/>
        <v>0.24904199674880445</v>
      </c>
      <c r="BI381" s="1868">
        <f t="shared" si="914"/>
        <v>0.24152768488263265</v>
      </c>
      <c r="BJ381" s="1868">
        <f t="shared" si="914"/>
        <v>0.22309372339709033</v>
      </c>
      <c r="BK381" s="1465">
        <f t="shared" ref="BK381:BT381" si="915">BK380/BK370</f>
        <v>0.16694071738371871</v>
      </c>
      <c r="BL381" s="1465">
        <f t="shared" si="915"/>
        <v>0.22261600508090557</v>
      </c>
      <c r="BM381" s="1465">
        <f t="shared" si="915"/>
        <v>0.24216231674936342</v>
      </c>
      <c r="BN381" s="1868">
        <f t="shared" si="915"/>
        <v>0.23781281569837345</v>
      </c>
      <c r="BO381" s="1868">
        <f t="shared" si="915"/>
        <v>0.21886149484875847</v>
      </c>
      <c r="BP381" s="1465">
        <f t="shared" si="915"/>
        <v>0.17454565510649644</v>
      </c>
      <c r="BQ381" s="1465">
        <f t="shared" si="915"/>
        <v>0.22070598560867635</v>
      </c>
      <c r="BR381" s="1465">
        <f t="shared" si="915"/>
        <v>0.2340060009060933</v>
      </c>
      <c r="BS381" s="1465">
        <f t="shared" si="915"/>
        <v>0.23506215603918348</v>
      </c>
      <c r="BT381" s="470">
        <f t="shared" si="915"/>
        <v>0.2175370364953339</v>
      </c>
      <c r="BU381" s="1465">
        <f t="shared" ref="BU381:CF381" si="916">BU380/BU370</f>
        <v>0.1446902912333719</v>
      </c>
      <c r="BV381" s="1465">
        <f t="shared" si="916"/>
        <v>0.22552129136448143</v>
      </c>
      <c r="BW381" s="1465">
        <f t="shared" si="916"/>
        <v>0.2388323548135293</v>
      </c>
      <c r="BX381" s="1465">
        <f t="shared" si="916"/>
        <v>0.2398854948008462</v>
      </c>
      <c r="BY381" s="470">
        <f t="shared" si="916"/>
        <v>0.21587438849292878</v>
      </c>
      <c r="BZ381" s="470">
        <f t="shared" si="916"/>
        <v>0.22678721268580801</v>
      </c>
      <c r="CA381" s="470">
        <f t="shared" si="916"/>
        <v>0.2231144148410121</v>
      </c>
      <c r="CB381" s="470">
        <f t="shared" si="916"/>
        <v>0.220894467079776</v>
      </c>
      <c r="CC381" s="470">
        <f t="shared" si="916"/>
        <v>0.21883463042942061</v>
      </c>
      <c r="CD381" s="470">
        <f t="shared" si="916"/>
        <v>0.22029551280410367</v>
      </c>
      <c r="CE381" s="470">
        <f t="shared" si="916"/>
        <v>0.22177292212732608</v>
      </c>
      <c r="CF381" s="470">
        <f t="shared" si="916"/>
        <v>0.2232662287914654</v>
      </c>
      <c r="CG381" s="331"/>
      <c r="CH381" s="331"/>
      <c r="CI381" s="331"/>
      <c r="CJ381" s="331"/>
      <c r="CK381" s="331"/>
      <c r="CL381" s="1310" t="str">
        <f t="shared" si="898"/>
        <v>Margin</v>
      </c>
      <c r="CM381" s="469" t="str">
        <f>G381</f>
        <v xml:space="preserve">n/a </v>
      </c>
      <c r="CN381" s="469" t="str">
        <f>L381</f>
        <v xml:space="preserve">n/a </v>
      </c>
      <c r="CO381" s="469">
        <f t="shared" si="899"/>
        <v>0.27545203200313184</v>
      </c>
      <c r="CP381" s="469">
        <f t="shared" si="900"/>
        <v>0.2942234787637345</v>
      </c>
      <c r="CQ381" s="469">
        <f t="shared" si="901"/>
        <v>0.192255288633919</v>
      </c>
      <c r="CR381" s="469">
        <f t="shared" si="902"/>
        <v>0.17576217696796476</v>
      </c>
      <c r="CS381" s="469">
        <f t="shared" si="903"/>
        <v>0.21194195003617486</v>
      </c>
      <c r="CT381" s="469">
        <f t="shared" si="904"/>
        <v>0.22949387282046627</v>
      </c>
      <c r="CU381" s="469">
        <f t="shared" si="905"/>
        <v>0.25010049969901649</v>
      </c>
      <c r="CV381" s="469">
        <f t="shared" si="906"/>
        <v>0.22605830674300315</v>
      </c>
      <c r="CW381" s="469">
        <f t="shared" si="907"/>
        <v>0.22478363840361576</v>
      </c>
      <c r="CX381" s="469">
        <f t="shared" si="908"/>
        <v>0.22309372339709033</v>
      </c>
      <c r="CY381" s="469">
        <f t="shared" si="909"/>
        <v>0.21886149484875847</v>
      </c>
      <c r="CZ381" s="469">
        <f t="shared" si="910"/>
        <v>0.2175370364953339</v>
      </c>
      <c r="DA381" s="469">
        <f t="shared" si="911"/>
        <v>0.21587438849292878</v>
      </c>
      <c r="DB381" s="469">
        <f t="shared" si="911"/>
        <v>0.22678721268580801</v>
      </c>
      <c r="DC381" s="1463">
        <f t="shared" si="911"/>
        <v>0.2231144148410121</v>
      </c>
      <c r="DD381" s="331"/>
      <c r="DE381" s="331"/>
      <c r="DF381" s="502"/>
      <c r="DG381" s="503"/>
      <c r="DH381" s="469"/>
      <c r="DI381" s="3213"/>
      <c r="DJ381" s="502"/>
      <c r="DK381" s="503"/>
      <c r="DL381" s="502"/>
      <c r="DM381" s="502"/>
      <c r="DN381" s="502"/>
      <c r="DO381" s="502"/>
      <c r="DP381" s="503"/>
      <c r="DQ381" s="503"/>
      <c r="DR381" s="296"/>
      <c r="DS381" s="296"/>
      <c r="DT381" s="296"/>
    </row>
    <row r="382" spans="1:124" ht="12" customHeight="1" x14ac:dyDescent="0.25">
      <c r="A382" s="465" t="s">
        <v>1812</v>
      </c>
      <c r="B382" s="466"/>
      <c r="C382" s="467"/>
      <c r="D382" s="467"/>
      <c r="E382" s="467"/>
      <c r="F382" s="467"/>
      <c r="G382" s="468"/>
      <c r="H382" s="467"/>
      <c r="I382" s="467"/>
      <c r="J382" s="467"/>
      <c r="K382" s="467"/>
      <c r="L382" s="468"/>
      <c r="M382" s="467">
        <f>(M380+M376)/M370</f>
        <v>0.69815226783008033</v>
      </c>
      <c r="N382" s="467">
        <f t="shared" ref="N382:U382" si="917">(N380+N376)/N370</f>
        <v>0.70541196912114013</v>
      </c>
      <c r="O382" s="467">
        <f t="shared" si="917"/>
        <v>0.72799750524716189</v>
      </c>
      <c r="P382" s="467">
        <f t="shared" si="917"/>
        <v>0.72803310410303579</v>
      </c>
      <c r="Q382" s="468">
        <f>(Q380+Q376)/Q370</f>
        <v>0.71606314309901897</v>
      </c>
      <c r="R382" s="467">
        <f>(R380+R376)/R370</f>
        <v>0.73653963381924203</v>
      </c>
      <c r="S382" s="467">
        <f t="shared" si="917"/>
        <v>0.73504196539007094</v>
      </c>
      <c r="T382" s="467">
        <f t="shared" si="917"/>
        <v>0.75548343784124983</v>
      </c>
      <c r="U382" s="467">
        <f t="shared" si="917"/>
        <v>0.72636243893613173</v>
      </c>
      <c r="V382" s="468">
        <f t="shared" ref="V382:BD382" si="918">(V380+V376)/V370</f>
        <v>0.73888805644156008</v>
      </c>
      <c r="W382" s="467">
        <f t="shared" si="918"/>
        <v>0.72597701682242988</v>
      </c>
      <c r="X382" s="467">
        <f t="shared" si="918"/>
        <v>0.61344286511011759</v>
      </c>
      <c r="Y382" s="467">
        <f t="shared" si="918"/>
        <v>0.61369465020816427</v>
      </c>
      <c r="Z382" s="467">
        <f t="shared" si="918"/>
        <v>0.56181203272213409</v>
      </c>
      <c r="AA382" s="468">
        <f t="shared" si="918"/>
        <v>0.62168531228218005</v>
      </c>
      <c r="AB382" s="467">
        <f t="shared" si="918"/>
        <v>0.57633136094674553</v>
      </c>
      <c r="AC382" s="467">
        <f t="shared" si="918"/>
        <v>0.6119818878439568</v>
      </c>
      <c r="AD382" s="467">
        <f t="shared" si="918"/>
        <v>0.59279204639602312</v>
      </c>
      <c r="AE382" s="467">
        <f t="shared" si="918"/>
        <v>0.578197013457875</v>
      </c>
      <c r="AF382" s="468">
        <f t="shared" si="918"/>
        <v>0.59065737763486958</v>
      </c>
      <c r="AG382" s="467">
        <f>(AG380+AG376)/AG370</f>
        <v>0.61329429892141762</v>
      </c>
      <c r="AH382" s="467">
        <f t="shared" si="918"/>
        <v>0.60925830910438394</v>
      </c>
      <c r="AI382" s="467">
        <f t="shared" si="918"/>
        <v>0.63889938976017524</v>
      </c>
      <c r="AJ382" s="467">
        <f t="shared" si="918"/>
        <v>0.62921753773982081</v>
      </c>
      <c r="AK382" s="468">
        <f t="shared" si="918"/>
        <v>0.62334624186633758</v>
      </c>
      <c r="AL382" s="467">
        <f t="shared" si="918"/>
        <v>0.6186296468506769</v>
      </c>
      <c r="AM382" s="467">
        <f t="shared" si="918"/>
        <v>0.63363670515654835</v>
      </c>
      <c r="AN382" s="467">
        <f t="shared" si="918"/>
        <v>0.65398965312823609</v>
      </c>
      <c r="AO382" s="467">
        <f t="shared" si="918"/>
        <v>0.63491234080190373</v>
      </c>
      <c r="AP382" s="468">
        <f t="shared" si="918"/>
        <v>0.63644358932050982</v>
      </c>
      <c r="AQ382" s="581">
        <f t="shared" ref="AQ382:AZ382" si="919">(AQ380+AQ376)/AQ370</f>
        <v>0.65894568638675211</v>
      </c>
      <c r="AR382" s="467">
        <f t="shared" si="919"/>
        <v>0.6762781851488634</v>
      </c>
      <c r="AS382" s="467">
        <f t="shared" si="919"/>
        <v>0.66818371790762932</v>
      </c>
      <c r="AT382" s="1669">
        <f t="shared" si="919"/>
        <v>0.63499644045444603</v>
      </c>
      <c r="AU382" s="1468">
        <f t="shared" si="919"/>
        <v>0.66098475031442716</v>
      </c>
      <c r="AV382" s="1862">
        <f t="shared" si="919"/>
        <v>0.59674734042174604</v>
      </c>
      <c r="AW382" s="1846">
        <f t="shared" si="919"/>
        <v>0.64537151680860594</v>
      </c>
      <c r="AX382" s="1846">
        <f t="shared" si="919"/>
        <v>0.65612389593535414</v>
      </c>
      <c r="AY382" s="1765">
        <f t="shared" si="919"/>
        <v>0.64349137716915461</v>
      </c>
      <c r="AZ382" s="1468">
        <f t="shared" si="919"/>
        <v>0.63671474802991979</v>
      </c>
      <c r="BA382" s="1862">
        <f t="shared" si="918"/>
        <v>0.59339559183454271</v>
      </c>
      <c r="BB382" s="1846">
        <f t="shared" si="918"/>
        <v>0.63928539495968772</v>
      </c>
      <c r="BC382" s="1846">
        <f t="shared" si="918"/>
        <v>0.65360378760808369</v>
      </c>
      <c r="BD382" s="1765">
        <f t="shared" si="918"/>
        <v>0.64841261926366167</v>
      </c>
      <c r="BE382" s="1765">
        <f t="shared" ref="BE382:CF382" si="920">(BE380+BE376)/BE370</f>
        <v>0.63528090177435759</v>
      </c>
      <c r="BF382" s="1846">
        <f t="shared" si="920"/>
        <v>0.57370114957943219</v>
      </c>
      <c r="BG382" s="1846">
        <f t="shared" si="920"/>
        <v>0.64844731926504395</v>
      </c>
      <c r="BH382" s="1846">
        <f t="shared" si="920"/>
        <v>0.65397107360949069</v>
      </c>
      <c r="BI382" s="1765">
        <f t="shared" si="920"/>
        <v>0.64415826952937438</v>
      </c>
      <c r="BJ382" s="1765">
        <f t="shared" si="920"/>
        <v>0.63256611181986189</v>
      </c>
      <c r="BK382" s="1846">
        <f t="shared" si="920"/>
        <v>0.59063798217994679</v>
      </c>
      <c r="BL382" s="1465">
        <f t="shared" si="920"/>
        <v>0.62977679508051554</v>
      </c>
      <c r="BM382" s="1846">
        <f t="shared" si="920"/>
        <v>0.64549803402147654</v>
      </c>
      <c r="BN382" s="1765">
        <f t="shared" si="920"/>
        <v>0.64040730800795254</v>
      </c>
      <c r="BO382" s="1765">
        <f t="shared" si="920"/>
        <v>0.62767056303540836</v>
      </c>
      <c r="BP382" s="1846">
        <f t="shared" si="920"/>
        <v>0.59502510368863204</v>
      </c>
      <c r="BQ382" s="1846">
        <f t="shared" si="920"/>
        <v>0.62747630597842863</v>
      </c>
      <c r="BR382" s="1846">
        <f t="shared" si="920"/>
        <v>0.63459785159924964</v>
      </c>
      <c r="BS382" s="1846">
        <f t="shared" si="920"/>
        <v>0.63530510045134592</v>
      </c>
      <c r="BT382" s="468">
        <f t="shared" si="920"/>
        <v>0.62408307873301128</v>
      </c>
      <c r="BU382" s="1846">
        <f>(BU380+BU376)/BU370</f>
        <v>0.5603917719033632</v>
      </c>
      <c r="BV382" s="1846">
        <f>(BV380+BV376)/BV370</f>
        <v>0.63173960112632088</v>
      </c>
      <c r="BW382" s="1846">
        <f>(BW380+BW376)/BW370</f>
        <v>0.63882753829376882</v>
      </c>
      <c r="BX382" s="1846">
        <f>(BX380+BX376)/BX370</f>
        <v>0.63952929940872383</v>
      </c>
      <c r="BY382" s="468">
        <f>(BY380+BY376)/BY370</f>
        <v>0.62070372324913214</v>
      </c>
      <c r="BZ382" s="468">
        <f t="shared" si="920"/>
        <v>0.63272021552040703</v>
      </c>
      <c r="CA382" s="468">
        <f t="shared" si="920"/>
        <v>0.62904741767561112</v>
      </c>
      <c r="CB382" s="468">
        <f t="shared" si="920"/>
        <v>0.62393590722642267</v>
      </c>
      <c r="CC382" s="468">
        <f t="shared" si="920"/>
        <v>0.61887649308397308</v>
      </c>
      <c r="CD382" s="468">
        <f t="shared" si="920"/>
        <v>0.62150834343153016</v>
      </c>
      <c r="CE382" s="468">
        <f t="shared" si="920"/>
        <v>0.62414043453305357</v>
      </c>
      <c r="CF382" s="468">
        <f t="shared" si="920"/>
        <v>0.62677225250896962</v>
      </c>
      <c r="CG382" s="331"/>
      <c r="CH382" s="331"/>
      <c r="CI382" s="331"/>
      <c r="CJ382" s="331"/>
      <c r="CK382" s="331"/>
      <c r="CL382" s="1310" t="str">
        <f t="shared" si="898"/>
        <v>Margin bef. tax</v>
      </c>
      <c r="CM382" s="469"/>
      <c r="CN382" s="469"/>
      <c r="CO382" s="469">
        <f t="shared" si="899"/>
        <v>0.71606314309901897</v>
      </c>
      <c r="CP382" s="469">
        <f t="shared" si="900"/>
        <v>0.73888805644156008</v>
      </c>
      <c r="CQ382" s="469">
        <f t="shared" si="901"/>
        <v>0.62168531228218005</v>
      </c>
      <c r="CR382" s="469">
        <f t="shared" si="902"/>
        <v>0.59065737763486958</v>
      </c>
      <c r="CS382" s="469">
        <f t="shared" si="903"/>
        <v>0.62334624186633758</v>
      </c>
      <c r="CT382" s="469">
        <f t="shared" si="904"/>
        <v>0.63644358932050982</v>
      </c>
      <c r="CU382" s="469">
        <f t="shared" si="905"/>
        <v>0.66098475031442716</v>
      </c>
      <c r="CV382" s="469">
        <f t="shared" si="906"/>
        <v>0.63671474802991979</v>
      </c>
      <c r="CW382" s="469">
        <f t="shared" si="907"/>
        <v>0.63528090177435759</v>
      </c>
      <c r="CX382" s="469">
        <f t="shared" si="908"/>
        <v>0.63256611181986189</v>
      </c>
      <c r="CY382" s="469">
        <f t="shared" si="909"/>
        <v>0.62767056303540836</v>
      </c>
      <c r="CZ382" s="469">
        <f t="shared" si="910"/>
        <v>0.62408307873301128</v>
      </c>
      <c r="DA382" s="469">
        <f t="shared" si="911"/>
        <v>0.62070372324913214</v>
      </c>
      <c r="DB382" s="469">
        <f t="shared" si="911"/>
        <v>0.63272021552040703</v>
      </c>
      <c r="DC382" s="1463">
        <f t="shared" si="911"/>
        <v>0.62904741767561112</v>
      </c>
      <c r="DD382" s="331"/>
      <c r="DE382" s="331"/>
      <c r="DF382" s="502"/>
      <c r="DG382" s="503"/>
      <c r="DH382" s="469"/>
      <c r="DI382" s="3213"/>
      <c r="DJ382" s="502"/>
      <c r="DK382" s="503"/>
      <c r="DL382" s="502"/>
      <c r="DM382" s="502"/>
      <c r="DN382" s="502"/>
      <c r="DO382" s="502"/>
      <c r="DP382" s="503"/>
      <c r="DQ382" s="503"/>
      <c r="DR382" s="296"/>
      <c r="DS382" s="296"/>
      <c r="DT382" s="296"/>
    </row>
    <row r="383" spans="1:124" ht="12" customHeight="1" x14ac:dyDescent="0.25">
      <c r="A383" s="465" t="s">
        <v>1491</v>
      </c>
      <c r="B383" s="466"/>
      <c r="C383" s="467"/>
      <c r="D383" s="467"/>
      <c r="E383" s="467" t="s">
        <v>553</v>
      </c>
      <c r="F383" s="467" t="s">
        <v>553</v>
      </c>
      <c r="G383" s="468" t="s">
        <v>553</v>
      </c>
      <c r="H383" s="467" t="s">
        <v>553</v>
      </c>
      <c r="I383" s="467" t="s">
        <v>553</v>
      </c>
      <c r="J383" s="467" t="s">
        <v>553</v>
      </c>
      <c r="K383" s="467" t="s">
        <v>553</v>
      </c>
      <c r="L383" s="468" t="s">
        <v>553</v>
      </c>
      <c r="M383" s="467" t="s">
        <v>553</v>
      </c>
      <c r="N383" s="467" t="s">
        <v>553</v>
      </c>
      <c r="O383" s="467" t="s">
        <v>553</v>
      </c>
      <c r="P383" s="467" t="s">
        <v>553</v>
      </c>
      <c r="Q383" s="468" t="s">
        <v>553</v>
      </c>
      <c r="R383" s="467">
        <f t="shared" ref="R383:AA383" si="921">(R380-M380)/M380</f>
        <v>0.41704649042844122</v>
      </c>
      <c r="S383" s="467">
        <f t="shared" si="921"/>
        <v>0.30100574712643685</v>
      </c>
      <c r="T383" s="467">
        <f t="shared" si="921"/>
        <v>0.22751488561579442</v>
      </c>
      <c r="U383" s="467">
        <f t="shared" si="921"/>
        <v>0</v>
      </c>
      <c r="V383" s="468">
        <f t="shared" si="921"/>
        <v>0.22019896962160232</v>
      </c>
      <c r="W383" s="467">
        <f t="shared" si="921"/>
        <v>-5.950466387906081E-2</v>
      </c>
      <c r="X383" s="467">
        <f t="shared" si="921"/>
        <v>-0.41827719491993365</v>
      </c>
      <c r="Y383" s="467">
        <f t="shared" si="921"/>
        <v>-0.10748021444983402</v>
      </c>
      <c r="Z383" s="467">
        <f t="shared" si="921"/>
        <v>-0.28876659112981545</v>
      </c>
      <c r="AA383" s="468">
        <f t="shared" si="921"/>
        <v>-0.21933464366309965</v>
      </c>
      <c r="AB383" s="467">
        <f t="shared" ref="AB383:AU383" si="922">(AB380-W380)/W380</f>
        <v>-0.24213406292749651</v>
      </c>
      <c r="AC383" s="467">
        <f t="shared" si="922"/>
        <v>0.65733270052206916</v>
      </c>
      <c r="AD383" s="467">
        <f t="shared" si="922"/>
        <v>2.5743707093821215E-3</v>
      </c>
      <c r="AE383" s="469">
        <f t="shared" si="922"/>
        <v>0.18070095584888474</v>
      </c>
      <c r="AF383" s="470">
        <f t="shared" si="922"/>
        <v>0.10098843715031706</v>
      </c>
      <c r="AG383" s="467">
        <f>(AG380-AB380)/AB380</f>
        <v>0.34927797833935015</v>
      </c>
      <c r="AH383" s="467">
        <f t="shared" si="922"/>
        <v>2.8064146620847615E-2</v>
      </c>
      <c r="AI383" s="467">
        <f t="shared" si="922"/>
        <v>0.33124108416547804</v>
      </c>
      <c r="AJ383" s="469">
        <f t="shared" si="922"/>
        <v>0.42405551272166542</v>
      </c>
      <c r="AK383" s="470">
        <f t="shared" si="922"/>
        <v>0.26535106292877114</v>
      </c>
      <c r="AL383" s="467">
        <f t="shared" si="922"/>
        <v>3.846153846153838E-2</v>
      </c>
      <c r="AM383" s="467">
        <f t="shared" si="922"/>
        <v>0.1158774373259054</v>
      </c>
      <c r="AN383" s="467">
        <f t="shared" si="922"/>
        <v>4.9937549609087001E-2</v>
      </c>
      <c r="AO383" s="469">
        <f t="shared" si="922"/>
        <v>1.459538708716801E-2</v>
      </c>
      <c r="AP383" s="471">
        <f t="shared" si="922"/>
        <v>5.4747253438821836E-2</v>
      </c>
      <c r="AQ383" s="471">
        <f t="shared" si="922"/>
        <v>0.3188981283758453</v>
      </c>
      <c r="AR383" s="469">
        <f t="shared" si="922"/>
        <v>0.31119227216275619</v>
      </c>
      <c r="AS383" s="469">
        <f t="shared" si="922"/>
        <v>2.5180327101488011E-2</v>
      </c>
      <c r="AT383" s="469">
        <f t="shared" si="922"/>
        <v>-4.9431863164468327E-2</v>
      </c>
      <c r="AU383" s="1689">
        <f t="shared" si="922"/>
        <v>0.13801990258953328</v>
      </c>
      <c r="AV383" s="1730">
        <f t="shared" ref="AV383:BA383" si="923">(AV380-AQ380)/AQ380</f>
        <v>-0.3822885819796642</v>
      </c>
      <c r="AW383" s="1465">
        <f t="shared" si="923"/>
        <v>-0.27391334548373941</v>
      </c>
      <c r="AX383" s="1465">
        <f t="shared" si="923"/>
        <v>-0.12540354021299766</v>
      </c>
      <c r="AY383" s="1868">
        <f t="shared" si="923"/>
        <v>-4.4357675379170992E-2</v>
      </c>
      <c r="AZ383" s="1689">
        <f t="shared" si="923"/>
        <v>-0.21146469601830331</v>
      </c>
      <c r="BA383" s="1730">
        <f t="shared" si="923"/>
        <v>-5.6424689037947562E-2</v>
      </c>
      <c r="BB383" s="1465">
        <f t="shared" ref="BB383:BJ383" si="924">(BB380-AW380)/AW380</f>
        <v>-6.1482719656711815E-2</v>
      </c>
      <c r="BC383" s="1465">
        <f t="shared" si="924"/>
        <v>-2.7085279463839727E-2</v>
      </c>
      <c r="BD383" s="1868">
        <f t="shared" si="924"/>
        <v>0.10746899723705389</v>
      </c>
      <c r="BE383" s="1868">
        <f t="shared" si="924"/>
        <v>-9.2148051199912925E-3</v>
      </c>
      <c r="BF383" s="1465">
        <f t="shared" si="924"/>
        <v>-0.14721356654971274</v>
      </c>
      <c r="BG383" s="1465">
        <f t="shared" si="924"/>
        <v>5.6449145354627667E-2</v>
      </c>
      <c r="BH383" s="1465">
        <f t="shared" si="924"/>
        <v>-5.155760019067937E-3</v>
      </c>
      <c r="BI383" s="1868">
        <f t="shared" si="924"/>
        <v>-5.4555584084703852E-2</v>
      </c>
      <c r="BJ383" s="1868">
        <f t="shared" si="924"/>
        <v>-2.6913464000155807E-2</v>
      </c>
      <c r="BK383" s="1465">
        <f t="shared" ref="BK383:BT383" si="925">(BK380-BF380)/BF380</f>
        <v>0.14434000212998888</v>
      </c>
      <c r="BL383" s="1465">
        <f t="shared" si="925"/>
        <v>-0.11224768557414448</v>
      </c>
      <c r="BM383" s="1465">
        <f t="shared" si="925"/>
        <v>-5.0865564356540868E-2</v>
      </c>
      <c r="BN383" s="1868">
        <f t="shared" si="925"/>
        <v>-1.5907933134734695E-2</v>
      </c>
      <c r="BO383" s="1868">
        <f t="shared" si="925"/>
        <v>-2.9605157569580969E-2</v>
      </c>
      <c r="BP383" s="1465">
        <f t="shared" si="925"/>
        <v>-2.2384808349756185E-2</v>
      </c>
      <c r="BQ383" s="1465">
        <f t="shared" si="925"/>
        <v>-1.4702316378495894E-2</v>
      </c>
      <c r="BR383" s="1465">
        <f t="shared" si="925"/>
        <v>-7.1882037388183218E-2</v>
      </c>
      <c r="BS383" s="1465">
        <f t="shared" si="925"/>
        <v>-4.4887116167795171E-2</v>
      </c>
      <c r="BT383" s="470">
        <f t="shared" si="925"/>
        <v>-4.1499821337057922E-2</v>
      </c>
      <c r="BU383" s="1465">
        <f>(BU380-BP380)/BP380</f>
        <v>-0.24398948970169454</v>
      </c>
      <c r="BV383" s="1465">
        <f>(BV380-BQ380)/BQ380</f>
        <v>1.2974226361783109E-2</v>
      </c>
      <c r="BW383" s="1465">
        <f>(BW380-BR380)/BR380</f>
        <v>1.1925893346020337E-2</v>
      </c>
      <c r="BX383" s="1465">
        <f>(BX380-BS380)/BS380</f>
        <v>1.1828871793011451E-2</v>
      </c>
      <c r="BY383" s="470">
        <f>(BY380-BT380)/BT380</f>
        <v>-3.3783446875609649E-2</v>
      </c>
      <c r="BZ383" s="470">
        <f t="shared" ref="BZ383:CF383" si="926">(BZ380-BY380)/BY380</f>
        <v>6.8649355590490138E-2</v>
      </c>
      <c r="CA383" s="470">
        <f t="shared" si="926"/>
        <v>-1.6194907117114209E-2</v>
      </c>
      <c r="CB383" s="470">
        <f t="shared" si="926"/>
        <v>-5.270450320567005E-2</v>
      </c>
      <c r="CC383" s="470">
        <f t="shared" si="926"/>
        <v>-5.1801904830412325E-2</v>
      </c>
      <c r="CD383" s="470">
        <f t="shared" si="926"/>
        <v>2.3812436143325209E-2</v>
      </c>
      <c r="CE383" s="470">
        <f t="shared" si="926"/>
        <v>2.3893874026046407E-2</v>
      </c>
      <c r="CF383" s="470">
        <f t="shared" si="926"/>
        <v>2.3970806943973858E-2</v>
      </c>
      <c r="CG383" s="331"/>
      <c r="CH383" s="331"/>
      <c r="CI383" s="331"/>
      <c r="CJ383" s="331"/>
      <c r="CK383" s="331"/>
      <c r="CL383" s="1310" t="str">
        <f t="shared" si="898"/>
        <v>% growth (y-o-y)</v>
      </c>
      <c r="CM383" s="469" t="str">
        <f>G383</f>
        <v xml:space="preserve">n/a </v>
      </c>
      <c r="CN383" s="469" t="str">
        <f>L383</f>
        <v xml:space="preserve">n/a </v>
      </c>
      <c r="CO383" s="469" t="str">
        <f t="shared" si="899"/>
        <v xml:space="preserve">n/a </v>
      </c>
      <c r="CP383" s="469">
        <f t="shared" si="900"/>
        <v>0.22019896962160232</v>
      </c>
      <c r="CQ383" s="469">
        <f t="shared" si="901"/>
        <v>-0.21933464366309965</v>
      </c>
      <c r="CR383" s="469">
        <f t="shared" si="902"/>
        <v>0.10098843715031706</v>
      </c>
      <c r="CS383" s="469">
        <f t="shared" si="903"/>
        <v>0.26535106292877114</v>
      </c>
      <c r="CT383" s="469">
        <f t="shared" si="904"/>
        <v>5.4747253438821836E-2</v>
      </c>
      <c r="CU383" s="469">
        <f t="shared" si="905"/>
        <v>0.13801990258953328</v>
      </c>
      <c r="CV383" s="469">
        <f t="shared" si="906"/>
        <v>-0.21146469601830331</v>
      </c>
      <c r="CW383" s="469">
        <f t="shared" si="907"/>
        <v>-9.2148051199912925E-3</v>
      </c>
      <c r="CX383" s="469">
        <f t="shared" si="908"/>
        <v>-2.6913464000155807E-2</v>
      </c>
      <c r="CY383" s="469">
        <f t="shared" si="909"/>
        <v>-2.9605157569580969E-2</v>
      </c>
      <c r="CZ383" s="469">
        <f t="shared" si="910"/>
        <v>-4.1499821337057922E-2</v>
      </c>
      <c r="DA383" s="469">
        <f t="shared" si="911"/>
        <v>-3.3783446875609649E-2</v>
      </c>
      <c r="DB383" s="469">
        <f t="shared" si="911"/>
        <v>6.8649355590490138E-2</v>
      </c>
      <c r="DC383" s="1463">
        <f t="shared" si="911"/>
        <v>-1.6194907117114209E-2</v>
      </c>
      <c r="DD383" s="331"/>
      <c r="DE383" s="331"/>
      <c r="DF383" s="502"/>
      <c r="DG383" s="503"/>
      <c r="DH383" s="469"/>
      <c r="DI383" s="3213"/>
      <c r="DJ383" s="502"/>
      <c r="DK383" s="503"/>
      <c r="DL383" s="502"/>
      <c r="DM383" s="502"/>
      <c r="DN383" s="502"/>
      <c r="DO383" s="502"/>
      <c r="DP383" s="503"/>
      <c r="DQ383" s="503"/>
      <c r="DR383" s="296"/>
      <c r="DS383" s="296"/>
      <c r="DT383" s="296"/>
    </row>
    <row r="384" spans="1:124" ht="12" customHeight="1" x14ac:dyDescent="0.25">
      <c r="A384" s="311" t="s">
        <v>2197</v>
      </c>
      <c r="B384" s="311"/>
      <c r="C384" s="565"/>
      <c r="D384" s="565"/>
      <c r="E384" s="565">
        <v>4.2000000000000003E-2</v>
      </c>
      <c r="F384" s="565">
        <v>4.2000000000000003E-2</v>
      </c>
      <c r="G384" s="447">
        <f>SUM(C384:F384)</f>
        <v>8.4000000000000005E-2</v>
      </c>
      <c r="H384" s="565">
        <v>4.3999999999999997E-2</v>
      </c>
      <c r="I384" s="565">
        <v>4.2999999999999997E-2</v>
      </c>
      <c r="J384" s="565">
        <v>4.2999999999999997E-2</v>
      </c>
      <c r="K384" s="565">
        <v>0.72899999999999998</v>
      </c>
      <c r="L384" s="447">
        <f>SUM(H384:K384)</f>
        <v>0.85899999999999999</v>
      </c>
      <c r="M384" s="565">
        <v>0.86099999999999999</v>
      </c>
      <c r="N384" s="565">
        <v>0.98699999999999999</v>
      </c>
      <c r="O384" s="565">
        <v>1.0609999999999999</v>
      </c>
      <c r="P384" s="565">
        <v>1.0169999999999999</v>
      </c>
      <c r="Q384" s="447">
        <f>SUM(M384:P384)</f>
        <v>3.9259999999999997</v>
      </c>
      <c r="R384" s="565">
        <v>1.0509999999999999</v>
      </c>
      <c r="S384" s="565">
        <v>1.0660000000000001</v>
      </c>
      <c r="T384" s="565">
        <v>1.0469999999999999</v>
      </c>
      <c r="U384" s="565">
        <v>1.05</v>
      </c>
      <c r="V384" s="447">
        <f>SUM(R384:U384)</f>
        <v>4.2139999999999995</v>
      </c>
      <c r="W384" s="565">
        <v>1.1499999999999999</v>
      </c>
      <c r="X384" s="565">
        <v>0.86799999999999999</v>
      </c>
      <c r="Y384" s="565">
        <v>2.952</v>
      </c>
      <c r="Z384" s="565">
        <v>3.0219999999999998</v>
      </c>
      <c r="AA384" s="447">
        <f>SUM(W384:Z384)</f>
        <v>7.9919999999999991</v>
      </c>
      <c r="AB384" s="565">
        <v>3.0670000000000002</v>
      </c>
      <c r="AC384" s="565">
        <v>3.9540000000000002</v>
      </c>
      <c r="AD384" s="565">
        <v>3.4249999999999998</v>
      </c>
      <c r="AE384" s="563">
        <v>3.4279999999999999</v>
      </c>
      <c r="AF384" s="455">
        <f>SUM(AB384:AE384)</f>
        <v>13.874000000000002</v>
      </c>
      <c r="AG384" s="565">
        <v>3.3969999999999998</v>
      </c>
      <c r="AH384" s="565">
        <v>3.4780000000000002</v>
      </c>
      <c r="AI384" s="565">
        <v>3.5790000000000002</v>
      </c>
      <c r="AJ384" s="565">
        <v>3.39</v>
      </c>
      <c r="AK384" s="455">
        <f>SUM(AG384:AJ384)</f>
        <v>13.844000000000001</v>
      </c>
      <c r="AL384" s="565">
        <v>3.2269999999999999</v>
      </c>
      <c r="AM384" s="565">
        <v>3.2639999999999998</v>
      </c>
      <c r="AN384" s="674">
        <f>AM384</f>
        <v>3.2639999999999998</v>
      </c>
      <c r="AO384" s="446">
        <f>AN384</f>
        <v>3.2639999999999998</v>
      </c>
      <c r="AP384" s="456">
        <f>SUM(AL384:AO384)</f>
        <v>13.018999999999998</v>
      </c>
      <c r="AQ384" s="456">
        <f>+AO384</f>
        <v>3.2639999999999998</v>
      </c>
      <c r="AR384" s="454">
        <f>AQ384</f>
        <v>3.2639999999999998</v>
      </c>
      <c r="AS384" s="454">
        <f>AR384</f>
        <v>3.2639999999999998</v>
      </c>
      <c r="AT384" s="454">
        <f>AS384</f>
        <v>3.2639999999999998</v>
      </c>
      <c r="AU384" s="1693">
        <f>SUM(AQ384:AT384)</f>
        <v>13.055999999999999</v>
      </c>
      <c r="AV384" s="456">
        <f>+AT384</f>
        <v>3.2639999999999998</v>
      </c>
      <c r="AW384" s="454">
        <f>AV384</f>
        <v>3.2639999999999998</v>
      </c>
      <c r="AX384" s="454">
        <f>AW384</f>
        <v>3.2639999999999998</v>
      </c>
      <c r="AY384" s="1666">
        <f>AX384</f>
        <v>3.2639999999999998</v>
      </c>
      <c r="AZ384" s="1693">
        <f>SUM(AV384:AY384)</f>
        <v>13.055999999999999</v>
      </c>
      <c r="BA384" s="456">
        <f>+AY384</f>
        <v>3.2639999999999998</v>
      </c>
      <c r="BB384" s="454">
        <f>BA384</f>
        <v>3.2639999999999998</v>
      </c>
      <c r="BC384" s="454">
        <f>BB384</f>
        <v>3.2639999999999998</v>
      </c>
      <c r="BD384" s="1666">
        <f>BC384</f>
        <v>3.2639999999999998</v>
      </c>
      <c r="BE384" s="1864">
        <f>SUM(BA384:BD384)</f>
        <v>13.055999999999999</v>
      </c>
      <c r="BF384" s="454">
        <f>BD384</f>
        <v>3.2639999999999998</v>
      </c>
      <c r="BG384" s="454">
        <f>BF384</f>
        <v>3.2639999999999998</v>
      </c>
      <c r="BH384" s="454">
        <f>BG384</f>
        <v>3.2639999999999998</v>
      </c>
      <c r="BI384" s="1666">
        <f>BH384</f>
        <v>3.2639999999999998</v>
      </c>
      <c r="BJ384" s="1864">
        <f>SUM(BF384:BI384)</f>
        <v>13.055999999999999</v>
      </c>
      <c r="BK384" s="454">
        <f>BJ384/4</f>
        <v>3.2639999999999998</v>
      </c>
      <c r="BL384" s="454">
        <f>BK384</f>
        <v>3.2639999999999998</v>
      </c>
      <c r="BM384" s="454">
        <f>BL384</f>
        <v>3.2639999999999998</v>
      </c>
      <c r="BN384" s="1666">
        <f>BM384</f>
        <v>3.2639999999999998</v>
      </c>
      <c r="BO384" s="1864">
        <f>SUM(BK384:BN384)</f>
        <v>13.055999999999999</v>
      </c>
      <c r="BP384" s="454">
        <f>+BN384</f>
        <v>3.2639999999999998</v>
      </c>
      <c r="BQ384" s="454">
        <f>BP384</f>
        <v>3.2639999999999998</v>
      </c>
      <c r="BR384" s="454">
        <f>BQ384</f>
        <v>3.2639999999999998</v>
      </c>
      <c r="BS384" s="454">
        <f>BR384</f>
        <v>3.2639999999999998</v>
      </c>
      <c r="BT384" s="3066">
        <f>SUM(BP384:BS384)</f>
        <v>13.055999999999999</v>
      </c>
      <c r="BU384" s="2915">
        <f>+BS384</f>
        <v>3.2639999999999998</v>
      </c>
      <c r="BV384" s="2915">
        <f>BU384</f>
        <v>3.2639999999999998</v>
      </c>
      <c r="BW384" s="2915">
        <f>BV384</f>
        <v>3.2639999999999998</v>
      </c>
      <c r="BX384" s="2915">
        <f>BW384</f>
        <v>3.2639999999999998</v>
      </c>
      <c r="BY384" s="3066">
        <f>SUM(BU384:BX384)</f>
        <v>13.055999999999999</v>
      </c>
      <c r="BZ384" s="455">
        <f t="shared" ref="BZ384:CF384" si="927">BY384</f>
        <v>13.055999999999999</v>
      </c>
      <c r="CA384" s="455">
        <f t="shared" si="927"/>
        <v>13.055999999999999</v>
      </c>
      <c r="CB384" s="455">
        <f t="shared" si="927"/>
        <v>13.055999999999999</v>
      </c>
      <c r="CC384" s="455">
        <f t="shared" si="927"/>
        <v>13.055999999999999</v>
      </c>
      <c r="CD384" s="455">
        <f t="shared" si="927"/>
        <v>13.055999999999999</v>
      </c>
      <c r="CE384" s="455">
        <f t="shared" si="927"/>
        <v>13.055999999999999</v>
      </c>
      <c r="CF384" s="455">
        <f t="shared" si="927"/>
        <v>13.055999999999999</v>
      </c>
      <c r="CG384" s="331"/>
      <c r="CH384" s="331"/>
      <c r="CI384" s="331"/>
      <c r="CJ384" s="331"/>
      <c r="CK384" s="331"/>
      <c r="CL384" s="528" t="str">
        <f t="shared" si="898"/>
        <v>Depreciation and amortization</v>
      </c>
      <c r="CM384" s="454">
        <f>G384</f>
        <v>8.4000000000000005E-2</v>
      </c>
      <c r="CN384" s="454">
        <f>L384</f>
        <v>0.85899999999999999</v>
      </c>
      <c r="CO384" s="454">
        <f t="shared" si="899"/>
        <v>3.9259999999999997</v>
      </c>
      <c r="CP384" s="454">
        <f t="shared" si="900"/>
        <v>4.2139999999999995</v>
      </c>
      <c r="CQ384" s="454">
        <f t="shared" si="901"/>
        <v>7.9919999999999991</v>
      </c>
      <c r="CR384" s="454">
        <f t="shared" si="902"/>
        <v>13.874000000000002</v>
      </c>
      <c r="CS384" s="454">
        <f t="shared" si="903"/>
        <v>13.844000000000001</v>
      </c>
      <c r="CT384" s="454">
        <f t="shared" si="904"/>
        <v>13.018999999999998</v>
      </c>
      <c r="CU384" s="454">
        <f t="shared" si="905"/>
        <v>13.055999999999999</v>
      </c>
      <c r="CV384" s="454">
        <f t="shared" si="906"/>
        <v>13.055999999999999</v>
      </c>
      <c r="CW384" s="454">
        <f t="shared" si="907"/>
        <v>13.055999999999999</v>
      </c>
      <c r="CX384" s="454">
        <f t="shared" si="908"/>
        <v>13.055999999999999</v>
      </c>
      <c r="CY384" s="454">
        <f t="shared" si="909"/>
        <v>13.055999999999999</v>
      </c>
      <c r="CZ384" s="454">
        <f t="shared" si="910"/>
        <v>13.055999999999999</v>
      </c>
      <c r="DA384" s="454">
        <f t="shared" si="911"/>
        <v>13.055999999999999</v>
      </c>
      <c r="DB384" s="454">
        <f t="shared" si="911"/>
        <v>13.055999999999999</v>
      </c>
      <c r="DC384" s="1666">
        <f t="shared" si="911"/>
        <v>13.055999999999999</v>
      </c>
      <c r="DD384" s="331"/>
      <c r="DE384" s="331"/>
      <c r="DF384" s="502"/>
      <c r="DG384" s="503"/>
      <c r="DH384" s="2915"/>
      <c r="DI384" s="3213"/>
      <c r="DJ384" s="502"/>
      <c r="DK384" s="503"/>
      <c r="DL384" s="502"/>
      <c r="DM384" s="502"/>
      <c r="DN384" s="502"/>
      <c r="DO384" s="502"/>
      <c r="DP384" s="503"/>
      <c r="DQ384" s="503"/>
      <c r="DR384" s="296"/>
      <c r="DS384" s="296"/>
      <c r="DT384" s="296"/>
    </row>
    <row r="385" spans="1:124" ht="12" customHeight="1" x14ac:dyDescent="0.25">
      <c r="A385" s="465" t="s">
        <v>646</v>
      </c>
      <c r="B385" s="466"/>
      <c r="C385" s="467"/>
      <c r="D385" s="467"/>
      <c r="E385" s="467" t="s">
        <v>553</v>
      </c>
      <c r="F385" s="467" t="s">
        <v>553</v>
      </c>
      <c r="G385" s="468" t="s">
        <v>553</v>
      </c>
      <c r="H385" s="467" t="s">
        <v>553</v>
      </c>
      <c r="I385" s="467" t="s">
        <v>553</v>
      </c>
      <c r="J385" s="467" t="s">
        <v>553</v>
      </c>
      <c r="K385" s="467" t="s">
        <v>553</v>
      </c>
      <c r="L385" s="468" t="s">
        <v>553</v>
      </c>
      <c r="M385" s="467">
        <f t="shared" ref="M385:AA385" si="928">M384/M370</f>
        <v>9.885189437428242E-2</v>
      </c>
      <c r="N385" s="467">
        <f t="shared" si="928"/>
        <v>9.7684085510688842E-2</v>
      </c>
      <c r="O385" s="467">
        <f t="shared" si="928"/>
        <v>9.4842227585590411E-2</v>
      </c>
      <c r="P385" s="467">
        <f t="shared" si="928"/>
        <v>9.3560257589696411E-2</v>
      </c>
      <c r="Q385" s="468">
        <f t="shared" si="928"/>
        <v>9.6058329867142966E-2</v>
      </c>
      <c r="R385" s="467">
        <f t="shared" si="928"/>
        <v>9.575437317784255E-2</v>
      </c>
      <c r="S385" s="467">
        <f t="shared" si="928"/>
        <v>8.8944513975803094E-2</v>
      </c>
      <c r="T385" s="467">
        <f t="shared" si="928"/>
        <v>8.2610067855452107E-2</v>
      </c>
      <c r="U385" s="467">
        <f t="shared" si="928"/>
        <v>9.4988239551293652E-2</v>
      </c>
      <c r="V385" s="468">
        <f t="shared" si="928"/>
        <v>9.0256805671571447E-2</v>
      </c>
      <c r="W385" s="467">
        <f t="shared" si="928"/>
        <v>0.10747663551401869</v>
      </c>
      <c r="X385" s="467">
        <f t="shared" si="928"/>
        <v>7.1866203013743996E-2</v>
      </c>
      <c r="Y385" s="467">
        <f t="shared" si="928"/>
        <v>0.15961070559610704</v>
      </c>
      <c r="Z385" s="467">
        <f t="shared" si="928"/>
        <v>0.20831322809678085</v>
      </c>
      <c r="AA385" s="468">
        <f t="shared" si="928"/>
        <v>0.14327716027249909</v>
      </c>
      <c r="AB385" s="467">
        <f t="shared" ref="AB385:AU385" si="929">AB384/AB370</f>
        <v>0.21350504698920988</v>
      </c>
      <c r="AC385" s="467">
        <f t="shared" si="929"/>
        <v>0.22953674677812611</v>
      </c>
      <c r="AD385" s="467">
        <f t="shared" si="929"/>
        <v>0.17735086992543495</v>
      </c>
      <c r="AE385" s="469">
        <f t="shared" si="929"/>
        <v>0.21065568733484913</v>
      </c>
      <c r="AF385" s="470">
        <f t="shared" si="929"/>
        <v>0.20653209479576043</v>
      </c>
      <c r="AG385" s="467">
        <f>AG384/AG370</f>
        <v>0.20936825885978425</v>
      </c>
      <c r="AH385" s="467">
        <f t="shared" si="929"/>
        <v>0.19827831936605667</v>
      </c>
      <c r="AI385" s="467">
        <f t="shared" si="929"/>
        <v>0.17807742063886955</v>
      </c>
      <c r="AJ385" s="469">
        <f t="shared" si="929"/>
        <v>0.20388524688759249</v>
      </c>
      <c r="AK385" s="470">
        <f t="shared" si="929"/>
        <v>0.19639386588358798</v>
      </c>
      <c r="AL385" s="467">
        <f t="shared" si="929"/>
        <v>0.21106678003793578</v>
      </c>
      <c r="AM385" s="467">
        <f t="shared" si="929"/>
        <v>0.1888998205914694</v>
      </c>
      <c r="AN385" s="467">
        <f t="shared" si="929"/>
        <v>0.1655504318902897</v>
      </c>
      <c r="AO385" s="469">
        <f t="shared" si="929"/>
        <v>0.19927026021899241</v>
      </c>
      <c r="AP385" s="471">
        <f t="shared" si="929"/>
        <v>0.18960497186208841</v>
      </c>
      <c r="AQ385" s="471">
        <f t="shared" si="929"/>
        <v>0.18902807579629483</v>
      </c>
      <c r="AR385" s="469">
        <f t="shared" si="929"/>
        <v>0.16526092604081422</v>
      </c>
      <c r="AS385" s="469">
        <f t="shared" si="929"/>
        <v>0.1707088263641317</v>
      </c>
      <c r="AT385" s="469">
        <f t="shared" si="929"/>
        <v>0.20970984987481411</v>
      </c>
      <c r="AU385" s="1689">
        <f t="shared" si="929"/>
        <v>0.18208570115708123</v>
      </c>
      <c r="AV385" s="1730">
        <f t="shared" ref="AV385:BJ385" si="930">AV384/AV370</f>
        <v>0.22575886471147583</v>
      </c>
      <c r="AW385" s="1465">
        <f t="shared" si="930"/>
        <v>0.2011542999233227</v>
      </c>
      <c r="AX385" s="1465">
        <f t="shared" si="930"/>
        <v>0.18622443965037289</v>
      </c>
      <c r="AY385" s="1868">
        <f t="shared" si="930"/>
        <v>0.22758794725794243</v>
      </c>
      <c r="AZ385" s="1689">
        <f t="shared" si="930"/>
        <v>0.20871833972997331</v>
      </c>
      <c r="BA385" s="1730">
        <f t="shared" si="930"/>
        <v>0.23467559113174313</v>
      </c>
      <c r="BB385" s="1465">
        <f t="shared" si="930"/>
        <v>0.2087821460306333</v>
      </c>
      <c r="BC385" s="1465">
        <f t="shared" si="930"/>
        <v>0.18948403244102596</v>
      </c>
      <c r="BD385" s="1868">
        <f t="shared" si="930"/>
        <v>0.20976292066137459</v>
      </c>
      <c r="BE385" s="1868">
        <f t="shared" si="930"/>
        <v>0.20947168652311815</v>
      </c>
      <c r="BF385" s="1465">
        <f t="shared" si="930"/>
        <v>0.2436063616795866</v>
      </c>
      <c r="BG385" s="1465">
        <f t="shared" si="930"/>
        <v>0.20553455627691111</v>
      </c>
      <c r="BH385" s="1465">
        <f t="shared" si="930"/>
        <v>0.19119507209506512</v>
      </c>
      <c r="BI385" s="1868">
        <f t="shared" si="930"/>
        <v>0.22114701768326706</v>
      </c>
      <c r="BJ385" s="1868">
        <f t="shared" si="930"/>
        <v>0.21364686336545222</v>
      </c>
      <c r="BK385" s="1465">
        <f t="shared" ref="BK385:BT385" si="931">BK384/BK370</f>
        <v>0.23392789277422332</v>
      </c>
      <c r="BL385" s="1465">
        <f t="shared" si="931"/>
        <v>0.21645024008197214</v>
      </c>
      <c r="BM385" s="1465">
        <f t="shared" si="931"/>
        <v>0.1958767714887929</v>
      </c>
      <c r="BN385" s="1868">
        <f t="shared" si="931"/>
        <v>0.22126549448290775</v>
      </c>
      <c r="BO385" s="1868">
        <f t="shared" si="931"/>
        <v>0.21598821277874272</v>
      </c>
      <c r="BP385" s="1465">
        <f t="shared" si="931"/>
        <v>0.25018475023598419</v>
      </c>
      <c r="BQ385" s="1465">
        <f t="shared" si="931"/>
        <v>0.21779521633369298</v>
      </c>
      <c r="BR385" s="1465">
        <f t="shared" si="931"/>
        <v>0.20393895568832715</v>
      </c>
      <c r="BS385" s="1465">
        <f t="shared" si="931"/>
        <v>0.22898469171396918</v>
      </c>
      <c r="BT385" s="470">
        <f t="shared" si="931"/>
        <v>0.22397611091504568</v>
      </c>
      <c r="BU385" s="1465">
        <f t="shared" ref="BU385:CF385" si="932">BU384/BU370</f>
        <v>0.27432371223276308</v>
      </c>
      <c r="BV385" s="1465">
        <f t="shared" si="932"/>
        <v>0.21969662197850895</v>
      </c>
      <c r="BW385" s="1465">
        <f t="shared" si="932"/>
        <v>0.20569211708955903</v>
      </c>
      <c r="BX385" s="1465">
        <f t="shared" si="932"/>
        <v>0.23095142959046888</v>
      </c>
      <c r="BY385" s="470">
        <f t="shared" si="932"/>
        <v>0.23003564571537266</v>
      </c>
      <c r="BZ385" s="470">
        <f t="shared" si="932"/>
        <v>0.22613998195132437</v>
      </c>
      <c r="CA385" s="470">
        <f t="shared" si="932"/>
        <v>0.22613998195132437</v>
      </c>
      <c r="CB385" s="470">
        <f t="shared" si="932"/>
        <v>0.23634645272404539</v>
      </c>
      <c r="CC385" s="470">
        <f t="shared" si="932"/>
        <v>0.2469341879065228</v>
      </c>
      <c r="CD385" s="470">
        <f t="shared" si="932"/>
        <v>0.24280097286652857</v>
      </c>
      <c r="CE385" s="470">
        <f t="shared" si="932"/>
        <v>0.23872524389439692</v>
      </c>
      <c r="CF385" s="470">
        <f t="shared" si="932"/>
        <v>0.23470659249995304</v>
      </c>
      <c r="CG385" s="331"/>
      <c r="CH385" s="331"/>
      <c r="CI385" s="331"/>
      <c r="CJ385" s="331"/>
      <c r="CK385" s="331"/>
      <c r="CL385" s="1310" t="str">
        <f t="shared" si="898"/>
        <v>% of Net revenue</v>
      </c>
      <c r="CM385" s="469" t="str">
        <f>G385</f>
        <v xml:space="preserve">n/a </v>
      </c>
      <c r="CN385" s="469" t="str">
        <f>L385</f>
        <v xml:space="preserve">n/a </v>
      </c>
      <c r="CO385" s="469">
        <f t="shared" si="899"/>
        <v>9.6058329867142966E-2</v>
      </c>
      <c r="CP385" s="469">
        <f t="shared" si="900"/>
        <v>9.0256805671571447E-2</v>
      </c>
      <c r="CQ385" s="469">
        <f t="shared" si="901"/>
        <v>0.14327716027249909</v>
      </c>
      <c r="CR385" s="469">
        <f t="shared" si="902"/>
        <v>0.20653209479576043</v>
      </c>
      <c r="CS385" s="469">
        <f t="shared" si="903"/>
        <v>0.19639386588358798</v>
      </c>
      <c r="CT385" s="469">
        <f t="shared" si="904"/>
        <v>0.18960497186208841</v>
      </c>
      <c r="CU385" s="469">
        <f t="shared" si="905"/>
        <v>0.18208570115708123</v>
      </c>
      <c r="CV385" s="469">
        <f t="shared" si="906"/>
        <v>0.20871833972997331</v>
      </c>
      <c r="CW385" s="469">
        <f t="shared" si="907"/>
        <v>0.20947168652311815</v>
      </c>
      <c r="CX385" s="469">
        <f t="shared" si="908"/>
        <v>0.21364686336545222</v>
      </c>
      <c r="CY385" s="469">
        <f t="shared" si="909"/>
        <v>0.21598821277874272</v>
      </c>
      <c r="CZ385" s="469">
        <f t="shared" si="910"/>
        <v>0.22397611091504568</v>
      </c>
      <c r="DA385" s="469">
        <f t="shared" si="911"/>
        <v>0.23003564571537266</v>
      </c>
      <c r="DB385" s="469">
        <f t="shared" si="911"/>
        <v>0.22613998195132437</v>
      </c>
      <c r="DC385" s="1463">
        <f t="shared" si="911"/>
        <v>0.22613998195132437</v>
      </c>
      <c r="DD385" s="331"/>
      <c r="DE385" s="331"/>
      <c r="DF385" s="502"/>
      <c r="DG385" s="503"/>
      <c r="DH385" s="469"/>
      <c r="DI385" s="3213"/>
      <c r="DJ385" s="502"/>
      <c r="DK385" s="503"/>
      <c r="DL385" s="502"/>
      <c r="DM385" s="502"/>
      <c r="DN385" s="502"/>
      <c r="DO385" s="502"/>
      <c r="DP385" s="503"/>
      <c r="DQ385" s="503"/>
      <c r="DR385" s="296"/>
      <c r="DS385" s="296"/>
      <c r="DT385" s="296"/>
    </row>
    <row r="386" spans="1:124" ht="12" customHeight="1" x14ac:dyDescent="0.25">
      <c r="A386" s="465"/>
      <c r="B386" s="466"/>
      <c r="C386" s="467"/>
      <c r="D386" s="467"/>
      <c r="E386" s="467"/>
      <c r="F386" s="467"/>
      <c r="G386" s="468"/>
      <c r="H386" s="467"/>
      <c r="I386" s="467"/>
      <c r="J386" s="467"/>
      <c r="K386" s="467"/>
      <c r="L386" s="468"/>
      <c r="M386" s="467"/>
      <c r="N386" s="467"/>
      <c r="O386" s="467"/>
      <c r="P386" s="467"/>
      <c r="Q386" s="468"/>
      <c r="R386" s="467"/>
      <c r="S386" s="467"/>
      <c r="T386" s="467"/>
      <c r="U386" s="467"/>
      <c r="V386" s="468"/>
      <c r="W386" s="467"/>
      <c r="X386" s="467"/>
      <c r="Y386" s="467"/>
      <c r="Z386" s="467"/>
      <c r="AA386" s="468"/>
      <c r="AB386" s="467"/>
      <c r="AC386" s="467"/>
      <c r="AD386" s="467"/>
      <c r="AE386" s="469"/>
      <c r="AF386" s="470"/>
      <c r="AG386" s="467"/>
      <c r="AH386" s="467"/>
      <c r="AI386" s="467"/>
      <c r="AJ386" s="469"/>
      <c r="AK386" s="470"/>
      <c r="AL386" s="467"/>
      <c r="AM386" s="467"/>
      <c r="AN386" s="467"/>
      <c r="AO386" s="469"/>
      <c r="AP386" s="471"/>
      <c r="AQ386" s="471"/>
      <c r="AR386" s="469"/>
      <c r="AS386" s="469"/>
      <c r="AT386" s="469"/>
      <c r="AU386" s="470"/>
      <c r="AV386" s="471"/>
      <c r="AW386" s="469"/>
      <c r="AX386" s="469"/>
      <c r="AY386" s="1463"/>
      <c r="AZ386" s="470"/>
      <c r="BA386" s="471"/>
      <c r="BB386" s="469"/>
      <c r="BC386" s="469"/>
      <c r="BD386" s="1463"/>
      <c r="BE386" s="1463"/>
      <c r="BF386" s="469"/>
      <c r="BG386" s="469"/>
      <c r="BH386" s="469"/>
      <c r="BI386" s="1463"/>
      <c r="BJ386" s="1463"/>
      <c r="BK386" s="469"/>
      <c r="BL386" s="469"/>
      <c r="BM386" s="469"/>
      <c r="BN386" s="1463"/>
      <c r="BO386" s="1463"/>
      <c r="BP386" s="469"/>
      <c r="BQ386" s="469"/>
      <c r="BR386" s="469"/>
      <c r="BS386" s="469"/>
      <c r="BT386" s="470"/>
      <c r="BU386" s="471"/>
      <c r="BV386" s="469"/>
      <c r="BW386" s="469"/>
      <c r="BX386" s="469"/>
      <c r="BY386" s="470"/>
      <c r="BZ386" s="470"/>
      <c r="CA386" s="470"/>
      <c r="CB386" s="470"/>
      <c r="CC386" s="470"/>
      <c r="CD386" s="470"/>
      <c r="CE386" s="470"/>
      <c r="CF386" s="470"/>
      <c r="CG386" s="492"/>
      <c r="CH386" s="492"/>
      <c r="CI386" s="492"/>
      <c r="CJ386" s="492"/>
      <c r="CK386" s="492"/>
      <c r="CL386" s="1310"/>
      <c r="CM386" s="469"/>
      <c r="CN386" s="469"/>
      <c r="CO386" s="469"/>
      <c r="CP386" s="469"/>
      <c r="CQ386" s="469"/>
      <c r="CR386" s="469"/>
      <c r="CS386" s="469"/>
      <c r="CT386" s="469"/>
      <c r="CU386" s="469"/>
      <c r="CV386" s="469"/>
      <c r="CW386" s="469"/>
      <c r="CX386" s="469"/>
      <c r="CY386" s="469"/>
      <c r="CZ386" s="469"/>
      <c r="DA386" s="469"/>
      <c r="DB386" s="469"/>
      <c r="DC386" s="1463"/>
      <c r="DD386" s="492"/>
      <c r="DE386" s="492"/>
      <c r="DF386" s="962"/>
      <c r="DG386" s="962"/>
      <c r="DH386" s="469"/>
      <c r="DI386" s="3213"/>
      <c r="DJ386" s="962"/>
      <c r="DK386" s="962"/>
      <c r="DL386" s="962"/>
      <c r="DM386" s="962"/>
      <c r="DN386" s="962"/>
      <c r="DO386" s="962"/>
      <c r="DP386" s="962"/>
      <c r="DQ386" s="962"/>
      <c r="DR386" s="963"/>
      <c r="DS386" s="963"/>
      <c r="DT386" s="963"/>
    </row>
    <row r="387" spans="1:124" ht="12" customHeight="1" x14ac:dyDescent="0.25">
      <c r="A387" s="2125" t="s">
        <v>1549</v>
      </c>
      <c r="B387" s="428"/>
      <c r="C387" s="502"/>
      <c r="D387" s="502"/>
      <c r="E387" s="502"/>
      <c r="F387" s="502"/>
      <c r="G387" s="534"/>
      <c r="H387" s="502"/>
      <c r="I387" s="502"/>
      <c r="J387" s="502"/>
      <c r="K387" s="502"/>
      <c r="L387" s="534"/>
      <c r="M387" s="502"/>
      <c r="N387" s="502"/>
      <c r="O387" s="502"/>
      <c r="P387" s="502"/>
      <c r="Q387" s="534"/>
      <c r="R387" s="502"/>
      <c r="S387" s="502"/>
      <c r="T387" s="502"/>
      <c r="U387" s="502"/>
      <c r="V387" s="534"/>
      <c r="W387" s="502"/>
      <c r="X387" s="502"/>
      <c r="Y387" s="502"/>
      <c r="Z387" s="502"/>
      <c r="AA387" s="534"/>
      <c r="AB387" s="502"/>
      <c r="AC387" s="502"/>
      <c r="AD387" s="502"/>
      <c r="AE387" s="502"/>
      <c r="AF387" s="534"/>
      <c r="AG387" s="502"/>
      <c r="AH387" s="502"/>
      <c r="AI387" s="502"/>
      <c r="AJ387" s="502"/>
      <c r="AK387" s="534"/>
      <c r="AL387" s="503"/>
      <c r="AM387" s="503"/>
      <c r="AN387" s="503"/>
      <c r="AO387" s="503"/>
      <c r="AP387" s="535"/>
      <c r="AQ387" s="535"/>
      <c r="AR387" s="537"/>
      <c r="AS387" s="537"/>
      <c r="AT387" s="537"/>
      <c r="AU387" s="536"/>
      <c r="AV387" s="535"/>
      <c r="AW387" s="537"/>
      <c r="AX387" s="537"/>
      <c r="AY387" s="1926"/>
      <c r="AZ387" s="536"/>
      <c r="BA387" s="535"/>
      <c r="BB387" s="537"/>
      <c r="BC387" s="537"/>
      <c r="BD387" s="1926"/>
      <c r="BE387" s="1926"/>
      <c r="BF387" s="537"/>
      <c r="BG387" s="537"/>
      <c r="BH387" s="537"/>
      <c r="BI387" s="1926"/>
      <c r="BJ387" s="1926"/>
      <c r="BK387" s="537"/>
      <c r="BL387" s="537"/>
      <c r="BM387" s="537"/>
      <c r="BN387" s="1926"/>
      <c r="BO387" s="1926"/>
      <c r="BP387" s="537"/>
      <c r="BQ387" s="537"/>
      <c r="BR387" s="537"/>
      <c r="BS387" s="537"/>
      <c r="BT387" s="536"/>
      <c r="BU387" s="535"/>
      <c r="BV387" s="537"/>
      <c r="BW387" s="537"/>
      <c r="BX387" s="537"/>
      <c r="BY387" s="536"/>
      <c r="BZ387" s="536"/>
      <c r="CA387" s="536"/>
      <c r="CB387" s="536"/>
      <c r="CC387" s="536"/>
      <c r="CD387" s="536"/>
      <c r="CE387" s="536"/>
      <c r="CF387" s="536"/>
      <c r="CG387" s="331"/>
      <c r="CH387" s="331"/>
      <c r="CI387" s="331"/>
      <c r="CJ387" s="331"/>
      <c r="CK387" s="331"/>
      <c r="CL387" s="2036" t="str">
        <f t="shared" ref="CL387:CL393" si="933">A387</f>
        <v>Hollywood at Penn National (PA)</v>
      </c>
      <c r="CM387" s="503">
        <f t="shared" ref="CM387:CM393" si="934">G387</f>
        <v>0</v>
      </c>
      <c r="CN387" s="503">
        <f t="shared" ref="CN387:CN393" si="935">L387</f>
        <v>0</v>
      </c>
      <c r="CO387" s="503">
        <f t="shared" ref="CO387:CO393" si="936">Q387</f>
        <v>0</v>
      </c>
      <c r="CP387" s="503">
        <f t="shared" ref="CP387:CP393" si="937">V387</f>
        <v>0</v>
      </c>
      <c r="CQ387" s="503">
        <f t="shared" ref="CQ387:CQ393" si="938">AA387</f>
        <v>0</v>
      </c>
      <c r="CR387" s="503">
        <f t="shared" ref="CR387:CR393" si="939">AF387</f>
        <v>0</v>
      </c>
      <c r="CS387" s="503">
        <f t="shared" ref="CS387:CS393" si="940">AK387</f>
        <v>0</v>
      </c>
      <c r="CT387" s="503">
        <f t="shared" ref="CT387:CT393" si="941">AP387</f>
        <v>0</v>
      </c>
      <c r="CU387" s="503">
        <f t="shared" ref="CU387:CU393" si="942">AU387</f>
        <v>0</v>
      </c>
      <c r="CV387" s="503">
        <f t="shared" ref="CV387:CV393" si="943">AZ387</f>
        <v>0</v>
      </c>
      <c r="CW387" s="503">
        <f t="shared" ref="CW387:CW393" si="944">BE387</f>
        <v>0</v>
      </c>
      <c r="CX387" s="503">
        <f t="shared" ref="CX387:CX393" si="945">BJ387</f>
        <v>0</v>
      </c>
      <c r="CY387" s="503">
        <f t="shared" ref="CY387:CY393" si="946">BO387</f>
        <v>0</v>
      </c>
      <c r="CZ387" s="503">
        <f t="shared" ref="CZ387:CZ393" si="947">BT387</f>
        <v>0</v>
      </c>
      <c r="DA387" s="503">
        <f t="shared" ref="DA387:DC393" si="948">BY387</f>
        <v>0</v>
      </c>
      <c r="DB387" s="503">
        <f t="shared" si="948"/>
        <v>0</v>
      </c>
      <c r="DC387" s="2124">
        <f t="shared" si="948"/>
        <v>0</v>
      </c>
      <c r="DD387" s="331"/>
      <c r="DE387" s="331"/>
      <c r="DF387" s="502"/>
      <c r="DG387" s="503"/>
      <c r="DH387" s="537"/>
      <c r="DI387" s="3213"/>
      <c r="DJ387" s="502"/>
      <c r="DK387" s="503"/>
      <c r="DL387" s="502"/>
      <c r="DM387" s="502"/>
      <c r="DN387" s="502"/>
      <c r="DO387" s="502"/>
      <c r="DP387" s="503"/>
      <c r="DQ387" s="503"/>
      <c r="DR387" s="428"/>
      <c r="DS387" s="428"/>
      <c r="DT387" s="428"/>
    </row>
    <row r="388" spans="1:124" ht="12" customHeight="1" thickBot="1" x14ac:dyDescent="0.3">
      <c r="A388" s="281" t="s">
        <v>894</v>
      </c>
      <c r="B388" s="281"/>
      <c r="C388" s="446">
        <f>C389+(C390*C$320)</f>
        <v>0</v>
      </c>
      <c r="D388" s="446">
        <f>D389+(D390*D$320)</f>
        <v>0</v>
      </c>
      <c r="E388" s="446">
        <f>E389+(E390*E$320)</f>
        <v>0</v>
      </c>
      <c r="F388" s="446">
        <f>F389+(F390*F$320)</f>
        <v>0</v>
      </c>
      <c r="G388" s="447">
        <f>F388</f>
        <v>0</v>
      </c>
      <c r="H388" s="446">
        <f>H389+(H390*H$320)</f>
        <v>0</v>
      </c>
      <c r="I388" s="446">
        <f>I389+(I390*I$320)</f>
        <v>0</v>
      </c>
      <c r="J388" s="446">
        <f>J389+(J390*J$320)</f>
        <v>0</v>
      </c>
      <c r="K388" s="446">
        <f>K389+(K390*K$320)</f>
        <v>0</v>
      </c>
      <c r="L388" s="447">
        <f>K388</f>
        <v>0</v>
      </c>
      <c r="M388" s="446">
        <f>M389+(M390*M$320)</f>
        <v>0</v>
      </c>
      <c r="N388" s="446">
        <f>N389+(N390*N$320)</f>
        <v>0</v>
      </c>
      <c r="O388" s="446">
        <f>O389+(O390*O$320)</f>
        <v>0</v>
      </c>
      <c r="P388" s="446">
        <f>P389+(P390*P$320)</f>
        <v>0</v>
      </c>
      <c r="Q388" s="447">
        <f>P388</f>
        <v>0</v>
      </c>
      <c r="R388" s="446">
        <f>R389+(R390*R$320)</f>
        <v>0</v>
      </c>
      <c r="S388" s="446">
        <f>S389+(S390*S$320)</f>
        <v>0</v>
      </c>
      <c r="T388" s="446">
        <f>T389+(T390*T$320)</f>
        <v>0</v>
      </c>
      <c r="U388" s="446">
        <f>U389+(U390*U$320)</f>
        <v>0</v>
      </c>
      <c r="V388" s="447">
        <f>U388</f>
        <v>0</v>
      </c>
      <c r="W388" s="549">
        <f>W389+(W390*W$320)</f>
        <v>2020</v>
      </c>
      <c r="X388" s="549">
        <f>X389+(X390*X$320)</f>
        <v>2026.3333333333333</v>
      </c>
      <c r="Y388" s="549">
        <f>Y389+(Y390*Y$320)</f>
        <v>2173.922222222222</v>
      </c>
      <c r="Z388" s="549">
        <f>Z389+(Z390*Z$320)</f>
        <v>2227</v>
      </c>
      <c r="AA388" s="550">
        <f>Z388</f>
        <v>2227</v>
      </c>
      <c r="AB388" s="549">
        <f>AB389+(AB390*AB$320)</f>
        <v>2247</v>
      </c>
      <c r="AC388" s="549">
        <f>AC389+(AC390*AC$320)</f>
        <v>2315</v>
      </c>
      <c r="AD388" s="549">
        <f>AD389+(AD390*AD$320)</f>
        <v>2338</v>
      </c>
      <c r="AE388" s="551">
        <f>AE389+(AE390*AE$320)</f>
        <v>2366</v>
      </c>
      <c r="AF388" s="552">
        <f>AE388</f>
        <v>2366</v>
      </c>
      <c r="AG388" s="549">
        <f>AG389+(AG390*AG$320)</f>
        <v>2366</v>
      </c>
      <c r="AH388" s="549">
        <f>AH389+(AH390*AH$320)</f>
        <v>2366</v>
      </c>
      <c r="AI388" s="549">
        <f>AI389+(AI390*AI$320)</f>
        <v>2366</v>
      </c>
      <c r="AJ388" s="551">
        <f>AJ389+(AJ390*AJ$320)</f>
        <v>2823</v>
      </c>
      <c r="AK388" s="552">
        <f>AJ388</f>
        <v>2823</v>
      </c>
      <c r="AL388" s="549">
        <f>AL389+(AL390*AL$320)</f>
        <v>2834</v>
      </c>
      <c r="AM388" s="549">
        <f>AM389+(AM390*AM$320)</f>
        <v>2832</v>
      </c>
      <c r="AN388" s="549">
        <f>AN389+(AN390*AN$320)</f>
        <v>2824</v>
      </c>
      <c r="AO388" s="551">
        <f>AO389+(AO390*AO$320)</f>
        <v>2863</v>
      </c>
      <c r="AP388" s="553">
        <f>AO388</f>
        <v>2863</v>
      </c>
      <c r="AQ388" s="553">
        <f>AQ389+(AQ390*AQ$320)</f>
        <v>2875</v>
      </c>
      <c r="AR388" s="551">
        <f>AR389+(AR390*AR$320)</f>
        <v>2895</v>
      </c>
      <c r="AS388" s="551">
        <f>AS389+(AS390*AS$320)</f>
        <v>2891</v>
      </c>
      <c r="AT388" s="551">
        <f>AT389+(AT390*AT$320)</f>
        <v>2883</v>
      </c>
      <c r="AU388" s="1692">
        <f>AT388</f>
        <v>2883</v>
      </c>
      <c r="AV388" s="1912">
        <f>AV389+(AV390*AV$320)</f>
        <v>2881</v>
      </c>
      <c r="AW388" s="1839">
        <f>AW389+(AW390*AW$320)</f>
        <v>2868</v>
      </c>
      <c r="AX388" s="1839">
        <f>AX389+(AX390*AX$320)</f>
        <v>2870</v>
      </c>
      <c r="AY388" s="1906">
        <f>AY389+(AY390*AY$320)</f>
        <v>2869</v>
      </c>
      <c r="AZ388" s="1692">
        <f>AY388</f>
        <v>2869</v>
      </c>
      <c r="BA388" s="1912">
        <f>BA389+(BA390*BA$320)</f>
        <v>2867</v>
      </c>
      <c r="BB388" s="1839">
        <f>BB389+(BB390*BB$320)</f>
        <v>2858</v>
      </c>
      <c r="BC388" s="1839">
        <f>BC389+(BC390*BC$320)</f>
        <v>2852</v>
      </c>
      <c r="BD388" s="1906">
        <f>BD389+(BD390*BD$320)</f>
        <v>2851</v>
      </c>
      <c r="BE388" s="1906">
        <f>BD388</f>
        <v>2851</v>
      </c>
      <c r="BF388" s="1839">
        <f>BF389+(BF390*BF$320)</f>
        <v>2847</v>
      </c>
      <c r="BG388" s="1839">
        <f>BG389+(BG390*BG$320)</f>
        <v>2824</v>
      </c>
      <c r="BH388" s="1839">
        <f>BH389+(BH390*BH$320)</f>
        <v>2817</v>
      </c>
      <c r="BI388" s="1906">
        <f>BI389+(BI390*BI$320)</f>
        <v>2793</v>
      </c>
      <c r="BJ388" s="1906">
        <f>BI388</f>
        <v>2793</v>
      </c>
      <c r="BK388" s="1839">
        <f>BK389+(BK390*BK$320)</f>
        <v>2793</v>
      </c>
      <c r="BL388" s="1839">
        <f>BL389+(BL390*BL$320)</f>
        <v>2828</v>
      </c>
      <c r="BM388" s="1839">
        <f>BM389+(BM390*BM$320)</f>
        <v>2822</v>
      </c>
      <c r="BN388" s="1906">
        <f>BN389+(BN390*BN$320)</f>
        <v>2816</v>
      </c>
      <c r="BO388" s="1906">
        <f>BN388</f>
        <v>2816</v>
      </c>
      <c r="BP388" s="1839">
        <f>BP389+(BP390*BP$320)</f>
        <v>2816.6666666666665</v>
      </c>
      <c r="BQ388" s="1839">
        <f>BQ389+(BQ390*BQ$320)</f>
        <v>2794</v>
      </c>
      <c r="BR388" s="1839">
        <f>BR389+(BR390*BR$320)</f>
        <v>2791</v>
      </c>
      <c r="BS388" s="1839">
        <f>BS389+(BS390*BS$320)</f>
        <v>2774</v>
      </c>
      <c r="BT388" s="3234">
        <f>BS388</f>
        <v>2774</v>
      </c>
      <c r="BU388" s="1839">
        <f>BU389+(BU390*BU$320)</f>
        <v>2767</v>
      </c>
      <c r="BV388" s="1839">
        <f>BV389+(BV390*BV$320)</f>
        <v>2767</v>
      </c>
      <c r="BW388" s="1839">
        <f>BW389+(BW390*BW$320)</f>
        <v>2767</v>
      </c>
      <c r="BX388" s="1839">
        <f>BX389+(BX390*BX$320)</f>
        <v>2767</v>
      </c>
      <c r="BY388" s="3234">
        <f>BX388</f>
        <v>2767</v>
      </c>
      <c r="BZ388" s="552">
        <f t="shared" ref="BZ388:CF388" si="949">BZ389+(BZ390*BZ$320)</f>
        <v>2767</v>
      </c>
      <c r="CA388" s="552">
        <f t="shared" si="949"/>
        <v>2767</v>
      </c>
      <c r="CB388" s="552">
        <f t="shared" si="949"/>
        <v>2767</v>
      </c>
      <c r="CC388" s="552">
        <f t="shared" si="949"/>
        <v>2767</v>
      </c>
      <c r="CD388" s="552">
        <f t="shared" si="949"/>
        <v>2767</v>
      </c>
      <c r="CE388" s="552">
        <f t="shared" si="949"/>
        <v>2767</v>
      </c>
      <c r="CF388" s="552">
        <f t="shared" si="949"/>
        <v>2767</v>
      </c>
      <c r="CG388" s="331"/>
      <c r="CH388" s="331"/>
      <c r="CI388" s="331"/>
      <c r="CJ388" s="331"/>
      <c r="CK388" s="331"/>
      <c r="CL388" s="520" t="str">
        <f t="shared" si="933"/>
        <v>Positions</v>
      </c>
      <c r="CM388" s="551">
        <f t="shared" si="934"/>
        <v>0</v>
      </c>
      <c r="CN388" s="551">
        <f t="shared" si="935"/>
        <v>0</v>
      </c>
      <c r="CO388" s="551">
        <f t="shared" si="936"/>
        <v>0</v>
      </c>
      <c r="CP388" s="551">
        <f t="shared" si="937"/>
        <v>0</v>
      </c>
      <c r="CQ388" s="551">
        <f t="shared" si="938"/>
        <v>2227</v>
      </c>
      <c r="CR388" s="551">
        <f t="shared" si="939"/>
        <v>2366</v>
      </c>
      <c r="CS388" s="551">
        <f t="shared" si="940"/>
        <v>2823</v>
      </c>
      <c r="CT388" s="551">
        <f t="shared" si="941"/>
        <v>2863</v>
      </c>
      <c r="CU388" s="551">
        <f t="shared" si="942"/>
        <v>2883</v>
      </c>
      <c r="CV388" s="551">
        <f t="shared" si="943"/>
        <v>2869</v>
      </c>
      <c r="CW388" s="551">
        <f t="shared" si="944"/>
        <v>2851</v>
      </c>
      <c r="CX388" s="551">
        <f t="shared" si="945"/>
        <v>2793</v>
      </c>
      <c r="CY388" s="551">
        <f t="shared" si="946"/>
        <v>2816</v>
      </c>
      <c r="CZ388" s="551">
        <f t="shared" si="947"/>
        <v>2774</v>
      </c>
      <c r="DA388" s="551">
        <f t="shared" si="948"/>
        <v>2767</v>
      </c>
      <c r="DB388" s="551">
        <f t="shared" si="948"/>
        <v>2767</v>
      </c>
      <c r="DC388" s="1895">
        <f t="shared" si="948"/>
        <v>2767</v>
      </c>
      <c r="DD388" s="331"/>
      <c r="DE388" s="331"/>
      <c r="DF388" s="502"/>
      <c r="DG388" s="503"/>
      <c r="DH388" s="3297"/>
      <c r="DI388" s="3213"/>
      <c r="DJ388" s="502"/>
      <c r="DK388" s="503"/>
      <c r="DL388" s="502"/>
      <c r="DM388" s="502"/>
      <c r="DN388" s="502"/>
      <c r="DO388" s="502"/>
      <c r="DP388" s="503"/>
      <c r="DQ388" s="503"/>
      <c r="DR388" s="296"/>
      <c r="DS388" s="296"/>
      <c r="DT388" s="296"/>
    </row>
    <row r="389" spans="1:124" ht="12" customHeight="1" thickBot="1" x14ac:dyDescent="0.3">
      <c r="A389" s="281" t="s">
        <v>585</v>
      </c>
      <c r="B389" s="281"/>
      <c r="C389" s="565">
        <v>0</v>
      </c>
      <c r="D389" s="565">
        <v>0</v>
      </c>
      <c r="E389" s="565">
        <v>0</v>
      </c>
      <c r="F389" s="565">
        <v>0</v>
      </c>
      <c r="G389" s="574">
        <v>0</v>
      </c>
      <c r="H389" s="565">
        <v>0</v>
      </c>
      <c r="I389" s="565">
        <v>0</v>
      </c>
      <c r="J389" s="565">
        <v>0</v>
      </c>
      <c r="K389" s="565">
        <v>0</v>
      </c>
      <c r="L389" s="574">
        <v>0</v>
      </c>
      <c r="M389" s="565">
        <v>0</v>
      </c>
      <c r="N389" s="565">
        <v>0</v>
      </c>
      <c r="O389" s="565">
        <v>0</v>
      </c>
      <c r="P389" s="565">
        <v>0</v>
      </c>
      <c r="Q389" s="574">
        <v>0</v>
      </c>
      <c r="R389" s="565">
        <v>0</v>
      </c>
      <c r="S389" s="565">
        <v>0</v>
      </c>
      <c r="T389" s="565">
        <v>0</v>
      </c>
      <c r="U389" s="565">
        <v>0</v>
      </c>
      <c r="V389" s="574">
        <v>0</v>
      </c>
      <c r="W389" s="554">
        <v>2020</v>
      </c>
      <c r="X389" s="554">
        <v>2026.3333333333333</v>
      </c>
      <c r="Y389" s="554">
        <v>2173.922222222222</v>
      </c>
      <c r="Z389" s="554">
        <v>2227</v>
      </c>
      <c r="AA389" s="550">
        <f>Z389</f>
        <v>2227</v>
      </c>
      <c r="AB389" s="555">
        <v>2247</v>
      </c>
      <c r="AC389" s="555">
        <v>2315</v>
      </c>
      <c r="AD389" s="555">
        <v>2338</v>
      </c>
      <c r="AE389" s="555">
        <v>2366</v>
      </c>
      <c r="AF389" s="552">
        <f>AE389</f>
        <v>2366</v>
      </c>
      <c r="AG389" s="551">
        <f>AE389</f>
        <v>2366</v>
      </c>
      <c r="AH389" s="551">
        <f>AG389</f>
        <v>2366</v>
      </c>
      <c r="AI389" s="551">
        <f>AH389</f>
        <v>2366</v>
      </c>
      <c r="AJ389" s="555">
        <v>2487</v>
      </c>
      <c r="AK389" s="552">
        <f>AJ389</f>
        <v>2487</v>
      </c>
      <c r="AL389" s="555">
        <v>2480</v>
      </c>
      <c r="AM389" s="2661">
        <v>2466</v>
      </c>
      <c r="AN389" s="2661">
        <v>2446</v>
      </c>
      <c r="AO389" s="2661">
        <v>2473</v>
      </c>
      <c r="AP389" s="553">
        <f>AO389</f>
        <v>2473</v>
      </c>
      <c r="AQ389" s="2660">
        <v>2461</v>
      </c>
      <c r="AR389" s="2661">
        <v>2481</v>
      </c>
      <c r="AS389" s="2661">
        <v>2477</v>
      </c>
      <c r="AT389" s="2661">
        <v>2469</v>
      </c>
      <c r="AU389" s="1692">
        <f>AT389</f>
        <v>2469</v>
      </c>
      <c r="AV389" s="2660">
        <v>2467</v>
      </c>
      <c r="AW389" s="2661">
        <v>2454</v>
      </c>
      <c r="AX389" s="2661">
        <v>2456</v>
      </c>
      <c r="AY389" s="2662">
        <v>2455</v>
      </c>
      <c r="AZ389" s="1692">
        <f>AY389</f>
        <v>2455</v>
      </c>
      <c r="BA389" s="2660">
        <v>2453</v>
      </c>
      <c r="BB389" s="2661">
        <v>2432</v>
      </c>
      <c r="BC389" s="2661">
        <v>2432</v>
      </c>
      <c r="BD389" s="2661">
        <v>2431</v>
      </c>
      <c r="BE389" s="1692">
        <f>BD389</f>
        <v>2431</v>
      </c>
      <c r="BF389" s="2661">
        <v>2427</v>
      </c>
      <c r="BG389" s="2661">
        <v>2404</v>
      </c>
      <c r="BH389" s="2661">
        <v>2397</v>
      </c>
      <c r="BI389" s="2661">
        <f>BH389</f>
        <v>2397</v>
      </c>
      <c r="BJ389" s="1692">
        <f>BI389</f>
        <v>2397</v>
      </c>
      <c r="BK389" s="2661">
        <v>2397</v>
      </c>
      <c r="BL389" s="2661">
        <v>2390</v>
      </c>
      <c r="BM389" s="2661">
        <v>2384</v>
      </c>
      <c r="BN389" s="3354">
        <v>2384</v>
      </c>
      <c r="BO389" s="1906">
        <f>BN389</f>
        <v>2384</v>
      </c>
      <c r="BP389" s="2971">
        <v>2372.6666666666665</v>
      </c>
      <c r="BQ389" s="2971">
        <v>2350</v>
      </c>
      <c r="BR389" s="2971">
        <v>2347</v>
      </c>
      <c r="BS389" s="2971">
        <v>2318</v>
      </c>
      <c r="BT389" s="3234">
        <f>BS389</f>
        <v>2318</v>
      </c>
      <c r="BU389" s="2971">
        <v>2317</v>
      </c>
      <c r="BV389" s="3444">
        <f t="shared" ref="BV389:BX390" si="950">BU389</f>
        <v>2317</v>
      </c>
      <c r="BW389" s="3444">
        <f t="shared" si="950"/>
        <v>2317</v>
      </c>
      <c r="BX389" s="3444">
        <f t="shared" si="950"/>
        <v>2317</v>
      </c>
      <c r="BY389" s="3234">
        <f>BX389</f>
        <v>2317</v>
      </c>
      <c r="BZ389" s="2558">
        <f>BY389</f>
        <v>2317</v>
      </c>
      <c r="CA389" s="2558">
        <f>BZ389</f>
        <v>2317</v>
      </c>
      <c r="CB389" s="552">
        <f t="shared" ref="CB389:CF390" si="951">CA389</f>
        <v>2317</v>
      </c>
      <c r="CC389" s="552">
        <f t="shared" si="951"/>
        <v>2317</v>
      </c>
      <c r="CD389" s="552">
        <f t="shared" si="951"/>
        <v>2317</v>
      </c>
      <c r="CE389" s="552">
        <f t="shared" si="951"/>
        <v>2317</v>
      </c>
      <c r="CF389" s="552">
        <f t="shared" si="951"/>
        <v>2317</v>
      </c>
      <c r="CG389" s="331"/>
      <c r="CH389" s="331"/>
      <c r="CI389" s="331"/>
      <c r="CJ389" s="331"/>
      <c r="CK389" s="331"/>
      <c r="CL389" s="520" t="str">
        <f t="shared" si="933"/>
        <v>Slots</v>
      </c>
      <c r="CM389" s="551">
        <f t="shared" si="934"/>
        <v>0</v>
      </c>
      <c r="CN389" s="551">
        <f t="shared" si="935"/>
        <v>0</v>
      </c>
      <c r="CO389" s="551">
        <f t="shared" si="936"/>
        <v>0</v>
      </c>
      <c r="CP389" s="551">
        <f t="shared" si="937"/>
        <v>0</v>
      </c>
      <c r="CQ389" s="551">
        <f t="shared" si="938"/>
        <v>2227</v>
      </c>
      <c r="CR389" s="551">
        <f t="shared" si="939"/>
        <v>2366</v>
      </c>
      <c r="CS389" s="551">
        <f t="shared" si="940"/>
        <v>2487</v>
      </c>
      <c r="CT389" s="551">
        <f t="shared" si="941"/>
        <v>2473</v>
      </c>
      <c r="CU389" s="551">
        <f t="shared" si="942"/>
        <v>2469</v>
      </c>
      <c r="CV389" s="551">
        <f t="shared" si="943"/>
        <v>2455</v>
      </c>
      <c r="CW389" s="551">
        <f t="shared" si="944"/>
        <v>2431</v>
      </c>
      <c r="CX389" s="551">
        <f t="shared" si="945"/>
        <v>2397</v>
      </c>
      <c r="CY389" s="551">
        <f t="shared" si="946"/>
        <v>2384</v>
      </c>
      <c r="CZ389" s="551">
        <f t="shared" si="947"/>
        <v>2318</v>
      </c>
      <c r="DA389" s="551">
        <f t="shared" si="948"/>
        <v>2317</v>
      </c>
      <c r="DB389" s="551">
        <f t="shared" si="948"/>
        <v>2317</v>
      </c>
      <c r="DC389" s="1895">
        <f t="shared" si="948"/>
        <v>2317</v>
      </c>
      <c r="DD389" s="331"/>
      <c r="DE389" s="331"/>
      <c r="DF389" s="502"/>
      <c r="DG389" s="503"/>
      <c r="DH389" s="3297"/>
      <c r="DI389" s="3213"/>
      <c r="DJ389" s="502"/>
      <c r="DK389" s="503"/>
      <c r="DL389" s="502"/>
      <c r="DM389" s="502"/>
      <c r="DN389" s="502"/>
      <c r="DO389" s="502"/>
      <c r="DP389" s="503"/>
      <c r="DQ389" s="503"/>
      <c r="DR389" s="296"/>
      <c r="DS389" s="296"/>
      <c r="DT389" s="296"/>
    </row>
    <row r="390" spans="1:124" ht="12" customHeight="1" x14ac:dyDescent="0.25">
      <c r="A390" s="281" t="s">
        <v>584</v>
      </c>
      <c r="B390" s="281"/>
      <c r="C390" s="565">
        <v>0</v>
      </c>
      <c r="D390" s="565">
        <v>0</v>
      </c>
      <c r="E390" s="565">
        <v>0</v>
      </c>
      <c r="F390" s="565">
        <v>0</v>
      </c>
      <c r="G390" s="574">
        <v>0</v>
      </c>
      <c r="H390" s="565">
        <v>0</v>
      </c>
      <c r="I390" s="565">
        <v>0</v>
      </c>
      <c r="J390" s="565">
        <v>0</v>
      </c>
      <c r="K390" s="565">
        <v>0</v>
      </c>
      <c r="L390" s="574">
        <v>0</v>
      </c>
      <c r="M390" s="565">
        <v>0</v>
      </c>
      <c r="N390" s="565">
        <v>0</v>
      </c>
      <c r="O390" s="565">
        <v>0</v>
      </c>
      <c r="P390" s="565">
        <v>0</v>
      </c>
      <c r="Q390" s="574">
        <v>0</v>
      </c>
      <c r="R390" s="565">
        <v>0</v>
      </c>
      <c r="S390" s="565">
        <v>0</v>
      </c>
      <c r="T390" s="565">
        <v>0</v>
      </c>
      <c r="U390" s="565">
        <v>0</v>
      </c>
      <c r="V390" s="574">
        <v>0</v>
      </c>
      <c r="W390" s="554">
        <v>0</v>
      </c>
      <c r="X390" s="554">
        <v>0</v>
      </c>
      <c r="Y390" s="554">
        <v>0</v>
      </c>
      <c r="Z390" s="554">
        <v>0</v>
      </c>
      <c r="AA390" s="550">
        <f>Z390</f>
        <v>0</v>
      </c>
      <c r="AB390" s="555">
        <v>0</v>
      </c>
      <c r="AC390" s="555">
        <v>0</v>
      </c>
      <c r="AD390" s="555">
        <v>0</v>
      </c>
      <c r="AE390" s="555">
        <v>0</v>
      </c>
      <c r="AF390" s="552">
        <f>AE390</f>
        <v>0</v>
      </c>
      <c r="AG390" s="555">
        <v>0</v>
      </c>
      <c r="AH390" s="555">
        <v>0</v>
      </c>
      <c r="AI390" s="555">
        <v>0</v>
      </c>
      <c r="AJ390" s="555">
        <v>56</v>
      </c>
      <c r="AK390" s="552">
        <f>AJ390</f>
        <v>56</v>
      </c>
      <c r="AL390" s="555">
        <v>59</v>
      </c>
      <c r="AM390" s="555">
        <v>61</v>
      </c>
      <c r="AN390" s="555">
        <v>63</v>
      </c>
      <c r="AO390" s="555">
        <v>65</v>
      </c>
      <c r="AP390" s="553">
        <f>AO390</f>
        <v>65</v>
      </c>
      <c r="AQ390" s="2660">
        <v>69</v>
      </c>
      <c r="AR390" s="2661">
        <v>69</v>
      </c>
      <c r="AS390" s="2661">
        <v>69</v>
      </c>
      <c r="AT390" s="2661">
        <v>69</v>
      </c>
      <c r="AU390" s="1692">
        <f>AT390</f>
        <v>69</v>
      </c>
      <c r="AV390" s="2660">
        <v>69</v>
      </c>
      <c r="AW390" s="2661">
        <v>69</v>
      </c>
      <c r="AX390" s="2661">
        <v>69</v>
      </c>
      <c r="AY390" s="2661">
        <v>69</v>
      </c>
      <c r="AZ390" s="1692">
        <f>AY390</f>
        <v>69</v>
      </c>
      <c r="BA390" s="2660">
        <v>69</v>
      </c>
      <c r="BB390" s="2661">
        <v>71</v>
      </c>
      <c r="BC390" s="2661">
        <v>70</v>
      </c>
      <c r="BD390" s="2661">
        <v>70</v>
      </c>
      <c r="BE390" s="1692">
        <f>BD390</f>
        <v>70</v>
      </c>
      <c r="BF390" s="2661">
        <v>70</v>
      </c>
      <c r="BG390" s="2661">
        <v>70</v>
      </c>
      <c r="BH390" s="2661">
        <v>70</v>
      </c>
      <c r="BI390" s="2661">
        <v>66</v>
      </c>
      <c r="BJ390" s="1692">
        <f>BI390</f>
        <v>66</v>
      </c>
      <c r="BK390" s="2661">
        <v>66</v>
      </c>
      <c r="BL390" s="2971">
        <v>73</v>
      </c>
      <c r="BM390" s="2971">
        <v>73</v>
      </c>
      <c r="BN390" s="3355">
        <v>72</v>
      </c>
      <c r="BO390" s="1906">
        <f>BN390</f>
        <v>72</v>
      </c>
      <c r="BP390" s="2971">
        <v>74</v>
      </c>
      <c r="BQ390" s="2971">
        <v>74</v>
      </c>
      <c r="BR390" s="2971">
        <v>74</v>
      </c>
      <c r="BS390" s="2971">
        <v>76</v>
      </c>
      <c r="BT390" s="3234">
        <f>BS390</f>
        <v>76</v>
      </c>
      <c r="BU390" s="2971">
        <v>75</v>
      </c>
      <c r="BV390" s="3444">
        <f t="shared" si="950"/>
        <v>75</v>
      </c>
      <c r="BW390" s="3444">
        <f t="shared" si="950"/>
        <v>75</v>
      </c>
      <c r="BX390" s="3444">
        <f t="shared" si="950"/>
        <v>75</v>
      </c>
      <c r="BY390" s="3234">
        <f>BX390</f>
        <v>75</v>
      </c>
      <c r="BZ390" s="2558">
        <f>BY390</f>
        <v>75</v>
      </c>
      <c r="CA390" s="2558">
        <f>BZ390</f>
        <v>75</v>
      </c>
      <c r="CB390" s="552">
        <f t="shared" si="951"/>
        <v>75</v>
      </c>
      <c r="CC390" s="552">
        <f t="shared" si="951"/>
        <v>75</v>
      </c>
      <c r="CD390" s="552">
        <f t="shared" si="951"/>
        <v>75</v>
      </c>
      <c r="CE390" s="552">
        <f t="shared" si="951"/>
        <v>75</v>
      </c>
      <c r="CF390" s="552">
        <f t="shared" si="951"/>
        <v>75</v>
      </c>
      <c r="CG390" s="331"/>
      <c r="CH390" s="331"/>
      <c r="CI390" s="331"/>
      <c r="CJ390" s="331"/>
      <c r="CK390" s="331"/>
      <c r="CL390" s="520" t="str">
        <f t="shared" si="933"/>
        <v>Tables</v>
      </c>
      <c r="CM390" s="551">
        <f t="shared" si="934"/>
        <v>0</v>
      </c>
      <c r="CN390" s="551">
        <f t="shared" si="935"/>
        <v>0</v>
      </c>
      <c r="CO390" s="551">
        <f t="shared" si="936"/>
        <v>0</v>
      </c>
      <c r="CP390" s="551">
        <f t="shared" si="937"/>
        <v>0</v>
      </c>
      <c r="CQ390" s="551">
        <f t="shared" si="938"/>
        <v>0</v>
      </c>
      <c r="CR390" s="551">
        <f t="shared" si="939"/>
        <v>0</v>
      </c>
      <c r="CS390" s="551">
        <f t="shared" si="940"/>
        <v>56</v>
      </c>
      <c r="CT390" s="551">
        <f t="shared" si="941"/>
        <v>65</v>
      </c>
      <c r="CU390" s="551">
        <f t="shared" si="942"/>
        <v>69</v>
      </c>
      <c r="CV390" s="551">
        <f t="shared" si="943"/>
        <v>69</v>
      </c>
      <c r="CW390" s="551">
        <f t="shared" si="944"/>
        <v>70</v>
      </c>
      <c r="CX390" s="551">
        <f t="shared" si="945"/>
        <v>66</v>
      </c>
      <c r="CY390" s="551">
        <f t="shared" si="946"/>
        <v>72</v>
      </c>
      <c r="CZ390" s="551">
        <f t="shared" si="947"/>
        <v>76</v>
      </c>
      <c r="DA390" s="551">
        <f t="shared" si="948"/>
        <v>75</v>
      </c>
      <c r="DB390" s="551">
        <f t="shared" si="948"/>
        <v>75</v>
      </c>
      <c r="DC390" s="1895">
        <f t="shared" si="948"/>
        <v>75</v>
      </c>
      <c r="DD390" s="331"/>
      <c r="DE390" s="331"/>
      <c r="DF390" s="502"/>
      <c r="DG390" s="503"/>
      <c r="DH390" s="3297"/>
      <c r="DI390" s="3213"/>
      <c r="DJ390" s="502"/>
      <c r="DK390" s="503"/>
      <c r="DL390" s="502"/>
      <c r="DM390" s="502"/>
      <c r="DN390" s="502"/>
      <c r="DO390" s="502"/>
      <c r="DP390" s="503"/>
      <c r="DQ390" s="503"/>
      <c r="DR390" s="296"/>
      <c r="DS390" s="296"/>
      <c r="DT390" s="296"/>
    </row>
    <row r="391" spans="1:124" ht="12" customHeight="1" x14ac:dyDescent="0.25">
      <c r="A391" s="511" t="s">
        <v>2111</v>
      </c>
      <c r="B391" s="281"/>
      <c r="C391" s="565">
        <v>0</v>
      </c>
      <c r="D391" s="446">
        <f>AVERAGE(C388:D388)</f>
        <v>0</v>
      </c>
      <c r="E391" s="446">
        <f>AVERAGE(D388:E388)</f>
        <v>0</v>
      </c>
      <c r="F391" s="446">
        <f>AVERAGE(E388:F388)</f>
        <v>0</v>
      </c>
      <c r="G391" s="447">
        <f>AVERAGE(C391:F391)</f>
        <v>0</v>
      </c>
      <c r="H391" s="446">
        <f>AVERAGE(G388:H388)</f>
        <v>0</v>
      </c>
      <c r="I391" s="446">
        <f>AVERAGE(H388:I388)</f>
        <v>0</v>
      </c>
      <c r="J391" s="446">
        <f>AVERAGE(I388:J388)</f>
        <v>0</v>
      </c>
      <c r="K391" s="446">
        <f>AVERAGE(J388:K388)</f>
        <v>0</v>
      </c>
      <c r="L391" s="447">
        <f>AVERAGE(H391:K391)</f>
        <v>0</v>
      </c>
      <c r="M391" s="446">
        <f>AVERAGE(L388:M388)</f>
        <v>0</v>
      </c>
      <c r="N391" s="446">
        <f>AVERAGE(M388:N388)</f>
        <v>0</v>
      </c>
      <c r="O391" s="446">
        <f>AVERAGE(N388:O388)</f>
        <v>0</v>
      </c>
      <c r="P391" s="446">
        <f>AVERAGE(O388:P388)</f>
        <v>0</v>
      </c>
      <c r="Q391" s="447">
        <f>AVERAGE(M391:P391)</f>
        <v>0</v>
      </c>
      <c r="R391" s="446">
        <f>AVERAGE(Q388:R388)</f>
        <v>0</v>
      </c>
      <c r="S391" s="446">
        <f>AVERAGE(R388:S388)</f>
        <v>0</v>
      </c>
      <c r="T391" s="446">
        <f>AVERAGE(S388:T388)</f>
        <v>0</v>
      </c>
      <c r="U391" s="446">
        <f>AVERAGE(T388:U388)</f>
        <v>0</v>
      </c>
      <c r="V391" s="447">
        <f>AVERAGE(R391:U391)</f>
        <v>0</v>
      </c>
      <c r="W391" s="549">
        <f>AVERAGE(V388:W388)</f>
        <v>1010</v>
      </c>
      <c r="X391" s="549">
        <f>AVERAGE(W388:X388)</f>
        <v>2023.1666666666665</v>
      </c>
      <c r="Y391" s="549">
        <f>AVERAGE(X388:Y388)</f>
        <v>2100.1277777777777</v>
      </c>
      <c r="Z391" s="549">
        <f>AVERAGE(Y388:Z388)</f>
        <v>2200.4611111111108</v>
      </c>
      <c r="AA391" s="550">
        <f>AVERAGE(W391:Z391)</f>
        <v>1833.4388888888886</v>
      </c>
      <c r="AB391" s="549">
        <f>AVERAGE(AA388:AB388)</f>
        <v>2237</v>
      </c>
      <c r="AC391" s="549">
        <f>AVERAGE(AB388:AC388)</f>
        <v>2281</v>
      </c>
      <c r="AD391" s="549">
        <f>AVERAGE(AC388:AD388)</f>
        <v>2326.5</v>
      </c>
      <c r="AE391" s="551">
        <f>AVERAGE(AD388:AE388)</f>
        <v>2352</v>
      </c>
      <c r="AF391" s="552">
        <f>AVERAGE(AB391:AE391)</f>
        <v>2299.125</v>
      </c>
      <c r="AG391" s="549">
        <f>AVERAGE(AF388:AG388)</f>
        <v>2366</v>
      </c>
      <c r="AH391" s="549">
        <f>AVERAGE(AG388:AH388)</f>
        <v>2366</v>
      </c>
      <c r="AI391" s="549">
        <f>AVERAGE(AH388:AI388)</f>
        <v>2366</v>
      </c>
      <c r="AJ391" s="551">
        <f>AJ388</f>
        <v>2823</v>
      </c>
      <c r="AK391" s="552">
        <f>AVERAGE(AG391:AJ391)</f>
        <v>2480.25</v>
      </c>
      <c r="AL391" s="549">
        <f>AL388</f>
        <v>2834</v>
      </c>
      <c r="AM391" s="549">
        <f>AVERAGE(AL388:AM388)</f>
        <v>2833</v>
      </c>
      <c r="AN391" s="549">
        <f>AVERAGE(AM388:AN388)</f>
        <v>2828</v>
      </c>
      <c r="AO391" s="551">
        <f>AVERAGE(AN388:AO388)</f>
        <v>2843.5</v>
      </c>
      <c r="AP391" s="553">
        <f>AVERAGE(AL391:AO391)</f>
        <v>2834.625</v>
      </c>
      <c r="AQ391" s="553">
        <f>AVERAGE(AP388:AQ388)</f>
        <v>2869</v>
      </c>
      <c r="AR391" s="551">
        <f>AVERAGE(AQ388:AR388)</f>
        <v>2885</v>
      </c>
      <c r="AS391" s="551">
        <f>AVERAGE(AR388:AS388)</f>
        <v>2893</v>
      </c>
      <c r="AT391" s="551">
        <f>AVERAGE(AS388:AT388)</f>
        <v>2887</v>
      </c>
      <c r="AU391" s="1692">
        <f>AVERAGE(AQ391:AT391)</f>
        <v>2883.5</v>
      </c>
      <c r="AV391" s="1912">
        <f>AVERAGE(AU388:AV388)</f>
        <v>2882</v>
      </c>
      <c r="AW391" s="1839">
        <f>AVERAGE(AV388:AW388)</f>
        <v>2874.5</v>
      </c>
      <c r="AX391" s="1839">
        <f>AVERAGE(AW388:AX388)</f>
        <v>2869</v>
      </c>
      <c r="AY391" s="1906">
        <f>AVERAGE(AX388:AY388)</f>
        <v>2869.5</v>
      </c>
      <c r="AZ391" s="1692">
        <f>AVERAGE(AV391:AY391)</f>
        <v>2873.75</v>
      </c>
      <c r="BA391" s="1912">
        <f>AVERAGE(AZ388:BA388)</f>
        <v>2868</v>
      </c>
      <c r="BB391" s="1839">
        <f>AVERAGE(BA388:BB388)</f>
        <v>2862.5</v>
      </c>
      <c r="BC391" s="1839">
        <f>AVERAGE(BB388:BC388)</f>
        <v>2855</v>
      </c>
      <c r="BD391" s="1906">
        <f>AVERAGE(BC388:BD388)</f>
        <v>2851.5</v>
      </c>
      <c r="BE391" s="1906">
        <f>AVERAGE(BA391:BD391)</f>
        <v>2859.25</v>
      </c>
      <c r="BF391" s="1839">
        <f>AVERAGE(BE388:BF388)</f>
        <v>2849</v>
      </c>
      <c r="BG391" s="1839">
        <f>AVERAGE(BF388:BG388)</f>
        <v>2835.5</v>
      </c>
      <c r="BH391" s="1839">
        <f>AVERAGE(BG388:BH388)</f>
        <v>2820.5</v>
      </c>
      <c r="BI391" s="1906">
        <f>AVERAGE(BH388:BI388)</f>
        <v>2805</v>
      </c>
      <c r="BJ391" s="1906">
        <f>AVERAGE(BF391:BI391)</f>
        <v>2827.5</v>
      </c>
      <c r="BK391" s="1839">
        <f>AVERAGE(BJ388:BK388)</f>
        <v>2793</v>
      </c>
      <c r="BL391" s="1839">
        <f>AVERAGE(BK388:BL388)</f>
        <v>2810.5</v>
      </c>
      <c r="BM391" s="1839">
        <f>AVERAGE(BL388:BM388)</f>
        <v>2825</v>
      </c>
      <c r="BN391" s="1906">
        <f>AVERAGE(BM388:BN388)</f>
        <v>2819</v>
      </c>
      <c r="BO391" s="1906">
        <f>AVERAGE(BK391:BN391)</f>
        <v>2811.875</v>
      </c>
      <c r="BP391" s="1839">
        <f>AVERAGE(BO388:BP388)</f>
        <v>2816.333333333333</v>
      </c>
      <c r="BQ391" s="1839">
        <f>AVERAGE(BP388:BQ388)</f>
        <v>2805.333333333333</v>
      </c>
      <c r="BR391" s="1839">
        <f>AVERAGE(BQ388:BR388)</f>
        <v>2792.5</v>
      </c>
      <c r="BS391" s="1839">
        <f>AVERAGE(BR388:BS388)</f>
        <v>2782.5</v>
      </c>
      <c r="BT391" s="3234">
        <f>AVERAGE(BP391:BS391)</f>
        <v>2799.1666666666665</v>
      </c>
      <c r="BU391" s="1839">
        <f>AVERAGE(BT388:BU388)</f>
        <v>2770.5</v>
      </c>
      <c r="BV391" s="1839">
        <f>AVERAGE(BU388:BV388)</f>
        <v>2767</v>
      </c>
      <c r="BW391" s="1839">
        <f>AVERAGE(BV388:BW388)</f>
        <v>2767</v>
      </c>
      <c r="BX391" s="1839">
        <f>AVERAGE(BW388:BX388)</f>
        <v>2767</v>
      </c>
      <c r="BY391" s="3234">
        <f>AVERAGE(BU391:BX391)</f>
        <v>2767.875</v>
      </c>
      <c r="BZ391" s="552">
        <f t="shared" ref="BZ391:CF391" si="952">AVERAGE(BY388:BZ388)</f>
        <v>2767</v>
      </c>
      <c r="CA391" s="552">
        <f t="shared" si="952"/>
        <v>2767</v>
      </c>
      <c r="CB391" s="552">
        <f t="shared" si="952"/>
        <v>2767</v>
      </c>
      <c r="CC391" s="552">
        <f t="shared" si="952"/>
        <v>2767</v>
      </c>
      <c r="CD391" s="552">
        <f t="shared" si="952"/>
        <v>2767</v>
      </c>
      <c r="CE391" s="552">
        <f t="shared" si="952"/>
        <v>2767</v>
      </c>
      <c r="CF391" s="552">
        <f t="shared" si="952"/>
        <v>2767</v>
      </c>
      <c r="CG391" s="331"/>
      <c r="CH391" s="331"/>
      <c r="CI391" s="331"/>
      <c r="CJ391" s="331"/>
      <c r="CK391" s="331"/>
      <c r="CL391" s="1118" t="str">
        <f t="shared" si="933"/>
        <v>Average Positions</v>
      </c>
      <c r="CM391" s="551">
        <f t="shared" si="934"/>
        <v>0</v>
      </c>
      <c r="CN391" s="551">
        <f t="shared" si="935"/>
        <v>0</v>
      </c>
      <c r="CO391" s="551">
        <f t="shared" si="936"/>
        <v>0</v>
      </c>
      <c r="CP391" s="551">
        <f t="shared" si="937"/>
        <v>0</v>
      </c>
      <c r="CQ391" s="551">
        <f t="shared" si="938"/>
        <v>1833.4388888888886</v>
      </c>
      <c r="CR391" s="551">
        <f t="shared" si="939"/>
        <v>2299.125</v>
      </c>
      <c r="CS391" s="551">
        <f t="shared" si="940"/>
        <v>2480.25</v>
      </c>
      <c r="CT391" s="551">
        <f t="shared" si="941"/>
        <v>2834.625</v>
      </c>
      <c r="CU391" s="551">
        <f t="shared" si="942"/>
        <v>2883.5</v>
      </c>
      <c r="CV391" s="551">
        <f t="shared" si="943"/>
        <v>2873.75</v>
      </c>
      <c r="CW391" s="551">
        <f t="shared" si="944"/>
        <v>2859.25</v>
      </c>
      <c r="CX391" s="551">
        <f t="shared" si="945"/>
        <v>2827.5</v>
      </c>
      <c r="CY391" s="551">
        <f t="shared" si="946"/>
        <v>2811.875</v>
      </c>
      <c r="CZ391" s="551">
        <f t="shared" si="947"/>
        <v>2799.1666666666665</v>
      </c>
      <c r="DA391" s="551">
        <f t="shared" si="948"/>
        <v>2767.875</v>
      </c>
      <c r="DB391" s="551">
        <f t="shared" si="948"/>
        <v>2767</v>
      </c>
      <c r="DC391" s="1895">
        <f t="shared" si="948"/>
        <v>2767</v>
      </c>
      <c r="DD391" s="331"/>
      <c r="DE391" s="331"/>
      <c r="DF391" s="502"/>
      <c r="DG391" s="503"/>
      <c r="DH391" s="3297"/>
      <c r="DI391" s="3213"/>
      <c r="DJ391" s="502"/>
      <c r="DK391" s="503"/>
      <c r="DL391" s="502"/>
      <c r="DM391" s="502"/>
      <c r="DN391" s="502"/>
      <c r="DO391" s="502"/>
      <c r="DP391" s="503"/>
      <c r="DQ391" s="503"/>
      <c r="DR391" s="296"/>
      <c r="DS391" s="296"/>
      <c r="DT391" s="296"/>
    </row>
    <row r="392" spans="1:124" ht="12" customHeight="1" x14ac:dyDescent="0.25">
      <c r="A392" s="557" t="s">
        <v>901</v>
      </c>
      <c r="B392" s="558"/>
      <c r="C392" s="318" t="s">
        <v>553</v>
      </c>
      <c r="D392" s="318" t="s">
        <v>553</v>
      </c>
      <c r="E392" s="318" t="s">
        <v>553</v>
      </c>
      <c r="F392" s="318" t="s">
        <v>553</v>
      </c>
      <c r="G392" s="559" t="s">
        <v>553</v>
      </c>
      <c r="H392" s="318" t="s">
        <v>553</v>
      </c>
      <c r="I392" s="318" t="s">
        <v>553</v>
      </c>
      <c r="J392" s="318" t="s">
        <v>553</v>
      </c>
      <c r="K392" s="318" t="s">
        <v>553</v>
      </c>
      <c r="L392" s="559" t="s">
        <v>553</v>
      </c>
      <c r="M392" s="318" t="s">
        <v>553</v>
      </c>
      <c r="N392" s="318" t="s">
        <v>553</v>
      </c>
      <c r="O392" s="318" t="s">
        <v>553</v>
      </c>
      <c r="P392" s="318" t="s">
        <v>553</v>
      </c>
      <c r="Q392" s="559" t="s">
        <v>553</v>
      </c>
      <c r="R392" s="318" t="s">
        <v>553</v>
      </c>
      <c r="S392" s="318" t="s">
        <v>553</v>
      </c>
      <c r="T392" s="318" t="s">
        <v>553</v>
      </c>
      <c r="U392" s="318" t="s">
        <v>553</v>
      </c>
      <c r="V392" s="559" t="s">
        <v>553</v>
      </c>
      <c r="W392" s="318">
        <f t="shared" ref="W392:CA392" si="953">W398*1000000/W391/W$5</f>
        <v>286.05826351865937</v>
      </c>
      <c r="X392" s="318">
        <f t="shared" si="953"/>
        <v>251.97384314836657</v>
      </c>
      <c r="Y392" s="318">
        <f t="shared" si="953"/>
        <v>267.57176866049946</v>
      </c>
      <c r="Z392" s="318">
        <f t="shared" si="953"/>
        <v>230.86840152848941</v>
      </c>
      <c r="AA392" s="559">
        <f t="shared" si="953"/>
        <v>255.00413596157088</v>
      </c>
      <c r="AB392" s="318">
        <f t="shared" si="953"/>
        <v>290.07102766602094</v>
      </c>
      <c r="AC392" s="318">
        <f t="shared" si="953"/>
        <v>300.62002880941947</v>
      </c>
      <c r="AD392" s="318">
        <f t="shared" si="953"/>
        <v>282.19288163784</v>
      </c>
      <c r="AE392" s="560">
        <f t="shared" si="953"/>
        <v>261.10987873410232</v>
      </c>
      <c r="AF392" s="561">
        <f t="shared" si="953"/>
        <v>283.25248810409556</v>
      </c>
      <c r="AG392" s="318">
        <f t="shared" si="953"/>
        <v>300.55414670799286</v>
      </c>
      <c r="AH392" s="318">
        <f t="shared" si="953"/>
        <v>307.00491393644393</v>
      </c>
      <c r="AI392" s="318">
        <f t="shared" si="953"/>
        <v>333.71232262302931</v>
      </c>
      <c r="AJ392" s="560">
        <f t="shared" si="953"/>
        <v>253.14619742333892</v>
      </c>
      <c r="AK392" s="561">
        <f t="shared" si="953"/>
        <v>296.57410971331041</v>
      </c>
      <c r="AL392" s="318">
        <f t="shared" si="953"/>
        <v>280.09448757155178</v>
      </c>
      <c r="AM392" s="318">
        <f t="shared" si="953"/>
        <v>286.95281028537255</v>
      </c>
      <c r="AN392" s="318">
        <f t="shared" si="953"/>
        <v>276.95008651835684</v>
      </c>
      <c r="AO392" s="560">
        <f t="shared" si="953"/>
        <v>267.18142284844913</v>
      </c>
      <c r="AP392" s="562">
        <f t="shared" si="953"/>
        <v>277.74846943707968</v>
      </c>
      <c r="AQ392" s="562">
        <f t="shared" si="953"/>
        <v>288.13995982059049</v>
      </c>
      <c r="AR392" s="560">
        <f t="shared" si="953"/>
        <v>274.87118102348245</v>
      </c>
      <c r="AS392" s="560">
        <f t="shared" si="953"/>
        <v>265.37231890319964</v>
      </c>
      <c r="AT392" s="560">
        <f t="shared" si="953"/>
        <v>242.86778437071726</v>
      </c>
      <c r="AU392" s="1688">
        <f t="shared" si="953"/>
        <v>267.70715232986618</v>
      </c>
      <c r="AV392" s="1732">
        <f t="shared" si="953"/>
        <v>271.31200023132112</v>
      </c>
      <c r="AW392" s="1766">
        <f t="shared" si="953"/>
        <v>269.24210754283115</v>
      </c>
      <c r="AX392" s="1766">
        <f t="shared" si="953"/>
        <v>248.5828272235442</v>
      </c>
      <c r="AY392" s="1901">
        <f t="shared" si="953"/>
        <v>228.5755057690705</v>
      </c>
      <c r="AZ392" s="1688">
        <f t="shared" si="953"/>
        <v>254.31581296454098</v>
      </c>
      <c r="BA392" s="1732">
        <f t="shared" si="953"/>
        <v>239.51184832635983</v>
      </c>
      <c r="BB392" s="1766">
        <f t="shared" si="953"/>
        <v>243.16229116560291</v>
      </c>
      <c r="BC392" s="1766">
        <f t="shared" si="953"/>
        <v>236.42901610446958</v>
      </c>
      <c r="BD392" s="1901">
        <f t="shared" si="953"/>
        <v>229.55776025585325</v>
      </c>
      <c r="BE392" s="1901">
        <f t="shared" si="953"/>
        <v>237.14016841757288</v>
      </c>
      <c r="BF392" s="1766">
        <f>BF398*1000000/BF391/BF$5</f>
        <v>244.78534616434618</v>
      </c>
      <c r="BG392" s="1766">
        <f>BG398*1000000/BG391/BG$5</f>
        <v>249.89323502454187</v>
      </c>
      <c r="BH392" s="1766">
        <f>BH398*1000000/BH391/BH$5</f>
        <v>242.03164694819722</v>
      </c>
      <c r="BI392" s="1901">
        <f>BI398*1000000/BI391/BI$5</f>
        <v>233.0731184220721</v>
      </c>
      <c r="BJ392" s="1901">
        <f t="shared" si="953"/>
        <v>242.42933020360198</v>
      </c>
      <c r="BK392" s="1766">
        <f t="shared" ref="BK392:BU392" si="954">BK398*1000000/BK391/BK$5</f>
        <v>240.62683053788331</v>
      </c>
      <c r="BL392" s="1766">
        <f t="shared" si="954"/>
        <v>247.81209674865261</v>
      </c>
      <c r="BM392" s="1766">
        <f t="shared" si="954"/>
        <v>236.62947287418237</v>
      </c>
      <c r="BN392" s="1901">
        <f t="shared" si="954"/>
        <v>224.27520208368685</v>
      </c>
      <c r="BO392" s="1901">
        <f t="shared" si="954"/>
        <v>237.28704151620832</v>
      </c>
      <c r="BP392" s="1766">
        <f t="shared" si="954"/>
        <v>246.49139046040955</v>
      </c>
      <c r="BQ392" s="1766">
        <f t="shared" si="954"/>
        <v>249.29446615290595</v>
      </c>
      <c r="BR392" s="1766">
        <f t="shared" si="954"/>
        <v>237.22654345879863</v>
      </c>
      <c r="BS392" s="1766">
        <f>BS398*1000000/BS391/BS$5</f>
        <v>225.42962115707653</v>
      </c>
      <c r="BT392" s="2589">
        <f t="shared" si="954"/>
        <v>239.57520980722401</v>
      </c>
      <c r="BU392" s="1766">
        <f t="shared" si="954"/>
        <v>245.66106270428523</v>
      </c>
      <c r="BV392" s="1766">
        <f>BV398*1000000/BV391/BV$5</f>
        <v>255.27561130156423</v>
      </c>
      <c r="BW392" s="1766">
        <f>BW398*1000000/BW391/BW$5</f>
        <v>241.80689332662888</v>
      </c>
      <c r="BX392" s="1766">
        <f>BX398*1000000/BX391/BX$5</f>
        <v>228.95934227620569</v>
      </c>
      <c r="BY392" s="2589">
        <f>BY398*1000000/BY391/BY$5</f>
        <v>242.87672027601408</v>
      </c>
      <c r="BZ392" s="561">
        <f t="shared" si="953"/>
        <v>245.99044349860759</v>
      </c>
      <c r="CA392" s="561">
        <f t="shared" si="953"/>
        <v>245.31833846172617</v>
      </c>
      <c r="CB392" s="561">
        <f>CB398*1000000/CB391/CB$5</f>
        <v>233.6909213236772</v>
      </c>
      <c r="CC392" s="561">
        <f>CC398*1000000/CC391/CC$5</f>
        <v>222.00637525749332</v>
      </c>
      <c r="CD392" s="561">
        <f>CD398*1000000/CD391/CD$5</f>
        <v>226.44650276264321</v>
      </c>
      <c r="CE392" s="561">
        <f>CE398*1000000/CE391/CE$5</f>
        <v>230.34435240036083</v>
      </c>
      <c r="CF392" s="561">
        <f>CF398*1000000/CF391/CF$5</f>
        <v>235.59494147425397</v>
      </c>
      <c r="CG392" s="560"/>
      <c r="CH392" s="560"/>
      <c r="CI392" s="560"/>
      <c r="CJ392" s="560"/>
      <c r="CK392" s="560"/>
      <c r="CL392" s="1307" t="str">
        <f t="shared" si="933"/>
        <v>Daily Win / Position</v>
      </c>
      <c r="CM392" s="560" t="str">
        <f t="shared" si="934"/>
        <v xml:space="preserve">n/a </v>
      </c>
      <c r="CN392" s="560" t="str">
        <f t="shared" si="935"/>
        <v xml:space="preserve">n/a </v>
      </c>
      <c r="CO392" s="560" t="str">
        <f t="shared" si="936"/>
        <v xml:space="preserve">n/a </v>
      </c>
      <c r="CP392" s="560" t="str">
        <f t="shared" si="937"/>
        <v xml:space="preserve">n/a </v>
      </c>
      <c r="CQ392" s="560">
        <f t="shared" si="938"/>
        <v>255.00413596157088</v>
      </c>
      <c r="CR392" s="560">
        <f t="shared" si="939"/>
        <v>283.25248810409556</v>
      </c>
      <c r="CS392" s="560">
        <f t="shared" si="940"/>
        <v>296.57410971331041</v>
      </c>
      <c r="CT392" s="560">
        <f t="shared" si="941"/>
        <v>277.74846943707968</v>
      </c>
      <c r="CU392" s="560">
        <f t="shared" si="942"/>
        <v>267.70715232986618</v>
      </c>
      <c r="CV392" s="560">
        <f t="shared" si="943"/>
        <v>254.31581296454098</v>
      </c>
      <c r="CW392" s="560">
        <f t="shared" si="944"/>
        <v>237.14016841757288</v>
      </c>
      <c r="CX392" s="560">
        <f t="shared" si="945"/>
        <v>242.42933020360198</v>
      </c>
      <c r="CY392" s="560">
        <f t="shared" si="946"/>
        <v>237.28704151620832</v>
      </c>
      <c r="CZ392" s="560">
        <f t="shared" si="947"/>
        <v>239.57520980722401</v>
      </c>
      <c r="DA392" s="560">
        <f t="shared" si="948"/>
        <v>242.87672027601408</v>
      </c>
      <c r="DB392" s="560">
        <f t="shared" si="948"/>
        <v>245.99044349860759</v>
      </c>
      <c r="DC392" s="1878">
        <f t="shared" si="948"/>
        <v>245.31833846172617</v>
      </c>
      <c r="DD392" s="560"/>
      <c r="DE392" s="560"/>
      <c r="DF392" s="707"/>
      <c r="DG392" s="707"/>
      <c r="DH392" s="2588"/>
      <c r="DI392" s="3213"/>
      <c r="DJ392" s="707"/>
      <c r="DK392" s="707"/>
      <c r="DL392" s="707"/>
      <c r="DM392" s="707"/>
      <c r="DN392" s="707"/>
      <c r="DO392" s="707"/>
      <c r="DP392" s="707"/>
      <c r="DQ392" s="707"/>
      <c r="DR392" s="968"/>
      <c r="DS392" s="968"/>
      <c r="DT392" s="968"/>
    </row>
    <row r="393" spans="1:124" ht="12" customHeight="1" x14ac:dyDescent="0.25">
      <c r="A393" s="465" t="s">
        <v>1491</v>
      </c>
      <c r="B393" s="466"/>
      <c r="C393" s="467" t="s">
        <v>553</v>
      </c>
      <c r="D393" s="467" t="s">
        <v>553</v>
      </c>
      <c r="E393" s="467" t="s">
        <v>553</v>
      </c>
      <c r="F393" s="467" t="s">
        <v>553</v>
      </c>
      <c r="G393" s="468" t="s">
        <v>553</v>
      </c>
      <c r="H393" s="467" t="s">
        <v>553</v>
      </c>
      <c r="I393" s="467" t="s">
        <v>553</v>
      </c>
      <c r="J393" s="467" t="s">
        <v>553</v>
      </c>
      <c r="K393" s="467" t="s">
        <v>553</v>
      </c>
      <c r="L393" s="468" t="s">
        <v>553</v>
      </c>
      <c r="M393" s="467" t="s">
        <v>553</v>
      </c>
      <c r="N393" s="467" t="s">
        <v>553</v>
      </c>
      <c r="O393" s="467" t="s">
        <v>553</v>
      </c>
      <c r="P393" s="467" t="s">
        <v>553</v>
      </c>
      <c r="Q393" s="468" t="s">
        <v>553</v>
      </c>
      <c r="R393" s="467" t="s">
        <v>553</v>
      </c>
      <c r="S393" s="467" t="s">
        <v>553</v>
      </c>
      <c r="T393" s="467" t="s">
        <v>553</v>
      </c>
      <c r="U393" s="467" t="s">
        <v>553</v>
      </c>
      <c r="V393" s="468" t="s">
        <v>553</v>
      </c>
      <c r="W393" s="467" t="s">
        <v>553</v>
      </c>
      <c r="X393" s="467" t="s">
        <v>553</v>
      </c>
      <c r="Y393" s="467" t="s">
        <v>553</v>
      </c>
      <c r="Z393" s="467" t="s">
        <v>553</v>
      </c>
      <c r="AA393" s="468" t="s">
        <v>553</v>
      </c>
      <c r="AB393" s="467">
        <f t="shared" ref="AB393:AU393" si="955">(AB392-W392)/W392</f>
        <v>1.4027786150983943E-2</v>
      </c>
      <c r="AC393" s="467">
        <f t="shared" si="955"/>
        <v>0.19306045839214026</v>
      </c>
      <c r="AD393" s="467">
        <f t="shared" si="955"/>
        <v>5.4643705688891687E-2</v>
      </c>
      <c r="AE393" s="469">
        <f t="shared" si="955"/>
        <v>0.13099010954030918</v>
      </c>
      <c r="AF393" s="470">
        <f t="shared" si="955"/>
        <v>0.11077605481183923</v>
      </c>
      <c r="AG393" s="467">
        <f t="shared" si="955"/>
        <v>3.6139834875346E-2</v>
      </c>
      <c r="AH393" s="467">
        <f t="shared" si="955"/>
        <v>2.1239054338166575E-2</v>
      </c>
      <c r="AI393" s="467">
        <f t="shared" si="955"/>
        <v>0.18256818062231703</v>
      </c>
      <c r="AJ393" s="469">
        <f t="shared" si="955"/>
        <v>-3.0499348968995199E-2</v>
      </c>
      <c r="AK393" s="470">
        <f t="shared" si="955"/>
        <v>4.7030907648440978E-2</v>
      </c>
      <c r="AL393" s="467">
        <f t="shared" si="955"/>
        <v>-6.8073122133027547E-2</v>
      </c>
      <c r="AM393" s="467">
        <f t="shared" si="955"/>
        <v>-6.5315253081657698E-2</v>
      </c>
      <c r="AN393" s="467">
        <f t="shared" si="955"/>
        <v>-0.170093317677072</v>
      </c>
      <c r="AO393" s="469">
        <f t="shared" si="955"/>
        <v>5.5443161177092318E-2</v>
      </c>
      <c r="AP393" s="471">
        <f t="shared" si="955"/>
        <v>-6.3477018592178969E-2</v>
      </c>
      <c r="AQ393" s="471">
        <f t="shared" si="955"/>
        <v>2.8724136339825134E-2</v>
      </c>
      <c r="AR393" s="469">
        <f t="shared" si="955"/>
        <v>-4.2103191984337096E-2</v>
      </c>
      <c r="AS393" s="469">
        <f t="shared" si="955"/>
        <v>-4.1804527886976486E-2</v>
      </c>
      <c r="AT393" s="469">
        <f t="shared" si="955"/>
        <v>-9.1000482812471112E-2</v>
      </c>
      <c r="AU393" s="1689">
        <f t="shared" si="955"/>
        <v>-3.6152556043115236E-2</v>
      </c>
      <c r="AV393" s="1730">
        <f t="shared" ref="AV393:BA393" si="956">(AV392-AQ392)/AQ392</f>
        <v>-5.8402033510892584E-2</v>
      </c>
      <c r="AW393" s="1465">
        <f t="shared" si="956"/>
        <v>-2.0478951120635684E-2</v>
      </c>
      <c r="AX393" s="1465">
        <f t="shared" si="956"/>
        <v>-6.3267682737398759E-2</v>
      </c>
      <c r="AY393" s="1868">
        <f t="shared" si="956"/>
        <v>-5.8847980347326738E-2</v>
      </c>
      <c r="AZ393" s="1689">
        <f t="shared" si="956"/>
        <v>-5.0022344374365146E-2</v>
      </c>
      <c r="BA393" s="1730">
        <f t="shared" si="956"/>
        <v>-0.11720879237869473</v>
      </c>
      <c r="BB393" s="1465">
        <f t="shared" ref="BB393:BJ393" si="957">(BB392-AW392)/AW392</f>
        <v>-9.6863810104737991E-2</v>
      </c>
      <c r="BC393" s="1465">
        <f t="shared" si="957"/>
        <v>-4.8892400391540344E-2</v>
      </c>
      <c r="BD393" s="1868">
        <f t="shared" si="957"/>
        <v>4.2972867257925727E-3</v>
      </c>
      <c r="BE393" s="1868">
        <f t="shared" si="957"/>
        <v>-6.7536675548220376E-2</v>
      </c>
      <c r="BF393" s="1465">
        <f t="shared" si="957"/>
        <v>2.2017690877658234E-2</v>
      </c>
      <c r="BG393" s="1465">
        <f t="shared" si="957"/>
        <v>2.7680870363056928E-2</v>
      </c>
      <c r="BH393" s="1465">
        <f t="shared" si="957"/>
        <v>2.3696883470732861E-2</v>
      </c>
      <c r="BI393" s="1868">
        <f t="shared" si="957"/>
        <v>1.5313610667314443E-2</v>
      </c>
      <c r="BJ393" s="1868">
        <f t="shared" si="957"/>
        <v>2.2303947160548416E-2</v>
      </c>
      <c r="BK393" s="1465">
        <f t="shared" ref="BK393:BT393" si="958">(BK392-BF392)/BF392</f>
        <v>-1.6988417369031929E-2</v>
      </c>
      <c r="BL393" s="1465">
        <f t="shared" si="958"/>
        <v>-8.3281097052702192E-3</v>
      </c>
      <c r="BM393" s="1465">
        <f t="shared" si="958"/>
        <v>-2.2320114506228582E-2</v>
      </c>
      <c r="BN393" s="1868">
        <f t="shared" si="958"/>
        <v>-3.774745194961996E-2</v>
      </c>
      <c r="BO393" s="1868">
        <f t="shared" si="958"/>
        <v>-2.1211495667933233E-2</v>
      </c>
      <c r="BP393" s="1465">
        <f t="shared" si="958"/>
        <v>2.4372011672251767E-2</v>
      </c>
      <c r="BQ393" s="1465">
        <f t="shared" si="958"/>
        <v>5.9818282630361846E-3</v>
      </c>
      <c r="BR393" s="1465">
        <f t="shared" si="958"/>
        <v>2.523229999053112E-3</v>
      </c>
      <c r="BS393" s="1465">
        <f t="shared" si="958"/>
        <v>5.1473326639068706E-3</v>
      </c>
      <c r="BT393" s="470">
        <f t="shared" si="958"/>
        <v>9.643039402383027E-3</v>
      </c>
      <c r="BU393" s="1465">
        <f>(BU392-BP392)/BP392</f>
        <v>-3.3685872539945087E-3</v>
      </c>
      <c r="BV393" s="1465">
        <f>(BV392-BQ392)/BQ392</f>
        <v>2.3992290085531651E-2</v>
      </c>
      <c r="BW393" s="1465">
        <f>(BW392-BR392)/BR392</f>
        <v>1.9307914709071176E-2</v>
      </c>
      <c r="BX393" s="1465">
        <f>(BX392-BS392)/BS392</f>
        <v>1.5657752078062973E-2</v>
      </c>
      <c r="BY393" s="470">
        <f>(BY392-BT392)/BT392</f>
        <v>1.3780684869050748E-2</v>
      </c>
      <c r="BZ393" s="470">
        <f t="shared" ref="BZ393:CF393" si="959">(BZ392-BY392)/BY392</f>
        <v>1.2820179797614841E-2</v>
      </c>
      <c r="CA393" s="470">
        <f t="shared" si="959"/>
        <v>-2.7322404371583784E-3</v>
      </c>
      <c r="CB393" s="470">
        <f t="shared" si="959"/>
        <v>-4.7397260273972723E-2</v>
      </c>
      <c r="CC393" s="470">
        <f t="shared" si="959"/>
        <v>-5.00000000000001E-2</v>
      </c>
      <c r="CD393" s="470">
        <f t="shared" si="959"/>
        <v>2.0000000000000101E-2</v>
      </c>
      <c r="CE393" s="470">
        <f t="shared" si="959"/>
        <v>1.7213114754098351E-2</v>
      </c>
      <c r="CF393" s="470">
        <f t="shared" si="959"/>
        <v>2.2794520547945125E-2</v>
      </c>
      <c r="CG393" s="492"/>
      <c r="CH393" s="492"/>
      <c r="CI393" s="492"/>
      <c r="CJ393" s="492"/>
      <c r="CK393" s="492"/>
      <c r="CL393" s="1310" t="str">
        <f t="shared" si="933"/>
        <v>% growth (y-o-y)</v>
      </c>
      <c r="CM393" s="469" t="str">
        <f t="shared" si="934"/>
        <v xml:space="preserve">n/a </v>
      </c>
      <c r="CN393" s="469" t="str">
        <f t="shared" si="935"/>
        <v xml:space="preserve">n/a </v>
      </c>
      <c r="CO393" s="469" t="str">
        <f t="shared" si="936"/>
        <v xml:space="preserve">n/a </v>
      </c>
      <c r="CP393" s="469" t="str">
        <f t="shared" si="937"/>
        <v xml:space="preserve">n/a </v>
      </c>
      <c r="CQ393" s="469" t="str">
        <f t="shared" si="938"/>
        <v xml:space="preserve">n/a </v>
      </c>
      <c r="CR393" s="469">
        <f t="shared" si="939"/>
        <v>0.11077605481183923</v>
      </c>
      <c r="CS393" s="469">
        <f t="shared" si="940"/>
        <v>4.7030907648440978E-2</v>
      </c>
      <c r="CT393" s="469">
        <f t="shared" si="941"/>
        <v>-6.3477018592178969E-2</v>
      </c>
      <c r="CU393" s="469">
        <f t="shared" si="942"/>
        <v>-3.6152556043115236E-2</v>
      </c>
      <c r="CV393" s="469">
        <f t="shared" si="943"/>
        <v>-5.0022344374365146E-2</v>
      </c>
      <c r="CW393" s="469">
        <f t="shared" si="944"/>
        <v>-6.7536675548220376E-2</v>
      </c>
      <c r="CX393" s="469">
        <f t="shared" si="945"/>
        <v>2.2303947160548416E-2</v>
      </c>
      <c r="CY393" s="469">
        <f t="shared" si="946"/>
        <v>-2.1211495667933233E-2</v>
      </c>
      <c r="CZ393" s="469">
        <f t="shared" si="947"/>
        <v>9.643039402383027E-3</v>
      </c>
      <c r="DA393" s="469">
        <f t="shared" si="948"/>
        <v>1.3780684869050748E-2</v>
      </c>
      <c r="DB393" s="469">
        <f t="shared" si="948"/>
        <v>1.2820179797614841E-2</v>
      </c>
      <c r="DC393" s="1463">
        <f t="shared" si="948"/>
        <v>-2.7322404371583784E-3</v>
      </c>
      <c r="DD393" s="492"/>
      <c r="DE393" s="492"/>
      <c r="DF393" s="962"/>
      <c r="DG393" s="962"/>
      <c r="DH393" s="469"/>
      <c r="DI393" s="3213"/>
      <c r="DJ393" s="962"/>
      <c r="DK393" s="962"/>
      <c r="DL393" s="962"/>
      <c r="DM393" s="962"/>
      <c r="DN393" s="962"/>
      <c r="DO393" s="962"/>
      <c r="DP393" s="962"/>
      <c r="DQ393" s="962"/>
      <c r="DR393" s="963"/>
      <c r="DS393" s="963"/>
      <c r="DT393" s="963"/>
    </row>
    <row r="394" spans="1:124" ht="5.0999999999999996" customHeight="1" x14ac:dyDescent="0.25">
      <c r="A394" s="281"/>
      <c r="B394" s="281"/>
      <c r="C394" s="305"/>
      <c r="D394" s="305"/>
      <c r="E394" s="305"/>
      <c r="F394" s="305"/>
      <c r="G394" s="440"/>
      <c r="H394" s="305"/>
      <c r="I394" s="305"/>
      <c r="J394" s="305"/>
      <c r="K394" s="305"/>
      <c r="L394" s="440"/>
      <c r="M394" s="305"/>
      <c r="N394" s="305"/>
      <c r="O394" s="305"/>
      <c r="P394" s="305"/>
      <c r="Q394" s="440"/>
      <c r="R394" s="305"/>
      <c r="S394" s="305"/>
      <c r="T394" s="305"/>
      <c r="U394" s="305"/>
      <c r="V394" s="440"/>
      <c r="W394" s="305"/>
      <c r="X394" s="305"/>
      <c r="Y394" s="305"/>
      <c r="Z394" s="305"/>
      <c r="AA394" s="440"/>
      <c r="AB394" s="305"/>
      <c r="AC394" s="305"/>
      <c r="AD394" s="305"/>
      <c r="AE394" s="331"/>
      <c r="AF394" s="441"/>
      <c r="AG394" s="305"/>
      <c r="AH394" s="305"/>
      <c r="AI394" s="305"/>
      <c r="AJ394" s="331"/>
      <c r="AK394" s="441"/>
      <c r="AL394" s="305"/>
      <c r="AM394" s="305"/>
      <c r="AN394" s="305"/>
      <c r="AO394" s="331"/>
      <c r="AP394" s="569"/>
      <c r="AQ394" s="569"/>
      <c r="AR394" s="442"/>
      <c r="AS394" s="442"/>
      <c r="AT394" s="442"/>
      <c r="AU394" s="1690"/>
      <c r="AV394" s="1902"/>
      <c r="AW394" s="1837"/>
      <c r="AX394" s="1837"/>
      <c r="AY394" s="1903"/>
      <c r="AZ394" s="1690"/>
      <c r="BA394" s="1902"/>
      <c r="BB394" s="1837"/>
      <c r="BC394" s="1837"/>
      <c r="BD394" s="1903"/>
      <c r="BE394" s="1903"/>
      <c r="BF394" s="1837"/>
      <c r="BG394" s="1837"/>
      <c r="BH394" s="1837"/>
      <c r="BI394" s="1903"/>
      <c r="BJ394" s="1903"/>
      <c r="BK394" s="1837"/>
      <c r="BL394" s="1837"/>
      <c r="BM394" s="1837"/>
      <c r="BN394" s="1903"/>
      <c r="BO394" s="1903"/>
      <c r="BP394" s="1837"/>
      <c r="BQ394" s="1837"/>
      <c r="BR394" s="1837"/>
      <c r="BS394" s="1837"/>
      <c r="BT394" s="3236"/>
      <c r="BU394" s="1837"/>
      <c r="BV394" s="1837"/>
      <c r="BW394" s="1837"/>
      <c r="BX394" s="1837"/>
      <c r="BY394" s="3236"/>
      <c r="BZ394" s="441"/>
      <c r="CA394" s="441"/>
      <c r="CB394" s="441"/>
      <c r="CC394" s="441"/>
      <c r="CD394" s="441"/>
      <c r="CE394" s="441"/>
      <c r="CF394" s="441"/>
      <c r="CG394" s="331"/>
      <c r="CH394" s="331"/>
      <c r="CI394" s="331"/>
      <c r="CJ394" s="331"/>
      <c r="CK394" s="331"/>
      <c r="CL394" s="520"/>
      <c r="CM394" s="442"/>
      <c r="CN394" s="442"/>
      <c r="CO394" s="442"/>
      <c r="CP394" s="442"/>
      <c r="CQ394" s="442"/>
      <c r="CR394" s="442"/>
      <c r="CS394" s="442"/>
      <c r="CT394" s="442"/>
      <c r="CU394" s="442"/>
      <c r="CV394" s="442"/>
      <c r="CW394" s="442"/>
      <c r="CX394" s="442"/>
      <c r="CY394" s="442"/>
      <c r="CZ394" s="442"/>
      <c r="DA394" s="442"/>
      <c r="DB394" s="442"/>
      <c r="DC394" s="1312"/>
      <c r="DD394" s="331"/>
      <c r="DE394" s="331"/>
      <c r="DF394" s="502"/>
      <c r="DG394" s="503"/>
      <c r="DH394" s="3298"/>
      <c r="DI394" s="3213"/>
      <c r="DJ394" s="502"/>
      <c r="DK394" s="503"/>
      <c r="DL394" s="502"/>
      <c r="DM394" s="502"/>
      <c r="DN394" s="502"/>
      <c r="DO394" s="502"/>
      <c r="DP394" s="503"/>
      <c r="DQ394" s="503"/>
      <c r="DR394" s="296"/>
      <c r="DS394" s="296"/>
      <c r="DT394" s="296"/>
    </row>
    <row r="395" spans="1:124" ht="12" customHeight="1" x14ac:dyDescent="0.25">
      <c r="A395" s="511" t="s">
        <v>2214</v>
      </c>
      <c r="B395" s="281"/>
      <c r="C395" s="565">
        <f>C398</f>
        <v>0</v>
      </c>
      <c r="D395" s="565">
        <v>0</v>
      </c>
      <c r="E395" s="565">
        <v>0</v>
      </c>
      <c r="F395" s="565">
        <v>0</v>
      </c>
      <c r="G395" s="574">
        <v>0</v>
      </c>
      <c r="H395" s="565">
        <v>0</v>
      </c>
      <c r="I395" s="565">
        <v>0</v>
      </c>
      <c r="J395" s="565">
        <v>0</v>
      </c>
      <c r="K395" s="565">
        <v>0</v>
      </c>
      <c r="L395" s="574">
        <v>0</v>
      </c>
      <c r="M395" s="565">
        <v>0</v>
      </c>
      <c r="N395" s="565">
        <v>0</v>
      </c>
      <c r="O395" s="565">
        <v>0</v>
      </c>
      <c r="P395" s="565">
        <v>0</v>
      </c>
      <c r="Q395" s="574">
        <v>0</v>
      </c>
      <c r="R395" s="565">
        <v>0</v>
      </c>
      <c r="S395" s="565">
        <v>0</v>
      </c>
      <c r="T395" s="565">
        <v>0</v>
      </c>
      <c r="U395" s="565">
        <v>0</v>
      </c>
      <c r="V395" s="574">
        <v>0</v>
      </c>
      <c r="W395" s="446">
        <f>W398</f>
        <v>26.291614999999986</v>
      </c>
      <c r="X395" s="446">
        <f>X398</f>
        <v>46.390442309999997</v>
      </c>
      <c r="Y395" s="446">
        <f>Y398</f>
        <v>51.698011160000085</v>
      </c>
      <c r="Z395" s="446">
        <f>Z398</f>
        <v>46.737558419999978</v>
      </c>
      <c r="AA395" s="447">
        <f>SUM(W395:Z395)</f>
        <v>171.11762689000003</v>
      </c>
      <c r="AB395" s="446">
        <f>AB398</f>
        <v>58.4</v>
      </c>
      <c r="AC395" s="446">
        <f>AC398</f>
        <v>62.4</v>
      </c>
      <c r="AD395" s="446">
        <f>AD398</f>
        <v>60.4</v>
      </c>
      <c r="AE395" s="446">
        <f>AE398</f>
        <v>56.5</v>
      </c>
      <c r="AF395" s="447">
        <f>SUM(AB395:AE395)</f>
        <v>237.7</v>
      </c>
      <c r="AG395" s="563">
        <v>64</v>
      </c>
      <c r="AH395" s="563">
        <v>66.099999999999994</v>
      </c>
      <c r="AI395" s="563">
        <v>65.439828690000041</v>
      </c>
      <c r="AJ395" s="563">
        <v>57.899108689999906</v>
      </c>
      <c r="AK395" s="447">
        <f>SUM(AG395:AJ395)</f>
        <v>253.43893737999994</v>
      </c>
      <c r="AL395" s="563">
        <v>61.801000000000002</v>
      </c>
      <c r="AM395" s="563">
        <v>63.973665549999907</v>
      </c>
      <c r="AN395" s="563">
        <v>62.581621159999997</v>
      </c>
      <c r="AO395" s="563">
        <v>60.568525829999999</v>
      </c>
      <c r="AP395" s="456">
        <f>SUM(AL395:AO395)</f>
        <v>248.92481253999989</v>
      </c>
      <c r="AQ395" s="1682">
        <v>65.142449069999941</v>
      </c>
      <c r="AR395" s="563">
        <v>62.191215759999963</v>
      </c>
      <c r="AS395" s="563">
        <v>61.386768910000001</v>
      </c>
      <c r="AT395" s="563">
        <v>55.228999999999999</v>
      </c>
      <c r="AU395" s="1693">
        <f>SUM(AQ395:AT395)</f>
        <v>243.9494337399999</v>
      </c>
      <c r="AV395" s="1682">
        <v>60.631100620000069</v>
      </c>
      <c r="AW395" s="563">
        <v>60.880824869999998</v>
      </c>
      <c r="AX395" s="563">
        <v>57.037638080000036</v>
      </c>
      <c r="AY395" s="563">
        <v>51.779214069999995</v>
      </c>
      <c r="AZ395" s="1693">
        <f>SUM(AV395:AY395)</f>
        <v>230.32877764000008</v>
      </c>
      <c r="BA395" s="2659">
        <v>52.941904290000004</v>
      </c>
      <c r="BB395" s="2852">
        <v>55.000188319999992</v>
      </c>
      <c r="BC395" s="2852">
        <v>54.277711369999984</v>
      </c>
      <c r="BD395" s="2852">
        <v>51.870219710000022</v>
      </c>
      <c r="BE395" s="1693">
        <f>SUM(BA395:BD395)</f>
        <v>214.09002369000001</v>
      </c>
      <c r="BF395" s="2852">
        <v>53.622250860000001</v>
      </c>
      <c r="BG395" s="2970">
        <v>55.386134380000058</v>
      </c>
      <c r="BH395" s="2970">
        <v>54.467900689999908</v>
      </c>
      <c r="BI395" s="2964">
        <v>51.958218689999931</v>
      </c>
      <c r="BJ395" s="1864">
        <f>SUM(BF395:BI395)</f>
        <v>215.4345046199999</v>
      </c>
      <c r="BK395" s="2852">
        <v>52.821115130000038</v>
      </c>
      <c r="BL395" s="2970">
        <v>54.733251710000019</v>
      </c>
      <c r="BM395" s="2970">
        <v>52.9</v>
      </c>
      <c r="BN395" s="2964">
        <v>49.436962860000008</v>
      </c>
      <c r="BO395" s="1864">
        <f>SUM(BK395:BN395)</f>
        <v>209.89132970000009</v>
      </c>
      <c r="BP395" s="2970">
        <v>52.898639709999998</v>
      </c>
      <c r="BQ395" s="2970">
        <v>54.453046709999967</v>
      </c>
      <c r="BR395" s="2970">
        <v>52.426214909999956</v>
      </c>
      <c r="BS395" s="2970">
        <v>49.236451650000021</v>
      </c>
      <c r="BT395" s="3066">
        <f>SUM(BP395:BS395)</f>
        <v>209.01435297999993</v>
      </c>
      <c r="BU395" s="2970">
        <v>51.597910570000003</v>
      </c>
      <c r="BV395" s="1841">
        <f>+BQ395*(1+BV399)</f>
        <v>54.99757717709997</v>
      </c>
      <c r="BW395" s="1841">
        <f>+BR395*(1+BW399)</f>
        <v>52.950477059099953</v>
      </c>
      <c r="BX395" s="1841">
        <f>+BS395*(1+BX399)</f>
        <v>49.728816166500025</v>
      </c>
      <c r="BY395" s="3066">
        <f>SUM(BU395:BX395)</f>
        <v>209.27478097269997</v>
      </c>
      <c r="BZ395" s="455">
        <f t="shared" ref="BZ395:CF395" si="960">BY395*(1+BZ399)</f>
        <v>211.8907157348587</v>
      </c>
      <c r="CA395" s="455">
        <f t="shared" si="960"/>
        <v>211.8907157348587</v>
      </c>
      <c r="CB395" s="455">
        <f t="shared" si="960"/>
        <v>201.29617994811576</v>
      </c>
      <c r="CC395" s="455">
        <f t="shared" si="960"/>
        <v>191.23137095070996</v>
      </c>
      <c r="CD395" s="455">
        <f t="shared" si="960"/>
        <v>195.05599836972416</v>
      </c>
      <c r="CE395" s="455">
        <f t="shared" si="960"/>
        <v>198.95711833711866</v>
      </c>
      <c r="CF395" s="455">
        <f t="shared" si="960"/>
        <v>202.93626070386102</v>
      </c>
      <c r="CG395" s="331"/>
      <c r="CH395" s="331"/>
      <c r="CI395" s="331"/>
      <c r="CJ395" s="331"/>
      <c r="CK395" s="331"/>
      <c r="CL395" s="1118" t="str">
        <f>A395</f>
        <v>Slot revenue</v>
      </c>
      <c r="CM395" s="454">
        <f t="shared" ref="CM395:CM402" si="961">G395</f>
        <v>0</v>
      </c>
      <c r="CN395" s="454">
        <f t="shared" ref="CN395:CN402" si="962">L395</f>
        <v>0</v>
      </c>
      <c r="CO395" s="454">
        <f t="shared" ref="CO395:CO402" si="963">Q395</f>
        <v>0</v>
      </c>
      <c r="CP395" s="454">
        <f t="shared" ref="CP395:CP402" si="964">V395</f>
        <v>0</v>
      </c>
      <c r="CQ395" s="454">
        <f t="shared" ref="CQ395:CQ402" si="965">AA395</f>
        <v>171.11762689000003</v>
      </c>
      <c r="CR395" s="454">
        <f t="shared" ref="CR395:CR402" si="966">AF395</f>
        <v>237.7</v>
      </c>
      <c r="CS395" s="454">
        <f t="shared" ref="CS395:CS402" si="967">AK395</f>
        <v>253.43893737999994</v>
      </c>
      <c r="CT395" s="454">
        <f t="shared" ref="CT395:CT402" si="968">AP395</f>
        <v>248.92481253999989</v>
      </c>
      <c r="CU395" s="454">
        <f t="shared" ref="CU395:CU402" si="969">AU395</f>
        <v>243.9494337399999</v>
      </c>
      <c r="CV395" s="454">
        <f t="shared" ref="CV395:CV402" si="970">AZ395</f>
        <v>230.32877764000008</v>
      </c>
      <c r="CW395" s="454">
        <f t="shared" ref="CW395:CW402" si="971">BE395</f>
        <v>214.09002369000001</v>
      </c>
      <c r="CX395" s="454">
        <f t="shared" ref="CX395:CX402" si="972">BJ395</f>
        <v>215.4345046199999</v>
      </c>
      <c r="CY395" s="454">
        <f t="shared" ref="CY395:CY402" si="973">BO395</f>
        <v>209.89132970000009</v>
      </c>
      <c r="CZ395" s="454">
        <f t="shared" ref="CZ395:CZ402" si="974">BT395</f>
        <v>209.01435297999993</v>
      </c>
      <c r="DA395" s="454">
        <f t="shared" ref="DA395:DC402" si="975">BY395</f>
        <v>209.27478097269997</v>
      </c>
      <c r="DB395" s="454">
        <f t="shared" si="975"/>
        <v>211.8907157348587</v>
      </c>
      <c r="DC395" s="1666">
        <f t="shared" si="975"/>
        <v>211.8907157348587</v>
      </c>
      <c r="DD395" s="331"/>
      <c r="DE395" s="331"/>
      <c r="DF395" s="502"/>
      <c r="DG395" s="503"/>
      <c r="DH395" s="2915"/>
      <c r="DI395" s="3213"/>
      <c r="DJ395" s="502"/>
      <c r="DK395" s="503"/>
      <c r="DL395" s="502"/>
      <c r="DM395" s="502"/>
      <c r="DN395" s="502"/>
      <c r="DO395" s="502"/>
      <c r="DP395" s="503"/>
      <c r="DQ395" s="503"/>
      <c r="DR395" s="296"/>
      <c r="DS395" s="296"/>
      <c r="DT395" s="296"/>
    </row>
    <row r="396" spans="1:124" ht="12" customHeight="1" x14ac:dyDescent="0.25">
      <c r="A396" s="511" t="s">
        <v>2215</v>
      </c>
      <c r="B396" s="281"/>
      <c r="C396" s="565">
        <v>0</v>
      </c>
      <c r="D396" s="565">
        <v>0</v>
      </c>
      <c r="E396" s="565">
        <v>0</v>
      </c>
      <c r="F396" s="565">
        <v>0</v>
      </c>
      <c r="G396" s="574">
        <v>0</v>
      </c>
      <c r="H396" s="565">
        <v>0</v>
      </c>
      <c r="I396" s="565">
        <v>0</v>
      </c>
      <c r="J396" s="565">
        <v>0</v>
      </c>
      <c r="K396" s="565">
        <v>0</v>
      </c>
      <c r="L396" s="574">
        <v>0</v>
      </c>
      <c r="M396" s="565">
        <v>0</v>
      </c>
      <c r="N396" s="565">
        <v>0</v>
      </c>
      <c r="O396" s="565">
        <v>0</v>
      </c>
      <c r="P396" s="565">
        <v>0</v>
      </c>
      <c r="Q396" s="574">
        <v>0</v>
      </c>
      <c r="R396" s="565">
        <v>0</v>
      </c>
      <c r="S396" s="565">
        <v>0</v>
      </c>
      <c r="T396" s="565">
        <v>0</v>
      </c>
      <c r="U396" s="565">
        <v>0</v>
      </c>
      <c r="V396" s="574">
        <v>0</v>
      </c>
      <c r="W396" s="565">
        <v>0</v>
      </c>
      <c r="X396" s="565">
        <v>0</v>
      </c>
      <c r="Y396" s="565">
        <v>0</v>
      </c>
      <c r="Z396" s="565">
        <v>0</v>
      </c>
      <c r="AA396" s="447">
        <v>0</v>
      </c>
      <c r="AB396" s="563">
        <v>0</v>
      </c>
      <c r="AC396" s="563">
        <v>0</v>
      </c>
      <c r="AD396" s="563">
        <v>0</v>
      </c>
      <c r="AE396" s="563">
        <v>0</v>
      </c>
      <c r="AF396" s="455">
        <v>0</v>
      </c>
      <c r="AG396" s="454">
        <v>0</v>
      </c>
      <c r="AH396" s="454">
        <v>0</v>
      </c>
      <c r="AI396" s="563">
        <v>7.2</v>
      </c>
      <c r="AJ396" s="563">
        <v>7.8470091200000001</v>
      </c>
      <c r="AK396" s="447">
        <f>SUM(AG396:AJ396)</f>
        <v>15.04700912</v>
      </c>
      <c r="AL396" s="563">
        <v>9.6399000000000008</v>
      </c>
      <c r="AM396" s="563">
        <v>10.003629799999999</v>
      </c>
      <c r="AN396" s="563">
        <v>9.4741445500000001</v>
      </c>
      <c r="AO396" s="563">
        <v>9.3266687499999996</v>
      </c>
      <c r="AP396" s="456">
        <f>SUM(AL396:AO396)</f>
        <v>38.444343099999998</v>
      </c>
      <c r="AQ396" s="1682">
        <v>10.084843500000002</v>
      </c>
      <c r="AR396" s="563">
        <v>9.9720897500000003</v>
      </c>
      <c r="AS396" s="563">
        <v>9.2436659999999993</v>
      </c>
      <c r="AT396" s="563">
        <v>9.2776549999999993</v>
      </c>
      <c r="AU396" s="1693">
        <f>SUM(AQ396:AT396)</f>
        <v>38.578254250000001</v>
      </c>
      <c r="AV396" s="563">
        <v>9.7418060000000004</v>
      </c>
      <c r="AW396" s="563">
        <v>9.5473909999999993</v>
      </c>
      <c r="AX396" s="563">
        <v>8.5753020000000006</v>
      </c>
      <c r="AY396" s="563">
        <v>8.5633479999999995</v>
      </c>
      <c r="AZ396" s="1693">
        <f>SUM(AV396:AY396)</f>
        <v>36.427847</v>
      </c>
      <c r="BA396" s="2659">
        <v>8.8808939999999996</v>
      </c>
      <c r="BB396" s="2852">
        <v>8.3405489999999993</v>
      </c>
      <c r="BC396" s="2852">
        <v>7.8227339999999996</v>
      </c>
      <c r="BD396" s="2852">
        <v>8.3515040000000003</v>
      </c>
      <c r="BE396" s="1693">
        <f>SUM(BA396:BD396)</f>
        <v>33.395681000000003</v>
      </c>
      <c r="BF396" s="2659">
        <v>9.1431597499999988</v>
      </c>
      <c r="BG396" s="2970">
        <v>9.0939420000000002</v>
      </c>
      <c r="BH396" s="2970">
        <v>8.3359232500000005</v>
      </c>
      <c r="BI396" s="2964">
        <v>8.188630250000001</v>
      </c>
      <c r="BJ396" s="1864">
        <f>SUM(BF396:BI396)</f>
        <v>34.761655250000004</v>
      </c>
      <c r="BK396" s="2659">
        <v>8.3373220000000003</v>
      </c>
      <c r="BL396" s="2970">
        <v>8.6460550000000005</v>
      </c>
      <c r="BM396" s="2970">
        <v>8.6</v>
      </c>
      <c r="BN396" s="2964">
        <v>8.72836225</v>
      </c>
      <c r="BO396" s="1864">
        <f>SUM(BK396:BN396)</f>
        <v>34.311739250000002</v>
      </c>
      <c r="BP396" s="2970">
        <v>9.5795330300000003</v>
      </c>
      <c r="BQ396" s="2970">
        <v>9.1881741800000007</v>
      </c>
      <c r="BR396" s="2970">
        <v>8.5196563699999999</v>
      </c>
      <c r="BS396" s="2970">
        <v>8.4712770699999993</v>
      </c>
      <c r="BT396" s="3066">
        <f>SUM(BP396:BS396)</f>
        <v>35.758640650000004</v>
      </c>
      <c r="BU396" s="2970">
        <v>9.6564471100000002</v>
      </c>
      <c r="BV396" s="1841">
        <f>+BQ396*(1+BV399)</f>
        <v>9.2800559218000007</v>
      </c>
      <c r="BW396" s="1841">
        <f>+BR396*(1+BW399)</f>
        <v>8.6048529337000002</v>
      </c>
      <c r="BX396" s="1841">
        <f>+BS396*(1+BX399)</f>
        <v>8.5559898406999988</v>
      </c>
      <c r="BY396" s="3066">
        <f>SUM(BU396:BX396)</f>
        <v>36.097345806200003</v>
      </c>
      <c r="BZ396" s="455">
        <f t="shared" ref="BZ396:CF396" si="976">BY396*(1+BZ399)</f>
        <v>36.548562628777503</v>
      </c>
      <c r="CA396" s="455">
        <f t="shared" si="976"/>
        <v>36.548562628777503</v>
      </c>
      <c r="CB396" s="455">
        <f t="shared" si="976"/>
        <v>34.721134497338625</v>
      </c>
      <c r="CC396" s="455">
        <f t="shared" si="976"/>
        <v>32.985077772471691</v>
      </c>
      <c r="CD396" s="455">
        <f t="shared" si="976"/>
        <v>33.644779327921128</v>
      </c>
      <c r="CE396" s="455">
        <f t="shared" si="976"/>
        <v>34.317674914479554</v>
      </c>
      <c r="CF396" s="455">
        <f t="shared" si="976"/>
        <v>35.004028412769145</v>
      </c>
      <c r="CG396" s="331"/>
      <c r="CH396" s="331"/>
      <c r="CI396" s="331"/>
      <c r="CJ396" s="331"/>
      <c r="CK396" s="331"/>
      <c r="CL396" s="1118" t="str">
        <f>A396</f>
        <v>Table revenue</v>
      </c>
      <c r="CM396" s="454">
        <f t="shared" si="961"/>
        <v>0</v>
      </c>
      <c r="CN396" s="454">
        <f t="shared" si="962"/>
        <v>0</v>
      </c>
      <c r="CO396" s="454">
        <f t="shared" si="963"/>
        <v>0</v>
      </c>
      <c r="CP396" s="454">
        <f t="shared" si="964"/>
        <v>0</v>
      </c>
      <c r="CQ396" s="454">
        <f t="shared" si="965"/>
        <v>0</v>
      </c>
      <c r="CR396" s="454">
        <f t="shared" si="966"/>
        <v>0</v>
      </c>
      <c r="CS396" s="454">
        <f t="shared" si="967"/>
        <v>15.04700912</v>
      </c>
      <c r="CT396" s="454">
        <f t="shared" si="968"/>
        <v>38.444343099999998</v>
      </c>
      <c r="CU396" s="454">
        <f t="shared" si="969"/>
        <v>38.578254250000001</v>
      </c>
      <c r="CV396" s="454">
        <f t="shared" si="970"/>
        <v>36.427847</v>
      </c>
      <c r="CW396" s="454">
        <f t="shared" si="971"/>
        <v>33.395681000000003</v>
      </c>
      <c r="CX396" s="454">
        <f t="shared" si="972"/>
        <v>34.761655250000004</v>
      </c>
      <c r="CY396" s="454">
        <f t="shared" si="973"/>
        <v>34.311739250000002</v>
      </c>
      <c r="CZ396" s="454">
        <f t="shared" si="974"/>
        <v>35.758640650000004</v>
      </c>
      <c r="DA396" s="454">
        <f t="shared" si="975"/>
        <v>36.097345806200003</v>
      </c>
      <c r="DB396" s="454">
        <f t="shared" si="975"/>
        <v>36.548562628777503</v>
      </c>
      <c r="DC396" s="1666">
        <f t="shared" si="975"/>
        <v>36.548562628777503</v>
      </c>
      <c r="DD396" s="331"/>
      <c r="DE396" s="331"/>
      <c r="DF396" s="502"/>
      <c r="DG396" s="503"/>
      <c r="DH396" s="2915"/>
      <c r="DI396" s="3213"/>
      <c r="DJ396" s="502"/>
      <c r="DK396" s="503"/>
      <c r="DL396" s="502"/>
      <c r="DM396" s="502"/>
      <c r="DN396" s="502"/>
      <c r="DO396" s="502"/>
      <c r="DP396" s="503"/>
      <c r="DQ396" s="503"/>
      <c r="DR396" s="296"/>
      <c r="DS396" s="296"/>
      <c r="DT396" s="296"/>
    </row>
    <row r="397" spans="1:124" ht="4.5" customHeight="1" x14ac:dyDescent="0.25">
      <c r="A397" s="1996"/>
      <c r="B397" s="428"/>
      <c r="C397" s="609" t="s">
        <v>1151</v>
      </c>
      <c r="D397" s="609" t="s">
        <v>1151</v>
      </c>
      <c r="E397" s="609" t="s">
        <v>1151</v>
      </c>
      <c r="F397" s="609" t="s">
        <v>1151</v>
      </c>
      <c r="G397" s="459" t="s">
        <v>1151</v>
      </c>
      <c r="H397" s="609" t="s">
        <v>1151</v>
      </c>
      <c r="I397" s="609" t="s">
        <v>1151</v>
      </c>
      <c r="J397" s="609" t="s">
        <v>1151</v>
      </c>
      <c r="K397" s="609" t="s">
        <v>1151</v>
      </c>
      <c r="L397" s="459" t="s">
        <v>1151</v>
      </c>
      <c r="M397" s="609" t="s">
        <v>1151</v>
      </c>
      <c r="N397" s="609" t="s">
        <v>1151</v>
      </c>
      <c r="O397" s="609" t="s">
        <v>1151</v>
      </c>
      <c r="P397" s="609" t="s">
        <v>1151</v>
      </c>
      <c r="Q397" s="459" t="s">
        <v>1151</v>
      </c>
      <c r="R397" s="609" t="s">
        <v>1151</v>
      </c>
      <c r="S397" s="609" t="s">
        <v>1151</v>
      </c>
      <c r="T397" s="609" t="s">
        <v>1151</v>
      </c>
      <c r="U397" s="609" t="s">
        <v>1151</v>
      </c>
      <c r="V397" s="459" t="s">
        <v>1151</v>
      </c>
      <c r="W397" s="609" t="s">
        <v>1151</v>
      </c>
      <c r="X397" s="609" t="s">
        <v>1151</v>
      </c>
      <c r="Y397" s="609" t="s">
        <v>1151</v>
      </c>
      <c r="Z397" s="609" t="s">
        <v>1151</v>
      </c>
      <c r="AA397" s="459" t="s">
        <v>1151</v>
      </c>
      <c r="AB397" s="609" t="s">
        <v>1151</v>
      </c>
      <c r="AC397" s="609" t="s">
        <v>1151</v>
      </c>
      <c r="AD397" s="609" t="s">
        <v>1151</v>
      </c>
      <c r="AE397" s="609" t="s">
        <v>1151</v>
      </c>
      <c r="AF397" s="459" t="s">
        <v>1151</v>
      </c>
      <c r="AG397" s="609" t="s">
        <v>1151</v>
      </c>
      <c r="AH397" s="609" t="s">
        <v>1151</v>
      </c>
      <c r="AI397" s="609" t="s">
        <v>1151</v>
      </c>
      <c r="AJ397" s="609" t="s">
        <v>1151</v>
      </c>
      <c r="AK397" s="459" t="s">
        <v>1151</v>
      </c>
      <c r="AL397" s="609" t="s">
        <v>1151</v>
      </c>
      <c r="AM397" s="609" t="s">
        <v>1151</v>
      </c>
      <c r="AN397" s="609" t="s">
        <v>1151</v>
      </c>
      <c r="AO397" s="609" t="s">
        <v>1151</v>
      </c>
      <c r="AP397" s="459" t="s">
        <v>1151</v>
      </c>
      <c r="AQ397" s="609" t="s">
        <v>1151</v>
      </c>
      <c r="AR397" s="609" t="s">
        <v>1151</v>
      </c>
      <c r="AS397" s="609" t="s">
        <v>1151</v>
      </c>
      <c r="AT397" s="609" t="s">
        <v>1151</v>
      </c>
      <c r="AU397" s="459" t="s">
        <v>1151</v>
      </c>
      <c r="AV397" s="609" t="s">
        <v>1151</v>
      </c>
      <c r="AW397" s="609" t="s">
        <v>1151</v>
      </c>
      <c r="AX397" s="609" t="s">
        <v>1151</v>
      </c>
      <c r="AY397" s="609" t="s">
        <v>1151</v>
      </c>
      <c r="AZ397" s="459" t="s">
        <v>1151</v>
      </c>
      <c r="BA397" s="609" t="s">
        <v>1151</v>
      </c>
      <c r="BB397" s="609" t="s">
        <v>1151</v>
      </c>
      <c r="BC397" s="609" t="s">
        <v>1151</v>
      </c>
      <c r="BD397" s="609" t="s">
        <v>1151</v>
      </c>
      <c r="BE397" s="459" t="s">
        <v>1151</v>
      </c>
      <c r="BF397" s="609" t="s">
        <v>1151</v>
      </c>
      <c r="BG397" s="609" t="s">
        <v>1151</v>
      </c>
      <c r="BH397" s="609" t="s">
        <v>1151</v>
      </c>
      <c r="BI397" s="609" t="s">
        <v>1151</v>
      </c>
      <c r="BJ397" s="459" t="s">
        <v>1151</v>
      </c>
      <c r="BK397" s="609" t="s">
        <v>1151</v>
      </c>
      <c r="BL397" s="609" t="s">
        <v>1151</v>
      </c>
      <c r="BM397" s="609" t="s">
        <v>1151</v>
      </c>
      <c r="BN397" s="2030" t="s">
        <v>1151</v>
      </c>
      <c r="BO397" s="2030" t="s">
        <v>1151</v>
      </c>
      <c r="BP397" s="609" t="s">
        <v>1151</v>
      </c>
      <c r="BQ397" s="609" t="s">
        <v>1151</v>
      </c>
      <c r="BR397" s="609" t="s">
        <v>1151</v>
      </c>
      <c r="BS397" s="609" t="s">
        <v>1151</v>
      </c>
      <c r="BT397" s="459" t="s">
        <v>1151</v>
      </c>
      <c r="BU397" s="609" t="s">
        <v>1151</v>
      </c>
      <c r="BV397" s="609" t="s">
        <v>1151</v>
      </c>
      <c r="BW397" s="609" t="s">
        <v>1151</v>
      </c>
      <c r="BX397" s="609" t="s">
        <v>1151</v>
      </c>
      <c r="BY397" s="459" t="s">
        <v>1151</v>
      </c>
      <c r="BZ397" s="459" t="s">
        <v>1151</v>
      </c>
      <c r="CA397" s="459" t="s">
        <v>1151</v>
      </c>
      <c r="CB397" s="459" t="s">
        <v>1151</v>
      </c>
      <c r="CC397" s="459" t="s">
        <v>1151</v>
      </c>
      <c r="CD397" s="459" t="s">
        <v>1151</v>
      </c>
      <c r="CE397" s="459" t="s">
        <v>1151</v>
      </c>
      <c r="CF397" s="459" t="s">
        <v>1151</v>
      </c>
      <c r="CG397" s="331"/>
      <c r="CH397" s="331"/>
      <c r="CI397" s="331"/>
      <c r="CJ397" s="331"/>
      <c r="CK397" s="331"/>
      <c r="CL397" s="2028"/>
      <c r="CM397" s="2029" t="str">
        <f t="shared" si="961"/>
        <v xml:space="preserve">                </v>
      </c>
      <c r="CN397" s="2029" t="str">
        <f t="shared" si="962"/>
        <v xml:space="preserve">                </v>
      </c>
      <c r="CO397" s="2029" t="str">
        <f t="shared" si="963"/>
        <v xml:space="preserve">                </v>
      </c>
      <c r="CP397" s="2029" t="str">
        <f t="shared" si="964"/>
        <v xml:space="preserve">                </v>
      </c>
      <c r="CQ397" s="2029" t="str">
        <f t="shared" si="965"/>
        <v xml:space="preserve">                </v>
      </c>
      <c r="CR397" s="2029" t="str">
        <f t="shared" si="966"/>
        <v xml:space="preserve">                </v>
      </c>
      <c r="CS397" s="2029" t="str">
        <f t="shared" si="967"/>
        <v xml:space="preserve">                </v>
      </c>
      <c r="CT397" s="2029" t="str">
        <f t="shared" si="968"/>
        <v xml:space="preserve">                </v>
      </c>
      <c r="CU397" s="2029" t="str">
        <f t="shared" si="969"/>
        <v xml:space="preserve">                </v>
      </c>
      <c r="CV397" s="2029" t="str">
        <f t="shared" si="970"/>
        <v xml:space="preserve">                </v>
      </c>
      <c r="CW397" s="2029" t="str">
        <f t="shared" si="971"/>
        <v xml:space="preserve">                </v>
      </c>
      <c r="CX397" s="2029" t="str">
        <f t="shared" si="972"/>
        <v xml:space="preserve">                </v>
      </c>
      <c r="CY397" s="2029" t="str">
        <f t="shared" si="973"/>
        <v xml:space="preserve">                </v>
      </c>
      <c r="CZ397" s="2029" t="str">
        <f t="shared" si="974"/>
        <v xml:space="preserve">                </v>
      </c>
      <c r="DA397" s="2029" t="str">
        <f t="shared" si="975"/>
        <v xml:space="preserve">                </v>
      </c>
      <c r="DB397" s="2029" t="str">
        <f t="shared" si="975"/>
        <v xml:space="preserve">                </v>
      </c>
      <c r="DC397" s="2030" t="str">
        <f t="shared" si="975"/>
        <v xml:space="preserve">                </v>
      </c>
      <c r="DD397" s="331"/>
      <c r="DE397" s="331"/>
      <c r="DF397" s="502"/>
      <c r="DG397" s="503"/>
      <c r="DH397" s="2029"/>
      <c r="DI397" s="3213"/>
      <c r="DJ397" s="502"/>
      <c r="DK397" s="503"/>
      <c r="DL397" s="502"/>
      <c r="DM397" s="502"/>
      <c r="DN397" s="502"/>
      <c r="DO397" s="502"/>
      <c r="DP397" s="503"/>
      <c r="DQ397" s="503"/>
      <c r="DR397" s="296"/>
      <c r="DS397" s="296"/>
      <c r="DT397" s="296"/>
    </row>
    <row r="398" spans="1:124" ht="12" customHeight="1" x14ac:dyDescent="0.25">
      <c r="A398" s="281" t="s">
        <v>730</v>
      </c>
      <c r="B398" s="281"/>
      <c r="C398" s="565">
        <v>0</v>
      </c>
      <c r="D398" s="565">
        <v>0</v>
      </c>
      <c r="E398" s="565">
        <v>0</v>
      </c>
      <c r="F398" s="565">
        <v>0</v>
      </c>
      <c r="G398" s="574">
        <v>0</v>
      </c>
      <c r="H398" s="565">
        <v>0</v>
      </c>
      <c r="I398" s="565">
        <v>0</v>
      </c>
      <c r="J398" s="565">
        <v>0</v>
      </c>
      <c r="K398" s="565">
        <v>0</v>
      </c>
      <c r="L398" s="574">
        <v>0</v>
      </c>
      <c r="M398" s="565">
        <v>0</v>
      </c>
      <c r="N398" s="565">
        <v>0</v>
      </c>
      <c r="O398" s="565">
        <v>0</v>
      </c>
      <c r="P398" s="565">
        <v>0</v>
      </c>
      <c r="Q398" s="574">
        <v>0</v>
      </c>
      <c r="R398" s="565">
        <v>0</v>
      </c>
      <c r="S398" s="565">
        <v>0</v>
      </c>
      <c r="T398" s="565">
        <v>0</v>
      </c>
      <c r="U398" s="565">
        <v>0</v>
      </c>
      <c r="V398" s="574">
        <v>0</v>
      </c>
      <c r="W398" s="565">
        <v>26.291614999999986</v>
      </c>
      <c r="X398" s="565">
        <v>46.390442309999997</v>
      </c>
      <c r="Y398" s="565">
        <v>51.698011160000085</v>
      </c>
      <c r="Z398" s="565">
        <v>46.737558419999978</v>
      </c>
      <c r="AA398" s="447">
        <f>SUM(W398:Z398)</f>
        <v>171.11762689000003</v>
      </c>
      <c r="AB398" s="563">
        <v>58.4</v>
      </c>
      <c r="AC398" s="563">
        <v>62.4</v>
      </c>
      <c r="AD398" s="563">
        <v>60.4</v>
      </c>
      <c r="AE398" s="563">
        <v>56.5</v>
      </c>
      <c r="AF398" s="455">
        <f>SUM(AB398:AE398)</f>
        <v>237.7</v>
      </c>
      <c r="AG398" s="454">
        <f>AG395</f>
        <v>64</v>
      </c>
      <c r="AH398" s="454">
        <f>SUM(AH395:AH396)</f>
        <v>66.099999999999994</v>
      </c>
      <c r="AI398" s="454">
        <f>SUM(AI395:AI396)</f>
        <v>72.639828690000044</v>
      </c>
      <c r="AJ398" s="454">
        <f>SUM(AJ395:AJ396)</f>
        <v>65.746117809999902</v>
      </c>
      <c r="AK398" s="455">
        <f>SUM(AG398:AJ398)</f>
        <v>268.48594649999995</v>
      </c>
      <c r="AL398" s="454">
        <f>AL396+AL395</f>
        <v>71.440899999999999</v>
      </c>
      <c r="AM398" s="454">
        <f>AM396+AM395</f>
        <v>73.977295349999906</v>
      </c>
      <c r="AN398" s="454">
        <f>AN396+AN395</f>
        <v>72.055765710000003</v>
      </c>
      <c r="AO398" s="454">
        <f>AO396+AO395</f>
        <v>69.895194579999995</v>
      </c>
      <c r="AP398" s="456">
        <f>SUM(AL398:AO398)</f>
        <v>287.36915563999992</v>
      </c>
      <c r="AQ398" s="456">
        <f>AQ396+AQ395</f>
        <v>75.227292569999946</v>
      </c>
      <c r="AR398" s="454">
        <f>AR396+AR395</f>
        <v>72.163305509999958</v>
      </c>
      <c r="AS398" s="454">
        <f>AS396+AS395</f>
        <v>70.630434910000005</v>
      </c>
      <c r="AT398" s="454">
        <f>AT396+AT395</f>
        <v>64.506654999999995</v>
      </c>
      <c r="AU398" s="1693">
        <f>SUM(AQ398:AT398)</f>
        <v>282.52768798999989</v>
      </c>
      <c r="AV398" s="1863">
        <f>AV396+AV395</f>
        <v>70.372906620000066</v>
      </c>
      <c r="AW398" s="1841">
        <f>AW396+AW395</f>
        <v>70.428215870000002</v>
      </c>
      <c r="AX398" s="1841">
        <f>AX396+AX395</f>
        <v>65.612940080000044</v>
      </c>
      <c r="AY398" s="1864">
        <f>AY396+AY395</f>
        <v>60.342562069999993</v>
      </c>
      <c r="AZ398" s="1693">
        <f>SUM(AV398:AY398)</f>
        <v>266.7566246400001</v>
      </c>
      <c r="BA398" s="1863">
        <f>BA396+BA395</f>
        <v>61.822798290000001</v>
      </c>
      <c r="BB398" s="1841">
        <f>BB396+BB395</f>
        <v>63.340737319999988</v>
      </c>
      <c r="BC398" s="1841">
        <f>BC396+BC395</f>
        <v>62.100445369999981</v>
      </c>
      <c r="BD398" s="1864">
        <f>BD396+BD395</f>
        <v>60.22172371000002</v>
      </c>
      <c r="BE398" s="1864">
        <f>SUM(BA398:BD398)</f>
        <v>247.48570469000001</v>
      </c>
      <c r="BF398" s="1841">
        <f>BF396+BF395</f>
        <v>62.765410610000004</v>
      </c>
      <c r="BG398" s="1841">
        <f>BG396+BG395</f>
        <v>64.480076380000057</v>
      </c>
      <c r="BH398" s="1841">
        <f>BH396+BH395</f>
        <v>62.803823939999909</v>
      </c>
      <c r="BI398" s="1864">
        <f>BI396+BI395</f>
        <v>60.146848939999934</v>
      </c>
      <c r="BJ398" s="1864">
        <f>SUM(BF398:BI398)</f>
        <v>250.19615986999989</v>
      </c>
      <c r="BK398" s="1841">
        <f>BK396+BK395</f>
        <v>61.158437130000038</v>
      </c>
      <c r="BL398" s="1841">
        <f>BL396+BL395</f>
        <v>63.379306710000023</v>
      </c>
      <c r="BM398" s="1841">
        <f>BM396+BM395</f>
        <v>61.5</v>
      </c>
      <c r="BN398" s="1864">
        <f>BN396+BN395</f>
        <v>58.165325110000012</v>
      </c>
      <c r="BO398" s="1864">
        <f>SUM(BK398:BN398)</f>
        <v>244.2030689500001</v>
      </c>
      <c r="BP398" s="1841">
        <f>BP396+BP395</f>
        <v>62.478172739999998</v>
      </c>
      <c r="BQ398" s="1841">
        <f>BQ396+BQ395</f>
        <v>63.641220889999971</v>
      </c>
      <c r="BR398" s="1841">
        <f>BR396+BR395</f>
        <v>60.945871279999956</v>
      </c>
      <c r="BS398" s="1841">
        <f>BS396+BS395</f>
        <v>57.70772872000002</v>
      </c>
      <c r="BT398" s="3066">
        <f>SUM(BP398:BS398)</f>
        <v>244.77299362999992</v>
      </c>
      <c r="BU398" s="1841">
        <f>BU396+BU395</f>
        <v>61.254357680000005</v>
      </c>
      <c r="BV398" s="1841">
        <f>BV396+BV395</f>
        <v>64.277633098899969</v>
      </c>
      <c r="BW398" s="1841">
        <f>BW396+BW395</f>
        <v>61.555329992799955</v>
      </c>
      <c r="BX398" s="1841">
        <f>BX396+BX395</f>
        <v>58.284806007200025</v>
      </c>
      <c r="BY398" s="3066">
        <f>SUM(BU398:BX398)</f>
        <v>245.37212677889994</v>
      </c>
      <c r="BZ398" s="455">
        <f t="shared" ref="BZ398:CF398" si="977">BZ396+BZ395</f>
        <v>248.43927836363622</v>
      </c>
      <c r="CA398" s="455">
        <f t="shared" si="977"/>
        <v>248.43927836363622</v>
      </c>
      <c r="CB398" s="455">
        <f t="shared" si="977"/>
        <v>236.01731444545439</v>
      </c>
      <c r="CC398" s="455">
        <f t="shared" si="977"/>
        <v>224.21644872318166</v>
      </c>
      <c r="CD398" s="455">
        <f t="shared" si="977"/>
        <v>228.70077769764529</v>
      </c>
      <c r="CE398" s="455">
        <f t="shared" si="977"/>
        <v>233.27479325159823</v>
      </c>
      <c r="CF398" s="455">
        <f t="shared" si="977"/>
        <v>237.94028911663017</v>
      </c>
      <c r="CG398" s="331"/>
      <c r="CH398" s="331"/>
      <c r="CI398" s="331"/>
      <c r="CJ398" s="331"/>
      <c r="CK398" s="331"/>
      <c r="CL398" s="520" t="str">
        <f>A398</f>
        <v>Casino revenue</v>
      </c>
      <c r="CM398" s="454">
        <f t="shared" si="961"/>
        <v>0</v>
      </c>
      <c r="CN398" s="454">
        <f t="shared" si="962"/>
        <v>0</v>
      </c>
      <c r="CO398" s="454">
        <f t="shared" si="963"/>
        <v>0</v>
      </c>
      <c r="CP398" s="454">
        <f t="shared" si="964"/>
        <v>0</v>
      </c>
      <c r="CQ398" s="454">
        <f t="shared" si="965"/>
        <v>171.11762689000003</v>
      </c>
      <c r="CR398" s="454">
        <f t="shared" si="966"/>
        <v>237.7</v>
      </c>
      <c r="CS398" s="454">
        <f t="shared" si="967"/>
        <v>268.48594649999995</v>
      </c>
      <c r="CT398" s="454">
        <f t="shared" si="968"/>
        <v>287.36915563999992</v>
      </c>
      <c r="CU398" s="454">
        <f t="shared" si="969"/>
        <v>282.52768798999989</v>
      </c>
      <c r="CV398" s="454">
        <f t="shared" si="970"/>
        <v>266.7566246400001</v>
      </c>
      <c r="CW398" s="454">
        <f t="shared" si="971"/>
        <v>247.48570469000001</v>
      </c>
      <c r="CX398" s="454">
        <f t="shared" si="972"/>
        <v>250.19615986999989</v>
      </c>
      <c r="CY398" s="454">
        <f t="shared" si="973"/>
        <v>244.2030689500001</v>
      </c>
      <c r="CZ398" s="454">
        <f t="shared" si="974"/>
        <v>244.77299362999992</v>
      </c>
      <c r="DA398" s="454">
        <f t="shared" si="975"/>
        <v>245.37212677889994</v>
      </c>
      <c r="DB398" s="454">
        <f t="shared" si="975"/>
        <v>248.43927836363622</v>
      </c>
      <c r="DC398" s="1666">
        <f t="shared" si="975"/>
        <v>248.43927836363622</v>
      </c>
      <c r="DD398" s="331"/>
      <c r="DE398" s="331"/>
      <c r="DF398" s="502"/>
      <c r="DG398" s="503"/>
      <c r="DH398" s="2915"/>
      <c r="DI398" s="3213"/>
      <c r="DJ398" s="502"/>
      <c r="DK398" s="503"/>
      <c r="DL398" s="502"/>
      <c r="DM398" s="502"/>
      <c r="DN398" s="502"/>
      <c r="DO398" s="502"/>
      <c r="DP398" s="503"/>
      <c r="DQ398" s="503"/>
      <c r="DR398" s="296"/>
      <c r="DS398" s="296"/>
      <c r="DT398" s="296"/>
    </row>
    <row r="399" spans="1:124" ht="12" customHeight="1" x14ac:dyDescent="0.25">
      <c r="A399" s="465" t="s">
        <v>1491</v>
      </c>
      <c r="B399" s="466"/>
      <c r="C399" s="467" t="s">
        <v>553</v>
      </c>
      <c r="D399" s="467" t="s">
        <v>553</v>
      </c>
      <c r="E399" s="467" t="s">
        <v>553</v>
      </c>
      <c r="F399" s="467" t="s">
        <v>553</v>
      </c>
      <c r="G399" s="468" t="s">
        <v>553</v>
      </c>
      <c r="H399" s="467" t="s">
        <v>553</v>
      </c>
      <c r="I399" s="467" t="s">
        <v>553</v>
      </c>
      <c r="J399" s="467" t="s">
        <v>553</v>
      </c>
      <c r="K399" s="467" t="s">
        <v>553</v>
      </c>
      <c r="L399" s="468" t="s">
        <v>553</v>
      </c>
      <c r="M399" s="467" t="s">
        <v>553</v>
      </c>
      <c r="N399" s="467" t="s">
        <v>553</v>
      </c>
      <c r="O399" s="467" t="s">
        <v>553</v>
      </c>
      <c r="P399" s="467" t="s">
        <v>553</v>
      </c>
      <c r="Q399" s="468" t="s">
        <v>553</v>
      </c>
      <c r="R399" s="467" t="s">
        <v>553</v>
      </c>
      <c r="S399" s="467" t="s">
        <v>553</v>
      </c>
      <c r="T399" s="467" t="s">
        <v>553</v>
      </c>
      <c r="U399" s="467" t="s">
        <v>553</v>
      </c>
      <c r="V399" s="468" t="s">
        <v>553</v>
      </c>
      <c r="W399" s="467" t="s">
        <v>553</v>
      </c>
      <c r="X399" s="467" t="s">
        <v>553</v>
      </c>
      <c r="Y399" s="467" t="s">
        <v>553</v>
      </c>
      <c r="Z399" s="467" t="s">
        <v>553</v>
      </c>
      <c r="AA399" s="468" t="s">
        <v>553</v>
      </c>
      <c r="AB399" s="467">
        <f t="shared" ref="AB399:AG399" si="978">(AB398-W398)/W398</f>
        <v>1.2212404981588247</v>
      </c>
      <c r="AC399" s="467">
        <f t="shared" si="978"/>
        <v>0.34510465718385608</v>
      </c>
      <c r="AD399" s="467">
        <f t="shared" si="978"/>
        <v>0.1683234740514126</v>
      </c>
      <c r="AE399" s="469">
        <f t="shared" si="978"/>
        <v>0.20887786846440121</v>
      </c>
      <c r="AF399" s="470">
        <f t="shared" si="978"/>
        <v>0.38910294818897456</v>
      </c>
      <c r="AG399" s="467">
        <f t="shared" si="978"/>
        <v>9.5890410958904132E-2</v>
      </c>
      <c r="AH399" s="467">
        <f>(AH398-AC398)/AC398</f>
        <v>5.929487179487173E-2</v>
      </c>
      <c r="AI399" s="467">
        <f>(AI398-AD398)/AD398</f>
        <v>0.20264617036423918</v>
      </c>
      <c r="AJ399" s="469">
        <f>(AJ398-AE398)/AE398</f>
        <v>0.16364810283185666</v>
      </c>
      <c r="AK399" s="470">
        <f t="shared" ref="AK399:BH399" si="979">(AK398-AF398)/AF398</f>
        <v>0.12951597181320978</v>
      </c>
      <c r="AL399" s="469">
        <f t="shared" si="979"/>
        <v>0.11626406249999999</v>
      </c>
      <c r="AM399" s="469">
        <f t="shared" si="979"/>
        <v>0.11917239561270669</v>
      </c>
      <c r="AN399" s="469">
        <f t="shared" si="979"/>
        <v>-8.0405335548436718E-3</v>
      </c>
      <c r="AO399" s="469">
        <f t="shared" si="979"/>
        <v>6.3107555369132734E-2</v>
      </c>
      <c r="AP399" s="471">
        <f t="shared" si="979"/>
        <v>7.0332206903797725E-2</v>
      </c>
      <c r="AQ399" s="471">
        <f t="shared" si="979"/>
        <v>5.3000348119913762E-2</v>
      </c>
      <c r="AR399" s="469">
        <f t="shared" si="979"/>
        <v>-2.452089970872327E-2</v>
      </c>
      <c r="AS399" s="469">
        <f t="shared" si="979"/>
        <v>-1.9780940303049034E-2</v>
      </c>
      <c r="AT399" s="469">
        <f t="shared" si="979"/>
        <v>-7.709456440288516E-2</v>
      </c>
      <c r="AU399" s="1689">
        <f t="shared" si="979"/>
        <v>-1.6847554982780226E-2</v>
      </c>
      <c r="AV399" s="469">
        <f t="shared" si="979"/>
        <v>-6.4529584731270406E-2</v>
      </c>
      <c r="AW399" s="469">
        <f t="shared" si="979"/>
        <v>-2.4043932407718176E-2</v>
      </c>
      <c r="AX399" s="469">
        <f t="shared" si="979"/>
        <v>-7.1038707837399628E-2</v>
      </c>
      <c r="AY399" s="1463">
        <f t="shared" si="979"/>
        <v>-6.4552919849897708E-2</v>
      </c>
      <c r="AZ399" s="1689">
        <f>(AZ398-AU398)/AU398</f>
        <v>-5.5821301841956147E-2</v>
      </c>
      <c r="BA399" s="471">
        <f t="shared" si="979"/>
        <v>-0.12149716049344071</v>
      </c>
      <c r="BB399" s="469">
        <f t="shared" si="979"/>
        <v>-0.10063407772649594</v>
      </c>
      <c r="BC399" s="469">
        <f t="shared" si="979"/>
        <v>-5.3533566789072014E-2</v>
      </c>
      <c r="BD399" s="1463">
        <f t="shared" si="979"/>
        <v>-2.0025394324456147E-3</v>
      </c>
      <c r="BE399" s="1868">
        <f>(BE398-AZ398)/AZ398</f>
        <v>-7.2241579664636457E-2</v>
      </c>
      <c r="BF399" s="471">
        <f t="shared" si="979"/>
        <v>1.5247001851620683E-2</v>
      </c>
      <c r="BG399" s="469">
        <f t="shared" si="979"/>
        <v>1.7987461280156578E-2</v>
      </c>
      <c r="BH399" s="469">
        <f t="shared" si="979"/>
        <v>1.132646578956294E-2</v>
      </c>
      <c r="BI399" s="1463">
        <f t="shared" ref="BI399:BU399" si="980">(BI398-BD398)/BD398</f>
        <v>-1.2433182809686505E-3</v>
      </c>
      <c r="BJ399" s="1868">
        <f t="shared" si="980"/>
        <v>1.0951966633365723E-2</v>
      </c>
      <c r="BK399" s="471">
        <f t="shared" si="980"/>
        <v>-2.5602851385535849E-2</v>
      </c>
      <c r="BL399" s="469">
        <f t="shared" si="980"/>
        <v>-1.7071469697288729E-2</v>
      </c>
      <c r="BM399" s="469">
        <f t="shared" si="980"/>
        <v>-2.0760263598686702E-2</v>
      </c>
      <c r="BN399" s="1463">
        <f t="shared" si="980"/>
        <v>-3.2944765435286731E-2</v>
      </c>
      <c r="BO399" s="1868">
        <f t="shared" si="980"/>
        <v>-2.3953568764259827E-2</v>
      </c>
      <c r="BP399" s="469">
        <f t="shared" si="980"/>
        <v>2.1578962313812788E-2</v>
      </c>
      <c r="BQ399" s="469">
        <f t="shared" si="980"/>
        <v>4.1324872990228419E-3</v>
      </c>
      <c r="BR399" s="469">
        <f t="shared" si="980"/>
        <v>-9.0102230894316092E-3</v>
      </c>
      <c r="BS399" s="469">
        <f t="shared" si="980"/>
        <v>-7.8671680960194657E-3</v>
      </c>
      <c r="BT399" s="470">
        <f>(BT398-BO398)/BO398</f>
        <v>2.3338145685487086E-3</v>
      </c>
      <c r="BU399" s="469">
        <f t="shared" si="980"/>
        <v>-1.9587881756607094E-2</v>
      </c>
      <c r="BV399" s="540">
        <v>0.01</v>
      </c>
      <c r="BW399" s="540">
        <v>0.01</v>
      </c>
      <c r="BX399" s="540">
        <v>0.01</v>
      </c>
      <c r="BY399" s="470">
        <f>(BY398-BT398)/BT398</f>
        <v>2.4477093653790735E-3</v>
      </c>
      <c r="BZ399" s="566">
        <v>1.2500000000000001E-2</v>
      </c>
      <c r="CA399" s="566">
        <v>0</v>
      </c>
      <c r="CB399" s="566">
        <v>-0.05</v>
      </c>
      <c r="CC399" s="566">
        <v>-0.05</v>
      </c>
      <c r="CD399" s="566">
        <v>0.02</v>
      </c>
      <c r="CE399" s="566">
        <v>0.02</v>
      </c>
      <c r="CF399" s="566">
        <v>0.02</v>
      </c>
      <c r="CG399" s="492"/>
      <c r="CH399" s="492"/>
      <c r="CI399" s="492"/>
      <c r="CJ399" s="492"/>
      <c r="CK399" s="492"/>
      <c r="CL399" s="1310" t="str">
        <f>A399</f>
        <v>% growth (y-o-y)</v>
      </c>
      <c r="CM399" s="469" t="str">
        <f t="shared" si="961"/>
        <v xml:space="preserve">n/a </v>
      </c>
      <c r="CN399" s="469" t="str">
        <f t="shared" si="962"/>
        <v xml:space="preserve">n/a </v>
      </c>
      <c r="CO399" s="469" t="str">
        <f t="shared" si="963"/>
        <v xml:space="preserve">n/a </v>
      </c>
      <c r="CP399" s="469" t="str">
        <f t="shared" si="964"/>
        <v xml:space="preserve">n/a </v>
      </c>
      <c r="CQ399" s="469" t="str">
        <f t="shared" si="965"/>
        <v xml:space="preserve">n/a </v>
      </c>
      <c r="CR399" s="469">
        <f t="shared" si="966"/>
        <v>0.38910294818897456</v>
      </c>
      <c r="CS399" s="469">
        <f t="shared" si="967"/>
        <v>0.12951597181320978</v>
      </c>
      <c r="CT399" s="469">
        <f t="shared" si="968"/>
        <v>7.0332206903797725E-2</v>
      </c>
      <c r="CU399" s="469">
        <f t="shared" si="969"/>
        <v>-1.6847554982780226E-2</v>
      </c>
      <c r="CV399" s="469">
        <f t="shared" si="970"/>
        <v>-5.5821301841956147E-2</v>
      </c>
      <c r="CW399" s="469">
        <f t="shared" si="971"/>
        <v>-7.2241579664636457E-2</v>
      </c>
      <c r="CX399" s="469">
        <f t="shared" si="972"/>
        <v>1.0951966633365723E-2</v>
      </c>
      <c r="CY399" s="469">
        <f t="shared" si="973"/>
        <v>-2.3953568764259827E-2</v>
      </c>
      <c r="CZ399" s="469">
        <f t="shared" si="974"/>
        <v>2.3338145685487086E-3</v>
      </c>
      <c r="DA399" s="469">
        <f t="shared" si="975"/>
        <v>2.4477093653790735E-3</v>
      </c>
      <c r="DB399" s="469">
        <f t="shared" si="975"/>
        <v>1.2500000000000001E-2</v>
      </c>
      <c r="DC399" s="1463">
        <f t="shared" si="975"/>
        <v>0</v>
      </c>
      <c r="DD399" s="492"/>
      <c r="DE399" s="492"/>
      <c r="DF399" s="962"/>
      <c r="DG399" s="962"/>
      <c r="DH399" s="469"/>
      <c r="DI399" s="3213"/>
      <c r="DJ399" s="962"/>
      <c r="DK399" s="962"/>
      <c r="DL399" s="962"/>
      <c r="DM399" s="962"/>
      <c r="DN399" s="962"/>
      <c r="DO399" s="962"/>
      <c r="DP399" s="962"/>
      <c r="DQ399" s="962"/>
      <c r="DR399" s="963"/>
      <c r="DS399" s="963"/>
      <c r="DT399" s="963"/>
    </row>
    <row r="400" spans="1:124" ht="12" customHeight="1" x14ac:dyDescent="0.25">
      <c r="A400" s="281" t="s">
        <v>645</v>
      </c>
      <c r="B400" s="509"/>
      <c r="C400" s="446">
        <f t="shared" ref="C400:AD400" si="981">C401-C398</f>
        <v>22.51</v>
      </c>
      <c r="D400" s="446">
        <f t="shared" si="981"/>
        <v>27.157</v>
      </c>
      <c r="E400" s="446">
        <f t="shared" si="981"/>
        <v>13.632</v>
      </c>
      <c r="F400" s="446">
        <f t="shared" si="981"/>
        <v>13.206</v>
      </c>
      <c r="G400" s="447">
        <f t="shared" si="981"/>
        <v>76.504999999999995</v>
      </c>
      <c r="H400" s="446">
        <f t="shared" si="981"/>
        <v>13.275</v>
      </c>
      <c r="I400" s="446">
        <f t="shared" si="981"/>
        <v>15.262</v>
      </c>
      <c r="J400" s="446">
        <f t="shared" si="981"/>
        <v>13.212999999999999</v>
      </c>
      <c r="K400" s="446">
        <f t="shared" si="981"/>
        <v>12.026999999999999</v>
      </c>
      <c r="L400" s="447">
        <f t="shared" si="981"/>
        <v>53.777000000000001</v>
      </c>
      <c r="M400" s="446">
        <f t="shared" si="981"/>
        <v>13.087</v>
      </c>
      <c r="N400" s="446">
        <f t="shared" si="981"/>
        <v>13.073</v>
      </c>
      <c r="O400" s="446">
        <f t="shared" si="981"/>
        <v>12.691000000000001</v>
      </c>
      <c r="P400" s="446">
        <f t="shared" si="981"/>
        <v>11.452</v>
      </c>
      <c r="Q400" s="447">
        <f t="shared" si="981"/>
        <v>50.302999999999997</v>
      </c>
      <c r="R400" s="446">
        <f t="shared" si="981"/>
        <v>11.853999999999999</v>
      </c>
      <c r="S400" s="446">
        <f t="shared" si="981"/>
        <v>13.53</v>
      </c>
      <c r="T400" s="446">
        <f t="shared" si="981"/>
        <v>11.815</v>
      </c>
      <c r="U400" s="446">
        <f t="shared" si="981"/>
        <v>11.289</v>
      </c>
      <c r="V400" s="447">
        <f t="shared" si="981"/>
        <v>48.488</v>
      </c>
      <c r="W400" s="446">
        <f t="shared" si="981"/>
        <v>13.157385000000012</v>
      </c>
      <c r="X400" s="446">
        <f t="shared" si="981"/>
        <v>15.237557690000003</v>
      </c>
      <c r="Y400" s="446">
        <f t="shared" si="981"/>
        <v>13.482988839999912</v>
      </c>
      <c r="Z400" s="446">
        <f t="shared" si="981"/>
        <v>11.939441580000022</v>
      </c>
      <c r="AA400" s="447">
        <f t="shared" si="981"/>
        <v>53.817373109999949</v>
      </c>
      <c r="AB400" s="446">
        <f t="shared" si="981"/>
        <v>14.555</v>
      </c>
      <c r="AC400" s="446">
        <f t="shared" si="981"/>
        <v>14.749000000000002</v>
      </c>
      <c r="AD400" s="446">
        <f t="shared" si="981"/>
        <v>13.056999999999995</v>
      </c>
      <c r="AE400" s="446">
        <f>AE401-AE398</f>
        <v>12.608999999999995</v>
      </c>
      <c r="AF400" s="455">
        <f>SUM(AB400:AE400)</f>
        <v>54.969999999999992</v>
      </c>
      <c r="AG400" s="2168">
        <f>AG401-AG398</f>
        <v>11.61</v>
      </c>
      <c r="AH400" s="2168">
        <f>AH401-AH398</f>
        <v>13.874000000000009</v>
      </c>
      <c r="AI400" s="2168">
        <f>AI401-AI398</f>
        <v>12.026171309999953</v>
      </c>
      <c r="AJ400" s="2168">
        <f>AJ401-AJ398</f>
        <v>11.767882190000094</v>
      </c>
      <c r="AK400" s="455">
        <f>SUM(AG400:AJ400)</f>
        <v>49.278053500000055</v>
      </c>
      <c r="AL400" s="2168">
        <f>AL401-AL398</f>
        <v>11.415099999999995</v>
      </c>
      <c r="AM400" s="2168">
        <f>AM401-AM398</f>
        <v>12.445704650000096</v>
      </c>
      <c r="AN400" s="565">
        <f>+AI400</f>
        <v>12.026171309999953</v>
      </c>
      <c r="AO400" s="565">
        <v>11</v>
      </c>
      <c r="AP400" s="456">
        <f>SUM(AL400:AO400)</f>
        <v>46.886975960000044</v>
      </c>
      <c r="AQ400" s="1682">
        <v>13</v>
      </c>
      <c r="AR400" s="563">
        <f>+AM400*(1+AR399)</f>
        <v>12.140524774473052</v>
      </c>
      <c r="AS400" s="563">
        <f>+AN400*(1+AS399)</f>
        <v>11.788282333242602</v>
      </c>
      <c r="AT400" s="563">
        <f>+AO400*(1+AT399)</f>
        <v>10.151959791568263</v>
      </c>
      <c r="AU400" s="1693">
        <f>SUM(AQ400:AT400)</f>
        <v>47.080766899283915</v>
      </c>
      <c r="AV400" s="1682">
        <f>+AQ400*(1+AV399)</f>
        <v>12.161115398493486</v>
      </c>
      <c r="AW400" s="563">
        <f>+AR400*(1+AW399)</f>
        <v>11.848618817401395</v>
      </c>
      <c r="AX400" s="563">
        <f>+AS400*(1+AX399)</f>
        <v>10.950857988666602</v>
      </c>
      <c r="AY400" s="563">
        <f>+AT400*(1+AY399)</f>
        <v>9.4966211448237718</v>
      </c>
      <c r="AZ400" s="1693">
        <f>SUM(AV400:AY400)</f>
        <v>44.457213349385249</v>
      </c>
      <c r="BA400" s="1682">
        <f>+AV400*(1+BA399)</f>
        <v>10.683574409143469</v>
      </c>
      <c r="BB400" s="2170">
        <f>+AW400*(1+BB399)</f>
        <v>10.656243990379402</v>
      </c>
      <c r="BC400" s="2170">
        <f>+AX400*(1+BC399)</f>
        <v>10.364619501132674</v>
      </c>
      <c r="BD400" s="2170">
        <f>+AY400*(1+BD399)</f>
        <v>9.4776037865062648</v>
      </c>
      <c r="BE400" s="2938">
        <f>SUM(BA400:BD400)</f>
        <v>41.182041687161806</v>
      </c>
      <c r="BF400" s="1682">
        <f>+BA400*(1+BF399)</f>
        <v>10.846466887941608</v>
      </c>
      <c r="BG400" s="2170">
        <v>11</v>
      </c>
      <c r="BH400" s="1841">
        <f>+BC400*(1+BH399)</f>
        <v>10.48201400933409</v>
      </c>
      <c r="BI400" s="2170">
        <v>10</v>
      </c>
      <c r="BJ400" s="2938">
        <f>SUM(BF400:BI400)</f>
        <v>42.328480897275696</v>
      </c>
      <c r="BK400" s="1841">
        <f>+BF400*(1+BK399)</f>
        <v>10.568766408151504</v>
      </c>
      <c r="BL400" s="1841">
        <f>+BG400*(1+BL399)</f>
        <v>10.812213833329825</v>
      </c>
      <c r="BM400" s="1841">
        <f>+BH400*(1+BM399)</f>
        <v>10.264404635455188</v>
      </c>
      <c r="BN400" s="1864">
        <f>+BI400*(1+BN399)</f>
        <v>9.670552345647133</v>
      </c>
      <c r="BO400" s="1864">
        <f>SUM(BK400:BN400)</f>
        <v>41.315937222583649</v>
      </c>
      <c r="BP400" s="1841">
        <f>+BK400*(1+BP399)</f>
        <v>10.796829420176495</v>
      </c>
      <c r="BQ400" s="1841">
        <f>+BL400*(1+BQ399)</f>
        <v>10.856895169670381</v>
      </c>
      <c r="BR400" s="1841">
        <f>+BM400*(1+BR399)</f>
        <v>10.171920059809541</v>
      </c>
      <c r="BS400" s="1841">
        <f>+BN400*(1+BS399)</f>
        <v>9.5944724847625711</v>
      </c>
      <c r="BT400" s="3066">
        <f>SUM(BP400:BS400)</f>
        <v>41.420117134418987</v>
      </c>
      <c r="BU400" s="1841">
        <f>+BP400*(1+BU399)</f>
        <v>10.585342402147822</v>
      </c>
      <c r="BV400" s="1841">
        <f>+BQ400*(1+BV399)</f>
        <v>10.965464121367084</v>
      </c>
      <c r="BW400" s="1841">
        <f>+BR400*(1+BW399)</f>
        <v>10.273639260407636</v>
      </c>
      <c r="BX400" s="1841">
        <f>+BS400*(1+BX399)</f>
        <v>9.6904172096101977</v>
      </c>
      <c r="BY400" s="3066">
        <f>SUM(BU400:BX400)</f>
        <v>41.514862993532738</v>
      </c>
      <c r="BZ400" s="455">
        <f t="shared" ref="BZ400:CF400" si="982">BY400*(1+BZ399)</f>
        <v>42.033798780951898</v>
      </c>
      <c r="CA400" s="455">
        <f t="shared" si="982"/>
        <v>42.033798780951898</v>
      </c>
      <c r="CB400" s="455">
        <f t="shared" si="982"/>
        <v>39.932108841904302</v>
      </c>
      <c r="CC400" s="455">
        <f t="shared" si="982"/>
        <v>37.935503399809086</v>
      </c>
      <c r="CD400" s="455">
        <f t="shared" si="982"/>
        <v>38.69421346780527</v>
      </c>
      <c r="CE400" s="455">
        <f t="shared" si="982"/>
        <v>39.468097737161372</v>
      </c>
      <c r="CF400" s="455">
        <f t="shared" si="982"/>
        <v>40.2574596919046</v>
      </c>
      <c r="CG400" s="673"/>
      <c r="CH400" s="673"/>
      <c r="CI400" s="673"/>
      <c r="CJ400" s="673"/>
      <c r="CK400" s="673"/>
      <c r="CL400" s="520" t="str">
        <f>A400</f>
        <v>Other revenue</v>
      </c>
      <c r="CM400" s="454">
        <f t="shared" si="961"/>
        <v>76.504999999999995</v>
      </c>
      <c r="CN400" s="454">
        <f t="shared" si="962"/>
        <v>53.777000000000001</v>
      </c>
      <c r="CO400" s="454">
        <f t="shared" si="963"/>
        <v>50.302999999999997</v>
      </c>
      <c r="CP400" s="454">
        <f t="shared" si="964"/>
        <v>48.488</v>
      </c>
      <c r="CQ400" s="454">
        <f t="shared" si="965"/>
        <v>53.817373109999949</v>
      </c>
      <c r="CR400" s="454">
        <f t="shared" si="966"/>
        <v>54.969999999999992</v>
      </c>
      <c r="CS400" s="454">
        <f t="shared" si="967"/>
        <v>49.278053500000055</v>
      </c>
      <c r="CT400" s="454">
        <f t="shared" si="968"/>
        <v>46.886975960000044</v>
      </c>
      <c r="CU400" s="454">
        <f t="shared" si="969"/>
        <v>47.080766899283915</v>
      </c>
      <c r="CV400" s="454">
        <f t="shared" si="970"/>
        <v>44.457213349385249</v>
      </c>
      <c r="CW400" s="454">
        <f t="shared" si="971"/>
        <v>41.182041687161806</v>
      </c>
      <c r="CX400" s="454">
        <f t="shared" si="972"/>
        <v>42.328480897275696</v>
      </c>
      <c r="CY400" s="454">
        <f t="shared" si="973"/>
        <v>41.315937222583649</v>
      </c>
      <c r="CZ400" s="454">
        <f t="shared" si="974"/>
        <v>41.420117134418987</v>
      </c>
      <c r="DA400" s="454">
        <f t="shared" si="975"/>
        <v>41.514862993532738</v>
      </c>
      <c r="DB400" s="454">
        <f t="shared" si="975"/>
        <v>42.033798780951898</v>
      </c>
      <c r="DC400" s="1666">
        <f t="shared" si="975"/>
        <v>42.033798780951898</v>
      </c>
      <c r="DD400" s="673"/>
      <c r="DE400" s="673"/>
      <c r="DF400" s="965"/>
      <c r="DG400" s="965"/>
      <c r="DH400" s="2915"/>
      <c r="DI400" s="3215"/>
      <c r="DJ400" s="965"/>
      <c r="DK400" s="965"/>
      <c r="DL400" s="965"/>
      <c r="DM400" s="965"/>
      <c r="DN400" s="965"/>
      <c r="DO400" s="965"/>
      <c r="DP400" s="965"/>
      <c r="DQ400" s="965"/>
      <c r="DR400" s="609"/>
      <c r="DS400" s="609"/>
      <c r="DT400" s="609"/>
    </row>
    <row r="401" spans="1:124" ht="12" customHeight="1" x14ac:dyDescent="0.25">
      <c r="A401" s="496" t="s">
        <v>1418</v>
      </c>
      <c r="B401" s="1007"/>
      <c r="C401" s="1008">
        <v>22.51</v>
      </c>
      <c r="D401" s="1008">
        <v>27.157</v>
      </c>
      <c r="E401" s="1008">
        <v>13.632</v>
      </c>
      <c r="F401" s="1008">
        <v>13.206</v>
      </c>
      <c r="G401" s="1009">
        <f>SUM(C401:F401)</f>
        <v>76.504999999999995</v>
      </c>
      <c r="H401" s="1008">
        <v>13.275</v>
      </c>
      <c r="I401" s="1008">
        <v>15.262</v>
      </c>
      <c r="J401" s="1008">
        <v>13.212999999999999</v>
      </c>
      <c r="K401" s="1008">
        <v>12.026999999999999</v>
      </c>
      <c r="L401" s="1009">
        <f>SUM(H401:K401)</f>
        <v>53.777000000000001</v>
      </c>
      <c r="M401" s="1008">
        <v>13.087</v>
      </c>
      <c r="N401" s="1008">
        <v>13.073</v>
      </c>
      <c r="O401" s="1008">
        <v>12.691000000000001</v>
      </c>
      <c r="P401" s="1008">
        <v>11.452</v>
      </c>
      <c r="Q401" s="1009">
        <f>SUM(M401:P401)</f>
        <v>50.302999999999997</v>
      </c>
      <c r="R401" s="1008">
        <v>11.853999999999999</v>
      </c>
      <c r="S401" s="1008">
        <v>13.53</v>
      </c>
      <c r="T401" s="1008">
        <v>11.815</v>
      </c>
      <c r="U401" s="1008">
        <v>11.289</v>
      </c>
      <c r="V401" s="1009">
        <f>SUM(R401:U401)</f>
        <v>48.488</v>
      </c>
      <c r="W401" s="1008">
        <v>39.448999999999998</v>
      </c>
      <c r="X401" s="1008">
        <v>61.628</v>
      </c>
      <c r="Y401" s="1008">
        <v>65.180999999999997</v>
      </c>
      <c r="Z401" s="1008">
        <v>58.677</v>
      </c>
      <c r="AA401" s="1009">
        <f>SUM(W401:Z401)</f>
        <v>224.93499999999997</v>
      </c>
      <c r="AB401" s="1008">
        <v>72.954999999999998</v>
      </c>
      <c r="AC401" s="1008">
        <v>77.149000000000001</v>
      </c>
      <c r="AD401" s="1008">
        <v>73.456999999999994</v>
      </c>
      <c r="AE401" s="1010">
        <v>69.108999999999995</v>
      </c>
      <c r="AF401" s="1011">
        <f>SUM(AB401:AE401)</f>
        <v>292.66999999999996</v>
      </c>
      <c r="AG401" s="1008">
        <v>75.61</v>
      </c>
      <c r="AH401" s="1008">
        <v>79.974000000000004</v>
      </c>
      <c r="AI401" s="1008">
        <v>84.665999999999997</v>
      </c>
      <c r="AJ401" s="1008">
        <v>77.513999999999996</v>
      </c>
      <c r="AK401" s="1011">
        <f>SUM(AG401:AJ401)</f>
        <v>317.76400000000001</v>
      </c>
      <c r="AL401" s="1008">
        <v>82.855999999999995</v>
      </c>
      <c r="AM401" s="1010">
        <v>86.423000000000002</v>
      </c>
      <c r="AN401" s="1593">
        <f>AN398+AN400</f>
        <v>84.081937019999955</v>
      </c>
      <c r="AO401" s="1014">
        <f>AO398+AO400</f>
        <v>80.895194579999995</v>
      </c>
      <c r="AP401" s="1013">
        <f>SUM(AL401:AO401)</f>
        <v>334.25613159999995</v>
      </c>
      <c r="AQ401" s="1013">
        <f>AQ398+AQ400</f>
        <v>88.227292569999946</v>
      </c>
      <c r="AR401" s="1012">
        <f>AR398+AR400</f>
        <v>84.303830284473008</v>
      </c>
      <c r="AS401" s="1012">
        <f>AS398+AS400</f>
        <v>82.418717243242611</v>
      </c>
      <c r="AT401" s="1012">
        <f>AT398+AT400</f>
        <v>74.658614791568255</v>
      </c>
      <c r="AU401" s="1694">
        <f>SUM(AQ401:AT401)</f>
        <v>329.60845488928385</v>
      </c>
      <c r="AV401" s="1913">
        <f>AV398+AV400</f>
        <v>82.534022018493545</v>
      </c>
      <c r="AW401" s="1840">
        <f>AW398+AW400</f>
        <v>82.27683468740139</v>
      </c>
      <c r="AX401" s="1840">
        <f>AX398+AX400</f>
        <v>76.563798068666642</v>
      </c>
      <c r="AY401" s="1907">
        <f>AY398+AY400</f>
        <v>69.839183214823763</v>
      </c>
      <c r="AZ401" s="1694">
        <f>SUM(AV401:AY401)</f>
        <v>311.21383798938535</v>
      </c>
      <c r="BA401" s="1913">
        <f>BA398+BA400</f>
        <v>72.506372699143469</v>
      </c>
      <c r="BB401" s="1840">
        <f>BB398+BB400</f>
        <v>73.996981310379397</v>
      </c>
      <c r="BC401" s="1840">
        <f>BC398+BC400</f>
        <v>72.465064871132654</v>
      </c>
      <c r="BD401" s="1907">
        <f>BD398+BD400</f>
        <v>69.699327496506285</v>
      </c>
      <c r="BE401" s="1907">
        <f>SUM(BA401:BD401)</f>
        <v>288.66774637716179</v>
      </c>
      <c r="BF401" s="1840">
        <f>BF398+BF400</f>
        <v>73.611877497941606</v>
      </c>
      <c r="BG401" s="1840">
        <f>BG398+BG400</f>
        <v>75.480076380000057</v>
      </c>
      <c r="BH401" s="1840">
        <f>BH398+BH400</f>
        <v>73.285837949333995</v>
      </c>
      <c r="BI401" s="1907">
        <f>BI398+BI400</f>
        <v>70.146848939999927</v>
      </c>
      <c r="BJ401" s="1907">
        <f>SUM(BF401:BI401)</f>
        <v>292.52464076727557</v>
      </c>
      <c r="BK401" s="1840">
        <f>BK398+BK400</f>
        <v>71.727203538151542</v>
      </c>
      <c r="BL401" s="1838">
        <f>BL398+BL400</f>
        <v>74.191520543329844</v>
      </c>
      <c r="BM401" s="1840">
        <f>BM398+BM400</f>
        <v>71.764404635455193</v>
      </c>
      <c r="BN401" s="1907">
        <f>BN398+BN400</f>
        <v>67.83587745564715</v>
      </c>
      <c r="BO401" s="1907">
        <f>SUM(BK401:BN401)</f>
        <v>285.51900617258377</v>
      </c>
      <c r="BP401" s="1840">
        <f>BP398+BP400</f>
        <v>73.275002160176498</v>
      </c>
      <c r="BQ401" s="1840">
        <f>BQ398+BQ400</f>
        <v>74.498116059670352</v>
      </c>
      <c r="BR401" s="1840">
        <f>BR398+BR400</f>
        <v>71.1177913398095</v>
      </c>
      <c r="BS401" s="1840">
        <f>BS398+BS400</f>
        <v>67.302201204762596</v>
      </c>
      <c r="BT401" s="1009">
        <f>SUM(BP401:BS401)</f>
        <v>286.19311076441892</v>
      </c>
      <c r="BU401" s="1840">
        <f>BU398+BU400</f>
        <v>71.839700082147829</v>
      </c>
      <c r="BV401" s="1840">
        <f>BV398+BV400</f>
        <v>75.24309722026706</v>
      </c>
      <c r="BW401" s="1840">
        <f>BW398+BW400</f>
        <v>71.828969253207589</v>
      </c>
      <c r="BX401" s="1840">
        <f>BX398+BX400</f>
        <v>67.975223216810221</v>
      </c>
      <c r="BY401" s="1009">
        <f>SUM(BU401:BX401)</f>
        <v>286.88698977243268</v>
      </c>
      <c r="BZ401" s="1009">
        <f t="shared" ref="BZ401:CF401" si="983">BZ398+BZ400</f>
        <v>290.4730771445881</v>
      </c>
      <c r="CA401" s="1009">
        <f t="shared" si="983"/>
        <v>290.4730771445881</v>
      </c>
      <c r="CB401" s="1009">
        <f t="shared" si="983"/>
        <v>275.94942328735868</v>
      </c>
      <c r="CC401" s="1009">
        <f t="shared" si="983"/>
        <v>262.15195212299074</v>
      </c>
      <c r="CD401" s="1009">
        <f t="shared" si="983"/>
        <v>267.39499116545056</v>
      </c>
      <c r="CE401" s="1009">
        <f t="shared" si="983"/>
        <v>272.7428909887596</v>
      </c>
      <c r="CF401" s="1009">
        <f t="shared" si="983"/>
        <v>278.19774880853475</v>
      </c>
      <c r="CG401" s="502"/>
      <c r="CH401" s="502"/>
      <c r="CI401" s="502"/>
      <c r="CJ401" s="502"/>
      <c r="CK401" s="502"/>
      <c r="CL401" s="2102" t="str">
        <f>A401</f>
        <v>Net revenue</v>
      </c>
      <c r="CM401" s="1012">
        <f t="shared" si="961"/>
        <v>76.504999999999995</v>
      </c>
      <c r="CN401" s="1012">
        <f t="shared" si="962"/>
        <v>53.777000000000001</v>
      </c>
      <c r="CO401" s="1012">
        <f t="shared" si="963"/>
        <v>50.302999999999997</v>
      </c>
      <c r="CP401" s="1012">
        <f t="shared" si="964"/>
        <v>48.488</v>
      </c>
      <c r="CQ401" s="1012">
        <f t="shared" si="965"/>
        <v>224.93499999999997</v>
      </c>
      <c r="CR401" s="1012">
        <f t="shared" si="966"/>
        <v>292.66999999999996</v>
      </c>
      <c r="CS401" s="1012">
        <f t="shared" si="967"/>
        <v>317.76400000000001</v>
      </c>
      <c r="CT401" s="1012">
        <f t="shared" si="968"/>
        <v>334.25613159999995</v>
      </c>
      <c r="CU401" s="1012">
        <f t="shared" si="969"/>
        <v>329.60845488928385</v>
      </c>
      <c r="CV401" s="1012">
        <f t="shared" si="970"/>
        <v>311.21383798938535</v>
      </c>
      <c r="CW401" s="1012">
        <f t="shared" si="971"/>
        <v>288.66774637716179</v>
      </c>
      <c r="CX401" s="1012">
        <f t="shared" si="972"/>
        <v>292.52464076727557</v>
      </c>
      <c r="CY401" s="1012">
        <f t="shared" si="973"/>
        <v>285.51900617258377</v>
      </c>
      <c r="CZ401" s="1012">
        <f t="shared" si="974"/>
        <v>286.19311076441892</v>
      </c>
      <c r="DA401" s="1012">
        <f t="shared" si="975"/>
        <v>286.88698977243268</v>
      </c>
      <c r="DB401" s="1012">
        <f t="shared" si="975"/>
        <v>290.4730771445881</v>
      </c>
      <c r="DC401" s="1877">
        <f t="shared" si="975"/>
        <v>290.4730771445881</v>
      </c>
      <c r="DD401" s="502"/>
      <c r="DE401" s="502"/>
      <c r="DF401" s="502"/>
      <c r="DG401" s="503"/>
      <c r="DH401" s="598"/>
      <c r="DI401" s="3213"/>
      <c r="DJ401" s="502"/>
      <c r="DK401" s="503"/>
      <c r="DL401" s="502"/>
      <c r="DM401" s="502"/>
      <c r="DN401" s="502"/>
      <c r="DO401" s="502"/>
      <c r="DP401" s="503"/>
      <c r="DQ401" s="503"/>
      <c r="DR401" s="719"/>
      <c r="DS401" s="719"/>
      <c r="DT401" s="719"/>
    </row>
    <row r="402" spans="1:124" ht="12" customHeight="1" x14ac:dyDescent="0.25">
      <c r="A402" s="465" t="s">
        <v>1491</v>
      </c>
      <c r="B402" s="466"/>
      <c r="C402" s="467" t="s">
        <v>553</v>
      </c>
      <c r="D402" s="467" t="s">
        <v>553</v>
      </c>
      <c r="E402" s="467" t="s">
        <v>553</v>
      </c>
      <c r="F402" s="467" t="s">
        <v>553</v>
      </c>
      <c r="G402" s="468" t="s">
        <v>553</v>
      </c>
      <c r="H402" s="467">
        <f t="shared" ref="H402:AF402" si="984">(H401-C401)/C401</f>
        <v>-0.41026210573078636</v>
      </c>
      <c r="I402" s="467">
        <f t="shared" si="984"/>
        <v>-0.43800861656294876</v>
      </c>
      <c r="J402" s="467">
        <f t="shared" si="984"/>
        <v>-3.0736502347417878E-2</v>
      </c>
      <c r="K402" s="467">
        <f t="shared" si="984"/>
        <v>-8.9277601090413466E-2</v>
      </c>
      <c r="L402" s="468">
        <f t="shared" si="984"/>
        <v>-0.29707862231226712</v>
      </c>
      <c r="M402" s="467">
        <f t="shared" si="984"/>
        <v>-1.4161958568738276E-2</v>
      </c>
      <c r="N402" s="467">
        <f t="shared" si="984"/>
        <v>-0.14342812213340322</v>
      </c>
      <c r="O402" s="467">
        <f t="shared" si="984"/>
        <v>-3.9506546582910654E-2</v>
      </c>
      <c r="P402" s="467">
        <f t="shared" si="984"/>
        <v>-4.7809096200216124E-2</v>
      </c>
      <c r="Q402" s="468">
        <f t="shared" si="984"/>
        <v>-6.4600107852799599E-2</v>
      </c>
      <c r="R402" s="467">
        <f t="shared" si="984"/>
        <v>-9.4215633835103577E-2</v>
      </c>
      <c r="S402" s="467">
        <f t="shared" si="984"/>
        <v>3.4957546087355539E-2</v>
      </c>
      <c r="T402" s="467">
        <f t="shared" si="984"/>
        <v>-6.9025293515089528E-2</v>
      </c>
      <c r="U402" s="467">
        <f t="shared" si="984"/>
        <v>-1.4233321690534427E-2</v>
      </c>
      <c r="V402" s="468">
        <f t="shared" si="984"/>
        <v>-3.6081347036956E-2</v>
      </c>
      <c r="W402" s="467">
        <f t="shared" si="984"/>
        <v>2.3279061920026995</v>
      </c>
      <c r="X402" s="467">
        <f t="shared" si="984"/>
        <v>3.5549150036954917</v>
      </c>
      <c r="Y402" s="467">
        <f t="shared" si="984"/>
        <v>4.5168006771053744</v>
      </c>
      <c r="Z402" s="467">
        <f t="shared" si="984"/>
        <v>4.1977145894233328</v>
      </c>
      <c r="AA402" s="468">
        <f t="shared" si="984"/>
        <v>3.6389828411153271</v>
      </c>
      <c r="AB402" s="467">
        <f t="shared" si="984"/>
        <v>0.84934979340414207</v>
      </c>
      <c r="AC402" s="467">
        <f t="shared" si="984"/>
        <v>0.2518498085285909</v>
      </c>
      <c r="AD402" s="467">
        <f t="shared" si="984"/>
        <v>0.12696951565640288</v>
      </c>
      <c r="AE402" s="469">
        <f t="shared" si="984"/>
        <v>0.17778686708591093</v>
      </c>
      <c r="AF402" s="470">
        <f t="shared" si="984"/>
        <v>0.30113143797096936</v>
      </c>
      <c r="AG402" s="467">
        <f>(AG401-AB401)/AB401</f>
        <v>3.639229662120487E-2</v>
      </c>
      <c r="AH402" s="467">
        <f t="shared" ref="AH402:AU402" si="985">(AH401-AC401)/AC401</f>
        <v>3.6617454536027723E-2</v>
      </c>
      <c r="AI402" s="467">
        <f t="shared" si="985"/>
        <v>0.15259267326463105</v>
      </c>
      <c r="AJ402" s="469">
        <f>(AJ401-AE401)/AE401</f>
        <v>0.12161947069122693</v>
      </c>
      <c r="AK402" s="470">
        <f t="shared" si="985"/>
        <v>8.5741620254894776E-2</v>
      </c>
      <c r="AL402" s="467">
        <f t="shared" si="985"/>
        <v>9.5833884406824429E-2</v>
      </c>
      <c r="AM402" s="467">
        <f t="shared" si="985"/>
        <v>8.0638707579963456E-2</v>
      </c>
      <c r="AN402" s="467">
        <f t="shared" si="985"/>
        <v>-6.898435971937276E-3</v>
      </c>
      <c r="AO402" s="469">
        <f t="shared" si="985"/>
        <v>4.3620437340351412E-2</v>
      </c>
      <c r="AP402" s="471">
        <f t="shared" si="985"/>
        <v>5.1900566458125956E-2</v>
      </c>
      <c r="AQ402" s="471">
        <f t="shared" si="985"/>
        <v>6.482683897364043E-2</v>
      </c>
      <c r="AR402" s="469">
        <f t="shared" si="985"/>
        <v>-2.4520899708723298E-2</v>
      </c>
      <c r="AS402" s="469">
        <f t="shared" si="985"/>
        <v>-1.9780940303048996E-2</v>
      </c>
      <c r="AT402" s="469">
        <f t="shared" si="985"/>
        <v>-7.7094564402885216E-2</v>
      </c>
      <c r="AU402" s="1689">
        <f t="shared" si="985"/>
        <v>-1.3904536884540726E-2</v>
      </c>
      <c r="AV402" s="1730">
        <f t="shared" ref="AV402:BA402" si="986">(AV401-AQ401)/AQ401</f>
        <v>-6.4529584731270476E-2</v>
      </c>
      <c r="AW402" s="1465">
        <f t="shared" si="986"/>
        <v>-2.4043932407718231E-2</v>
      </c>
      <c r="AX402" s="1465">
        <f t="shared" si="986"/>
        <v>-7.1038707837399698E-2</v>
      </c>
      <c r="AY402" s="1868">
        <f t="shared" si="986"/>
        <v>-6.4552919849897694E-2</v>
      </c>
      <c r="AZ402" s="1689">
        <f t="shared" si="986"/>
        <v>-5.5807478925494446E-2</v>
      </c>
      <c r="BA402" s="1730">
        <f t="shared" si="986"/>
        <v>-0.12149716049344066</v>
      </c>
      <c r="BB402" s="1465">
        <f t="shared" ref="BB402:BJ402" si="987">(BB401-AW401)/AW401</f>
        <v>-0.10063407772649575</v>
      </c>
      <c r="BC402" s="1465">
        <f t="shared" si="987"/>
        <v>-5.3533566789072014E-2</v>
      </c>
      <c r="BD402" s="1868">
        <f t="shared" si="987"/>
        <v>-2.0025394324455982E-3</v>
      </c>
      <c r="BE402" s="1868">
        <f t="shared" si="987"/>
        <v>-7.2445659093708259E-2</v>
      </c>
      <c r="BF402" s="1465">
        <f t="shared" si="987"/>
        <v>1.5247001851620642E-2</v>
      </c>
      <c r="BG402" s="1465">
        <f t="shared" si="987"/>
        <v>2.0042642866738531E-2</v>
      </c>
      <c r="BH402" s="1465">
        <f t="shared" si="987"/>
        <v>1.1326465789562916E-2</v>
      </c>
      <c r="BI402" s="1868">
        <f t="shared" si="987"/>
        <v>6.4207426322165605E-3</v>
      </c>
      <c r="BJ402" s="1868">
        <f t="shared" si="987"/>
        <v>1.3361016041863282E-2</v>
      </c>
      <c r="BK402" s="1465">
        <f t="shared" ref="BK402:BT402" si="988">(BK401-BF401)/BF401</f>
        <v>-2.5602851385535769E-2</v>
      </c>
      <c r="BL402" s="1465">
        <f t="shared" si="988"/>
        <v>-1.7071469697288771E-2</v>
      </c>
      <c r="BM402" s="1465">
        <f t="shared" si="988"/>
        <v>-2.076026359868658E-2</v>
      </c>
      <c r="BN402" s="1868">
        <f t="shared" si="988"/>
        <v>-3.2944765435286558E-2</v>
      </c>
      <c r="BO402" s="1868">
        <f t="shared" si="988"/>
        <v>-2.3948870003964163E-2</v>
      </c>
      <c r="BP402" s="1465">
        <f t="shared" si="988"/>
        <v>2.1578962313812854E-2</v>
      </c>
      <c r="BQ402" s="1465">
        <f t="shared" si="988"/>
        <v>4.1324872990229095E-3</v>
      </c>
      <c r="BR402" s="1465">
        <f t="shared" si="988"/>
        <v>-9.0102230894316369E-3</v>
      </c>
      <c r="BS402" s="1465">
        <f t="shared" si="988"/>
        <v>-7.8671680960194727E-3</v>
      </c>
      <c r="BT402" s="470">
        <f t="shared" si="988"/>
        <v>2.3609797500754792E-3</v>
      </c>
      <c r="BU402" s="1465">
        <f>(BU401-BP401)/BP401</f>
        <v>-1.9587881756607136E-2</v>
      </c>
      <c r="BV402" s="1465">
        <f>(BV401-BQ401)/BQ401</f>
        <v>1.0000000000000066E-2</v>
      </c>
      <c r="BW402" s="1465">
        <f>(BW401-BR401)/BR401</f>
        <v>9.9999999999999135E-3</v>
      </c>
      <c r="BX402" s="1465">
        <f>(BX401-BS401)/BS401</f>
        <v>9.9999999999999811E-3</v>
      </c>
      <c r="BY402" s="470">
        <f>(BY401-BT401)/BT401</f>
        <v>2.4245133160627893E-3</v>
      </c>
      <c r="BZ402" s="470">
        <f t="shared" ref="BZ402:CF402" si="989">(BZ401-BY401)/BY401</f>
        <v>1.2500000000000035E-2</v>
      </c>
      <c r="CA402" s="470">
        <f t="shared" si="989"/>
        <v>0</v>
      </c>
      <c r="CB402" s="470">
        <f t="shared" si="989"/>
        <v>-5.0000000000000051E-2</v>
      </c>
      <c r="CC402" s="470">
        <f t="shared" si="989"/>
        <v>-5.0000000000000051E-2</v>
      </c>
      <c r="CD402" s="470">
        <f t="shared" si="989"/>
        <v>2.0000000000000049E-2</v>
      </c>
      <c r="CE402" s="470">
        <f t="shared" si="989"/>
        <v>2.0000000000000091E-2</v>
      </c>
      <c r="CF402" s="470">
        <f t="shared" si="989"/>
        <v>1.9999999999999872E-2</v>
      </c>
      <c r="CG402" s="492"/>
      <c r="CH402" s="492"/>
      <c r="CI402" s="492"/>
      <c r="CJ402" s="492"/>
      <c r="CK402" s="492"/>
      <c r="CL402" s="1310" t="str">
        <f>A402</f>
        <v>% growth (y-o-y)</v>
      </c>
      <c r="CM402" s="469" t="str">
        <f t="shared" si="961"/>
        <v xml:space="preserve">n/a </v>
      </c>
      <c r="CN402" s="469">
        <f t="shared" si="962"/>
        <v>-0.29707862231226712</v>
      </c>
      <c r="CO402" s="469">
        <f t="shared" si="963"/>
        <v>-6.4600107852799599E-2</v>
      </c>
      <c r="CP402" s="469">
        <f t="shared" si="964"/>
        <v>-3.6081347036956E-2</v>
      </c>
      <c r="CQ402" s="469">
        <f t="shared" si="965"/>
        <v>3.6389828411153271</v>
      </c>
      <c r="CR402" s="469">
        <f t="shared" si="966"/>
        <v>0.30113143797096936</v>
      </c>
      <c r="CS402" s="469">
        <f t="shared" si="967"/>
        <v>8.5741620254894776E-2</v>
      </c>
      <c r="CT402" s="469">
        <f t="shared" si="968"/>
        <v>5.1900566458125956E-2</v>
      </c>
      <c r="CU402" s="469">
        <f t="shared" si="969"/>
        <v>-1.3904536884540726E-2</v>
      </c>
      <c r="CV402" s="469">
        <f t="shared" si="970"/>
        <v>-5.5807478925494446E-2</v>
      </c>
      <c r="CW402" s="469">
        <f t="shared" si="971"/>
        <v>-7.2445659093708259E-2</v>
      </c>
      <c r="CX402" s="469">
        <f t="shared" si="972"/>
        <v>1.3361016041863282E-2</v>
      </c>
      <c r="CY402" s="469">
        <f t="shared" si="973"/>
        <v>-2.3948870003964163E-2</v>
      </c>
      <c r="CZ402" s="469">
        <f t="shared" si="974"/>
        <v>2.3609797500754792E-3</v>
      </c>
      <c r="DA402" s="469">
        <f t="shared" si="975"/>
        <v>2.4245133160627893E-3</v>
      </c>
      <c r="DB402" s="469">
        <f t="shared" si="975"/>
        <v>1.2500000000000035E-2</v>
      </c>
      <c r="DC402" s="1463">
        <f t="shared" si="975"/>
        <v>0</v>
      </c>
      <c r="DD402" s="492"/>
      <c r="DE402" s="492"/>
      <c r="DF402" s="962"/>
      <c r="DG402" s="962"/>
      <c r="DH402" s="469"/>
      <c r="DI402" s="3213"/>
      <c r="DJ402" s="962"/>
      <c r="DK402" s="962"/>
      <c r="DL402" s="962"/>
      <c r="DM402" s="962"/>
      <c r="DN402" s="962"/>
      <c r="DO402" s="962"/>
      <c r="DP402" s="962"/>
      <c r="DQ402" s="962"/>
      <c r="DR402" s="963"/>
      <c r="DS402" s="963"/>
      <c r="DT402" s="963"/>
    </row>
    <row r="403" spans="1:124" ht="5.0999999999999996" customHeight="1" x14ac:dyDescent="0.25">
      <c r="A403" s="281"/>
      <c r="B403" s="281"/>
      <c r="C403" s="305"/>
      <c r="D403" s="305"/>
      <c r="E403" s="305"/>
      <c r="F403" s="305"/>
      <c r="G403" s="440"/>
      <c r="H403" s="305"/>
      <c r="I403" s="305"/>
      <c r="J403" s="305"/>
      <c r="K403" s="305"/>
      <c r="L403" s="440"/>
      <c r="M403" s="305"/>
      <c r="N403" s="305"/>
      <c r="O403" s="305"/>
      <c r="P403" s="305"/>
      <c r="Q403" s="440"/>
      <c r="R403" s="305"/>
      <c r="S403" s="305"/>
      <c r="T403" s="305"/>
      <c r="U403" s="305"/>
      <c r="V403" s="440"/>
      <c r="W403" s="305"/>
      <c r="X403" s="305"/>
      <c r="Y403" s="305"/>
      <c r="Z403" s="305"/>
      <c r="AA403" s="440"/>
      <c r="AB403" s="305"/>
      <c r="AC403" s="305"/>
      <c r="AD403" s="305"/>
      <c r="AE403" s="331"/>
      <c r="AF403" s="441"/>
      <c r="AG403" s="305"/>
      <c r="AH403" s="305"/>
      <c r="AI403" s="305"/>
      <c r="AJ403" s="331"/>
      <c r="AK403" s="441"/>
      <c r="AL403" s="305"/>
      <c r="AM403" s="305"/>
      <c r="AN403" s="305"/>
      <c r="AO403" s="331"/>
      <c r="AP403" s="569"/>
      <c r="AQ403" s="569"/>
      <c r="AR403" s="442"/>
      <c r="AS403" s="442"/>
      <c r="AT403" s="442"/>
      <c r="AU403" s="1690"/>
      <c r="AV403" s="1902"/>
      <c r="AW403" s="1837"/>
      <c r="AX403" s="1837"/>
      <c r="AY403" s="1903"/>
      <c r="AZ403" s="1690"/>
      <c r="BA403" s="1902"/>
      <c r="BB403" s="1837"/>
      <c r="BC403" s="1837"/>
      <c r="BD403" s="1903"/>
      <c r="BE403" s="1903"/>
      <c r="BF403" s="1837"/>
      <c r="BG403" s="1837"/>
      <c r="BH403" s="1837"/>
      <c r="BI403" s="1903"/>
      <c r="BJ403" s="1903"/>
      <c r="BK403" s="1837"/>
      <c r="BL403" s="1837"/>
      <c r="BM403" s="1837"/>
      <c r="BN403" s="1903"/>
      <c r="BO403" s="1903"/>
      <c r="BP403" s="1837"/>
      <c r="BQ403" s="1837"/>
      <c r="BR403" s="1837"/>
      <c r="BS403" s="1837"/>
      <c r="BT403" s="3236"/>
      <c r="BU403" s="1837"/>
      <c r="BV403" s="1837"/>
      <c r="BW403" s="1837"/>
      <c r="BX403" s="1837"/>
      <c r="BY403" s="3236"/>
      <c r="BZ403" s="441"/>
      <c r="CA403" s="441"/>
      <c r="CB403" s="441"/>
      <c r="CC403" s="441"/>
      <c r="CD403" s="441"/>
      <c r="CE403" s="441"/>
      <c r="CF403" s="441"/>
      <c r="CG403" s="331"/>
      <c r="CH403" s="331"/>
      <c r="CI403" s="331"/>
      <c r="CJ403" s="331"/>
      <c r="CK403" s="331"/>
      <c r="CL403" s="520"/>
      <c r="CM403" s="442"/>
      <c r="CN403" s="442"/>
      <c r="CO403" s="442"/>
      <c r="CP403" s="442"/>
      <c r="CQ403" s="442"/>
      <c r="CR403" s="442"/>
      <c r="CS403" s="442"/>
      <c r="CT403" s="442"/>
      <c r="CU403" s="442"/>
      <c r="CV403" s="442"/>
      <c r="CW403" s="442"/>
      <c r="CX403" s="442"/>
      <c r="CY403" s="442"/>
      <c r="CZ403" s="442"/>
      <c r="DA403" s="442"/>
      <c r="DB403" s="442"/>
      <c r="DC403" s="1312"/>
      <c r="DD403" s="331"/>
      <c r="DE403" s="331"/>
      <c r="DF403" s="502"/>
      <c r="DG403" s="503"/>
      <c r="DH403" s="3298"/>
      <c r="DI403" s="3213"/>
      <c r="DJ403" s="502"/>
      <c r="DK403" s="503"/>
      <c r="DL403" s="502"/>
      <c r="DM403" s="502"/>
      <c r="DN403" s="502"/>
      <c r="DO403" s="502"/>
      <c r="DP403" s="503"/>
      <c r="DQ403" s="503"/>
      <c r="DR403" s="296"/>
      <c r="DS403" s="296"/>
      <c r="DT403" s="296"/>
    </row>
    <row r="404" spans="1:124" ht="12" customHeight="1" x14ac:dyDescent="0.25">
      <c r="A404" s="311" t="s">
        <v>601</v>
      </c>
      <c r="B404" s="281"/>
      <c r="C404" s="452">
        <f>C410-C407</f>
        <v>20.114000000000001</v>
      </c>
      <c r="D404" s="452">
        <f>D410-D407</f>
        <v>23.198</v>
      </c>
      <c r="E404" s="452">
        <f>E410-E407</f>
        <v>12.286999999999999</v>
      </c>
      <c r="F404" s="452">
        <f>F410-F407</f>
        <v>12.766999999999999</v>
      </c>
      <c r="G404" s="475">
        <f>SUM(C404:F404)</f>
        <v>68.366</v>
      </c>
      <c r="H404" s="452">
        <f>H410-H407</f>
        <v>11.949</v>
      </c>
      <c r="I404" s="452">
        <f>I410-I407</f>
        <v>13.709</v>
      </c>
      <c r="J404" s="452">
        <f>J410-J407</f>
        <v>12.944999999999999</v>
      </c>
      <c r="K404" s="452">
        <f>K410-K407</f>
        <v>12.475999999999999</v>
      </c>
      <c r="L404" s="475">
        <f>SUM(H404:K404)</f>
        <v>51.079000000000001</v>
      </c>
      <c r="M404" s="452">
        <f>M410-M407</f>
        <v>12.17</v>
      </c>
      <c r="N404" s="452">
        <f>N410-N407</f>
        <v>12.52</v>
      </c>
      <c r="O404" s="452">
        <f>O410-O407</f>
        <v>11.896000000000001</v>
      </c>
      <c r="P404" s="452">
        <f>P410-P407</f>
        <v>11.759</v>
      </c>
      <c r="Q404" s="475">
        <f>SUM(M404:P404)</f>
        <v>48.344999999999999</v>
      </c>
      <c r="R404" s="452">
        <f>R410-R407</f>
        <v>12.282</v>
      </c>
      <c r="S404" s="452">
        <f>S410-S407</f>
        <v>13.450999999999999</v>
      </c>
      <c r="T404" s="452">
        <f>T410-T407</f>
        <v>12.827999999999999</v>
      </c>
      <c r="U404" s="452">
        <f>U410-U407</f>
        <v>16.465</v>
      </c>
      <c r="V404" s="475">
        <f>SUM(R404:U404)</f>
        <v>55.025999999999996</v>
      </c>
      <c r="W404" s="452">
        <f>W410-W407</f>
        <v>23.393611750000005</v>
      </c>
      <c r="X404" s="452">
        <f>X410-X407</f>
        <v>25.4232567295</v>
      </c>
      <c r="Y404" s="452">
        <f>Y410-Y407</f>
        <v>25.080093861999945</v>
      </c>
      <c r="Z404" s="452">
        <f>Z410-Z407</f>
        <v>22.552342869000007</v>
      </c>
      <c r="AA404" s="475">
        <f>SUM(W404:Z404)</f>
        <v>96.449305210499944</v>
      </c>
      <c r="AB404" s="452">
        <f>AB410-AB407</f>
        <v>27.640999999999991</v>
      </c>
      <c r="AC404" s="452">
        <f>AC410-AC407</f>
        <v>30.133000000000003</v>
      </c>
      <c r="AD404" s="452">
        <f>AD410-AD407</f>
        <v>27.265999999999991</v>
      </c>
      <c r="AE404" s="452">
        <f>AE410-AE407</f>
        <v>26.066999999999993</v>
      </c>
      <c r="AF404" s="477">
        <f>SUM(AB404:AE404)</f>
        <v>111.10699999999999</v>
      </c>
      <c r="AG404" s="452">
        <f>AG410-AG407</f>
        <v>25.075999999999993</v>
      </c>
      <c r="AH404" s="452">
        <f>AH410-AH407</f>
        <v>26.733000000000011</v>
      </c>
      <c r="AI404" s="452">
        <f>AI410-AI407</f>
        <v>27.81909422049997</v>
      </c>
      <c r="AJ404" s="452">
        <f>AJ410-AJ407</f>
        <v>26.809968761300048</v>
      </c>
      <c r="AK404" s="477">
        <f>SUM(AG404:AJ404)</f>
        <v>106.43806298180002</v>
      </c>
      <c r="AL404" s="452">
        <f>AL410-AL407</f>
        <v>26.918065999999989</v>
      </c>
      <c r="AM404" s="452">
        <f>AM410-AM407</f>
        <v>26.411903179500051</v>
      </c>
      <c r="AN404" s="452">
        <f>+AI404*(1+AN406)</f>
        <v>26.706330451679971</v>
      </c>
      <c r="AO404" s="452">
        <f>+AJ404*(1+AO406)</f>
        <v>26.005669698461045</v>
      </c>
      <c r="AP404" s="478">
        <f>SUM(AL404:AO404)</f>
        <v>106.04196932964106</v>
      </c>
      <c r="AQ404" s="478">
        <f>+AL404*(1+AQ406)</f>
        <v>25.841343359999989</v>
      </c>
      <c r="AR404" s="476">
        <f>+AM404*(1+AR406)</f>
        <v>26.14778414770505</v>
      </c>
      <c r="AS404" s="476">
        <f>+AN404*(1+AS406)</f>
        <v>26.439267147163172</v>
      </c>
      <c r="AT404" s="476">
        <f>+AO404*(1+AT406)</f>
        <v>24.705386213537992</v>
      </c>
      <c r="AU404" s="1693">
        <f>SUM(AQ404:AT404)</f>
        <v>103.13378086840621</v>
      </c>
      <c r="AV404" s="1863">
        <f>+AQ404*(1+AV406)</f>
        <v>25.32451649279999</v>
      </c>
      <c r="AW404" s="1841">
        <f>+AR404*(1+AW406)</f>
        <v>25.101872781796846</v>
      </c>
      <c r="AX404" s="1841">
        <f>+AS404*(1+AX406)</f>
        <v>25.646089132748276</v>
      </c>
      <c r="AY404" s="1864">
        <f>+AT404*(1+AY406)</f>
        <v>22.852482247522644</v>
      </c>
      <c r="AZ404" s="1693">
        <f>SUM(AV404:AY404)</f>
        <v>98.92496065486776</v>
      </c>
      <c r="BA404" s="1863">
        <f>+AV404*(1+BA406)</f>
        <v>24.058290668159991</v>
      </c>
      <c r="BB404" s="1841">
        <f>+AW404*(1+BB406)</f>
        <v>24.348816598342939</v>
      </c>
      <c r="BC404" s="1841">
        <f>+AX404*(1+BC406)</f>
        <v>25.389628241420795</v>
      </c>
      <c r="BD404" s="1864">
        <f>+AY404*(1+BD406)</f>
        <v>23.538056714948326</v>
      </c>
      <c r="BE404" s="1864">
        <f>SUM(BA404:BD404)</f>
        <v>97.334792222872053</v>
      </c>
      <c r="BF404" s="1841">
        <f>+BA404*(1+BF406)</f>
        <v>23.577124854796789</v>
      </c>
      <c r="BG404" s="1841">
        <f>+BB404*(1+BG406)</f>
        <v>23.861840266376081</v>
      </c>
      <c r="BH404" s="1841">
        <f>+BC404*(1+BH406)</f>
        <v>24.881835676592377</v>
      </c>
      <c r="BI404" s="1864">
        <f>+BD404*(1+BI406)</f>
        <v>23.067295580649358</v>
      </c>
      <c r="BJ404" s="1864">
        <f>SUM(BF404:BI404)</f>
        <v>95.388096378414602</v>
      </c>
      <c r="BK404" s="1841">
        <f>+BF404*(1+BK406)</f>
        <v>22.634039860604918</v>
      </c>
      <c r="BL404" s="1841">
        <f>+BG404*(1+BL406)</f>
        <v>23.265294259716679</v>
      </c>
      <c r="BM404" s="1841">
        <f>+BH404*(1+BM406)</f>
        <v>24.135380606294607</v>
      </c>
      <c r="BN404" s="1841">
        <f>+BI404*(1+BN406)</f>
        <v>22.375276713229876</v>
      </c>
      <c r="BO404" s="1693">
        <f>SUM(BK404:BN404)</f>
        <v>92.409991439846081</v>
      </c>
      <c r="BP404" s="1841">
        <f>+BK404*(1+BP406)</f>
        <v>21.728678266180722</v>
      </c>
      <c r="BQ404" s="1841">
        <f>+BL404*(1+BQ406)</f>
        <v>23.032641317119513</v>
      </c>
      <c r="BR404" s="1841">
        <f>+BM404*(1+BR406)</f>
        <v>23.894026800231661</v>
      </c>
      <c r="BS404" s="1841">
        <f>+BN404*(1+BS406)</f>
        <v>22.151523946097576</v>
      </c>
      <c r="BT404" s="3066">
        <f>SUM(BP404:BS404)</f>
        <v>90.806870329629476</v>
      </c>
      <c r="BU404" s="1841">
        <f>+BP404*(1+BU406)</f>
        <v>21.511391483518914</v>
      </c>
      <c r="BV404" s="1841">
        <f>+BQ404*(1+BV406)</f>
        <v>23.032641317119513</v>
      </c>
      <c r="BW404" s="1841">
        <f>+BR404*(1+BW406)</f>
        <v>23.894026800231661</v>
      </c>
      <c r="BX404" s="1841">
        <f>+BS404*(1+BX406)</f>
        <v>22.151523946097576</v>
      </c>
      <c r="BY404" s="3066">
        <f>SUM(BU404:BX404)</f>
        <v>90.589583546967674</v>
      </c>
      <c r="BZ404" s="455">
        <f t="shared" ref="BZ404:CF404" si="990">BY404*(1+BZ406)</f>
        <v>89.683687711497996</v>
      </c>
      <c r="CA404" s="455">
        <f t="shared" si="990"/>
        <v>90.580524588612974</v>
      </c>
      <c r="CB404" s="455">
        <f t="shared" si="990"/>
        <v>87.863108850954589</v>
      </c>
      <c r="CC404" s="455">
        <f t="shared" si="990"/>
        <v>85.227215585425952</v>
      </c>
      <c r="CD404" s="455">
        <f t="shared" si="990"/>
        <v>86.079487741280218</v>
      </c>
      <c r="CE404" s="455">
        <f t="shared" si="990"/>
        <v>86.940282618693018</v>
      </c>
      <c r="CF404" s="455">
        <f t="shared" si="990"/>
        <v>87.809685444879946</v>
      </c>
      <c r="CG404" s="331"/>
      <c r="CH404" s="331"/>
      <c r="CI404" s="331"/>
      <c r="CJ404" s="331"/>
      <c r="CK404" s="331"/>
      <c r="CL404" s="528" t="str">
        <f t="shared" ref="CL404:CL410" si="991">A404</f>
        <v>Operating expenses</v>
      </c>
      <c r="CM404" s="476">
        <f>G404</f>
        <v>68.366</v>
      </c>
      <c r="CN404" s="476">
        <f>L404</f>
        <v>51.079000000000001</v>
      </c>
      <c r="CO404" s="476">
        <f>Q404</f>
        <v>48.344999999999999</v>
      </c>
      <c r="CP404" s="476">
        <f>V404</f>
        <v>55.025999999999996</v>
      </c>
      <c r="CQ404" s="476">
        <f>AA404</f>
        <v>96.449305210499944</v>
      </c>
      <c r="CR404" s="476">
        <f>AF404</f>
        <v>111.10699999999999</v>
      </c>
      <c r="CS404" s="476">
        <f t="shared" ref="CS404:CS410" si="992">AK404</f>
        <v>106.43806298180002</v>
      </c>
      <c r="CT404" s="476">
        <f t="shared" ref="CT404:CT410" si="993">AP404</f>
        <v>106.04196932964106</v>
      </c>
      <c r="CU404" s="476">
        <f t="shared" ref="CU404:CU410" si="994">AU404</f>
        <v>103.13378086840621</v>
      </c>
      <c r="CV404" s="476">
        <f t="shared" ref="CV404:CV410" si="995">AZ404</f>
        <v>98.92496065486776</v>
      </c>
      <c r="CW404" s="476">
        <f t="shared" ref="CW404:CW410" si="996">BE404</f>
        <v>97.334792222872053</v>
      </c>
      <c r="CX404" s="476">
        <f t="shared" ref="CX404:CX410" si="997">BJ404</f>
        <v>95.388096378414602</v>
      </c>
      <c r="CY404" s="476">
        <f t="shared" ref="CY404:CY410" si="998">BO404</f>
        <v>92.409991439846081</v>
      </c>
      <c r="CZ404" s="476">
        <f t="shared" ref="CZ404:CZ410" si="999">BT404</f>
        <v>90.806870329629476</v>
      </c>
      <c r="DA404" s="476">
        <f t="shared" ref="DA404:DC410" si="1000">BY404</f>
        <v>90.589583546967674</v>
      </c>
      <c r="DB404" s="476">
        <f t="shared" si="1000"/>
        <v>89.683687711497996</v>
      </c>
      <c r="DC404" s="682">
        <f t="shared" si="1000"/>
        <v>90.580524588612974</v>
      </c>
      <c r="DD404" s="331"/>
      <c r="DE404" s="331"/>
      <c r="DF404" s="502"/>
      <c r="DG404" s="503"/>
      <c r="DH404" s="2915"/>
      <c r="DI404" s="3213"/>
      <c r="DJ404" s="502"/>
      <c r="DK404" s="503"/>
      <c r="DL404" s="502"/>
      <c r="DM404" s="502"/>
      <c r="DN404" s="502"/>
      <c r="DO404" s="502"/>
      <c r="DP404" s="503"/>
      <c r="DQ404" s="503"/>
      <c r="DR404" s="296"/>
      <c r="DS404" s="296"/>
      <c r="DT404" s="296"/>
    </row>
    <row r="405" spans="1:124" ht="12" customHeight="1" x14ac:dyDescent="0.25">
      <c r="A405" s="465" t="s">
        <v>646</v>
      </c>
      <c r="B405" s="466"/>
      <c r="C405" s="467">
        <f t="shared" ref="C405:AF405" si="1001">C404/C401</f>
        <v>0.89355841848067519</v>
      </c>
      <c r="D405" s="467">
        <f t="shared" si="1001"/>
        <v>0.85421806532385758</v>
      </c>
      <c r="E405" s="467">
        <f t="shared" si="1001"/>
        <v>0.90133509389671351</v>
      </c>
      <c r="F405" s="467">
        <f t="shared" si="1001"/>
        <v>0.966757534454036</v>
      </c>
      <c r="G405" s="468">
        <f t="shared" si="1001"/>
        <v>0.89361479641853481</v>
      </c>
      <c r="H405" s="467">
        <f t="shared" si="1001"/>
        <v>0.90011299435028247</v>
      </c>
      <c r="I405" s="467">
        <f t="shared" si="1001"/>
        <v>0.89824400471759924</v>
      </c>
      <c r="J405" s="467">
        <f t="shared" si="1001"/>
        <v>0.97971694543252852</v>
      </c>
      <c r="K405" s="467">
        <f t="shared" si="1001"/>
        <v>1.0373326681632993</v>
      </c>
      <c r="L405" s="468">
        <f t="shared" si="1001"/>
        <v>0.94982985291109578</v>
      </c>
      <c r="M405" s="467">
        <f t="shared" si="1001"/>
        <v>0.92993046534729118</v>
      </c>
      <c r="N405" s="467">
        <f t="shared" si="1001"/>
        <v>0.95769907442821078</v>
      </c>
      <c r="O405" s="467">
        <f t="shared" si="1001"/>
        <v>0.93735718225514142</v>
      </c>
      <c r="P405" s="467">
        <f t="shared" si="1001"/>
        <v>1.0268075445337059</v>
      </c>
      <c r="Q405" s="468">
        <f t="shared" si="1001"/>
        <v>0.96107588016619294</v>
      </c>
      <c r="R405" s="467">
        <f t="shared" si="1001"/>
        <v>1.0361059557955121</v>
      </c>
      <c r="S405" s="467">
        <f t="shared" si="1001"/>
        <v>0.99416112342941609</v>
      </c>
      <c r="T405" s="467">
        <f t="shared" si="1001"/>
        <v>1.0857384680490902</v>
      </c>
      <c r="U405" s="467">
        <f t="shared" si="1001"/>
        <v>1.4584994242182656</v>
      </c>
      <c r="V405" s="468">
        <f t="shared" si="1001"/>
        <v>1.1348374855634382</v>
      </c>
      <c r="W405" s="467">
        <f t="shared" si="1001"/>
        <v>0.59300899262338735</v>
      </c>
      <c r="X405" s="467">
        <f t="shared" si="1001"/>
        <v>0.41252769405951839</v>
      </c>
      <c r="Y405" s="467">
        <f t="shared" si="1001"/>
        <v>0.38477614430585516</v>
      </c>
      <c r="Z405" s="467">
        <f t="shared" si="1001"/>
        <v>0.38434723774221596</v>
      </c>
      <c r="AA405" s="468">
        <f t="shared" si="1001"/>
        <v>0.42878745064351903</v>
      </c>
      <c r="AB405" s="467">
        <f t="shared" si="1001"/>
        <v>0.37887739017202376</v>
      </c>
      <c r="AC405" s="467">
        <f t="shared" si="1001"/>
        <v>0.39058186107402559</v>
      </c>
      <c r="AD405" s="467">
        <f t="shared" si="1001"/>
        <v>0.37118314115741174</v>
      </c>
      <c r="AE405" s="469">
        <f t="shared" si="1001"/>
        <v>0.37718676293970388</v>
      </c>
      <c r="AF405" s="470">
        <f t="shared" si="1001"/>
        <v>0.37963235042881061</v>
      </c>
      <c r="AG405" s="467">
        <f t="shared" ref="AG405:AT405" si="1002">AG404/AG401</f>
        <v>0.33164925274434592</v>
      </c>
      <c r="AH405" s="467">
        <f t="shared" si="1002"/>
        <v>0.33427113811988907</v>
      </c>
      <c r="AI405" s="467">
        <f t="shared" si="1002"/>
        <v>0.32857456618359165</v>
      </c>
      <c r="AJ405" s="469">
        <f t="shared" si="1002"/>
        <v>0.34587260057925084</v>
      </c>
      <c r="AK405" s="470">
        <f t="shared" si="1002"/>
        <v>0.33495947615777749</v>
      </c>
      <c r="AL405" s="467">
        <f t="shared" si="1002"/>
        <v>0.32487769141643325</v>
      </c>
      <c r="AM405" s="467">
        <f t="shared" si="1002"/>
        <v>0.30561196879881569</v>
      </c>
      <c r="AN405" s="467">
        <f t="shared" si="1002"/>
        <v>0.31762268328009058</v>
      </c>
      <c r="AO405" s="469">
        <f t="shared" si="1002"/>
        <v>0.32147360338868036</v>
      </c>
      <c r="AP405" s="471">
        <f>AP404/AP401</f>
        <v>0.31724764126852317</v>
      </c>
      <c r="AQ405" s="471">
        <f t="shared" si="1002"/>
        <v>0.29289511904150689</v>
      </c>
      <c r="AR405" s="469">
        <f t="shared" si="1002"/>
        <v>0.3101612828203954</v>
      </c>
      <c r="AS405" s="469">
        <f t="shared" si="1002"/>
        <v>0.32079202433026083</v>
      </c>
      <c r="AT405" s="469">
        <f t="shared" si="1002"/>
        <v>0.330911392911728</v>
      </c>
      <c r="AU405" s="1689">
        <f t="shared" ref="AU405:BJ405" si="1003">AU404/AU401</f>
        <v>0.31289786211051246</v>
      </c>
      <c r="AV405" s="1730">
        <f t="shared" si="1003"/>
        <v>0.30683730022420913</v>
      </c>
      <c r="AW405" s="1465">
        <f t="shared" si="1003"/>
        <v>0.30509040457338549</v>
      </c>
      <c r="AX405" s="1465">
        <f t="shared" si="1003"/>
        <v>0.3349636483517634</v>
      </c>
      <c r="AY405" s="1868">
        <f t="shared" si="1003"/>
        <v>0.32721577194322166</v>
      </c>
      <c r="AZ405" s="1689">
        <f t="shared" si="1003"/>
        <v>0.31786812981703538</v>
      </c>
      <c r="BA405" s="1730">
        <f t="shared" si="1003"/>
        <v>0.3318093261676045</v>
      </c>
      <c r="BB405" s="1465">
        <f t="shared" si="1003"/>
        <v>0.32905148517089011</v>
      </c>
      <c r="BC405" s="1465">
        <f t="shared" si="1003"/>
        <v>0.35037059977207119</v>
      </c>
      <c r="BD405" s="1868">
        <f t="shared" si="1003"/>
        <v>0.33770851972894833</v>
      </c>
      <c r="BE405" s="1868">
        <f t="shared" si="1003"/>
        <v>0.33718624073677522</v>
      </c>
      <c r="BF405" s="1465">
        <f t="shared" si="1003"/>
        <v>0.32028968226569238</v>
      </c>
      <c r="BG405" s="1465">
        <f t="shared" si="1003"/>
        <v>0.31613428881874778</v>
      </c>
      <c r="BH405" s="1465">
        <f t="shared" si="1003"/>
        <v>0.33951765269838874</v>
      </c>
      <c r="BI405" s="1868">
        <f t="shared" si="1003"/>
        <v>0.32884293349199417</v>
      </c>
      <c r="BJ405" s="1868">
        <f t="shared" si="1003"/>
        <v>0.32608567992158549</v>
      </c>
      <c r="BK405" s="1465">
        <f t="shared" ref="BK405:BU405" si="1004">BK404/BK401</f>
        <v>0.31555726062240697</v>
      </c>
      <c r="BL405" s="1465">
        <f t="shared" si="1004"/>
        <v>0.31358427606466321</v>
      </c>
      <c r="BM405" s="1465">
        <f t="shared" si="1004"/>
        <v>0.33631409232607951</v>
      </c>
      <c r="BN405" s="1465">
        <f t="shared" si="1004"/>
        <v>0.32984428819188505</v>
      </c>
      <c r="BO405" s="1689">
        <f t="shared" si="1004"/>
        <v>0.32365618204760871</v>
      </c>
      <c r="BP405" s="1465">
        <f t="shared" si="1004"/>
        <v>0.29653603037339554</v>
      </c>
      <c r="BQ405" s="1465">
        <f t="shared" si="1004"/>
        <v>0.30917078894547056</v>
      </c>
      <c r="BR405" s="1465">
        <f t="shared" si="1004"/>
        <v>0.33597818984651928</v>
      </c>
      <c r="BS405" s="1465">
        <f t="shared" si="1004"/>
        <v>0.32913520731220952</v>
      </c>
      <c r="BT405" s="470">
        <f t="shared" si="1004"/>
        <v>0.31729229989878249</v>
      </c>
      <c r="BU405" s="1465">
        <f t="shared" si="1004"/>
        <v>0.29943598677222899</v>
      </c>
      <c r="BV405" s="1465">
        <f t="shared" ref="BV405:CF405" si="1005">BV404/BV401</f>
        <v>0.30610969202521837</v>
      </c>
      <c r="BW405" s="1465">
        <f t="shared" si="1005"/>
        <v>0.33265167311536564</v>
      </c>
      <c r="BX405" s="1465">
        <f t="shared" si="1005"/>
        <v>0.32587644288337581</v>
      </c>
      <c r="BY405" s="470">
        <f t="shared" si="1005"/>
        <v>0.315767486071174</v>
      </c>
      <c r="BZ405" s="470">
        <f t="shared" si="1005"/>
        <v>0.30875043082514791</v>
      </c>
      <c r="CA405" s="470">
        <f t="shared" si="1005"/>
        <v>0.31183793513339936</v>
      </c>
      <c r="CB405" s="470">
        <f t="shared" si="1005"/>
        <v>0.31840294429410254</v>
      </c>
      <c r="CC405" s="470">
        <f t="shared" si="1005"/>
        <v>0.32510616417397842</v>
      </c>
      <c r="CD405" s="470">
        <f t="shared" si="1005"/>
        <v>0.3219188488389394</v>
      </c>
      <c r="CE405" s="470">
        <f t="shared" si="1005"/>
        <v>0.31876278169345956</v>
      </c>
      <c r="CF405" s="470">
        <f t="shared" si="1005"/>
        <v>0.31563765638273944</v>
      </c>
      <c r="CG405" s="492"/>
      <c r="CH405" s="492"/>
      <c r="CI405" s="492"/>
      <c r="CJ405" s="492"/>
      <c r="CK405" s="492"/>
      <c r="CL405" s="1310" t="str">
        <f t="shared" si="991"/>
        <v>% of Net revenue</v>
      </c>
      <c r="CM405" s="469">
        <f>G405</f>
        <v>0.89361479641853481</v>
      </c>
      <c r="CN405" s="469">
        <f>L405</f>
        <v>0.94982985291109578</v>
      </c>
      <c r="CO405" s="469">
        <f>Q405</f>
        <v>0.96107588016619294</v>
      </c>
      <c r="CP405" s="469">
        <f>V405</f>
        <v>1.1348374855634382</v>
      </c>
      <c r="CQ405" s="469">
        <f>AA405</f>
        <v>0.42878745064351903</v>
      </c>
      <c r="CR405" s="469">
        <f>AF405</f>
        <v>0.37963235042881061</v>
      </c>
      <c r="CS405" s="469">
        <f t="shared" si="992"/>
        <v>0.33495947615777749</v>
      </c>
      <c r="CT405" s="469">
        <f t="shared" si="993"/>
        <v>0.31724764126852317</v>
      </c>
      <c r="CU405" s="469">
        <f t="shared" si="994"/>
        <v>0.31289786211051246</v>
      </c>
      <c r="CV405" s="469">
        <f t="shared" si="995"/>
        <v>0.31786812981703538</v>
      </c>
      <c r="CW405" s="469">
        <f t="shared" si="996"/>
        <v>0.33718624073677522</v>
      </c>
      <c r="CX405" s="469">
        <f t="shared" si="997"/>
        <v>0.32608567992158549</v>
      </c>
      <c r="CY405" s="469">
        <f t="shared" si="998"/>
        <v>0.32365618204760871</v>
      </c>
      <c r="CZ405" s="469">
        <f t="shared" si="999"/>
        <v>0.31729229989878249</v>
      </c>
      <c r="DA405" s="469">
        <f t="shared" si="1000"/>
        <v>0.315767486071174</v>
      </c>
      <c r="DB405" s="469">
        <f t="shared" si="1000"/>
        <v>0.30875043082514791</v>
      </c>
      <c r="DC405" s="1463">
        <f t="shared" si="1000"/>
        <v>0.31183793513339936</v>
      </c>
      <c r="DD405" s="492"/>
      <c r="DE405" s="492"/>
      <c r="DF405" s="962"/>
      <c r="DG405" s="962"/>
      <c r="DH405" s="469"/>
      <c r="DI405" s="3213"/>
      <c r="DJ405" s="962"/>
      <c r="DK405" s="962"/>
      <c r="DL405" s="962"/>
      <c r="DM405" s="962"/>
      <c r="DN405" s="962"/>
      <c r="DO405" s="962"/>
      <c r="DP405" s="962"/>
      <c r="DQ405" s="962"/>
      <c r="DR405" s="963"/>
      <c r="DS405" s="963"/>
      <c r="DT405" s="963"/>
    </row>
    <row r="406" spans="1:124" ht="12" customHeight="1" x14ac:dyDescent="0.25">
      <c r="A406" s="465" t="s">
        <v>1491</v>
      </c>
      <c r="B406" s="466"/>
      <c r="C406" s="467" t="s">
        <v>553</v>
      </c>
      <c r="D406" s="467" t="s">
        <v>553</v>
      </c>
      <c r="E406" s="467" t="s">
        <v>553</v>
      </c>
      <c r="F406" s="467" t="s">
        <v>553</v>
      </c>
      <c r="G406" s="468" t="s">
        <v>553</v>
      </c>
      <c r="H406" s="467">
        <f t="shared" ref="H406:AF406" si="1006">(H404-C404)/C404</f>
        <v>-0.40593616386596404</v>
      </c>
      <c r="I406" s="467">
        <f t="shared" si="1006"/>
        <v>-0.40904388309337014</v>
      </c>
      <c r="J406" s="467">
        <f t="shared" si="1006"/>
        <v>5.3552535199804636E-2</v>
      </c>
      <c r="K406" s="467">
        <f t="shared" si="1006"/>
        <v>-2.2793138560350933E-2</v>
      </c>
      <c r="L406" s="468">
        <f t="shared" si="1006"/>
        <v>-0.252859608577363</v>
      </c>
      <c r="M406" s="467">
        <f t="shared" si="1006"/>
        <v>1.8495271570842756E-2</v>
      </c>
      <c r="N406" s="467">
        <f t="shared" si="1006"/>
        <v>-8.6731344372310171E-2</v>
      </c>
      <c r="O406" s="467">
        <f t="shared" si="1006"/>
        <v>-8.1035148706063945E-2</v>
      </c>
      <c r="P406" s="467">
        <f t="shared" si="1006"/>
        <v>-5.7470343058672553E-2</v>
      </c>
      <c r="Q406" s="468">
        <f t="shared" si="1006"/>
        <v>-5.3524931968127833E-2</v>
      </c>
      <c r="R406" s="467">
        <f t="shared" si="1006"/>
        <v>9.2029580936729746E-3</v>
      </c>
      <c r="S406" s="467">
        <f t="shared" si="1006"/>
        <v>7.4361022364217183E-2</v>
      </c>
      <c r="T406" s="467">
        <f t="shared" si="1006"/>
        <v>7.8345662407531824E-2</v>
      </c>
      <c r="U406" s="467">
        <f t="shared" si="1006"/>
        <v>0.40020409898800913</v>
      </c>
      <c r="V406" s="468">
        <f t="shared" si="1006"/>
        <v>0.13819422897921185</v>
      </c>
      <c r="W406" s="467">
        <f t="shared" si="1006"/>
        <v>0.90470703061390689</v>
      </c>
      <c r="X406" s="467">
        <f t="shared" si="1006"/>
        <v>0.89006443606423336</v>
      </c>
      <c r="Y406" s="467">
        <f t="shared" si="1006"/>
        <v>0.95510553960086886</v>
      </c>
      <c r="Z406" s="467">
        <f t="shared" si="1006"/>
        <v>0.36971411290616507</v>
      </c>
      <c r="AA406" s="468">
        <f t="shared" si="1006"/>
        <v>0.75279513703521883</v>
      </c>
      <c r="AB406" s="467">
        <f t="shared" si="1006"/>
        <v>0.18156188515866881</v>
      </c>
      <c r="AC406" s="467">
        <f t="shared" si="1006"/>
        <v>0.18525334187555242</v>
      </c>
      <c r="AD406" s="467">
        <f t="shared" si="1006"/>
        <v>8.7157015840041083E-2</v>
      </c>
      <c r="AE406" s="469">
        <f t="shared" si="1006"/>
        <v>0.15584443494033437</v>
      </c>
      <c r="AF406" s="470">
        <f t="shared" si="1006"/>
        <v>0.15197304695466415</v>
      </c>
      <c r="AG406" s="467">
        <f t="shared" ref="AG406:AM406" si="1007">(AG404-AB404)/AB404</f>
        <v>-9.2796932093628978E-2</v>
      </c>
      <c r="AH406" s="467">
        <f t="shared" si="1007"/>
        <v>-0.11283310656091299</v>
      </c>
      <c r="AI406" s="467">
        <f t="shared" si="1007"/>
        <v>2.0285125082519589E-2</v>
      </c>
      <c r="AJ406" s="467">
        <f t="shared" si="1007"/>
        <v>2.8502273422336882E-2</v>
      </c>
      <c r="AK406" s="470">
        <f t="shared" si="1007"/>
        <v>-4.2021987977354888E-2</v>
      </c>
      <c r="AL406" s="467">
        <f t="shared" si="1007"/>
        <v>7.3459323656085346E-2</v>
      </c>
      <c r="AM406" s="467">
        <f t="shared" si="1007"/>
        <v>-1.2011252777464562E-2</v>
      </c>
      <c r="AN406" s="538">
        <v>-0.04</v>
      </c>
      <c r="AO406" s="538">
        <v>-0.03</v>
      </c>
      <c r="AP406" s="471">
        <f>(AP404-AK404)/AK404</f>
        <v>-3.7213534431445043E-3</v>
      </c>
      <c r="AQ406" s="1667">
        <v>-0.04</v>
      </c>
      <c r="AR406" s="540">
        <v>-0.01</v>
      </c>
      <c r="AS406" s="540">
        <v>-0.01</v>
      </c>
      <c r="AT406" s="540">
        <v>-0.05</v>
      </c>
      <c r="AU406" s="1689">
        <f>(AU404-AP404)/AP404</f>
        <v>-2.7424881672976954E-2</v>
      </c>
      <c r="AV406" s="1667">
        <v>-0.02</v>
      </c>
      <c r="AW406" s="540">
        <v>-0.04</v>
      </c>
      <c r="AX406" s="540">
        <v>-0.03</v>
      </c>
      <c r="AY406" s="1668">
        <v>-7.4999999999999997E-2</v>
      </c>
      <c r="AZ406" s="1689">
        <f>(AZ404-AU404)/AU404</f>
        <v>-4.0809327245635442E-2</v>
      </c>
      <c r="BA406" s="1667">
        <v>-0.05</v>
      </c>
      <c r="BB406" s="540">
        <v>-0.03</v>
      </c>
      <c r="BC406" s="540">
        <v>-0.01</v>
      </c>
      <c r="BD406" s="1668">
        <v>0.03</v>
      </c>
      <c r="BE406" s="1868">
        <f>(BE404-AZ404)/AZ404</f>
        <v>-1.6074491427330785E-2</v>
      </c>
      <c r="BF406" s="540">
        <v>-0.02</v>
      </c>
      <c r="BG406" s="540">
        <v>-0.02</v>
      </c>
      <c r="BH406" s="540">
        <v>-0.02</v>
      </c>
      <c r="BI406" s="1668">
        <v>-0.02</v>
      </c>
      <c r="BJ406" s="1868">
        <f>(BJ404-BE404)/BE404</f>
        <v>-2.0000000000000108E-2</v>
      </c>
      <c r="BK406" s="540">
        <v>-0.04</v>
      </c>
      <c r="BL406" s="540">
        <v>-2.5000000000000001E-2</v>
      </c>
      <c r="BM406" s="540">
        <v>-0.03</v>
      </c>
      <c r="BN406" s="540">
        <v>-0.03</v>
      </c>
      <c r="BO406" s="1689">
        <f>(BO404-BJ404)/BJ404</f>
        <v>-3.1220928518733256E-2</v>
      </c>
      <c r="BP406" s="540">
        <v>-0.04</v>
      </c>
      <c r="BQ406" s="540">
        <v>-0.01</v>
      </c>
      <c r="BR406" s="540">
        <v>-0.01</v>
      </c>
      <c r="BS406" s="540">
        <v>-0.01</v>
      </c>
      <c r="BT406" s="470">
        <f>(BT404-BO404)/BO404</f>
        <v>-1.7347919691780848E-2</v>
      </c>
      <c r="BU406" s="540">
        <v>-0.01</v>
      </c>
      <c r="BV406" s="540">
        <v>0</v>
      </c>
      <c r="BW406" s="540">
        <v>0</v>
      </c>
      <c r="BX406" s="540">
        <v>0</v>
      </c>
      <c r="BY406" s="470">
        <f>(BY404-BT404)/BT404</f>
        <v>-2.3928451875177437E-3</v>
      </c>
      <c r="BZ406" s="539">
        <v>-0.01</v>
      </c>
      <c r="CA406" s="539">
        <v>0.01</v>
      </c>
      <c r="CB406" s="539">
        <v>-0.03</v>
      </c>
      <c r="CC406" s="539">
        <v>-0.03</v>
      </c>
      <c r="CD406" s="539">
        <v>0.01</v>
      </c>
      <c r="CE406" s="539">
        <v>0.01</v>
      </c>
      <c r="CF406" s="539">
        <v>0.01</v>
      </c>
      <c r="CG406" s="492"/>
      <c r="CH406" s="492"/>
      <c r="CI406" s="492"/>
      <c r="CJ406" s="492"/>
      <c r="CK406" s="492"/>
      <c r="CL406" s="1310" t="str">
        <f t="shared" si="991"/>
        <v>% growth (y-o-y)</v>
      </c>
      <c r="CM406" s="469" t="str">
        <f>G406</f>
        <v xml:space="preserve">n/a </v>
      </c>
      <c r="CN406" s="469">
        <f>L406</f>
        <v>-0.252859608577363</v>
      </c>
      <c r="CO406" s="469">
        <f>Q406</f>
        <v>-5.3524931968127833E-2</v>
      </c>
      <c r="CP406" s="469">
        <f>V406</f>
        <v>0.13819422897921185</v>
      </c>
      <c r="CQ406" s="469">
        <f>AA406</f>
        <v>0.75279513703521883</v>
      </c>
      <c r="CR406" s="469">
        <f>AF406</f>
        <v>0.15197304695466415</v>
      </c>
      <c r="CS406" s="469">
        <f t="shared" si="992"/>
        <v>-4.2021987977354888E-2</v>
      </c>
      <c r="CT406" s="469">
        <f t="shared" si="993"/>
        <v>-3.7213534431445043E-3</v>
      </c>
      <c r="CU406" s="469">
        <f t="shared" si="994"/>
        <v>-2.7424881672976954E-2</v>
      </c>
      <c r="CV406" s="469">
        <f t="shared" si="995"/>
        <v>-4.0809327245635442E-2</v>
      </c>
      <c r="CW406" s="469">
        <f t="shared" si="996"/>
        <v>-1.6074491427330785E-2</v>
      </c>
      <c r="CX406" s="469">
        <f t="shared" si="997"/>
        <v>-2.0000000000000108E-2</v>
      </c>
      <c r="CY406" s="469">
        <f t="shared" si="998"/>
        <v>-3.1220928518733256E-2</v>
      </c>
      <c r="CZ406" s="469">
        <f t="shared" si="999"/>
        <v>-1.7347919691780848E-2</v>
      </c>
      <c r="DA406" s="469">
        <f t="shared" si="1000"/>
        <v>-2.3928451875177437E-3</v>
      </c>
      <c r="DB406" s="469">
        <f t="shared" si="1000"/>
        <v>-0.01</v>
      </c>
      <c r="DC406" s="1463">
        <f t="shared" si="1000"/>
        <v>0.01</v>
      </c>
      <c r="DD406" s="492"/>
      <c r="DE406" s="492"/>
      <c r="DF406" s="962"/>
      <c r="DG406" s="962"/>
      <c r="DH406" s="469"/>
      <c r="DI406" s="3213"/>
      <c r="DJ406" s="962"/>
      <c r="DK406" s="962"/>
      <c r="DL406" s="962"/>
      <c r="DM406" s="962"/>
      <c r="DN406" s="962"/>
      <c r="DO406" s="962"/>
      <c r="DP406" s="962"/>
      <c r="DQ406" s="962"/>
      <c r="DR406" s="963"/>
      <c r="DS406" s="963"/>
      <c r="DT406" s="963"/>
    </row>
    <row r="407" spans="1:124" ht="12" customHeight="1" x14ac:dyDescent="0.25">
      <c r="A407" s="311" t="s">
        <v>2161</v>
      </c>
      <c r="B407" s="281"/>
      <c r="C407" s="446">
        <v>0</v>
      </c>
      <c r="D407" s="446">
        <v>0</v>
      </c>
      <c r="E407" s="446">
        <v>0</v>
      </c>
      <c r="F407" s="446">
        <v>0</v>
      </c>
      <c r="G407" s="447">
        <v>0</v>
      </c>
      <c r="H407" s="446">
        <v>0</v>
      </c>
      <c r="I407" s="446">
        <v>0</v>
      </c>
      <c r="J407" s="446">
        <v>0</v>
      </c>
      <c r="K407" s="446">
        <v>0</v>
      </c>
      <c r="L407" s="447">
        <v>0</v>
      </c>
      <c r="M407" s="446">
        <v>0</v>
      </c>
      <c r="N407" s="446">
        <v>0</v>
      </c>
      <c r="O407" s="446">
        <v>0</v>
      </c>
      <c r="P407" s="446">
        <v>0</v>
      </c>
      <c r="Q407" s="447">
        <v>0</v>
      </c>
      <c r="R407" s="446">
        <v>0</v>
      </c>
      <c r="S407" s="446">
        <v>0</v>
      </c>
      <c r="T407" s="446">
        <v>0</v>
      </c>
      <c r="U407" s="446">
        <v>0</v>
      </c>
      <c r="V407" s="447">
        <v>0</v>
      </c>
      <c r="W407" s="452">
        <f t="shared" ref="W407:AD407" si="1008">W408*W398</f>
        <v>14.460388249999994</v>
      </c>
      <c r="X407" s="452">
        <f t="shared" si="1008"/>
        <v>25.514743270500002</v>
      </c>
      <c r="Y407" s="452">
        <f t="shared" si="1008"/>
        <v>28.433906138000051</v>
      </c>
      <c r="Z407" s="452">
        <f t="shared" si="1008"/>
        <v>25.705657130999988</v>
      </c>
      <c r="AA407" s="475">
        <f t="shared" si="1008"/>
        <v>94.114694789500021</v>
      </c>
      <c r="AB407" s="476">
        <f t="shared" si="1008"/>
        <v>32.120000000000005</v>
      </c>
      <c r="AC407" s="476">
        <f t="shared" si="1008"/>
        <v>34.32</v>
      </c>
      <c r="AD407" s="476">
        <f t="shared" si="1008"/>
        <v>33.22</v>
      </c>
      <c r="AE407" s="476">
        <f>AE408*AE398</f>
        <v>31.075000000000003</v>
      </c>
      <c r="AF407" s="477">
        <f>SUM(AB407:AE407)</f>
        <v>130.73500000000001</v>
      </c>
      <c r="AG407" s="476">
        <f>(AG408*AG395)+(AG409*AG396)</f>
        <v>35.200000000000003</v>
      </c>
      <c r="AH407" s="476">
        <f>(AH408*AH395)+(AH409*AH396)</f>
        <v>36.354999999999997</v>
      </c>
      <c r="AI407" s="476">
        <f>(AI408*AI395)+(AI409*AI396)</f>
        <v>37.143905779500024</v>
      </c>
      <c r="AJ407" s="476">
        <f>(AJ408*AJ395)+(AJ409*AJ396)</f>
        <v>33.100031238699948</v>
      </c>
      <c r="AK407" s="477">
        <f>SUM(AG407:AJ407)</f>
        <v>141.79893701819998</v>
      </c>
      <c r="AL407" s="476">
        <f>(AL408*AL395)+(AL409*AL396)</f>
        <v>35.532934000000004</v>
      </c>
      <c r="AM407" s="476">
        <f>(AM408*AM395)+(AM409*AM396)</f>
        <v>36.786096820499949</v>
      </c>
      <c r="AN407" s="476">
        <f>(AN408*AN395)+(AN409*AN396)</f>
        <v>35.935754766000002</v>
      </c>
      <c r="AO407" s="476">
        <f>(AO408*AO395)+(AO409*AO396)</f>
        <v>34.804956206500002</v>
      </c>
      <c r="AP407" s="478">
        <f>SUM(AL407:AO407)</f>
        <v>143.05974179299997</v>
      </c>
      <c r="AQ407" s="478">
        <f>(AQ408*AQ395)+(AQ409*AQ396)</f>
        <v>37.441921948499974</v>
      </c>
      <c r="AR407" s="476">
        <f>(AR408*AR395)+(AR409*AR396)</f>
        <v>35.800703027999987</v>
      </c>
      <c r="AS407" s="476">
        <f>(AS408*AS395)+(AS409*AS396)</f>
        <v>35.241709460500005</v>
      </c>
      <c r="AT407" s="476">
        <f>(AT408*AT395)+(AT409*AT396)</f>
        <v>31.860374800000002</v>
      </c>
      <c r="AU407" s="1464">
        <f>SUM(AQ407:AT407)</f>
        <v>140.34470923699996</v>
      </c>
      <c r="AV407" s="1865">
        <f>(AV408*AV395)+(AV409*AV396)</f>
        <v>34.905794301000036</v>
      </c>
      <c r="AW407" s="1771">
        <f>(AW408*AW395)+(AW409*AW396)</f>
        <v>35.012036238500002</v>
      </c>
      <c r="AX407" s="1771">
        <f>(AX408*AX395)+(AX409*AX396)</f>
        <v>32.742749264000025</v>
      </c>
      <c r="AY407" s="1866">
        <f>(AY408*AY395)+(AY409*AY396)</f>
        <v>29.848703418500001</v>
      </c>
      <c r="AZ407" s="1464">
        <f>SUM(AV407:AY407)</f>
        <v>132.50928322200008</v>
      </c>
      <c r="BA407" s="1865">
        <f>(BA408*BA395)+(BA409*BA396)</f>
        <v>30.538990399500005</v>
      </c>
      <c r="BB407" s="1771">
        <f>(BB408*BB395)+(BB409*BB396)</f>
        <v>31.584591415999999</v>
      </c>
      <c r="BC407" s="1771">
        <f>(BC408*BC395)+(BC409*BC396)</f>
        <v>31.104378693499992</v>
      </c>
      <c r="BD407" s="1866">
        <f>(BD408*BD395)+(BD409*BD396)</f>
        <v>29.864861480500014</v>
      </c>
      <c r="BE407" s="1866">
        <f>SUM(BA407:BD407)</f>
        <v>123.09282198950001</v>
      </c>
      <c r="BF407" s="1771">
        <f>(BF408*BF395)+(BF409*BF396)</f>
        <v>30.955143533000001</v>
      </c>
      <c r="BG407" s="1771">
        <f>(BG408*BG395)+(BG409*BG396)</f>
        <v>31.917404629000035</v>
      </c>
      <c r="BH407" s="1771">
        <f>(BH408*BH395)+(BH409*BH396)</f>
        <v>31.291093099499953</v>
      </c>
      <c r="BI407" s="1866">
        <f>(BI408*BI395)+(BI409*BI396)</f>
        <v>29.887201119499966</v>
      </c>
      <c r="BJ407" s="1866">
        <f>SUM(BF407:BI407)</f>
        <v>124.05084238099995</v>
      </c>
      <c r="BK407" s="1771">
        <f>(BK408*BK395)+(BK409*BK396)</f>
        <v>30.385584841500023</v>
      </c>
      <c r="BL407" s="1771">
        <f>(BL408*BL395)+(BL409*BL396)</f>
        <v>31.486657240500012</v>
      </c>
      <c r="BM407" s="1771">
        <f>(BM408*BM395)+(BM409*BM396)</f>
        <v>30.471000000000004</v>
      </c>
      <c r="BN407" s="1771">
        <f>(BN408*BN395)+(BN409*BN396)</f>
        <v>28.586867533000007</v>
      </c>
      <c r="BO407" s="1464">
        <f>SUM(BK407:BN407)</f>
        <v>120.93010961500005</v>
      </c>
      <c r="BP407" s="1771">
        <f>(BP408*BP395)+(BP409*BP396)</f>
        <v>30.626977125300002</v>
      </c>
      <c r="BQ407" s="1771">
        <f>(BQ408*BQ395)+(BQ409*BQ396)</f>
        <v>31.419283559299984</v>
      </c>
      <c r="BR407" s="1771">
        <f>(BR408*BR395)+(BR409*BR396)</f>
        <v>30.19756321969998</v>
      </c>
      <c r="BS407" s="1771">
        <f>(BS408*BS395)+(BS409*BS396)</f>
        <v>28.435452738700011</v>
      </c>
      <c r="BT407" s="2604">
        <f>SUM(BP407:BS407)</f>
        <v>120.67927664299998</v>
      </c>
      <c r="BU407" s="1771">
        <f>(BU408*BU395)+(BU409*BU396)</f>
        <v>29.923882351100005</v>
      </c>
      <c r="BV407" s="1771">
        <f>(BV408*BV395)+(BV409*BV396)</f>
        <v>31.733476394892989</v>
      </c>
      <c r="BW407" s="1771">
        <f>(BW408*BW395)+(BW409*BW396)</f>
        <v>30.499538851896975</v>
      </c>
      <c r="BX407" s="1771">
        <f>(BX408*BX395)+(BX409*BX396)</f>
        <v>28.719807266087017</v>
      </c>
      <c r="BY407" s="2604">
        <f>SUM(BU407:BX407)</f>
        <v>120.87670486397698</v>
      </c>
      <c r="BZ407" s="477">
        <f t="shared" ref="BZ407:CF407" si="1009">(BZ408*BZ395)+(BZ409*BZ396)</f>
        <v>122.38766367477669</v>
      </c>
      <c r="CA407" s="477">
        <f t="shared" si="1009"/>
        <v>122.38766367477669</v>
      </c>
      <c r="CB407" s="477">
        <f t="shared" si="1009"/>
        <v>116.26828049103786</v>
      </c>
      <c r="CC407" s="477">
        <f t="shared" si="1009"/>
        <v>110.45486646648595</v>
      </c>
      <c r="CD407" s="477">
        <f t="shared" si="1009"/>
        <v>112.66396379581568</v>
      </c>
      <c r="CE407" s="477">
        <f t="shared" si="1009"/>
        <v>114.917243071732</v>
      </c>
      <c r="CF407" s="477">
        <f t="shared" si="1009"/>
        <v>117.21558793316663</v>
      </c>
      <c r="CG407" s="331"/>
      <c r="CH407" s="331"/>
      <c r="CI407" s="331"/>
      <c r="CJ407" s="331"/>
      <c r="CK407" s="331"/>
      <c r="CL407" s="528" t="str">
        <f t="shared" si="991"/>
        <v>Tax expense</v>
      </c>
      <c r="CM407" s="476">
        <f>G407</f>
        <v>0</v>
      </c>
      <c r="CN407" s="476">
        <f>L407</f>
        <v>0</v>
      </c>
      <c r="CO407" s="476">
        <f>Q407</f>
        <v>0</v>
      </c>
      <c r="CP407" s="476">
        <f>V407</f>
        <v>0</v>
      </c>
      <c r="CQ407" s="476">
        <f>AA407</f>
        <v>94.114694789500021</v>
      </c>
      <c r="CR407" s="476">
        <f>AF407</f>
        <v>130.73500000000001</v>
      </c>
      <c r="CS407" s="476">
        <f t="shared" si="992"/>
        <v>141.79893701819998</v>
      </c>
      <c r="CT407" s="476">
        <f t="shared" si="993"/>
        <v>143.05974179299997</v>
      </c>
      <c r="CU407" s="476">
        <f t="shared" si="994"/>
        <v>140.34470923699996</v>
      </c>
      <c r="CV407" s="476">
        <f t="shared" si="995"/>
        <v>132.50928322200008</v>
      </c>
      <c r="CW407" s="476">
        <f t="shared" si="996"/>
        <v>123.09282198950001</v>
      </c>
      <c r="CX407" s="476">
        <f t="shared" si="997"/>
        <v>124.05084238099995</v>
      </c>
      <c r="CY407" s="476">
        <f t="shared" si="998"/>
        <v>120.93010961500005</v>
      </c>
      <c r="CZ407" s="476">
        <f t="shared" si="999"/>
        <v>120.67927664299998</v>
      </c>
      <c r="DA407" s="476">
        <f t="shared" si="1000"/>
        <v>120.87670486397698</v>
      </c>
      <c r="DB407" s="476">
        <f t="shared" si="1000"/>
        <v>122.38766367477669</v>
      </c>
      <c r="DC407" s="682">
        <f t="shared" si="1000"/>
        <v>122.38766367477669</v>
      </c>
      <c r="DD407" s="331"/>
      <c r="DE407" s="331"/>
      <c r="DF407" s="502"/>
      <c r="DG407" s="503"/>
      <c r="DH407" s="2577"/>
      <c r="DI407" s="3213"/>
      <c r="DJ407" s="502"/>
      <c r="DK407" s="503"/>
      <c r="DL407" s="502"/>
      <c r="DM407" s="502"/>
      <c r="DN407" s="502"/>
      <c r="DO407" s="502"/>
      <c r="DP407" s="503"/>
      <c r="DQ407" s="503"/>
      <c r="DR407" s="296"/>
      <c r="DS407" s="296"/>
      <c r="DT407" s="296"/>
    </row>
    <row r="408" spans="1:124" ht="12" customHeight="1" x14ac:dyDescent="0.25">
      <c r="A408" s="465" t="s">
        <v>64</v>
      </c>
      <c r="B408" s="466"/>
      <c r="C408" s="446"/>
      <c r="D408" s="446"/>
      <c r="E408" s="446"/>
      <c r="F408" s="446"/>
      <c r="G408" s="447"/>
      <c r="H408" s="446"/>
      <c r="I408" s="446"/>
      <c r="J408" s="446"/>
      <c r="K408" s="446"/>
      <c r="L408" s="447"/>
      <c r="M408" s="446"/>
      <c r="N408" s="446"/>
      <c r="O408" s="446"/>
      <c r="P408" s="446"/>
      <c r="Q408" s="447"/>
      <c r="R408" s="446"/>
      <c r="S408" s="446"/>
      <c r="T408" s="446"/>
      <c r="U408" s="446"/>
      <c r="V408" s="455"/>
      <c r="W408" s="469">
        <v>0.55000000000000004</v>
      </c>
      <c r="X408" s="469">
        <f>W408</f>
        <v>0.55000000000000004</v>
      </c>
      <c r="Y408" s="469">
        <f>X408</f>
        <v>0.55000000000000004</v>
      </c>
      <c r="Z408" s="469">
        <f>Y408</f>
        <v>0.55000000000000004</v>
      </c>
      <c r="AA408" s="470">
        <f>AVERAGE(W408:Z408)</f>
        <v>0.55000000000000004</v>
      </c>
      <c r="AB408" s="469">
        <f>AA408</f>
        <v>0.55000000000000004</v>
      </c>
      <c r="AC408" s="469">
        <f>AB408</f>
        <v>0.55000000000000004</v>
      </c>
      <c r="AD408" s="469">
        <f>AC408</f>
        <v>0.55000000000000004</v>
      </c>
      <c r="AE408" s="469">
        <f>AD408</f>
        <v>0.55000000000000004</v>
      </c>
      <c r="AF408" s="470">
        <f>AVERAGE(AB408:AE408)</f>
        <v>0.55000000000000004</v>
      </c>
      <c r="AG408" s="469">
        <f>AE408</f>
        <v>0.55000000000000004</v>
      </c>
      <c r="AH408" s="469">
        <f>AG408</f>
        <v>0.55000000000000004</v>
      </c>
      <c r="AI408" s="469">
        <f>AH408</f>
        <v>0.55000000000000004</v>
      </c>
      <c r="AJ408" s="469">
        <f>AI408</f>
        <v>0.55000000000000004</v>
      </c>
      <c r="AK408" s="470">
        <f>AVERAGE(AG408:AJ408)</f>
        <v>0.55000000000000004</v>
      </c>
      <c r="AL408" s="469">
        <f>AJ408</f>
        <v>0.55000000000000004</v>
      </c>
      <c r="AM408" s="469">
        <f>AK408</f>
        <v>0.55000000000000004</v>
      </c>
      <c r="AN408" s="469">
        <f>AM408</f>
        <v>0.55000000000000004</v>
      </c>
      <c r="AO408" s="469">
        <f>AN408</f>
        <v>0.55000000000000004</v>
      </c>
      <c r="AP408" s="471">
        <f>AVERAGE(AL408:AO408)</f>
        <v>0.55000000000000004</v>
      </c>
      <c r="AQ408" s="471">
        <f t="shared" ref="AQ408:AT409" si="1010">AP408</f>
        <v>0.55000000000000004</v>
      </c>
      <c r="AR408" s="469">
        <f t="shared" si="1010"/>
        <v>0.55000000000000004</v>
      </c>
      <c r="AS408" s="469">
        <f t="shared" si="1010"/>
        <v>0.55000000000000004</v>
      </c>
      <c r="AT408" s="469">
        <f t="shared" si="1010"/>
        <v>0.55000000000000004</v>
      </c>
      <c r="AU408" s="1689">
        <f>AVERAGE(AQ408:AT408)</f>
        <v>0.55000000000000004</v>
      </c>
      <c r="AV408" s="1730">
        <f t="shared" ref="AV408:AY409" si="1011">AU408</f>
        <v>0.55000000000000004</v>
      </c>
      <c r="AW408" s="1465">
        <f t="shared" si="1011"/>
        <v>0.55000000000000004</v>
      </c>
      <c r="AX408" s="1465">
        <f t="shared" si="1011"/>
        <v>0.55000000000000004</v>
      </c>
      <c r="AY408" s="1868">
        <f t="shared" si="1011"/>
        <v>0.55000000000000004</v>
      </c>
      <c r="AZ408" s="1689">
        <f>AVERAGE(AV408:AY408)</f>
        <v>0.55000000000000004</v>
      </c>
      <c r="BA408" s="1730">
        <f t="shared" ref="BA408:BD409" si="1012">AZ408</f>
        <v>0.55000000000000004</v>
      </c>
      <c r="BB408" s="1465">
        <f>BA408</f>
        <v>0.55000000000000004</v>
      </c>
      <c r="BC408" s="1465">
        <f t="shared" si="1012"/>
        <v>0.55000000000000004</v>
      </c>
      <c r="BD408" s="1868">
        <f t="shared" si="1012"/>
        <v>0.55000000000000004</v>
      </c>
      <c r="BE408" s="1868">
        <f>AVERAGE(BA408:BD408)</f>
        <v>0.55000000000000004</v>
      </c>
      <c r="BF408" s="1465">
        <f>BD408</f>
        <v>0.55000000000000004</v>
      </c>
      <c r="BG408" s="1465">
        <f t="shared" ref="BG408:BI409" si="1013">BF408</f>
        <v>0.55000000000000004</v>
      </c>
      <c r="BH408" s="1465">
        <f t="shared" si="1013"/>
        <v>0.55000000000000004</v>
      </c>
      <c r="BI408" s="1868">
        <f t="shared" si="1013"/>
        <v>0.55000000000000004</v>
      </c>
      <c r="BJ408" s="1868">
        <f>AVERAGE(BF408:BI408)</f>
        <v>0.55000000000000004</v>
      </c>
      <c r="BK408" s="1465">
        <f t="shared" ref="BK408:BN409" si="1014">BJ408</f>
        <v>0.55000000000000004</v>
      </c>
      <c r="BL408" s="1465">
        <f>BK408</f>
        <v>0.55000000000000004</v>
      </c>
      <c r="BM408" s="1465">
        <f t="shared" si="1014"/>
        <v>0.55000000000000004</v>
      </c>
      <c r="BN408" s="1868">
        <f t="shared" si="1014"/>
        <v>0.55000000000000004</v>
      </c>
      <c r="BO408" s="1868">
        <f>AVERAGE(BK408:BN408)</f>
        <v>0.55000000000000004</v>
      </c>
      <c r="BP408" s="1465">
        <f t="shared" ref="BP408:BS409" si="1015">BO408</f>
        <v>0.55000000000000004</v>
      </c>
      <c r="BQ408" s="1465">
        <f t="shared" si="1015"/>
        <v>0.55000000000000004</v>
      </c>
      <c r="BR408" s="1465">
        <f t="shared" si="1015"/>
        <v>0.55000000000000004</v>
      </c>
      <c r="BS408" s="1465">
        <f t="shared" si="1015"/>
        <v>0.55000000000000004</v>
      </c>
      <c r="BT408" s="470">
        <f>AVERAGE(BP408:BS408)</f>
        <v>0.55000000000000004</v>
      </c>
      <c r="BU408" s="1465">
        <f t="shared" ref="BU408:BX409" si="1016">BT408</f>
        <v>0.55000000000000004</v>
      </c>
      <c r="BV408" s="1465">
        <f t="shared" si="1016"/>
        <v>0.55000000000000004</v>
      </c>
      <c r="BW408" s="1465">
        <f t="shared" si="1016"/>
        <v>0.55000000000000004</v>
      </c>
      <c r="BX408" s="1465">
        <f t="shared" si="1016"/>
        <v>0.55000000000000004</v>
      </c>
      <c r="BY408" s="470">
        <f>AVERAGE(BU408:BX408)</f>
        <v>0.55000000000000004</v>
      </c>
      <c r="BZ408" s="470">
        <f>BY408</f>
        <v>0.55000000000000004</v>
      </c>
      <c r="CA408" s="470">
        <f>BZ408</f>
        <v>0.55000000000000004</v>
      </c>
      <c r="CB408" s="470">
        <f t="shared" ref="CB408:CF409" si="1017">CA408</f>
        <v>0.55000000000000004</v>
      </c>
      <c r="CC408" s="470">
        <f t="shared" si="1017"/>
        <v>0.55000000000000004</v>
      </c>
      <c r="CD408" s="470">
        <f t="shared" si="1017"/>
        <v>0.55000000000000004</v>
      </c>
      <c r="CE408" s="470">
        <f t="shared" si="1017"/>
        <v>0.55000000000000004</v>
      </c>
      <c r="CF408" s="470">
        <f t="shared" si="1017"/>
        <v>0.55000000000000004</v>
      </c>
      <c r="CG408" s="492"/>
      <c r="CH408" s="492"/>
      <c r="CI408" s="492"/>
      <c r="CJ408" s="492"/>
      <c r="CK408" s="492"/>
      <c r="CL408" s="1310" t="str">
        <f t="shared" si="991"/>
        <v>% of slot revenue</v>
      </c>
      <c r="CM408" s="469"/>
      <c r="CN408" s="469"/>
      <c r="CO408" s="469"/>
      <c r="CP408" s="469"/>
      <c r="CQ408" s="469">
        <f>AA408</f>
        <v>0.55000000000000004</v>
      </c>
      <c r="CR408" s="469">
        <f>AF408</f>
        <v>0.55000000000000004</v>
      </c>
      <c r="CS408" s="469">
        <f t="shared" si="992"/>
        <v>0.55000000000000004</v>
      </c>
      <c r="CT408" s="469">
        <f t="shared" si="993"/>
        <v>0.55000000000000004</v>
      </c>
      <c r="CU408" s="469">
        <f t="shared" si="994"/>
        <v>0.55000000000000004</v>
      </c>
      <c r="CV408" s="469">
        <f t="shared" si="995"/>
        <v>0.55000000000000004</v>
      </c>
      <c r="CW408" s="469">
        <f t="shared" si="996"/>
        <v>0.55000000000000004</v>
      </c>
      <c r="CX408" s="469">
        <f t="shared" si="997"/>
        <v>0.55000000000000004</v>
      </c>
      <c r="CY408" s="469">
        <f t="shared" si="998"/>
        <v>0.55000000000000004</v>
      </c>
      <c r="CZ408" s="469">
        <f t="shared" si="999"/>
        <v>0.55000000000000004</v>
      </c>
      <c r="DA408" s="469">
        <f t="shared" si="1000"/>
        <v>0.55000000000000004</v>
      </c>
      <c r="DB408" s="469">
        <f t="shared" si="1000"/>
        <v>0.55000000000000004</v>
      </c>
      <c r="DC408" s="1463">
        <f t="shared" si="1000"/>
        <v>0.55000000000000004</v>
      </c>
      <c r="DD408" s="492"/>
      <c r="DE408" s="492"/>
      <c r="DF408" s="962"/>
      <c r="DG408" s="962"/>
      <c r="DH408" s="469"/>
      <c r="DI408" s="3213"/>
      <c r="DJ408" s="962"/>
      <c r="DK408" s="962"/>
      <c r="DL408" s="962"/>
      <c r="DM408" s="962"/>
      <c r="DN408" s="962"/>
      <c r="DO408" s="962"/>
      <c r="DP408" s="962"/>
      <c r="DQ408" s="962"/>
      <c r="DR408" s="963"/>
      <c r="DS408" s="963"/>
      <c r="DT408" s="963"/>
    </row>
    <row r="409" spans="1:124" ht="12" customHeight="1" x14ac:dyDescent="0.25">
      <c r="A409" s="465" t="s">
        <v>1341</v>
      </c>
      <c r="B409" s="466"/>
      <c r="C409" s="454"/>
      <c r="D409" s="454"/>
      <c r="E409" s="454"/>
      <c r="F409" s="454"/>
      <c r="G409" s="455"/>
      <c r="H409" s="454"/>
      <c r="I409" s="454"/>
      <c r="J409" s="454"/>
      <c r="K409" s="454"/>
      <c r="L409" s="455"/>
      <c r="M409" s="454"/>
      <c r="N409" s="454"/>
      <c r="O409" s="454"/>
      <c r="P409" s="454"/>
      <c r="Q409" s="455"/>
      <c r="R409" s="454"/>
      <c r="S409" s="454"/>
      <c r="T409" s="454"/>
      <c r="U409" s="454"/>
      <c r="V409" s="455"/>
      <c r="W409" s="469"/>
      <c r="X409" s="469"/>
      <c r="Y409" s="469"/>
      <c r="Z409" s="469"/>
      <c r="AA409" s="470"/>
      <c r="AB409" s="469"/>
      <c r="AC409" s="469"/>
      <c r="AD409" s="469"/>
      <c r="AE409" s="469"/>
      <c r="AF409" s="470"/>
      <c r="AG409" s="469"/>
      <c r="AH409" s="469"/>
      <c r="AI409" s="540">
        <v>0.16</v>
      </c>
      <c r="AJ409" s="540">
        <v>0.16</v>
      </c>
      <c r="AK409" s="470">
        <f>AJ409</f>
        <v>0.16</v>
      </c>
      <c r="AL409" s="540">
        <v>0.16</v>
      </c>
      <c r="AM409" s="540">
        <v>0.16</v>
      </c>
      <c r="AN409" s="469">
        <f>AM409</f>
        <v>0.16</v>
      </c>
      <c r="AO409" s="469">
        <f>AN409</f>
        <v>0.16</v>
      </c>
      <c r="AP409" s="471">
        <f>AO409</f>
        <v>0.16</v>
      </c>
      <c r="AQ409" s="471">
        <f t="shared" si="1010"/>
        <v>0.16</v>
      </c>
      <c r="AR409" s="469">
        <f t="shared" si="1010"/>
        <v>0.16</v>
      </c>
      <c r="AS409" s="469">
        <f t="shared" si="1010"/>
        <v>0.16</v>
      </c>
      <c r="AT409" s="469">
        <f t="shared" si="1010"/>
        <v>0.16</v>
      </c>
      <c r="AU409" s="1689">
        <f>AT409</f>
        <v>0.16</v>
      </c>
      <c r="AV409" s="1730">
        <f t="shared" si="1011"/>
        <v>0.16</v>
      </c>
      <c r="AW409" s="1465">
        <f t="shared" si="1011"/>
        <v>0.16</v>
      </c>
      <c r="AX409" s="1465">
        <f t="shared" si="1011"/>
        <v>0.16</v>
      </c>
      <c r="AY409" s="1868">
        <f t="shared" si="1011"/>
        <v>0.16</v>
      </c>
      <c r="AZ409" s="1689">
        <f>AY409</f>
        <v>0.16</v>
      </c>
      <c r="BA409" s="1730">
        <f t="shared" si="1012"/>
        <v>0.16</v>
      </c>
      <c r="BB409" s="1465">
        <f>BA409</f>
        <v>0.16</v>
      </c>
      <c r="BC409" s="1465">
        <f t="shared" si="1012"/>
        <v>0.16</v>
      </c>
      <c r="BD409" s="1868">
        <f t="shared" si="1012"/>
        <v>0.16</v>
      </c>
      <c r="BE409" s="1868">
        <f>BD409</f>
        <v>0.16</v>
      </c>
      <c r="BF409" s="1465">
        <f>BD409</f>
        <v>0.16</v>
      </c>
      <c r="BG409" s="1465">
        <f t="shared" si="1013"/>
        <v>0.16</v>
      </c>
      <c r="BH409" s="1465">
        <f t="shared" si="1013"/>
        <v>0.16</v>
      </c>
      <c r="BI409" s="1868">
        <f t="shared" si="1013"/>
        <v>0.16</v>
      </c>
      <c r="BJ409" s="1868">
        <f>BI409</f>
        <v>0.16</v>
      </c>
      <c r="BK409" s="1465">
        <f t="shared" si="1014"/>
        <v>0.16</v>
      </c>
      <c r="BL409" s="1465">
        <f>BK409</f>
        <v>0.16</v>
      </c>
      <c r="BM409" s="1465">
        <f t="shared" si="1014"/>
        <v>0.16</v>
      </c>
      <c r="BN409" s="1868">
        <f t="shared" si="1014"/>
        <v>0.16</v>
      </c>
      <c r="BO409" s="1868">
        <f>BN409</f>
        <v>0.16</v>
      </c>
      <c r="BP409" s="1465">
        <f t="shared" si="1015"/>
        <v>0.16</v>
      </c>
      <c r="BQ409" s="1465">
        <f t="shared" si="1015"/>
        <v>0.16</v>
      </c>
      <c r="BR409" s="1465">
        <f t="shared" si="1015"/>
        <v>0.16</v>
      </c>
      <c r="BS409" s="1465">
        <f t="shared" si="1015"/>
        <v>0.16</v>
      </c>
      <c r="BT409" s="470">
        <f>BS409</f>
        <v>0.16</v>
      </c>
      <c r="BU409" s="1465">
        <f t="shared" si="1016"/>
        <v>0.16</v>
      </c>
      <c r="BV409" s="1465">
        <f t="shared" si="1016"/>
        <v>0.16</v>
      </c>
      <c r="BW409" s="1465">
        <f t="shared" si="1016"/>
        <v>0.16</v>
      </c>
      <c r="BX409" s="1465">
        <f t="shared" si="1016"/>
        <v>0.16</v>
      </c>
      <c r="BY409" s="470">
        <f>BX409</f>
        <v>0.16</v>
      </c>
      <c r="BZ409" s="470">
        <f>BY409</f>
        <v>0.16</v>
      </c>
      <c r="CA409" s="470">
        <f>BZ409</f>
        <v>0.16</v>
      </c>
      <c r="CB409" s="470">
        <f t="shared" si="1017"/>
        <v>0.16</v>
      </c>
      <c r="CC409" s="470">
        <f t="shared" si="1017"/>
        <v>0.16</v>
      </c>
      <c r="CD409" s="470">
        <f t="shared" si="1017"/>
        <v>0.16</v>
      </c>
      <c r="CE409" s="470">
        <f t="shared" si="1017"/>
        <v>0.16</v>
      </c>
      <c r="CF409" s="470">
        <f t="shared" si="1017"/>
        <v>0.16</v>
      </c>
      <c r="CG409" s="492"/>
      <c r="CH409" s="492"/>
      <c r="CI409" s="492"/>
      <c r="CJ409" s="492"/>
      <c r="CK409" s="492"/>
      <c r="CL409" s="1310" t="str">
        <f t="shared" si="991"/>
        <v>% of table revenue</v>
      </c>
      <c r="CM409" s="469"/>
      <c r="CN409" s="469"/>
      <c r="CO409" s="469"/>
      <c r="CP409" s="469"/>
      <c r="CQ409" s="469"/>
      <c r="CR409" s="469"/>
      <c r="CS409" s="469">
        <f t="shared" si="992"/>
        <v>0.16</v>
      </c>
      <c r="CT409" s="469">
        <f t="shared" si="993"/>
        <v>0.16</v>
      </c>
      <c r="CU409" s="469">
        <f t="shared" si="994"/>
        <v>0.16</v>
      </c>
      <c r="CV409" s="469">
        <f t="shared" si="995"/>
        <v>0.16</v>
      </c>
      <c r="CW409" s="469">
        <f t="shared" si="996"/>
        <v>0.16</v>
      </c>
      <c r="CX409" s="469">
        <f t="shared" si="997"/>
        <v>0.16</v>
      </c>
      <c r="CY409" s="469">
        <f t="shared" si="998"/>
        <v>0.16</v>
      </c>
      <c r="CZ409" s="469">
        <f t="shared" si="999"/>
        <v>0.16</v>
      </c>
      <c r="DA409" s="469">
        <f t="shared" si="1000"/>
        <v>0.16</v>
      </c>
      <c r="DB409" s="469">
        <f t="shared" si="1000"/>
        <v>0.16</v>
      </c>
      <c r="DC409" s="1463">
        <f t="shared" si="1000"/>
        <v>0.16</v>
      </c>
      <c r="DD409" s="492"/>
      <c r="DE409" s="492"/>
      <c r="DF409" s="962"/>
      <c r="DG409" s="962"/>
      <c r="DH409" s="469"/>
      <c r="DI409" s="3213"/>
      <c r="DJ409" s="962"/>
      <c r="DK409" s="962"/>
      <c r="DL409" s="962"/>
      <c r="DM409" s="962"/>
      <c r="DN409" s="962"/>
      <c r="DO409" s="962"/>
      <c r="DP409" s="962"/>
      <c r="DQ409" s="962"/>
      <c r="DR409" s="963"/>
      <c r="DS409" s="963"/>
      <c r="DT409" s="963"/>
    </row>
    <row r="410" spans="1:124" ht="12" customHeight="1" x14ac:dyDescent="0.25">
      <c r="A410" s="311" t="s">
        <v>2162</v>
      </c>
      <c r="B410" s="281"/>
      <c r="C410" s="452">
        <f>C401-C412</f>
        <v>20.114000000000001</v>
      </c>
      <c r="D410" s="452">
        <f>D401-D412</f>
        <v>23.198</v>
      </c>
      <c r="E410" s="452">
        <f>E401-E412</f>
        <v>12.286999999999999</v>
      </c>
      <c r="F410" s="452">
        <f>F401-F412</f>
        <v>12.766999999999999</v>
      </c>
      <c r="G410" s="475">
        <f>SUM(C410:F410)</f>
        <v>68.366</v>
      </c>
      <c r="H410" s="452">
        <f>H401-H412</f>
        <v>11.949</v>
      </c>
      <c r="I410" s="452">
        <f>I401-I412</f>
        <v>13.709</v>
      </c>
      <c r="J410" s="452">
        <f>J401-J412</f>
        <v>12.944999999999999</v>
      </c>
      <c r="K410" s="452">
        <f>K401-K412</f>
        <v>12.475999999999999</v>
      </c>
      <c r="L410" s="475">
        <f>SUM(H410:K410)</f>
        <v>51.079000000000001</v>
      </c>
      <c r="M410" s="452">
        <f>M401-M412</f>
        <v>12.17</v>
      </c>
      <c r="N410" s="452">
        <f>N401-N412</f>
        <v>12.52</v>
      </c>
      <c r="O410" s="452">
        <f>O401-O412</f>
        <v>11.896000000000001</v>
      </c>
      <c r="P410" s="452">
        <f>P401-P412</f>
        <v>11.759</v>
      </c>
      <c r="Q410" s="475">
        <f>SUM(M410:P410)</f>
        <v>48.344999999999999</v>
      </c>
      <c r="R410" s="452">
        <f>R401-R412</f>
        <v>12.282</v>
      </c>
      <c r="S410" s="452">
        <f>S401-S412</f>
        <v>13.450999999999999</v>
      </c>
      <c r="T410" s="452">
        <f>T401-T412</f>
        <v>12.827999999999999</v>
      </c>
      <c r="U410" s="452">
        <f>U401-U412</f>
        <v>16.465</v>
      </c>
      <c r="V410" s="475">
        <f>SUM(R410:U410)</f>
        <v>55.025999999999996</v>
      </c>
      <c r="W410" s="452">
        <f>W401-W412</f>
        <v>37.853999999999999</v>
      </c>
      <c r="X410" s="452">
        <f>X401-X412</f>
        <v>50.938000000000002</v>
      </c>
      <c r="Y410" s="452">
        <f>Y401-Y412</f>
        <v>53.513999999999996</v>
      </c>
      <c r="Z410" s="452">
        <f>Z401-Z412</f>
        <v>48.257999999999996</v>
      </c>
      <c r="AA410" s="475">
        <f>SUM(W410:Z410)</f>
        <v>190.56399999999996</v>
      </c>
      <c r="AB410" s="452">
        <f>AB401-AB412</f>
        <v>59.760999999999996</v>
      </c>
      <c r="AC410" s="452">
        <f>AC401-AC412</f>
        <v>64.453000000000003</v>
      </c>
      <c r="AD410" s="452">
        <f>AD401-AD412</f>
        <v>60.48599999999999</v>
      </c>
      <c r="AE410" s="452">
        <f>AE401-AE412</f>
        <v>57.141999999999996</v>
      </c>
      <c r="AF410" s="477">
        <f>SUM(AB410:AE410)</f>
        <v>241.84199999999998</v>
      </c>
      <c r="AG410" s="452">
        <f>AG401-AG412</f>
        <v>60.275999999999996</v>
      </c>
      <c r="AH410" s="452">
        <f>AH401-AH412</f>
        <v>63.088000000000008</v>
      </c>
      <c r="AI410" s="452">
        <f>AI401-AI412</f>
        <v>64.962999999999994</v>
      </c>
      <c r="AJ410" s="452">
        <f>AJ401-AJ412</f>
        <v>59.91</v>
      </c>
      <c r="AK410" s="477">
        <f>SUM(AG410:AJ410)</f>
        <v>248.23699999999999</v>
      </c>
      <c r="AL410" s="452">
        <f>AL401-AL412</f>
        <v>62.450999999999993</v>
      </c>
      <c r="AM410" s="452">
        <f>AM401-AM412</f>
        <v>63.198</v>
      </c>
      <c r="AN410" s="476">
        <f>AN404+AN407</f>
        <v>62.642085217679977</v>
      </c>
      <c r="AO410" s="476">
        <f>AO404+AO407</f>
        <v>60.810625904961043</v>
      </c>
      <c r="AP410" s="478">
        <f>SUM(AL410:AO410)</f>
        <v>249.10171112264101</v>
      </c>
      <c r="AQ410" s="478">
        <f>AQ404+AQ407</f>
        <v>63.283265308499963</v>
      </c>
      <c r="AR410" s="476">
        <f>AR404+AR407</f>
        <v>61.94848717570504</v>
      </c>
      <c r="AS410" s="476">
        <f>AS404+AS407</f>
        <v>61.680976607663176</v>
      </c>
      <c r="AT410" s="476">
        <f>AT404+AT407</f>
        <v>56.565761013537994</v>
      </c>
      <c r="AU410" s="1464">
        <f>SUM(AQ410:AT410)</f>
        <v>243.47849010540619</v>
      </c>
      <c r="AV410" s="1865">
        <f>AV404+AV407</f>
        <v>60.23031079380003</v>
      </c>
      <c r="AW410" s="1771">
        <f>AW404+AW407</f>
        <v>60.113909020296845</v>
      </c>
      <c r="AX410" s="1771">
        <f>AX404+AX407</f>
        <v>58.388838396748298</v>
      </c>
      <c r="AY410" s="1866">
        <f>AY404+AY407</f>
        <v>52.701185666022646</v>
      </c>
      <c r="AZ410" s="1464">
        <f>SUM(AV410:AY410)</f>
        <v>231.43424387686781</v>
      </c>
      <c r="BA410" s="1865">
        <f>BA404+BA407</f>
        <v>54.597281067659992</v>
      </c>
      <c r="BB410" s="1771">
        <f>BB404+BB407</f>
        <v>55.933408014342938</v>
      </c>
      <c r="BC410" s="1771">
        <f>BC404+BC407</f>
        <v>56.49400693492079</v>
      </c>
      <c r="BD410" s="1866">
        <f>BD404+BD407</f>
        <v>53.402918195448336</v>
      </c>
      <c r="BE410" s="1866">
        <f>SUM(BA410:BD410)</f>
        <v>220.42761421237205</v>
      </c>
      <c r="BF410" s="1771">
        <f>BF404+BF407</f>
        <v>54.53226838779679</v>
      </c>
      <c r="BG410" s="1771">
        <f>BG404+BG407</f>
        <v>55.779244895376117</v>
      </c>
      <c r="BH410" s="1771">
        <f>BH404+BH407</f>
        <v>56.172928776092334</v>
      </c>
      <c r="BI410" s="1866">
        <f>BI404+BI407</f>
        <v>52.954496700149321</v>
      </c>
      <c r="BJ410" s="1866">
        <f>SUM(BF410:BI410)</f>
        <v>219.43893875941455</v>
      </c>
      <c r="BK410" s="1771">
        <f>BK404+BK407</f>
        <v>53.019624702104942</v>
      </c>
      <c r="BL410" s="1771">
        <f>BL404+BL407</f>
        <v>54.751951500216691</v>
      </c>
      <c r="BM410" s="1771">
        <f>BM404+BM407</f>
        <v>54.606380606294607</v>
      </c>
      <c r="BN410" s="1866">
        <f>BN404+BN407</f>
        <v>50.962144246229883</v>
      </c>
      <c r="BO410" s="1866">
        <f>SUM(BK410:BN410)</f>
        <v>213.34010105484612</v>
      </c>
      <c r="BP410" s="1771">
        <f>BP404+BP407</f>
        <v>52.355655391480724</v>
      </c>
      <c r="BQ410" s="1771">
        <f>BQ404+BQ407</f>
        <v>54.451924876419497</v>
      </c>
      <c r="BR410" s="1771">
        <f>BR404+BR407</f>
        <v>54.091590019931644</v>
      </c>
      <c r="BS410" s="1771">
        <f>BS404+BS407</f>
        <v>50.586976684797591</v>
      </c>
      <c r="BT410" s="2604">
        <f>SUM(BP410:BS410)</f>
        <v>211.48614697262946</v>
      </c>
      <c r="BU410" s="1771">
        <f>BU404+BU407</f>
        <v>51.435273834618918</v>
      </c>
      <c r="BV410" s="1771">
        <f>BV404+BV407</f>
        <v>54.766117712012502</v>
      </c>
      <c r="BW410" s="1771">
        <f>BW404+BW407</f>
        <v>54.393565652128636</v>
      </c>
      <c r="BX410" s="1771">
        <f>BX404+BX407</f>
        <v>50.871331212184593</v>
      </c>
      <c r="BY410" s="2604">
        <f>SUM(BU410:BX410)</f>
        <v>211.46628841094466</v>
      </c>
      <c r="BZ410" s="477">
        <f t="shared" ref="BZ410:CF410" si="1018">BZ404+BZ407</f>
        <v>212.07135138627467</v>
      </c>
      <c r="CA410" s="477">
        <f t="shared" si="1018"/>
        <v>212.96818826338966</v>
      </c>
      <c r="CB410" s="477">
        <f t="shared" si="1018"/>
        <v>204.13138934199245</v>
      </c>
      <c r="CC410" s="477">
        <f t="shared" si="1018"/>
        <v>195.68208205191189</v>
      </c>
      <c r="CD410" s="477">
        <f t="shared" si="1018"/>
        <v>198.74345153709589</v>
      </c>
      <c r="CE410" s="477">
        <f t="shared" si="1018"/>
        <v>201.85752569042501</v>
      </c>
      <c r="CF410" s="477">
        <f t="shared" si="1018"/>
        <v>205.02527337804656</v>
      </c>
      <c r="CG410" s="331"/>
      <c r="CH410" s="331"/>
      <c r="CI410" s="331"/>
      <c r="CJ410" s="331"/>
      <c r="CK410" s="331"/>
      <c r="CL410" s="528" t="str">
        <f t="shared" si="991"/>
        <v>Total expenses</v>
      </c>
      <c r="CM410" s="476">
        <f>G410</f>
        <v>68.366</v>
      </c>
      <c r="CN410" s="476">
        <f>L410</f>
        <v>51.079000000000001</v>
      </c>
      <c r="CO410" s="476">
        <f>Q410</f>
        <v>48.344999999999999</v>
      </c>
      <c r="CP410" s="476">
        <f>V410</f>
        <v>55.025999999999996</v>
      </c>
      <c r="CQ410" s="476">
        <f>AA410</f>
        <v>190.56399999999996</v>
      </c>
      <c r="CR410" s="476">
        <f>AF410</f>
        <v>241.84199999999998</v>
      </c>
      <c r="CS410" s="476">
        <f t="shared" si="992"/>
        <v>248.23699999999999</v>
      </c>
      <c r="CT410" s="476">
        <f t="shared" si="993"/>
        <v>249.10171112264101</v>
      </c>
      <c r="CU410" s="476">
        <f t="shared" si="994"/>
        <v>243.47849010540619</v>
      </c>
      <c r="CV410" s="476">
        <f t="shared" si="995"/>
        <v>231.43424387686781</v>
      </c>
      <c r="CW410" s="476">
        <f t="shared" si="996"/>
        <v>220.42761421237205</v>
      </c>
      <c r="CX410" s="476">
        <f t="shared" si="997"/>
        <v>219.43893875941455</v>
      </c>
      <c r="CY410" s="476">
        <f t="shared" si="998"/>
        <v>213.34010105484612</v>
      </c>
      <c r="CZ410" s="476">
        <f t="shared" si="999"/>
        <v>211.48614697262946</v>
      </c>
      <c r="DA410" s="476">
        <f t="shared" si="1000"/>
        <v>211.46628841094466</v>
      </c>
      <c r="DB410" s="476">
        <f t="shared" si="1000"/>
        <v>212.07135138627467</v>
      </c>
      <c r="DC410" s="682">
        <f t="shared" si="1000"/>
        <v>212.96818826338966</v>
      </c>
      <c r="DD410" s="331"/>
      <c r="DE410" s="331"/>
      <c r="DF410" s="502"/>
      <c r="DG410" s="503"/>
      <c r="DH410" s="2577"/>
      <c r="DI410" s="3213"/>
      <c r="DJ410" s="502"/>
      <c r="DK410" s="503"/>
      <c r="DL410" s="502"/>
      <c r="DM410" s="502"/>
      <c r="DN410" s="502"/>
      <c r="DO410" s="502"/>
      <c r="DP410" s="503"/>
      <c r="DQ410" s="503"/>
      <c r="DR410" s="296"/>
      <c r="DS410" s="296"/>
      <c r="DT410" s="296"/>
    </row>
    <row r="411" spans="1:124" ht="5.0999999999999996" customHeight="1" x14ac:dyDescent="0.25">
      <c r="A411" s="281"/>
      <c r="B411" s="281"/>
      <c r="C411" s="305"/>
      <c r="D411" s="305"/>
      <c r="E411" s="305"/>
      <c r="F411" s="305"/>
      <c r="G411" s="440"/>
      <c r="H411" s="305"/>
      <c r="I411" s="305"/>
      <c r="J411" s="305"/>
      <c r="K411" s="305"/>
      <c r="L411" s="440"/>
      <c r="M411" s="305"/>
      <c r="N411" s="305"/>
      <c r="O411" s="305"/>
      <c r="P411" s="305"/>
      <c r="Q411" s="440"/>
      <c r="R411" s="305"/>
      <c r="S411" s="305"/>
      <c r="T411" s="305"/>
      <c r="U411" s="305"/>
      <c r="V411" s="440"/>
      <c r="W411" s="305"/>
      <c r="X411" s="305"/>
      <c r="Y411" s="305"/>
      <c r="Z411" s="305"/>
      <c r="AA411" s="440"/>
      <c r="AB411" s="305"/>
      <c r="AC411" s="305"/>
      <c r="AD411" s="305"/>
      <c r="AE411" s="331"/>
      <c r="AF411" s="441"/>
      <c r="AG411" s="305"/>
      <c r="AH411" s="305"/>
      <c r="AI411" s="305"/>
      <c r="AJ411" s="331"/>
      <c r="AK411" s="441"/>
      <c r="AL411" s="305"/>
      <c r="AM411" s="305"/>
      <c r="AN411" s="305"/>
      <c r="AO411" s="331"/>
      <c r="AP411" s="569"/>
      <c r="AQ411" s="569"/>
      <c r="AR411" s="442"/>
      <c r="AS411" s="442"/>
      <c r="AT411" s="442"/>
      <c r="AU411" s="1690"/>
      <c r="AV411" s="1902"/>
      <c r="AW411" s="1837"/>
      <c r="AX411" s="1837"/>
      <c r="AY411" s="1903"/>
      <c r="AZ411" s="1690"/>
      <c r="BA411" s="1902"/>
      <c r="BB411" s="1837"/>
      <c r="BC411" s="1837"/>
      <c r="BD411" s="1903"/>
      <c r="BE411" s="1903"/>
      <c r="BF411" s="1837"/>
      <c r="BG411" s="1837"/>
      <c r="BH411" s="1837"/>
      <c r="BI411" s="1903"/>
      <c r="BJ411" s="1903"/>
      <c r="BK411" s="1837"/>
      <c r="BL411" s="1837"/>
      <c r="BM411" s="1837"/>
      <c r="BN411" s="1903"/>
      <c r="BO411" s="1903"/>
      <c r="BP411" s="1837"/>
      <c r="BQ411" s="1837"/>
      <c r="BR411" s="1837"/>
      <c r="BS411" s="1837"/>
      <c r="BT411" s="3236"/>
      <c r="BU411" s="1837"/>
      <c r="BV411" s="1837"/>
      <c r="BW411" s="1837"/>
      <c r="BX411" s="1837"/>
      <c r="BY411" s="3236"/>
      <c r="BZ411" s="441"/>
      <c r="CA411" s="441"/>
      <c r="CB411" s="441"/>
      <c r="CC411" s="441"/>
      <c r="CD411" s="441"/>
      <c r="CE411" s="441"/>
      <c r="CF411" s="441"/>
      <c r="CG411" s="331"/>
      <c r="CH411" s="331"/>
      <c r="CI411" s="331"/>
      <c r="CJ411" s="331"/>
      <c r="CK411" s="331"/>
      <c r="CL411" s="520"/>
      <c r="CM411" s="442"/>
      <c r="CN411" s="442"/>
      <c r="CO411" s="442"/>
      <c r="CP411" s="442"/>
      <c r="CQ411" s="442"/>
      <c r="CR411" s="442"/>
      <c r="CS411" s="442"/>
      <c r="CT411" s="442"/>
      <c r="CU411" s="442"/>
      <c r="CV411" s="442"/>
      <c r="CW411" s="442"/>
      <c r="CX411" s="442"/>
      <c r="CY411" s="442"/>
      <c r="CZ411" s="442"/>
      <c r="DA411" s="442"/>
      <c r="DB411" s="442"/>
      <c r="DC411" s="1312"/>
      <c r="DD411" s="331"/>
      <c r="DE411" s="331"/>
      <c r="DF411" s="502"/>
      <c r="DG411" s="503"/>
      <c r="DH411" s="3298"/>
      <c r="DI411" s="3213"/>
      <c r="DJ411" s="502"/>
      <c r="DK411" s="503"/>
      <c r="DL411" s="502"/>
      <c r="DM411" s="502"/>
      <c r="DN411" s="502"/>
      <c r="DO411" s="502"/>
      <c r="DP411" s="503"/>
      <c r="DQ411" s="503"/>
      <c r="DR411" s="296"/>
      <c r="DS411" s="296"/>
      <c r="DT411" s="296"/>
    </row>
    <row r="412" spans="1:124" ht="12" customHeight="1" x14ac:dyDescent="0.25">
      <c r="A412" s="999" t="s">
        <v>2010</v>
      </c>
      <c r="B412" s="1007"/>
      <c r="C412" s="1008">
        <v>2.3959999999999999</v>
      </c>
      <c r="D412" s="1008">
        <v>3.9590000000000001</v>
      </c>
      <c r="E412" s="1008">
        <v>1.345</v>
      </c>
      <c r="F412" s="1008">
        <v>0.439</v>
      </c>
      <c r="G412" s="1009">
        <f>SUM(C412:F412)</f>
        <v>8.1389999999999993</v>
      </c>
      <c r="H412" s="1008">
        <v>1.3260000000000001</v>
      </c>
      <c r="I412" s="1008">
        <v>1.5529999999999999</v>
      </c>
      <c r="J412" s="1008">
        <v>0.26800000000000002</v>
      </c>
      <c r="K412" s="1008">
        <v>-0.44900000000000001</v>
      </c>
      <c r="L412" s="1009">
        <f>SUM(H412:K412)</f>
        <v>2.6980000000000004</v>
      </c>
      <c r="M412" s="1008">
        <v>0.91700000000000004</v>
      </c>
      <c r="N412" s="1008">
        <v>0.55300000000000005</v>
      </c>
      <c r="O412" s="1008">
        <v>0.79500000000000004</v>
      </c>
      <c r="P412" s="1008">
        <v>-0.307</v>
      </c>
      <c r="Q412" s="1009">
        <f>SUM(M412:P412)</f>
        <v>1.9580000000000002</v>
      </c>
      <c r="R412" s="1008">
        <v>-0.42799999999999999</v>
      </c>
      <c r="S412" s="1008">
        <v>7.9000000000000001E-2</v>
      </c>
      <c r="T412" s="1008">
        <v>-1.0129999999999999</v>
      </c>
      <c r="U412" s="1008">
        <v>-5.1760000000000002</v>
      </c>
      <c r="V412" s="1009">
        <f>SUM(R412:U412)</f>
        <v>-6.5380000000000003</v>
      </c>
      <c r="W412" s="1008">
        <v>1.595</v>
      </c>
      <c r="X412" s="1008">
        <v>10.69</v>
      </c>
      <c r="Y412" s="1008">
        <v>11.667</v>
      </c>
      <c r="Z412" s="1008">
        <v>10.419</v>
      </c>
      <c r="AA412" s="1009">
        <f>SUM(W412:Z412)</f>
        <v>34.370999999999995</v>
      </c>
      <c r="AB412" s="1008">
        <v>13.194000000000001</v>
      </c>
      <c r="AC412" s="1008">
        <v>12.696</v>
      </c>
      <c r="AD412" s="1008">
        <v>12.971</v>
      </c>
      <c r="AE412" s="1010">
        <v>11.967000000000001</v>
      </c>
      <c r="AF412" s="1011">
        <f>SUM(AB412:AE412)</f>
        <v>50.828000000000003</v>
      </c>
      <c r="AG412" s="1010">
        <v>15.334</v>
      </c>
      <c r="AH412" s="1010">
        <v>16.885999999999999</v>
      </c>
      <c r="AI412" s="1010">
        <v>19.702999999999999</v>
      </c>
      <c r="AJ412" s="1010">
        <v>17.603999999999999</v>
      </c>
      <c r="AK412" s="1011">
        <f>SUM(AG412:AJ412)</f>
        <v>69.527000000000001</v>
      </c>
      <c r="AL412" s="1010">
        <v>20.405000000000001</v>
      </c>
      <c r="AM412" s="1010">
        <v>23.225000000000001</v>
      </c>
      <c r="AN412" s="1593">
        <f>AN401-AN410</f>
        <v>21.439851802319978</v>
      </c>
      <c r="AO412" s="1012">
        <f>AO401-AO410</f>
        <v>20.084568675038952</v>
      </c>
      <c r="AP412" s="1013">
        <f>SUM(AL412:AO412)</f>
        <v>85.15442047735894</v>
      </c>
      <c r="AQ412" s="1013">
        <f>AQ401-AQ410</f>
        <v>24.944027261499983</v>
      </c>
      <c r="AR412" s="1012">
        <f>AR401-AR410</f>
        <v>22.355343108767968</v>
      </c>
      <c r="AS412" s="1012">
        <f>AS401-AS410</f>
        <v>20.737740635579435</v>
      </c>
      <c r="AT412" s="1012">
        <f>AT401-AT410</f>
        <v>18.092853778030261</v>
      </c>
      <c r="AU412" s="1691">
        <f>SUM(AQ412:AT412)</f>
        <v>86.129964783877639</v>
      </c>
      <c r="AV412" s="1904">
        <f>AV401-AV410</f>
        <v>22.303711224693515</v>
      </c>
      <c r="AW412" s="1838">
        <f>AW401-AW410</f>
        <v>22.162925667104545</v>
      </c>
      <c r="AX412" s="1838">
        <f>AX401-AX410</f>
        <v>18.174959671918344</v>
      </c>
      <c r="AY412" s="1905">
        <f>AY401-AY410</f>
        <v>17.137997548801117</v>
      </c>
      <c r="AZ412" s="1691">
        <f>SUM(AV412:AY412)</f>
        <v>79.779594112517515</v>
      </c>
      <c r="BA412" s="1904">
        <f>BA401-BA410</f>
        <v>17.909091631483477</v>
      </c>
      <c r="BB412" s="1838">
        <f>BB401-BB410</f>
        <v>18.063573296036459</v>
      </c>
      <c r="BC412" s="1838">
        <f>BC401-BC410</f>
        <v>15.971057936211864</v>
      </c>
      <c r="BD412" s="1905">
        <f>BD401-BD410</f>
        <v>16.296409301057949</v>
      </c>
      <c r="BE412" s="1905">
        <f>SUM(BA412:BD412)</f>
        <v>68.240132164789742</v>
      </c>
      <c r="BF412" s="1838">
        <f>BF401-BF410</f>
        <v>19.079609110144816</v>
      </c>
      <c r="BG412" s="1838">
        <f>BG401-BG410</f>
        <v>19.70083148462394</v>
      </c>
      <c r="BH412" s="1838">
        <f>BH401-BH410</f>
        <v>17.112909173241661</v>
      </c>
      <c r="BI412" s="1905">
        <f>BI401-BI410</f>
        <v>17.192352239850607</v>
      </c>
      <c r="BJ412" s="1905">
        <f>SUM(BF412:BI412)</f>
        <v>73.085702007861016</v>
      </c>
      <c r="BK412" s="1838">
        <f>BK401-BK410</f>
        <v>18.707578836046601</v>
      </c>
      <c r="BL412" s="1838">
        <f>BL401-BL410</f>
        <v>19.439569043113153</v>
      </c>
      <c r="BM412" s="1838">
        <f>BM401-BM410</f>
        <v>17.158024029160586</v>
      </c>
      <c r="BN412" s="1905">
        <f>BN401-BN410</f>
        <v>16.873733209417267</v>
      </c>
      <c r="BO412" s="1905">
        <f>SUM(BK412:BN412)</f>
        <v>72.1789051177376</v>
      </c>
      <c r="BP412" s="1838">
        <f>BP401-BP410</f>
        <v>20.919346768695775</v>
      </c>
      <c r="BQ412" s="1838">
        <f>BQ401-BQ410</f>
        <v>20.046191183250855</v>
      </c>
      <c r="BR412" s="1838">
        <f>BR401-BR410</f>
        <v>17.026201319877856</v>
      </c>
      <c r="BS412" s="1838">
        <f>BS401-BS410</f>
        <v>16.715224519965005</v>
      </c>
      <c r="BT412" s="1011">
        <f>SUM(BP412:BS412)</f>
        <v>74.706963791789491</v>
      </c>
      <c r="BU412" s="1838">
        <f>BU401-BU410</f>
        <v>20.40442624752891</v>
      </c>
      <c r="BV412" s="1838">
        <f>BV401-BV410</f>
        <v>20.476979508254558</v>
      </c>
      <c r="BW412" s="1838">
        <f>BW401-BW410</f>
        <v>17.435403601078953</v>
      </c>
      <c r="BX412" s="1838">
        <f>BX401-BX410</f>
        <v>17.103892004625628</v>
      </c>
      <c r="BY412" s="1011">
        <f>SUM(BU412:BX412)</f>
        <v>75.420701361488057</v>
      </c>
      <c r="BZ412" s="1011">
        <f t="shared" ref="BZ412:CF412" si="1019">BZ401-BZ410</f>
        <v>78.401725758313432</v>
      </c>
      <c r="CA412" s="1011">
        <f t="shared" si="1019"/>
        <v>77.50488888119844</v>
      </c>
      <c r="CB412" s="1011">
        <f t="shared" si="1019"/>
        <v>71.818033945366238</v>
      </c>
      <c r="CC412" s="1011">
        <f t="shared" si="1019"/>
        <v>66.469870071078844</v>
      </c>
      <c r="CD412" s="1011">
        <f t="shared" si="1019"/>
        <v>68.651539628354669</v>
      </c>
      <c r="CE412" s="1011">
        <f t="shared" si="1019"/>
        <v>70.885365298334591</v>
      </c>
      <c r="CF412" s="1011">
        <f t="shared" si="1019"/>
        <v>73.172475430488191</v>
      </c>
      <c r="CG412" s="502"/>
      <c r="CH412" s="502"/>
      <c r="CI412" s="502"/>
      <c r="CJ412" s="502"/>
      <c r="CK412" s="502"/>
      <c r="CL412" s="2221" t="str">
        <f t="shared" ref="CL412:CL417" si="1020">A412</f>
        <v>Property EBITDA</v>
      </c>
      <c r="CM412" s="1012">
        <f t="shared" ref="CM412:CM417" si="1021">G412</f>
        <v>8.1389999999999993</v>
      </c>
      <c r="CN412" s="1012">
        <f t="shared" ref="CN412:CN417" si="1022">L412</f>
        <v>2.6980000000000004</v>
      </c>
      <c r="CO412" s="1012">
        <f t="shared" ref="CO412:CO417" si="1023">Q412</f>
        <v>1.9580000000000002</v>
      </c>
      <c r="CP412" s="1012">
        <f t="shared" ref="CP412:CP417" si="1024">V412</f>
        <v>-6.5380000000000003</v>
      </c>
      <c r="CQ412" s="1012">
        <f t="shared" ref="CQ412:CQ417" si="1025">AA412</f>
        <v>34.370999999999995</v>
      </c>
      <c r="CR412" s="1012">
        <f t="shared" ref="CR412:CR417" si="1026">AF412</f>
        <v>50.828000000000003</v>
      </c>
      <c r="CS412" s="1012">
        <f t="shared" ref="CS412:CS417" si="1027">AK412</f>
        <v>69.527000000000001</v>
      </c>
      <c r="CT412" s="1012">
        <f t="shared" ref="CT412:CT417" si="1028">AP412</f>
        <v>85.15442047735894</v>
      </c>
      <c r="CU412" s="1012">
        <f t="shared" ref="CU412:CU417" si="1029">AU412</f>
        <v>86.129964783877639</v>
      </c>
      <c r="CV412" s="1012">
        <f t="shared" ref="CV412:CV417" si="1030">AZ412</f>
        <v>79.779594112517515</v>
      </c>
      <c r="CW412" s="1012">
        <f t="shared" ref="CW412:CW417" si="1031">BE412</f>
        <v>68.240132164789742</v>
      </c>
      <c r="CX412" s="1012">
        <f t="shared" ref="CX412:CX417" si="1032">BJ412</f>
        <v>73.085702007861016</v>
      </c>
      <c r="CY412" s="1012">
        <f t="shared" ref="CY412:CY417" si="1033">BO412</f>
        <v>72.1789051177376</v>
      </c>
      <c r="CZ412" s="1012">
        <f t="shared" ref="CZ412:CZ417" si="1034">BT412</f>
        <v>74.706963791789491</v>
      </c>
      <c r="DA412" s="1012">
        <f t="shared" ref="DA412:DC417" si="1035">BY412</f>
        <v>75.420701361488057</v>
      </c>
      <c r="DB412" s="1012">
        <f t="shared" si="1035"/>
        <v>78.401725758313432</v>
      </c>
      <c r="DC412" s="1877">
        <f t="shared" si="1035"/>
        <v>77.50488888119844</v>
      </c>
      <c r="DD412" s="502"/>
      <c r="DE412" s="502"/>
      <c r="DF412" s="502"/>
      <c r="DG412" s="503"/>
      <c r="DH412" s="598"/>
      <c r="DI412" s="3213"/>
      <c r="DJ412" s="502"/>
      <c r="DK412" s="503"/>
      <c r="DL412" s="502"/>
      <c r="DM412" s="502"/>
      <c r="DN412" s="502"/>
      <c r="DO412" s="502"/>
      <c r="DP412" s="503"/>
      <c r="DQ412" s="503"/>
      <c r="DR412" s="719"/>
      <c r="DS412" s="719"/>
      <c r="DT412" s="719"/>
    </row>
    <row r="413" spans="1:124" ht="12" customHeight="1" x14ac:dyDescent="0.25">
      <c r="A413" s="465" t="s">
        <v>1892</v>
      </c>
      <c r="B413" s="466"/>
      <c r="C413" s="467">
        <f>C412/C401</f>
        <v>0.10644158151932473</v>
      </c>
      <c r="D413" s="467">
        <f t="shared" ref="D413:AF413" si="1036">D412/D401</f>
        <v>0.14578193467614242</v>
      </c>
      <c r="E413" s="467">
        <f t="shared" si="1036"/>
        <v>9.866490610328639E-2</v>
      </c>
      <c r="F413" s="467">
        <f t="shared" si="1036"/>
        <v>3.324246554596396E-2</v>
      </c>
      <c r="G413" s="468">
        <f t="shared" si="1036"/>
        <v>0.10638520358146526</v>
      </c>
      <c r="H413" s="467">
        <f t="shared" si="1036"/>
        <v>9.9887005649717517E-2</v>
      </c>
      <c r="I413" s="467">
        <f t="shared" si="1036"/>
        <v>0.10175599528240073</v>
      </c>
      <c r="J413" s="467">
        <f t="shared" si="1036"/>
        <v>2.0283054567471433E-2</v>
      </c>
      <c r="K413" s="467">
        <f t="shared" si="1036"/>
        <v>-3.7332668163299249E-2</v>
      </c>
      <c r="L413" s="468">
        <f t="shared" si="1036"/>
        <v>5.0170147088904188E-2</v>
      </c>
      <c r="M413" s="467">
        <f t="shared" si="1036"/>
        <v>7.0069534652708793E-2</v>
      </c>
      <c r="N413" s="467">
        <f t="shared" si="1036"/>
        <v>4.2300925571789189E-2</v>
      </c>
      <c r="O413" s="467">
        <f t="shared" si="1036"/>
        <v>6.2642817744858567E-2</v>
      </c>
      <c r="P413" s="467">
        <f t="shared" si="1036"/>
        <v>-2.6807544533705902E-2</v>
      </c>
      <c r="Q413" s="468">
        <f t="shared" si="1036"/>
        <v>3.8924119833807135E-2</v>
      </c>
      <c r="R413" s="467">
        <f t="shared" si="1036"/>
        <v>-3.6105955795512068E-2</v>
      </c>
      <c r="S413" s="467">
        <f t="shared" si="1036"/>
        <v>5.8388765705838881E-3</v>
      </c>
      <c r="T413" s="467">
        <f t="shared" si="1036"/>
        <v>-8.5738468049090133E-2</v>
      </c>
      <c r="U413" s="467">
        <f t="shared" si="1036"/>
        <v>-0.45849942421826562</v>
      </c>
      <c r="V413" s="468">
        <f t="shared" si="1036"/>
        <v>-0.13483748556343839</v>
      </c>
      <c r="W413" s="467">
        <f t="shared" si="1036"/>
        <v>4.0431950112803872E-2</v>
      </c>
      <c r="X413" s="467">
        <f t="shared" si="1036"/>
        <v>0.17346011553190108</v>
      </c>
      <c r="Y413" s="467">
        <f t="shared" si="1036"/>
        <v>0.17899387858425</v>
      </c>
      <c r="Z413" s="467">
        <f t="shared" si="1036"/>
        <v>0.17756531520016361</v>
      </c>
      <c r="AA413" s="468">
        <f t="shared" si="1036"/>
        <v>0.15280414341921</v>
      </c>
      <c r="AB413" s="467">
        <f t="shared" si="1036"/>
        <v>0.18085120964978413</v>
      </c>
      <c r="AC413" s="467">
        <f t="shared" si="1036"/>
        <v>0.16456467355377258</v>
      </c>
      <c r="AD413" s="467">
        <f t="shared" si="1036"/>
        <v>0.17657949548715576</v>
      </c>
      <c r="AE413" s="469">
        <f t="shared" si="1036"/>
        <v>0.17316123804424896</v>
      </c>
      <c r="AF413" s="470">
        <f t="shared" si="1036"/>
        <v>0.17367000375849936</v>
      </c>
      <c r="AG413" s="467">
        <f t="shared" ref="AG413:AU413" si="1037">AG412/AG401</f>
        <v>0.20280386192302605</v>
      </c>
      <c r="AH413" s="467">
        <f t="shared" si="1037"/>
        <v>0.21114362167704501</v>
      </c>
      <c r="AI413" s="467">
        <f t="shared" si="1037"/>
        <v>0.23271443082228993</v>
      </c>
      <c r="AJ413" s="469">
        <f t="shared" si="1037"/>
        <v>0.2271073612508708</v>
      </c>
      <c r="AK413" s="470">
        <f t="shared" si="1037"/>
        <v>0.21880074520713486</v>
      </c>
      <c r="AL413" s="467">
        <f t="shared" si="1037"/>
        <v>0.24627063821569956</v>
      </c>
      <c r="AM413" s="467">
        <f t="shared" si="1037"/>
        <v>0.26873633176353517</v>
      </c>
      <c r="AN413" s="467">
        <f t="shared" si="1037"/>
        <v>0.25498760568777379</v>
      </c>
      <c r="AO413" s="469">
        <f t="shared" si="1037"/>
        <v>0.24827888454086902</v>
      </c>
      <c r="AP413" s="471">
        <f t="shared" si="1037"/>
        <v>0.25475799073526689</v>
      </c>
      <c r="AQ413" s="471">
        <f t="shared" si="1037"/>
        <v>0.28272461428768514</v>
      </c>
      <c r="AR413" s="469">
        <f t="shared" si="1037"/>
        <v>0.26517588860829439</v>
      </c>
      <c r="AS413" s="469">
        <f t="shared" si="1037"/>
        <v>0.25161445517740927</v>
      </c>
      <c r="AT413" s="469">
        <f t="shared" si="1037"/>
        <v>0.24234113944575381</v>
      </c>
      <c r="AU413" s="1689">
        <f t="shared" si="1037"/>
        <v>0.26130993761312604</v>
      </c>
      <c r="AV413" s="1730">
        <f t="shared" ref="AV413:BJ413" si="1038">AV412/AV401</f>
        <v>0.27023657249728944</v>
      </c>
      <c r="AW413" s="1465">
        <f t="shared" si="1038"/>
        <v>0.26937017875455815</v>
      </c>
      <c r="AX413" s="1465">
        <f t="shared" si="1038"/>
        <v>0.23738320368613422</v>
      </c>
      <c r="AY413" s="1868">
        <f t="shared" si="1038"/>
        <v>0.24539229641453594</v>
      </c>
      <c r="AZ413" s="1689">
        <f t="shared" si="1038"/>
        <v>0.25634976461181197</v>
      </c>
      <c r="BA413" s="1730">
        <f t="shared" si="1038"/>
        <v>0.2470002423896602</v>
      </c>
      <c r="BB413" s="1465">
        <f t="shared" si="1038"/>
        <v>0.24411229993652081</v>
      </c>
      <c r="BC413" s="1465">
        <f t="shared" si="1038"/>
        <v>0.22039665547272738</v>
      </c>
      <c r="BD413" s="1868">
        <f t="shared" si="1038"/>
        <v>0.23381013686071525</v>
      </c>
      <c r="BE413" s="1868">
        <f t="shared" si="1038"/>
        <v>0.23639680227949644</v>
      </c>
      <c r="BF413" s="1465">
        <f t="shared" si="1038"/>
        <v>0.25919199127448334</v>
      </c>
      <c r="BG413" s="1465">
        <f t="shared" si="1038"/>
        <v>0.26100704224835769</v>
      </c>
      <c r="BH413" s="1465">
        <f t="shared" si="1038"/>
        <v>0.23350908786869073</v>
      </c>
      <c r="BI413" s="1868">
        <f t="shared" si="1038"/>
        <v>0.24509087007680241</v>
      </c>
      <c r="BJ413" s="1868">
        <f t="shared" si="1038"/>
        <v>0.24984460049642779</v>
      </c>
      <c r="BK413" s="1465">
        <f t="shared" ref="BK413:BU413" si="1039">BK412/BK401</f>
        <v>0.26081567262128214</v>
      </c>
      <c r="BL413" s="1465">
        <f t="shared" si="1039"/>
        <v>0.2620187442008271</v>
      </c>
      <c r="BM413" s="1465">
        <f t="shared" si="1039"/>
        <v>0.23908822369974303</v>
      </c>
      <c r="BN413" s="1868">
        <f t="shared" si="1039"/>
        <v>0.24874349447974267</v>
      </c>
      <c r="BO413" s="1868">
        <f t="shared" si="1039"/>
        <v>0.25279895053329166</v>
      </c>
      <c r="BP413" s="1465">
        <f t="shared" si="1039"/>
        <v>0.28549090620245687</v>
      </c>
      <c r="BQ413" s="1465">
        <f t="shared" si="1039"/>
        <v>0.2690831962407555</v>
      </c>
      <c r="BR413" s="1465">
        <f t="shared" si="1039"/>
        <v>0.23940846585806616</v>
      </c>
      <c r="BS413" s="1465">
        <f t="shared" si="1039"/>
        <v>0.24836074037326084</v>
      </c>
      <c r="BT413" s="470">
        <f t="shared" si="1039"/>
        <v>0.26103690473976798</v>
      </c>
      <c r="BU413" s="1465">
        <f t="shared" si="1039"/>
        <v>0.28402716359055918</v>
      </c>
      <c r="BV413" s="1465">
        <f t="shared" ref="BV413:CF413" si="1040">BV412/BV401</f>
        <v>0.27214429316100763</v>
      </c>
      <c r="BW413" s="1465">
        <f t="shared" si="1040"/>
        <v>0.24273498258921986</v>
      </c>
      <c r="BX413" s="1465">
        <f t="shared" si="1040"/>
        <v>0.25161950480209455</v>
      </c>
      <c r="BY413" s="470">
        <f t="shared" si="1040"/>
        <v>0.2628934181411085</v>
      </c>
      <c r="BZ413" s="470">
        <f t="shared" si="1040"/>
        <v>0.26991047338713459</v>
      </c>
      <c r="CA413" s="470">
        <f t="shared" si="1040"/>
        <v>0.26682296907888303</v>
      </c>
      <c r="CB413" s="470">
        <f t="shared" si="1040"/>
        <v>0.26025795991817985</v>
      </c>
      <c r="CC413" s="470">
        <f t="shared" si="1040"/>
        <v>0.25355474003830403</v>
      </c>
      <c r="CD413" s="470">
        <f t="shared" si="1040"/>
        <v>0.25674205537334299</v>
      </c>
      <c r="CE413" s="470">
        <f t="shared" si="1040"/>
        <v>0.25989812251882288</v>
      </c>
      <c r="CF413" s="470">
        <f t="shared" si="1040"/>
        <v>0.26302324782954301</v>
      </c>
      <c r="CG413" s="492"/>
      <c r="CH413" s="492"/>
      <c r="CI413" s="492"/>
      <c r="CJ413" s="492"/>
      <c r="CK413" s="492"/>
      <c r="CL413" s="1310" t="str">
        <f t="shared" si="1020"/>
        <v>Margin</v>
      </c>
      <c r="CM413" s="469">
        <f t="shared" si="1021"/>
        <v>0.10638520358146526</v>
      </c>
      <c r="CN413" s="469">
        <f t="shared" si="1022"/>
        <v>5.0170147088904188E-2</v>
      </c>
      <c r="CO413" s="469">
        <f t="shared" si="1023"/>
        <v>3.8924119833807135E-2</v>
      </c>
      <c r="CP413" s="469">
        <f t="shared" si="1024"/>
        <v>-0.13483748556343839</v>
      </c>
      <c r="CQ413" s="469">
        <f t="shared" si="1025"/>
        <v>0.15280414341921</v>
      </c>
      <c r="CR413" s="469">
        <f t="shared" si="1026"/>
        <v>0.17367000375849936</v>
      </c>
      <c r="CS413" s="469">
        <f t="shared" si="1027"/>
        <v>0.21880074520713486</v>
      </c>
      <c r="CT413" s="469">
        <f t="shared" si="1028"/>
        <v>0.25475799073526689</v>
      </c>
      <c r="CU413" s="469">
        <f t="shared" si="1029"/>
        <v>0.26130993761312604</v>
      </c>
      <c r="CV413" s="469">
        <f t="shared" si="1030"/>
        <v>0.25634976461181197</v>
      </c>
      <c r="CW413" s="469">
        <f t="shared" si="1031"/>
        <v>0.23639680227949644</v>
      </c>
      <c r="CX413" s="469">
        <f t="shared" si="1032"/>
        <v>0.24984460049642779</v>
      </c>
      <c r="CY413" s="469">
        <f t="shared" si="1033"/>
        <v>0.25279895053329166</v>
      </c>
      <c r="CZ413" s="469">
        <f t="shared" si="1034"/>
        <v>0.26103690473976798</v>
      </c>
      <c r="DA413" s="469">
        <f t="shared" si="1035"/>
        <v>0.2628934181411085</v>
      </c>
      <c r="DB413" s="469">
        <f t="shared" si="1035"/>
        <v>0.26991047338713459</v>
      </c>
      <c r="DC413" s="1463">
        <f t="shared" si="1035"/>
        <v>0.26682296907888303</v>
      </c>
      <c r="DD413" s="492"/>
      <c r="DE413" s="492"/>
      <c r="DF413" s="962"/>
      <c r="DG413" s="962"/>
      <c r="DH413" s="469"/>
      <c r="DI413" s="3213"/>
      <c r="DJ413" s="962"/>
      <c r="DK413" s="962"/>
      <c r="DL413" s="962"/>
      <c r="DM413" s="962"/>
      <c r="DN413" s="962"/>
      <c r="DO413" s="962"/>
      <c r="DP413" s="962"/>
      <c r="DQ413" s="962"/>
      <c r="DR413" s="963"/>
      <c r="DS413" s="963"/>
      <c r="DT413" s="963"/>
    </row>
    <row r="414" spans="1:124" ht="12" customHeight="1" x14ac:dyDescent="0.25">
      <c r="A414" s="465" t="s">
        <v>1812</v>
      </c>
      <c r="B414" s="466"/>
      <c r="C414" s="467">
        <f>(C412+C407)/C401</f>
        <v>0.10644158151932473</v>
      </c>
      <c r="D414" s="467">
        <f t="shared" ref="D414:BD414" si="1041">(D412+D407)/D401</f>
        <v>0.14578193467614242</v>
      </c>
      <c r="E414" s="467">
        <f t="shared" si="1041"/>
        <v>9.866490610328639E-2</v>
      </c>
      <c r="F414" s="467">
        <f t="shared" si="1041"/>
        <v>3.324246554596396E-2</v>
      </c>
      <c r="G414" s="468">
        <f t="shared" si="1041"/>
        <v>0.10638520358146526</v>
      </c>
      <c r="H414" s="467">
        <f>(H412+H407)/H401</f>
        <v>9.9887005649717517E-2</v>
      </c>
      <c r="I414" s="467">
        <f t="shared" si="1041"/>
        <v>0.10175599528240073</v>
      </c>
      <c r="J414" s="467">
        <f t="shared" si="1041"/>
        <v>2.0283054567471433E-2</v>
      </c>
      <c r="K414" s="467">
        <f t="shared" si="1041"/>
        <v>-3.7332668163299249E-2</v>
      </c>
      <c r="L414" s="468">
        <f t="shared" si="1041"/>
        <v>5.0170147088904188E-2</v>
      </c>
      <c r="M414" s="467">
        <f>(M412+M407)/M401</f>
        <v>7.0069534652708793E-2</v>
      </c>
      <c r="N414" s="467">
        <f t="shared" si="1041"/>
        <v>4.2300925571789189E-2</v>
      </c>
      <c r="O414" s="467">
        <f t="shared" si="1041"/>
        <v>6.2642817744858567E-2</v>
      </c>
      <c r="P414" s="467">
        <f t="shared" si="1041"/>
        <v>-2.6807544533705902E-2</v>
      </c>
      <c r="Q414" s="468">
        <f t="shared" si="1041"/>
        <v>3.8924119833807135E-2</v>
      </c>
      <c r="R414" s="467">
        <f>(R412+R407)/R401</f>
        <v>-3.6105955795512068E-2</v>
      </c>
      <c r="S414" s="467">
        <f t="shared" si="1041"/>
        <v>5.8388765705838881E-3</v>
      </c>
      <c r="T414" s="467">
        <f t="shared" si="1041"/>
        <v>-8.5738468049090133E-2</v>
      </c>
      <c r="U414" s="467">
        <f t="shared" si="1041"/>
        <v>-0.45849942421826562</v>
      </c>
      <c r="V414" s="468">
        <f t="shared" si="1041"/>
        <v>-0.13483748556343839</v>
      </c>
      <c r="W414" s="467">
        <f>(W412+W407)/W401</f>
        <v>0.4069910073766127</v>
      </c>
      <c r="X414" s="467">
        <f t="shared" si="1041"/>
        <v>0.58747230594048161</v>
      </c>
      <c r="Y414" s="467">
        <f t="shared" si="1041"/>
        <v>0.61522385569414473</v>
      </c>
      <c r="Z414" s="467">
        <f t="shared" si="1041"/>
        <v>0.61565276225778398</v>
      </c>
      <c r="AA414" s="468">
        <f t="shared" si="1041"/>
        <v>0.57121254935648091</v>
      </c>
      <c r="AB414" s="467">
        <f>(AB412+AB407)/AB401</f>
        <v>0.62112260982797629</v>
      </c>
      <c r="AC414" s="467">
        <f t="shared" si="1041"/>
        <v>0.60941813892597441</v>
      </c>
      <c r="AD414" s="467">
        <f t="shared" si="1041"/>
        <v>0.62881685884258831</v>
      </c>
      <c r="AE414" s="467">
        <f t="shared" si="1041"/>
        <v>0.62281323706029612</v>
      </c>
      <c r="AF414" s="468">
        <f t="shared" si="1041"/>
        <v>0.62036764957118951</v>
      </c>
      <c r="AG414" s="467">
        <f>(AG412+AG407)/AG401</f>
        <v>0.66835074725565413</v>
      </c>
      <c r="AH414" s="467">
        <f t="shared" si="1041"/>
        <v>0.66572886188011104</v>
      </c>
      <c r="AI414" s="467">
        <f t="shared" si="1041"/>
        <v>0.67142543381640829</v>
      </c>
      <c r="AJ414" s="467">
        <f t="shared" si="1041"/>
        <v>0.65412739942074916</v>
      </c>
      <c r="AK414" s="468">
        <f t="shared" si="1041"/>
        <v>0.66504052384222245</v>
      </c>
      <c r="AL414" s="467">
        <f>(AL412+AL407)/AL401</f>
        <v>0.67512230858356681</v>
      </c>
      <c r="AM414" s="467">
        <f t="shared" si="1041"/>
        <v>0.69438803120118431</v>
      </c>
      <c r="AN414" s="467">
        <f t="shared" si="1041"/>
        <v>0.68237731671990931</v>
      </c>
      <c r="AO414" s="467">
        <f t="shared" si="1041"/>
        <v>0.67852639661131964</v>
      </c>
      <c r="AP414" s="468">
        <f t="shared" si="1041"/>
        <v>0.68275235873147688</v>
      </c>
      <c r="AQ414" s="581">
        <f t="shared" ref="AQ414:AZ414" si="1042">(AQ412+AQ407)/AQ401</f>
        <v>0.70710488095849311</v>
      </c>
      <c r="AR414" s="467">
        <f t="shared" si="1042"/>
        <v>0.68983871717960454</v>
      </c>
      <c r="AS414" s="467">
        <f t="shared" si="1042"/>
        <v>0.67920797566973912</v>
      </c>
      <c r="AT414" s="1669">
        <f t="shared" si="1042"/>
        <v>0.669088607088272</v>
      </c>
      <c r="AU414" s="1468">
        <f t="shared" si="1042"/>
        <v>0.68710213788948749</v>
      </c>
      <c r="AV414" s="1862">
        <f t="shared" si="1042"/>
        <v>0.69316269977579081</v>
      </c>
      <c r="AW414" s="1846">
        <f t="shared" si="1042"/>
        <v>0.69490959542661457</v>
      </c>
      <c r="AX414" s="1846">
        <f t="shared" si="1042"/>
        <v>0.6650363516482366</v>
      </c>
      <c r="AY414" s="1765">
        <f t="shared" si="1042"/>
        <v>0.6727842280567784</v>
      </c>
      <c r="AZ414" s="1468">
        <f t="shared" si="1042"/>
        <v>0.68213187018296462</v>
      </c>
      <c r="BA414" s="1862">
        <f t="shared" si="1041"/>
        <v>0.66819067383239561</v>
      </c>
      <c r="BB414" s="1846">
        <f t="shared" si="1041"/>
        <v>0.67094851482910989</v>
      </c>
      <c r="BC414" s="1846">
        <f t="shared" si="1041"/>
        <v>0.64962940022792881</v>
      </c>
      <c r="BD414" s="1765">
        <f t="shared" si="1041"/>
        <v>0.66229148027105167</v>
      </c>
      <c r="BE414" s="1765">
        <f t="shared" ref="BE414:CF414" si="1043">(BE412+BE407)/BE401</f>
        <v>0.66281375926322483</v>
      </c>
      <c r="BF414" s="1846">
        <f t="shared" si="1043"/>
        <v>0.67971031773430757</v>
      </c>
      <c r="BG414" s="1846">
        <f t="shared" si="1043"/>
        <v>0.68386571118125228</v>
      </c>
      <c r="BH414" s="1846">
        <f t="shared" si="1043"/>
        <v>0.66048234730161126</v>
      </c>
      <c r="BI414" s="1765">
        <f t="shared" si="1043"/>
        <v>0.67115706650800588</v>
      </c>
      <c r="BJ414" s="1765">
        <f t="shared" si="1043"/>
        <v>0.67391432007841445</v>
      </c>
      <c r="BK414" s="1846">
        <f t="shared" si="1043"/>
        <v>0.68444273937759303</v>
      </c>
      <c r="BL414" s="1846">
        <f t="shared" si="1043"/>
        <v>0.68641572393533667</v>
      </c>
      <c r="BM414" s="1846">
        <f t="shared" si="1043"/>
        <v>0.66368590767392055</v>
      </c>
      <c r="BN414" s="1765">
        <f t="shared" si="1043"/>
        <v>0.67015571180811495</v>
      </c>
      <c r="BO414" s="1765">
        <f t="shared" si="1043"/>
        <v>0.67634381795239118</v>
      </c>
      <c r="BP414" s="1846">
        <f t="shared" si="1043"/>
        <v>0.7034639696266044</v>
      </c>
      <c r="BQ414" s="1846">
        <f t="shared" si="1043"/>
        <v>0.69082921105452944</v>
      </c>
      <c r="BR414" s="1846">
        <f t="shared" si="1043"/>
        <v>0.66402181015348072</v>
      </c>
      <c r="BS414" s="1846">
        <f t="shared" si="1043"/>
        <v>0.67086479268779031</v>
      </c>
      <c r="BT414" s="468">
        <f t="shared" si="1043"/>
        <v>0.68270770010121762</v>
      </c>
      <c r="BU414" s="1846">
        <f t="shared" si="1043"/>
        <v>0.70056401322777107</v>
      </c>
      <c r="BV414" s="1846">
        <f>(BV412+BV407)/BV401</f>
        <v>0.69389030797478168</v>
      </c>
      <c r="BW414" s="1846">
        <f>(BW412+BW407)/BW401</f>
        <v>0.66734832688463441</v>
      </c>
      <c r="BX414" s="1846">
        <f>(BX412+BX407)/BX401</f>
        <v>0.67412355711662419</v>
      </c>
      <c r="BY414" s="468">
        <f>(BY412+BY407)/BY401</f>
        <v>0.68423251392882611</v>
      </c>
      <c r="BZ414" s="468">
        <f t="shared" si="1043"/>
        <v>0.69124956917485214</v>
      </c>
      <c r="CA414" s="468">
        <f t="shared" si="1043"/>
        <v>0.68816206486660059</v>
      </c>
      <c r="CB414" s="468">
        <f t="shared" si="1043"/>
        <v>0.68159705570589746</v>
      </c>
      <c r="CC414" s="468">
        <f t="shared" si="1043"/>
        <v>0.67489383582602169</v>
      </c>
      <c r="CD414" s="468">
        <f t="shared" si="1043"/>
        <v>0.6780811511610606</v>
      </c>
      <c r="CE414" s="468">
        <f t="shared" si="1043"/>
        <v>0.68123721830654049</v>
      </c>
      <c r="CF414" s="468">
        <f t="shared" si="1043"/>
        <v>0.68436234361726067</v>
      </c>
      <c r="CG414" s="492"/>
      <c r="CH414" s="492"/>
      <c r="CI414" s="492"/>
      <c r="CJ414" s="492"/>
      <c r="CK414" s="492"/>
      <c r="CL414" s="1310" t="str">
        <f t="shared" si="1020"/>
        <v>Margin bef. tax</v>
      </c>
      <c r="CM414" s="469">
        <f t="shared" si="1021"/>
        <v>0.10638520358146526</v>
      </c>
      <c r="CN414" s="469">
        <f t="shared" si="1022"/>
        <v>5.0170147088904188E-2</v>
      </c>
      <c r="CO414" s="469">
        <f t="shared" si="1023"/>
        <v>3.8924119833807135E-2</v>
      </c>
      <c r="CP414" s="469">
        <f t="shared" si="1024"/>
        <v>-0.13483748556343839</v>
      </c>
      <c r="CQ414" s="469">
        <f t="shared" si="1025"/>
        <v>0.57121254935648091</v>
      </c>
      <c r="CR414" s="469">
        <f t="shared" si="1026"/>
        <v>0.62036764957118951</v>
      </c>
      <c r="CS414" s="469">
        <f t="shared" si="1027"/>
        <v>0.66504052384222245</v>
      </c>
      <c r="CT414" s="469">
        <f t="shared" si="1028"/>
        <v>0.68275235873147688</v>
      </c>
      <c r="CU414" s="469">
        <f t="shared" si="1029"/>
        <v>0.68710213788948749</v>
      </c>
      <c r="CV414" s="469">
        <f t="shared" si="1030"/>
        <v>0.68213187018296462</v>
      </c>
      <c r="CW414" s="469">
        <f t="shared" si="1031"/>
        <v>0.66281375926322483</v>
      </c>
      <c r="CX414" s="469">
        <f t="shared" si="1032"/>
        <v>0.67391432007841445</v>
      </c>
      <c r="CY414" s="469">
        <f t="shared" si="1033"/>
        <v>0.67634381795239118</v>
      </c>
      <c r="CZ414" s="469">
        <f t="shared" si="1034"/>
        <v>0.68270770010121762</v>
      </c>
      <c r="DA414" s="469">
        <f t="shared" si="1035"/>
        <v>0.68423251392882611</v>
      </c>
      <c r="DB414" s="469">
        <f t="shared" si="1035"/>
        <v>0.69124956917485214</v>
      </c>
      <c r="DC414" s="1463">
        <f t="shared" si="1035"/>
        <v>0.68816206486660059</v>
      </c>
      <c r="DD414" s="492"/>
      <c r="DE414" s="492"/>
      <c r="DF414" s="962"/>
      <c r="DG414" s="962"/>
      <c r="DH414" s="469"/>
      <c r="DI414" s="3213"/>
      <c r="DJ414" s="962"/>
      <c r="DK414" s="962"/>
      <c r="DL414" s="962"/>
      <c r="DM414" s="962"/>
      <c r="DN414" s="962"/>
      <c r="DO414" s="962"/>
      <c r="DP414" s="962"/>
      <c r="DQ414" s="962"/>
      <c r="DR414" s="963"/>
      <c r="DS414" s="963"/>
      <c r="DT414" s="963"/>
    </row>
    <row r="415" spans="1:124" ht="12" customHeight="1" x14ac:dyDescent="0.25">
      <c r="A415" s="465" t="s">
        <v>1491</v>
      </c>
      <c r="B415" s="466"/>
      <c r="C415" s="467" t="s">
        <v>553</v>
      </c>
      <c r="D415" s="467" t="s">
        <v>553</v>
      </c>
      <c r="E415" s="467" t="s">
        <v>553</v>
      </c>
      <c r="F415" s="467" t="s">
        <v>553</v>
      </c>
      <c r="G415" s="468" t="s">
        <v>553</v>
      </c>
      <c r="H415" s="467" t="s">
        <v>553</v>
      </c>
      <c r="I415" s="467" t="s">
        <v>553</v>
      </c>
      <c r="J415" s="467" t="s">
        <v>553</v>
      </c>
      <c r="K415" s="467" t="s">
        <v>553</v>
      </c>
      <c r="L415" s="468" t="s">
        <v>553</v>
      </c>
      <c r="M415" s="467" t="s">
        <v>553</v>
      </c>
      <c r="N415" s="467" t="s">
        <v>553</v>
      </c>
      <c r="O415" s="467" t="s">
        <v>553</v>
      </c>
      <c r="P415" s="467" t="s">
        <v>553</v>
      </c>
      <c r="Q415" s="468" t="s">
        <v>553</v>
      </c>
      <c r="R415" s="467" t="s">
        <v>553</v>
      </c>
      <c r="S415" s="467" t="s">
        <v>553</v>
      </c>
      <c r="T415" s="467" t="s">
        <v>553</v>
      </c>
      <c r="U415" s="467" t="s">
        <v>553</v>
      </c>
      <c r="V415" s="468" t="s">
        <v>553</v>
      </c>
      <c r="W415" s="467" t="s">
        <v>553</v>
      </c>
      <c r="X415" s="467" t="s">
        <v>553</v>
      </c>
      <c r="Y415" s="467" t="s">
        <v>553</v>
      </c>
      <c r="Z415" s="467" t="s">
        <v>553</v>
      </c>
      <c r="AA415" s="468" t="s">
        <v>553</v>
      </c>
      <c r="AB415" s="467">
        <f t="shared" ref="AB415:AU415" si="1044">(AB412-W412)/W412</f>
        <v>7.2721003134796245</v>
      </c>
      <c r="AC415" s="467">
        <f t="shared" si="1044"/>
        <v>0.18765201122544437</v>
      </c>
      <c r="AD415" s="467">
        <f t="shared" si="1044"/>
        <v>0.11176823519328022</v>
      </c>
      <c r="AE415" s="469">
        <f t="shared" si="1044"/>
        <v>0.14857471926288512</v>
      </c>
      <c r="AF415" s="470">
        <f t="shared" si="1044"/>
        <v>0.47880480637746969</v>
      </c>
      <c r="AG415" s="467">
        <f t="shared" si="1044"/>
        <v>0.16219493709261776</v>
      </c>
      <c r="AH415" s="467">
        <f t="shared" si="1044"/>
        <v>0.33002520478890984</v>
      </c>
      <c r="AI415" s="467">
        <f t="shared" si="1044"/>
        <v>0.51900393184796845</v>
      </c>
      <c r="AJ415" s="469">
        <f t="shared" si="1044"/>
        <v>0.47104537478064668</v>
      </c>
      <c r="AK415" s="470">
        <f t="shared" si="1044"/>
        <v>0.36788777838986381</v>
      </c>
      <c r="AL415" s="467">
        <f t="shared" si="1044"/>
        <v>0.33070301291248216</v>
      </c>
      <c r="AM415" s="467">
        <f t="shared" si="1044"/>
        <v>0.37539973942911303</v>
      </c>
      <c r="AN415" s="467">
        <f t="shared" si="1044"/>
        <v>8.8151641999694413E-2</v>
      </c>
      <c r="AO415" s="469">
        <f t="shared" si="1044"/>
        <v>0.14090937713241039</v>
      </c>
      <c r="AP415" s="471">
        <f t="shared" si="1044"/>
        <v>0.22476765109035252</v>
      </c>
      <c r="AQ415" s="471">
        <f t="shared" si="1044"/>
        <v>0.22244681506983491</v>
      </c>
      <c r="AR415" s="469">
        <f t="shared" si="1044"/>
        <v>-3.7444860763489039E-2</v>
      </c>
      <c r="AS415" s="469">
        <f t="shared" si="1044"/>
        <v>-3.2747948689858433E-2</v>
      </c>
      <c r="AT415" s="469">
        <f t="shared" si="1044"/>
        <v>-9.9166426186885911E-2</v>
      </c>
      <c r="AU415" s="1689">
        <f t="shared" si="1044"/>
        <v>1.1456179268791802E-2</v>
      </c>
      <c r="AV415" s="1730">
        <f t="shared" ref="AV415:BA415" si="1045">(AV412-AQ412)/AQ412</f>
        <v>-0.105849629216918</v>
      </c>
      <c r="AW415" s="1465">
        <f t="shared" si="1045"/>
        <v>-8.6072238179138102E-3</v>
      </c>
      <c r="AX415" s="1465">
        <f t="shared" si="1045"/>
        <v>-0.12358052927251705</v>
      </c>
      <c r="AY415" s="1868">
        <f t="shared" si="1045"/>
        <v>-5.2775324497929883E-2</v>
      </c>
      <c r="AZ415" s="1689">
        <f t="shared" si="1045"/>
        <v>-7.3730097153700769E-2</v>
      </c>
      <c r="BA415" s="1730">
        <f t="shared" si="1045"/>
        <v>-0.19703535205139056</v>
      </c>
      <c r="BB415" s="1465">
        <f t="shared" ref="BB415:BJ415" si="1046">(BB412-AW412)/AW412</f>
        <v>-0.18496440554112287</v>
      </c>
      <c r="BC415" s="1465">
        <f t="shared" si="1046"/>
        <v>-0.12126033705107317</v>
      </c>
      <c r="BD415" s="1868">
        <f t="shared" si="1046"/>
        <v>-4.9106568334294165E-2</v>
      </c>
      <c r="BE415" s="1868">
        <f t="shared" si="1046"/>
        <v>-0.14464177307612069</v>
      </c>
      <c r="BF415" s="1465">
        <f t="shared" si="1046"/>
        <v>6.5358841349809987E-2</v>
      </c>
      <c r="BG415" s="1465">
        <f t="shared" si="1046"/>
        <v>9.0638666101946222E-2</v>
      </c>
      <c r="BH415" s="1465">
        <f t="shared" si="1046"/>
        <v>7.1495028168474001E-2</v>
      </c>
      <c r="BI415" s="1868">
        <f t="shared" si="1046"/>
        <v>5.4977935460573744E-2</v>
      </c>
      <c r="BJ415" s="1868">
        <f t="shared" si="1046"/>
        <v>7.1007626881055066E-2</v>
      </c>
      <c r="BK415" s="1465">
        <f t="shared" ref="BK415:BT415" si="1047">(BK412-BF412)/BF412</f>
        <v>-1.949884150930549E-2</v>
      </c>
      <c r="BL415" s="1465">
        <f t="shared" si="1047"/>
        <v>-1.3261493136200717E-2</v>
      </c>
      <c r="BM415" s="1465">
        <f t="shared" si="1047"/>
        <v>2.6363054616960219E-3</v>
      </c>
      <c r="BN415" s="1868">
        <f t="shared" si="1047"/>
        <v>-1.8532602519322747E-2</v>
      </c>
      <c r="BO415" s="1868">
        <f t="shared" si="1047"/>
        <v>-1.2407309025038614E-2</v>
      </c>
      <c r="BP415" s="1465">
        <f t="shared" si="1047"/>
        <v>0.11822844377848835</v>
      </c>
      <c r="BQ415" s="1465">
        <f t="shared" si="1047"/>
        <v>3.1205534381566438E-2</v>
      </c>
      <c r="BR415" s="1465">
        <f t="shared" si="1047"/>
        <v>-7.6828607454269369E-3</v>
      </c>
      <c r="BS415" s="1465">
        <f t="shared" si="1047"/>
        <v>-9.3938127078954745E-3</v>
      </c>
      <c r="BT415" s="470">
        <f t="shared" si="1047"/>
        <v>3.5024896400522344E-2</v>
      </c>
      <c r="BU415" s="1465">
        <f>(BU412-BP412)/BP412</f>
        <v>-2.4614560237483329E-2</v>
      </c>
      <c r="BV415" s="1465">
        <f>(BV412-BQ412)/BQ412</f>
        <v>2.1489784321903464E-2</v>
      </c>
      <c r="BW415" s="1465">
        <f>(BW412-BR412)/BR412</f>
        <v>2.4033680414864981E-2</v>
      </c>
      <c r="BX415" s="1465">
        <f>(BX412-BS412)/BS412</f>
        <v>2.3252304161178943E-2</v>
      </c>
      <c r="BY415" s="470">
        <f>(BY412-BT412)/BT412</f>
        <v>9.5538291676231599E-3</v>
      </c>
      <c r="BZ415" s="470">
        <f t="shared" ref="BZ415:CF415" si="1048">(BZ412-BY412)/BY412</f>
        <v>3.9525280765256465E-2</v>
      </c>
      <c r="CA415" s="470">
        <f t="shared" si="1048"/>
        <v>-1.1438994083875702E-2</v>
      </c>
      <c r="CB415" s="470">
        <f t="shared" si="1048"/>
        <v>-7.3374144752973769E-2</v>
      </c>
      <c r="CC415" s="470">
        <f t="shared" si="1048"/>
        <v>-7.4468257907977189E-2</v>
      </c>
      <c r="CD415" s="470">
        <f t="shared" si="1048"/>
        <v>3.2821932026388494E-2</v>
      </c>
      <c r="CE415" s="470">
        <f t="shared" si="1048"/>
        <v>3.2538609943385748E-2</v>
      </c>
      <c r="CF415" s="470">
        <f t="shared" si="1048"/>
        <v>3.2264912828308928E-2</v>
      </c>
      <c r="CG415" s="492"/>
      <c r="CH415" s="492"/>
      <c r="CI415" s="492"/>
      <c r="CJ415" s="492"/>
      <c r="CK415" s="492"/>
      <c r="CL415" s="1310" t="str">
        <f t="shared" si="1020"/>
        <v>% growth (y-o-y)</v>
      </c>
      <c r="CM415" s="469" t="str">
        <f t="shared" si="1021"/>
        <v xml:space="preserve">n/a </v>
      </c>
      <c r="CN415" s="469" t="str">
        <f t="shared" si="1022"/>
        <v xml:space="preserve">n/a </v>
      </c>
      <c r="CO415" s="469" t="str">
        <f t="shared" si="1023"/>
        <v xml:space="preserve">n/a </v>
      </c>
      <c r="CP415" s="469" t="str">
        <f t="shared" si="1024"/>
        <v xml:space="preserve">n/a </v>
      </c>
      <c r="CQ415" s="469" t="str">
        <f t="shared" si="1025"/>
        <v xml:space="preserve">n/a </v>
      </c>
      <c r="CR415" s="469">
        <f t="shared" si="1026"/>
        <v>0.47880480637746969</v>
      </c>
      <c r="CS415" s="469">
        <f t="shared" si="1027"/>
        <v>0.36788777838986381</v>
      </c>
      <c r="CT415" s="469">
        <f t="shared" si="1028"/>
        <v>0.22476765109035252</v>
      </c>
      <c r="CU415" s="469">
        <f t="shared" si="1029"/>
        <v>1.1456179268791802E-2</v>
      </c>
      <c r="CV415" s="469">
        <f t="shared" si="1030"/>
        <v>-7.3730097153700769E-2</v>
      </c>
      <c r="CW415" s="469">
        <f t="shared" si="1031"/>
        <v>-0.14464177307612069</v>
      </c>
      <c r="CX415" s="469">
        <f t="shared" si="1032"/>
        <v>7.1007626881055066E-2</v>
      </c>
      <c r="CY415" s="469">
        <f t="shared" si="1033"/>
        <v>-1.2407309025038614E-2</v>
      </c>
      <c r="CZ415" s="469">
        <f t="shared" si="1034"/>
        <v>3.5024896400522344E-2</v>
      </c>
      <c r="DA415" s="469">
        <f t="shared" si="1035"/>
        <v>9.5538291676231599E-3</v>
      </c>
      <c r="DB415" s="469">
        <f t="shared" si="1035"/>
        <v>3.9525280765256465E-2</v>
      </c>
      <c r="DC415" s="1463">
        <f t="shared" si="1035"/>
        <v>-1.1438994083875702E-2</v>
      </c>
      <c r="DD415" s="492"/>
      <c r="DE415" s="492"/>
      <c r="DF415" s="962"/>
      <c r="DG415" s="962"/>
      <c r="DH415" s="469"/>
      <c r="DI415" s="3213"/>
      <c r="DJ415" s="962"/>
      <c r="DK415" s="962"/>
      <c r="DL415" s="962"/>
      <c r="DM415" s="962"/>
      <c r="DN415" s="962"/>
      <c r="DO415" s="962"/>
      <c r="DP415" s="962"/>
      <c r="DQ415" s="962"/>
      <c r="DR415" s="963"/>
      <c r="DS415" s="963"/>
      <c r="DT415" s="963"/>
    </row>
    <row r="416" spans="1:124" ht="12" customHeight="1" x14ac:dyDescent="0.25">
      <c r="A416" s="281" t="s">
        <v>2197</v>
      </c>
      <c r="B416" s="281"/>
      <c r="C416" s="570">
        <v>0.78300000000000003</v>
      </c>
      <c r="D416" s="570">
        <v>0.73599999999999999</v>
      </c>
      <c r="E416" s="570">
        <v>0.34899999999999998</v>
      </c>
      <c r="F416" s="570">
        <v>0.38700000000000001</v>
      </c>
      <c r="G416" s="475">
        <f>SUM(C416:F416)</f>
        <v>2.2549999999999999</v>
      </c>
      <c r="H416" s="570">
        <v>0.36099999999999999</v>
      </c>
      <c r="I416" s="570">
        <v>0.35699999999999998</v>
      </c>
      <c r="J416" s="570">
        <v>0.34300000000000003</v>
      </c>
      <c r="K416" s="570">
        <v>0.36099999999999999</v>
      </c>
      <c r="L416" s="475">
        <f>SUM(H416:K416)</f>
        <v>1.4219999999999999</v>
      </c>
      <c r="M416" s="570">
        <v>0.27200000000000002</v>
      </c>
      <c r="N416" s="570">
        <v>0.34899999999999998</v>
      </c>
      <c r="O416" s="570">
        <v>0.34599999999999997</v>
      </c>
      <c r="P416" s="570">
        <v>0.35199999999999998</v>
      </c>
      <c r="Q416" s="475">
        <f>SUM(M416:P416)</f>
        <v>1.319</v>
      </c>
      <c r="R416" s="570">
        <v>0.36699999999999999</v>
      </c>
      <c r="S416" s="570">
        <v>0.40799999999999997</v>
      </c>
      <c r="T416" s="570">
        <v>0.38100000000000001</v>
      </c>
      <c r="U416" s="570">
        <v>0.41299999999999998</v>
      </c>
      <c r="V416" s="475">
        <f>SUM(R416:U416)</f>
        <v>1.569</v>
      </c>
      <c r="W416" s="570">
        <v>2.97</v>
      </c>
      <c r="X416" s="570">
        <v>7.0819999999999999</v>
      </c>
      <c r="Y416" s="570">
        <v>6</v>
      </c>
      <c r="Z416" s="570">
        <v>6.7779999999999996</v>
      </c>
      <c r="AA416" s="475">
        <f>SUM(W416:Z416)</f>
        <v>22.83</v>
      </c>
      <c r="AB416" s="570">
        <v>6.5659999999999998</v>
      </c>
      <c r="AC416" s="570">
        <v>11.552</v>
      </c>
      <c r="AD416" s="570">
        <v>7.758</v>
      </c>
      <c r="AE416" s="572">
        <v>10.244</v>
      </c>
      <c r="AF416" s="477">
        <f>SUM(AB416:AE416)</f>
        <v>36.119999999999997</v>
      </c>
      <c r="AG416" s="570">
        <v>8.4410000000000007</v>
      </c>
      <c r="AH416" s="570">
        <v>8.6820000000000004</v>
      </c>
      <c r="AI416" s="570">
        <v>8.8930000000000007</v>
      </c>
      <c r="AJ416" s="572">
        <v>8.9619999999999997</v>
      </c>
      <c r="AK416" s="477">
        <f>SUM(AG416:AJ416)</f>
        <v>34.978000000000002</v>
      </c>
      <c r="AL416" s="570">
        <v>8.4749999999999996</v>
      </c>
      <c r="AM416" s="452">
        <v>8.0440000000000005</v>
      </c>
      <c r="AN416" s="1594">
        <f>AM416</f>
        <v>8.0440000000000005</v>
      </c>
      <c r="AO416" s="452">
        <f>AN416</f>
        <v>8.0440000000000005</v>
      </c>
      <c r="AP416" s="478">
        <f>SUM(AL416:AO416)</f>
        <v>32.606999999999999</v>
      </c>
      <c r="AQ416" s="478">
        <f>+AO416</f>
        <v>8.0440000000000005</v>
      </c>
      <c r="AR416" s="476">
        <f>AQ416</f>
        <v>8.0440000000000005</v>
      </c>
      <c r="AS416" s="476">
        <f>AR416</f>
        <v>8.0440000000000005</v>
      </c>
      <c r="AT416" s="476">
        <f>AS416</f>
        <v>8.0440000000000005</v>
      </c>
      <c r="AU416" s="1464">
        <f>SUM(AQ416:AT416)</f>
        <v>32.176000000000002</v>
      </c>
      <c r="AV416" s="478">
        <f>+AT416</f>
        <v>8.0440000000000005</v>
      </c>
      <c r="AW416" s="476">
        <f>AV416</f>
        <v>8.0440000000000005</v>
      </c>
      <c r="AX416" s="476">
        <f>AW416</f>
        <v>8.0440000000000005</v>
      </c>
      <c r="AY416" s="476">
        <f>AX416</f>
        <v>8.0440000000000005</v>
      </c>
      <c r="AZ416" s="1464">
        <f>SUM(AV416:AY416)</f>
        <v>32.176000000000002</v>
      </c>
      <c r="BA416" s="478">
        <f>+AY416</f>
        <v>8.0440000000000005</v>
      </c>
      <c r="BB416" s="476">
        <f>BA416</f>
        <v>8.0440000000000005</v>
      </c>
      <c r="BC416" s="476">
        <f>BB416</f>
        <v>8.0440000000000005</v>
      </c>
      <c r="BD416" s="476">
        <f>BC416</f>
        <v>8.0440000000000005</v>
      </c>
      <c r="BE416" s="1464">
        <f>SUM(BA416:BD416)</f>
        <v>32.176000000000002</v>
      </c>
      <c r="BF416" s="476">
        <f>BD416</f>
        <v>8.0440000000000005</v>
      </c>
      <c r="BG416" s="476">
        <f>BF416</f>
        <v>8.0440000000000005</v>
      </c>
      <c r="BH416" s="476">
        <f>BG416</f>
        <v>8.0440000000000005</v>
      </c>
      <c r="BI416" s="476">
        <f>BH416</f>
        <v>8.0440000000000005</v>
      </c>
      <c r="BJ416" s="1464">
        <f>SUM(BF416:BI416)</f>
        <v>32.176000000000002</v>
      </c>
      <c r="BK416" s="476">
        <f>BJ416/4</f>
        <v>8.0440000000000005</v>
      </c>
      <c r="BL416" s="476">
        <f>BK416</f>
        <v>8.0440000000000005</v>
      </c>
      <c r="BM416" s="476">
        <f>BL416</f>
        <v>8.0440000000000005</v>
      </c>
      <c r="BN416" s="476">
        <f>BM416</f>
        <v>8.0440000000000005</v>
      </c>
      <c r="BO416" s="1464">
        <f>SUM(BK416:BN416)</f>
        <v>32.176000000000002</v>
      </c>
      <c r="BP416" s="476">
        <f>BN416</f>
        <v>8.0440000000000005</v>
      </c>
      <c r="BQ416" s="476">
        <f>BP416</f>
        <v>8.0440000000000005</v>
      </c>
      <c r="BR416" s="476">
        <f>BQ416</f>
        <v>8.0440000000000005</v>
      </c>
      <c r="BS416" s="476">
        <f>BR416</f>
        <v>8.0440000000000005</v>
      </c>
      <c r="BT416" s="2604">
        <f>SUM(BP416:BS416)</f>
        <v>32.176000000000002</v>
      </c>
      <c r="BU416" s="2577">
        <f>BS416</f>
        <v>8.0440000000000005</v>
      </c>
      <c r="BV416" s="2577">
        <f>BU416</f>
        <v>8.0440000000000005</v>
      </c>
      <c r="BW416" s="2577">
        <f>BV416</f>
        <v>8.0440000000000005</v>
      </c>
      <c r="BX416" s="2577">
        <f>BW416</f>
        <v>8.0440000000000005</v>
      </c>
      <c r="BY416" s="2604">
        <f>SUM(BU416:BX416)</f>
        <v>32.176000000000002</v>
      </c>
      <c r="BZ416" s="477">
        <f t="shared" ref="BZ416:CF416" si="1049">BY416</f>
        <v>32.176000000000002</v>
      </c>
      <c r="CA416" s="477">
        <f t="shared" si="1049"/>
        <v>32.176000000000002</v>
      </c>
      <c r="CB416" s="477">
        <f t="shared" si="1049"/>
        <v>32.176000000000002</v>
      </c>
      <c r="CC416" s="477">
        <f t="shared" si="1049"/>
        <v>32.176000000000002</v>
      </c>
      <c r="CD416" s="477">
        <f t="shared" si="1049"/>
        <v>32.176000000000002</v>
      </c>
      <c r="CE416" s="477">
        <f t="shared" si="1049"/>
        <v>32.176000000000002</v>
      </c>
      <c r="CF416" s="477">
        <f t="shared" si="1049"/>
        <v>32.176000000000002</v>
      </c>
      <c r="CG416" s="331"/>
      <c r="CH416" s="331"/>
      <c r="CI416" s="331"/>
      <c r="CJ416" s="331"/>
      <c r="CK416" s="331"/>
      <c r="CL416" s="520" t="str">
        <f t="shared" si="1020"/>
        <v>Depreciation and amortization</v>
      </c>
      <c r="CM416" s="476">
        <f t="shared" si="1021"/>
        <v>2.2549999999999999</v>
      </c>
      <c r="CN416" s="476">
        <f t="shared" si="1022"/>
        <v>1.4219999999999999</v>
      </c>
      <c r="CO416" s="476">
        <f t="shared" si="1023"/>
        <v>1.319</v>
      </c>
      <c r="CP416" s="476">
        <f t="shared" si="1024"/>
        <v>1.569</v>
      </c>
      <c r="CQ416" s="476">
        <f t="shared" si="1025"/>
        <v>22.83</v>
      </c>
      <c r="CR416" s="476">
        <f t="shared" si="1026"/>
        <v>36.119999999999997</v>
      </c>
      <c r="CS416" s="476">
        <f t="shared" si="1027"/>
        <v>34.978000000000002</v>
      </c>
      <c r="CT416" s="476">
        <f t="shared" si="1028"/>
        <v>32.606999999999999</v>
      </c>
      <c r="CU416" s="476">
        <f t="shared" si="1029"/>
        <v>32.176000000000002</v>
      </c>
      <c r="CV416" s="476">
        <f t="shared" si="1030"/>
        <v>32.176000000000002</v>
      </c>
      <c r="CW416" s="476">
        <f t="shared" si="1031"/>
        <v>32.176000000000002</v>
      </c>
      <c r="CX416" s="476">
        <f t="shared" si="1032"/>
        <v>32.176000000000002</v>
      </c>
      <c r="CY416" s="476">
        <f t="shared" si="1033"/>
        <v>32.176000000000002</v>
      </c>
      <c r="CZ416" s="476">
        <f t="shared" si="1034"/>
        <v>32.176000000000002</v>
      </c>
      <c r="DA416" s="476">
        <f t="shared" si="1035"/>
        <v>32.176000000000002</v>
      </c>
      <c r="DB416" s="476">
        <f t="shared" si="1035"/>
        <v>32.176000000000002</v>
      </c>
      <c r="DC416" s="682">
        <f t="shared" si="1035"/>
        <v>32.176000000000002</v>
      </c>
      <c r="DD416" s="331"/>
      <c r="DE416" s="331"/>
      <c r="DF416" s="502"/>
      <c r="DG416" s="503"/>
      <c r="DH416" s="2577"/>
      <c r="DI416" s="3213"/>
      <c r="DJ416" s="502"/>
      <c r="DK416" s="503"/>
      <c r="DL416" s="502"/>
      <c r="DM416" s="502"/>
      <c r="DN416" s="502"/>
      <c r="DO416" s="502"/>
      <c r="DP416" s="503"/>
      <c r="DQ416" s="503"/>
      <c r="DR416" s="296"/>
      <c r="DS416" s="296"/>
      <c r="DT416" s="296"/>
    </row>
    <row r="417" spans="1:124" ht="12" customHeight="1" x14ac:dyDescent="0.25">
      <c r="A417" s="465" t="s">
        <v>646</v>
      </c>
      <c r="B417" s="466"/>
      <c r="C417" s="467">
        <f t="shared" ref="C417:AF417" si="1050">C416/C401</f>
        <v>3.478454020435362E-2</v>
      </c>
      <c r="D417" s="467">
        <f t="shared" si="1050"/>
        <v>2.710166807821188E-2</v>
      </c>
      <c r="E417" s="467">
        <f t="shared" si="1050"/>
        <v>2.5601525821596242E-2</v>
      </c>
      <c r="F417" s="467">
        <f t="shared" si="1050"/>
        <v>2.9304861426624265E-2</v>
      </c>
      <c r="G417" s="468">
        <f t="shared" si="1050"/>
        <v>2.9475197699496764E-2</v>
      </c>
      <c r="H417" s="467">
        <f t="shared" si="1050"/>
        <v>2.7193973634651598E-2</v>
      </c>
      <c r="I417" s="467">
        <f t="shared" si="1050"/>
        <v>2.3391429694666489E-2</v>
      </c>
      <c r="J417" s="467">
        <f t="shared" si="1050"/>
        <v>2.5959282524786197E-2</v>
      </c>
      <c r="K417" s="467">
        <f t="shared" si="1050"/>
        <v>3.0015797788309637E-2</v>
      </c>
      <c r="L417" s="468">
        <f t="shared" si="1050"/>
        <v>2.6442531193632966E-2</v>
      </c>
      <c r="M417" s="467">
        <f t="shared" si="1050"/>
        <v>2.0783984106365096E-2</v>
      </c>
      <c r="N417" s="467">
        <f t="shared" si="1050"/>
        <v>2.6696244167367853E-2</v>
      </c>
      <c r="O417" s="467">
        <f t="shared" si="1050"/>
        <v>2.7263415018517055E-2</v>
      </c>
      <c r="P417" s="467">
        <f t="shared" si="1050"/>
        <v>3.0736989172196996E-2</v>
      </c>
      <c r="Q417" s="468">
        <f t="shared" si="1050"/>
        <v>2.6221100133192853E-2</v>
      </c>
      <c r="R417" s="467">
        <f t="shared" si="1050"/>
        <v>3.0960013497553569E-2</v>
      </c>
      <c r="S417" s="467">
        <f t="shared" si="1050"/>
        <v>3.0155210643015521E-2</v>
      </c>
      <c r="T417" s="467">
        <f t="shared" si="1050"/>
        <v>3.2247143461701232E-2</v>
      </c>
      <c r="U417" s="467">
        <f t="shared" si="1050"/>
        <v>3.6584285587740274E-2</v>
      </c>
      <c r="V417" s="468">
        <f t="shared" si="1050"/>
        <v>3.2358521696089756E-2</v>
      </c>
      <c r="W417" s="467">
        <f t="shared" si="1050"/>
        <v>7.528707952039343E-2</v>
      </c>
      <c r="X417" s="467">
        <f t="shared" si="1050"/>
        <v>0.11491529824105925</v>
      </c>
      <c r="Y417" s="467">
        <f t="shared" si="1050"/>
        <v>9.2051364661481117E-2</v>
      </c>
      <c r="Z417" s="467">
        <f t="shared" si="1050"/>
        <v>0.1155137447381427</v>
      </c>
      <c r="AA417" s="468">
        <f t="shared" si="1050"/>
        <v>0.10149598772978861</v>
      </c>
      <c r="AB417" s="467">
        <f t="shared" si="1050"/>
        <v>9.0000685353985338E-2</v>
      </c>
      <c r="AC417" s="467">
        <f t="shared" si="1050"/>
        <v>0.14973622470803249</v>
      </c>
      <c r="AD417" s="467">
        <f t="shared" si="1050"/>
        <v>0.10561280749281894</v>
      </c>
      <c r="AE417" s="469">
        <f t="shared" si="1050"/>
        <v>0.14822960829993201</v>
      </c>
      <c r="AF417" s="470">
        <f t="shared" si="1050"/>
        <v>0.12341545084907918</v>
      </c>
      <c r="AG417" s="467">
        <f t="shared" ref="AG417:AU417" si="1051">AG416/AG401</f>
        <v>0.11163867213331571</v>
      </c>
      <c r="AH417" s="467">
        <f t="shared" si="1051"/>
        <v>0.1085602820916798</v>
      </c>
      <c r="AI417" s="467">
        <f t="shared" si="1051"/>
        <v>0.10503626012803252</v>
      </c>
      <c r="AJ417" s="469">
        <f t="shared" si="1051"/>
        <v>0.11561782387697707</v>
      </c>
      <c r="AK417" s="470">
        <f t="shared" si="1051"/>
        <v>0.11007540187057062</v>
      </c>
      <c r="AL417" s="467">
        <f t="shared" si="1051"/>
        <v>0.10228589359853239</v>
      </c>
      <c r="AM417" s="467">
        <f t="shared" si="1051"/>
        <v>9.3077074389919356E-2</v>
      </c>
      <c r="AN417" s="467">
        <f t="shared" si="1051"/>
        <v>9.566858572830729E-2</v>
      </c>
      <c r="AO417" s="469">
        <f t="shared" si="1051"/>
        <v>9.9437303312807007E-2</v>
      </c>
      <c r="AP417" s="471">
        <f t="shared" si="1051"/>
        <v>9.7550940483630028E-2</v>
      </c>
      <c r="AQ417" s="471">
        <f t="shared" si="1051"/>
        <v>9.1173601339039761E-2</v>
      </c>
      <c r="AR417" s="469">
        <f t="shared" si="1051"/>
        <v>9.5416779674855845E-2</v>
      </c>
      <c r="AS417" s="469">
        <f t="shared" si="1051"/>
        <v>9.7599189468815906E-2</v>
      </c>
      <c r="AT417" s="469">
        <f t="shared" si="1051"/>
        <v>0.1077437616872108</v>
      </c>
      <c r="AU417" s="1689">
        <f t="shared" si="1051"/>
        <v>9.7618855107366662E-2</v>
      </c>
      <c r="AV417" s="1730">
        <f t="shared" ref="AV417:BJ417" si="1052">AV416/AV401</f>
        <v>9.7462837788246492E-2</v>
      </c>
      <c r="AW417" s="1465">
        <f t="shared" si="1052"/>
        <v>9.7767494709318642E-2</v>
      </c>
      <c r="AX417" s="1465">
        <f t="shared" si="1052"/>
        <v>0.10506270852427797</v>
      </c>
      <c r="AY417" s="1868">
        <f t="shared" si="1052"/>
        <v>0.11517889571040424</v>
      </c>
      <c r="AZ417" s="1689">
        <f t="shared" si="1052"/>
        <v>0.10338871885606012</v>
      </c>
      <c r="BA417" s="1730">
        <f t="shared" si="1052"/>
        <v>0.11094197241637804</v>
      </c>
      <c r="BB417" s="1465">
        <f t="shared" si="1052"/>
        <v>0.10870713720414546</v>
      </c>
      <c r="BC417" s="1465">
        <f t="shared" si="1052"/>
        <v>0.1110052135371016</v>
      </c>
      <c r="BD417" s="1868">
        <f t="shared" si="1052"/>
        <v>0.11541000880393301</v>
      </c>
      <c r="BE417" s="1868">
        <f t="shared" si="1052"/>
        <v>0.11146378632117812</v>
      </c>
      <c r="BF417" s="1465">
        <f t="shared" si="1052"/>
        <v>0.10927584342927449</v>
      </c>
      <c r="BG417" s="1465">
        <f t="shared" si="1052"/>
        <v>0.10657116931762164</v>
      </c>
      <c r="BH417" s="1465">
        <f t="shared" si="1052"/>
        <v>0.10976199802151683</v>
      </c>
      <c r="BI417" s="1868">
        <f t="shared" si="1052"/>
        <v>0.11467371837158975</v>
      </c>
      <c r="BJ417" s="1868">
        <f t="shared" si="1052"/>
        <v>0.10999415268267376</v>
      </c>
      <c r="BK417" s="1465">
        <f t="shared" ref="BK417:BU417" si="1053">BK416/BK401</f>
        <v>0.11214712972493643</v>
      </c>
      <c r="BL417" s="1465">
        <f t="shared" si="1053"/>
        <v>0.10842209380655689</v>
      </c>
      <c r="BM417" s="1465">
        <f t="shared" si="1053"/>
        <v>0.11208899510643837</v>
      </c>
      <c r="BN417" s="1868">
        <f t="shared" si="1053"/>
        <v>0.1185803191719511</v>
      </c>
      <c r="BO417" s="1868">
        <f t="shared" si="1053"/>
        <v>0.11269302324676422</v>
      </c>
      <c r="BP417" s="1465">
        <f t="shared" si="1053"/>
        <v>0.10977822944878401</v>
      </c>
      <c r="BQ417" s="1465">
        <f t="shared" si="1053"/>
        <v>0.10797588483388011</v>
      </c>
      <c r="BR417" s="1465">
        <f t="shared" si="1053"/>
        <v>0.11310812454178709</v>
      </c>
      <c r="BS417" s="1465">
        <f t="shared" si="1053"/>
        <v>0.11952060788512177</v>
      </c>
      <c r="BT417" s="470">
        <f t="shared" si="1053"/>
        <v>0.11242758399759599</v>
      </c>
      <c r="BU417" s="1465">
        <f t="shared" si="1053"/>
        <v>0.11197151422962211</v>
      </c>
      <c r="BV417" s="1465">
        <f t="shared" ref="BV417:CF417" si="1054">BV416/BV401</f>
        <v>0.10690681666720803</v>
      </c>
      <c r="BW417" s="1465">
        <f t="shared" si="1054"/>
        <v>0.11198824212058128</v>
      </c>
      <c r="BX417" s="1465">
        <f t="shared" si="1054"/>
        <v>0.11833723552982355</v>
      </c>
      <c r="BY417" s="470">
        <f t="shared" si="1054"/>
        <v>0.11215566110377806</v>
      </c>
      <c r="BZ417" s="470">
        <f t="shared" si="1054"/>
        <v>0.11077102331237339</v>
      </c>
      <c r="CA417" s="470">
        <f t="shared" si="1054"/>
        <v>0.11077102331237339</v>
      </c>
      <c r="CB417" s="470">
        <f t="shared" si="1054"/>
        <v>0.11660107717091936</v>
      </c>
      <c r="CC417" s="470">
        <f t="shared" si="1054"/>
        <v>0.1227379759693888</v>
      </c>
      <c r="CD417" s="470">
        <f t="shared" si="1054"/>
        <v>0.12033134898959687</v>
      </c>
      <c r="CE417" s="470">
        <f t="shared" si="1054"/>
        <v>0.11797191077411456</v>
      </c>
      <c r="CF417" s="470">
        <f t="shared" si="1054"/>
        <v>0.1156587360530535</v>
      </c>
      <c r="CG417" s="492"/>
      <c r="CH417" s="492"/>
      <c r="CI417" s="492"/>
      <c r="CJ417" s="492"/>
      <c r="CK417" s="492"/>
      <c r="CL417" s="1310" t="str">
        <f t="shared" si="1020"/>
        <v>% of Net revenue</v>
      </c>
      <c r="CM417" s="469">
        <f t="shared" si="1021"/>
        <v>2.9475197699496764E-2</v>
      </c>
      <c r="CN417" s="469">
        <f t="shared" si="1022"/>
        <v>2.6442531193632966E-2</v>
      </c>
      <c r="CO417" s="469">
        <f t="shared" si="1023"/>
        <v>2.6221100133192853E-2</v>
      </c>
      <c r="CP417" s="469">
        <f t="shared" si="1024"/>
        <v>3.2358521696089756E-2</v>
      </c>
      <c r="CQ417" s="469">
        <f t="shared" si="1025"/>
        <v>0.10149598772978861</v>
      </c>
      <c r="CR417" s="469">
        <f t="shared" si="1026"/>
        <v>0.12341545084907918</v>
      </c>
      <c r="CS417" s="469">
        <f t="shared" si="1027"/>
        <v>0.11007540187057062</v>
      </c>
      <c r="CT417" s="469">
        <f t="shared" si="1028"/>
        <v>9.7550940483630028E-2</v>
      </c>
      <c r="CU417" s="469">
        <f t="shared" si="1029"/>
        <v>9.7618855107366662E-2</v>
      </c>
      <c r="CV417" s="469">
        <f t="shared" si="1030"/>
        <v>0.10338871885606012</v>
      </c>
      <c r="CW417" s="469">
        <f t="shared" si="1031"/>
        <v>0.11146378632117812</v>
      </c>
      <c r="CX417" s="469">
        <f t="shared" si="1032"/>
        <v>0.10999415268267376</v>
      </c>
      <c r="CY417" s="469">
        <f t="shared" si="1033"/>
        <v>0.11269302324676422</v>
      </c>
      <c r="CZ417" s="469">
        <f t="shared" si="1034"/>
        <v>0.11242758399759599</v>
      </c>
      <c r="DA417" s="469">
        <f t="shared" si="1035"/>
        <v>0.11215566110377806</v>
      </c>
      <c r="DB417" s="469">
        <f t="shared" si="1035"/>
        <v>0.11077102331237339</v>
      </c>
      <c r="DC417" s="1463">
        <f t="shared" si="1035"/>
        <v>0.11077102331237339</v>
      </c>
      <c r="DD417" s="492"/>
      <c r="DE417" s="492"/>
      <c r="DF417" s="962"/>
      <c r="DG417" s="962"/>
      <c r="DH417" s="469"/>
      <c r="DI417" s="3213"/>
      <c r="DJ417" s="962"/>
      <c r="DK417" s="962"/>
      <c r="DL417" s="962"/>
      <c r="DM417" s="962"/>
      <c r="DN417" s="962"/>
      <c r="DO417" s="962"/>
      <c r="DP417" s="962"/>
      <c r="DQ417" s="962"/>
      <c r="DR417" s="963"/>
      <c r="DS417" s="963"/>
      <c r="DT417" s="963"/>
    </row>
    <row r="418" spans="1:124" ht="12" customHeight="1" x14ac:dyDescent="0.25">
      <c r="A418" s="281"/>
      <c r="B418" s="281"/>
      <c r="C418" s="305"/>
      <c r="D418" s="305"/>
      <c r="E418" s="305"/>
      <c r="F418" s="305"/>
      <c r="G418" s="440"/>
      <c r="H418" s="305"/>
      <c r="I418" s="305"/>
      <c r="J418" s="305"/>
      <c r="K418" s="305"/>
      <c r="L418" s="440"/>
      <c r="M418" s="305"/>
      <c r="N418" s="305"/>
      <c r="O418" s="305"/>
      <c r="P418" s="305"/>
      <c r="Q418" s="440"/>
      <c r="R418" s="305"/>
      <c r="S418" s="305"/>
      <c r="T418" s="305"/>
      <c r="U418" s="305"/>
      <c r="V418" s="440"/>
      <c r="W418" s="305"/>
      <c r="X418" s="305"/>
      <c r="Y418" s="305"/>
      <c r="Z418" s="305"/>
      <c r="AA418" s="440"/>
      <c r="AB418" s="305"/>
      <c r="AC418" s="305"/>
      <c r="AD418" s="305"/>
      <c r="AE418" s="331"/>
      <c r="AF418" s="477"/>
      <c r="AG418" s="331"/>
      <c r="AH418" s="600"/>
      <c r="AI418" s="331"/>
      <c r="AJ418" s="331"/>
      <c r="AK418" s="441"/>
      <c r="AL418" s="442"/>
      <c r="AM418" s="442"/>
      <c r="AN418" s="442"/>
      <c r="AO418" s="442"/>
      <c r="AP418" s="443"/>
      <c r="AQ418" s="443"/>
      <c r="AR418" s="331"/>
      <c r="AS418" s="331"/>
      <c r="AT418" s="331"/>
      <c r="AU418" s="349"/>
      <c r="AV418" s="443"/>
      <c r="AW418" s="331"/>
      <c r="AX418" s="331"/>
      <c r="AY418" s="1306"/>
      <c r="AZ418" s="349"/>
      <c r="BA418" s="443"/>
      <c r="BB418" s="331"/>
      <c r="BC418" s="331"/>
      <c r="BD418" s="1306"/>
      <c r="BE418" s="1306"/>
      <c r="BF418" s="331"/>
      <c r="BG418" s="331"/>
      <c r="BH418" s="331"/>
      <c r="BI418" s="1306"/>
      <c r="BJ418" s="1306"/>
      <c r="BK418" s="331"/>
      <c r="BL418" s="331"/>
      <c r="BM418" s="331"/>
      <c r="BN418" s="1306"/>
      <c r="BO418" s="1306"/>
      <c r="BP418" s="331"/>
      <c r="BQ418" s="331"/>
      <c r="BR418" s="331"/>
      <c r="BS418" s="331"/>
      <c r="BT418" s="3222"/>
      <c r="BU418" s="3393"/>
      <c r="BV418" s="2601"/>
      <c r="BW418" s="2601"/>
      <c r="BX418" s="2601"/>
      <c r="BY418" s="3222"/>
      <c r="BZ418" s="349"/>
      <c r="CA418" s="349"/>
      <c r="CB418" s="349"/>
      <c r="CC418" s="349"/>
      <c r="CD418" s="349"/>
      <c r="CE418" s="349"/>
      <c r="CF418" s="349"/>
      <c r="CG418" s="331"/>
      <c r="CH418" s="331"/>
      <c r="CI418" s="331"/>
      <c r="CJ418" s="331"/>
      <c r="CK418" s="331"/>
      <c r="CL418" s="520"/>
      <c r="CM418" s="331"/>
      <c r="CN418" s="331"/>
      <c r="CO418" s="331"/>
      <c r="CP418" s="331"/>
      <c r="CQ418" s="331"/>
      <c r="CR418" s="331"/>
      <c r="CS418" s="331"/>
      <c r="CT418" s="331"/>
      <c r="CU418" s="331"/>
      <c r="CV418" s="331"/>
      <c r="CW418" s="331"/>
      <c r="CX418" s="331"/>
      <c r="CY418" s="331"/>
      <c r="CZ418" s="331"/>
      <c r="DA418" s="331"/>
      <c r="DB418" s="331"/>
      <c r="DC418" s="1306"/>
      <c r="DD418" s="331"/>
      <c r="DE418" s="331"/>
      <c r="DF418" s="502"/>
      <c r="DG418" s="503"/>
      <c r="DH418" s="2601"/>
      <c r="DI418" s="3213"/>
      <c r="DJ418" s="502"/>
      <c r="DK418" s="503"/>
      <c r="DL418" s="502"/>
      <c r="DM418" s="502"/>
      <c r="DN418" s="502"/>
      <c r="DO418" s="502"/>
      <c r="DP418" s="503"/>
      <c r="DQ418" s="503"/>
      <c r="DR418" s="296"/>
      <c r="DS418" s="296"/>
      <c r="DT418" s="296"/>
    </row>
    <row r="419" spans="1:124" ht="12" customHeight="1" x14ac:dyDescent="0.25">
      <c r="A419" s="2125" t="s">
        <v>1920</v>
      </c>
      <c r="B419" s="428"/>
      <c r="C419" s="502"/>
      <c r="D419" s="502"/>
      <c r="E419" s="502"/>
      <c r="F419" s="502"/>
      <c r="G419" s="534"/>
      <c r="H419" s="502"/>
      <c r="I419" s="502"/>
      <c r="J419" s="502"/>
      <c r="K419" s="502"/>
      <c r="L419" s="534"/>
      <c r="M419" s="502"/>
      <c r="N419" s="502"/>
      <c r="O419" s="502"/>
      <c r="P419" s="502"/>
      <c r="Q419" s="534"/>
      <c r="R419" s="502"/>
      <c r="S419" s="502"/>
      <c r="T419" s="502"/>
      <c r="U419" s="502"/>
      <c r="V419" s="534"/>
      <c r="W419" s="502"/>
      <c r="X419" s="502"/>
      <c r="Y419" s="502"/>
      <c r="Z419" s="502"/>
      <c r="AA419" s="534"/>
      <c r="AB419" s="502"/>
      <c r="AC419" s="502"/>
      <c r="AD419" s="502"/>
      <c r="AE419" s="502"/>
      <c r="AF419" s="534"/>
      <c r="AG419" s="502"/>
      <c r="AH419" s="502"/>
      <c r="AI419" s="502"/>
      <c r="AJ419" s="502"/>
      <c r="AK419" s="534"/>
      <c r="AL419" s="503"/>
      <c r="AM419" s="503"/>
      <c r="AN419" s="503"/>
      <c r="AO419" s="503"/>
      <c r="AP419" s="535"/>
      <c r="AQ419" s="535"/>
      <c r="AR419" s="537"/>
      <c r="AS419" s="537"/>
      <c r="AT419" s="537"/>
      <c r="AU419" s="536"/>
      <c r="AV419" s="535"/>
      <c r="AW419" s="537"/>
      <c r="AX419" s="2481"/>
      <c r="AY419" s="1926"/>
      <c r="AZ419" s="536"/>
      <c r="BA419" s="535"/>
      <c r="BB419" s="537"/>
      <c r="BC419" s="537"/>
      <c r="BD419" s="1926"/>
      <c r="BE419" s="1926"/>
      <c r="BF419" s="537"/>
      <c r="BG419" s="537"/>
      <c r="BH419" s="537"/>
      <c r="BI419" s="1926"/>
      <c r="BJ419" s="1926"/>
      <c r="BK419" s="537"/>
      <c r="BL419" s="537"/>
      <c r="BM419" s="537"/>
      <c r="BN419" s="1926"/>
      <c r="BO419" s="1926"/>
      <c r="BP419" s="537"/>
      <c r="BQ419" s="537"/>
      <c r="BR419" s="537"/>
      <c r="BS419" s="537"/>
      <c r="BT419" s="536"/>
      <c r="BU419" s="535"/>
      <c r="BV419" s="537"/>
      <c r="BW419" s="537"/>
      <c r="BX419" s="537"/>
      <c r="BY419" s="536"/>
      <c r="BZ419" s="536"/>
      <c r="CA419" s="536"/>
      <c r="CB419" s="536"/>
      <c r="CC419" s="536"/>
      <c r="CD419" s="536"/>
      <c r="CE419" s="536"/>
      <c r="CF419" s="536"/>
      <c r="CG419" s="331"/>
      <c r="CH419" s="331"/>
      <c r="CI419" s="331"/>
      <c r="CJ419" s="331"/>
      <c r="CK419" s="331"/>
      <c r="CL419" s="2036" t="str">
        <f t="shared" ref="CL419:CL425" si="1055">A419</f>
        <v>Hollywood - Columbus, OH</v>
      </c>
      <c r="CM419" s="537">
        <f>G419</f>
        <v>0</v>
      </c>
      <c r="CN419" s="537">
        <f>L419</f>
        <v>0</v>
      </c>
      <c r="CO419" s="537">
        <f>Q419</f>
        <v>0</v>
      </c>
      <c r="CP419" s="537">
        <f>V419</f>
        <v>0</v>
      </c>
      <c r="CQ419" s="537">
        <f>AA419</f>
        <v>0</v>
      </c>
      <c r="CR419" s="537">
        <f>AF419</f>
        <v>0</v>
      </c>
      <c r="CS419" s="537">
        <f>AK419</f>
        <v>0</v>
      </c>
      <c r="CT419" s="537">
        <f>AP419</f>
        <v>0</v>
      </c>
      <c r="CU419" s="537">
        <f>AU419</f>
        <v>0</v>
      </c>
      <c r="CV419" s="537">
        <f t="shared" ref="CV419:CV425" si="1056">AZ419</f>
        <v>0</v>
      </c>
      <c r="CW419" s="537">
        <f t="shared" ref="CW419:CW425" si="1057">BE419</f>
        <v>0</v>
      </c>
      <c r="CX419" s="537">
        <f t="shared" ref="CX419:CX425" si="1058">BJ419</f>
        <v>0</v>
      </c>
      <c r="CY419" s="537">
        <f t="shared" ref="CY419:CY425" si="1059">BO419</f>
        <v>0</v>
      </c>
      <c r="CZ419" s="537">
        <f t="shared" ref="CZ419:CZ425" si="1060">BT419</f>
        <v>0</v>
      </c>
      <c r="DA419" s="537">
        <f t="shared" ref="DA419:DC425" si="1061">BY419</f>
        <v>0</v>
      </c>
      <c r="DB419" s="537">
        <f t="shared" si="1061"/>
        <v>0</v>
      </c>
      <c r="DC419" s="1926">
        <f t="shared" si="1061"/>
        <v>0</v>
      </c>
      <c r="DD419" s="331"/>
      <c r="DE419" s="331"/>
      <c r="DF419" s="502"/>
      <c r="DG419" s="503"/>
      <c r="DH419" s="537"/>
      <c r="DI419" s="3213"/>
      <c r="DJ419" s="502"/>
      <c r="DK419" s="503"/>
      <c r="DL419" s="502"/>
      <c r="DM419" s="502"/>
      <c r="DN419" s="502"/>
      <c r="DO419" s="502"/>
      <c r="DP419" s="503"/>
      <c r="DQ419" s="503"/>
      <c r="DR419" s="428"/>
      <c r="DS419" s="428"/>
      <c r="DT419" s="428"/>
    </row>
    <row r="420" spans="1:124" ht="12" customHeight="1" x14ac:dyDescent="0.25">
      <c r="A420" s="281" t="s">
        <v>894</v>
      </c>
      <c r="B420" s="281"/>
      <c r="C420" s="305"/>
      <c r="D420" s="305"/>
      <c r="E420" s="305"/>
      <c r="F420" s="305"/>
      <c r="G420" s="345"/>
      <c r="H420" s="305"/>
      <c r="I420" s="305"/>
      <c r="J420" s="305"/>
      <c r="K420" s="305"/>
      <c r="L420" s="345"/>
      <c r="M420" s="305"/>
      <c r="N420" s="305"/>
      <c r="O420" s="305"/>
      <c r="P420" s="305"/>
      <c r="Q420" s="345"/>
      <c r="R420" s="305"/>
      <c r="S420" s="305"/>
      <c r="T420" s="305"/>
      <c r="U420" s="305"/>
      <c r="V420" s="345"/>
      <c r="W420" s="305"/>
      <c r="X420" s="305"/>
      <c r="Y420" s="305"/>
      <c r="Z420" s="305"/>
      <c r="AA420" s="345"/>
      <c r="AB420" s="305"/>
      <c r="AC420" s="305"/>
      <c r="AD420" s="305"/>
      <c r="AE420" s="331"/>
      <c r="AF420" s="348"/>
      <c r="AG420" s="305"/>
      <c r="AH420" s="305"/>
      <c r="AI420" s="305"/>
      <c r="AJ420" s="331"/>
      <c r="AK420" s="348"/>
      <c r="AL420" s="305"/>
      <c r="AM420" s="305"/>
      <c r="AN420" s="305"/>
      <c r="AO420" s="331"/>
      <c r="AP420" s="568"/>
      <c r="AQ420" s="568"/>
      <c r="AR420" s="330"/>
      <c r="AS420" s="330"/>
      <c r="AT420" s="330">
        <f>AT421+(AT422*AT$320)</f>
        <v>3663</v>
      </c>
      <c r="AU420" s="348"/>
      <c r="AV420" s="568">
        <f t="shared" ref="AV420:BE420" si="1062">AV421+(AV422*AV$320)</f>
        <v>3438</v>
      </c>
      <c r="AW420" s="330">
        <f t="shared" si="1062"/>
        <v>3209</v>
      </c>
      <c r="AX420" s="330">
        <f t="shared" si="1062"/>
        <v>3212</v>
      </c>
      <c r="AY420" s="1888">
        <f t="shared" si="1062"/>
        <v>3205</v>
      </c>
      <c r="AZ420" s="349">
        <f t="shared" si="1062"/>
        <v>3205</v>
      </c>
      <c r="BA420" s="330">
        <f t="shared" si="1062"/>
        <v>3198.6666666666665</v>
      </c>
      <c r="BB420" s="330">
        <f t="shared" si="1062"/>
        <v>3100</v>
      </c>
      <c r="BC420" s="330">
        <f t="shared" si="1062"/>
        <v>2945</v>
      </c>
      <c r="BD420" s="330">
        <f t="shared" si="1062"/>
        <v>2956</v>
      </c>
      <c r="BE420" s="349">
        <f t="shared" si="1062"/>
        <v>2956</v>
      </c>
      <c r="BF420" s="330">
        <f t="shared" ref="BF420:BO420" si="1063">BF421+(BF422*BF$320)</f>
        <v>2928</v>
      </c>
      <c r="BG420" s="330">
        <f t="shared" si="1063"/>
        <v>2919</v>
      </c>
      <c r="BH420" s="330">
        <f t="shared" si="1063"/>
        <v>2932</v>
      </c>
      <c r="BI420" s="330">
        <f t="shared" si="1063"/>
        <v>2950</v>
      </c>
      <c r="BJ420" s="349">
        <f t="shared" si="1063"/>
        <v>2950</v>
      </c>
      <c r="BK420" s="330">
        <f t="shared" si="1063"/>
        <v>2927</v>
      </c>
      <c r="BL420" s="330">
        <f t="shared" si="1063"/>
        <v>2895</v>
      </c>
      <c r="BM420" s="330">
        <f t="shared" si="1063"/>
        <v>2879</v>
      </c>
      <c r="BN420" s="330">
        <f t="shared" si="1063"/>
        <v>2873</v>
      </c>
      <c r="BO420" s="349">
        <f t="shared" si="1063"/>
        <v>2873</v>
      </c>
      <c r="BP420" s="330">
        <f t="shared" ref="BP420:CF420" si="1064">BP421+(BP422*BP$320)</f>
        <v>2865</v>
      </c>
      <c r="BQ420" s="330">
        <f t="shared" si="1064"/>
        <v>2858</v>
      </c>
      <c r="BR420" s="330">
        <f t="shared" si="1064"/>
        <v>2816</v>
      </c>
      <c r="BS420" s="330">
        <f t="shared" si="1064"/>
        <v>2833</v>
      </c>
      <c r="BT420" s="3222">
        <f t="shared" si="1064"/>
        <v>2833</v>
      </c>
      <c r="BU420" s="2909">
        <f t="shared" si="1064"/>
        <v>2823</v>
      </c>
      <c r="BV420" s="2909">
        <f>BV421+(BV422*BV$320)</f>
        <v>2823</v>
      </c>
      <c r="BW420" s="2909">
        <f>BW421+(BW422*BW$320)</f>
        <v>2823</v>
      </c>
      <c r="BX420" s="2909">
        <f>BX421+(BX422*BX$320)</f>
        <v>2823</v>
      </c>
      <c r="BY420" s="3222">
        <f>BY421+(BY422*BY$320)</f>
        <v>2823</v>
      </c>
      <c r="BZ420" s="349">
        <f t="shared" si="1064"/>
        <v>2823</v>
      </c>
      <c r="CA420" s="349">
        <f t="shared" si="1064"/>
        <v>2823</v>
      </c>
      <c r="CB420" s="349">
        <f t="shared" si="1064"/>
        <v>2823</v>
      </c>
      <c r="CC420" s="349">
        <f t="shared" si="1064"/>
        <v>2823</v>
      </c>
      <c r="CD420" s="349">
        <f t="shared" si="1064"/>
        <v>2823</v>
      </c>
      <c r="CE420" s="349">
        <f t="shared" si="1064"/>
        <v>2823</v>
      </c>
      <c r="CF420" s="349">
        <f t="shared" si="1064"/>
        <v>2823</v>
      </c>
      <c r="CG420" s="331"/>
      <c r="CH420" s="331"/>
      <c r="CI420" s="331"/>
      <c r="CJ420" s="331"/>
      <c r="CK420" s="331"/>
      <c r="CL420" s="520" t="str">
        <f t="shared" si="1055"/>
        <v>Positions</v>
      </c>
      <c r="CM420" s="330"/>
      <c r="CN420" s="330"/>
      <c r="CO420" s="330"/>
      <c r="CP420" s="330"/>
      <c r="CQ420" s="330"/>
      <c r="CR420" s="330"/>
      <c r="CS420" s="330"/>
      <c r="CT420" s="330"/>
      <c r="CU420" s="330"/>
      <c r="CV420" s="330">
        <f t="shared" si="1056"/>
        <v>3205</v>
      </c>
      <c r="CW420" s="330">
        <f t="shared" si="1057"/>
        <v>2956</v>
      </c>
      <c r="CX420" s="330">
        <f t="shared" si="1058"/>
        <v>2950</v>
      </c>
      <c r="CY420" s="330">
        <f t="shared" si="1059"/>
        <v>2873</v>
      </c>
      <c r="CZ420" s="330">
        <f t="shared" si="1060"/>
        <v>2833</v>
      </c>
      <c r="DA420" s="330">
        <f t="shared" si="1061"/>
        <v>2823</v>
      </c>
      <c r="DB420" s="330">
        <f t="shared" si="1061"/>
        <v>2823</v>
      </c>
      <c r="DC420" s="1888">
        <f t="shared" si="1061"/>
        <v>2823</v>
      </c>
      <c r="DD420" s="331"/>
      <c r="DE420" s="331"/>
      <c r="DF420" s="502"/>
      <c r="DG420" s="503"/>
      <c r="DH420" s="2601"/>
      <c r="DI420" s="3213"/>
      <c r="DJ420" s="502"/>
      <c r="DK420" s="503"/>
      <c r="DL420" s="502"/>
      <c r="DM420" s="502"/>
      <c r="DN420" s="502"/>
      <c r="DO420" s="502"/>
      <c r="DP420" s="503"/>
      <c r="DQ420" s="503"/>
      <c r="DR420" s="296"/>
      <c r="DS420" s="296"/>
      <c r="DT420" s="296"/>
    </row>
    <row r="421" spans="1:124" ht="12" customHeight="1" x14ac:dyDescent="0.25">
      <c r="A421" s="281" t="s">
        <v>585</v>
      </c>
      <c r="B421" s="281"/>
      <c r="C421" s="340"/>
      <c r="D421" s="340"/>
      <c r="E421" s="340"/>
      <c r="F421" s="340"/>
      <c r="G421" s="345"/>
      <c r="H421" s="340"/>
      <c r="I421" s="340"/>
      <c r="J421" s="340"/>
      <c r="K421" s="340"/>
      <c r="L421" s="345"/>
      <c r="M421" s="340"/>
      <c r="N421" s="340"/>
      <c r="O421" s="340"/>
      <c r="P421" s="340"/>
      <c r="Q421" s="345"/>
      <c r="R421" s="340"/>
      <c r="S421" s="340"/>
      <c r="T421" s="340"/>
      <c r="U421" s="340"/>
      <c r="V421" s="345"/>
      <c r="W421" s="340"/>
      <c r="X421" s="340"/>
      <c r="Y421" s="340"/>
      <c r="Z421" s="340"/>
      <c r="AA421" s="345"/>
      <c r="AB421" s="340"/>
      <c r="AC421" s="340"/>
      <c r="AD421" s="340"/>
      <c r="AE421" s="339"/>
      <c r="AF421" s="348"/>
      <c r="AG421" s="340"/>
      <c r="AH421" s="340"/>
      <c r="AI421" s="340"/>
      <c r="AJ421" s="339"/>
      <c r="AK421" s="348"/>
      <c r="AL421" s="340"/>
      <c r="AM421" s="340"/>
      <c r="AN421" s="340"/>
      <c r="AO421" s="339"/>
      <c r="AP421" s="568"/>
      <c r="AQ421" s="568"/>
      <c r="AR421" s="330"/>
      <c r="AS421" s="330"/>
      <c r="AT421" s="338">
        <v>3015</v>
      </c>
      <c r="AU421" s="348"/>
      <c r="AV421" s="1677">
        <v>2766</v>
      </c>
      <c r="AW421" s="338">
        <v>2525</v>
      </c>
      <c r="AX421" s="338">
        <v>2524</v>
      </c>
      <c r="AY421" s="338">
        <v>2517</v>
      </c>
      <c r="AZ421" s="348">
        <f>+AY421</f>
        <v>2517</v>
      </c>
      <c r="BA421" s="2655">
        <v>2508.6666666666665</v>
      </c>
      <c r="BB421" s="2655">
        <v>2410</v>
      </c>
      <c r="BC421" s="2655">
        <v>2261</v>
      </c>
      <c r="BD421" s="2942">
        <v>2272</v>
      </c>
      <c r="BE421" s="348">
        <f>+BD421</f>
        <v>2272</v>
      </c>
      <c r="BF421" s="2655">
        <v>2244</v>
      </c>
      <c r="BG421" s="2655">
        <v>2235</v>
      </c>
      <c r="BH421" s="2655">
        <v>2248</v>
      </c>
      <c r="BI421" s="2655">
        <v>2266</v>
      </c>
      <c r="BJ421" s="348">
        <f>+BI421</f>
        <v>2266</v>
      </c>
      <c r="BK421" s="2942">
        <v>2243</v>
      </c>
      <c r="BL421" s="2942">
        <v>2247</v>
      </c>
      <c r="BM421" s="2942">
        <v>2249</v>
      </c>
      <c r="BN421" s="2942">
        <v>2249</v>
      </c>
      <c r="BO421" s="348">
        <f>+BN421</f>
        <v>2249</v>
      </c>
      <c r="BP421" s="2942">
        <v>2241</v>
      </c>
      <c r="BQ421" s="2942">
        <v>2234</v>
      </c>
      <c r="BR421" s="2942">
        <v>2252</v>
      </c>
      <c r="BS421" s="2942">
        <v>2245</v>
      </c>
      <c r="BT421" s="3081">
        <f>+BS421</f>
        <v>2245</v>
      </c>
      <c r="BU421" s="2942">
        <v>2235</v>
      </c>
      <c r="BV421" s="2079">
        <f t="shared" ref="BV421:BX422" si="1065">+BU421</f>
        <v>2235</v>
      </c>
      <c r="BW421" s="2079">
        <f t="shared" si="1065"/>
        <v>2235</v>
      </c>
      <c r="BX421" s="2079">
        <f t="shared" si="1065"/>
        <v>2235</v>
      </c>
      <c r="BY421" s="3081">
        <f>+BX421</f>
        <v>2235</v>
      </c>
      <c r="BZ421" s="2564">
        <f>BY421</f>
        <v>2235</v>
      </c>
      <c r="CA421" s="2564">
        <f>BZ421</f>
        <v>2235</v>
      </c>
      <c r="CB421" s="2564">
        <f t="shared" ref="CB421:CF422" si="1066">CA421</f>
        <v>2235</v>
      </c>
      <c r="CC421" s="2564">
        <f t="shared" si="1066"/>
        <v>2235</v>
      </c>
      <c r="CD421" s="2564">
        <f t="shared" si="1066"/>
        <v>2235</v>
      </c>
      <c r="CE421" s="2564">
        <f t="shared" si="1066"/>
        <v>2235</v>
      </c>
      <c r="CF421" s="2564">
        <f t="shared" si="1066"/>
        <v>2235</v>
      </c>
      <c r="CG421" s="331"/>
      <c r="CH421" s="331"/>
      <c r="CI421" s="331"/>
      <c r="CJ421" s="331"/>
      <c r="CK421" s="331"/>
      <c r="CL421" s="520" t="str">
        <f t="shared" si="1055"/>
        <v>Slots</v>
      </c>
      <c r="CM421" s="330"/>
      <c r="CN421" s="330"/>
      <c r="CO421" s="330"/>
      <c r="CP421" s="330"/>
      <c r="CQ421" s="330"/>
      <c r="CR421" s="330"/>
      <c r="CS421" s="330"/>
      <c r="CT421" s="330"/>
      <c r="CU421" s="330"/>
      <c r="CV421" s="330">
        <f t="shared" si="1056"/>
        <v>2517</v>
      </c>
      <c r="CW421" s="330">
        <f t="shared" si="1057"/>
        <v>2272</v>
      </c>
      <c r="CX421" s="330">
        <f t="shared" si="1058"/>
        <v>2266</v>
      </c>
      <c r="CY421" s="330">
        <f t="shared" si="1059"/>
        <v>2249</v>
      </c>
      <c r="CZ421" s="330">
        <f t="shared" si="1060"/>
        <v>2245</v>
      </c>
      <c r="DA421" s="330">
        <f t="shared" si="1061"/>
        <v>2235</v>
      </c>
      <c r="DB421" s="330">
        <f t="shared" si="1061"/>
        <v>2235</v>
      </c>
      <c r="DC421" s="1888">
        <f t="shared" si="1061"/>
        <v>2235</v>
      </c>
      <c r="DD421" s="331"/>
      <c r="DE421" s="331"/>
      <c r="DF421" s="502"/>
      <c r="DG421" s="503"/>
      <c r="DH421" s="2909"/>
      <c r="DI421" s="3213"/>
      <c r="DJ421" s="502"/>
      <c r="DK421" s="503"/>
      <c r="DL421" s="502"/>
      <c r="DM421" s="502"/>
      <c r="DN421" s="502"/>
      <c r="DO421" s="502"/>
      <c r="DP421" s="503"/>
      <c r="DQ421" s="503"/>
      <c r="DR421" s="296"/>
      <c r="DS421" s="296"/>
      <c r="DT421" s="296"/>
    </row>
    <row r="422" spans="1:124" ht="12" customHeight="1" x14ac:dyDescent="0.25">
      <c r="A422" s="281" t="s">
        <v>584</v>
      </c>
      <c r="B422" s="281"/>
      <c r="C422" s="340"/>
      <c r="D422" s="340"/>
      <c r="E422" s="340"/>
      <c r="F422" s="340"/>
      <c r="G422" s="345"/>
      <c r="H422" s="340"/>
      <c r="I422" s="340"/>
      <c r="J422" s="340"/>
      <c r="K422" s="340"/>
      <c r="L422" s="345"/>
      <c r="M422" s="340"/>
      <c r="N422" s="340"/>
      <c r="O422" s="340"/>
      <c r="P422" s="340"/>
      <c r="Q422" s="345"/>
      <c r="R422" s="340"/>
      <c r="S422" s="340"/>
      <c r="T422" s="340"/>
      <c r="U422" s="340"/>
      <c r="V422" s="345"/>
      <c r="W422" s="340"/>
      <c r="X422" s="340"/>
      <c r="Y422" s="340"/>
      <c r="Z422" s="340"/>
      <c r="AA422" s="345"/>
      <c r="AB422" s="340"/>
      <c r="AC422" s="340"/>
      <c r="AD422" s="340"/>
      <c r="AE422" s="339"/>
      <c r="AF422" s="348"/>
      <c r="AG422" s="340"/>
      <c r="AH422" s="340"/>
      <c r="AI422" s="340"/>
      <c r="AJ422" s="339"/>
      <c r="AK422" s="348"/>
      <c r="AL422" s="340"/>
      <c r="AM422" s="340"/>
      <c r="AN422" s="340"/>
      <c r="AO422" s="339"/>
      <c r="AP422" s="568"/>
      <c r="AQ422" s="568"/>
      <c r="AR422" s="330"/>
      <c r="AS422" s="330"/>
      <c r="AT422" s="338">
        <v>108</v>
      </c>
      <c r="AU422" s="348"/>
      <c r="AV422" s="1677">
        <v>112</v>
      </c>
      <c r="AW422" s="338">
        <v>114</v>
      </c>
      <c r="AX422" s="338">
        <v>114.66666666666667</v>
      </c>
      <c r="AY422" s="338">
        <v>114.66666666666667</v>
      </c>
      <c r="AZ422" s="348">
        <f>+AY422</f>
        <v>114.66666666666667</v>
      </c>
      <c r="BA422" s="2655">
        <v>115</v>
      </c>
      <c r="BB422" s="2655">
        <v>115</v>
      </c>
      <c r="BC422" s="2655">
        <v>114</v>
      </c>
      <c r="BD422" s="2942">
        <v>114</v>
      </c>
      <c r="BE422" s="348">
        <f>+BD422</f>
        <v>114</v>
      </c>
      <c r="BF422" s="2655">
        <f>+BE422</f>
        <v>114</v>
      </c>
      <c r="BG422" s="2655">
        <f>+BF422</f>
        <v>114</v>
      </c>
      <c r="BH422" s="2655">
        <f>+BG422</f>
        <v>114</v>
      </c>
      <c r="BI422" s="2655">
        <f>+BH422</f>
        <v>114</v>
      </c>
      <c r="BJ422" s="348">
        <f>+BI422</f>
        <v>114</v>
      </c>
      <c r="BK422" s="2942">
        <v>114</v>
      </c>
      <c r="BL422" s="2942">
        <v>108</v>
      </c>
      <c r="BM422" s="2942">
        <v>105</v>
      </c>
      <c r="BN422" s="2942">
        <v>104</v>
      </c>
      <c r="BO422" s="348">
        <f>+BN422</f>
        <v>104</v>
      </c>
      <c r="BP422" s="2942">
        <v>104</v>
      </c>
      <c r="BQ422" s="2942">
        <v>104</v>
      </c>
      <c r="BR422" s="2942">
        <v>94</v>
      </c>
      <c r="BS422" s="2942">
        <v>98</v>
      </c>
      <c r="BT422" s="3081">
        <f>+BS422</f>
        <v>98</v>
      </c>
      <c r="BU422" s="2942">
        <v>98</v>
      </c>
      <c r="BV422" s="2079">
        <f t="shared" si="1065"/>
        <v>98</v>
      </c>
      <c r="BW422" s="2079">
        <f t="shared" si="1065"/>
        <v>98</v>
      </c>
      <c r="BX422" s="2079">
        <f t="shared" si="1065"/>
        <v>98</v>
      </c>
      <c r="BY422" s="3081">
        <f>+BX422</f>
        <v>98</v>
      </c>
      <c r="BZ422" s="2564">
        <f>BY422</f>
        <v>98</v>
      </c>
      <c r="CA422" s="2564">
        <f>BZ422</f>
        <v>98</v>
      </c>
      <c r="CB422" s="2564">
        <f t="shared" si="1066"/>
        <v>98</v>
      </c>
      <c r="CC422" s="2564">
        <f t="shared" si="1066"/>
        <v>98</v>
      </c>
      <c r="CD422" s="2564">
        <f t="shared" si="1066"/>
        <v>98</v>
      </c>
      <c r="CE422" s="2564">
        <f t="shared" si="1066"/>
        <v>98</v>
      </c>
      <c r="CF422" s="2564">
        <f t="shared" si="1066"/>
        <v>98</v>
      </c>
      <c r="CG422" s="331"/>
      <c r="CH422" s="331"/>
      <c r="CI422" s="331"/>
      <c r="CJ422" s="331"/>
      <c r="CK422" s="331"/>
      <c r="CL422" s="520" t="str">
        <f t="shared" si="1055"/>
        <v>Tables</v>
      </c>
      <c r="CM422" s="330"/>
      <c r="CN422" s="330"/>
      <c r="CO422" s="330"/>
      <c r="CP422" s="330"/>
      <c r="CQ422" s="330"/>
      <c r="CR422" s="330"/>
      <c r="CS422" s="330"/>
      <c r="CT422" s="330"/>
      <c r="CU422" s="330"/>
      <c r="CV422" s="330">
        <f t="shared" si="1056"/>
        <v>114.66666666666667</v>
      </c>
      <c r="CW422" s="330">
        <f t="shared" si="1057"/>
        <v>114</v>
      </c>
      <c r="CX422" s="330">
        <f t="shared" si="1058"/>
        <v>114</v>
      </c>
      <c r="CY422" s="330">
        <f t="shared" si="1059"/>
        <v>104</v>
      </c>
      <c r="CZ422" s="330">
        <f t="shared" si="1060"/>
        <v>98</v>
      </c>
      <c r="DA422" s="330">
        <f t="shared" si="1061"/>
        <v>98</v>
      </c>
      <c r="DB422" s="330">
        <f t="shared" si="1061"/>
        <v>98</v>
      </c>
      <c r="DC422" s="1888">
        <f t="shared" si="1061"/>
        <v>98</v>
      </c>
      <c r="DD422" s="331"/>
      <c r="DE422" s="331"/>
      <c r="DF422" s="502"/>
      <c r="DG422" s="503"/>
      <c r="DH422" s="2909"/>
      <c r="DI422" s="3213"/>
      <c r="DJ422" s="502"/>
      <c r="DK422" s="503"/>
      <c r="DL422" s="502"/>
      <c r="DM422" s="502"/>
      <c r="DN422" s="502"/>
      <c r="DO422" s="502"/>
      <c r="DP422" s="503"/>
      <c r="DQ422" s="503"/>
      <c r="DR422" s="296"/>
      <c r="DS422" s="296"/>
      <c r="DT422" s="296"/>
    </row>
    <row r="423" spans="1:124" ht="12" customHeight="1" x14ac:dyDescent="0.25">
      <c r="A423" s="511" t="s">
        <v>2111</v>
      </c>
      <c r="B423" s="281"/>
      <c r="C423" s="340"/>
      <c r="D423" s="305"/>
      <c r="E423" s="305"/>
      <c r="F423" s="305"/>
      <c r="G423" s="345"/>
      <c r="H423" s="305"/>
      <c r="I423" s="305"/>
      <c r="J423" s="305"/>
      <c r="K423" s="305"/>
      <c r="L423" s="345"/>
      <c r="M423" s="305"/>
      <c r="N423" s="305"/>
      <c r="O423" s="305"/>
      <c r="P423" s="305"/>
      <c r="Q423" s="345"/>
      <c r="R423" s="305"/>
      <c r="S423" s="305"/>
      <c r="T423" s="305"/>
      <c r="U423" s="305"/>
      <c r="V423" s="345"/>
      <c r="W423" s="305"/>
      <c r="X423" s="305"/>
      <c r="Y423" s="305"/>
      <c r="Z423" s="305"/>
      <c r="AA423" s="345"/>
      <c r="AB423" s="305"/>
      <c r="AC423" s="305"/>
      <c r="AD423" s="305"/>
      <c r="AE423" s="331"/>
      <c r="AF423" s="348"/>
      <c r="AG423" s="305"/>
      <c r="AH423" s="305"/>
      <c r="AI423" s="305"/>
      <c r="AJ423" s="331"/>
      <c r="AK423" s="348"/>
      <c r="AL423" s="305"/>
      <c r="AM423" s="305"/>
      <c r="AN423" s="305"/>
      <c r="AO423" s="331"/>
      <c r="AP423" s="568"/>
      <c r="AQ423" s="568"/>
      <c r="AR423" s="330"/>
      <c r="AS423" s="330"/>
      <c r="AT423" s="330">
        <f>AT420</f>
        <v>3663</v>
      </c>
      <c r="AU423" s="348"/>
      <c r="AV423" s="330">
        <f>+AVERAGE(AT420,AV420)</f>
        <v>3550.5</v>
      </c>
      <c r="AW423" s="330">
        <f>+AVERAGE(AV420:AW420)</f>
        <v>3323.5</v>
      </c>
      <c r="AX423" s="330">
        <f>+AVERAGE(AW420:AX420)</f>
        <v>3210.5</v>
      </c>
      <c r="AY423" s="330">
        <f>+AVERAGE(AX420:AY420)</f>
        <v>3208.5</v>
      </c>
      <c r="AZ423" s="348">
        <f>+AVERAGE(AV420:AY420)</f>
        <v>3266</v>
      </c>
      <c r="BA423" s="330">
        <f>+AVERAGE(AY420,BA420)</f>
        <v>3201.833333333333</v>
      </c>
      <c r="BB423" s="330">
        <f>+AVERAGE(BA420:BB420)</f>
        <v>3149.333333333333</v>
      </c>
      <c r="BC423" s="330">
        <f>+AVERAGE(BB420:BC420)</f>
        <v>3022.5</v>
      </c>
      <c r="BD423" s="330">
        <f>+AVERAGE(BC420:BD420)</f>
        <v>2950.5</v>
      </c>
      <c r="BE423" s="348">
        <f>+AVERAGE(BA420:BD420)</f>
        <v>3049.9166666666665</v>
      </c>
      <c r="BF423" s="330">
        <f>+AVERAGE(BE420:BF420)</f>
        <v>2942</v>
      </c>
      <c r="BG423" s="330">
        <f>+AVERAGE(BF420:BG420)</f>
        <v>2923.5</v>
      </c>
      <c r="BH423" s="330">
        <f>+AVERAGE(BG420:BH420)</f>
        <v>2925.5</v>
      </c>
      <c r="BI423" s="330">
        <f>+AVERAGE(BH420:BI420)</f>
        <v>2941</v>
      </c>
      <c r="BJ423" s="348">
        <f>+AVERAGE(BF420:BI420)</f>
        <v>2932.25</v>
      </c>
      <c r="BK423" s="330">
        <f>+AVERAGE(BJ420:BK420)</f>
        <v>2938.5</v>
      </c>
      <c r="BL423" s="330">
        <f>+AVERAGE(BK420:BL420)</f>
        <v>2911</v>
      </c>
      <c r="BM423" s="330">
        <f>+AVERAGE(BL420:BM420)</f>
        <v>2887</v>
      </c>
      <c r="BN423" s="330">
        <f>+AVERAGE(BM420:BN420)</f>
        <v>2876</v>
      </c>
      <c r="BO423" s="348">
        <f>+AVERAGE(BK420:BN420)</f>
        <v>2893.5</v>
      </c>
      <c r="BP423" s="330">
        <f>+AVERAGE(BO420:BP420)</f>
        <v>2869</v>
      </c>
      <c r="BQ423" s="330">
        <f>+AVERAGE(BP420:BQ420)</f>
        <v>2861.5</v>
      </c>
      <c r="BR423" s="330">
        <f>+AVERAGE(BQ420:BR420)</f>
        <v>2837</v>
      </c>
      <c r="BS423" s="330">
        <f>+AVERAGE(BR420:BS420)</f>
        <v>2824.5</v>
      </c>
      <c r="BT423" s="3222">
        <f>+AVERAGE(BP420:BS420)</f>
        <v>2843</v>
      </c>
      <c r="BU423" s="2909">
        <f>+AVERAGE(BT420:BU420)</f>
        <v>2828</v>
      </c>
      <c r="BV423" s="2909">
        <f>+AVERAGE(BU420:BV420)</f>
        <v>2823</v>
      </c>
      <c r="BW423" s="2909">
        <f>+AVERAGE(BV420:BW420)</f>
        <v>2823</v>
      </c>
      <c r="BX423" s="2909">
        <f>+AVERAGE(BW420:BX420)</f>
        <v>2823</v>
      </c>
      <c r="BY423" s="3222">
        <f>+AVERAGE(BU420:BX420)</f>
        <v>2823</v>
      </c>
      <c r="BZ423" s="349">
        <f t="shared" ref="BZ423:CF423" si="1067">AVERAGE(BY420:BZ420)</f>
        <v>2823</v>
      </c>
      <c r="CA423" s="349">
        <f t="shared" si="1067"/>
        <v>2823</v>
      </c>
      <c r="CB423" s="349">
        <f t="shared" si="1067"/>
        <v>2823</v>
      </c>
      <c r="CC423" s="349">
        <f t="shared" si="1067"/>
        <v>2823</v>
      </c>
      <c r="CD423" s="349">
        <f t="shared" si="1067"/>
        <v>2823</v>
      </c>
      <c r="CE423" s="349">
        <f t="shared" si="1067"/>
        <v>2823</v>
      </c>
      <c r="CF423" s="349">
        <f t="shared" si="1067"/>
        <v>2823</v>
      </c>
      <c r="CG423" s="331"/>
      <c r="CH423" s="331"/>
      <c r="CI423" s="331"/>
      <c r="CJ423" s="331"/>
      <c r="CK423" s="331"/>
      <c r="CL423" s="1118" t="str">
        <f t="shared" si="1055"/>
        <v>Average Positions</v>
      </c>
      <c r="CM423" s="330"/>
      <c r="CN423" s="330"/>
      <c r="CO423" s="330"/>
      <c r="CP423" s="330"/>
      <c r="CQ423" s="330"/>
      <c r="CR423" s="330"/>
      <c r="CS423" s="330"/>
      <c r="CT423" s="330"/>
      <c r="CU423" s="330"/>
      <c r="CV423" s="330">
        <f t="shared" si="1056"/>
        <v>3266</v>
      </c>
      <c r="CW423" s="330">
        <f t="shared" si="1057"/>
        <v>3049.9166666666665</v>
      </c>
      <c r="CX423" s="330">
        <f t="shared" si="1058"/>
        <v>2932.25</v>
      </c>
      <c r="CY423" s="330">
        <f t="shared" si="1059"/>
        <v>2893.5</v>
      </c>
      <c r="CZ423" s="330">
        <f t="shared" si="1060"/>
        <v>2843</v>
      </c>
      <c r="DA423" s="330">
        <f t="shared" si="1061"/>
        <v>2823</v>
      </c>
      <c r="DB423" s="330">
        <f t="shared" si="1061"/>
        <v>2823</v>
      </c>
      <c r="DC423" s="1888">
        <f t="shared" si="1061"/>
        <v>2823</v>
      </c>
      <c r="DD423" s="331"/>
      <c r="DE423" s="331"/>
      <c r="DF423" s="502"/>
      <c r="DG423" s="503"/>
      <c r="DH423" s="2601"/>
      <c r="DI423" s="3213"/>
      <c r="DJ423" s="502"/>
      <c r="DK423" s="503"/>
      <c r="DL423" s="502"/>
      <c r="DM423" s="502"/>
      <c r="DN423" s="502"/>
      <c r="DO423" s="502"/>
      <c r="DP423" s="503"/>
      <c r="DQ423" s="503"/>
      <c r="DR423" s="296"/>
      <c r="DS423" s="296"/>
      <c r="DT423" s="296"/>
    </row>
    <row r="424" spans="1:124" ht="12" customHeight="1" x14ac:dyDescent="0.25">
      <c r="A424" s="557" t="s">
        <v>901</v>
      </c>
      <c r="B424" s="558"/>
      <c r="C424" s="318"/>
      <c r="D424" s="318"/>
      <c r="E424" s="318"/>
      <c r="F424" s="318"/>
      <c r="G424" s="559"/>
      <c r="H424" s="318"/>
      <c r="I424" s="318"/>
      <c r="J424" s="318"/>
      <c r="K424" s="318"/>
      <c r="L424" s="559"/>
      <c r="M424" s="318"/>
      <c r="N424" s="318"/>
      <c r="O424" s="318"/>
      <c r="P424" s="318"/>
      <c r="Q424" s="559"/>
      <c r="R424" s="318"/>
      <c r="S424" s="318"/>
      <c r="T424" s="318"/>
      <c r="U424" s="318"/>
      <c r="V424" s="559"/>
      <c r="W424" s="318"/>
      <c r="X424" s="318"/>
      <c r="Y424" s="318"/>
      <c r="Z424" s="318"/>
      <c r="AA424" s="559"/>
      <c r="AB424" s="318"/>
      <c r="AC424" s="318"/>
      <c r="AD424" s="318"/>
      <c r="AE424" s="560"/>
      <c r="AF424" s="561"/>
      <c r="AG424" s="318"/>
      <c r="AH424" s="318"/>
      <c r="AI424" s="318"/>
      <c r="AJ424" s="560"/>
      <c r="AK424" s="561"/>
      <c r="AL424" s="318"/>
      <c r="AM424" s="318"/>
      <c r="AN424" s="318"/>
      <c r="AO424" s="560"/>
      <c r="AP424" s="562"/>
      <c r="AQ424" s="562"/>
      <c r="AR424" s="560"/>
      <c r="AS424" s="560"/>
      <c r="AT424" s="2078">
        <f>+AT427*1000000/AT423/84</f>
        <v>182.76098176098179</v>
      </c>
      <c r="AU424" s="561"/>
      <c r="AV424" s="2658">
        <f t="shared" ref="AV424:BR424" si="1068">+AV427*1000000/AV423/AV5</f>
        <v>180.51637797493308</v>
      </c>
      <c r="AW424" s="2656">
        <f t="shared" si="1068"/>
        <v>169.67504467850489</v>
      </c>
      <c r="AX424" s="2656">
        <f t="shared" si="1068"/>
        <v>169.56608072696244</v>
      </c>
      <c r="AY424" s="2657">
        <f t="shared" si="1068"/>
        <v>175.2441713925646</v>
      </c>
      <c r="AZ424" s="561">
        <f t="shared" si="1068"/>
        <v>176.84264778666036</v>
      </c>
      <c r="BA424" s="2656">
        <f t="shared" si="1068"/>
        <v>185.73276421494634</v>
      </c>
      <c r="BB424" s="2656">
        <f t="shared" si="1068"/>
        <v>180.15254929236724</v>
      </c>
      <c r="BC424" s="2656">
        <f t="shared" si="1068"/>
        <v>185.00619322472761</v>
      </c>
      <c r="BD424" s="2943">
        <f t="shared" si="1068"/>
        <v>189.87753365310223</v>
      </c>
      <c r="BE424" s="561">
        <f t="shared" si="1068"/>
        <v>186.96908791953669</v>
      </c>
      <c r="BF424" s="2943">
        <f t="shared" si="1068"/>
        <v>199.40490218294431</v>
      </c>
      <c r="BG424" s="2943">
        <f t="shared" si="1068"/>
        <v>201.01588303948486</v>
      </c>
      <c r="BH424" s="2943">
        <f t="shared" si="1068"/>
        <v>190.31831050805138</v>
      </c>
      <c r="BI424" s="2943">
        <f t="shared" si="1068"/>
        <v>195.28182494862733</v>
      </c>
      <c r="BJ424" s="561">
        <f t="shared" si="1068"/>
        <v>196.52737559754124</v>
      </c>
      <c r="BK424" s="2943">
        <f t="shared" si="1068"/>
        <v>206.8530417515104</v>
      </c>
      <c r="BL424" s="2943">
        <f t="shared" si="1068"/>
        <v>201.59324804360872</v>
      </c>
      <c r="BM424" s="2943">
        <f t="shared" si="1068"/>
        <v>196.59420927395672</v>
      </c>
      <c r="BN424" s="2943">
        <f t="shared" si="1068"/>
        <v>199.33167639233233</v>
      </c>
      <c r="BO424" s="561">
        <f t="shared" si="1068"/>
        <v>201.76489005411602</v>
      </c>
      <c r="BP424" s="2943">
        <f t="shared" si="1068"/>
        <v>219.64968049262228</v>
      </c>
      <c r="BQ424" s="2943">
        <f t="shared" si="1068"/>
        <v>211.01683010332314</v>
      </c>
      <c r="BR424" s="2943">
        <f t="shared" si="1068"/>
        <v>211.6249827588849</v>
      </c>
      <c r="BS424" s="2943">
        <f t="shared" ref="BS424" si="1069">+BS427*1000000/BS423/BS5</f>
        <v>207.93244668159815</v>
      </c>
      <c r="BT424" s="2589">
        <f>+BT427*1000000/BT423/BT5</f>
        <v>212.90536525665055</v>
      </c>
      <c r="BU424" s="2588">
        <f>BP424*(1+BU425)</f>
        <v>221.84617729754851</v>
      </c>
      <c r="BV424" s="2588">
        <f>BQ424*(1+BV425)</f>
        <v>213.12699840435639</v>
      </c>
      <c r="BW424" s="2588">
        <f>BR424*(1+BW425)</f>
        <v>213.74123258647376</v>
      </c>
      <c r="BX424" s="2588">
        <f>BS424*(1+BX425)</f>
        <v>210.01177114841414</v>
      </c>
      <c r="BY424" s="2589">
        <f>+BY427*1000000/BY423/BY5</f>
        <v>216.25073988043468</v>
      </c>
      <c r="BZ424" s="2589">
        <f t="shared" ref="BZ424:CF424" si="1070">+BY424*(1+BZ425)</f>
        <v>218.41324727923902</v>
      </c>
      <c r="CA424" s="2589">
        <f t="shared" si="1070"/>
        <v>218.41324727923902</v>
      </c>
      <c r="CB424" s="2589">
        <f t="shared" si="1070"/>
        <v>207.49258491527706</v>
      </c>
      <c r="CC424" s="2589">
        <f t="shared" si="1070"/>
        <v>197.11795566951321</v>
      </c>
      <c r="CD424" s="2589">
        <f t="shared" si="1070"/>
        <v>201.06031478290348</v>
      </c>
      <c r="CE424" s="2589">
        <f t="shared" si="1070"/>
        <v>205.08152107856154</v>
      </c>
      <c r="CF424" s="2589">
        <f t="shared" si="1070"/>
        <v>209.18315150013277</v>
      </c>
      <c r="CG424" s="560"/>
      <c r="CH424" s="560"/>
      <c r="CI424" s="560"/>
      <c r="CJ424" s="560"/>
      <c r="CK424" s="560"/>
      <c r="CL424" s="1307" t="str">
        <f t="shared" si="1055"/>
        <v>Daily Win / Position</v>
      </c>
      <c r="CM424" s="560"/>
      <c r="CN424" s="560"/>
      <c r="CO424" s="560"/>
      <c r="CP424" s="560"/>
      <c r="CQ424" s="560"/>
      <c r="CR424" s="560"/>
      <c r="CS424" s="560"/>
      <c r="CT424" s="560"/>
      <c r="CU424" s="560"/>
      <c r="CV424" s="560">
        <f t="shared" si="1056"/>
        <v>176.84264778666036</v>
      </c>
      <c r="CW424" s="560">
        <f t="shared" si="1057"/>
        <v>186.96908791953669</v>
      </c>
      <c r="CX424" s="560">
        <f t="shared" si="1058"/>
        <v>196.52737559754124</v>
      </c>
      <c r="CY424" s="560">
        <f t="shared" si="1059"/>
        <v>201.76489005411602</v>
      </c>
      <c r="CZ424" s="560">
        <f t="shared" si="1060"/>
        <v>212.90536525665055</v>
      </c>
      <c r="DA424" s="560">
        <f t="shared" si="1061"/>
        <v>216.25073988043468</v>
      </c>
      <c r="DB424" s="560">
        <f t="shared" si="1061"/>
        <v>218.41324727923902</v>
      </c>
      <c r="DC424" s="1878">
        <f t="shared" si="1061"/>
        <v>218.41324727923902</v>
      </c>
      <c r="DD424" s="560"/>
      <c r="DE424" s="560"/>
      <c r="DF424" s="707"/>
      <c r="DG424" s="707"/>
      <c r="DH424" s="2588"/>
      <c r="DI424" s="3213"/>
      <c r="DJ424" s="707"/>
      <c r="DK424" s="707"/>
      <c r="DL424" s="707"/>
      <c r="DM424" s="707"/>
      <c r="DN424" s="707"/>
      <c r="DO424" s="707"/>
      <c r="DP424" s="707"/>
      <c r="DQ424" s="707"/>
      <c r="DR424" s="968"/>
      <c r="DS424" s="968"/>
      <c r="DT424" s="968"/>
    </row>
    <row r="425" spans="1:124" ht="12" customHeight="1" x14ac:dyDescent="0.25">
      <c r="A425" s="465" t="s">
        <v>1491</v>
      </c>
      <c r="B425" s="281"/>
      <c r="C425" s="472"/>
      <c r="D425" s="472"/>
      <c r="E425" s="472"/>
      <c r="F425" s="472"/>
      <c r="G425" s="491"/>
      <c r="H425" s="472"/>
      <c r="I425" s="472"/>
      <c r="J425" s="472"/>
      <c r="K425" s="472"/>
      <c r="L425" s="491"/>
      <c r="M425" s="472"/>
      <c r="N425" s="472"/>
      <c r="O425" s="472"/>
      <c r="P425" s="472"/>
      <c r="Q425" s="491"/>
      <c r="R425" s="472"/>
      <c r="S425" s="472"/>
      <c r="T425" s="472"/>
      <c r="U425" s="472"/>
      <c r="V425" s="491"/>
      <c r="W425" s="472"/>
      <c r="X425" s="472"/>
      <c r="Y425" s="472"/>
      <c r="Z425" s="472"/>
      <c r="AA425" s="491"/>
      <c r="AB425" s="472"/>
      <c r="AC425" s="472"/>
      <c r="AD425" s="472"/>
      <c r="AE425" s="492"/>
      <c r="AF425" s="493"/>
      <c r="AG425" s="472"/>
      <c r="AH425" s="472"/>
      <c r="AI425" s="472"/>
      <c r="AJ425" s="492"/>
      <c r="AK425" s="493"/>
      <c r="AL425" s="472"/>
      <c r="AM425" s="472"/>
      <c r="AN425" s="472"/>
      <c r="AO425" s="442"/>
      <c r="AP425" s="569"/>
      <c r="AQ425" s="569"/>
      <c r="AR425" s="442"/>
      <c r="AS425" s="442"/>
      <c r="AT425" s="973" t="s">
        <v>553</v>
      </c>
      <c r="AU425" s="493"/>
      <c r="AV425" s="1618" t="s">
        <v>553</v>
      </c>
      <c r="AW425" s="519" t="s">
        <v>553</v>
      </c>
      <c r="AX425" s="519" t="s">
        <v>553</v>
      </c>
      <c r="AY425" s="1462" t="s">
        <v>553</v>
      </c>
      <c r="AZ425" s="591" t="s">
        <v>553</v>
      </c>
      <c r="BA425" s="519">
        <f t="shared" ref="BA425:BS425" si="1071">BA424/AV424-1</f>
        <v>2.8897024738318233E-2</v>
      </c>
      <c r="BB425" s="519">
        <f t="shared" si="1071"/>
        <v>6.1750416118733442E-2</v>
      </c>
      <c r="BC425" s="519">
        <f t="shared" si="1071"/>
        <v>9.1056610093070756E-2</v>
      </c>
      <c r="BD425" s="519">
        <f t="shared" si="1071"/>
        <v>8.3502704507971481E-2</v>
      </c>
      <c r="BE425" s="591">
        <f t="shared" si="1071"/>
        <v>5.7262432222190407E-2</v>
      </c>
      <c r="BF425" s="519">
        <f t="shared" si="1071"/>
        <v>7.361188008904751E-2</v>
      </c>
      <c r="BG425" s="519">
        <f t="shared" si="1071"/>
        <v>0.11580926181210338</v>
      </c>
      <c r="BH425" s="519">
        <f t="shared" si="1071"/>
        <v>2.8713186249236244E-2</v>
      </c>
      <c r="BI425" s="519">
        <f t="shared" si="1071"/>
        <v>2.8461983845853522E-2</v>
      </c>
      <c r="BJ425" s="591">
        <f>BJ424/BE424-1</f>
        <v>5.1122288632643009E-2</v>
      </c>
      <c r="BK425" s="519">
        <f t="shared" si="1071"/>
        <v>3.7351837828604628E-2</v>
      </c>
      <c r="BL425" s="519">
        <f t="shared" si="1071"/>
        <v>2.8722357427370948E-3</v>
      </c>
      <c r="BM425" s="519">
        <f t="shared" si="1071"/>
        <v>3.2975801167801189E-2</v>
      </c>
      <c r="BN425" s="519">
        <f t="shared" si="1071"/>
        <v>2.0738496502531012E-2</v>
      </c>
      <c r="BO425" s="591">
        <f>BO424/BJ424-1</f>
        <v>2.665030477637087E-2</v>
      </c>
      <c r="BP425" s="519">
        <f t="shared" si="1071"/>
        <v>6.186343035015307E-2</v>
      </c>
      <c r="BQ425" s="519">
        <f t="shared" si="1071"/>
        <v>4.6745524223489321E-2</v>
      </c>
      <c r="BR425" s="519">
        <f t="shared" si="1071"/>
        <v>7.6455830212082132E-2</v>
      </c>
      <c r="BS425" s="519">
        <f t="shared" si="1071"/>
        <v>4.3148035700745657E-2</v>
      </c>
      <c r="BT425" s="591">
        <f>BT424/BO424-1</f>
        <v>5.5215132818928536E-2</v>
      </c>
      <c r="BU425" s="1245">
        <v>0.01</v>
      </c>
      <c r="BV425" s="1245">
        <v>0.01</v>
      </c>
      <c r="BW425" s="1245">
        <v>0.01</v>
      </c>
      <c r="BX425" s="1245">
        <v>0.01</v>
      </c>
      <c r="BY425" s="591">
        <f>BY424/BT424-1</f>
        <v>1.5712965334393481E-2</v>
      </c>
      <c r="BZ425" s="566">
        <v>0.01</v>
      </c>
      <c r="CA425" s="566">
        <v>0</v>
      </c>
      <c r="CB425" s="566">
        <v>-0.05</v>
      </c>
      <c r="CC425" s="566">
        <v>-0.05</v>
      </c>
      <c r="CD425" s="566">
        <v>0.02</v>
      </c>
      <c r="CE425" s="566">
        <v>0.02</v>
      </c>
      <c r="CF425" s="566">
        <v>0.02</v>
      </c>
      <c r="CG425" s="331"/>
      <c r="CH425" s="331"/>
      <c r="CI425" s="331"/>
      <c r="CJ425" s="331"/>
      <c r="CK425" s="331"/>
      <c r="CL425" s="1310" t="str">
        <f t="shared" si="1055"/>
        <v>% growth (y-o-y)</v>
      </c>
      <c r="CM425" s="442"/>
      <c r="CN425" s="442"/>
      <c r="CO425" s="442"/>
      <c r="CP425" s="442"/>
      <c r="CQ425" s="442"/>
      <c r="CR425" s="442"/>
      <c r="CS425" s="442"/>
      <c r="CT425" s="442"/>
      <c r="CU425" s="442"/>
      <c r="CV425" s="442" t="str">
        <f t="shared" si="1056"/>
        <v xml:space="preserve">n/a </v>
      </c>
      <c r="CW425" s="442">
        <f t="shared" si="1057"/>
        <v>5.7262432222190407E-2</v>
      </c>
      <c r="CX425" s="442">
        <f t="shared" si="1058"/>
        <v>5.1122288632643009E-2</v>
      </c>
      <c r="CY425" s="442">
        <f t="shared" si="1059"/>
        <v>2.665030477637087E-2</v>
      </c>
      <c r="CZ425" s="442">
        <f t="shared" si="1060"/>
        <v>5.5215132818928536E-2</v>
      </c>
      <c r="DA425" s="442">
        <f t="shared" si="1061"/>
        <v>1.5712965334393481E-2</v>
      </c>
      <c r="DB425" s="442">
        <f t="shared" si="1061"/>
        <v>0.01</v>
      </c>
      <c r="DC425" s="1312">
        <f t="shared" si="1061"/>
        <v>0</v>
      </c>
      <c r="DD425" s="331"/>
      <c r="DE425" s="331"/>
      <c r="DF425" s="502"/>
      <c r="DG425" s="503"/>
      <c r="DH425" s="519"/>
      <c r="DI425" s="3213"/>
      <c r="DJ425" s="502"/>
      <c r="DK425" s="503"/>
      <c r="DL425" s="502"/>
      <c r="DM425" s="502"/>
      <c r="DN425" s="502"/>
      <c r="DO425" s="502"/>
      <c r="DP425" s="503"/>
      <c r="DQ425" s="503"/>
      <c r="DR425" s="296"/>
      <c r="DS425" s="296"/>
      <c r="DT425" s="296"/>
    </row>
    <row r="426" spans="1:124" ht="5.0999999999999996" customHeight="1" x14ac:dyDescent="0.25">
      <c r="A426" s="281"/>
      <c r="B426" s="281"/>
      <c r="C426" s="305"/>
      <c r="D426" s="305"/>
      <c r="E426" s="305"/>
      <c r="F426" s="305"/>
      <c r="G426" s="440"/>
      <c r="H426" s="305"/>
      <c r="I426" s="305"/>
      <c r="J426" s="305"/>
      <c r="K426" s="305"/>
      <c r="L426" s="440"/>
      <c r="M426" s="305"/>
      <c r="N426" s="305"/>
      <c r="O426" s="305"/>
      <c r="P426" s="305"/>
      <c r="Q426" s="440"/>
      <c r="R426" s="305"/>
      <c r="S426" s="305"/>
      <c r="T426" s="305"/>
      <c r="U426" s="305"/>
      <c r="V426" s="440"/>
      <c r="W426" s="305"/>
      <c r="X426" s="305"/>
      <c r="Y426" s="305"/>
      <c r="Z426" s="305"/>
      <c r="AA426" s="440"/>
      <c r="AB426" s="305"/>
      <c r="AC426" s="305"/>
      <c r="AD426" s="305"/>
      <c r="AE426" s="331"/>
      <c r="AF426" s="441"/>
      <c r="AG426" s="305"/>
      <c r="AH426" s="305"/>
      <c r="AI426" s="305"/>
      <c r="AJ426" s="331"/>
      <c r="AK426" s="441"/>
      <c r="AL426" s="305"/>
      <c r="AM426" s="305"/>
      <c r="AN426" s="305"/>
      <c r="AO426" s="331"/>
      <c r="AP426" s="569"/>
      <c r="AQ426" s="569"/>
      <c r="AR426" s="442"/>
      <c r="AS426" s="442"/>
      <c r="AT426" s="442"/>
      <c r="AU426" s="441"/>
      <c r="AV426" s="569"/>
      <c r="AW426" s="442"/>
      <c r="AX426" s="442"/>
      <c r="AY426" s="1312"/>
      <c r="AZ426" s="441"/>
      <c r="BA426" s="442"/>
      <c r="BB426" s="442"/>
      <c r="BC426" s="442"/>
      <c r="BD426" s="442"/>
      <c r="BE426" s="441"/>
      <c r="BF426" s="442"/>
      <c r="BG426" s="442"/>
      <c r="BH426" s="442"/>
      <c r="BI426" s="442"/>
      <c r="BJ426" s="441"/>
      <c r="BK426" s="442"/>
      <c r="BL426" s="442"/>
      <c r="BM426" s="442"/>
      <c r="BN426" s="442"/>
      <c r="BO426" s="441"/>
      <c r="BP426" s="442"/>
      <c r="BQ426" s="442"/>
      <c r="BR426" s="442">
        <v>1</v>
      </c>
      <c r="BS426" s="442"/>
      <c r="BT426" s="3236"/>
      <c r="BU426" s="3298">
        <v>1</v>
      </c>
      <c r="BV426" s="3298">
        <v>1</v>
      </c>
      <c r="BW426" s="3298">
        <v>1</v>
      </c>
      <c r="BX426" s="3298">
        <v>1</v>
      </c>
      <c r="BY426" s="3236"/>
      <c r="BZ426" s="441"/>
      <c r="CA426" s="441"/>
      <c r="CB426" s="441"/>
      <c r="CC426" s="441"/>
      <c r="CD426" s="441"/>
      <c r="CE426" s="441"/>
      <c r="CF426" s="441"/>
      <c r="CG426" s="331"/>
      <c r="CH426" s="331"/>
      <c r="CI426" s="331"/>
      <c r="CJ426" s="331"/>
      <c r="CK426" s="331"/>
      <c r="CL426" s="520"/>
      <c r="CM426" s="442"/>
      <c r="CN426" s="442"/>
      <c r="CO426" s="442"/>
      <c r="CP426" s="442"/>
      <c r="CQ426" s="442"/>
      <c r="CR426" s="442"/>
      <c r="CS426" s="442"/>
      <c r="CT426" s="442"/>
      <c r="CU426" s="442"/>
      <c r="CV426" s="442"/>
      <c r="CW426" s="442"/>
      <c r="CX426" s="442"/>
      <c r="CY426" s="442"/>
      <c r="CZ426" s="442"/>
      <c r="DA426" s="442"/>
      <c r="DB426" s="442"/>
      <c r="DC426" s="1312"/>
      <c r="DD426" s="331"/>
      <c r="DE426" s="331"/>
      <c r="DF426" s="502"/>
      <c r="DG426" s="503"/>
      <c r="DH426" s="3298"/>
      <c r="DI426" s="3213"/>
      <c r="DJ426" s="502"/>
      <c r="DK426" s="503"/>
      <c r="DL426" s="502"/>
      <c r="DM426" s="502"/>
      <c r="DN426" s="502"/>
      <c r="DO426" s="502"/>
      <c r="DP426" s="503"/>
      <c r="DQ426" s="503"/>
      <c r="DR426" s="296"/>
      <c r="DS426" s="296"/>
      <c r="DT426" s="296"/>
    </row>
    <row r="427" spans="1:124" ht="12" customHeight="1" x14ac:dyDescent="0.25">
      <c r="A427" s="281" t="s">
        <v>730</v>
      </c>
      <c r="B427" s="281"/>
      <c r="C427" s="570"/>
      <c r="D427" s="570"/>
      <c r="E427" s="570"/>
      <c r="F427" s="452"/>
      <c r="G427" s="571"/>
      <c r="H427" s="570"/>
      <c r="I427" s="570"/>
      <c r="J427" s="570"/>
      <c r="K427" s="452"/>
      <c r="L427" s="571"/>
      <c r="M427" s="570"/>
      <c r="N427" s="570"/>
      <c r="O427" s="570"/>
      <c r="P427" s="452"/>
      <c r="Q427" s="571"/>
      <c r="R427" s="570"/>
      <c r="S427" s="570"/>
      <c r="T427" s="570"/>
      <c r="U427" s="452"/>
      <c r="V427" s="571"/>
      <c r="W427" s="570"/>
      <c r="X427" s="570"/>
      <c r="Y427" s="570"/>
      <c r="Z427" s="452"/>
      <c r="AA427" s="571"/>
      <c r="AB427" s="570"/>
      <c r="AC427" s="570"/>
      <c r="AD427" s="570"/>
      <c r="AE427" s="476"/>
      <c r="AF427" s="573"/>
      <c r="AG427" s="570"/>
      <c r="AH427" s="570"/>
      <c r="AI427" s="570"/>
      <c r="AJ427" s="476"/>
      <c r="AK427" s="573"/>
      <c r="AL427" s="570"/>
      <c r="AM427" s="570"/>
      <c r="AN427" s="570"/>
      <c r="AO427" s="476"/>
      <c r="AP427" s="592"/>
      <c r="AQ427" s="592"/>
      <c r="AR427" s="572"/>
      <c r="AS427" s="572"/>
      <c r="AT427" s="572">
        <v>56.234092000000004</v>
      </c>
      <c r="AU427" s="1464">
        <f>+SUM(AQ427:AT427)</f>
        <v>56.234092000000004</v>
      </c>
      <c r="AV427" s="592">
        <v>57.683105999999995</v>
      </c>
      <c r="AW427" s="572">
        <v>51.316265999999999</v>
      </c>
      <c r="AX427" s="572">
        <v>50.084054999999992</v>
      </c>
      <c r="AY427" s="572">
        <v>51.728925000000004</v>
      </c>
      <c r="AZ427" s="477">
        <f>SUM(AV427:AY427)</f>
        <v>210.81235199999998</v>
      </c>
      <c r="BA427" s="2654">
        <v>53.521681999999998</v>
      </c>
      <c r="BB427" s="2654">
        <v>51.629798999999991</v>
      </c>
      <c r="BC427" s="2654">
        <v>51.444672150000002</v>
      </c>
      <c r="BD427" s="2941">
        <v>51.541496999999993</v>
      </c>
      <c r="BE427" s="477">
        <f>SUM(BA427:BD427)</f>
        <v>208.13765014999998</v>
      </c>
      <c r="BF427" s="2941">
        <v>52.798429999999996</v>
      </c>
      <c r="BG427" s="2941">
        <v>53.477963999999993</v>
      </c>
      <c r="BH427" s="2941">
        <v>51.223411999999996</v>
      </c>
      <c r="BI427" s="2941">
        <v>52.837793939999997</v>
      </c>
      <c r="BJ427" s="477">
        <f>SUM(BF427:BI427)</f>
        <v>210.33759993999996</v>
      </c>
      <c r="BK427" s="2941">
        <v>55.313227350000005</v>
      </c>
      <c r="BL427" s="2941">
        <v>53.402252999999995</v>
      </c>
      <c r="BM427" s="2941">
        <v>52.216208359999996</v>
      </c>
      <c r="BN427" s="2941">
        <v>52.741566919999997</v>
      </c>
      <c r="BO427" s="477">
        <f>SUM(BK427:BN427)</f>
        <v>213.67325563</v>
      </c>
      <c r="BP427" s="2941">
        <v>56.715743999999994</v>
      </c>
      <c r="BQ427" s="2941">
        <v>54.948043999999996</v>
      </c>
      <c r="BR427" s="2941">
        <v>55.234966999999997</v>
      </c>
      <c r="BS427" s="2941">
        <v>54.032078000000006</v>
      </c>
      <c r="BT427" s="2604">
        <f>SUM(BP427:BS427)</f>
        <v>220.93083300000001</v>
      </c>
      <c r="BU427" s="2941">
        <v>58.017412</v>
      </c>
      <c r="BV427" s="1771">
        <f>+BV424*BV423*BV5/1000000</f>
        <v>54.750834001090332</v>
      </c>
      <c r="BW427" s="1771">
        <f>+BW424*BW423*BW5/1000000</f>
        <v>55.512017962428615</v>
      </c>
      <c r="BX427" s="1771">
        <f>+BX424*BX423*BX5/1000000</f>
        <v>54.543417155581515</v>
      </c>
      <c r="BY427" s="2604">
        <f>SUM(BU427:BX427)</f>
        <v>222.82368111910048</v>
      </c>
      <c r="BZ427" s="477">
        <f t="shared" ref="BZ427:CF427" si="1072">+BZ424*BZ423*365/1000000</f>
        <v>225.05191793029147</v>
      </c>
      <c r="CA427" s="477">
        <f t="shared" si="1072"/>
        <v>225.05191793029147</v>
      </c>
      <c r="CB427" s="477">
        <f t="shared" si="1072"/>
        <v>213.79932203377692</v>
      </c>
      <c r="CC427" s="477">
        <f t="shared" si="1072"/>
        <v>203.10935593208805</v>
      </c>
      <c r="CD427" s="477">
        <f t="shared" si="1072"/>
        <v>207.17154305072984</v>
      </c>
      <c r="CE427" s="477">
        <f t="shared" si="1072"/>
        <v>211.31497391174437</v>
      </c>
      <c r="CF427" s="477">
        <f t="shared" si="1072"/>
        <v>215.5412733899793</v>
      </c>
      <c r="CG427" s="331"/>
      <c r="CH427" s="331"/>
      <c r="CI427" s="331"/>
      <c r="CJ427" s="331"/>
      <c r="CK427" s="331"/>
      <c r="CL427" s="520" t="str">
        <f>A427</f>
        <v>Casino revenue</v>
      </c>
      <c r="CM427" s="476"/>
      <c r="CN427" s="476"/>
      <c r="CO427" s="476"/>
      <c r="CP427" s="476"/>
      <c r="CQ427" s="476"/>
      <c r="CR427" s="476"/>
      <c r="CS427" s="476"/>
      <c r="CT427" s="476"/>
      <c r="CU427" s="476">
        <f>AU427</f>
        <v>56.234092000000004</v>
      </c>
      <c r="CV427" s="476">
        <f>AZ427</f>
        <v>210.81235199999998</v>
      </c>
      <c r="CW427" s="476">
        <f>BE427</f>
        <v>208.13765014999998</v>
      </c>
      <c r="CX427" s="476">
        <f>BJ427</f>
        <v>210.33759993999996</v>
      </c>
      <c r="CY427" s="476">
        <f>BO427</f>
        <v>213.67325563</v>
      </c>
      <c r="CZ427" s="476">
        <f>BT427</f>
        <v>220.93083300000001</v>
      </c>
      <c r="DA427" s="476">
        <f t="shared" ref="DA427:DC431" si="1073">BY427</f>
        <v>222.82368111910048</v>
      </c>
      <c r="DB427" s="476">
        <f t="shared" si="1073"/>
        <v>225.05191793029147</v>
      </c>
      <c r="DC427" s="682">
        <f t="shared" si="1073"/>
        <v>225.05191793029147</v>
      </c>
      <c r="DD427" s="331"/>
      <c r="DE427" s="331"/>
      <c r="DF427" s="502"/>
      <c r="DG427" s="503"/>
      <c r="DH427" s="2577"/>
      <c r="DI427" s="3213"/>
      <c r="DJ427" s="502"/>
      <c r="DK427" s="503"/>
      <c r="DL427" s="502"/>
      <c r="DM427" s="502"/>
      <c r="DN427" s="502"/>
      <c r="DO427" s="502"/>
      <c r="DP427" s="503"/>
      <c r="DQ427" s="503"/>
      <c r="DR427" s="296"/>
      <c r="DS427" s="296"/>
      <c r="DT427" s="296"/>
    </row>
    <row r="428" spans="1:124" ht="12" customHeight="1" x14ac:dyDescent="0.25">
      <c r="A428" s="465" t="s">
        <v>1491</v>
      </c>
      <c r="B428" s="281"/>
      <c r="C428" s="472"/>
      <c r="D428" s="472"/>
      <c r="E428" s="472"/>
      <c r="F428" s="472"/>
      <c r="G428" s="491"/>
      <c r="H428" s="472"/>
      <c r="I428" s="472"/>
      <c r="J428" s="472"/>
      <c r="K428" s="472"/>
      <c r="L428" s="491"/>
      <c r="M428" s="472"/>
      <c r="N428" s="472"/>
      <c r="O428" s="472"/>
      <c r="P428" s="472"/>
      <c r="Q428" s="491"/>
      <c r="R428" s="472"/>
      <c r="S428" s="472"/>
      <c r="T428" s="472"/>
      <c r="U428" s="472"/>
      <c r="V428" s="491"/>
      <c r="W428" s="472"/>
      <c r="X428" s="472"/>
      <c r="Y428" s="472"/>
      <c r="Z428" s="472"/>
      <c r="AA428" s="491"/>
      <c r="AB428" s="472"/>
      <c r="AC428" s="472"/>
      <c r="AD428" s="472"/>
      <c r="AE428" s="492"/>
      <c r="AF428" s="493"/>
      <c r="AG428" s="472"/>
      <c r="AH428" s="472"/>
      <c r="AI428" s="472"/>
      <c r="AJ428" s="492"/>
      <c r="AK428" s="493"/>
      <c r="AL428" s="472"/>
      <c r="AM428" s="472"/>
      <c r="AN428" s="472"/>
      <c r="AO428" s="492"/>
      <c r="AP428" s="494"/>
      <c r="AQ428" s="494"/>
      <c r="AR428" s="492"/>
      <c r="AS428" s="492"/>
      <c r="AT428" s="469" t="s">
        <v>553</v>
      </c>
      <c r="AU428" s="470" t="s">
        <v>553</v>
      </c>
      <c r="AV428" s="471" t="s">
        <v>553</v>
      </c>
      <c r="AW428" s="469" t="s">
        <v>553</v>
      </c>
      <c r="AX428" s="469" t="s">
        <v>553</v>
      </c>
      <c r="AY428" s="1463" t="s">
        <v>553</v>
      </c>
      <c r="AZ428" s="470" t="s">
        <v>553</v>
      </c>
      <c r="BA428" s="469">
        <f>BA427/AV427-1</f>
        <v>-7.2142855830266805E-2</v>
      </c>
      <c r="BB428" s="469">
        <f>BB427/AW427-1</f>
        <v>6.1098171094520204E-3</v>
      </c>
      <c r="BC428" s="469">
        <f>BC427/AX427-1</f>
        <v>2.7166673105841976E-2</v>
      </c>
      <c r="BD428" s="469">
        <f>BD427/AY427-1</f>
        <v>-3.6232726661149517E-3</v>
      </c>
      <c r="BE428" s="1689">
        <f>+BE427/AZ427-1</f>
        <v>-1.2687595506737592E-2</v>
      </c>
      <c r="BF428" s="469">
        <f>BF427/BA427-1</f>
        <v>-1.351325244225321E-2</v>
      </c>
      <c r="BG428" s="469">
        <f>BG427/BB427-1</f>
        <v>3.5796478696343614E-2</v>
      </c>
      <c r="BH428" s="469">
        <f>BH427/BC427-1</f>
        <v>-4.3009342027657826E-3</v>
      </c>
      <c r="BI428" s="469">
        <f>BI427/BD427-1</f>
        <v>2.5150548886851309E-2</v>
      </c>
      <c r="BJ428" s="1689">
        <f>+BJ427/BE427-1</f>
        <v>1.0569686879882356E-2</v>
      </c>
      <c r="BK428" s="469">
        <f>BK427/BF427-1</f>
        <v>4.7630153964805633E-2</v>
      </c>
      <c r="BL428" s="469">
        <f>BL427/BG427-1</f>
        <v>-1.4157420054360381E-3</v>
      </c>
      <c r="BM428" s="469">
        <f>BM427/BH427-1</f>
        <v>1.938169132505263E-2</v>
      </c>
      <c r="BN428" s="469">
        <f>BN427/BI427-1</f>
        <v>-1.8211778506360687E-3</v>
      </c>
      <c r="BO428" s="1689">
        <f>+BO427/BJ427-1</f>
        <v>1.5858580163278235E-2</v>
      </c>
      <c r="BP428" s="469">
        <f>BP427/BK427-1</f>
        <v>2.5355899794553993E-2</v>
      </c>
      <c r="BQ428" s="469">
        <f>BQ427/BL427-1</f>
        <v>2.8946175735319768E-2</v>
      </c>
      <c r="BR428" s="469">
        <f>BR427/BM427-1</f>
        <v>5.7812674164072542E-2</v>
      </c>
      <c r="BS428" s="469">
        <f>BS427/BN427-1</f>
        <v>2.446857678607639E-2</v>
      </c>
      <c r="BT428" s="470">
        <f>+BT427/BO427-1</f>
        <v>3.3965773342113259E-2</v>
      </c>
      <c r="BU428" s="469">
        <f>BU427/BP427-1</f>
        <v>2.2950734808310225E-2</v>
      </c>
      <c r="BV428" s="469">
        <f>BV427/BQ427-1</f>
        <v>-3.5890267342303384E-3</v>
      </c>
      <c r="BW428" s="469">
        <f>BW427/BR427-1</f>
        <v>5.0158618258724363E-3</v>
      </c>
      <c r="BX428" s="469">
        <f>BX427/BS427-1</f>
        <v>9.4636218799786231E-3</v>
      </c>
      <c r="BY428" s="470">
        <f>+BY427/BT427-1</f>
        <v>8.5676050436132023E-3</v>
      </c>
      <c r="BZ428" s="1689">
        <f t="shared" ref="BZ428:CF428" si="1074">+BZ427/BY427-1</f>
        <v>9.9999999999997868E-3</v>
      </c>
      <c r="CA428" s="1689">
        <f t="shared" si="1074"/>
        <v>0</v>
      </c>
      <c r="CB428" s="1689">
        <f t="shared" si="1074"/>
        <v>-4.9999999999999933E-2</v>
      </c>
      <c r="CC428" s="1689">
        <f t="shared" si="1074"/>
        <v>-5.0000000000000044E-2</v>
      </c>
      <c r="CD428" s="1689">
        <f t="shared" si="1074"/>
        <v>2.000000000000024E-2</v>
      </c>
      <c r="CE428" s="1689">
        <f t="shared" si="1074"/>
        <v>1.9999999999999796E-2</v>
      </c>
      <c r="CF428" s="1689">
        <f t="shared" si="1074"/>
        <v>2.000000000000024E-2</v>
      </c>
      <c r="CG428" s="331"/>
      <c r="CH428" s="331"/>
      <c r="CI428" s="331"/>
      <c r="CJ428" s="331"/>
      <c r="CK428" s="331"/>
      <c r="CL428" s="1310" t="str">
        <f>A428</f>
        <v>% growth (y-o-y)</v>
      </c>
      <c r="CM428" s="492"/>
      <c r="CN428" s="492"/>
      <c r="CO428" s="492"/>
      <c r="CP428" s="492"/>
      <c r="CQ428" s="492"/>
      <c r="CR428" s="492"/>
      <c r="CS428" s="492"/>
      <c r="CT428" s="492"/>
      <c r="CU428" s="492" t="str">
        <f>AU428</f>
        <v xml:space="preserve">n/a </v>
      </c>
      <c r="CV428" s="492" t="str">
        <f>AZ428</f>
        <v xml:space="preserve">n/a </v>
      </c>
      <c r="CW428" s="492">
        <f>BE428</f>
        <v>-1.2687595506737592E-2</v>
      </c>
      <c r="CX428" s="492">
        <f>BJ428</f>
        <v>1.0569686879882356E-2</v>
      </c>
      <c r="CY428" s="492">
        <f>BO428</f>
        <v>1.5858580163278235E-2</v>
      </c>
      <c r="CZ428" s="492">
        <f>BT428</f>
        <v>3.3965773342113259E-2</v>
      </c>
      <c r="DA428" s="492">
        <f t="shared" si="1073"/>
        <v>8.5676050436132023E-3</v>
      </c>
      <c r="DB428" s="492">
        <f t="shared" si="1073"/>
        <v>9.9999999999997868E-3</v>
      </c>
      <c r="DC428" s="1311">
        <f t="shared" si="1073"/>
        <v>0</v>
      </c>
      <c r="DD428" s="331"/>
      <c r="DE428" s="331"/>
      <c r="DF428" s="502"/>
      <c r="DG428" s="503"/>
      <c r="DH428" s="469"/>
      <c r="DI428" s="3213"/>
      <c r="DJ428" s="502"/>
      <c r="DK428" s="503"/>
      <c r="DL428" s="502"/>
      <c r="DM428" s="502"/>
      <c r="DN428" s="502"/>
      <c r="DO428" s="502"/>
      <c r="DP428" s="503"/>
      <c r="DQ428" s="503"/>
      <c r="DR428" s="296"/>
      <c r="DS428" s="296"/>
      <c r="DT428" s="296"/>
    </row>
    <row r="429" spans="1:124" ht="12" customHeight="1" x14ac:dyDescent="0.25">
      <c r="A429" s="281" t="s">
        <v>645</v>
      </c>
      <c r="B429" s="281"/>
      <c r="C429" s="452"/>
      <c r="D429" s="452"/>
      <c r="E429" s="452"/>
      <c r="F429" s="452"/>
      <c r="G429" s="475"/>
      <c r="H429" s="452"/>
      <c r="I429" s="452"/>
      <c r="J429" s="452"/>
      <c r="K429" s="452"/>
      <c r="L429" s="475"/>
      <c r="M429" s="452"/>
      <c r="N429" s="452"/>
      <c r="O429" s="452"/>
      <c r="P429" s="452"/>
      <c r="Q429" s="475"/>
      <c r="R429" s="452"/>
      <c r="S429" s="452"/>
      <c r="T429" s="452"/>
      <c r="U429" s="452"/>
      <c r="V429" s="475"/>
      <c r="W429" s="452"/>
      <c r="X429" s="452"/>
      <c r="Y429" s="452"/>
      <c r="Z429" s="452"/>
      <c r="AA429" s="475"/>
      <c r="AB429" s="452"/>
      <c r="AC429" s="452"/>
      <c r="AD429" s="452"/>
      <c r="AE429" s="476"/>
      <c r="AF429" s="477"/>
      <c r="AG429" s="452"/>
      <c r="AH429" s="452"/>
      <c r="AI429" s="452"/>
      <c r="AJ429" s="476"/>
      <c r="AK429" s="477"/>
      <c r="AL429" s="452"/>
      <c r="AM429" s="452"/>
      <c r="AN429" s="452"/>
      <c r="AO429" s="476"/>
      <c r="AP429" s="478"/>
      <c r="AQ429" s="478"/>
      <c r="AR429" s="476"/>
      <c r="AS429" s="476"/>
      <c r="AT429" s="572">
        <f>+AT427*0.06</f>
        <v>3.3740455200000001</v>
      </c>
      <c r="AU429" s="477">
        <f>+SUM(AQ429:AT429)</f>
        <v>3.3740455200000001</v>
      </c>
      <c r="AV429" s="592">
        <f>+AV427*0.05</f>
        <v>2.8841552999999998</v>
      </c>
      <c r="AW429" s="572">
        <f>+AW427*0.05</f>
        <v>2.5658133000000003</v>
      </c>
      <c r="AX429" s="572">
        <f>+AX427*0.05</f>
        <v>2.5042027499999997</v>
      </c>
      <c r="AY429" s="572">
        <f>+AY427*0.05</f>
        <v>2.5864462500000003</v>
      </c>
      <c r="AZ429" s="477">
        <f>SUM(AV429:AY429)</f>
        <v>10.540617599999999</v>
      </c>
      <c r="BA429" s="572">
        <f>+BA427*0.05</f>
        <v>2.6760841000000002</v>
      </c>
      <c r="BB429" s="572">
        <f>+BB427*0.05</f>
        <v>2.5814899499999999</v>
      </c>
      <c r="BC429" s="572">
        <f>+BC427*0.05</f>
        <v>2.5722336075000003</v>
      </c>
      <c r="BD429" s="2941">
        <f>+BD427*0.05</f>
        <v>2.5770748499999998</v>
      </c>
      <c r="BE429" s="477">
        <f>SUM(BA429:BD429)</f>
        <v>10.406882507500001</v>
      </c>
      <c r="BF429" s="2941">
        <f>BA429*1.1</f>
        <v>2.9436925100000004</v>
      </c>
      <c r="BG429" s="2941">
        <f>BB429*1.1</f>
        <v>2.8396389450000004</v>
      </c>
      <c r="BH429" s="476">
        <f>BC429*1.01</f>
        <v>2.5979559435750001</v>
      </c>
      <c r="BI429" s="476">
        <f>BD429*1.01</f>
        <v>2.6028455984999996</v>
      </c>
      <c r="BJ429" s="477">
        <f>SUM(BF429:BI429)</f>
        <v>10.984132997075001</v>
      </c>
      <c r="BK429" s="476">
        <f>BF429*1.05</f>
        <v>3.0908771355000004</v>
      </c>
      <c r="BL429" s="2941">
        <v>3.5</v>
      </c>
      <c r="BM429" s="476">
        <f>BH429*1.05</f>
        <v>2.7278537407537504</v>
      </c>
      <c r="BN429" s="476">
        <f>BI429*1.05</f>
        <v>2.7329878784249999</v>
      </c>
      <c r="BO429" s="477">
        <f>SUM(BK429:BN429)</f>
        <v>12.051718754678751</v>
      </c>
      <c r="BP429" s="476">
        <f>BK429*1.05</f>
        <v>3.2454209922750006</v>
      </c>
      <c r="BQ429" s="476">
        <f>BL429*1.05</f>
        <v>3.6750000000000003</v>
      </c>
      <c r="BR429" s="476">
        <f>BM429*1.05</f>
        <v>2.8642464277914379</v>
      </c>
      <c r="BS429" s="476">
        <f>BN429*1.05</f>
        <v>2.86963727234625</v>
      </c>
      <c r="BT429" s="2604">
        <f>SUM(BP429:BS429)</f>
        <v>12.654304692412689</v>
      </c>
      <c r="BU429" s="476">
        <f>BP429*1.05</f>
        <v>3.4076920418887506</v>
      </c>
      <c r="BV429" s="2577">
        <f>BQ429*1.05</f>
        <v>3.8587500000000006</v>
      </c>
      <c r="BW429" s="2577">
        <f>BR429*1.05</f>
        <v>3.0074587491810099</v>
      </c>
      <c r="BX429" s="2577">
        <f>BS429*1.05</f>
        <v>3.0131191359635627</v>
      </c>
      <c r="BY429" s="2604">
        <f>SUM(BU429:BX429)</f>
        <v>13.287019927033324</v>
      </c>
      <c r="BZ429" s="573">
        <f t="shared" ref="BZ429:CF429" si="1075">BY429*(1.05)</f>
        <v>13.951370923384991</v>
      </c>
      <c r="CA429" s="573">
        <f t="shared" si="1075"/>
        <v>14.648939469554241</v>
      </c>
      <c r="CB429" s="573">
        <f t="shared" si="1075"/>
        <v>15.381386443031953</v>
      </c>
      <c r="CC429" s="573">
        <f t="shared" si="1075"/>
        <v>16.150455765183551</v>
      </c>
      <c r="CD429" s="573">
        <f t="shared" si="1075"/>
        <v>16.957978553442729</v>
      </c>
      <c r="CE429" s="573">
        <f t="shared" si="1075"/>
        <v>17.805877481114866</v>
      </c>
      <c r="CF429" s="573">
        <f t="shared" si="1075"/>
        <v>18.696171355170609</v>
      </c>
      <c r="CG429" s="331"/>
      <c r="CH429" s="331"/>
      <c r="CI429" s="331"/>
      <c r="CJ429" s="331"/>
      <c r="CK429" s="331"/>
      <c r="CL429" s="520" t="str">
        <f>A429</f>
        <v>Other revenue</v>
      </c>
      <c r="CM429" s="476"/>
      <c r="CN429" s="476"/>
      <c r="CO429" s="476"/>
      <c r="CP429" s="476"/>
      <c r="CQ429" s="476"/>
      <c r="CR429" s="476"/>
      <c r="CS429" s="476"/>
      <c r="CT429" s="476"/>
      <c r="CU429" s="476">
        <f>AU429</f>
        <v>3.3740455200000001</v>
      </c>
      <c r="CV429" s="476">
        <f>AZ429</f>
        <v>10.540617599999999</v>
      </c>
      <c r="CW429" s="476">
        <f>BE429</f>
        <v>10.406882507500001</v>
      </c>
      <c r="CX429" s="476">
        <f>BJ429</f>
        <v>10.984132997075001</v>
      </c>
      <c r="CY429" s="476">
        <f>BO429</f>
        <v>12.051718754678751</v>
      </c>
      <c r="CZ429" s="476">
        <f>BT429</f>
        <v>12.654304692412689</v>
      </c>
      <c r="DA429" s="476">
        <f t="shared" si="1073"/>
        <v>13.287019927033324</v>
      </c>
      <c r="DB429" s="476">
        <f t="shared" si="1073"/>
        <v>13.951370923384991</v>
      </c>
      <c r="DC429" s="682">
        <f t="shared" si="1073"/>
        <v>14.648939469554241</v>
      </c>
      <c r="DD429" s="331"/>
      <c r="DE429" s="331"/>
      <c r="DF429" s="502"/>
      <c r="DG429" s="503"/>
      <c r="DH429" s="2577"/>
      <c r="DI429" s="3213"/>
      <c r="DJ429" s="502"/>
      <c r="DK429" s="503"/>
      <c r="DL429" s="502"/>
      <c r="DM429" s="502"/>
      <c r="DN429" s="502"/>
      <c r="DO429" s="502"/>
      <c r="DP429" s="503"/>
      <c r="DQ429" s="503"/>
      <c r="DR429" s="296"/>
      <c r="DS429" s="296"/>
      <c r="DT429" s="296"/>
    </row>
    <row r="430" spans="1:124" ht="12" customHeight="1" x14ac:dyDescent="0.25">
      <c r="A430" s="496" t="s">
        <v>1418</v>
      </c>
      <c r="B430" s="385"/>
      <c r="C430" s="1016"/>
      <c r="D430" s="1016"/>
      <c r="E430" s="1016"/>
      <c r="F430" s="1016"/>
      <c r="G430" s="1017"/>
      <c r="H430" s="1016"/>
      <c r="I430" s="1016"/>
      <c r="J430" s="1016"/>
      <c r="K430" s="1016"/>
      <c r="L430" s="1017"/>
      <c r="M430" s="1016"/>
      <c r="N430" s="1016"/>
      <c r="O430" s="1016"/>
      <c r="P430" s="1016"/>
      <c r="Q430" s="1017"/>
      <c r="R430" s="1016"/>
      <c r="S430" s="1016"/>
      <c r="T430" s="1016"/>
      <c r="U430" s="1016"/>
      <c r="V430" s="1017"/>
      <c r="W430" s="1016"/>
      <c r="X430" s="1016"/>
      <c r="Y430" s="1016"/>
      <c r="Z430" s="1016"/>
      <c r="AA430" s="1017"/>
      <c r="AB430" s="1018"/>
      <c r="AC430" s="1018"/>
      <c r="AD430" s="1018"/>
      <c r="AE430" s="1019"/>
      <c r="AF430" s="1020"/>
      <c r="AG430" s="1018"/>
      <c r="AH430" s="1018"/>
      <c r="AI430" s="1018"/>
      <c r="AJ430" s="1019"/>
      <c r="AK430" s="1020"/>
      <c r="AL430" s="1018"/>
      <c r="AM430" s="1018"/>
      <c r="AN430" s="1018"/>
      <c r="AO430" s="1019"/>
      <c r="AP430" s="1022"/>
      <c r="AQ430" s="1022"/>
      <c r="AR430" s="1019"/>
      <c r="AS430" s="1019"/>
      <c r="AT430" s="1012">
        <f>AT429+AT427</f>
        <v>59.608137520000007</v>
      </c>
      <c r="AU430" s="1011">
        <f>+AU429+AU427</f>
        <v>59.608137520000007</v>
      </c>
      <c r="AV430" s="1013">
        <f t="shared" ref="AV430:BJ430" si="1076">AV429+AV427</f>
        <v>60.567261299999998</v>
      </c>
      <c r="AW430" s="1012">
        <f t="shared" si="1076"/>
        <v>53.882079300000001</v>
      </c>
      <c r="AX430" s="1012">
        <f t="shared" si="1076"/>
        <v>52.58825774999999</v>
      </c>
      <c r="AY430" s="1877">
        <f t="shared" si="1076"/>
        <v>54.315371250000005</v>
      </c>
      <c r="AZ430" s="1011">
        <f t="shared" si="1076"/>
        <v>221.35296959999997</v>
      </c>
      <c r="BA430" s="1012">
        <f t="shared" si="1076"/>
        <v>56.197766099999996</v>
      </c>
      <c r="BB430" s="1012">
        <f t="shared" si="1076"/>
        <v>54.211288949999989</v>
      </c>
      <c r="BC430" s="1012">
        <f t="shared" si="1076"/>
        <v>54.016905757500005</v>
      </c>
      <c r="BD430" s="1012">
        <f t="shared" si="1076"/>
        <v>54.118571849999995</v>
      </c>
      <c r="BE430" s="1011">
        <f t="shared" si="1076"/>
        <v>218.54453265749999</v>
      </c>
      <c r="BF430" s="1012">
        <f t="shared" si="1076"/>
        <v>55.742122509999994</v>
      </c>
      <c r="BG430" s="1012">
        <f t="shared" si="1076"/>
        <v>56.31760294499999</v>
      </c>
      <c r="BH430" s="1012">
        <f t="shared" si="1076"/>
        <v>53.821367943574998</v>
      </c>
      <c r="BI430" s="1012">
        <f t="shared" si="1076"/>
        <v>55.440639538499994</v>
      </c>
      <c r="BJ430" s="1011">
        <f t="shared" si="1076"/>
        <v>221.32173293707496</v>
      </c>
      <c r="BK430" s="1012">
        <f t="shared" ref="BK430:BU430" si="1077">BK429+BK427</f>
        <v>58.404104485500007</v>
      </c>
      <c r="BL430" s="1012">
        <f t="shared" si="1077"/>
        <v>56.902252999999995</v>
      </c>
      <c r="BM430" s="1012">
        <f t="shared" si="1077"/>
        <v>54.944062100753747</v>
      </c>
      <c r="BN430" s="1012">
        <f t="shared" si="1077"/>
        <v>55.474554798424997</v>
      </c>
      <c r="BO430" s="1011">
        <f t="shared" si="1077"/>
        <v>225.72497438467875</v>
      </c>
      <c r="BP430" s="1012">
        <f t="shared" si="1077"/>
        <v>59.961164992274995</v>
      </c>
      <c r="BQ430" s="1012">
        <f t="shared" si="1077"/>
        <v>58.623043999999993</v>
      </c>
      <c r="BR430" s="1012">
        <f t="shared" si="1077"/>
        <v>58.099213427791433</v>
      </c>
      <c r="BS430" s="1012">
        <f>BS429+BS427</f>
        <v>56.901715272346259</v>
      </c>
      <c r="BT430" s="1011">
        <f t="shared" si="1077"/>
        <v>233.5851376924127</v>
      </c>
      <c r="BU430" s="1012">
        <f t="shared" si="1077"/>
        <v>61.425104041888751</v>
      </c>
      <c r="BV430" s="1012">
        <f t="shared" ref="BV430:CF430" si="1078">BV429+BV427</f>
        <v>58.609584001090333</v>
      </c>
      <c r="BW430" s="1012">
        <f t="shared" si="1078"/>
        <v>58.519476711609627</v>
      </c>
      <c r="BX430" s="1012">
        <f t="shared" si="1078"/>
        <v>57.556536291545079</v>
      </c>
      <c r="BY430" s="1011">
        <f t="shared" si="1078"/>
        <v>236.11070104613381</v>
      </c>
      <c r="BZ430" s="1011">
        <f t="shared" si="1078"/>
        <v>239.00328885367645</v>
      </c>
      <c r="CA430" s="1011">
        <f t="shared" si="1078"/>
        <v>239.70085739984572</v>
      </c>
      <c r="CB430" s="1011">
        <f t="shared" si="1078"/>
        <v>229.18070847680886</v>
      </c>
      <c r="CC430" s="1011">
        <f t="shared" si="1078"/>
        <v>219.2598116972716</v>
      </c>
      <c r="CD430" s="1011">
        <f t="shared" si="1078"/>
        <v>224.12952160417257</v>
      </c>
      <c r="CE430" s="1011">
        <f t="shared" si="1078"/>
        <v>229.12085139285924</v>
      </c>
      <c r="CF430" s="1011">
        <f t="shared" si="1078"/>
        <v>234.2374447451499</v>
      </c>
      <c r="CG430" s="331"/>
      <c r="CH430" s="331"/>
      <c r="CI430" s="331"/>
      <c r="CJ430" s="331"/>
      <c r="CK430" s="331"/>
      <c r="CL430" s="2102" t="str">
        <f>A430</f>
        <v>Net revenue</v>
      </c>
      <c r="CM430" s="1019"/>
      <c r="CN430" s="1019"/>
      <c r="CO430" s="1019"/>
      <c r="CP430" s="1019"/>
      <c r="CQ430" s="1019"/>
      <c r="CR430" s="1019"/>
      <c r="CS430" s="1019"/>
      <c r="CT430" s="1019"/>
      <c r="CU430" s="1019">
        <f>AU430</f>
        <v>59.608137520000007</v>
      </c>
      <c r="CV430" s="1019">
        <f>AZ430</f>
        <v>221.35296959999997</v>
      </c>
      <c r="CW430" s="1019">
        <f>BE430</f>
        <v>218.54453265749999</v>
      </c>
      <c r="CX430" s="1019">
        <f>BJ430</f>
        <v>221.32173293707496</v>
      </c>
      <c r="CY430" s="1019">
        <f>BO430</f>
        <v>225.72497438467875</v>
      </c>
      <c r="CZ430" s="1019">
        <f>BT430</f>
        <v>233.5851376924127</v>
      </c>
      <c r="DA430" s="1019">
        <f t="shared" si="1073"/>
        <v>236.11070104613381</v>
      </c>
      <c r="DB430" s="1019">
        <f t="shared" si="1073"/>
        <v>239.00328885367645</v>
      </c>
      <c r="DC430" s="2033">
        <f t="shared" si="1073"/>
        <v>239.70085739984572</v>
      </c>
      <c r="DD430" s="331"/>
      <c r="DE430" s="331"/>
      <c r="DF430" s="502"/>
      <c r="DG430" s="503"/>
      <c r="DH430" s="598"/>
      <c r="DI430" s="3213"/>
      <c r="DJ430" s="502"/>
      <c r="DK430" s="503"/>
      <c r="DL430" s="502"/>
      <c r="DM430" s="502"/>
      <c r="DN430" s="502"/>
      <c r="DO430" s="502"/>
      <c r="DP430" s="503"/>
      <c r="DQ430" s="503"/>
      <c r="DR430" s="296"/>
      <c r="DS430" s="296"/>
      <c r="DT430" s="296"/>
    </row>
    <row r="431" spans="1:124" ht="12" customHeight="1" x14ac:dyDescent="0.25">
      <c r="A431" s="465" t="s">
        <v>1491</v>
      </c>
      <c r="B431" s="281"/>
      <c r="C431" s="472"/>
      <c r="D431" s="472"/>
      <c r="E431" s="472"/>
      <c r="F431" s="472"/>
      <c r="G431" s="491"/>
      <c r="H431" s="472"/>
      <c r="I431" s="472"/>
      <c r="J431" s="472"/>
      <c r="K431" s="472"/>
      <c r="L431" s="491"/>
      <c r="M431" s="472"/>
      <c r="N431" s="472"/>
      <c r="O431" s="472"/>
      <c r="P431" s="472"/>
      <c r="Q431" s="491"/>
      <c r="R431" s="472"/>
      <c r="S431" s="472"/>
      <c r="T431" s="472"/>
      <c r="U431" s="472"/>
      <c r="V431" s="491"/>
      <c r="W431" s="472"/>
      <c r="X431" s="472"/>
      <c r="Y431" s="472"/>
      <c r="Z431" s="472"/>
      <c r="AA431" s="491"/>
      <c r="AB431" s="472"/>
      <c r="AC431" s="472"/>
      <c r="AD431" s="472"/>
      <c r="AE431" s="492"/>
      <c r="AF431" s="493"/>
      <c r="AG431" s="472"/>
      <c r="AH431" s="472"/>
      <c r="AI431" s="472"/>
      <c r="AJ431" s="492"/>
      <c r="AK431" s="493"/>
      <c r="AL431" s="472"/>
      <c r="AM431" s="472"/>
      <c r="AN431" s="472"/>
      <c r="AO431" s="492"/>
      <c r="AP431" s="494"/>
      <c r="AQ431" s="494"/>
      <c r="AR431" s="492"/>
      <c r="AS431" s="492"/>
      <c r="AT431" s="469" t="s">
        <v>553</v>
      </c>
      <c r="AU431" s="470" t="s">
        <v>553</v>
      </c>
      <c r="AV431" s="471" t="s">
        <v>553</v>
      </c>
      <c r="AW431" s="469" t="s">
        <v>553</v>
      </c>
      <c r="AX431" s="469" t="s">
        <v>553</v>
      </c>
      <c r="AY431" s="469">
        <f>AY430/AT430-1</f>
        <v>-8.8792679828725518E-2</v>
      </c>
      <c r="AZ431" s="470" t="s">
        <v>553</v>
      </c>
      <c r="BA431" s="469">
        <f>BA430/AV430-1</f>
        <v>-7.2142855830266917E-2</v>
      </c>
      <c r="BB431" s="469">
        <f>BB430/AW430-1</f>
        <v>6.1098171094520204E-3</v>
      </c>
      <c r="BC431" s="469">
        <f>BC430/AX430-1</f>
        <v>2.7166673105841976E-2</v>
      </c>
      <c r="BD431" s="469">
        <f>BD430/AY430-1</f>
        <v>-3.6232726661149517E-3</v>
      </c>
      <c r="BE431" s="470">
        <f>(BE430-AZ430)/AZ430</f>
        <v>-1.2687595506737584E-2</v>
      </c>
      <c r="BF431" s="469">
        <f>BF430/BA430-1</f>
        <v>-8.1078594688126504E-3</v>
      </c>
      <c r="BG431" s="469">
        <f>BG430/BB430-1</f>
        <v>3.8853789234613023E-2</v>
      </c>
      <c r="BH431" s="469">
        <f>BH430/BC430-1</f>
        <v>-3.6199373359674381E-3</v>
      </c>
      <c r="BI431" s="469">
        <f>BI430/BD430-1</f>
        <v>2.4429094177953692E-2</v>
      </c>
      <c r="BJ431" s="470">
        <f>(BJ430-BE430)/BE430</f>
        <v>1.2707708794195097E-2</v>
      </c>
      <c r="BK431" s="469">
        <f>BK430/BF430-1</f>
        <v>4.7755303451576747E-2</v>
      </c>
      <c r="BL431" s="469">
        <f>BL430/BG430-1</f>
        <v>1.0381302193755992E-2</v>
      </c>
      <c r="BM431" s="469">
        <f>BM430/BH430-1</f>
        <v>2.0859636238821588E-2</v>
      </c>
      <c r="BN431" s="469">
        <f>BN430/BI430-1</f>
        <v>6.1174005580233448E-4</v>
      </c>
      <c r="BO431" s="470">
        <f>(BO430-BJ430)/BJ430</f>
        <v>1.9895205903053798E-2</v>
      </c>
      <c r="BP431" s="469">
        <f>BP430/BK430-1</f>
        <v>2.6660121244758805E-2</v>
      </c>
      <c r="BQ431" s="469">
        <f>BQ430/BL430-1</f>
        <v>3.0241175160498512E-2</v>
      </c>
      <c r="BR431" s="469">
        <f>BR430/BM430-1</f>
        <v>5.7424791804652653E-2</v>
      </c>
      <c r="BS431" s="469">
        <f>BS430/BN430-1</f>
        <v>2.5726397969430437E-2</v>
      </c>
      <c r="BT431" s="470">
        <f>(BT430-BO430)/BO430</f>
        <v>3.4821859340822103E-2</v>
      </c>
      <c r="BU431" s="469">
        <f>BU430/BP430-1</f>
        <v>2.4414786634021635E-2</v>
      </c>
      <c r="BV431" s="469">
        <f>BV430/BQ430-1</f>
        <v>-2.2960252472836729E-4</v>
      </c>
      <c r="BW431" s="469">
        <f>BW430/BR430-1</f>
        <v>7.2335451553147134E-3</v>
      </c>
      <c r="BX431" s="469">
        <f>BX430/BS430-1</f>
        <v>1.150793110655246E-2</v>
      </c>
      <c r="BY431" s="470">
        <f>(BY430-BT430)/BT430</f>
        <v>1.0812174861256792E-2</v>
      </c>
      <c r="BZ431" s="470">
        <f t="shared" ref="BZ431:CF431" si="1079">(BZ430-BY430)/BY430</f>
        <v>1.2250981402903273E-2</v>
      </c>
      <c r="CA431" s="470">
        <f t="shared" si="1079"/>
        <v>2.9186566825711471E-3</v>
      </c>
      <c r="CB431" s="470">
        <f t="shared" si="1079"/>
        <v>-4.3888657876130013E-2</v>
      </c>
      <c r="CC431" s="470">
        <f t="shared" si="1079"/>
        <v>-4.3288533513461798E-2</v>
      </c>
      <c r="CD431" s="470">
        <f t="shared" si="1079"/>
        <v>2.220976962994246E-2</v>
      </c>
      <c r="CE431" s="470">
        <f t="shared" si="1079"/>
        <v>2.2269845368704647E-2</v>
      </c>
      <c r="CF431" s="470">
        <f t="shared" si="1079"/>
        <v>2.2331417333630456E-2</v>
      </c>
      <c r="CG431" s="331"/>
      <c r="CH431" s="331"/>
      <c r="CI431" s="331"/>
      <c r="CJ431" s="331"/>
      <c r="CK431" s="331"/>
      <c r="CL431" s="1310" t="str">
        <f>A431</f>
        <v>% growth (y-o-y)</v>
      </c>
      <c r="CM431" s="492"/>
      <c r="CN431" s="492"/>
      <c r="CO431" s="492"/>
      <c r="CP431" s="492"/>
      <c r="CQ431" s="492"/>
      <c r="CR431" s="492"/>
      <c r="CS431" s="492"/>
      <c r="CT431" s="492"/>
      <c r="CU431" s="492" t="str">
        <f>AU431</f>
        <v xml:space="preserve">n/a </v>
      </c>
      <c r="CV431" s="492" t="str">
        <f>AZ431</f>
        <v xml:space="preserve">n/a </v>
      </c>
      <c r="CW431" s="492">
        <f>BE431</f>
        <v>-1.2687595506737584E-2</v>
      </c>
      <c r="CX431" s="492">
        <f>BJ431</f>
        <v>1.2707708794195097E-2</v>
      </c>
      <c r="CY431" s="492">
        <f>BO431</f>
        <v>1.9895205903053798E-2</v>
      </c>
      <c r="CZ431" s="492">
        <f>BT431</f>
        <v>3.4821859340822103E-2</v>
      </c>
      <c r="DA431" s="492">
        <f t="shared" si="1073"/>
        <v>1.0812174861256792E-2</v>
      </c>
      <c r="DB431" s="492">
        <f t="shared" si="1073"/>
        <v>1.2250981402903273E-2</v>
      </c>
      <c r="DC431" s="1311">
        <f t="shared" si="1073"/>
        <v>2.9186566825711471E-3</v>
      </c>
      <c r="DD431" s="331"/>
      <c r="DE431" s="331"/>
      <c r="DF431" s="502"/>
      <c r="DG431" s="503"/>
      <c r="DH431" s="469"/>
      <c r="DI431" s="3213"/>
      <c r="DJ431" s="502"/>
      <c r="DK431" s="503"/>
      <c r="DL431" s="502"/>
      <c r="DM431" s="502"/>
      <c r="DN431" s="502"/>
      <c r="DO431" s="502"/>
      <c r="DP431" s="503"/>
      <c r="DQ431" s="503"/>
      <c r="DR431" s="296"/>
      <c r="DS431" s="296"/>
      <c r="DT431" s="296"/>
    </row>
    <row r="432" spans="1:124" ht="5.0999999999999996" customHeight="1" x14ac:dyDescent="0.25">
      <c r="A432" s="281"/>
      <c r="B432" s="281"/>
      <c r="C432" s="305"/>
      <c r="D432" s="305"/>
      <c r="E432" s="305"/>
      <c r="F432" s="305"/>
      <c r="G432" s="440"/>
      <c r="H432" s="305"/>
      <c r="I432" s="305"/>
      <c r="J432" s="305"/>
      <c r="K432" s="305"/>
      <c r="L432" s="440"/>
      <c r="M432" s="305"/>
      <c r="N432" s="305"/>
      <c r="O432" s="305"/>
      <c r="P432" s="305"/>
      <c r="Q432" s="440"/>
      <c r="R432" s="305"/>
      <c r="S432" s="305"/>
      <c r="T432" s="305"/>
      <c r="U432" s="305"/>
      <c r="V432" s="440"/>
      <c r="W432" s="305"/>
      <c r="X432" s="305"/>
      <c r="Y432" s="305"/>
      <c r="Z432" s="305"/>
      <c r="AA432" s="440"/>
      <c r="AB432" s="305"/>
      <c r="AC432" s="305"/>
      <c r="AD432" s="305"/>
      <c r="AE432" s="331"/>
      <c r="AF432" s="441"/>
      <c r="AG432" s="305"/>
      <c r="AH432" s="305"/>
      <c r="AI432" s="305"/>
      <c r="AJ432" s="331"/>
      <c r="AK432" s="441"/>
      <c r="AL432" s="305"/>
      <c r="AM432" s="305"/>
      <c r="AN432" s="305"/>
      <c r="AO432" s="331"/>
      <c r="AP432" s="569"/>
      <c r="AQ432" s="569"/>
      <c r="AR432" s="442"/>
      <c r="AS432" s="442"/>
      <c r="AT432" s="442"/>
      <c r="AU432" s="441"/>
      <c r="AV432" s="569"/>
      <c r="AW432" s="442"/>
      <c r="AX432" s="442"/>
      <c r="AY432" s="1312"/>
      <c r="AZ432" s="441"/>
      <c r="BA432" s="442"/>
      <c r="BB432" s="442"/>
      <c r="BC432" s="442"/>
      <c r="BD432" s="442"/>
      <c r="BE432" s="441"/>
      <c r="BF432" s="442"/>
      <c r="BG432" s="442"/>
      <c r="BH432" s="442"/>
      <c r="BI432" s="442"/>
      <c r="BJ432" s="441"/>
      <c r="BK432" s="442"/>
      <c r="BL432" s="442"/>
      <c r="BM432" s="442"/>
      <c r="BN432" s="442"/>
      <c r="BO432" s="441"/>
      <c r="BP432" s="442"/>
      <c r="BQ432" s="442"/>
      <c r="BR432" s="442"/>
      <c r="BS432" s="442"/>
      <c r="BT432" s="3236"/>
      <c r="BU432" s="3298"/>
      <c r="BV432" s="3298"/>
      <c r="BW432" s="3298"/>
      <c r="BX432" s="3298"/>
      <c r="BY432" s="3236"/>
      <c r="BZ432" s="441"/>
      <c r="CA432" s="441"/>
      <c r="CB432" s="441"/>
      <c r="CC432" s="441"/>
      <c r="CD432" s="441"/>
      <c r="CE432" s="441"/>
      <c r="CF432" s="441"/>
      <c r="CG432" s="331"/>
      <c r="CH432" s="331"/>
      <c r="CI432" s="331"/>
      <c r="CJ432" s="331"/>
      <c r="CK432" s="331"/>
      <c r="CL432" s="520"/>
      <c r="CM432" s="442"/>
      <c r="CN432" s="442"/>
      <c r="CO432" s="442"/>
      <c r="CP432" s="442"/>
      <c r="CQ432" s="442"/>
      <c r="CR432" s="442"/>
      <c r="CS432" s="442"/>
      <c r="CT432" s="442"/>
      <c r="CU432" s="442"/>
      <c r="CV432" s="442"/>
      <c r="CW432" s="442"/>
      <c r="CX432" s="442"/>
      <c r="CY432" s="442"/>
      <c r="CZ432" s="442"/>
      <c r="DA432" s="442"/>
      <c r="DB432" s="442"/>
      <c r="DC432" s="1312"/>
      <c r="DD432" s="331"/>
      <c r="DE432" s="331"/>
      <c r="DF432" s="502"/>
      <c r="DG432" s="503"/>
      <c r="DH432" s="3298"/>
      <c r="DI432" s="3213"/>
      <c r="DJ432" s="502"/>
      <c r="DK432" s="503"/>
      <c r="DL432" s="502"/>
      <c r="DM432" s="502"/>
      <c r="DN432" s="502"/>
      <c r="DO432" s="502"/>
      <c r="DP432" s="503"/>
      <c r="DQ432" s="503"/>
      <c r="DR432" s="296"/>
      <c r="DS432" s="296"/>
      <c r="DT432" s="296"/>
    </row>
    <row r="433" spans="1:124" ht="12" customHeight="1" x14ac:dyDescent="0.25">
      <c r="A433" s="281" t="s">
        <v>601</v>
      </c>
      <c r="B433" s="281"/>
      <c r="C433" s="452"/>
      <c r="D433" s="452"/>
      <c r="E433" s="452"/>
      <c r="F433" s="452"/>
      <c r="G433" s="475"/>
      <c r="H433" s="452"/>
      <c r="I433" s="452"/>
      <c r="J433" s="452"/>
      <c r="K433" s="452"/>
      <c r="L433" s="475"/>
      <c r="M433" s="452"/>
      <c r="N433" s="452"/>
      <c r="O433" s="452"/>
      <c r="P433" s="452"/>
      <c r="Q433" s="475"/>
      <c r="R433" s="452"/>
      <c r="S433" s="452"/>
      <c r="T433" s="452"/>
      <c r="U433" s="452"/>
      <c r="V433" s="475"/>
      <c r="W433" s="452"/>
      <c r="X433" s="452"/>
      <c r="Y433" s="452"/>
      <c r="Z433" s="452"/>
      <c r="AA433" s="475"/>
      <c r="AB433" s="452"/>
      <c r="AC433" s="452"/>
      <c r="AD433" s="452"/>
      <c r="AE433" s="476"/>
      <c r="AF433" s="477"/>
      <c r="AG433" s="452"/>
      <c r="AH433" s="452"/>
      <c r="AI433" s="452"/>
      <c r="AJ433" s="476"/>
      <c r="AK433" s="477"/>
      <c r="AL433" s="452"/>
      <c r="AM433" s="452"/>
      <c r="AN433" s="452"/>
      <c r="AO433" s="476"/>
      <c r="AP433" s="478"/>
      <c r="AQ433" s="478"/>
      <c r="AR433" s="476"/>
      <c r="AS433" s="476"/>
      <c r="AT433" s="476">
        <f>+AT430*AT434</f>
        <v>23.843255008000003</v>
      </c>
      <c r="AU433" s="477">
        <f>+SUM(AQ433:AT433)</f>
        <v>23.843255008000003</v>
      </c>
      <c r="AV433" s="592">
        <v>20</v>
      </c>
      <c r="AW433" s="572">
        <v>17.5</v>
      </c>
      <c r="AX433" s="572">
        <v>17</v>
      </c>
      <c r="AY433" s="572">
        <v>18</v>
      </c>
      <c r="AZ433" s="477">
        <f>SUM(AV433:AY433)</f>
        <v>72.5</v>
      </c>
      <c r="BA433" s="476">
        <f>AV433*(1+BA435)</f>
        <v>18.599999999999998</v>
      </c>
      <c r="BB433" s="476">
        <f>AW433*(1+BB435)</f>
        <v>17.850000000000001</v>
      </c>
      <c r="BC433" s="476">
        <f>AX433*(1+BC435)</f>
        <v>17.850000000000001</v>
      </c>
      <c r="BD433" s="476">
        <f>AY433*(1+BD435)</f>
        <v>18.36</v>
      </c>
      <c r="BE433" s="477">
        <f>SUM(BA433:BD433)</f>
        <v>72.66</v>
      </c>
      <c r="BF433" s="476">
        <f>BA433*(1+BF435)</f>
        <v>18.413999999999998</v>
      </c>
      <c r="BG433" s="476">
        <f>BB433*(1+BG435)</f>
        <v>17.671500000000002</v>
      </c>
      <c r="BH433" s="476">
        <f>BC433*(1+BH435)</f>
        <v>17.493000000000002</v>
      </c>
      <c r="BI433" s="476">
        <f>BD433*(1+BI435)</f>
        <v>18.176400000000001</v>
      </c>
      <c r="BJ433" s="477">
        <f>SUM(BF433:BI433)</f>
        <v>71.754899999999992</v>
      </c>
      <c r="BK433" s="476">
        <f>BF433*(1+BK435)</f>
        <v>18.229859999999999</v>
      </c>
      <c r="BL433" s="476">
        <f>BG433*(1+BL435)</f>
        <v>17.671500000000002</v>
      </c>
      <c r="BM433" s="476">
        <f>BH433*(1+BM435)</f>
        <v>17.493000000000002</v>
      </c>
      <c r="BN433" s="476">
        <f>BI433*(1+BN435)</f>
        <v>18.267281999999998</v>
      </c>
      <c r="BO433" s="477">
        <f>SUM(BK433:BN433)</f>
        <v>71.661642000000001</v>
      </c>
      <c r="BP433" s="476">
        <f>BK433*(1+BP435)</f>
        <v>17.682964199999997</v>
      </c>
      <c r="BQ433" s="476">
        <f>BL433*(1+BQ435)</f>
        <v>17.759857499999999</v>
      </c>
      <c r="BR433" s="476">
        <f>BM433*(1+BR435)</f>
        <v>17.667930000000002</v>
      </c>
      <c r="BS433" s="476">
        <f>BN433*(1+BS435)</f>
        <v>18.541291229999995</v>
      </c>
      <c r="BT433" s="2604">
        <f>SUM(BP433:BS433)</f>
        <v>71.652042929999993</v>
      </c>
      <c r="BU433" s="2577">
        <f>BP433*(1+BU435)</f>
        <v>17.682964199999997</v>
      </c>
      <c r="BV433" s="2577">
        <f>BQ433*(1+BV435)</f>
        <v>17.759857499999999</v>
      </c>
      <c r="BW433" s="2577">
        <f>BR433*(1+BW435)</f>
        <v>17.491250700000002</v>
      </c>
      <c r="BX433" s="2577">
        <f>BS433*(1+BX435)</f>
        <v>18.541291229999995</v>
      </c>
      <c r="BY433" s="2604">
        <f>SUM(BU433:BX433)</f>
        <v>71.47536362999999</v>
      </c>
      <c r="BZ433" s="477">
        <f t="shared" ref="BZ433:CF433" si="1080">BY433*(1+BZ435)</f>
        <v>71.117986811849988</v>
      </c>
      <c r="CA433" s="477">
        <f t="shared" si="1080"/>
        <v>71.829166679968495</v>
      </c>
      <c r="CB433" s="477">
        <f t="shared" si="1080"/>
        <v>69.674291679569436</v>
      </c>
      <c r="CC433" s="477">
        <f t="shared" si="1080"/>
        <v>67.584062929182352</v>
      </c>
      <c r="CD433" s="477">
        <f t="shared" si="1080"/>
        <v>68.259903558474178</v>
      </c>
      <c r="CE433" s="477">
        <f t="shared" si="1080"/>
        <v>68.942502594058922</v>
      </c>
      <c r="CF433" s="477">
        <f t="shared" si="1080"/>
        <v>69.631927619999516</v>
      </c>
      <c r="CG433" s="331"/>
      <c r="CH433" s="331"/>
      <c r="CI433" s="331"/>
      <c r="CJ433" s="331"/>
      <c r="CK433" s="331"/>
      <c r="CL433" s="520" t="str">
        <f t="shared" ref="CL433:CL438" si="1081">A433</f>
        <v>Operating expenses</v>
      </c>
      <c r="CM433" s="476"/>
      <c r="CN433" s="476"/>
      <c r="CO433" s="476"/>
      <c r="CP433" s="476"/>
      <c r="CQ433" s="476"/>
      <c r="CR433" s="476"/>
      <c r="CS433" s="476"/>
      <c r="CT433" s="476"/>
      <c r="CU433" s="476">
        <f t="shared" ref="CU433:CU438" si="1082">AU433</f>
        <v>23.843255008000003</v>
      </c>
      <c r="CV433" s="476">
        <f t="shared" ref="CV433:CV438" si="1083">AZ433</f>
        <v>72.5</v>
      </c>
      <c r="CW433" s="476">
        <f t="shared" ref="CW433:CW438" si="1084">BE433</f>
        <v>72.66</v>
      </c>
      <c r="CX433" s="476">
        <f t="shared" ref="CX433:CX438" si="1085">BJ433</f>
        <v>71.754899999999992</v>
      </c>
      <c r="CY433" s="476">
        <f t="shared" ref="CY433:CY438" si="1086">BO433</f>
        <v>71.661642000000001</v>
      </c>
      <c r="CZ433" s="476">
        <f t="shared" ref="CZ433:CZ438" si="1087">BT433</f>
        <v>71.652042929999993</v>
      </c>
      <c r="DA433" s="476">
        <f t="shared" ref="DA433:DC438" si="1088">BY433</f>
        <v>71.47536362999999</v>
      </c>
      <c r="DB433" s="476">
        <f t="shared" si="1088"/>
        <v>71.117986811849988</v>
      </c>
      <c r="DC433" s="682">
        <f t="shared" si="1088"/>
        <v>71.829166679968495</v>
      </c>
      <c r="DD433" s="331"/>
      <c r="DE433" s="331"/>
      <c r="DF433" s="502"/>
      <c r="DG433" s="503"/>
      <c r="DH433" s="2577"/>
      <c r="DI433" s="3213"/>
      <c r="DJ433" s="502"/>
      <c r="DK433" s="503"/>
      <c r="DL433" s="502"/>
      <c r="DM433" s="502"/>
      <c r="DN433" s="502"/>
      <c r="DO433" s="502"/>
      <c r="DP433" s="503"/>
      <c r="DQ433" s="503"/>
      <c r="DR433" s="296"/>
      <c r="DS433" s="296"/>
      <c r="DT433" s="296"/>
    </row>
    <row r="434" spans="1:124" ht="12" customHeight="1" x14ac:dyDescent="0.25">
      <c r="A434" s="465" t="s">
        <v>646</v>
      </c>
      <c r="B434" s="281"/>
      <c r="C434" s="472"/>
      <c r="D434" s="472"/>
      <c r="E434" s="472"/>
      <c r="F434" s="472"/>
      <c r="G434" s="491"/>
      <c r="H434" s="472"/>
      <c r="I434" s="472"/>
      <c r="J434" s="472"/>
      <c r="K434" s="472"/>
      <c r="L434" s="491"/>
      <c r="M434" s="472"/>
      <c r="N434" s="472"/>
      <c r="O434" s="472"/>
      <c r="P434" s="472"/>
      <c r="Q434" s="491"/>
      <c r="R434" s="472"/>
      <c r="S434" s="472"/>
      <c r="T434" s="472"/>
      <c r="U434" s="472"/>
      <c r="V434" s="491"/>
      <c r="W434" s="472"/>
      <c r="X434" s="472"/>
      <c r="Y434" s="472"/>
      <c r="Z434" s="472"/>
      <c r="AA434" s="491"/>
      <c r="AB434" s="472"/>
      <c r="AC434" s="472"/>
      <c r="AD434" s="472"/>
      <c r="AE434" s="492"/>
      <c r="AF434" s="493"/>
      <c r="AG434" s="472"/>
      <c r="AH434" s="472"/>
      <c r="AI434" s="472"/>
      <c r="AJ434" s="492"/>
      <c r="AK434" s="493"/>
      <c r="AL434" s="472"/>
      <c r="AM434" s="472"/>
      <c r="AN434" s="472"/>
      <c r="AO434" s="492"/>
      <c r="AP434" s="494"/>
      <c r="AQ434" s="494"/>
      <c r="AR434" s="492"/>
      <c r="AS434" s="492"/>
      <c r="AT434" s="540">
        <v>0.4</v>
      </c>
      <c r="AU434" s="470">
        <f>+AU433/AU430</f>
        <v>0.4</v>
      </c>
      <c r="AV434" s="471">
        <f t="shared" ref="AV434:BJ434" si="1089">AV433/AV430</f>
        <v>0.33021139755579471</v>
      </c>
      <c r="AW434" s="469">
        <f t="shared" si="1089"/>
        <v>0.32478330879855261</v>
      </c>
      <c r="AX434" s="469">
        <f t="shared" si="1089"/>
        <v>0.32326608120041783</v>
      </c>
      <c r="AY434" s="1463">
        <f t="shared" si="1089"/>
        <v>0.33139790055287521</v>
      </c>
      <c r="AZ434" s="470">
        <f t="shared" si="1089"/>
        <v>0.32753118302868256</v>
      </c>
      <c r="BA434" s="469">
        <f t="shared" si="1089"/>
        <v>0.3309740100149639</v>
      </c>
      <c r="BB434" s="469">
        <f t="shared" si="1089"/>
        <v>0.32926721252585167</v>
      </c>
      <c r="BC434" s="469">
        <f t="shared" si="1089"/>
        <v>0.33045210105396694</v>
      </c>
      <c r="BD434" s="469">
        <f t="shared" si="1089"/>
        <v>0.33925507219385354</v>
      </c>
      <c r="BE434" s="470">
        <f t="shared" si="1089"/>
        <v>0.33247228432784343</v>
      </c>
      <c r="BF434" s="469">
        <f t="shared" si="1089"/>
        <v>0.33034264162970423</v>
      </c>
      <c r="BG434" s="469">
        <f t="shared" si="1089"/>
        <v>0.31378288627195416</v>
      </c>
      <c r="BH434" s="469">
        <f t="shared" si="1089"/>
        <v>0.32501960965279131</v>
      </c>
      <c r="BI434" s="469">
        <f t="shared" si="1089"/>
        <v>0.32785336084331512</v>
      </c>
      <c r="BJ434" s="470">
        <f t="shared" si="1089"/>
        <v>0.32421081765341575</v>
      </c>
      <c r="BK434" s="469">
        <f t="shared" ref="BK434:BU434" si="1090">BK433/BK430</f>
        <v>0.31213319955151314</v>
      </c>
      <c r="BL434" s="469">
        <f t="shared" si="1090"/>
        <v>0.31055888068263315</v>
      </c>
      <c r="BM434" s="469">
        <f t="shared" si="1090"/>
        <v>0.31837835302242834</v>
      </c>
      <c r="BN434" s="469">
        <f t="shared" si="1090"/>
        <v>0.32929118703839749</v>
      </c>
      <c r="BO434" s="470">
        <f t="shared" si="1090"/>
        <v>0.3174732534374986</v>
      </c>
      <c r="BP434" s="469">
        <f t="shared" si="1090"/>
        <v>0.29490694856042499</v>
      </c>
      <c r="BQ434" s="469">
        <f t="shared" si="1090"/>
        <v>0.30295010781084653</v>
      </c>
      <c r="BR434" s="469">
        <f t="shared" si="1090"/>
        <v>0.3040992976945992</v>
      </c>
      <c r="BS434" s="469">
        <f t="shared" si="1090"/>
        <v>0.32584766805809984</v>
      </c>
      <c r="BT434" s="470">
        <f t="shared" si="1090"/>
        <v>0.30674915209867565</v>
      </c>
      <c r="BU434" s="469">
        <f t="shared" si="1090"/>
        <v>0.28787845744536517</v>
      </c>
      <c r="BV434" s="469">
        <f t="shared" ref="BV434:CF434" si="1091">BV433/BV430</f>
        <v>0.30301968189485201</v>
      </c>
      <c r="BW434" s="469">
        <f t="shared" si="1091"/>
        <v>0.29889622537465255</v>
      </c>
      <c r="BX434" s="469">
        <f t="shared" si="1091"/>
        <v>0.32214049740730605</v>
      </c>
      <c r="BY434" s="470">
        <f t="shared" si="1091"/>
        <v>0.30271971288600924</v>
      </c>
      <c r="BZ434" s="470">
        <f t="shared" si="1091"/>
        <v>0.2975607036746265</v>
      </c>
      <c r="CA434" s="470">
        <f t="shared" si="1091"/>
        <v>0.29966170108499046</v>
      </c>
      <c r="CB434" s="470">
        <f t="shared" si="1091"/>
        <v>0.30401464478682283</v>
      </c>
      <c r="CC434" s="470">
        <f t="shared" si="1091"/>
        <v>0.30823734822181892</v>
      </c>
      <c r="CD434" s="470">
        <f t="shared" si="1091"/>
        <v>0.3045556117280509</v>
      </c>
      <c r="CE434" s="470">
        <f t="shared" si="1091"/>
        <v>0.30090016764055888</v>
      </c>
      <c r="CF434" s="470">
        <f t="shared" si="1091"/>
        <v>0.2972706934015566</v>
      </c>
      <c r="CG434" s="331"/>
      <c r="CH434" s="331"/>
      <c r="CI434" s="331"/>
      <c r="CJ434" s="331"/>
      <c r="CK434" s="331"/>
      <c r="CL434" s="1310" t="str">
        <f t="shared" si="1081"/>
        <v>% of Net revenue</v>
      </c>
      <c r="CM434" s="492"/>
      <c r="CN434" s="492"/>
      <c r="CO434" s="492"/>
      <c r="CP434" s="492"/>
      <c r="CQ434" s="492"/>
      <c r="CR434" s="492"/>
      <c r="CS434" s="492"/>
      <c r="CT434" s="492"/>
      <c r="CU434" s="492">
        <f t="shared" si="1082"/>
        <v>0.4</v>
      </c>
      <c r="CV434" s="492">
        <f t="shared" si="1083"/>
        <v>0.32753118302868256</v>
      </c>
      <c r="CW434" s="492">
        <f t="shared" si="1084"/>
        <v>0.33247228432784343</v>
      </c>
      <c r="CX434" s="492">
        <f t="shared" si="1085"/>
        <v>0.32421081765341575</v>
      </c>
      <c r="CY434" s="492">
        <f t="shared" si="1086"/>
        <v>0.3174732534374986</v>
      </c>
      <c r="CZ434" s="492">
        <f t="shared" si="1087"/>
        <v>0.30674915209867565</v>
      </c>
      <c r="DA434" s="492">
        <f t="shared" si="1088"/>
        <v>0.30271971288600924</v>
      </c>
      <c r="DB434" s="492">
        <f t="shared" si="1088"/>
        <v>0.2975607036746265</v>
      </c>
      <c r="DC434" s="1311">
        <f t="shared" si="1088"/>
        <v>0.29966170108499046</v>
      </c>
      <c r="DD434" s="331"/>
      <c r="DE434" s="331"/>
      <c r="DF434" s="502"/>
      <c r="DG434" s="503"/>
      <c r="DH434" s="469"/>
      <c r="DI434" s="3213"/>
      <c r="DJ434" s="502"/>
      <c r="DK434" s="503"/>
      <c r="DL434" s="502"/>
      <c r="DM434" s="502"/>
      <c r="DN434" s="502"/>
      <c r="DO434" s="502"/>
      <c r="DP434" s="503"/>
      <c r="DQ434" s="503"/>
      <c r="DR434" s="296"/>
      <c r="DS434" s="296"/>
      <c r="DT434" s="296"/>
    </row>
    <row r="435" spans="1:124" ht="12" customHeight="1" x14ac:dyDescent="0.25">
      <c r="A435" s="465" t="s">
        <v>1491</v>
      </c>
      <c r="B435" s="281"/>
      <c r="C435" s="472"/>
      <c r="D435" s="472"/>
      <c r="E435" s="472"/>
      <c r="F435" s="472"/>
      <c r="G435" s="491"/>
      <c r="H435" s="472"/>
      <c r="I435" s="472"/>
      <c r="J435" s="472"/>
      <c r="K435" s="472"/>
      <c r="L435" s="491"/>
      <c r="M435" s="472"/>
      <c r="N435" s="472"/>
      <c r="O435" s="472"/>
      <c r="P435" s="472"/>
      <c r="Q435" s="491"/>
      <c r="R435" s="472"/>
      <c r="S435" s="472"/>
      <c r="T435" s="472"/>
      <c r="U435" s="472"/>
      <c r="V435" s="491"/>
      <c r="W435" s="472"/>
      <c r="X435" s="472"/>
      <c r="Y435" s="472"/>
      <c r="Z435" s="472"/>
      <c r="AA435" s="491"/>
      <c r="AB435" s="472"/>
      <c r="AC435" s="472"/>
      <c r="AD435" s="472"/>
      <c r="AE435" s="492"/>
      <c r="AF435" s="493"/>
      <c r="AG435" s="472"/>
      <c r="AH435" s="472"/>
      <c r="AI435" s="472"/>
      <c r="AJ435" s="492"/>
      <c r="AK435" s="493"/>
      <c r="AL435" s="472"/>
      <c r="AM435" s="472"/>
      <c r="AN435" s="472"/>
      <c r="AO435" s="492"/>
      <c r="AP435" s="494"/>
      <c r="AQ435" s="494"/>
      <c r="AR435" s="492"/>
      <c r="AS435" s="492"/>
      <c r="AT435" s="492"/>
      <c r="AU435" s="470" t="s">
        <v>553</v>
      </c>
      <c r="AV435" s="471" t="s">
        <v>553</v>
      </c>
      <c r="AW435" s="469" t="s">
        <v>553</v>
      </c>
      <c r="AX435" s="469" t="s">
        <v>553</v>
      </c>
      <c r="AY435" s="1463" t="s">
        <v>553</v>
      </c>
      <c r="AZ435" s="470" t="s">
        <v>553</v>
      </c>
      <c r="BA435" s="540">
        <v>-7.0000000000000007E-2</v>
      </c>
      <c r="BB435" s="540">
        <v>0.02</v>
      </c>
      <c r="BC435" s="540">
        <v>0.05</v>
      </c>
      <c r="BD435" s="540">
        <v>0.02</v>
      </c>
      <c r="BE435" s="493">
        <f>BE433/AZ433-1</f>
        <v>2.2068965517241246E-3</v>
      </c>
      <c r="BF435" s="540">
        <v>-0.01</v>
      </c>
      <c r="BG435" s="540">
        <v>-0.01</v>
      </c>
      <c r="BH435" s="540">
        <v>-0.02</v>
      </c>
      <c r="BI435" s="540">
        <v>-0.01</v>
      </c>
      <c r="BJ435" s="493">
        <f>BJ433/BE433-1</f>
        <v>-1.2456647398844001E-2</v>
      </c>
      <c r="BK435" s="540">
        <v>-0.01</v>
      </c>
      <c r="BL435" s="540">
        <v>0</v>
      </c>
      <c r="BM435" s="540">
        <v>0</v>
      </c>
      <c r="BN435" s="540">
        <v>5.0000000000000001E-3</v>
      </c>
      <c r="BO435" s="493">
        <f>BO433/BJ433-1</f>
        <v>-1.2996743079565221E-3</v>
      </c>
      <c r="BP435" s="540">
        <v>-0.03</v>
      </c>
      <c r="BQ435" s="540">
        <v>5.0000000000000001E-3</v>
      </c>
      <c r="BR435" s="540">
        <v>0.01</v>
      </c>
      <c r="BS435" s="540">
        <v>1.4999999999999999E-2</v>
      </c>
      <c r="BT435" s="2693">
        <f>BT433/BO433-1</f>
        <v>-1.339499030738045E-4</v>
      </c>
      <c r="BU435" s="540">
        <v>0</v>
      </c>
      <c r="BV435" s="540">
        <v>0</v>
      </c>
      <c r="BW435" s="540">
        <v>-0.01</v>
      </c>
      <c r="BX435" s="540">
        <v>0</v>
      </c>
      <c r="BY435" s="2693">
        <f>BY433/BT433-1</f>
        <v>-2.4657957090297167E-3</v>
      </c>
      <c r="BZ435" s="539">
        <v>-5.0000000000000001E-3</v>
      </c>
      <c r="CA435" s="578">
        <v>0.01</v>
      </c>
      <c r="CB435" s="578">
        <v>-0.03</v>
      </c>
      <c r="CC435" s="578">
        <v>-0.03</v>
      </c>
      <c r="CD435" s="578">
        <v>0.01</v>
      </c>
      <c r="CE435" s="578">
        <v>0.01</v>
      </c>
      <c r="CF435" s="578">
        <v>0.01</v>
      </c>
      <c r="CG435" s="331"/>
      <c r="CH435" s="331"/>
      <c r="CI435" s="331"/>
      <c r="CJ435" s="331"/>
      <c r="CK435" s="331"/>
      <c r="CL435" s="1310" t="str">
        <f t="shared" si="1081"/>
        <v>% growth (y-o-y)</v>
      </c>
      <c r="CM435" s="492"/>
      <c r="CN435" s="492"/>
      <c r="CO435" s="492"/>
      <c r="CP435" s="492"/>
      <c r="CQ435" s="492"/>
      <c r="CR435" s="492"/>
      <c r="CS435" s="492"/>
      <c r="CT435" s="492"/>
      <c r="CU435" s="492" t="str">
        <f t="shared" si="1082"/>
        <v xml:space="preserve">n/a </v>
      </c>
      <c r="CV435" s="492" t="str">
        <f t="shared" si="1083"/>
        <v xml:space="preserve">n/a </v>
      </c>
      <c r="CW435" s="492">
        <f t="shared" si="1084"/>
        <v>2.2068965517241246E-3</v>
      </c>
      <c r="CX435" s="492">
        <f t="shared" si="1085"/>
        <v>-1.2456647398844001E-2</v>
      </c>
      <c r="CY435" s="492">
        <f t="shared" si="1086"/>
        <v>-1.2996743079565221E-3</v>
      </c>
      <c r="CZ435" s="492">
        <f t="shared" si="1087"/>
        <v>-1.339499030738045E-4</v>
      </c>
      <c r="DA435" s="492">
        <f t="shared" si="1088"/>
        <v>-2.4657957090297167E-3</v>
      </c>
      <c r="DB435" s="492">
        <f t="shared" si="1088"/>
        <v>-5.0000000000000001E-3</v>
      </c>
      <c r="DC435" s="1311">
        <f t="shared" si="1088"/>
        <v>0.01</v>
      </c>
      <c r="DD435" s="331"/>
      <c r="DE435" s="331"/>
      <c r="DF435" s="502"/>
      <c r="DG435" s="503"/>
      <c r="DH435" s="2653"/>
      <c r="DI435" s="3213"/>
      <c r="DJ435" s="502"/>
      <c r="DK435" s="503"/>
      <c r="DL435" s="502"/>
      <c r="DM435" s="502"/>
      <c r="DN435" s="502"/>
      <c r="DO435" s="502"/>
      <c r="DP435" s="503"/>
      <c r="DQ435" s="503"/>
      <c r="DR435" s="296"/>
      <c r="DS435" s="296"/>
      <c r="DT435" s="296"/>
    </row>
    <row r="436" spans="1:124" ht="12" customHeight="1" x14ac:dyDescent="0.25">
      <c r="A436" s="281" t="s">
        <v>2161</v>
      </c>
      <c r="B436" s="281"/>
      <c r="C436" s="452"/>
      <c r="D436" s="452"/>
      <c r="E436" s="452"/>
      <c r="F436" s="452"/>
      <c r="G436" s="475"/>
      <c r="H436" s="452"/>
      <c r="I436" s="452"/>
      <c r="J436" s="452"/>
      <c r="K436" s="452"/>
      <c r="L436" s="475"/>
      <c r="M436" s="452"/>
      <c r="N436" s="452"/>
      <c r="O436" s="452"/>
      <c r="P436" s="452"/>
      <c r="Q436" s="475"/>
      <c r="R436" s="452"/>
      <c r="S436" s="452"/>
      <c r="T436" s="452"/>
      <c r="U436" s="452"/>
      <c r="V436" s="475"/>
      <c r="W436" s="452"/>
      <c r="X436" s="452"/>
      <c r="Y436" s="452"/>
      <c r="Z436" s="452"/>
      <c r="AA436" s="475"/>
      <c r="AB436" s="452"/>
      <c r="AC436" s="452"/>
      <c r="AD436" s="452"/>
      <c r="AE436" s="476"/>
      <c r="AF436" s="477"/>
      <c r="AG436" s="452"/>
      <c r="AH436" s="452"/>
      <c r="AI436" s="452"/>
      <c r="AJ436" s="476"/>
      <c r="AK436" s="477"/>
      <c r="AL436" s="452"/>
      <c r="AM436" s="452"/>
      <c r="AN436" s="452"/>
      <c r="AO436" s="476"/>
      <c r="AP436" s="478"/>
      <c r="AQ436" s="478"/>
      <c r="AR436" s="476"/>
      <c r="AS436" s="476"/>
      <c r="AT436" s="476">
        <f>+AT427*AT437</f>
        <v>18.557250360000001</v>
      </c>
      <c r="AU436" s="477">
        <f>+SUM(AQ436:AT436)</f>
        <v>18.557250360000001</v>
      </c>
      <c r="AV436" s="478">
        <f>AV437*AV427</f>
        <v>19.035424979999998</v>
      </c>
      <c r="AW436" s="476">
        <f>AW437*AW427</f>
        <v>16.934367779999999</v>
      </c>
      <c r="AX436" s="476">
        <f>AX437*AX427</f>
        <v>16.527738149999998</v>
      </c>
      <c r="AY436" s="682">
        <f>AY437*AY427</f>
        <v>17.070545250000002</v>
      </c>
      <c r="AZ436" s="477">
        <f>SUM(AV436:AY436)</f>
        <v>69.568076160000004</v>
      </c>
      <c r="BA436" s="476">
        <f>BA437*BA427</f>
        <v>17.66215506</v>
      </c>
      <c r="BB436" s="476">
        <f>BB437*BB427</f>
        <v>17.037833669999998</v>
      </c>
      <c r="BC436" s="476">
        <f>BC437*BC427</f>
        <v>16.976741809500002</v>
      </c>
      <c r="BD436" s="476">
        <f>BD437*BD427</f>
        <v>17.008694009999999</v>
      </c>
      <c r="BE436" s="477">
        <f>SUM(BA436:BD436)</f>
        <v>68.685424549499999</v>
      </c>
      <c r="BF436" s="476">
        <f>BF437*BF427</f>
        <v>17.423481899999999</v>
      </c>
      <c r="BG436" s="476">
        <f>BG437*BG427</f>
        <v>17.64772812</v>
      </c>
      <c r="BH436" s="476">
        <f>BH437*BH427</f>
        <v>16.903725959999999</v>
      </c>
      <c r="BI436" s="476">
        <f>BI437*BI427</f>
        <v>17.436472000199998</v>
      </c>
      <c r="BJ436" s="477">
        <f>SUM(BF436:BI436)</f>
        <v>69.411407980199996</v>
      </c>
      <c r="BK436" s="476">
        <f>BK437*BK427</f>
        <v>18.253365025500003</v>
      </c>
      <c r="BL436" s="476">
        <f>BL437*BL427</f>
        <v>17.622743489999998</v>
      </c>
      <c r="BM436" s="476">
        <f>BM437*BM427</f>
        <v>17.231348758799999</v>
      </c>
      <c r="BN436" s="476">
        <f>BN437*BN427</f>
        <v>17.404717083600001</v>
      </c>
      <c r="BO436" s="477">
        <f>SUM(BK436:BN436)</f>
        <v>70.512174357900008</v>
      </c>
      <c r="BP436" s="476">
        <f>BP437*BP427</f>
        <v>18.716195519999999</v>
      </c>
      <c r="BQ436" s="476">
        <f>BQ437*BQ427</f>
        <v>18.132854519999999</v>
      </c>
      <c r="BR436" s="476">
        <f>BR437*BR427</f>
        <v>18.227539109999999</v>
      </c>
      <c r="BS436" s="476">
        <f>BS437*BS427</f>
        <v>17.830585740000004</v>
      </c>
      <c r="BT436" s="2604">
        <f>SUM(BP436:BS436)</f>
        <v>72.907174889999993</v>
      </c>
      <c r="BU436" s="2577">
        <f>BU437*BU427</f>
        <v>19.145745959999999</v>
      </c>
      <c r="BV436" s="2577">
        <f>BV437*BV427</f>
        <v>18.067775220359806</v>
      </c>
      <c r="BW436" s="2577">
        <f>BW437*BW427</f>
        <v>18.31896592760144</v>
      </c>
      <c r="BX436" s="2577">
        <f>BX437*BX427</f>
        <v>17.999327661341898</v>
      </c>
      <c r="BY436" s="2604">
        <f>SUM(BU436:BX436)</f>
        <v>73.531814769303139</v>
      </c>
      <c r="BZ436" s="477">
        <f t="shared" ref="BZ436:CF436" si="1092">BZ437*BZ427</f>
        <v>74.267132916996189</v>
      </c>
      <c r="CA436" s="477">
        <f t="shared" si="1092"/>
        <v>74.267132916996189</v>
      </c>
      <c r="CB436" s="477">
        <f t="shared" si="1092"/>
        <v>70.55377627114639</v>
      </c>
      <c r="CC436" s="477">
        <f t="shared" si="1092"/>
        <v>67.026087457589057</v>
      </c>
      <c r="CD436" s="477">
        <f t="shared" si="1092"/>
        <v>68.366609206740847</v>
      </c>
      <c r="CE436" s="477">
        <f t="shared" si="1092"/>
        <v>69.733941390875643</v>
      </c>
      <c r="CF436" s="477">
        <f t="shared" si="1092"/>
        <v>71.128620218693172</v>
      </c>
      <c r="CG436" s="331"/>
      <c r="CH436" s="331"/>
      <c r="CI436" s="331"/>
      <c r="CJ436" s="331"/>
      <c r="CK436" s="331"/>
      <c r="CL436" s="520" t="str">
        <f t="shared" si="1081"/>
        <v>Tax expense</v>
      </c>
      <c r="CM436" s="476"/>
      <c r="CN436" s="476"/>
      <c r="CO436" s="476"/>
      <c r="CP436" s="476"/>
      <c r="CQ436" s="476"/>
      <c r="CR436" s="476"/>
      <c r="CS436" s="476"/>
      <c r="CT436" s="476"/>
      <c r="CU436" s="476">
        <f t="shared" si="1082"/>
        <v>18.557250360000001</v>
      </c>
      <c r="CV436" s="476">
        <f t="shared" si="1083"/>
        <v>69.568076160000004</v>
      </c>
      <c r="CW436" s="476">
        <f t="shared" si="1084"/>
        <v>68.685424549499999</v>
      </c>
      <c r="CX436" s="476">
        <f t="shared" si="1085"/>
        <v>69.411407980199996</v>
      </c>
      <c r="CY436" s="476">
        <f t="shared" si="1086"/>
        <v>70.512174357900008</v>
      </c>
      <c r="CZ436" s="476">
        <f t="shared" si="1087"/>
        <v>72.907174889999993</v>
      </c>
      <c r="DA436" s="476">
        <f t="shared" si="1088"/>
        <v>73.531814769303139</v>
      </c>
      <c r="DB436" s="476">
        <f t="shared" si="1088"/>
        <v>74.267132916996189</v>
      </c>
      <c r="DC436" s="682">
        <f t="shared" si="1088"/>
        <v>74.267132916996189</v>
      </c>
      <c r="DD436" s="331"/>
      <c r="DE436" s="331"/>
      <c r="DF436" s="502"/>
      <c r="DG436" s="503"/>
      <c r="DH436" s="2577"/>
      <c r="DI436" s="3213"/>
      <c r="DJ436" s="502"/>
      <c r="DK436" s="503"/>
      <c r="DL436" s="502"/>
      <c r="DM436" s="502"/>
      <c r="DN436" s="502"/>
      <c r="DO436" s="502"/>
      <c r="DP436" s="503"/>
      <c r="DQ436" s="503"/>
      <c r="DR436" s="296"/>
      <c r="DS436" s="296"/>
      <c r="DT436" s="296"/>
    </row>
    <row r="437" spans="1:124" ht="12" customHeight="1" x14ac:dyDescent="0.25">
      <c r="A437" s="465" t="s">
        <v>1810</v>
      </c>
      <c r="B437" s="281"/>
      <c r="C437" s="472"/>
      <c r="D437" s="472"/>
      <c r="E437" s="472"/>
      <c r="F437" s="472"/>
      <c r="G437" s="491"/>
      <c r="H437" s="472"/>
      <c r="I437" s="472"/>
      <c r="J437" s="472"/>
      <c r="K437" s="472"/>
      <c r="L437" s="491"/>
      <c r="M437" s="472"/>
      <c r="N437" s="472"/>
      <c r="O437" s="472"/>
      <c r="P437" s="472"/>
      <c r="Q437" s="491"/>
      <c r="R437" s="472"/>
      <c r="S437" s="472"/>
      <c r="T437" s="472"/>
      <c r="U437" s="472"/>
      <c r="V437" s="491"/>
      <c r="W437" s="472"/>
      <c r="X437" s="472"/>
      <c r="Y437" s="472"/>
      <c r="Z437" s="472"/>
      <c r="AA437" s="491"/>
      <c r="AB437" s="472"/>
      <c r="AC437" s="472"/>
      <c r="AD437" s="472"/>
      <c r="AE437" s="492"/>
      <c r="AF437" s="493"/>
      <c r="AG437" s="472"/>
      <c r="AH437" s="472"/>
      <c r="AI437" s="472"/>
      <c r="AJ437" s="492"/>
      <c r="AK437" s="493"/>
      <c r="AL437" s="472"/>
      <c r="AM437" s="472"/>
      <c r="AN437" s="472"/>
      <c r="AO437" s="492"/>
      <c r="AP437" s="494"/>
      <c r="AQ437" s="494"/>
      <c r="AR437" s="492"/>
      <c r="AS437" s="492"/>
      <c r="AT437" s="540">
        <v>0.33</v>
      </c>
      <c r="AU437" s="470">
        <f>+AU436/AU427</f>
        <v>0.33</v>
      </c>
      <c r="AV437" s="1667">
        <v>0.33</v>
      </c>
      <c r="AW437" s="540">
        <v>0.33</v>
      </c>
      <c r="AX437" s="540">
        <v>0.33</v>
      </c>
      <c r="AY437" s="1668">
        <v>0.33</v>
      </c>
      <c r="AZ437" s="470">
        <f>+AZ436/AZ427</f>
        <v>0.33000000000000007</v>
      </c>
      <c r="BA437" s="540">
        <v>0.33</v>
      </c>
      <c r="BB437" s="540">
        <v>0.33</v>
      </c>
      <c r="BC437" s="540">
        <v>0.33</v>
      </c>
      <c r="BD437" s="540">
        <v>0.33</v>
      </c>
      <c r="BE437" s="470">
        <f>+BE436/BE427</f>
        <v>0.33</v>
      </c>
      <c r="BF437" s="540">
        <v>0.33</v>
      </c>
      <c r="BG437" s="540">
        <v>0.33</v>
      </c>
      <c r="BH437" s="540">
        <v>0.33</v>
      </c>
      <c r="BI437" s="540">
        <v>0.33</v>
      </c>
      <c r="BJ437" s="470">
        <f>+BJ436/BJ427</f>
        <v>0.33</v>
      </c>
      <c r="BK437" s="540">
        <v>0.33</v>
      </c>
      <c r="BL437" s="540">
        <v>0.33</v>
      </c>
      <c r="BM437" s="540">
        <f>BL437</f>
        <v>0.33</v>
      </c>
      <c r="BN437" s="540">
        <f>BM437</f>
        <v>0.33</v>
      </c>
      <c r="BO437" s="470">
        <f>+BO436/BO427</f>
        <v>0.33</v>
      </c>
      <c r="BP437" s="540">
        <f>BO437</f>
        <v>0.33</v>
      </c>
      <c r="BQ437" s="540">
        <f>BP437</f>
        <v>0.33</v>
      </c>
      <c r="BR437" s="540">
        <f>BQ437</f>
        <v>0.33</v>
      </c>
      <c r="BS437" s="540">
        <f>BR437</f>
        <v>0.33</v>
      </c>
      <c r="BT437" s="470">
        <f>+BT436/BT427</f>
        <v>0.32999999999999996</v>
      </c>
      <c r="BU437" s="540">
        <f>BT437</f>
        <v>0.32999999999999996</v>
      </c>
      <c r="BV437" s="540">
        <f>BU437</f>
        <v>0.32999999999999996</v>
      </c>
      <c r="BW437" s="540">
        <f>BV437</f>
        <v>0.32999999999999996</v>
      </c>
      <c r="BX437" s="540">
        <f>BW437</f>
        <v>0.32999999999999996</v>
      </c>
      <c r="BY437" s="470">
        <f>+BY436/BY427</f>
        <v>0.3299999999999999</v>
      </c>
      <c r="BZ437" s="539">
        <v>0.33</v>
      </c>
      <c r="CA437" s="539">
        <v>0.33</v>
      </c>
      <c r="CB437" s="539">
        <v>0.33</v>
      </c>
      <c r="CC437" s="539">
        <v>0.33</v>
      </c>
      <c r="CD437" s="539">
        <v>0.33</v>
      </c>
      <c r="CE437" s="539">
        <v>0.33</v>
      </c>
      <c r="CF437" s="539">
        <v>0.33</v>
      </c>
      <c r="CG437" s="331"/>
      <c r="CH437" s="331"/>
      <c r="CI437" s="331"/>
      <c r="CJ437" s="331"/>
      <c r="CK437" s="331"/>
      <c r="CL437" s="1310" t="str">
        <f t="shared" si="1081"/>
        <v>% of Gaming revenue</v>
      </c>
      <c r="CM437" s="492"/>
      <c r="CN437" s="492"/>
      <c r="CO437" s="492"/>
      <c r="CP437" s="492"/>
      <c r="CQ437" s="492"/>
      <c r="CR437" s="492"/>
      <c r="CS437" s="492"/>
      <c r="CT437" s="492"/>
      <c r="CU437" s="492">
        <f t="shared" si="1082"/>
        <v>0.33</v>
      </c>
      <c r="CV437" s="492">
        <f t="shared" si="1083"/>
        <v>0.33000000000000007</v>
      </c>
      <c r="CW437" s="492">
        <f t="shared" si="1084"/>
        <v>0.33</v>
      </c>
      <c r="CX437" s="492">
        <f t="shared" si="1085"/>
        <v>0.33</v>
      </c>
      <c r="CY437" s="492">
        <f t="shared" si="1086"/>
        <v>0.33</v>
      </c>
      <c r="CZ437" s="492">
        <f t="shared" si="1087"/>
        <v>0.32999999999999996</v>
      </c>
      <c r="DA437" s="492">
        <f t="shared" si="1088"/>
        <v>0.3299999999999999</v>
      </c>
      <c r="DB437" s="492">
        <f t="shared" si="1088"/>
        <v>0.33</v>
      </c>
      <c r="DC437" s="1311">
        <f t="shared" si="1088"/>
        <v>0.33</v>
      </c>
      <c r="DD437" s="331"/>
      <c r="DE437" s="331"/>
      <c r="DF437" s="502"/>
      <c r="DG437" s="503"/>
      <c r="DH437" s="469"/>
      <c r="DI437" s="3213"/>
      <c r="DJ437" s="502"/>
      <c r="DK437" s="503"/>
      <c r="DL437" s="502"/>
      <c r="DM437" s="502"/>
      <c r="DN437" s="502"/>
      <c r="DO437" s="502"/>
      <c r="DP437" s="503"/>
      <c r="DQ437" s="503"/>
      <c r="DR437" s="296"/>
      <c r="DS437" s="296"/>
      <c r="DT437" s="296"/>
    </row>
    <row r="438" spans="1:124" ht="12" customHeight="1" x14ac:dyDescent="0.25">
      <c r="A438" s="281" t="s">
        <v>2162</v>
      </c>
      <c r="B438" s="281"/>
      <c r="C438" s="452"/>
      <c r="D438" s="452"/>
      <c r="E438" s="452"/>
      <c r="F438" s="452"/>
      <c r="G438" s="475"/>
      <c r="H438" s="452"/>
      <c r="I438" s="452"/>
      <c r="J438" s="452"/>
      <c r="K438" s="452"/>
      <c r="L438" s="475"/>
      <c r="M438" s="452"/>
      <c r="N438" s="452"/>
      <c r="O438" s="452"/>
      <c r="P438" s="452"/>
      <c r="Q438" s="475"/>
      <c r="R438" s="452"/>
      <c r="S438" s="452"/>
      <c r="T438" s="452"/>
      <c r="U438" s="452"/>
      <c r="V438" s="475"/>
      <c r="W438" s="452"/>
      <c r="X438" s="452"/>
      <c r="Y438" s="452"/>
      <c r="Z438" s="452"/>
      <c r="AA438" s="475"/>
      <c r="AB438" s="452"/>
      <c r="AC438" s="452"/>
      <c r="AD438" s="452"/>
      <c r="AE438" s="476"/>
      <c r="AF438" s="477"/>
      <c r="AG438" s="452"/>
      <c r="AH438" s="452"/>
      <c r="AI438" s="452"/>
      <c r="AJ438" s="476"/>
      <c r="AK438" s="477"/>
      <c r="AL438" s="452"/>
      <c r="AM438" s="452"/>
      <c r="AN438" s="452"/>
      <c r="AO438" s="476"/>
      <c r="AP438" s="478"/>
      <c r="AQ438" s="478"/>
      <c r="AR438" s="476"/>
      <c r="AS438" s="476"/>
      <c r="AT438" s="476">
        <f>+AT436+AT433</f>
        <v>42.400505368000005</v>
      </c>
      <c r="AU438" s="477">
        <f>+SUM(AQ438:AT438)</f>
        <v>42.400505368000005</v>
      </c>
      <c r="AV438" s="478">
        <f t="shared" ref="AV438:BE438" si="1093">AV436+AV433</f>
        <v>39.035424980000002</v>
      </c>
      <c r="AW438" s="476">
        <f t="shared" si="1093"/>
        <v>34.434367780000002</v>
      </c>
      <c r="AX438" s="476">
        <f t="shared" si="1093"/>
        <v>33.527738149999998</v>
      </c>
      <c r="AY438" s="682">
        <f t="shared" si="1093"/>
        <v>35.070545250000002</v>
      </c>
      <c r="AZ438" s="477">
        <f t="shared" si="1093"/>
        <v>142.06807616</v>
      </c>
      <c r="BA438" s="476">
        <f t="shared" si="1093"/>
        <v>36.262155059999998</v>
      </c>
      <c r="BB438" s="476">
        <f t="shared" si="1093"/>
        <v>34.887833669999999</v>
      </c>
      <c r="BC438" s="476">
        <f t="shared" si="1093"/>
        <v>34.826741809500007</v>
      </c>
      <c r="BD438" s="476">
        <f t="shared" si="1093"/>
        <v>35.368694009999999</v>
      </c>
      <c r="BE438" s="477">
        <f t="shared" si="1093"/>
        <v>141.3454245495</v>
      </c>
      <c r="BF438" s="476">
        <f t="shared" ref="BF438:BO438" si="1094">BF436+BF433</f>
        <v>35.8374819</v>
      </c>
      <c r="BG438" s="476">
        <f t="shared" si="1094"/>
        <v>35.319228120000005</v>
      </c>
      <c r="BH438" s="476">
        <f t="shared" si="1094"/>
        <v>34.396725959999998</v>
      </c>
      <c r="BI438" s="476">
        <f t="shared" si="1094"/>
        <v>35.612872000199999</v>
      </c>
      <c r="BJ438" s="477">
        <f t="shared" si="1094"/>
        <v>141.16630798019997</v>
      </c>
      <c r="BK438" s="476">
        <f t="shared" si="1094"/>
        <v>36.483225025500005</v>
      </c>
      <c r="BL438" s="476">
        <f t="shared" si="1094"/>
        <v>35.294243489999999</v>
      </c>
      <c r="BM438" s="476">
        <f t="shared" si="1094"/>
        <v>34.724348758800005</v>
      </c>
      <c r="BN438" s="476">
        <f t="shared" si="1094"/>
        <v>35.671999083599999</v>
      </c>
      <c r="BO438" s="477">
        <f t="shared" si="1094"/>
        <v>142.17381635790002</v>
      </c>
      <c r="BP438" s="476">
        <f t="shared" ref="BP438:CF438" si="1095">BP436+BP433</f>
        <v>36.39915972</v>
      </c>
      <c r="BQ438" s="476">
        <f t="shared" si="1095"/>
        <v>35.892712019999998</v>
      </c>
      <c r="BR438" s="476">
        <f t="shared" si="1095"/>
        <v>35.895469110000001</v>
      </c>
      <c r="BS438" s="476">
        <f t="shared" si="1095"/>
        <v>36.371876970000002</v>
      </c>
      <c r="BT438" s="2604">
        <f t="shared" si="1095"/>
        <v>144.55921781999999</v>
      </c>
      <c r="BU438" s="2577">
        <f t="shared" si="1095"/>
        <v>36.82871016</v>
      </c>
      <c r="BV438" s="2577">
        <f>BV436+BV433</f>
        <v>35.827632720359802</v>
      </c>
      <c r="BW438" s="2577">
        <f>BW436+BW433</f>
        <v>35.810216627601442</v>
      </c>
      <c r="BX438" s="2577">
        <f>BX436+BX433</f>
        <v>36.540618891341893</v>
      </c>
      <c r="BY438" s="2604">
        <f>BY436+BY433</f>
        <v>145.00717839930314</v>
      </c>
      <c r="BZ438" s="477">
        <f t="shared" si="1095"/>
        <v>145.38511972884618</v>
      </c>
      <c r="CA438" s="477">
        <f t="shared" si="1095"/>
        <v>146.09629959696468</v>
      </c>
      <c r="CB438" s="477">
        <f t="shared" si="1095"/>
        <v>140.22806795071583</v>
      </c>
      <c r="CC438" s="477">
        <f t="shared" si="1095"/>
        <v>134.61015038677141</v>
      </c>
      <c r="CD438" s="477">
        <f t="shared" si="1095"/>
        <v>136.62651276521501</v>
      </c>
      <c r="CE438" s="477">
        <f t="shared" si="1095"/>
        <v>138.67644398493456</v>
      </c>
      <c r="CF438" s="477">
        <f t="shared" si="1095"/>
        <v>140.76054783869267</v>
      </c>
      <c r="CG438" s="331"/>
      <c r="CH438" s="331"/>
      <c r="CI438" s="331"/>
      <c r="CJ438" s="331"/>
      <c r="CK438" s="331"/>
      <c r="CL438" s="520" t="str">
        <f t="shared" si="1081"/>
        <v>Total expenses</v>
      </c>
      <c r="CM438" s="476"/>
      <c r="CN438" s="476"/>
      <c r="CO438" s="476"/>
      <c r="CP438" s="476"/>
      <c r="CQ438" s="476"/>
      <c r="CR438" s="476"/>
      <c r="CS438" s="476"/>
      <c r="CT438" s="476"/>
      <c r="CU438" s="476">
        <f t="shared" si="1082"/>
        <v>42.400505368000005</v>
      </c>
      <c r="CV438" s="476">
        <f t="shared" si="1083"/>
        <v>142.06807616</v>
      </c>
      <c r="CW438" s="476">
        <f t="shared" si="1084"/>
        <v>141.3454245495</v>
      </c>
      <c r="CX438" s="476">
        <f t="shared" si="1085"/>
        <v>141.16630798019997</v>
      </c>
      <c r="CY438" s="476">
        <f t="shared" si="1086"/>
        <v>142.17381635790002</v>
      </c>
      <c r="CZ438" s="476">
        <f t="shared" si="1087"/>
        <v>144.55921781999999</v>
      </c>
      <c r="DA438" s="476">
        <f t="shared" si="1088"/>
        <v>145.00717839930314</v>
      </c>
      <c r="DB438" s="476">
        <f t="shared" si="1088"/>
        <v>145.38511972884618</v>
      </c>
      <c r="DC438" s="682">
        <f t="shared" si="1088"/>
        <v>146.09629959696468</v>
      </c>
      <c r="DD438" s="331"/>
      <c r="DE438" s="331"/>
      <c r="DF438" s="502"/>
      <c r="DG438" s="503"/>
      <c r="DH438" s="2577"/>
      <c r="DI438" s="3213"/>
      <c r="DJ438" s="502"/>
      <c r="DK438" s="503"/>
      <c r="DL438" s="502"/>
      <c r="DM438" s="502"/>
      <c r="DN438" s="502"/>
      <c r="DO438" s="502"/>
      <c r="DP438" s="503"/>
      <c r="DQ438" s="503"/>
      <c r="DR438" s="296"/>
      <c r="DS438" s="296"/>
      <c r="DT438" s="296"/>
    </row>
    <row r="439" spans="1:124" ht="5.0999999999999996" customHeight="1" x14ac:dyDescent="0.25">
      <c r="A439" s="281"/>
      <c r="B439" s="281"/>
      <c r="C439" s="305"/>
      <c r="D439" s="305"/>
      <c r="E439" s="305"/>
      <c r="F439" s="305"/>
      <c r="G439" s="440"/>
      <c r="H439" s="305"/>
      <c r="I439" s="305"/>
      <c r="J439" s="305"/>
      <c r="K439" s="305"/>
      <c r="L439" s="440"/>
      <c r="M439" s="305"/>
      <c r="N439" s="305"/>
      <c r="O439" s="305"/>
      <c r="P439" s="305"/>
      <c r="Q439" s="440"/>
      <c r="R439" s="305"/>
      <c r="S439" s="305"/>
      <c r="T439" s="305"/>
      <c r="U439" s="305"/>
      <c r="V439" s="440"/>
      <c r="W439" s="305"/>
      <c r="X439" s="305"/>
      <c r="Y439" s="305"/>
      <c r="Z439" s="305"/>
      <c r="AA439" s="440"/>
      <c r="AB439" s="305"/>
      <c r="AC439" s="305"/>
      <c r="AD439" s="305"/>
      <c r="AE439" s="331"/>
      <c r="AF439" s="441"/>
      <c r="AG439" s="305"/>
      <c r="AH439" s="305"/>
      <c r="AI439" s="305"/>
      <c r="AJ439" s="331"/>
      <c r="AK439" s="441"/>
      <c r="AL439" s="305"/>
      <c r="AM439" s="305"/>
      <c r="AN439" s="305"/>
      <c r="AO439" s="331"/>
      <c r="AP439" s="569"/>
      <c r="AQ439" s="569"/>
      <c r="AR439" s="442"/>
      <c r="AS439" s="442"/>
      <c r="AT439" s="442"/>
      <c r="AU439" s="441"/>
      <c r="AV439" s="569"/>
      <c r="AW439" s="442"/>
      <c r="AX439" s="442"/>
      <c r="AY439" s="1312"/>
      <c r="AZ439" s="441"/>
      <c r="BA439" s="442"/>
      <c r="BB439" s="442"/>
      <c r="BC439" s="442"/>
      <c r="BD439" s="442"/>
      <c r="BE439" s="441"/>
      <c r="BF439" s="442"/>
      <c r="BG439" s="442"/>
      <c r="BH439" s="442"/>
      <c r="BI439" s="442"/>
      <c r="BJ439" s="441"/>
      <c r="BK439" s="442"/>
      <c r="BL439" s="442"/>
      <c r="BM439" s="442"/>
      <c r="BN439" s="442"/>
      <c r="BO439" s="441"/>
      <c r="BP439" s="442"/>
      <c r="BQ439" s="442"/>
      <c r="BR439" s="442"/>
      <c r="BS439" s="442"/>
      <c r="BT439" s="3236"/>
      <c r="BU439" s="3298"/>
      <c r="BV439" s="3298"/>
      <c r="BW439" s="3298"/>
      <c r="BX439" s="3298"/>
      <c r="BY439" s="3236"/>
      <c r="BZ439" s="441"/>
      <c r="CA439" s="441"/>
      <c r="CB439" s="441"/>
      <c r="CC439" s="441"/>
      <c r="CD439" s="441"/>
      <c r="CE439" s="441"/>
      <c r="CF439" s="441"/>
      <c r="CG439" s="331"/>
      <c r="CH439" s="331"/>
      <c r="CI439" s="331"/>
      <c r="CJ439" s="331"/>
      <c r="CK439" s="331"/>
      <c r="CL439" s="520"/>
      <c r="CM439" s="442"/>
      <c r="CN439" s="442"/>
      <c r="CO439" s="442"/>
      <c r="CP439" s="442"/>
      <c r="CQ439" s="442"/>
      <c r="CR439" s="442"/>
      <c r="CS439" s="442"/>
      <c r="CT439" s="442"/>
      <c r="CU439" s="442"/>
      <c r="CV439" s="442"/>
      <c r="CW439" s="442"/>
      <c r="CX439" s="442"/>
      <c r="CY439" s="442"/>
      <c r="CZ439" s="442"/>
      <c r="DA439" s="442"/>
      <c r="DB439" s="442"/>
      <c r="DC439" s="1312"/>
      <c r="DD439" s="331"/>
      <c r="DE439" s="331"/>
      <c r="DF439" s="502"/>
      <c r="DG439" s="503"/>
      <c r="DH439" s="3298"/>
      <c r="DI439" s="3213"/>
      <c r="DJ439" s="502"/>
      <c r="DK439" s="503"/>
      <c r="DL439" s="502"/>
      <c r="DM439" s="502"/>
      <c r="DN439" s="502"/>
      <c r="DO439" s="502"/>
      <c r="DP439" s="503"/>
      <c r="DQ439" s="503"/>
      <c r="DR439" s="296"/>
      <c r="DS439" s="296"/>
      <c r="DT439" s="296"/>
    </row>
    <row r="440" spans="1:124" ht="12" customHeight="1" x14ac:dyDescent="0.25">
      <c r="A440" s="496" t="s">
        <v>2010</v>
      </c>
      <c r="B440" s="1007"/>
      <c r="C440" s="1008"/>
      <c r="D440" s="1008"/>
      <c r="E440" s="1008"/>
      <c r="F440" s="1008"/>
      <c r="G440" s="1009"/>
      <c r="H440" s="1008"/>
      <c r="I440" s="1008"/>
      <c r="J440" s="1008"/>
      <c r="K440" s="1008"/>
      <c r="L440" s="1009"/>
      <c r="M440" s="1008"/>
      <c r="N440" s="1008"/>
      <c r="O440" s="1008"/>
      <c r="P440" s="1008"/>
      <c r="Q440" s="1009"/>
      <c r="R440" s="1008"/>
      <c r="S440" s="1008"/>
      <c r="T440" s="1008"/>
      <c r="U440" s="1008"/>
      <c r="V440" s="1009"/>
      <c r="W440" s="1008"/>
      <c r="X440" s="1008"/>
      <c r="Y440" s="1008"/>
      <c r="Z440" s="1008"/>
      <c r="AA440" s="1009"/>
      <c r="AB440" s="1008"/>
      <c r="AC440" s="1008"/>
      <c r="AD440" s="1008"/>
      <c r="AE440" s="1010"/>
      <c r="AF440" s="1011"/>
      <c r="AG440" s="1008"/>
      <c r="AH440" s="1008"/>
      <c r="AI440" s="1008"/>
      <c r="AJ440" s="1010"/>
      <c r="AK440" s="1011"/>
      <c r="AL440" s="1008"/>
      <c r="AM440" s="1008"/>
      <c r="AN440" s="1008"/>
      <c r="AO440" s="1010"/>
      <c r="AP440" s="1013"/>
      <c r="AQ440" s="1013"/>
      <c r="AR440" s="1012"/>
      <c r="AS440" s="1012"/>
      <c r="AT440" s="1012">
        <f>+AT430-AT438</f>
        <v>17.207632152000002</v>
      </c>
      <c r="AU440" s="1011">
        <f>+SUM(AQ440:AT440)</f>
        <v>17.207632152000002</v>
      </c>
      <c r="AV440" s="1013">
        <f t="shared" ref="AV440:BE440" si="1096">AV430-AV438</f>
        <v>21.531836319999996</v>
      </c>
      <c r="AW440" s="1012">
        <f t="shared" si="1096"/>
        <v>19.447711519999999</v>
      </c>
      <c r="AX440" s="1012">
        <f t="shared" si="1096"/>
        <v>19.060519599999992</v>
      </c>
      <c r="AY440" s="1877">
        <f t="shared" si="1096"/>
        <v>19.244826000000003</v>
      </c>
      <c r="AZ440" s="1011">
        <f t="shared" si="1096"/>
        <v>79.284893439999962</v>
      </c>
      <c r="BA440" s="1012">
        <f t="shared" si="1096"/>
        <v>19.935611039999998</v>
      </c>
      <c r="BB440" s="1012">
        <f t="shared" si="1096"/>
        <v>19.32345527999999</v>
      </c>
      <c r="BC440" s="1012">
        <f t="shared" si="1096"/>
        <v>19.190163947999999</v>
      </c>
      <c r="BD440" s="1012">
        <f t="shared" si="1096"/>
        <v>18.749877839999996</v>
      </c>
      <c r="BE440" s="1011">
        <f t="shared" si="1096"/>
        <v>77.19910810799999</v>
      </c>
      <c r="BF440" s="1012">
        <f t="shared" ref="BF440:BO440" si="1097">BF430-BF438</f>
        <v>19.904640609999994</v>
      </c>
      <c r="BG440" s="1012">
        <f t="shared" si="1097"/>
        <v>20.998374824999985</v>
      </c>
      <c r="BH440" s="1012">
        <f t="shared" si="1097"/>
        <v>19.424641983575</v>
      </c>
      <c r="BI440" s="1012">
        <f t="shared" si="1097"/>
        <v>19.827767538299994</v>
      </c>
      <c r="BJ440" s="1011">
        <f t="shared" si="1097"/>
        <v>80.155424956874981</v>
      </c>
      <c r="BK440" s="1012">
        <f t="shared" si="1097"/>
        <v>21.920879460000002</v>
      </c>
      <c r="BL440" s="1012">
        <f t="shared" si="1097"/>
        <v>21.608009509999995</v>
      </c>
      <c r="BM440" s="1012">
        <f t="shared" si="1097"/>
        <v>20.219713341953742</v>
      </c>
      <c r="BN440" s="1012">
        <f t="shared" si="1097"/>
        <v>19.802555714824997</v>
      </c>
      <c r="BO440" s="1011">
        <f t="shared" si="1097"/>
        <v>83.551158026778722</v>
      </c>
      <c r="BP440" s="1012">
        <f t="shared" ref="BP440:CF440" si="1098">BP430-BP438</f>
        <v>23.562005272274995</v>
      </c>
      <c r="BQ440" s="1012">
        <f t="shared" si="1098"/>
        <v>22.730331979999995</v>
      </c>
      <c r="BR440" s="1012">
        <f t="shared" si="1098"/>
        <v>22.203744317791433</v>
      </c>
      <c r="BS440" s="1012">
        <f t="shared" si="1098"/>
        <v>20.529838302346256</v>
      </c>
      <c r="BT440" s="1011">
        <f t="shared" si="1098"/>
        <v>89.025919872412715</v>
      </c>
      <c r="BU440" s="1012">
        <f t="shared" si="1098"/>
        <v>24.596393881888751</v>
      </c>
      <c r="BV440" s="1012">
        <f>BV430-BV438</f>
        <v>22.781951280730532</v>
      </c>
      <c r="BW440" s="1012">
        <f>BW430-BW438</f>
        <v>22.709260084008186</v>
      </c>
      <c r="BX440" s="1012">
        <f>BX430-BX438</f>
        <v>21.015917400203186</v>
      </c>
      <c r="BY440" s="1011">
        <f>BY430-BY438</f>
        <v>91.103522646830669</v>
      </c>
      <c r="BZ440" s="1011">
        <f t="shared" si="1098"/>
        <v>93.618169124830274</v>
      </c>
      <c r="CA440" s="1011">
        <f t="shared" si="1098"/>
        <v>93.604557802881033</v>
      </c>
      <c r="CB440" s="1011">
        <f t="shared" si="1098"/>
        <v>88.952640526093035</v>
      </c>
      <c r="CC440" s="1011">
        <f t="shared" si="1098"/>
        <v>84.649661310500193</v>
      </c>
      <c r="CD440" s="1011">
        <f t="shared" si="1098"/>
        <v>87.503008838957555</v>
      </c>
      <c r="CE440" s="1011">
        <f t="shared" si="1098"/>
        <v>90.444407407924672</v>
      </c>
      <c r="CF440" s="1011">
        <f t="shared" si="1098"/>
        <v>93.476896906457227</v>
      </c>
      <c r="CG440" s="331"/>
      <c r="CH440" s="331"/>
      <c r="CI440" s="331"/>
      <c r="CJ440" s="331"/>
      <c r="CK440" s="331"/>
      <c r="CL440" s="2102" t="str">
        <f t="shared" ref="CL440:CL446" si="1099">A440</f>
        <v>Property EBITDA</v>
      </c>
      <c r="CM440" s="1012"/>
      <c r="CN440" s="1012"/>
      <c r="CO440" s="1012"/>
      <c r="CP440" s="1012"/>
      <c r="CQ440" s="1012"/>
      <c r="CR440" s="1012"/>
      <c r="CS440" s="1012"/>
      <c r="CT440" s="1012"/>
      <c r="CU440" s="1012">
        <f>AU440</f>
        <v>17.207632152000002</v>
      </c>
      <c r="CV440" s="1012">
        <f t="shared" ref="CV440:CV446" si="1100">AZ440</f>
        <v>79.284893439999962</v>
      </c>
      <c r="CW440" s="1012">
        <f t="shared" ref="CW440:CW446" si="1101">BE440</f>
        <v>77.19910810799999</v>
      </c>
      <c r="CX440" s="1012">
        <f t="shared" ref="CX440:CX446" si="1102">BJ440</f>
        <v>80.155424956874981</v>
      </c>
      <c r="CY440" s="1012">
        <f t="shared" ref="CY440:CY446" si="1103">BO440</f>
        <v>83.551158026778722</v>
      </c>
      <c r="CZ440" s="1012">
        <f t="shared" ref="CZ440:CZ446" si="1104">BT440</f>
        <v>89.025919872412715</v>
      </c>
      <c r="DA440" s="1012">
        <f t="shared" ref="DA440:DC446" si="1105">BY440</f>
        <v>91.103522646830669</v>
      </c>
      <c r="DB440" s="1012">
        <f t="shared" si="1105"/>
        <v>93.618169124830274</v>
      </c>
      <c r="DC440" s="1877">
        <f t="shared" si="1105"/>
        <v>93.604557802881033</v>
      </c>
      <c r="DD440" s="331"/>
      <c r="DE440" s="331"/>
      <c r="DF440" s="502"/>
      <c r="DG440" s="503"/>
      <c r="DH440" s="598"/>
      <c r="DI440" s="3213"/>
      <c r="DJ440" s="502"/>
      <c r="DK440" s="503"/>
      <c r="DL440" s="502"/>
      <c r="DM440" s="502"/>
      <c r="DN440" s="502"/>
      <c r="DO440" s="502"/>
      <c r="DP440" s="503"/>
      <c r="DQ440" s="503"/>
      <c r="DR440" s="296"/>
      <c r="DS440" s="296"/>
      <c r="DT440" s="296"/>
    </row>
    <row r="441" spans="1:124" ht="12" customHeight="1" x14ac:dyDescent="0.25">
      <c r="A441" s="465" t="s">
        <v>1892</v>
      </c>
      <c r="B441" s="281"/>
      <c r="C441" s="472"/>
      <c r="D441" s="472"/>
      <c r="E441" s="472"/>
      <c r="F441" s="472"/>
      <c r="G441" s="491"/>
      <c r="H441" s="472"/>
      <c r="I441" s="472"/>
      <c r="J441" s="472"/>
      <c r="K441" s="472"/>
      <c r="L441" s="491"/>
      <c r="M441" s="472"/>
      <c r="N441" s="472"/>
      <c r="O441" s="472"/>
      <c r="P441" s="472"/>
      <c r="Q441" s="491"/>
      <c r="R441" s="472"/>
      <c r="S441" s="472"/>
      <c r="T441" s="472"/>
      <c r="U441" s="472"/>
      <c r="V441" s="491"/>
      <c r="W441" s="472"/>
      <c r="X441" s="472"/>
      <c r="Y441" s="472"/>
      <c r="Z441" s="472"/>
      <c r="AA441" s="491"/>
      <c r="AB441" s="472"/>
      <c r="AC441" s="472"/>
      <c r="AD441" s="472"/>
      <c r="AE441" s="492"/>
      <c r="AF441" s="493"/>
      <c r="AG441" s="472"/>
      <c r="AH441" s="472"/>
      <c r="AI441" s="472"/>
      <c r="AJ441" s="492"/>
      <c r="AK441" s="493"/>
      <c r="AL441" s="472"/>
      <c r="AM441" s="472"/>
      <c r="AN441" s="472"/>
      <c r="AO441" s="492"/>
      <c r="AP441" s="494"/>
      <c r="AQ441" s="494"/>
      <c r="AR441" s="492"/>
      <c r="AS441" s="492"/>
      <c r="AT441" s="469">
        <f t="shared" ref="AT441:BJ441" si="1106">AT440/AT430</f>
        <v>0.28867924528301886</v>
      </c>
      <c r="AU441" s="493">
        <f t="shared" si="1106"/>
        <v>0.28867924528301886</v>
      </c>
      <c r="AV441" s="494">
        <f t="shared" si="1106"/>
        <v>0.35550288815849096</v>
      </c>
      <c r="AW441" s="492">
        <f t="shared" si="1106"/>
        <v>0.36093097691573306</v>
      </c>
      <c r="AX441" s="492">
        <f t="shared" si="1106"/>
        <v>0.36244820451386783</v>
      </c>
      <c r="AY441" s="1311">
        <f t="shared" si="1106"/>
        <v>0.35431638516141051</v>
      </c>
      <c r="AZ441" s="470">
        <f t="shared" si="1106"/>
        <v>0.35818310268560305</v>
      </c>
      <c r="BA441" s="492">
        <f t="shared" si="1106"/>
        <v>0.35474027569932176</v>
      </c>
      <c r="BB441" s="492">
        <f t="shared" si="1106"/>
        <v>0.35644707318843399</v>
      </c>
      <c r="BC441" s="492">
        <f t="shared" si="1106"/>
        <v>0.35526218466031867</v>
      </c>
      <c r="BD441" s="492">
        <f t="shared" si="1106"/>
        <v>0.34645921352043213</v>
      </c>
      <c r="BE441" s="470">
        <f t="shared" si="1106"/>
        <v>0.35324200138644229</v>
      </c>
      <c r="BF441" s="492">
        <f t="shared" si="1106"/>
        <v>0.3570843684043275</v>
      </c>
      <c r="BG441" s="492">
        <f t="shared" si="1106"/>
        <v>0.37285633135890189</v>
      </c>
      <c r="BH441" s="492">
        <f t="shared" si="1106"/>
        <v>0.36090948122944994</v>
      </c>
      <c r="BI441" s="492">
        <f t="shared" si="1106"/>
        <v>0.35763958899736126</v>
      </c>
      <c r="BJ441" s="470">
        <f t="shared" si="1106"/>
        <v>0.36216698601245978</v>
      </c>
      <c r="BK441" s="492">
        <f t="shared" ref="BK441:BU441" si="1107">BK440/BK430</f>
        <v>0.37533114586907673</v>
      </c>
      <c r="BL441" s="492">
        <f t="shared" si="1107"/>
        <v>0.3797390853750553</v>
      </c>
      <c r="BM441" s="492">
        <f t="shared" si="1107"/>
        <v>0.36800543259571555</v>
      </c>
      <c r="BN441" s="492">
        <f t="shared" si="1107"/>
        <v>0.35696646483744687</v>
      </c>
      <c r="BO441" s="470">
        <f t="shared" si="1107"/>
        <v>0.37014583013925384</v>
      </c>
      <c r="BP441" s="492">
        <f t="shared" si="1107"/>
        <v>0.39295442767515559</v>
      </c>
      <c r="BQ441" s="492">
        <f t="shared" si="1107"/>
        <v>0.38773714957551503</v>
      </c>
      <c r="BR441" s="492">
        <f t="shared" si="1107"/>
        <v>0.38216944787707569</v>
      </c>
      <c r="BS441" s="492">
        <f t="shared" si="1107"/>
        <v>0.36079471777054811</v>
      </c>
      <c r="BT441" s="470">
        <f t="shared" si="1107"/>
        <v>0.38112835753121826</v>
      </c>
      <c r="BU441" s="2653">
        <f t="shared" si="1107"/>
        <v>0.40042901457871816</v>
      </c>
      <c r="BV441" s="2653">
        <f t="shared" ref="BV441:CF441" si="1108">BV440/BV430</f>
        <v>0.38870692684504826</v>
      </c>
      <c r="BW441" s="2653">
        <f t="shared" si="1108"/>
        <v>0.38806328012674995</v>
      </c>
      <c r="BX441" s="2653">
        <f t="shared" si="1108"/>
        <v>0.36513520017517759</v>
      </c>
      <c r="BY441" s="470">
        <f t="shared" si="1108"/>
        <v>0.3858508836879439</v>
      </c>
      <c r="BZ441" s="470">
        <f t="shared" si="1108"/>
        <v>0.39170243043034259</v>
      </c>
      <c r="CA441" s="470">
        <f t="shared" si="1108"/>
        <v>0.39050572792378041</v>
      </c>
      <c r="CB441" s="470">
        <f t="shared" si="1108"/>
        <v>0.3881331946187534</v>
      </c>
      <c r="CC441" s="470">
        <f t="shared" si="1108"/>
        <v>0.38607011770754679</v>
      </c>
      <c r="CD441" s="470">
        <f t="shared" si="1108"/>
        <v>0.39041268732770334</v>
      </c>
      <c r="CE441" s="470">
        <f t="shared" si="1108"/>
        <v>0.39474542302937449</v>
      </c>
      <c r="CF441" s="470">
        <f t="shared" si="1108"/>
        <v>0.39906897468148184</v>
      </c>
      <c r="CG441" s="331"/>
      <c r="CH441" s="331"/>
      <c r="CI441" s="331"/>
      <c r="CJ441" s="331"/>
      <c r="CK441" s="331"/>
      <c r="CL441" s="1310" t="str">
        <f t="shared" si="1099"/>
        <v>Margin</v>
      </c>
      <c r="CM441" s="492"/>
      <c r="CN441" s="492"/>
      <c r="CO441" s="492"/>
      <c r="CP441" s="492"/>
      <c r="CQ441" s="492"/>
      <c r="CR441" s="492"/>
      <c r="CS441" s="492"/>
      <c r="CT441" s="492"/>
      <c r="CU441" s="492">
        <f>AU441</f>
        <v>0.28867924528301886</v>
      </c>
      <c r="CV441" s="492">
        <f t="shared" si="1100"/>
        <v>0.35818310268560305</v>
      </c>
      <c r="CW441" s="492">
        <f t="shared" si="1101"/>
        <v>0.35324200138644229</v>
      </c>
      <c r="CX441" s="492">
        <f t="shared" si="1102"/>
        <v>0.36216698601245978</v>
      </c>
      <c r="CY441" s="492">
        <f t="shared" si="1103"/>
        <v>0.37014583013925384</v>
      </c>
      <c r="CZ441" s="492">
        <f t="shared" si="1104"/>
        <v>0.38112835753121826</v>
      </c>
      <c r="DA441" s="492">
        <f t="shared" si="1105"/>
        <v>0.3858508836879439</v>
      </c>
      <c r="DB441" s="492">
        <f t="shared" si="1105"/>
        <v>0.39170243043034259</v>
      </c>
      <c r="DC441" s="1311">
        <f t="shared" si="1105"/>
        <v>0.39050572792378041</v>
      </c>
      <c r="DD441" s="331"/>
      <c r="DE441" s="331"/>
      <c r="DF441" s="502"/>
      <c r="DG441" s="503"/>
      <c r="DH441" s="469"/>
      <c r="DI441" s="3213"/>
      <c r="DJ441" s="502"/>
      <c r="DK441" s="503"/>
      <c r="DL441" s="502"/>
      <c r="DM441" s="502"/>
      <c r="DN441" s="502"/>
      <c r="DO441" s="502"/>
      <c r="DP441" s="503"/>
      <c r="DQ441" s="503"/>
      <c r="DR441" s="296"/>
      <c r="DS441" s="296"/>
      <c r="DT441" s="296"/>
    </row>
    <row r="442" spans="1:124" ht="12" customHeight="1" x14ac:dyDescent="0.25">
      <c r="A442" s="465" t="s">
        <v>1491</v>
      </c>
      <c r="B442" s="281"/>
      <c r="C442" s="472"/>
      <c r="D442" s="472"/>
      <c r="E442" s="472"/>
      <c r="F442" s="472"/>
      <c r="G442" s="491"/>
      <c r="H442" s="472"/>
      <c r="I442" s="472"/>
      <c r="J442" s="472"/>
      <c r="K442" s="472"/>
      <c r="L442" s="491"/>
      <c r="M442" s="472"/>
      <c r="N442" s="472"/>
      <c r="O442" s="472"/>
      <c r="P442" s="472"/>
      <c r="Q442" s="491"/>
      <c r="R442" s="472"/>
      <c r="S442" s="472"/>
      <c r="T442" s="472"/>
      <c r="U442" s="472"/>
      <c r="V442" s="491"/>
      <c r="W442" s="472"/>
      <c r="X442" s="472"/>
      <c r="Y442" s="472"/>
      <c r="Z442" s="472"/>
      <c r="AA442" s="491"/>
      <c r="AB442" s="472"/>
      <c r="AC442" s="472"/>
      <c r="AD442" s="472"/>
      <c r="AE442" s="492"/>
      <c r="AF442" s="493"/>
      <c r="AG442" s="472"/>
      <c r="AH442" s="472"/>
      <c r="AI442" s="472"/>
      <c r="AJ442" s="492"/>
      <c r="AK442" s="493"/>
      <c r="AL442" s="472"/>
      <c r="AM442" s="472"/>
      <c r="AN442" s="472"/>
      <c r="AO442" s="492"/>
      <c r="AP442" s="494"/>
      <c r="AQ442" s="494"/>
      <c r="AR442" s="492"/>
      <c r="AS442" s="492"/>
      <c r="AT442" s="469" t="s">
        <v>553</v>
      </c>
      <c r="AU442" s="493"/>
      <c r="AV442" s="494" t="s">
        <v>553</v>
      </c>
      <c r="AW442" s="492" t="s">
        <v>553</v>
      </c>
      <c r="AX442" s="492" t="s">
        <v>553</v>
      </c>
      <c r="AY442" s="1311" t="s">
        <v>553</v>
      </c>
      <c r="AZ442" s="470" t="s">
        <v>553</v>
      </c>
      <c r="BA442" s="492">
        <f t="shared" ref="BA442:BJ442" si="1109">(BA440-AV440)/AV440</f>
        <v>-7.4133262777839978E-2</v>
      </c>
      <c r="BB442" s="492">
        <f t="shared" si="1109"/>
        <v>-6.389247386368483E-3</v>
      </c>
      <c r="BC442" s="492">
        <f t="shared" si="1109"/>
        <v>6.8017216067922156E-3</v>
      </c>
      <c r="BD442" s="492">
        <f t="shared" si="1109"/>
        <v>-2.5718505327094507E-2</v>
      </c>
      <c r="BE442" s="470">
        <f t="shared" si="1109"/>
        <v>-2.6307474747108307E-2</v>
      </c>
      <c r="BF442" s="492">
        <f t="shared" si="1109"/>
        <v>-1.5535229864719286E-3</v>
      </c>
      <c r="BG442" s="492">
        <f t="shared" si="1109"/>
        <v>8.6678056317058189E-2</v>
      </c>
      <c r="BH442" s="492">
        <f t="shared" si="1109"/>
        <v>1.2218657235569847E-2</v>
      </c>
      <c r="BI442" s="492">
        <f t="shared" si="1109"/>
        <v>5.748782512067814E-2</v>
      </c>
      <c r="BJ442" s="470">
        <f t="shared" si="1109"/>
        <v>3.8294702119345256E-2</v>
      </c>
      <c r="BK442" s="492">
        <f t="shared" ref="BK442:BT442" si="1110">(BK440-BF440)/BF440</f>
        <v>0.10129491355835177</v>
      </c>
      <c r="BL442" s="492">
        <f t="shared" si="1110"/>
        <v>2.9032469897346484E-2</v>
      </c>
      <c r="BM442" s="492">
        <f t="shared" si="1110"/>
        <v>4.0931068848066014E-2</v>
      </c>
      <c r="BN442" s="492">
        <f t="shared" si="1110"/>
        <v>-1.2715412073647299E-3</v>
      </c>
      <c r="BO442" s="470">
        <f t="shared" si="1110"/>
        <v>4.2364357393535189E-2</v>
      </c>
      <c r="BP442" s="492">
        <f t="shared" si="1110"/>
        <v>7.4865874577232525E-2</v>
      </c>
      <c r="BQ442" s="492">
        <f t="shared" si="1110"/>
        <v>5.1940113663898536E-2</v>
      </c>
      <c r="BR442" s="492">
        <f t="shared" si="1110"/>
        <v>9.8123595635801544E-2</v>
      </c>
      <c r="BS442" s="492">
        <f t="shared" si="1110"/>
        <v>3.6726703259659849E-2</v>
      </c>
      <c r="BT442" s="470">
        <f t="shared" si="1110"/>
        <v>6.5525864331877876E-2</v>
      </c>
      <c r="BU442" s="2653">
        <f>(BU440-BP440)/BP440</f>
        <v>4.3900703597197811E-2</v>
      </c>
      <c r="BV442" s="2653">
        <f>(BV440-BQ440)/BQ440</f>
        <v>2.2709435469730485E-3</v>
      </c>
      <c r="BW442" s="2653">
        <f>(BW440-BR440)/BR440</f>
        <v>2.2767140486827396E-2</v>
      </c>
      <c r="BX442" s="2653">
        <f>(BX440-BS440)/BS440</f>
        <v>2.3676713410907779E-2</v>
      </c>
      <c r="BY442" s="470">
        <f>(BY440-BT440)/BT440</f>
        <v>2.3337054841954634E-2</v>
      </c>
      <c r="BZ442" s="470">
        <f t="shared" ref="BZ442:CF442" si="1111">(BZ440-BY440)/BY440</f>
        <v>2.7602077339509826E-2</v>
      </c>
      <c r="CA442" s="470">
        <f t="shared" si="1111"/>
        <v>-1.4539188361067197E-4</v>
      </c>
      <c r="CB442" s="470">
        <f t="shared" si="1111"/>
        <v>-4.9697550909693175E-2</v>
      </c>
      <c r="CC442" s="470">
        <f t="shared" si="1111"/>
        <v>-4.8373822183846497E-2</v>
      </c>
      <c r="CD442" s="470">
        <f t="shared" si="1111"/>
        <v>3.3707725279503567E-2</v>
      </c>
      <c r="CE442" s="470">
        <f t="shared" si="1111"/>
        <v>3.3614827741301222E-2</v>
      </c>
      <c r="CF442" s="470">
        <f t="shared" si="1111"/>
        <v>3.3528767399131097E-2</v>
      </c>
      <c r="CG442" s="331"/>
      <c r="CH442" s="331"/>
      <c r="CI442" s="331"/>
      <c r="CJ442" s="331"/>
      <c r="CK442" s="331"/>
      <c r="CL442" s="1310" t="str">
        <f t="shared" si="1099"/>
        <v>% growth (y-o-y)</v>
      </c>
      <c r="CM442" s="492"/>
      <c r="CN442" s="492"/>
      <c r="CO442" s="492"/>
      <c r="CP442" s="492"/>
      <c r="CQ442" s="492"/>
      <c r="CR442" s="492"/>
      <c r="CS442" s="492"/>
      <c r="CT442" s="492"/>
      <c r="CU442" s="492"/>
      <c r="CV442" s="492" t="str">
        <f t="shared" si="1100"/>
        <v xml:space="preserve">n/a </v>
      </c>
      <c r="CW442" s="492">
        <f t="shared" si="1101"/>
        <v>-2.6307474747108307E-2</v>
      </c>
      <c r="CX442" s="492">
        <f t="shared" si="1102"/>
        <v>3.8294702119345256E-2</v>
      </c>
      <c r="CY442" s="492">
        <f t="shared" si="1103"/>
        <v>4.2364357393535189E-2</v>
      </c>
      <c r="CZ442" s="492">
        <f t="shared" si="1104"/>
        <v>6.5525864331877876E-2</v>
      </c>
      <c r="DA442" s="492">
        <f t="shared" si="1105"/>
        <v>2.3337054841954634E-2</v>
      </c>
      <c r="DB442" s="492">
        <f t="shared" si="1105"/>
        <v>2.7602077339509826E-2</v>
      </c>
      <c r="DC442" s="1311">
        <f t="shared" si="1105"/>
        <v>-1.4539188361067197E-4</v>
      </c>
      <c r="DD442" s="331"/>
      <c r="DE442" s="331"/>
      <c r="DF442" s="502"/>
      <c r="DG442" s="503"/>
      <c r="DH442" s="469"/>
      <c r="DI442" s="3213"/>
      <c r="DJ442" s="502"/>
      <c r="DK442" s="503"/>
      <c r="DL442" s="502"/>
      <c r="DM442" s="502"/>
      <c r="DN442" s="502"/>
      <c r="DO442" s="502"/>
      <c r="DP442" s="503"/>
      <c r="DQ442" s="503"/>
      <c r="DR442" s="296"/>
      <c r="DS442" s="296"/>
      <c r="DT442" s="296"/>
    </row>
    <row r="443" spans="1:124" ht="12" customHeight="1" x14ac:dyDescent="0.25">
      <c r="A443" s="281" t="s">
        <v>2197</v>
      </c>
      <c r="B443" s="281"/>
      <c r="C443" s="570"/>
      <c r="D443" s="570"/>
      <c r="E443" s="570"/>
      <c r="F443" s="570"/>
      <c r="G443" s="475"/>
      <c r="H443" s="570"/>
      <c r="I443" s="570"/>
      <c r="J443" s="570"/>
      <c r="K443" s="570"/>
      <c r="L443" s="475"/>
      <c r="M443" s="570"/>
      <c r="N443" s="570"/>
      <c r="O443" s="570"/>
      <c r="P443" s="570"/>
      <c r="Q443" s="475"/>
      <c r="R443" s="570"/>
      <c r="S443" s="570"/>
      <c r="T443" s="570"/>
      <c r="U443" s="570"/>
      <c r="V443" s="475"/>
      <c r="W443" s="570"/>
      <c r="X443" s="570"/>
      <c r="Y443" s="570"/>
      <c r="Z443" s="570"/>
      <c r="AA443" s="475"/>
      <c r="AB443" s="570"/>
      <c r="AC443" s="570"/>
      <c r="AD443" s="570"/>
      <c r="AE443" s="572"/>
      <c r="AF443" s="477"/>
      <c r="AG443" s="570"/>
      <c r="AH443" s="570"/>
      <c r="AI443" s="570"/>
      <c r="AJ443" s="572"/>
      <c r="AK443" s="477"/>
      <c r="AL443" s="570"/>
      <c r="AM443" s="570"/>
      <c r="AN443" s="570"/>
      <c r="AO443" s="572"/>
      <c r="AP443" s="478"/>
      <c r="AQ443" s="478"/>
      <c r="AR443" s="476"/>
      <c r="AS443" s="476"/>
      <c r="AT443" s="476">
        <f>+AZ443/4</f>
        <v>4.8636363636363633</v>
      </c>
      <c r="AU443" s="477">
        <f>+SUM(AQ443:AT443)</f>
        <v>4.8636363636363633</v>
      </c>
      <c r="AV443" s="478">
        <f>AZ443/4</f>
        <v>4.8636363636363633</v>
      </c>
      <c r="AW443" s="476">
        <f>AV443</f>
        <v>4.8636363636363633</v>
      </c>
      <c r="AX443" s="476">
        <f>AW443</f>
        <v>4.8636363636363633</v>
      </c>
      <c r="AY443" s="682">
        <f>AX443</f>
        <v>4.8636363636363633</v>
      </c>
      <c r="AZ443" s="477">
        <f>-OHIO!B32</f>
        <v>19.454545454545453</v>
      </c>
      <c r="BA443" s="476">
        <f>AV443</f>
        <v>4.8636363636363633</v>
      </c>
      <c r="BB443" s="476">
        <f>AW443</f>
        <v>4.8636363636363633</v>
      </c>
      <c r="BC443" s="476">
        <f>AX443</f>
        <v>4.8636363636363633</v>
      </c>
      <c r="BD443" s="476">
        <f>AY443</f>
        <v>4.8636363636363633</v>
      </c>
      <c r="BE443" s="477">
        <f>SUM(BA443:BD443)</f>
        <v>19.454545454545453</v>
      </c>
      <c r="BF443" s="476">
        <f>BA443</f>
        <v>4.8636363636363633</v>
      </c>
      <c r="BG443" s="476">
        <f>BB443</f>
        <v>4.8636363636363633</v>
      </c>
      <c r="BH443" s="476">
        <f>BC443</f>
        <v>4.8636363636363633</v>
      </c>
      <c r="BI443" s="476">
        <f>BD443</f>
        <v>4.8636363636363633</v>
      </c>
      <c r="BJ443" s="477">
        <f>SUM(BF443:BI443)</f>
        <v>19.454545454545453</v>
      </c>
      <c r="BK443" s="476">
        <f>BF443</f>
        <v>4.8636363636363633</v>
      </c>
      <c r="BL443" s="476">
        <f>BG443</f>
        <v>4.8636363636363633</v>
      </c>
      <c r="BM443" s="476">
        <f>BH443</f>
        <v>4.8636363636363633</v>
      </c>
      <c r="BN443" s="476">
        <f>BI443</f>
        <v>4.8636363636363633</v>
      </c>
      <c r="BO443" s="477">
        <f>SUM(BK443:BN443)</f>
        <v>19.454545454545453</v>
      </c>
      <c r="BP443" s="476">
        <f>BK443</f>
        <v>4.8636363636363633</v>
      </c>
      <c r="BQ443" s="476">
        <f>BL443</f>
        <v>4.8636363636363633</v>
      </c>
      <c r="BR443" s="476">
        <f>BM443</f>
        <v>4.8636363636363633</v>
      </c>
      <c r="BS443" s="476">
        <f>BN443</f>
        <v>4.8636363636363633</v>
      </c>
      <c r="BT443" s="2604">
        <f>SUM(BP443:BS443)</f>
        <v>19.454545454545453</v>
      </c>
      <c r="BU443" s="2577">
        <f>BP443</f>
        <v>4.8636363636363633</v>
      </c>
      <c r="BV443" s="2577">
        <f>BQ443</f>
        <v>4.8636363636363633</v>
      </c>
      <c r="BW443" s="2577">
        <f>BR443</f>
        <v>4.8636363636363633</v>
      </c>
      <c r="BX443" s="2577">
        <f>BS443</f>
        <v>4.8636363636363633</v>
      </c>
      <c r="BY443" s="2604">
        <f>SUM(BU443:BX443)</f>
        <v>19.454545454545453</v>
      </c>
      <c r="BZ443" s="477">
        <f t="shared" ref="BZ443:CF443" si="1112">BY443</f>
        <v>19.454545454545453</v>
      </c>
      <c r="CA443" s="477">
        <f t="shared" si="1112"/>
        <v>19.454545454545453</v>
      </c>
      <c r="CB443" s="477">
        <f t="shared" si="1112"/>
        <v>19.454545454545453</v>
      </c>
      <c r="CC443" s="477">
        <f t="shared" si="1112"/>
        <v>19.454545454545453</v>
      </c>
      <c r="CD443" s="477">
        <f t="shared" si="1112"/>
        <v>19.454545454545453</v>
      </c>
      <c r="CE443" s="477">
        <f t="shared" si="1112"/>
        <v>19.454545454545453</v>
      </c>
      <c r="CF443" s="477">
        <f t="shared" si="1112"/>
        <v>19.454545454545453</v>
      </c>
      <c r="CG443" s="331"/>
      <c r="CH443" s="331"/>
      <c r="CI443" s="331"/>
      <c r="CJ443" s="331"/>
      <c r="CK443" s="331"/>
      <c r="CL443" s="520" t="str">
        <f t="shared" si="1099"/>
        <v>Depreciation and amortization</v>
      </c>
      <c r="CM443" s="476"/>
      <c r="CN443" s="476"/>
      <c r="CO443" s="476"/>
      <c r="CP443" s="476"/>
      <c r="CQ443" s="476"/>
      <c r="CR443" s="476"/>
      <c r="CS443" s="476"/>
      <c r="CT443" s="476"/>
      <c r="CU443" s="476">
        <f>AU443</f>
        <v>4.8636363636363633</v>
      </c>
      <c r="CV443" s="476">
        <f t="shared" si="1100"/>
        <v>19.454545454545453</v>
      </c>
      <c r="CW443" s="476">
        <f t="shared" si="1101"/>
        <v>19.454545454545453</v>
      </c>
      <c r="CX443" s="476">
        <f t="shared" si="1102"/>
        <v>19.454545454545453</v>
      </c>
      <c r="CY443" s="476">
        <f t="shared" si="1103"/>
        <v>19.454545454545453</v>
      </c>
      <c r="CZ443" s="476">
        <f t="shared" si="1104"/>
        <v>19.454545454545453</v>
      </c>
      <c r="DA443" s="476">
        <f t="shared" si="1105"/>
        <v>19.454545454545453</v>
      </c>
      <c r="DB443" s="476">
        <f t="shared" si="1105"/>
        <v>19.454545454545453</v>
      </c>
      <c r="DC443" s="682">
        <f t="shared" si="1105"/>
        <v>19.454545454545453</v>
      </c>
      <c r="DD443" s="331"/>
      <c r="DE443" s="331"/>
      <c r="DF443" s="502"/>
      <c r="DG443" s="503"/>
      <c r="DH443" s="2577"/>
      <c r="DI443" s="3213"/>
      <c r="DJ443" s="502"/>
      <c r="DK443" s="503"/>
      <c r="DL443" s="502"/>
      <c r="DM443" s="502"/>
      <c r="DN443" s="502"/>
      <c r="DO443" s="502"/>
      <c r="DP443" s="503"/>
      <c r="DQ443" s="503"/>
      <c r="DR443" s="296"/>
      <c r="DS443" s="296"/>
      <c r="DT443" s="296"/>
    </row>
    <row r="444" spans="1:124" ht="12" customHeight="1" x14ac:dyDescent="0.25">
      <c r="A444" s="465" t="s">
        <v>646</v>
      </c>
      <c r="B444" s="281"/>
      <c r="C444" s="472"/>
      <c r="D444" s="472"/>
      <c r="E444" s="472"/>
      <c r="F444" s="472"/>
      <c r="G444" s="491"/>
      <c r="H444" s="472"/>
      <c r="I444" s="472"/>
      <c r="J444" s="472"/>
      <c r="K444" s="472"/>
      <c r="L444" s="491"/>
      <c r="M444" s="472"/>
      <c r="N444" s="472"/>
      <c r="O444" s="472"/>
      <c r="P444" s="472"/>
      <c r="Q444" s="491"/>
      <c r="R444" s="472"/>
      <c r="S444" s="472"/>
      <c r="T444" s="472"/>
      <c r="U444" s="472"/>
      <c r="V444" s="491"/>
      <c r="W444" s="472"/>
      <c r="X444" s="472"/>
      <c r="Y444" s="472"/>
      <c r="Z444" s="472"/>
      <c r="AA444" s="491"/>
      <c r="AB444" s="472"/>
      <c r="AC444" s="472"/>
      <c r="AD444" s="472"/>
      <c r="AE444" s="492"/>
      <c r="AF444" s="493"/>
      <c r="AG444" s="472"/>
      <c r="AH444" s="472"/>
      <c r="AI444" s="472"/>
      <c r="AJ444" s="492"/>
      <c r="AK444" s="493"/>
      <c r="AL444" s="472"/>
      <c r="AM444" s="472"/>
      <c r="AN444" s="472"/>
      <c r="AO444" s="492"/>
      <c r="AP444" s="494"/>
      <c r="AQ444" s="494"/>
      <c r="AR444" s="492"/>
      <c r="AS444" s="492"/>
      <c r="AT444" s="492"/>
      <c r="AU444" s="493">
        <f t="shared" ref="AU444:BJ444" si="1113">AU443/AU430</f>
        <v>8.1593496559165146E-2</v>
      </c>
      <c r="AV444" s="494">
        <f t="shared" si="1113"/>
        <v>8.0301408041977343E-2</v>
      </c>
      <c r="AW444" s="492">
        <f t="shared" si="1113"/>
        <v>9.0264452055701633E-2</v>
      </c>
      <c r="AX444" s="492">
        <f t="shared" si="1113"/>
        <v>9.2485215744504565E-2</v>
      </c>
      <c r="AY444" s="1311">
        <f t="shared" si="1113"/>
        <v>8.9544382220095073E-2</v>
      </c>
      <c r="AZ444" s="470">
        <f t="shared" si="1113"/>
        <v>8.7889245351897266E-2</v>
      </c>
      <c r="BA444" s="492">
        <f t="shared" si="1113"/>
        <v>8.6545012393942175E-2</v>
      </c>
      <c r="BB444" s="492">
        <f t="shared" si="1113"/>
        <v>8.9716301859603068E-2</v>
      </c>
      <c r="BC444" s="492">
        <f t="shared" si="1113"/>
        <v>9.0039151547681329E-2</v>
      </c>
      <c r="BD444" s="492">
        <f t="shared" si="1113"/>
        <v>8.9870005755452398E-2</v>
      </c>
      <c r="BE444" s="470">
        <f t="shared" si="1113"/>
        <v>8.9018678335158127E-2</v>
      </c>
      <c r="BF444" s="492">
        <f t="shared" si="1113"/>
        <v>8.72524429396071E-2</v>
      </c>
      <c r="BG444" s="492">
        <f t="shared" si="1113"/>
        <v>8.6360855386302768E-2</v>
      </c>
      <c r="BH444" s="492">
        <f t="shared" si="1113"/>
        <v>9.0366271788841934E-2</v>
      </c>
      <c r="BI444" s="492">
        <f t="shared" si="1113"/>
        <v>8.7726916646747505E-2</v>
      </c>
      <c r="BJ444" s="470">
        <f t="shared" si="1113"/>
        <v>8.7901649767384876E-2</v>
      </c>
      <c r="BK444" s="492">
        <f t="shared" ref="BK444:BU444" si="1114">BK443/BK430</f>
        <v>8.3275591783859279E-2</v>
      </c>
      <c r="BL444" s="492">
        <f t="shared" si="1114"/>
        <v>8.5473528853705738E-2</v>
      </c>
      <c r="BM444" s="492">
        <f t="shared" si="1114"/>
        <v>8.8519781349942123E-2</v>
      </c>
      <c r="BN444" s="492">
        <f t="shared" si="1114"/>
        <v>8.7673283387475681E-2</v>
      </c>
      <c r="BO444" s="470">
        <f t="shared" si="1114"/>
        <v>8.6186942794336835E-2</v>
      </c>
      <c r="BP444" s="492">
        <f t="shared" si="1114"/>
        <v>8.1113106529250426E-2</v>
      </c>
      <c r="BQ444" s="492">
        <f t="shared" si="1114"/>
        <v>8.2964582385663288E-2</v>
      </c>
      <c r="BR444" s="492">
        <f t="shared" si="1114"/>
        <v>8.3712602575611986E-2</v>
      </c>
      <c r="BS444" s="492">
        <f t="shared" si="1114"/>
        <v>8.5474336588233724E-2</v>
      </c>
      <c r="BT444" s="470">
        <f t="shared" si="1114"/>
        <v>8.328674352630859E-2</v>
      </c>
      <c r="BU444" s="2653">
        <f t="shared" si="1114"/>
        <v>7.9179945064799792E-2</v>
      </c>
      <c r="BV444" s="2653">
        <f t="shared" ref="BV444:CF444" si="1115">BV443/BV430</f>
        <v>8.2983635637916886E-2</v>
      </c>
      <c r="BW444" s="2653">
        <f t="shared" si="1115"/>
        <v>8.3111412420943109E-2</v>
      </c>
      <c r="BX444" s="2653">
        <f t="shared" si="1115"/>
        <v>8.4501894606726358E-2</v>
      </c>
      <c r="BY444" s="470">
        <f t="shared" si="1115"/>
        <v>8.2395865025805065E-2</v>
      </c>
      <c r="BZ444" s="470">
        <f t="shared" si="1115"/>
        <v>8.1398651658120033E-2</v>
      </c>
      <c r="CA444" s="470">
        <f t="shared" si="1115"/>
        <v>8.1161768320641703E-2</v>
      </c>
      <c r="CB444" s="470">
        <f t="shared" si="1115"/>
        <v>8.4887360650227187E-2</v>
      </c>
      <c r="CC444" s="470">
        <f t="shared" si="1115"/>
        <v>8.8728277671815306E-2</v>
      </c>
      <c r="CD444" s="470">
        <f t="shared" si="1115"/>
        <v>8.6800459463360902E-2</v>
      </c>
      <c r="CE444" s="470">
        <f t="shared" si="1115"/>
        <v>8.4909537199597596E-2</v>
      </c>
      <c r="CF444" s="470">
        <f t="shared" si="1115"/>
        <v>8.3054805672560073E-2</v>
      </c>
      <c r="CG444" s="331"/>
      <c r="CH444" s="331"/>
      <c r="CI444" s="331"/>
      <c r="CJ444" s="331"/>
      <c r="CK444" s="331"/>
      <c r="CL444" s="1310" t="str">
        <f t="shared" si="1099"/>
        <v>% of Net revenue</v>
      </c>
      <c r="CM444" s="492"/>
      <c r="CN444" s="492"/>
      <c r="CO444" s="492"/>
      <c r="CP444" s="492"/>
      <c r="CQ444" s="492"/>
      <c r="CR444" s="492"/>
      <c r="CS444" s="492"/>
      <c r="CT444" s="492"/>
      <c r="CU444" s="492">
        <f>AU444</f>
        <v>8.1593496559165146E-2</v>
      </c>
      <c r="CV444" s="492">
        <f t="shared" si="1100"/>
        <v>8.7889245351897266E-2</v>
      </c>
      <c r="CW444" s="492">
        <f t="shared" si="1101"/>
        <v>8.9018678335158127E-2</v>
      </c>
      <c r="CX444" s="492">
        <f t="shared" si="1102"/>
        <v>8.7901649767384876E-2</v>
      </c>
      <c r="CY444" s="492">
        <f t="shared" si="1103"/>
        <v>8.6186942794336835E-2</v>
      </c>
      <c r="CZ444" s="492">
        <f t="shared" si="1104"/>
        <v>8.328674352630859E-2</v>
      </c>
      <c r="DA444" s="492">
        <f t="shared" si="1105"/>
        <v>8.2395865025805065E-2</v>
      </c>
      <c r="DB444" s="492">
        <f t="shared" si="1105"/>
        <v>8.1398651658120033E-2</v>
      </c>
      <c r="DC444" s="1311">
        <f t="shared" si="1105"/>
        <v>8.1161768320641703E-2</v>
      </c>
      <c r="DD444" s="331"/>
      <c r="DE444" s="331"/>
      <c r="DF444" s="502"/>
      <c r="DG444" s="503"/>
      <c r="DH444" s="469"/>
      <c r="DI444" s="3213"/>
      <c r="DJ444" s="502"/>
      <c r="DK444" s="503"/>
      <c r="DL444" s="502"/>
      <c r="DM444" s="502"/>
      <c r="DN444" s="502"/>
      <c r="DO444" s="502"/>
      <c r="DP444" s="503"/>
      <c r="DQ444" s="503"/>
      <c r="DR444" s="296"/>
      <c r="DS444" s="296"/>
      <c r="DT444" s="296"/>
    </row>
    <row r="445" spans="1:124" ht="12" customHeight="1" x14ac:dyDescent="0.25">
      <c r="A445" s="333" t="s">
        <v>2226</v>
      </c>
      <c r="B445" s="333"/>
      <c r="C445" s="593"/>
      <c r="D445" s="593"/>
      <c r="E445" s="593"/>
      <c r="F445" s="593"/>
      <c r="G445" s="594"/>
      <c r="H445" s="593"/>
      <c r="I445" s="593"/>
      <c r="J445" s="593"/>
      <c r="K445" s="593"/>
      <c r="L445" s="594"/>
      <c r="M445" s="593"/>
      <c r="N445" s="593"/>
      <c r="O445" s="593"/>
      <c r="P445" s="593"/>
      <c r="Q445" s="594"/>
      <c r="R445" s="593"/>
      <c r="S445" s="593"/>
      <c r="T445" s="593"/>
      <c r="U445" s="593"/>
      <c r="V445" s="594"/>
      <c r="W445" s="593"/>
      <c r="X445" s="593"/>
      <c r="Y445" s="593"/>
      <c r="Z445" s="593"/>
      <c r="AA445" s="594"/>
      <c r="AB445" s="593"/>
      <c r="AC445" s="593"/>
      <c r="AD445" s="593"/>
      <c r="AE445" s="595"/>
      <c r="AF445" s="596"/>
      <c r="AG445" s="593"/>
      <c r="AH445" s="593"/>
      <c r="AI445" s="593"/>
      <c r="AJ445" s="595"/>
      <c r="AK445" s="596"/>
      <c r="AL445" s="593"/>
      <c r="AM445" s="593"/>
      <c r="AN445" s="593"/>
      <c r="AO445" s="595"/>
      <c r="AP445" s="597"/>
      <c r="AQ445" s="597"/>
      <c r="AR445" s="598"/>
      <c r="AS445" s="598"/>
      <c r="AT445" s="598">
        <f t="shared" ref="AT445:BE445" si="1116">AT440-AT443</f>
        <v>12.343995788363639</v>
      </c>
      <c r="AU445" s="596">
        <f t="shared" si="1116"/>
        <v>12.343995788363639</v>
      </c>
      <c r="AV445" s="597">
        <f t="shared" si="1116"/>
        <v>16.668199956363633</v>
      </c>
      <c r="AW445" s="598">
        <f t="shared" si="1116"/>
        <v>14.584075156363635</v>
      </c>
      <c r="AX445" s="598">
        <f t="shared" si="1116"/>
        <v>14.196883236363629</v>
      </c>
      <c r="AY445" s="1922">
        <f t="shared" si="1116"/>
        <v>14.38118963636364</v>
      </c>
      <c r="AZ445" s="596">
        <f t="shared" si="1116"/>
        <v>59.830347985454509</v>
      </c>
      <c r="BA445" s="598">
        <f t="shared" si="1116"/>
        <v>15.071974676363634</v>
      </c>
      <c r="BB445" s="598">
        <f t="shared" si="1116"/>
        <v>14.459818916363627</v>
      </c>
      <c r="BC445" s="598">
        <f t="shared" si="1116"/>
        <v>14.326527584363635</v>
      </c>
      <c r="BD445" s="598">
        <f t="shared" si="1116"/>
        <v>13.886241476363633</v>
      </c>
      <c r="BE445" s="596">
        <f t="shared" si="1116"/>
        <v>57.744562653454537</v>
      </c>
      <c r="BF445" s="598">
        <f t="shared" ref="BF445:BO445" si="1117">BF440-BF443</f>
        <v>15.041004246363631</v>
      </c>
      <c r="BG445" s="598">
        <f t="shared" si="1117"/>
        <v>16.134738461363622</v>
      </c>
      <c r="BH445" s="598">
        <f t="shared" si="1117"/>
        <v>14.561005619938637</v>
      </c>
      <c r="BI445" s="598">
        <f t="shared" si="1117"/>
        <v>14.964131174663631</v>
      </c>
      <c r="BJ445" s="596">
        <f t="shared" si="1117"/>
        <v>60.700879502329528</v>
      </c>
      <c r="BK445" s="598">
        <f t="shared" si="1117"/>
        <v>17.057243096363639</v>
      </c>
      <c r="BL445" s="598">
        <f t="shared" si="1117"/>
        <v>16.744373146363632</v>
      </c>
      <c r="BM445" s="598">
        <f t="shared" si="1117"/>
        <v>15.356076978317379</v>
      </c>
      <c r="BN445" s="598">
        <f t="shared" si="1117"/>
        <v>14.938919351188634</v>
      </c>
      <c r="BO445" s="596">
        <f t="shared" si="1117"/>
        <v>64.096612572233269</v>
      </c>
      <c r="BP445" s="598">
        <f t="shared" ref="BP445:CF445" si="1118">BP440-BP443</f>
        <v>18.698368908638631</v>
      </c>
      <c r="BQ445" s="598">
        <f t="shared" si="1118"/>
        <v>17.866695616363632</v>
      </c>
      <c r="BR445" s="598">
        <f t="shared" si="1118"/>
        <v>17.340107954155069</v>
      </c>
      <c r="BS445" s="598">
        <f t="shared" si="1118"/>
        <v>15.666201938709893</v>
      </c>
      <c r="BT445" s="596">
        <f t="shared" si="1118"/>
        <v>69.571374417867261</v>
      </c>
      <c r="BU445" s="598">
        <f t="shared" si="1118"/>
        <v>19.732757518252388</v>
      </c>
      <c r="BV445" s="598">
        <f t="shared" si="1118"/>
        <v>17.918314917094168</v>
      </c>
      <c r="BW445" s="598">
        <f t="shared" si="1118"/>
        <v>17.845623720371822</v>
      </c>
      <c r="BX445" s="598">
        <f t="shared" si="1118"/>
        <v>16.152281036566823</v>
      </c>
      <c r="BY445" s="596">
        <f>BY440-BY443</f>
        <v>71.648977192285216</v>
      </c>
      <c r="BZ445" s="596">
        <f t="shared" si="1118"/>
        <v>74.163623670284821</v>
      </c>
      <c r="CA445" s="596">
        <f t="shared" si="1118"/>
        <v>74.150012348335579</v>
      </c>
      <c r="CB445" s="596">
        <f t="shared" si="1118"/>
        <v>69.498095071547581</v>
      </c>
      <c r="CC445" s="596">
        <f t="shared" si="1118"/>
        <v>65.195115855954739</v>
      </c>
      <c r="CD445" s="596">
        <f t="shared" si="1118"/>
        <v>68.048463384412102</v>
      </c>
      <c r="CE445" s="596">
        <f t="shared" si="1118"/>
        <v>70.989861953379219</v>
      </c>
      <c r="CF445" s="596">
        <f t="shared" si="1118"/>
        <v>74.022351451911774</v>
      </c>
      <c r="CG445" s="502"/>
      <c r="CH445" s="502"/>
      <c r="CI445" s="502"/>
      <c r="CJ445" s="502"/>
      <c r="CK445" s="502"/>
      <c r="CL445" s="1149" t="str">
        <f t="shared" si="1099"/>
        <v>Operating Income</v>
      </c>
      <c r="CM445" s="598"/>
      <c r="CN445" s="598"/>
      <c r="CO445" s="598"/>
      <c r="CP445" s="598"/>
      <c r="CQ445" s="598"/>
      <c r="CR445" s="598"/>
      <c r="CS445" s="598"/>
      <c r="CT445" s="598"/>
      <c r="CU445" s="598">
        <f>AU445</f>
        <v>12.343995788363639</v>
      </c>
      <c r="CV445" s="598">
        <f t="shared" si="1100"/>
        <v>59.830347985454509</v>
      </c>
      <c r="CW445" s="598">
        <f t="shared" si="1101"/>
        <v>57.744562653454537</v>
      </c>
      <c r="CX445" s="598">
        <f t="shared" si="1102"/>
        <v>60.700879502329528</v>
      </c>
      <c r="CY445" s="598">
        <f t="shared" si="1103"/>
        <v>64.096612572233269</v>
      </c>
      <c r="CZ445" s="598">
        <f t="shared" si="1104"/>
        <v>69.571374417867261</v>
      </c>
      <c r="DA445" s="598">
        <f t="shared" si="1105"/>
        <v>71.648977192285216</v>
      </c>
      <c r="DB445" s="598">
        <f t="shared" si="1105"/>
        <v>74.163623670284821</v>
      </c>
      <c r="DC445" s="1922">
        <f t="shared" si="1105"/>
        <v>74.150012348335579</v>
      </c>
      <c r="DD445" s="502"/>
      <c r="DE445" s="502"/>
      <c r="DF445" s="502"/>
      <c r="DG445" s="503"/>
      <c r="DH445" s="598"/>
      <c r="DI445" s="3213"/>
      <c r="DJ445" s="502"/>
      <c r="DK445" s="503"/>
      <c r="DL445" s="502"/>
      <c r="DM445" s="502"/>
      <c r="DN445" s="502"/>
      <c r="DO445" s="502"/>
      <c r="DP445" s="503"/>
      <c r="DQ445" s="503"/>
      <c r="DR445" s="719"/>
      <c r="DS445" s="719"/>
      <c r="DT445" s="719"/>
    </row>
    <row r="446" spans="1:124" ht="12" customHeight="1" x14ac:dyDescent="0.25">
      <c r="A446" s="333" t="s">
        <v>885</v>
      </c>
      <c r="B446" s="333"/>
      <c r="C446" s="593"/>
      <c r="D446" s="593"/>
      <c r="E446" s="593"/>
      <c r="F446" s="593"/>
      <c r="G446" s="594"/>
      <c r="H446" s="593"/>
      <c r="I446" s="593"/>
      <c r="J446" s="593"/>
      <c r="K446" s="593"/>
      <c r="L446" s="594"/>
      <c r="M446" s="593"/>
      <c r="N446" s="593"/>
      <c r="O446" s="593"/>
      <c r="P446" s="593"/>
      <c r="Q446" s="594"/>
      <c r="R446" s="593"/>
      <c r="S446" s="593"/>
      <c r="T446" s="593"/>
      <c r="U446" s="593"/>
      <c r="V446" s="594"/>
      <c r="W446" s="593"/>
      <c r="X446" s="593"/>
      <c r="Y446" s="593"/>
      <c r="Z446" s="593"/>
      <c r="AA446" s="594"/>
      <c r="AB446" s="593"/>
      <c r="AC446" s="593"/>
      <c r="AD446" s="593"/>
      <c r="AE446" s="595"/>
      <c r="AF446" s="596"/>
      <c r="AG446" s="593"/>
      <c r="AH446" s="593"/>
      <c r="AI446" s="593"/>
      <c r="AJ446" s="595"/>
      <c r="AK446" s="596"/>
      <c r="AL446" s="593"/>
      <c r="AM446" s="593"/>
      <c r="AN446" s="593"/>
      <c r="AO446" s="595"/>
      <c r="AP446" s="597"/>
      <c r="AQ446" s="597"/>
      <c r="AR446" s="598"/>
      <c r="AS446" s="598"/>
      <c r="AT446" s="598"/>
      <c r="AU446" s="596"/>
      <c r="AV446" s="597">
        <f>AV445*0.9</f>
        <v>15.00137996072727</v>
      </c>
      <c r="AW446" s="598">
        <f>AW445*0.9</f>
        <v>13.125667640727272</v>
      </c>
      <c r="AX446" s="598">
        <f>AX445*0.9</f>
        <v>12.777194912727266</v>
      </c>
      <c r="AY446" s="1922">
        <f>AY445*0.9</f>
        <v>12.943070672727277</v>
      </c>
      <c r="AZ446" s="596">
        <f>SUM(AV446:AY446)</f>
        <v>53.847313186909091</v>
      </c>
      <c r="BA446" s="598">
        <f>BA445*0.9</f>
        <v>13.564777208727271</v>
      </c>
      <c r="BB446" s="598">
        <f>BB445*0.9</f>
        <v>13.013837024727264</v>
      </c>
      <c r="BC446" s="598">
        <f>BC445*0.9</f>
        <v>12.893874825927272</v>
      </c>
      <c r="BD446" s="598">
        <f>BD445*0.9</f>
        <v>12.497617328727269</v>
      </c>
      <c r="BE446" s="596">
        <f>SUM(BA446:BD446)</f>
        <v>51.970106388109073</v>
      </c>
      <c r="BF446" s="598">
        <f>BF445*0.9</f>
        <v>13.536903821727268</v>
      </c>
      <c r="BG446" s="598">
        <f>BG445*0.9</f>
        <v>14.52126461522726</v>
      </c>
      <c r="BH446" s="598">
        <f>BH445*0.9</f>
        <v>13.104905057944773</v>
      </c>
      <c r="BI446" s="598">
        <f>BI445*0.9</f>
        <v>13.467718057197269</v>
      </c>
      <c r="BJ446" s="596">
        <f>SUM(BF446:BI446)</f>
        <v>54.630791552096568</v>
      </c>
      <c r="BK446" s="598">
        <f>BK445*0.9</f>
        <v>15.351518786727276</v>
      </c>
      <c r="BL446" s="598">
        <f>BL445*0.9</f>
        <v>15.069935831727269</v>
      </c>
      <c r="BM446" s="598">
        <f>BM445*0.9</f>
        <v>13.820469280485641</v>
      </c>
      <c r="BN446" s="598">
        <f>BN445*0.9</f>
        <v>13.44502741606977</v>
      </c>
      <c r="BO446" s="596">
        <f>SUM(BK446:BN446)</f>
        <v>57.686951315009956</v>
      </c>
      <c r="BP446" s="598">
        <f>BP445*0.9</f>
        <v>16.828532017774769</v>
      </c>
      <c r="BQ446" s="598">
        <f>BQ445*0.9</f>
        <v>16.08002605472727</v>
      </c>
      <c r="BR446" s="598">
        <f>BR445*0.9</f>
        <v>15.606097158739562</v>
      </c>
      <c r="BS446" s="598">
        <f>BS445*0.9</f>
        <v>14.099581744838904</v>
      </c>
      <c r="BT446" s="596">
        <f>SUM(BP446:BS446)</f>
        <v>62.614236976080505</v>
      </c>
      <c r="BU446" s="598">
        <f>BU445*0.9</f>
        <v>17.75948176642715</v>
      </c>
      <c r="BV446" s="598">
        <f>BV445*0.9</f>
        <v>16.126483425384752</v>
      </c>
      <c r="BW446" s="598">
        <f>BW445*0.9</f>
        <v>16.06106134833464</v>
      </c>
      <c r="BX446" s="598">
        <f>BX445*0.9</f>
        <v>14.537052932910141</v>
      </c>
      <c r="BY446" s="596">
        <f>SUM(BU446:BX446)</f>
        <v>64.484079473056681</v>
      </c>
      <c r="BZ446" s="596">
        <f t="shared" ref="BZ446:CF446" si="1119">BZ445*0.9</f>
        <v>66.747261303256337</v>
      </c>
      <c r="CA446" s="596">
        <f t="shared" si="1119"/>
        <v>66.735011113502026</v>
      </c>
      <c r="CB446" s="596">
        <f t="shared" si="1119"/>
        <v>62.548285564392827</v>
      </c>
      <c r="CC446" s="596">
        <f t="shared" si="1119"/>
        <v>58.675604270359266</v>
      </c>
      <c r="CD446" s="596">
        <f t="shared" si="1119"/>
        <v>61.243617045970893</v>
      </c>
      <c r="CE446" s="596">
        <f t="shared" si="1119"/>
        <v>63.890875758041297</v>
      </c>
      <c r="CF446" s="596">
        <f t="shared" si="1119"/>
        <v>66.620116306720604</v>
      </c>
      <c r="CG446" s="502"/>
      <c r="CH446" s="502"/>
      <c r="CI446" s="502"/>
      <c r="CJ446" s="502"/>
      <c r="CK446" s="502"/>
      <c r="CL446" s="1149" t="str">
        <f t="shared" si="1099"/>
        <v>Operating Income to Penn (90%)</v>
      </c>
      <c r="CM446" s="598"/>
      <c r="CN446" s="598"/>
      <c r="CO446" s="598"/>
      <c r="CP446" s="598"/>
      <c r="CQ446" s="598"/>
      <c r="CR446" s="598"/>
      <c r="CS446" s="598"/>
      <c r="CT446" s="598"/>
      <c r="CU446" s="598"/>
      <c r="CV446" s="598">
        <f t="shared" si="1100"/>
        <v>53.847313186909091</v>
      </c>
      <c r="CW446" s="598">
        <f t="shared" si="1101"/>
        <v>51.970106388109073</v>
      </c>
      <c r="CX446" s="598">
        <f t="shared" si="1102"/>
        <v>54.630791552096568</v>
      </c>
      <c r="CY446" s="598">
        <f t="shared" si="1103"/>
        <v>57.686951315009956</v>
      </c>
      <c r="CZ446" s="598">
        <f t="shared" si="1104"/>
        <v>62.614236976080505</v>
      </c>
      <c r="DA446" s="598">
        <f t="shared" si="1105"/>
        <v>64.484079473056681</v>
      </c>
      <c r="DB446" s="598">
        <f t="shared" si="1105"/>
        <v>66.747261303256337</v>
      </c>
      <c r="DC446" s="1922">
        <f t="shared" si="1105"/>
        <v>66.735011113502026</v>
      </c>
      <c r="DD446" s="502"/>
      <c r="DE446" s="502"/>
      <c r="DF446" s="502"/>
      <c r="DG446" s="503"/>
      <c r="DH446" s="598"/>
      <c r="DI446" s="3213"/>
      <c r="DJ446" s="502"/>
      <c r="DK446" s="503"/>
      <c r="DL446" s="502"/>
      <c r="DM446" s="502"/>
      <c r="DN446" s="502"/>
      <c r="DO446" s="502"/>
      <c r="DP446" s="503"/>
      <c r="DQ446" s="503"/>
      <c r="DR446" s="719"/>
      <c r="DS446" s="719"/>
      <c r="DT446" s="719"/>
    </row>
    <row r="447" spans="1:124" ht="12" customHeight="1" x14ac:dyDescent="0.25">
      <c r="A447" s="281"/>
      <c r="B447" s="281"/>
      <c r="C447" s="305"/>
      <c r="D447" s="305"/>
      <c r="E447" s="305"/>
      <c r="F447" s="305"/>
      <c r="G447" s="440"/>
      <c r="H447" s="305"/>
      <c r="I447" s="305"/>
      <c r="J447" s="305"/>
      <c r="K447" s="305"/>
      <c r="L447" s="440"/>
      <c r="M447" s="305"/>
      <c r="N447" s="305"/>
      <c r="O447" s="305"/>
      <c r="P447" s="305"/>
      <c r="Q447" s="440"/>
      <c r="R447" s="305"/>
      <c r="S447" s="305"/>
      <c r="T447" s="305"/>
      <c r="U447" s="305"/>
      <c r="V447" s="440"/>
      <c r="W447" s="305"/>
      <c r="X447" s="305"/>
      <c r="Y447" s="305"/>
      <c r="Z447" s="305"/>
      <c r="AA447" s="440"/>
      <c r="AB447" s="305"/>
      <c r="AC447" s="305"/>
      <c r="AD447" s="305"/>
      <c r="AE447" s="331"/>
      <c r="AF447" s="441"/>
      <c r="AG447" s="305"/>
      <c r="AH447" s="305"/>
      <c r="AI447" s="305"/>
      <c r="AJ447" s="331"/>
      <c r="AK447" s="441"/>
      <c r="AL447" s="305"/>
      <c r="AM447" s="305"/>
      <c r="AN447" s="305"/>
      <c r="AO447" s="331"/>
      <c r="AP447" s="569"/>
      <c r="AQ447" s="569"/>
      <c r="AR447" s="442"/>
      <c r="AS447" s="442"/>
      <c r="AT447" s="442"/>
      <c r="AU447" s="441"/>
      <c r="AV447" s="569"/>
      <c r="AW447" s="442"/>
      <c r="AX447" s="442"/>
      <c r="AY447" s="1312"/>
      <c r="AZ447" s="441"/>
      <c r="BA447" s="442"/>
      <c r="BB447" s="442"/>
      <c r="BC447" s="442"/>
      <c r="BD447" s="442"/>
      <c r="BE447" s="441"/>
      <c r="BF447" s="442"/>
      <c r="BG447" s="442"/>
      <c r="BH447" s="442"/>
      <c r="BI447" s="442"/>
      <c r="BJ447" s="441"/>
      <c r="BK447" s="442"/>
      <c r="BL447" s="442"/>
      <c r="BM447" s="442"/>
      <c r="BN447" s="442"/>
      <c r="BO447" s="441"/>
      <c r="BP447" s="442"/>
      <c r="BQ447" s="442"/>
      <c r="BR447" s="442"/>
      <c r="BS447" s="442"/>
      <c r="BT447" s="3236"/>
      <c r="BU447" s="3298"/>
      <c r="BV447" s="3298"/>
      <c r="BW447" s="3298"/>
      <c r="BX447" s="3298"/>
      <c r="BY447" s="3236"/>
      <c r="BZ447" s="441"/>
      <c r="CA447" s="441"/>
      <c r="CB447" s="441"/>
      <c r="CC447" s="441"/>
      <c r="CD447" s="441"/>
      <c r="CE447" s="441"/>
      <c r="CF447" s="441"/>
      <c r="CG447" s="331"/>
      <c r="CH447" s="331"/>
      <c r="CI447" s="331"/>
      <c r="CJ447" s="331"/>
      <c r="CK447" s="331"/>
      <c r="CL447" s="520"/>
      <c r="CM447" s="442"/>
      <c r="CN447" s="442"/>
      <c r="CO447" s="442"/>
      <c r="CP447" s="442"/>
      <c r="CQ447" s="442"/>
      <c r="CR447" s="442"/>
      <c r="CS447" s="442"/>
      <c r="CT447" s="442"/>
      <c r="CU447" s="442"/>
      <c r="CV447" s="442"/>
      <c r="CW447" s="442"/>
      <c r="CX447" s="442"/>
      <c r="CY447" s="442"/>
      <c r="CZ447" s="442"/>
      <c r="DA447" s="442"/>
      <c r="DB447" s="442"/>
      <c r="DC447" s="1312"/>
      <c r="DD447" s="331"/>
      <c r="DE447" s="331"/>
      <c r="DF447" s="502"/>
      <c r="DG447" s="503"/>
      <c r="DH447" s="3298"/>
      <c r="DI447" s="3213"/>
      <c r="DJ447" s="502"/>
      <c r="DK447" s="503"/>
      <c r="DL447" s="502"/>
      <c r="DM447" s="502"/>
      <c r="DN447" s="502"/>
      <c r="DO447" s="502"/>
      <c r="DP447" s="503"/>
      <c r="DQ447" s="503"/>
      <c r="DR447" s="296"/>
      <c r="DS447" s="296"/>
      <c r="DT447" s="296"/>
    </row>
    <row r="448" spans="1:124" ht="12" customHeight="1" x14ac:dyDescent="0.25">
      <c r="A448" s="2125" t="s">
        <v>1921</v>
      </c>
      <c r="B448" s="428"/>
      <c r="C448" s="502"/>
      <c r="D448" s="502"/>
      <c r="E448" s="502"/>
      <c r="F448" s="502"/>
      <c r="G448" s="534"/>
      <c r="H448" s="502"/>
      <c r="I448" s="502"/>
      <c r="J448" s="502"/>
      <c r="K448" s="502"/>
      <c r="L448" s="534"/>
      <c r="M448" s="502"/>
      <c r="N448" s="502"/>
      <c r="O448" s="502"/>
      <c r="P448" s="502"/>
      <c r="Q448" s="534"/>
      <c r="R448" s="502"/>
      <c r="S448" s="502"/>
      <c r="T448" s="502"/>
      <c r="U448" s="502"/>
      <c r="V448" s="534"/>
      <c r="W448" s="502"/>
      <c r="X448" s="502"/>
      <c r="Y448" s="502"/>
      <c r="Z448" s="502"/>
      <c r="AA448" s="534"/>
      <c r="AB448" s="502"/>
      <c r="AC448" s="502"/>
      <c r="AD448" s="502"/>
      <c r="AE448" s="502"/>
      <c r="AF448" s="534"/>
      <c r="AG448" s="502"/>
      <c r="AH448" s="502"/>
      <c r="AI448" s="502"/>
      <c r="AJ448" s="502"/>
      <c r="AK448" s="534"/>
      <c r="AL448" s="503"/>
      <c r="AM448" s="503"/>
      <c r="AN448" s="503"/>
      <c r="AO448" s="503"/>
      <c r="AP448" s="535"/>
      <c r="AQ448" s="535"/>
      <c r="AR448" s="537"/>
      <c r="AS448" s="537"/>
      <c r="AT448" s="537"/>
      <c r="AU448" s="536"/>
      <c r="AV448" s="535"/>
      <c r="AW448" s="2481"/>
      <c r="AX448" s="2481"/>
      <c r="AY448" s="2482"/>
      <c r="AZ448" s="2483"/>
      <c r="BA448" s="2484"/>
      <c r="BB448" s="2481"/>
      <c r="BC448" s="2481"/>
      <c r="BD448" s="2482"/>
      <c r="BE448" s="2482"/>
      <c r="BF448" s="2481"/>
      <c r="BG448" s="2481"/>
      <c r="BH448" s="2481"/>
      <c r="BI448" s="2482"/>
      <c r="BJ448" s="2482"/>
      <c r="BK448" s="2481"/>
      <c r="BL448" s="2481"/>
      <c r="BM448" s="2481"/>
      <c r="BN448" s="2482"/>
      <c r="BO448" s="2482"/>
      <c r="BP448" s="2481"/>
      <c r="BQ448" s="2481"/>
      <c r="BR448" s="2481"/>
      <c r="BS448" s="2481"/>
      <c r="BT448" s="536"/>
      <c r="BU448" s="537"/>
      <c r="BV448" s="537"/>
      <c r="BW448" s="537"/>
      <c r="BX448" s="537"/>
      <c r="BY448" s="536"/>
      <c r="BZ448" s="536"/>
      <c r="CA448" s="536"/>
      <c r="CB448" s="536"/>
      <c r="CC448" s="536"/>
      <c r="CD448" s="536"/>
      <c r="CE448" s="536"/>
      <c r="CF448" s="536"/>
      <c r="CG448" s="331"/>
      <c r="CH448" s="331"/>
      <c r="CI448" s="331"/>
      <c r="CJ448" s="331"/>
      <c r="CK448" s="331"/>
      <c r="CL448" s="2036" t="str">
        <f t="shared" ref="CL448:CL454" si="1120">A448</f>
        <v>Hollywood - Toledo, OH</v>
      </c>
      <c r="CM448" s="537">
        <f>G448</f>
        <v>0</v>
      </c>
      <c r="CN448" s="537">
        <f>L448</f>
        <v>0</v>
      </c>
      <c r="CO448" s="537">
        <f>Q448</f>
        <v>0</v>
      </c>
      <c r="CP448" s="537">
        <f>V448</f>
        <v>0</v>
      </c>
      <c r="CQ448" s="537">
        <f>AA448</f>
        <v>0</v>
      </c>
      <c r="CR448" s="537">
        <f>AF448</f>
        <v>0</v>
      </c>
      <c r="CS448" s="537">
        <f>AK448</f>
        <v>0</v>
      </c>
      <c r="CT448" s="537">
        <f>AP448</f>
        <v>0</v>
      </c>
      <c r="CU448" s="537">
        <f t="shared" ref="CU448:CU453" si="1121">AU448</f>
        <v>0</v>
      </c>
      <c r="CV448" s="537">
        <f t="shared" ref="CV448:CV454" si="1122">AZ448</f>
        <v>0</v>
      </c>
      <c r="CW448" s="537">
        <f t="shared" ref="CW448:CW454" si="1123">BE448</f>
        <v>0</v>
      </c>
      <c r="CX448" s="537">
        <f t="shared" ref="CX448:CX454" si="1124">BJ448</f>
        <v>0</v>
      </c>
      <c r="CY448" s="537">
        <f t="shared" ref="CY448:CY454" si="1125">BO448</f>
        <v>0</v>
      </c>
      <c r="CZ448" s="537">
        <f t="shared" ref="CZ448:CZ454" si="1126">BT448</f>
        <v>0</v>
      </c>
      <c r="DA448" s="537">
        <f t="shared" ref="DA448:DC454" si="1127">BY448</f>
        <v>0</v>
      </c>
      <c r="DB448" s="537">
        <f t="shared" si="1127"/>
        <v>0</v>
      </c>
      <c r="DC448" s="1926">
        <f t="shared" si="1127"/>
        <v>0</v>
      </c>
      <c r="DD448" s="331"/>
      <c r="DE448" s="331"/>
      <c r="DF448" s="502"/>
      <c r="DG448" s="503"/>
      <c r="DH448" s="537"/>
      <c r="DI448" s="3213"/>
      <c r="DJ448" s="502"/>
      <c r="DK448" s="503"/>
      <c r="DL448" s="502"/>
      <c r="DM448" s="502"/>
      <c r="DN448" s="502"/>
      <c r="DO448" s="502"/>
      <c r="DP448" s="503"/>
      <c r="DQ448" s="503"/>
      <c r="DR448" s="428"/>
      <c r="DS448" s="428"/>
      <c r="DT448" s="428"/>
    </row>
    <row r="449" spans="1:124" ht="12" customHeight="1" x14ac:dyDescent="0.25">
      <c r="A449" s="281" t="s">
        <v>894</v>
      </c>
      <c r="B449" s="281"/>
      <c r="C449" s="305"/>
      <c r="D449" s="305"/>
      <c r="E449" s="305"/>
      <c r="F449" s="305"/>
      <c r="G449" s="345"/>
      <c r="H449" s="305"/>
      <c r="I449" s="305"/>
      <c r="J449" s="305"/>
      <c r="K449" s="305"/>
      <c r="L449" s="345"/>
      <c r="M449" s="305"/>
      <c r="N449" s="305"/>
      <c r="O449" s="305"/>
      <c r="P449" s="305"/>
      <c r="Q449" s="345"/>
      <c r="R449" s="305"/>
      <c r="S449" s="305"/>
      <c r="T449" s="305"/>
      <c r="U449" s="305"/>
      <c r="V449" s="345"/>
      <c r="W449" s="305"/>
      <c r="X449" s="305"/>
      <c r="Y449" s="305"/>
      <c r="Z449" s="305"/>
      <c r="AA449" s="345"/>
      <c r="AB449" s="305"/>
      <c r="AC449" s="305"/>
      <c r="AD449" s="305"/>
      <c r="AE449" s="331"/>
      <c r="AF449" s="348"/>
      <c r="AG449" s="305"/>
      <c r="AH449" s="305"/>
      <c r="AI449" s="305"/>
      <c r="AJ449" s="331"/>
      <c r="AK449" s="348"/>
      <c r="AL449" s="305"/>
      <c r="AM449" s="305"/>
      <c r="AN449" s="305"/>
      <c r="AO449" s="331"/>
      <c r="AP449" s="568"/>
      <c r="AQ449" s="568"/>
      <c r="AR449" s="330">
        <f t="shared" ref="AR449:BE449" si="1128">AR450+(AR451*AR$320)</f>
        <v>2480</v>
      </c>
      <c r="AS449" s="330">
        <f t="shared" si="1128"/>
        <v>2508</v>
      </c>
      <c r="AT449" s="330">
        <f t="shared" si="1128"/>
        <v>2517</v>
      </c>
      <c r="AU449" s="348">
        <f t="shared" si="1128"/>
        <v>2517</v>
      </c>
      <c r="AV449" s="568">
        <f t="shared" si="1128"/>
        <v>2517</v>
      </c>
      <c r="AW449" s="330">
        <f t="shared" si="1128"/>
        <v>2525</v>
      </c>
      <c r="AX449" s="330">
        <f t="shared" si="1128"/>
        <v>2525</v>
      </c>
      <c r="AY449" s="1888">
        <f t="shared" si="1128"/>
        <v>2525</v>
      </c>
      <c r="AZ449" s="349">
        <f t="shared" si="1128"/>
        <v>2525</v>
      </c>
      <c r="BA449" s="568">
        <f t="shared" si="1128"/>
        <v>2525</v>
      </c>
      <c r="BB449" s="330">
        <f t="shared" si="1128"/>
        <v>2525</v>
      </c>
      <c r="BC449" s="330">
        <f t="shared" si="1128"/>
        <v>2525</v>
      </c>
      <c r="BD449" s="1888">
        <f t="shared" si="1128"/>
        <v>2525</v>
      </c>
      <c r="BE449" s="1306">
        <f t="shared" si="1128"/>
        <v>2525</v>
      </c>
      <c r="BF449" s="330">
        <f t="shared" ref="BF449:BO449" si="1129">BF450+(BF451*BF$320)</f>
        <v>2525</v>
      </c>
      <c r="BG449" s="330">
        <f t="shared" si="1129"/>
        <v>2525</v>
      </c>
      <c r="BH449" s="330">
        <f t="shared" si="1129"/>
        <v>2522</v>
      </c>
      <c r="BI449" s="1888">
        <f t="shared" si="1129"/>
        <v>2524</v>
      </c>
      <c r="BJ449" s="1306">
        <f t="shared" si="1129"/>
        <v>2525</v>
      </c>
      <c r="BK449" s="330">
        <f t="shared" si="1129"/>
        <v>2514</v>
      </c>
      <c r="BL449" s="330">
        <f t="shared" si="1129"/>
        <v>2512</v>
      </c>
      <c r="BM449" s="330">
        <f t="shared" si="1129"/>
        <v>2512</v>
      </c>
      <c r="BN449" s="1888">
        <f t="shared" si="1129"/>
        <v>2508</v>
      </c>
      <c r="BO449" s="1306">
        <f t="shared" si="1129"/>
        <v>2525</v>
      </c>
      <c r="BP449" s="330">
        <f t="shared" ref="BP449:CF449" si="1130">BP450+(BP451*BP$320)</f>
        <v>2509</v>
      </c>
      <c r="BQ449" s="330">
        <f t="shared" si="1130"/>
        <v>2509</v>
      </c>
      <c r="BR449" s="330">
        <f t="shared" si="1130"/>
        <v>2437</v>
      </c>
      <c r="BS449" s="330">
        <f t="shared" si="1130"/>
        <v>2444</v>
      </c>
      <c r="BT449" s="3222">
        <f t="shared" si="1130"/>
        <v>2525</v>
      </c>
      <c r="BU449" s="2909">
        <f t="shared" si="1130"/>
        <v>2464</v>
      </c>
      <c r="BV449" s="2909">
        <f t="shared" si="1130"/>
        <v>2464</v>
      </c>
      <c r="BW449" s="2909">
        <f t="shared" si="1130"/>
        <v>2464</v>
      </c>
      <c r="BX449" s="2909">
        <f t="shared" si="1130"/>
        <v>2464</v>
      </c>
      <c r="BY449" s="3222">
        <f t="shared" si="1130"/>
        <v>2525</v>
      </c>
      <c r="BZ449" s="349">
        <f t="shared" si="1130"/>
        <v>2525</v>
      </c>
      <c r="CA449" s="349">
        <f t="shared" si="1130"/>
        <v>2525</v>
      </c>
      <c r="CB449" s="349">
        <f t="shared" si="1130"/>
        <v>2525</v>
      </c>
      <c r="CC449" s="349">
        <f t="shared" si="1130"/>
        <v>2525</v>
      </c>
      <c r="CD449" s="349">
        <f t="shared" si="1130"/>
        <v>2525</v>
      </c>
      <c r="CE449" s="349">
        <f t="shared" si="1130"/>
        <v>2525</v>
      </c>
      <c r="CF449" s="349">
        <f t="shared" si="1130"/>
        <v>2525</v>
      </c>
      <c r="CG449" s="588"/>
      <c r="CH449" s="588"/>
      <c r="CI449" s="588"/>
      <c r="CJ449" s="588"/>
      <c r="CK449" s="331"/>
      <c r="CL449" s="520" t="str">
        <f t="shared" si="1120"/>
        <v>Positions</v>
      </c>
      <c r="CM449" s="330"/>
      <c r="CN449" s="330"/>
      <c r="CO449" s="330"/>
      <c r="CP449" s="330"/>
      <c r="CQ449" s="330"/>
      <c r="CR449" s="330"/>
      <c r="CS449" s="330"/>
      <c r="CT449" s="330"/>
      <c r="CU449" s="330">
        <f t="shared" si="1121"/>
        <v>2517</v>
      </c>
      <c r="CV449" s="330">
        <f t="shared" si="1122"/>
        <v>2525</v>
      </c>
      <c r="CW449" s="330">
        <f t="shared" si="1123"/>
        <v>2525</v>
      </c>
      <c r="CX449" s="330">
        <f t="shared" si="1124"/>
        <v>2525</v>
      </c>
      <c r="CY449" s="330">
        <f t="shared" si="1125"/>
        <v>2525</v>
      </c>
      <c r="CZ449" s="330">
        <f t="shared" si="1126"/>
        <v>2525</v>
      </c>
      <c r="DA449" s="330">
        <f t="shared" si="1127"/>
        <v>2525</v>
      </c>
      <c r="DB449" s="330">
        <f t="shared" si="1127"/>
        <v>2525</v>
      </c>
      <c r="DC449" s="1888">
        <f t="shared" si="1127"/>
        <v>2525</v>
      </c>
      <c r="DD449" s="331"/>
      <c r="DE449" s="331"/>
      <c r="DF449" s="502"/>
      <c r="DG449" s="503"/>
      <c r="DH449" s="2601"/>
      <c r="DI449" s="3213"/>
      <c r="DJ449" s="502"/>
      <c r="DK449" s="503"/>
      <c r="DL449" s="502"/>
      <c r="DM449" s="502"/>
      <c r="DN449" s="502"/>
      <c r="DO449" s="502"/>
      <c r="DP449" s="503"/>
      <c r="DQ449" s="503"/>
      <c r="DR449" s="296"/>
      <c r="DS449" s="296"/>
      <c r="DT449" s="296"/>
    </row>
    <row r="450" spans="1:124" ht="12" customHeight="1" x14ac:dyDescent="0.25">
      <c r="A450" s="281" t="s">
        <v>585</v>
      </c>
      <c r="B450" s="281"/>
      <c r="C450" s="340"/>
      <c r="D450" s="340"/>
      <c r="E450" s="340"/>
      <c r="F450" s="340"/>
      <c r="G450" s="345"/>
      <c r="H450" s="340"/>
      <c r="I450" s="340"/>
      <c r="J450" s="340"/>
      <c r="K450" s="340"/>
      <c r="L450" s="345"/>
      <c r="M450" s="340"/>
      <c r="N450" s="340"/>
      <c r="O450" s="340"/>
      <c r="P450" s="340"/>
      <c r="Q450" s="345"/>
      <c r="R450" s="340"/>
      <c r="S450" s="340"/>
      <c r="T450" s="340"/>
      <c r="U450" s="340"/>
      <c r="V450" s="345"/>
      <c r="W450" s="340"/>
      <c r="X450" s="340"/>
      <c r="Y450" s="340"/>
      <c r="Z450" s="340"/>
      <c r="AA450" s="345"/>
      <c r="AB450" s="340"/>
      <c r="AC450" s="340"/>
      <c r="AD450" s="340"/>
      <c r="AE450" s="339"/>
      <c r="AF450" s="348"/>
      <c r="AG450" s="340"/>
      <c r="AH450" s="340"/>
      <c r="AI450" s="340"/>
      <c r="AJ450" s="339"/>
      <c r="AK450" s="348"/>
      <c r="AL450" s="340"/>
      <c r="AM450" s="340"/>
      <c r="AN450" s="340"/>
      <c r="AO450" s="339"/>
      <c r="AP450" s="568"/>
      <c r="AQ450" s="568"/>
      <c r="AR450" s="338">
        <v>2000</v>
      </c>
      <c r="AS450" s="338">
        <v>2028</v>
      </c>
      <c r="AT450" s="338">
        <v>2037</v>
      </c>
      <c r="AU450" s="348">
        <f>+AT450</f>
        <v>2037</v>
      </c>
      <c r="AV450" s="1677">
        <v>2037</v>
      </c>
      <c r="AW450" s="338">
        <v>2045</v>
      </c>
      <c r="AX450" s="338">
        <v>2045</v>
      </c>
      <c r="AY450" s="338">
        <v>2045</v>
      </c>
      <c r="AZ450" s="348">
        <f>+AY450</f>
        <v>2045</v>
      </c>
      <c r="BA450" s="338">
        <v>2045</v>
      </c>
      <c r="BB450" s="2655">
        <v>2045</v>
      </c>
      <c r="BC450" s="2655">
        <v>2045</v>
      </c>
      <c r="BD450" s="2655">
        <v>2045</v>
      </c>
      <c r="BE450" s="348">
        <f>AZ450</f>
        <v>2045</v>
      </c>
      <c r="BF450" s="2655">
        <v>2045</v>
      </c>
      <c r="BG450" s="2655">
        <v>2045</v>
      </c>
      <c r="BH450" s="2655">
        <v>2048</v>
      </c>
      <c r="BI450" s="2655">
        <v>2050</v>
      </c>
      <c r="BJ450" s="348">
        <f>BE450</f>
        <v>2045</v>
      </c>
      <c r="BK450" s="2942">
        <v>2046</v>
      </c>
      <c r="BL450" s="2942">
        <v>2044</v>
      </c>
      <c r="BM450" s="2942">
        <v>2044</v>
      </c>
      <c r="BN450" s="2942">
        <v>2040</v>
      </c>
      <c r="BO450" s="348">
        <f>BJ450</f>
        <v>2045</v>
      </c>
      <c r="BP450" s="2942">
        <v>2041</v>
      </c>
      <c r="BQ450" s="2942">
        <v>2041</v>
      </c>
      <c r="BR450" s="2942">
        <v>1987</v>
      </c>
      <c r="BS450" s="2942">
        <v>2024</v>
      </c>
      <c r="BT450" s="3081">
        <f>BO450</f>
        <v>2045</v>
      </c>
      <c r="BU450" s="2942">
        <v>2044</v>
      </c>
      <c r="BV450" s="2079">
        <f t="shared" ref="BV450:BX451" si="1131">+BU450</f>
        <v>2044</v>
      </c>
      <c r="BW450" s="2079">
        <f t="shared" si="1131"/>
        <v>2044</v>
      </c>
      <c r="BX450" s="2079">
        <f t="shared" si="1131"/>
        <v>2044</v>
      </c>
      <c r="BY450" s="3081">
        <f>BT450</f>
        <v>2045</v>
      </c>
      <c r="BZ450" s="2485">
        <f>BY450</f>
        <v>2045</v>
      </c>
      <c r="CA450" s="2485">
        <f>BZ450</f>
        <v>2045</v>
      </c>
      <c r="CB450" s="2485">
        <f t="shared" ref="CB450:CF451" si="1132">CA450</f>
        <v>2045</v>
      </c>
      <c r="CC450" s="2485">
        <f t="shared" si="1132"/>
        <v>2045</v>
      </c>
      <c r="CD450" s="2485">
        <f t="shared" si="1132"/>
        <v>2045</v>
      </c>
      <c r="CE450" s="2485">
        <f t="shared" si="1132"/>
        <v>2045</v>
      </c>
      <c r="CF450" s="2485">
        <f t="shared" si="1132"/>
        <v>2045</v>
      </c>
      <c r="CG450" s="331"/>
      <c r="CH450" s="331"/>
      <c r="CI450" s="331"/>
      <c r="CJ450" s="331"/>
      <c r="CK450" s="331"/>
      <c r="CL450" s="520" t="str">
        <f t="shared" si="1120"/>
        <v>Slots</v>
      </c>
      <c r="CM450" s="330"/>
      <c r="CN450" s="330"/>
      <c r="CO450" s="330"/>
      <c r="CP450" s="330"/>
      <c r="CQ450" s="330"/>
      <c r="CR450" s="330"/>
      <c r="CS450" s="330"/>
      <c r="CT450" s="330"/>
      <c r="CU450" s="330">
        <f t="shared" si="1121"/>
        <v>2037</v>
      </c>
      <c r="CV450" s="330">
        <f t="shared" si="1122"/>
        <v>2045</v>
      </c>
      <c r="CW450" s="330">
        <f t="shared" si="1123"/>
        <v>2045</v>
      </c>
      <c r="CX450" s="330">
        <f t="shared" si="1124"/>
        <v>2045</v>
      </c>
      <c r="CY450" s="330">
        <f t="shared" si="1125"/>
        <v>2045</v>
      </c>
      <c r="CZ450" s="330">
        <f t="shared" si="1126"/>
        <v>2045</v>
      </c>
      <c r="DA450" s="330">
        <f t="shared" si="1127"/>
        <v>2045</v>
      </c>
      <c r="DB450" s="330">
        <f t="shared" si="1127"/>
        <v>2045</v>
      </c>
      <c r="DC450" s="1888">
        <f t="shared" si="1127"/>
        <v>2045</v>
      </c>
      <c r="DD450" s="331"/>
      <c r="DE450" s="331"/>
      <c r="DF450" s="502"/>
      <c r="DG450" s="503"/>
      <c r="DH450" s="2909"/>
      <c r="DI450" s="3213"/>
      <c r="DJ450" s="502"/>
      <c r="DK450" s="503"/>
      <c r="DL450" s="502"/>
      <c r="DM450" s="502"/>
      <c r="DN450" s="502"/>
      <c r="DO450" s="502"/>
      <c r="DP450" s="503"/>
      <c r="DQ450" s="503"/>
      <c r="DR450" s="296"/>
      <c r="DS450" s="296"/>
      <c r="DT450" s="296"/>
    </row>
    <row r="451" spans="1:124" ht="12" customHeight="1" x14ac:dyDescent="0.25">
      <c r="A451" s="281" t="s">
        <v>584</v>
      </c>
      <c r="B451" s="281"/>
      <c r="C451" s="340"/>
      <c r="D451" s="340"/>
      <c r="E451" s="340"/>
      <c r="F451" s="340"/>
      <c r="G451" s="345"/>
      <c r="H451" s="340"/>
      <c r="I451" s="340"/>
      <c r="J451" s="340"/>
      <c r="K451" s="340"/>
      <c r="L451" s="345"/>
      <c r="M451" s="340"/>
      <c r="N451" s="340"/>
      <c r="O451" s="340"/>
      <c r="P451" s="340"/>
      <c r="Q451" s="345"/>
      <c r="R451" s="340"/>
      <c r="S451" s="340"/>
      <c r="T451" s="340"/>
      <c r="U451" s="340"/>
      <c r="V451" s="345"/>
      <c r="W451" s="340"/>
      <c r="X451" s="340"/>
      <c r="Y451" s="340"/>
      <c r="Z451" s="340"/>
      <c r="AA451" s="345"/>
      <c r="AB451" s="340"/>
      <c r="AC451" s="340"/>
      <c r="AD451" s="340"/>
      <c r="AE451" s="339"/>
      <c r="AF451" s="348"/>
      <c r="AG451" s="340"/>
      <c r="AH451" s="340"/>
      <c r="AI451" s="340"/>
      <c r="AJ451" s="339"/>
      <c r="AK451" s="348"/>
      <c r="AL451" s="340"/>
      <c r="AM451" s="340"/>
      <c r="AN451" s="340"/>
      <c r="AO451" s="339"/>
      <c r="AP451" s="568"/>
      <c r="AQ451" s="568"/>
      <c r="AR451" s="338">
        <v>80</v>
      </c>
      <c r="AS451" s="338">
        <v>80</v>
      </c>
      <c r="AT451" s="330">
        <f>+AS451</f>
        <v>80</v>
      </c>
      <c r="AU451" s="348">
        <f>+AT451</f>
        <v>80</v>
      </c>
      <c r="AV451" s="1677">
        <v>80</v>
      </c>
      <c r="AW451" s="338">
        <v>80</v>
      </c>
      <c r="AX451" s="338">
        <v>80</v>
      </c>
      <c r="AY451" s="338">
        <v>80</v>
      </c>
      <c r="AZ451" s="348">
        <f>+AY451</f>
        <v>80</v>
      </c>
      <c r="BA451" s="338">
        <v>80</v>
      </c>
      <c r="BB451" s="2655">
        <v>80</v>
      </c>
      <c r="BC451" s="2655">
        <v>80</v>
      </c>
      <c r="BD451" s="2655">
        <v>80</v>
      </c>
      <c r="BE451" s="348">
        <f>AZ451</f>
        <v>80</v>
      </c>
      <c r="BF451" s="2655">
        <v>80</v>
      </c>
      <c r="BG451" s="2655">
        <v>80</v>
      </c>
      <c r="BH451" s="2655">
        <v>79</v>
      </c>
      <c r="BI451" s="2655">
        <v>79</v>
      </c>
      <c r="BJ451" s="348">
        <f>BE451</f>
        <v>80</v>
      </c>
      <c r="BK451" s="2942">
        <v>78</v>
      </c>
      <c r="BL451" s="2942">
        <v>78</v>
      </c>
      <c r="BM451" s="2942">
        <v>78</v>
      </c>
      <c r="BN451" s="2942">
        <v>78</v>
      </c>
      <c r="BO451" s="348">
        <f>BJ451</f>
        <v>80</v>
      </c>
      <c r="BP451" s="2942">
        <v>78</v>
      </c>
      <c r="BQ451" s="2942">
        <v>78</v>
      </c>
      <c r="BR451" s="2942">
        <v>75</v>
      </c>
      <c r="BS451" s="2942">
        <v>70</v>
      </c>
      <c r="BT451" s="3081">
        <f>BO451</f>
        <v>80</v>
      </c>
      <c r="BU451" s="2942">
        <v>70</v>
      </c>
      <c r="BV451" s="2079">
        <f t="shared" si="1131"/>
        <v>70</v>
      </c>
      <c r="BW451" s="2079">
        <f t="shared" si="1131"/>
        <v>70</v>
      </c>
      <c r="BX451" s="2079">
        <f t="shared" si="1131"/>
        <v>70</v>
      </c>
      <c r="BY451" s="3081">
        <f>BT451</f>
        <v>80</v>
      </c>
      <c r="BZ451" s="2485">
        <f>BY451</f>
        <v>80</v>
      </c>
      <c r="CA451" s="2485">
        <f>BZ451</f>
        <v>80</v>
      </c>
      <c r="CB451" s="2485">
        <f t="shared" si="1132"/>
        <v>80</v>
      </c>
      <c r="CC451" s="2485">
        <f t="shared" si="1132"/>
        <v>80</v>
      </c>
      <c r="CD451" s="2485">
        <f t="shared" si="1132"/>
        <v>80</v>
      </c>
      <c r="CE451" s="2485">
        <f t="shared" si="1132"/>
        <v>80</v>
      </c>
      <c r="CF451" s="2485">
        <f t="shared" si="1132"/>
        <v>80</v>
      </c>
      <c r="CG451" s="331"/>
      <c r="CH451" s="331"/>
      <c r="CI451" s="331"/>
      <c r="CJ451" s="331"/>
      <c r="CK451" s="331"/>
      <c r="CL451" s="520" t="str">
        <f t="shared" si="1120"/>
        <v>Tables</v>
      </c>
      <c r="CM451" s="330"/>
      <c r="CN451" s="330"/>
      <c r="CO451" s="330"/>
      <c r="CP451" s="330"/>
      <c r="CQ451" s="330"/>
      <c r="CR451" s="330"/>
      <c r="CS451" s="330"/>
      <c r="CT451" s="330"/>
      <c r="CU451" s="330">
        <f t="shared" si="1121"/>
        <v>80</v>
      </c>
      <c r="CV451" s="330">
        <f t="shared" si="1122"/>
        <v>80</v>
      </c>
      <c r="CW451" s="330">
        <f t="shared" si="1123"/>
        <v>80</v>
      </c>
      <c r="CX451" s="330">
        <f t="shared" si="1124"/>
        <v>80</v>
      </c>
      <c r="CY451" s="330">
        <f t="shared" si="1125"/>
        <v>80</v>
      </c>
      <c r="CZ451" s="330">
        <f t="shared" si="1126"/>
        <v>80</v>
      </c>
      <c r="DA451" s="330">
        <f t="shared" si="1127"/>
        <v>80</v>
      </c>
      <c r="DB451" s="330">
        <f t="shared" si="1127"/>
        <v>80</v>
      </c>
      <c r="DC451" s="1888">
        <f t="shared" si="1127"/>
        <v>80</v>
      </c>
      <c r="DD451" s="331"/>
      <c r="DE451" s="331"/>
      <c r="DF451" s="502"/>
      <c r="DG451" s="503"/>
      <c r="DH451" s="2909"/>
      <c r="DI451" s="3213"/>
      <c r="DJ451" s="502"/>
      <c r="DK451" s="503"/>
      <c r="DL451" s="502"/>
      <c r="DM451" s="502"/>
      <c r="DN451" s="502"/>
      <c r="DO451" s="502"/>
      <c r="DP451" s="503"/>
      <c r="DQ451" s="503"/>
      <c r="DR451" s="296"/>
      <c r="DS451" s="296"/>
      <c r="DT451" s="296"/>
    </row>
    <row r="452" spans="1:124" ht="12" customHeight="1" x14ac:dyDescent="0.25">
      <c r="A452" s="511" t="s">
        <v>2111</v>
      </c>
      <c r="B452" s="281"/>
      <c r="C452" s="340"/>
      <c r="D452" s="305"/>
      <c r="E452" s="305"/>
      <c r="F452" s="305"/>
      <c r="G452" s="345"/>
      <c r="H452" s="305"/>
      <c r="I452" s="305"/>
      <c r="J452" s="305"/>
      <c r="K452" s="305"/>
      <c r="L452" s="345"/>
      <c r="M452" s="305"/>
      <c r="N452" s="305"/>
      <c r="O452" s="305"/>
      <c r="P452" s="305"/>
      <c r="Q452" s="345"/>
      <c r="R452" s="305"/>
      <c r="S452" s="305"/>
      <c r="T452" s="305"/>
      <c r="U452" s="305"/>
      <c r="V452" s="345"/>
      <c r="W452" s="305"/>
      <c r="X452" s="305"/>
      <c r="Y452" s="305"/>
      <c r="Z452" s="305"/>
      <c r="AA452" s="345"/>
      <c r="AB452" s="305"/>
      <c r="AC452" s="305"/>
      <c r="AD452" s="305"/>
      <c r="AE452" s="331"/>
      <c r="AF452" s="348"/>
      <c r="AG452" s="305"/>
      <c r="AH452" s="305"/>
      <c r="AI452" s="305"/>
      <c r="AJ452" s="331"/>
      <c r="AK452" s="348"/>
      <c r="AL452" s="305"/>
      <c r="AM452" s="305"/>
      <c r="AN452" s="305"/>
      <c r="AO452" s="331"/>
      <c r="AP452" s="568"/>
      <c r="AQ452" s="568"/>
      <c r="AR452" s="330">
        <f>+AVERAGE(AQ449:AR449)</f>
        <v>2480</v>
      </c>
      <c r="AS452" s="330">
        <f>+AVERAGE(AR449:AS449)</f>
        <v>2494</v>
      </c>
      <c r="AT452" s="330">
        <f>+AVERAGE(AS449:AT449)</f>
        <v>2512.5</v>
      </c>
      <c r="AU452" s="348">
        <f>+AVERAGE(AQ452:AT452)</f>
        <v>2495.5</v>
      </c>
      <c r="AV452" s="568">
        <f>+AVERAGE(AU449:AV449)</f>
        <v>2517</v>
      </c>
      <c r="AW452" s="330">
        <f>+AVERAGE(AV449:AW449)</f>
        <v>2521</v>
      </c>
      <c r="AX452" s="330">
        <f>+AVERAGE(AW449:AX449)</f>
        <v>2525</v>
      </c>
      <c r="AY452" s="1888">
        <f>+AVERAGE(AX449:AY449)</f>
        <v>2525</v>
      </c>
      <c r="AZ452" s="348">
        <f>AVERAGE(AV452:AY452)</f>
        <v>2522</v>
      </c>
      <c r="BA452" s="568">
        <f>+AVERAGE(AZ449:BA449)</f>
        <v>2525</v>
      </c>
      <c r="BB452" s="330">
        <f>+AVERAGE(BA449:BB449)</f>
        <v>2525</v>
      </c>
      <c r="BC452" s="330">
        <f>+AVERAGE(BB449:BC449)</f>
        <v>2525</v>
      </c>
      <c r="BD452" s="1888">
        <f>+AVERAGE(BC449:BD449)</f>
        <v>2525</v>
      </c>
      <c r="BE452" s="1306">
        <f>AVERAGE(BA452:BD452)</f>
        <v>2525</v>
      </c>
      <c r="BF452" s="330">
        <f>+AVERAGE(BE449:BF449)</f>
        <v>2525</v>
      </c>
      <c r="BG452" s="330">
        <f>+AVERAGE(BF449:BG449)</f>
        <v>2525</v>
      </c>
      <c r="BH452" s="330">
        <f>+AVERAGE(BG449:BH449)</f>
        <v>2523.5</v>
      </c>
      <c r="BI452" s="1888">
        <f>+AVERAGE(BH449:BI449)</f>
        <v>2523</v>
      </c>
      <c r="BJ452" s="1306">
        <f>AVERAGE(BF452:BI452)</f>
        <v>2524.125</v>
      </c>
      <c r="BK452" s="330">
        <f>+AVERAGE(BJ449:BK449)</f>
        <v>2519.5</v>
      </c>
      <c r="BL452" s="330">
        <f>+AVERAGE(BK449:BL449)</f>
        <v>2513</v>
      </c>
      <c r="BM452" s="330">
        <f>+AVERAGE(BL449:BM449)</f>
        <v>2512</v>
      </c>
      <c r="BN452" s="1888">
        <f>+AVERAGE(BM449:BN449)</f>
        <v>2510</v>
      </c>
      <c r="BO452" s="1306">
        <f>AVERAGE(BK452:BN452)</f>
        <v>2513.625</v>
      </c>
      <c r="BP452" s="330">
        <f>+AVERAGE(BO449:BP449)</f>
        <v>2517</v>
      </c>
      <c r="BQ452" s="330">
        <f>+AVERAGE(BP449:BQ449)</f>
        <v>2509</v>
      </c>
      <c r="BR452" s="330">
        <f>+AVERAGE(BQ449:BR449)</f>
        <v>2473</v>
      </c>
      <c r="BS452" s="330">
        <f>+AVERAGE(BR449:BS449)</f>
        <v>2440.5</v>
      </c>
      <c r="BT452" s="3222">
        <f>AVERAGE(BP452:BS452)</f>
        <v>2484.875</v>
      </c>
      <c r="BU452" s="2909">
        <f>+AVERAGE(BS449,BU449)</f>
        <v>2454</v>
      </c>
      <c r="BV452" s="2909">
        <f>+AVERAGE(BU449:BV449)</f>
        <v>2464</v>
      </c>
      <c r="BW452" s="2909">
        <f>+AVERAGE(BV449:BW449)</f>
        <v>2464</v>
      </c>
      <c r="BX452" s="2909">
        <f>+AVERAGE(BW449:BX449)</f>
        <v>2464</v>
      </c>
      <c r="BY452" s="3222">
        <f>AVERAGE(BU452:BX452)</f>
        <v>2461.5</v>
      </c>
      <c r="BZ452" s="349">
        <f t="shared" ref="BZ452:CF452" si="1133">AVERAGE(BY449:BZ449)</f>
        <v>2525</v>
      </c>
      <c r="CA452" s="349">
        <f t="shared" si="1133"/>
        <v>2525</v>
      </c>
      <c r="CB452" s="349">
        <f t="shared" si="1133"/>
        <v>2525</v>
      </c>
      <c r="CC452" s="349">
        <f t="shared" si="1133"/>
        <v>2525</v>
      </c>
      <c r="CD452" s="349">
        <f t="shared" si="1133"/>
        <v>2525</v>
      </c>
      <c r="CE452" s="349">
        <f t="shared" si="1133"/>
        <v>2525</v>
      </c>
      <c r="CF452" s="349">
        <f t="shared" si="1133"/>
        <v>2525</v>
      </c>
      <c r="CG452" s="331"/>
      <c r="CH452" s="331"/>
      <c r="CI452" s="331"/>
      <c r="CJ452" s="331"/>
      <c r="CK452" s="331"/>
      <c r="CL452" s="1118" t="str">
        <f t="shared" si="1120"/>
        <v>Average Positions</v>
      </c>
      <c r="CM452" s="330"/>
      <c r="CN452" s="330"/>
      <c r="CO452" s="330"/>
      <c r="CP452" s="330"/>
      <c r="CQ452" s="330"/>
      <c r="CR452" s="330"/>
      <c r="CS452" s="330"/>
      <c r="CT452" s="330"/>
      <c r="CU452" s="330">
        <f t="shared" si="1121"/>
        <v>2495.5</v>
      </c>
      <c r="CV452" s="330">
        <f t="shared" si="1122"/>
        <v>2522</v>
      </c>
      <c r="CW452" s="330">
        <f t="shared" si="1123"/>
        <v>2525</v>
      </c>
      <c r="CX452" s="330">
        <f t="shared" si="1124"/>
        <v>2524.125</v>
      </c>
      <c r="CY452" s="330">
        <f t="shared" si="1125"/>
        <v>2513.625</v>
      </c>
      <c r="CZ452" s="330">
        <f t="shared" si="1126"/>
        <v>2484.875</v>
      </c>
      <c r="DA452" s="330">
        <f t="shared" si="1127"/>
        <v>2461.5</v>
      </c>
      <c r="DB452" s="330">
        <f t="shared" si="1127"/>
        <v>2525</v>
      </c>
      <c r="DC452" s="1888">
        <f t="shared" si="1127"/>
        <v>2525</v>
      </c>
      <c r="DD452" s="331"/>
      <c r="DE452" s="331"/>
      <c r="DF452" s="502"/>
      <c r="DG452" s="503"/>
      <c r="DH452" s="2601"/>
      <c r="DI452" s="3213"/>
      <c r="DJ452" s="502"/>
      <c r="DK452" s="503"/>
      <c r="DL452" s="502"/>
      <c r="DM452" s="502"/>
      <c r="DN452" s="502"/>
      <c r="DO452" s="502"/>
      <c r="DP452" s="503"/>
      <c r="DQ452" s="503"/>
      <c r="DR452" s="296"/>
      <c r="DS452" s="296"/>
      <c r="DT452" s="296"/>
    </row>
    <row r="453" spans="1:124" ht="12" customHeight="1" x14ac:dyDescent="0.25">
      <c r="A453" s="557" t="s">
        <v>901</v>
      </c>
      <c r="B453" s="558"/>
      <c r="C453" s="318"/>
      <c r="D453" s="318"/>
      <c r="E453" s="318"/>
      <c r="F453" s="318"/>
      <c r="G453" s="559"/>
      <c r="H453" s="318"/>
      <c r="I453" s="318"/>
      <c r="J453" s="318"/>
      <c r="K453" s="318"/>
      <c r="L453" s="559"/>
      <c r="M453" s="318"/>
      <c r="N453" s="318"/>
      <c r="O453" s="318"/>
      <c r="P453" s="318"/>
      <c r="Q453" s="559"/>
      <c r="R453" s="318"/>
      <c r="S453" s="318"/>
      <c r="T453" s="318"/>
      <c r="U453" s="318"/>
      <c r="V453" s="559"/>
      <c r="W453" s="318"/>
      <c r="X453" s="318"/>
      <c r="Y453" s="318"/>
      <c r="Z453" s="318"/>
      <c r="AA453" s="559"/>
      <c r="AB453" s="318"/>
      <c r="AC453" s="318"/>
      <c r="AD453" s="318"/>
      <c r="AE453" s="560"/>
      <c r="AF453" s="561"/>
      <c r="AG453" s="318"/>
      <c r="AH453" s="318"/>
      <c r="AI453" s="318"/>
      <c r="AJ453" s="560"/>
      <c r="AK453" s="561"/>
      <c r="AL453" s="318"/>
      <c r="AM453" s="318"/>
      <c r="AN453" s="318"/>
      <c r="AO453" s="560"/>
      <c r="AP453" s="562"/>
      <c r="AQ453" s="562"/>
      <c r="AR453" s="1766">
        <f>+AR456*1000000/AR452/33</f>
        <v>279.11827956989242</v>
      </c>
      <c r="AS453" s="1766">
        <f>+AS456*1000000/AS452/AS5</f>
        <v>226.97081691712285</v>
      </c>
      <c r="AT453" s="1766">
        <f>+AT456*1000000/AT452/AT5</f>
        <v>184.31922561107504</v>
      </c>
      <c r="AU453" s="1688">
        <f>AU456*1000000/AU452/AU$5</f>
        <v>128.67580114150826</v>
      </c>
      <c r="AV453" s="2656">
        <f>+AV456*1000000/AV452/AV5</f>
        <v>206.95686222575378</v>
      </c>
      <c r="AW453" s="2656">
        <f>+AW456*1000000/AW452/AW5</f>
        <v>206.39612747427108</v>
      </c>
      <c r="AX453" s="2656">
        <f>+AX456*1000000/AX452/AX5</f>
        <v>195.22736117089971</v>
      </c>
      <c r="AY453" s="2657">
        <f>+AY456*1000000/AY452/AY5</f>
        <v>188.48061988807575</v>
      </c>
      <c r="AZ453" s="1688">
        <f>AZ456*1000000/AZ452/AZ$5</f>
        <v>199.19703214452542</v>
      </c>
      <c r="BA453" s="2658">
        <f>+BA456*1000000/BA452/BA5</f>
        <v>194.52487568756874</v>
      </c>
      <c r="BB453" s="2656">
        <f>+BB456*1000000/BB452/BB5</f>
        <v>207.64390381895333</v>
      </c>
      <c r="BC453" s="2656">
        <f>+BC456*1000000/BC452/BC5</f>
        <v>201.9088170038743</v>
      </c>
      <c r="BD453" s="2656">
        <f>+BD456*1000000/BD452/BD5</f>
        <v>191.27762376237624</v>
      </c>
      <c r="BE453" s="1688">
        <f>BE456*1000000/BE452/BE$5</f>
        <v>198.83831947918083</v>
      </c>
      <c r="BF453" s="2656">
        <f>+BF456*1000000/BF452/BF5</f>
        <v>206.17123432343234</v>
      </c>
      <c r="BG453" s="2943">
        <f>+BG456*1000000/BG452/BG5</f>
        <v>218.38291807202697</v>
      </c>
      <c r="BH453" s="2943">
        <f>+BH456*1000000/BH452/BH5</f>
        <v>210.98635004867293</v>
      </c>
      <c r="BI453" s="2943">
        <f>+BI456*1000000/BI452/BI5</f>
        <v>201.39748660152682</v>
      </c>
      <c r="BJ453" s="1688">
        <f>BJ456*1000000/BJ452/BJ$5</f>
        <v>209.22692184800238</v>
      </c>
      <c r="BK453" s="2656">
        <f>+BK456*1000000/BK452/BK5</f>
        <v>220.92780051859231</v>
      </c>
      <c r="BL453" s="2656">
        <f>+BL456*1000000/BL452/BL5</f>
        <v>219.86412195047291</v>
      </c>
      <c r="BM453" s="2656">
        <f>+BM456*1000000/BM452/BM5</f>
        <v>198.17917474383827</v>
      </c>
      <c r="BN453" s="2656">
        <f>+BN456*1000000/BN452/BN5</f>
        <v>194.13701281829205</v>
      </c>
      <c r="BO453" s="1688">
        <f>BO456*1000000/BO452/BO$5</f>
        <v>208.22301734236936</v>
      </c>
      <c r="BP453" s="2656">
        <f>+BP456*1000000/BP452/BP5</f>
        <v>215.67671390102856</v>
      </c>
      <c r="BQ453" s="2656">
        <f>+BQ456*1000000/BQ452/BQ5</f>
        <v>224.51730692583621</v>
      </c>
      <c r="BR453" s="2656">
        <f>+BR456*1000000/BR452/BR5</f>
        <v>219.89861811916529</v>
      </c>
      <c r="BS453" s="2656">
        <f>+BS456*1000000/BS452/BS5</f>
        <v>216.01502721288401</v>
      </c>
      <c r="BT453" s="2589">
        <f>BT456*1000000/BT452/BT$5</f>
        <v>219.02400702331295</v>
      </c>
      <c r="BU453" s="2656">
        <f>+BU456*1000000/BU452/BU5</f>
        <v>228.13603640315131</v>
      </c>
      <c r="BV453" s="2588">
        <f>+BQ453*(1+BV454)</f>
        <v>229.00765306435295</v>
      </c>
      <c r="BW453" s="2588">
        <f>+BR453*(1+BW454)</f>
        <v>222.09760430035695</v>
      </c>
      <c r="BX453" s="2588">
        <f>+BS453*(1+BX454)</f>
        <v>218.17517748501285</v>
      </c>
      <c r="BY453" s="2589">
        <f>BY456*1000000/BY452/BY$5</f>
        <v>224.31994452437499</v>
      </c>
      <c r="BZ453" s="561">
        <f t="shared" ref="BZ453:CF453" si="1134">+BY453*(1+BZ454)</f>
        <v>227.6847436922406</v>
      </c>
      <c r="CA453" s="561">
        <f t="shared" si="1134"/>
        <v>228.82316741070179</v>
      </c>
      <c r="CB453" s="561">
        <f t="shared" si="1134"/>
        <v>217.38200904016668</v>
      </c>
      <c r="CC453" s="561">
        <f t="shared" si="1134"/>
        <v>206.51290858815833</v>
      </c>
      <c r="CD453" s="561">
        <f t="shared" si="1134"/>
        <v>210.64316675992148</v>
      </c>
      <c r="CE453" s="561">
        <f t="shared" si="1134"/>
        <v>214.85603009511991</v>
      </c>
      <c r="CF453" s="561">
        <f t="shared" si="1134"/>
        <v>219.15315069702231</v>
      </c>
      <c r="CG453" s="560"/>
      <c r="CH453" s="560"/>
      <c r="CI453" s="560"/>
      <c r="CJ453" s="560"/>
      <c r="CK453" s="560"/>
      <c r="CL453" s="1307" t="str">
        <f t="shared" si="1120"/>
        <v>Daily Win / Position</v>
      </c>
      <c r="CM453" s="560"/>
      <c r="CN453" s="560"/>
      <c r="CO453" s="560"/>
      <c r="CP453" s="560"/>
      <c r="CQ453" s="560"/>
      <c r="CR453" s="560"/>
      <c r="CS453" s="560"/>
      <c r="CT453" s="560"/>
      <c r="CU453" s="560">
        <f t="shared" si="1121"/>
        <v>128.67580114150826</v>
      </c>
      <c r="CV453" s="560">
        <f t="shared" si="1122"/>
        <v>199.19703214452542</v>
      </c>
      <c r="CW453" s="560">
        <f t="shared" si="1123"/>
        <v>198.83831947918083</v>
      </c>
      <c r="CX453" s="560">
        <f t="shared" si="1124"/>
        <v>209.22692184800238</v>
      </c>
      <c r="CY453" s="560">
        <f t="shared" si="1125"/>
        <v>208.22301734236936</v>
      </c>
      <c r="CZ453" s="560">
        <f t="shared" si="1126"/>
        <v>219.02400702331295</v>
      </c>
      <c r="DA453" s="560">
        <f t="shared" si="1127"/>
        <v>224.31994452437499</v>
      </c>
      <c r="DB453" s="560">
        <f t="shared" si="1127"/>
        <v>227.6847436922406</v>
      </c>
      <c r="DC453" s="1878">
        <f t="shared" si="1127"/>
        <v>228.82316741070179</v>
      </c>
      <c r="DD453" s="560"/>
      <c r="DE453" s="560"/>
      <c r="DF453" s="707"/>
      <c r="DG453" s="707"/>
      <c r="DH453" s="2588"/>
      <c r="DI453" s="3213"/>
      <c r="DJ453" s="707"/>
      <c r="DK453" s="707"/>
      <c r="DL453" s="707"/>
      <c r="DM453" s="707"/>
      <c r="DN453" s="707"/>
      <c r="DO453" s="707"/>
      <c r="DP453" s="707"/>
      <c r="DQ453" s="707"/>
      <c r="DR453" s="968"/>
      <c r="DS453" s="968"/>
      <c r="DT453" s="968"/>
    </row>
    <row r="454" spans="1:124" ht="12" customHeight="1" x14ac:dyDescent="0.25">
      <c r="A454" s="465" t="s">
        <v>1491</v>
      </c>
      <c r="B454" s="281"/>
      <c r="C454" s="472"/>
      <c r="D454" s="472"/>
      <c r="E454" s="472"/>
      <c r="F454" s="472"/>
      <c r="G454" s="491"/>
      <c r="H454" s="472"/>
      <c r="I454" s="472"/>
      <c r="J454" s="472"/>
      <c r="K454" s="472"/>
      <c r="L454" s="491"/>
      <c r="M454" s="472"/>
      <c r="N454" s="472"/>
      <c r="O454" s="472"/>
      <c r="P454" s="472"/>
      <c r="Q454" s="491"/>
      <c r="R454" s="472"/>
      <c r="S454" s="472"/>
      <c r="T454" s="472"/>
      <c r="U454" s="472"/>
      <c r="V454" s="491"/>
      <c r="W454" s="472"/>
      <c r="X454" s="472"/>
      <c r="Y454" s="472"/>
      <c r="Z454" s="472"/>
      <c r="AA454" s="491"/>
      <c r="AB454" s="472"/>
      <c r="AC454" s="472"/>
      <c r="AD454" s="472"/>
      <c r="AE454" s="492"/>
      <c r="AF454" s="493"/>
      <c r="AG454" s="472"/>
      <c r="AH454" s="472"/>
      <c r="AI454" s="472"/>
      <c r="AJ454" s="492"/>
      <c r="AK454" s="493"/>
      <c r="AL454" s="472"/>
      <c r="AM454" s="472"/>
      <c r="AN454" s="472"/>
      <c r="AO454" s="492"/>
      <c r="AP454" s="494"/>
      <c r="AQ454" s="494"/>
      <c r="AR454" s="492"/>
      <c r="AS454" s="492"/>
      <c r="AT454" s="492"/>
      <c r="AU454" s="493"/>
      <c r="AV454" s="1618"/>
      <c r="AW454" s="492">
        <f>+AW453/AR453-1</f>
        <v>-0.26054242025166752</v>
      </c>
      <c r="AX454" s="492">
        <f>+AX453/AS453-1</f>
        <v>-0.13985699208993063</v>
      </c>
      <c r="AY454" s="492">
        <f>+AY453/AT453-1</f>
        <v>2.2577103735133441E-2</v>
      </c>
      <c r="AZ454" s="591" t="s">
        <v>553</v>
      </c>
      <c r="BA454" s="1618">
        <f>+BA453/AV453-1</f>
        <v>-6.0070424360338048E-2</v>
      </c>
      <c r="BB454" s="519">
        <f>+BB453/AW453-1</f>
        <v>6.0455414544431374E-3</v>
      </c>
      <c r="BC454" s="519">
        <f>+BC453/AX453-1</f>
        <v>3.4223972464216823E-2</v>
      </c>
      <c r="BD454" s="1462">
        <f>+BD453/AY453-1</f>
        <v>1.4839742547331447E-2</v>
      </c>
      <c r="BE454" s="1462">
        <f>BE453/AZ453-1</f>
        <v>-1.800793222081376E-3</v>
      </c>
      <c r="BF454" s="519">
        <f>+BF453/BA453-1</f>
        <v>5.9870793360994767E-2</v>
      </c>
      <c r="BG454" s="519">
        <f>+BG453/BB453-1</f>
        <v>5.1718418193664295E-2</v>
      </c>
      <c r="BH454" s="519">
        <f>+BH453/BC453-1</f>
        <v>4.4958576745187218E-2</v>
      </c>
      <c r="BI454" s="1462">
        <f>+BI453/BD453-1</f>
        <v>5.2906673766098589E-2</v>
      </c>
      <c r="BJ454" s="1462">
        <f>BJ453/BE453-1</f>
        <v>5.2246480437133647E-2</v>
      </c>
      <c r="BK454" s="519">
        <f>+BK453/BF453-1</f>
        <v>7.1574321430362575E-2</v>
      </c>
      <c r="BL454" s="519">
        <f>+BL453/BG453-1</f>
        <v>6.7825995344443779E-3</v>
      </c>
      <c r="BM454" s="519">
        <f>+BM453/BH453-1</f>
        <v>-6.0701440173168253E-2</v>
      </c>
      <c r="BN454" s="1462">
        <f>+BN453/BI453-1</f>
        <v>-3.6050468681368963E-2</v>
      </c>
      <c r="BO454" s="1462">
        <f>BO453/BJ453-1</f>
        <v>-4.7981612345390223E-3</v>
      </c>
      <c r="BP454" s="519">
        <f>+BP453/BK453-1</f>
        <v>-2.3768337915091142E-2</v>
      </c>
      <c r="BQ454" s="519">
        <f>+BQ453/BL453-1</f>
        <v>2.1163912211249691E-2</v>
      </c>
      <c r="BR454" s="519">
        <f>+BR453/BM453-1</f>
        <v>0.10959498344566754</v>
      </c>
      <c r="BS454" s="519">
        <f>+BS453/BN453-1</f>
        <v>0.11269367997883695</v>
      </c>
      <c r="BT454" s="591">
        <f>BT453/BO453-1</f>
        <v>5.1872217676992571E-2</v>
      </c>
      <c r="BU454" s="519">
        <f>+BU453/BP453-1</f>
        <v>5.7768510456071676E-2</v>
      </c>
      <c r="BV454" s="1245">
        <v>0.02</v>
      </c>
      <c r="BW454" s="1245">
        <v>0.01</v>
      </c>
      <c r="BX454" s="1245">
        <v>0.01</v>
      </c>
      <c r="BY454" s="468">
        <f>BY453/BT453-1</f>
        <v>2.4179712411609433E-2</v>
      </c>
      <c r="BZ454" s="566">
        <v>1.4999999999999999E-2</v>
      </c>
      <c r="CA454" s="566">
        <v>5.0000000000000001E-3</v>
      </c>
      <c r="CB454" s="566">
        <v>-0.05</v>
      </c>
      <c r="CC454" s="566">
        <v>-0.05</v>
      </c>
      <c r="CD454" s="566">
        <v>0.02</v>
      </c>
      <c r="CE454" s="566">
        <v>0.02</v>
      </c>
      <c r="CF454" s="566">
        <v>0.02</v>
      </c>
      <c r="CG454" s="331"/>
      <c r="CH454" s="331"/>
      <c r="CI454" s="331"/>
      <c r="CJ454" s="331"/>
      <c r="CK454" s="331"/>
      <c r="CL454" s="1310" t="str">
        <f t="shared" si="1120"/>
        <v>% growth (y-o-y)</v>
      </c>
      <c r="CM454" s="492"/>
      <c r="CN454" s="492"/>
      <c r="CO454" s="492"/>
      <c r="CP454" s="492"/>
      <c r="CQ454" s="492"/>
      <c r="CR454" s="492"/>
      <c r="CS454" s="492"/>
      <c r="CT454" s="492"/>
      <c r="CU454" s="492"/>
      <c r="CV454" s="492" t="str">
        <f t="shared" si="1122"/>
        <v xml:space="preserve">n/a </v>
      </c>
      <c r="CW454" s="492">
        <f t="shared" si="1123"/>
        <v>-1.800793222081376E-3</v>
      </c>
      <c r="CX454" s="492">
        <f t="shared" si="1124"/>
        <v>5.2246480437133647E-2</v>
      </c>
      <c r="CY454" s="492">
        <f t="shared" si="1125"/>
        <v>-4.7981612345390223E-3</v>
      </c>
      <c r="CZ454" s="492">
        <f t="shared" si="1126"/>
        <v>5.1872217676992571E-2</v>
      </c>
      <c r="DA454" s="492">
        <f t="shared" si="1127"/>
        <v>2.4179712411609433E-2</v>
      </c>
      <c r="DB454" s="492">
        <f t="shared" si="1127"/>
        <v>1.4999999999999999E-2</v>
      </c>
      <c r="DC454" s="1311">
        <f t="shared" si="1127"/>
        <v>5.0000000000000001E-3</v>
      </c>
      <c r="DD454" s="331"/>
      <c r="DE454" s="331"/>
      <c r="DF454" s="502"/>
      <c r="DG454" s="503"/>
      <c r="DH454" s="519"/>
      <c r="DI454" s="3213"/>
      <c r="DJ454" s="502"/>
      <c r="DK454" s="503"/>
      <c r="DL454" s="502"/>
      <c r="DM454" s="502"/>
      <c r="DN454" s="502"/>
      <c r="DO454" s="502"/>
      <c r="DP454" s="503"/>
      <c r="DQ454" s="503"/>
      <c r="DR454" s="296"/>
      <c r="DS454" s="296"/>
      <c r="DT454" s="296"/>
    </row>
    <row r="455" spans="1:124" ht="5.0999999999999996" customHeight="1" x14ac:dyDescent="0.25">
      <c r="A455" s="281"/>
      <c r="B455" s="281"/>
      <c r="C455" s="305"/>
      <c r="D455" s="305"/>
      <c r="E455" s="305"/>
      <c r="F455" s="305"/>
      <c r="G455" s="440"/>
      <c r="H455" s="305"/>
      <c r="I455" s="305"/>
      <c r="J455" s="305"/>
      <c r="K455" s="305"/>
      <c r="L455" s="440"/>
      <c r="M455" s="305"/>
      <c r="N455" s="305"/>
      <c r="O455" s="305"/>
      <c r="P455" s="305"/>
      <c r="Q455" s="440"/>
      <c r="R455" s="305"/>
      <c r="S455" s="305"/>
      <c r="T455" s="305"/>
      <c r="U455" s="305"/>
      <c r="V455" s="440"/>
      <c r="W455" s="305"/>
      <c r="X455" s="305"/>
      <c r="Y455" s="305"/>
      <c r="Z455" s="305"/>
      <c r="AA455" s="440"/>
      <c r="AB455" s="305"/>
      <c r="AC455" s="305"/>
      <c r="AD455" s="305"/>
      <c r="AE455" s="331"/>
      <c r="AF455" s="441"/>
      <c r="AG455" s="305"/>
      <c r="AH455" s="305"/>
      <c r="AI455" s="305"/>
      <c r="AJ455" s="331"/>
      <c r="AK455" s="441"/>
      <c r="AL455" s="305"/>
      <c r="AM455" s="305"/>
      <c r="AN455" s="305"/>
      <c r="AO455" s="331"/>
      <c r="AP455" s="569"/>
      <c r="AQ455" s="569"/>
      <c r="AR455" s="442"/>
      <c r="AS455" s="442"/>
      <c r="AT455" s="442"/>
      <c r="AU455" s="441"/>
      <c r="AV455" s="569"/>
      <c r="AW455" s="442"/>
      <c r="AX455" s="442"/>
      <c r="AY455" s="1312"/>
      <c r="AZ455" s="441"/>
      <c r="BA455" s="569"/>
      <c r="BB455" s="442"/>
      <c r="BC455" s="442"/>
      <c r="BD455" s="1312"/>
      <c r="BE455" s="1312"/>
      <c r="BF455" s="442"/>
      <c r="BG455" s="442"/>
      <c r="BH455" s="442"/>
      <c r="BI455" s="1312"/>
      <c r="BJ455" s="1312"/>
      <c r="BK455" s="442"/>
      <c r="BL455" s="442"/>
      <c r="BM455" s="442"/>
      <c r="BN455" s="1312"/>
      <c r="BO455" s="1312"/>
      <c r="BP455" s="442"/>
      <c r="BQ455" s="442"/>
      <c r="BR455" s="442"/>
      <c r="BS455" s="442"/>
      <c r="BT455" s="3236"/>
      <c r="BU455" s="3298"/>
      <c r="BV455" s="3298"/>
      <c r="BW455" s="3298"/>
      <c r="BX455" s="3298"/>
      <c r="BY455" s="3236"/>
      <c r="BZ455" s="441"/>
      <c r="CA455" s="441"/>
      <c r="CB455" s="441"/>
      <c r="CC455" s="441"/>
      <c r="CD455" s="441"/>
      <c r="CE455" s="441"/>
      <c r="CF455" s="441"/>
      <c r="CG455" s="331"/>
      <c r="CH455" s="331"/>
      <c r="CI455" s="331"/>
      <c r="CJ455" s="331"/>
      <c r="CK455" s="331"/>
      <c r="CL455" s="520"/>
      <c r="CM455" s="442"/>
      <c r="CN455" s="442"/>
      <c r="CO455" s="442"/>
      <c r="CP455" s="442"/>
      <c r="CQ455" s="442"/>
      <c r="CR455" s="442"/>
      <c r="CS455" s="442"/>
      <c r="CT455" s="442"/>
      <c r="CU455" s="442"/>
      <c r="CV455" s="442"/>
      <c r="CW455" s="442"/>
      <c r="CX455" s="442"/>
      <c r="CY455" s="442"/>
      <c r="CZ455" s="442"/>
      <c r="DA455" s="442"/>
      <c r="DB455" s="442"/>
      <c r="DC455" s="1312"/>
      <c r="DD455" s="331"/>
      <c r="DE455" s="331"/>
      <c r="DF455" s="502"/>
      <c r="DG455" s="503"/>
      <c r="DH455" s="3298"/>
      <c r="DI455" s="3213"/>
      <c r="DJ455" s="502"/>
      <c r="DK455" s="503"/>
      <c r="DL455" s="502"/>
      <c r="DM455" s="502"/>
      <c r="DN455" s="502"/>
      <c r="DO455" s="502"/>
      <c r="DP455" s="503"/>
      <c r="DQ455" s="503"/>
      <c r="DR455" s="296"/>
      <c r="DS455" s="296"/>
      <c r="DT455" s="296"/>
    </row>
    <row r="456" spans="1:124" ht="12" customHeight="1" x14ac:dyDescent="0.25">
      <c r="A456" s="281" t="s">
        <v>730</v>
      </c>
      <c r="B456" s="281"/>
      <c r="C456" s="570"/>
      <c r="D456" s="570"/>
      <c r="E456" s="570"/>
      <c r="F456" s="452"/>
      <c r="G456" s="571"/>
      <c r="H456" s="570"/>
      <c r="I456" s="570"/>
      <c r="J456" s="570"/>
      <c r="K456" s="452"/>
      <c r="L456" s="571"/>
      <c r="M456" s="570"/>
      <c r="N456" s="570"/>
      <c r="O456" s="570"/>
      <c r="P456" s="452"/>
      <c r="Q456" s="571"/>
      <c r="R456" s="570"/>
      <c r="S456" s="570"/>
      <c r="T456" s="570"/>
      <c r="U456" s="452"/>
      <c r="V456" s="571"/>
      <c r="W456" s="570"/>
      <c r="X456" s="570"/>
      <c r="Y456" s="570"/>
      <c r="Z456" s="452"/>
      <c r="AA456" s="571"/>
      <c r="AB456" s="570"/>
      <c r="AC456" s="570"/>
      <c r="AD456" s="570"/>
      <c r="AE456" s="476"/>
      <c r="AF456" s="573"/>
      <c r="AG456" s="570"/>
      <c r="AH456" s="570"/>
      <c r="AI456" s="570"/>
      <c r="AJ456" s="476"/>
      <c r="AK456" s="573"/>
      <c r="AL456" s="570"/>
      <c r="AM456" s="570"/>
      <c r="AN456" s="570"/>
      <c r="AO456" s="476"/>
      <c r="AP456" s="592"/>
      <c r="AQ456" s="592"/>
      <c r="AR456" s="572">
        <v>22.843039999999998</v>
      </c>
      <c r="AS456" s="572">
        <v>52.078000000000003</v>
      </c>
      <c r="AT456" s="572">
        <v>42.605389000000002</v>
      </c>
      <c r="AU456" s="1464">
        <f>+SUM(AQ456:AT456)</f>
        <v>117.52642900000001</v>
      </c>
      <c r="AV456" s="592">
        <v>46.881938000000005</v>
      </c>
      <c r="AW456" s="572">
        <v>47.349542</v>
      </c>
      <c r="AX456" s="572">
        <v>45.351315999999997</v>
      </c>
      <c r="AY456" s="572">
        <v>43.784047999999999</v>
      </c>
      <c r="AZ456" s="477">
        <f>SUM(AV456:AY456)</f>
        <v>183.36684400000001</v>
      </c>
      <c r="BA456" s="2652">
        <v>44.205778000000002</v>
      </c>
      <c r="BB456" s="2654">
        <v>47.711378000000003</v>
      </c>
      <c r="BC456" s="2654">
        <v>46.903418189999996</v>
      </c>
      <c r="BD456" s="2944">
        <v>44.433791999999997</v>
      </c>
      <c r="BE456" s="682">
        <f>SUM(BA456:BD456)</f>
        <v>183.25436618999998</v>
      </c>
      <c r="BF456" s="2941">
        <v>46.852412999999999</v>
      </c>
      <c r="BG456" s="2941">
        <v>50.178934999999996</v>
      </c>
      <c r="BH456" s="2941">
        <v>48.983013</v>
      </c>
      <c r="BI456" s="2944">
        <v>46.747579000000002</v>
      </c>
      <c r="BJ456" s="682">
        <f>SUM(BF456:BI456)</f>
        <v>192.76194000000001</v>
      </c>
      <c r="BK456" s="2941">
        <v>50.653110999999996</v>
      </c>
      <c r="BL456" s="2941">
        <v>50.279187</v>
      </c>
      <c r="BM456" s="2941">
        <v>45.8</v>
      </c>
      <c r="BN456" s="2944">
        <v>44.830118999999996</v>
      </c>
      <c r="BO456" s="682">
        <f>SUM(BK456:BN456)</f>
        <v>191.56241700000001</v>
      </c>
      <c r="BP456" s="2941">
        <v>48.857245999999996</v>
      </c>
      <c r="BQ456" s="2941">
        <v>51.261566999999999</v>
      </c>
      <c r="BR456" s="2941">
        <v>50.030454000000006</v>
      </c>
      <c r="BS456" s="2941">
        <v>48.500990000000002</v>
      </c>
      <c r="BT456" s="2604">
        <f>SUM(BP456:BS456)</f>
        <v>198.65025700000001</v>
      </c>
      <c r="BU456" s="2941">
        <v>50.386125</v>
      </c>
      <c r="BV456" s="2577">
        <f>+BV453*BV452*BV5/1000000</f>
        <v>51.349012000701478</v>
      </c>
      <c r="BW456" s="2577">
        <f>+BW453*BW452*BW5/1000000</f>
        <v>50.346861723639321</v>
      </c>
      <c r="BX456" s="2577">
        <f>+BX453*BX452*BX5/1000000</f>
        <v>49.457694633722596</v>
      </c>
      <c r="BY456" s="2604">
        <f>SUM(BU456:BX456)</f>
        <v>201.5396933580634</v>
      </c>
      <c r="BZ456" s="477">
        <f t="shared" ref="BZ456:CF456" si="1135">+BZ453*BZ452*BZ5/1000000</f>
        <v>209.83995190536123</v>
      </c>
      <c r="CA456" s="477">
        <f t="shared" si="1135"/>
        <v>211.46693016260008</v>
      </c>
      <c r="CB456" s="477">
        <f t="shared" si="1135"/>
        <v>200.34469408164361</v>
      </c>
      <c r="CC456" s="477">
        <f t="shared" si="1135"/>
        <v>190.32745937756141</v>
      </c>
      <c r="CD456" s="477">
        <f t="shared" si="1135"/>
        <v>194.13400856511262</v>
      </c>
      <c r="CE456" s="477">
        <f t="shared" si="1135"/>
        <v>198.55920021240505</v>
      </c>
      <c r="CF456" s="477">
        <f t="shared" si="1135"/>
        <v>201.97702251114322</v>
      </c>
      <c r="CG456" s="331"/>
      <c r="CH456" s="331"/>
      <c r="CI456" s="331"/>
      <c r="CJ456" s="331"/>
      <c r="CK456" s="331"/>
      <c r="CL456" s="520" t="str">
        <f>A456</f>
        <v>Casino revenue</v>
      </c>
      <c r="CM456" s="476"/>
      <c r="CN456" s="476"/>
      <c r="CO456" s="476"/>
      <c r="CP456" s="476"/>
      <c r="CQ456" s="476"/>
      <c r="CR456" s="476"/>
      <c r="CS456" s="476"/>
      <c r="CT456" s="476"/>
      <c r="CU456" s="476">
        <f>AU456</f>
        <v>117.52642900000001</v>
      </c>
      <c r="CV456" s="476">
        <f>AZ456</f>
        <v>183.36684400000001</v>
      </c>
      <c r="CW456" s="476">
        <f>BE456</f>
        <v>183.25436618999998</v>
      </c>
      <c r="CX456" s="476">
        <f>BJ456</f>
        <v>192.76194000000001</v>
      </c>
      <c r="CY456" s="476">
        <f>BO456</f>
        <v>191.56241700000001</v>
      </c>
      <c r="CZ456" s="476">
        <f>BT456</f>
        <v>198.65025700000001</v>
      </c>
      <c r="DA456" s="476">
        <f t="shared" ref="DA456:DC460" si="1136">BY456</f>
        <v>201.5396933580634</v>
      </c>
      <c r="DB456" s="476">
        <f t="shared" si="1136"/>
        <v>209.83995190536123</v>
      </c>
      <c r="DC456" s="682">
        <f t="shared" si="1136"/>
        <v>211.46693016260008</v>
      </c>
      <c r="DD456" s="331"/>
      <c r="DE456" s="331"/>
      <c r="DF456" s="502"/>
      <c r="DG456" s="503"/>
      <c r="DH456" s="2577"/>
      <c r="DI456" s="3213"/>
      <c r="DJ456" s="502"/>
      <c r="DK456" s="503"/>
      <c r="DL456" s="502"/>
      <c r="DM456" s="502"/>
      <c r="DN456" s="502"/>
      <c r="DO456" s="502"/>
      <c r="DP456" s="503"/>
      <c r="DQ456" s="503"/>
      <c r="DR456" s="296"/>
      <c r="DS456" s="296"/>
      <c r="DT456" s="296"/>
    </row>
    <row r="457" spans="1:124" ht="12" customHeight="1" x14ac:dyDescent="0.25">
      <c r="A457" s="465" t="s">
        <v>1491</v>
      </c>
      <c r="B457" s="281"/>
      <c r="C457" s="472"/>
      <c r="D457" s="472"/>
      <c r="E457" s="472"/>
      <c r="F457" s="472"/>
      <c r="G457" s="491"/>
      <c r="H457" s="472"/>
      <c r="I457" s="472"/>
      <c r="J457" s="472"/>
      <c r="K457" s="472"/>
      <c r="L457" s="491"/>
      <c r="M457" s="472"/>
      <c r="N457" s="472"/>
      <c r="O457" s="472"/>
      <c r="P457" s="472"/>
      <c r="Q457" s="491"/>
      <c r="R457" s="472"/>
      <c r="S457" s="472"/>
      <c r="T457" s="472"/>
      <c r="U457" s="472"/>
      <c r="V457" s="491"/>
      <c r="W457" s="472"/>
      <c r="X457" s="472"/>
      <c r="Y457" s="472"/>
      <c r="Z457" s="472"/>
      <c r="AA457" s="491"/>
      <c r="AB457" s="472"/>
      <c r="AC457" s="472"/>
      <c r="AD457" s="472"/>
      <c r="AE457" s="492"/>
      <c r="AF457" s="493"/>
      <c r="AG457" s="472"/>
      <c r="AH457" s="472"/>
      <c r="AI457" s="472"/>
      <c r="AJ457" s="492"/>
      <c r="AK457" s="493"/>
      <c r="AL457" s="472"/>
      <c r="AM457" s="472"/>
      <c r="AN457" s="472"/>
      <c r="AO457" s="492"/>
      <c r="AP457" s="494"/>
      <c r="AQ457" s="494"/>
      <c r="AR457" s="492"/>
      <c r="AS457" s="492"/>
      <c r="AT457" s="492"/>
      <c r="AU457" s="493"/>
      <c r="AV457" s="494"/>
      <c r="AW457" s="492">
        <f t="shared" ref="AW457:BE457" si="1137">+AW456/AR456-1</f>
        <v>1.072821393299666</v>
      </c>
      <c r="AX457" s="492">
        <f t="shared" si="1137"/>
        <v>-0.12916555935327789</v>
      </c>
      <c r="AY457" s="1311">
        <f t="shared" si="1137"/>
        <v>2.7664552012422572E-2</v>
      </c>
      <c r="AZ457" s="470">
        <f t="shared" si="1137"/>
        <v>0.560217948934703</v>
      </c>
      <c r="BA457" s="471">
        <f t="shared" si="1137"/>
        <v>-5.7082964445710482E-2</v>
      </c>
      <c r="BB457" s="469">
        <f t="shared" si="1137"/>
        <v>7.6418057010985141E-3</v>
      </c>
      <c r="BC457" s="469">
        <f t="shared" si="1137"/>
        <v>3.4223972464216823E-2</v>
      </c>
      <c r="BD457" s="1463">
        <f t="shared" si="1137"/>
        <v>1.4839742547331447E-2</v>
      </c>
      <c r="BE457" s="1868">
        <f t="shared" si="1137"/>
        <v>-6.1340320608904708E-4</v>
      </c>
      <c r="BF457" s="469">
        <f t="shared" ref="BF457:BK457" si="1138">+BF456/BA456-1</f>
        <v>5.9870793360994545E-2</v>
      </c>
      <c r="BG457" s="469">
        <f t="shared" si="1138"/>
        <v>5.1718418193664295E-2</v>
      </c>
      <c r="BH457" s="469">
        <f t="shared" si="1138"/>
        <v>4.4337809273853335E-2</v>
      </c>
      <c r="BI457" s="1463">
        <f t="shared" si="1138"/>
        <v>5.207268828192757E-2</v>
      </c>
      <c r="BJ457" s="1868">
        <f t="shared" si="1138"/>
        <v>5.188184056767553E-2</v>
      </c>
      <c r="BK457" s="469">
        <f t="shared" si="1138"/>
        <v>8.1120645803237412E-2</v>
      </c>
      <c r="BL457" s="469">
        <f t="shared" ref="BL457:BT457" si="1139">+BL456/BG456-1</f>
        <v>1.9978901505184332E-3</v>
      </c>
      <c r="BM457" s="469">
        <f t="shared" si="1139"/>
        <v>-6.4981976506835237E-2</v>
      </c>
      <c r="BN457" s="1463">
        <f t="shared" si="1139"/>
        <v>-4.1017311292206315E-2</v>
      </c>
      <c r="BO457" s="1868">
        <f t="shared" si="1139"/>
        <v>-6.2228207497807553E-3</v>
      </c>
      <c r="BP457" s="469">
        <f t="shared" si="1139"/>
        <v>-3.5454189575838679E-2</v>
      </c>
      <c r="BQ457" s="469">
        <f t="shared" si="1139"/>
        <v>1.9538502084371467E-2</v>
      </c>
      <c r="BR457" s="469">
        <f t="shared" si="1139"/>
        <v>9.2367991266375737E-2</v>
      </c>
      <c r="BS457" s="469">
        <f t="shared" si="1139"/>
        <v>8.1884034258307592E-2</v>
      </c>
      <c r="BT457" s="470">
        <f t="shared" si="1139"/>
        <v>3.7000159587671E-2</v>
      </c>
      <c r="BU457" s="469">
        <f>+BU456/BP456-1</f>
        <v>3.1292778966706569E-2</v>
      </c>
      <c r="BV457" s="469">
        <f>+BV456/BQ456-1</f>
        <v>1.7058589079315123E-3</v>
      </c>
      <c r="BW457" s="469">
        <f>+BW456/BR456-1</f>
        <v>6.3243024666399528E-3</v>
      </c>
      <c r="BX457" s="469">
        <f>+BX456/BS456-1</f>
        <v>1.9725466093013733E-2</v>
      </c>
      <c r="BY457" s="470">
        <f>+BY456/BT456-1</f>
        <v>1.4545344172715469E-2</v>
      </c>
      <c r="BZ457" s="1689">
        <f t="shared" ref="BZ457:CF457" si="1140">+BZ456/BY456-1</f>
        <v>4.1184237253707012E-2</v>
      </c>
      <c r="CA457" s="1689">
        <f t="shared" si="1140"/>
        <v>7.753424657534369E-3</v>
      </c>
      <c r="CB457" s="1689">
        <f t="shared" si="1140"/>
        <v>-5.2595628415300744E-2</v>
      </c>
      <c r="CC457" s="1689">
        <f t="shared" si="1140"/>
        <v>-5.0000000000000044E-2</v>
      </c>
      <c r="CD457" s="1689">
        <f t="shared" si="1140"/>
        <v>2.0000000000000018E-2</v>
      </c>
      <c r="CE457" s="1689">
        <f t="shared" si="1140"/>
        <v>2.2794520547945174E-2</v>
      </c>
      <c r="CF457" s="1689">
        <f t="shared" si="1140"/>
        <v>1.7213114754098591E-2</v>
      </c>
      <c r="CG457" s="331"/>
      <c r="CH457" s="331"/>
      <c r="CI457" s="331"/>
      <c r="CJ457" s="331"/>
      <c r="CK457" s="331"/>
      <c r="CL457" s="1310" t="str">
        <f>A457</f>
        <v>% growth (y-o-y)</v>
      </c>
      <c r="CM457" s="492"/>
      <c r="CN457" s="492"/>
      <c r="CO457" s="492"/>
      <c r="CP457" s="492"/>
      <c r="CQ457" s="492"/>
      <c r="CR457" s="492"/>
      <c r="CS457" s="492"/>
      <c r="CT457" s="492"/>
      <c r="CU457" s="492"/>
      <c r="CV457" s="492">
        <f>AZ457</f>
        <v>0.560217948934703</v>
      </c>
      <c r="CW457" s="492">
        <f>BE457</f>
        <v>-6.1340320608904708E-4</v>
      </c>
      <c r="CX457" s="492">
        <f>BJ457</f>
        <v>5.188184056767553E-2</v>
      </c>
      <c r="CY457" s="492">
        <f>BO457</f>
        <v>-6.2228207497807553E-3</v>
      </c>
      <c r="CZ457" s="492">
        <f>BT457</f>
        <v>3.7000159587671E-2</v>
      </c>
      <c r="DA457" s="492">
        <f t="shared" si="1136"/>
        <v>1.4545344172715469E-2</v>
      </c>
      <c r="DB457" s="492">
        <f t="shared" si="1136"/>
        <v>4.1184237253707012E-2</v>
      </c>
      <c r="DC457" s="1311">
        <f t="shared" si="1136"/>
        <v>7.753424657534369E-3</v>
      </c>
      <c r="DD457" s="331"/>
      <c r="DE457" s="331"/>
      <c r="DF457" s="502"/>
      <c r="DG457" s="503"/>
      <c r="DH457" s="469"/>
      <c r="DI457" s="3213"/>
      <c r="DJ457" s="502"/>
      <c r="DK457" s="503"/>
      <c r="DL457" s="502"/>
      <c r="DM457" s="502"/>
      <c r="DN457" s="502"/>
      <c r="DO457" s="502"/>
      <c r="DP457" s="503"/>
      <c r="DQ457" s="503"/>
      <c r="DR457" s="296"/>
      <c r="DS457" s="296"/>
      <c r="DT457" s="296"/>
    </row>
    <row r="458" spans="1:124" ht="12" customHeight="1" x14ac:dyDescent="0.25">
      <c r="A458" s="281" t="s">
        <v>645</v>
      </c>
      <c r="B458" s="281"/>
      <c r="C458" s="452"/>
      <c r="D458" s="452"/>
      <c r="E458" s="452"/>
      <c r="F458" s="452"/>
      <c r="G458" s="475"/>
      <c r="H458" s="452"/>
      <c r="I458" s="452"/>
      <c r="J458" s="452"/>
      <c r="K458" s="452"/>
      <c r="L458" s="475"/>
      <c r="M458" s="452"/>
      <c r="N458" s="452"/>
      <c r="O458" s="452"/>
      <c r="P458" s="452"/>
      <c r="Q458" s="475"/>
      <c r="R458" s="452"/>
      <c r="S458" s="452"/>
      <c r="T458" s="452"/>
      <c r="U458" s="452"/>
      <c r="V458" s="475"/>
      <c r="W458" s="452"/>
      <c r="X458" s="452"/>
      <c r="Y458" s="452"/>
      <c r="Z458" s="452"/>
      <c r="AA458" s="475"/>
      <c r="AB458" s="452"/>
      <c r="AC458" s="452"/>
      <c r="AD458" s="452"/>
      <c r="AE458" s="476"/>
      <c r="AF458" s="477"/>
      <c r="AG458" s="452"/>
      <c r="AH458" s="452"/>
      <c r="AI458" s="452"/>
      <c r="AJ458" s="476"/>
      <c r="AK458" s="477"/>
      <c r="AL458" s="452"/>
      <c r="AM458" s="452"/>
      <c r="AN458" s="452"/>
      <c r="AO458" s="476"/>
      <c r="AP458" s="478"/>
      <c r="AQ458" s="478"/>
      <c r="AR458" s="572">
        <v>1</v>
      </c>
      <c r="AS458" s="572">
        <v>2.5</v>
      </c>
      <c r="AT458" s="2654">
        <f>+AT456*0.05</f>
        <v>2.1302694500000001</v>
      </c>
      <c r="AU458" s="477">
        <f>+SUM(AQ458:AT458)</f>
        <v>5.6302694500000001</v>
      </c>
      <c r="AV458" s="2652">
        <f>+AV456*0.05</f>
        <v>2.3440969000000003</v>
      </c>
      <c r="AW458" s="2654">
        <f>+AW456*0.05</f>
        <v>2.3674770999999999</v>
      </c>
      <c r="AX458" s="2654">
        <f>+AX456*0.05</f>
        <v>2.2675657999999999</v>
      </c>
      <c r="AY458" s="2695">
        <f>+AY456*0.05</f>
        <v>2.1892024000000001</v>
      </c>
      <c r="AZ458" s="477">
        <f>OHIO!C24+OHIO!C26</f>
        <v>6.7889999999999979</v>
      </c>
      <c r="BA458" s="2652">
        <f>+BA456*0.05</f>
        <v>2.2102889000000001</v>
      </c>
      <c r="BB458" s="2654">
        <f>+BB456*0.05</f>
        <v>2.3855689000000004</v>
      </c>
      <c r="BC458" s="2654">
        <f>+BC456*0.05</f>
        <v>2.3451709094999997</v>
      </c>
      <c r="BD458" s="2944">
        <f>+BD456*0.05</f>
        <v>2.2216895999999999</v>
      </c>
      <c r="BE458" s="682">
        <f>SUM(BA458:BD458)</f>
        <v>9.1627183095000007</v>
      </c>
      <c r="BF458" s="2941">
        <f>+BF456*0.05</f>
        <v>2.3426206500000002</v>
      </c>
      <c r="BG458" s="2941">
        <f>+BG456*0.05</f>
        <v>2.5089467499999998</v>
      </c>
      <c r="BH458" s="476">
        <f>+BH456*0.05</f>
        <v>2.44915065</v>
      </c>
      <c r="BI458" s="682">
        <f>+BI456*0.05</f>
        <v>2.3373789500000002</v>
      </c>
      <c r="BJ458" s="682">
        <f>SUM(BF458:BI458)</f>
        <v>9.6380970000000001</v>
      </c>
      <c r="BK458" s="476">
        <f>+BK456*0.05</f>
        <v>2.5326555499999999</v>
      </c>
      <c r="BL458" s="2941">
        <v>3</v>
      </c>
      <c r="BM458" s="476">
        <f>+BM456*0.05</f>
        <v>2.29</v>
      </c>
      <c r="BN458" s="682">
        <f>+BN456*0.05</f>
        <v>2.2415059500000001</v>
      </c>
      <c r="BO458" s="682">
        <f>SUM(BK458:BN458)</f>
        <v>10.064161499999999</v>
      </c>
      <c r="BP458" s="476">
        <f>+BP456*0.05</f>
        <v>2.4428622999999998</v>
      </c>
      <c r="BQ458" s="476">
        <f>+BQ456*0.05</f>
        <v>2.5630783500000001</v>
      </c>
      <c r="BR458" s="476">
        <f>+BR456*0.045</f>
        <v>2.2513704300000001</v>
      </c>
      <c r="BS458" s="476">
        <f>+BS456*0.05</f>
        <v>2.4250495000000001</v>
      </c>
      <c r="BT458" s="2604">
        <f>SUM(BP458:BS458)</f>
        <v>9.6823605799999992</v>
      </c>
      <c r="BU458" s="2577">
        <f>+BU456*0.05</f>
        <v>2.5193062500000001</v>
      </c>
      <c r="BV458" s="2577">
        <f>+BV456*0.05</f>
        <v>2.5674506000350741</v>
      </c>
      <c r="BW458" s="2577">
        <f>+BW456*0.05</f>
        <v>2.5173430861819663</v>
      </c>
      <c r="BX458" s="2577">
        <f>+BX456*0.05</f>
        <v>2.47288473168613</v>
      </c>
      <c r="BY458" s="2604">
        <f>SUM(BU458:BX458)</f>
        <v>10.076984667903172</v>
      </c>
      <c r="BZ458" s="573">
        <f t="shared" ref="BZ458:CF458" si="1141">+BZ456*0.05</f>
        <v>10.491997595268062</v>
      </c>
      <c r="CA458" s="573">
        <f t="shared" si="1141"/>
        <v>10.573346508130005</v>
      </c>
      <c r="CB458" s="573">
        <f t="shared" si="1141"/>
        <v>10.017234704082181</v>
      </c>
      <c r="CC458" s="573">
        <f t="shared" si="1141"/>
        <v>9.5163729688780716</v>
      </c>
      <c r="CD458" s="573">
        <f t="shared" si="1141"/>
        <v>9.7067004282556315</v>
      </c>
      <c r="CE458" s="573">
        <f t="shared" si="1141"/>
        <v>9.9279600106202537</v>
      </c>
      <c r="CF458" s="573">
        <f t="shared" si="1141"/>
        <v>10.098851125557161</v>
      </c>
      <c r="CG458" s="331"/>
      <c r="CH458" s="331"/>
      <c r="CI458" s="331"/>
      <c r="CJ458" s="331"/>
      <c r="CK458" s="331"/>
      <c r="CL458" s="520" t="str">
        <f>A458</f>
        <v>Other revenue</v>
      </c>
      <c r="CM458" s="476"/>
      <c r="CN458" s="476"/>
      <c r="CO458" s="476"/>
      <c r="CP458" s="476"/>
      <c r="CQ458" s="476"/>
      <c r="CR458" s="476"/>
      <c r="CS458" s="476"/>
      <c r="CT458" s="476"/>
      <c r="CU458" s="476">
        <f>AU458</f>
        <v>5.6302694500000001</v>
      </c>
      <c r="CV458" s="476">
        <f>AZ458</f>
        <v>6.7889999999999979</v>
      </c>
      <c r="CW458" s="476">
        <f>BE458</f>
        <v>9.1627183095000007</v>
      </c>
      <c r="CX458" s="476">
        <f>BJ458</f>
        <v>9.6380970000000001</v>
      </c>
      <c r="CY458" s="476">
        <f>BO458</f>
        <v>10.064161499999999</v>
      </c>
      <c r="CZ458" s="476">
        <f>BT458</f>
        <v>9.6823605799999992</v>
      </c>
      <c r="DA458" s="476">
        <f t="shared" si="1136"/>
        <v>10.076984667903172</v>
      </c>
      <c r="DB458" s="476">
        <f t="shared" si="1136"/>
        <v>10.491997595268062</v>
      </c>
      <c r="DC458" s="682">
        <f t="shared" si="1136"/>
        <v>10.573346508130005</v>
      </c>
      <c r="DD458" s="331"/>
      <c r="DE458" s="331"/>
      <c r="DF458" s="502"/>
      <c r="DG458" s="503"/>
      <c r="DH458" s="2577"/>
      <c r="DI458" s="3213"/>
      <c r="DJ458" s="502"/>
      <c r="DK458" s="503"/>
      <c r="DL458" s="502"/>
      <c r="DM458" s="502"/>
      <c r="DN458" s="502"/>
      <c r="DO458" s="502"/>
      <c r="DP458" s="503"/>
      <c r="DQ458" s="503"/>
      <c r="DR458" s="296"/>
      <c r="DS458" s="296"/>
      <c r="DT458" s="296"/>
    </row>
    <row r="459" spans="1:124" ht="12" customHeight="1" x14ac:dyDescent="0.25">
      <c r="A459" s="496" t="s">
        <v>1418</v>
      </c>
      <c r="B459" s="1007"/>
      <c r="C459" s="1008"/>
      <c r="D459" s="1008"/>
      <c r="E459" s="1008"/>
      <c r="F459" s="1008"/>
      <c r="G459" s="1009"/>
      <c r="H459" s="1008"/>
      <c r="I459" s="1008"/>
      <c r="J459" s="1008"/>
      <c r="K459" s="1008"/>
      <c r="L459" s="1009"/>
      <c r="M459" s="1008"/>
      <c r="N459" s="1008"/>
      <c r="O459" s="1008"/>
      <c r="P459" s="1008"/>
      <c r="Q459" s="1009"/>
      <c r="R459" s="1008"/>
      <c r="S459" s="1008"/>
      <c r="T459" s="1008"/>
      <c r="U459" s="1008"/>
      <c r="V459" s="1009"/>
      <c r="W459" s="1008"/>
      <c r="X459" s="1008"/>
      <c r="Y459" s="1008"/>
      <c r="Z459" s="1008"/>
      <c r="AA459" s="1009"/>
      <c r="AB459" s="1014"/>
      <c r="AC459" s="1014"/>
      <c r="AD459" s="1014"/>
      <c r="AE459" s="1012"/>
      <c r="AF459" s="1011"/>
      <c r="AG459" s="1014"/>
      <c r="AH459" s="1014"/>
      <c r="AI459" s="1014"/>
      <c r="AJ459" s="1012"/>
      <c r="AK459" s="1011"/>
      <c r="AL459" s="1014"/>
      <c r="AM459" s="1014"/>
      <c r="AN459" s="1014"/>
      <c r="AO459" s="1012"/>
      <c r="AP459" s="1013"/>
      <c r="AQ459" s="1013"/>
      <c r="AR459" s="1012">
        <f>+AR456+AR458</f>
        <v>23.843039999999998</v>
      </c>
      <c r="AS459" s="1012">
        <f>+AS456+AS458</f>
        <v>54.578000000000003</v>
      </c>
      <c r="AT459" s="1012">
        <f>+AT456+AT458</f>
        <v>44.735658450000003</v>
      </c>
      <c r="AU459" s="1011">
        <f t="shared" ref="AU459:BJ459" si="1142">AU458+AU456</f>
        <v>123.15669845000001</v>
      </c>
      <c r="AV459" s="1013">
        <f t="shared" si="1142"/>
        <v>49.226034900000002</v>
      </c>
      <c r="AW459" s="1012">
        <f t="shared" si="1142"/>
        <v>49.717019100000002</v>
      </c>
      <c r="AX459" s="1012">
        <f t="shared" si="1142"/>
        <v>47.618881799999997</v>
      </c>
      <c r="AY459" s="1877">
        <f t="shared" si="1142"/>
        <v>45.973250399999998</v>
      </c>
      <c r="AZ459" s="1011">
        <f t="shared" si="1142"/>
        <v>190.155844</v>
      </c>
      <c r="BA459" s="1013">
        <f t="shared" si="1142"/>
        <v>46.416066900000004</v>
      </c>
      <c r="BB459" s="1012">
        <f t="shared" si="1142"/>
        <v>50.096946900000006</v>
      </c>
      <c r="BC459" s="1012">
        <f t="shared" si="1142"/>
        <v>49.248589099499995</v>
      </c>
      <c r="BD459" s="1877">
        <f t="shared" si="1142"/>
        <v>46.655481599999995</v>
      </c>
      <c r="BE459" s="1877">
        <f t="shared" si="1142"/>
        <v>192.41708449949999</v>
      </c>
      <c r="BF459" s="1012">
        <f t="shared" si="1142"/>
        <v>49.195033649999999</v>
      </c>
      <c r="BG459" s="1012">
        <f t="shared" si="1142"/>
        <v>52.687881749999995</v>
      </c>
      <c r="BH459" s="1012">
        <f t="shared" si="1142"/>
        <v>51.43216365</v>
      </c>
      <c r="BI459" s="1877">
        <f t="shared" si="1142"/>
        <v>49.084957950000003</v>
      </c>
      <c r="BJ459" s="1877">
        <f t="shared" si="1142"/>
        <v>202.400037</v>
      </c>
      <c r="BK459" s="1012">
        <f t="shared" ref="BK459:BU459" si="1143">BK458+BK456</f>
        <v>53.185766549999997</v>
      </c>
      <c r="BL459" s="1012">
        <f t="shared" si="1143"/>
        <v>53.279187</v>
      </c>
      <c r="BM459" s="1012">
        <f t="shared" si="1143"/>
        <v>48.089999999999996</v>
      </c>
      <c r="BN459" s="1877">
        <f t="shared" si="1143"/>
        <v>47.071624949999993</v>
      </c>
      <c r="BO459" s="1877">
        <f t="shared" si="1143"/>
        <v>201.62657850000002</v>
      </c>
      <c r="BP459" s="1012">
        <f t="shared" si="1143"/>
        <v>51.300108299999998</v>
      </c>
      <c r="BQ459" s="1012">
        <f t="shared" si="1143"/>
        <v>53.824645349999997</v>
      </c>
      <c r="BR459" s="1012">
        <f t="shared" si="1143"/>
        <v>52.281824430000007</v>
      </c>
      <c r="BS459" s="1012">
        <f t="shared" si="1143"/>
        <v>50.926039500000002</v>
      </c>
      <c r="BT459" s="1011">
        <f t="shared" si="1143"/>
        <v>208.33261758</v>
      </c>
      <c r="BU459" s="1012">
        <f t="shared" si="1143"/>
        <v>52.905431249999999</v>
      </c>
      <c r="BV459" s="1012">
        <f t="shared" ref="BV459:CF459" si="1144">BV458+BV456</f>
        <v>53.916462600736551</v>
      </c>
      <c r="BW459" s="1012">
        <f t="shared" si="1144"/>
        <v>52.864204809821288</v>
      </c>
      <c r="BX459" s="1012">
        <f t="shared" si="1144"/>
        <v>51.930579365408725</v>
      </c>
      <c r="BY459" s="1011">
        <f t="shared" si="1144"/>
        <v>211.61667802596656</v>
      </c>
      <c r="BZ459" s="1011">
        <f t="shared" si="1144"/>
        <v>220.33194950062929</v>
      </c>
      <c r="CA459" s="1011">
        <f t="shared" si="1144"/>
        <v>222.04027667073009</v>
      </c>
      <c r="CB459" s="1011">
        <f t="shared" si="1144"/>
        <v>210.36192878572578</v>
      </c>
      <c r="CC459" s="1011">
        <f t="shared" si="1144"/>
        <v>199.84383234643948</v>
      </c>
      <c r="CD459" s="1011">
        <f t="shared" si="1144"/>
        <v>203.84070899336825</v>
      </c>
      <c r="CE459" s="1011">
        <f t="shared" si="1144"/>
        <v>208.48716022302528</v>
      </c>
      <c r="CF459" s="1011">
        <f t="shared" si="1144"/>
        <v>212.07587363670038</v>
      </c>
      <c r="CG459" s="476"/>
      <c r="CH459" s="476"/>
      <c r="CI459" s="476"/>
      <c r="CJ459" s="476"/>
      <c r="CK459" s="331"/>
      <c r="CL459" s="2102" t="str">
        <f>A459</f>
        <v>Net revenue</v>
      </c>
      <c r="CM459" s="1012"/>
      <c r="CN459" s="1012"/>
      <c r="CO459" s="1012"/>
      <c r="CP459" s="1012"/>
      <c r="CQ459" s="1012"/>
      <c r="CR459" s="1012"/>
      <c r="CS459" s="1012"/>
      <c r="CT459" s="1012"/>
      <c r="CU459" s="1012">
        <f>AU459</f>
        <v>123.15669845000001</v>
      </c>
      <c r="CV459" s="1012">
        <f>AZ459</f>
        <v>190.155844</v>
      </c>
      <c r="CW459" s="1012">
        <f>BE459</f>
        <v>192.41708449949999</v>
      </c>
      <c r="CX459" s="1012">
        <f>BJ459</f>
        <v>202.400037</v>
      </c>
      <c r="CY459" s="1012">
        <f>BO459</f>
        <v>201.62657850000002</v>
      </c>
      <c r="CZ459" s="1012">
        <f>BT459</f>
        <v>208.33261758</v>
      </c>
      <c r="DA459" s="1012">
        <f t="shared" si="1136"/>
        <v>211.61667802596656</v>
      </c>
      <c r="DB459" s="1012">
        <f t="shared" si="1136"/>
        <v>220.33194950062929</v>
      </c>
      <c r="DC459" s="1877">
        <f t="shared" si="1136"/>
        <v>222.04027667073009</v>
      </c>
      <c r="DD459" s="331"/>
      <c r="DE459" s="331"/>
      <c r="DF459" s="502"/>
      <c r="DG459" s="503"/>
      <c r="DH459" s="598"/>
      <c r="DI459" s="3213"/>
      <c r="DJ459" s="502"/>
      <c r="DK459" s="503"/>
      <c r="DL459" s="502"/>
      <c r="DM459" s="502"/>
      <c r="DN459" s="502"/>
      <c r="DO459" s="502"/>
      <c r="DP459" s="503"/>
      <c r="DQ459" s="503"/>
      <c r="DR459" s="296"/>
      <c r="DS459" s="296"/>
      <c r="DT459" s="296"/>
    </row>
    <row r="460" spans="1:124" ht="12" customHeight="1" x14ac:dyDescent="0.25">
      <c r="A460" s="465" t="s">
        <v>1491</v>
      </c>
      <c r="B460" s="281"/>
      <c r="C460" s="472"/>
      <c r="D460" s="472"/>
      <c r="E460" s="472"/>
      <c r="F460" s="472"/>
      <c r="G460" s="491"/>
      <c r="H460" s="472"/>
      <c r="I460" s="472"/>
      <c r="J460" s="472"/>
      <c r="K460" s="472"/>
      <c r="L460" s="491"/>
      <c r="M460" s="472"/>
      <c r="N460" s="472"/>
      <c r="O460" s="472"/>
      <c r="P460" s="472"/>
      <c r="Q460" s="491"/>
      <c r="R460" s="472"/>
      <c r="S460" s="472"/>
      <c r="T460" s="472"/>
      <c r="U460" s="472"/>
      <c r="V460" s="491"/>
      <c r="W460" s="472"/>
      <c r="X460" s="472"/>
      <c r="Y460" s="472"/>
      <c r="Z460" s="472"/>
      <c r="AA460" s="491"/>
      <c r="AB460" s="472"/>
      <c r="AC460" s="472"/>
      <c r="AD460" s="472"/>
      <c r="AE460" s="492"/>
      <c r="AF460" s="493"/>
      <c r="AG460" s="472"/>
      <c r="AH460" s="472"/>
      <c r="AI460" s="472"/>
      <c r="AJ460" s="492"/>
      <c r="AK460" s="493"/>
      <c r="AL460" s="472"/>
      <c r="AM460" s="472"/>
      <c r="AN460" s="472"/>
      <c r="AO460" s="492"/>
      <c r="AP460" s="494"/>
      <c r="AQ460" s="494"/>
      <c r="AR460" s="492"/>
      <c r="AS460" s="492"/>
      <c r="AT460" s="492"/>
      <c r="AU460" s="493"/>
      <c r="AV460" s="494"/>
      <c r="AW460" s="492">
        <f t="shared" ref="AW460:BE460" si="1145">+AW459/AR459-1</f>
        <v>1.0851795366698207</v>
      </c>
      <c r="AX460" s="492">
        <f t="shared" si="1145"/>
        <v>-0.12750775404008952</v>
      </c>
      <c r="AY460" s="1311">
        <f t="shared" si="1145"/>
        <v>2.7664552012422572E-2</v>
      </c>
      <c r="AZ460" s="470">
        <f t="shared" si="1145"/>
        <v>0.5440154404366464</v>
      </c>
      <c r="BA460" s="471">
        <f t="shared" si="1145"/>
        <v>-5.7082964445710371E-2</v>
      </c>
      <c r="BB460" s="469">
        <f t="shared" si="1145"/>
        <v>7.6418057010985141E-3</v>
      </c>
      <c r="BC460" s="469">
        <f t="shared" si="1145"/>
        <v>3.4223972464216823E-2</v>
      </c>
      <c r="BD460" s="1463">
        <f t="shared" si="1145"/>
        <v>1.4839742547331225E-2</v>
      </c>
      <c r="BE460" s="1463">
        <f t="shared" si="1145"/>
        <v>1.1891511993183723E-2</v>
      </c>
      <c r="BF460" s="469">
        <f t="shared" ref="BF460:BK460" si="1146">+BF459/BA459-1</f>
        <v>5.9870793360994545E-2</v>
      </c>
      <c r="BG460" s="469">
        <f t="shared" si="1146"/>
        <v>5.1718418193664295E-2</v>
      </c>
      <c r="BH460" s="469">
        <f t="shared" si="1146"/>
        <v>4.4337809273853335E-2</v>
      </c>
      <c r="BI460" s="1463">
        <f t="shared" si="1146"/>
        <v>5.207268828192757E-2</v>
      </c>
      <c r="BJ460" s="1463">
        <f t="shared" si="1146"/>
        <v>5.188184056767553E-2</v>
      </c>
      <c r="BK460" s="469">
        <f t="shared" si="1146"/>
        <v>8.1120645803237412E-2</v>
      </c>
      <c r="BL460" s="469">
        <f t="shared" ref="BL460:BT460" si="1147">+BL459/BG459-1</f>
        <v>1.1222794129505997E-2</v>
      </c>
      <c r="BM460" s="469">
        <f t="shared" si="1147"/>
        <v>-6.4981976506835237E-2</v>
      </c>
      <c r="BN460" s="1463">
        <f t="shared" si="1147"/>
        <v>-4.1017311292206426E-2</v>
      </c>
      <c r="BO460" s="1463">
        <f t="shared" si="1147"/>
        <v>-3.8214345780973602E-3</v>
      </c>
      <c r="BP460" s="469">
        <f t="shared" si="1147"/>
        <v>-3.5454189575838679E-2</v>
      </c>
      <c r="BQ460" s="469">
        <f t="shared" si="1147"/>
        <v>1.0237737861878315E-2</v>
      </c>
      <c r="BR460" s="469">
        <f t="shared" si="1147"/>
        <v>8.716623892701203E-2</v>
      </c>
      <c r="BS460" s="469">
        <f t="shared" si="1147"/>
        <v>8.1884034258307592E-2</v>
      </c>
      <c r="BT460" s="470">
        <f t="shared" si="1147"/>
        <v>3.3259697852780823E-2</v>
      </c>
      <c r="BU460" s="469">
        <f>+BU459/BP459-1</f>
        <v>3.1292778966706347E-2</v>
      </c>
      <c r="BV460" s="469">
        <f>+BV459/BQ459-1</f>
        <v>1.7058589079315123E-3</v>
      </c>
      <c r="BW460" s="469">
        <f>+BW459/BR459-1</f>
        <v>1.1139251282269669E-2</v>
      </c>
      <c r="BX460" s="469">
        <f>+BX459/BS459-1</f>
        <v>1.9725466093013733E-2</v>
      </c>
      <c r="BY460" s="470">
        <f>+BY459/BT459-1</f>
        <v>1.5763544298124543E-2</v>
      </c>
      <c r="BZ460" s="470">
        <f t="shared" ref="BZ460:CF460" si="1148">(BZ459-BY459)/BY459</f>
        <v>4.1184237253706985E-2</v>
      </c>
      <c r="CA460" s="470">
        <f t="shared" si="1148"/>
        <v>7.7534246575343916E-3</v>
      </c>
      <c r="CB460" s="470">
        <f t="shared" si="1148"/>
        <v>-5.2595628415300848E-2</v>
      </c>
      <c r="CC460" s="470">
        <f t="shared" si="1148"/>
        <v>-5.0000000000000031E-2</v>
      </c>
      <c r="CD460" s="470">
        <f t="shared" si="1148"/>
        <v>1.9999999999999896E-2</v>
      </c>
      <c r="CE460" s="470">
        <f t="shared" si="1148"/>
        <v>2.2794520547945108E-2</v>
      </c>
      <c r="CF460" s="470">
        <f t="shared" si="1148"/>
        <v>1.7213114754098691E-2</v>
      </c>
      <c r="CG460" s="476"/>
      <c r="CH460" s="476"/>
      <c r="CI460" s="476"/>
      <c r="CJ460" s="476"/>
      <c r="CK460" s="331"/>
      <c r="CL460" s="1310" t="str">
        <f>A460</f>
        <v>% growth (y-o-y)</v>
      </c>
      <c r="CM460" s="492"/>
      <c r="CN460" s="492"/>
      <c r="CO460" s="492"/>
      <c r="CP460" s="492"/>
      <c r="CQ460" s="492"/>
      <c r="CR460" s="492"/>
      <c r="CS460" s="492"/>
      <c r="CT460" s="492"/>
      <c r="CU460" s="492"/>
      <c r="CV460" s="492">
        <f>AZ460</f>
        <v>0.5440154404366464</v>
      </c>
      <c r="CW460" s="492">
        <f>BE460</f>
        <v>1.1891511993183723E-2</v>
      </c>
      <c r="CX460" s="492">
        <f>BJ460</f>
        <v>5.188184056767553E-2</v>
      </c>
      <c r="CY460" s="492">
        <f>BO460</f>
        <v>-3.8214345780973602E-3</v>
      </c>
      <c r="CZ460" s="492">
        <f>BT460</f>
        <v>3.3259697852780823E-2</v>
      </c>
      <c r="DA460" s="492">
        <f t="shared" si="1136"/>
        <v>1.5763544298124543E-2</v>
      </c>
      <c r="DB460" s="492">
        <f t="shared" si="1136"/>
        <v>4.1184237253706985E-2</v>
      </c>
      <c r="DC460" s="1311">
        <f t="shared" si="1136"/>
        <v>7.7534246575343916E-3</v>
      </c>
      <c r="DD460" s="331"/>
      <c r="DE460" s="331"/>
      <c r="DF460" s="502"/>
      <c r="DG460" s="503"/>
      <c r="DH460" s="469"/>
      <c r="DI460" s="3213"/>
      <c r="DJ460" s="502"/>
      <c r="DK460" s="503"/>
      <c r="DL460" s="502"/>
      <c r="DM460" s="502"/>
      <c r="DN460" s="502"/>
      <c r="DO460" s="502"/>
      <c r="DP460" s="503"/>
      <c r="DQ460" s="503"/>
      <c r="DR460" s="296"/>
      <c r="DS460" s="296"/>
      <c r="DT460" s="296"/>
    </row>
    <row r="461" spans="1:124" ht="5.0999999999999996" customHeight="1" x14ac:dyDescent="0.25">
      <c r="A461" s="281"/>
      <c r="B461" s="281"/>
      <c r="C461" s="305"/>
      <c r="D461" s="305"/>
      <c r="E461" s="305"/>
      <c r="F461" s="305"/>
      <c r="G461" s="440"/>
      <c r="H461" s="305"/>
      <c r="I461" s="305"/>
      <c r="J461" s="305"/>
      <c r="K461" s="305"/>
      <c r="L461" s="440"/>
      <c r="M461" s="305"/>
      <c r="N461" s="305"/>
      <c r="O461" s="305"/>
      <c r="P461" s="305"/>
      <c r="Q461" s="440"/>
      <c r="R461" s="305"/>
      <c r="S461" s="305"/>
      <c r="T461" s="305"/>
      <c r="U461" s="305"/>
      <c r="V461" s="440"/>
      <c r="W461" s="305"/>
      <c r="X461" s="305"/>
      <c r="Y461" s="305"/>
      <c r="Z461" s="305"/>
      <c r="AA461" s="440"/>
      <c r="AB461" s="305"/>
      <c r="AC461" s="305"/>
      <c r="AD461" s="305"/>
      <c r="AE461" s="331"/>
      <c r="AF461" s="441"/>
      <c r="AG461" s="305"/>
      <c r="AH461" s="305"/>
      <c r="AI461" s="305"/>
      <c r="AJ461" s="331"/>
      <c r="AK461" s="441"/>
      <c r="AL461" s="305"/>
      <c r="AM461" s="305"/>
      <c r="AN461" s="305"/>
      <c r="AO461" s="331"/>
      <c r="AP461" s="569"/>
      <c r="AQ461" s="569"/>
      <c r="AR461" s="442"/>
      <c r="AS461" s="442"/>
      <c r="AT461" s="442"/>
      <c r="AU461" s="441"/>
      <c r="AV461" s="569"/>
      <c r="AW461" s="442"/>
      <c r="AX461" s="442"/>
      <c r="AY461" s="1312"/>
      <c r="AZ461" s="441"/>
      <c r="BA461" s="569"/>
      <c r="BB461" s="442"/>
      <c r="BC461" s="442"/>
      <c r="BD461" s="1312"/>
      <c r="BE461" s="1312"/>
      <c r="BF461" s="442"/>
      <c r="BG461" s="442"/>
      <c r="BH461" s="442"/>
      <c r="BI461" s="1312"/>
      <c r="BJ461" s="1312"/>
      <c r="BK461" s="442"/>
      <c r="BL461" s="442"/>
      <c r="BM461" s="442"/>
      <c r="BN461" s="1312"/>
      <c r="BO461" s="1312"/>
      <c r="BP461" s="442"/>
      <c r="BQ461" s="442"/>
      <c r="BR461" s="442"/>
      <c r="BS461" s="442"/>
      <c r="BT461" s="3236"/>
      <c r="BU461" s="3298"/>
      <c r="BV461" s="3298"/>
      <c r="BW461" s="3298"/>
      <c r="BX461" s="3298"/>
      <c r="BY461" s="3236"/>
      <c r="BZ461" s="441"/>
      <c r="CA461" s="441"/>
      <c r="CB461" s="441"/>
      <c r="CC461" s="441"/>
      <c r="CD461" s="441"/>
      <c r="CE461" s="441"/>
      <c r="CF461" s="441"/>
      <c r="CG461" s="331"/>
      <c r="CH461" s="331"/>
      <c r="CI461" s="331"/>
      <c r="CJ461" s="331"/>
      <c r="CK461" s="331"/>
      <c r="CL461" s="520"/>
      <c r="CM461" s="442"/>
      <c r="CN461" s="442"/>
      <c r="CO461" s="442"/>
      <c r="CP461" s="442"/>
      <c r="CQ461" s="442"/>
      <c r="CR461" s="442"/>
      <c r="CS461" s="442"/>
      <c r="CT461" s="442"/>
      <c r="CU461" s="442"/>
      <c r="CV461" s="442"/>
      <c r="CW461" s="442"/>
      <c r="CX461" s="442"/>
      <c r="CY461" s="442"/>
      <c r="CZ461" s="442"/>
      <c r="DA461" s="442"/>
      <c r="DB461" s="442"/>
      <c r="DC461" s="1312"/>
      <c r="DD461" s="331"/>
      <c r="DE461" s="331"/>
      <c r="DF461" s="502"/>
      <c r="DG461" s="503"/>
      <c r="DH461" s="3298"/>
      <c r="DI461" s="3213"/>
      <c r="DJ461" s="502"/>
      <c r="DK461" s="503"/>
      <c r="DL461" s="502"/>
      <c r="DM461" s="502"/>
      <c r="DN461" s="502"/>
      <c r="DO461" s="502"/>
      <c r="DP461" s="503"/>
      <c r="DQ461" s="503"/>
      <c r="DR461" s="296"/>
      <c r="DS461" s="296"/>
      <c r="DT461" s="296"/>
    </row>
    <row r="462" spans="1:124" ht="12" customHeight="1" x14ac:dyDescent="0.25">
      <c r="A462" s="281" t="s">
        <v>601</v>
      </c>
      <c r="B462" s="281"/>
      <c r="C462" s="452"/>
      <c r="D462" s="452"/>
      <c r="E462" s="452"/>
      <c r="F462" s="452"/>
      <c r="G462" s="475"/>
      <c r="H462" s="452"/>
      <c r="I462" s="452"/>
      <c r="J462" s="452"/>
      <c r="K462" s="452"/>
      <c r="L462" s="475"/>
      <c r="M462" s="452"/>
      <c r="N462" s="452"/>
      <c r="O462" s="452"/>
      <c r="P462" s="452"/>
      <c r="Q462" s="475"/>
      <c r="R462" s="452"/>
      <c r="S462" s="452"/>
      <c r="T462" s="452"/>
      <c r="U462" s="452"/>
      <c r="V462" s="475"/>
      <c r="W462" s="452"/>
      <c r="X462" s="452"/>
      <c r="Y462" s="452"/>
      <c r="Z462" s="452"/>
      <c r="AA462" s="475"/>
      <c r="AB462" s="452"/>
      <c r="AC462" s="452"/>
      <c r="AD462" s="452"/>
      <c r="AE462" s="476"/>
      <c r="AF462" s="477"/>
      <c r="AG462" s="452"/>
      <c r="AH462" s="452"/>
      <c r="AI462" s="452"/>
      <c r="AJ462" s="476"/>
      <c r="AK462" s="477"/>
      <c r="AL462" s="452"/>
      <c r="AM462" s="452"/>
      <c r="AN462" s="452"/>
      <c r="AO462" s="476"/>
      <c r="AP462" s="478"/>
      <c r="AQ462" s="478"/>
      <c r="AR462" s="572">
        <v>9</v>
      </c>
      <c r="AS462" s="476">
        <f>+AS459*AS463</f>
        <v>19.64808</v>
      </c>
      <c r="AT462" s="476">
        <f>+AT459*AT463</f>
        <v>15.6574804575</v>
      </c>
      <c r="AU462" s="477">
        <f>+SUM(AQ462:AT462)</f>
        <v>44.3055604575</v>
      </c>
      <c r="AV462" s="478">
        <f>+AV459*AV463</f>
        <v>16.736851866000002</v>
      </c>
      <c r="AW462" s="476">
        <f>+AW459*AW463</f>
        <v>16.406616303</v>
      </c>
      <c r="AX462" s="476">
        <f>+AX459*AX463</f>
        <v>15.238042175999999</v>
      </c>
      <c r="AY462" s="682">
        <f>+AY459*AY463</f>
        <v>13.332242615999998</v>
      </c>
      <c r="AZ462" s="477">
        <f>SUM(AV462:AY462)</f>
        <v>61.713752960999997</v>
      </c>
      <c r="BA462" s="478">
        <f>AV462*(1+BA464)</f>
        <v>16.151062050690001</v>
      </c>
      <c r="BB462" s="476">
        <f>AW462*(1+BB464)</f>
        <v>16.73474862906</v>
      </c>
      <c r="BC462" s="476">
        <f>AX462*(1+BC464)</f>
        <v>16.152324706559998</v>
      </c>
      <c r="BD462" s="682">
        <f>AY462*(1+BD464)</f>
        <v>14.6654668776</v>
      </c>
      <c r="BE462" s="682">
        <f>SUM(BA462:BD462)</f>
        <v>63.70360226391</v>
      </c>
      <c r="BF462" s="476">
        <f>BA462*(1+BF464)</f>
        <v>15.828040809676201</v>
      </c>
      <c r="BG462" s="476">
        <f>BB462*(1+BG464)</f>
        <v>16.567401142769398</v>
      </c>
      <c r="BH462" s="476">
        <f>BC462*(1+BH464)</f>
        <v>15.990801459494397</v>
      </c>
      <c r="BI462" s="682">
        <f>BD462*(1+BI464)</f>
        <v>14.812121546376</v>
      </c>
      <c r="BJ462" s="682">
        <f>SUM(BF462:BI462)</f>
        <v>63.198364958315999</v>
      </c>
      <c r="BK462" s="476">
        <f>BF462*(1+BK464)</f>
        <v>16.144601625869726</v>
      </c>
      <c r="BL462" s="476">
        <f>BG462*(1+BL464)</f>
        <v>16.236053119914011</v>
      </c>
      <c r="BM462" s="476">
        <f>BH462*(1+BM464)</f>
        <v>15.191261386519678</v>
      </c>
      <c r="BN462" s="682">
        <f>BI462*(1+BN464)</f>
        <v>14.367757899984719</v>
      </c>
      <c r="BO462" s="476">
        <f>SUM(BK462:BN462)</f>
        <v>61.939674032288131</v>
      </c>
      <c r="BP462" s="478">
        <f>BK462*(1+BP464)</f>
        <v>14.853033495800148</v>
      </c>
      <c r="BQ462" s="476">
        <f>BL462*(1+BQ464)</f>
        <v>16.398413651113152</v>
      </c>
      <c r="BR462" s="476">
        <f>BM462*(1+BR464)</f>
        <v>15.343174000384874</v>
      </c>
      <c r="BS462" s="476">
        <f>BN462*(1+BS464)</f>
        <v>14.655113057984414</v>
      </c>
      <c r="BT462" s="2604">
        <f>SUM(BP462:BS462)</f>
        <v>61.249734205282586</v>
      </c>
      <c r="BU462" s="2577">
        <f>BP462*(1+BU464)</f>
        <v>15.001563830758149</v>
      </c>
      <c r="BV462" s="2577">
        <f>BQ462*(1+BV464)</f>
        <v>16.398413651113152</v>
      </c>
      <c r="BW462" s="2577">
        <f>BR462*(1+BW464)</f>
        <v>15.189742260381024</v>
      </c>
      <c r="BX462" s="2577">
        <f>BS462*(1+BX464)</f>
        <v>14.655113057984414</v>
      </c>
      <c r="BY462" s="2604">
        <f>SUM(BU462:BX462)</f>
        <v>61.244832800236743</v>
      </c>
      <c r="BZ462" s="477">
        <f t="shared" ref="BZ462:CF462" si="1149">BY462*(1+BZ464)</f>
        <v>60.938608636235557</v>
      </c>
      <c r="CA462" s="477">
        <f t="shared" si="1149"/>
        <v>61.547994722597913</v>
      </c>
      <c r="CB462" s="477">
        <f t="shared" si="1149"/>
        <v>59.701554880919971</v>
      </c>
      <c r="CC462" s="477">
        <f t="shared" si="1149"/>
        <v>57.910508234492369</v>
      </c>
      <c r="CD462" s="477">
        <f t="shared" si="1149"/>
        <v>58.489613316837293</v>
      </c>
      <c r="CE462" s="477">
        <f t="shared" si="1149"/>
        <v>59.074509450005664</v>
      </c>
      <c r="CF462" s="477">
        <f t="shared" si="1149"/>
        <v>59.665254544505721</v>
      </c>
      <c r="CG462" s="331"/>
      <c r="CH462" s="331"/>
      <c r="CI462" s="331"/>
      <c r="CJ462" s="331"/>
      <c r="CK462" s="331"/>
      <c r="CL462" s="520" t="str">
        <f t="shared" ref="CL462:CL467" si="1150">A462</f>
        <v>Operating expenses</v>
      </c>
      <c r="CM462" s="476"/>
      <c r="CN462" s="476"/>
      <c r="CO462" s="476"/>
      <c r="CP462" s="476"/>
      <c r="CQ462" s="476"/>
      <c r="CR462" s="476"/>
      <c r="CS462" s="476"/>
      <c r="CT462" s="476"/>
      <c r="CU462" s="476">
        <f t="shared" ref="CU462:CU467" si="1151">AU462</f>
        <v>44.3055604575</v>
      </c>
      <c r="CV462" s="476">
        <f t="shared" ref="CV462:CV467" si="1152">AZ462</f>
        <v>61.713752960999997</v>
      </c>
      <c r="CW462" s="476">
        <f t="shared" ref="CW462:CW467" si="1153">BE462</f>
        <v>63.70360226391</v>
      </c>
      <c r="CX462" s="476">
        <f t="shared" ref="CX462:CX467" si="1154">BJ462</f>
        <v>63.198364958315999</v>
      </c>
      <c r="CY462" s="476">
        <f t="shared" ref="CY462:CY467" si="1155">BO462</f>
        <v>61.939674032288131</v>
      </c>
      <c r="CZ462" s="476">
        <f t="shared" ref="CZ462:CZ467" si="1156">BT462</f>
        <v>61.249734205282586</v>
      </c>
      <c r="DA462" s="476">
        <f t="shared" ref="DA462:DC467" si="1157">BY462</f>
        <v>61.244832800236743</v>
      </c>
      <c r="DB462" s="476">
        <f t="shared" si="1157"/>
        <v>60.938608636235557</v>
      </c>
      <c r="DC462" s="682">
        <f t="shared" si="1157"/>
        <v>61.547994722597913</v>
      </c>
      <c r="DD462" s="331"/>
      <c r="DE462" s="331"/>
      <c r="DF462" s="502"/>
      <c r="DG462" s="503"/>
      <c r="DH462" s="2577"/>
      <c r="DI462" s="3213"/>
      <c r="DJ462" s="502"/>
      <c r="DK462" s="503"/>
      <c r="DL462" s="502"/>
      <c r="DM462" s="502"/>
      <c r="DN462" s="502"/>
      <c r="DO462" s="502"/>
      <c r="DP462" s="503"/>
      <c r="DQ462" s="503"/>
      <c r="DR462" s="296"/>
      <c r="DS462" s="296"/>
      <c r="DT462" s="296"/>
    </row>
    <row r="463" spans="1:124" ht="12" customHeight="1" x14ac:dyDescent="0.25">
      <c r="A463" s="465" t="s">
        <v>646</v>
      </c>
      <c r="B463" s="281"/>
      <c r="C463" s="472"/>
      <c r="D463" s="472"/>
      <c r="E463" s="472"/>
      <c r="F463" s="472"/>
      <c r="G463" s="491"/>
      <c r="H463" s="472"/>
      <c r="I463" s="472"/>
      <c r="J463" s="472"/>
      <c r="K463" s="472"/>
      <c r="L463" s="491"/>
      <c r="M463" s="472"/>
      <c r="N463" s="472"/>
      <c r="O463" s="472"/>
      <c r="P463" s="472"/>
      <c r="Q463" s="491"/>
      <c r="R463" s="472"/>
      <c r="S463" s="472"/>
      <c r="T463" s="472"/>
      <c r="U463" s="472"/>
      <c r="V463" s="491"/>
      <c r="W463" s="472"/>
      <c r="X463" s="472"/>
      <c r="Y463" s="472"/>
      <c r="Z463" s="472"/>
      <c r="AA463" s="491"/>
      <c r="AB463" s="472"/>
      <c r="AC463" s="472"/>
      <c r="AD463" s="472"/>
      <c r="AE463" s="492"/>
      <c r="AF463" s="493"/>
      <c r="AG463" s="472"/>
      <c r="AH463" s="472"/>
      <c r="AI463" s="472"/>
      <c r="AJ463" s="492"/>
      <c r="AK463" s="493"/>
      <c r="AL463" s="472"/>
      <c r="AM463" s="472"/>
      <c r="AN463" s="472"/>
      <c r="AO463" s="492"/>
      <c r="AP463" s="494"/>
      <c r="AQ463" s="494"/>
      <c r="AR463" s="1735">
        <f>+AR462/AR459</f>
        <v>0.37746864493789384</v>
      </c>
      <c r="AS463" s="936">
        <v>0.36</v>
      </c>
      <c r="AT463" s="936">
        <v>0.35</v>
      </c>
      <c r="AU463" s="470">
        <f>AU462/AU459</f>
        <v>0.35974949811997009</v>
      </c>
      <c r="AV463" s="1667">
        <v>0.34</v>
      </c>
      <c r="AW463" s="540">
        <v>0.33</v>
      </c>
      <c r="AX463" s="540">
        <v>0.32</v>
      </c>
      <c r="AY463" s="540">
        <v>0.28999999999999998</v>
      </c>
      <c r="AZ463" s="470">
        <f t="shared" ref="AZ463:CF463" si="1158">AZ462/AZ459</f>
        <v>0.32454302567214288</v>
      </c>
      <c r="BA463" s="471">
        <f t="shared" si="1158"/>
        <v>0.3479627450013435</v>
      </c>
      <c r="BB463" s="469">
        <f t="shared" si="1158"/>
        <v>0.33404727562469477</v>
      </c>
      <c r="BC463" s="469">
        <f t="shared" si="1158"/>
        <v>0.32797537963831713</v>
      </c>
      <c r="BD463" s="1463">
        <f t="shared" si="1158"/>
        <v>0.31433534441534949</v>
      </c>
      <c r="BE463" s="470">
        <f t="shared" si="1158"/>
        <v>0.33107040588215303</v>
      </c>
      <c r="BF463" s="469">
        <f t="shared" si="1158"/>
        <v>0.32174062370371409</v>
      </c>
      <c r="BG463" s="469">
        <f t="shared" si="1158"/>
        <v>0.31444424396069787</v>
      </c>
      <c r="BH463" s="469">
        <f t="shared" si="1158"/>
        <v>0.31091053388912598</v>
      </c>
      <c r="BI463" s="1463">
        <f t="shared" si="1158"/>
        <v>0.30176498391756285</v>
      </c>
      <c r="BJ463" s="470">
        <f t="shared" si="1158"/>
        <v>0.31224482907735834</v>
      </c>
      <c r="BK463" s="469">
        <f t="shared" si="1158"/>
        <v>0.30355116929060649</v>
      </c>
      <c r="BL463" s="469">
        <f t="shared" si="1158"/>
        <v>0.30473537668497103</v>
      </c>
      <c r="BM463" s="469">
        <f t="shared" si="1158"/>
        <v>0.31589231413016589</v>
      </c>
      <c r="BN463" s="1463">
        <f t="shared" si="1158"/>
        <v>0.30523182310460523</v>
      </c>
      <c r="BO463" s="469">
        <f t="shared" si="1158"/>
        <v>0.30719994602441825</v>
      </c>
      <c r="BP463" s="471">
        <f t="shared" si="1158"/>
        <v>0.28953220544760816</v>
      </c>
      <c r="BQ463" s="469">
        <f t="shared" si="1158"/>
        <v>0.30466366372654891</v>
      </c>
      <c r="BR463" s="469">
        <f t="shared" si="1158"/>
        <v>0.29347051614328817</v>
      </c>
      <c r="BS463" s="469">
        <f t="shared" si="1158"/>
        <v>0.28777248735363398</v>
      </c>
      <c r="BT463" s="470">
        <f t="shared" si="1158"/>
        <v>0.29399973425554743</v>
      </c>
      <c r="BU463" s="469">
        <f t="shared" si="1158"/>
        <v>0.28355432469436964</v>
      </c>
      <c r="BV463" s="469">
        <f>BV462/BV459</f>
        <v>0.30414483554952537</v>
      </c>
      <c r="BW463" s="469">
        <f>BW462/BW459</f>
        <v>0.2873351129564144</v>
      </c>
      <c r="BX463" s="469">
        <f>BX462/BX459</f>
        <v>0.28220584551664513</v>
      </c>
      <c r="BY463" s="470">
        <f>BY462/BY459</f>
        <v>0.28941401675685341</v>
      </c>
      <c r="BZ463" s="470">
        <f t="shared" si="1158"/>
        <v>0.27657636023440851</v>
      </c>
      <c r="CA463" s="470">
        <f t="shared" si="1158"/>
        <v>0.27719292934348666</v>
      </c>
      <c r="CB463" s="470">
        <f t="shared" si="1158"/>
        <v>0.28380399070086415</v>
      </c>
      <c r="CC463" s="470">
        <f t="shared" si="1158"/>
        <v>0.28977881155772445</v>
      </c>
      <c r="CD463" s="470">
        <f t="shared" si="1158"/>
        <v>0.2869378428169625</v>
      </c>
      <c r="CE463" s="470">
        <f t="shared" si="1158"/>
        <v>0.28334842964339768</v>
      </c>
      <c r="CF463" s="470">
        <f t="shared" si="1158"/>
        <v>0.28133919017453224</v>
      </c>
      <c r="CG463" s="331"/>
      <c r="CH463" s="331"/>
      <c r="CI463" s="331"/>
      <c r="CJ463" s="331"/>
      <c r="CK463" s="331"/>
      <c r="CL463" s="1310" t="str">
        <f t="shared" si="1150"/>
        <v>% of Net revenue</v>
      </c>
      <c r="CM463" s="492"/>
      <c r="CN463" s="492"/>
      <c r="CO463" s="492"/>
      <c r="CP463" s="492"/>
      <c r="CQ463" s="492"/>
      <c r="CR463" s="492"/>
      <c r="CS463" s="492"/>
      <c r="CT463" s="492"/>
      <c r="CU463" s="492">
        <f t="shared" si="1151"/>
        <v>0.35974949811997009</v>
      </c>
      <c r="CV463" s="492">
        <f t="shared" si="1152"/>
        <v>0.32454302567214288</v>
      </c>
      <c r="CW463" s="492">
        <f t="shared" si="1153"/>
        <v>0.33107040588215303</v>
      </c>
      <c r="CX463" s="492">
        <f t="shared" si="1154"/>
        <v>0.31224482907735834</v>
      </c>
      <c r="CY463" s="492">
        <f t="shared" si="1155"/>
        <v>0.30719994602441825</v>
      </c>
      <c r="CZ463" s="492">
        <f t="shared" si="1156"/>
        <v>0.29399973425554743</v>
      </c>
      <c r="DA463" s="492">
        <f t="shared" si="1157"/>
        <v>0.28941401675685341</v>
      </c>
      <c r="DB463" s="492">
        <f t="shared" si="1157"/>
        <v>0.27657636023440851</v>
      </c>
      <c r="DC463" s="1311">
        <f t="shared" si="1157"/>
        <v>0.27719292934348666</v>
      </c>
      <c r="DD463" s="331"/>
      <c r="DE463" s="331"/>
      <c r="DF463" s="502"/>
      <c r="DG463" s="503"/>
      <c r="DH463" s="469"/>
      <c r="DI463" s="3213"/>
      <c r="DJ463" s="502"/>
      <c r="DK463" s="503"/>
      <c r="DL463" s="502"/>
      <c r="DM463" s="502"/>
      <c r="DN463" s="502"/>
      <c r="DO463" s="502"/>
      <c r="DP463" s="503"/>
      <c r="DQ463" s="503"/>
      <c r="DR463" s="296"/>
      <c r="DS463" s="296"/>
      <c r="DT463" s="296"/>
    </row>
    <row r="464" spans="1:124" ht="12" customHeight="1" x14ac:dyDescent="0.25">
      <c r="A464" s="465" t="s">
        <v>1491</v>
      </c>
      <c r="B464" s="281"/>
      <c r="C464" s="472"/>
      <c r="D464" s="472"/>
      <c r="E464" s="472"/>
      <c r="F464" s="472"/>
      <c r="G464" s="491"/>
      <c r="H464" s="472"/>
      <c r="I464" s="472"/>
      <c r="J464" s="472"/>
      <c r="K464" s="472"/>
      <c r="L464" s="491"/>
      <c r="M464" s="472"/>
      <c r="N464" s="472"/>
      <c r="O464" s="472"/>
      <c r="P464" s="472"/>
      <c r="Q464" s="491"/>
      <c r="R464" s="472"/>
      <c r="S464" s="472"/>
      <c r="T464" s="472"/>
      <c r="U464" s="472"/>
      <c r="V464" s="491"/>
      <c r="W464" s="472"/>
      <c r="X464" s="472"/>
      <c r="Y464" s="472"/>
      <c r="Z464" s="472"/>
      <c r="AA464" s="491"/>
      <c r="AB464" s="472"/>
      <c r="AC464" s="472"/>
      <c r="AD464" s="472"/>
      <c r="AE464" s="492"/>
      <c r="AF464" s="493"/>
      <c r="AG464" s="472"/>
      <c r="AH464" s="472"/>
      <c r="AI464" s="472"/>
      <c r="AJ464" s="492"/>
      <c r="AK464" s="493"/>
      <c r="AL464" s="472"/>
      <c r="AM464" s="472"/>
      <c r="AN464" s="472"/>
      <c r="AO464" s="492"/>
      <c r="AP464" s="494"/>
      <c r="AQ464" s="494"/>
      <c r="AR464" s="492"/>
      <c r="AS464" s="492"/>
      <c r="AT464" s="492"/>
      <c r="AU464" s="470" t="s">
        <v>553</v>
      </c>
      <c r="AV464" s="471"/>
      <c r="AW464" s="469">
        <f>+AW462/AR462-1</f>
        <v>0.82295736699999988</v>
      </c>
      <c r="AX464" s="469">
        <f>+AX462/AS462-1</f>
        <v>-0.22445133692452401</v>
      </c>
      <c r="AY464" s="1463">
        <f>+AY462/AT462-1</f>
        <v>-0.14850651404684989</v>
      </c>
      <c r="AZ464" s="470">
        <f>+AZ462/AU462-1</f>
        <v>0.39291213842557671</v>
      </c>
      <c r="BA464" s="1667">
        <v>-3.5000000000000003E-2</v>
      </c>
      <c r="BB464" s="540">
        <v>0.02</v>
      </c>
      <c r="BC464" s="540">
        <v>0.06</v>
      </c>
      <c r="BD464" s="540">
        <v>0.1</v>
      </c>
      <c r="BE464" s="493">
        <f>BE462/AZ462-1</f>
        <v>3.2243206861321205E-2</v>
      </c>
      <c r="BF464" s="540">
        <v>-0.02</v>
      </c>
      <c r="BG464" s="540">
        <v>-0.01</v>
      </c>
      <c r="BH464" s="540">
        <v>-0.01</v>
      </c>
      <c r="BI464" s="540">
        <v>0.01</v>
      </c>
      <c r="BJ464" s="493">
        <f>BJ462/BE462-1</f>
        <v>-7.9310633565259359E-3</v>
      </c>
      <c r="BK464" s="540">
        <v>0.02</v>
      </c>
      <c r="BL464" s="540">
        <v>-0.02</v>
      </c>
      <c r="BM464" s="540">
        <v>-0.05</v>
      </c>
      <c r="BN464" s="540">
        <v>-0.03</v>
      </c>
      <c r="BO464" s="494">
        <f>BO462/BJ462-1</f>
        <v>-1.9916510923313702E-2</v>
      </c>
      <c r="BP464" s="1667">
        <v>-0.08</v>
      </c>
      <c r="BQ464" s="540">
        <v>0.01</v>
      </c>
      <c r="BR464" s="540">
        <v>0.01</v>
      </c>
      <c r="BS464" s="540">
        <v>0.02</v>
      </c>
      <c r="BT464" s="2693">
        <f>BT462/BO462-1</f>
        <v>-1.1138899869668206E-2</v>
      </c>
      <c r="BU464" s="540">
        <v>0.01</v>
      </c>
      <c r="BV464" s="540">
        <v>0</v>
      </c>
      <c r="BW464" s="540">
        <v>-0.01</v>
      </c>
      <c r="BX464" s="540">
        <v>0</v>
      </c>
      <c r="BY464" s="2693">
        <f>BY462/BT462-1</f>
        <v>-8.0023286785468883E-5</v>
      </c>
      <c r="BZ464" s="539">
        <v>-5.0000000000000001E-3</v>
      </c>
      <c r="CA464" s="578">
        <v>0.01</v>
      </c>
      <c r="CB464" s="578">
        <v>-0.03</v>
      </c>
      <c r="CC464" s="578">
        <v>-0.03</v>
      </c>
      <c r="CD464" s="578">
        <v>0.01</v>
      </c>
      <c r="CE464" s="578">
        <v>0.01</v>
      </c>
      <c r="CF464" s="578">
        <v>0.01</v>
      </c>
      <c r="CG464" s="331"/>
      <c r="CH464" s="331"/>
      <c r="CI464" s="331"/>
      <c r="CJ464" s="331"/>
      <c r="CK464" s="331"/>
      <c r="CL464" s="1310" t="str">
        <f t="shared" si="1150"/>
        <v>% growth (y-o-y)</v>
      </c>
      <c r="CM464" s="492"/>
      <c r="CN464" s="492"/>
      <c r="CO464" s="492"/>
      <c r="CP464" s="492"/>
      <c r="CQ464" s="492"/>
      <c r="CR464" s="492"/>
      <c r="CS464" s="492"/>
      <c r="CT464" s="492"/>
      <c r="CU464" s="492" t="str">
        <f t="shared" si="1151"/>
        <v xml:space="preserve">n/a </v>
      </c>
      <c r="CV464" s="492">
        <f t="shared" si="1152"/>
        <v>0.39291213842557671</v>
      </c>
      <c r="CW464" s="492">
        <f t="shared" si="1153"/>
        <v>3.2243206861321205E-2</v>
      </c>
      <c r="CX464" s="492">
        <f t="shared" si="1154"/>
        <v>-7.9310633565259359E-3</v>
      </c>
      <c r="CY464" s="492">
        <f t="shared" si="1155"/>
        <v>-1.9916510923313702E-2</v>
      </c>
      <c r="CZ464" s="492">
        <f t="shared" si="1156"/>
        <v>-1.1138899869668206E-2</v>
      </c>
      <c r="DA464" s="492">
        <f t="shared" si="1157"/>
        <v>-8.0023286785468883E-5</v>
      </c>
      <c r="DB464" s="492">
        <f t="shared" si="1157"/>
        <v>-5.0000000000000001E-3</v>
      </c>
      <c r="DC464" s="1311">
        <f t="shared" si="1157"/>
        <v>0.01</v>
      </c>
      <c r="DD464" s="331"/>
      <c r="DE464" s="331"/>
      <c r="DF464" s="502"/>
      <c r="DG464" s="503"/>
      <c r="DH464" s="2653"/>
      <c r="DI464" s="3213"/>
      <c r="DJ464" s="502"/>
      <c r="DK464" s="503"/>
      <c r="DL464" s="502"/>
      <c r="DM464" s="502"/>
      <c r="DN464" s="502"/>
      <c r="DO464" s="502"/>
      <c r="DP464" s="503"/>
      <c r="DQ464" s="503"/>
      <c r="DR464" s="296"/>
      <c r="DS464" s="296"/>
      <c r="DT464" s="296"/>
    </row>
    <row r="465" spans="1:124" ht="12" customHeight="1" x14ac:dyDescent="0.25">
      <c r="A465" s="281" t="s">
        <v>2161</v>
      </c>
      <c r="B465" s="281"/>
      <c r="C465" s="452"/>
      <c r="D465" s="452"/>
      <c r="E465" s="452"/>
      <c r="F465" s="452"/>
      <c r="G465" s="475"/>
      <c r="H465" s="452"/>
      <c r="I465" s="452"/>
      <c r="J465" s="452"/>
      <c r="K465" s="452"/>
      <c r="L465" s="475"/>
      <c r="M465" s="452"/>
      <c r="N465" s="452"/>
      <c r="O465" s="452"/>
      <c r="P465" s="452"/>
      <c r="Q465" s="475"/>
      <c r="R465" s="452"/>
      <c r="S465" s="452"/>
      <c r="T465" s="452"/>
      <c r="U465" s="452"/>
      <c r="V465" s="475"/>
      <c r="W465" s="452"/>
      <c r="X465" s="452"/>
      <c r="Y465" s="452"/>
      <c r="Z465" s="452"/>
      <c r="AA465" s="475"/>
      <c r="AB465" s="452"/>
      <c r="AC465" s="452"/>
      <c r="AD465" s="452"/>
      <c r="AE465" s="476"/>
      <c r="AF465" s="477"/>
      <c r="AG465" s="452"/>
      <c r="AH465" s="452"/>
      <c r="AI465" s="452"/>
      <c r="AJ465" s="476"/>
      <c r="AK465" s="477"/>
      <c r="AL465" s="452"/>
      <c r="AM465" s="452"/>
      <c r="AN465" s="452"/>
      <c r="AO465" s="476"/>
      <c r="AP465" s="478"/>
      <c r="AQ465" s="478"/>
      <c r="AR465" s="476">
        <f>AR466*AR456</f>
        <v>7.5382031999999999</v>
      </c>
      <c r="AS465" s="476">
        <f>AS466*AS456</f>
        <v>17.185740000000003</v>
      </c>
      <c r="AT465" s="476">
        <f>AT466*AT456</f>
        <v>14.059778370000002</v>
      </c>
      <c r="AU465" s="477">
        <f>+SUM(AQ465:AT465)</f>
        <v>38.783721570000004</v>
      </c>
      <c r="AV465" s="478">
        <f>AV466*AV456</f>
        <v>15.471039540000003</v>
      </c>
      <c r="AW465" s="476">
        <f>AW466*AW456</f>
        <v>15.625348860000001</v>
      </c>
      <c r="AX465" s="476">
        <f>AX466*AX456</f>
        <v>14.965934279999999</v>
      </c>
      <c r="AY465" s="682">
        <f>AY466*AY456</f>
        <v>14.448735839999999</v>
      </c>
      <c r="AZ465" s="477">
        <f>+SUM(AV465:AY465)</f>
        <v>60.511058519999999</v>
      </c>
      <c r="BA465" s="478">
        <f>BA466*BA456</f>
        <v>14.587906740000001</v>
      </c>
      <c r="BB465" s="476">
        <f>BB466*BB456</f>
        <v>15.744754740000001</v>
      </c>
      <c r="BC465" s="476">
        <f>BC466*BC456</f>
        <v>15.4781280027</v>
      </c>
      <c r="BD465" s="682">
        <f>BD466*BD456</f>
        <v>14.663151360000001</v>
      </c>
      <c r="BE465" s="477">
        <f>+SUM(BA465:BD465)</f>
        <v>60.473940842700003</v>
      </c>
      <c r="BF465" s="476">
        <f>BF466*BF456</f>
        <v>15.46129629</v>
      </c>
      <c r="BG465" s="476">
        <f>BG466*BG456</f>
        <v>16.55904855</v>
      </c>
      <c r="BH465" s="476">
        <f>BH466*BH456</f>
        <v>16.164394290000001</v>
      </c>
      <c r="BI465" s="682">
        <f>BI466*BI456</f>
        <v>15.426701070000002</v>
      </c>
      <c r="BJ465" s="477">
        <f>+SUM(BF465:BI465)</f>
        <v>63.611440199999997</v>
      </c>
      <c r="BK465" s="476">
        <f>BK466*BK456</f>
        <v>16.715526629999999</v>
      </c>
      <c r="BL465" s="476">
        <f>BL466*BL456</f>
        <v>16.59213171</v>
      </c>
      <c r="BM465" s="476">
        <f>BM466*BM456</f>
        <v>15.113999999999999</v>
      </c>
      <c r="BN465" s="682">
        <f>BN466*BN456</f>
        <v>14.793939269999999</v>
      </c>
      <c r="BO465" s="476">
        <f>+SUM(BK465:BN465)</f>
        <v>63.215597610000003</v>
      </c>
      <c r="BP465" s="478">
        <f>BP466*BP456</f>
        <v>16.12289118</v>
      </c>
      <c r="BQ465" s="476">
        <f>BQ466*BQ456</f>
        <v>16.916317110000001</v>
      </c>
      <c r="BR465" s="476">
        <f>BR466*BR456</f>
        <v>16.510049820000003</v>
      </c>
      <c r="BS465" s="476">
        <f>BS466*BS456</f>
        <v>16.005326700000001</v>
      </c>
      <c r="BT465" s="2604">
        <f>+SUM(BP465:BS465)</f>
        <v>65.554584810000009</v>
      </c>
      <c r="BU465" s="2577">
        <f>BU466*BU456</f>
        <v>16.627421250000001</v>
      </c>
      <c r="BV465" s="2577">
        <f>BV466*BV456</f>
        <v>16.945173960231489</v>
      </c>
      <c r="BW465" s="2577">
        <f>BW466*BW456</f>
        <v>16.614464368800977</v>
      </c>
      <c r="BX465" s="2577">
        <f>BX466*BX456</f>
        <v>16.321039229128459</v>
      </c>
      <c r="BY465" s="2604">
        <f>+SUM(BU465:BX465)</f>
        <v>66.508098808160923</v>
      </c>
      <c r="BZ465" s="477">
        <f t="shared" ref="BZ465:CF465" si="1159">BZ466*BZ456</f>
        <v>69.247184128769206</v>
      </c>
      <c r="CA465" s="477">
        <f t="shared" si="1159"/>
        <v>69.784086953658033</v>
      </c>
      <c r="CB465" s="477">
        <f t="shared" si="1159"/>
        <v>66.113749046942388</v>
      </c>
      <c r="CC465" s="477">
        <f t="shared" si="1159"/>
        <v>62.808061594595266</v>
      </c>
      <c r="CD465" s="477">
        <f t="shared" si="1159"/>
        <v>64.064222826487168</v>
      </c>
      <c r="CE465" s="477">
        <f t="shared" si="1159"/>
        <v>65.524536070093674</v>
      </c>
      <c r="CF465" s="477">
        <f t="shared" si="1159"/>
        <v>66.652417428677268</v>
      </c>
      <c r="CG465" s="331"/>
      <c r="CH465" s="331"/>
      <c r="CI465" s="331"/>
      <c r="CJ465" s="331"/>
      <c r="CK465" s="331"/>
      <c r="CL465" s="520" t="str">
        <f t="shared" si="1150"/>
        <v>Tax expense</v>
      </c>
      <c r="CM465" s="476"/>
      <c r="CN465" s="476"/>
      <c r="CO465" s="476"/>
      <c r="CP465" s="476"/>
      <c r="CQ465" s="476"/>
      <c r="CR465" s="476"/>
      <c r="CS465" s="476"/>
      <c r="CT465" s="476"/>
      <c r="CU465" s="476">
        <f t="shared" si="1151"/>
        <v>38.783721570000004</v>
      </c>
      <c r="CV465" s="476">
        <f t="shared" si="1152"/>
        <v>60.511058519999999</v>
      </c>
      <c r="CW465" s="476">
        <f t="shared" si="1153"/>
        <v>60.473940842700003</v>
      </c>
      <c r="CX465" s="476">
        <f t="shared" si="1154"/>
        <v>63.611440199999997</v>
      </c>
      <c r="CY465" s="476">
        <f t="shared" si="1155"/>
        <v>63.215597610000003</v>
      </c>
      <c r="CZ465" s="476">
        <f t="shared" si="1156"/>
        <v>65.554584810000009</v>
      </c>
      <c r="DA465" s="476">
        <f t="shared" si="1157"/>
        <v>66.508098808160923</v>
      </c>
      <c r="DB465" s="476">
        <f t="shared" si="1157"/>
        <v>69.247184128769206</v>
      </c>
      <c r="DC465" s="682">
        <f t="shared" si="1157"/>
        <v>69.784086953658033</v>
      </c>
      <c r="DD465" s="331"/>
      <c r="DE465" s="331"/>
      <c r="DF465" s="502"/>
      <c r="DG465" s="503"/>
      <c r="DH465" s="2577"/>
      <c r="DI465" s="3213"/>
      <c r="DJ465" s="502"/>
      <c r="DK465" s="503"/>
      <c r="DL465" s="502"/>
      <c r="DM465" s="502"/>
      <c r="DN465" s="502"/>
      <c r="DO465" s="502"/>
      <c r="DP465" s="503"/>
      <c r="DQ465" s="503"/>
      <c r="DR465" s="296"/>
      <c r="DS465" s="296"/>
      <c r="DT465" s="296"/>
    </row>
    <row r="466" spans="1:124" ht="12" customHeight="1" x14ac:dyDescent="0.25">
      <c r="A466" s="465" t="s">
        <v>1810</v>
      </c>
      <c r="B466" s="281"/>
      <c r="C466" s="472"/>
      <c r="D466" s="472"/>
      <c r="E466" s="472"/>
      <c r="F466" s="472"/>
      <c r="G466" s="491"/>
      <c r="H466" s="472"/>
      <c r="I466" s="472"/>
      <c r="J466" s="472"/>
      <c r="K466" s="472"/>
      <c r="L466" s="491"/>
      <c r="M466" s="472"/>
      <c r="N466" s="472"/>
      <c r="O466" s="472"/>
      <c r="P466" s="472"/>
      <c r="Q466" s="491"/>
      <c r="R466" s="472"/>
      <c r="S466" s="472"/>
      <c r="T466" s="472"/>
      <c r="U466" s="472"/>
      <c r="V466" s="491"/>
      <c r="W466" s="472"/>
      <c r="X466" s="472"/>
      <c r="Y466" s="472"/>
      <c r="Z466" s="472"/>
      <c r="AA466" s="491"/>
      <c r="AB466" s="472"/>
      <c r="AC466" s="472"/>
      <c r="AD466" s="472"/>
      <c r="AE466" s="492"/>
      <c r="AF466" s="493"/>
      <c r="AG466" s="472"/>
      <c r="AH466" s="472"/>
      <c r="AI466" s="472"/>
      <c r="AJ466" s="492"/>
      <c r="AK466" s="493"/>
      <c r="AL466" s="472"/>
      <c r="AM466" s="472"/>
      <c r="AN466" s="472"/>
      <c r="AO466" s="492"/>
      <c r="AP466" s="494"/>
      <c r="AQ466" s="494"/>
      <c r="AR466" s="936">
        <v>0.33</v>
      </c>
      <c r="AS466" s="936">
        <v>0.33</v>
      </c>
      <c r="AT466" s="492">
        <f>+AS466</f>
        <v>0.33</v>
      </c>
      <c r="AU466" s="539">
        <v>0.33</v>
      </c>
      <c r="AV466" s="1667">
        <v>0.33</v>
      </c>
      <c r="AW466" s="540">
        <v>0.33</v>
      </c>
      <c r="AX466" s="540">
        <v>0.33</v>
      </c>
      <c r="AY466" s="1668">
        <v>0.33</v>
      </c>
      <c r="AZ466" s="470">
        <f>AZ465/AZ456</f>
        <v>0.32999999999999996</v>
      </c>
      <c r="BA466" s="1667">
        <v>0.33</v>
      </c>
      <c r="BB466" s="540">
        <v>0.33</v>
      </c>
      <c r="BC466" s="540">
        <v>0.33</v>
      </c>
      <c r="BD466" s="1668">
        <v>0.33</v>
      </c>
      <c r="BE466" s="470">
        <f>BE465/BE456</f>
        <v>0.33000000000000007</v>
      </c>
      <c r="BF466" s="540">
        <v>0.33</v>
      </c>
      <c r="BG466" s="540">
        <v>0.33</v>
      </c>
      <c r="BH466" s="540">
        <v>0.33</v>
      </c>
      <c r="BI466" s="1668">
        <v>0.33</v>
      </c>
      <c r="BJ466" s="470">
        <f>BJ465/BJ456</f>
        <v>0.32999999999999996</v>
      </c>
      <c r="BK466" s="540">
        <v>0.33</v>
      </c>
      <c r="BL466" s="540">
        <v>0.33</v>
      </c>
      <c r="BM466" s="540">
        <v>0.33</v>
      </c>
      <c r="BN466" s="1668">
        <v>0.33</v>
      </c>
      <c r="BO466" s="469">
        <f>BO465/BO456</f>
        <v>0.33</v>
      </c>
      <c r="BP466" s="1667">
        <v>0.33</v>
      </c>
      <c r="BQ466" s="540">
        <v>0.33</v>
      </c>
      <c r="BR466" s="540">
        <v>0.33</v>
      </c>
      <c r="BS466" s="540">
        <v>0.33</v>
      </c>
      <c r="BT466" s="470">
        <f>BT465/BT456</f>
        <v>0.33</v>
      </c>
      <c r="BU466" s="540">
        <v>0.33</v>
      </c>
      <c r="BV466" s="540">
        <v>0.33</v>
      </c>
      <c r="BW466" s="540">
        <v>0.33</v>
      </c>
      <c r="BX466" s="540">
        <v>0.33</v>
      </c>
      <c r="BY466" s="470">
        <f>BY465/BY456</f>
        <v>0.33</v>
      </c>
      <c r="BZ466" s="539">
        <v>0.33</v>
      </c>
      <c r="CA466" s="539">
        <v>0.33</v>
      </c>
      <c r="CB466" s="539">
        <v>0.33</v>
      </c>
      <c r="CC466" s="539">
        <v>0.33</v>
      </c>
      <c r="CD466" s="539">
        <v>0.33</v>
      </c>
      <c r="CE466" s="539">
        <v>0.33</v>
      </c>
      <c r="CF466" s="539">
        <v>0.33</v>
      </c>
      <c r="CG466" s="331"/>
      <c r="CH466" s="331"/>
      <c r="CI466" s="331"/>
      <c r="CJ466" s="331"/>
      <c r="CK466" s="331"/>
      <c r="CL466" s="1310" t="str">
        <f t="shared" si="1150"/>
        <v>% of Gaming revenue</v>
      </c>
      <c r="CM466" s="492"/>
      <c r="CN466" s="492"/>
      <c r="CO466" s="492"/>
      <c r="CP466" s="492"/>
      <c r="CQ466" s="492"/>
      <c r="CR466" s="492"/>
      <c r="CS466" s="492"/>
      <c r="CT466" s="492"/>
      <c r="CU466" s="492">
        <f t="shared" si="1151"/>
        <v>0.33</v>
      </c>
      <c r="CV466" s="492">
        <f t="shared" si="1152"/>
        <v>0.32999999999999996</v>
      </c>
      <c r="CW466" s="492">
        <f t="shared" si="1153"/>
        <v>0.33000000000000007</v>
      </c>
      <c r="CX466" s="492">
        <f t="shared" si="1154"/>
        <v>0.32999999999999996</v>
      </c>
      <c r="CY466" s="492">
        <f t="shared" si="1155"/>
        <v>0.33</v>
      </c>
      <c r="CZ466" s="492">
        <f t="shared" si="1156"/>
        <v>0.33</v>
      </c>
      <c r="DA466" s="492">
        <f t="shared" si="1157"/>
        <v>0.33</v>
      </c>
      <c r="DB466" s="492">
        <f t="shared" si="1157"/>
        <v>0.33</v>
      </c>
      <c r="DC466" s="1311">
        <f t="shared" si="1157"/>
        <v>0.33</v>
      </c>
      <c r="DD466" s="331"/>
      <c r="DE466" s="331"/>
      <c r="DF466" s="502"/>
      <c r="DG466" s="503"/>
      <c r="DH466" s="469"/>
      <c r="DI466" s="3213"/>
      <c r="DJ466" s="502"/>
      <c r="DK466" s="503"/>
      <c r="DL466" s="502"/>
      <c r="DM466" s="502"/>
      <c r="DN466" s="502"/>
      <c r="DO466" s="502"/>
      <c r="DP466" s="503"/>
      <c r="DQ466" s="503"/>
      <c r="DR466" s="296"/>
      <c r="DS466" s="296"/>
      <c r="DT466" s="296"/>
    </row>
    <row r="467" spans="1:124" ht="12" customHeight="1" x14ac:dyDescent="0.25">
      <c r="A467" s="281" t="s">
        <v>2162</v>
      </c>
      <c r="B467" s="281"/>
      <c r="C467" s="452"/>
      <c r="D467" s="452"/>
      <c r="E467" s="452"/>
      <c r="F467" s="452"/>
      <c r="G467" s="475"/>
      <c r="H467" s="452"/>
      <c r="I467" s="452"/>
      <c r="J467" s="452"/>
      <c r="K467" s="452"/>
      <c r="L467" s="475"/>
      <c r="M467" s="452"/>
      <c r="N467" s="452"/>
      <c r="O467" s="452"/>
      <c r="P467" s="452"/>
      <c r="Q467" s="475"/>
      <c r="R467" s="452"/>
      <c r="S467" s="452"/>
      <c r="T467" s="452"/>
      <c r="U467" s="452"/>
      <c r="V467" s="475"/>
      <c r="W467" s="452"/>
      <c r="X467" s="452"/>
      <c r="Y467" s="452"/>
      <c r="Z467" s="452"/>
      <c r="AA467" s="475"/>
      <c r="AB467" s="452"/>
      <c r="AC467" s="452"/>
      <c r="AD467" s="452"/>
      <c r="AE467" s="476"/>
      <c r="AF467" s="477"/>
      <c r="AG467" s="452"/>
      <c r="AH467" s="452"/>
      <c r="AI467" s="452"/>
      <c r="AJ467" s="476"/>
      <c r="AK467" s="477"/>
      <c r="AL467" s="452"/>
      <c r="AM467" s="452"/>
      <c r="AN467" s="452"/>
      <c r="AO467" s="476"/>
      <c r="AP467" s="478"/>
      <c r="AQ467" s="478"/>
      <c r="AR467" s="476">
        <f>+AR465+AR462</f>
        <v>16.538203199999998</v>
      </c>
      <c r="AS467" s="476">
        <f>+AS465+AS462</f>
        <v>36.833820000000003</v>
      </c>
      <c r="AT467" s="476">
        <f>+AT465+AT462</f>
        <v>29.717258827500004</v>
      </c>
      <c r="AU467" s="477">
        <f>+SUM(AQ467:AT467)</f>
        <v>83.089282027500005</v>
      </c>
      <c r="AV467" s="478">
        <f t="shared" ref="AV467:BE467" si="1160">AV465+AV462</f>
        <v>32.207891406000002</v>
      </c>
      <c r="AW467" s="476">
        <f t="shared" si="1160"/>
        <v>32.031965163000002</v>
      </c>
      <c r="AX467" s="476">
        <f t="shared" si="1160"/>
        <v>30.203976455999999</v>
      </c>
      <c r="AY467" s="682">
        <f t="shared" si="1160"/>
        <v>27.780978456</v>
      </c>
      <c r="AZ467" s="477">
        <f t="shared" si="1160"/>
        <v>122.22481148099999</v>
      </c>
      <c r="BA467" s="478">
        <f t="shared" si="1160"/>
        <v>30.738968790690002</v>
      </c>
      <c r="BB467" s="476">
        <f t="shared" si="1160"/>
        <v>32.479503369059998</v>
      </c>
      <c r="BC467" s="476">
        <f t="shared" si="1160"/>
        <v>31.630452709259998</v>
      </c>
      <c r="BD467" s="682">
        <f t="shared" si="1160"/>
        <v>29.328618237600001</v>
      </c>
      <c r="BE467" s="477">
        <f t="shared" si="1160"/>
        <v>124.17754310661</v>
      </c>
      <c r="BF467" s="476">
        <f t="shared" ref="BF467:BO467" si="1161">BF465+BF462</f>
        <v>31.289337099676203</v>
      </c>
      <c r="BG467" s="476">
        <f t="shared" si="1161"/>
        <v>33.126449692769398</v>
      </c>
      <c r="BH467" s="476">
        <f t="shared" si="1161"/>
        <v>32.155195749494396</v>
      </c>
      <c r="BI467" s="682">
        <f t="shared" si="1161"/>
        <v>30.238822616376002</v>
      </c>
      <c r="BJ467" s="682">
        <f t="shared" si="1161"/>
        <v>126.809805158316</v>
      </c>
      <c r="BK467" s="476">
        <f t="shared" si="1161"/>
        <v>32.860128255869725</v>
      </c>
      <c r="BL467" s="476">
        <f t="shared" si="1161"/>
        <v>32.828184829914008</v>
      </c>
      <c r="BM467" s="476">
        <f t="shared" si="1161"/>
        <v>30.305261386519675</v>
      </c>
      <c r="BN467" s="682">
        <f t="shared" si="1161"/>
        <v>29.16169716998472</v>
      </c>
      <c r="BO467" s="476">
        <f t="shared" si="1161"/>
        <v>125.15527164228814</v>
      </c>
      <c r="BP467" s="478">
        <f t="shared" ref="BP467:CF467" si="1162">BP465+BP462</f>
        <v>30.975924675800147</v>
      </c>
      <c r="BQ467" s="476">
        <f t="shared" si="1162"/>
        <v>33.314730761113154</v>
      </c>
      <c r="BR467" s="476">
        <f t="shared" si="1162"/>
        <v>31.853223820384876</v>
      </c>
      <c r="BS467" s="476">
        <f t="shared" si="1162"/>
        <v>30.660439757984413</v>
      </c>
      <c r="BT467" s="2604">
        <f t="shared" si="1162"/>
        <v>126.8043190152826</v>
      </c>
      <c r="BU467" s="2577">
        <f t="shared" si="1162"/>
        <v>31.628985080758149</v>
      </c>
      <c r="BV467" s="2577">
        <f>BV465+BV462</f>
        <v>33.343587611344645</v>
      </c>
      <c r="BW467" s="2577">
        <f>BW465+BW462</f>
        <v>31.804206629182001</v>
      </c>
      <c r="BX467" s="2577">
        <f>BX465+BX462</f>
        <v>30.976152287112875</v>
      </c>
      <c r="BY467" s="2604">
        <f>BY465+BY462</f>
        <v>127.75293160839766</v>
      </c>
      <c r="BZ467" s="477">
        <f t="shared" si="1162"/>
        <v>130.18579276500475</v>
      </c>
      <c r="CA467" s="477">
        <f t="shared" si="1162"/>
        <v>131.33208167625594</v>
      </c>
      <c r="CB467" s="477">
        <f t="shared" si="1162"/>
        <v>125.81530392786236</v>
      </c>
      <c r="CC467" s="477">
        <f t="shared" si="1162"/>
        <v>120.71856982908764</v>
      </c>
      <c r="CD467" s="477">
        <f t="shared" si="1162"/>
        <v>122.55383614332446</v>
      </c>
      <c r="CE467" s="477">
        <f t="shared" si="1162"/>
        <v>124.59904552009934</v>
      </c>
      <c r="CF467" s="477">
        <f t="shared" si="1162"/>
        <v>126.317671973183</v>
      </c>
      <c r="CG467" s="331"/>
      <c r="CH467" s="331"/>
      <c r="CI467" s="331"/>
      <c r="CJ467" s="331"/>
      <c r="CK467" s="331"/>
      <c r="CL467" s="520" t="str">
        <f t="shared" si="1150"/>
        <v>Total expenses</v>
      </c>
      <c r="CM467" s="476"/>
      <c r="CN467" s="476"/>
      <c r="CO467" s="476"/>
      <c r="CP467" s="476"/>
      <c r="CQ467" s="476"/>
      <c r="CR467" s="476"/>
      <c r="CS467" s="476"/>
      <c r="CT467" s="476"/>
      <c r="CU467" s="476">
        <f t="shared" si="1151"/>
        <v>83.089282027500005</v>
      </c>
      <c r="CV467" s="476">
        <f t="shared" si="1152"/>
        <v>122.22481148099999</v>
      </c>
      <c r="CW467" s="476">
        <f t="shared" si="1153"/>
        <v>124.17754310661</v>
      </c>
      <c r="CX467" s="476">
        <f t="shared" si="1154"/>
        <v>126.809805158316</v>
      </c>
      <c r="CY467" s="476">
        <f t="shared" si="1155"/>
        <v>125.15527164228814</v>
      </c>
      <c r="CZ467" s="476">
        <f t="shared" si="1156"/>
        <v>126.8043190152826</v>
      </c>
      <c r="DA467" s="476">
        <f t="shared" si="1157"/>
        <v>127.75293160839766</v>
      </c>
      <c r="DB467" s="476">
        <f t="shared" si="1157"/>
        <v>130.18579276500475</v>
      </c>
      <c r="DC467" s="682">
        <f t="shared" si="1157"/>
        <v>131.33208167625594</v>
      </c>
      <c r="DD467" s="331"/>
      <c r="DE467" s="331"/>
      <c r="DF467" s="502"/>
      <c r="DG467" s="503"/>
      <c r="DH467" s="2577"/>
      <c r="DI467" s="3213"/>
      <c r="DJ467" s="502"/>
      <c r="DK467" s="503"/>
      <c r="DL467" s="502"/>
      <c r="DM467" s="502"/>
      <c r="DN467" s="502"/>
      <c r="DO467" s="502"/>
      <c r="DP467" s="503"/>
      <c r="DQ467" s="503"/>
      <c r="DR467" s="296"/>
      <c r="DS467" s="296"/>
      <c r="DT467" s="296"/>
    </row>
    <row r="468" spans="1:124" ht="5.0999999999999996" customHeight="1" x14ac:dyDescent="0.25">
      <c r="A468" s="281"/>
      <c r="B468" s="281"/>
      <c r="C468" s="305"/>
      <c r="D468" s="305"/>
      <c r="E468" s="305"/>
      <c r="F468" s="305"/>
      <c r="G468" s="440"/>
      <c r="H468" s="305"/>
      <c r="I468" s="305"/>
      <c r="J468" s="305"/>
      <c r="K468" s="305"/>
      <c r="L468" s="440"/>
      <c r="M468" s="305"/>
      <c r="N468" s="305"/>
      <c r="O468" s="305"/>
      <c r="P468" s="305"/>
      <c r="Q468" s="440"/>
      <c r="R468" s="305"/>
      <c r="S468" s="305"/>
      <c r="T468" s="305"/>
      <c r="U468" s="305"/>
      <c r="V468" s="440"/>
      <c r="W468" s="305"/>
      <c r="X468" s="305"/>
      <c r="Y468" s="305"/>
      <c r="Z468" s="305"/>
      <c r="AA468" s="440"/>
      <c r="AB468" s="305"/>
      <c r="AC468" s="305"/>
      <c r="AD468" s="305"/>
      <c r="AE468" s="331"/>
      <c r="AF468" s="441"/>
      <c r="AG468" s="305"/>
      <c r="AH468" s="305"/>
      <c r="AI468" s="305"/>
      <c r="AJ468" s="331"/>
      <c r="AK468" s="441"/>
      <c r="AL468" s="305"/>
      <c r="AM468" s="305"/>
      <c r="AN468" s="305"/>
      <c r="AO468" s="331"/>
      <c r="AP468" s="569"/>
      <c r="AQ468" s="569"/>
      <c r="AR468" s="442"/>
      <c r="AS468" s="442"/>
      <c r="AT468" s="442"/>
      <c r="AU468" s="441"/>
      <c r="AV468" s="569"/>
      <c r="AW468" s="442"/>
      <c r="AX468" s="442"/>
      <c r="AY468" s="1312"/>
      <c r="AZ468" s="441"/>
      <c r="BA468" s="569"/>
      <c r="BB468" s="442"/>
      <c r="BC468" s="442"/>
      <c r="BD468" s="1312"/>
      <c r="BE468" s="441"/>
      <c r="BF468" s="442"/>
      <c r="BG468" s="442"/>
      <c r="BH468" s="442"/>
      <c r="BI468" s="1312"/>
      <c r="BJ468" s="1312"/>
      <c r="BK468" s="442"/>
      <c r="BL468" s="442"/>
      <c r="BM468" s="442"/>
      <c r="BN468" s="1312"/>
      <c r="BO468" s="442"/>
      <c r="BP468" s="569"/>
      <c r="BQ468" s="442"/>
      <c r="BR468" s="442"/>
      <c r="BS468" s="442"/>
      <c r="BT468" s="3236"/>
      <c r="BU468" s="3298"/>
      <c r="BV468" s="3298"/>
      <c r="BW468" s="3298"/>
      <c r="BX468" s="3298"/>
      <c r="BY468" s="3236"/>
      <c r="BZ468" s="441"/>
      <c r="CA468" s="441"/>
      <c r="CB468" s="441"/>
      <c r="CC468" s="441"/>
      <c r="CD468" s="441"/>
      <c r="CE468" s="441"/>
      <c r="CF468" s="441"/>
      <c r="CG468" s="331"/>
      <c r="CH468" s="331"/>
      <c r="CI468" s="331"/>
      <c r="CJ468" s="331"/>
      <c r="CK468" s="331"/>
      <c r="CL468" s="520"/>
      <c r="CM468" s="442"/>
      <c r="CN468" s="442"/>
      <c r="CO468" s="442"/>
      <c r="CP468" s="442"/>
      <c r="CQ468" s="442"/>
      <c r="CR468" s="442"/>
      <c r="CS468" s="442"/>
      <c r="CT468" s="442"/>
      <c r="CU468" s="442"/>
      <c r="CV468" s="442"/>
      <c r="CW468" s="442"/>
      <c r="CX468" s="442"/>
      <c r="CY468" s="442"/>
      <c r="CZ468" s="442"/>
      <c r="DA468" s="442"/>
      <c r="DB468" s="442"/>
      <c r="DC468" s="1312"/>
      <c r="DD468" s="331"/>
      <c r="DE468" s="331"/>
      <c r="DF468" s="502"/>
      <c r="DG468" s="503"/>
      <c r="DH468" s="3298"/>
      <c r="DI468" s="3213"/>
      <c r="DJ468" s="502"/>
      <c r="DK468" s="503"/>
      <c r="DL468" s="502"/>
      <c r="DM468" s="502"/>
      <c r="DN468" s="502"/>
      <c r="DO468" s="502"/>
      <c r="DP468" s="503"/>
      <c r="DQ468" s="503"/>
      <c r="DR468" s="296"/>
      <c r="DS468" s="296"/>
      <c r="DT468" s="296"/>
    </row>
    <row r="469" spans="1:124" ht="12" customHeight="1" x14ac:dyDescent="0.25">
      <c r="A469" s="496" t="s">
        <v>2010</v>
      </c>
      <c r="B469" s="1007"/>
      <c r="C469" s="1008"/>
      <c r="D469" s="1008"/>
      <c r="E469" s="1008"/>
      <c r="F469" s="1008"/>
      <c r="G469" s="1009"/>
      <c r="H469" s="1008"/>
      <c r="I469" s="1008"/>
      <c r="J469" s="1008"/>
      <c r="K469" s="1008"/>
      <c r="L469" s="1009"/>
      <c r="M469" s="1008"/>
      <c r="N469" s="1008"/>
      <c r="O469" s="1008"/>
      <c r="P469" s="1008"/>
      <c r="Q469" s="1009"/>
      <c r="R469" s="1008"/>
      <c r="S469" s="1008"/>
      <c r="T469" s="1008"/>
      <c r="U469" s="1008"/>
      <c r="V469" s="1009"/>
      <c r="W469" s="1008"/>
      <c r="X469" s="1008"/>
      <c r="Y469" s="1008"/>
      <c r="Z469" s="1008"/>
      <c r="AA469" s="1009"/>
      <c r="AB469" s="1008"/>
      <c r="AC469" s="1008"/>
      <c r="AD469" s="1008"/>
      <c r="AE469" s="1010"/>
      <c r="AF469" s="1011"/>
      <c r="AG469" s="1008"/>
      <c r="AH469" s="1008"/>
      <c r="AI469" s="1008"/>
      <c r="AJ469" s="1010"/>
      <c r="AK469" s="1011"/>
      <c r="AL469" s="1008"/>
      <c r="AM469" s="1008"/>
      <c r="AN469" s="1008"/>
      <c r="AO469" s="1010"/>
      <c r="AP469" s="1013"/>
      <c r="AQ469" s="1013"/>
      <c r="AR469" s="1012">
        <f>+AR459-AR467</f>
        <v>7.3048368000000004</v>
      </c>
      <c r="AS469" s="1012">
        <f>+AS459-AS467</f>
        <v>17.74418</v>
      </c>
      <c r="AT469" s="1012">
        <f>+AT459-AT467</f>
        <v>15.018399622499999</v>
      </c>
      <c r="AU469" s="1011">
        <f t="shared" ref="AU469:BE469" si="1163">AU459-AU467</f>
        <v>40.067416422500003</v>
      </c>
      <c r="AV469" s="1013">
        <f t="shared" si="1163"/>
        <v>17.018143494</v>
      </c>
      <c r="AW469" s="1012">
        <f t="shared" si="1163"/>
        <v>17.685053936999999</v>
      </c>
      <c r="AX469" s="1012">
        <f t="shared" si="1163"/>
        <v>17.414905343999997</v>
      </c>
      <c r="AY469" s="1877">
        <f t="shared" si="1163"/>
        <v>18.192271943999998</v>
      </c>
      <c r="AZ469" s="1011">
        <f t="shared" si="1163"/>
        <v>67.931032519000013</v>
      </c>
      <c r="BA469" s="1013">
        <f t="shared" si="1163"/>
        <v>15.677098109310002</v>
      </c>
      <c r="BB469" s="1012">
        <f t="shared" si="1163"/>
        <v>17.617443530940008</v>
      </c>
      <c r="BC469" s="1012">
        <f t="shared" si="1163"/>
        <v>17.618136390239997</v>
      </c>
      <c r="BD469" s="1877">
        <f t="shared" si="1163"/>
        <v>17.326863362399994</v>
      </c>
      <c r="BE469" s="1011">
        <f t="shared" si="1163"/>
        <v>68.23954139288999</v>
      </c>
      <c r="BF469" s="1012">
        <f t="shared" ref="BF469:BO469" si="1164">BF459-BF467</f>
        <v>17.905696550323796</v>
      </c>
      <c r="BG469" s="1012">
        <f t="shared" si="1164"/>
        <v>19.561432057230597</v>
      </c>
      <c r="BH469" s="1012">
        <f t="shared" si="1164"/>
        <v>19.276967900505603</v>
      </c>
      <c r="BI469" s="1877">
        <f t="shared" si="1164"/>
        <v>18.846135333624002</v>
      </c>
      <c r="BJ469" s="1877">
        <f t="shared" si="1164"/>
        <v>75.590231841684002</v>
      </c>
      <c r="BK469" s="1012">
        <f t="shared" si="1164"/>
        <v>20.325638294130272</v>
      </c>
      <c r="BL469" s="1012">
        <f t="shared" si="1164"/>
        <v>20.451002170085992</v>
      </c>
      <c r="BM469" s="1012">
        <f t="shared" si="1164"/>
        <v>17.784738613480322</v>
      </c>
      <c r="BN469" s="1877">
        <f t="shared" si="1164"/>
        <v>17.909927780015273</v>
      </c>
      <c r="BO469" s="1012">
        <f t="shared" si="1164"/>
        <v>76.47130685771188</v>
      </c>
      <c r="BP469" s="1013">
        <f t="shared" ref="BP469:CF469" si="1165">BP459-BP467</f>
        <v>20.324183624199851</v>
      </c>
      <c r="BQ469" s="1012">
        <f t="shared" si="1165"/>
        <v>20.509914588886843</v>
      </c>
      <c r="BR469" s="1012">
        <f t="shared" si="1165"/>
        <v>20.428600609615131</v>
      </c>
      <c r="BS469" s="1012">
        <f t="shared" si="1165"/>
        <v>20.265599742015588</v>
      </c>
      <c r="BT469" s="1011">
        <f t="shared" si="1165"/>
        <v>81.528298564717403</v>
      </c>
      <c r="BU469" s="1012">
        <f t="shared" si="1165"/>
        <v>21.276446169241851</v>
      </c>
      <c r="BV469" s="1012">
        <f t="shared" si="1165"/>
        <v>20.572874989391906</v>
      </c>
      <c r="BW469" s="1012">
        <f t="shared" si="1165"/>
        <v>21.059998180639287</v>
      </c>
      <c r="BX469" s="1012">
        <f t="shared" si="1165"/>
        <v>20.954427078295851</v>
      </c>
      <c r="BY469" s="1011">
        <f>BY459-BY467</f>
        <v>83.863746417568905</v>
      </c>
      <c r="BZ469" s="1011">
        <f t="shared" si="1165"/>
        <v>90.146156735624544</v>
      </c>
      <c r="CA469" s="1011">
        <f t="shared" si="1165"/>
        <v>90.708194994474155</v>
      </c>
      <c r="CB469" s="1011">
        <f t="shared" si="1165"/>
        <v>84.546624857863421</v>
      </c>
      <c r="CC469" s="1011">
        <f t="shared" si="1165"/>
        <v>79.125262517351842</v>
      </c>
      <c r="CD469" s="1011">
        <f t="shared" si="1165"/>
        <v>81.286872850043792</v>
      </c>
      <c r="CE469" s="1011">
        <f t="shared" si="1165"/>
        <v>83.888114702925947</v>
      </c>
      <c r="CF469" s="1011">
        <f t="shared" si="1165"/>
        <v>85.758201663517383</v>
      </c>
      <c r="CG469" s="331"/>
      <c r="CH469" s="331"/>
      <c r="CI469" s="331"/>
      <c r="CJ469" s="331"/>
      <c r="CK469" s="331"/>
      <c r="CL469" s="2102" t="str">
        <f t="shared" ref="CL469:CL475" si="1166">A469</f>
        <v>Property EBITDA</v>
      </c>
      <c r="CM469" s="1012"/>
      <c r="CN469" s="1012"/>
      <c r="CO469" s="1012"/>
      <c r="CP469" s="1012"/>
      <c r="CQ469" s="1012"/>
      <c r="CR469" s="1012"/>
      <c r="CS469" s="1012"/>
      <c r="CT469" s="1012"/>
      <c r="CU469" s="1012">
        <f t="shared" ref="CU469:CU475" si="1167">AU469</f>
        <v>40.067416422500003</v>
      </c>
      <c r="CV469" s="1012">
        <f t="shared" ref="CV469:CV475" si="1168">AZ469</f>
        <v>67.931032519000013</v>
      </c>
      <c r="CW469" s="1012">
        <f t="shared" ref="CW469:CW475" si="1169">BE469</f>
        <v>68.23954139288999</v>
      </c>
      <c r="CX469" s="1012">
        <f t="shared" ref="CX469:CX475" si="1170">BJ469</f>
        <v>75.590231841684002</v>
      </c>
      <c r="CY469" s="1012">
        <f t="shared" ref="CY469:CY475" si="1171">BO469</f>
        <v>76.47130685771188</v>
      </c>
      <c r="CZ469" s="1012">
        <f t="shared" ref="CZ469:CZ475" si="1172">BT469</f>
        <v>81.528298564717403</v>
      </c>
      <c r="DA469" s="1012">
        <f t="shared" ref="DA469:DC475" si="1173">BY469</f>
        <v>83.863746417568905</v>
      </c>
      <c r="DB469" s="1012">
        <f t="shared" si="1173"/>
        <v>90.146156735624544</v>
      </c>
      <c r="DC469" s="1877">
        <f t="shared" si="1173"/>
        <v>90.708194994474155</v>
      </c>
      <c r="DD469" s="331"/>
      <c r="DE469" s="331"/>
      <c r="DF469" s="502"/>
      <c r="DG469" s="503"/>
      <c r="DH469" s="598"/>
      <c r="DI469" s="3213"/>
      <c r="DJ469" s="502"/>
      <c r="DK469" s="503"/>
      <c r="DL469" s="502"/>
      <c r="DM469" s="502"/>
      <c r="DN469" s="502"/>
      <c r="DO469" s="502"/>
      <c r="DP469" s="503"/>
      <c r="DQ469" s="503"/>
      <c r="DR469" s="296"/>
      <c r="DS469" s="296"/>
      <c r="DT469" s="296"/>
    </row>
    <row r="470" spans="1:124" ht="12" customHeight="1" x14ac:dyDescent="0.25">
      <c r="A470" s="465" t="s">
        <v>1892</v>
      </c>
      <c r="B470" s="281"/>
      <c r="C470" s="472"/>
      <c r="D470" s="472"/>
      <c r="E470" s="472"/>
      <c r="F470" s="472"/>
      <c r="G470" s="491"/>
      <c r="H470" s="472"/>
      <c r="I470" s="472"/>
      <c r="J470" s="472"/>
      <c r="K470" s="472"/>
      <c r="L470" s="491"/>
      <c r="M470" s="472"/>
      <c r="N470" s="472"/>
      <c r="O470" s="472"/>
      <c r="P470" s="472"/>
      <c r="Q470" s="491"/>
      <c r="R470" s="472"/>
      <c r="S470" s="472"/>
      <c r="T470" s="472"/>
      <c r="U470" s="472"/>
      <c r="V470" s="491"/>
      <c r="W470" s="472"/>
      <c r="X470" s="472"/>
      <c r="Y470" s="472"/>
      <c r="Z470" s="472"/>
      <c r="AA470" s="491"/>
      <c r="AB470" s="472"/>
      <c r="AC470" s="472"/>
      <c r="AD470" s="472"/>
      <c r="AE470" s="492"/>
      <c r="AF470" s="493"/>
      <c r="AG470" s="472"/>
      <c r="AH470" s="472"/>
      <c r="AI470" s="472"/>
      <c r="AJ470" s="492"/>
      <c r="AK470" s="493"/>
      <c r="AL470" s="472"/>
      <c r="AM470" s="472"/>
      <c r="AN470" s="472"/>
      <c r="AO470" s="492"/>
      <c r="AP470" s="494"/>
      <c r="AQ470" s="494"/>
      <c r="AR470" s="492">
        <f t="shared" ref="AR470:BK470" si="1174">AR469/AR459</f>
        <v>0.3063718720431623</v>
      </c>
      <c r="AS470" s="492">
        <f t="shared" si="1174"/>
        <v>0.32511598079812376</v>
      </c>
      <c r="AT470" s="492">
        <f t="shared" si="1174"/>
        <v>0.33571428571428569</v>
      </c>
      <c r="AU470" s="470">
        <f t="shared" si="1174"/>
        <v>0.32533688322902587</v>
      </c>
      <c r="AV470" s="471">
        <f>AV469/AV459</f>
        <v>0.3457142857142857</v>
      </c>
      <c r="AW470" s="469">
        <f>AW469/AW459</f>
        <v>0.35571428571428571</v>
      </c>
      <c r="AX470" s="469">
        <f>AX469/AX459</f>
        <v>0.36571428571428566</v>
      </c>
      <c r="AY470" s="1463">
        <f>AY469/AY459</f>
        <v>0.39571428571428569</v>
      </c>
      <c r="AZ470" s="470">
        <f t="shared" si="1174"/>
        <v>0.35723873161110953</v>
      </c>
      <c r="BA470" s="471">
        <f>BA469/BA459</f>
        <v>0.33775154071294222</v>
      </c>
      <c r="BB470" s="469">
        <f>BB469/BB459</f>
        <v>0.351667010089591</v>
      </c>
      <c r="BC470" s="469">
        <f>BC469/BC459</f>
        <v>0.35773890607596853</v>
      </c>
      <c r="BD470" s="1463">
        <f>BD469/BD459</f>
        <v>0.37137894129893617</v>
      </c>
      <c r="BE470" s="1463">
        <f t="shared" si="1174"/>
        <v>0.35464387983213264</v>
      </c>
      <c r="BF470" s="469">
        <f t="shared" si="1174"/>
        <v>0.36397366201057157</v>
      </c>
      <c r="BG470" s="469">
        <f t="shared" si="1174"/>
        <v>0.37127004175358785</v>
      </c>
      <c r="BH470" s="469">
        <f t="shared" si="1174"/>
        <v>0.37480375182515979</v>
      </c>
      <c r="BI470" s="1463">
        <f t="shared" si="1174"/>
        <v>0.38394930179672282</v>
      </c>
      <c r="BJ470" s="1463">
        <f t="shared" si="1174"/>
        <v>0.37346945663692743</v>
      </c>
      <c r="BK470" s="469">
        <f t="shared" si="1174"/>
        <v>0.38216311642367923</v>
      </c>
      <c r="BL470" s="469">
        <f t="shared" ref="BL470:CF470" si="1175">BL469/BL459</f>
        <v>0.38384598792932018</v>
      </c>
      <c r="BM470" s="469">
        <f t="shared" si="1175"/>
        <v>0.36982197158411984</v>
      </c>
      <c r="BN470" s="1463">
        <f t="shared" si="1175"/>
        <v>0.38048246260968044</v>
      </c>
      <c r="BO470" s="469">
        <f t="shared" si="1175"/>
        <v>0.37927195624019316</v>
      </c>
      <c r="BP470" s="471">
        <f t="shared" si="1175"/>
        <v>0.39618208026667756</v>
      </c>
      <c r="BQ470" s="469">
        <f t="shared" si="1175"/>
        <v>0.38105062198773676</v>
      </c>
      <c r="BR470" s="469">
        <f t="shared" si="1175"/>
        <v>0.39074001017250132</v>
      </c>
      <c r="BS470" s="469">
        <f t="shared" si="1175"/>
        <v>0.3979417983606518</v>
      </c>
      <c r="BT470" s="470">
        <f t="shared" si="1175"/>
        <v>0.39133717759491227</v>
      </c>
      <c r="BU470" s="469">
        <f t="shared" si="1175"/>
        <v>0.40215996101991608</v>
      </c>
      <c r="BV470" s="469">
        <f t="shared" si="1175"/>
        <v>0.38156945016476024</v>
      </c>
      <c r="BW470" s="469">
        <f t="shared" si="1175"/>
        <v>0.39837917275787132</v>
      </c>
      <c r="BX470" s="469">
        <f t="shared" si="1175"/>
        <v>0.40350844019764048</v>
      </c>
      <c r="BY470" s="470">
        <f t="shared" si="1175"/>
        <v>0.39630026895743231</v>
      </c>
      <c r="BZ470" s="470">
        <f t="shared" si="1175"/>
        <v>0.40913792547987726</v>
      </c>
      <c r="CA470" s="470">
        <f t="shared" si="1175"/>
        <v>0.40852135637079906</v>
      </c>
      <c r="CB470" s="470">
        <f t="shared" si="1175"/>
        <v>0.40191029501342151</v>
      </c>
      <c r="CC470" s="470">
        <f t="shared" si="1175"/>
        <v>0.39593547415656122</v>
      </c>
      <c r="CD470" s="470">
        <f t="shared" si="1175"/>
        <v>0.39877644289732322</v>
      </c>
      <c r="CE470" s="470">
        <f t="shared" si="1175"/>
        <v>0.40236585607088793</v>
      </c>
      <c r="CF470" s="470">
        <f t="shared" si="1175"/>
        <v>0.40437509553975337</v>
      </c>
      <c r="CG470" s="331"/>
      <c r="CH470" s="331"/>
      <c r="CI470" s="331"/>
      <c r="CJ470" s="331"/>
      <c r="CK470" s="331"/>
      <c r="CL470" s="1310" t="str">
        <f t="shared" si="1166"/>
        <v>Margin</v>
      </c>
      <c r="CM470" s="492"/>
      <c r="CN470" s="492"/>
      <c r="CO470" s="492"/>
      <c r="CP470" s="492"/>
      <c r="CQ470" s="492"/>
      <c r="CR470" s="492"/>
      <c r="CS470" s="492"/>
      <c r="CT470" s="492"/>
      <c r="CU470" s="492">
        <f t="shared" si="1167"/>
        <v>0.32533688322902587</v>
      </c>
      <c r="CV470" s="492">
        <f t="shared" si="1168"/>
        <v>0.35723873161110953</v>
      </c>
      <c r="CW470" s="492">
        <f t="shared" si="1169"/>
        <v>0.35464387983213264</v>
      </c>
      <c r="CX470" s="492">
        <f t="shared" si="1170"/>
        <v>0.37346945663692743</v>
      </c>
      <c r="CY470" s="492">
        <f t="shared" si="1171"/>
        <v>0.37927195624019316</v>
      </c>
      <c r="CZ470" s="492">
        <f t="shared" si="1172"/>
        <v>0.39133717759491227</v>
      </c>
      <c r="DA470" s="492">
        <f t="shared" si="1173"/>
        <v>0.39630026895743231</v>
      </c>
      <c r="DB470" s="492">
        <f t="shared" si="1173"/>
        <v>0.40913792547987726</v>
      </c>
      <c r="DC470" s="1311">
        <f t="shared" si="1173"/>
        <v>0.40852135637079906</v>
      </c>
      <c r="DD470" s="331"/>
      <c r="DE470" s="331"/>
      <c r="DF470" s="502"/>
      <c r="DG470" s="503"/>
      <c r="DH470" s="469"/>
      <c r="DI470" s="3213"/>
      <c r="DJ470" s="502"/>
      <c r="DK470" s="503"/>
      <c r="DL470" s="502"/>
      <c r="DM470" s="502"/>
      <c r="DN470" s="502"/>
      <c r="DO470" s="502"/>
      <c r="DP470" s="503"/>
      <c r="DQ470" s="503"/>
      <c r="DR470" s="296"/>
      <c r="DS470" s="296"/>
      <c r="DT470" s="296"/>
    </row>
    <row r="471" spans="1:124" ht="12" customHeight="1" x14ac:dyDescent="0.25">
      <c r="A471" s="465" t="s">
        <v>1491</v>
      </c>
      <c r="B471" s="281"/>
      <c r="C471" s="472"/>
      <c r="D471" s="472"/>
      <c r="E471" s="472"/>
      <c r="F471" s="472"/>
      <c r="G471" s="491"/>
      <c r="H471" s="472"/>
      <c r="I471" s="472"/>
      <c r="J471" s="472"/>
      <c r="K471" s="472"/>
      <c r="L471" s="491"/>
      <c r="M471" s="472"/>
      <c r="N471" s="472"/>
      <c r="O471" s="472"/>
      <c r="P471" s="472"/>
      <c r="Q471" s="491"/>
      <c r="R471" s="472"/>
      <c r="S471" s="472"/>
      <c r="T471" s="472"/>
      <c r="U471" s="472"/>
      <c r="V471" s="491"/>
      <c r="W471" s="472"/>
      <c r="X471" s="472"/>
      <c r="Y471" s="472"/>
      <c r="Z471" s="472"/>
      <c r="AA471" s="491"/>
      <c r="AB471" s="472"/>
      <c r="AC471" s="472"/>
      <c r="AD471" s="472"/>
      <c r="AE471" s="492"/>
      <c r="AF471" s="493"/>
      <c r="AG471" s="472"/>
      <c r="AH471" s="472"/>
      <c r="AI471" s="472"/>
      <c r="AJ471" s="492"/>
      <c r="AK471" s="493"/>
      <c r="AL471" s="472"/>
      <c r="AM471" s="472"/>
      <c r="AN471" s="472"/>
      <c r="AO471" s="492"/>
      <c r="AP471" s="494"/>
      <c r="AQ471" s="494"/>
      <c r="AR471" s="492"/>
      <c r="AS471" s="492"/>
      <c r="AT471" s="492"/>
      <c r="AU471" s="470" t="s">
        <v>553</v>
      </c>
      <c r="AV471" s="471" t="s">
        <v>553</v>
      </c>
      <c r="AW471" s="469" t="s">
        <v>553</v>
      </c>
      <c r="AX471" s="469" t="s">
        <v>553</v>
      </c>
      <c r="AY471" s="1463" t="s">
        <v>553</v>
      </c>
      <c r="AZ471" s="470" t="s">
        <v>553</v>
      </c>
      <c r="BA471" s="471">
        <f t="shared" ref="BA471:BJ471" si="1176">(BA469-AV469)/AV469</f>
        <v>-7.8800921214632128E-2</v>
      </c>
      <c r="BB471" s="469">
        <f t="shared" si="1176"/>
        <v>-3.8230251545085313E-3</v>
      </c>
      <c r="BC471" s="469">
        <f t="shared" si="1176"/>
        <v>1.1669948370406665E-2</v>
      </c>
      <c r="BD471" s="1463">
        <f t="shared" si="1176"/>
        <v>-4.7570121217620921E-2</v>
      </c>
      <c r="BE471" s="1463">
        <f t="shared" si="1176"/>
        <v>4.5415013205295897E-3</v>
      </c>
      <c r="BF471" s="469">
        <f t="shared" si="1176"/>
        <v>0.14215631142158375</v>
      </c>
      <c r="BG471" s="469">
        <f t="shared" si="1176"/>
        <v>0.11034453000382992</v>
      </c>
      <c r="BH471" s="469">
        <f t="shared" si="1176"/>
        <v>9.4154766061668005E-2</v>
      </c>
      <c r="BI471" s="1463">
        <f t="shared" si="1176"/>
        <v>8.7683035264241205E-2</v>
      </c>
      <c r="BJ471" s="1463">
        <f t="shared" si="1176"/>
        <v>0.10771893097100876</v>
      </c>
      <c r="BK471" s="469">
        <f t="shared" ref="BK471:BT471" si="1177">(BK469-BF469)/BF469</f>
        <v>0.13514926587777534</v>
      </c>
      <c r="BL471" s="469">
        <f t="shared" si="1177"/>
        <v>4.547571518551366E-2</v>
      </c>
      <c r="BM471" s="469">
        <f t="shared" si="1177"/>
        <v>-7.7409958595518705E-2</v>
      </c>
      <c r="BN471" s="1463">
        <f t="shared" si="1177"/>
        <v>-4.9676367968047537E-2</v>
      </c>
      <c r="BO471" s="469">
        <f t="shared" si="1177"/>
        <v>1.165593747447686E-2</v>
      </c>
      <c r="BP471" s="471">
        <f t="shared" si="1177"/>
        <v>-7.1568228725259276E-5</v>
      </c>
      <c r="BQ471" s="469">
        <f t="shared" si="1177"/>
        <v>2.8806617060079002E-3</v>
      </c>
      <c r="BR471" s="469">
        <f t="shared" si="1177"/>
        <v>0.1486590302840233</v>
      </c>
      <c r="BS471" s="469">
        <f t="shared" si="1177"/>
        <v>0.13152883646068539</v>
      </c>
      <c r="BT471" s="470">
        <f t="shared" si="1177"/>
        <v>6.6129270111924876E-2</v>
      </c>
      <c r="BU471" s="469">
        <f>(BU469-BP469)/BP469</f>
        <v>4.6853667662604091E-2</v>
      </c>
      <c r="BV471" s="469">
        <f>(BV469-BQ469)/BQ469</f>
        <v>3.0697543976695549E-3</v>
      </c>
      <c r="BW471" s="469">
        <f>(BW469-BR469)/BR469</f>
        <v>3.0907529257142352E-2</v>
      </c>
      <c r="BX471" s="469">
        <f>(BX469-BS469)/BS469</f>
        <v>3.3989980313888918E-2</v>
      </c>
      <c r="BY471" s="470">
        <f>(BY469-BT469)/BT469</f>
        <v>2.8645855414210764E-2</v>
      </c>
      <c r="BZ471" s="470">
        <f t="shared" ref="BZ471:CF471" si="1178">(BZ469-BY469)/BY469</f>
        <v>7.4912111447712704E-2</v>
      </c>
      <c r="CA471" s="470">
        <f t="shared" si="1178"/>
        <v>6.2347445437737825E-3</v>
      </c>
      <c r="CB471" s="470">
        <f t="shared" si="1178"/>
        <v>-6.7927381169761908E-2</v>
      </c>
      <c r="CC471" s="470">
        <f t="shared" si="1178"/>
        <v>-6.4122752973590214E-2</v>
      </c>
      <c r="CD471" s="470">
        <f t="shared" si="1178"/>
        <v>2.7318839317821132E-2</v>
      </c>
      <c r="CE471" s="470">
        <f t="shared" si="1178"/>
        <v>3.2000761767288881E-2</v>
      </c>
      <c r="CF471" s="470">
        <f t="shared" si="1178"/>
        <v>2.2292633076974006E-2</v>
      </c>
      <c r="CG471" s="331"/>
      <c r="CH471" s="331"/>
      <c r="CI471" s="331"/>
      <c r="CJ471" s="331"/>
      <c r="CK471" s="331"/>
      <c r="CL471" s="1310" t="str">
        <f t="shared" si="1166"/>
        <v>% growth (y-o-y)</v>
      </c>
      <c r="CM471" s="492"/>
      <c r="CN471" s="492"/>
      <c r="CO471" s="492"/>
      <c r="CP471" s="492"/>
      <c r="CQ471" s="492"/>
      <c r="CR471" s="492"/>
      <c r="CS471" s="492"/>
      <c r="CT471" s="492"/>
      <c r="CU471" s="492" t="str">
        <f t="shared" si="1167"/>
        <v xml:space="preserve">n/a </v>
      </c>
      <c r="CV471" s="492" t="str">
        <f t="shared" si="1168"/>
        <v xml:space="preserve">n/a </v>
      </c>
      <c r="CW471" s="492">
        <f t="shared" si="1169"/>
        <v>4.5415013205295897E-3</v>
      </c>
      <c r="CX471" s="492">
        <f t="shared" si="1170"/>
        <v>0.10771893097100876</v>
      </c>
      <c r="CY471" s="492">
        <f t="shared" si="1171"/>
        <v>1.165593747447686E-2</v>
      </c>
      <c r="CZ471" s="492">
        <f t="shared" si="1172"/>
        <v>6.6129270111924876E-2</v>
      </c>
      <c r="DA471" s="492">
        <f t="shared" si="1173"/>
        <v>2.8645855414210764E-2</v>
      </c>
      <c r="DB471" s="492">
        <f t="shared" si="1173"/>
        <v>7.4912111447712704E-2</v>
      </c>
      <c r="DC471" s="1311">
        <f t="shared" si="1173"/>
        <v>6.2347445437737825E-3</v>
      </c>
      <c r="DD471" s="331"/>
      <c r="DE471" s="331"/>
      <c r="DF471" s="502"/>
      <c r="DG471" s="503"/>
      <c r="DH471" s="469"/>
      <c r="DI471" s="3213"/>
      <c r="DJ471" s="502"/>
      <c r="DK471" s="503"/>
      <c r="DL471" s="502"/>
      <c r="DM471" s="502"/>
      <c r="DN471" s="502"/>
      <c r="DO471" s="502"/>
      <c r="DP471" s="503"/>
      <c r="DQ471" s="503"/>
      <c r="DR471" s="296"/>
      <c r="DS471" s="296"/>
      <c r="DT471" s="296"/>
    </row>
    <row r="472" spans="1:124" ht="12" customHeight="1" x14ac:dyDescent="0.25">
      <c r="A472" s="281" t="s">
        <v>2197</v>
      </c>
      <c r="B472" s="281"/>
      <c r="C472" s="570"/>
      <c r="D472" s="570"/>
      <c r="E472" s="570"/>
      <c r="F472" s="570"/>
      <c r="G472" s="475"/>
      <c r="H472" s="570"/>
      <c r="I472" s="570"/>
      <c r="J472" s="570"/>
      <c r="K472" s="570"/>
      <c r="L472" s="475"/>
      <c r="M472" s="570"/>
      <c r="N472" s="570"/>
      <c r="O472" s="570"/>
      <c r="P472" s="570"/>
      <c r="Q472" s="475"/>
      <c r="R472" s="570"/>
      <c r="S472" s="570"/>
      <c r="T472" s="570"/>
      <c r="U472" s="570"/>
      <c r="V472" s="475"/>
      <c r="W472" s="570"/>
      <c r="X472" s="570"/>
      <c r="Y472" s="570"/>
      <c r="Z472" s="570"/>
      <c r="AA472" s="475"/>
      <c r="AB472" s="570"/>
      <c r="AC472" s="570"/>
      <c r="AD472" s="570"/>
      <c r="AE472" s="572"/>
      <c r="AF472" s="477"/>
      <c r="AG472" s="570"/>
      <c r="AH472" s="570"/>
      <c r="AI472" s="570"/>
      <c r="AJ472" s="572"/>
      <c r="AK472" s="477"/>
      <c r="AL472" s="570"/>
      <c r="AM472" s="570"/>
      <c r="AN472" s="570"/>
      <c r="AO472" s="572"/>
      <c r="AP472" s="478"/>
      <c r="AQ472" s="478"/>
      <c r="AR472" s="476">
        <f>+AS472*0.33</f>
        <v>1.5046875</v>
      </c>
      <c r="AS472" s="476">
        <f>-OHIO!C32*0.25</f>
        <v>4.5596590909090908</v>
      </c>
      <c r="AT472" s="476">
        <f>+AS472</f>
        <v>4.5596590909090908</v>
      </c>
      <c r="AU472" s="477">
        <f>+SUM(AQ472:AT472)</f>
        <v>10.624005681818183</v>
      </c>
      <c r="AV472" s="478">
        <f>AZ472/4</f>
        <v>4.5596590909090908</v>
      </c>
      <c r="AW472" s="476">
        <f>AV472</f>
        <v>4.5596590909090908</v>
      </c>
      <c r="AX472" s="476">
        <f>AW472</f>
        <v>4.5596590909090908</v>
      </c>
      <c r="AY472" s="682">
        <f>AX472</f>
        <v>4.5596590909090908</v>
      </c>
      <c r="AZ472" s="477">
        <f>-OHIO!C32</f>
        <v>18.238636363636363</v>
      </c>
      <c r="BA472" s="478">
        <f>AY472</f>
        <v>4.5596590909090908</v>
      </c>
      <c r="BB472" s="476">
        <f>BA472</f>
        <v>4.5596590909090908</v>
      </c>
      <c r="BC472" s="476">
        <f>BB472</f>
        <v>4.5596590909090908</v>
      </c>
      <c r="BD472" s="682">
        <f>BC472</f>
        <v>4.5596590909090908</v>
      </c>
      <c r="BE472" s="682">
        <f>SUM(BA472:BD472)</f>
        <v>18.238636363636363</v>
      </c>
      <c r="BF472" s="476">
        <f>BD472</f>
        <v>4.5596590909090908</v>
      </c>
      <c r="BG472" s="476">
        <f>BF472</f>
        <v>4.5596590909090908</v>
      </c>
      <c r="BH472" s="476">
        <f>BG472</f>
        <v>4.5596590909090908</v>
      </c>
      <c r="BI472" s="682">
        <f>BH472</f>
        <v>4.5596590909090908</v>
      </c>
      <c r="BJ472" s="682">
        <f>SUM(BF472:BI472)</f>
        <v>18.238636363636363</v>
      </c>
      <c r="BK472" s="476">
        <f>BJ472/4</f>
        <v>4.5596590909090908</v>
      </c>
      <c r="BL472" s="476">
        <f>BK472</f>
        <v>4.5596590909090908</v>
      </c>
      <c r="BM472" s="476">
        <f>BL472</f>
        <v>4.5596590909090908</v>
      </c>
      <c r="BN472" s="682">
        <f>BM472</f>
        <v>4.5596590909090908</v>
      </c>
      <c r="BO472" s="682">
        <f>SUM(BK472:BN472)</f>
        <v>18.238636363636363</v>
      </c>
      <c r="BP472" s="476">
        <f>+BN472</f>
        <v>4.5596590909090908</v>
      </c>
      <c r="BQ472" s="476">
        <f>BP472</f>
        <v>4.5596590909090908</v>
      </c>
      <c r="BR472" s="476">
        <f>BQ472</f>
        <v>4.5596590909090908</v>
      </c>
      <c r="BS472" s="476">
        <f>BR472</f>
        <v>4.5596590909090908</v>
      </c>
      <c r="BT472" s="2604">
        <f>SUM(BP472:BS472)</f>
        <v>18.238636363636363</v>
      </c>
      <c r="BU472" s="2577">
        <f>BS472</f>
        <v>4.5596590909090908</v>
      </c>
      <c r="BV472" s="2577">
        <f>BU472</f>
        <v>4.5596590909090908</v>
      </c>
      <c r="BW472" s="2577">
        <f>BV472</f>
        <v>4.5596590909090908</v>
      </c>
      <c r="BX472" s="2577">
        <f>BW472</f>
        <v>4.5596590909090908</v>
      </c>
      <c r="BY472" s="2604">
        <f>SUM(BU472:BX472)</f>
        <v>18.238636363636363</v>
      </c>
      <c r="BZ472" s="477">
        <f t="shared" ref="BZ472:CF472" si="1179">BY472</f>
        <v>18.238636363636363</v>
      </c>
      <c r="CA472" s="477">
        <f t="shared" si="1179"/>
        <v>18.238636363636363</v>
      </c>
      <c r="CB472" s="477">
        <f t="shared" si="1179"/>
        <v>18.238636363636363</v>
      </c>
      <c r="CC472" s="477">
        <f t="shared" si="1179"/>
        <v>18.238636363636363</v>
      </c>
      <c r="CD472" s="477">
        <f t="shared" si="1179"/>
        <v>18.238636363636363</v>
      </c>
      <c r="CE472" s="477">
        <f t="shared" si="1179"/>
        <v>18.238636363636363</v>
      </c>
      <c r="CF472" s="477">
        <f t="shared" si="1179"/>
        <v>18.238636363636363</v>
      </c>
      <c r="CG472" s="331"/>
      <c r="CH472" s="331"/>
      <c r="CI472" s="331"/>
      <c r="CJ472" s="331"/>
      <c r="CK472" s="331"/>
      <c r="CL472" s="520" t="str">
        <f t="shared" si="1166"/>
        <v>Depreciation and amortization</v>
      </c>
      <c r="CM472" s="476"/>
      <c r="CN472" s="476"/>
      <c r="CO472" s="476"/>
      <c r="CP472" s="476"/>
      <c r="CQ472" s="476"/>
      <c r="CR472" s="476"/>
      <c r="CS472" s="476"/>
      <c r="CT472" s="476"/>
      <c r="CU472" s="476">
        <f t="shared" si="1167"/>
        <v>10.624005681818183</v>
      </c>
      <c r="CV472" s="476">
        <f t="shared" si="1168"/>
        <v>18.238636363636363</v>
      </c>
      <c r="CW472" s="476">
        <f t="shared" si="1169"/>
        <v>18.238636363636363</v>
      </c>
      <c r="CX472" s="476">
        <f t="shared" si="1170"/>
        <v>18.238636363636363</v>
      </c>
      <c r="CY472" s="476">
        <f t="shared" si="1171"/>
        <v>18.238636363636363</v>
      </c>
      <c r="CZ472" s="476">
        <f t="shared" si="1172"/>
        <v>18.238636363636363</v>
      </c>
      <c r="DA472" s="476">
        <f t="shared" si="1173"/>
        <v>18.238636363636363</v>
      </c>
      <c r="DB472" s="476">
        <f t="shared" si="1173"/>
        <v>18.238636363636363</v>
      </c>
      <c r="DC472" s="682">
        <f t="shared" si="1173"/>
        <v>18.238636363636363</v>
      </c>
      <c r="DD472" s="331"/>
      <c r="DE472" s="331"/>
      <c r="DF472" s="502"/>
      <c r="DG472" s="503"/>
      <c r="DH472" s="2577"/>
      <c r="DI472" s="3213"/>
      <c r="DJ472" s="502"/>
      <c r="DK472" s="503"/>
      <c r="DL472" s="502"/>
      <c r="DM472" s="502"/>
      <c r="DN472" s="502"/>
      <c r="DO472" s="502"/>
      <c r="DP472" s="503"/>
      <c r="DQ472" s="503"/>
      <c r="DR472" s="296"/>
      <c r="DS472" s="296"/>
      <c r="DT472" s="296"/>
    </row>
    <row r="473" spans="1:124" ht="12" customHeight="1" x14ac:dyDescent="0.25">
      <c r="A473" s="465" t="s">
        <v>646</v>
      </c>
      <c r="B473" s="281"/>
      <c r="C473" s="472"/>
      <c r="D473" s="472"/>
      <c r="E473" s="472"/>
      <c r="F473" s="472"/>
      <c r="G473" s="491"/>
      <c r="H473" s="472"/>
      <c r="I473" s="472"/>
      <c r="J473" s="472"/>
      <c r="K473" s="472"/>
      <c r="L473" s="491"/>
      <c r="M473" s="472"/>
      <c r="N473" s="472"/>
      <c r="O473" s="472"/>
      <c r="P473" s="472"/>
      <c r="Q473" s="491"/>
      <c r="R473" s="472"/>
      <c r="S473" s="472"/>
      <c r="T473" s="472"/>
      <c r="U473" s="472"/>
      <c r="V473" s="491"/>
      <c r="W473" s="472"/>
      <c r="X473" s="472"/>
      <c r="Y473" s="472"/>
      <c r="Z473" s="472"/>
      <c r="AA473" s="491"/>
      <c r="AB473" s="472"/>
      <c r="AC473" s="472"/>
      <c r="AD473" s="472"/>
      <c r="AE473" s="492"/>
      <c r="AF473" s="493"/>
      <c r="AG473" s="472"/>
      <c r="AH473" s="472"/>
      <c r="AI473" s="472"/>
      <c r="AJ473" s="492"/>
      <c r="AK473" s="493"/>
      <c r="AL473" s="472"/>
      <c r="AM473" s="472"/>
      <c r="AN473" s="472"/>
      <c r="AO473" s="492"/>
      <c r="AP473" s="494"/>
      <c r="AQ473" s="494"/>
      <c r="AR473" s="492">
        <f t="shared" ref="AR473:BK473" si="1180">AR472/AR459</f>
        <v>6.3108039075554123E-2</v>
      </c>
      <c r="AS473" s="492">
        <f t="shared" si="1180"/>
        <v>8.354390213839076E-2</v>
      </c>
      <c r="AT473" s="492">
        <f t="shared" si="1180"/>
        <v>0.10192448817994521</v>
      </c>
      <c r="AU473" s="470">
        <f t="shared" si="1180"/>
        <v>8.6264131919153289E-2</v>
      </c>
      <c r="AV473" s="471">
        <f>AV472/AV459</f>
        <v>9.2626982859208326E-2</v>
      </c>
      <c r="AW473" s="469">
        <f>AW472/AW459</f>
        <v>9.171223805147824E-2</v>
      </c>
      <c r="AX473" s="469">
        <f>AX472/AX459</f>
        <v>9.5753174340794597E-2</v>
      </c>
      <c r="AY473" s="1463">
        <f>AY472/AY459</f>
        <v>9.9180698585303664E-2</v>
      </c>
      <c r="AZ473" s="470">
        <f t="shared" si="1180"/>
        <v>9.5914151150865309E-2</v>
      </c>
      <c r="BA473" s="471">
        <f>BA472/BA459</f>
        <v>9.8234499289492586E-2</v>
      </c>
      <c r="BB473" s="469">
        <f>BB472/BB459</f>
        <v>9.1016706068151432E-2</v>
      </c>
      <c r="BC473" s="469">
        <f>BC472/BC459</f>
        <v>9.2584562812488447E-2</v>
      </c>
      <c r="BD473" s="1463">
        <f>BD472/BD459</f>
        <v>9.7730404542841362E-2</v>
      </c>
      <c r="BE473" s="1463">
        <f t="shared" si="1180"/>
        <v>9.4786990516342415E-2</v>
      </c>
      <c r="BF473" s="469">
        <f t="shared" si="1180"/>
        <v>9.2685353634453529E-2</v>
      </c>
      <c r="BG473" s="469">
        <f t="shared" si="1180"/>
        <v>8.6540945269812278E-2</v>
      </c>
      <c r="BH473" s="469">
        <f t="shared" si="1180"/>
        <v>8.8653845518495714E-2</v>
      </c>
      <c r="BI473" s="1463">
        <f t="shared" si="1180"/>
        <v>9.2893205603919449E-2</v>
      </c>
      <c r="BJ473" s="1463">
        <f t="shared" si="1180"/>
        <v>9.0111823268275215E-2</v>
      </c>
      <c r="BK473" s="469">
        <f t="shared" si="1180"/>
        <v>8.5730814589699486E-2</v>
      </c>
      <c r="BL473" s="469">
        <f t="shared" ref="BL473:CF473" si="1181">BL472/BL459</f>
        <v>8.5580493015201056E-2</v>
      </c>
      <c r="BM473" s="469">
        <f t="shared" si="1181"/>
        <v>9.4815119378438159E-2</v>
      </c>
      <c r="BN473" s="1463">
        <f t="shared" si="1181"/>
        <v>9.6866405095477615E-2</v>
      </c>
      <c r="BO473" s="1463">
        <f t="shared" si="1181"/>
        <v>9.0457500689257397E-2</v>
      </c>
      <c r="BP473" s="469">
        <f t="shared" si="1181"/>
        <v>8.8882055847610969E-2</v>
      </c>
      <c r="BQ473" s="469">
        <f t="shared" si="1181"/>
        <v>8.4713221262480473E-2</v>
      </c>
      <c r="BR473" s="469">
        <f t="shared" si="1181"/>
        <v>8.7213082952260129E-2</v>
      </c>
      <c r="BS473" s="469">
        <f t="shared" si="1181"/>
        <v>8.9534924287781911E-2</v>
      </c>
      <c r="BT473" s="470">
        <f t="shared" si="1181"/>
        <v>8.7545755319052246E-2</v>
      </c>
      <c r="BU473" s="469">
        <f t="shared" si="1181"/>
        <v>8.6185085031493636E-2</v>
      </c>
      <c r="BV473" s="469">
        <f t="shared" si="1181"/>
        <v>8.4568958551201417E-2</v>
      </c>
      <c r="BW473" s="469">
        <f t="shared" si="1181"/>
        <v>8.6252296942939774E-2</v>
      </c>
      <c r="BX473" s="469">
        <f t="shared" si="1181"/>
        <v>8.7802969784433166E-2</v>
      </c>
      <c r="BY473" s="470">
        <f t="shared" si="1181"/>
        <v>8.6187140511667898E-2</v>
      </c>
      <c r="BZ473" s="470">
        <f t="shared" si="1181"/>
        <v>8.2777992047786381E-2</v>
      </c>
      <c r="CA473" s="470">
        <f t="shared" si="1181"/>
        <v>8.2141117085180723E-2</v>
      </c>
      <c r="CB473" s="470">
        <f t="shared" si="1181"/>
        <v>8.6701222359556324E-2</v>
      </c>
      <c r="CC473" s="470">
        <f t="shared" si="1181"/>
        <v>9.1264444589006663E-2</v>
      </c>
      <c r="CD473" s="470">
        <f t="shared" si="1181"/>
        <v>8.9474945675496742E-2</v>
      </c>
      <c r="CE473" s="470">
        <f t="shared" si="1181"/>
        <v>8.748086138314666E-2</v>
      </c>
      <c r="CF473" s="470">
        <f t="shared" si="1181"/>
        <v>8.6000524486252131E-2</v>
      </c>
      <c r="CG473" s="331"/>
      <c r="CH473" s="331"/>
      <c r="CI473" s="331"/>
      <c r="CJ473" s="331"/>
      <c r="CK473" s="331"/>
      <c r="CL473" s="1310" t="str">
        <f t="shared" si="1166"/>
        <v>% of Net revenue</v>
      </c>
      <c r="CM473" s="492"/>
      <c r="CN473" s="492"/>
      <c r="CO473" s="492"/>
      <c r="CP473" s="492"/>
      <c r="CQ473" s="492"/>
      <c r="CR473" s="492"/>
      <c r="CS473" s="492"/>
      <c r="CT473" s="492"/>
      <c r="CU473" s="492">
        <f t="shared" si="1167"/>
        <v>8.6264131919153289E-2</v>
      </c>
      <c r="CV473" s="492">
        <f t="shared" si="1168"/>
        <v>9.5914151150865309E-2</v>
      </c>
      <c r="CW473" s="492">
        <f t="shared" si="1169"/>
        <v>9.4786990516342415E-2</v>
      </c>
      <c r="CX473" s="492">
        <f t="shared" si="1170"/>
        <v>9.0111823268275215E-2</v>
      </c>
      <c r="CY473" s="492">
        <f t="shared" si="1171"/>
        <v>9.0457500689257397E-2</v>
      </c>
      <c r="CZ473" s="492">
        <f t="shared" si="1172"/>
        <v>8.7545755319052246E-2</v>
      </c>
      <c r="DA473" s="492">
        <f t="shared" si="1173"/>
        <v>8.6187140511667898E-2</v>
      </c>
      <c r="DB473" s="492">
        <f t="shared" si="1173"/>
        <v>8.2777992047786381E-2</v>
      </c>
      <c r="DC473" s="1311">
        <f t="shared" si="1173"/>
        <v>8.2141117085180723E-2</v>
      </c>
      <c r="DD473" s="331"/>
      <c r="DE473" s="331"/>
      <c r="DF473" s="502"/>
      <c r="DG473" s="503"/>
      <c r="DH473" s="469"/>
      <c r="DI473" s="3213"/>
      <c r="DJ473" s="502"/>
      <c r="DK473" s="503"/>
      <c r="DL473" s="502"/>
      <c r="DM473" s="502"/>
      <c r="DN473" s="502"/>
      <c r="DO473" s="502"/>
      <c r="DP473" s="503"/>
      <c r="DQ473" s="503"/>
      <c r="DR473" s="296"/>
      <c r="DS473" s="296"/>
      <c r="DT473" s="296"/>
    </row>
    <row r="474" spans="1:124" ht="12" customHeight="1" x14ac:dyDescent="0.25">
      <c r="A474" s="333" t="s">
        <v>2226</v>
      </c>
      <c r="B474" s="333"/>
      <c r="C474" s="593"/>
      <c r="D474" s="593"/>
      <c r="E474" s="593"/>
      <c r="F474" s="593"/>
      <c r="G474" s="594"/>
      <c r="H474" s="593"/>
      <c r="I474" s="593"/>
      <c r="J474" s="593"/>
      <c r="K474" s="593"/>
      <c r="L474" s="594"/>
      <c r="M474" s="593"/>
      <c r="N474" s="593"/>
      <c r="O474" s="593"/>
      <c r="P474" s="593"/>
      <c r="Q474" s="594"/>
      <c r="R474" s="593"/>
      <c r="S474" s="593"/>
      <c r="T474" s="593"/>
      <c r="U474" s="593"/>
      <c r="V474" s="594"/>
      <c r="W474" s="593"/>
      <c r="X474" s="593"/>
      <c r="Y474" s="593"/>
      <c r="Z474" s="593"/>
      <c r="AA474" s="594"/>
      <c r="AB474" s="593"/>
      <c r="AC474" s="593"/>
      <c r="AD474" s="593"/>
      <c r="AE474" s="595"/>
      <c r="AF474" s="596"/>
      <c r="AG474" s="593"/>
      <c r="AH474" s="593"/>
      <c r="AI474" s="593"/>
      <c r="AJ474" s="595"/>
      <c r="AK474" s="596"/>
      <c r="AL474" s="593"/>
      <c r="AM474" s="593"/>
      <c r="AN474" s="593"/>
      <c r="AO474" s="595"/>
      <c r="AP474" s="597"/>
      <c r="AQ474" s="597"/>
      <c r="AR474" s="598">
        <f>AR469-AR472</f>
        <v>5.8001493000000002</v>
      </c>
      <c r="AS474" s="598">
        <f>AS469-AS472</f>
        <v>13.18452090909091</v>
      </c>
      <c r="AT474" s="598">
        <f>AT469-AT472</f>
        <v>10.458740531590909</v>
      </c>
      <c r="AU474" s="596">
        <f>+SUM(AQ474:AT474)</f>
        <v>29.44341074068182</v>
      </c>
      <c r="AV474" s="597">
        <f t="shared" ref="AV474:BE474" si="1182">AV469-AV472</f>
        <v>12.45848440309091</v>
      </c>
      <c r="AW474" s="598">
        <f t="shared" si="1182"/>
        <v>13.125394846090909</v>
      </c>
      <c r="AX474" s="598">
        <f t="shared" si="1182"/>
        <v>12.855246253090908</v>
      </c>
      <c r="AY474" s="1922">
        <f t="shared" si="1182"/>
        <v>13.632612853090908</v>
      </c>
      <c r="AZ474" s="596">
        <f t="shared" si="1182"/>
        <v>49.692396155363653</v>
      </c>
      <c r="BA474" s="597">
        <f t="shared" si="1182"/>
        <v>11.117439018400912</v>
      </c>
      <c r="BB474" s="598">
        <f t="shared" si="1182"/>
        <v>13.057784440030918</v>
      </c>
      <c r="BC474" s="598">
        <f t="shared" si="1182"/>
        <v>13.058477299330907</v>
      </c>
      <c r="BD474" s="1922">
        <f t="shared" si="1182"/>
        <v>12.767204271490904</v>
      </c>
      <c r="BE474" s="1922">
        <f t="shared" si="1182"/>
        <v>50.00090502925363</v>
      </c>
      <c r="BF474" s="598">
        <f t="shared" ref="BF474:BO474" si="1183">BF469-BF472</f>
        <v>13.346037459414706</v>
      </c>
      <c r="BG474" s="598">
        <f t="shared" si="1183"/>
        <v>15.001772966321507</v>
      </c>
      <c r="BH474" s="598">
        <f t="shared" si="1183"/>
        <v>14.717308809596513</v>
      </c>
      <c r="BI474" s="1922">
        <f t="shared" si="1183"/>
        <v>14.286476242714912</v>
      </c>
      <c r="BJ474" s="1922">
        <f t="shared" si="1183"/>
        <v>57.351595478047642</v>
      </c>
      <c r="BK474" s="598">
        <f t="shared" si="1183"/>
        <v>15.765979203221182</v>
      </c>
      <c r="BL474" s="598">
        <f t="shared" si="1183"/>
        <v>15.891343079176902</v>
      </c>
      <c r="BM474" s="598">
        <f t="shared" si="1183"/>
        <v>13.225079522571232</v>
      </c>
      <c r="BN474" s="1922">
        <f t="shared" si="1183"/>
        <v>13.350268689106183</v>
      </c>
      <c r="BO474" s="1922">
        <f t="shared" si="1183"/>
        <v>58.232670494075521</v>
      </c>
      <c r="BP474" s="598">
        <f t="shared" ref="BP474:CF474" si="1184">BP469-BP472</f>
        <v>15.764524533290761</v>
      </c>
      <c r="BQ474" s="598">
        <f t="shared" si="1184"/>
        <v>15.950255497977754</v>
      </c>
      <c r="BR474" s="598">
        <f t="shared" si="1184"/>
        <v>15.868941518706041</v>
      </c>
      <c r="BS474" s="598">
        <f t="shared" si="1184"/>
        <v>15.705940651106499</v>
      </c>
      <c r="BT474" s="596">
        <f t="shared" si="1184"/>
        <v>63.289662201081043</v>
      </c>
      <c r="BU474" s="598">
        <f t="shared" si="1184"/>
        <v>16.716787078332761</v>
      </c>
      <c r="BV474" s="598">
        <f>BV469-BV472</f>
        <v>16.013215898482816</v>
      </c>
      <c r="BW474" s="598">
        <f>BW469-BW472</f>
        <v>16.500339089730197</v>
      </c>
      <c r="BX474" s="598">
        <f>BX469-BX472</f>
        <v>16.394767987386761</v>
      </c>
      <c r="BY474" s="596">
        <f>BY469-BY472</f>
        <v>65.625110053932545</v>
      </c>
      <c r="BZ474" s="596">
        <f t="shared" si="1184"/>
        <v>71.907520371988184</v>
      </c>
      <c r="CA474" s="596">
        <f t="shared" si="1184"/>
        <v>72.469558630837795</v>
      </c>
      <c r="CB474" s="596">
        <f t="shared" si="1184"/>
        <v>66.307988494227061</v>
      </c>
      <c r="CC474" s="596">
        <f t="shared" si="1184"/>
        <v>60.886626153715483</v>
      </c>
      <c r="CD474" s="596">
        <f t="shared" si="1184"/>
        <v>63.048236486407433</v>
      </c>
      <c r="CE474" s="596">
        <f t="shared" si="1184"/>
        <v>65.649478339289587</v>
      </c>
      <c r="CF474" s="596">
        <f t="shared" si="1184"/>
        <v>67.519565299881023</v>
      </c>
      <c r="CG474" s="502"/>
      <c r="CH474" s="502"/>
      <c r="CI474" s="502"/>
      <c r="CJ474" s="502"/>
      <c r="CK474" s="502"/>
      <c r="CL474" s="1149" t="str">
        <f t="shared" si="1166"/>
        <v>Operating Income</v>
      </c>
      <c r="CM474" s="598"/>
      <c r="CN474" s="598"/>
      <c r="CO474" s="598"/>
      <c r="CP474" s="598"/>
      <c r="CQ474" s="598"/>
      <c r="CR474" s="598"/>
      <c r="CS474" s="598"/>
      <c r="CT474" s="598"/>
      <c r="CU474" s="598">
        <f t="shared" si="1167"/>
        <v>29.44341074068182</v>
      </c>
      <c r="CV474" s="598">
        <f t="shared" si="1168"/>
        <v>49.692396155363653</v>
      </c>
      <c r="CW474" s="598">
        <f t="shared" si="1169"/>
        <v>50.00090502925363</v>
      </c>
      <c r="CX474" s="598">
        <f t="shared" si="1170"/>
        <v>57.351595478047642</v>
      </c>
      <c r="CY474" s="598">
        <f t="shared" si="1171"/>
        <v>58.232670494075521</v>
      </c>
      <c r="CZ474" s="598">
        <f t="shared" si="1172"/>
        <v>63.289662201081043</v>
      </c>
      <c r="DA474" s="598">
        <f t="shared" si="1173"/>
        <v>65.625110053932545</v>
      </c>
      <c r="DB474" s="598">
        <f t="shared" si="1173"/>
        <v>71.907520371988184</v>
      </c>
      <c r="DC474" s="1922">
        <f t="shared" si="1173"/>
        <v>72.469558630837795</v>
      </c>
      <c r="DD474" s="502"/>
      <c r="DE474" s="502"/>
      <c r="DF474" s="502"/>
      <c r="DG474" s="503"/>
      <c r="DH474" s="598"/>
      <c r="DI474" s="3213"/>
      <c r="DJ474" s="502"/>
      <c r="DK474" s="503"/>
      <c r="DL474" s="502"/>
      <c r="DM474" s="502"/>
      <c r="DN474" s="502"/>
      <c r="DO474" s="502"/>
      <c r="DP474" s="503"/>
      <c r="DQ474" s="503"/>
      <c r="DR474" s="719"/>
      <c r="DS474" s="719"/>
      <c r="DT474" s="719"/>
    </row>
    <row r="475" spans="1:124" ht="12" customHeight="1" x14ac:dyDescent="0.25">
      <c r="A475" s="333" t="s">
        <v>885</v>
      </c>
      <c r="B475" s="333"/>
      <c r="C475" s="593"/>
      <c r="D475" s="593"/>
      <c r="E475" s="593"/>
      <c r="F475" s="593"/>
      <c r="G475" s="594"/>
      <c r="H475" s="593"/>
      <c r="I475" s="593"/>
      <c r="J475" s="593"/>
      <c r="K475" s="593"/>
      <c r="L475" s="594"/>
      <c r="M475" s="593"/>
      <c r="N475" s="593"/>
      <c r="O475" s="593"/>
      <c r="P475" s="593"/>
      <c r="Q475" s="594"/>
      <c r="R475" s="593"/>
      <c r="S475" s="593"/>
      <c r="T475" s="593"/>
      <c r="U475" s="593"/>
      <c r="V475" s="594"/>
      <c r="W475" s="593"/>
      <c r="X475" s="593"/>
      <c r="Y475" s="593"/>
      <c r="Z475" s="593"/>
      <c r="AA475" s="594"/>
      <c r="AB475" s="593"/>
      <c r="AC475" s="593"/>
      <c r="AD475" s="593"/>
      <c r="AE475" s="595"/>
      <c r="AF475" s="596"/>
      <c r="AG475" s="593"/>
      <c r="AH475" s="593"/>
      <c r="AI475" s="593"/>
      <c r="AJ475" s="595"/>
      <c r="AK475" s="596"/>
      <c r="AL475" s="593"/>
      <c r="AM475" s="593"/>
      <c r="AN475" s="593"/>
      <c r="AO475" s="595"/>
      <c r="AP475" s="597"/>
      <c r="AQ475" s="597"/>
      <c r="AR475" s="598">
        <f>AR474*0.9</f>
        <v>5.2201343700000002</v>
      </c>
      <c r="AS475" s="598">
        <f>AS474*0.9</f>
        <v>11.866068818181819</v>
      </c>
      <c r="AT475" s="598">
        <f>AT474*0.9</f>
        <v>9.4128664784318179</v>
      </c>
      <c r="AU475" s="596">
        <f>+SUM(AQ475:AT475)</f>
        <v>26.499069666613636</v>
      </c>
      <c r="AV475" s="597">
        <f>AV474*0.9</f>
        <v>11.212635962781819</v>
      </c>
      <c r="AW475" s="598">
        <f>AW474*0.9</f>
        <v>11.812855361481819</v>
      </c>
      <c r="AX475" s="598">
        <f>AX474*0.9</f>
        <v>11.569721627781817</v>
      </c>
      <c r="AY475" s="1922">
        <f>AY474*0.9</f>
        <v>12.269351567781818</v>
      </c>
      <c r="AZ475" s="596">
        <f>SUM(AV475:AY475)</f>
        <v>46.864564519827276</v>
      </c>
      <c r="BA475" s="597">
        <f>BA474*0.9</f>
        <v>10.005695116560821</v>
      </c>
      <c r="BB475" s="598">
        <f>BB474*0.9</f>
        <v>11.752005996027826</v>
      </c>
      <c r="BC475" s="598">
        <f>BC474*0.9</f>
        <v>11.752629569397817</v>
      </c>
      <c r="BD475" s="1922">
        <f>BD474*0.9</f>
        <v>11.490483844341814</v>
      </c>
      <c r="BE475" s="1922">
        <f>SUM(BA475:BD475)</f>
        <v>45.000814526328284</v>
      </c>
      <c r="BF475" s="598">
        <f>BF474*0.9</f>
        <v>12.011433713473236</v>
      </c>
      <c r="BG475" s="598">
        <f>BG474*0.9</f>
        <v>13.501595669689356</v>
      </c>
      <c r="BH475" s="598">
        <f>BH474*0.9</f>
        <v>13.245577928636862</v>
      </c>
      <c r="BI475" s="1922">
        <f>BI474*0.9</f>
        <v>12.857828618443421</v>
      </c>
      <c r="BJ475" s="1922">
        <f>SUM(BF475:BI475)</f>
        <v>51.616435930242872</v>
      </c>
      <c r="BK475" s="598">
        <f>BK474*0.9</f>
        <v>14.189381282899063</v>
      </c>
      <c r="BL475" s="598">
        <f>BL474*0.9</f>
        <v>14.302208771259213</v>
      </c>
      <c r="BM475" s="598">
        <f>BM474*0.9</f>
        <v>11.902571570314109</v>
      </c>
      <c r="BN475" s="1922">
        <f>BN474*0.9</f>
        <v>12.015241820195566</v>
      </c>
      <c r="BO475" s="1922">
        <f>SUM(BK475:BN475)</f>
        <v>52.409403444667959</v>
      </c>
      <c r="BP475" s="598">
        <f>BP474*0.9</f>
        <v>14.188072079961685</v>
      </c>
      <c r="BQ475" s="598">
        <f>BQ474*0.9</f>
        <v>14.355229948179979</v>
      </c>
      <c r="BR475" s="598">
        <f>BR474*0.9</f>
        <v>14.282047366835437</v>
      </c>
      <c r="BS475" s="598">
        <f>BS474*0.9</f>
        <v>14.135346585995849</v>
      </c>
      <c r="BT475" s="596">
        <f>SUM(BP475:BS475)</f>
        <v>56.96069598097295</v>
      </c>
      <c r="BU475" s="598">
        <f>BU474*0.9</f>
        <v>15.045108370499484</v>
      </c>
      <c r="BV475" s="598">
        <f>BV474*0.9</f>
        <v>14.411894308634535</v>
      </c>
      <c r="BW475" s="598">
        <f>BW474*0.9</f>
        <v>14.850305180757177</v>
      </c>
      <c r="BX475" s="598">
        <f>BX474*0.9</f>
        <v>14.755291188648085</v>
      </c>
      <c r="BY475" s="596">
        <f>SUM(BU475:BX475)</f>
        <v>59.062599048539283</v>
      </c>
      <c r="BZ475" s="596">
        <f t="shared" ref="BZ475:CF475" si="1185">BZ474*0.9</f>
        <v>64.716768334789364</v>
      </c>
      <c r="CA475" s="596">
        <f t="shared" si="1185"/>
        <v>65.222602767754012</v>
      </c>
      <c r="CB475" s="596">
        <f t="shared" si="1185"/>
        <v>59.677189644804358</v>
      </c>
      <c r="CC475" s="596">
        <f t="shared" si="1185"/>
        <v>54.797963538343936</v>
      </c>
      <c r="CD475" s="596">
        <f t="shared" si="1185"/>
        <v>56.743412837766691</v>
      </c>
      <c r="CE475" s="596">
        <f t="shared" si="1185"/>
        <v>59.084530505360632</v>
      </c>
      <c r="CF475" s="596">
        <f t="shared" si="1185"/>
        <v>60.767608769892924</v>
      </c>
      <c r="CG475" s="502"/>
      <c r="CH475" s="502"/>
      <c r="CI475" s="502"/>
      <c r="CJ475" s="502"/>
      <c r="CK475" s="502"/>
      <c r="CL475" s="1149" t="str">
        <f t="shared" si="1166"/>
        <v>Operating Income to Penn (90%)</v>
      </c>
      <c r="CM475" s="598"/>
      <c r="CN475" s="598"/>
      <c r="CO475" s="598"/>
      <c r="CP475" s="598"/>
      <c r="CQ475" s="598"/>
      <c r="CR475" s="598"/>
      <c r="CS475" s="598"/>
      <c r="CT475" s="598"/>
      <c r="CU475" s="598">
        <f t="shared" si="1167"/>
        <v>26.499069666613636</v>
      </c>
      <c r="CV475" s="598">
        <f t="shared" si="1168"/>
        <v>46.864564519827276</v>
      </c>
      <c r="CW475" s="598">
        <f t="shared" si="1169"/>
        <v>45.000814526328284</v>
      </c>
      <c r="CX475" s="598">
        <f t="shared" si="1170"/>
        <v>51.616435930242872</v>
      </c>
      <c r="CY475" s="598">
        <f t="shared" si="1171"/>
        <v>52.409403444667959</v>
      </c>
      <c r="CZ475" s="598">
        <f t="shared" si="1172"/>
        <v>56.96069598097295</v>
      </c>
      <c r="DA475" s="598">
        <f t="shared" si="1173"/>
        <v>59.062599048539283</v>
      </c>
      <c r="DB475" s="598">
        <f t="shared" si="1173"/>
        <v>64.716768334789364</v>
      </c>
      <c r="DC475" s="1922">
        <f t="shared" si="1173"/>
        <v>65.222602767754012</v>
      </c>
      <c r="DD475" s="502"/>
      <c r="DE475" s="502"/>
      <c r="DF475" s="502"/>
      <c r="DG475" s="503"/>
      <c r="DH475" s="598"/>
      <c r="DI475" s="3213"/>
      <c r="DJ475" s="502"/>
      <c r="DK475" s="503"/>
      <c r="DL475" s="502"/>
      <c r="DM475" s="502"/>
      <c r="DN475" s="502"/>
      <c r="DO475" s="502"/>
      <c r="DP475" s="503"/>
      <c r="DQ475" s="503"/>
      <c r="DR475" s="719"/>
      <c r="DS475" s="719"/>
      <c r="DT475" s="719"/>
    </row>
    <row r="476" spans="1:124" ht="12" customHeight="1" x14ac:dyDescent="0.25">
      <c r="A476" s="281"/>
      <c r="B476" s="281"/>
      <c r="C476" s="305"/>
      <c r="D476" s="305"/>
      <c r="E476" s="305"/>
      <c r="F476" s="305"/>
      <c r="G476" s="440"/>
      <c r="H476" s="305"/>
      <c r="I476" s="305"/>
      <c r="J476" s="305"/>
      <c r="K476" s="305"/>
      <c r="L476" s="440"/>
      <c r="M476" s="305"/>
      <c r="N476" s="305"/>
      <c r="O476" s="305"/>
      <c r="P476" s="305"/>
      <c r="Q476" s="440"/>
      <c r="R476" s="305"/>
      <c r="S476" s="305"/>
      <c r="T476" s="305"/>
      <c r="U476" s="305"/>
      <c r="V476" s="440"/>
      <c r="W476" s="305"/>
      <c r="X476" s="305"/>
      <c r="Y476" s="305"/>
      <c r="Z476" s="305"/>
      <c r="AA476" s="440"/>
      <c r="AB476" s="305"/>
      <c r="AC476" s="305"/>
      <c r="AD476" s="305"/>
      <c r="AE476" s="331"/>
      <c r="AF476" s="441"/>
      <c r="AG476" s="305"/>
      <c r="AH476" s="305"/>
      <c r="AI476" s="305"/>
      <c r="AJ476" s="331"/>
      <c r="AK476" s="441"/>
      <c r="AL476" s="305"/>
      <c r="AM476" s="305"/>
      <c r="AN476" s="305"/>
      <c r="AO476" s="331"/>
      <c r="AP476" s="569"/>
      <c r="AQ476" s="569"/>
      <c r="AR476" s="442"/>
      <c r="AS476" s="442"/>
      <c r="AT476" s="442"/>
      <c r="AU476" s="441"/>
      <c r="AV476" s="569"/>
      <c r="AW476" s="442"/>
      <c r="AX476" s="442"/>
      <c r="AY476" s="1312"/>
      <c r="AZ476" s="441"/>
      <c r="BA476" s="569"/>
      <c r="BB476" s="442"/>
      <c r="BC476" s="442"/>
      <c r="BD476" s="1312"/>
      <c r="BE476" s="1312"/>
      <c r="BF476" s="442"/>
      <c r="BG476" s="442"/>
      <c r="BH476" s="442"/>
      <c r="BI476" s="1312"/>
      <c r="BJ476" s="1312"/>
      <c r="BK476" s="442"/>
      <c r="BL476" s="442"/>
      <c r="BM476" s="442"/>
      <c r="BN476" s="1312"/>
      <c r="BO476" s="1312"/>
      <c r="BP476" s="442"/>
      <c r="BQ476" s="442"/>
      <c r="BR476" s="442"/>
      <c r="BS476" s="442"/>
      <c r="BT476" s="3236"/>
      <c r="BU476" s="3409"/>
      <c r="BV476" s="3298"/>
      <c r="BW476" s="3298"/>
      <c r="BX476" s="3298"/>
      <c r="BY476" s="3236"/>
      <c r="BZ476" s="441"/>
      <c r="CA476" s="441"/>
      <c r="CB476" s="441"/>
      <c r="CC476" s="441"/>
      <c r="CD476" s="441"/>
      <c r="CE476" s="441"/>
      <c r="CF476" s="441"/>
      <c r="CG476" s="331"/>
      <c r="CH476" s="331"/>
      <c r="CI476" s="331"/>
      <c r="CJ476" s="331"/>
      <c r="CK476" s="331"/>
      <c r="CL476" s="520"/>
      <c r="CM476" s="442"/>
      <c r="CN476" s="442"/>
      <c r="CO476" s="442"/>
      <c r="CP476" s="442"/>
      <c r="CQ476" s="442"/>
      <c r="CR476" s="442"/>
      <c r="CS476" s="442"/>
      <c r="CT476" s="442"/>
      <c r="CU476" s="442"/>
      <c r="CV476" s="442"/>
      <c r="CW476" s="442"/>
      <c r="CX476" s="442"/>
      <c r="CY476" s="442"/>
      <c r="CZ476" s="442"/>
      <c r="DA476" s="442"/>
      <c r="DB476" s="442"/>
      <c r="DC476" s="1312"/>
      <c r="DD476" s="331"/>
      <c r="DE476" s="331"/>
      <c r="DF476" s="502"/>
      <c r="DG476" s="503"/>
      <c r="DH476" s="3298"/>
      <c r="DI476" s="3213"/>
      <c r="DJ476" s="502"/>
      <c r="DK476" s="503"/>
      <c r="DL476" s="502"/>
      <c r="DM476" s="502"/>
      <c r="DN476" s="502"/>
      <c r="DO476" s="502"/>
      <c r="DP476" s="503"/>
      <c r="DQ476" s="503"/>
      <c r="DR476" s="428"/>
      <c r="DS476" s="428"/>
      <c r="DT476" s="428"/>
    </row>
    <row r="477" spans="1:124" ht="12" customHeight="1" x14ac:dyDescent="0.25">
      <c r="A477" s="2125" t="s">
        <v>1942</v>
      </c>
      <c r="B477" s="428"/>
      <c r="C477" s="502"/>
      <c r="D477" s="502"/>
      <c r="E477" s="502"/>
      <c r="F477" s="502"/>
      <c r="G477" s="534"/>
      <c r="H477" s="502"/>
      <c r="I477" s="502"/>
      <c r="J477" s="502"/>
      <c r="K477" s="502"/>
      <c r="L477" s="534"/>
      <c r="M477" s="502"/>
      <c r="N477" s="502"/>
      <c r="O477" s="502"/>
      <c r="P477" s="502"/>
      <c r="Q477" s="534"/>
      <c r="R477" s="502"/>
      <c r="S477" s="502"/>
      <c r="T477" s="502"/>
      <c r="U477" s="502"/>
      <c r="V477" s="534"/>
      <c r="W477" s="502"/>
      <c r="X477" s="502"/>
      <c r="Y477" s="502"/>
      <c r="Z477" s="502"/>
      <c r="AA477" s="534"/>
      <c r="AB477" s="502"/>
      <c r="AC477" s="502"/>
      <c r="AD477" s="502"/>
      <c r="AE477" s="502"/>
      <c r="AF477" s="534"/>
      <c r="AG477" s="502"/>
      <c r="AH477" s="502"/>
      <c r="AI477" s="502"/>
      <c r="AJ477" s="502"/>
      <c r="AK477" s="534"/>
      <c r="AL477" s="503"/>
      <c r="AM477" s="503"/>
      <c r="AN477" s="503"/>
      <c r="AO477" s="503"/>
      <c r="AP477" s="535"/>
      <c r="AQ477" s="535"/>
      <c r="AR477" s="537"/>
      <c r="AS477" s="537"/>
      <c r="AT477" s="537"/>
      <c r="AU477" s="536"/>
      <c r="AV477" s="535"/>
      <c r="AW477" s="537"/>
      <c r="AX477" s="537"/>
      <c r="AY477" s="1926"/>
      <c r="AZ477" s="536"/>
      <c r="BA477" s="535"/>
      <c r="BB477" s="537"/>
      <c r="BC477" s="537"/>
      <c r="BD477" s="1926"/>
      <c r="BE477" s="1926"/>
      <c r="BF477" s="537"/>
      <c r="BG477" s="537"/>
      <c r="BH477" s="537"/>
      <c r="BI477" s="1926"/>
      <c r="BJ477" s="1926"/>
      <c r="BK477" s="537"/>
      <c r="BL477" s="537"/>
      <c r="BM477" s="537"/>
      <c r="BN477" s="1926"/>
      <c r="BO477" s="1926"/>
      <c r="BP477" s="537"/>
      <c r="BQ477" s="537"/>
      <c r="BR477" s="537"/>
      <c r="BS477" s="537"/>
      <c r="BT477" s="536"/>
      <c r="BU477" s="535"/>
      <c r="BV477" s="537"/>
      <c r="BW477" s="537"/>
      <c r="BX477" s="537"/>
      <c r="BY477" s="536"/>
      <c r="BZ477" s="536"/>
      <c r="CA477" s="536"/>
      <c r="CB477" s="536"/>
      <c r="CC477" s="536"/>
      <c r="CD477" s="536"/>
      <c r="CE477" s="536"/>
      <c r="CF477" s="536"/>
      <c r="CG477" s="331"/>
      <c r="CH477" s="331"/>
      <c r="CI477" s="331"/>
      <c r="CJ477" s="331"/>
      <c r="CK477" s="331"/>
      <c r="CL477" s="2036" t="str">
        <f>A477</f>
        <v>Casino Rama Mgmt Contract (Canada)</v>
      </c>
      <c r="CM477" s="537">
        <f>G477</f>
        <v>0</v>
      </c>
      <c r="CN477" s="537">
        <f>L477</f>
        <v>0</v>
      </c>
      <c r="CO477" s="537">
        <f>Q477</f>
        <v>0</v>
      </c>
      <c r="CP477" s="537">
        <f>V477</f>
        <v>0</v>
      </c>
      <c r="CQ477" s="537">
        <f>AA477</f>
        <v>0</v>
      </c>
      <c r="CR477" s="537">
        <f>AF477</f>
        <v>0</v>
      </c>
      <c r="CS477" s="537">
        <f>AK477</f>
        <v>0</v>
      </c>
      <c r="CT477" s="537">
        <f>AP477</f>
        <v>0</v>
      </c>
      <c r="CU477" s="537">
        <f>AU477</f>
        <v>0</v>
      </c>
      <c r="CV477" s="537">
        <f>AZ477</f>
        <v>0</v>
      </c>
      <c r="CW477" s="537">
        <f>BE477</f>
        <v>0</v>
      </c>
      <c r="CX477" s="537">
        <f>BJ477</f>
        <v>0</v>
      </c>
      <c r="CY477" s="537">
        <f>BO477</f>
        <v>0</v>
      </c>
      <c r="CZ477" s="537">
        <f>BT477</f>
        <v>0</v>
      </c>
      <c r="DA477" s="537">
        <f t="shared" ref="DA477:DC481" si="1186">BY477</f>
        <v>0</v>
      </c>
      <c r="DB477" s="537">
        <f t="shared" si="1186"/>
        <v>0</v>
      </c>
      <c r="DC477" s="1926">
        <f t="shared" si="1186"/>
        <v>0</v>
      </c>
      <c r="DD477" s="331"/>
      <c r="DE477" s="331"/>
      <c r="DF477" s="502"/>
      <c r="DG477" s="503"/>
      <c r="DH477" s="537"/>
      <c r="DI477" s="3213"/>
      <c r="DJ477" s="502"/>
      <c r="DK477" s="503"/>
      <c r="DL477" s="502"/>
      <c r="DM477" s="502"/>
      <c r="DN477" s="502"/>
      <c r="DO477" s="502"/>
      <c r="DP477" s="503"/>
      <c r="DQ477" s="503"/>
      <c r="DR477" s="428"/>
      <c r="DS477" s="428"/>
      <c r="DT477" s="428"/>
    </row>
    <row r="478" spans="1:124" ht="12" customHeight="1" x14ac:dyDescent="0.25">
      <c r="A478" s="281" t="s">
        <v>894</v>
      </c>
      <c r="B478" s="281"/>
      <c r="C478" s="305">
        <f>C479+(C480*C$320)</f>
        <v>3044</v>
      </c>
      <c r="D478" s="305">
        <f>D479+(D480*D$320)</f>
        <v>3044</v>
      </c>
      <c r="E478" s="305">
        <f>E479+(E480*E$320)</f>
        <v>3044</v>
      </c>
      <c r="F478" s="305">
        <f>F479+(F480*F$320)</f>
        <v>3026</v>
      </c>
      <c r="G478" s="345">
        <f>F478</f>
        <v>3026</v>
      </c>
      <c r="H478" s="305">
        <f>H479+(H480*H$320)</f>
        <v>3026</v>
      </c>
      <c r="I478" s="305">
        <f>I479+(I480*I$320)</f>
        <v>3026</v>
      </c>
      <c r="J478" s="305">
        <f>J479+(J480*J$320)</f>
        <v>3126</v>
      </c>
      <c r="K478" s="305">
        <f>K479+(K480*K$320)</f>
        <v>3038</v>
      </c>
      <c r="L478" s="345">
        <f>K478</f>
        <v>3038</v>
      </c>
      <c r="M478" s="305">
        <f>M479+(M480*M$320)</f>
        <v>3038</v>
      </c>
      <c r="N478" s="305">
        <f>N479+(N480*N$320)</f>
        <v>3038</v>
      </c>
      <c r="O478" s="305">
        <f>O479+(O480*O$320)</f>
        <v>3038</v>
      </c>
      <c r="P478" s="305">
        <f>P479+(P480*P$320)</f>
        <v>3183</v>
      </c>
      <c r="Q478" s="345">
        <f>P478</f>
        <v>3183</v>
      </c>
      <c r="R478" s="305">
        <f>R479+(R480*R$320)</f>
        <v>3183</v>
      </c>
      <c r="S478" s="305">
        <f>S479+(S480*S$320)</f>
        <v>3183</v>
      </c>
      <c r="T478" s="305">
        <f>T479+(T480*T$320)</f>
        <v>3183</v>
      </c>
      <c r="U478" s="305">
        <f>U479+(U480*U$320)</f>
        <v>3126</v>
      </c>
      <c r="V478" s="345">
        <f>U478</f>
        <v>3126</v>
      </c>
      <c r="W478" s="305">
        <f>W479+(W480*W$320)</f>
        <v>3126</v>
      </c>
      <c r="X478" s="305">
        <f>X479+(X480*X$320)</f>
        <v>3126</v>
      </c>
      <c r="Y478" s="305">
        <f>Y479+(Y480*Y$320)</f>
        <v>3126</v>
      </c>
      <c r="Z478" s="305">
        <f>Z479+(Z480*Z$320)</f>
        <v>3165</v>
      </c>
      <c r="AA478" s="345">
        <f>Z478</f>
        <v>3165</v>
      </c>
      <c r="AB478" s="305">
        <f>AB479+(AB480*AB$320)</f>
        <v>3143</v>
      </c>
      <c r="AC478" s="305">
        <f>AC479+(AC480*AC$320)</f>
        <v>3121</v>
      </c>
      <c r="AD478" s="305">
        <f>AD479+(AD480*AD$320)</f>
        <v>3100</v>
      </c>
      <c r="AE478" s="331">
        <f>AE479+(AE480*AE$320)</f>
        <v>3096</v>
      </c>
      <c r="AF478" s="348">
        <f>AE478</f>
        <v>3096</v>
      </c>
      <c r="AG478" s="305">
        <f>AG479+(AG480*AG$320)</f>
        <v>3096</v>
      </c>
      <c r="AH478" s="305">
        <f>AH479+(AH480*AH$320)</f>
        <v>3096</v>
      </c>
      <c r="AI478" s="305">
        <f>AI479+(AI480*AI$320)</f>
        <v>3096</v>
      </c>
      <c r="AJ478" s="331">
        <f>AJ479+(AJ480*AJ$320)</f>
        <v>3096</v>
      </c>
      <c r="AK478" s="348">
        <f>AJ478</f>
        <v>3096</v>
      </c>
      <c r="AL478" s="305">
        <f>AL479+(AL480*AL$320)</f>
        <v>3096</v>
      </c>
      <c r="AM478" s="305">
        <f>AM479+(AM480*AM$320)</f>
        <v>3096</v>
      </c>
      <c r="AN478" s="305">
        <f>AN479+(AN480*AN$320)</f>
        <v>3096</v>
      </c>
      <c r="AO478" s="331">
        <f>AO479+(AO480*AO$320)</f>
        <v>3096</v>
      </c>
      <c r="AP478" s="568">
        <f>AO478</f>
        <v>3096</v>
      </c>
      <c r="AQ478" s="568">
        <f>AQ479+(AQ480*AQ$320)</f>
        <v>3096</v>
      </c>
      <c r="AR478" s="330">
        <f>AR479+(AR480*AR$320)</f>
        <v>3096</v>
      </c>
      <c r="AS478" s="330">
        <f>AS479+(AS480*AS$320)</f>
        <v>3096</v>
      </c>
      <c r="AT478" s="330">
        <f>AT479+(AT480*AT$320)</f>
        <v>3096</v>
      </c>
      <c r="AU478" s="1692">
        <f>AT478</f>
        <v>3096</v>
      </c>
      <c r="AV478" s="1912">
        <f>AV479+(AV480*AV$320)</f>
        <v>3096</v>
      </c>
      <c r="AW478" s="1839">
        <f>AW479+(AW480*AW$320)</f>
        <v>3096</v>
      </c>
      <c r="AX478" s="1839">
        <f>AX479+(AX480*AX$320)</f>
        <v>3096</v>
      </c>
      <c r="AY478" s="1906">
        <f>AY479+(AY480*AY$320)</f>
        <v>3096</v>
      </c>
      <c r="AZ478" s="1692">
        <f>AY478</f>
        <v>3096</v>
      </c>
      <c r="BA478" s="1912">
        <f>BA479+(BA480*BA$320)</f>
        <v>3096</v>
      </c>
      <c r="BB478" s="1839">
        <f>BB479+(BB480*BB$320)</f>
        <v>3096</v>
      </c>
      <c r="BC478" s="1839">
        <f>BC479+(BC480*BC$320)</f>
        <v>3096</v>
      </c>
      <c r="BD478" s="1906">
        <f>BD479+(BD480*BD$320)</f>
        <v>3096</v>
      </c>
      <c r="BE478" s="1906">
        <f>BD478</f>
        <v>3096</v>
      </c>
      <c r="BF478" s="1839">
        <f>BF479+(BF480*BF$320)</f>
        <v>3096</v>
      </c>
      <c r="BG478" s="1839">
        <f>BG479+(BG480*BG$320)</f>
        <v>3096</v>
      </c>
      <c r="BH478" s="1839">
        <f>BH479+(BH480*BH$320)</f>
        <v>3096</v>
      </c>
      <c r="BI478" s="1906">
        <f>BI479+(BI480*BI$320)</f>
        <v>3096</v>
      </c>
      <c r="BJ478" s="1906">
        <f>BI478</f>
        <v>3096</v>
      </c>
      <c r="BK478" s="1839">
        <f>BK479+(BK480*BK$320)</f>
        <v>3096</v>
      </c>
      <c r="BL478" s="1839">
        <f>BL479+(BL480*BL$320)</f>
        <v>3096</v>
      </c>
      <c r="BM478" s="1839">
        <f>BM479+(BM480*BM$320)</f>
        <v>3096</v>
      </c>
      <c r="BN478" s="1906">
        <f>BN479+(BN480*BN$320)</f>
        <v>3096</v>
      </c>
      <c r="BO478" s="1906">
        <f>BN478</f>
        <v>3096</v>
      </c>
      <c r="BP478" s="1839">
        <f>BP479+(BP480*BP$320)</f>
        <v>3096</v>
      </c>
      <c r="BQ478" s="1839">
        <f>BQ479+(BQ480*BQ$320)</f>
        <v>3096</v>
      </c>
      <c r="BR478" s="1839">
        <f>BR479+(BR480*BR$320)</f>
        <v>3096</v>
      </c>
      <c r="BS478" s="1839">
        <f>BS479+(BS480*BS$320)</f>
        <v>3096</v>
      </c>
      <c r="BT478" s="3234">
        <f>BS478</f>
        <v>3096</v>
      </c>
      <c r="BU478" s="1839">
        <f>BU479+(BU480*BU$320)</f>
        <v>3096</v>
      </c>
      <c r="BV478" s="1839">
        <f>BV479+(BV480*BV$320)</f>
        <v>3096</v>
      </c>
      <c r="BW478" s="1839"/>
      <c r="BX478" s="1839"/>
      <c r="BY478" s="3234"/>
      <c r="BZ478" s="552"/>
      <c r="CA478" s="552"/>
      <c r="CB478" s="552">
        <f t="shared" ref="CB478:CF478" si="1187">CB479+(CB480*CB$320)</f>
        <v>0</v>
      </c>
      <c r="CC478" s="552">
        <f t="shared" si="1187"/>
        <v>0</v>
      </c>
      <c r="CD478" s="552">
        <f t="shared" si="1187"/>
        <v>0</v>
      </c>
      <c r="CE478" s="552">
        <f t="shared" si="1187"/>
        <v>0</v>
      </c>
      <c r="CF478" s="552">
        <f t="shared" si="1187"/>
        <v>0</v>
      </c>
      <c r="CG478" s="331"/>
      <c r="CH478" s="331"/>
      <c r="CI478" s="331"/>
      <c r="CJ478" s="331"/>
      <c r="CK478" s="331"/>
      <c r="CL478" s="520" t="str">
        <f>A478</f>
        <v>Positions</v>
      </c>
      <c r="CM478" s="330">
        <f>G478</f>
        <v>3026</v>
      </c>
      <c r="CN478" s="330">
        <f>L478</f>
        <v>3038</v>
      </c>
      <c r="CO478" s="330">
        <f>Q478</f>
        <v>3183</v>
      </c>
      <c r="CP478" s="330">
        <f>V478</f>
        <v>3126</v>
      </c>
      <c r="CQ478" s="330">
        <f>AA478</f>
        <v>3165</v>
      </c>
      <c r="CR478" s="330">
        <f>AF478</f>
        <v>3096</v>
      </c>
      <c r="CS478" s="330">
        <f>AK478</f>
        <v>3096</v>
      </c>
      <c r="CT478" s="330">
        <f>AP478</f>
        <v>3096</v>
      </c>
      <c r="CU478" s="330">
        <f>AU478</f>
        <v>3096</v>
      </c>
      <c r="CV478" s="330">
        <f>AZ478</f>
        <v>3096</v>
      </c>
      <c r="CW478" s="330">
        <f>BE478</f>
        <v>3096</v>
      </c>
      <c r="CX478" s="330">
        <f>BJ478</f>
        <v>3096</v>
      </c>
      <c r="CY478" s="330">
        <f>BO478</f>
        <v>3096</v>
      </c>
      <c r="CZ478" s="330">
        <f>BT478</f>
        <v>3096</v>
      </c>
      <c r="DA478" s="330">
        <f t="shared" si="1186"/>
        <v>0</v>
      </c>
      <c r="DB478" s="330">
        <f t="shared" si="1186"/>
        <v>0</v>
      </c>
      <c r="DC478" s="1888">
        <f t="shared" si="1186"/>
        <v>0</v>
      </c>
      <c r="DD478" s="331"/>
      <c r="DE478" s="331"/>
      <c r="DF478" s="502"/>
      <c r="DG478" s="503"/>
      <c r="DH478" s="3297"/>
      <c r="DI478" s="3213"/>
      <c r="DJ478" s="502"/>
      <c r="DK478" s="503"/>
      <c r="DL478" s="502"/>
      <c r="DM478" s="502"/>
      <c r="DN478" s="502"/>
      <c r="DO478" s="502"/>
      <c r="DP478" s="503"/>
      <c r="DQ478" s="503"/>
      <c r="DR478" s="296"/>
      <c r="DS478" s="296"/>
      <c r="DT478" s="296"/>
    </row>
    <row r="479" spans="1:124" ht="12" customHeight="1" x14ac:dyDescent="0.25">
      <c r="A479" s="281" t="s">
        <v>585</v>
      </c>
      <c r="B479" s="281"/>
      <c r="C479" s="340">
        <v>2312</v>
      </c>
      <c r="D479" s="340">
        <v>2312</v>
      </c>
      <c r="E479" s="340">
        <v>2312</v>
      </c>
      <c r="F479" s="340">
        <v>2300</v>
      </c>
      <c r="G479" s="345">
        <f>F479</f>
        <v>2300</v>
      </c>
      <c r="H479" s="340">
        <v>2300</v>
      </c>
      <c r="I479" s="340">
        <v>2300</v>
      </c>
      <c r="J479" s="340">
        <v>2400</v>
      </c>
      <c r="K479" s="340">
        <v>2366</v>
      </c>
      <c r="L479" s="345">
        <f>K479</f>
        <v>2366</v>
      </c>
      <c r="M479" s="340">
        <v>2366</v>
      </c>
      <c r="N479" s="340">
        <v>2366</v>
      </c>
      <c r="O479" s="340">
        <v>2366</v>
      </c>
      <c r="P479" s="340">
        <v>2505</v>
      </c>
      <c r="Q479" s="345">
        <f>P479</f>
        <v>2505</v>
      </c>
      <c r="R479" s="340">
        <v>2505</v>
      </c>
      <c r="S479" s="340">
        <v>2505</v>
      </c>
      <c r="T479" s="340">
        <v>2505</v>
      </c>
      <c r="U479" s="340">
        <v>2520</v>
      </c>
      <c r="V479" s="345">
        <f>U479</f>
        <v>2520</v>
      </c>
      <c r="W479" s="340">
        <v>2520</v>
      </c>
      <c r="X479" s="340">
        <v>2520</v>
      </c>
      <c r="Y479" s="340">
        <v>2520</v>
      </c>
      <c r="Z479" s="340">
        <v>2535</v>
      </c>
      <c r="AA479" s="345">
        <f>Z479</f>
        <v>2535</v>
      </c>
      <c r="AB479" s="339">
        <f>Z479-22</f>
        <v>2513</v>
      </c>
      <c r="AC479" s="339">
        <f>AB479-22</f>
        <v>2491</v>
      </c>
      <c r="AD479" s="339">
        <v>2470</v>
      </c>
      <c r="AE479" s="339">
        <v>2472</v>
      </c>
      <c r="AF479" s="348">
        <f>AE479</f>
        <v>2472</v>
      </c>
      <c r="AG479" s="331">
        <f>AE479</f>
        <v>2472</v>
      </c>
      <c r="AH479" s="331">
        <f t="shared" ref="AH479:AJ480" si="1188">AG479</f>
        <v>2472</v>
      </c>
      <c r="AI479" s="331">
        <f t="shared" si="1188"/>
        <v>2472</v>
      </c>
      <c r="AJ479" s="331">
        <f t="shared" si="1188"/>
        <v>2472</v>
      </c>
      <c r="AK479" s="348">
        <f>AJ479</f>
        <v>2472</v>
      </c>
      <c r="AL479" s="331">
        <f>AJ479</f>
        <v>2472</v>
      </c>
      <c r="AM479" s="331">
        <f t="shared" ref="AM479:AO480" si="1189">AL479</f>
        <v>2472</v>
      </c>
      <c r="AN479" s="331">
        <f t="shared" si="1189"/>
        <v>2472</v>
      </c>
      <c r="AO479" s="331">
        <f t="shared" si="1189"/>
        <v>2472</v>
      </c>
      <c r="AP479" s="568">
        <f>AO479</f>
        <v>2472</v>
      </c>
      <c r="AQ479" s="568">
        <f t="shared" ref="AQ479:AT480" si="1190">AP479</f>
        <v>2472</v>
      </c>
      <c r="AR479" s="330">
        <f t="shared" si="1190"/>
        <v>2472</v>
      </c>
      <c r="AS479" s="330">
        <f t="shared" si="1190"/>
        <v>2472</v>
      </c>
      <c r="AT479" s="330">
        <f t="shared" si="1190"/>
        <v>2472</v>
      </c>
      <c r="AU479" s="1692">
        <f>AT479</f>
        <v>2472</v>
      </c>
      <c r="AV479" s="1912">
        <f t="shared" ref="AV479:AY480" si="1191">AU479</f>
        <v>2472</v>
      </c>
      <c r="AW479" s="1839">
        <f t="shared" si="1191"/>
        <v>2472</v>
      </c>
      <c r="AX479" s="1839">
        <f t="shared" si="1191"/>
        <v>2472</v>
      </c>
      <c r="AY479" s="1906">
        <f t="shared" si="1191"/>
        <v>2472</v>
      </c>
      <c r="AZ479" s="1692">
        <f>AY479</f>
        <v>2472</v>
      </c>
      <c r="BA479" s="1912">
        <f t="shared" ref="BA479:BD480" si="1192">AZ479</f>
        <v>2472</v>
      </c>
      <c r="BB479" s="1839">
        <f>BA479</f>
        <v>2472</v>
      </c>
      <c r="BC479" s="1839">
        <f t="shared" si="1192"/>
        <v>2472</v>
      </c>
      <c r="BD479" s="1906">
        <f t="shared" si="1192"/>
        <v>2472</v>
      </c>
      <c r="BE479" s="1906">
        <f>BD479</f>
        <v>2472</v>
      </c>
      <c r="BF479" s="1839">
        <f t="shared" ref="BF479:BI480" si="1193">BE479</f>
        <v>2472</v>
      </c>
      <c r="BG479" s="1839">
        <f t="shared" si="1193"/>
        <v>2472</v>
      </c>
      <c r="BH479" s="1839">
        <f t="shared" si="1193"/>
        <v>2472</v>
      </c>
      <c r="BI479" s="1906">
        <f t="shared" si="1193"/>
        <v>2472</v>
      </c>
      <c r="BJ479" s="1906">
        <f>BI479</f>
        <v>2472</v>
      </c>
      <c r="BK479" s="1839">
        <f t="shared" ref="BK479:BN480" si="1194">BJ479</f>
        <v>2472</v>
      </c>
      <c r="BL479" s="1839">
        <f>BK479</f>
        <v>2472</v>
      </c>
      <c r="BM479" s="1839">
        <f t="shared" si="1194"/>
        <v>2472</v>
      </c>
      <c r="BN479" s="1906">
        <f t="shared" si="1194"/>
        <v>2472</v>
      </c>
      <c r="BO479" s="1906">
        <f>BN479</f>
        <v>2472</v>
      </c>
      <c r="BP479" s="1839">
        <f t="shared" ref="BP479:BS480" si="1195">BO479</f>
        <v>2472</v>
      </c>
      <c r="BQ479" s="1839">
        <f t="shared" si="1195"/>
        <v>2472</v>
      </c>
      <c r="BR479" s="1839">
        <f t="shared" si="1195"/>
        <v>2472</v>
      </c>
      <c r="BS479" s="1839">
        <f t="shared" si="1195"/>
        <v>2472</v>
      </c>
      <c r="BT479" s="3234">
        <f>BS479</f>
        <v>2472</v>
      </c>
      <c r="BU479" s="1839">
        <f t="shared" ref="BU479:BV480" si="1196">BT479</f>
        <v>2472</v>
      </c>
      <c r="BV479" s="1839">
        <f t="shared" si="1196"/>
        <v>2472</v>
      </c>
      <c r="BW479" s="1839"/>
      <c r="BX479" s="1839"/>
      <c r="BY479" s="3234"/>
      <c r="BZ479" s="552"/>
      <c r="CA479" s="552"/>
      <c r="CB479" s="552">
        <f t="shared" ref="CB479:CF480" si="1197">CA479</f>
        <v>0</v>
      </c>
      <c r="CC479" s="552">
        <f t="shared" si="1197"/>
        <v>0</v>
      </c>
      <c r="CD479" s="552">
        <f t="shared" si="1197"/>
        <v>0</v>
      </c>
      <c r="CE479" s="552">
        <f t="shared" si="1197"/>
        <v>0</v>
      </c>
      <c r="CF479" s="552">
        <f t="shared" si="1197"/>
        <v>0</v>
      </c>
      <c r="CG479" s="331"/>
      <c r="CH479" s="331"/>
      <c r="CI479" s="331"/>
      <c r="CJ479" s="331"/>
      <c r="CK479" s="331"/>
      <c r="CL479" s="520" t="str">
        <f>A479</f>
        <v>Slots</v>
      </c>
      <c r="CM479" s="330">
        <f>G479</f>
        <v>2300</v>
      </c>
      <c r="CN479" s="330">
        <f>L479</f>
        <v>2366</v>
      </c>
      <c r="CO479" s="330">
        <f>Q479</f>
        <v>2505</v>
      </c>
      <c r="CP479" s="330">
        <f>V479</f>
        <v>2520</v>
      </c>
      <c r="CQ479" s="330">
        <f>AA479</f>
        <v>2535</v>
      </c>
      <c r="CR479" s="330">
        <f>AF479</f>
        <v>2472</v>
      </c>
      <c r="CS479" s="330">
        <f>AK479</f>
        <v>2472</v>
      </c>
      <c r="CT479" s="330">
        <f>AP479</f>
        <v>2472</v>
      </c>
      <c r="CU479" s="330">
        <f>AU479</f>
        <v>2472</v>
      </c>
      <c r="CV479" s="330">
        <f>AZ479</f>
        <v>2472</v>
      </c>
      <c r="CW479" s="330">
        <f>BE479</f>
        <v>2472</v>
      </c>
      <c r="CX479" s="330">
        <f>BJ479</f>
        <v>2472</v>
      </c>
      <c r="CY479" s="330">
        <f>BO479</f>
        <v>2472</v>
      </c>
      <c r="CZ479" s="330">
        <f>BT479</f>
        <v>2472</v>
      </c>
      <c r="DA479" s="330">
        <f t="shared" si="1186"/>
        <v>0</v>
      </c>
      <c r="DB479" s="330">
        <f t="shared" si="1186"/>
        <v>0</v>
      </c>
      <c r="DC479" s="1888">
        <f t="shared" si="1186"/>
        <v>0</v>
      </c>
      <c r="DD479" s="331"/>
      <c r="DE479" s="331"/>
      <c r="DF479" s="502"/>
      <c r="DG479" s="503"/>
      <c r="DH479" s="3297"/>
      <c r="DI479" s="3213"/>
      <c r="DJ479" s="502"/>
      <c r="DK479" s="503"/>
      <c r="DL479" s="502"/>
      <c r="DM479" s="502"/>
      <c r="DN479" s="502"/>
      <c r="DO479" s="502"/>
      <c r="DP479" s="503"/>
      <c r="DQ479" s="503"/>
      <c r="DR479" s="296"/>
      <c r="DS479" s="296"/>
      <c r="DT479" s="296"/>
    </row>
    <row r="480" spans="1:124" ht="12" customHeight="1" x14ac:dyDescent="0.25">
      <c r="A480" s="281" t="s">
        <v>584</v>
      </c>
      <c r="B480" s="281"/>
      <c r="C480" s="340">
        <v>122</v>
      </c>
      <c r="D480" s="340">
        <v>122</v>
      </c>
      <c r="E480" s="340">
        <v>122</v>
      </c>
      <c r="F480" s="340">
        <v>121</v>
      </c>
      <c r="G480" s="345">
        <f>F480</f>
        <v>121</v>
      </c>
      <c r="H480" s="340">
        <v>121</v>
      </c>
      <c r="I480" s="340">
        <v>121</v>
      </c>
      <c r="J480" s="340">
        <v>121</v>
      </c>
      <c r="K480" s="340">
        <v>112</v>
      </c>
      <c r="L480" s="345">
        <f>K480</f>
        <v>112</v>
      </c>
      <c r="M480" s="340">
        <v>112</v>
      </c>
      <c r="N480" s="340">
        <v>112</v>
      </c>
      <c r="O480" s="340">
        <v>112</v>
      </c>
      <c r="P480" s="340">
        <v>113</v>
      </c>
      <c r="Q480" s="345">
        <f>P480</f>
        <v>113</v>
      </c>
      <c r="R480" s="340">
        <v>113</v>
      </c>
      <c r="S480" s="340">
        <v>113</v>
      </c>
      <c r="T480" s="340">
        <v>113</v>
      </c>
      <c r="U480" s="340">
        <v>101</v>
      </c>
      <c r="V480" s="345">
        <f>U480</f>
        <v>101</v>
      </c>
      <c r="W480" s="340">
        <v>101</v>
      </c>
      <c r="X480" s="340">
        <v>101</v>
      </c>
      <c r="Y480" s="340">
        <v>101</v>
      </c>
      <c r="Z480" s="340">
        <v>105</v>
      </c>
      <c r="AA480" s="345">
        <f>Z480</f>
        <v>105</v>
      </c>
      <c r="AB480" s="339">
        <v>105</v>
      </c>
      <c r="AC480" s="339">
        <v>105</v>
      </c>
      <c r="AD480" s="339">
        <v>105</v>
      </c>
      <c r="AE480" s="339">
        <v>104</v>
      </c>
      <c r="AF480" s="348">
        <f>AE480</f>
        <v>104</v>
      </c>
      <c r="AG480" s="331">
        <f>AE480</f>
        <v>104</v>
      </c>
      <c r="AH480" s="331">
        <f t="shared" si="1188"/>
        <v>104</v>
      </c>
      <c r="AI480" s="331">
        <f t="shared" si="1188"/>
        <v>104</v>
      </c>
      <c r="AJ480" s="331">
        <f t="shared" si="1188"/>
        <v>104</v>
      </c>
      <c r="AK480" s="348">
        <f>AJ480</f>
        <v>104</v>
      </c>
      <c r="AL480" s="331">
        <f>AJ480</f>
        <v>104</v>
      </c>
      <c r="AM480" s="331">
        <f t="shared" si="1189"/>
        <v>104</v>
      </c>
      <c r="AN480" s="331">
        <f t="shared" si="1189"/>
        <v>104</v>
      </c>
      <c r="AO480" s="331">
        <f t="shared" si="1189"/>
        <v>104</v>
      </c>
      <c r="AP480" s="568">
        <f>AO480</f>
        <v>104</v>
      </c>
      <c r="AQ480" s="568">
        <f t="shared" si="1190"/>
        <v>104</v>
      </c>
      <c r="AR480" s="330">
        <f t="shared" si="1190"/>
        <v>104</v>
      </c>
      <c r="AS480" s="330">
        <f t="shared" si="1190"/>
        <v>104</v>
      </c>
      <c r="AT480" s="330">
        <f t="shared" si="1190"/>
        <v>104</v>
      </c>
      <c r="AU480" s="1692">
        <f>AT480</f>
        <v>104</v>
      </c>
      <c r="AV480" s="1912">
        <f t="shared" si="1191"/>
        <v>104</v>
      </c>
      <c r="AW480" s="1839">
        <f t="shared" si="1191"/>
        <v>104</v>
      </c>
      <c r="AX480" s="1839">
        <f t="shared" si="1191"/>
        <v>104</v>
      </c>
      <c r="AY480" s="1906">
        <f t="shared" si="1191"/>
        <v>104</v>
      </c>
      <c r="AZ480" s="1692">
        <f>AY480</f>
        <v>104</v>
      </c>
      <c r="BA480" s="1912">
        <f t="shared" si="1192"/>
        <v>104</v>
      </c>
      <c r="BB480" s="1839">
        <f>BA480</f>
        <v>104</v>
      </c>
      <c r="BC480" s="1839">
        <f t="shared" si="1192"/>
        <v>104</v>
      </c>
      <c r="BD480" s="1906">
        <f t="shared" si="1192"/>
        <v>104</v>
      </c>
      <c r="BE480" s="1906">
        <f>BD480</f>
        <v>104</v>
      </c>
      <c r="BF480" s="1839">
        <f t="shared" si="1193"/>
        <v>104</v>
      </c>
      <c r="BG480" s="1839">
        <f t="shared" si="1193"/>
        <v>104</v>
      </c>
      <c r="BH480" s="1839">
        <f t="shared" si="1193"/>
        <v>104</v>
      </c>
      <c r="BI480" s="1906">
        <f t="shared" si="1193"/>
        <v>104</v>
      </c>
      <c r="BJ480" s="1906">
        <f>BI480</f>
        <v>104</v>
      </c>
      <c r="BK480" s="1839">
        <f t="shared" si="1194"/>
        <v>104</v>
      </c>
      <c r="BL480" s="1839">
        <f>BK480</f>
        <v>104</v>
      </c>
      <c r="BM480" s="1839">
        <f t="shared" si="1194"/>
        <v>104</v>
      </c>
      <c r="BN480" s="1906">
        <f t="shared" si="1194"/>
        <v>104</v>
      </c>
      <c r="BO480" s="1906">
        <f>BN480</f>
        <v>104</v>
      </c>
      <c r="BP480" s="1839">
        <f t="shared" si="1195"/>
        <v>104</v>
      </c>
      <c r="BQ480" s="1839">
        <f t="shared" si="1195"/>
        <v>104</v>
      </c>
      <c r="BR480" s="1839">
        <f t="shared" si="1195"/>
        <v>104</v>
      </c>
      <c r="BS480" s="1839">
        <f t="shared" si="1195"/>
        <v>104</v>
      </c>
      <c r="BT480" s="3234">
        <f>BS480</f>
        <v>104</v>
      </c>
      <c r="BU480" s="1839">
        <f t="shared" si="1196"/>
        <v>104</v>
      </c>
      <c r="BV480" s="1839">
        <f t="shared" si="1196"/>
        <v>104</v>
      </c>
      <c r="BW480" s="1839"/>
      <c r="BX480" s="1839"/>
      <c r="BY480" s="3234"/>
      <c r="BZ480" s="552"/>
      <c r="CA480" s="552"/>
      <c r="CB480" s="552">
        <f t="shared" si="1197"/>
        <v>0</v>
      </c>
      <c r="CC480" s="552">
        <f t="shared" si="1197"/>
        <v>0</v>
      </c>
      <c r="CD480" s="552">
        <f t="shared" si="1197"/>
        <v>0</v>
      </c>
      <c r="CE480" s="552">
        <f t="shared" si="1197"/>
        <v>0</v>
      </c>
      <c r="CF480" s="552">
        <f t="shared" si="1197"/>
        <v>0</v>
      </c>
      <c r="CG480" s="331"/>
      <c r="CH480" s="331"/>
      <c r="CI480" s="331"/>
      <c r="CJ480" s="331"/>
      <c r="CK480" s="331"/>
      <c r="CL480" s="520" t="str">
        <f>A480</f>
        <v>Tables</v>
      </c>
      <c r="CM480" s="330">
        <f>G480</f>
        <v>121</v>
      </c>
      <c r="CN480" s="330">
        <f>L480</f>
        <v>112</v>
      </c>
      <c r="CO480" s="330">
        <f>Q480</f>
        <v>113</v>
      </c>
      <c r="CP480" s="330">
        <f>V480</f>
        <v>101</v>
      </c>
      <c r="CQ480" s="330">
        <f>AA480</f>
        <v>105</v>
      </c>
      <c r="CR480" s="330">
        <f>AF480</f>
        <v>104</v>
      </c>
      <c r="CS480" s="330">
        <f>AK480</f>
        <v>104</v>
      </c>
      <c r="CT480" s="330">
        <f>AP480</f>
        <v>104</v>
      </c>
      <c r="CU480" s="330">
        <f>AU480</f>
        <v>104</v>
      </c>
      <c r="CV480" s="330">
        <f>AZ480</f>
        <v>104</v>
      </c>
      <c r="CW480" s="330">
        <f>BE480</f>
        <v>104</v>
      </c>
      <c r="CX480" s="330">
        <f>BJ480</f>
        <v>104</v>
      </c>
      <c r="CY480" s="330">
        <f>BO480</f>
        <v>104</v>
      </c>
      <c r="CZ480" s="330">
        <f>BT480</f>
        <v>104</v>
      </c>
      <c r="DA480" s="330">
        <f t="shared" si="1186"/>
        <v>0</v>
      </c>
      <c r="DB480" s="330">
        <f t="shared" si="1186"/>
        <v>0</v>
      </c>
      <c r="DC480" s="1888">
        <f t="shared" si="1186"/>
        <v>0</v>
      </c>
      <c r="DD480" s="331"/>
      <c r="DE480" s="331"/>
      <c r="DF480" s="502"/>
      <c r="DG480" s="503"/>
      <c r="DH480" s="3297"/>
      <c r="DI480" s="3213"/>
      <c r="DJ480" s="502"/>
      <c r="DK480" s="503"/>
      <c r="DL480" s="502"/>
      <c r="DM480" s="502"/>
      <c r="DN480" s="502"/>
      <c r="DO480" s="502"/>
      <c r="DP480" s="503"/>
      <c r="DQ480" s="503"/>
      <c r="DR480" s="296"/>
      <c r="DS480" s="296"/>
      <c r="DT480" s="296"/>
    </row>
    <row r="481" spans="1:124" ht="12" customHeight="1" x14ac:dyDescent="0.25">
      <c r="A481" s="511" t="s">
        <v>2111</v>
      </c>
      <c r="B481" s="281"/>
      <c r="C481" s="340">
        <v>3044</v>
      </c>
      <c r="D481" s="305">
        <f>AVERAGE(C478:D478)</f>
        <v>3044</v>
      </c>
      <c r="E481" s="305">
        <f>AVERAGE(D478:E478)</f>
        <v>3044</v>
      </c>
      <c r="F481" s="305">
        <f>AVERAGE(E478:F478)</f>
        <v>3035</v>
      </c>
      <c r="G481" s="345">
        <f>AVERAGE(C481:F481)</f>
        <v>3041.75</v>
      </c>
      <c r="H481" s="305">
        <f>AVERAGE(G478:H478)</f>
        <v>3026</v>
      </c>
      <c r="I481" s="305">
        <f>AVERAGE(H478:I478)</f>
        <v>3026</v>
      </c>
      <c r="J481" s="305">
        <f>AVERAGE(I478:J478)</f>
        <v>3076</v>
      </c>
      <c r="K481" s="305">
        <f>AVERAGE(J478:K478)</f>
        <v>3082</v>
      </c>
      <c r="L481" s="345">
        <f>AVERAGE(H481:K481)</f>
        <v>3052.5</v>
      </c>
      <c r="M481" s="305">
        <f>AVERAGE(L478:M478)</f>
        <v>3038</v>
      </c>
      <c r="N481" s="305">
        <f>AVERAGE(M478:N478)</f>
        <v>3038</v>
      </c>
      <c r="O481" s="305">
        <f>AVERAGE(N478:O478)</f>
        <v>3038</v>
      </c>
      <c r="P481" s="305">
        <f>AVERAGE(O478:P478)</f>
        <v>3110.5</v>
      </c>
      <c r="Q481" s="345">
        <f>AVERAGE(M481:P481)</f>
        <v>3056.125</v>
      </c>
      <c r="R481" s="305">
        <f>AVERAGE(Q478:R478)</f>
        <v>3183</v>
      </c>
      <c r="S481" s="305">
        <f>AVERAGE(R478:S478)</f>
        <v>3183</v>
      </c>
      <c r="T481" s="305">
        <f>AVERAGE(S478:T478)</f>
        <v>3183</v>
      </c>
      <c r="U481" s="305">
        <f>AVERAGE(T478:U478)</f>
        <v>3154.5</v>
      </c>
      <c r="V481" s="345">
        <f>AVERAGE(R481:U481)</f>
        <v>3175.875</v>
      </c>
      <c r="W481" s="305">
        <f>AVERAGE(V478:W478)</f>
        <v>3126</v>
      </c>
      <c r="X481" s="305">
        <f>AVERAGE(W478:X478)</f>
        <v>3126</v>
      </c>
      <c r="Y481" s="305">
        <f>AVERAGE(X478:Y478)</f>
        <v>3126</v>
      </c>
      <c r="Z481" s="305">
        <f>AVERAGE(Y478:Z478)</f>
        <v>3145.5</v>
      </c>
      <c r="AA481" s="345">
        <f>AVERAGE(W481:Z481)</f>
        <v>3130.875</v>
      </c>
      <c r="AB481" s="305">
        <f>AVERAGE(AA478:AB478)</f>
        <v>3154</v>
      </c>
      <c r="AC481" s="305">
        <f>AVERAGE(AB478:AC478)</f>
        <v>3132</v>
      </c>
      <c r="AD481" s="305">
        <f>AVERAGE(AC478:AD478)</f>
        <v>3110.5</v>
      </c>
      <c r="AE481" s="331">
        <f>AVERAGE(AD478:AE478)</f>
        <v>3098</v>
      </c>
      <c r="AF481" s="348">
        <f>AVERAGE(AB481:AE481)</f>
        <v>3123.625</v>
      </c>
      <c r="AG481" s="305">
        <f>AVERAGE(AF478:AG478)</f>
        <v>3096</v>
      </c>
      <c r="AH481" s="305">
        <f>AVERAGE(AG478:AH478)</f>
        <v>3096</v>
      </c>
      <c r="AI481" s="305">
        <f>AVERAGE(AH478:AI478)</f>
        <v>3096</v>
      </c>
      <c r="AJ481" s="331">
        <f>AVERAGE(AI478:AJ478)</f>
        <v>3096</v>
      </c>
      <c r="AK481" s="348">
        <f>AVERAGE(AG481:AJ481)</f>
        <v>3096</v>
      </c>
      <c r="AL481" s="305">
        <f>AVERAGE(AK478:AL478)</f>
        <v>3096</v>
      </c>
      <c r="AM481" s="305">
        <f>AVERAGE(AL478:AM478)</f>
        <v>3096</v>
      </c>
      <c r="AN481" s="305">
        <f>AVERAGE(AM478:AN478)</f>
        <v>3096</v>
      </c>
      <c r="AO481" s="331">
        <f>AVERAGE(AN478:AO478)</f>
        <v>3096</v>
      </c>
      <c r="AP481" s="568">
        <f>AVERAGE(AL481:AO481)</f>
        <v>3096</v>
      </c>
      <c r="AQ481" s="568">
        <f>AVERAGE(AP478:AQ478)</f>
        <v>3096</v>
      </c>
      <c r="AR481" s="330">
        <f>AVERAGE(AQ478:AR478)</f>
        <v>3096</v>
      </c>
      <c r="AS481" s="330">
        <f>AVERAGE(AR478:AS478)</f>
        <v>3096</v>
      </c>
      <c r="AT481" s="330">
        <f>AVERAGE(AS478:AT478)</f>
        <v>3096</v>
      </c>
      <c r="AU481" s="1692">
        <f>AVERAGE(AQ481:AT481)</f>
        <v>3096</v>
      </c>
      <c r="AV481" s="1912">
        <f>AVERAGE(AU478:AV478)</f>
        <v>3096</v>
      </c>
      <c r="AW481" s="1839">
        <f>AVERAGE(AV478:AW478)</f>
        <v>3096</v>
      </c>
      <c r="AX481" s="1839">
        <f>AVERAGE(AW478:AX478)</f>
        <v>3096</v>
      </c>
      <c r="AY481" s="1906">
        <f>AVERAGE(AX478:AY478)</f>
        <v>3096</v>
      </c>
      <c r="AZ481" s="1692">
        <f>AVERAGE(AV481:AY481)</f>
        <v>3096</v>
      </c>
      <c r="BA481" s="1912">
        <f>AVERAGE(AZ478:BA478)</f>
        <v>3096</v>
      </c>
      <c r="BB481" s="1839">
        <f>AVERAGE(BA478:BB478)</f>
        <v>3096</v>
      </c>
      <c r="BC481" s="1839">
        <f>AVERAGE(BB478:BC478)</f>
        <v>3096</v>
      </c>
      <c r="BD481" s="1906">
        <f>AVERAGE(BC478:BD478)</f>
        <v>3096</v>
      </c>
      <c r="BE481" s="1906">
        <f>AVERAGE(BA481:BD481)</f>
        <v>3096</v>
      </c>
      <c r="BF481" s="1839">
        <f>AVERAGE(BE478:BF478)</f>
        <v>3096</v>
      </c>
      <c r="BG481" s="1839">
        <f>AVERAGE(BF478:BG478)</f>
        <v>3096</v>
      </c>
      <c r="BH481" s="1839">
        <f>AVERAGE(BG478:BH478)</f>
        <v>3096</v>
      </c>
      <c r="BI481" s="1906">
        <f>AVERAGE(BH478:BI478)</f>
        <v>3096</v>
      </c>
      <c r="BJ481" s="1906">
        <f>AVERAGE(BF481:BI481)</f>
        <v>3096</v>
      </c>
      <c r="BK481" s="1839">
        <f>AVERAGE(BJ478:BK478)</f>
        <v>3096</v>
      </c>
      <c r="BL481" s="1839">
        <f>AVERAGE(BK478:BL478)</f>
        <v>3096</v>
      </c>
      <c r="BM481" s="1839">
        <f>AVERAGE(BL478:BM478)</f>
        <v>3096</v>
      </c>
      <c r="BN481" s="1906">
        <f>AVERAGE(BM478:BN478)</f>
        <v>3096</v>
      </c>
      <c r="BO481" s="1906">
        <f>AVERAGE(BK481:BN481)</f>
        <v>3096</v>
      </c>
      <c r="BP481" s="1839">
        <f>AVERAGE(BO478:BP478)</f>
        <v>3096</v>
      </c>
      <c r="BQ481" s="1839">
        <f>AVERAGE(BP478:BQ478)</f>
        <v>3096</v>
      </c>
      <c r="BR481" s="1839">
        <f>AVERAGE(BQ478:BR478)</f>
        <v>3096</v>
      </c>
      <c r="BS481" s="1839">
        <f>AVERAGE(BR478:BS478)</f>
        <v>3096</v>
      </c>
      <c r="BT481" s="3234">
        <f>AVERAGE(BP481:BS481)</f>
        <v>3096</v>
      </c>
      <c r="BU481" s="1839">
        <f>AVERAGE(BT478:BU478)</f>
        <v>3096</v>
      </c>
      <c r="BV481" s="1839">
        <f>AVERAGE(BU478:BV478)</f>
        <v>3096</v>
      </c>
      <c r="BW481" s="1839"/>
      <c r="BX481" s="1839"/>
      <c r="BY481" s="3234"/>
      <c r="BZ481" s="552"/>
      <c r="CA481" s="552"/>
      <c r="CB481" s="552">
        <f t="shared" ref="CB481:CF481" si="1198">AVERAGE(CA478:CB478)</f>
        <v>0</v>
      </c>
      <c r="CC481" s="552">
        <f t="shared" si="1198"/>
        <v>0</v>
      </c>
      <c r="CD481" s="552">
        <f t="shared" si="1198"/>
        <v>0</v>
      </c>
      <c r="CE481" s="552">
        <f t="shared" si="1198"/>
        <v>0</v>
      </c>
      <c r="CF481" s="552">
        <f t="shared" si="1198"/>
        <v>0</v>
      </c>
      <c r="CG481" s="331"/>
      <c r="CH481" s="331"/>
      <c r="CI481" s="331"/>
      <c r="CJ481" s="331"/>
      <c r="CK481" s="331"/>
      <c r="CL481" s="1118" t="str">
        <f>A481</f>
        <v>Average Positions</v>
      </c>
      <c r="CM481" s="330">
        <f>G481</f>
        <v>3041.75</v>
      </c>
      <c r="CN481" s="330">
        <f>L481</f>
        <v>3052.5</v>
      </c>
      <c r="CO481" s="330">
        <f>Q481</f>
        <v>3056.125</v>
      </c>
      <c r="CP481" s="330">
        <f>V481</f>
        <v>3175.875</v>
      </c>
      <c r="CQ481" s="330">
        <f>AA481</f>
        <v>3130.875</v>
      </c>
      <c r="CR481" s="330">
        <f>AF481</f>
        <v>3123.625</v>
      </c>
      <c r="CS481" s="330">
        <f>AK481</f>
        <v>3096</v>
      </c>
      <c r="CT481" s="330">
        <f>AP481</f>
        <v>3096</v>
      </c>
      <c r="CU481" s="330">
        <f>AU481</f>
        <v>3096</v>
      </c>
      <c r="CV481" s="330">
        <f>AZ481</f>
        <v>3096</v>
      </c>
      <c r="CW481" s="330">
        <f>BE481</f>
        <v>3096</v>
      </c>
      <c r="CX481" s="330">
        <f>BJ481</f>
        <v>3096</v>
      </c>
      <c r="CY481" s="330">
        <f>BO481</f>
        <v>3096</v>
      </c>
      <c r="CZ481" s="330">
        <f>BT481</f>
        <v>3096</v>
      </c>
      <c r="DA481" s="330">
        <f t="shared" si="1186"/>
        <v>0</v>
      </c>
      <c r="DB481" s="330">
        <f t="shared" si="1186"/>
        <v>0</v>
      </c>
      <c r="DC481" s="1888">
        <f t="shared" si="1186"/>
        <v>0</v>
      </c>
      <c r="DD481" s="331"/>
      <c r="DE481" s="331"/>
      <c r="DF481" s="502"/>
      <c r="DG481" s="503"/>
      <c r="DH481" s="3297"/>
      <c r="DI481" s="3213"/>
      <c r="DJ481" s="502"/>
      <c r="DK481" s="503"/>
      <c r="DL481" s="502"/>
      <c r="DM481" s="502"/>
      <c r="DN481" s="502"/>
      <c r="DO481" s="502"/>
      <c r="DP481" s="503"/>
      <c r="DQ481" s="503"/>
      <c r="DR481" s="296"/>
      <c r="DS481" s="296"/>
      <c r="DT481" s="296"/>
    </row>
    <row r="482" spans="1:124" ht="5.0999999999999996" customHeight="1" x14ac:dyDescent="0.25">
      <c r="A482" s="281"/>
      <c r="B482" s="281"/>
      <c r="C482" s="305"/>
      <c r="D482" s="305"/>
      <c r="E482" s="305"/>
      <c r="F482" s="305"/>
      <c r="G482" s="440"/>
      <c r="H482" s="305"/>
      <c r="I482" s="305"/>
      <c r="J482" s="305"/>
      <c r="K482" s="305"/>
      <c r="L482" s="440"/>
      <c r="M482" s="305"/>
      <c r="N482" s="305"/>
      <c r="O482" s="305"/>
      <c r="P482" s="305"/>
      <c r="Q482" s="440"/>
      <c r="R482" s="305"/>
      <c r="S482" s="305"/>
      <c r="T482" s="305"/>
      <c r="U482" s="305"/>
      <c r="V482" s="440"/>
      <c r="W482" s="305"/>
      <c r="X482" s="305"/>
      <c r="Y482" s="305"/>
      <c r="Z482" s="305"/>
      <c r="AA482" s="440"/>
      <c r="AB482" s="305"/>
      <c r="AC482" s="305"/>
      <c r="AD482" s="305"/>
      <c r="AE482" s="331"/>
      <c r="AF482" s="441"/>
      <c r="AG482" s="305"/>
      <c r="AH482" s="305"/>
      <c r="AI482" s="305"/>
      <c r="AJ482" s="331"/>
      <c r="AK482" s="441"/>
      <c r="AL482" s="305"/>
      <c r="AM482" s="305"/>
      <c r="AN482" s="305"/>
      <c r="AO482" s="331"/>
      <c r="AP482" s="569"/>
      <c r="AQ482" s="569"/>
      <c r="AR482" s="442"/>
      <c r="AS482" s="442"/>
      <c r="AT482" s="442"/>
      <c r="AU482" s="1690"/>
      <c r="AV482" s="1902"/>
      <c r="AW482" s="1837"/>
      <c r="AX482" s="1837"/>
      <c r="AY482" s="1903"/>
      <c r="AZ482" s="1690"/>
      <c r="BA482" s="1902"/>
      <c r="BB482" s="1837"/>
      <c r="BC482" s="1837"/>
      <c r="BD482" s="1903"/>
      <c r="BE482" s="1903"/>
      <c r="BF482" s="1837"/>
      <c r="BG482" s="1837"/>
      <c r="BH482" s="1837"/>
      <c r="BI482" s="1903"/>
      <c r="BJ482" s="1903"/>
      <c r="BK482" s="1837"/>
      <c r="BL482" s="1837"/>
      <c r="BM482" s="1837"/>
      <c r="BN482" s="1903"/>
      <c r="BO482" s="1903"/>
      <c r="BP482" s="1837"/>
      <c r="BQ482" s="1837"/>
      <c r="BR482" s="1837"/>
      <c r="BS482" s="1837"/>
      <c r="BT482" s="3236"/>
      <c r="BU482" s="1837"/>
      <c r="BV482" s="1837"/>
      <c r="BW482" s="1837"/>
      <c r="BX482" s="1837"/>
      <c r="BY482" s="3236"/>
      <c r="BZ482" s="441"/>
      <c r="CA482" s="441"/>
      <c r="CB482" s="441"/>
      <c r="CC482" s="441"/>
      <c r="CD482" s="441"/>
      <c r="CE482" s="441"/>
      <c r="CF482" s="441"/>
      <c r="CG482" s="331"/>
      <c r="CH482" s="331"/>
      <c r="CI482" s="331"/>
      <c r="CJ482" s="331"/>
      <c r="CK482" s="331"/>
      <c r="CL482" s="520"/>
      <c r="CM482" s="442"/>
      <c r="CN482" s="442"/>
      <c r="CO482" s="442"/>
      <c r="CP482" s="442"/>
      <c r="CQ482" s="442"/>
      <c r="CR482" s="442"/>
      <c r="CS482" s="442"/>
      <c r="CT482" s="442"/>
      <c r="CU482" s="442"/>
      <c r="CV482" s="442"/>
      <c r="CW482" s="442"/>
      <c r="CX482" s="442"/>
      <c r="CY482" s="442"/>
      <c r="CZ482" s="442"/>
      <c r="DA482" s="442"/>
      <c r="DB482" s="442"/>
      <c r="DC482" s="1312"/>
      <c r="DD482" s="331"/>
      <c r="DE482" s="331"/>
      <c r="DF482" s="502"/>
      <c r="DG482" s="503"/>
      <c r="DH482" s="3298"/>
      <c r="DI482" s="3213"/>
      <c r="DJ482" s="502"/>
      <c r="DK482" s="503"/>
      <c r="DL482" s="502"/>
      <c r="DM482" s="502"/>
      <c r="DN482" s="502"/>
      <c r="DO482" s="502"/>
      <c r="DP482" s="503"/>
      <c r="DQ482" s="503"/>
      <c r="DR482" s="296"/>
      <c r="DS482" s="296"/>
      <c r="DT482" s="296"/>
    </row>
    <row r="483" spans="1:124" ht="12" customHeight="1" x14ac:dyDescent="0.25">
      <c r="A483" s="496" t="s">
        <v>1418</v>
      </c>
      <c r="B483" s="1007"/>
      <c r="C483" s="1008">
        <v>3.4580000000000002</v>
      </c>
      <c r="D483" s="1008">
        <v>3.9089999999999998</v>
      </c>
      <c r="E483" s="1008">
        <v>4.5839999999999996</v>
      </c>
      <c r="F483" s="1008">
        <v>4.327</v>
      </c>
      <c r="G483" s="1009">
        <f>SUM(C483:F483)</f>
        <v>16.277999999999999</v>
      </c>
      <c r="H483" s="1008">
        <v>4.0670000000000002</v>
      </c>
      <c r="I483" s="1008">
        <v>4.7</v>
      </c>
      <c r="J483" s="1008">
        <v>5.2009999999999996</v>
      </c>
      <c r="K483" s="1008">
        <v>4.6269999999999998</v>
      </c>
      <c r="L483" s="1009">
        <f>SUM(H483:K483)</f>
        <v>18.594999999999999</v>
      </c>
      <c r="M483" s="1008">
        <v>4.3869999999999996</v>
      </c>
      <c r="N483" s="1008">
        <v>4.9210000000000003</v>
      </c>
      <c r="O483" s="1008">
        <v>4.819</v>
      </c>
      <c r="P483" s="1008">
        <v>4.0190000000000001</v>
      </c>
      <c r="Q483" s="1009">
        <f>SUM(M483:P483)</f>
        <v>18.146000000000001</v>
      </c>
      <c r="R483" s="1008">
        <v>3.4740000000000002</v>
      </c>
      <c r="S483" s="1008">
        <v>4.3410000000000002</v>
      </c>
      <c r="T483" s="1008">
        <v>5.2169999999999996</v>
      </c>
      <c r="U483" s="1008">
        <v>4.2409999999999997</v>
      </c>
      <c r="V483" s="1009">
        <f>SUM(R483:U483)</f>
        <v>17.273</v>
      </c>
      <c r="W483" s="1008">
        <v>3.9849999999999999</v>
      </c>
      <c r="X483" s="1008">
        <v>4.694</v>
      </c>
      <c r="Y483" s="1008">
        <v>4.8979999999999997</v>
      </c>
      <c r="Z483" s="1008">
        <v>3.1480000000000001</v>
      </c>
      <c r="AA483" s="1009">
        <f>SUM(W483:Z483)</f>
        <v>16.725000000000001</v>
      </c>
      <c r="AB483" s="1008">
        <v>3.0329999999999999</v>
      </c>
      <c r="AC483" s="1008">
        <v>3.6739999999999999</v>
      </c>
      <c r="AD483" s="1008">
        <v>4.2389999999999999</v>
      </c>
      <c r="AE483" s="1010">
        <v>3.8410000000000002</v>
      </c>
      <c r="AF483" s="1011">
        <f>SUM(AB483:AE483)</f>
        <v>14.786999999999999</v>
      </c>
      <c r="AG483" s="1008">
        <v>3.194</v>
      </c>
      <c r="AH483" s="1008">
        <v>4.0119999999999996</v>
      </c>
      <c r="AI483" s="1008">
        <v>4.3630000000000004</v>
      </c>
      <c r="AJ483" s="1008">
        <v>3.621</v>
      </c>
      <c r="AK483" s="1011">
        <f>SUM(AG483:AJ483)</f>
        <v>15.19</v>
      </c>
      <c r="AL483" s="1008">
        <v>3.3170000000000002</v>
      </c>
      <c r="AM483" s="1010">
        <v>4.0369999999999999</v>
      </c>
      <c r="AN483" s="1593">
        <f>AI483*(1+AN484)</f>
        <v>4.4066300000000007</v>
      </c>
      <c r="AO483" s="1014">
        <f>AJ483*(1+AO484)</f>
        <v>3.6572100000000001</v>
      </c>
      <c r="AP483" s="1013">
        <f>SUM(AL483:AO483)</f>
        <v>15.417840000000002</v>
      </c>
      <c r="AQ483" s="1013">
        <f>AL483*(1+AQ484)</f>
        <v>3.38334</v>
      </c>
      <c r="AR483" s="1012">
        <f>AM483*(1+AR484)</f>
        <v>4.1177400000000004</v>
      </c>
      <c r="AS483" s="1012">
        <f>AN483*(1+AS484)</f>
        <v>4.4947626000000005</v>
      </c>
      <c r="AT483" s="1012">
        <f>AO483*(1+AT484)</f>
        <v>3.7303542000000003</v>
      </c>
      <c r="AU483" s="1691">
        <f>SUM(AQ483:AT483)</f>
        <v>15.7261968</v>
      </c>
      <c r="AV483" s="1904">
        <f>AQ483*(1+AV484)</f>
        <v>3.38334</v>
      </c>
      <c r="AW483" s="1838">
        <f>AR483*(1+AW484)</f>
        <v>4.1177400000000004</v>
      </c>
      <c r="AX483" s="1838">
        <f>AS483*(1+AX484)</f>
        <v>4.4947626000000005</v>
      </c>
      <c r="AY483" s="1905">
        <f>AT483*(1+AY484)</f>
        <v>3.7303542000000003</v>
      </c>
      <c r="AZ483" s="1691">
        <f>SUM(AV483:AY483)</f>
        <v>15.7261968</v>
      </c>
      <c r="BA483" s="1904">
        <f>AV483*(1+BA484)</f>
        <v>3.38334</v>
      </c>
      <c r="BB483" s="1838">
        <f>AW483*(1+BB484)</f>
        <v>4.1177400000000004</v>
      </c>
      <c r="BC483" s="1838">
        <f>AX483*(1+BC484)</f>
        <v>4.4947626000000005</v>
      </c>
      <c r="BD483" s="1905">
        <f>AY483*(1+BD484)</f>
        <v>3.7303542000000003</v>
      </c>
      <c r="BE483" s="1905">
        <f>SUM(BA483:BD483)</f>
        <v>15.7261968</v>
      </c>
      <c r="BF483" s="1838">
        <f>BA483*(1+BF484)</f>
        <v>3.38334</v>
      </c>
      <c r="BG483" s="1838">
        <f>BB483*(1+BG484)</f>
        <v>4.1177400000000004</v>
      </c>
      <c r="BH483" s="1838">
        <f>BC483*(1+BH484)</f>
        <v>4.4947626000000005</v>
      </c>
      <c r="BI483" s="1905">
        <f>BD483*(1+BI484)</f>
        <v>3.7303542000000003</v>
      </c>
      <c r="BJ483" s="1905">
        <f>SUM(BF483:BI483)</f>
        <v>15.7261968</v>
      </c>
      <c r="BK483" s="1838">
        <f>BF483*(1+BK484)</f>
        <v>3.38334</v>
      </c>
      <c r="BL483" s="1838">
        <f>BG483*(1+BL484)</f>
        <v>4.1177400000000004</v>
      </c>
      <c r="BM483" s="1838">
        <f>BH483*(1+BM484)</f>
        <v>4.4947626000000005</v>
      </c>
      <c r="BN483" s="1905">
        <f>BI483*(1+BN484)</f>
        <v>3.7303542000000003</v>
      </c>
      <c r="BO483" s="1905">
        <f>SUM(BK483:BN483)</f>
        <v>15.7261968</v>
      </c>
      <c r="BP483" s="1838">
        <f>BK483*(1+BP484)</f>
        <v>3.38334</v>
      </c>
      <c r="BQ483" s="1838">
        <f>BL483*(1+BQ484)</f>
        <v>4.1177400000000004</v>
      </c>
      <c r="BR483" s="1838">
        <f>BM483*(1+BR484)</f>
        <v>4.4947626000000005</v>
      </c>
      <c r="BS483" s="1838">
        <f>BN483*(1+BS484)</f>
        <v>3.7303542000000003</v>
      </c>
      <c r="BT483" s="1011">
        <f>SUM(BP483:BS483)</f>
        <v>15.7261968</v>
      </c>
      <c r="BU483" s="1838">
        <f>BP483*(1+BU484)</f>
        <v>3.38334</v>
      </c>
      <c r="BV483" s="1838">
        <f>BQ483*(1+BV484)</f>
        <v>4.1177400000000004</v>
      </c>
      <c r="BW483" s="1838"/>
      <c r="BX483" s="1838"/>
      <c r="BY483" s="1011"/>
      <c r="BZ483" s="1011"/>
      <c r="CA483" s="1011"/>
      <c r="CB483" s="1011">
        <f t="shared" ref="CB483:CF483" si="1199">CA483*(1+CB484)</f>
        <v>0</v>
      </c>
      <c r="CC483" s="1011">
        <f t="shared" si="1199"/>
        <v>0</v>
      </c>
      <c r="CD483" s="1011">
        <f t="shared" si="1199"/>
        <v>0</v>
      </c>
      <c r="CE483" s="1011">
        <f t="shared" si="1199"/>
        <v>0</v>
      </c>
      <c r="CF483" s="1011">
        <f t="shared" si="1199"/>
        <v>0</v>
      </c>
      <c r="CG483" s="502"/>
      <c r="CH483" s="502"/>
      <c r="CI483" s="502"/>
      <c r="CJ483" s="502"/>
      <c r="CK483" s="502"/>
      <c r="CL483" s="2102" t="str">
        <f>A483</f>
        <v>Net revenue</v>
      </c>
      <c r="CM483" s="1012">
        <f>G483</f>
        <v>16.277999999999999</v>
      </c>
      <c r="CN483" s="1012">
        <f>L483</f>
        <v>18.594999999999999</v>
      </c>
      <c r="CO483" s="1012">
        <f>Q483</f>
        <v>18.146000000000001</v>
      </c>
      <c r="CP483" s="1012">
        <f>V483</f>
        <v>17.273</v>
      </c>
      <c r="CQ483" s="1012">
        <f>AA483</f>
        <v>16.725000000000001</v>
      </c>
      <c r="CR483" s="1012">
        <f>AF483</f>
        <v>14.786999999999999</v>
      </c>
      <c r="CS483" s="1012">
        <f>AK483</f>
        <v>15.19</v>
      </c>
      <c r="CT483" s="1012">
        <f>AP483</f>
        <v>15.417840000000002</v>
      </c>
      <c r="CU483" s="1012">
        <f>AU483</f>
        <v>15.7261968</v>
      </c>
      <c r="CV483" s="1012">
        <f>AZ483</f>
        <v>15.7261968</v>
      </c>
      <c r="CW483" s="1012">
        <f>BE483</f>
        <v>15.7261968</v>
      </c>
      <c r="CX483" s="1012">
        <f>BJ483</f>
        <v>15.7261968</v>
      </c>
      <c r="CY483" s="1012">
        <f>BO483</f>
        <v>15.7261968</v>
      </c>
      <c r="CZ483" s="1012">
        <f>BT483</f>
        <v>15.7261968</v>
      </c>
      <c r="DA483" s="1012">
        <f t="shared" ref="DA483:DC484" si="1200">BY483</f>
        <v>0</v>
      </c>
      <c r="DB483" s="1012">
        <f t="shared" si="1200"/>
        <v>0</v>
      </c>
      <c r="DC483" s="1877">
        <f t="shared" si="1200"/>
        <v>0</v>
      </c>
      <c r="DD483" s="502"/>
      <c r="DE483" s="502"/>
      <c r="DF483" s="502"/>
      <c r="DG483" s="503"/>
      <c r="DH483" s="598"/>
      <c r="DI483" s="3213"/>
      <c r="DJ483" s="502"/>
      <c r="DK483" s="503"/>
      <c r="DL483" s="502"/>
      <c r="DM483" s="502"/>
      <c r="DN483" s="502"/>
      <c r="DO483" s="502"/>
      <c r="DP483" s="503"/>
      <c r="DQ483" s="503"/>
      <c r="DR483" s="719"/>
      <c r="DS483" s="719"/>
      <c r="DT483" s="719"/>
    </row>
    <row r="484" spans="1:124" ht="12" customHeight="1" x14ac:dyDescent="0.25">
      <c r="A484" s="465" t="s">
        <v>1491</v>
      </c>
      <c r="B484" s="579"/>
      <c r="C484" s="467" t="s">
        <v>553</v>
      </c>
      <c r="D484" s="467" t="s">
        <v>553</v>
      </c>
      <c r="E484" s="467" t="s">
        <v>553</v>
      </c>
      <c r="F484" s="467" t="s">
        <v>553</v>
      </c>
      <c r="G484" s="468" t="s">
        <v>553</v>
      </c>
      <c r="H484" s="467">
        <f t="shared" ref="H484:AF484" si="1201">(H483-C483)/C483</f>
        <v>0.17611336032388664</v>
      </c>
      <c r="I484" s="467">
        <f t="shared" si="1201"/>
        <v>0.20235354310565373</v>
      </c>
      <c r="J484" s="467">
        <f t="shared" si="1201"/>
        <v>0.13459860383944156</v>
      </c>
      <c r="K484" s="467">
        <f t="shared" si="1201"/>
        <v>6.9332100762653073E-2</v>
      </c>
      <c r="L484" s="468">
        <f t="shared" si="1201"/>
        <v>0.14233935372895937</v>
      </c>
      <c r="M484" s="467">
        <f t="shared" si="1201"/>
        <v>7.8682075239734292E-2</v>
      </c>
      <c r="N484" s="467">
        <f t="shared" si="1201"/>
        <v>4.7021276595744697E-2</v>
      </c>
      <c r="O484" s="467">
        <f t="shared" si="1201"/>
        <v>-7.3447413958854013E-2</v>
      </c>
      <c r="P484" s="467">
        <f t="shared" si="1201"/>
        <v>-0.13140263669764418</v>
      </c>
      <c r="Q484" s="468">
        <f t="shared" si="1201"/>
        <v>-2.4146275880612966E-2</v>
      </c>
      <c r="R484" s="467">
        <f t="shared" si="1201"/>
        <v>-0.20811488488716651</v>
      </c>
      <c r="S484" s="467">
        <f t="shared" si="1201"/>
        <v>-0.11786222312538103</v>
      </c>
      <c r="T484" s="467">
        <f t="shared" si="1201"/>
        <v>8.2589748910562297E-2</v>
      </c>
      <c r="U484" s="467">
        <f t="shared" si="1201"/>
        <v>5.5237621298830433E-2</v>
      </c>
      <c r="V484" s="468">
        <f t="shared" si="1201"/>
        <v>-4.8109776259230741E-2</v>
      </c>
      <c r="W484" s="467">
        <f t="shared" si="1201"/>
        <v>0.14709268854346563</v>
      </c>
      <c r="X484" s="467">
        <f t="shared" si="1201"/>
        <v>8.131766873992162E-2</v>
      </c>
      <c r="Y484" s="467">
        <f t="shared" si="1201"/>
        <v>-6.114625263561433E-2</v>
      </c>
      <c r="Z484" s="467">
        <f t="shared" si="1201"/>
        <v>-0.25772223532185795</v>
      </c>
      <c r="AA484" s="468">
        <f t="shared" si="1201"/>
        <v>-3.1725814855554813E-2</v>
      </c>
      <c r="AB484" s="467">
        <f t="shared" si="1201"/>
        <v>-0.23889585947302383</v>
      </c>
      <c r="AC484" s="467">
        <f t="shared" si="1201"/>
        <v>-0.21729867916489135</v>
      </c>
      <c r="AD484" s="467">
        <f t="shared" si="1201"/>
        <v>-0.13454471212739891</v>
      </c>
      <c r="AE484" s="469">
        <f t="shared" si="1201"/>
        <v>0.22013977128335452</v>
      </c>
      <c r="AF484" s="470">
        <f t="shared" si="1201"/>
        <v>-0.11587443946188354</v>
      </c>
      <c r="AG484" s="467">
        <f>(AG483-AB483)/AB483</f>
        <v>5.3082756346851313E-2</v>
      </c>
      <c r="AH484" s="467">
        <f>(AH483-AC483)/AC483</f>
        <v>9.19978225367446E-2</v>
      </c>
      <c r="AI484" s="467">
        <f>(AI483-AD483)/AD483</f>
        <v>2.9252182118424289E-2</v>
      </c>
      <c r="AJ484" s="469">
        <f>AI484</f>
        <v>2.9252182118424289E-2</v>
      </c>
      <c r="AK484" s="470">
        <f>(AK483-AF483)/AF483</f>
        <v>2.725366876310276E-2</v>
      </c>
      <c r="AL484" s="467">
        <f>(AL483-AG483)/AG483</f>
        <v>3.8509705698184162E-2</v>
      </c>
      <c r="AM484" s="467">
        <f>(AM483-AH483)/AH483</f>
        <v>6.231306081754825E-3</v>
      </c>
      <c r="AN484" s="538">
        <v>0.01</v>
      </c>
      <c r="AO484" s="469">
        <f>AN484</f>
        <v>0.01</v>
      </c>
      <c r="AP484" s="471">
        <f>(AP483-AK483)/AK483</f>
        <v>1.4999341672152881E-2</v>
      </c>
      <c r="AQ484" s="1667">
        <v>0.02</v>
      </c>
      <c r="AR484" s="469">
        <f>AQ484</f>
        <v>0.02</v>
      </c>
      <c r="AS484" s="469">
        <f>AR484</f>
        <v>0.02</v>
      </c>
      <c r="AT484" s="469">
        <f>AS484</f>
        <v>0.02</v>
      </c>
      <c r="AU484" s="1689">
        <f>(AU483-AP483)/AP483</f>
        <v>1.9999999999999903E-2</v>
      </c>
      <c r="AV484" s="1667">
        <v>0</v>
      </c>
      <c r="AW484" s="540">
        <v>0</v>
      </c>
      <c r="AX484" s="540">
        <v>0</v>
      </c>
      <c r="AY484" s="1668">
        <v>0</v>
      </c>
      <c r="AZ484" s="1689">
        <f>(AZ483-AU483)/AU483</f>
        <v>0</v>
      </c>
      <c r="BA484" s="1730">
        <f>AZ484</f>
        <v>0</v>
      </c>
      <c r="BB484" s="1465">
        <f>BA484</f>
        <v>0</v>
      </c>
      <c r="BC484" s="1465">
        <f>BB484</f>
        <v>0</v>
      </c>
      <c r="BD484" s="1868">
        <f>BC484</f>
        <v>0</v>
      </c>
      <c r="BE484" s="1868">
        <f>(BE483-AZ483)/AZ483</f>
        <v>0</v>
      </c>
      <c r="BF484" s="1465">
        <f>BD484</f>
        <v>0</v>
      </c>
      <c r="BG484" s="1465">
        <f>BF484</f>
        <v>0</v>
      </c>
      <c r="BH484" s="1465">
        <f>BG484</f>
        <v>0</v>
      </c>
      <c r="BI484" s="1868">
        <f>BH484</f>
        <v>0</v>
      </c>
      <c r="BJ484" s="1868">
        <f>(BJ483-BE483)/BE483</f>
        <v>0</v>
      </c>
      <c r="BK484" s="1465">
        <f>BJ484</f>
        <v>0</v>
      </c>
      <c r="BL484" s="1465">
        <f>BK484</f>
        <v>0</v>
      </c>
      <c r="BM484" s="1465">
        <f>BL484</f>
        <v>0</v>
      </c>
      <c r="BN484" s="1868">
        <f>BM484</f>
        <v>0</v>
      </c>
      <c r="BO484" s="1868">
        <f>(BO483-BJ483)/BJ483</f>
        <v>0</v>
      </c>
      <c r="BP484" s="1465">
        <f>BO484</f>
        <v>0</v>
      </c>
      <c r="BQ484" s="1465">
        <f>BP484</f>
        <v>0</v>
      </c>
      <c r="BR484" s="1465">
        <f>BQ484</f>
        <v>0</v>
      </c>
      <c r="BS484" s="1465">
        <f>BR484</f>
        <v>0</v>
      </c>
      <c r="BT484" s="470">
        <f>(BT483-BO483)/BO483</f>
        <v>0</v>
      </c>
      <c r="BU484" s="1465">
        <f>BT484</f>
        <v>0</v>
      </c>
      <c r="BV484" s="1465">
        <f>BU484</f>
        <v>0</v>
      </c>
      <c r="BW484" s="1465"/>
      <c r="BX484" s="1465"/>
      <c r="BY484" s="470"/>
      <c r="BZ484" s="470"/>
      <c r="CA484" s="470"/>
      <c r="CB484" s="470">
        <f t="shared" ref="CB484:CF484" si="1202">CA484</f>
        <v>0</v>
      </c>
      <c r="CC484" s="470">
        <f t="shared" si="1202"/>
        <v>0</v>
      </c>
      <c r="CD484" s="470">
        <f t="shared" si="1202"/>
        <v>0</v>
      </c>
      <c r="CE484" s="470">
        <f t="shared" si="1202"/>
        <v>0</v>
      </c>
      <c r="CF484" s="470">
        <f t="shared" si="1202"/>
        <v>0</v>
      </c>
      <c r="CG484" s="972"/>
      <c r="CH484" s="972"/>
      <c r="CI484" s="972"/>
      <c r="CJ484" s="972"/>
      <c r="CK484" s="972"/>
      <c r="CL484" s="1310" t="str">
        <f>A484</f>
        <v>% growth (y-o-y)</v>
      </c>
      <c r="CM484" s="469" t="str">
        <f>G484</f>
        <v xml:space="preserve">n/a </v>
      </c>
      <c r="CN484" s="469">
        <f>L484</f>
        <v>0.14233935372895937</v>
      </c>
      <c r="CO484" s="469">
        <f>Q484</f>
        <v>-2.4146275880612966E-2</v>
      </c>
      <c r="CP484" s="469">
        <f>V484</f>
        <v>-4.8109776259230741E-2</v>
      </c>
      <c r="CQ484" s="469">
        <f>AA484</f>
        <v>-3.1725814855554813E-2</v>
      </c>
      <c r="CR484" s="469">
        <f>AF484</f>
        <v>-0.11587443946188354</v>
      </c>
      <c r="CS484" s="469">
        <f>AK484</f>
        <v>2.725366876310276E-2</v>
      </c>
      <c r="CT484" s="469">
        <f>AP484</f>
        <v>1.4999341672152881E-2</v>
      </c>
      <c r="CU484" s="469">
        <f>AU484</f>
        <v>1.9999999999999903E-2</v>
      </c>
      <c r="CV484" s="469">
        <f>AZ484</f>
        <v>0</v>
      </c>
      <c r="CW484" s="469">
        <f>BE484</f>
        <v>0</v>
      </c>
      <c r="CX484" s="469">
        <f>BJ484</f>
        <v>0</v>
      </c>
      <c r="CY484" s="469">
        <f>BO484</f>
        <v>0</v>
      </c>
      <c r="CZ484" s="469">
        <f>BT484</f>
        <v>0</v>
      </c>
      <c r="DA484" s="469">
        <f t="shared" si="1200"/>
        <v>0</v>
      </c>
      <c r="DB484" s="469">
        <f t="shared" si="1200"/>
        <v>0</v>
      </c>
      <c r="DC484" s="1463">
        <f t="shared" si="1200"/>
        <v>0</v>
      </c>
      <c r="DD484" s="972"/>
      <c r="DE484" s="972"/>
      <c r="DF484" s="974"/>
      <c r="DG484" s="975"/>
      <c r="DH484" s="469"/>
      <c r="DI484" s="3210"/>
      <c r="DJ484" s="974"/>
      <c r="DK484" s="975"/>
      <c r="DL484" s="974"/>
      <c r="DM484" s="974"/>
      <c r="DN484" s="974"/>
      <c r="DO484" s="974"/>
      <c r="DP484" s="975"/>
      <c r="DQ484" s="975"/>
      <c r="DR484" s="976"/>
      <c r="DS484" s="976"/>
      <c r="DT484" s="976"/>
    </row>
    <row r="485" spans="1:124" ht="5.0999999999999996" customHeight="1" x14ac:dyDescent="0.25">
      <c r="A485" s="281"/>
      <c r="B485" s="281"/>
      <c r="C485" s="305"/>
      <c r="D485" s="305"/>
      <c r="E485" s="305"/>
      <c r="F485" s="305"/>
      <c r="G485" s="440"/>
      <c r="H485" s="305"/>
      <c r="I485" s="305"/>
      <c r="J485" s="305"/>
      <c r="K485" s="305"/>
      <c r="L485" s="440"/>
      <c r="M485" s="305"/>
      <c r="N485" s="305"/>
      <c r="O485" s="305"/>
      <c r="P485" s="305"/>
      <c r="Q485" s="440"/>
      <c r="R485" s="305"/>
      <c r="S485" s="305"/>
      <c r="T485" s="305"/>
      <c r="U485" s="305"/>
      <c r="V485" s="440"/>
      <c r="W485" s="305"/>
      <c r="X485" s="305"/>
      <c r="Y485" s="305"/>
      <c r="Z485" s="305"/>
      <c r="AA485" s="440"/>
      <c r="AB485" s="305"/>
      <c r="AC485" s="305"/>
      <c r="AD485" s="305"/>
      <c r="AE485" s="331"/>
      <c r="AF485" s="441"/>
      <c r="AG485" s="305"/>
      <c r="AH485" s="305"/>
      <c r="AI485" s="305"/>
      <c r="AJ485" s="331"/>
      <c r="AK485" s="441"/>
      <c r="AL485" s="305"/>
      <c r="AM485" s="305"/>
      <c r="AN485" s="305"/>
      <c r="AO485" s="331"/>
      <c r="AP485" s="569"/>
      <c r="AQ485" s="569"/>
      <c r="AR485" s="442"/>
      <c r="AS485" s="442"/>
      <c r="AT485" s="442"/>
      <c r="AU485" s="1690"/>
      <c r="AV485" s="1902"/>
      <c r="AW485" s="1837"/>
      <c r="AX485" s="1837"/>
      <c r="AY485" s="1903"/>
      <c r="AZ485" s="1690"/>
      <c r="BA485" s="1902"/>
      <c r="BB485" s="1837"/>
      <c r="BC485" s="1837"/>
      <c r="BD485" s="1903"/>
      <c r="BE485" s="1903"/>
      <c r="BF485" s="1837"/>
      <c r="BG485" s="1837"/>
      <c r="BH485" s="1837"/>
      <c r="BI485" s="1903"/>
      <c r="BJ485" s="1903"/>
      <c r="BK485" s="1837"/>
      <c r="BL485" s="1837"/>
      <c r="BM485" s="1837"/>
      <c r="BN485" s="1903"/>
      <c r="BO485" s="1903"/>
      <c r="BP485" s="1837"/>
      <c r="BQ485" s="1837"/>
      <c r="BR485" s="1837"/>
      <c r="BS485" s="1837"/>
      <c r="BT485" s="3236"/>
      <c r="BU485" s="1837"/>
      <c r="BV485" s="1837"/>
      <c r="BW485" s="1837"/>
      <c r="BX485" s="1837"/>
      <c r="BY485" s="3236"/>
      <c r="BZ485" s="441"/>
      <c r="CA485" s="441"/>
      <c r="CB485" s="441"/>
      <c r="CC485" s="441"/>
      <c r="CD485" s="441"/>
      <c r="CE485" s="441"/>
      <c r="CF485" s="441"/>
      <c r="CG485" s="331"/>
      <c r="CH485" s="331"/>
      <c r="CI485" s="331"/>
      <c r="CJ485" s="331"/>
      <c r="CK485" s="331"/>
      <c r="CL485" s="520"/>
      <c r="CM485" s="442"/>
      <c r="CN485" s="442"/>
      <c r="CO485" s="442"/>
      <c r="CP485" s="442"/>
      <c r="CQ485" s="442"/>
      <c r="CR485" s="442"/>
      <c r="CS485" s="442"/>
      <c r="CT485" s="442"/>
      <c r="CU485" s="442"/>
      <c r="CV485" s="442"/>
      <c r="CW485" s="442"/>
      <c r="CX485" s="442"/>
      <c r="CY485" s="442"/>
      <c r="CZ485" s="442"/>
      <c r="DA485" s="442"/>
      <c r="DB485" s="442"/>
      <c r="DC485" s="1312"/>
      <c r="DD485" s="331"/>
      <c r="DE485" s="331"/>
      <c r="DF485" s="502"/>
      <c r="DG485" s="503"/>
      <c r="DH485" s="3298"/>
      <c r="DI485" s="3213"/>
      <c r="DJ485" s="502"/>
      <c r="DK485" s="503"/>
      <c r="DL485" s="502"/>
      <c r="DM485" s="502"/>
      <c r="DN485" s="502"/>
      <c r="DO485" s="502"/>
      <c r="DP485" s="503"/>
      <c r="DQ485" s="503"/>
      <c r="DR485" s="296"/>
      <c r="DS485" s="296"/>
      <c r="DT485" s="296"/>
    </row>
    <row r="486" spans="1:124" ht="12" customHeight="1" x14ac:dyDescent="0.25">
      <c r="A486" s="281" t="s">
        <v>601</v>
      </c>
      <c r="B486" s="281"/>
      <c r="C486" s="452">
        <f>C483-C489</f>
        <v>0.25800000000000001</v>
      </c>
      <c r="D486" s="452">
        <f>D483-D489</f>
        <v>0.28699999999999992</v>
      </c>
      <c r="E486" s="452">
        <f>E483-E489</f>
        <v>0.33199999999999985</v>
      </c>
      <c r="F486" s="452">
        <f>F483-F489</f>
        <v>-8.3999999999999631E-2</v>
      </c>
      <c r="G486" s="475">
        <f>SUM(C486:F486)</f>
        <v>0.79300000000000015</v>
      </c>
      <c r="H486" s="452">
        <f>H483-H489</f>
        <v>0.29900000000000038</v>
      </c>
      <c r="I486" s="452">
        <f>I483-I489</f>
        <v>0.33800000000000008</v>
      </c>
      <c r="J486" s="452">
        <f>J483-J489</f>
        <v>0.37199999999999989</v>
      </c>
      <c r="K486" s="452">
        <f>K483-K489</f>
        <v>0.35199999999999942</v>
      </c>
      <c r="L486" s="475">
        <f>SUM(H486:K486)</f>
        <v>1.3609999999999998</v>
      </c>
      <c r="M486" s="452">
        <f>M483-M489</f>
        <v>0.31899999999999995</v>
      </c>
      <c r="N486" s="452">
        <f>N483-N489</f>
        <v>0.35700000000000021</v>
      </c>
      <c r="O486" s="452">
        <f>O483-O489</f>
        <v>0.35299999999999976</v>
      </c>
      <c r="P486" s="452">
        <f>P483-P489</f>
        <v>0.35200000000000031</v>
      </c>
      <c r="Q486" s="475">
        <f>SUM(M486:P486)</f>
        <v>1.3810000000000002</v>
      </c>
      <c r="R486" s="452">
        <f>R483-R489</f>
        <v>0.28600000000000003</v>
      </c>
      <c r="S486" s="452">
        <f>S483-S489</f>
        <v>0.35700000000000021</v>
      </c>
      <c r="T486" s="452">
        <f>T483-T489</f>
        <v>0.40599999999999969</v>
      </c>
      <c r="U486" s="452">
        <f>U483-U489</f>
        <v>0.32499999999999973</v>
      </c>
      <c r="V486" s="475">
        <f>SUM(R486:U486)</f>
        <v>1.3739999999999997</v>
      </c>
      <c r="W486" s="452">
        <f>W483-W489</f>
        <v>0.38999999999999968</v>
      </c>
      <c r="X486" s="452">
        <f>X483-X489</f>
        <v>0.42199999999999971</v>
      </c>
      <c r="Y486" s="452">
        <f>Y483-Y489</f>
        <v>0.44700000000000006</v>
      </c>
      <c r="Z486" s="452">
        <f>Z483-Z489</f>
        <v>0.28299999999999992</v>
      </c>
      <c r="AA486" s="475">
        <f>SUM(W486:Z486)</f>
        <v>1.5419999999999994</v>
      </c>
      <c r="AB486" s="452">
        <f>AB483-AB489</f>
        <v>0.29899999999999993</v>
      </c>
      <c r="AC486" s="452">
        <f>AC483-AC489</f>
        <v>0.43999999999999995</v>
      </c>
      <c r="AD486" s="452">
        <f>AD483-AD489</f>
        <v>0.39799999999999969</v>
      </c>
      <c r="AE486" s="452">
        <f>AE483-AE489</f>
        <v>0.25500000000000034</v>
      </c>
      <c r="AF486" s="477">
        <f>SUM(AB486:AE486)</f>
        <v>1.3919999999999999</v>
      </c>
      <c r="AG486" s="452">
        <f>AG483-AG489</f>
        <v>0.38499999999999979</v>
      </c>
      <c r="AH486" s="452">
        <f>AH483-AH489</f>
        <v>0.32499999999999973</v>
      </c>
      <c r="AI486" s="452">
        <f>AI483-AI489</f>
        <v>0.42400000000000038</v>
      </c>
      <c r="AJ486" s="452">
        <f>AJ483-AJ489</f>
        <v>0.18800000000000017</v>
      </c>
      <c r="AK486" s="477">
        <f>SUM(AG486:AJ486)</f>
        <v>1.3220000000000001</v>
      </c>
      <c r="AL486" s="452">
        <f>AL483-AL489</f>
        <v>0.29200000000000026</v>
      </c>
      <c r="AM486" s="452">
        <f>AM483-AM489</f>
        <v>0.3839999999999999</v>
      </c>
      <c r="AN486" s="452">
        <f>AM486</f>
        <v>0.3839999999999999</v>
      </c>
      <c r="AO486" s="452">
        <f>AN486</f>
        <v>0.3839999999999999</v>
      </c>
      <c r="AP486" s="478">
        <f>SUM(AL486:AO486)</f>
        <v>1.444</v>
      </c>
      <c r="AQ486" s="478">
        <f>+AO486</f>
        <v>0.3839999999999999</v>
      </c>
      <c r="AR486" s="476">
        <f>AQ486</f>
        <v>0.3839999999999999</v>
      </c>
      <c r="AS486" s="476">
        <f>AR486</f>
        <v>0.3839999999999999</v>
      </c>
      <c r="AT486" s="476">
        <f>AS486</f>
        <v>0.3839999999999999</v>
      </c>
      <c r="AU486" s="1464">
        <f>SUM(AQ486:AT486)</f>
        <v>1.5359999999999996</v>
      </c>
      <c r="AV486" s="1865">
        <f>1.6/4</f>
        <v>0.4</v>
      </c>
      <c r="AW486" s="1771">
        <f>AV486</f>
        <v>0.4</v>
      </c>
      <c r="AX486" s="1771">
        <f>AW486</f>
        <v>0.4</v>
      </c>
      <c r="AY486" s="1866">
        <f>AX486</f>
        <v>0.4</v>
      </c>
      <c r="AZ486" s="1464">
        <f>SUM(AV486:AY486)</f>
        <v>1.6</v>
      </c>
      <c r="BA486" s="1865">
        <f>1.625/4</f>
        <v>0.40625</v>
      </c>
      <c r="BB486" s="1771">
        <f>BA486</f>
        <v>0.40625</v>
      </c>
      <c r="BC486" s="1771">
        <f>BB486</f>
        <v>0.40625</v>
      </c>
      <c r="BD486" s="1866">
        <f>BC486</f>
        <v>0.40625</v>
      </c>
      <c r="BE486" s="1866">
        <f>SUM(BA486:BD486)</f>
        <v>1.625</v>
      </c>
      <c r="BF486" s="1771">
        <f>BD486</f>
        <v>0.40625</v>
      </c>
      <c r="BG486" s="1771">
        <f>BF486</f>
        <v>0.40625</v>
      </c>
      <c r="BH486" s="1771">
        <f>BG486</f>
        <v>0.40625</v>
      </c>
      <c r="BI486" s="1866">
        <f>BH486</f>
        <v>0.40625</v>
      </c>
      <c r="BJ486" s="1866">
        <f>SUM(BF486:BI486)</f>
        <v>1.625</v>
      </c>
      <c r="BK486" s="1771">
        <f>BJ486/4</f>
        <v>0.40625</v>
      </c>
      <c r="BL486" s="1771">
        <f>BK486</f>
        <v>0.40625</v>
      </c>
      <c r="BM486" s="1771">
        <f>BL486</f>
        <v>0.40625</v>
      </c>
      <c r="BN486" s="1866">
        <f>BM486</f>
        <v>0.40625</v>
      </c>
      <c r="BO486" s="1866">
        <f>SUM(BK486:BN486)</f>
        <v>1.625</v>
      </c>
      <c r="BP486" s="1771">
        <f>+BN486</f>
        <v>0.40625</v>
      </c>
      <c r="BQ486" s="1771">
        <f>BP486</f>
        <v>0.40625</v>
      </c>
      <c r="BR486" s="1771">
        <f>BQ486</f>
        <v>0.40625</v>
      </c>
      <c r="BS486" s="1771">
        <f>BR486*1.1</f>
        <v>0.44687500000000002</v>
      </c>
      <c r="BT486" s="2604">
        <f>SUM(BP486:BS486)</f>
        <v>1.6656249999999999</v>
      </c>
      <c r="BU486" s="1771">
        <f>+BS486</f>
        <v>0.44687500000000002</v>
      </c>
      <c r="BV486" s="1771">
        <f>BU486</f>
        <v>0.44687500000000002</v>
      </c>
      <c r="BW486" s="1771"/>
      <c r="BX486" s="1771"/>
      <c r="BY486" s="2604"/>
      <c r="BZ486" s="573"/>
      <c r="CA486" s="573"/>
      <c r="CB486" s="573">
        <v>1.65</v>
      </c>
      <c r="CC486" s="573">
        <v>1.65</v>
      </c>
      <c r="CD486" s="573">
        <v>1.65</v>
      </c>
      <c r="CE486" s="573">
        <v>1.65</v>
      </c>
      <c r="CF486" s="573">
        <v>1.65</v>
      </c>
      <c r="CG486" s="331"/>
      <c r="CH486" s="331"/>
      <c r="CI486" s="331"/>
      <c r="CJ486" s="331"/>
      <c r="CK486" s="331"/>
      <c r="CL486" s="520" t="str">
        <f>A486</f>
        <v>Operating expenses</v>
      </c>
      <c r="CM486" s="476">
        <f>G486</f>
        <v>0.79300000000000015</v>
      </c>
      <c r="CN486" s="476">
        <f>L486</f>
        <v>1.3609999999999998</v>
      </c>
      <c r="CO486" s="476">
        <f>Q486</f>
        <v>1.3810000000000002</v>
      </c>
      <c r="CP486" s="476">
        <f>V486</f>
        <v>1.3739999999999997</v>
      </c>
      <c r="CQ486" s="476">
        <f>AA486</f>
        <v>1.5419999999999994</v>
      </c>
      <c r="CR486" s="476">
        <f>AF486</f>
        <v>1.3919999999999999</v>
      </c>
      <c r="CS486" s="476">
        <f>AK486</f>
        <v>1.3220000000000001</v>
      </c>
      <c r="CT486" s="476">
        <f>AP486</f>
        <v>1.444</v>
      </c>
      <c r="CU486" s="476">
        <f>AU486</f>
        <v>1.5359999999999996</v>
      </c>
      <c r="CV486" s="476">
        <f>AZ486</f>
        <v>1.6</v>
      </c>
      <c r="CW486" s="476">
        <f>BE486</f>
        <v>1.625</v>
      </c>
      <c r="CX486" s="476">
        <f>BJ486</f>
        <v>1.625</v>
      </c>
      <c r="CY486" s="476">
        <f>BO486</f>
        <v>1.625</v>
      </c>
      <c r="CZ486" s="476">
        <f>BT486</f>
        <v>1.6656249999999999</v>
      </c>
      <c r="DA486" s="476">
        <f t="shared" ref="DA486:DC487" si="1203">BY486</f>
        <v>0</v>
      </c>
      <c r="DB486" s="476">
        <f t="shared" si="1203"/>
        <v>0</v>
      </c>
      <c r="DC486" s="682">
        <f t="shared" si="1203"/>
        <v>0</v>
      </c>
      <c r="DD486" s="331"/>
      <c r="DE486" s="331"/>
      <c r="DF486" s="502"/>
      <c r="DG486" s="503"/>
      <c r="DH486" s="2577"/>
      <c r="DI486" s="3213"/>
      <c r="DJ486" s="502"/>
      <c r="DK486" s="503"/>
      <c r="DL486" s="502"/>
      <c r="DM486" s="502"/>
      <c r="DN486" s="502"/>
      <c r="DO486" s="502"/>
      <c r="DP486" s="503"/>
      <c r="DQ486" s="503"/>
      <c r="DR486" s="296"/>
      <c r="DS486" s="296"/>
      <c r="DT486" s="296"/>
    </row>
    <row r="487" spans="1:124" ht="12" customHeight="1" x14ac:dyDescent="0.25">
      <c r="A487" s="465" t="s">
        <v>646</v>
      </c>
      <c r="B487" s="579"/>
      <c r="C487" s="467">
        <f t="shared" ref="C487:AF487" si="1204">C486/C483</f>
        <v>7.4609600925390401E-2</v>
      </c>
      <c r="D487" s="467">
        <f t="shared" si="1204"/>
        <v>7.3420312100281382E-2</v>
      </c>
      <c r="E487" s="467">
        <f t="shared" si="1204"/>
        <v>7.2425828970331563E-2</v>
      </c>
      <c r="F487" s="467">
        <f t="shared" si="1204"/>
        <v>-1.9412988213542787E-2</v>
      </c>
      <c r="G487" s="468">
        <f t="shared" si="1204"/>
        <v>4.8716058483843236E-2</v>
      </c>
      <c r="H487" s="467">
        <f t="shared" si="1204"/>
        <v>7.3518564052126964E-2</v>
      </c>
      <c r="I487" s="467">
        <f t="shared" si="1204"/>
        <v>7.1914893617021289E-2</v>
      </c>
      <c r="J487" s="467">
        <f t="shared" si="1204"/>
        <v>7.1524706787156306E-2</v>
      </c>
      <c r="K487" s="467">
        <f t="shared" si="1204"/>
        <v>7.607521071968866E-2</v>
      </c>
      <c r="L487" s="468">
        <f t="shared" si="1204"/>
        <v>7.3191718203818229E-2</v>
      </c>
      <c r="M487" s="467">
        <f t="shared" si="1204"/>
        <v>7.2714839297925687E-2</v>
      </c>
      <c r="N487" s="467">
        <f t="shared" si="1204"/>
        <v>7.2546230440967321E-2</v>
      </c>
      <c r="O487" s="467">
        <f t="shared" si="1204"/>
        <v>7.3251711973438424E-2</v>
      </c>
      <c r="P487" s="467">
        <f t="shared" si="1204"/>
        <v>8.7583976113461137E-2</v>
      </c>
      <c r="Q487" s="468">
        <f t="shared" si="1204"/>
        <v>7.610492670561006E-2</v>
      </c>
      <c r="R487" s="467">
        <f t="shared" si="1204"/>
        <v>8.2325849165227408E-2</v>
      </c>
      <c r="S487" s="467">
        <f t="shared" si="1204"/>
        <v>8.2239115411195621E-2</v>
      </c>
      <c r="T487" s="467">
        <f t="shared" si="1204"/>
        <v>7.782250335441819E-2</v>
      </c>
      <c r="U487" s="467">
        <f t="shared" si="1204"/>
        <v>7.6632869606224896E-2</v>
      </c>
      <c r="V487" s="468">
        <f t="shared" si="1204"/>
        <v>7.9546112429803723E-2</v>
      </c>
      <c r="W487" s="467">
        <f t="shared" si="1204"/>
        <v>9.7867001254705072E-2</v>
      </c>
      <c r="X487" s="467">
        <f t="shared" si="1204"/>
        <v>8.9902002556454988E-2</v>
      </c>
      <c r="Y487" s="467">
        <f t="shared" si="1204"/>
        <v>9.1261739485504312E-2</v>
      </c>
      <c r="Z487" s="467">
        <f t="shared" si="1204"/>
        <v>8.9898348157560329E-2</v>
      </c>
      <c r="AA487" s="468">
        <f t="shared" si="1204"/>
        <v>9.219730941704031E-2</v>
      </c>
      <c r="AB487" s="467">
        <f t="shared" si="1204"/>
        <v>9.8582261787009545E-2</v>
      </c>
      <c r="AC487" s="467">
        <f t="shared" si="1204"/>
        <v>0.11976047904191615</v>
      </c>
      <c r="AD487" s="467">
        <f t="shared" si="1204"/>
        <v>9.3890068412361333E-2</v>
      </c>
      <c r="AE487" s="469">
        <f t="shared" si="1204"/>
        <v>6.6388961208018835E-2</v>
      </c>
      <c r="AF487" s="470">
        <f t="shared" si="1204"/>
        <v>9.413674173260296E-2</v>
      </c>
      <c r="AG487" s="467">
        <f>AG486/AG483</f>
        <v>0.12053850970569811</v>
      </c>
      <c r="AH487" s="467">
        <f t="shared" ref="AH487:AU487" si="1205">AH486/AH483</f>
        <v>8.1006979062811513E-2</v>
      </c>
      <c r="AI487" s="467">
        <f t="shared" si="1205"/>
        <v>9.7180838872335626E-2</v>
      </c>
      <c r="AJ487" s="469">
        <f t="shared" si="1205"/>
        <v>5.1919359293013029E-2</v>
      </c>
      <c r="AK487" s="470">
        <f t="shared" si="1205"/>
        <v>8.7030941408821602E-2</v>
      </c>
      <c r="AL487" s="467">
        <f t="shared" si="1205"/>
        <v>8.8031353632800791E-2</v>
      </c>
      <c r="AM487" s="467">
        <f t="shared" si="1205"/>
        <v>9.5120138716868932E-2</v>
      </c>
      <c r="AN487" s="467">
        <f t="shared" si="1205"/>
        <v>8.7141420995182226E-2</v>
      </c>
      <c r="AO487" s="469">
        <f t="shared" si="1205"/>
        <v>0.10499807230101632</v>
      </c>
      <c r="AP487" s="471">
        <f t="shared" si="1205"/>
        <v>9.365773675171099E-2</v>
      </c>
      <c r="AQ487" s="471">
        <f t="shared" si="1205"/>
        <v>0.11349731330578657</v>
      </c>
      <c r="AR487" s="469">
        <f t="shared" si="1205"/>
        <v>9.3255037957714629E-2</v>
      </c>
      <c r="AS487" s="469">
        <f t="shared" si="1205"/>
        <v>8.5432765681551198E-2</v>
      </c>
      <c r="AT487" s="469">
        <f t="shared" si="1205"/>
        <v>0.10293928656962384</v>
      </c>
      <c r="AU487" s="1689">
        <f t="shared" si="1205"/>
        <v>9.7671421738789357E-2</v>
      </c>
      <c r="AV487" s="1730">
        <f t="shared" ref="AV487:BJ487" si="1206">AV486/AV483</f>
        <v>0.11822636802686104</v>
      </c>
      <c r="AW487" s="1465">
        <f t="shared" si="1206"/>
        <v>9.7140664539286103E-2</v>
      </c>
      <c r="AX487" s="1465">
        <f t="shared" si="1206"/>
        <v>8.899246425161586E-2</v>
      </c>
      <c r="AY487" s="1868">
        <f t="shared" si="1206"/>
        <v>0.10722842351002486</v>
      </c>
      <c r="AZ487" s="1689">
        <f t="shared" si="1206"/>
        <v>0.10174106431123894</v>
      </c>
      <c r="BA487" s="1730">
        <f t="shared" si="1206"/>
        <v>0.12007365502728073</v>
      </c>
      <c r="BB487" s="1465">
        <f t="shared" si="1206"/>
        <v>9.8658487422712451E-2</v>
      </c>
      <c r="BC487" s="1465">
        <f t="shared" si="1206"/>
        <v>9.038297150554736E-2</v>
      </c>
      <c r="BD487" s="1868">
        <f t="shared" si="1206"/>
        <v>0.10890386762736899</v>
      </c>
      <c r="BE487" s="1868">
        <f t="shared" si="1206"/>
        <v>0.10333076844110205</v>
      </c>
      <c r="BF487" s="1465">
        <f t="shared" si="1206"/>
        <v>0.12007365502728073</v>
      </c>
      <c r="BG487" s="1465">
        <f t="shared" si="1206"/>
        <v>9.8658487422712451E-2</v>
      </c>
      <c r="BH487" s="1465">
        <f t="shared" si="1206"/>
        <v>9.038297150554736E-2</v>
      </c>
      <c r="BI487" s="1868">
        <f t="shared" si="1206"/>
        <v>0.10890386762736899</v>
      </c>
      <c r="BJ487" s="1868">
        <f t="shared" si="1206"/>
        <v>0.10333076844110205</v>
      </c>
      <c r="BK487" s="1465">
        <f t="shared" ref="BK487:BT487" si="1207">BK486/BK483</f>
        <v>0.12007365502728073</v>
      </c>
      <c r="BL487" s="1465">
        <f t="shared" si="1207"/>
        <v>9.8658487422712451E-2</v>
      </c>
      <c r="BM487" s="1465">
        <f t="shared" si="1207"/>
        <v>9.038297150554736E-2</v>
      </c>
      <c r="BN487" s="1868">
        <f t="shared" si="1207"/>
        <v>0.10890386762736899</v>
      </c>
      <c r="BO487" s="1868">
        <f t="shared" si="1207"/>
        <v>0.10333076844110205</v>
      </c>
      <c r="BP487" s="1465">
        <f t="shared" si="1207"/>
        <v>0.12007365502728073</v>
      </c>
      <c r="BQ487" s="1465">
        <f t="shared" si="1207"/>
        <v>9.8658487422712451E-2</v>
      </c>
      <c r="BR487" s="1465">
        <f t="shared" si="1207"/>
        <v>9.038297150554736E-2</v>
      </c>
      <c r="BS487" s="1465">
        <f t="shared" si="1207"/>
        <v>0.11979425439010589</v>
      </c>
      <c r="BT487" s="470">
        <f t="shared" si="1207"/>
        <v>0.10591403765212959</v>
      </c>
      <c r="BU487" s="1465">
        <f t="shared" ref="BU487:CF487" si="1208">BU486/BU483</f>
        <v>0.13208102053000881</v>
      </c>
      <c r="BV487" s="1465">
        <f t="shared" si="1208"/>
        <v>0.10852433616498371</v>
      </c>
      <c r="BW487" s="1465"/>
      <c r="BX487" s="1465"/>
      <c r="BY487" s="470"/>
      <c r="BZ487" s="470"/>
      <c r="CA487" s="470"/>
      <c r="CB487" s="470" t="e">
        <f t="shared" si="1208"/>
        <v>#DIV/0!</v>
      </c>
      <c r="CC487" s="470" t="e">
        <f t="shared" si="1208"/>
        <v>#DIV/0!</v>
      </c>
      <c r="CD487" s="470" t="e">
        <f t="shared" si="1208"/>
        <v>#DIV/0!</v>
      </c>
      <c r="CE487" s="470" t="e">
        <f t="shared" si="1208"/>
        <v>#DIV/0!</v>
      </c>
      <c r="CF487" s="470" t="e">
        <f t="shared" si="1208"/>
        <v>#DIV/0!</v>
      </c>
      <c r="CG487" s="972"/>
      <c r="CH487" s="972"/>
      <c r="CI487" s="972"/>
      <c r="CJ487" s="972"/>
      <c r="CK487" s="972"/>
      <c r="CL487" s="1310" t="str">
        <f>A487</f>
        <v>% of Net revenue</v>
      </c>
      <c r="CM487" s="469">
        <f>G487</f>
        <v>4.8716058483843236E-2</v>
      </c>
      <c r="CN487" s="469">
        <f>L487</f>
        <v>7.3191718203818229E-2</v>
      </c>
      <c r="CO487" s="469">
        <f>Q487</f>
        <v>7.610492670561006E-2</v>
      </c>
      <c r="CP487" s="469">
        <f>V487</f>
        <v>7.9546112429803723E-2</v>
      </c>
      <c r="CQ487" s="469">
        <f>AA487</f>
        <v>9.219730941704031E-2</v>
      </c>
      <c r="CR487" s="469">
        <f>AF487</f>
        <v>9.413674173260296E-2</v>
      </c>
      <c r="CS487" s="469">
        <f>AK487</f>
        <v>8.7030941408821602E-2</v>
      </c>
      <c r="CT487" s="469">
        <f>AP487</f>
        <v>9.365773675171099E-2</v>
      </c>
      <c r="CU487" s="469">
        <f>AU487</f>
        <v>9.7671421738789357E-2</v>
      </c>
      <c r="CV487" s="469">
        <f>AZ487</f>
        <v>0.10174106431123894</v>
      </c>
      <c r="CW487" s="469">
        <f>BE487</f>
        <v>0.10333076844110205</v>
      </c>
      <c r="CX487" s="469">
        <f>BJ487</f>
        <v>0.10333076844110205</v>
      </c>
      <c r="CY487" s="469">
        <f>BO487</f>
        <v>0.10333076844110205</v>
      </c>
      <c r="CZ487" s="469">
        <f>BT487</f>
        <v>0.10591403765212959</v>
      </c>
      <c r="DA487" s="469">
        <f t="shared" si="1203"/>
        <v>0</v>
      </c>
      <c r="DB487" s="469">
        <f t="shared" si="1203"/>
        <v>0</v>
      </c>
      <c r="DC487" s="1463">
        <f t="shared" si="1203"/>
        <v>0</v>
      </c>
      <c r="DD487" s="972"/>
      <c r="DE487" s="972"/>
      <c r="DF487" s="974"/>
      <c r="DG487" s="975"/>
      <c r="DH487" s="469"/>
      <c r="DI487" s="3210"/>
      <c r="DJ487" s="974"/>
      <c r="DK487" s="975"/>
      <c r="DL487" s="974"/>
      <c r="DM487" s="974"/>
      <c r="DN487" s="974"/>
      <c r="DO487" s="974"/>
      <c r="DP487" s="975"/>
      <c r="DQ487" s="975"/>
      <c r="DR487" s="976"/>
      <c r="DS487" s="976"/>
      <c r="DT487" s="976"/>
    </row>
    <row r="488" spans="1:124" ht="5.0999999999999996" customHeight="1" x14ac:dyDescent="0.25">
      <c r="A488" s="281"/>
      <c r="B488" s="281"/>
      <c r="C488" s="305"/>
      <c r="D488" s="305"/>
      <c r="E488" s="305"/>
      <c r="F488" s="305"/>
      <c r="G488" s="440"/>
      <c r="H488" s="305"/>
      <c r="I488" s="305"/>
      <c r="J488" s="305"/>
      <c r="K488" s="305"/>
      <c r="L488" s="440"/>
      <c r="M488" s="305"/>
      <c r="N488" s="305"/>
      <c r="O488" s="305"/>
      <c r="P488" s="305"/>
      <c r="Q488" s="440"/>
      <c r="R488" s="305"/>
      <c r="S488" s="305"/>
      <c r="T488" s="305"/>
      <c r="U488" s="305"/>
      <c r="V488" s="440"/>
      <c r="W488" s="305"/>
      <c r="X488" s="305"/>
      <c r="Y488" s="305"/>
      <c r="Z488" s="305"/>
      <c r="AA488" s="440"/>
      <c r="AB488" s="305"/>
      <c r="AC488" s="305"/>
      <c r="AD488" s="305"/>
      <c r="AE488" s="331"/>
      <c r="AF488" s="441"/>
      <c r="AG488" s="305"/>
      <c r="AH488" s="305"/>
      <c r="AI488" s="305"/>
      <c r="AJ488" s="331"/>
      <c r="AK488" s="441"/>
      <c r="AL488" s="305"/>
      <c r="AM488" s="305"/>
      <c r="AN488" s="305"/>
      <c r="AO488" s="331"/>
      <c r="AP488" s="569"/>
      <c r="AQ488" s="569"/>
      <c r="AR488" s="442"/>
      <c r="AS488" s="442"/>
      <c r="AT488" s="442"/>
      <c r="AU488" s="1690"/>
      <c r="AV488" s="1902"/>
      <c r="AW488" s="1837"/>
      <c r="AX488" s="1837"/>
      <c r="AY488" s="1903"/>
      <c r="AZ488" s="1690"/>
      <c r="BA488" s="1902"/>
      <c r="BB488" s="1837"/>
      <c r="BC488" s="1837"/>
      <c r="BD488" s="1903"/>
      <c r="BE488" s="1903"/>
      <c r="BF488" s="1837"/>
      <c r="BG488" s="1837"/>
      <c r="BH488" s="1837"/>
      <c r="BI488" s="1903"/>
      <c r="BJ488" s="1903"/>
      <c r="BK488" s="1837"/>
      <c r="BL488" s="1837"/>
      <c r="BM488" s="1837"/>
      <c r="BN488" s="1903"/>
      <c r="BO488" s="1903"/>
      <c r="BP488" s="1837"/>
      <c r="BQ488" s="1837"/>
      <c r="BR488" s="1837"/>
      <c r="BS488" s="1837"/>
      <c r="BT488" s="3236"/>
      <c r="BU488" s="1837"/>
      <c r="BV488" s="1837"/>
      <c r="BW488" s="1837"/>
      <c r="BX488" s="1837"/>
      <c r="BY488" s="3236"/>
      <c r="BZ488" s="441"/>
      <c r="CA488" s="441"/>
      <c r="CB488" s="441"/>
      <c r="CC488" s="441"/>
      <c r="CD488" s="441"/>
      <c r="CE488" s="441"/>
      <c r="CF488" s="441"/>
      <c r="CG488" s="331"/>
      <c r="CH488" s="331"/>
      <c r="CI488" s="331"/>
      <c r="CJ488" s="331"/>
      <c r="CK488" s="331"/>
      <c r="CL488" s="520"/>
      <c r="CM488" s="442"/>
      <c r="CN488" s="442"/>
      <c r="CO488" s="442"/>
      <c r="CP488" s="442"/>
      <c r="CQ488" s="442"/>
      <c r="CR488" s="442"/>
      <c r="CS488" s="442"/>
      <c r="CT488" s="442"/>
      <c r="CU488" s="442"/>
      <c r="CV488" s="442"/>
      <c r="CW488" s="442"/>
      <c r="CX488" s="442"/>
      <c r="CY488" s="442"/>
      <c r="CZ488" s="442"/>
      <c r="DA488" s="442"/>
      <c r="DB488" s="442"/>
      <c r="DC488" s="1312"/>
      <c r="DD488" s="331"/>
      <c r="DE488" s="331"/>
      <c r="DF488" s="502"/>
      <c r="DG488" s="503"/>
      <c r="DH488" s="3298"/>
      <c r="DI488" s="3213"/>
      <c r="DJ488" s="502"/>
      <c r="DK488" s="503"/>
      <c r="DL488" s="502"/>
      <c r="DM488" s="502"/>
      <c r="DN488" s="502"/>
      <c r="DO488" s="502"/>
      <c r="DP488" s="503"/>
      <c r="DQ488" s="503"/>
      <c r="DR488" s="296"/>
      <c r="DS488" s="296"/>
      <c r="DT488" s="296"/>
    </row>
    <row r="489" spans="1:124" ht="12" customHeight="1" x14ac:dyDescent="0.25">
      <c r="A489" s="999" t="s">
        <v>2010</v>
      </c>
      <c r="B489" s="1007"/>
      <c r="C489" s="1008">
        <v>3.2</v>
      </c>
      <c r="D489" s="1008">
        <v>3.6219999999999999</v>
      </c>
      <c r="E489" s="1008">
        <v>4.2519999999999998</v>
      </c>
      <c r="F489" s="1008">
        <v>4.4109999999999996</v>
      </c>
      <c r="G489" s="1009">
        <f>SUM(C489:F489)</f>
        <v>15.484999999999999</v>
      </c>
      <c r="H489" s="1008">
        <v>3.7679999999999998</v>
      </c>
      <c r="I489" s="1008">
        <v>4.3620000000000001</v>
      </c>
      <c r="J489" s="1008">
        <v>4.8289999999999997</v>
      </c>
      <c r="K489" s="1008">
        <v>4.2750000000000004</v>
      </c>
      <c r="L489" s="1009">
        <f>SUM(H489:K489)</f>
        <v>17.234000000000002</v>
      </c>
      <c r="M489" s="1008">
        <v>4.0679999999999996</v>
      </c>
      <c r="N489" s="1008">
        <v>4.5640000000000001</v>
      </c>
      <c r="O489" s="1008">
        <v>4.4660000000000002</v>
      </c>
      <c r="P489" s="1008">
        <v>3.6669999999999998</v>
      </c>
      <c r="Q489" s="1009">
        <f>SUM(M489:P489)</f>
        <v>16.765000000000001</v>
      </c>
      <c r="R489" s="1008">
        <v>3.1880000000000002</v>
      </c>
      <c r="S489" s="1008">
        <v>3.984</v>
      </c>
      <c r="T489" s="1008">
        <v>4.8109999999999999</v>
      </c>
      <c r="U489" s="1008">
        <v>3.9159999999999999</v>
      </c>
      <c r="V489" s="1009">
        <f>SUM(R489:U489)</f>
        <v>15.899000000000001</v>
      </c>
      <c r="W489" s="1008">
        <v>3.5950000000000002</v>
      </c>
      <c r="X489" s="1008">
        <v>4.2720000000000002</v>
      </c>
      <c r="Y489" s="1008">
        <v>4.4509999999999996</v>
      </c>
      <c r="Z489" s="1008">
        <v>2.8650000000000002</v>
      </c>
      <c r="AA489" s="1009">
        <f>SUM(W489:Z489)</f>
        <v>15.183000000000002</v>
      </c>
      <c r="AB489" s="1008">
        <v>2.734</v>
      </c>
      <c r="AC489" s="1008">
        <v>3.234</v>
      </c>
      <c r="AD489" s="1008">
        <v>3.8410000000000002</v>
      </c>
      <c r="AE489" s="1010">
        <v>3.5859999999999999</v>
      </c>
      <c r="AF489" s="1011">
        <f>SUM(AB489:AE489)</f>
        <v>13.395000000000001</v>
      </c>
      <c r="AG489" s="1010">
        <v>2.8090000000000002</v>
      </c>
      <c r="AH489" s="1010">
        <v>3.6869999999999998</v>
      </c>
      <c r="AI489" s="1010">
        <v>3.9390000000000001</v>
      </c>
      <c r="AJ489" s="1010">
        <v>3.4329999999999998</v>
      </c>
      <c r="AK489" s="1011">
        <f>SUM(AG489:AJ489)</f>
        <v>13.868</v>
      </c>
      <c r="AL489" s="1010">
        <v>3.0249999999999999</v>
      </c>
      <c r="AM489" s="1010">
        <v>3.653</v>
      </c>
      <c r="AN489" s="1593">
        <f>AN483-AN486</f>
        <v>4.0226300000000013</v>
      </c>
      <c r="AO489" s="1012">
        <f>AO483-AO486</f>
        <v>3.2732100000000002</v>
      </c>
      <c r="AP489" s="1013">
        <f>SUM(AL489:AO489)</f>
        <v>13.973840000000001</v>
      </c>
      <c r="AQ489" s="1013">
        <f>AQ483-AQ486</f>
        <v>2.9993400000000001</v>
      </c>
      <c r="AR489" s="1012">
        <f>AR483-AR486</f>
        <v>3.7337400000000005</v>
      </c>
      <c r="AS489" s="1012">
        <f>AS483-AS486</f>
        <v>4.110762600000001</v>
      </c>
      <c r="AT489" s="1012">
        <f>AT483-AT486</f>
        <v>3.3463542000000004</v>
      </c>
      <c r="AU489" s="1691">
        <f>SUM(AQ489:AT489)</f>
        <v>14.190196800000002</v>
      </c>
      <c r="AV489" s="1904">
        <f>AV483-AV486</f>
        <v>2.9833400000000001</v>
      </c>
      <c r="AW489" s="1838">
        <f>AW483-AW486</f>
        <v>3.7177400000000005</v>
      </c>
      <c r="AX489" s="1838">
        <f>AX483-AX486</f>
        <v>4.0947626000000001</v>
      </c>
      <c r="AY489" s="1905">
        <f>AY483-AY486</f>
        <v>3.3303542000000004</v>
      </c>
      <c r="AZ489" s="1691">
        <f>SUM(AV489:AY489)</f>
        <v>14.126196800000001</v>
      </c>
      <c r="BA489" s="1904">
        <f>BA483-BA486</f>
        <v>2.97709</v>
      </c>
      <c r="BB489" s="1838">
        <f>BB483-BB486</f>
        <v>3.7114900000000004</v>
      </c>
      <c r="BC489" s="1838">
        <f>BC483-BC486</f>
        <v>4.0885126000000005</v>
      </c>
      <c r="BD489" s="1905">
        <f>BD483-BD486</f>
        <v>3.3241042000000003</v>
      </c>
      <c r="BE489" s="1905">
        <f>SUM(BA489:BD489)</f>
        <v>14.1011968</v>
      </c>
      <c r="BF489" s="1838">
        <f>BF483-BF486</f>
        <v>2.97709</v>
      </c>
      <c r="BG489" s="1838">
        <f>BG483-BG486</f>
        <v>3.7114900000000004</v>
      </c>
      <c r="BH489" s="1838">
        <f>BH483-BH486</f>
        <v>4.0885126000000005</v>
      </c>
      <c r="BI489" s="1905">
        <f>BI483-BI486</f>
        <v>3.3241042000000003</v>
      </c>
      <c r="BJ489" s="1905">
        <f>SUM(BF489:BI489)</f>
        <v>14.1011968</v>
      </c>
      <c r="BK489" s="1838">
        <f>BK483-BK486</f>
        <v>2.97709</v>
      </c>
      <c r="BL489" s="1838">
        <f>BL483-BL486</f>
        <v>3.7114900000000004</v>
      </c>
      <c r="BM489" s="1838">
        <f>BM483-BM486</f>
        <v>4.0885126000000005</v>
      </c>
      <c r="BN489" s="1905">
        <f>BN483-BN486</f>
        <v>3.3241042000000003</v>
      </c>
      <c r="BO489" s="1905">
        <f>SUM(BK489:BN489)</f>
        <v>14.1011968</v>
      </c>
      <c r="BP489" s="1838">
        <f>BP483-BP486</f>
        <v>2.97709</v>
      </c>
      <c r="BQ489" s="1838">
        <f>BQ483-BQ486</f>
        <v>3.7114900000000004</v>
      </c>
      <c r="BR489" s="1838">
        <f>BR483-BR486</f>
        <v>4.0885126000000005</v>
      </c>
      <c r="BS489" s="1838">
        <f>BS483-BS486</f>
        <v>3.2834792000000004</v>
      </c>
      <c r="BT489" s="1011">
        <f>SUM(BP489:BS489)</f>
        <v>14.0605718</v>
      </c>
      <c r="BU489" s="1838">
        <f>BU483-BU486</f>
        <v>2.9364650000000001</v>
      </c>
      <c r="BV489" s="1838">
        <f>BV483-BV486</f>
        <v>3.6708650000000005</v>
      </c>
      <c r="BW489" s="1838"/>
      <c r="BX489" s="1838"/>
      <c r="BY489" s="1011"/>
      <c r="BZ489" s="1011"/>
      <c r="CA489" s="1011"/>
      <c r="CB489" s="1011">
        <f t="shared" ref="CB489:CF489" si="1209">CB483-CB486</f>
        <v>-1.65</v>
      </c>
      <c r="CC489" s="1011">
        <f t="shared" si="1209"/>
        <v>-1.65</v>
      </c>
      <c r="CD489" s="1011">
        <f t="shared" si="1209"/>
        <v>-1.65</v>
      </c>
      <c r="CE489" s="1011">
        <f t="shared" si="1209"/>
        <v>-1.65</v>
      </c>
      <c r="CF489" s="1011">
        <f t="shared" si="1209"/>
        <v>-1.65</v>
      </c>
      <c r="CG489" s="502"/>
      <c r="CH489" s="502"/>
      <c r="CI489" s="502"/>
      <c r="CJ489" s="502"/>
      <c r="CK489" s="502"/>
      <c r="CL489" s="2221" t="str">
        <f>A489</f>
        <v>Property EBITDA</v>
      </c>
      <c r="CM489" s="1012">
        <f>G489</f>
        <v>15.484999999999999</v>
      </c>
      <c r="CN489" s="1012">
        <f>L489</f>
        <v>17.234000000000002</v>
      </c>
      <c r="CO489" s="1012">
        <f>Q489</f>
        <v>16.765000000000001</v>
      </c>
      <c r="CP489" s="1012">
        <f>V489</f>
        <v>15.899000000000001</v>
      </c>
      <c r="CQ489" s="1012">
        <f>AA489</f>
        <v>15.183000000000002</v>
      </c>
      <c r="CR489" s="1012">
        <f>AF489</f>
        <v>13.395000000000001</v>
      </c>
      <c r="CS489" s="1012">
        <f>AK489</f>
        <v>13.868</v>
      </c>
      <c r="CT489" s="1012">
        <f>AP489</f>
        <v>13.973840000000001</v>
      </c>
      <c r="CU489" s="1012">
        <f>AU489</f>
        <v>14.190196800000002</v>
      </c>
      <c r="CV489" s="1012">
        <f>AZ489</f>
        <v>14.126196800000001</v>
      </c>
      <c r="CW489" s="1012">
        <f>BE489</f>
        <v>14.1011968</v>
      </c>
      <c r="CX489" s="1012">
        <f>BJ489</f>
        <v>14.1011968</v>
      </c>
      <c r="CY489" s="1012">
        <f>BO489</f>
        <v>14.1011968</v>
      </c>
      <c r="CZ489" s="1012">
        <f>BT489</f>
        <v>14.0605718</v>
      </c>
      <c r="DA489" s="1012">
        <f t="shared" ref="DA489:DC491" si="1210">BY489</f>
        <v>0</v>
      </c>
      <c r="DB489" s="1012">
        <f t="shared" si="1210"/>
        <v>0</v>
      </c>
      <c r="DC489" s="1877">
        <f t="shared" si="1210"/>
        <v>0</v>
      </c>
      <c r="DD489" s="502"/>
      <c r="DE489" s="502"/>
      <c r="DF489" s="502"/>
      <c r="DG489" s="503"/>
      <c r="DH489" s="598"/>
      <c r="DI489" s="3213"/>
      <c r="DJ489" s="502"/>
      <c r="DK489" s="503"/>
      <c r="DL489" s="502"/>
      <c r="DM489" s="502"/>
      <c r="DN489" s="502"/>
      <c r="DO489" s="502"/>
      <c r="DP489" s="503"/>
      <c r="DQ489" s="503"/>
      <c r="DR489" s="719"/>
      <c r="DS489" s="719"/>
      <c r="DT489" s="719"/>
    </row>
    <row r="490" spans="1:124" ht="12" customHeight="1" x14ac:dyDescent="0.25">
      <c r="A490" s="465" t="s">
        <v>1892</v>
      </c>
      <c r="B490" s="579"/>
      <c r="C490" s="467">
        <f t="shared" ref="C490:AU490" si="1211">C489/C483</f>
        <v>0.92539039907460963</v>
      </c>
      <c r="D490" s="467">
        <f t="shared" si="1211"/>
        <v>0.92657968789971856</v>
      </c>
      <c r="E490" s="467">
        <f t="shared" si="1211"/>
        <v>0.92757417102966844</v>
      </c>
      <c r="F490" s="467">
        <f t="shared" si="1211"/>
        <v>1.0194129882135428</v>
      </c>
      <c r="G490" s="468">
        <f t="shared" si="1211"/>
        <v>0.95128394151615681</v>
      </c>
      <c r="H490" s="467">
        <f t="shared" si="1211"/>
        <v>0.92648143594787302</v>
      </c>
      <c r="I490" s="467">
        <f t="shared" si="1211"/>
        <v>0.9280851063829787</v>
      </c>
      <c r="J490" s="467">
        <f t="shared" si="1211"/>
        <v>0.92847529321284372</v>
      </c>
      <c r="K490" s="467">
        <f t="shared" si="1211"/>
        <v>0.9239247892803113</v>
      </c>
      <c r="L490" s="468">
        <f t="shared" si="1211"/>
        <v>0.92680828179618191</v>
      </c>
      <c r="M490" s="467">
        <f t="shared" si="1211"/>
        <v>0.92728516070207434</v>
      </c>
      <c r="N490" s="467">
        <f t="shared" si="1211"/>
        <v>0.92745376955903269</v>
      </c>
      <c r="O490" s="467">
        <f t="shared" si="1211"/>
        <v>0.92674828802656162</v>
      </c>
      <c r="P490" s="467">
        <f t="shared" si="1211"/>
        <v>0.91241602388653886</v>
      </c>
      <c r="Q490" s="468">
        <f t="shared" si="1211"/>
        <v>0.92389507329438991</v>
      </c>
      <c r="R490" s="467">
        <f t="shared" si="1211"/>
        <v>0.91767415083477255</v>
      </c>
      <c r="S490" s="467">
        <f t="shared" si="1211"/>
        <v>0.91776088458880434</v>
      </c>
      <c r="T490" s="467">
        <f t="shared" si="1211"/>
        <v>0.9221774966455818</v>
      </c>
      <c r="U490" s="467">
        <f t="shared" si="1211"/>
        <v>0.92336713039377516</v>
      </c>
      <c r="V490" s="468">
        <f t="shared" si="1211"/>
        <v>0.92045388757019631</v>
      </c>
      <c r="W490" s="467">
        <f t="shared" si="1211"/>
        <v>0.90213299874529496</v>
      </c>
      <c r="X490" s="467">
        <f t="shared" si="1211"/>
        <v>0.91009799744354503</v>
      </c>
      <c r="Y490" s="467">
        <f t="shared" si="1211"/>
        <v>0.90873826051449569</v>
      </c>
      <c r="Z490" s="467">
        <f t="shared" si="1211"/>
        <v>0.91010165184243963</v>
      </c>
      <c r="AA490" s="468">
        <f t="shared" si="1211"/>
        <v>0.9078026905829597</v>
      </c>
      <c r="AB490" s="467">
        <f t="shared" si="1211"/>
        <v>0.90141773821299043</v>
      </c>
      <c r="AC490" s="467">
        <f t="shared" si="1211"/>
        <v>0.88023952095808389</v>
      </c>
      <c r="AD490" s="467">
        <f t="shared" si="1211"/>
        <v>0.90610993158763864</v>
      </c>
      <c r="AE490" s="469">
        <f t="shared" si="1211"/>
        <v>0.93361103879198115</v>
      </c>
      <c r="AF490" s="470">
        <f t="shared" si="1211"/>
        <v>0.90586325826739722</v>
      </c>
      <c r="AG490" s="467">
        <f t="shared" si="1211"/>
        <v>0.87946149029430187</v>
      </c>
      <c r="AH490" s="467">
        <f t="shared" si="1211"/>
        <v>0.91899302093718849</v>
      </c>
      <c r="AI490" s="467">
        <f t="shared" si="1211"/>
        <v>0.90281916112766436</v>
      </c>
      <c r="AJ490" s="469">
        <f t="shared" si="1211"/>
        <v>0.94808064070698694</v>
      </c>
      <c r="AK490" s="470">
        <f t="shared" si="1211"/>
        <v>0.9129690585911785</v>
      </c>
      <c r="AL490" s="467">
        <f t="shared" si="1211"/>
        <v>0.91196864636719921</v>
      </c>
      <c r="AM490" s="467">
        <f t="shared" si="1211"/>
        <v>0.90487986128313103</v>
      </c>
      <c r="AN490" s="467">
        <f t="shared" si="1211"/>
        <v>0.91285857900481793</v>
      </c>
      <c r="AO490" s="469">
        <f t="shared" si="1211"/>
        <v>0.89500192769898368</v>
      </c>
      <c r="AP490" s="471">
        <f t="shared" si="1211"/>
        <v>0.90634226324828893</v>
      </c>
      <c r="AQ490" s="471">
        <f t="shared" si="1211"/>
        <v>0.88650268669421339</v>
      </c>
      <c r="AR490" s="469">
        <f t="shared" si="1211"/>
        <v>0.90674496204228539</v>
      </c>
      <c r="AS490" s="469">
        <f t="shared" si="1211"/>
        <v>0.91456723431844889</v>
      </c>
      <c r="AT490" s="469">
        <f t="shared" si="1211"/>
        <v>0.89706071343037619</v>
      </c>
      <c r="AU490" s="1689">
        <f t="shared" si="1211"/>
        <v>0.90232857826121071</v>
      </c>
      <c r="AV490" s="1730">
        <f t="shared" ref="AV490:BJ490" si="1212">AV489/AV483</f>
        <v>0.88177363197313896</v>
      </c>
      <c r="AW490" s="1465">
        <f t="shared" si="1212"/>
        <v>0.90285933546071395</v>
      </c>
      <c r="AX490" s="1465">
        <f t="shared" si="1212"/>
        <v>0.91100753574838411</v>
      </c>
      <c r="AY490" s="1868">
        <f t="shared" si="1212"/>
        <v>0.89277157648997518</v>
      </c>
      <c r="AZ490" s="1689">
        <f t="shared" si="1212"/>
        <v>0.89825893568876114</v>
      </c>
      <c r="BA490" s="1730">
        <f t="shared" si="1212"/>
        <v>0.87992634497271927</v>
      </c>
      <c r="BB490" s="1465">
        <f t="shared" si="1212"/>
        <v>0.90134151257728756</v>
      </c>
      <c r="BC490" s="1465">
        <f t="shared" si="1212"/>
        <v>0.9096170284944527</v>
      </c>
      <c r="BD490" s="1868">
        <f t="shared" si="1212"/>
        <v>0.89109613237263097</v>
      </c>
      <c r="BE490" s="1868">
        <f t="shared" si="1212"/>
        <v>0.89666923155889799</v>
      </c>
      <c r="BF490" s="1465">
        <f t="shared" si="1212"/>
        <v>0.87992634497271927</v>
      </c>
      <c r="BG490" s="1465">
        <f t="shared" si="1212"/>
        <v>0.90134151257728756</v>
      </c>
      <c r="BH490" s="1465">
        <f t="shared" si="1212"/>
        <v>0.9096170284944527</v>
      </c>
      <c r="BI490" s="1868">
        <f t="shared" si="1212"/>
        <v>0.89109613237263097</v>
      </c>
      <c r="BJ490" s="1868">
        <f t="shared" si="1212"/>
        <v>0.89666923155889799</v>
      </c>
      <c r="BK490" s="1465">
        <f t="shared" ref="BK490:BT490" si="1213">BK489/BK483</f>
        <v>0.87992634497271927</v>
      </c>
      <c r="BL490" s="1465">
        <f t="shared" si="1213"/>
        <v>0.90134151257728756</v>
      </c>
      <c r="BM490" s="1465">
        <f t="shared" si="1213"/>
        <v>0.9096170284944527</v>
      </c>
      <c r="BN490" s="1868">
        <f t="shared" si="1213"/>
        <v>0.89109613237263097</v>
      </c>
      <c r="BO490" s="1868">
        <f t="shared" si="1213"/>
        <v>0.89666923155889799</v>
      </c>
      <c r="BP490" s="1465">
        <f t="shared" si="1213"/>
        <v>0.87992634497271927</v>
      </c>
      <c r="BQ490" s="1465">
        <f t="shared" si="1213"/>
        <v>0.90134151257728756</v>
      </c>
      <c r="BR490" s="1465">
        <f t="shared" si="1213"/>
        <v>0.9096170284944527</v>
      </c>
      <c r="BS490" s="1465">
        <f t="shared" si="1213"/>
        <v>0.88020574560989417</v>
      </c>
      <c r="BT490" s="470">
        <f t="shared" si="1213"/>
        <v>0.89408596234787041</v>
      </c>
      <c r="BU490" s="1465">
        <f t="shared" ref="BU490:CF490" si="1214">BU489/BU483</f>
        <v>0.86791897946999119</v>
      </c>
      <c r="BV490" s="1465">
        <f t="shared" si="1214"/>
        <v>0.89147566383501631</v>
      </c>
      <c r="BW490" s="1465"/>
      <c r="BX490" s="1465"/>
      <c r="BY490" s="470"/>
      <c r="BZ490" s="470"/>
      <c r="CA490" s="470"/>
      <c r="CB490" s="470" t="e">
        <f t="shared" si="1214"/>
        <v>#DIV/0!</v>
      </c>
      <c r="CC490" s="470" t="e">
        <f t="shared" si="1214"/>
        <v>#DIV/0!</v>
      </c>
      <c r="CD490" s="470" t="e">
        <f t="shared" si="1214"/>
        <v>#DIV/0!</v>
      </c>
      <c r="CE490" s="470" t="e">
        <f t="shared" si="1214"/>
        <v>#DIV/0!</v>
      </c>
      <c r="CF490" s="470" t="e">
        <f t="shared" si="1214"/>
        <v>#DIV/0!</v>
      </c>
      <c r="CG490" s="972"/>
      <c r="CH490" s="972"/>
      <c r="CI490" s="972"/>
      <c r="CJ490" s="972"/>
      <c r="CK490" s="972"/>
      <c r="CL490" s="1310" t="str">
        <f>A490</f>
        <v>Margin</v>
      </c>
      <c r="CM490" s="469">
        <f>G490</f>
        <v>0.95128394151615681</v>
      </c>
      <c r="CN490" s="469">
        <f>L490</f>
        <v>0.92680828179618191</v>
      </c>
      <c r="CO490" s="469">
        <f>Q490</f>
        <v>0.92389507329438991</v>
      </c>
      <c r="CP490" s="469">
        <f>V490</f>
        <v>0.92045388757019631</v>
      </c>
      <c r="CQ490" s="469">
        <f>AA490</f>
        <v>0.9078026905829597</v>
      </c>
      <c r="CR490" s="469">
        <f>AF490</f>
        <v>0.90586325826739722</v>
      </c>
      <c r="CS490" s="469">
        <f>AK490</f>
        <v>0.9129690585911785</v>
      </c>
      <c r="CT490" s="469">
        <f>AP490</f>
        <v>0.90634226324828893</v>
      </c>
      <c r="CU490" s="469">
        <f>AU490</f>
        <v>0.90232857826121071</v>
      </c>
      <c r="CV490" s="469">
        <f>AZ490</f>
        <v>0.89825893568876114</v>
      </c>
      <c r="CW490" s="469">
        <f>BE490</f>
        <v>0.89666923155889799</v>
      </c>
      <c r="CX490" s="469">
        <f>BJ490</f>
        <v>0.89666923155889799</v>
      </c>
      <c r="CY490" s="469">
        <f>BO490</f>
        <v>0.89666923155889799</v>
      </c>
      <c r="CZ490" s="469">
        <f>BT490</f>
        <v>0.89408596234787041</v>
      </c>
      <c r="DA490" s="469">
        <f t="shared" si="1210"/>
        <v>0</v>
      </c>
      <c r="DB490" s="469">
        <f t="shared" si="1210"/>
        <v>0</v>
      </c>
      <c r="DC490" s="1463">
        <f t="shared" si="1210"/>
        <v>0</v>
      </c>
      <c r="DD490" s="972"/>
      <c r="DE490" s="972"/>
      <c r="DF490" s="974"/>
      <c r="DG490" s="975"/>
      <c r="DH490" s="469"/>
      <c r="DI490" s="3210"/>
      <c r="DJ490" s="974"/>
      <c r="DK490" s="975"/>
      <c r="DL490" s="974"/>
      <c r="DM490" s="974"/>
      <c r="DN490" s="974"/>
      <c r="DO490" s="974"/>
      <c r="DP490" s="975"/>
      <c r="DQ490" s="975"/>
      <c r="DR490" s="976"/>
      <c r="DS490" s="976"/>
      <c r="DT490" s="976"/>
    </row>
    <row r="491" spans="1:124" ht="12" customHeight="1" x14ac:dyDescent="0.25">
      <c r="A491" s="465" t="s">
        <v>1491</v>
      </c>
      <c r="B491" s="579"/>
      <c r="C491" s="467" t="s">
        <v>553</v>
      </c>
      <c r="D491" s="467" t="s">
        <v>553</v>
      </c>
      <c r="E491" s="467" t="s">
        <v>553</v>
      </c>
      <c r="F491" s="467" t="s">
        <v>553</v>
      </c>
      <c r="G491" s="468" t="s">
        <v>553</v>
      </c>
      <c r="H491" s="467">
        <f t="shared" ref="H491:AF491" si="1215">(H489-C489)/C489</f>
        <v>0.17749999999999988</v>
      </c>
      <c r="I491" s="467">
        <f t="shared" si="1215"/>
        <v>0.20430701270016571</v>
      </c>
      <c r="J491" s="467">
        <f t="shared" si="1215"/>
        <v>0.13570084666039511</v>
      </c>
      <c r="K491" s="467">
        <f t="shared" si="1215"/>
        <v>-3.0832010881886023E-2</v>
      </c>
      <c r="L491" s="468">
        <f t="shared" si="1215"/>
        <v>0.11294801420729754</v>
      </c>
      <c r="M491" s="467">
        <f t="shared" si="1215"/>
        <v>7.9617834394904413E-2</v>
      </c>
      <c r="N491" s="467">
        <f t="shared" si="1215"/>
        <v>4.6309032553874356E-2</v>
      </c>
      <c r="O491" s="467">
        <f t="shared" si="1215"/>
        <v>-7.5170842824601278E-2</v>
      </c>
      <c r="P491" s="467">
        <f t="shared" si="1215"/>
        <v>-0.14222222222222233</v>
      </c>
      <c r="Q491" s="468">
        <f t="shared" si="1215"/>
        <v>-2.7213647441104858E-2</v>
      </c>
      <c r="R491" s="467">
        <f t="shared" si="1215"/>
        <v>-0.21632251720747284</v>
      </c>
      <c r="S491" s="467">
        <f t="shared" si="1215"/>
        <v>-0.12708150744960561</v>
      </c>
      <c r="T491" s="467">
        <f t="shared" si="1215"/>
        <v>7.7250335871025463E-2</v>
      </c>
      <c r="U491" s="467">
        <f t="shared" si="1215"/>
        <v>6.7902917916553077E-2</v>
      </c>
      <c r="V491" s="468">
        <f t="shared" si="1215"/>
        <v>-5.1655234118699649E-2</v>
      </c>
      <c r="W491" s="467">
        <f t="shared" si="1215"/>
        <v>0.12766624843161858</v>
      </c>
      <c r="X491" s="467">
        <f t="shared" si="1215"/>
        <v>7.228915662650609E-2</v>
      </c>
      <c r="Y491" s="467">
        <f t="shared" si="1215"/>
        <v>-7.4828517979630083E-2</v>
      </c>
      <c r="Z491" s="467">
        <f t="shared" si="1215"/>
        <v>-0.26838610827374865</v>
      </c>
      <c r="AA491" s="468">
        <f t="shared" si="1215"/>
        <v>-4.5034278885464449E-2</v>
      </c>
      <c r="AB491" s="467">
        <f t="shared" si="1215"/>
        <v>-0.23949930458970797</v>
      </c>
      <c r="AC491" s="467">
        <f t="shared" si="1215"/>
        <v>-0.24297752808988768</v>
      </c>
      <c r="AD491" s="467">
        <f t="shared" si="1215"/>
        <v>-0.13704785441473816</v>
      </c>
      <c r="AE491" s="469">
        <f t="shared" si="1215"/>
        <v>0.25165794066317609</v>
      </c>
      <c r="AF491" s="470">
        <f t="shared" si="1215"/>
        <v>-0.11776328788776921</v>
      </c>
      <c r="AG491" s="467">
        <f t="shared" ref="AG491:AU491" si="1216">(AG489-AB489)/AB489</f>
        <v>2.7432333577176362E-2</v>
      </c>
      <c r="AH491" s="467">
        <f t="shared" si="1216"/>
        <v>0.14007421150278287</v>
      </c>
      <c r="AI491" s="467">
        <f t="shared" si="1216"/>
        <v>2.5514189013277757E-2</v>
      </c>
      <c r="AJ491" s="469">
        <f t="shared" si="1216"/>
        <v>-4.2665923034021204E-2</v>
      </c>
      <c r="AK491" s="470">
        <f t="shared" si="1216"/>
        <v>3.5311683463979018E-2</v>
      </c>
      <c r="AL491" s="467">
        <f t="shared" si="1216"/>
        <v>7.6895692417230238E-2</v>
      </c>
      <c r="AM491" s="467">
        <f t="shared" si="1216"/>
        <v>-9.2215893680498533E-3</v>
      </c>
      <c r="AN491" s="467">
        <f t="shared" si="1216"/>
        <v>2.1231276973851538E-2</v>
      </c>
      <c r="AO491" s="469">
        <f t="shared" si="1216"/>
        <v>-4.6545295659772695E-2</v>
      </c>
      <c r="AP491" s="471">
        <f t="shared" si="1216"/>
        <v>7.6319584655322034E-3</v>
      </c>
      <c r="AQ491" s="471">
        <f t="shared" si="1216"/>
        <v>-8.482644628099105E-3</v>
      </c>
      <c r="AR491" s="469">
        <f t="shared" si="1216"/>
        <v>2.2102381604161093E-2</v>
      </c>
      <c r="AS491" s="469">
        <f t="shared" si="1216"/>
        <v>2.1909198708307688E-2</v>
      </c>
      <c r="AT491" s="469">
        <f t="shared" si="1216"/>
        <v>2.2346320584380536E-2</v>
      </c>
      <c r="AU491" s="1689">
        <f t="shared" si="1216"/>
        <v>1.548298821225959E-2</v>
      </c>
      <c r="AV491" s="1730">
        <f t="shared" ref="AV491:BA491" si="1217">(AV489-AQ489)/AQ489</f>
        <v>-5.3345069248568067E-3</v>
      </c>
      <c r="AW491" s="1465">
        <f t="shared" si="1217"/>
        <v>-4.2852474998259149E-3</v>
      </c>
      <c r="AX491" s="1465">
        <f t="shared" si="1217"/>
        <v>-3.8922218471095604E-3</v>
      </c>
      <c r="AY491" s="1868">
        <f t="shared" si="1217"/>
        <v>-4.7813229095712622E-3</v>
      </c>
      <c r="AZ491" s="1689">
        <f t="shared" si="1217"/>
        <v>-4.5101559127074141E-3</v>
      </c>
      <c r="BA491" s="1730">
        <f t="shared" si="1217"/>
        <v>-2.0949673855477713E-3</v>
      </c>
      <c r="BB491" s="1465">
        <f t="shared" ref="BB491:BJ491" si="1218">(BB489-AW489)/AW489</f>
        <v>-1.6811288578545266E-3</v>
      </c>
      <c r="BC491" s="1465">
        <f t="shared" si="1218"/>
        <v>-1.5263400129716053E-3</v>
      </c>
      <c r="BD491" s="1868">
        <f t="shared" si="1218"/>
        <v>-1.8766772615357514E-3</v>
      </c>
      <c r="BE491" s="1868">
        <f t="shared" si="1218"/>
        <v>-1.7697615539378833E-3</v>
      </c>
      <c r="BF491" s="1465">
        <f t="shared" si="1218"/>
        <v>0</v>
      </c>
      <c r="BG491" s="1465">
        <f t="shared" si="1218"/>
        <v>0</v>
      </c>
      <c r="BH491" s="1465">
        <f t="shared" si="1218"/>
        <v>0</v>
      </c>
      <c r="BI491" s="1868">
        <f t="shared" si="1218"/>
        <v>0</v>
      </c>
      <c r="BJ491" s="1868">
        <f t="shared" si="1218"/>
        <v>0</v>
      </c>
      <c r="BK491" s="1465">
        <f t="shared" ref="BK491:BT491" si="1219">(BK489-BF489)/BF489</f>
        <v>0</v>
      </c>
      <c r="BL491" s="1465">
        <f t="shared" si="1219"/>
        <v>0</v>
      </c>
      <c r="BM491" s="1465">
        <f t="shared" si="1219"/>
        <v>0</v>
      </c>
      <c r="BN491" s="1868">
        <f t="shared" si="1219"/>
        <v>0</v>
      </c>
      <c r="BO491" s="1868">
        <f t="shared" si="1219"/>
        <v>0</v>
      </c>
      <c r="BP491" s="1465">
        <f t="shared" si="1219"/>
        <v>0</v>
      </c>
      <c r="BQ491" s="1465">
        <f t="shared" si="1219"/>
        <v>0</v>
      </c>
      <c r="BR491" s="1465">
        <f t="shared" si="1219"/>
        <v>0</v>
      </c>
      <c r="BS491" s="1465">
        <f t="shared" si="1219"/>
        <v>-1.2221337706561638E-2</v>
      </c>
      <c r="BT491" s="470">
        <f t="shared" si="1219"/>
        <v>-2.8809611394119651E-3</v>
      </c>
      <c r="BU491" s="1465">
        <f>(BU489-BP489)/BP489</f>
        <v>-1.3645875670537306E-2</v>
      </c>
      <c r="BV491" s="1465">
        <f>(BV489-BQ489)/BQ489</f>
        <v>-1.0945738773376705E-2</v>
      </c>
      <c r="BW491" s="1465"/>
      <c r="BX491" s="1465"/>
      <c r="BY491" s="470"/>
      <c r="BZ491" s="470"/>
      <c r="CA491" s="470"/>
      <c r="CB491" s="470" t="e">
        <f t="shared" ref="CB491:CF491" si="1220">(CB489-CA489)/CA489</f>
        <v>#DIV/0!</v>
      </c>
      <c r="CC491" s="470">
        <f t="shared" si="1220"/>
        <v>0</v>
      </c>
      <c r="CD491" s="470">
        <f t="shared" si="1220"/>
        <v>0</v>
      </c>
      <c r="CE491" s="470">
        <f t="shared" si="1220"/>
        <v>0</v>
      </c>
      <c r="CF491" s="470">
        <f t="shared" si="1220"/>
        <v>0</v>
      </c>
      <c r="CG491" s="972"/>
      <c r="CH491" s="972"/>
      <c r="CI491" s="972"/>
      <c r="CJ491" s="972"/>
      <c r="CK491" s="972"/>
      <c r="CL491" s="1310" t="str">
        <f>A491</f>
        <v>% growth (y-o-y)</v>
      </c>
      <c r="CM491" s="469" t="str">
        <f>G491</f>
        <v xml:space="preserve">n/a </v>
      </c>
      <c r="CN491" s="469">
        <f>L491</f>
        <v>0.11294801420729754</v>
      </c>
      <c r="CO491" s="469">
        <f>Q491</f>
        <v>-2.7213647441104858E-2</v>
      </c>
      <c r="CP491" s="469">
        <f>V491</f>
        <v>-5.1655234118699649E-2</v>
      </c>
      <c r="CQ491" s="469">
        <f>AA491</f>
        <v>-4.5034278885464449E-2</v>
      </c>
      <c r="CR491" s="469">
        <f>AF491</f>
        <v>-0.11776328788776921</v>
      </c>
      <c r="CS491" s="469">
        <f>AK491</f>
        <v>3.5311683463979018E-2</v>
      </c>
      <c r="CT491" s="469">
        <f>AP491</f>
        <v>7.6319584655322034E-3</v>
      </c>
      <c r="CU491" s="469">
        <f>AU491</f>
        <v>1.548298821225959E-2</v>
      </c>
      <c r="CV491" s="469">
        <f>AZ491</f>
        <v>-4.5101559127074141E-3</v>
      </c>
      <c r="CW491" s="469">
        <f>BE491</f>
        <v>-1.7697615539378833E-3</v>
      </c>
      <c r="CX491" s="469">
        <f>BJ491</f>
        <v>0</v>
      </c>
      <c r="CY491" s="469">
        <f>BO491</f>
        <v>0</v>
      </c>
      <c r="CZ491" s="469">
        <f>BT491</f>
        <v>-2.8809611394119651E-3</v>
      </c>
      <c r="DA491" s="469">
        <f t="shared" si="1210"/>
        <v>0</v>
      </c>
      <c r="DB491" s="469">
        <f t="shared" si="1210"/>
        <v>0</v>
      </c>
      <c r="DC491" s="1463">
        <f t="shared" si="1210"/>
        <v>0</v>
      </c>
      <c r="DD491" s="972"/>
      <c r="DE491" s="972"/>
      <c r="DF491" s="974"/>
      <c r="DG491" s="975"/>
      <c r="DH491" s="469"/>
      <c r="DI491" s="3210"/>
      <c r="DJ491" s="974"/>
      <c r="DK491" s="975"/>
      <c r="DL491" s="974"/>
      <c r="DM491" s="974"/>
      <c r="DN491" s="974"/>
      <c r="DO491" s="974"/>
      <c r="DP491" s="975"/>
      <c r="DQ491" s="975"/>
      <c r="DR491" s="976"/>
      <c r="DS491" s="976"/>
      <c r="DT491" s="976"/>
    </row>
    <row r="492" spans="1:124" ht="12" customHeight="1" x14ac:dyDescent="0.25">
      <c r="A492" s="281"/>
      <c r="B492" s="281"/>
      <c r="C492" s="305"/>
      <c r="D492" s="305"/>
      <c r="E492" s="305"/>
      <c r="F492" s="305"/>
      <c r="G492" s="440"/>
      <c r="H492" s="305"/>
      <c r="I492" s="305"/>
      <c r="J492" s="305"/>
      <c r="K492" s="305"/>
      <c r="L492" s="440"/>
      <c r="M492" s="305"/>
      <c r="N492" s="305"/>
      <c r="O492" s="305"/>
      <c r="P492" s="305"/>
      <c r="Q492" s="440"/>
      <c r="R492" s="305"/>
      <c r="S492" s="305"/>
      <c r="T492" s="305"/>
      <c r="U492" s="305"/>
      <c r="V492" s="440"/>
      <c r="W492" s="305"/>
      <c r="X492" s="305"/>
      <c r="Y492" s="305"/>
      <c r="Z492" s="305"/>
      <c r="AA492" s="440"/>
      <c r="AB492" s="305"/>
      <c r="AC492" s="305"/>
      <c r="AD492" s="305"/>
      <c r="AE492" s="331"/>
      <c r="AF492" s="441"/>
      <c r="AG492" s="331"/>
      <c r="AH492" s="331"/>
      <c r="AI492" s="331"/>
      <c r="AJ492" s="331"/>
      <c r="AK492" s="441"/>
      <c r="AL492" s="442"/>
      <c r="AM492" s="442"/>
      <c r="AN492" s="442"/>
      <c r="AO492" s="442"/>
      <c r="AP492" s="443"/>
      <c r="AQ492" s="443"/>
      <c r="AR492" s="331"/>
      <c r="AS492" s="331"/>
      <c r="AT492" s="331"/>
      <c r="AU492" s="349"/>
      <c r="AV492" s="443"/>
      <c r="AW492" s="331"/>
      <c r="AX492" s="331"/>
      <c r="AY492" s="1306"/>
      <c r="AZ492" s="349"/>
      <c r="BA492" s="443"/>
      <c r="BB492" s="331"/>
      <c r="BC492" s="331"/>
      <c r="BD492" s="1306"/>
      <c r="BE492" s="1306"/>
      <c r="BF492" s="331"/>
      <c r="BG492" s="331"/>
      <c r="BH492" s="331"/>
      <c r="BI492" s="1306"/>
      <c r="BJ492" s="1306"/>
      <c r="BK492" s="331"/>
      <c r="BL492" s="331"/>
      <c r="BM492" s="331"/>
      <c r="BN492" s="1306"/>
      <c r="BO492" s="1306"/>
      <c r="BP492" s="331"/>
      <c r="BQ492" s="331"/>
      <c r="BR492" s="331"/>
      <c r="BS492" s="331"/>
      <c r="BT492" s="3222"/>
      <c r="BU492" s="3393"/>
      <c r="BV492" s="2601"/>
      <c r="BW492" s="2601"/>
      <c r="BX492" s="2601"/>
      <c r="BY492" s="3222"/>
      <c r="BZ492" s="349"/>
      <c r="CA492" s="349"/>
      <c r="CB492" s="349"/>
      <c r="CC492" s="349"/>
      <c r="CD492" s="349"/>
      <c r="CE492" s="349"/>
      <c r="CF492" s="349"/>
      <c r="CG492" s="331"/>
      <c r="CH492" s="331"/>
      <c r="CI492" s="331"/>
      <c r="CJ492" s="331"/>
      <c r="CK492" s="331"/>
      <c r="CL492" s="520"/>
      <c r="CM492" s="331"/>
      <c r="CN492" s="331"/>
      <c r="CO492" s="331"/>
      <c r="CP492" s="331"/>
      <c r="CQ492" s="331"/>
      <c r="CR492" s="331"/>
      <c r="CS492" s="331"/>
      <c r="CT492" s="331"/>
      <c r="CU492" s="331"/>
      <c r="CV492" s="331"/>
      <c r="CW492" s="331"/>
      <c r="CX492" s="331"/>
      <c r="CY492" s="331"/>
      <c r="CZ492" s="331"/>
      <c r="DA492" s="331"/>
      <c r="DB492" s="331"/>
      <c r="DC492" s="1306"/>
      <c r="DD492" s="331"/>
      <c r="DE492" s="331"/>
      <c r="DF492" s="502"/>
      <c r="DG492" s="503"/>
      <c r="DH492" s="2601"/>
      <c r="DI492" s="3213"/>
      <c r="DJ492" s="502"/>
      <c r="DK492" s="503"/>
      <c r="DL492" s="502"/>
      <c r="DM492" s="502"/>
      <c r="DN492" s="502"/>
      <c r="DO492" s="502"/>
      <c r="DP492" s="503"/>
      <c r="DQ492" s="503"/>
      <c r="DR492" s="296"/>
      <c r="DS492" s="296"/>
      <c r="DT492" s="296"/>
    </row>
    <row r="493" spans="1:124" ht="12" customHeight="1" x14ac:dyDescent="0.25">
      <c r="A493" s="2125" t="s">
        <v>227</v>
      </c>
      <c r="B493" s="428"/>
      <c r="C493" s="502"/>
      <c r="D493" s="502"/>
      <c r="E493" s="502"/>
      <c r="F493" s="502"/>
      <c r="G493" s="534"/>
      <c r="H493" s="502"/>
      <c r="I493" s="502"/>
      <c r="J493" s="502"/>
      <c r="K493" s="502"/>
      <c r="L493" s="534"/>
      <c r="M493" s="502"/>
      <c r="N493" s="502"/>
      <c r="O493" s="502"/>
      <c r="P493" s="502"/>
      <c r="Q493" s="534"/>
      <c r="R493" s="502"/>
      <c r="S493" s="502"/>
      <c r="T493" s="502"/>
      <c r="U493" s="502"/>
      <c r="V493" s="534"/>
      <c r="W493" s="502"/>
      <c r="X493" s="502"/>
      <c r="Y493" s="502"/>
      <c r="Z493" s="502"/>
      <c r="AA493" s="534"/>
      <c r="AB493" s="502"/>
      <c r="AC493" s="502"/>
      <c r="AD493" s="502"/>
      <c r="AE493" s="502"/>
      <c r="AF493" s="534"/>
      <c r="AG493" s="502"/>
      <c r="AH493" s="502"/>
      <c r="AI493" s="502"/>
      <c r="AJ493" s="502"/>
      <c r="AK493" s="534"/>
      <c r="AL493" s="503"/>
      <c r="AM493" s="503"/>
      <c r="AN493" s="503"/>
      <c r="AO493" s="503"/>
      <c r="AP493" s="535"/>
      <c r="AQ493" s="535"/>
      <c r="AR493" s="537"/>
      <c r="AS493" s="537"/>
      <c r="AT493" s="537"/>
      <c r="AU493" s="536"/>
      <c r="AV493" s="535"/>
      <c r="AW493" s="537"/>
      <c r="AX493" s="537"/>
      <c r="AY493" s="1926"/>
      <c r="AZ493" s="536"/>
      <c r="BA493" s="535"/>
      <c r="BB493" s="537"/>
      <c r="BC493" s="537"/>
      <c r="BD493" s="1926"/>
      <c r="BE493" s="1926"/>
      <c r="BF493" s="537"/>
      <c r="BG493" s="537"/>
      <c r="BH493" s="537"/>
      <c r="BI493" s="1926"/>
      <c r="BJ493" s="1926"/>
      <c r="BK493" s="537"/>
      <c r="BL493" s="537"/>
      <c r="BM493" s="537"/>
      <c r="BN493" s="1926"/>
      <c r="BO493" s="1926"/>
      <c r="BP493" s="537"/>
      <c r="BQ493" s="537"/>
      <c r="BR493" s="537"/>
      <c r="BS493" s="537"/>
      <c r="BT493" s="536"/>
      <c r="BU493" s="535"/>
      <c r="BV493" s="537"/>
      <c r="BW493" s="537"/>
      <c r="BX493" s="537"/>
      <c r="BY493" s="536"/>
      <c r="BZ493" s="536"/>
      <c r="CA493" s="536"/>
      <c r="CB493" s="536"/>
      <c r="CC493" s="536"/>
      <c r="CD493" s="536"/>
      <c r="CE493" s="536"/>
      <c r="CF493" s="536"/>
      <c r="CG493" s="331"/>
      <c r="CH493" s="331"/>
      <c r="CI493" s="331"/>
      <c r="CJ493" s="331"/>
      <c r="CK493" s="331"/>
      <c r="CL493" s="2036" t="str">
        <f t="shared" ref="CL493:CL499" si="1221">A493</f>
        <v>Hollywood Dayton</v>
      </c>
      <c r="CM493" s="537">
        <f>G493</f>
        <v>0</v>
      </c>
      <c r="CN493" s="537">
        <f>L493</f>
        <v>0</v>
      </c>
      <c r="CO493" s="537">
        <f>Q493</f>
        <v>0</v>
      </c>
      <c r="CP493" s="537">
        <f>V493</f>
        <v>0</v>
      </c>
      <c r="CQ493" s="537">
        <f>AA493</f>
        <v>0</v>
      </c>
      <c r="CR493" s="537">
        <f>AF493</f>
        <v>0</v>
      </c>
      <c r="CS493" s="537">
        <f>AK493</f>
        <v>0</v>
      </c>
      <c r="CT493" s="537">
        <f>AP493</f>
        <v>0</v>
      </c>
      <c r="CU493" s="537">
        <f t="shared" ref="CU493:CU498" si="1222">AU493</f>
        <v>0</v>
      </c>
      <c r="CV493" s="537">
        <f t="shared" ref="CV493:CV499" si="1223">AZ493</f>
        <v>0</v>
      </c>
      <c r="CW493" s="537">
        <f t="shared" ref="CW493:CW499" si="1224">BE493</f>
        <v>0</v>
      </c>
      <c r="CX493" s="537">
        <f t="shared" ref="CX493:CX499" si="1225">BJ493</f>
        <v>0</v>
      </c>
      <c r="CY493" s="537">
        <f t="shared" ref="CY493:CY499" si="1226">BO493</f>
        <v>0</v>
      </c>
      <c r="CZ493" s="537">
        <f t="shared" ref="CZ493:CZ499" si="1227">BT493</f>
        <v>0</v>
      </c>
      <c r="DA493" s="537">
        <f t="shared" ref="DA493:DC499" si="1228">BY493</f>
        <v>0</v>
      </c>
      <c r="DB493" s="537">
        <f t="shared" si="1228"/>
        <v>0</v>
      </c>
      <c r="DC493" s="1926">
        <f t="shared" si="1228"/>
        <v>0</v>
      </c>
      <c r="DD493" s="331"/>
      <c r="DE493" s="331"/>
      <c r="DF493" s="502"/>
      <c r="DG493" s="503"/>
      <c r="DH493" s="537"/>
      <c r="DI493" s="3213"/>
      <c r="DJ493" s="502"/>
      <c r="DK493" s="503"/>
      <c r="DL493" s="502"/>
      <c r="DM493" s="502"/>
      <c r="DN493" s="502"/>
      <c r="DO493" s="502"/>
      <c r="DP493" s="503"/>
      <c r="DQ493" s="503"/>
      <c r="DR493" s="428"/>
      <c r="DS493" s="428"/>
      <c r="DT493" s="428"/>
    </row>
    <row r="494" spans="1:124" ht="12" customHeight="1" x14ac:dyDescent="0.25">
      <c r="A494" s="281" t="s">
        <v>894</v>
      </c>
      <c r="B494" s="281"/>
      <c r="C494" s="305"/>
      <c r="D494" s="305"/>
      <c r="E494" s="305"/>
      <c r="F494" s="305"/>
      <c r="G494" s="345"/>
      <c r="H494" s="305"/>
      <c r="I494" s="305"/>
      <c r="J494" s="305"/>
      <c r="K494" s="305"/>
      <c r="L494" s="345"/>
      <c r="M494" s="305"/>
      <c r="N494" s="305"/>
      <c r="O494" s="305"/>
      <c r="P494" s="305"/>
      <c r="Q494" s="345"/>
      <c r="R494" s="305"/>
      <c r="S494" s="305"/>
      <c r="T494" s="305"/>
      <c r="U494" s="305"/>
      <c r="V494" s="345"/>
      <c r="W494" s="305"/>
      <c r="X494" s="305"/>
      <c r="Y494" s="305"/>
      <c r="Z494" s="305"/>
      <c r="AA494" s="345"/>
      <c r="AB494" s="305"/>
      <c r="AC494" s="305"/>
      <c r="AD494" s="305"/>
      <c r="AE494" s="331"/>
      <c r="AF494" s="348"/>
      <c r="AG494" s="305"/>
      <c r="AH494" s="305"/>
      <c r="AI494" s="305"/>
      <c r="AJ494" s="331"/>
      <c r="AK494" s="348"/>
      <c r="AL494" s="305"/>
      <c r="AM494" s="305"/>
      <c r="AN494" s="305"/>
      <c r="AO494" s="331"/>
      <c r="AP494" s="568"/>
      <c r="AQ494" s="568"/>
      <c r="AR494" s="330"/>
      <c r="AS494" s="330"/>
      <c r="AT494" s="330"/>
      <c r="AU494" s="348"/>
      <c r="AV494" s="568"/>
      <c r="AW494" s="330"/>
      <c r="AX494" s="330"/>
      <c r="AY494" s="1888"/>
      <c r="AZ494" s="349"/>
      <c r="BA494" s="568"/>
      <c r="BB494" s="330"/>
      <c r="BC494" s="330">
        <f>BC495+(BC496*BC$320)</f>
        <v>1000</v>
      </c>
      <c r="BD494" s="1888">
        <f>BD495+(BD496*BD$320)</f>
        <v>984</v>
      </c>
      <c r="BE494" s="1895">
        <f>BD494</f>
        <v>984</v>
      </c>
      <c r="BF494" s="330">
        <f>BF495+(BF496*BF$320)</f>
        <v>984</v>
      </c>
      <c r="BG494" s="330">
        <f>BG495+(BG496*BG$320)</f>
        <v>990</v>
      </c>
      <c r="BH494" s="330">
        <f>BH495+(BH496*BH$320)</f>
        <v>990</v>
      </c>
      <c r="BI494" s="1888">
        <f>BI495+(BI496*BI$320)</f>
        <v>991</v>
      </c>
      <c r="BJ494" s="1895">
        <f>BI494</f>
        <v>991</v>
      </c>
      <c r="BK494" s="330">
        <f>BK495+(BK496*BK$320)</f>
        <v>991</v>
      </c>
      <c r="BL494" s="330">
        <f>BL495+(BL496*BL$320)</f>
        <v>993</v>
      </c>
      <c r="BM494" s="330">
        <f>BM495+(BM496*BM$320)</f>
        <v>990</v>
      </c>
      <c r="BN494" s="1888">
        <f>BN495+(BN496*BN$320)</f>
        <v>990</v>
      </c>
      <c r="BO494" s="1895">
        <f>BN494</f>
        <v>990</v>
      </c>
      <c r="BP494" s="330">
        <f>BP495+(BP496*BP$320)</f>
        <v>1008</v>
      </c>
      <c r="BQ494" s="330">
        <f>BQ495+(BQ496*BQ$320)</f>
        <v>1010</v>
      </c>
      <c r="BR494" s="330">
        <f>BR495+(BR496*BR$320)</f>
        <v>1012.3333333333334</v>
      </c>
      <c r="BS494" s="330">
        <f>BS495+(BS496*BS$320)</f>
        <v>1014.6666666666666</v>
      </c>
      <c r="BT494" s="3222">
        <f>BS494</f>
        <v>1014.6666666666666</v>
      </c>
      <c r="BU494" s="2909">
        <f>BU495+(BU496*BU$320)</f>
        <v>1016</v>
      </c>
      <c r="BV494" s="2909">
        <f>BV495+(BV496*BV$320)</f>
        <v>1016</v>
      </c>
      <c r="BW494" s="2909">
        <f>BW495+(BW496*BW$320)</f>
        <v>1016</v>
      </c>
      <c r="BX494" s="2909">
        <f>BX495+(BX496*BX$320)</f>
        <v>1016</v>
      </c>
      <c r="BY494" s="3222">
        <f>BX494</f>
        <v>1016</v>
      </c>
      <c r="BZ494" s="349">
        <f t="shared" ref="BZ494:CF494" si="1229">BZ495+(BZ496*BZ$320)</f>
        <v>1016</v>
      </c>
      <c r="CA494" s="349">
        <f t="shared" si="1229"/>
        <v>1016</v>
      </c>
      <c r="CB494" s="349">
        <f t="shared" si="1229"/>
        <v>1016</v>
      </c>
      <c r="CC494" s="349">
        <f t="shared" si="1229"/>
        <v>1016</v>
      </c>
      <c r="CD494" s="349">
        <f t="shared" si="1229"/>
        <v>1016</v>
      </c>
      <c r="CE494" s="349">
        <f t="shared" si="1229"/>
        <v>1016</v>
      </c>
      <c r="CF494" s="349">
        <f t="shared" si="1229"/>
        <v>1016</v>
      </c>
      <c r="CG494" s="331"/>
      <c r="CH494" s="331"/>
      <c r="CI494" s="331"/>
      <c r="CJ494" s="331"/>
      <c r="CK494" s="331"/>
      <c r="CL494" s="520" t="str">
        <f t="shared" si="1221"/>
        <v>Positions</v>
      </c>
      <c r="CM494" s="330"/>
      <c r="CN494" s="330"/>
      <c r="CO494" s="330"/>
      <c r="CP494" s="330"/>
      <c r="CQ494" s="330"/>
      <c r="CR494" s="330"/>
      <c r="CS494" s="330"/>
      <c r="CT494" s="330"/>
      <c r="CU494" s="330">
        <f t="shared" si="1222"/>
        <v>0</v>
      </c>
      <c r="CV494" s="330">
        <f t="shared" si="1223"/>
        <v>0</v>
      </c>
      <c r="CW494" s="330">
        <f t="shared" si="1224"/>
        <v>984</v>
      </c>
      <c r="CX494" s="330">
        <f t="shared" si="1225"/>
        <v>991</v>
      </c>
      <c r="CY494" s="330">
        <f t="shared" si="1226"/>
        <v>990</v>
      </c>
      <c r="CZ494" s="330">
        <f t="shared" si="1227"/>
        <v>1014.6666666666666</v>
      </c>
      <c r="DA494" s="330">
        <f t="shared" si="1228"/>
        <v>1016</v>
      </c>
      <c r="DB494" s="330">
        <f t="shared" si="1228"/>
        <v>1016</v>
      </c>
      <c r="DC494" s="1888">
        <f t="shared" si="1228"/>
        <v>1016</v>
      </c>
      <c r="DD494" s="331"/>
      <c r="DE494" s="331"/>
      <c r="DF494" s="502"/>
      <c r="DG494" s="503"/>
      <c r="DH494" s="2601"/>
      <c r="DI494" s="3213"/>
      <c r="DJ494" s="502"/>
      <c r="DK494" s="503"/>
      <c r="DL494" s="502"/>
      <c r="DM494" s="502"/>
      <c r="DN494" s="502"/>
      <c r="DO494" s="502"/>
      <c r="DP494" s="503"/>
      <c r="DQ494" s="503"/>
      <c r="DR494" s="296"/>
      <c r="DS494" s="296"/>
      <c r="DT494" s="296"/>
    </row>
    <row r="495" spans="1:124" ht="12" customHeight="1" x14ac:dyDescent="0.25">
      <c r="A495" s="281" t="s">
        <v>585</v>
      </c>
      <c r="B495" s="281"/>
      <c r="C495" s="340"/>
      <c r="D495" s="340"/>
      <c r="E495" s="340"/>
      <c r="F495" s="340"/>
      <c r="G495" s="345"/>
      <c r="H495" s="340"/>
      <c r="I495" s="340"/>
      <c r="J495" s="340"/>
      <c r="K495" s="340"/>
      <c r="L495" s="345"/>
      <c r="M495" s="340"/>
      <c r="N495" s="340"/>
      <c r="O495" s="340"/>
      <c r="P495" s="340"/>
      <c r="Q495" s="345"/>
      <c r="R495" s="340"/>
      <c r="S495" s="340"/>
      <c r="T495" s="340"/>
      <c r="U495" s="340"/>
      <c r="V495" s="345"/>
      <c r="W495" s="340"/>
      <c r="X495" s="340"/>
      <c r="Y495" s="340"/>
      <c r="Z495" s="340"/>
      <c r="AA495" s="345"/>
      <c r="AB495" s="340"/>
      <c r="AC495" s="340"/>
      <c r="AD495" s="340"/>
      <c r="AE495" s="339"/>
      <c r="AF495" s="348"/>
      <c r="AG495" s="340"/>
      <c r="AH495" s="340"/>
      <c r="AI495" s="340"/>
      <c r="AJ495" s="339"/>
      <c r="AK495" s="348"/>
      <c r="AL495" s="340"/>
      <c r="AM495" s="340"/>
      <c r="AN495" s="340"/>
      <c r="AO495" s="339"/>
      <c r="AP495" s="568"/>
      <c r="AQ495" s="568"/>
      <c r="AR495" s="338"/>
      <c r="AS495" s="338"/>
      <c r="AT495" s="330"/>
      <c r="AU495" s="348"/>
      <c r="AV495" s="568"/>
      <c r="AW495" s="330"/>
      <c r="AX495" s="330"/>
      <c r="AY495" s="1888"/>
      <c r="AZ495" s="348"/>
      <c r="BA495" s="568"/>
      <c r="BB495" s="330"/>
      <c r="BC495" s="338">
        <v>1000</v>
      </c>
      <c r="BD495" s="2557">
        <v>984</v>
      </c>
      <c r="BE495" s="1895">
        <f>BD495</f>
        <v>984</v>
      </c>
      <c r="BF495" s="2942">
        <v>984</v>
      </c>
      <c r="BG495" s="2942">
        <v>990</v>
      </c>
      <c r="BH495" s="2942">
        <v>990</v>
      </c>
      <c r="BI495" s="2939">
        <v>991</v>
      </c>
      <c r="BJ495" s="1895">
        <f>BI495</f>
        <v>991</v>
      </c>
      <c r="BK495" s="2942">
        <v>991</v>
      </c>
      <c r="BL495" s="2942">
        <v>993</v>
      </c>
      <c r="BM495" s="2942">
        <v>990</v>
      </c>
      <c r="BN495" s="2939">
        <v>990</v>
      </c>
      <c r="BO495" s="1895">
        <f>BN495</f>
        <v>990</v>
      </c>
      <c r="BP495" s="2942">
        <v>1008</v>
      </c>
      <c r="BQ495" s="2942">
        <v>1010</v>
      </c>
      <c r="BR495" s="2942">
        <v>1012.3333333333334</v>
      </c>
      <c r="BS495" s="2942">
        <v>1014.6666666666666</v>
      </c>
      <c r="BT495" s="3081">
        <f>BS495</f>
        <v>1014.6666666666666</v>
      </c>
      <c r="BU495" s="2942">
        <v>1016</v>
      </c>
      <c r="BV495" s="2079">
        <f>+BU495</f>
        <v>1016</v>
      </c>
      <c r="BW495" s="2079">
        <f>+BV495</f>
        <v>1016</v>
      </c>
      <c r="BX495" s="2079">
        <f>+BW495</f>
        <v>1016</v>
      </c>
      <c r="BY495" s="3081">
        <f>BX495</f>
        <v>1016</v>
      </c>
      <c r="BZ495" s="348">
        <f>BY495</f>
        <v>1016</v>
      </c>
      <c r="CA495" s="348">
        <f>BZ495</f>
        <v>1016</v>
      </c>
      <c r="CB495" s="348">
        <f t="shared" ref="CB495:CF496" si="1230">CA495</f>
        <v>1016</v>
      </c>
      <c r="CC495" s="348">
        <f t="shared" si="1230"/>
        <v>1016</v>
      </c>
      <c r="CD495" s="348">
        <f t="shared" si="1230"/>
        <v>1016</v>
      </c>
      <c r="CE495" s="348">
        <f t="shared" si="1230"/>
        <v>1016</v>
      </c>
      <c r="CF495" s="348">
        <f t="shared" si="1230"/>
        <v>1016</v>
      </c>
      <c r="CG495" s="331"/>
      <c r="CH495" s="331"/>
      <c r="CI495" s="331"/>
      <c r="CJ495" s="331"/>
      <c r="CK495" s="331"/>
      <c r="CL495" s="520" t="str">
        <f t="shared" si="1221"/>
        <v>Slots</v>
      </c>
      <c r="CM495" s="330"/>
      <c r="CN495" s="330"/>
      <c r="CO495" s="330"/>
      <c r="CP495" s="330"/>
      <c r="CQ495" s="330"/>
      <c r="CR495" s="330"/>
      <c r="CS495" s="330"/>
      <c r="CT495" s="330"/>
      <c r="CU495" s="330">
        <f t="shared" si="1222"/>
        <v>0</v>
      </c>
      <c r="CV495" s="330">
        <f t="shared" si="1223"/>
        <v>0</v>
      </c>
      <c r="CW495" s="330">
        <f t="shared" si="1224"/>
        <v>984</v>
      </c>
      <c r="CX495" s="330">
        <f t="shared" si="1225"/>
        <v>991</v>
      </c>
      <c r="CY495" s="330">
        <f t="shared" si="1226"/>
        <v>990</v>
      </c>
      <c r="CZ495" s="330">
        <f t="shared" si="1227"/>
        <v>1014.6666666666666</v>
      </c>
      <c r="DA495" s="330">
        <f t="shared" si="1228"/>
        <v>1016</v>
      </c>
      <c r="DB495" s="330">
        <f t="shared" si="1228"/>
        <v>1016</v>
      </c>
      <c r="DC495" s="1888">
        <f t="shared" si="1228"/>
        <v>1016</v>
      </c>
      <c r="DD495" s="331"/>
      <c r="DE495" s="331"/>
      <c r="DF495" s="502"/>
      <c r="DG495" s="503"/>
      <c r="DH495" s="2909"/>
      <c r="DI495" s="3213"/>
      <c r="DJ495" s="502"/>
      <c r="DK495" s="503"/>
      <c r="DL495" s="502"/>
      <c r="DM495" s="502"/>
      <c r="DN495" s="502"/>
      <c r="DO495" s="502"/>
      <c r="DP495" s="503"/>
      <c r="DQ495" s="503"/>
      <c r="DR495" s="296"/>
      <c r="DS495" s="296"/>
      <c r="DT495" s="296"/>
    </row>
    <row r="496" spans="1:124" ht="12" customHeight="1" x14ac:dyDescent="0.25">
      <c r="A496" s="281" t="s">
        <v>584</v>
      </c>
      <c r="B496" s="281"/>
      <c r="C496" s="340"/>
      <c r="D496" s="340"/>
      <c r="E496" s="340"/>
      <c r="F496" s="340"/>
      <c r="G496" s="345"/>
      <c r="H496" s="340"/>
      <c r="I496" s="340"/>
      <c r="J496" s="340"/>
      <c r="K496" s="340"/>
      <c r="L496" s="345"/>
      <c r="M496" s="340"/>
      <c r="N496" s="340"/>
      <c r="O496" s="340"/>
      <c r="P496" s="340"/>
      <c r="Q496" s="345"/>
      <c r="R496" s="340"/>
      <c r="S496" s="340"/>
      <c r="T496" s="340"/>
      <c r="U496" s="340"/>
      <c r="V496" s="345"/>
      <c r="W496" s="340"/>
      <c r="X496" s="340"/>
      <c r="Y496" s="340"/>
      <c r="Z496" s="340"/>
      <c r="AA496" s="345"/>
      <c r="AB496" s="340"/>
      <c r="AC496" s="340"/>
      <c r="AD496" s="340"/>
      <c r="AE496" s="339"/>
      <c r="AF496" s="348"/>
      <c r="AG496" s="340"/>
      <c r="AH496" s="340"/>
      <c r="AI496" s="340"/>
      <c r="AJ496" s="339"/>
      <c r="AK496" s="348"/>
      <c r="AL496" s="340"/>
      <c r="AM496" s="340"/>
      <c r="AN496" s="340"/>
      <c r="AO496" s="339"/>
      <c r="AP496" s="568"/>
      <c r="AQ496" s="568"/>
      <c r="AR496" s="338"/>
      <c r="AS496" s="338"/>
      <c r="AT496" s="330"/>
      <c r="AU496" s="348"/>
      <c r="AV496" s="568"/>
      <c r="AW496" s="330"/>
      <c r="AX496" s="330"/>
      <c r="AY496" s="1888"/>
      <c r="AZ496" s="348"/>
      <c r="BA496" s="568"/>
      <c r="BB496" s="330"/>
      <c r="BC496" s="330">
        <v>0</v>
      </c>
      <c r="BD496" s="1888">
        <v>0</v>
      </c>
      <c r="BE496" s="1895">
        <f>BD496</f>
        <v>0</v>
      </c>
      <c r="BF496" s="330">
        <v>0</v>
      </c>
      <c r="BG496" s="330">
        <v>0</v>
      </c>
      <c r="BH496" s="330">
        <v>0</v>
      </c>
      <c r="BI496" s="1888">
        <v>0</v>
      </c>
      <c r="BJ496" s="1895">
        <f>BI496</f>
        <v>0</v>
      </c>
      <c r="BK496" s="330">
        <v>0</v>
      </c>
      <c r="BL496" s="330">
        <v>0</v>
      </c>
      <c r="BM496" s="330">
        <v>0</v>
      </c>
      <c r="BN496" s="1888">
        <v>0</v>
      </c>
      <c r="BO496" s="1895">
        <f>BN496</f>
        <v>0</v>
      </c>
      <c r="BP496" s="330">
        <v>0</v>
      </c>
      <c r="BQ496" s="330">
        <v>0</v>
      </c>
      <c r="BR496" s="330">
        <v>0</v>
      </c>
      <c r="BS496" s="330">
        <v>0</v>
      </c>
      <c r="BT496" s="3081">
        <f>BS496</f>
        <v>0</v>
      </c>
      <c r="BU496" s="2909">
        <v>0</v>
      </c>
      <c r="BV496" s="2909">
        <v>0</v>
      </c>
      <c r="BW496" s="2909">
        <v>0</v>
      </c>
      <c r="BX496" s="2909">
        <v>0</v>
      </c>
      <c r="BY496" s="3081">
        <f>BX496</f>
        <v>0</v>
      </c>
      <c r="BZ496" s="348">
        <f>BY496</f>
        <v>0</v>
      </c>
      <c r="CA496" s="348">
        <f>BZ496</f>
        <v>0</v>
      </c>
      <c r="CB496" s="348">
        <f t="shared" si="1230"/>
        <v>0</v>
      </c>
      <c r="CC496" s="348">
        <f t="shared" si="1230"/>
        <v>0</v>
      </c>
      <c r="CD496" s="348">
        <f t="shared" si="1230"/>
        <v>0</v>
      </c>
      <c r="CE496" s="348">
        <f t="shared" si="1230"/>
        <v>0</v>
      </c>
      <c r="CF496" s="348">
        <f t="shared" si="1230"/>
        <v>0</v>
      </c>
      <c r="CG496" s="331"/>
      <c r="CH496" s="331"/>
      <c r="CI496" s="331"/>
      <c r="CJ496" s="331"/>
      <c r="CK496" s="331"/>
      <c r="CL496" s="520" t="str">
        <f t="shared" si="1221"/>
        <v>Tables</v>
      </c>
      <c r="CM496" s="330"/>
      <c r="CN496" s="330"/>
      <c r="CO496" s="330"/>
      <c r="CP496" s="330"/>
      <c r="CQ496" s="330"/>
      <c r="CR496" s="330"/>
      <c r="CS496" s="330"/>
      <c r="CT496" s="330"/>
      <c r="CU496" s="330">
        <f t="shared" si="1222"/>
        <v>0</v>
      </c>
      <c r="CV496" s="330">
        <f t="shared" si="1223"/>
        <v>0</v>
      </c>
      <c r="CW496" s="330">
        <f t="shared" si="1224"/>
        <v>0</v>
      </c>
      <c r="CX496" s="330">
        <f t="shared" si="1225"/>
        <v>0</v>
      </c>
      <c r="CY496" s="330">
        <f t="shared" si="1226"/>
        <v>0</v>
      </c>
      <c r="CZ496" s="330">
        <f t="shared" si="1227"/>
        <v>0</v>
      </c>
      <c r="DA496" s="330">
        <f t="shared" si="1228"/>
        <v>0</v>
      </c>
      <c r="DB496" s="330">
        <f t="shared" si="1228"/>
        <v>0</v>
      </c>
      <c r="DC496" s="1888">
        <f t="shared" si="1228"/>
        <v>0</v>
      </c>
      <c r="DD496" s="331"/>
      <c r="DE496" s="331"/>
      <c r="DF496" s="502"/>
      <c r="DG496" s="503"/>
      <c r="DH496" s="2909"/>
      <c r="DI496" s="3213"/>
      <c r="DJ496" s="502"/>
      <c r="DK496" s="503"/>
      <c r="DL496" s="502"/>
      <c r="DM496" s="502"/>
      <c r="DN496" s="502"/>
      <c r="DO496" s="502"/>
      <c r="DP496" s="503"/>
      <c r="DQ496" s="503"/>
      <c r="DR496" s="296"/>
      <c r="DS496" s="296"/>
      <c r="DT496" s="296"/>
    </row>
    <row r="497" spans="1:124" ht="12" customHeight="1" x14ac:dyDescent="0.25">
      <c r="A497" s="511" t="s">
        <v>2111</v>
      </c>
      <c r="B497" s="281"/>
      <c r="C497" s="340"/>
      <c r="D497" s="305"/>
      <c r="E497" s="305"/>
      <c r="F497" s="305"/>
      <c r="G497" s="345"/>
      <c r="H497" s="305"/>
      <c r="I497" s="305"/>
      <c r="J497" s="305"/>
      <c r="K497" s="305"/>
      <c r="L497" s="345"/>
      <c r="M497" s="305"/>
      <c r="N497" s="305"/>
      <c r="O497" s="305"/>
      <c r="P497" s="305"/>
      <c r="Q497" s="345"/>
      <c r="R497" s="305"/>
      <c r="S497" s="305"/>
      <c r="T497" s="305"/>
      <c r="U497" s="305"/>
      <c r="V497" s="345"/>
      <c r="W497" s="305"/>
      <c r="X497" s="305"/>
      <c r="Y497" s="305"/>
      <c r="Z497" s="305"/>
      <c r="AA497" s="345"/>
      <c r="AB497" s="305"/>
      <c r="AC497" s="305"/>
      <c r="AD497" s="305"/>
      <c r="AE497" s="331"/>
      <c r="AF497" s="348"/>
      <c r="AG497" s="305"/>
      <c r="AH497" s="305"/>
      <c r="AI497" s="305"/>
      <c r="AJ497" s="331"/>
      <c r="AK497" s="348"/>
      <c r="AL497" s="305"/>
      <c r="AM497" s="305"/>
      <c r="AN497" s="305"/>
      <c r="AO497" s="331"/>
      <c r="AP497" s="568"/>
      <c r="AQ497" s="568"/>
      <c r="AR497" s="330"/>
      <c r="AS497" s="330"/>
      <c r="AT497" s="330"/>
      <c r="AU497" s="348"/>
      <c r="AV497" s="568"/>
      <c r="AW497" s="330"/>
      <c r="AX497" s="330"/>
      <c r="AY497" s="1888"/>
      <c r="AZ497" s="348"/>
      <c r="BA497" s="568"/>
      <c r="BB497" s="330"/>
      <c r="BC497" s="2883">
        <f>+BC494*34/92</f>
        <v>369.56521739130437</v>
      </c>
      <c r="BD497" s="1888">
        <f>+BD494</f>
        <v>984</v>
      </c>
      <c r="BE497" s="1895">
        <f>AVERAGE(BA497:BD497)</f>
        <v>676.78260869565224</v>
      </c>
      <c r="BF497" s="2909">
        <f>AVERAGE(BF494,BE494)</f>
        <v>984</v>
      </c>
      <c r="BG497" s="2909">
        <f>AVERAGE(BG494,BF494)</f>
        <v>987</v>
      </c>
      <c r="BH497" s="2909">
        <f>AVERAGE(BH494,BG494)</f>
        <v>990</v>
      </c>
      <c r="BI497" s="2910">
        <f>AVERAGE(BI494,BH494)</f>
        <v>990.5</v>
      </c>
      <c r="BJ497" s="1895">
        <f>AVERAGE(BF497:BI497)</f>
        <v>987.875</v>
      </c>
      <c r="BK497" s="2909">
        <f>AVERAGE(BK494,BJ494)</f>
        <v>991</v>
      </c>
      <c r="BL497" s="2909">
        <f>AVERAGE(BL494,BK494)</f>
        <v>992</v>
      </c>
      <c r="BM497" s="2909">
        <f>AVERAGE(BM494,BL494)</f>
        <v>991.5</v>
      </c>
      <c r="BN497" s="2910">
        <f>AVERAGE(BN494,BM494)</f>
        <v>990</v>
      </c>
      <c r="BO497" s="1895">
        <f>AVERAGE(BK497:BN497)</f>
        <v>991.125</v>
      </c>
      <c r="BP497" s="2909">
        <f>AVERAGE(BP494,BO494)</f>
        <v>999</v>
      </c>
      <c r="BQ497" s="2909">
        <f>AVERAGE(BQ494,BP494)</f>
        <v>1009</v>
      </c>
      <c r="BR497" s="2909">
        <f>AVERAGE(BR494,BQ494)</f>
        <v>1011.1666666666667</v>
      </c>
      <c r="BS497" s="2909">
        <f>AVERAGE(BS494,BR494)</f>
        <v>1013.5</v>
      </c>
      <c r="BT497" s="3222">
        <f>AVERAGE(BP497:BS497)</f>
        <v>1008.1666666666667</v>
      </c>
      <c r="BU497" s="2909">
        <f>AVERAGE(BU494,BT494)</f>
        <v>1015.3333333333333</v>
      </c>
      <c r="BV497" s="2909">
        <f>AVERAGE(BV494,BU494)</f>
        <v>1016</v>
      </c>
      <c r="BW497" s="2909">
        <f>AVERAGE(BW494,BV494)</f>
        <v>1016</v>
      </c>
      <c r="BX497" s="2909">
        <f>AVERAGE(BX494,BW494)</f>
        <v>1016</v>
      </c>
      <c r="BY497" s="3222">
        <f>AVERAGE(BU497:BX497)</f>
        <v>1015.8333333333333</v>
      </c>
      <c r="BZ497" s="349">
        <f t="shared" ref="BZ497:CF497" si="1231">AVERAGE(BY494:BZ494)</f>
        <v>1016</v>
      </c>
      <c r="CA497" s="349">
        <f t="shared" si="1231"/>
        <v>1016</v>
      </c>
      <c r="CB497" s="349">
        <f t="shared" si="1231"/>
        <v>1016</v>
      </c>
      <c r="CC497" s="349">
        <f t="shared" si="1231"/>
        <v>1016</v>
      </c>
      <c r="CD497" s="349">
        <f t="shared" si="1231"/>
        <v>1016</v>
      </c>
      <c r="CE497" s="349">
        <f t="shared" si="1231"/>
        <v>1016</v>
      </c>
      <c r="CF497" s="349">
        <f t="shared" si="1231"/>
        <v>1016</v>
      </c>
      <c r="CG497" s="331"/>
      <c r="CH497" s="331"/>
      <c r="CI497" s="331"/>
      <c r="CJ497" s="331"/>
      <c r="CK497" s="331"/>
      <c r="CL497" s="1118" t="str">
        <f t="shared" si="1221"/>
        <v>Average Positions</v>
      </c>
      <c r="CM497" s="330"/>
      <c r="CN497" s="330"/>
      <c r="CO497" s="330"/>
      <c r="CP497" s="330"/>
      <c r="CQ497" s="330"/>
      <c r="CR497" s="330"/>
      <c r="CS497" s="330"/>
      <c r="CT497" s="330"/>
      <c r="CU497" s="330">
        <f t="shared" si="1222"/>
        <v>0</v>
      </c>
      <c r="CV497" s="330">
        <f t="shared" si="1223"/>
        <v>0</v>
      </c>
      <c r="CW497" s="330">
        <f t="shared" si="1224"/>
        <v>676.78260869565224</v>
      </c>
      <c r="CX497" s="330">
        <f t="shared" si="1225"/>
        <v>987.875</v>
      </c>
      <c r="CY497" s="330">
        <f t="shared" si="1226"/>
        <v>991.125</v>
      </c>
      <c r="CZ497" s="330">
        <f t="shared" si="1227"/>
        <v>1008.1666666666667</v>
      </c>
      <c r="DA497" s="330">
        <f t="shared" si="1228"/>
        <v>1015.8333333333333</v>
      </c>
      <c r="DB497" s="330">
        <f t="shared" si="1228"/>
        <v>1016</v>
      </c>
      <c r="DC497" s="1888">
        <f t="shared" si="1228"/>
        <v>1016</v>
      </c>
      <c r="DD497" s="331"/>
      <c r="DE497" s="331"/>
      <c r="DF497" s="502"/>
      <c r="DG497" s="503"/>
      <c r="DH497" s="2601"/>
      <c r="DI497" s="3213"/>
      <c r="DJ497" s="502"/>
      <c r="DK497" s="503"/>
      <c r="DL497" s="502"/>
      <c r="DM497" s="502"/>
      <c r="DN497" s="502"/>
      <c r="DO497" s="502"/>
      <c r="DP497" s="503"/>
      <c r="DQ497" s="503"/>
      <c r="DR497" s="296"/>
      <c r="DS497" s="296"/>
      <c r="DT497" s="296"/>
    </row>
    <row r="498" spans="1:124" ht="12" customHeight="1" x14ac:dyDescent="0.25">
      <c r="A498" s="557" t="s">
        <v>901</v>
      </c>
      <c r="B498" s="558"/>
      <c r="C498" s="318"/>
      <c r="D498" s="318"/>
      <c r="E498" s="318"/>
      <c r="F498" s="318"/>
      <c r="G498" s="559"/>
      <c r="H498" s="318"/>
      <c r="I498" s="318"/>
      <c r="J498" s="318"/>
      <c r="K498" s="318"/>
      <c r="L498" s="559"/>
      <c r="M498" s="318"/>
      <c r="N498" s="318"/>
      <c r="O498" s="318"/>
      <c r="P498" s="318"/>
      <c r="Q498" s="559"/>
      <c r="R498" s="318"/>
      <c r="S498" s="318"/>
      <c r="T498" s="318"/>
      <c r="U498" s="318"/>
      <c r="V498" s="559"/>
      <c r="W498" s="318"/>
      <c r="X498" s="318"/>
      <c r="Y498" s="318"/>
      <c r="Z498" s="318"/>
      <c r="AA498" s="559"/>
      <c r="AB498" s="318"/>
      <c r="AC498" s="318"/>
      <c r="AD498" s="318"/>
      <c r="AE498" s="560"/>
      <c r="AF498" s="561"/>
      <c r="AG498" s="318"/>
      <c r="AH498" s="318"/>
      <c r="AI498" s="318"/>
      <c r="AJ498" s="560"/>
      <c r="AK498" s="561"/>
      <c r="AL498" s="318"/>
      <c r="AM498" s="318"/>
      <c r="AN498" s="318"/>
      <c r="AO498" s="560"/>
      <c r="AP498" s="562"/>
      <c r="AQ498" s="562"/>
      <c r="AR498" s="1766"/>
      <c r="AS498" s="1766"/>
      <c r="AT498" s="1766"/>
      <c r="AU498" s="1688"/>
      <c r="AV498" s="1766"/>
      <c r="AW498" s="1308"/>
      <c r="AX498" s="1308"/>
      <c r="AY498" s="1309"/>
      <c r="AZ498" s="1688"/>
      <c r="BA498" s="562"/>
      <c r="BB498" s="560"/>
      <c r="BC498" s="2921">
        <f>+BC501*1000000/BC497/BC$5</f>
        <v>237.19279411764705</v>
      </c>
      <c r="BD498" s="2946">
        <f>+BD501*1000000/BD497/BD$5</f>
        <v>218.24659773771651</v>
      </c>
      <c r="BE498" s="2556">
        <f>+BD498</f>
        <v>218.24659773771651</v>
      </c>
      <c r="BF498" s="2943">
        <f t="shared" ref="BF498:BM498" si="1232">+BF501*1000000/BF497/BF$5</f>
        <v>238.68563685636852</v>
      </c>
      <c r="BG498" s="2943">
        <f t="shared" si="1232"/>
        <v>241.0574390148858</v>
      </c>
      <c r="BH498" s="2943">
        <f t="shared" si="1232"/>
        <v>237.09837505489679</v>
      </c>
      <c r="BI498" s="2946">
        <f t="shared" si="1232"/>
        <v>235.80804600223865</v>
      </c>
      <c r="BJ498" s="2556">
        <f t="shared" si="1232"/>
        <v>238.15397308807647</v>
      </c>
      <c r="BK498" s="2943">
        <f t="shared" si="1232"/>
        <v>247.02216653175279</v>
      </c>
      <c r="BL498" s="2943">
        <f t="shared" si="1232"/>
        <v>248.25721153846155</v>
      </c>
      <c r="BM498" s="2943">
        <f t="shared" si="1232"/>
        <v>246.66184305729129</v>
      </c>
      <c r="BN498" s="2943">
        <f t="shared" ref="BN498:BT498" si="1233">+BN501*1000000/BN497/BN$5</f>
        <v>247.8261967501098</v>
      </c>
      <c r="BO498" s="2589">
        <f t="shared" si="1233"/>
        <v>247.44027010207395</v>
      </c>
      <c r="BP498" s="2943">
        <f t="shared" si="1233"/>
        <v>281.68518518518522</v>
      </c>
      <c r="BQ498" s="2943">
        <f t="shared" si="1233"/>
        <v>267.82664807937357</v>
      </c>
      <c r="BR498" s="2943">
        <f t="shared" si="1233"/>
        <v>265.04408023448298</v>
      </c>
      <c r="BS498" s="2943">
        <f t="shared" si="1233"/>
        <v>269.1575041290406</v>
      </c>
      <c r="BT498" s="2589">
        <f t="shared" si="1233"/>
        <v>270.85926486207381</v>
      </c>
      <c r="BU498" s="2943">
        <f t="shared" ref="BU498" si="1234">+BU501*1000000/BU497/BU$5</f>
        <v>296.56379951849419</v>
      </c>
      <c r="BV498" s="2588">
        <f>+BQ498*(1+BV499)</f>
        <v>278.53971400254852</v>
      </c>
      <c r="BW498" s="2588">
        <f>+BR498*(1+BW499)</f>
        <v>275.6458434438623</v>
      </c>
      <c r="BX498" s="2588">
        <f>+BS498*(1+BX499)</f>
        <v>279.92380429420223</v>
      </c>
      <c r="BY498" s="2589">
        <f>+BY501*1000000/BY497/BY$5</f>
        <v>282.60183778176679</v>
      </c>
      <c r="BZ498" s="561">
        <f t="shared" ref="BZ498:CF498" si="1235">+BY498*(1+BZ499)</f>
        <v>288.25387453740211</v>
      </c>
      <c r="CA498" s="561">
        <f t="shared" si="1235"/>
        <v>291.13641328277612</v>
      </c>
      <c r="CB498" s="561">
        <f t="shared" si="1235"/>
        <v>276.57959261863732</v>
      </c>
      <c r="CC498" s="561">
        <f t="shared" si="1235"/>
        <v>262.75061298770544</v>
      </c>
      <c r="CD498" s="561">
        <f t="shared" si="1235"/>
        <v>268.00562524745953</v>
      </c>
      <c r="CE498" s="561">
        <f t="shared" si="1235"/>
        <v>273.36573775240873</v>
      </c>
      <c r="CF498" s="561">
        <f t="shared" si="1235"/>
        <v>278.8330525074569</v>
      </c>
      <c r="CG498" s="560"/>
      <c r="CH498" s="560"/>
      <c r="CI498" s="560"/>
      <c r="CJ498" s="560"/>
      <c r="CK498" s="560"/>
      <c r="CL498" s="1307" t="str">
        <f t="shared" si="1221"/>
        <v>Daily Win / Position</v>
      </c>
      <c r="CM498" s="560"/>
      <c r="CN498" s="560"/>
      <c r="CO498" s="560"/>
      <c r="CP498" s="560"/>
      <c r="CQ498" s="560"/>
      <c r="CR498" s="560"/>
      <c r="CS498" s="560"/>
      <c r="CT498" s="560"/>
      <c r="CU498" s="560">
        <f t="shared" si="1222"/>
        <v>0</v>
      </c>
      <c r="CV498" s="560">
        <f t="shared" si="1223"/>
        <v>0</v>
      </c>
      <c r="CW498" s="560">
        <f t="shared" si="1224"/>
        <v>218.24659773771651</v>
      </c>
      <c r="CX498" s="560">
        <f t="shared" si="1225"/>
        <v>238.15397308807647</v>
      </c>
      <c r="CY498" s="560">
        <f t="shared" si="1226"/>
        <v>247.44027010207395</v>
      </c>
      <c r="CZ498" s="560">
        <f t="shared" si="1227"/>
        <v>270.85926486207381</v>
      </c>
      <c r="DA498" s="560">
        <f t="shared" si="1228"/>
        <v>282.60183778176679</v>
      </c>
      <c r="DB498" s="560">
        <f t="shared" si="1228"/>
        <v>288.25387453740211</v>
      </c>
      <c r="DC498" s="1878">
        <f t="shared" si="1228"/>
        <v>291.13641328277612</v>
      </c>
      <c r="DD498" s="560"/>
      <c r="DE498" s="560"/>
      <c r="DF498" s="707"/>
      <c r="DG498" s="707"/>
      <c r="DH498" s="2588"/>
      <c r="DI498" s="3213"/>
      <c r="DJ498" s="707"/>
      <c r="DK498" s="707"/>
      <c r="DL498" s="707"/>
      <c r="DM498" s="707"/>
      <c r="DN498" s="707"/>
      <c r="DO498" s="707"/>
      <c r="DP498" s="707"/>
      <c r="DQ498" s="707"/>
      <c r="DR498" s="968"/>
      <c r="DS498" s="968"/>
      <c r="DT498" s="968"/>
    </row>
    <row r="499" spans="1:124" ht="12" customHeight="1" x14ac:dyDescent="0.25">
      <c r="A499" s="465" t="s">
        <v>1491</v>
      </c>
      <c r="B499" s="281"/>
      <c r="C499" s="472"/>
      <c r="D499" s="472"/>
      <c r="E499" s="472"/>
      <c r="F499" s="472"/>
      <c r="G499" s="491"/>
      <c r="H499" s="472"/>
      <c r="I499" s="472"/>
      <c r="J499" s="472"/>
      <c r="K499" s="472"/>
      <c r="L499" s="491"/>
      <c r="M499" s="472"/>
      <c r="N499" s="472"/>
      <c r="O499" s="472"/>
      <c r="P499" s="472"/>
      <c r="Q499" s="491"/>
      <c r="R499" s="472"/>
      <c r="S499" s="472"/>
      <c r="T499" s="472"/>
      <c r="U499" s="472"/>
      <c r="V499" s="491"/>
      <c r="W499" s="472"/>
      <c r="X499" s="472"/>
      <c r="Y499" s="472"/>
      <c r="Z499" s="472"/>
      <c r="AA499" s="491"/>
      <c r="AB499" s="472"/>
      <c r="AC499" s="472"/>
      <c r="AD499" s="472"/>
      <c r="AE499" s="492"/>
      <c r="AF499" s="493"/>
      <c r="AG499" s="472"/>
      <c r="AH499" s="472"/>
      <c r="AI499" s="472"/>
      <c r="AJ499" s="492"/>
      <c r="AK499" s="493"/>
      <c r="AL499" s="472"/>
      <c r="AM499" s="472"/>
      <c r="AN499" s="472"/>
      <c r="AO499" s="492"/>
      <c r="AP499" s="494"/>
      <c r="AQ499" s="494"/>
      <c r="AR499" s="492"/>
      <c r="AS499" s="492"/>
      <c r="AT499" s="492"/>
      <c r="AU499" s="493"/>
      <c r="AV499" s="1618"/>
      <c r="AW499" s="519"/>
      <c r="AX499" s="519"/>
      <c r="AY499" s="1462"/>
      <c r="AZ499" s="591"/>
      <c r="BA499" s="1681"/>
      <c r="BB499" s="1245"/>
      <c r="BC499" s="1245"/>
      <c r="BD499" s="1775"/>
      <c r="BE499" s="1462"/>
      <c r="BF499" s="1245"/>
      <c r="BG499" s="1245"/>
      <c r="BH499" s="1245"/>
      <c r="BI499" s="1775"/>
      <c r="BJ499" s="1462"/>
      <c r="BK499" s="519">
        <f t="shared" ref="BK499:BU499" si="1236">+BK498/BF498-1</f>
        <v>3.4926817487559436E-2</v>
      </c>
      <c r="BL499" s="519">
        <f t="shared" si="1236"/>
        <v>2.9867456291739369E-2</v>
      </c>
      <c r="BM499" s="519">
        <f t="shared" si="1236"/>
        <v>4.0335443042071484E-2</v>
      </c>
      <c r="BN499" s="1462">
        <f t="shared" si="1236"/>
        <v>5.0965821360298591E-2</v>
      </c>
      <c r="BO499" s="1462">
        <f t="shared" si="1236"/>
        <v>3.8992828436093863E-2</v>
      </c>
      <c r="BP499" s="519">
        <f t="shared" si="1236"/>
        <v>0.14032351484933137</v>
      </c>
      <c r="BQ499" s="519">
        <f t="shared" si="1236"/>
        <v>7.8827263142284165E-2</v>
      </c>
      <c r="BR499" s="519">
        <f t="shared" si="1236"/>
        <v>7.4524040481292131E-2</v>
      </c>
      <c r="BS499" s="519">
        <f t="shared" si="1236"/>
        <v>8.6073658308365886E-2</v>
      </c>
      <c r="BT499" s="591">
        <f>+BT498/BO498-1</f>
        <v>9.4645042014943837E-2</v>
      </c>
      <c r="BU499" s="519">
        <f t="shared" si="1236"/>
        <v>5.2820010124165595E-2</v>
      </c>
      <c r="BV499" s="1245">
        <v>0.04</v>
      </c>
      <c r="BW499" s="1245">
        <v>0.04</v>
      </c>
      <c r="BX499" s="1245">
        <v>0.04</v>
      </c>
      <c r="BY499" s="591">
        <f>+BY498/BT498-1</f>
        <v>4.3353041387277136E-2</v>
      </c>
      <c r="BZ499" s="566">
        <v>0.02</v>
      </c>
      <c r="CA499" s="566">
        <v>0.01</v>
      </c>
      <c r="CB499" s="566">
        <v>-0.05</v>
      </c>
      <c r="CC499" s="566">
        <v>-0.05</v>
      </c>
      <c r="CD499" s="566">
        <v>0.02</v>
      </c>
      <c r="CE499" s="566">
        <v>0.02</v>
      </c>
      <c r="CF499" s="566">
        <v>0.02</v>
      </c>
      <c r="CG499" s="331"/>
      <c r="CH499" s="331"/>
      <c r="CI499" s="331"/>
      <c r="CJ499" s="331"/>
      <c r="CK499" s="331"/>
      <c r="CL499" s="1310" t="str">
        <f t="shared" si="1221"/>
        <v>% growth (y-o-y)</v>
      </c>
      <c r="CM499" s="492"/>
      <c r="CN499" s="492"/>
      <c r="CO499" s="492"/>
      <c r="CP499" s="492"/>
      <c r="CQ499" s="492"/>
      <c r="CR499" s="492"/>
      <c r="CS499" s="492"/>
      <c r="CT499" s="492"/>
      <c r="CU499" s="492"/>
      <c r="CV499" s="492">
        <f t="shared" si="1223"/>
        <v>0</v>
      </c>
      <c r="CW499" s="492">
        <f t="shared" si="1224"/>
        <v>0</v>
      </c>
      <c r="CX499" s="492">
        <f t="shared" si="1225"/>
        <v>0</v>
      </c>
      <c r="CY499" s="492">
        <f t="shared" si="1226"/>
        <v>3.8992828436093863E-2</v>
      </c>
      <c r="CZ499" s="492">
        <f t="shared" si="1227"/>
        <v>9.4645042014943837E-2</v>
      </c>
      <c r="DA499" s="492">
        <f t="shared" si="1228"/>
        <v>4.3353041387277136E-2</v>
      </c>
      <c r="DB499" s="492">
        <f t="shared" si="1228"/>
        <v>0.02</v>
      </c>
      <c r="DC499" s="1311">
        <f t="shared" si="1228"/>
        <v>0.01</v>
      </c>
      <c r="DD499" s="331"/>
      <c r="DE499" s="331"/>
      <c r="DF499" s="502"/>
      <c r="DG499" s="503"/>
      <c r="DH499" s="519"/>
      <c r="DI499" s="3213"/>
      <c r="DJ499" s="502"/>
      <c r="DK499" s="503"/>
      <c r="DL499" s="502"/>
      <c r="DM499" s="502"/>
      <c r="DN499" s="502"/>
      <c r="DO499" s="502"/>
      <c r="DP499" s="503"/>
      <c r="DQ499" s="503"/>
      <c r="DR499" s="296"/>
      <c r="DS499" s="296"/>
      <c r="DT499" s="296"/>
    </row>
    <row r="500" spans="1:124" ht="5.0999999999999996" customHeight="1" x14ac:dyDescent="0.25">
      <c r="A500" s="281"/>
      <c r="B500" s="281"/>
      <c r="C500" s="305"/>
      <c r="D500" s="305"/>
      <c r="E500" s="305"/>
      <c r="F500" s="305"/>
      <c r="G500" s="440"/>
      <c r="H500" s="305"/>
      <c r="I500" s="305"/>
      <c r="J500" s="305"/>
      <c r="K500" s="305"/>
      <c r="L500" s="440"/>
      <c r="M500" s="305"/>
      <c r="N500" s="305"/>
      <c r="O500" s="305"/>
      <c r="P500" s="305"/>
      <c r="Q500" s="440"/>
      <c r="R500" s="305"/>
      <c r="S500" s="305"/>
      <c r="T500" s="305"/>
      <c r="U500" s="305"/>
      <c r="V500" s="440"/>
      <c r="W500" s="305"/>
      <c r="X500" s="305"/>
      <c r="Y500" s="305"/>
      <c r="Z500" s="305"/>
      <c r="AA500" s="440"/>
      <c r="AB500" s="305"/>
      <c r="AC500" s="305"/>
      <c r="AD500" s="305"/>
      <c r="AE500" s="331"/>
      <c r="AF500" s="441"/>
      <c r="AG500" s="305"/>
      <c r="AH500" s="305"/>
      <c r="AI500" s="305"/>
      <c r="AJ500" s="331"/>
      <c r="AK500" s="441"/>
      <c r="AL500" s="305"/>
      <c r="AM500" s="305"/>
      <c r="AN500" s="305"/>
      <c r="AO500" s="331"/>
      <c r="AP500" s="569"/>
      <c r="AQ500" s="569"/>
      <c r="AR500" s="442"/>
      <c r="AS500" s="442"/>
      <c r="AT500" s="442"/>
      <c r="AU500" s="441"/>
      <c r="AV500" s="569"/>
      <c r="AW500" s="442"/>
      <c r="AX500" s="442"/>
      <c r="AY500" s="1312"/>
      <c r="AZ500" s="441"/>
      <c r="BA500" s="569"/>
      <c r="BB500" s="442"/>
      <c r="BC500" s="442"/>
      <c r="BD500" s="1312"/>
      <c r="BE500" s="1312"/>
      <c r="BF500" s="442"/>
      <c r="BG500" s="442"/>
      <c r="BH500" s="442"/>
      <c r="BI500" s="1312"/>
      <c r="BJ500" s="1312"/>
      <c r="BK500" s="442"/>
      <c r="BL500" s="442"/>
      <c r="BM500" s="442"/>
      <c r="BN500" s="1312"/>
      <c r="BO500" s="1312"/>
      <c r="BP500" s="442"/>
      <c r="BQ500" s="442"/>
      <c r="BR500" s="442"/>
      <c r="BS500" s="442"/>
      <c r="BT500" s="3236"/>
      <c r="BU500" s="3298"/>
      <c r="BV500" s="3298"/>
      <c r="BW500" s="3298"/>
      <c r="BX500" s="3298"/>
      <c r="BY500" s="3236"/>
      <c r="BZ500" s="441"/>
      <c r="CA500" s="441"/>
      <c r="CB500" s="441"/>
      <c r="CC500" s="441"/>
      <c r="CD500" s="441"/>
      <c r="CE500" s="441"/>
      <c r="CF500" s="441"/>
      <c r="CG500" s="331"/>
      <c r="CH500" s="331"/>
      <c r="CI500" s="331"/>
      <c r="CJ500" s="331"/>
      <c r="CK500" s="331"/>
      <c r="CL500" s="520"/>
      <c r="CM500" s="442"/>
      <c r="CN500" s="442"/>
      <c r="CO500" s="442"/>
      <c r="CP500" s="442"/>
      <c r="CQ500" s="442"/>
      <c r="CR500" s="442"/>
      <c r="CS500" s="442"/>
      <c r="CT500" s="442"/>
      <c r="CU500" s="442"/>
      <c r="CV500" s="442"/>
      <c r="CW500" s="442"/>
      <c r="CX500" s="442"/>
      <c r="CY500" s="442"/>
      <c r="CZ500" s="442"/>
      <c r="DA500" s="442"/>
      <c r="DB500" s="442"/>
      <c r="DC500" s="1312"/>
      <c r="DD500" s="331"/>
      <c r="DE500" s="331"/>
      <c r="DF500" s="502"/>
      <c r="DG500" s="503"/>
      <c r="DH500" s="3298"/>
      <c r="DI500" s="3213"/>
      <c r="DJ500" s="502"/>
      <c r="DK500" s="503"/>
      <c r="DL500" s="502"/>
      <c r="DM500" s="502"/>
      <c r="DN500" s="502"/>
      <c r="DO500" s="502"/>
      <c r="DP500" s="503"/>
      <c r="DQ500" s="503"/>
      <c r="DR500" s="296"/>
      <c r="DS500" s="296"/>
      <c r="DT500" s="296"/>
    </row>
    <row r="501" spans="1:124" ht="12" customHeight="1" x14ac:dyDescent="0.25">
      <c r="A501" s="281" t="s">
        <v>730</v>
      </c>
      <c r="B501" s="281"/>
      <c r="C501" s="570"/>
      <c r="D501" s="570"/>
      <c r="E501" s="570"/>
      <c r="F501" s="452"/>
      <c r="G501" s="571"/>
      <c r="H501" s="570"/>
      <c r="I501" s="570"/>
      <c r="J501" s="570"/>
      <c r="K501" s="452"/>
      <c r="L501" s="571"/>
      <c r="M501" s="570"/>
      <c r="N501" s="570"/>
      <c r="O501" s="570"/>
      <c r="P501" s="452"/>
      <c r="Q501" s="571"/>
      <c r="R501" s="570"/>
      <c r="S501" s="570"/>
      <c r="T501" s="570"/>
      <c r="U501" s="452"/>
      <c r="V501" s="571"/>
      <c r="W501" s="570"/>
      <c r="X501" s="570"/>
      <c r="Y501" s="570"/>
      <c r="Z501" s="452"/>
      <c r="AA501" s="571"/>
      <c r="AB501" s="570"/>
      <c r="AC501" s="570"/>
      <c r="AD501" s="570"/>
      <c r="AE501" s="476"/>
      <c r="AF501" s="573"/>
      <c r="AG501" s="570"/>
      <c r="AH501" s="570"/>
      <c r="AI501" s="570"/>
      <c r="AJ501" s="476"/>
      <c r="AK501" s="573"/>
      <c r="AL501" s="570"/>
      <c r="AM501" s="570"/>
      <c r="AN501" s="570"/>
      <c r="AO501" s="476"/>
      <c r="AP501" s="592"/>
      <c r="AQ501" s="592"/>
      <c r="AR501" s="572"/>
      <c r="AS501" s="572"/>
      <c r="AT501" s="572"/>
      <c r="AU501" s="1464"/>
      <c r="AV501" s="592"/>
      <c r="AW501" s="1771"/>
      <c r="AX501" s="1771"/>
      <c r="AY501" s="1866"/>
      <c r="AZ501" s="477"/>
      <c r="BA501" s="478"/>
      <c r="BB501" s="476"/>
      <c r="BC501" s="2917">
        <v>8.0645550000000004</v>
      </c>
      <c r="BD501" s="2944">
        <v>19.757428000000001</v>
      </c>
      <c r="BE501" s="682">
        <f>+SUM(BA501:BD501)</f>
        <v>27.821983000000003</v>
      </c>
      <c r="BF501" s="2941">
        <v>21.137999999999998</v>
      </c>
      <c r="BG501" s="2941">
        <v>21.651056000000001</v>
      </c>
      <c r="BH501" s="2941">
        <v>21.594919999999998</v>
      </c>
      <c r="BI501" s="2944">
        <v>21.488244000000002</v>
      </c>
      <c r="BJ501" s="682">
        <f>+SUM(BF501:BI501)</f>
        <v>85.872219999999999</v>
      </c>
      <c r="BK501" s="2941">
        <v>22.276706000000001</v>
      </c>
      <c r="BL501" s="2941">
        <v>22.410675000000001</v>
      </c>
      <c r="BM501" s="2941">
        <v>22.5</v>
      </c>
      <c r="BN501" s="2944">
        <v>22.572009999999999</v>
      </c>
      <c r="BO501" s="682">
        <f>+SUM(BK501:BN501)</f>
        <v>89.759390999999994</v>
      </c>
      <c r="BP501" s="2941">
        <v>25.326315000000001</v>
      </c>
      <c r="BQ501" s="2941">
        <v>24.591574999999999</v>
      </c>
      <c r="BR501" s="2941">
        <v>24.656343999999997</v>
      </c>
      <c r="BS501" s="2941">
        <v>25.096784000000003</v>
      </c>
      <c r="BT501" s="2604">
        <f>+SUM(BP501:BS501)</f>
        <v>99.671017999999989</v>
      </c>
      <c r="BU501" s="2941">
        <v>27.1</v>
      </c>
      <c r="BV501" s="2577">
        <f>+BV498*BV497*BV$5/1000000</f>
        <v>25.75266779781963</v>
      </c>
      <c r="BW501" s="2577">
        <f>+BW498*BW497*BW$5/1000000</f>
        <v>25.765168278384696</v>
      </c>
      <c r="BX501" s="2577">
        <f>+BX498*BX497*BX$5/1000000</f>
        <v>26.165037834987672</v>
      </c>
      <c r="BY501" s="2604">
        <f>+SUM(BU501:BX501)</f>
        <v>104.782873911192</v>
      </c>
      <c r="BZ501" s="477">
        <f t="shared" ref="BZ501:CF501" si="1237">+BZ498*BZ497*BZ$5/1000000</f>
        <v>106.89606683345019</v>
      </c>
      <c r="CA501" s="477">
        <f t="shared" si="1237"/>
        <v>108.26082209768001</v>
      </c>
      <c r="CB501" s="477">
        <f t="shared" si="1237"/>
        <v>102.56677612669546</v>
      </c>
      <c r="CC501" s="477">
        <f t="shared" si="1237"/>
        <v>97.438437320360677</v>
      </c>
      <c r="CD501" s="477">
        <f t="shared" si="1237"/>
        <v>99.387206066767888</v>
      </c>
      <c r="CE501" s="477">
        <f t="shared" si="1237"/>
        <v>101.65268977765972</v>
      </c>
      <c r="CF501" s="477">
        <f t="shared" si="1237"/>
        <v>103.40244919186533</v>
      </c>
      <c r="CG501" s="331"/>
      <c r="CH501" s="331"/>
      <c r="CI501" s="331"/>
      <c r="CJ501" s="331"/>
      <c r="CK501" s="331"/>
      <c r="CL501" s="520" t="str">
        <f>A501</f>
        <v>Casino revenue</v>
      </c>
      <c r="CM501" s="476"/>
      <c r="CN501" s="476"/>
      <c r="CO501" s="476"/>
      <c r="CP501" s="476"/>
      <c r="CQ501" s="476"/>
      <c r="CR501" s="476"/>
      <c r="CS501" s="476"/>
      <c r="CT501" s="476"/>
      <c r="CU501" s="476">
        <f>AU501</f>
        <v>0</v>
      </c>
      <c r="CV501" s="476">
        <f>AZ501</f>
        <v>0</v>
      </c>
      <c r="CW501" s="476">
        <f>BE501</f>
        <v>27.821983000000003</v>
      </c>
      <c r="CX501" s="476">
        <f>BJ501</f>
        <v>85.872219999999999</v>
      </c>
      <c r="CY501" s="476">
        <f>BO501</f>
        <v>89.759390999999994</v>
      </c>
      <c r="CZ501" s="476">
        <f>BT501</f>
        <v>99.671017999999989</v>
      </c>
      <c r="DA501" s="476">
        <f t="shared" ref="DA501:DC505" si="1238">BY501</f>
        <v>104.782873911192</v>
      </c>
      <c r="DB501" s="476">
        <f t="shared" si="1238"/>
        <v>106.89606683345019</v>
      </c>
      <c r="DC501" s="682">
        <f t="shared" si="1238"/>
        <v>108.26082209768001</v>
      </c>
      <c r="DD501" s="331"/>
      <c r="DE501" s="331"/>
      <c r="DF501" s="502"/>
      <c r="DG501" s="503"/>
      <c r="DH501" s="2577"/>
      <c r="DI501" s="3213"/>
      <c r="DJ501" s="502"/>
      <c r="DK501" s="503"/>
      <c r="DL501" s="502"/>
      <c r="DM501" s="502"/>
      <c r="DN501" s="502"/>
      <c r="DO501" s="502"/>
      <c r="DP501" s="503"/>
      <c r="DQ501" s="503"/>
      <c r="DR501" s="296"/>
      <c r="DS501" s="296"/>
      <c r="DT501" s="296"/>
    </row>
    <row r="502" spans="1:124" ht="12" customHeight="1" x14ac:dyDescent="0.25">
      <c r="A502" s="465" t="s">
        <v>1491</v>
      </c>
      <c r="B502" s="281"/>
      <c r="C502" s="472"/>
      <c r="D502" s="472"/>
      <c r="E502" s="472"/>
      <c r="F502" s="472"/>
      <c r="G502" s="491"/>
      <c r="H502" s="472"/>
      <c r="I502" s="472"/>
      <c r="J502" s="472"/>
      <c r="K502" s="472"/>
      <c r="L502" s="491"/>
      <c r="M502" s="472"/>
      <c r="N502" s="472"/>
      <c r="O502" s="472"/>
      <c r="P502" s="472"/>
      <c r="Q502" s="491"/>
      <c r="R502" s="472"/>
      <c r="S502" s="472"/>
      <c r="T502" s="472"/>
      <c r="U502" s="472"/>
      <c r="V502" s="491"/>
      <c r="W502" s="472"/>
      <c r="X502" s="472"/>
      <c r="Y502" s="472"/>
      <c r="Z502" s="472"/>
      <c r="AA502" s="491"/>
      <c r="AB502" s="472"/>
      <c r="AC502" s="472"/>
      <c r="AD502" s="472"/>
      <c r="AE502" s="492"/>
      <c r="AF502" s="493"/>
      <c r="AG502" s="472"/>
      <c r="AH502" s="472"/>
      <c r="AI502" s="472"/>
      <c r="AJ502" s="492"/>
      <c r="AK502" s="493"/>
      <c r="AL502" s="472"/>
      <c r="AM502" s="472"/>
      <c r="AN502" s="472"/>
      <c r="AO502" s="492"/>
      <c r="AP502" s="494"/>
      <c r="AQ502" s="494"/>
      <c r="AR502" s="492"/>
      <c r="AS502" s="492"/>
      <c r="AT502" s="492"/>
      <c r="AU502" s="493"/>
      <c r="AV502" s="494"/>
      <c r="AW502" s="492"/>
      <c r="AX502" s="492"/>
      <c r="AY502" s="1311"/>
      <c r="AZ502" s="470"/>
      <c r="BA502" s="471"/>
      <c r="BB502" s="469"/>
      <c r="BC502" s="469"/>
      <c r="BD502" s="1463"/>
      <c r="BE502" s="1868"/>
      <c r="BF502" s="469"/>
      <c r="BG502" s="469"/>
      <c r="BH502" s="469"/>
      <c r="BI502" s="1463"/>
      <c r="BJ502" s="1868"/>
      <c r="BK502" s="469">
        <f t="shared" ref="BK502:BU502" si="1239">+BK501/BF501-1</f>
        <v>5.3870091777840967E-2</v>
      </c>
      <c r="BL502" s="469">
        <f t="shared" si="1239"/>
        <v>3.5084616657958811E-2</v>
      </c>
      <c r="BM502" s="469">
        <f t="shared" si="1239"/>
        <v>4.191170886486284E-2</v>
      </c>
      <c r="BN502" s="1463">
        <f t="shared" si="1239"/>
        <v>5.0435298482276902E-2</v>
      </c>
      <c r="BO502" s="1463">
        <f t="shared" si="1239"/>
        <v>4.5266921013570993E-2</v>
      </c>
      <c r="BP502" s="469">
        <f t="shared" si="1239"/>
        <v>0.13689676561696329</v>
      </c>
      <c r="BQ502" s="469">
        <f t="shared" si="1239"/>
        <v>9.7315230353391735E-2</v>
      </c>
      <c r="BR502" s="469">
        <f t="shared" si="1239"/>
        <v>9.583751111111094E-2</v>
      </c>
      <c r="BS502" s="469">
        <f t="shared" si="1239"/>
        <v>0.11185419464194823</v>
      </c>
      <c r="BT502" s="470">
        <f t="shared" si="1239"/>
        <v>0.11042440116377339</v>
      </c>
      <c r="BU502" s="469">
        <f t="shared" si="1239"/>
        <v>7.0033283562966009E-2</v>
      </c>
      <c r="BV502" s="469">
        <f>+BV501/BQ501-1</f>
        <v>4.7215064420218278E-2</v>
      </c>
      <c r="BW502" s="469">
        <f>+BW501/BR501-1</f>
        <v>4.4971155431020149E-2</v>
      </c>
      <c r="BX502" s="469">
        <f>+BX501/BS501-1</f>
        <v>4.2565367538234034E-2</v>
      </c>
      <c r="BY502" s="470">
        <f>+BY501/BT501-1</f>
        <v>5.1287285048016829E-2</v>
      </c>
      <c r="BZ502" s="1689">
        <f t="shared" ref="BZ502:CF502" si="1240">+BZ501/BY501-1</f>
        <v>2.0167350287120467E-2</v>
      </c>
      <c r="CA502" s="1689">
        <f t="shared" si="1240"/>
        <v>1.2767123287671378E-2</v>
      </c>
      <c r="CB502" s="1689">
        <f t="shared" si="1240"/>
        <v>-5.2595628415300633E-2</v>
      </c>
      <c r="CC502" s="1689">
        <f t="shared" si="1240"/>
        <v>-5.0000000000000044E-2</v>
      </c>
      <c r="CD502" s="1689">
        <f t="shared" si="1240"/>
        <v>2.0000000000000018E-2</v>
      </c>
      <c r="CE502" s="1689">
        <f t="shared" si="1240"/>
        <v>2.2794520547945396E-2</v>
      </c>
      <c r="CF502" s="1689">
        <f t="shared" si="1240"/>
        <v>1.7213114754098369E-2</v>
      </c>
      <c r="CG502" s="331"/>
      <c r="CH502" s="331"/>
      <c r="CI502" s="331"/>
      <c r="CJ502" s="331"/>
      <c r="CK502" s="331"/>
      <c r="CL502" s="1310" t="str">
        <f>A502</f>
        <v>% growth (y-o-y)</v>
      </c>
      <c r="CM502" s="492"/>
      <c r="CN502" s="492"/>
      <c r="CO502" s="492"/>
      <c r="CP502" s="492"/>
      <c r="CQ502" s="492"/>
      <c r="CR502" s="492"/>
      <c r="CS502" s="492"/>
      <c r="CT502" s="492"/>
      <c r="CU502" s="492"/>
      <c r="CV502" s="492">
        <f>AZ502</f>
        <v>0</v>
      </c>
      <c r="CW502" s="492">
        <f>BE502</f>
        <v>0</v>
      </c>
      <c r="CX502" s="492">
        <f>BJ502</f>
        <v>0</v>
      </c>
      <c r="CY502" s="492">
        <f>BO502</f>
        <v>4.5266921013570993E-2</v>
      </c>
      <c r="CZ502" s="492">
        <f>BT502</f>
        <v>0.11042440116377339</v>
      </c>
      <c r="DA502" s="492">
        <f t="shared" si="1238"/>
        <v>5.1287285048016829E-2</v>
      </c>
      <c r="DB502" s="492">
        <f t="shared" si="1238"/>
        <v>2.0167350287120467E-2</v>
      </c>
      <c r="DC502" s="1311">
        <f t="shared" si="1238"/>
        <v>1.2767123287671378E-2</v>
      </c>
      <c r="DD502" s="331"/>
      <c r="DE502" s="331"/>
      <c r="DF502" s="502"/>
      <c r="DG502" s="503"/>
      <c r="DH502" s="469"/>
      <c r="DI502" s="3213"/>
      <c r="DJ502" s="502"/>
      <c r="DK502" s="503"/>
      <c r="DL502" s="502"/>
      <c r="DM502" s="502"/>
      <c r="DN502" s="502"/>
      <c r="DO502" s="502"/>
      <c r="DP502" s="503"/>
      <c r="DQ502" s="503"/>
      <c r="DR502" s="296"/>
      <c r="DS502" s="296"/>
      <c r="DT502" s="296"/>
    </row>
    <row r="503" spans="1:124" ht="12" customHeight="1" x14ac:dyDescent="0.25">
      <c r="A503" s="281" t="s">
        <v>645</v>
      </c>
      <c r="B503" s="281"/>
      <c r="C503" s="452"/>
      <c r="D503" s="452"/>
      <c r="E503" s="452"/>
      <c r="F503" s="452"/>
      <c r="G503" s="475"/>
      <c r="H503" s="452"/>
      <c r="I503" s="452"/>
      <c r="J503" s="452"/>
      <c r="K503" s="452"/>
      <c r="L503" s="475"/>
      <c r="M503" s="452"/>
      <c r="N503" s="452"/>
      <c r="O503" s="452"/>
      <c r="P503" s="452"/>
      <c r="Q503" s="475"/>
      <c r="R503" s="452"/>
      <c r="S503" s="452"/>
      <c r="T503" s="452"/>
      <c r="U503" s="452"/>
      <c r="V503" s="475"/>
      <c r="W503" s="452"/>
      <c r="X503" s="452"/>
      <c r="Y503" s="452"/>
      <c r="Z503" s="452"/>
      <c r="AA503" s="475"/>
      <c r="AB503" s="452"/>
      <c r="AC503" s="452"/>
      <c r="AD503" s="452"/>
      <c r="AE503" s="476"/>
      <c r="AF503" s="477"/>
      <c r="AG503" s="452"/>
      <c r="AH503" s="452"/>
      <c r="AI503" s="452"/>
      <c r="AJ503" s="476"/>
      <c r="AK503" s="477"/>
      <c r="AL503" s="452"/>
      <c r="AM503" s="452"/>
      <c r="AN503" s="452"/>
      <c r="AO503" s="476"/>
      <c r="AP503" s="478"/>
      <c r="AQ503" s="478"/>
      <c r="AR503" s="572"/>
      <c r="AS503" s="572"/>
      <c r="AT503" s="476"/>
      <c r="AU503" s="477"/>
      <c r="AV503" s="478"/>
      <c r="AW503" s="476"/>
      <c r="AX503" s="476"/>
      <c r="AY503" s="682"/>
      <c r="AZ503" s="477"/>
      <c r="BA503" s="478"/>
      <c r="BB503" s="476"/>
      <c r="BC503" s="572">
        <v>0.25</v>
      </c>
      <c r="BD503" s="1313">
        <v>2</v>
      </c>
      <c r="BE503" s="682">
        <f>+SUM(BA503:BD503)</f>
        <v>2.25</v>
      </c>
      <c r="BF503" s="572">
        <v>3</v>
      </c>
      <c r="BG503" s="572">
        <v>3</v>
      </c>
      <c r="BH503" s="572">
        <v>3</v>
      </c>
      <c r="BI503" s="1313">
        <v>3</v>
      </c>
      <c r="BJ503" s="682">
        <f>+SUM(BF503:BI503)</f>
        <v>12</v>
      </c>
      <c r="BK503" s="2577">
        <f>+BF503*(1+BK502)</f>
        <v>3.1616102753335227</v>
      </c>
      <c r="BL503" s="2577">
        <f>+BG503*(1+BL502)</f>
        <v>3.1052538499738764</v>
      </c>
      <c r="BM503" s="2577">
        <f>+BH503*(1+BM502)</f>
        <v>3.1257351265945887</v>
      </c>
      <c r="BN503" s="2911">
        <f>+BI503*(1+BN502)</f>
        <v>3.1513058954468307</v>
      </c>
      <c r="BO503" s="682">
        <f>+SUM(BK503:BN503)</f>
        <v>12.543905147348818</v>
      </c>
      <c r="BP503" s="2577">
        <f>+BK503*(1+BP502)</f>
        <v>3.5944244961680387</v>
      </c>
      <c r="BQ503" s="2577">
        <f>+BL503*(1+BQ502)</f>
        <v>3.4074423436898407</v>
      </c>
      <c r="BR503" s="2577">
        <f>+BM503*(1+BR502)</f>
        <v>3.4252978015199873</v>
      </c>
      <c r="BS503" s="2577">
        <f>+BN503*(1+BS502)</f>
        <v>3.5037926784524593</v>
      </c>
      <c r="BT503" s="2604">
        <f>+SUM(BP503:BS503)</f>
        <v>13.930957319830325</v>
      </c>
      <c r="BU503" s="2577">
        <f>+BP503*(1+BU502)</f>
        <v>3.8461538461538463</v>
      </c>
      <c r="BV503" s="2577">
        <f>BQ503</f>
        <v>3.4074423436898407</v>
      </c>
      <c r="BW503" s="2577">
        <f>BR503</f>
        <v>3.4252978015199873</v>
      </c>
      <c r="BX503" s="2577">
        <f>BS503</f>
        <v>3.5037926784524593</v>
      </c>
      <c r="BY503" s="2604">
        <f>+SUM(BU503:BX503)</f>
        <v>14.182686669816134</v>
      </c>
      <c r="BZ503" s="2966">
        <f t="shared" ref="BZ503:CF503" si="1241">+BY503</f>
        <v>14.182686669816134</v>
      </c>
      <c r="CA503" s="2966">
        <f t="shared" si="1241"/>
        <v>14.182686669816134</v>
      </c>
      <c r="CB503" s="2966">
        <f t="shared" si="1241"/>
        <v>14.182686669816134</v>
      </c>
      <c r="CC503" s="2966">
        <f t="shared" si="1241"/>
        <v>14.182686669816134</v>
      </c>
      <c r="CD503" s="2966">
        <f t="shared" si="1241"/>
        <v>14.182686669816134</v>
      </c>
      <c r="CE503" s="2966">
        <f t="shared" si="1241"/>
        <v>14.182686669816134</v>
      </c>
      <c r="CF503" s="2966">
        <f t="shared" si="1241"/>
        <v>14.182686669816134</v>
      </c>
      <c r="CG503" s="331"/>
      <c r="CH503" s="331"/>
      <c r="CI503" s="331"/>
      <c r="CJ503" s="331"/>
      <c r="CK503" s="331"/>
      <c r="CL503" s="520" t="str">
        <f>A503</f>
        <v>Other revenue</v>
      </c>
      <c r="CM503" s="476"/>
      <c r="CN503" s="476"/>
      <c r="CO503" s="476"/>
      <c r="CP503" s="476"/>
      <c r="CQ503" s="476"/>
      <c r="CR503" s="476"/>
      <c r="CS503" s="476"/>
      <c r="CT503" s="476"/>
      <c r="CU503" s="476">
        <f>AU503</f>
        <v>0</v>
      </c>
      <c r="CV503" s="476">
        <f>AZ503</f>
        <v>0</v>
      </c>
      <c r="CW503" s="476">
        <f>BE503</f>
        <v>2.25</v>
      </c>
      <c r="CX503" s="476">
        <f>BJ503</f>
        <v>12</v>
      </c>
      <c r="CY503" s="476">
        <f>BO503</f>
        <v>12.543905147348818</v>
      </c>
      <c r="CZ503" s="476">
        <f>BT503</f>
        <v>13.930957319830325</v>
      </c>
      <c r="DA503" s="476">
        <f t="shared" si="1238"/>
        <v>14.182686669816134</v>
      </c>
      <c r="DB503" s="476">
        <f t="shared" si="1238"/>
        <v>14.182686669816134</v>
      </c>
      <c r="DC503" s="682">
        <f t="shared" si="1238"/>
        <v>14.182686669816134</v>
      </c>
      <c r="DD503" s="331"/>
      <c r="DE503" s="331"/>
      <c r="DF503" s="502"/>
      <c r="DG503" s="503"/>
      <c r="DH503" s="2577"/>
      <c r="DI503" s="3213"/>
      <c r="DJ503" s="502"/>
      <c r="DK503" s="503"/>
      <c r="DL503" s="502"/>
      <c r="DM503" s="502"/>
      <c r="DN503" s="502"/>
      <c r="DO503" s="502"/>
      <c r="DP503" s="503"/>
      <c r="DQ503" s="503"/>
      <c r="DR503" s="296"/>
      <c r="DS503" s="296"/>
      <c r="DT503" s="296"/>
    </row>
    <row r="504" spans="1:124" ht="12" customHeight="1" x14ac:dyDescent="0.25">
      <c r="A504" s="496" t="s">
        <v>1418</v>
      </c>
      <c r="B504" s="1007"/>
      <c r="C504" s="1008"/>
      <c r="D504" s="1008"/>
      <c r="E504" s="1008"/>
      <c r="F504" s="1008"/>
      <c r="G504" s="1009"/>
      <c r="H504" s="1008"/>
      <c r="I504" s="1008"/>
      <c r="J504" s="1008"/>
      <c r="K504" s="1008"/>
      <c r="L504" s="1009"/>
      <c r="M504" s="1008"/>
      <c r="N504" s="1008"/>
      <c r="O504" s="1008"/>
      <c r="P504" s="1008"/>
      <c r="Q504" s="1009"/>
      <c r="R504" s="1008"/>
      <c r="S504" s="1008"/>
      <c r="T504" s="1008"/>
      <c r="U504" s="1008"/>
      <c r="V504" s="1009"/>
      <c r="W504" s="1008"/>
      <c r="X504" s="1008"/>
      <c r="Y504" s="1008"/>
      <c r="Z504" s="1008"/>
      <c r="AA504" s="1009"/>
      <c r="AB504" s="1014"/>
      <c r="AC504" s="1014"/>
      <c r="AD504" s="1014"/>
      <c r="AE504" s="1012"/>
      <c r="AF504" s="1011"/>
      <c r="AG504" s="1014"/>
      <c r="AH504" s="1014"/>
      <c r="AI504" s="1014"/>
      <c r="AJ504" s="1012"/>
      <c r="AK504" s="1011"/>
      <c r="AL504" s="1014"/>
      <c r="AM504" s="1014"/>
      <c r="AN504" s="1014"/>
      <c r="AO504" s="1012"/>
      <c r="AP504" s="1013"/>
      <c r="AQ504" s="1013"/>
      <c r="AR504" s="1012"/>
      <c r="AS504" s="1012"/>
      <c r="AT504" s="1012"/>
      <c r="AU504" s="1011"/>
      <c r="AV504" s="1013"/>
      <c r="AW504" s="1012"/>
      <c r="AX504" s="1012"/>
      <c r="AY504" s="1877"/>
      <c r="AZ504" s="1011"/>
      <c r="BA504" s="1013"/>
      <c r="BB504" s="1012"/>
      <c r="BC504" s="1012">
        <f>BC503+BC501</f>
        <v>8.3145550000000004</v>
      </c>
      <c r="BD504" s="1877">
        <f>BD503+BD501</f>
        <v>21.757428000000001</v>
      </c>
      <c r="BE504" s="1877">
        <f>+SUM(BA504:BD504)</f>
        <v>30.071983000000003</v>
      </c>
      <c r="BF504" s="1012">
        <f>BF503+BF501</f>
        <v>24.137999999999998</v>
      </c>
      <c r="BG504" s="1012">
        <f>BG503+BG501</f>
        <v>24.651056000000001</v>
      </c>
      <c r="BH504" s="1012">
        <f>BH503+BH501</f>
        <v>24.594919999999998</v>
      </c>
      <c r="BI504" s="1877">
        <f>BI503+BI501</f>
        <v>24.488244000000002</v>
      </c>
      <c r="BJ504" s="1877">
        <f>+SUM(BF504:BI504)</f>
        <v>97.872219999999999</v>
      </c>
      <c r="BK504" s="1012">
        <f>BK503+BK501</f>
        <v>25.438316275333523</v>
      </c>
      <c r="BL504" s="1012">
        <f>BL503+BL501</f>
        <v>25.515928849973879</v>
      </c>
      <c r="BM504" s="1012">
        <f>BM503+BM501</f>
        <v>25.625735126594588</v>
      </c>
      <c r="BN504" s="1877">
        <f>BN503+BN501</f>
        <v>25.723315895446831</v>
      </c>
      <c r="BO504" s="1877">
        <f>+SUM(BK504:BN504)</f>
        <v>102.30329614734882</v>
      </c>
      <c r="BP504" s="1012">
        <f>BP503+BP501</f>
        <v>28.920739496168039</v>
      </c>
      <c r="BQ504" s="1012">
        <f>BQ503+BQ501</f>
        <v>27.99901734368984</v>
      </c>
      <c r="BR504" s="1012">
        <f>BR503+BR501</f>
        <v>28.081641801519986</v>
      </c>
      <c r="BS504" s="1012">
        <f>BS503+BS501</f>
        <v>28.600576678452462</v>
      </c>
      <c r="BT504" s="1011">
        <f>+SUM(BP504:BS504)</f>
        <v>113.60197531983033</v>
      </c>
      <c r="BU504" s="1012">
        <f>BU503+BU501</f>
        <v>30.946153846153848</v>
      </c>
      <c r="BV504" s="1012">
        <f>BV503+BV501</f>
        <v>29.16011014150947</v>
      </c>
      <c r="BW504" s="1012">
        <f>BW503+BW501</f>
        <v>29.190466079904684</v>
      </c>
      <c r="BX504" s="1012">
        <f>BX503+BX501</f>
        <v>29.668830513440131</v>
      </c>
      <c r="BY504" s="1011">
        <f>+SUM(BU504:BX504)</f>
        <v>118.96556058100813</v>
      </c>
      <c r="BZ504" s="1011">
        <f t="shared" ref="BZ504:CF504" si="1242">BZ503+BZ501</f>
        <v>121.07875350326633</v>
      </c>
      <c r="CA504" s="1011">
        <f t="shared" si="1242"/>
        <v>122.44350876749614</v>
      </c>
      <c r="CB504" s="1011">
        <f t="shared" si="1242"/>
        <v>116.74946279651159</v>
      </c>
      <c r="CC504" s="1011">
        <f t="shared" si="1242"/>
        <v>111.62112399017681</v>
      </c>
      <c r="CD504" s="1011">
        <f t="shared" si="1242"/>
        <v>113.56989273658402</v>
      </c>
      <c r="CE504" s="1011">
        <f t="shared" si="1242"/>
        <v>115.83537644747585</v>
      </c>
      <c r="CF504" s="1011">
        <f t="shared" si="1242"/>
        <v>117.58513586168147</v>
      </c>
      <c r="CG504" s="476"/>
      <c r="CH504" s="476"/>
      <c r="CI504" s="476"/>
      <c r="CJ504" s="476"/>
      <c r="CK504" s="331"/>
      <c r="CL504" s="2102" t="str">
        <f>A504</f>
        <v>Net revenue</v>
      </c>
      <c r="CM504" s="1012"/>
      <c r="CN504" s="1012"/>
      <c r="CO504" s="1012"/>
      <c r="CP504" s="1012"/>
      <c r="CQ504" s="1012"/>
      <c r="CR504" s="1012"/>
      <c r="CS504" s="1012"/>
      <c r="CT504" s="1012"/>
      <c r="CU504" s="1012">
        <f>AU504</f>
        <v>0</v>
      </c>
      <c r="CV504" s="1012">
        <f>AZ504</f>
        <v>0</v>
      </c>
      <c r="CW504" s="1012">
        <f>BE504</f>
        <v>30.071983000000003</v>
      </c>
      <c r="CX504" s="1012">
        <f>BJ504</f>
        <v>97.872219999999999</v>
      </c>
      <c r="CY504" s="1012">
        <f>BO504</f>
        <v>102.30329614734882</v>
      </c>
      <c r="CZ504" s="1012">
        <f>BT504</f>
        <v>113.60197531983033</v>
      </c>
      <c r="DA504" s="1012">
        <f t="shared" si="1238"/>
        <v>118.96556058100813</v>
      </c>
      <c r="DB504" s="1012">
        <f t="shared" si="1238"/>
        <v>121.07875350326633</v>
      </c>
      <c r="DC504" s="1877">
        <f t="shared" si="1238"/>
        <v>122.44350876749614</v>
      </c>
      <c r="DD504" s="331"/>
      <c r="DE504" s="331"/>
      <c r="DF504" s="502"/>
      <c r="DG504" s="503"/>
      <c r="DH504" s="598"/>
      <c r="DI504" s="3213"/>
      <c r="DJ504" s="502"/>
      <c r="DK504" s="503"/>
      <c r="DL504" s="502"/>
      <c r="DM504" s="502"/>
      <c r="DN504" s="502"/>
      <c r="DO504" s="502"/>
      <c r="DP504" s="503"/>
      <c r="DQ504" s="503"/>
      <c r="DR504" s="296"/>
      <c r="DS504" s="296"/>
      <c r="DT504" s="296"/>
    </row>
    <row r="505" spans="1:124" ht="12" customHeight="1" x14ac:dyDescent="0.25">
      <c r="A505" s="465" t="s">
        <v>1491</v>
      </c>
      <c r="B505" s="281"/>
      <c r="C505" s="472"/>
      <c r="D505" s="472"/>
      <c r="E505" s="472"/>
      <c r="F505" s="472"/>
      <c r="G505" s="491"/>
      <c r="H505" s="472"/>
      <c r="I505" s="472"/>
      <c r="J505" s="472"/>
      <c r="K505" s="472"/>
      <c r="L505" s="491"/>
      <c r="M505" s="472"/>
      <c r="N505" s="472"/>
      <c r="O505" s="472"/>
      <c r="P505" s="472"/>
      <c r="Q505" s="491"/>
      <c r="R505" s="472"/>
      <c r="S505" s="472"/>
      <c r="T505" s="472"/>
      <c r="U505" s="472"/>
      <c r="V505" s="491"/>
      <c r="W505" s="472"/>
      <c r="X505" s="472"/>
      <c r="Y505" s="472"/>
      <c r="Z505" s="472"/>
      <c r="AA505" s="491"/>
      <c r="AB505" s="472"/>
      <c r="AC505" s="472"/>
      <c r="AD505" s="472"/>
      <c r="AE505" s="492"/>
      <c r="AF505" s="493"/>
      <c r="AG505" s="472"/>
      <c r="AH505" s="472"/>
      <c r="AI505" s="472"/>
      <c r="AJ505" s="492"/>
      <c r="AK505" s="493"/>
      <c r="AL505" s="472"/>
      <c r="AM505" s="472"/>
      <c r="AN505" s="472"/>
      <c r="AO505" s="492"/>
      <c r="AP505" s="494"/>
      <c r="AQ505" s="494"/>
      <c r="AR505" s="492"/>
      <c r="AS505" s="492"/>
      <c r="AT505" s="492"/>
      <c r="AU505" s="493"/>
      <c r="AV505" s="494"/>
      <c r="AW505" s="492"/>
      <c r="AX505" s="492"/>
      <c r="AY505" s="1311"/>
      <c r="AZ505" s="470"/>
      <c r="BA505" s="471"/>
      <c r="BB505" s="469"/>
      <c r="BC505" s="469"/>
      <c r="BD505" s="1463"/>
      <c r="BE505" s="1463"/>
      <c r="BF505" s="469"/>
      <c r="BG505" s="469"/>
      <c r="BH505" s="469"/>
      <c r="BI505" s="1463">
        <f>+BI504/BD504-1</f>
        <v>0.12551189414484099</v>
      </c>
      <c r="BJ505" s="1463">
        <f t="shared" ref="BJ505:BO505" si="1243">+BJ504/BE504-1</f>
        <v>2.2545981420646584</v>
      </c>
      <c r="BK505" s="469">
        <f t="shared" si="1243"/>
        <v>5.3870091777840967E-2</v>
      </c>
      <c r="BL505" s="469">
        <f t="shared" si="1243"/>
        <v>3.5084616657958811E-2</v>
      </c>
      <c r="BM505" s="469">
        <f t="shared" si="1243"/>
        <v>4.1911708864862618E-2</v>
      </c>
      <c r="BN505" s="1463">
        <f t="shared" si="1243"/>
        <v>5.0435298482276902E-2</v>
      </c>
      <c r="BO505" s="1463">
        <f t="shared" si="1243"/>
        <v>4.527409460364562E-2</v>
      </c>
      <c r="BP505" s="469">
        <f t="shared" ref="BP505:BX505" si="1244">+BP504/BK504-1</f>
        <v>0.13689676561696329</v>
      </c>
      <c r="BQ505" s="469">
        <f t="shared" si="1244"/>
        <v>9.7315230353391735E-2</v>
      </c>
      <c r="BR505" s="469">
        <f t="shared" si="1244"/>
        <v>9.5837511111111162E-2</v>
      </c>
      <c r="BS505" s="469">
        <f t="shared" si="1244"/>
        <v>0.11185419464194823</v>
      </c>
      <c r="BT505" s="470">
        <f t="shared" si="1244"/>
        <v>0.11044296320822222</v>
      </c>
      <c r="BU505" s="469">
        <f t="shared" si="1244"/>
        <v>7.0033283562966009E-2</v>
      </c>
      <c r="BV505" s="469">
        <f t="shared" si="1244"/>
        <v>4.1469055273159583E-2</v>
      </c>
      <c r="BW505" s="469">
        <f t="shared" si="1244"/>
        <v>3.9485735421804335E-2</v>
      </c>
      <c r="BX505" s="469">
        <f t="shared" si="1244"/>
        <v>3.735077956636057E-2</v>
      </c>
      <c r="BY505" s="470">
        <f>+BY504/BT504-1</f>
        <v>4.7213838017141851E-2</v>
      </c>
      <c r="BZ505" s="470">
        <f t="shared" ref="BZ505:CF505" si="1245">(BZ504-BY504)/BY504</f>
        <v>1.7763064469563362E-2</v>
      </c>
      <c r="CA505" s="470">
        <f t="shared" si="1245"/>
        <v>1.1271632922724109E-2</v>
      </c>
      <c r="CB505" s="470">
        <f t="shared" si="1245"/>
        <v>-4.6503453129530775E-2</v>
      </c>
      <c r="CC505" s="470">
        <f t="shared" si="1245"/>
        <v>-4.3926016304445155E-2</v>
      </c>
      <c r="CD505" s="470">
        <f t="shared" si="1245"/>
        <v>1.7458780889706073E-2</v>
      </c>
      <c r="CE505" s="470">
        <f t="shared" si="1245"/>
        <v>1.9947925073297647E-2</v>
      </c>
      <c r="CF505" s="470">
        <f t="shared" si="1245"/>
        <v>1.5105570231379359E-2</v>
      </c>
      <c r="CG505" s="476"/>
      <c r="CH505" s="476"/>
      <c r="CI505" s="476"/>
      <c r="CJ505" s="476"/>
      <c r="CK505" s="331"/>
      <c r="CL505" s="1310" t="str">
        <f>A505</f>
        <v>% growth (y-o-y)</v>
      </c>
      <c r="CM505" s="492"/>
      <c r="CN505" s="492"/>
      <c r="CO505" s="492"/>
      <c r="CP505" s="492"/>
      <c r="CQ505" s="492"/>
      <c r="CR505" s="492"/>
      <c r="CS505" s="492"/>
      <c r="CT505" s="492"/>
      <c r="CU505" s="492"/>
      <c r="CV505" s="492">
        <f>AZ505</f>
        <v>0</v>
      </c>
      <c r="CW505" s="492">
        <f>BE505</f>
        <v>0</v>
      </c>
      <c r="CX505" s="492">
        <f>BJ505</f>
        <v>2.2545981420646584</v>
      </c>
      <c r="CY505" s="492">
        <f>BO505</f>
        <v>4.527409460364562E-2</v>
      </c>
      <c r="CZ505" s="492">
        <f>BT505</f>
        <v>0.11044296320822222</v>
      </c>
      <c r="DA505" s="492">
        <f t="shared" si="1238"/>
        <v>4.7213838017141851E-2</v>
      </c>
      <c r="DB505" s="492">
        <f t="shared" si="1238"/>
        <v>1.7763064469563362E-2</v>
      </c>
      <c r="DC505" s="1311">
        <f t="shared" si="1238"/>
        <v>1.1271632922724109E-2</v>
      </c>
      <c r="DD505" s="331"/>
      <c r="DE505" s="331"/>
      <c r="DF505" s="502"/>
      <c r="DG505" s="503"/>
      <c r="DH505" s="469"/>
      <c r="DI505" s="3213"/>
      <c r="DJ505" s="502"/>
      <c r="DK505" s="503"/>
      <c r="DL505" s="502"/>
      <c r="DM505" s="502"/>
      <c r="DN505" s="502"/>
      <c r="DO505" s="502"/>
      <c r="DP505" s="503"/>
      <c r="DQ505" s="503"/>
      <c r="DR505" s="296"/>
      <c r="DS505" s="296"/>
      <c r="DT505" s="296"/>
    </row>
    <row r="506" spans="1:124" ht="5.0999999999999996" customHeight="1" x14ac:dyDescent="0.25">
      <c r="A506" s="281"/>
      <c r="B506" s="281"/>
      <c r="C506" s="305"/>
      <c r="D506" s="305"/>
      <c r="E506" s="305"/>
      <c r="F506" s="305"/>
      <c r="G506" s="440"/>
      <c r="H506" s="305"/>
      <c r="I506" s="305"/>
      <c r="J506" s="305"/>
      <c r="K506" s="305"/>
      <c r="L506" s="440"/>
      <c r="M506" s="305"/>
      <c r="N506" s="305"/>
      <c r="O506" s="305"/>
      <c r="P506" s="305"/>
      <c r="Q506" s="440"/>
      <c r="R506" s="305"/>
      <c r="S506" s="305"/>
      <c r="T506" s="305"/>
      <c r="U506" s="305"/>
      <c r="V506" s="440"/>
      <c r="W506" s="305"/>
      <c r="X506" s="305"/>
      <c r="Y506" s="305"/>
      <c r="Z506" s="305"/>
      <c r="AA506" s="440"/>
      <c r="AB506" s="305"/>
      <c r="AC506" s="305"/>
      <c r="AD506" s="305"/>
      <c r="AE506" s="331"/>
      <c r="AF506" s="441"/>
      <c r="AG506" s="305"/>
      <c r="AH506" s="305"/>
      <c r="AI506" s="305"/>
      <c r="AJ506" s="331"/>
      <c r="AK506" s="441"/>
      <c r="AL506" s="305"/>
      <c r="AM506" s="305"/>
      <c r="AN506" s="305"/>
      <c r="AO506" s="331"/>
      <c r="AP506" s="569"/>
      <c r="AQ506" s="569"/>
      <c r="AR506" s="442"/>
      <c r="AS506" s="442"/>
      <c r="AT506" s="442"/>
      <c r="AU506" s="441"/>
      <c r="AV506" s="569"/>
      <c r="AW506" s="442"/>
      <c r="AX506" s="442"/>
      <c r="AY506" s="1312"/>
      <c r="AZ506" s="441"/>
      <c r="BA506" s="569"/>
      <c r="BB506" s="442"/>
      <c r="BC506" s="442"/>
      <c r="BD506" s="1312"/>
      <c r="BE506" s="1312"/>
      <c r="BF506" s="442"/>
      <c r="BG506" s="442"/>
      <c r="BH506" s="442"/>
      <c r="BI506" s="1312"/>
      <c r="BJ506" s="1312"/>
      <c r="BK506" s="442"/>
      <c r="BL506" s="442"/>
      <c r="BM506" s="442"/>
      <c r="BN506" s="1312"/>
      <c r="BO506" s="441"/>
      <c r="BP506" s="442"/>
      <c r="BQ506" s="442"/>
      <c r="BR506" s="442"/>
      <c r="BS506" s="442"/>
      <c r="BT506" s="3236"/>
      <c r="BU506" s="3298"/>
      <c r="BV506" s="3298"/>
      <c r="BW506" s="3298"/>
      <c r="BX506" s="3298"/>
      <c r="BY506" s="3236"/>
      <c r="BZ506" s="441"/>
      <c r="CA506" s="441"/>
      <c r="CB506" s="441"/>
      <c r="CC506" s="441"/>
      <c r="CD506" s="441"/>
      <c r="CE506" s="441"/>
      <c r="CF506" s="441"/>
      <c r="CG506" s="331"/>
      <c r="CH506" s="331"/>
      <c r="CI506" s="331"/>
      <c r="CJ506" s="331"/>
      <c r="CK506" s="331"/>
      <c r="CL506" s="520"/>
      <c r="CM506" s="442"/>
      <c r="CN506" s="442"/>
      <c r="CO506" s="442"/>
      <c r="CP506" s="442"/>
      <c r="CQ506" s="442"/>
      <c r="CR506" s="442"/>
      <c r="CS506" s="442"/>
      <c r="CT506" s="442"/>
      <c r="CU506" s="442"/>
      <c r="CV506" s="442"/>
      <c r="CW506" s="442"/>
      <c r="CX506" s="442"/>
      <c r="CY506" s="442"/>
      <c r="CZ506" s="442"/>
      <c r="DA506" s="442"/>
      <c r="DB506" s="442"/>
      <c r="DC506" s="1312"/>
      <c r="DD506" s="331"/>
      <c r="DE506" s="331"/>
      <c r="DF506" s="502"/>
      <c r="DG506" s="503"/>
      <c r="DH506" s="3298"/>
      <c r="DI506" s="3213"/>
      <c r="DJ506" s="502"/>
      <c r="DK506" s="503"/>
      <c r="DL506" s="502"/>
      <c r="DM506" s="502"/>
      <c r="DN506" s="502"/>
      <c r="DO506" s="502"/>
      <c r="DP506" s="503"/>
      <c r="DQ506" s="503"/>
      <c r="DR506" s="296"/>
      <c r="DS506" s="296"/>
      <c r="DT506" s="296"/>
    </row>
    <row r="507" spans="1:124" ht="12" customHeight="1" x14ac:dyDescent="0.25">
      <c r="A507" s="281" t="s">
        <v>601</v>
      </c>
      <c r="B507" s="281"/>
      <c r="C507" s="452"/>
      <c r="D507" s="452"/>
      <c r="E507" s="452"/>
      <c r="F507" s="452"/>
      <c r="G507" s="475"/>
      <c r="H507" s="452"/>
      <c r="I507" s="452"/>
      <c r="J507" s="452"/>
      <c r="K507" s="452"/>
      <c r="L507" s="475"/>
      <c r="M507" s="452"/>
      <c r="N507" s="452"/>
      <c r="O507" s="452"/>
      <c r="P507" s="452"/>
      <c r="Q507" s="475"/>
      <c r="R507" s="452"/>
      <c r="S507" s="452"/>
      <c r="T507" s="452"/>
      <c r="U507" s="452"/>
      <c r="V507" s="475"/>
      <c r="W507" s="452"/>
      <c r="X507" s="452"/>
      <c r="Y507" s="452"/>
      <c r="Z507" s="452"/>
      <c r="AA507" s="475"/>
      <c r="AB507" s="452"/>
      <c r="AC507" s="452"/>
      <c r="AD507" s="452"/>
      <c r="AE507" s="476"/>
      <c r="AF507" s="477"/>
      <c r="AG507" s="452"/>
      <c r="AH507" s="452"/>
      <c r="AI507" s="452"/>
      <c r="AJ507" s="476"/>
      <c r="AK507" s="477"/>
      <c r="AL507" s="452"/>
      <c r="AM507" s="452"/>
      <c r="AN507" s="452"/>
      <c r="AO507" s="476"/>
      <c r="AP507" s="478"/>
      <c r="AQ507" s="478"/>
      <c r="AR507" s="572"/>
      <c r="AS507" s="476"/>
      <c r="AT507" s="476"/>
      <c r="AU507" s="477"/>
      <c r="AV507" s="478"/>
      <c r="AW507" s="476"/>
      <c r="AX507" s="476"/>
      <c r="AY507" s="682"/>
      <c r="AZ507" s="477"/>
      <c r="BA507" s="478"/>
      <c r="BB507" s="476"/>
      <c r="BC507" s="476">
        <f>+BC504*BC508</f>
        <v>4.9887329999999999</v>
      </c>
      <c r="BD507" s="682">
        <f>+BD504*BD508</f>
        <v>10.878714</v>
      </c>
      <c r="BE507" s="682">
        <f>+SUM(BA507:BD507)</f>
        <v>15.867447</v>
      </c>
      <c r="BF507" s="476">
        <f>+BF504*BF508</f>
        <v>10.379339999999999</v>
      </c>
      <c r="BG507" s="476">
        <f>+BG504*BG508</f>
        <v>11.0929752</v>
      </c>
      <c r="BH507" s="476">
        <f>+BH504*BH508</f>
        <v>11.067713999999999</v>
      </c>
      <c r="BI507" s="682">
        <f>+BI504*BI508</f>
        <v>11.75435712</v>
      </c>
      <c r="BJ507" s="476">
        <f>+SUM(BF507:BI507)</f>
        <v>44.294386319999994</v>
      </c>
      <c r="BK507" s="478">
        <f>+BK504*BK508</f>
        <v>10.684092835640079</v>
      </c>
      <c r="BL507" s="476">
        <f>+BL504*BL508</f>
        <v>10.971849405488767</v>
      </c>
      <c r="BM507" s="476">
        <f>+BM504*BM508</f>
        <v>11.019066104435673</v>
      </c>
      <c r="BN507" s="682">
        <f>+BN504*BN508</f>
        <v>12.08995847086001</v>
      </c>
      <c r="BO507" s="477">
        <f>+SUM(BK507:BN507)</f>
        <v>44.764966816424533</v>
      </c>
      <c r="BP507" s="476">
        <f>+BP504*BP508</f>
        <v>11.712899495948054</v>
      </c>
      <c r="BQ507" s="476">
        <f>+BQ504*BQ508</f>
        <v>11.899582371068181</v>
      </c>
      <c r="BR507" s="476">
        <f>+BR504*BR508</f>
        <v>11.794289556638393</v>
      </c>
      <c r="BS507" s="476">
        <f>+BS504*BS508</f>
        <v>12.584253738519083</v>
      </c>
      <c r="BT507" s="2604">
        <f>+SUM(BP507:BS507)</f>
        <v>47.991025162173713</v>
      </c>
      <c r="BU507" s="2577">
        <f>+BU504*BU508</f>
        <v>12.378461538461538</v>
      </c>
      <c r="BV507" s="2577">
        <f>+BV504*BV508</f>
        <v>12.10144570872643</v>
      </c>
      <c r="BW507" s="2577">
        <f>+BW504*BW508</f>
        <v>11.822138762361398</v>
      </c>
      <c r="BX507" s="2577">
        <f>+BX504*BX508</f>
        <v>12.609252968212056</v>
      </c>
      <c r="BY507" s="2604">
        <f>+SUM(BU507:BX507)</f>
        <v>48.911298977761419</v>
      </c>
      <c r="BZ507" s="477">
        <f t="shared" ref="BZ507:CF507" si="1246">BY507*(1+BZ509)</f>
        <v>48.422185987983802</v>
      </c>
      <c r="CA507" s="477">
        <f t="shared" si="1246"/>
        <v>48.90640784786364</v>
      </c>
      <c r="CB507" s="477">
        <f t="shared" si="1246"/>
        <v>47.439215612427731</v>
      </c>
      <c r="CC507" s="477">
        <f t="shared" si="1246"/>
        <v>46.016039144054901</v>
      </c>
      <c r="CD507" s="477">
        <f t="shared" si="1246"/>
        <v>46.476199535495446</v>
      </c>
      <c r="CE507" s="477">
        <f t="shared" si="1246"/>
        <v>46.940961530850402</v>
      </c>
      <c r="CF507" s="477">
        <f t="shared" si="1246"/>
        <v>47.410371146158909</v>
      </c>
      <c r="CG507" s="331"/>
      <c r="CH507" s="331"/>
      <c r="CI507" s="331"/>
      <c r="CJ507" s="331"/>
      <c r="CK507" s="331"/>
      <c r="CL507" s="520" t="str">
        <f t="shared" ref="CL507:CL512" si="1247">A507</f>
        <v>Operating expenses</v>
      </c>
      <c r="CM507" s="476"/>
      <c r="CN507" s="476"/>
      <c r="CO507" s="476"/>
      <c r="CP507" s="476"/>
      <c r="CQ507" s="476"/>
      <c r="CR507" s="476"/>
      <c r="CS507" s="476"/>
      <c r="CT507" s="476"/>
      <c r="CU507" s="476">
        <f t="shared" ref="CU507:CU512" si="1248">AU507</f>
        <v>0</v>
      </c>
      <c r="CV507" s="476">
        <f t="shared" ref="CV507:CV512" si="1249">AZ507</f>
        <v>0</v>
      </c>
      <c r="CW507" s="476">
        <f t="shared" ref="CW507:CW512" si="1250">BE507</f>
        <v>15.867447</v>
      </c>
      <c r="CX507" s="476">
        <f t="shared" ref="CX507:CX512" si="1251">BJ507</f>
        <v>44.294386319999994</v>
      </c>
      <c r="CY507" s="476">
        <f t="shared" ref="CY507:CY512" si="1252">BO507</f>
        <v>44.764966816424533</v>
      </c>
      <c r="CZ507" s="476">
        <f t="shared" ref="CZ507:CZ512" si="1253">BT507</f>
        <v>47.991025162173713</v>
      </c>
      <c r="DA507" s="476">
        <f t="shared" ref="DA507:DC512" si="1254">BY507</f>
        <v>48.911298977761419</v>
      </c>
      <c r="DB507" s="476">
        <f t="shared" si="1254"/>
        <v>48.422185987983802</v>
      </c>
      <c r="DC507" s="682">
        <f t="shared" si="1254"/>
        <v>48.90640784786364</v>
      </c>
      <c r="DD507" s="331"/>
      <c r="DE507" s="331"/>
      <c r="DF507" s="502"/>
      <c r="DG507" s="503"/>
      <c r="DH507" s="2577"/>
      <c r="DI507" s="3213"/>
      <c r="DJ507" s="502"/>
      <c r="DK507" s="503"/>
      <c r="DL507" s="502"/>
      <c r="DM507" s="502"/>
      <c r="DN507" s="502"/>
      <c r="DO507" s="502"/>
      <c r="DP507" s="503"/>
      <c r="DQ507" s="503"/>
      <c r="DR507" s="296"/>
      <c r="DS507" s="296"/>
      <c r="DT507" s="296"/>
    </row>
    <row r="508" spans="1:124" ht="12" customHeight="1" x14ac:dyDescent="0.25">
      <c r="A508" s="465" t="s">
        <v>646</v>
      </c>
      <c r="B508" s="281"/>
      <c r="C508" s="472"/>
      <c r="D508" s="472"/>
      <c r="E508" s="472"/>
      <c r="F508" s="472"/>
      <c r="G508" s="491"/>
      <c r="H508" s="472"/>
      <c r="I508" s="472"/>
      <c r="J508" s="472"/>
      <c r="K508" s="472"/>
      <c r="L508" s="491"/>
      <c r="M508" s="472"/>
      <c r="N508" s="472"/>
      <c r="O508" s="472"/>
      <c r="P508" s="472"/>
      <c r="Q508" s="491"/>
      <c r="R508" s="472"/>
      <c r="S508" s="472"/>
      <c r="T508" s="472"/>
      <c r="U508" s="472"/>
      <c r="V508" s="491"/>
      <c r="W508" s="472"/>
      <c r="X508" s="472"/>
      <c r="Y508" s="472"/>
      <c r="Z508" s="472"/>
      <c r="AA508" s="491"/>
      <c r="AB508" s="472"/>
      <c r="AC508" s="472"/>
      <c r="AD508" s="472"/>
      <c r="AE508" s="492"/>
      <c r="AF508" s="493"/>
      <c r="AG508" s="472"/>
      <c r="AH508" s="472"/>
      <c r="AI508" s="472"/>
      <c r="AJ508" s="492"/>
      <c r="AK508" s="493"/>
      <c r="AL508" s="472"/>
      <c r="AM508" s="472"/>
      <c r="AN508" s="472"/>
      <c r="AO508" s="492"/>
      <c r="AP508" s="494"/>
      <c r="AQ508" s="494"/>
      <c r="AR508" s="1735"/>
      <c r="AS508" s="936"/>
      <c r="AT508" s="936"/>
      <c r="AU508" s="470"/>
      <c r="AV508" s="1667"/>
      <c r="AW508" s="540"/>
      <c r="AX508" s="540"/>
      <c r="AY508" s="540"/>
      <c r="AZ508" s="470"/>
      <c r="BA508" s="471"/>
      <c r="BB508" s="469"/>
      <c r="BC508" s="540">
        <v>0.6</v>
      </c>
      <c r="BD508" s="1668">
        <v>0.5</v>
      </c>
      <c r="BE508" s="1463">
        <f>+BE507/BE504</f>
        <v>0.52764884178073657</v>
      </c>
      <c r="BF508" s="540">
        <v>0.43</v>
      </c>
      <c r="BG508" s="540">
        <v>0.45</v>
      </c>
      <c r="BH508" s="540">
        <v>0.45</v>
      </c>
      <c r="BI508" s="1668">
        <v>0.48</v>
      </c>
      <c r="BJ508" s="469">
        <f>+BJ507/BJ504</f>
        <v>0.45257363447973281</v>
      </c>
      <c r="BK508" s="1667">
        <v>0.42</v>
      </c>
      <c r="BL508" s="540">
        <v>0.43</v>
      </c>
      <c r="BM508" s="540">
        <v>0.43</v>
      </c>
      <c r="BN508" s="540">
        <v>0.47</v>
      </c>
      <c r="BO508" s="470">
        <f>+BO507/BO504</f>
        <v>0.43757110965368062</v>
      </c>
      <c r="BP508" s="540">
        <f>+BK508-0.015</f>
        <v>0.40499999999999997</v>
      </c>
      <c r="BQ508" s="540">
        <f>+BL508-0.005</f>
        <v>0.42499999999999999</v>
      </c>
      <c r="BR508" s="540">
        <f>+BM508-0.01</f>
        <v>0.42</v>
      </c>
      <c r="BS508" s="540">
        <f>+BN508-0.03</f>
        <v>0.43999999999999995</v>
      </c>
      <c r="BT508" s="470">
        <f>+BT507/BT504</f>
        <v>0.42244886171267493</v>
      </c>
      <c r="BU508" s="540">
        <f>+BP508-0.005</f>
        <v>0.39999999999999997</v>
      </c>
      <c r="BV508" s="540">
        <v>0.41499999999999998</v>
      </c>
      <c r="BW508" s="540">
        <v>0.40500000000000003</v>
      </c>
      <c r="BX508" s="540">
        <v>0.42499999999999999</v>
      </c>
      <c r="BY508" s="470">
        <f>+BY507/BY504</f>
        <v>0.41113830539600471</v>
      </c>
      <c r="BZ508" s="470">
        <f t="shared" ref="BZ508:CF508" si="1255">BZ507/BZ504</f>
        <v>0.39992306318777493</v>
      </c>
      <c r="CA508" s="470">
        <f t="shared" si="1255"/>
        <v>0.39942017621146725</v>
      </c>
      <c r="CB508" s="470">
        <f t="shared" si="1255"/>
        <v>0.40633348090956001</v>
      </c>
      <c r="CC508" s="470">
        <f t="shared" si="1255"/>
        <v>0.41225206752177601</v>
      </c>
      <c r="CD508" s="470">
        <f t="shared" si="1255"/>
        <v>0.40922993247244804</v>
      </c>
      <c r="CE508" s="470">
        <f t="shared" si="1255"/>
        <v>0.40523856329966013</v>
      </c>
      <c r="CF508" s="470">
        <f t="shared" si="1255"/>
        <v>0.40320037731579433</v>
      </c>
      <c r="CG508" s="331"/>
      <c r="CH508" s="331"/>
      <c r="CI508" s="331"/>
      <c r="CJ508" s="331"/>
      <c r="CK508" s="331"/>
      <c r="CL508" s="1310" t="str">
        <f t="shared" si="1247"/>
        <v>% of Net revenue</v>
      </c>
      <c r="CM508" s="492"/>
      <c r="CN508" s="492"/>
      <c r="CO508" s="492"/>
      <c r="CP508" s="492"/>
      <c r="CQ508" s="492"/>
      <c r="CR508" s="492"/>
      <c r="CS508" s="492"/>
      <c r="CT508" s="492"/>
      <c r="CU508" s="492">
        <f t="shared" si="1248"/>
        <v>0</v>
      </c>
      <c r="CV508" s="492">
        <f t="shared" si="1249"/>
        <v>0</v>
      </c>
      <c r="CW508" s="492">
        <f t="shared" si="1250"/>
        <v>0.52764884178073657</v>
      </c>
      <c r="CX508" s="492">
        <f t="shared" si="1251"/>
        <v>0.45257363447973281</v>
      </c>
      <c r="CY508" s="492">
        <f t="shared" si="1252"/>
        <v>0.43757110965368062</v>
      </c>
      <c r="CZ508" s="492">
        <f t="shared" si="1253"/>
        <v>0.42244886171267493</v>
      </c>
      <c r="DA508" s="492">
        <f t="shared" si="1254"/>
        <v>0.41113830539600471</v>
      </c>
      <c r="DB508" s="492">
        <f t="shared" si="1254"/>
        <v>0.39992306318777493</v>
      </c>
      <c r="DC508" s="1311">
        <f t="shared" si="1254"/>
        <v>0.39942017621146725</v>
      </c>
      <c r="DD508" s="331"/>
      <c r="DE508" s="331"/>
      <c r="DF508" s="502"/>
      <c r="DG508" s="503"/>
      <c r="DH508" s="469"/>
      <c r="DI508" s="3213"/>
      <c r="DJ508" s="502"/>
      <c r="DK508" s="503"/>
      <c r="DL508" s="502"/>
      <c r="DM508" s="502"/>
      <c r="DN508" s="502"/>
      <c r="DO508" s="502"/>
      <c r="DP508" s="503"/>
      <c r="DQ508" s="503"/>
      <c r="DR508" s="296"/>
      <c r="DS508" s="296"/>
      <c r="DT508" s="296"/>
    </row>
    <row r="509" spans="1:124" ht="12" customHeight="1" x14ac:dyDescent="0.25">
      <c r="A509" s="465" t="s">
        <v>1491</v>
      </c>
      <c r="B509" s="281"/>
      <c r="C509" s="472"/>
      <c r="D509" s="472"/>
      <c r="E509" s="472"/>
      <c r="F509" s="472"/>
      <c r="G509" s="491"/>
      <c r="H509" s="472"/>
      <c r="I509" s="472"/>
      <c r="J509" s="472"/>
      <c r="K509" s="472"/>
      <c r="L509" s="491"/>
      <c r="M509" s="472"/>
      <c r="N509" s="472"/>
      <c r="O509" s="472"/>
      <c r="P509" s="472"/>
      <c r="Q509" s="491"/>
      <c r="R509" s="472"/>
      <c r="S509" s="472"/>
      <c r="T509" s="472"/>
      <c r="U509" s="472"/>
      <c r="V509" s="491"/>
      <c r="W509" s="472"/>
      <c r="X509" s="472"/>
      <c r="Y509" s="472"/>
      <c r="Z509" s="472"/>
      <c r="AA509" s="491"/>
      <c r="AB509" s="472"/>
      <c r="AC509" s="472"/>
      <c r="AD509" s="472"/>
      <c r="AE509" s="492"/>
      <c r="AF509" s="493"/>
      <c r="AG509" s="472"/>
      <c r="AH509" s="472"/>
      <c r="AI509" s="472"/>
      <c r="AJ509" s="492"/>
      <c r="AK509" s="493"/>
      <c r="AL509" s="472"/>
      <c r="AM509" s="472"/>
      <c r="AN509" s="472"/>
      <c r="AO509" s="492"/>
      <c r="AP509" s="494"/>
      <c r="AQ509" s="494"/>
      <c r="AR509" s="492"/>
      <c r="AS509" s="492"/>
      <c r="AT509" s="492"/>
      <c r="AU509" s="470"/>
      <c r="AV509" s="471"/>
      <c r="AW509" s="469"/>
      <c r="AX509" s="469"/>
      <c r="AY509" s="1463"/>
      <c r="AZ509" s="470"/>
      <c r="BA509" s="1667"/>
      <c r="BB509" s="540"/>
      <c r="BC509" s="540"/>
      <c r="BD509" s="1668"/>
      <c r="BE509" s="493"/>
      <c r="BF509" s="540"/>
      <c r="BG509" s="540"/>
      <c r="BH509" s="469">
        <f t="shared" ref="BH509:BN509" si="1256">+BH507/BC507-1</f>
        <v>1.218542062684052</v>
      </c>
      <c r="BI509" s="1463">
        <f t="shared" si="1256"/>
        <v>8.0491418379047275E-2</v>
      </c>
      <c r="BJ509" s="2653">
        <f t="shared" si="1256"/>
        <v>1.7915257142500614</v>
      </c>
      <c r="BK509" s="471">
        <f t="shared" si="1256"/>
        <v>2.9361484992309839E-2</v>
      </c>
      <c r="BL509" s="469">
        <f t="shared" si="1256"/>
        <v>-1.0919144082394916E-2</v>
      </c>
      <c r="BM509" s="469">
        <f t="shared" si="1256"/>
        <v>-4.3954781957977751E-3</v>
      </c>
      <c r="BN509" s="1463">
        <f t="shared" si="1256"/>
        <v>2.8551229763896346E-2</v>
      </c>
      <c r="BO509" s="2693">
        <f t="shared" ref="BO509:BT509" si="1257">+BO507/BJ507-1</f>
        <v>1.0623930830080397E-2</v>
      </c>
      <c r="BP509" s="469">
        <f t="shared" si="1257"/>
        <v>9.6293309702071728E-2</v>
      </c>
      <c r="BQ509" s="469">
        <f t="shared" si="1257"/>
        <v>8.4555750930677798E-2</v>
      </c>
      <c r="BR509" s="469">
        <f t="shared" si="1257"/>
        <v>7.0352917829457295E-2</v>
      </c>
      <c r="BS509" s="469">
        <f t="shared" si="1257"/>
        <v>4.0884777962674868E-2</v>
      </c>
      <c r="BT509" s="2693">
        <f t="shared" si="1257"/>
        <v>7.2066586332540705E-2</v>
      </c>
      <c r="BU509" s="469">
        <f>+BU507/BP507-1</f>
        <v>5.6822996111571378E-2</v>
      </c>
      <c r="BV509" s="469">
        <f>+BV507/BQ507-1</f>
        <v>1.6963901031438411E-2</v>
      </c>
      <c r="BW509" s="469">
        <f>+BW507/BR507-1</f>
        <v>2.3612448710257361E-3</v>
      </c>
      <c r="BX509" s="469">
        <f>+BX507/BS507-1</f>
        <v>1.9865484447800785E-3</v>
      </c>
      <c r="BY509" s="2693">
        <f>+BY507/BT507-1</f>
        <v>1.9175956597673682E-2</v>
      </c>
      <c r="BZ509" s="539">
        <v>-0.01</v>
      </c>
      <c r="CA509" s="578">
        <v>0.01</v>
      </c>
      <c r="CB509" s="578">
        <v>-0.03</v>
      </c>
      <c r="CC509" s="578">
        <v>-0.03</v>
      </c>
      <c r="CD509" s="578">
        <v>0.01</v>
      </c>
      <c r="CE509" s="578">
        <v>0.01</v>
      </c>
      <c r="CF509" s="578">
        <v>0.01</v>
      </c>
      <c r="CG509" s="331"/>
      <c r="CH509" s="331"/>
      <c r="CI509" s="331"/>
      <c r="CJ509" s="331"/>
      <c r="CK509" s="331"/>
      <c r="CL509" s="1310" t="str">
        <f t="shared" si="1247"/>
        <v>% growth (y-o-y)</v>
      </c>
      <c r="CM509" s="492"/>
      <c r="CN509" s="492"/>
      <c r="CO509" s="492"/>
      <c r="CP509" s="492"/>
      <c r="CQ509" s="492"/>
      <c r="CR509" s="492"/>
      <c r="CS509" s="492"/>
      <c r="CT509" s="492"/>
      <c r="CU509" s="492">
        <f t="shared" si="1248"/>
        <v>0</v>
      </c>
      <c r="CV509" s="492">
        <f t="shared" si="1249"/>
        <v>0</v>
      </c>
      <c r="CW509" s="492">
        <f t="shared" si="1250"/>
        <v>0</v>
      </c>
      <c r="CX509" s="492">
        <f t="shared" si="1251"/>
        <v>1.7915257142500614</v>
      </c>
      <c r="CY509" s="492">
        <f t="shared" si="1252"/>
        <v>1.0623930830080397E-2</v>
      </c>
      <c r="CZ509" s="492">
        <f t="shared" si="1253"/>
        <v>7.2066586332540705E-2</v>
      </c>
      <c r="DA509" s="492">
        <f t="shared" si="1254"/>
        <v>1.9175956597673682E-2</v>
      </c>
      <c r="DB509" s="492">
        <f t="shared" si="1254"/>
        <v>-0.01</v>
      </c>
      <c r="DC509" s="1311">
        <f t="shared" si="1254"/>
        <v>0.01</v>
      </c>
      <c r="DD509" s="331"/>
      <c r="DE509" s="331"/>
      <c r="DF509" s="502"/>
      <c r="DG509" s="503"/>
      <c r="DH509" s="2653"/>
      <c r="DI509" s="3213"/>
      <c r="DJ509" s="502"/>
      <c r="DK509" s="503"/>
      <c r="DL509" s="502"/>
      <c r="DM509" s="502"/>
      <c r="DN509" s="502"/>
      <c r="DO509" s="502"/>
      <c r="DP509" s="503"/>
      <c r="DQ509" s="503"/>
      <c r="DR509" s="296"/>
      <c r="DS509" s="296"/>
      <c r="DT509" s="296"/>
    </row>
    <row r="510" spans="1:124" ht="12" customHeight="1" x14ac:dyDescent="0.25">
      <c r="A510" s="281" t="s">
        <v>2161</v>
      </c>
      <c r="B510" s="281"/>
      <c r="C510" s="452"/>
      <c r="D510" s="452"/>
      <c r="E510" s="452"/>
      <c r="F510" s="452"/>
      <c r="G510" s="475"/>
      <c r="H510" s="452"/>
      <c r="I510" s="452"/>
      <c r="J510" s="452"/>
      <c r="K510" s="452"/>
      <c r="L510" s="475"/>
      <c r="M510" s="452"/>
      <c r="N510" s="452"/>
      <c r="O510" s="452"/>
      <c r="P510" s="452"/>
      <c r="Q510" s="475"/>
      <c r="R510" s="452"/>
      <c r="S510" s="452"/>
      <c r="T510" s="452"/>
      <c r="U510" s="452"/>
      <c r="V510" s="475"/>
      <c r="W510" s="452"/>
      <c r="X510" s="452"/>
      <c r="Y510" s="452"/>
      <c r="Z510" s="452"/>
      <c r="AA510" s="475"/>
      <c r="AB510" s="452"/>
      <c r="AC510" s="452"/>
      <c r="AD510" s="452"/>
      <c r="AE510" s="476"/>
      <c r="AF510" s="477"/>
      <c r="AG510" s="452"/>
      <c r="AH510" s="452"/>
      <c r="AI510" s="452"/>
      <c r="AJ510" s="476"/>
      <c r="AK510" s="477"/>
      <c r="AL510" s="452"/>
      <c r="AM510" s="452"/>
      <c r="AN510" s="452"/>
      <c r="AO510" s="476"/>
      <c r="AP510" s="478"/>
      <c r="AQ510" s="478"/>
      <c r="AR510" s="476"/>
      <c r="AS510" s="476"/>
      <c r="AT510" s="476"/>
      <c r="AU510" s="477"/>
      <c r="AV510" s="478"/>
      <c r="AW510" s="476"/>
      <c r="AX510" s="476"/>
      <c r="AY510" s="682"/>
      <c r="AZ510" s="477"/>
      <c r="BA510" s="478"/>
      <c r="BB510" s="476"/>
      <c r="BC510" s="476">
        <f>BC511*BC501</f>
        <v>2.6613031500000002</v>
      </c>
      <c r="BD510" s="682">
        <f>BD511*BD501</f>
        <v>6.519951240000001</v>
      </c>
      <c r="BE510" s="477">
        <f>+SUM(BA510:BD510)</f>
        <v>9.1812543900000012</v>
      </c>
      <c r="BF510" s="476">
        <f>BF511*BF501</f>
        <v>6.9755399999999996</v>
      </c>
      <c r="BG510" s="476">
        <f>BG511*BG501</f>
        <v>7.1448484800000003</v>
      </c>
      <c r="BH510" s="476">
        <f>BH511*BH501</f>
        <v>7.1263236000000001</v>
      </c>
      <c r="BI510" s="682">
        <f>BI511*BI501</f>
        <v>7.0911205200000005</v>
      </c>
      <c r="BJ510" s="476">
        <f>+SUM(BF510:BI510)</f>
        <v>28.337832599999999</v>
      </c>
      <c r="BK510" s="478">
        <f>BK511*BK501</f>
        <v>7.3513129800000003</v>
      </c>
      <c r="BL510" s="476">
        <f>BL511*BL501</f>
        <v>7.3955227500000005</v>
      </c>
      <c r="BM510" s="476">
        <f>BM511*BM501</f>
        <v>7.4250000000000007</v>
      </c>
      <c r="BN510" s="682">
        <f>BN511*BN501</f>
        <v>7.4487632999999995</v>
      </c>
      <c r="BO510" s="477">
        <f>+SUM(BK510:BN510)</f>
        <v>29.620599030000001</v>
      </c>
      <c r="BP510" s="476">
        <f>BP511*BP501</f>
        <v>8.3576839500000002</v>
      </c>
      <c r="BQ510" s="476">
        <f>BQ511*BQ501</f>
        <v>8.1152197499999996</v>
      </c>
      <c r="BR510" s="476">
        <f>BR511*BR501</f>
        <v>8.1365935199999999</v>
      </c>
      <c r="BS510" s="476">
        <f>BS511*BS501</f>
        <v>8.2819387200000012</v>
      </c>
      <c r="BT510" s="2604">
        <f>+SUM(BP510:BS510)</f>
        <v>32.891435940000001</v>
      </c>
      <c r="BU510" s="2577">
        <f>BU511*BU501</f>
        <v>8.9430000000000014</v>
      </c>
      <c r="BV510" s="2577">
        <f>BV511*BV501</f>
        <v>8.4983803732804777</v>
      </c>
      <c r="BW510" s="2577">
        <f>BW511*BW501</f>
        <v>8.5025055318669498</v>
      </c>
      <c r="BX510" s="2577">
        <f>BX511*BX501</f>
        <v>8.6344624855459315</v>
      </c>
      <c r="BY510" s="2604">
        <f>+SUM(BU510:BX510)</f>
        <v>34.578348390693364</v>
      </c>
      <c r="BZ510" s="477">
        <f t="shared" ref="BZ510:CF510" si="1258">BZ511*BZ501</f>
        <v>35.275702055038565</v>
      </c>
      <c r="CA510" s="477">
        <f t="shared" si="1258"/>
        <v>35.726071292234401</v>
      </c>
      <c r="CB510" s="477">
        <f t="shared" si="1258"/>
        <v>33.847036121809502</v>
      </c>
      <c r="CC510" s="477">
        <f t="shared" si="1258"/>
        <v>32.154684315719024</v>
      </c>
      <c r="CD510" s="477">
        <f t="shared" si="1258"/>
        <v>32.797778002033404</v>
      </c>
      <c r="CE510" s="477">
        <f t="shared" si="1258"/>
        <v>33.545387626627708</v>
      </c>
      <c r="CF510" s="477">
        <f t="shared" si="1258"/>
        <v>34.12280823331556</v>
      </c>
      <c r="CG510" s="331"/>
      <c r="CH510" s="331"/>
      <c r="CI510" s="331"/>
      <c r="CJ510" s="331"/>
      <c r="CK510" s="331"/>
      <c r="CL510" s="520" t="str">
        <f t="shared" si="1247"/>
        <v>Tax expense</v>
      </c>
      <c r="CM510" s="476"/>
      <c r="CN510" s="476"/>
      <c r="CO510" s="476"/>
      <c r="CP510" s="476"/>
      <c r="CQ510" s="476"/>
      <c r="CR510" s="476"/>
      <c r="CS510" s="476"/>
      <c r="CT510" s="476"/>
      <c r="CU510" s="476">
        <f t="shared" si="1248"/>
        <v>0</v>
      </c>
      <c r="CV510" s="476">
        <f t="shared" si="1249"/>
        <v>0</v>
      </c>
      <c r="CW510" s="476">
        <f t="shared" si="1250"/>
        <v>9.1812543900000012</v>
      </c>
      <c r="CX510" s="476">
        <f t="shared" si="1251"/>
        <v>28.337832599999999</v>
      </c>
      <c r="CY510" s="476">
        <f t="shared" si="1252"/>
        <v>29.620599030000001</v>
      </c>
      <c r="CZ510" s="476">
        <f t="shared" si="1253"/>
        <v>32.891435940000001</v>
      </c>
      <c r="DA510" s="476">
        <f t="shared" si="1254"/>
        <v>34.578348390693364</v>
      </c>
      <c r="DB510" s="476">
        <f t="shared" si="1254"/>
        <v>35.275702055038565</v>
      </c>
      <c r="DC510" s="682">
        <f t="shared" si="1254"/>
        <v>35.726071292234401</v>
      </c>
      <c r="DD510" s="331"/>
      <c r="DE510" s="331"/>
      <c r="DF510" s="502"/>
      <c r="DG510" s="503"/>
      <c r="DH510" s="2577"/>
      <c r="DI510" s="3213"/>
      <c r="DJ510" s="502"/>
      <c r="DK510" s="503"/>
      <c r="DL510" s="502"/>
      <c r="DM510" s="502"/>
      <c r="DN510" s="502"/>
      <c r="DO510" s="502"/>
      <c r="DP510" s="503"/>
      <c r="DQ510" s="503"/>
      <c r="DR510" s="296"/>
      <c r="DS510" s="296"/>
      <c r="DT510" s="296"/>
    </row>
    <row r="511" spans="1:124" ht="12" customHeight="1" x14ac:dyDescent="0.25">
      <c r="A511" s="465" t="s">
        <v>1810</v>
      </c>
      <c r="B511" s="281"/>
      <c r="C511" s="472"/>
      <c r="D511" s="472"/>
      <c r="E511" s="472"/>
      <c r="F511" s="472"/>
      <c r="G511" s="491"/>
      <c r="H511" s="472"/>
      <c r="I511" s="472"/>
      <c r="J511" s="472"/>
      <c r="K511" s="472"/>
      <c r="L511" s="491"/>
      <c r="M511" s="472"/>
      <c r="N511" s="472"/>
      <c r="O511" s="472"/>
      <c r="P511" s="472"/>
      <c r="Q511" s="491"/>
      <c r="R511" s="472"/>
      <c r="S511" s="472"/>
      <c r="T511" s="472"/>
      <c r="U511" s="472"/>
      <c r="V511" s="491"/>
      <c r="W511" s="472"/>
      <c r="X511" s="472"/>
      <c r="Y511" s="472"/>
      <c r="Z511" s="472"/>
      <c r="AA511" s="491"/>
      <c r="AB511" s="472"/>
      <c r="AC511" s="472"/>
      <c r="AD511" s="472"/>
      <c r="AE511" s="492"/>
      <c r="AF511" s="493"/>
      <c r="AG511" s="472"/>
      <c r="AH511" s="472"/>
      <c r="AI511" s="472"/>
      <c r="AJ511" s="492"/>
      <c r="AK511" s="493"/>
      <c r="AL511" s="472"/>
      <c r="AM511" s="472"/>
      <c r="AN511" s="472"/>
      <c r="AO511" s="492"/>
      <c r="AP511" s="494"/>
      <c r="AQ511" s="494"/>
      <c r="AR511" s="936"/>
      <c r="AS511" s="936"/>
      <c r="AT511" s="492"/>
      <c r="AU511" s="539"/>
      <c r="AV511" s="1667"/>
      <c r="AW511" s="540"/>
      <c r="AX511" s="540"/>
      <c r="AY511" s="1668"/>
      <c r="AZ511" s="470"/>
      <c r="BA511" s="1667"/>
      <c r="BB511" s="540"/>
      <c r="BC511" s="540">
        <v>0.33</v>
      </c>
      <c r="BD511" s="1668">
        <v>0.33</v>
      </c>
      <c r="BE511" s="470">
        <f>+BE510/BE501</f>
        <v>0.33</v>
      </c>
      <c r="BF511" s="540">
        <v>0.33</v>
      </c>
      <c r="BG511" s="540">
        <v>0.33</v>
      </c>
      <c r="BH511" s="540">
        <v>0.33</v>
      </c>
      <c r="BI511" s="1668">
        <v>0.33</v>
      </c>
      <c r="BJ511" s="469">
        <f>+BJ510/BJ501</f>
        <v>0.33</v>
      </c>
      <c r="BK511" s="1667">
        <v>0.33</v>
      </c>
      <c r="BL511" s="540">
        <v>0.33</v>
      </c>
      <c r="BM511" s="540">
        <v>0.33</v>
      </c>
      <c r="BN511" s="1668">
        <v>0.33</v>
      </c>
      <c r="BO511" s="470">
        <f>+BO510/BO501</f>
        <v>0.33</v>
      </c>
      <c r="BP511" s="540">
        <v>0.33</v>
      </c>
      <c r="BQ511" s="540">
        <v>0.33</v>
      </c>
      <c r="BR511" s="540">
        <v>0.33</v>
      </c>
      <c r="BS511" s="540">
        <v>0.33</v>
      </c>
      <c r="BT511" s="470">
        <f>+BT510/BT501</f>
        <v>0.33000000000000007</v>
      </c>
      <c r="BU511" s="540">
        <v>0.33</v>
      </c>
      <c r="BV511" s="540">
        <v>0.33</v>
      </c>
      <c r="BW511" s="540">
        <v>0.33</v>
      </c>
      <c r="BX511" s="540">
        <v>0.33</v>
      </c>
      <c r="BY511" s="470">
        <f>+BY510/BY501</f>
        <v>0.33</v>
      </c>
      <c r="BZ511" s="539">
        <v>0.33</v>
      </c>
      <c r="CA511" s="539">
        <v>0.33</v>
      </c>
      <c r="CB511" s="539">
        <v>0.33</v>
      </c>
      <c r="CC511" s="539">
        <v>0.33</v>
      </c>
      <c r="CD511" s="539">
        <v>0.33</v>
      </c>
      <c r="CE511" s="539">
        <v>0.33</v>
      </c>
      <c r="CF511" s="539">
        <v>0.33</v>
      </c>
      <c r="CG511" s="331"/>
      <c r="CH511" s="331"/>
      <c r="CI511" s="331"/>
      <c r="CJ511" s="331"/>
      <c r="CK511" s="331"/>
      <c r="CL511" s="1310" t="str">
        <f t="shared" si="1247"/>
        <v>% of Gaming revenue</v>
      </c>
      <c r="CM511" s="492"/>
      <c r="CN511" s="492"/>
      <c r="CO511" s="492"/>
      <c r="CP511" s="492"/>
      <c r="CQ511" s="492"/>
      <c r="CR511" s="492"/>
      <c r="CS511" s="492"/>
      <c r="CT511" s="492"/>
      <c r="CU511" s="492">
        <f t="shared" si="1248"/>
        <v>0</v>
      </c>
      <c r="CV511" s="492">
        <f t="shared" si="1249"/>
        <v>0</v>
      </c>
      <c r="CW511" s="492">
        <f t="shared" si="1250"/>
        <v>0.33</v>
      </c>
      <c r="CX511" s="492">
        <f t="shared" si="1251"/>
        <v>0.33</v>
      </c>
      <c r="CY511" s="492">
        <f t="shared" si="1252"/>
        <v>0.33</v>
      </c>
      <c r="CZ511" s="492">
        <f t="shared" si="1253"/>
        <v>0.33000000000000007</v>
      </c>
      <c r="DA511" s="492">
        <f t="shared" si="1254"/>
        <v>0.33</v>
      </c>
      <c r="DB511" s="492">
        <f t="shared" si="1254"/>
        <v>0.33</v>
      </c>
      <c r="DC511" s="1311">
        <f t="shared" si="1254"/>
        <v>0.33</v>
      </c>
      <c r="DD511" s="331"/>
      <c r="DE511" s="331"/>
      <c r="DF511" s="502"/>
      <c r="DG511" s="503"/>
      <c r="DH511" s="469"/>
      <c r="DI511" s="3213"/>
      <c r="DJ511" s="502"/>
      <c r="DK511" s="503"/>
      <c r="DL511" s="502"/>
      <c r="DM511" s="502"/>
      <c r="DN511" s="502"/>
      <c r="DO511" s="502"/>
      <c r="DP511" s="503"/>
      <c r="DQ511" s="503"/>
      <c r="DR511" s="296"/>
      <c r="DS511" s="296"/>
      <c r="DT511" s="296"/>
    </row>
    <row r="512" spans="1:124" ht="12" customHeight="1" x14ac:dyDescent="0.25">
      <c r="A512" s="281" t="s">
        <v>2162</v>
      </c>
      <c r="B512" s="281"/>
      <c r="C512" s="452"/>
      <c r="D512" s="452"/>
      <c r="E512" s="452"/>
      <c r="F512" s="452"/>
      <c r="G512" s="475"/>
      <c r="H512" s="452"/>
      <c r="I512" s="452"/>
      <c r="J512" s="452"/>
      <c r="K512" s="452"/>
      <c r="L512" s="475"/>
      <c r="M512" s="452"/>
      <c r="N512" s="452"/>
      <c r="O512" s="452"/>
      <c r="P512" s="452"/>
      <c r="Q512" s="475"/>
      <c r="R512" s="452"/>
      <c r="S512" s="452"/>
      <c r="T512" s="452"/>
      <c r="U512" s="452"/>
      <c r="V512" s="475"/>
      <c r="W512" s="452"/>
      <c r="X512" s="452"/>
      <c r="Y512" s="452"/>
      <c r="Z512" s="452"/>
      <c r="AA512" s="475"/>
      <c r="AB512" s="452"/>
      <c r="AC512" s="452"/>
      <c r="AD512" s="452"/>
      <c r="AE512" s="476"/>
      <c r="AF512" s="477"/>
      <c r="AG512" s="452"/>
      <c r="AH512" s="452"/>
      <c r="AI512" s="452"/>
      <c r="AJ512" s="476"/>
      <c r="AK512" s="477"/>
      <c r="AL512" s="452"/>
      <c r="AM512" s="452"/>
      <c r="AN512" s="452"/>
      <c r="AO512" s="476"/>
      <c r="AP512" s="478"/>
      <c r="AQ512" s="478"/>
      <c r="AR512" s="476"/>
      <c r="AS512" s="476"/>
      <c r="AT512" s="476"/>
      <c r="AU512" s="477"/>
      <c r="AV512" s="478"/>
      <c r="AW512" s="476"/>
      <c r="AX512" s="476"/>
      <c r="AY512" s="682"/>
      <c r="AZ512" s="477"/>
      <c r="BA512" s="478"/>
      <c r="BB512" s="476"/>
      <c r="BC512" s="476">
        <f>BC510+BC507</f>
        <v>7.65003615</v>
      </c>
      <c r="BD512" s="682">
        <f>BD510+BD507</f>
        <v>17.39866524</v>
      </c>
      <c r="BE512" s="477">
        <f>+SUM(BA512:BD512)</f>
        <v>25.048701389999998</v>
      </c>
      <c r="BF512" s="476">
        <f>BF510+BF507</f>
        <v>17.354879999999998</v>
      </c>
      <c r="BG512" s="476">
        <f>BG510+BG507</f>
        <v>18.237823679999998</v>
      </c>
      <c r="BH512" s="476">
        <f>BH510+BH507</f>
        <v>18.194037599999998</v>
      </c>
      <c r="BI512" s="682">
        <f>BI510+BI507</f>
        <v>18.845477639999999</v>
      </c>
      <c r="BJ512" s="476">
        <f>+SUM(BF512:BI512)</f>
        <v>72.63221892</v>
      </c>
      <c r="BK512" s="478">
        <f>BK510+BK507</f>
        <v>18.035405815640079</v>
      </c>
      <c r="BL512" s="476">
        <f>BL510+BL507</f>
        <v>18.367372155488766</v>
      </c>
      <c r="BM512" s="476">
        <f>BM510+BM507</f>
        <v>18.444066104435674</v>
      </c>
      <c r="BN512" s="682">
        <f>BN510+BN507</f>
        <v>19.538721770860008</v>
      </c>
      <c r="BO512" s="477">
        <f>+SUM(BK512:BN512)</f>
        <v>74.385565846424527</v>
      </c>
      <c r="BP512" s="476">
        <f>BP510+BP507</f>
        <v>20.070583445948053</v>
      </c>
      <c r="BQ512" s="476">
        <f>BQ510+BQ507</f>
        <v>20.014802121068179</v>
      </c>
      <c r="BR512" s="476">
        <f>BR510+BR507</f>
        <v>19.930883076638395</v>
      </c>
      <c r="BS512" s="476">
        <f>BS510+BS507</f>
        <v>20.866192458519084</v>
      </c>
      <c r="BT512" s="2604">
        <f>+SUM(BP512:BS512)</f>
        <v>80.882461102173707</v>
      </c>
      <c r="BU512" s="2577">
        <f>BU510+BU507</f>
        <v>21.321461538461541</v>
      </c>
      <c r="BV512" s="2577">
        <f>BV510+BV507</f>
        <v>20.599826082006906</v>
      </c>
      <c r="BW512" s="2577">
        <f>BW510+BW507</f>
        <v>20.324644294228349</v>
      </c>
      <c r="BX512" s="2577">
        <f>BX510+BX507</f>
        <v>21.243715453757986</v>
      </c>
      <c r="BY512" s="2604">
        <f>+SUM(BU512:BX512)</f>
        <v>83.489647368454783</v>
      </c>
      <c r="BZ512" s="477">
        <f t="shared" ref="BZ512:CF512" si="1259">BZ510+BZ507</f>
        <v>83.697888043022374</v>
      </c>
      <c r="CA512" s="477">
        <f t="shared" si="1259"/>
        <v>84.632479140098042</v>
      </c>
      <c r="CB512" s="477">
        <f t="shared" si="1259"/>
        <v>81.286251734237226</v>
      </c>
      <c r="CC512" s="477">
        <f t="shared" si="1259"/>
        <v>78.170723459773924</v>
      </c>
      <c r="CD512" s="477">
        <f t="shared" si="1259"/>
        <v>79.27397753752885</v>
      </c>
      <c r="CE512" s="477">
        <f t="shared" si="1259"/>
        <v>80.486349157478116</v>
      </c>
      <c r="CF512" s="477">
        <f t="shared" si="1259"/>
        <v>81.533179379474461</v>
      </c>
      <c r="CG512" s="331"/>
      <c r="CH512" s="331"/>
      <c r="CI512" s="331"/>
      <c r="CJ512" s="331"/>
      <c r="CK512" s="331"/>
      <c r="CL512" s="520" t="str">
        <f t="shared" si="1247"/>
        <v>Total expenses</v>
      </c>
      <c r="CM512" s="476"/>
      <c r="CN512" s="476"/>
      <c r="CO512" s="476"/>
      <c r="CP512" s="476"/>
      <c r="CQ512" s="476"/>
      <c r="CR512" s="476"/>
      <c r="CS512" s="476"/>
      <c r="CT512" s="476"/>
      <c r="CU512" s="476">
        <f t="shared" si="1248"/>
        <v>0</v>
      </c>
      <c r="CV512" s="476">
        <f t="shared" si="1249"/>
        <v>0</v>
      </c>
      <c r="CW512" s="476">
        <f t="shared" si="1250"/>
        <v>25.048701389999998</v>
      </c>
      <c r="CX512" s="476">
        <f t="shared" si="1251"/>
        <v>72.63221892</v>
      </c>
      <c r="CY512" s="476">
        <f t="shared" si="1252"/>
        <v>74.385565846424527</v>
      </c>
      <c r="CZ512" s="476">
        <f t="shared" si="1253"/>
        <v>80.882461102173707</v>
      </c>
      <c r="DA512" s="476">
        <f t="shared" si="1254"/>
        <v>83.489647368454783</v>
      </c>
      <c r="DB512" s="476">
        <f t="shared" si="1254"/>
        <v>83.697888043022374</v>
      </c>
      <c r="DC512" s="682">
        <f t="shared" si="1254"/>
        <v>84.632479140098042</v>
      </c>
      <c r="DD512" s="331"/>
      <c r="DE512" s="331"/>
      <c r="DF512" s="502"/>
      <c r="DG512" s="503"/>
      <c r="DH512" s="2577"/>
      <c r="DI512" s="3213"/>
      <c r="DJ512" s="502"/>
      <c r="DK512" s="503"/>
      <c r="DL512" s="502"/>
      <c r="DM512" s="502"/>
      <c r="DN512" s="502"/>
      <c r="DO512" s="502"/>
      <c r="DP512" s="503"/>
      <c r="DQ512" s="503"/>
      <c r="DR512" s="296"/>
      <c r="DS512" s="296"/>
      <c r="DT512" s="296"/>
    </row>
    <row r="513" spans="1:124" ht="5.0999999999999996" customHeight="1" x14ac:dyDescent="0.25">
      <c r="A513" s="281"/>
      <c r="B513" s="281"/>
      <c r="C513" s="305"/>
      <c r="D513" s="305"/>
      <c r="E513" s="305"/>
      <c r="F513" s="305"/>
      <c r="G513" s="440"/>
      <c r="H513" s="305"/>
      <c r="I513" s="305"/>
      <c r="J513" s="305"/>
      <c r="K513" s="305"/>
      <c r="L513" s="440"/>
      <c r="M513" s="305"/>
      <c r="N513" s="305"/>
      <c r="O513" s="305"/>
      <c r="P513" s="305"/>
      <c r="Q513" s="440"/>
      <c r="R513" s="305"/>
      <c r="S513" s="305"/>
      <c r="T513" s="305"/>
      <c r="U513" s="305"/>
      <c r="V513" s="440"/>
      <c r="W513" s="305"/>
      <c r="X513" s="305"/>
      <c r="Y513" s="305"/>
      <c r="Z513" s="305"/>
      <c r="AA513" s="440"/>
      <c r="AB513" s="305"/>
      <c r="AC513" s="305"/>
      <c r="AD513" s="305"/>
      <c r="AE513" s="331"/>
      <c r="AF513" s="441"/>
      <c r="AG513" s="305"/>
      <c r="AH513" s="305"/>
      <c r="AI513" s="305"/>
      <c r="AJ513" s="331"/>
      <c r="AK513" s="441"/>
      <c r="AL513" s="305"/>
      <c r="AM513" s="305"/>
      <c r="AN513" s="305"/>
      <c r="AO513" s="331"/>
      <c r="AP513" s="569"/>
      <c r="AQ513" s="569"/>
      <c r="AR513" s="442"/>
      <c r="AS513" s="442"/>
      <c r="AT513" s="442"/>
      <c r="AU513" s="441"/>
      <c r="AV513" s="569"/>
      <c r="AW513" s="442"/>
      <c r="AX513" s="442"/>
      <c r="AY513" s="1312"/>
      <c r="AZ513" s="441"/>
      <c r="BA513" s="569"/>
      <c r="BB513" s="442"/>
      <c r="BC513" s="442"/>
      <c r="BD513" s="1312"/>
      <c r="BE513" s="590"/>
      <c r="BF513" s="442"/>
      <c r="BG513" s="442"/>
      <c r="BH513" s="442"/>
      <c r="BI513" s="1312"/>
      <c r="BJ513" s="442"/>
      <c r="BK513" s="569"/>
      <c r="BL513" s="442"/>
      <c r="BM513" s="442"/>
      <c r="BN513" s="1312"/>
      <c r="BO513" s="441"/>
      <c r="BP513" s="442"/>
      <c r="BQ513" s="442"/>
      <c r="BR513" s="442"/>
      <c r="BS513" s="442"/>
      <c r="BT513" s="3236"/>
      <c r="BU513" s="3298"/>
      <c r="BV513" s="3298"/>
      <c r="BW513" s="3298"/>
      <c r="BX513" s="3298"/>
      <c r="BY513" s="3236"/>
      <c r="BZ513" s="441"/>
      <c r="CA513" s="441"/>
      <c r="CB513" s="441"/>
      <c r="CC513" s="441"/>
      <c r="CD513" s="441"/>
      <c r="CE513" s="441"/>
      <c r="CF513" s="441"/>
      <c r="CG513" s="331"/>
      <c r="CH513" s="331"/>
      <c r="CI513" s="331"/>
      <c r="CJ513" s="331"/>
      <c r="CK513" s="331"/>
      <c r="CL513" s="520"/>
      <c r="CM513" s="442"/>
      <c r="CN513" s="442"/>
      <c r="CO513" s="442"/>
      <c r="CP513" s="442"/>
      <c r="CQ513" s="442"/>
      <c r="CR513" s="442"/>
      <c r="CS513" s="442"/>
      <c r="CT513" s="442"/>
      <c r="CU513" s="442"/>
      <c r="CV513" s="442"/>
      <c r="CW513" s="442"/>
      <c r="CX513" s="442"/>
      <c r="CY513" s="442"/>
      <c r="CZ513" s="442"/>
      <c r="DA513" s="442"/>
      <c r="DB513" s="442"/>
      <c r="DC513" s="1312"/>
      <c r="DD513" s="331"/>
      <c r="DE513" s="331"/>
      <c r="DF513" s="502"/>
      <c r="DG513" s="503"/>
      <c r="DH513" s="3298"/>
      <c r="DI513" s="3213"/>
      <c r="DJ513" s="502"/>
      <c r="DK513" s="503"/>
      <c r="DL513" s="502"/>
      <c r="DM513" s="502"/>
      <c r="DN513" s="502"/>
      <c r="DO513" s="502"/>
      <c r="DP513" s="503"/>
      <c r="DQ513" s="503"/>
      <c r="DR513" s="296"/>
      <c r="DS513" s="296"/>
      <c r="DT513" s="296"/>
    </row>
    <row r="514" spans="1:124" ht="12" customHeight="1" x14ac:dyDescent="0.25">
      <c r="A514" s="496" t="s">
        <v>2010</v>
      </c>
      <c r="B514" s="1007"/>
      <c r="C514" s="1008"/>
      <c r="D514" s="1008"/>
      <c r="E514" s="1008"/>
      <c r="F514" s="1008"/>
      <c r="G514" s="1009"/>
      <c r="H514" s="1008"/>
      <c r="I514" s="1008"/>
      <c r="J514" s="1008"/>
      <c r="K514" s="1008"/>
      <c r="L514" s="1009"/>
      <c r="M514" s="1008"/>
      <c r="N514" s="1008"/>
      <c r="O514" s="1008"/>
      <c r="P514" s="1008"/>
      <c r="Q514" s="1009"/>
      <c r="R514" s="1008"/>
      <c r="S514" s="1008"/>
      <c r="T514" s="1008"/>
      <c r="U514" s="1008"/>
      <c r="V514" s="1009"/>
      <c r="W514" s="1008"/>
      <c r="X514" s="1008"/>
      <c r="Y514" s="1008"/>
      <c r="Z514" s="1008"/>
      <c r="AA514" s="1009"/>
      <c r="AB514" s="1008"/>
      <c r="AC514" s="1008"/>
      <c r="AD514" s="1008"/>
      <c r="AE514" s="1010"/>
      <c r="AF514" s="1011"/>
      <c r="AG514" s="1008"/>
      <c r="AH514" s="1008"/>
      <c r="AI514" s="1008"/>
      <c r="AJ514" s="1010"/>
      <c r="AK514" s="1011"/>
      <c r="AL514" s="1008"/>
      <c r="AM514" s="1008"/>
      <c r="AN514" s="1008"/>
      <c r="AO514" s="1010"/>
      <c r="AP514" s="1013"/>
      <c r="AQ514" s="1013"/>
      <c r="AR514" s="1012"/>
      <c r="AS514" s="1012"/>
      <c r="AT514" s="1012"/>
      <c r="AU514" s="1011"/>
      <c r="AV514" s="1013"/>
      <c r="AW514" s="1012"/>
      <c r="AX514" s="1012"/>
      <c r="AY514" s="1877"/>
      <c r="AZ514" s="1011"/>
      <c r="BA514" s="1013"/>
      <c r="BB514" s="1012"/>
      <c r="BC514" s="1012">
        <f>BC504-BC512</f>
        <v>0.66451885000000033</v>
      </c>
      <c r="BD514" s="1877">
        <f>BD504-BD512</f>
        <v>4.3587627600000012</v>
      </c>
      <c r="BE514" s="1877">
        <f>+SUM(BA514:BD514)</f>
        <v>5.0232816100000015</v>
      </c>
      <c r="BF514" s="1012">
        <f>BF504-BF512</f>
        <v>6.7831200000000003</v>
      </c>
      <c r="BG514" s="1012">
        <f>BG504-BG512</f>
        <v>6.4132323200000023</v>
      </c>
      <c r="BH514" s="1012">
        <f>BH504-BH512</f>
        <v>6.4008824000000004</v>
      </c>
      <c r="BI514" s="1877">
        <f>BI504-BI512</f>
        <v>5.6427663600000031</v>
      </c>
      <c r="BJ514" s="1012">
        <f>+SUM(BF514:BI514)</f>
        <v>25.240001080000006</v>
      </c>
      <c r="BK514" s="1013">
        <f>BK504-BK512</f>
        <v>7.4029104596934445</v>
      </c>
      <c r="BL514" s="1012">
        <f>BL504-BL512</f>
        <v>7.1485566944851122</v>
      </c>
      <c r="BM514" s="1012">
        <f>BM504-BM512</f>
        <v>7.1816690221589141</v>
      </c>
      <c r="BN514" s="1877">
        <f>BN504-BN512</f>
        <v>6.1845941245868232</v>
      </c>
      <c r="BO514" s="1011">
        <f>+SUM(BK514:BN514)</f>
        <v>27.917730300924294</v>
      </c>
      <c r="BP514" s="1012">
        <f>BP504-BP512</f>
        <v>8.8501560502199865</v>
      </c>
      <c r="BQ514" s="1012">
        <f>BQ504-BQ512</f>
        <v>7.9842152226216605</v>
      </c>
      <c r="BR514" s="1012">
        <f>BR504-BR512</f>
        <v>8.1507587248815909</v>
      </c>
      <c r="BS514" s="1012">
        <f>BS504-BS512</f>
        <v>7.7343842199333785</v>
      </c>
      <c r="BT514" s="1011">
        <f>+SUM(BP514:BS514)</f>
        <v>32.719514217656616</v>
      </c>
      <c r="BU514" s="1012">
        <f>BU504-BU512</f>
        <v>9.6246923076923068</v>
      </c>
      <c r="BV514" s="1012">
        <f>BV504-BV512</f>
        <v>8.560284059502564</v>
      </c>
      <c r="BW514" s="1012">
        <f>BW504-BW512</f>
        <v>8.8658217856763351</v>
      </c>
      <c r="BX514" s="1012">
        <f>BX504-BX512</f>
        <v>8.4251150596821454</v>
      </c>
      <c r="BY514" s="1011">
        <f>+SUM(BU514:BX514)</f>
        <v>35.475913212553351</v>
      </c>
      <c r="BZ514" s="1011">
        <f t="shared" ref="BZ514:CF514" si="1260">BZ504-BZ512</f>
        <v>37.380865460243953</v>
      </c>
      <c r="CA514" s="1011">
        <f t="shared" si="1260"/>
        <v>37.811029627398099</v>
      </c>
      <c r="CB514" s="1011">
        <f t="shared" si="1260"/>
        <v>35.463211062274368</v>
      </c>
      <c r="CC514" s="1011">
        <f t="shared" si="1260"/>
        <v>33.450400530402888</v>
      </c>
      <c r="CD514" s="1011">
        <f t="shared" si="1260"/>
        <v>34.295915199055173</v>
      </c>
      <c r="CE514" s="1011">
        <f t="shared" si="1260"/>
        <v>35.349027289997736</v>
      </c>
      <c r="CF514" s="1011">
        <f t="shared" si="1260"/>
        <v>36.051956482207004</v>
      </c>
      <c r="CG514" s="331"/>
      <c r="CH514" s="331"/>
      <c r="CI514" s="331"/>
      <c r="CJ514" s="331"/>
      <c r="CK514" s="331"/>
      <c r="CL514" s="2102" t="str">
        <f t="shared" ref="CL514:CL519" si="1261">A514</f>
        <v>Property EBITDA</v>
      </c>
      <c r="CM514" s="1012"/>
      <c r="CN514" s="1012"/>
      <c r="CO514" s="1012"/>
      <c r="CP514" s="1012"/>
      <c r="CQ514" s="1012"/>
      <c r="CR514" s="1012"/>
      <c r="CS514" s="1012"/>
      <c r="CT514" s="1012"/>
      <c r="CU514" s="1012">
        <f t="shared" ref="CU514:CU519" si="1262">AU514</f>
        <v>0</v>
      </c>
      <c r="CV514" s="1012">
        <f t="shared" ref="CV514:CV519" si="1263">AZ514</f>
        <v>0</v>
      </c>
      <c r="CW514" s="1012">
        <f t="shared" ref="CW514:CW519" si="1264">BE514</f>
        <v>5.0232816100000015</v>
      </c>
      <c r="CX514" s="1012">
        <f t="shared" ref="CX514:CX519" si="1265">BJ514</f>
        <v>25.240001080000006</v>
      </c>
      <c r="CY514" s="1012">
        <f t="shared" ref="CY514:CY519" si="1266">BO514</f>
        <v>27.917730300924294</v>
      </c>
      <c r="CZ514" s="1012">
        <f t="shared" ref="CZ514:CZ519" si="1267">BT514</f>
        <v>32.719514217656616</v>
      </c>
      <c r="DA514" s="1012">
        <f t="shared" ref="DA514:DC519" si="1268">BY514</f>
        <v>35.475913212553351</v>
      </c>
      <c r="DB514" s="1012">
        <f t="shared" si="1268"/>
        <v>37.380865460243953</v>
      </c>
      <c r="DC514" s="1877">
        <f t="shared" si="1268"/>
        <v>37.811029627398099</v>
      </c>
      <c r="DD514" s="331"/>
      <c r="DE514" s="331"/>
      <c r="DF514" s="502"/>
      <c r="DG514" s="503"/>
      <c r="DH514" s="598"/>
      <c r="DI514" s="3213"/>
      <c r="DJ514" s="502"/>
      <c r="DK514" s="503"/>
      <c r="DL514" s="502"/>
      <c r="DM514" s="502"/>
      <c r="DN514" s="502"/>
      <c r="DO514" s="502"/>
      <c r="DP514" s="503"/>
      <c r="DQ514" s="503"/>
      <c r="DR514" s="296"/>
      <c r="DS514" s="296"/>
      <c r="DT514" s="296"/>
    </row>
    <row r="515" spans="1:124" ht="12" customHeight="1" x14ac:dyDescent="0.25">
      <c r="A515" s="465" t="s">
        <v>1892</v>
      </c>
      <c r="B515" s="281"/>
      <c r="C515" s="472"/>
      <c r="D515" s="472"/>
      <c r="E515" s="472"/>
      <c r="F515" s="472"/>
      <c r="G515" s="491"/>
      <c r="H515" s="472"/>
      <c r="I515" s="472"/>
      <c r="J515" s="472"/>
      <c r="K515" s="472"/>
      <c r="L515" s="491"/>
      <c r="M515" s="472"/>
      <c r="N515" s="472"/>
      <c r="O515" s="472"/>
      <c r="P515" s="472"/>
      <c r="Q515" s="491"/>
      <c r="R515" s="472"/>
      <c r="S515" s="472"/>
      <c r="T515" s="472"/>
      <c r="U515" s="472"/>
      <c r="V515" s="491"/>
      <c r="W515" s="472"/>
      <c r="X515" s="472"/>
      <c r="Y515" s="472"/>
      <c r="Z515" s="472"/>
      <c r="AA515" s="491"/>
      <c r="AB515" s="472"/>
      <c r="AC515" s="472"/>
      <c r="AD515" s="472"/>
      <c r="AE515" s="492"/>
      <c r="AF515" s="493"/>
      <c r="AG515" s="472"/>
      <c r="AH515" s="472"/>
      <c r="AI515" s="472"/>
      <c r="AJ515" s="492"/>
      <c r="AK515" s="493"/>
      <c r="AL515" s="472"/>
      <c r="AM515" s="472"/>
      <c r="AN515" s="472"/>
      <c r="AO515" s="492"/>
      <c r="AP515" s="494"/>
      <c r="AQ515" s="494"/>
      <c r="AR515" s="492"/>
      <c r="AS515" s="492"/>
      <c r="AT515" s="492"/>
      <c r="AU515" s="470"/>
      <c r="AV515" s="471"/>
      <c r="AW515" s="469"/>
      <c r="AX515" s="469"/>
      <c r="AY515" s="1463"/>
      <c r="AZ515" s="470"/>
      <c r="BA515" s="471"/>
      <c r="BB515" s="469"/>
      <c r="BC515" s="469">
        <f t="shared" ref="BC515:CA515" si="1269">BC514/BC504</f>
        <v>7.992235904386949E-2</v>
      </c>
      <c r="BD515" s="1463">
        <f t="shared" si="1269"/>
        <v>0.2003344678424307</v>
      </c>
      <c r="BE515" s="1463">
        <f t="shared" si="1269"/>
        <v>0.1670419143958681</v>
      </c>
      <c r="BF515" s="469">
        <f t="shared" si="1269"/>
        <v>0.28101416853094707</v>
      </c>
      <c r="BG515" s="469">
        <f t="shared" si="1269"/>
        <v>0.26016055133703003</v>
      </c>
      <c r="BH515" s="469">
        <f t="shared" si="1269"/>
        <v>0.26025221468498377</v>
      </c>
      <c r="BI515" s="1463">
        <f t="shared" si="1269"/>
        <v>0.23042756189459737</v>
      </c>
      <c r="BJ515" s="1463">
        <f t="shared" si="1269"/>
        <v>0.25788728487000712</v>
      </c>
      <c r="BK515" s="469">
        <f t="shared" si="1269"/>
        <v>0.29101416853094708</v>
      </c>
      <c r="BL515" s="469">
        <f t="shared" si="1269"/>
        <v>0.28016055133702999</v>
      </c>
      <c r="BM515" s="469">
        <f t="shared" si="1269"/>
        <v>0.28025221468498368</v>
      </c>
      <c r="BN515" s="1463">
        <f t="shared" si="1269"/>
        <v>0.24042756189459738</v>
      </c>
      <c r="BO515" s="1463">
        <f t="shared" si="1269"/>
        <v>0.27289179676785791</v>
      </c>
      <c r="BP515" s="469">
        <f t="shared" ref="BP515:BY515" si="1270">BP514/BP504</f>
        <v>0.30601416853094715</v>
      </c>
      <c r="BQ515" s="469">
        <f t="shared" si="1270"/>
        <v>0.28516055133703</v>
      </c>
      <c r="BR515" s="469">
        <f t="shared" si="1270"/>
        <v>0.29025221468498369</v>
      </c>
      <c r="BS515" s="469">
        <f t="shared" si="1270"/>
        <v>0.27042756189459727</v>
      </c>
      <c r="BT515" s="470">
        <f t="shared" si="1270"/>
        <v>0.28801888457959857</v>
      </c>
      <c r="BU515" s="469">
        <f t="shared" si="1270"/>
        <v>0.31101416853094699</v>
      </c>
      <c r="BV515" s="469">
        <f t="shared" si="1270"/>
        <v>0.29356144465713058</v>
      </c>
      <c r="BW515" s="469">
        <f t="shared" si="1270"/>
        <v>0.30372320063021357</v>
      </c>
      <c r="BX515" s="469">
        <f t="shared" si="1270"/>
        <v>0.28397192993048803</v>
      </c>
      <c r="BY515" s="470">
        <f t="shared" si="1270"/>
        <v>0.29820321981668352</v>
      </c>
      <c r="BZ515" s="470">
        <f t="shared" si="1269"/>
        <v>0.30873183261863968</v>
      </c>
      <c r="CA515" s="470">
        <f t="shared" si="1269"/>
        <v>0.30880387215296312</v>
      </c>
      <c r="CB515" s="470">
        <f>CB514/CB504</f>
        <v>0.3037548114811025</v>
      </c>
      <c r="CC515" s="470">
        <f>CC514/CC504</f>
        <v>0.29967804779807344</v>
      </c>
      <c r="CD515" s="470">
        <f>CD514/CD504</f>
        <v>0.30198069552290335</v>
      </c>
      <c r="CE515" s="470">
        <f>CE514/CE504</f>
        <v>0.30516607597875184</v>
      </c>
      <c r="CF515" s="470">
        <f>CF514/CF504</f>
        <v>0.30660300911346383</v>
      </c>
      <c r="CG515" s="331"/>
      <c r="CH515" s="331"/>
      <c r="CI515" s="331"/>
      <c r="CJ515" s="331"/>
      <c r="CK515" s="331"/>
      <c r="CL515" s="1310" t="str">
        <f t="shared" si="1261"/>
        <v>Margin</v>
      </c>
      <c r="CM515" s="492"/>
      <c r="CN515" s="492"/>
      <c r="CO515" s="492"/>
      <c r="CP515" s="492"/>
      <c r="CQ515" s="492"/>
      <c r="CR515" s="492"/>
      <c r="CS515" s="492"/>
      <c r="CT515" s="492"/>
      <c r="CU515" s="492">
        <f t="shared" si="1262"/>
        <v>0</v>
      </c>
      <c r="CV515" s="492">
        <f t="shared" si="1263"/>
        <v>0</v>
      </c>
      <c r="CW515" s="492">
        <f t="shared" si="1264"/>
        <v>0.1670419143958681</v>
      </c>
      <c r="CX515" s="492">
        <f t="shared" si="1265"/>
        <v>0.25788728487000712</v>
      </c>
      <c r="CY515" s="492">
        <f t="shared" si="1266"/>
        <v>0.27289179676785791</v>
      </c>
      <c r="CZ515" s="492">
        <f t="shared" si="1267"/>
        <v>0.28801888457959857</v>
      </c>
      <c r="DA515" s="492">
        <f t="shared" si="1268"/>
        <v>0.29820321981668352</v>
      </c>
      <c r="DB515" s="492">
        <f t="shared" si="1268"/>
        <v>0.30873183261863968</v>
      </c>
      <c r="DC515" s="1311">
        <f t="shared" si="1268"/>
        <v>0.30880387215296312</v>
      </c>
      <c r="DD515" s="331"/>
      <c r="DE515" s="331"/>
      <c r="DF515" s="502"/>
      <c r="DG515" s="503"/>
      <c r="DH515" s="469"/>
      <c r="DI515" s="3213"/>
      <c r="DJ515" s="502"/>
      <c r="DK515" s="503"/>
      <c r="DL515" s="502"/>
      <c r="DM515" s="502"/>
      <c r="DN515" s="502"/>
      <c r="DO515" s="502"/>
      <c r="DP515" s="503"/>
      <c r="DQ515" s="503"/>
      <c r="DR515" s="296"/>
      <c r="DS515" s="296"/>
      <c r="DT515" s="296"/>
    </row>
    <row r="516" spans="1:124" ht="12" customHeight="1" x14ac:dyDescent="0.25">
      <c r="A516" s="465" t="s">
        <v>1491</v>
      </c>
      <c r="B516" s="281"/>
      <c r="C516" s="472"/>
      <c r="D516" s="472"/>
      <c r="E516" s="472"/>
      <c r="F516" s="472"/>
      <c r="G516" s="491"/>
      <c r="H516" s="472"/>
      <c r="I516" s="472"/>
      <c r="J516" s="472"/>
      <c r="K516" s="472"/>
      <c r="L516" s="491"/>
      <c r="M516" s="472"/>
      <c r="N516" s="472"/>
      <c r="O516" s="472"/>
      <c r="P516" s="472"/>
      <c r="Q516" s="491"/>
      <c r="R516" s="472"/>
      <c r="S516" s="472"/>
      <c r="T516" s="472"/>
      <c r="U516" s="472"/>
      <c r="V516" s="491"/>
      <c r="W516" s="472"/>
      <c r="X516" s="472"/>
      <c r="Y516" s="472"/>
      <c r="Z516" s="472"/>
      <c r="AA516" s="491"/>
      <c r="AB516" s="472"/>
      <c r="AC516" s="472"/>
      <c r="AD516" s="472"/>
      <c r="AE516" s="492"/>
      <c r="AF516" s="493"/>
      <c r="AG516" s="472"/>
      <c r="AH516" s="472"/>
      <c r="AI516" s="472"/>
      <c r="AJ516" s="492"/>
      <c r="AK516" s="493"/>
      <c r="AL516" s="472"/>
      <c r="AM516" s="472"/>
      <c r="AN516" s="472"/>
      <c r="AO516" s="492"/>
      <c r="AP516" s="494"/>
      <c r="AQ516" s="494"/>
      <c r="AR516" s="492"/>
      <c r="AS516" s="492"/>
      <c r="AT516" s="492"/>
      <c r="AU516" s="470"/>
      <c r="AV516" s="471"/>
      <c r="AW516" s="469"/>
      <c r="AX516" s="469"/>
      <c r="AY516" s="1463"/>
      <c r="AZ516" s="470"/>
      <c r="BA516" s="471"/>
      <c r="BB516" s="469"/>
      <c r="BC516" s="469"/>
      <c r="BD516" s="1463"/>
      <c r="BE516" s="1463"/>
      <c r="BF516" s="469"/>
      <c r="BG516" s="469"/>
      <c r="BH516" s="469"/>
      <c r="BI516" s="1463">
        <f>+BI514/BD514-1</f>
        <v>0.2945798316401147</v>
      </c>
      <c r="BJ516" s="1463">
        <f t="shared" ref="BJ516:BT516" si="1271">+BJ514/BE514-1</f>
        <v>4.0246040416595319</v>
      </c>
      <c r="BK516" s="469">
        <f t="shared" si="1271"/>
        <v>9.1372474568258255E-2</v>
      </c>
      <c r="BL516" s="469">
        <f t="shared" si="1271"/>
        <v>0.11465737366038686</v>
      </c>
      <c r="BM516" s="469">
        <f t="shared" si="1271"/>
        <v>0.12198109156933024</v>
      </c>
      <c r="BN516" s="1463">
        <f t="shared" si="1271"/>
        <v>9.6021654986051974E-2</v>
      </c>
      <c r="BO516" s="1463">
        <f t="shared" si="1271"/>
        <v>0.10609069359533829</v>
      </c>
      <c r="BP516" s="469">
        <f t="shared" si="1271"/>
        <v>0.19549683849431188</v>
      </c>
      <c r="BQ516" s="469">
        <f t="shared" si="1271"/>
        <v>0.1168989159421836</v>
      </c>
      <c r="BR516" s="469">
        <f t="shared" si="1271"/>
        <v>0.13493934344963088</v>
      </c>
      <c r="BS516" s="469">
        <f t="shared" si="1271"/>
        <v>0.25058881215589768</v>
      </c>
      <c r="BT516" s="470">
        <f t="shared" si="1271"/>
        <v>0.17199764683497021</v>
      </c>
      <c r="BU516" s="469">
        <f>+BU514/BP514-1</f>
        <v>8.7516678019826211E-2</v>
      </c>
      <c r="BV516" s="469">
        <f>+BV514/BQ514-1</f>
        <v>7.2150965476071915E-2</v>
      </c>
      <c r="BW516" s="469">
        <f>+BW514/BR514-1</f>
        <v>8.7729631673661324E-2</v>
      </c>
      <c r="BX516" s="469">
        <f>+BX514/BS514-1</f>
        <v>8.9306507164278903E-2</v>
      </c>
      <c r="BY516" s="470">
        <f>+BY514/BT514-1</f>
        <v>8.4243273801702268E-2</v>
      </c>
      <c r="BZ516" s="470">
        <f t="shared" ref="BZ516:CF516" si="1272">(BZ514-BY514)/BY514</f>
        <v>5.3697060207502256E-2</v>
      </c>
      <c r="CA516" s="470">
        <f t="shared" si="1272"/>
        <v>1.1507603204415984E-2</v>
      </c>
      <c r="CB516" s="470">
        <f t="shared" si="1272"/>
        <v>-6.2093484051079312E-2</v>
      </c>
      <c r="CC516" s="470">
        <f t="shared" si="1272"/>
        <v>-5.6757706693196221E-2</v>
      </c>
      <c r="CD516" s="470">
        <f t="shared" si="1272"/>
        <v>2.5276667999350307E-2</v>
      </c>
      <c r="CE516" s="470">
        <f t="shared" si="1272"/>
        <v>3.0706633277760579E-2</v>
      </c>
      <c r="CF516" s="470">
        <f t="shared" si="1272"/>
        <v>1.9885389955501466E-2</v>
      </c>
      <c r="CG516" s="331"/>
      <c r="CH516" s="331"/>
      <c r="CI516" s="331"/>
      <c r="CJ516" s="331"/>
      <c r="CK516" s="331"/>
      <c r="CL516" s="1310" t="str">
        <f t="shared" si="1261"/>
        <v>% growth (y-o-y)</v>
      </c>
      <c r="CM516" s="492"/>
      <c r="CN516" s="492"/>
      <c r="CO516" s="492"/>
      <c r="CP516" s="492"/>
      <c r="CQ516" s="492"/>
      <c r="CR516" s="492"/>
      <c r="CS516" s="492"/>
      <c r="CT516" s="492"/>
      <c r="CU516" s="492">
        <f t="shared" si="1262"/>
        <v>0</v>
      </c>
      <c r="CV516" s="492">
        <f t="shared" si="1263"/>
        <v>0</v>
      </c>
      <c r="CW516" s="492">
        <f t="shared" si="1264"/>
        <v>0</v>
      </c>
      <c r="CX516" s="492">
        <f t="shared" si="1265"/>
        <v>4.0246040416595319</v>
      </c>
      <c r="CY516" s="492">
        <f t="shared" si="1266"/>
        <v>0.10609069359533829</v>
      </c>
      <c r="CZ516" s="492">
        <f t="shared" si="1267"/>
        <v>0.17199764683497021</v>
      </c>
      <c r="DA516" s="492">
        <f t="shared" si="1268"/>
        <v>8.4243273801702268E-2</v>
      </c>
      <c r="DB516" s="492">
        <f t="shared" si="1268"/>
        <v>5.3697060207502256E-2</v>
      </c>
      <c r="DC516" s="1311">
        <f t="shared" si="1268"/>
        <v>1.1507603204415984E-2</v>
      </c>
      <c r="DD516" s="331"/>
      <c r="DE516" s="331"/>
      <c r="DF516" s="502"/>
      <c r="DG516" s="503"/>
      <c r="DH516" s="469"/>
      <c r="DI516" s="3213"/>
      <c r="DJ516" s="502"/>
      <c r="DK516" s="503"/>
      <c r="DL516" s="502"/>
      <c r="DM516" s="502"/>
      <c r="DN516" s="502"/>
      <c r="DO516" s="502"/>
      <c r="DP516" s="503"/>
      <c r="DQ516" s="503"/>
      <c r="DR516" s="296"/>
      <c r="DS516" s="296"/>
      <c r="DT516" s="296"/>
    </row>
    <row r="517" spans="1:124" ht="12" customHeight="1" x14ac:dyDescent="0.25">
      <c r="A517" s="281" t="s">
        <v>2197</v>
      </c>
      <c r="B517" s="281"/>
      <c r="C517" s="570"/>
      <c r="D517" s="570"/>
      <c r="E517" s="570"/>
      <c r="F517" s="570"/>
      <c r="G517" s="475"/>
      <c r="H517" s="570"/>
      <c r="I517" s="570"/>
      <c r="J517" s="570"/>
      <c r="K517" s="570"/>
      <c r="L517" s="475"/>
      <c r="M517" s="570"/>
      <c r="N517" s="570"/>
      <c r="O517" s="570"/>
      <c r="P517" s="570"/>
      <c r="Q517" s="475"/>
      <c r="R517" s="570"/>
      <c r="S517" s="570"/>
      <c r="T517" s="570"/>
      <c r="U517" s="570"/>
      <c r="V517" s="475"/>
      <c r="W517" s="570"/>
      <c r="X517" s="570"/>
      <c r="Y517" s="570"/>
      <c r="Z517" s="570"/>
      <c r="AA517" s="475"/>
      <c r="AB517" s="570"/>
      <c r="AC517" s="570"/>
      <c r="AD517" s="570"/>
      <c r="AE517" s="572"/>
      <c r="AF517" s="477"/>
      <c r="AG517" s="570"/>
      <c r="AH517" s="570"/>
      <c r="AI517" s="570"/>
      <c r="AJ517" s="572"/>
      <c r="AK517" s="477"/>
      <c r="AL517" s="570"/>
      <c r="AM517" s="570"/>
      <c r="AN517" s="570"/>
      <c r="AO517" s="572"/>
      <c r="AP517" s="478"/>
      <c r="AQ517" s="478"/>
      <c r="AR517" s="476"/>
      <c r="AS517" s="476"/>
      <c r="AT517" s="476"/>
      <c r="AU517" s="477"/>
      <c r="AV517" s="478"/>
      <c r="AW517" s="476"/>
      <c r="AX517" s="476"/>
      <c r="AY517" s="682"/>
      <c r="AZ517" s="477"/>
      <c r="BA517" s="478"/>
      <c r="BB517" s="476"/>
      <c r="BC517" s="572">
        <v>0.8</v>
      </c>
      <c r="BD517" s="1313">
        <v>2.5</v>
      </c>
      <c r="BE517" s="682">
        <f>+SUM(BA517:BD517)</f>
        <v>3.3</v>
      </c>
      <c r="BF517" s="572">
        <v>2.5</v>
      </c>
      <c r="BG517" s="572">
        <v>2.5</v>
      </c>
      <c r="BH517" s="572">
        <v>2.5</v>
      </c>
      <c r="BI517" s="1313">
        <v>2.5</v>
      </c>
      <c r="BJ517" s="682">
        <f>+SUM(BF517:BI517)</f>
        <v>10</v>
      </c>
      <c r="BK517" s="572">
        <v>2.5</v>
      </c>
      <c r="BL517" s="572">
        <v>2.5</v>
      </c>
      <c r="BM517" s="572">
        <v>2.5</v>
      </c>
      <c r="BN517" s="1313">
        <v>2.5</v>
      </c>
      <c r="BO517" s="682">
        <f>+SUM(BK517:BN517)</f>
        <v>10</v>
      </c>
      <c r="BP517" s="572">
        <v>2.5</v>
      </c>
      <c r="BQ517" s="572">
        <v>2.5</v>
      </c>
      <c r="BR517" s="572">
        <v>2.5</v>
      </c>
      <c r="BS517" s="572">
        <v>2.5</v>
      </c>
      <c r="BT517" s="2604">
        <f>+SUM(BP517:BS517)</f>
        <v>10</v>
      </c>
      <c r="BU517" s="572">
        <v>2.5</v>
      </c>
      <c r="BV517" s="572">
        <v>2.5</v>
      </c>
      <c r="BW517" s="572">
        <v>2.5</v>
      </c>
      <c r="BX517" s="572">
        <v>2.5</v>
      </c>
      <c r="BY517" s="2604">
        <f>+SUM(BU517:BX517)</f>
        <v>10</v>
      </c>
      <c r="BZ517" s="477">
        <f t="shared" ref="BZ517:CF517" si="1273">BY517</f>
        <v>10</v>
      </c>
      <c r="CA517" s="477">
        <f t="shared" si="1273"/>
        <v>10</v>
      </c>
      <c r="CB517" s="477">
        <f t="shared" si="1273"/>
        <v>10</v>
      </c>
      <c r="CC517" s="477">
        <f t="shared" si="1273"/>
        <v>10</v>
      </c>
      <c r="CD517" s="477">
        <f t="shared" si="1273"/>
        <v>10</v>
      </c>
      <c r="CE517" s="477">
        <f t="shared" si="1273"/>
        <v>10</v>
      </c>
      <c r="CF517" s="477">
        <f t="shared" si="1273"/>
        <v>10</v>
      </c>
      <c r="CG517" s="331"/>
      <c r="CH517" s="331"/>
      <c r="CI517" s="331"/>
      <c r="CJ517" s="331"/>
      <c r="CK517" s="331"/>
      <c r="CL517" s="520" t="str">
        <f t="shared" si="1261"/>
        <v>Depreciation and amortization</v>
      </c>
      <c r="CM517" s="476"/>
      <c r="CN517" s="476"/>
      <c r="CO517" s="476"/>
      <c r="CP517" s="476"/>
      <c r="CQ517" s="476"/>
      <c r="CR517" s="476"/>
      <c r="CS517" s="476"/>
      <c r="CT517" s="476"/>
      <c r="CU517" s="476">
        <f t="shared" si="1262"/>
        <v>0</v>
      </c>
      <c r="CV517" s="476">
        <f t="shared" si="1263"/>
        <v>0</v>
      </c>
      <c r="CW517" s="476">
        <f t="shared" si="1264"/>
        <v>3.3</v>
      </c>
      <c r="CX517" s="476">
        <f t="shared" si="1265"/>
        <v>10</v>
      </c>
      <c r="CY517" s="476">
        <f t="shared" si="1266"/>
        <v>10</v>
      </c>
      <c r="CZ517" s="476">
        <f t="shared" si="1267"/>
        <v>10</v>
      </c>
      <c r="DA517" s="476">
        <f t="shared" si="1268"/>
        <v>10</v>
      </c>
      <c r="DB517" s="476">
        <f t="shared" si="1268"/>
        <v>10</v>
      </c>
      <c r="DC517" s="682">
        <f t="shared" si="1268"/>
        <v>10</v>
      </c>
      <c r="DD517" s="331"/>
      <c r="DE517" s="331"/>
      <c r="DF517" s="502"/>
      <c r="DG517" s="503"/>
      <c r="DH517" s="2577"/>
      <c r="DI517" s="3213"/>
      <c r="DJ517" s="502"/>
      <c r="DK517" s="503"/>
      <c r="DL517" s="502"/>
      <c r="DM517" s="502"/>
      <c r="DN517" s="502"/>
      <c r="DO517" s="502"/>
      <c r="DP517" s="503"/>
      <c r="DQ517" s="503"/>
      <c r="DR517" s="296"/>
      <c r="DS517" s="296"/>
      <c r="DT517" s="296"/>
    </row>
    <row r="518" spans="1:124" ht="12" customHeight="1" x14ac:dyDescent="0.25">
      <c r="A518" s="465" t="s">
        <v>646</v>
      </c>
      <c r="B518" s="281"/>
      <c r="C518" s="472"/>
      <c r="D518" s="472"/>
      <c r="E518" s="472"/>
      <c r="F518" s="472"/>
      <c r="G518" s="491"/>
      <c r="H518" s="472"/>
      <c r="I518" s="472"/>
      <c r="J518" s="472"/>
      <c r="K518" s="472"/>
      <c r="L518" s="491"/>
      <c r="M518" s="472"/>
      <c r="N518" s="472"/>
      <c r="O518" s="472"/>
      <c r="P518" s="472"/>
      <c r="Q518" s="491"/>
      <c r="R518" s="472"/>
      <c r="S518" s="472"/>
      <c r="T518" s="472"/>
      <c r="U518" s="472"/>
      <c r="V518" s="491"/>
      <c r="W518" s="472"/>
      <c r="X518" s="472"/>
      <c r="Y518" s="472"/>
      <c r="Z518" s="472"/>
      <c r="AA518" s="491"/>
      <c r="AB518" s="472"/>
      <c r="AC518" s="472"/>
      <c r="AD518" s="472"/>
      <c r="AE518" s="492"/>
      <c r="AF518" s="493"/>
      <c r="AG518" s="472"/>
      <c r="AH518" s="472"/>
      <c r="AI518" s="472"/>
      <c r="AJ518" s="492"/>
      <c r="AK518" s="493"/>
      <c r="AL518" s="472"/>
      <c r="AM518" s="472"/>
      <c r="AN518" s="472"/>
      <c r="AO518" s="492"/>
      <c r="AP518" s="494"/>
      <c r="AQ518" s="494"/>
      <c r="AR518" s="492"/>
      <c r="AS518" s="492"/>
      <c r="AT518" s="492"/>
      <c r="AU518" s="470"/>
      <c r="AV518" s="471"/>
      <c r="AW518" s="469"/>
      <c r="AX518" s="469"/>
      <c r="AY518" s="1463"/>
      <c r="AZ518" s="470"/>
      <c r="BA518" s="471"/>
      <c r="BB518" s="469"/>
      <c r="BC518" s="469">
        <f t="shared" ref="BC518:CA518" si="1274">BC517/BC504</f>
        <v>9.6216814970855324E-2</v>
      </c>
      <c r="BD518" s="1463">
        <f t="shared" si="1274"/>
        <v>0.11490328728193423</v>
      </c>
      <c r="BE518" s="1463">
        <f t="shared" si="1274"/>
        <v>0.10973669411824287</v>
      </c>
      <c r="BF518" s="469">
        <f t="shared" si="1274"/>
        <v>0.10357113265390672</v>
      </c>
      <c r="BG518" s="469">
        <f t="shared" si="1274"/>
        <v>0.10141553367936854</v>
      </c>
      <c r="BH518" s="469">
        <f t="shared" si="1274"/>
        <v>0.10164700678026195</v>
      </c>
      <c r="BI518" s="1463">
        <f t="shared" si="1274"/>
        <v>0.10208980276413449</v>
      </c>
      <c r="BJ518" s="1463">
        <f t="shared" si="1274"/>
        <v>0.10217403876196944</v>
      </c>
      <c r="BK518" s="469">
        <f t="shared" si="1274"/>
        <v>9.8276944627193982E-2</v>
      </c>
      <c r="BL518" s="469">
        <f t="shared" si="1274"/>
        <v>9.7978012664138595E-2</v>
      </c>
      <c r="BM518" s="469">
        <f t="shared" si="1274"/>
        <v>9.7558176873742852E-2</v>
      </c>
      <c r="BN518" s="1463">
        <f t="shared" si="1274"/>
        <v>9.7188092319097696E-2</v>
      </c>
      <c r="BO518" s="1463">
        <f t="shared" si="1274"/>
        <v>9.7748561156786831E-2</v>
      </c>
      <c r="BP518" s="469">
        <f t="shared" ref="BP518:BY518" si="1275">BP517/BP504</f>
        <v>8.6443156141676344E-2</v>
      </c>
      <c r="BQ518" s="469">
        <f t="shared" si="1275"/>
        <v>8.9288847866063656E-2</v>
      </c>
      <c r="BR518" s="469">
        <f t="shared" si="1275"/>
        <v>8.9026133787686215E-2</v>
      </c>
      <c r="BS518" s="469">
        <f t="shared" si="1275"/>
        <v>8.7410824897229719E-2</v>
      </c>
      <c r="BT518" s="470">
        <f t="shared" si="1275"/>
        <v>8.8026638373553026E-2</v>
      </c>
      <c r="BU518" s="469">
        <f t="shared" si="1275"/>
        <v>8.0785483470047229E-2</v>
      </c>
      <c r="BV518" s="469">
        <f t="shared" si="1275"/>
        <v>8.5733558202211499E-2</v>
      </c>
      <c r="BW518" s="469">
        <f t="shared" si="1275"/>
        <v>8.5644401605531453E-2</v>
      </c>
      <c r="BX518" s="469">
        <f t="shared" si="1275"/>
        <v>8.4263516853739395E-2</v>
      </c>
      <c r="BY518" s="470">
        <f t="shared" si="1275"/>
        <v>8.4057940391838212E-2</v>
      </c>
      <c r="BZ518" s="470">
        <f t="shared" si="1274"/>
        <v>8.2590873383332541E-2</v>
      </c>
      <c r="CA518" s="470">
        <f t="shared" si="1274"/>
        <v>8.167031556559412E-2</v>
      </c>
      <c r="CB518" s="470">
        <f>CB517/CB504</f>
        <v>8.5653499043755715E-2</v>
      </c>
      <c r="CC518" s="470">
        <f>CC517/CC504</f>
        <v>8.9588777128601998E-2</v>
      </c>
      <c r="CD518" s="470">
        <f>CD517/CD504</f>
        <v>8.8051505192438401E-2</v>
      </c>
      <c r="CE518" s="470">
        <f>CE517/CE504</f>
        <v>8.6329412539479067E-2</v>
      </c>
      <c r="CF518" s="470">
        <f>CF517/CF504</f>
        <v>8.5044762900671964E-2</v>
      </c>
      <c r="CG518" s="331"/>
      <c r="CH518" s="331"/>
      <c r="CI518" s="331"/>
      <c r="CJ518" s="331"/>
      <c r="CK518" s="331"/>
      <c r="CL518" s="1310" t="str">
        <f t="shared" si="1261"/>
        <v>% of Net revenue</v>
      </c>
      <c r="CM518" s="492"/>
      <c r="CN518" s="492"/>
      <c r="CO518" s="492"/>
      <c r="CP518" s="492"/>
      <c r="CQ518" s="492"/>
      <c r="CR518" s="492"/>
      <c r="CS518" s="492"/>
      <c r="CT518" s="492"/>
      <c r="CU518" s="492">
        <f t="shared" si="1262"/>
        <v>0</v>
      </c>
      <c r="CV518" s="492">
        <f t="shared" si="1263"/>
        <v>0</v>
      </c>
      <c r="CW518" s="492">
        <f t="shared" si="1264"/>
        <v>0.10973669411824287</v>
      </c>
      <c r="CX518" s="492">
        <f t="shared" si="1265"/>
        <v>0.10217403876196944</v>
      </c>
      <c r="CY518" s="492">
        <f t="shared" si="1266"/>
        <v>9.7748561156786831E-2</v>
      </c>
      <c r="CZ518" s="492">
        <f t="shared" si="1267"/>
        <v>8.8026638373553026E-2</v>
      </c>
      <c r="DA518" s="492">
        <f t="shared" si="1268"/>
        <v>8.4057940391838212E-2</v>
      </c>
      <c r="DB518" s="492">
        <f t="shared" si="1268"/>
        <v>8.2590873383332541E-2</v>
      </c>
      <c r="DC518" s="1311">
        <f t="shared" si="1268"/>
        <v>8.167031556559412E-2</v>
      </c>
      <c r="DD518" s="331"/>
      <c r="DE518" s="331"/>
      <c r="DF518" s="502"/>
      <c r="DG518" s="503"/>
      <c r="DH518" s="469"/>
      <c r="DI518" s="3213"/>
      <c r="DJ518" s="502"/>
      <c r="DK518" s="503"/>
      <c r="DL518" s="502"/>
      <c r="DM518" s="502"/>
      <c r="DN518" s="502"/>
      <c r="DO518" s="502"/>
      <c r="DP518" s="503"/>
      <c r="DQ518" s="503"/>
      <c r="DR518" s="296"/>
      <c r="DS518" s="296"/>
      <c r="DT518" s="296"/>
    </row>
    <row r="519" spans="1:124" ht="12" customHeight="1" x14ac:dyDescent="0.25">
      <c r="A519" s="333" t="s">
        <v>2226</v>
      </c>
      <c r="B519" s="333"/>
      <c r="C519" s="593"/>
      <c r="D519" s="593"/>
      <c r="E519" s="593"/>
      <c r="F519" s="593"/>
      <c r="G519" s="594"/>
      <c r="H519" s="593"/>
      <c r="I519" s="593"/>
      <c r="J519" s="593"/>
      <c r="K519" s="593"/>
      <c r="L519" s="594"/>
      <c r="M519" s="593"/>
      <c r="N519" s="593"/>
      <c r="O519" s="593"/>
      <c r="P519" s="593"/>
      <c r="Q519" s="594"/>
      <c r="R519" s="593"/>
      <c r="S519" s="593"/>
      <c r="T519" s="593"/>
      <c r="U519" s="593"/>
      <c r="V519" s="594"/>
      <c r="W519" s="593"/>
      <c r="X519" s="593"/>
      <c r="Y519" s="593"/>
      <c r="Z519" s="593"/>
      <c r="AA519" s="594"/>
      <c r="AB519" s="593"/>
      <c r="AC519" s="593"/>
      <c r="AD519" s="593"/>
      <c r="AE519" s="595"/>
      <c r="AF519" s="596"/>
      <c r="AG519" s="593"/>
      <c r="AH519" s="593"/>
      <c r="AI519" s="593"/>
      <c r="AJ519" s="595"/>
      <c r="AK519" s="596"/>
      <c r="AL519" s="593"/>
      <c r="AM519" s="593"/>
      <c r="AN519" s="593"/>
      <c r="AO519" s="595"/>
      <c r="AP519" s="597"/>
      <c r="AQ519" s="597"/>
      <c r="AR519" s="598"/>
      <c r="AS519" s="598"/>
      <c r="AT519" s="598"/>
      <c r="AU519" s="596"/>
      <c r="AV519" s="597"/>
      <c r="AW519" s="598"/>
      <c r="AX519" s="598"/>
      <c r="AY519" s="1922"/>
      <c r="AZ519" s="596"/>
      <c r="BA519" s="597"/>
      <c r="BB519" s="598"/>
      <c r="BC519" s="598">
        <f t="shared" ref="BC519:CA519" si="1276">BC514-BC517</f>
        <v>-0.13548114999999972</v>
      </c>
      <c r="BD519" s="1922">
        <f t="shared" si="1276"/>
        <v>1.8587627600000012</v>
      </c>
      <c r="BE519" s="1922">
        <f t="shared" si="1276"/>
        <v>1.7232816100000017</v>
      </c>
      <c r="BF519" s="598">
        <f t="shared" si="1276"/>
        <v>4.2831200000000003</v>
      </c>
      <c r="BG519" s="598">
        <f t="shared" si="1276"/>
        <v>3.9132323200000023</v>
      </c>
      <c r="BH519" s="598">
        <f t="shared" si="1276"/>
        <v>3.9008824000000004</v>
      </c>
      <c r="BI519" s="1922">
        <f t="shared" si="1276"/>
        <v>3.1427663600000031</v>
      </c>
      <c r="BJ519" s="1922">
        <f t="shared" si="1276"/>
        <v>15.240001080000006</v>
      </c>
      <c r="BK519" s="598">
        <f t="shared" si="1276"/>
        <v>4.9029104596934445</v>
      </c>
      <c r="BL519" s="598">
        <f t="shared" si="1276"/>
        <v>4.6485566944851122</v>
      </c>
      <c r="BM519" s="598">
        <f t="shared" si="1276"/>
        <v>4.6816690221589141</v>
      </c>
      <c r="BN519" s="1922">
        <f t="shared" si="1276"/>
        <v>3.6845941245868232</v>
      </c>
      <c r="BO519" s="1922">
        <f t="shared" si="1276"/>
        <v>17.917730300924294</v>
      </c>
      <c r="BP519" s="598">
        <f t="shared" ref="BP519:BX519" si="1277">BP514-BP517</f>
        <v>6.3501560502199865</v>
      </c>
      <c r="BQ519" s="598">
        <f t="shared" si="1277"/>
        <v>5.4842152226216605</v>
      </c>
      <c r="BR519" s="598">
        <f t="shared" si="1277"/>
        <v>5.6507587248815909</v>
      </c>
      <c r="BS519" s="598">
        <f t="shared" si="1277"/>
        <v>5.2343842199333785</v>
      </c>
      <c r="BT519" s="596">
        <f t="shared" si="1277"/>
        <v>22.719514217656616</v>
      </c>
      <c r="BU519" s="598">
        <f t="shared" si="1277"/>
        <v>7.1246923076923068</v>
      </c>
      <c r="BV519" s="598">
        <f t="shared" si="1277"/>
        <v>6.060284059502564</v>
      </c>
      <c r="BW519" s="598">
        <f t="shared" si="1277"/>
        <v>6.3658217856763351</v>
      </c>
      <c r="BX519" s="598">
        <f t="shared" si="1277"/>
        <v>5.9251150596821454</v>
      </c>
      <c r="BY519" s="596">
        <f>BY514-BY517</f>
        <v>25.475913212553351</v>
      </c>
      <c r="BZ519" s="596">
        <f t="shared" si="1276"/>
        <v>27.380865460243953</v>
      </c>
      <c r="CA519" s="596">
        <f t="shared" si="1276"/>
        <v>27.811029627398099</v>
      </c>
      <c r="CB519" s="596">
        <f>CB514-CB517</f>
        <v>25.463211062274368</v>
      </c>
      <c r="CC519" s="596">
        <f>CC514-CC517</f>
        <v>23.450400530402888</v>
      </c>
      <c r="CD519" s="596">
        <f>CD514-CD517</f>
        <v>24.295915199055173</v>
      </c>
      <c r="CE519" s="596">
        <f>CE514-CE517</f>
        <v>25.349027289997736</v>
      </c>
      <c r="CF519" s="596">
        <f>CF514-CF517</f>
        <v>26.051956482207004</v>
      </c>
      <c r="CG519" s="502"/>
      <c r="CH519" s="502"/>
      <c r="CI519" s="502"/>
      <c r="CJ519" s="502"/>
      <c r="CK519" s="502"/>
      <c r="CL519" s="1149" t="str">
        <f t="shared" si="1261"/>
        <v>Operating Income</v>
      </c>
      <c r="CM519" s="598"/>
      <c r="CN519" s="598"/>
      <c r="CO519" s="598"/>
      <c r="CP519" s="598"/>
      <c r="CQ519" s="598"/>
      <c r="CR519" s="598"/>
      <c r="CS519" s="598"/>
      <c r="CT519" s="598"/>
      <c r="CU519" s="598">
        <f t="shared" si="1262"/>
        <v>0</v>
      </c>
      <c r="CV519" s="598">
        <f t="shared" si="1263"/>
        <v>0</v>
      </c>
      <c r="CW519" s="598">
        <f t="shared" si="1264"/>
        <v>1.7232816100000017</v>
      </c>
      <c r="CX519" s="598">
        <f t="shared" si="1265"/>
        <v>15.240001080000006</v>
      </c>
      <c r="CY519" s="598">
        <f t="shared" si="1266"/>
        <v>17.917730300924294</v>
      </c>
      <c r="CZ519" s="598">
        <f t="shared" si="1267"/>
        <v>22.719514217656616</v>
      </c>
      <c r="DA519" s="598">
        <f t="shared" si="1268"/>
        <v>25.475913212553351</v>
      </c>
      <c r="DB519" s="598">
        <f t="shared" si="1268"/>
        <v>27.380865460243953</v>
      </c>
      <c r="DC519" s="1922">
        <f t="shared" si="1268"/>
        <v>27.811029627398099</v>
      </c>
      <c r="DD519" s="502"/>
      <c r="DE519" s="502"/>
      <c r="DF519" s="502"/>
      <c r="DG519" s="503"/>
      <c r="DH519" s="598"/>
      <c r="DI519" s="3213"/>
      <c r="DJ519" s="502"/>
      <c r="DK519" s="503"/>
      <c r="DL519" s="502"/>
      <c r="DM519" s="502"/>
      <c r="DN519" s="502"/>
      <c r="DO519" s="502"/>
      <c r="DP519" s="503"/>
      <c r="DQ519" s="503"/>
      <c r="DR519" s="719"/>
      <c r="DS519" s="719"/>
      <c r="DT519" s="719"/>
    </row>
    <row r="520" spans="1:124" ht="12" customHeight="1" x14ac:dyDescent="0.25">
      <c r="A520" s="281"/>
      <c r="B520" s="281"/>
      <c r="C520" s="305"/>
      <c r="D520" s="305"/>
      <c r="E520" s="305"/>
      <c r="F520" s="305"/>
      <c r="G520" s="440"/>
      <c r="H520" s="305"/>
      <c r="I520" s="305"/>
      <c r="J520" s="305"/>
      <c r="K520" s="305"/>
      <c r="L520" s="440"/>
      <c r="M520" s="305"/>
      <c r="N520" s="305"/>
      <c r="O520" s="305"/>
      <c r="P520" s="305"/>
      <c r="Q520" s="440"/>
      <c r="R520" s="305"/>
      <c r="S520" s="305"/>
      <c r="T520" s="305"/>
      <c r="U520" s="305"/>
      <c r="V520" s="440"/>
      <c r="W520" s="305"/>
      <c r="X520" s="305"/>
      <c r="Y520" s="305"/>
      <c r="Z520" s="305"/>
      <c r="AA520" s="440"/>
      <c r="AB520" s="305"/>
      <c r="AC520" s="305"/>
      <c r="AD520" s="305"/>
      <c r="AE520" s="331"/>
      <c r="AF520" s="441"/>
      <c r="AG520" s="331"/>
      <c r="AH520" s="331"/>
      <c r="AI520" s="331"/>
      <c r="AJ520" s="331"/>
      <c r="AK520" s="441"/>
      <c r="AL520" s="442"/>
      <c r="AM520" s="442"/>
      <c r="AN520" s="442"/>
      <c r="AO520" s="442"/>
      <c r="AP520" s="443"/>
      <c r="AQ520" s="443"/>
      <c r="AR520" s="331"/>
      <c r="AS520" s="331"/>
      <c r="AT520" s="331"/>
      <c r="AU520" s="349"/>
      <c r="AV520" s="443"/>
      <c r="AW520" s="331"/>
      <c r="AX520" s="331"/>
      <c r="AY520" s="1306"/>
      <c r="AZ520" s="349"/>
      <c r="BA520" s="443"/>
      <c r="BB520" s="331"/>
      <c r="BC520" s="331"/>
      <c r="BD520" s="1306"/>
      <c r="BE520" s="1306"/>
      <c r="BF520" s="331"/>
      <c r="BG520" s="331"/>
      <c r="BH520" s="331"/>
      <c r="BI520" s="1306"/>
      <c r="BJ520" s="1306"/>
      <c r="BK520" s="331"/>
      <c r="BL520" s="331"/>
      <c r="BM520" s="331"/>
      <c r="BN520" s="1306"/>
      <c r="BO520" s="1306"/>
      <c r="BP520" s="331"/>
      <c r="BQ520" s="331"/>
      <c r="BR520" s="331"/>
      <c r="BS520" s="331"/>
      <c r="BT520" s="3222"/>
      <c r="BU520" s="3393"/>
      <c r="BV520" s="2601"/>
      <c r="BW520" s="2601"/>
      <c r="BX520" s="2601"/>
      <c r="BY520" s="3222"/>
      <c r="BZ520" s="349"/>
      <c r="CA520" s="349"/>
      <c r="CB520" s="349"/>
      <c r="CC520" s="349"/>
      <c r="CD520" s="349"/>
      <c r="CE520" s="349"/>
      <c r="CF520" s="349"/>
      <c r="CG520" s="331"/>
      <c r="CH520" s="331"/>
      <c r="CI520" s="331"/>
      <c r="CJ520" s="331"/>
      <c r="CK520" s="331"/>
      <c r="CL520" s="520"/>
      <c r="CM520" s="331"/>
      <c r="CN520" s="331"/>
      <c r="CO520" s="331"/>
      <c r="CP520" s="331"/>
      <c r="CQ520" s="331"/>
      <c r="CR520" s="331"/>
      <c r="CS520" s="331"/>
      <c r="CT520" s="331"/>
      <c r="CU520" s="331"/>
      <c r="CV520" s="331"/>
      <c r="CW520" s="331"/>
      <c r="CX520" s="331"/>
      <c r="CY520" s="331"/>
      <c r="CZ520" s="331"/>
      <c r="DA520" s="331"/>
      <c r="DB520" s="331"/>
      <c r="DC520" s="1306"/>
      <c r="DD520" s="331"/>
      <c r="DE520" s="331"/>
      <c r="DF520" s="502"/>
      <c r="DG520" s="503"/>
      <c r="DH520" s="2601"/>
      <c r="DI520" s="3213"/>
      <c r="DJ520" s="502"/>
      <c r="DK520" s="503"/>
      <c r="DL520" s="502"/>
      <c r="DM520" s="502"/>
      <c r="DN520" s="502"/>
      <c r="DO520" s="502"/>
      <c r="DP520" s="503"/>
      <c r="DQ520" s="503"/>
      <c r="DR520" s="296"/>
      <c r="DS520" s="296"/>
      <c r="DT520" s="296"/>
    </row>
    <row r="521" spans="1:124" ht="12" customHeight="1" x14ac:dyDescent="0.25">
      <c r="A521" s="2125" t="s">
        <v>228</v>
      </c>
      <c r="B521" s="428"/>
      <c r="C521" s="502"/>
      <c r="D521" s="502"/>
      <c r="E521" s="502"/>
      <c r="F521" s="502"/>
      <c r="G521" s="534"/>
      <c r="H521" s="502"/>
      <c r="I521" s="502"/>
      <c r="J521" s="502"/>
      <c r="K521" s="502"/>
      <c r="L521" s="534"/>
      <c r="M521" s="502"/>
      <c r="N521" s="502"/>
      <c r="O521" s="502"/>
      <c r="P521" s="502"/>
      <c r="Q521" s="534"/>
      <c r="R521" s="502"/>
      <c r="S521" s="502"/>
      <c r="T521" s="502"/>
      <c r="U521" s="502"/>
      <c r="V521" s="534"/>
      <c r="W521" s="502"/>
      <c r="X521" s="502"/>
      <c r="Y521" s="502"/>
      <c r="Z521" s="502"/>
      <c r="AA521" s="534"/>
      <c r="AB521" s="502"/>
      <c r="AC521" s="502"/>
      <c r="AD521" s="502"/>
      <c r="AE521" s="502"/>
      <c r="AF521" s="534"/>
      <c r="AG521" s="502"/>
      <c r="AH521" s="502"/>
      <c r="AI521" s="502"/>
      <c r="AJ521" s="502"/>
      <c r="AK521" s="534"/>
      <c r="AL521" s="503"/>
      <c r="AM521" s="503"/>
      <c r="AN521" s="503"/>
      <c r="AO521" s="503"/>
      <c r="AP521" s="535"/>
      <c r="AQ521" s="535"/>
      <c r="AR521" s="537"/>
      <c r="AS521" s="537"/>
      <c r="AT521" s="537"/>
      <c r="AU521" s="536"/>
      <c r="AV521" s="535"/>
      <c r="AW521" s="537"/>
      <c r="AX521" s="537"/>
      <c r="AY521" s="1926"/>
      <c r="AZ521" s="536"/>
      <c r="BA521" s="535"/>
      <c r="BB521" s="537"/>
      <c r="BC521" s="537"/>
      <c r="BD521" s="1926"/>
      <c r="BE521" s="1926"/>
      <c r="BF521" s="537"/>
      <c r="BG521" s="537"/>
      <c r="BH521" s="537"/>
      <c r="BI521" s="1926"/>
      <c r="BJ521" s="1926"/>
      <c r="BK521" s="537"/>
      <c r="BL521" s="537"/>
      <c r="BM521" s="537"/>
      <c r="BN521" s="1926"/>
      <c r="BO521" s="1926"/>
      <c r="BP521" s="537"/>
      <c r="BQ521" s="537"/>
      <c r="BR521" s="537"/>
      <c r="BS521" s="537"/>
      <c r="BT521" s="536"/>
      <c r="BU521" s="535"/>
      <c r="BV521" s="537"/>
      <c r="BW521" s="537"/>
      <c r="BX521" s="537"/>
      <c r="BY521" s="536"/>
      <c r="BZ521" s="536"/>
      <c r="CA521" s="536"/>
      <c r="CB521" s="536"/>
      <c r="CC521" s="536"/>
      <c r="CD521" s="536"/>
      <c r="CE521" s="536"/>
      <c r="CF521" s="536"/>
      <c r="CG521" s="331"/>
      <c r="CH521" s="331"/>
      <c r="CI521" s="331"/>
      <c r="CJ521" s="331"/>
      <c r="CK521" s="331"/>
      <c r="CL521" s="2036" t="str">
        <f t="shared" ref="CL521:CL527" si="1278">A521</f>
        <v>Hollywood Mahoning</v>
      </c>
      <c r="CM521" s="537">
        <f>G521</f>
        <v>0</v>
      </c>
      <c r="CN521" s="537">
        <f>L521</f>
        <v>0</v>
      </c>
      <c r="CO521" s="537">
        <f>Q521</f>
        <v>0</v>
      </c>
      <c r="CP521" s="537">
        <f>V521</f>
        <v>0</v>
      </c>
      <c r="CQ521" s="537">
        <f>AA521</f>
        <v>0</v>
      </c>
      <c r="CR521" s="537">
        <f>AF521</f>
        <v>0</v>
      </c>
      <c r="CS521" s="537">
        <f>AK521</f>
        <v>0</v>
      </c>
      <c r="CT521" s="537">
        <f>AP521</f>
        <v>0</v>
      </c>
      <c r="CU521" s="537">
        <f t="shared" ref="CU521:CU526" si="1279">AU521</f>
        <v>0</v>
      </c>
      <c r="CV521" s="537">
        <f t="shared" ref="CV521:CV527" si="1280">AZ521</f>
        <v>0</v>
      </c>
      <c r="CW521" s="537">
        <f t="shared" ref="CW521:CW527" si="1281">BE521</f>
        <v>0</v>
      </c>
      <c r="CX521" s="537">
        <f t="shared" ref="CX521:CX527" si="1282">BJ521</f>
        <v>0</v>
      </c>
      <c r="CY521" s="537">
        <f t="shared" ref="CY521:CY527" si="1283">BO521</f>
        <v>0</v>
      </c>
      <c r="CZ521" s="537">
        <f t="shared" ref="CZ521:CZ527" si="1284">BT521</f>
        <v>0</v>
      </c>
      <c r="DA521" s="537">
        <f t="shared" ref="DA521:DC527" si="1285">BY521</f>
        <v>0</v>
      </c>
      <c r="DB521" s="537">
        <f t="shared" si="1285"/>
        <v>0</v>
      </c>
      <c r="DC521" s="1926">
        <f t="shared" si="1285"/>
        <v>0</v>
      </c>
      <c r="DD521" s="331"/>
      <c r="DE521" s="331"/>
      <c r="DF521" s="502"/>
      <c r="DG521" s="503"/>
      <c r="DH521" s="537"/>
      <c r="DI521" s="3213"/>
      <c r="DJ521" s="502"/>
      <c r="DK521" s="503"/>
      <c r="DL521" s="502"/>
      <c r="DM521" s="502"/>
      <c r="DN521" s="502"/>
      <c r="DO521" s="502"/>
      <c r="DP521" s="503"/>
      <c r="DQ521" s="503"/>
      <c r="DR521" s="428"/>
      <c r="DS521" s="428"/>
      <c r="DT521" s="428"/>
    </row>
    <row r="522" spans="1:124" ht="12" customHeight="1" x14ac:dyDescent="0.25">
      <c r="A522" s="281" t="s">
        <v>894</v>
      </c>
      <c r="B522" s="281"/>
      <c r="C522" s="305"/>
      <c r="D522" s="305"/>
      <c r="E522" s="305"/>
      <c r="F522" s="305"/>
      <c r="G522" s="345"/>
      <c r="H522" s="305"/>
      <c r="I522" s="305"/>
      <c r="J522" s="305"/>
      <c r="K522" s="305"/>
      <c r="L522" s="345"/>
      <c r="M522" s="305"/>
      <c r="N522" s="305"/>
      <c r="O522" s="305"/>
      <c r="P522" s="305"/>
      <c r="Q522" s="345"/>
      <c r="R522" s="305"/>
      <c r="S522" s="305"/>
      <c r="T522" s="305"/>
      <c r="U522" s="305"/>
      <c r="V522" s="345"/>
      <c r="W522" s="305"/>
      <c r="X522" s="305"/>
      <c r="Y522" s="305"/>
      <c r="Z522" s="305"/>
      <c r="AA522" s="345"/>
      <c r="AB522" s="305"/>
      <c r="AC522" s="305"/>
      <c r="AD522" s="305"/>
      <c r="AE522" s="331"/>
      <c r="AF522" s="348"/>
      <c r="AG522" s="305"/>
      <c r="AH522" s="305"/>
      <c r="AI522" s="305"/>
      <c r="AJ522" s="331"/>
      <c r="AK522" s="348"/>
      <c r="AL522" s="305"/>
      <c r="AM522" s="305"/>
      <c r="AN522" s="305"/>
      <c r="AO522" s="331"/>
      <c r="AP522" s="568"/>
      <c r="AQ522" s="568"/>
      <c r="AR522" s="330"/>
      <c r="AS522" s="330"/>
      <c r="AT522" s="330"/>
      <c r="AU522" s="348"/>
      <c r="AV522" s="568"/>
      <c r="AW522" s="330"/>
      <c r="AX522" s="330"/>
      <c r="AY522" s="1888"/>
      <c r="AZ522" s="349"/>
      <c r="BA522" s="568"/>
      <c r="BB522" s="330"/>
      <c r="BC522" s="330">
        <f>BC523+(BC524*BC$320)</f>
        <v>850</v>
      </c>
      <c r="BD522" s="1888">
        <f>BD523+(BD524*BD$320)</f>
        <v>863</v>
      </c>
      <c r="BE522" s="1895">
        <f>BD522</f>
        <v>863</v>
      </c>
      <c r="BF522" s="330">
        <f>BF523+(BF524*BF$320)</f>
        <v>866</v>
      </c>
      <c r="BG522" s="330">
        <f>BG523+(BG524*BG$320)</f>
        <v>866</v>
      </c>
      <c r="BH522" s="330">
        <f>BH523+(BH524*BH$320)</f>
        <v>892</v>
      </c>
      <c r="BI522" s="1888">
        <f>BI523+(BI524*BI$320)</f>
        <v>940</v>
      </c>
      <c r="BJ522" s="1895">
        <f>BI522</f>
        <v>940</v>
      </c>
      <c r="BK522" s="330">
        <f>BK523+(BK524*BK$320)</f>
        <v>939</v>
      </c>
      <c r="BL522" s="330">
        <f>BL523+(BL524*BL$320)</f>
        <v>936</v>
      </c>
      <c r="BM522" s="330">
        <f>BM523+(BM524*BM$320)</f>
        <v>980</v>
      </c>
      <c r="BN522" s="1888">
        <f>BN523+(BN524*BN$320)</f>
        <v>982</v>
      </c>
      <c r="BO522" s="1895">
        <f>BN522</f>
        <v>982</v>
      </c>
      <c r="BP522" s="330">
        <f>BP523+(BP524*BP$320)</f>
        <v>987</v>
      </c>
      <c r="BQ522" s="330">
        <f>BQ523+(BQ524*BQ$320)</f>
        <v>1007</v>
      </c>
      <c r="BR522" s="330">
        <f>BR523+(BR524*BR$320)</f>
        <v>1034.6666666666667</v>
      </c>
      <c r="BS522" s="330">
        <f>BS523+(BS524*BS$320)</f>
        <v>1035</v>
      </c>
      <c r="BT522" s="3222">
        <f>BS522</f>
        <v>1035</v>
      </c>
      <c r="BU522" s="2909">
        <f>BU523+(BU524*BU$320)</f>
        <v>1034</v>
      </c>
      <c r="BV522" s="2909">
        <f>BV523+(BV524*BV$320)</f>
        <v>1034</v>
      </c>
      <c r="BW522" s="2909">
        <f>BW523+(BW524*BW$320)</f>
        <v>1034</v>
      </c>
      <c r="BX522" s="2909">
        <f>BX523+(BX524*BX$320)</f>
        <v>1034</v>
      </c>
      <c r="BY522" s="3222">
        <f>BX522</f>
        <v>1034</v>
      </c>
      <c r="BZ522" s="349">
        <f t="shared" ref="BZ522:CF522" si="1286">BZ523+(BZ524*BZ$320)</f>
        <v>1034</v>
      </c>
      <c r="CA522" s="349">
        <f t="shared" si="1286"/>
        <v>1034</v>
      </c>
      <c r="CB522" s="349">
        <f t="shared" si="1286"/>
        <v>1034</v>
      </c>
      <c r="CC522" s="349">
        <f t="shared" si="1286"/>
        <v>1034</v>
      </c>
      <c r="CD522" s="349">
        <f t="shared" si="1286"/>
        <v>1034</v>
      </c>
      <c r="CE522" s="349">
        <f t="shared" si="1286"/>
        <v>1034</v>
      </c>
      <c r="CF522" s="349">
        <f t="shared" si="1286"/>
        <v>1034</v>
      </c>
      <c r="CG522" s="331"/>
      <c r="CH522" s="331"/>
      <c r="CI522" s="331"/>
      <c r="CJ522" s="331"/>
      <c r="CK522" s="331"/>
      <c r="CL522" s="520" t="str">
        <f t="shared" si="1278"/>
        <v>Positions</v>
      </c>
      <c r="CM522" s="330"/>
      <c r="CN522" s="330"/>
      <c r="CO522" s="330"/>
      <c r="CP522" s="330"/>
      <c r="CQ522" s="330"/>
      <c r="CR522" s="330"/>
      <c r="CS522" s="330"/>
      <c r="CT522" s="330"/>
      <c r="CU522" s="330">
        <f t="shared" si="1279"/>
        <v>0</v>
      </c>
      <c r="CV522" s="330">
        <f t="shared" si="1280"/>
        <v>0</v>
      </c>
      <c r="CW522" s="330">
        <f t="shared" si="1281"/>
        <v>863</v>
      </c>
      <c r="CX522" s="330">
        <f t="shared" si="1282"/>
        <v>940</v>
      </c>
      <c r="CY522" s="330">
        <f t="shared" si="1283"/>
        <v>982</v>
      </c>
      <c r="CZ522" s="330">
        <f t="shared" si="1284"/>
        <v>1035</v>
      </c>
      <c r="DA522" s="330">
        <f t="shared" si="1285"/>
        <v>1034</v>
      </c>
      <c r="DB522" s="330">
        <f t="shared" si="1285"/>
        <v>1034</v>
      </c>
      <c r="DC522" s="1888">
        <f t="shared" si="1285"/>
        <v>1034</v>
      </c>
      <c r="DD522" s="331"/>
      <c r="DE522" s="331"/>
      <c r="DF522" s="502"/>
      <c r="DG522" s="503"/>
      <c r="DH522" s="2601"/>
      <c r="DI522" s="3213"/>
      <c r="DJ522" s="502"/>
      <c r="DK522" s="503"/>
      <c r="DL522" s="502"/>
      <c r="DM522" s="502"/>
      <c r="DN522" s="502"/>
      <c r="DO522" s="502"/>
      <c r="DP522" s="503"/>
      <c r="DQ522" s="503"/>
      <c r="DR522" s="296"/>
      <c r="DS522" s="296"/>
      <c r="DT522" s="296"/>
    </row>
    <row r="523" spans="1:124" ht="12" customHeight="1" x14ac:dyDescent="0.25">
      <c r="A523" s="281" t="s">
        <v>585</v>
      </c>
      <c r="B523" s="281"/>
      <c r="C523" s="340"/>
      <c r="D523" s="340"/>
      <c r="E523" s="340"/>
      <c r="F523" s="340"/>
      <c r="G523" s="345"/>
      <c r="H523" s="340"/>
      <c r="I523" s="340"/>
      <c r="J523" s="340"/>
      <c r="K523" s="340"/>
      <c r="L523" s="345"/>
      <c r="M523" s="340"/>
      <c r="N523" s="340"/>
      <c r="O523" s="340"/>
      <c r="P523" s="340"/>
      <c r="Q523" s="345"/>
      <c r="R523" s="340"/>
      <c r="S523" s="340"/>
      <c r="T523" s="340"/>
      <c r="U523" s="340"/>
      <c r="V523" s="345"/>
      <c r="W523" s="340"/>
      <c r="X523" s="340"/>
      <c r="Y523" s="340"/>
      <c r="Z523" s="340"/>
      <c r="AA523" s="345"/>
      <c r="AB523" s="340"/>
      <c r="AC523" s="340"/>
      <c r="AD523" s="340"/>
      <c r="AE523" s="339"/>
      <c r="AF523" s="348"/>
      <c r="AG523" s="340"/>
      <c r="AH523" s="340"/>
      <c r="AI523" s="340"/>
      <c r="AJ523" s="339"/>
      <c r="AK523" s="348"/>
      <c r="AL523" s="340"/>
      <c r="AM523" s="340"/>
      <c r="AN523" s="340"/>
      <c r="AO523" s="339"/>
      <c r="AP523" s="568"/>
      <c r="AQ523" s="568"/>
      <c r="AR523" s="338"/>
      <c r="AS523" s="338"/>
      <c r="AT523" s="330"/>
      <c r="AU523" s="348"/>
      <c r="AV523" s="568"/>
      <c r="AW523" s="330"/>
      <c r="AX523" s="330"/>
      <c r="AY523" s="1888"/>
      <c r="AZ523" s="348"/>
      <c r="BA523" s="568"/>
      <c r="BB523" s="330"/>
      <c r="BC523" s="338">
        <v>850</v>
      </c>
      <c r="BD523" s="2557">
        <v>863</v>
      </c>
      <c r="BE523" s="1895">
        <f>BD523</f>
        <v>863</v>
      </c>
      <c r="BF523" s="2942">
        <v>866</v>
      </c>
      <c r="BG523" s="2942">
        <v>866</v>
      </c>
      <c r="BH523" s="2942">
        <v>892</v>
      </c>
      <c r="BI523" s="2939">
        <v>940</v>
      </c>
      <c r="BJ523" s="1895">
        <f>BI523</f>
        <v>940</v>
      </c>
      <c r="BK523" s="2942">
        <v>939</v>
      </c>
      <c r="BL523" s="2942">
        <v>936</v>
      </c>
      <c r="BM523" s="2942">
        <v>980</v>
      </c>
      <c r="BN523" s="2939">
        <v>982</v>
      </c>
      <c r="BO523" s="1895">
        <f>BN523</f>
        <v>982</v>
      </c>
      <c r="BP523" s="2942">
        <v>987</v>
      </c>
      <c r="BQ523" s="2942">
        <v>1007</v>
      </c>
      <c r="BR523" s="2942">
        <v>1034.6666666666667</v>
      </c>
      <c r="BS523" s="2942">
        <v>1035</v>
      </c>
      <c r="BT523" s="3081">
        <f>BS523</f>
        <v>1035</v>
      </c>
      <c r="BU523" s="2942">
        <v>1034</v>
      </c>
      <c r="BV523" s="2079">
        <f>+BU523</f>
        <v>1034</v>
      </c>
      <c r="BW523" s="2079">
        <f>+BV523</f>
        <v>1034</v>
      </c>
      <c r="BX523" s="2079">
        <f>+BW523</f>
        <v>1034</v>
      </c>
      <c r="BY523" s="3081">
        <f>BX523</f>
        <v>1034</v>
      </c>
      <c r="BZ523" s="348">
        <f>BY523</f>
        <v>1034</v>
      </c>
      <c r="CA523" s="348">
        <f>BZ523</f>
        <v>1034</v>
      </c>
      <c r="CB523" s="348">
        <f t="shared" ref="CB523:CF524" si="1287">CA523</f>
        <v>1034</v>
      </c>
      <c r="CC523" s="348">
        <f t="shared" si="1287"/>
        <v>1034</v>
      </c>
      <c r="CD523" s="348">
        <f t="shared" si="1287"/>
        <v>1034</v>
      </c>
      <c r="CE523" s="348">
        <f t="shared" si="1287"/>
        <v>1034</v>
      </c>
      <c r="CF523" s="348">
        <f t="shared" si="1287"/>
        <v>1034</v>
      </c>
      <c r="CG523" s="331"/>
      <c r="CH523" s="331"/>
      <c r="CI523" s="331"/>
      <c r="CJ523" s="331"/>
      <c r="CK523" s="331"/>
      <c r="CL523" s="520" t="str">
        <f t="shared" si="1278"/>
        <v>Slots</v>
      </c>
      <c r="CM523" s="330"/>
      <c r="CN523" s="330"/>
      <c r="CO523" s="330"/>
      <c r="CP523" s="330"/>
      <c r="CQ523" s="330"/>
      <c r="CR523" s="330"/>
      <c r="CS523" s="330"/>
      <c r="CT523" s="330"/>
      <c r="CU523" s="330">
        <f t="shared" si="1279"/>
        <v>0</v>
      </c>
      <c r="CV523" s="330">
        <f t="shared" si="1280"/>
        <v>0</v>
      </c>
      <c r="CW523" s="330">
        <f t="shared" si="1281"/>
        <v>863</v>
      </c>
      <c r="CX523" s="330">
        <f t="shared" si="1282"/>
        <v>940</v>
      </c>
      <c r="CY523" s="330">
        <f t="shared" si="1283"/>
        <v>982</v>
      </c>
      <c r="CZ523" s="330">
        <f t="shared" si="1284"/>
        <v>1035</v>
      </c>
      <c r="DA523" s="330">
        <f t="shared" si="1285"/>
        <v>1034</v>
      </c>
      <c r="DB523" s="330">
        <f t="shared" si="1285"/>
        <v>1034</v>
      </c>
      <c r="DC523" s="1888">
        <f t="shared" si="1285"/>
        <v>1034</v>
      </c>
      <c r="DD523" s="331"/>
      <c r="DE523" s="331"/>
      <c r="DF523" s="502"/>
      <c r="DG523" s="503"/>
      <c r="DH523" s="2909"/>
      <c r="DI523" s="3213"/>
      <c r="DJ523" s="502"/>
      <c r="DK523" s="503"/>
      <c r="DL523" s="502"/>
      <c r="DM523" s="502"/>
      <c r="DN523" s="502"/>
      <c r="DO523" s="502"/>
      <c r="DP523" s="503"/>
      <c r="DQ523" s="503"/>
      <c r="DR523" s="296"/>
      <c r="DS523" s="296"/>
      <c r="DT523" s="296"/>
    </row>
    <row r="524" spans="1:124" ht="12" customHeight="1" x14ac:dyDescent="0.25">
      <c r="A524" s="281" t="s">
        <v>584</v>
      </c>
      <c r="B524" s="281"/>
      <c r="C524" s="340"/>
      <c r="D524" s="340"/>
      <c r="E524" s="340"/>
      <c r="F524" s="340"/>
      <c r="G524" s="345"/>
      <c r="H524" s="340"/>
      <c r="I524" s="340"/>
      <c r="J524" s="340"/>
      <c r="K524" s="340"/>
      <c r="L524" s="345"/>
      <c r="M524" s="340"/>
      <c r="N524" s="340"/>
      <c r="O524" s="340"/>
      <c r="P524" s="340"/>
      <c r="Q524" s="345"/>
      <c r="R524" s="340"/>
      <c r="S524" s="340"/>
      <c r="T524" s="340"/>
      <c r="U524" s="340"/>
      <c r="V524" s="345"/>
      <c r="W524" s="340"/>
      <c r="X524" s="340"/>
      <c r="Y524" s="340"/>
      <c r="Z524" s="340"/>
      <c r="AA524" s="345"/>
      <c r="AB524" s="340"/>
      <c r="AC524" s="340"/>
      <c r="AD524" s="340"/>
      <c r="AE524" s="339"/>
      <c r="AF524" s="348"/>
      <c r="AG524" s="340"/>
      <c r="AH524" s="340"/>
      <c r="AI524" s="340"/>
      <c r="AJ524" s="339"/>
      <c r="AK524" s="348"/>
      <c r="AL524" s="340"/>
      <c r="AM524" s="340"/>
      <c r="AN524" s="340"/>
      <c r="AO524" s="339"/>
      <c r="AP524" s="568"/>
      <c r="AQ524" s="568"/>
      <c r="AR524" s="338"/>
      <c r="AS524" s="338"/>
      <c r="AT524" s="330"/>
      <c r="AU524" s="348"/>
      <c r="AV524" s="568"/>
      <c r="AW524" s="330"/>
      <c r="AX524" s="330"/>
      <c r="AY524" s="1888"/>
      <c r="AZ524" s="348"/>
      <c r="BA524" s="568"/>
      <c r="BB524" s="330"/>
      <c r="BC524" s="2942">
        <v>0</v>
      </c>
      <c r="BD524" s="2939">
        <v>0</v>
      </c>
      <c r="BE524" s="1895">
        <f>BD524</f>
        <v>0</v>
      </c>
      <c r="BF524" s="2942">
        <v>0</v>
      </c>
      <c r="BG524" s="2942">
        <v>0</v>
      </c>
      <c r="BH524" s="2942">
        <v>0</v>
      </c>
      <c r="BI524" s="2942">
        <v>0</v>
      </c>
      <c r="BJ524" s="1895">
        <f>BI524</f>
        <v>0</v>
      </c>
      <c r="BK524" s="2942">
        <v>0</v>
      </c>
      <c r="BL524" s="2942">
        <v>0</v>
      </c>
      <c r="BM524" s="2942">
        <v>0</v>
      </c>
      <c r="BN524" s="2942">
        <v>0</v>
      </c>
      <c r="BO524" s="552">
        <f>BN524</f>
        <v>0</v>
      </c>
      <c r="BP524" s="2942">
        <v>0</v>
      </c>
      <c r="BQ524" s="2942">
        <v>0</v>
      </c>
      <c r="BR524" s="2942">
        <v>0</v>
      </c>
      <c r="BS524" s="2942">
        <v>0</v>
      </c>
      <c r="BT524" s="3081">
        <f>BS524</f>
        <v>0</v>
      </c>
      <c r="BU524" s="338">
        <v>0</v>
      </c>
      <c r="BV524" s="338">
        <v>0</v>
      </c>
      <c r="BW524" s="338">
        <v>0</v>
      </c>
      <c r="BX524" s="338">
        <v>0</v>
      </c>
      <c r="BY524" s="3081">
        <f>BX524</f>
        <v>0</v>
      </c>
      <c r="BZ524" s="348">
        <f>BY524</f>
        <v>0</v>
      </c>
      <c r="CA524" s="348">
        <f>BZ524</f>
        <v>0</v>
      </c>
      <c r="CB524" s="348">
        <f t="shared" si="1287"/>
        <v>0</v>
      </c>
      <c r="CC524" s="348">
        <f t="shared" si="1287"/>
        <v>0</v>
      </c>
      <c r="CD524" s="348">
        <f t="shared" si="1287"/>
        <v>0</v>
      </c>
      <c r="CE524" s="348">
        <f t="shared" si="1287"/>
        <v>0</v>
      </c>
      <c r="CF524" s="348">
        <f t="shared" si="1287"/>
        <v>0</v>
      </c>
      <c r="CG524" s="331"/>
      <c r="CH524" s="331"/>
      <c r="CI524" s="331"/>
      <c r="CJ524" s="331"/>
      <c r="CK524" s="331"/>
      <c r="CL524" s="520" t="str">
        <f t="shared" si="1278"/>
        <v>Tables</v>
      </c>
      <c r="CM524" s="330"/>
      <c r="CN524" s="330"/>
      <c r="CO524" s="330"/>
      <c r="CP524" s="330"/>
      <c r="CQ524" s="330"/>
      <c r="CR524" s="330"/>
      <c r="CS524" s="330"/>
      <c r="CT524" s="330"/>
      <c r="CU524" s="330">
        <f t="shared" si="1279"/>
        <v>0</v>
      </c>
      <c r="CV524" s="330">
        <f t="shared" si="1280"/>
        <v>0</v>
      </c>
      <c r="CW524" s="330">
        <f t="shared" si="1281"/>
        <v>0</v>
      </c>
      <c r="CX524" s="330">
        <f t="shared" si="1282"/>
        <v>0</v>
      </c>
      <c r="CY524" s="330">
        <f t="shared" si="1283"/>
        <v>0</v>
      </c>
      <c r="CZ524" s="330">
        <f t="shared" si="1284"/>
        <v>0</v>
      </c>
      <c r="DA524" s="330">
        <f t="shared" si="1285"/>
        <v>0</v>
      </c>
      <c r="DB524" s="330">
        <f t="shared" si="1285"/>
        <v>0</v>
      </c>
      <c r="DC524" s="1888">
        <f t="shared" si="1285"/>
        <v>0</v>
      </c>
      <c r="DD524" s="331"/>
      <c r="DE524" s="331"/>
      <c r="DF524" s="502"/>
      <c r="DG524" s="503"/>
      <c r="DH524" s="2909"/>
      <c r="DI524" s="3213"/>
      <c r="DJ524" s="502"/>
      <c r="DK524" s="503"/>
      <c r="DL524" s="502"/>
      <c r="DM524" s="502"/>
      <c r="DN524" s="502"/>
      <c r="DO524" s="502"/>
      <c r="DP524" s="503"/>
      <c r="DQ524" s="503"/>
      <c r="DR524" s="296"/>
      <c r="DS524" s="296"/>
      <c r="DT524" s="296"/>
    </row>
    <row r="525" spans="1:124" ht="12" customHeight="1" x14ac:dyDescent="0.25">
      <c r="A525" s="511" t="s">
        <v>2111</v>
      </c>
      <c r="B525" s="281"/>
      <c r="C525" s="340"/>
      <c r="D525" s="305"/>
      <c r="E525" s="305"/>
      <c r="F525" s="305"/>
      <c r="G525" s="345"/>
      <c r="H525" s="305"/>
      <c r="I525" s="305"/>
      <c r="J525" s="305"/>
      <c r="K525" s="305"/>
      <c r="L525" s="345"/>
      <c r="M525" s="305"/>
      <c r="N525" s="305"/>
      <c r="O525" s="305"/>
      <c r="P525" s="305"/>
      <c r="Q525" s="345"/>
      <c r="R525" s="305"/>
      <c r="S525" s="305"/>
      <c r="T525" s="305"/>
      <c r="U525" s="305"/>
      <c r="V525" s="345"/>
      <c r="W525" s="305"/>
      <c r="X525" s="305"/>
      <c r="Y525" s="305"/>
      <c r="Z525" s="305"/>
      <c r="AA525" s="345"/>
      <c r="AB525" s="305"/>
      <c r="AC525" s="305"/>
      <c r="AD525" s="305"/>
      <c r="AE525" s="331"/>
      <c r="AF525" s="348"/>
      <c r="AG525" s="305"/>
      <c r="AH525" s="305"/>
      <c r="AI525" s="305"/>
      <c r="AJ525" s="331"/>
      <c r="AK525" s="348"/>
      <c r="AL525" s="305"/>
      <c r="AM525" s="305"/>
      <c r="AN525" s="305"/>
      <c r="AO525" s="331"/>
      <c r="AP525" s="568"/>
      <c r="AQ525" s="568"/>
      <c r="AR525" s="330"/>
      <c r="AS525" s="330"/>
      <c r="AT525" s="330"/>
      <c r="AU525" s="348"/>
      <c r="AV525" s="568"/>
      <c r="AW525" s="330"/>
      <c r="AX525" s="330"/>
      <c r="AY525" s="1888"/>
      <c r="AZ525" s="348"/>
      <c r="BA525" s="568"/>
      <c r="BB525" s="330"/>
      <c r="BC525" s="2922">
        <f>+BC522*(14/BC5)</f>
        <v>129.34782608695653</v>
      </c>
      <c r="BD525" s="1888">
        <f>+BD522</f>
        <v>863</v>
      </c>
      <c r="BE525" s="1895">
        <f>AVERAGE(BA525:BD525)</f>
        <v>496.17391304347825</v>
      </c>
      <c r="BF525" s="2909">
        <f>AVERAGE(BF522,BE522)</f>
        <v>864.5</v>
      </c>
      <c r="BG525" s="2909">
        <f>AVERAGE(BG522,BF522)</f>
        <v>866</v>
      </c>
      <c r="BH525" s="2909">
        <f>AVERAGE(BH522,BG522)</f>
        <v>879</v>
      </c>
      <c r="BI525" s="2910">
        <f>AVERAGE(BI522,BH522)</f>
        <v>916</v>
      </c>
      <c r="BJ525" s="1895">
        <f>AVERAGE(BF525:BI525)</f>
        <v>881.375</v>
      </c>
      <c r="BK525" s="2909">
        <f>AVERAGE(BK522,BJ522)</f>
        <v>939.5</v>
      </c>
      <c r="BL525" s="2909">
        <f>AVERAGE(BL522,BK522)</f>
        <v>937.5</v>
      </c>
      <c r="BM525" s="2909">
        <f>AVERAGE(BM522,BL522)</f>
        <v>958</v>
      </c>
      <c r="BN525" s="2909">
        <f>AVERAGE(BN522,BM522)</f>
        <v>981</v>
      </c>
      <c r="BO525" s="552">
        <f>AVERAGE(BK525:BN525)</f>
        <v>954</v>
      </c>
      <c r="BP525" s="2909">
        <f>AVERAGE(BP522,BO522)</f>
        <v>984.5</v>
      </c>
      <c r="BQ525" s="2909">
        <f>AVERAGE(BQ522,BP522)</f>
        <v>997</v>
      </c>
      <c r="BR525" s="2909">
        <f>AVERAGE(BR522,BQ522)</f>
        <v>1020.8333333333334</v>
      </c>
      <c r="BS525" s="2909">
        <f>AVERAGE(BS522,BR522)</f>
        <v>1034.8333333333335</v>
      </c>
      <c r="BT525" s="3222">
        <f>AVERAGE(BP525:BS525)</f>
        <v>1009.2916666666667</v>
      </c>
      <c r="BU525" s="2909">
        <f>AVERAGE(BU522,BT522)</f>
        <v>1034.5</v>
      </c>
      <c r="BV525" s="2909">
        <f>AVERAGE(BV522,BU522)</f>
        <v>1034</v>
      </c>
      <c r="BW525" s="2909">
        <f>AVERAGE(BW522,BV522)</f>
        <v>1034</v>
      </c>
      <c r="BX525" s="2909">
        <f>AVERAGE(BX522,BW522)</f>
        <v>1034</v>
      </c>
      <c r="BY525" s="3222">
        <f>AVERAGE(BU525:BX525)</f>
        <v>1034.125</v>
      </c>
      <c r="BZ525" s="349">
        <f t="shared" ref="BZ525:CF525" si="1288">AVERAGE(BY522:BZ522)</f>
        <v>1034</v>
      </c>
      <c r="CA525" s="349">
        <f t="shared" si="1288"/>
        <v>1034</v>
      </c>
      <c r="CB525" s="349">
        <f t="shared" si="1288"/>
        <v>1034</v>
      </c>
      <c r="CC525" s="349">
        <f t="shared" si="1288"/>
        <v>1034</v>
      </c>
      <c r="CD525" s="349">
        <f t="shared" si="1288"/>
        <v>1034</v>
      </c>
      <c r="CE525" s="349">
        <f t="shared" si="1288"/>
        <v>1034</v>
      </c>
      <c r="CF525" s="349">
        <f t="shared" si="1288"/>
        <v>1034</v>
      </c>
      <c r="CG525" s="331"/>
      <c r="CH525" s="331"/>
      <c r="CI525" s="331"/>
      <c r="CJ525" s="331"/>
      <c r="CK525" s="331"/>
      <c r="CL525" s="1118" t="str">
        <f t="shared" si="1278"/>
        <v>Average Positions</v>
      </c>
      <c r="CM525" s="330"/>
      <c r="CN525" s="330"/>
      <c r="CO525" s="330"/>
      <c r="CP525" s="330"/>
      <c r="CQ525" s="330"/>
      <c r="CR525" s="330"/>
      <c r="CS525" s="330"/>
      <c r="CT525" s="330"/>
      <c r="CU525" s="330">
        <f t="shared" si="1279"/>
        <v>0</v>
      </c>
      <c r="CV525" s="330">
        <f t="shared" si="1280"/>
        <v>0</v>
      </c>
      <c r="CW525" s="330">
        <f t="shared" si="1281"/>
        <v>496.17391304347825</v>
      </c>
      <c r="CX525" s="330">
        <f t="shared" si="1282"/>
        <v>881.375</v>
      </c>
      <c r="CY525" s="330">
        <f t="shared" si="1283"/>
        <v>954</v>
      </c>
      <c r="CZ525" s="330">
        <f t="shared" si="1284"/>
        <v>1009.2916666666667</v>
      </c>
      <c r="DA525" s="330">
        <f t="shared" si="1285"/>
        <v>1034.125</v>
      </c>
      <c r="DB525" s="330">
        <f t="shared" si="1285"/>
        <v>1034</v>
      </c>
      <c r="DC525" s="1888">
        <f t="shared" si="1285"/>
        <v>1034</v>
      </c>
      <c r="DD525" s="331"/>
      <c r="DE525" s="331"/>
      <c r="DF525" s="502"/>
      <c r="DG525" s="503"/>
      <c r="DH525" s="2601"/>
      <c r="DI525" s="3213"/>
      <c r="DJ525" s="502"/>
      <c r="DK525" s="503"/>
      <c r="DL525" s="502"/>
      <c r="DM525" s="502"/>
      <c r="DN525" s="502"/>
      <c r="DO525" s="502"/>
      <c r="DP525" s="503"/>
      <c r="DQ525" s="503"/>
      <c r="DR525" s="296"/>
      <c r="DS525" s="296"/>
      <c r="DT525" s="296"/>
    </row>
    <row r="526" spans="1:124" ht="12" customHeight="1" x14ac:dyDescent="0.25">
      <c r="A526" s="557" t="s">
        <v>901</v>
      </c>
      <c r="B526" s="558"/>
      <c r="C526" s="318"/>
      <c r="D526" s="318"/>
      <c r="E526" s="318"/>
      <c r="F526" s="318"/>
      <c r="G526" s="559"/>
      <c r="H526" s="318"/>
      <c r="I526" s="318"/>
      <c r="J526" s="318"/>
      <c r="K526" s="318"/>
      <c r="L526" s="559"/>
      <c r="M526" s="318"/>
      <c r="N526" s="318"/>
      <c r="O526" s="318"/>
      <c r="P526" s="318"/>
      <c r="Q526" s="559"/>
      <c r="R526" s="318"/>
      <c r="S526" s="318"/>
      <c r="T526" s="318"/>
      <c r="U526" s="318"/>
      <c r="V526" s="559"/>
      <c r="W526" s="318"/>
      <c r="X526" s="318"/>
      <c r="Y526" s="318"/>
      <c r="Z526" s="318"/>
      <c r="AA526" s="559"/>
      <c r="AB526" s="318"/>
      <c r="AC526" s="318"/>
      <c r="AD526" s="318"/>
      <c r="AE526" s="560"/>
      <c r="AF526" s="561"/>
      <c r="AG526" s="318"/>
      <c r="AH526" s="318"/>
      <c r="AI526" s="318"/>
      <c r="AJ526" s="560"/>
      <c r="AK526" s="561"/>
      <c r="AL526" s="318"/>
      <c r="AM526" s="318"/>
      <c r="AN526" s="318"/>
      <c r="AO526" s="560"/>
      <c r="AP526" s="562"/>
      <c r="AQ526" s="562"/>
      <c r="AR526" s="1766"/>
      <c r="AS526" s="1766"/>
      <c r="AT526" s="1766"/>
      <c r="AU526" s="1688"/>
      <c r="AV526" s="1766"/>
      <c r="AW526" s="1308"/>
      <c r="AX526" s="1308"/>
      <c r="AY526" s="1309"/>
      <c r="AZ526" s="1688"/>
      <c r="BA526" s="562"/>
      <c r="BB526" s="560"/>
      <c r="BC526" s="2921">
        <f>+BC529*1000000/BC525/BC$5</f>
        <v>498.86470588235289</v>
      </c>
      <c r="BD526" s="2946">
        <f>+BD529*1000000/BD525/BD$5</f>
        <v>286.63634188120307</v>
      </c>
      <c r="BE526" s="2556">
        <f>+BD526</f>
        <v>286.63634188120307</v>
      </c>
      <c r="BF526" s="2921">
        <f t="shared" ref="BF526:BK526" si="1289">+BF529*1000000/BF525/BF$5</f>
        <v>279.30081614292135</v>
      </c>
      <c r="BG526" s="2943">
        <f t="shared" si="1289"/>
        <v>293.99181534400935</v>
      </c>
      <c r="BH526" s="2943">
        <f t="shared" si="1289"/>
        <v>298.96903595983576</v>
      </c>
      <c r="BI526" s="2946">
        <f t="shared" si="1289"/>
        <v>273.50664514904116</v>
      </c>
      <c r="BJ526" s="2556">
        <f t="shared" si="1289"/>
        <v>286.36854852027204</v>
      </c>
      <c r="BK526" s="3169">
        <f t="shared" si="1289"/>
        <v>294.78041277509078</v>
      </c>
      <c r="BL526" s="2943">
        <f t="shared" ref="BL526:BQ526" si="1290">+BL529*1000000/BL525/BL$5</f>
        <v>293.52289523809526</v>
      </c>
      <c r="BM526" s="2943">
        <f t="shared" si="1290"/>
        <v>287.0563674321503</v>
      </c>
      <c r="BN526" s="2943">
        <f t="shared" si="1290"/>
        <v>269.88849000576164</v>
      </c>
      <c r="BO526" s="2589">
        <f t="shared" si="1290"/>
        <v>286.11555601379297</v>
      </c>
      <c r="BP526" s="2943">
        <f t="shared" si="1290"/>
        <v>318.84650979064389</v>
      </c>
      <c r="BQ526" s="2943">
        <f t="shared" si="1290"/>
        <v>315.78363662415825</v>
      </c>
      <c r="BR526" s="2943">
        <f>+BR529*1000000/BR525/BR$5</f>
        <v>299.07208163265301</v>
      </c>
      <c r="BS526" s="2943">
        <f>+BS529*1000000/BS525/BS$5</f>
        <v>287.40061761678345</v>
      </c>
      <c r="BT526" s="2589">
        <f>+BT529*1000000/BT525/BT$5</f>
        <v>304.97783664229451</v>
      </c>
      <c r="BU526" s="2943">
        <f t="shared" ref="BU526" si="1291">+BU529*1000000/BU525/BU$5</f>
        <v>318.8833037967886</v>
      </c>
      <c r="BV526" s="2588">
        <f>+BQ526*(1+BV527)</f>
        <v>325.25714572288302</v>
      </c>
      <c r="BW526" s="2588">
        <f>+BR526*(1+BW527)</f>
        <v>308.0442440816326</v>
      </c>
      <c r="BX526" s="2588">
        <f>+BS526*(1+BX527)</f>
        <v>296.02263614528698</v>
      </c>
      <c r="BY526" s="2589">
        <f>+BY529*1000000/BY525/BY$5</f>
        <v>311.97852741464737</v>
      </c>
      <c r="BZ526" s="561">
        <f t="shared" ref="BZ526:CF526" si="1292">+BY526*(1+BZ527)</f>
        <v>315.09831268879384</v>
      </c>
      <c r="CA526" s="561">
        <f t="shared" si="1292"/>
        <v>315.09831268879384</v>
      </c>
      <c r="CB526" s="561">
        <f t="shared" si="1292"/>
        <v>299.34339705435411</v>
      </c>
      <c r="CC526" s="561">
        <f t="shared" si="1292"/>
        <v>284.37622720163637</v>
      </c>
      <c r="CD526" s="561">
        <f t="shared" si="1292"/>
        <v>290.06375174566909</v>
      </c>
      <c r="CE526" s="561">
        <f t="shared" si="1292"/>
        <v>295.86502678058247</v>
      </c>
      <c r="CF526" s="561">
        <f t="shared" si="1292"/>
        <v>301.78232731619414</v>
      </c>
      <c r="CG526" s="560"/>
      <c r="CH526" s="560"/>
      <c r="CI526" s="560"/>
      <c r="CJ526" s="560"/>
      <c r="CK526" s="560"/>
      <c r="CL526" s="1307" t="str">
        <f t="shared" si="1278"/>
        <v>Daily Win / Position</v>
      </c>
      <c r="CM526" s="560"/>
      <c r="CN526" s="560"/>
      <c r="CO526" s="560"/>
      <c r="CP526" s="560"/>
      <c r="CQ526" s="560"/>
      <c r="CR526" s="560"/>
      <c r="CS526" s="560"/>
      <c r="CT526" s="560"/>
      <c r="CU526" s="560">
        <f t="shared" si="1279"/>
        <v>0</v>
      </c>
      <c r="CV526" s="560">
        <f t="shared" si="1280"/>
        <v>0</v>
      </c>
      <c r="CW526" s="560">
        <f t="shared" si="1281"/>
        <v>286.63634188120307</v>
      </c>
      <c r="CX526" s="560">
        <f t="shared" si="1282"/>
        <v>286.36854852027204</v>
      </c>
      <c r="CY526" s="560">
        <f t="shared" si="1283"/>
        <v>286.11555601379297</v>
      </c>
      <c r="CZ526" s="560">
        <f t="shared" si="1284"/>
        <v>304.97783664229451</v>
      </c>
      <c r="DA526" s="560">
        <f t="shared" si="1285"/>
        <v>311.97852741464737</v>
      </c>
      <c r="DB526" s="560">
        <f t="shared" si="1285"/>
        <v>315.09831268879384</v>
      </c>
      <c r="DC526" s="1878">
        <f t="shared" si="1285"/>
        <v>315.09831268879384</v>
      </c>
      <c r="DD526" s="560"/>
      <c r="DE526" s="560"/>
      <c r="DF526" s="707"/>
      <c r="DG526" s="707"/>
      <c r="DH526" s="2588"/>
      <c r="DI526" s="3213"/>
      <c r="DJ526" s="707"/>
      <c r="DK526" s="707"/>
      <c r="DL526" s="707"/>
      <c r="DM526" s="707"/>
      <c r="DN526" s="707"/>
      <c r="DO526" s="707"/>
      <c r="DP526" s="707"/>
      <c r="DQ526" s="707"/>
      <c r="DR526" s="968"/>
      <c r="DS526" s="968"/>
      <c r="DT526" s="968"/>
    </row>
    <row r="527" spans="1:124" ht="12" customHeight="1" x14ac:dyDescent="0.25">
      <c r="A527" s="465" t="s">
        <v>1491</v>
      </c>
      <c r="B527" s="281"/>
      <c r="C527" s="472"/>
      <c r="D527" s="472"/>
      <c r="E527" s="472"/>
      <c r="F527" s="472"/>
      <c r="G527" s="491"/>
      <c r="H527" s="472"/>
      <c r="I527" s="472"/>
      <c r="J527" s="472"/>
      <c r="K527" s="472"/>
      <c r="L527" s="491"/>
      <c r="M527" s="472"/>
      <c r="N527" s="472"/>
      <c r="O527" s="472"/>
      <c r="P527" s="472"/>
      <c r="Q527" s="491"/>
      <c r="R527" s="472"/>
      <c r="S527" s="472"/>
      <c r="T527" s="472"/>
      <c r="U527" s="472"/>
      <c r="V527" s="491"/>
      <c r="W527" s="472"/>
      <c r="X527" s="472"/>
      <c r="Y527" s="472"/>
      <c r="Z527" s="472"/>
      <c r="AA527" s="491"/>
      <c r="AB527" s="472"/>
      <c r="AC527" s="472"/>
      <c r="AD527" s="472"/>
      <c r="AE527" s="492"/>
      <c r="AF527" s="493"/>
      <c r="AG527" s="472"/>
      <c r="AH527" s="472"/>
      <c r="AI527" s="472"/>
      <c r="AJ527" s="492"/>
      <c r="AK527" s="493"/>
      <c r="AL527" s="472"/>
      <c r="AM527" s="472"/>
      <c r="AN527" s="472"/>
      <c r="AO527" s="492"/>
      <c r="AP527" s="494"/>
      <c r="AQ527" s="494"/>
      <c r="AR527" s="492"/>
      <c r="AS527" s="492"/>
      <c r="AT527" s="492"/>
      <c r="AU527" s="493"/>
      <c r="AV527" s="1618"/>
      <c r="AW527" s="519"/>
      <c r="AX527" s="519"/>
      <c r="AY527" s="1462"/>
      <c r="AZ527" s="591"/>
      <c r="BA527" s="1681"/>
      <c r="BB527" s="1245"/>
      <c r="BC527" s="1245"/>
      <c r="BD527" s="1775"/>
      <c r="BE527" s="1462"/>
      <c r="BF527" s="1245"/>
      <c r="BG527" s="1245"/>
      <c r="BH527" s="1245"/>
      <c r="BI527" s="1775"/>
      <c r="BJ527" s="1462"/>
      <c r="BK527" s="519">
        <f t="shared" ref="BK527:BU527" si="1293">+BK526/BF526-1</f>
        <v>5.5422668812569187E-2</v>
      </c>
      <c r="BL527" s="519">
        <f t="shared" si="1293"/>
        <v>-1.5950107500964927E-3</v>
      </c>
      <c r="BM527" s="519">
        <f t="shared" si="1293"/>
        <v>-3.9845827142065082E-2</v>
      </c>
      <c r="BN527" s="1462">
        <f t="shared" si="1293"/>
        <v>-1.3228765031679135E-2</v>
      </c>
      <c r="BO527" s="1462">
        <f t="shared" si="1293"/>
        <v>-8.8345074131335188E-4</v>
      </c>
      <c r="BP527" s="519">
        <f t="shared" si="1293"/>
        <v>8.1640760283197222E-2</v>
      </c>
      <c r="BQ527" s="519">
        <f t="shared" si="1293"/>
        <v>7.5839880797052839E-2</v>
      </c>
      <c r="BR527" s="519">
        <f t="shared" si="1293"/>
        <v>4.1858378923933071E-2</v>
      </c>
      <c r="BS527" s="519">
        <f t="shared" si="1293"/>
        <v>6.4886530028190448E-2</v>
      </c>
      <c r="BT527" s="591">
        <f>+BT526/BO526-1</f>
        <v>6.5925393541315325E-2</v>
      </c>
      <c r="BU527" s="519">
        <f t="shared" si="1293"/>
        <v>1.1539723664810708E-4</v>
      </c>
      <c r="BV527" s="1245">
        <v>0.03</v>
      </c>
      <c r="BW527" s="1245">
        <v>0.03</v>
      </c>
      <c r="BX527" s="1245">
        <v>0.03</v>
      </c>
      <c r="BY527" s="591">
        <f>+BY526/BT526-1</f>
        <v>2.2954752546703538E-2</v>
      </c>
      <c r="BZ527" s="566">
        <v>0.01</v>
      </c>
      <c r="CA527" s="566">
        <v>0</v>
      </c>
      <c r="CB527" s="566">
        <v>-0.05</v>
      </c>
      <c r="CC527" s="566">
        <v>-0.05</v>
      </c>
      <c r="CD527" s="566">
        <v>0.02</v>
      </c>
      <c r="CE527" s="566">
        <v>0.02</v>
      </c>
      <c r="CF527" s="566">
        <v>0.02</v>
      </c>
      <c r="CG527" s="331"/>
      <c r="CH527" s="331"/>
      <c r="CI527" s="331"/>
      <c r="CJ527" s="331"/>
      <c r="CK527" s="331"/>
      <c r="CL527" s="1310" t="str">
        <f t="shared" si="1278"/>
        <v>% growth (y-o-y)</v>
      </c>
      <c r="CM527" s="492"/>
      <c r="CN527" s="492"/>
      <c r="CO527" s="492"/>
      <c r="CP527" s="492"/>
      <c r="CQ527" s="492"/>
      <c r="CR527" s="492"/>
      <c r="CS527" s="492"/>
      <c r="CT527" s="492"/>
      <c r="CU527" s="492"/>
      <c r="CV527" s="492">
        <f t="shared" si="1280"/>
        <v>0</v>
      </c>
      <c r="CW527" s="492">
        <f t="shared" si="1281"/>
        <v>0</v>
      </c>
      <c r="CX527" s="492">
        <f t="shared" si="1282"/>
        <v>0</v>
      </c>
      <c r="CY527" s="492">
        <f t="shared" si="1283"/>
        <v>-8.8345074131335188E-4</v>
      </c>
      <c r="CZ527" s="492">
        <f t="shared" si="1284"/>
        <v>6.5925393541315325E-2</v>
      </c>
      <c r="DA527" s="492">
        <f t="shared" si="1285"/>
        <v>2.2954752546703538E-2</v>
      </c>
      <c r="DB527" s="492">
        <f t="shared" si="1285"/>
        <v>0.01</v>
      </c>
      <c r="DC527" s="1311">
        <f t="shared" si="1285"/>
        <v>0</v>
      </c>
      <c r="DD527" s="331"/>
      <c r="DE527" s="331"/>
      <c r="DF527" s="502"/>
      <c r="DG527" s="503"/>
      <c r="DH527" s="519"/>
      <c r="DI527" s="3213"/>
      <c r="DJ527" s="502"/>
      <c r="DK527" s="503"/>
      <c r="DL527" s="502"/>
      <c r="DM527" s="502"/>
      <c r="DN527" s="502"/>
      <c r="DO527" s="502"/>
      <c r="DP527" s="503"/>
      <c r="DQ527" s="503"/>
      <c r="DR527" s="296"/>
      <c r="DS527" s="296"/>
      <c r="DT527" s="296"/>
    </row>
    <row r="528" spans="1:124" ht="5.0999999999999996" customHeight="1" x14ac:dyDescent="0.25">
      <c r="A528" s="281"/>
      <c r="B528" s="281"/>
      <c r="C528" s="305"/>
      <c r="D528" s="305"/>
      <c r="E528" s="305"/>
      <c r="F528" s="305"/>
      <c r="G528" s="440"/>
      <c r="H528" s="305"/>
      <c r="I528" s="305"/>
      <c r="J528" s="305"/>
      <c r="K528" s="305"/>
      <c r="L528" s="440"/>
      <c r="M528" s="305"/>
      <c r="N528" s="305"/>
      <c r="O528" s="305"/>
      <c r="P528" s="305"/>
      <c r="Q528" s="440"/>
      <c r="R528" s="305"/>
      <c r="S528" s="305"/>
      <c r="T528" s="305"/>
      <c r="U528" s="305"/>
      <c r="V528" s="440"/>
      <c r="W528" s="305"/>
      <c r="X528" s="305"/>
      <c r="Y528" s="305"/>
      <c r="Z528" s="305"/>
      <c r="AA528" s="440"/>
      <c r="AB528" s="305"/>
      <c r="AC528" s="305"/>
      <c r="AD528" s="305"/>
      <c r="AE528" s="331"/>
      <c r="AF528" s="441"/>
      <c r="AG528" s="305"/>
      <c r="AH528" s="305"/>
      <c r="AI528" s="305"/>
      <c r="AJ528" s="331"/>
      <c r="AK528" s="441"/>
      <c r="AL528" s="305"/>
      <c r="AM528" s="305"/>
      <c r="AN528" s="305"/>
      <c r="AO528" s="331"/>
      <c r="AP528" s="569"/>
      <c r="AQ528" s="569"/>
      <c r="AR528" s="442"/>
      <c r="AS528" s="442"/>
      <c r="AT528" s="442"/>
      <c r="AU528" s="441"/>
      <c r="AV528" s="569"/>
      <c r="AW528" s="442"/>
      <c r="AX528" s="442"/>
      <c r="AY528" s="1312"/>
      <c r="AZ528" s="441"/>
      <c r="BA528" s="569"/>
      <c r="BB528" s="442"/>
      <c r="BC528" s="442"/>
      <c r="BD528" s="1312"/>
      <c r="BE528" s="1312"/>
      <c r="BF528" s="442"/>
      <c r="BG528" s="442"/>
      <c r="BH528" s="442"/>
      <c r="BI528" s="1312"/>
      <c r="BJ528" s="1312"/>
      <c r="BK528" s="442"/>
      <c r="BL528" s="442"/>
      <c r="BM528" s="442"/>
      <c r="BN528" s="1312"/>
      <c r="BO528" s="1312"/>
      <c r="BP528" s="442"/>
      <c r="BQ528" s="442"/>
      <c r="BR528" s="442"/>
      <c r="BS528" s="442"/>
      <c r="BT528" s="3236"/>
      <c r="BU528" s="3298"/>
      <c r="BV528" s="3298"/>
      <c r="BW528" s="3298"/>
      <c r="BX528" s="3298"/>
      <c r="BY528" s="3236"/>
      <c r="BZ528" s="441"/>
      <c r="CA528" s="441"/>
      <c r="CB528" s="441"/>
      <c r="CC528" s="441"/>
      <c r="CD528" s="441"/>
      <c r="CE528" s="441"/>
      <c r="CF528" s="441"/>
      <c r="CG528" s="331"/>
      <c r="CH528" s="331"/>
      <c r="CI528" s="331"/>
      <c r="CJ528" s="331"/>
      <c r="CK528" s="331"/>
      <c r="CL528" s="520"/>
      <c r="CM528" s="442"/>
      <c r="CN528" s="442"/>
      <c r="CO528" s="442"/>
      <c r="CP528" s="442"/>
      <c r="CQ528" s="442"/>
      <c r="CR528" s="442"/>
      <c r="CS528" s="442"/>
      <c r="CT528" s="442"/>
      <c r="CU528" s="442"/>
      <c r="CV528" s="442"/>
      <c r="CW528" s="442"/>
      <c r="CX528" s="442"/>
      <c r="CY528" s="442"/>
      <c r="CZ528" s="442"/>
      <c r="DA528" s="442"/>
      <c r="DB528" s="442"/>
      <c r="DC528" s="1312"/>
      <c r="DD528" s="331"/>
      <c r="DE528" s="331"/>
      <c r="DF528" s="502"/>
      <c r="DG528" s="503"/>
      <c r="DH528" s="3298"/>
      <c r="DI528" s="3213"/>
      <c r="DJ528" s="502"/>
      <c r="DK528" s="503"/>
      <c r="DL528" s="502"/>
      <c r="DM528" s="502"/>
      <c r="DN528" s="502"/>
      <c r="DO528" s="502"/>
      <c r="DP528" s="503"/>
      <c r="DQ528" s="503"/>
      <c r="DR528" s="296"/>
      <c r="DS528" s="296"/>
      <c r="DT528" s="296"/>
    </row>
    <row r="529" spans="1:124" ht="12" customHeight="1" x14ac:dyDescent="0.25">
      <c r="A529" s="281" t="s">
        <v>730</v>
      </c>
      <c r="B529" s="281"/>
      <c r="C529" s="570"/>
      <c r="D529" s="570"/>
      <c r="E529" s="570"/>
      <c r="F529" s="452"/>
      <c r="G529" s="571"/>
      <c r="H529" s="570"/>
      <c r="I529" s="570"/>
      <c r="J529" s="570"/>
      <c r="K529" s="452"/>
      <c r="L529" s="571"/>
      <c r="M529" s="570"/>
      <c r="N529" s="570"/>
      <c r="O529" s="570"/>
      <c r="P529" s="452"/>
      <c r="Q529" s="571"/>
      <c r="R529" s="570"/>
      <c r="S529" s="570"/>
      <c r="T529" s="570"/>
      <c r="U529" s="452"/>
      <c r="V529" s="571"/>
      <c r="W529" s="570"/>
      <c r="X529" s="570"/>
      <c r="Y529" s="570"/>
      <c r="Z529" s="452"/>
      <c r="AA529" s="571"/>
      <c r="AB529" s="570"/>
      <c r="AC529" s="570"/>
      <c r="AD529" s="570"/>
      <c r="AE529" s="476"/>
      <c r="AF529" s="573"/>
      <c r="AG529" s="570"/>
      <c r="AH529" s="570"/>
      <c r="AI529" s="570"/>
      <c r="AJ529" s="476"/>
      <c r="AK529" s="573"/>
      <c r="AL529" s="570"/>
      <c r="AM529" s="570"/>
      <c r="AN529" s="570"/>
      <c r="AO529" s="476"/>
      <c r="AP529" s="592"/>
      <c r="AQ529" s="592"/>
      <c r="AR529" s="572"/>
      <c r="AS529" s="572"/>
      <c r="AT529" s="572"/>
      <c r="AU529" s="1464"/>
      <c r="AV529" s="592"/>
      <c r="AW529" s="1771"/>
      <c r="AX529" s="1771"/>
      <c r="AY529" s="1866"/>
      <c r="AZ529" s="477"/>
      <c r="BA529" s="478"/>
      <c r="BB529" s="476"/>
      <c r="BC529" s="2917">
        <v>5.93649</v>
      </c>
      <c r="BD529" s="2944">
        <v>22.757778999999999</v>
      </c>
      <c r="BE529" s="682">
        <f>+SUM(BA529:BD529)</f>
        <v>28.694268999999998</v>
      </c>
      <c r="BF529" s="2941">
        <v>21.730999999999998</v>
      </c>
      <c r="BG529" s="2941">
        <v>23.168319</v>
      </c>
      <c r="BH529" s="2941">
        <v>24.177028</v>
      </c>
      <c r="BI529" s="2944">
        <v>23.048952</v>
      </c>
      <c r="BJ529" s="682">
        <f>+SUM(BF529:BI529)</f>
        <v>92.125298999999998</v>
      </c>
      <c r="BK529" s="2941">
        <v>25.202103999999999</v>
      </c>
      <c r="BL529" s="2941">
        <v>25.041172</v>
      </c>
      <c r="BM529" s="2941">
        <v>25.3</v>
      </c>
      <c r="BN529" s="2944">
        <v>24.357976000000001</v>
      </c>
      <c r="BO529" s="682">
        <f>+SUM(BK529:BN529)</f>
        <v>99.901251999999999</v>
      </c>
      <c r="BP529" s="2941">
        <v>28.251395000000002</v>
      </c>
      <c r="BQ529" s="2941">
        <v>28.650102000000004</v>
      </c>
      <c r="BR529" s="2941">
        <v>28.087852999999999</v>
      </c>
      <c r="BS529" s="2941">
        <v>27.361879999999999</v>
      </c>
      <c r="BT529" s="2604">
        <f>+SUM(BP529:BS529)</f>
        <v>112.35123</v>
      </c>
      <c r="BU529" s="2941">
        <v>29.689630000000001</v>
      </c>
      <c r="BV529" s="2577">
        <f>+BV526*BV525*BV$5/1000000</f>
        <v>30.604745869648955</v>
      </c>
      <c r="BW529" s="2577">
        <f>+BW526*BW525*BW$5/1000000</f>
        <v>29.303632850997545</v>
      </c>
      <c r="BX529" s="2577">
        <f>+BX526*BX525*BX$5/1000000</f>
        <v>28.160041331228864</v>
      </c>
      <c r="BY529" s="2604">
        <f>+SUM(BU529:BX529)</f>
        <v>117.75805005187537</v>
      </c>
      <c r="BZ529" s="477">
        <f t="shared" ref="BZ529:CF529" si="1294">+BZ526*BZ525*BZ$5/1000000</f>
        <v>118.92125419187768</v>
      </c>
      <c r="CA529" s="477">
        <f t="shared" si="1294"/>
        <v>119.24706584719789</v>
      </c>
      <c r="CB529" s="477">
        <f t="shared" si="1294"/>
        <v>112.97519148228379</v>
      </c>
      <c r="CC529" s="477">
        <f t="shared" si="1294"/>
        <v>107.32643190816958</v>
      </c>
      <c r="CD529" s="477">
        <f t="shared" si="1294"/>
        <v>109.47296054633297</v>
      </c>
      <c r="CE529" s="477">
        <f t="shared" si="1294"/>
        <v>111.96834419495076</v>
      </c>
      <c r="CF529" s="477">
        <f t="shared" si="1294"/>
        <v>113.89566815240482</v>
      </c>
      <c r="CG529" s="331"/>
      <c r="CH529" s="331"/>
      <c r="CI529" s="331"/>
      <c r="CJ529" s="331"/>
      <c r="CK529" s="331"/>
      <c r="CL529" s="520" t="str">
        <f>A529</f>
        <v>Casino revenue</v>
      </c>
      <c r="CM529" s="476"/>
      <c r="CN529" s="476"/>
      <c r="CO529" s="476"/>
      <c r="CP529" s="476"/>
      <c r="CQ529" s="476"/>
      <c r="CR529" s="476"/>
      <c r="CS529" s="476"/>
      <c r="CT529" s="476"/>
      <c r="CU529" s="476">
        <f>AU529</f>
        <v>0</v>
      </c>
      <c r="CV529" s="476">
        <f>AZ529</f>
        <v>0</v>
      </c>
      <c r="CW529" s="476">
        <f>BE529</f>
        <v>28.694268999999998</v>
      </c>
      <c r="CX529" s="476">
        <f>BJ529</f>
        <v>92.125298999999998</v>
      </c>
      <c r="CY529" s="476">
        <f>BO529</f>
        <v>99.901251999999999</v>
      </c>
      <c r="CZ529" s="476">
        <f>BT529</f>
        <v>112.35123</v>
      </c>
      <c r="DA529" s="476">
        <f t="shared" ref="DA529:DC533" si="1295">BY529</f>
        <v>117.75805005187537</v>
      </c>
      <c r="DB529" s="476">
        <f t="shared" si="1295"/>
        <v>118.92125419187768</v>
      </c>
      <c r="DC529" s="682">
        <f t="shared" si="1295"/>
        <v>119.24706584719789</v>
      </c>
      <c r="DD529" s="331"/>
      <c r="DE529" s="331"/>
      <c r="DF529" s="502"/>
      <c r="DG529" s="503"/>
      <c r="DH529" s="2577"/>
      <c r="DI529" s="3213"/>
      <c r="DJ529" s="502"/>
      <c r="DK529" s="503"/>
      <c r="DL529" s="502"/>
      <c r="DM529" s="502"/>
      <c r="DN529" s="502"/>
      <c r="DO529" s="502"/>
      <c r="DP529" s="503"/>
      <c r="DQ529" s="503"/>
      <c r="DR529" s="296"/>
      <c r="DS529" s="296"/>
      <c r="DT529" s="296"/>
    </row>
    <row r="530" spans="1:124" ht="12" customHeight="1" x14ac:dyDescent="0.25">
      <c r="A530" s="465" t="s">
        <v>1491</v>
      </c>
      <c r="B530" s="281"/>
      <c r="C530" s="472"/>
      <c r="D530" s="472"/>
      <c r="E530" s="472"/>
      <c r="F530" s="472"/>
      <c r="G530" s="491"/>
      <c r="H530" s="472"/>
      <c r="I530" s="472"/>
      <c r="J530" s="472"/>
      <c r="K530" s="472"/>
      <c r="L530" s="491"/>
      <c r="M530" s="472"/>
      <c r="N530" s="472"/>
      <c r="O530" s="472"/>
      <c r="P530" s="472"/>
      <c r="Q530" s="491"/>
      <c r="R530" s="472"/>
      <c r="S530" s="472"/>
      <c r="T530" s="472"/>
      <c r="U530" s="472"/>
      <c r="V530" s="491"/>
      <c r="W530" s="472"/>
      <c r="X530" s="472"/>
      <c r="Y530" s="472"/>
      <c r="Z530" s="472"/>
      <c r="AA530" s="491"/>
      <c r="AB530" s="472"/>
      <c r="AC530" s="472"/>
      <c r="AD530" s="472"/>
      <c r="AE530" s="492"/>
      <c r="AF530" s="493"/>
      <c r="AG530" s="472"/>
      <c r="AH530" s="472"/>
      <c r="AI530" s="472"/>
      <c r="AJ530" s="492"/>
      <c r="AK530" s="493"/>
      <c r="AL530" s="472"/>
      <c r="AM530" s="472"/>
      <c r="AN530" s="472"/>
      <c r="AO530" s="492"/>
      <c r="AP530" s="494"/>
      <c r="AQ530" s="494"/>
      <c r="AR530" s="492"/>
      <c r="AS530" s="492"/>
      <c r="AT530" s="492"/>
      <c r="AU530" s="493"/>
      <c r="AV530" s="494"/>
      <c r="AW530" s="492"/>
      <c r="AX530" s="492"/>
      <c r="AY530" s="1311"/>
      <c r="AZ530" s="470"/>
      <c r="BA530" s="471"/>
      <c r="BB530" s="469"/>
      <c r="BC530" s="469"/>
      <c r="BD530" s="1463"/>
      <c r="BE530" s="1868"/>
      <c r="BF530" s="469"/>
      <c r="BG530" s="469"/>
      <c r="BH530" s="469"/>
      <c r="BI530" s="1463"/>
      <c r="BJ530" s="1868"/>
      <c r="BK530" s="469">
        <f t="shared" ref="BK530:BU530" si="1296">+BK529/BF529-1</f>
        <v>0.15973052321568271</v>
      </c>
      <c r="BL530" s="469">
        <f t="shared" si="1296"/>
        <v>8.0836809955871169E-2</v>
      </c>
      <c r="BM530" s="469">
        <f t="shared" si="1296"/>
        <v>4.6447892602845986E-2</v>
      </c>
      <c r="BN530" s="1463">
        <f t="shared" si="1296"/>
        <v>5.6793211248823861E-2</v>
      </c>
      <c r="BO530" s="1463">
        <f t="shared" si="1296"/>
        <v>8.4406271506375363E-2</v>
      </c>
      <c r="BP530" s="469">
        <f t="shared" si="1296"/>
        <v>0.12099350911336626</v>
      </c>
      <c r="BQ530" s="469">
        <f t="shared" si="1296"/>
        <v>0.14411985189830601</v>
      </c>
      <c r="BR530" s="469">
        <f t="shared" si="1296"/>
        <v>0.11019181818181822</v>
      </c>
      <c r="BS530" s="469">
        <f t="shared" si="1296"/>
        <v>0.12332321864509588</v>
      </c>
      <c r="BT530" s="470">
        <f t="shared" si="1296"/>
        <v>0.12462284256457568</v>
      </c>
      <c r="BU530" s="469">
        <f t="shared" si="1296"/>
        <v>5.0908459564563024E-2</v>
      </c>
      <c r="BV530" s="469">
        <f>+BV529/BQ529-1</f>
        <v>6.8224674022066223E-2</v>
      </c>
      <c r="BW530" s="469">
        <f>+BW529/BR529-1</f>
        <v>4.3284897959183555E-2</v>
      </c>
      <c r="BX530" s="469">
        <f>+BX529/BS529-1</f>
        <v>2.9170558866162155E-2</v>
      </c>
      <c r="BY530" s="470">
        <f>+BY529/BT529-1</f>
        <v>4.8124262207680069E-2</v>
      </c>
      <c r="BZ530" s="1689">
        <f t="shared" ref="BZ530:CF530" si="1297">+BZ529/BY529-1</f>
        <v>9.8779161126554271E-3</v>
      </c>
      <c r="CA530" s="1689">
        <f t="shared" si="1297"/>
        <v>2.739726027397138E-3</v>
      </c>
      <c r="CB530" s="1689">
        <f t="shared" si="1297"/>
        <v>-5.2595628415300522E-2</v>
      </c>
      <c r="CC530" s="1689">
        <f t="shared" si="1297"/>
        <v>-5.0000000000000155E-2</v>
      </c>
      <c r="CD530" s="1689">
        <f t="shared" si="1297"/>
        <v>2.0000000000000018E-2</v>
      </c>
      <c r="CE530" s="1689">
        <f t="shared" si="1297"/>
        <v>2.2794520547945174E-2</v>
      </c>
      <c r="CF530" s="1689">
        <f t="shared" si="1297"/>
        <v>1.7213114754098369E-2</v>
      </c>
      <c r="CG530" s="331"/>
      <c r="CH530" s="331"/>
      <c r="CI530" s="331"/>
      <c r="CJ530" s="331"/>
      <c r="CK530" s="331"/>
      <c r="CL530" s="1310" t="str">
        <f>A530</f>
        <v>% growth (y-o-y)</v>
      </c>
      <c r="CM530" s="492"/>
      <c r="CN530" s="492"/>
      <c r="CO530" s="492"/>
      <c r="CP530" s="492"/>
      <c r="CQ530" s="492"/>
      <c r="CR530" s="492"/>
      <c r="CS530" s="492"/>
      <c r="CT530" s="492"/>
      <c r="CU530" s="492"/>
      <c r="CV530" s="492">
        <f>AZ530</f>
        <v>0</v>
      </c>
      <c r="CW530" s="492">
        <f>BE530</f>
        <v>0</v>
      </c>
      <c r="CX530" s="492">
        <f>BJ530</f>
        <v>0</v>
      </c>
      <c r="CY530" s="492">
        <f>BO530</f>
        <v>8.4406271506375363E-2</v>
      </c>
      <c r="CZ530" s="492">
        <f>BT530</f>
        <v>0.12462284256457568</v>
      </c>
      <c r="DA530" s="492">
        <f t="shared" si="1295"/>
        <v>4.8124262207680069E-2</v>
      </c>
      <c r="DB530" s="492">
        <f t="shared" si="1295"/>
        <v>9.8779161126554271E-3</v>
      </c>
      <c r="DC530" s="1311">
        <f t="shared" si="1295"/>
        <v>2.739726027397138E-3</v>
      </c>
      <c r="DD530" s="331"/>
      <c r="DE530" s="331"/>
      <c r="DF530" s="502"/>
      <c r="DG530" s="503"/>
      <c r="DH530" s="469"/>
      <c r="DI530" s="3213"/>
      <c r="DJ530" s="502"/>
      <c r="DK530" s="503"/>
      <c r="DL530" s="502"/>
      <c r="DM530" s="502"/>
      <c r="DN530" s="502"/>
      <c r="DO530" s="502"/>
      <c r="DP530" s="503"/>
      <c r="DQ530" s="503"/>
      <c r="DR530" s="296"/>
      <c r="DS530" s="296"/>
      <c r="DT530" s="296"/>
    </row>
    <row r="531" spans="1:124" ht="12" customHeight="1" x14ac:dyDescent="0.25">
      <c r="A531" s="281" t="s">
        <v>645</v>
      </c>
      <c r="B531" s="281"/>
      <c r="C531" s="452"/>
      <c r="D531" s="452"/>
      <c r="E531" s="452"/>
      <c r="F531" s="452"/>
      <c r="G531" s="475"/>
      <c r="H531" s="452"/>
      <c r="I531" s="452"/>
      <c r="J531" s="452"/>
      <c r="K531" s="452"/>
      <c r="L531" s="475"/>
      <c r="M531" s="452"/>
      <c r="N531" s="452"/>
      <c r="O531" s="452"/>
      <c r="P531" s="452"/>
      <c r="Q531" s="475"/>
      <c r="R531" s="452"/>
      <c r="S531" s="452"/>
      <c r="T531" s="452"/>
      <c r="U531" s="452"/>
      <c r="V531" s="475"/>
      <c r="W531" s="452"/>
      <c r="X531" s="452"/>
      <c r="Y531" s="452"/>
      <c r="Z531" s="452"/>
      <c r="AA531" s="475"/>
      <c r="AB531" s="452"/>
      <c r="AC531" s="452"/>
      <c r="AD531" s="452"/>
      <c r="AE531" s="476"/>
      <c r="AF531" s="477"/>
      <c r="AG531" s="452"/>
      <c r="AH531" s="452"/>
      <c r="AI531" s="452"/>
      <c r="AJ531" s="476"/>
      <c r="AK531" s="477"/>
      <c r="AL531" s="452"/>
      <c r="AM531" s="452"/>
      <c r="AN531" s="452"/>
      <c r="AO531" s="476"/>
      <c r="AP531" s="478"/>
      <c r="AQ531" s="478"/>
      <c r="AR531" s="572"/>
      <c r="AS531" s="572"/>
      <c r="AT531" s="476"/>
      <c r="AU531" s="477"/>
      <c r="AV531" s="478"/>
      <c r="AW531" s="476"/>
      <c r="AX531" s="476"/>
      <c r="AY531" s="682"/>
      <c r="AZ531" s="477"/>
      <c r="BA531" s="478"/>
      <c r="BB531" s="476"/>
      <c r="BC531" s="572">
        <v>0.25</v>
      </c>
      <c r="BD531" s="1313">
        <v>2.5</v>
      </c>
      <c r="BE531" s="682">
        <f>+SUM(BA531:BD531)</f>
        <v>2.75</v>
      </c>
      <c r="BF531" s="572">
        <v>2</v>
      </c>
      <c r="BG531" s="572">
        <v>2</v>
      </c>
      <c r="BH531" s="572">
        <v>2</v>
      </c>
      <c r="BI531" s="1313">
        <v>3</v>
      </c>
      <c r="BJ531" s="682">
        <f>+SUM(BF531:BI531)</f>
        <v>9</v>
      </c>
      <c r="BK531" s="2577">
        <f>+BF531*(1+BK530)</f>
        <v>2.3194610464313654</v>
      </c>
      <c r="BL531" s="2577">
        <f>+BG531*(1+BL530)</f>
        <v>2.1616736199117423</v>
      </c>
      <c r="BM531" s="2577">
        <f>+BH531*(1+BM530)</f>
        <v>2.092895785205692</v>
      </c>
      <c r="BN531" s="2911">
        <f>+BI531*(1+BN530)</f>
        <v>3.1703796337464718</v>
      </c>
      <c r="BO531" s="682">
        <f>+SUM(BK531:BN531)</f>
        <v>9.7444100852952715</v>
      </c>
      <c r="BP531" s="2577">
        <f>+BK531*(1+BP530)</f>
        <v>2.6001007776908569</v>
      </c>
      <c r="BQ531" s="2577">
        <f>+BL531*(1+BQ530)</f>
        <v>2.4732137018658977</v>
      </c>
      <c r="BR531" s="2577">
        <f>+BM531*(1+BR530)</f>
        <v>2.3235157770425712</v>
      </c>
      <c r="BS531" s="2577">
        <f>+BN531*(1+BS530)</f>
        <v>3.5613610545069467</v>
      </c>
      <c r="BT531" s="2604">
        <f>+SUM(BP531:BS531)</f>
        <v>10.958191311106273</v>
      </c>
      <c r="BU531" s="2577">
        <f>+BP531*(1+BU530)</f>
        <v>2.7324679029957206</v>
      </c>
      <c r="BV531" s="2577">
        <f>+BQ531</f>
        <v>2.4732137018658977</v>
      </c>
      <c r="BW531" s="2577">
        <f>+BR531</f>
        <v>2.3235157770425712</v>
      </c>
      <c r="BX531" s="2577">
        <f>+BS531</f>
        <v>3.5613610545069467</v>
      </c>
      <c r="BY531" s="2604">
        <f>+SUM(BU531:BX531)</f>
        <v>11.090558436411136</v>
      </c>
      <c r="BZ531" s="2966">
        <f t="shared" ref="BZ531:CF531" si="1298">+BY531</f>
        <v>11.090558436411136</v>
      </c>
      <c r="CA531" s="2966">
        <f t="shared" si="1298"/>
        <v>11.090558436411136</v>
      </c>
      <c r="CB531" s="2966">
        <f t="shared" si="1298"/>
        <v>11.090558436411136</v>
      </c>
      <c r="CC531" s="2966">
        <f t="shared" si="1298"/>
        <v>11.090558436411136</v>
      </c>
      <c r="CD531" s="2966">
        <f t="shared" si="1298"/>
        <v>11.090558436411136</v>
      </c>
      <c r="CE531" s="2966">
        <f t="shared" si="1298"/>
        <v>11.090558436411136</v>
      </c>
      <c r="CF531" s="2966">
        <f t="shared" si="1298"/>
        <v>11.090558436411136</v>
      </c>
      <c r="CG531" s="331"/>
      <c r="CH531" s="331"/>
      <c r="CI531" s="331"/>
      <c r="CJ531" s="331"/>
      <c r="CK531" s="331"/>
      <c r="CL531" s="520" t="str">
        <f>A531</f>
        <v>Other revenue</v>
      </c>
      <c r="CM531" s="476"/>
      <c r="CN531" s="476"/>
      <c r="CO531" s="476"/>
      <c r="CP531" s="476"/>
      <c r="CQ531" s="476"/>
      <c r="CR531" s="476"/>
      <c r="CS531" s="476"/>
      <c r="CT531" s="476"/>
      <c r="CU531" s="476">
        <f>AU531</f>
        <v>0</v>
      </c>
      <c r="CV531" s="476">
        <f>AZ531</f>
        <v>0</v>
      </c>
      <c r="CW531" s="476">
        <f>BE531</f>
        <v>2.75</v>
      </c>
      <c r="CX531" s="476">
        <f>BJ531</f>
        <v>9</v>
      </c>
      <c r="CY531" s="476">
        <f>BO531</f>
        <v>9.7444100852952715</v>
      </c>
      <c r="CZ531" s="476">
        <f>BT531</f>
        <v>10.958191311106273</v>
      </c>
      <c r="DA531" s="476">
        <f t="shared" si="1295"/>
        <v>11.090558436411136</v>
      </c>
      <c r="DB531" s="476">
        <f t="shared" si="1295"/>
        <v>11.090558436411136</v>
      </c>
      <c r="DC531" s="682">
        <f t="shared" si="1295"/>
        <v>11.090558436411136</v>
      </c>
      <c r="DD531" s="331"/>
      <c r="DE531" s="331"/>
      <c r="DF531" s="502"/>
      <c r="DG531" s="503"/>
      <c r="DH531" s="2577"/>
      <c r="DI531" s="3213"/>
      <c r="DJ531" s="502"/>
      <c r="DK531" s="503"/>
      <c r="DL531" s="502"/>
      <c r="DM531" s="502"/>
      <c r="DN531" s="502"/>
      <c r="DO531" s="502"/>
      <c r="DP531" s="503"/>
      <c r="DQ531" s="503"/>
      <c r="DR531" s="296"/>
      <c r="DS531" s="296"/>
      <c r="DT531" s="296"/>
    </row>
    <row r="532" spans="1:124" ht="12" customHeight="1" x14ac:dyDescent="0.25">
      <c r="A532" s="496" t="s">
        <v>1418</v>
      </c>
      <c r="B532" s="1007"/>
      <c r="C532" s="1008"/>
      <c r="D532" s="1008"/>
      <c r="E532" s="1008"/>
      <c r="F532" s="1008"/>
      <c r="G532" s="1009"/>
      <c r="H532" s="1008"/>
      <c r="I532" s="1008"/>
      <c r="J532" s="1008"/>
      <c r="K532" s="1008"/>
      <c r="L532" s="1009"/>
      <c r="M532" s="1008"/>
      <c r="N532" s="1008"/>
      <c r="O532" s="1008"/>
      <c r="P532" s="1008"/>
      <c r="Q532" s="1009"/>
      <c r="R532" s="1008"/>
      <c r="S532" s="1008"/>
      <c r="T532" s="1008"/>
      <c r="U532" s="1008"/>
      <c r="V532" s="1009"/>
      <c r="W532" s="1008"/>
      <c r="X532" s="1008"/>
      <c r="Y532" s="1008"/>
      <c r="Z532" s="1008"/>
      <c r="AA532" s="1009"/>
      <c r="AB532" s="1014"/>
      <c r="AC532" s="1014"/>
      <c r="AD532" s="1014"/>
      <c r="AE532" s="1012"/>
      <c r="AF532" s="1011"/>
      <c r="AG532" s="1014"/>
      <c r="AH532" s="1014"/>
      <c r="AI532" s="1014"/>
      <c r="AJ532" s="1012"/>
      <c r="AK532" s="1011"/>
      <c r="AL532" s="1014"/>
      <c r="AM532" s="1014"/>
      <c r="AN532" s="1014"/>
      <c r="AO532" s="1012"/>
      <c r="AP532" s="1013"/>
      <c r="AQ532" s="1013"/>
      <c r="AR532" s="1012"/>
      <c r="AS532" s="1012"/>
      <c r="AT532" s="1012"/>
      <c r="AU532" s="1011"/>
      <c r="AV532" s="1013"/>
      <c r="AW532" s="1012"/>
      <c r="AX532" s="1012"/>
      <c r="AY532" s="1877"/>
      <c r="AZ532" s="1011"/>
      <c r="BA532" s="1013"/>
      <c r="BB532" s="1012"/>
      <c r="BC532" s="1012">
        <f>BC531+BC529</f>
        <v>6.18649</v>
      </c>
      <c r="BD532" s="1877">
        <f>BD531+BD529</f>
        <v>25.257778999999999</v>
      </c>
      <c r="BE532" s="1877">
        <f>+SUM(BA532:BD532)</f>
        <v>31.444268999999998</v>
      </c>
      <c r="BF532" s="1012">
        <f>BF531+BF529</f>
        <v>23.730999999999998</v>
      </c>
      <c r="BG532" s="1012">
        <f>BG531+BG529</f>
        <v>25.168319</v>
      </c>
      <c r="BH532" s="1012">
        <f>BH531+BH529</f>
        <v>26.177028</v>
      </c>
      <c r="BI532" s="1877">
        <f>BI531+BI529</f>
        <v>26.048952</v>
      </c>
      <c r="BJ532" s="1877">
        <f>+SUM(BF532:BI532)</f>
        <v>101.125299</v>
      </c>
      <c r="BK532" s="1012">
        <f>BK531+BK529</f>
        <v>27.521565046431363</v>
      </c>
      <c r="BL532" s="1012">
        <f>BL531+BL529</f>
        <v>27.202845619911741</v>
      </c>
      <c r="BM532" s="1012">
        <f>BM531+BM529</f>
        <v>27.392895785205692</v>
      </c>
      <c r="BN532" s="1877">
        <f>BN531+BN529</f>
        <v>27.528355633746472</v>
      </c>
      <c r="BO532" s="1877">
        <f>+SUM(BK532:BN532)</f>
        <v>109.64566208529527</v>
      </c>
      <c r="BP532" s="1012">
        <f>BP531+BP529</f>
        <v>30.851495777690857</v>
      </c>
      <c r="BQ532" s="1012">
        <f>BQ531+BQ529</f>
        <v>31.123315701865902</v>
      </c>
      <c r="BR532" s="1012">
        <f>BR531+BR529</f>
        <v>30.411368777042568</v>
      </c>
      <c r="BS532" s="1012">
        <f>BS531+BS529</f>
        <v>30.923241054506946</v>
      </c>
      <c r="BT532" s="1011">
        <f>+SUM(BP532:BS532)</f>
        <v>123.30942131110628</v>
      </c>
      <c r="BU532" s="1012">
        <f>BU531+BU529</f>
        <v>32.422097902995723</v>
      </c>
      <c r="BV532" s="1012">
        <f>BV531+BV529</f>
        <v>33.077959571514853</v>
      </c>
      <c r="BW532" s="1012">
        <f>BW531+BW529</f>
        <v>31.627148628040118</v>
      </c>
      <c r="BX532" s="1012">
        <f>BX531+BX529</f>
        <v>31.721402385735811</v>
      </c>
      <c r="BY532" s="1011">
        <f>+SUM(BU532:BX532)</f>
        <v>128.84860848828652</v>
      </c>
      <c r="BZ532" s="1011">
        <f t="shared" ref="BZ532:CF532" si="1299">BZ531+BZ529</f>
        <v>130.01181262828882</v>
      </c>
      <c r="CA532" s="1011">
        <f t="shared" si="1299"/>
        <v>130.33762428360902</v>
      </c>
      <c r="CB532" s="1011">
        <f t="shared" si="1299"/>
        <v>124.06574991869493</v>
      </c>
      <c r="CC532" s="1011">
        <f t="shared" si="1299"/>
        <v>118.41699034458071</v>
      </c>
      <c r="CD532" s="1011">
        <f t="shared" si="1299"/>
        <v>120.56351898274411</v>
      </c>
      <c r="CE532" s="1011">
        <f t="shared" si="1299"/>
        <v>123.05890263136189</v>
      </c>
      <c r="CF532" s="1011">
        <f t="shared" si="1299"/>
        <v>124.98622658881595</v>
      </c>
      <c r="CG532" s="476"/>
      <c r="CH532" s="476"/>
      <c r="CI532" s="476"/>
      <c r="CJ532" s="476"/>
      <c r="CK532" s="331"/>
      <c r="CL532" s="2102" t="str">
        <f>A532</f>
        <v>Net revenue</v>
      </c>
      <c r="CM532" s="1012"/>
      <c r="CN532" s="1012"/>
      <c r="CO532" s="1012"/>
      <c r="CP532" s="1012"/>
      <c r="CQ532" s="1012"/>
      <c r="CR532" s="1012"/>
      <c r="CS532" s="1012"/>
      <c r="CT532" s="1012"/>
      <c r="CU532" s="1012">
        <f>AU532</f>
        <v>0</v>
      </c>
      <c r="CV532" s="1012">
        <f>AZ532</f>
        <v>0</v>
      </c>
      <c r="CW532" s="1012">
        <f>BE532</f>
        <v>31.444268999999998</v>
      </c>
      <c r="CX532" s="1012">
        <f>BJ532</f>
        <v>101.125299</v>
      </c>
      <c r="CY532" s="1012">
        <f>BO532</f>
        <v>109.64566208529527</v>
      </c>
      <c r="CZ532" s="1012">
        <f>BT532</f>
        <v>123.30942131110628</v>
      </c>
      <c r="DA532" s="1012">
        <f t="shared" si="1295"/>
        <v>128.84860848828652</v>
      </c>
      <c r="DB532" s="1012">
        <f t="shared" si="1295"/>
        <v>130.01181262828882</v>
      </c>
      <c r="DC532" s="1877">
        <f t="shared" si="1295"/>
        <v>130.33762428360902</v>
      </c>
      <c r="DD532" s="331"/>
      <c r="DE532" s="331"/>
      <c r="DF532" s="502"/>
      <c r="DG532" s="503"/>
      <c r="DH532" s="598"/>
      <c r="DI532" s="3213"/>
      <c r="DJ532" s="502"/>
      <c r="DK532" s="503"/>
      <c r="DL532" s="502"/>
      <c r="DM532" s="502"/>
      <c r="DN532" s="502"/>
      <c r="DO532" s="502"/>
      <c r="DP532" s="503"/>
      <c r="DQ532" s="503"/>
      <c r="DR532" s="296"/>
      <c r="DS532" s="296"/>
      <c r="DT532" s="296"/>
    </row>
    <row r="533" spans="1:124" ht="12" customHeight="1" x14ac:dyDescent="0.25">
      <c r="A533" s="465" t="s">
        <v>1491</v>
      </c>
      <c r="B533" s="281"/>
      <c r="C533" s="472"/>
      <c r="D533" s="472"/>
      <c r="E533" s="472"/>
      <c r="F533" s="472"/>
      <c r="G533" s="491"/>
      <c r="H533" s="472"/>
      <c r="I533" s="472"/>
      <c r="J533" s="472"/>
      <c r="K533" s="472"/>
      <c r="L533" s="491"/>
      <c r="M533" s="472"/>
      <c r="N533" s="472"/>
      <c r="O533" s="472"/>
      <c r="P533" s="472"/>
      <c r="Q533" s="491"/>
      <c r="R533" s="472"/>
      <c r="S533" s="472"/>
      <c r="T533" s="472"/>
      <c r="U533" s="472"/>
      <c r="V533" s="491"/>
      <c r="W533" s="472"/>
      <c r="X533" s="472"/>
      <c r="Y533" s="472"/>
      <c r="Z533" s="472"/>
      <c r="AA533" s="491"/>
      <c r="AB533" s="472"/>
      <c r="AC533" s="472"/>
      <c r="AD533" s="472"/>
      <c r="AE533" s="492"/>
      <c r="AF533" s="493"/>
      <c r="AG533" s="472"/>
      <c r="AH533" s="472"/>
      <c r="AI533" s="472"/>
      <c r="AJ533" s="492"/>
      <c r="AK533" s="493"/>
      <c r="AL533" s="472"/>
      <c r="AM533" s="472"/>
      <c r="AN533" s="472"/>
      <c r="AO533" s="492"/>
      <c r="AP533" s="494"/>
      <c r="AQ533" s="494"/>
      <c r="AR533" s="492"/>
      <c r="AS533" s="492"/>
      <c r="AT533" s="492"/>
      <c r="AU533" s="493"/>
      <c r="AV533" s="494"/>
      <c r="AW533" s="492"/>
      <c r="AX533" s="492"/>
      <c r="AY533" s="1311"/>
      <c r="AZ533" s="470"/>
      <c r="BA533" s="471"/>
      <c r="BB533" s="469"/>
      <c r="BC533" s="469"/>
      <c r="BD533" s="1463"/>
      <c r="BE533" s="1463"/>
      <c r="BF533" s="469"/>
      <c r="BG533" s="469"/>
      <c r="BH533" s="469"/>
      <c r="BI533" s="1463">
        <f t="shared" ref="BI533:BO533" si="1300">+BI532/BD532-1</f>
        <v>3.1323933905669232E-2</v>
      </c>
      <c r="BJ533" s="1463">
        <f t="shared" si="1300"/>
        <v>2.2160168519102799</v>
      </c>
      <c r="BK533" s="469">
        <f t="shared" si="1300"/>
        <v>0.15973052321568271</v>
      </c>
      <c r="BL533" s="469">
        <f t="shared" si="1300"/>
        <v>8.0836809955871169E-2</v>
      </c>
      <c r="BM533" s="469">
        <f t="shared" si="1300"/>
        <v>4.6447892602845986E-2</v>
      </c>
      <c r="BN533" s="1463">
        <f t="shared" si="1300"/>
        <v>5.6793211248823861E-2</v>
      </c>
      <c r="BO533" s="1463">
        <f t="shared" si="1300"/>
        <v>8.4255504503331746E-2</v>
      </c>
      <c r="BP533" s="469">
        <f t="shared" ref="BP533:BX533" si="1301">+BP532/BK532-1</f>
        <v>0.12099350911336626</v>
      </c>
      <c r="BQ533" s="469">
        <f t="shared" si="1301"/>
        <v>0.14411985189830601</v>
      </c>
      <c r="BR533" s="469">
        <f t="shared" si="1301"/>
        <v>0.110191818181818</v>
      </c>
      <c r="BS533" s="469">
        <f t="shared" si="1301"/>
        <v>0.12332321864509588</v>
      </c>
      <c r="BT533" s="470">
        <f t="shared" si="1301"/>
        <v>0.12461741728716746</v>
      </c>
      <c r="BU533" s="469">
        <f t="shared" si="1301"/>
        <v>5.0908459564563247E-2</v>
      </c>
      <c r="BV533" s="469">
        <f t="shared" si="1301"/>
        <v>6.2803201573146117E-2</v>
      </c>
      <c r="BW533" s="469">
        <f t="shared" si="1301"/>
        <v>3.9977807638679419E-2</v>
      </c>
      <c r="BX533" s="469">
        <f t="shared" si="1301"/>
        <v>2.5811050330137864E-2</v>
      </c>
      <c r="BY533" s="470">
        <f>+BY532/BT532-1</f>
        <v>4.4921037811093356E-2</v>
      </c>
      <c r="BZ533" s="470">
        <f t="shared" ref="BZ533:CF533" si="1302">(BZ532-BY532)/BY532</f>
        <v>9.0276810409485528E-3</v>
      </c>
      <c r="CA533" s="470">
        <f t="shared" si="1302"/>
        <v>2.5060157899014029E-3</v>
      </c>
      <c r="CB533" s="470">
        <f t="shared" si="1302"/>
        <v>-4.8120213939658409E-2</v>
      </c>
      <c r="CC533" s="470">
        <f t="shared" si="1302"/>
        <v>-4.5530370612486305E-2</v>
      </c>
      <c r="CD533" s="470">
        <f t="shared" si="1302"/>
        <v>1.8126863652903485E-2</v>
      </c>
      <c r="CE533" s="470">
        <f t="shared" si="1302"/>
        <v>2.0697667666576085E-2</v>
      </c>
      <c r="CF533" s="470">
        <f t="shared" si="1302"/>
        <v>1.5661800294348476E-2</v>
      </c>
      <c r="CG533" s="476"/>
      <c r="CH533" s="476"/>
      <c r="CI533" s="476"/>
      <c r="CJ533" s="476"/>
      <c r="CK533" s="331"/>
      <c r="CL533" s="1310" t="str">
        <f>A533</f>
        <v>% growth (y-o-y)</v>
      </c>
      <c r="CM533" s="492"/>
      <c r="CN533" s="492"/>
      <c r="CO533" s="492"/>
      <c r="CP533" s="492"/>
      <c r="CQ533" s="492"/>
      <c r="CR533" s="492"/>
      <c r="CS533" s="492"/>
      <c r="CT533" s="492"/>
      <c r="CU533" s="492"/>
      <c r="CV533" s="492">
        <f>AZ533</f>
        <v>0</v>
      </c>
      <c r="CW533" s="492">
        <f>BE533</f>
        <v>0</v>
      </c>
      <c r="CX533" s="492">
        <f>BJ533</f>
        <v>2.2160168519102799</v>
      </c>
      <c r="CY533" s="492">
        <f>BO533</f>
        <v>8.4255504503331746E-2</v>
      </c>
      <c r="CZ533" s="492">
        <f>BT533</f>
        <v>0.12461741728716746</v>
      </c>
      <c r="DA533" s="492">
        <f t="shared" si="1295"/>
        <v>4.4921037811093356E-2</v>
      </c>
      <c r="DB533" s="492">
        <f t="shared" si="1295"/>
        <v>9.0276810409485528E-3</v>
      </c>
      <c r="DC533" s="1311">
        <f t="shared" si="1295"/>
        <v>2.5060157899014029E-3</v>
      </c>
      <c r="DD533" s="331"/>
      <c r="DE533" s="331"/>
      <c r="DF533" s="502"/>
      <c r="DG533" s="503"/>
      <c r="DH533" s="469"/>
      <c r="DI533" s="3213"/>
      <c r="DJ533" s="502"/>
      <c r="DK533" s="503"/>
      <c r="DL533" s="502"/>
      <c r="DM533" s="502"/>
      <c r="DN533" s="502"/>
      <c r="DO533" s="502"/>
      <c r="DP533" s="503"/>
      <c r="DQ533" s="503"/>
      <c r="DR533" s="296"/>
      <c r="DS533" s="296"/>
      <c r="DT533" s="296"/>
    </row>
    <row r="534" spans="1:124" ht="5.0999999999999996" customHeight="1" x14ac:dyDescent="0.25">
      <c r="A534" s="281"/>
      <c r="B534" s="281"/>
      <c r="C534" s="305"/>
      <c r="D534" s="305"/>
      <c r="E534" s="305"/>
      <c r="F534" s="305"/>
      <c r="G534" s="440"/>
      <c r="H534" s="305"/>
      <c r="I534" s="305"/>
      <c r="J534" s="305"/>
      <c r="K534" s="305"/>
      <c r="L534" s="440"/>
      <c r="M534" s="305"/>
      <c r="N534" s="305"/>
      <c r="O534" s="305"/>
      <c r="P534" s="305"/>
      <c r="Q534" s="440"/>
      <c r="R534" s="305"/>
      <c r="S534" s="305"/>
      <c r="T534" s="305"/>
      <c r="U534" s="305"/>
      <c r="V534" s="440"/>
      <c r="W534" s="305"/>
      <c r="X534" s="305"/>
      <c r="Y534" s="305"/>
      <c r="Z534" s="305"/>
      <c r="AA534" s="440"/>
      <c r="AB534" s="305"/>
      <c r="AC534" s="305"/>
      <c r="AD534" s="305"/>
      <c r="AE534" s="331"/>
      <c r="AF534" s="441"/>
      <c r="AG534" s="305"/>
      <c r="AH534" s="305"/>
      <c r="AI534" s="305"/>
      <c r="AJ534" s="331"/>
      <c r="AK534" s="441"/>
      <c r="AL534" s="305"/>
      <c r="AM534" s="305"/>
      <c r="AN534" s="305"/>
      <c r="AO534" s="331"/>
      <c r="AP534" s="569"/>
      <c r="AQ534" s="569"/>
      <c r="AR534" s="442"/>
      <c r="AS534" s="442"/>
      <c r="AT534" s="442"/>
      <c r="AU534" s="441"/>
      <c r="AV534" s="569"/>
      <c r="AW534" s="442"/>
      <c r="AX534" s="442"/>
      <c r="AY534" s="1312"/>
      <c r="AZ534" s="441"/>
      <c r="BA534" s="569"/>
      <c r="BB534" s="442"/>
      <c r="BC534" s="442"/>
      <c r="BD534" s="1312"/>
      <c r="BE534" s="1312"/>
      <c r="BF534" s="442"/>
      <c r="BG534" s="442"/>
      <c r="BH534" s="442"/>
      <c r="BI534" s="1312"/>
      <c r="BJ534" s="441"/>
      <c r="BK534" s="442"/>
      <c r="BL534" s="442"/>
      <c r="BM534" s="442"/>
      <c r="BN534" s="1312"/>
      <c r="BO534" s="1312"/>
      <c r="BP534" s="442"/>
      <c r="BQ534" s="442"/>
      <c r="BR534" s="442"/>
      <c r="BS534" s="442"/>
      <c r="BT534" s="3236"/>
      <c r="BU534" s="3298"/>
      <c r="BV534" s="3298"/>
      <c r="BW534" s="3298"/>
      <c r="BX534" s="3298"/>
      <c r="BY534" s="3236"/>
      <c r="BZ534" s="441"/>
      <c r="CA534" s="441"/>
      <c r="CB534" s="441"/>
      <c r="CC534" s="441"/>
      <c r="CD534" s="441"/>
      <c r="CE534" s="441"/>
      <c r="CF534" s="441"/>
      <c r="CG534" s="331"/>
      <c r="CH534" s="331"/>
      <c r="CI534" s="331"/>
      <c r="CJ534" s="331"/>
      <c r="CK534" s="331"/>
      <c r="CL534" s="520"/>
      <c r="CM534" s="442"/>
      <c r="CN534" s="442"/>
      <c r="CO534" s="442"/>
      <c r="CP534" s="442"/>
      <c r="CQ534" s="442"/>
      <c r="CR534" s="442"/>
      <c r="CS534" s="442"/>
      <c r="CT534" s="442"/>
      <c r="CU534" s="442"/>
      <c r="CV534" s="442"/>
      <c r="CW534" s="442"/>
      <c r="CX534" s="442"/>
      <c r="CY534" s="442"/>
      <c r="CZ534" s="442"/>
      <c r="DA534" s="442"/>
      <c r="DB534" s="442"/>
      <c r="DC534" s="1312"/>
      <c r="DD534" s="331"/>
      <c r="DE534" s="331"/>
      <c r="DF534" s="502"/>
      <c r="DG534" s="503"/>
      <c r="DH534" s="3298"/>
      <c r="DI534" s="3213"/>
      <c r="DJ534" s="502"/>
      <c r="DK534" s="503"/>
      <c r="DL534" s="502"/>
      <c r="DM534" s="502"/>
      <c r="DN534" s="502"/>
      <c r="DO534" s="502"/>
      <c r="DP534" s="503"/>
      <c r="DQ534" s="503"/>
      <c r="DR534" s="296"/>
      <c r="DS534" s="296"/>
      <c r="DT534" s="296"/>
    </row>
    <row r="535" spans="1:124" ht="12" customHeight="1" x14ac:dyDescent="0.25">
      <c r="A535" s="281" t="s">
        <v>601</v>
      </c>
      <c r="B535" s="281"/>
      <c r="C535" s="452"/>
      <c r="D535" s="452"/>
      <c r="E535" s="452"/>
      <c r="F535" s="452"/>
      <c r="G535" s="475"/>
      <c r="H535" s="452"/>
      <c r="I535" s="452"/>
      <c r="J535" s="452"/>
      <c r="K535" s="452"/>
      <c r="L535" s="475"/>
      <c r="M535" s="452"/>
      <c r="N535" s="452"/>
      <c r="O535" s="452"/>
      <c r="P535" s="452"/>
      <c r="Q535" s="475"/>
      <c r="R535" s="452"/>
      <c r="S535" s="452"/>
      <c r="T535" s="452"/>
      <c r="U535" s="452"/>
      <c r="V535" s="475"/>
      <c r="W535" s="452"/>
      <c r="X535" s="452"/>
      <c r="Y535" s="452"/>
      <c r="Z535" s="452"/>
      <c r="AA535" s="475"/>
      <c r="AB535" s="452"/>
      <c r="AC535" s="452"/>
      <c r="AD535" s="452"/>
      <c r="AE535" s="476"/>
      <c r="AF535" s="477"/>
      <c r="AG535" s="452"/>
      <c r="AH535" s="452"/>
      <c r="AI535" s="452"/>
      <c r="AJ535" s="476"/>
      <c r="AK535" s="477"/>
      <c r="AL535" s="452"/>
      <c r="AM535" s="452"/>
      <c r="AN535" s="452"/>
      <c r="AO535" s="476"/>
      <c r="AP535" s="478"/>
      <c r="AQ535" s="478"/>
      <c r="AR535" s="572"/>
      <c r="AS535" s="476"/>
      <c r="AT535" s="476"/>
      <c r="AU535" s="477"/>
      <c r="AV535" s="478"/>
      <c r="AW535" s="476"/>
      <c r="AX535" s="476"/>
      <c r="AY535" s="682"/>
      <c r="AZ535" s="477"/>
      <c r="BA535" s="478"/>
      <c r="BB535" s="476"/>
      <c r="BC535" s="476">
        <f>+BC532*BC536</f>
        <v>3.711894</v>
      </c>
      <c r="BD535" s="682">
        <f>+BD532*BD536</f>
        <v>12.6288895</v>
      </c>
      <c r="BE535" s="682">
        <f>+SUM(BA535:BD535)</f>
        <v>16.340783500000001</v>
      </c>
      <c r="BF535" s="476">
        <f>+BF532*BF536</f>
        <v>9.729709999999999</v>
      </c>
      <c r="BG535" s="476">
        <f>+BG532*BG536</f>
        <v>10.822377169999999</v>
      </c>
      <c r="BH535" s="476">
        <f>+BH532*BH536</f>
        <v>11.256122039999999</v>
      </c>
      <c r="BI535" s="682">
        <f>+BI532*BI536</f>
        <v>11.982517920000001</v>
      </c>
      <c r="BJ535" s="477">
        <f>+SUM(BF535:BI535)</f>
        <v>43.79072713</v>
      </c>
      <c r="BK535" s="476">
        <f>+BK532*BK536</f>
        <v>11.283841669036859</v>
      </c>
      <c r="BL535" s="476">
        <f>+BL532*BL536</f>
        <v>11.42519516036293</v>
      </c>
      <c r="BM535" s="476">
        <f>+BM532*BM536</f>
        <v>11.50501622978639</v>
      </c>
      <c r="BN535" s="682">
        <f>+BN532*BN536</f>
        <v>12.387760035185913</v>
      </c>
      <c r="BO535" s="682">
        <f>+SUM(BK535:BN535)</f>
        <v>46.601813094372091</v>
      </c>
      <c r="BP535" s="476">
        <f>+BP532*BP536</f>
        <v>12.032083353299434</v>
      </c>
      <c r="BQ535" s="476">
        <f>+BQ532*BQ536</f>
        <v>13.071792594783679</v>
      </c>
      <c r="BR535" s="476">
        <f>+BR532*BR536</f>
        <v>12.468661198587453</v>
      </c>
      <c r="BS535" s="476">
        <f>+BS532*BS536</f>
        <v>13.142377448165451</v>
      </c>
      <c r="BT535" s="2604">
        <f>+SUM(BP535:BS535)</f>
        <v>50.714914594836017</v>
      </c>
      <c r="BU535" s="2577">
        <f>+BU532*BU536</f>
        <v>12.482507692653353</v>
      </c>
      <c r="BV535" s="2577">
        <f>+BV532*BV536</f>
        <v>13.231183828605943</v>
      </c>
      <c r="BW535" s="2577">
        <f>+BW532*BW536</f>
        <v>12.492723708075845</v>
      </c>
      <c r="BX535" s="2577">
        <f>+BX532*BX536</f>
        <v>13.005774978151681</v>
      </c>
      <c r="BY535" s="2604">
        <f>+SUM(BU535:BX535)</f>
        <v>51.212190207486827</v>
      </c>
      <c r="BZ535" s="477">
        <f t="shared" ref="BZ535:CF535" si="1303">BY535*(1+BZ537)</f>
        <v>50.700068305411961</v>
      </c>
      <c r="CA535" s="477">
        <f t="shared" si="1303"/>
        <v>51.207068988466084</v>
      </c>
      <c r="CB535" s="477">
        <f t="shared" si="1303"/>
        <v>49.670856918812099</v>
      </c>
      <c r="CC535" s="477">
        <f t="shared" si="1303"/>
        <v>48.180731211247732</v>
      </c>
      <c r="CD535" s="477">
        <f t="shared" si="1303"/>
        <v>48.662538523360212</v>
      </c>
      <c r="CE535" s="477">
        <f t="shared" si="1303"/>
        <v>49.149163908593813</v>
      </c>
      <c r="CF535" s="477">
        <f t="shared" si="1303"/>
        <v>49.640655547679749</v>
      </c>
      <c r="CG535" s="331"/>
      <c r="CH535" s="331"/>
      <c r="CI535" s="331"/>
      <c r="CJ535" s="331"/>
      <c r="CK535" s="331"/>
      <c r="CL535" s="520" t="str">
        <f t="shared" ref="CL535:CL540" si="1304">A535</f>
        <v>Operating expenses</v>
      </c>
      <c r="CM535" s="476"/>
      <c r="CN535" s="476"/>
      <c r="CO535" s="476"/>
      <c r="CP535" s="476"/>
      <c r="CQ535" s="476"/>
      <c r="CR535" s="476"/>
      <c r="CS535" s="476"/>
      <c r="CT535" s="476"/>
      <c r="CU535" s="476">
        <f t="shared" ref="CU535:CU540" si="1305">AU535</f>
        <v>0</v>
      </c>
      <c r="CV535" s="476">
        <f t="shared" ref="CV535:CV540" si="1306">AZ535</f>
        <v>0</v>
      </c>
      <c r="CW535" s="476">
        <f t="shared" ref="CW535:CW540" si="1307">BE535</f>
        <v>16.340783500000001</v>
      </c>
      <c r="CX535" s="476">
        <f t="shared" ref="CX535:CX540" si="1308">BJ535</f>
        <v>43.79072713</v>
      </c>
      <c r="CY535" s="476">
        <f t="shared" ref="CY535:CY540" si="1309">BO535</f>
        <v>46.601813094372091</v>
      </c>
      <c r="CZ535" s="476">
        <f t="shared" ref="CZ535:CZ540" si="1310">BT535</f>
        <v>50.714914594836017</v>
      </c>
      <c r="DA535" s="476">
        <f t="shared" ref="DA535:DC540" si="1311">BY535</f>
        <v>51.212190207486827</v>
      </c>
      <c r="DB535" s="476">
        <f t="shared" si="1311"/>
        <v>50.700068305411961</v>
      </c>
      <c r="DC535" s="682">
        <f t="shared" si="1311"/>
        <v>51.207068988466084</v>
      </c>
      <c r="DD535" s="331"/>
      <c r="DE535" s="331"/>
      <c r="DF535" s="502"/>
      <c r="DG535" s="503"/>
      <c r="DH535" s="2577"/>
      <c r="DI535" s="3213"/>
      <c r="DJ535" s="502"/>
      <c r="DK535" s="503"/>
      <c r="DL535" s="502"/>
      <c r="DM535" s="502"/>
      <c r="DN535" s="502"/>
      <c r="DO535" s="502"/>
      <c r="DP535" s="503"/>
      <c r="DQ535" s="503"/>
      <c r="DR535" s="296"/>
      <c r="DS535" s="296"/>
      <c r="DT535" s="296"/>
    </row>
    <row r="536" spans="1:124" ht="12" customHeight="1" x14ac:dyDescent="0.25">
      <c r="A536" s="465" t="s">
        <v>646</v>
      </c>
      <c r="B536" s="281"/>
      <c r="C536" s="472"/>
      <c r="D536" s="472"/>
      <c r="E536" s="472"/>
      <c r="F536" s="472"/>
      <c r="G536" s="491"/>
      <c r="H536" s="472"/>
      <c r="I536" s="472"/>
      <c r="J536" s="472"/>
      <c r="K536" s="472"/>
      <c r="L536" s="491"/>
      <c r="M536" s="472"/>
      <c r="N536" s="472"/>
      <c r="O536" s="472"/>
      <c r="P536" s="472"/>
      <c r="Q536" s="491"/>
      <c r="R536" s="472"/>
      <c r="S536" s="472"/>
      <c r="T536" s="472"/>
      <c r="U536" s="472"/>
      <c r="V536" s="491"/>
      <c r="W536" s="472"/>
      <c r="X536" s="472"/>
      <c r="Y536" s="472"/>
      <c r="Z536" s="472"/>
      <c r="AA536" s="491"/>
      <c r="AB536" s="472"/>
      <c r="AC536" s="472"/>
      <c r="AD536" s="472"/>
      <c r="AE536" s="492"/>
      <c r="AF536" s="493"/>
      <c r="AG536" s="472"/>
      <c r="AH536" s="472"/>
      <c r="AI536" s="472"/>
      <c r="AJ536" s="492"/>
      <c r="AK536" s="493"/>
      <c r="AL536" s="472"/>
      <c r="AM536" s="472"/>
      <c r="AN536" s="472"/>
      <c r="AO536" s="492"/>
      <c r="AP536" s="494"/>
      <c r="AQ536" s="494"/>
      <c r="AR536" s="1735"/>
      <c r="AS536" s="936"/>
      <c r="AT536" s="936"/>
      <c r="AU536" s="470"/>
      <c r="AV536" s="1667"/>
      <c r="AW536" s="540"/>
      <c r="AX536" s="540"/>
      <c r="AY536" s="540"/>
      <c r="AZ536" s="470"/>
      <c r="BA536" s="471"/>
      <c r="BB536" s="469"/>
      <c r="BC536" s="540">
        <v>0.6</v>
      </c>
      <c r="BD536" s="1668">
        <v>0.5</v>
      </c>
      <c r="BE536" s="470">
        <f>+BE535/BE532</f>
        <v>0.51967445959707326</v>
      </c>
      <c r="BF536" s="540">
        <v>0.41</v>
      </c>
      <c r="BG536" s="540">
        <v>0.43</v>
      </c>
      <c r="BH536" s="540">
        <v>0.43</v>
      </c>
      <c r="BI536" s="1668">
        <v>0.46</v>
      </c>
      <c r="BJ536" s="470">
        <f>+BJ535/BJ532</f>
        <v>0.43303434020007198</v>
      </c>
      <c r="BK536" s="540">
        <v>0.41</v>
      </c>
      <c r="BL536" s="540">
        <v>0.42</v>
      </c>
      <c r="BM536" s="540">
        <v>0.42</v>
      </c>
      <c r="BN536" s="1668">
        <v>0.45</v>
      </c>
      <c r="BO536" s="1463">
        <f>+BO535/BO532</f>
        <v>0.42502194987084602</v>
      </c>
      <c r="BP536" s="540">
        <v>0.39</v>
      </c>
      <c r="BQ536" s="540">
        <f>+BL536</f>
        <v>0.42</v>
      </c>
      <c r="BR536" s="540">
        <v>0.41</v>
      </c>
      <c r="BS536" s="540">
        <v>0.42499999999999999</v>
      </c>
      <c r="BT536" s="470">
        <f>+BT535/BT532</f>
        <v>0.41128175005285023</v>
      </c>
      <c r="BU536" s="540">
        <f>+BP536-0.005</f>
        <v>0.38500000000000001</v>
      </c>
      <c r="BV536" s="540">
        <v>0.4</v>
      </c>
      <c r="BW536" s="540">
        <f>+BR536-0.015</f>
        <v>0.39499999999999996</v>
      </c>
      <c r="BX536" s="540">
        <v>0.41</v>
      </c>
      <c r="BY536" s="470">
        <f>+BY535/BY532</f>
        <v>0.39746017289851038</v>
      </c>
      <c r="BZ536" s="470">
        <f t="shared" ref="BZ536:CF536" si="1312">BZ535/BZ532</f>
        <v>0.38996509071345958</v>
      </c>
      <c r="CA536" s="470">
        <f t="shared" si="1312"/>
        <v>0.39288017769175937</v>
      </c>
      <c r="CB536" s="470">
        <f t="shared" si="1312"/>
        <v>0.40035913982193577</v>
      </c>
      <c r="CC536" s="470">
        <f t="shared" si="1312"/>
        <v>0.40687346529452389</v>
      </c>
      <c r="CD536" s="470">
        <f t="shared" si="1312"/>
        <v>0.40362573134851126</v>
      </c>
      <c r="CE536" s="470">
        <f t="shared" si="1312"/>
        <v>0.39939543468729111</v>
      </c>
      <c r="CF536" s="470">
        <f t="shared" si="1312"/>
        <v>0.39716900735782118</v>
      </c>
      <c r="CG536" s="331"/>
      <c r="CH536" s="331"/>
      <c r="CI536" s="331"/>
      <c r="CJ536" s="331"/>
      <c r="CK536" s="331"/>
      <c r="CL536" s="1310" t="str">
        <f t="shared" si="1304"/>
        <v>% of Net revenue</v>
      </c>
      <c r="CM536" s="492"/>
      <c r="CN536" s="492"/>
      <c r="CO536" s="492"/>
      <c r="CP536" s="492"/>
      <c r="CQ536" s="492"/>
      <c r="CR536" s="492"/>
      <c r="CS536" s="492"/>
      <c r="CT536" s="492"/>
      <c r="CU536" s="492">
        <f t="shared" si="1305"/>
        <v>0</v>
      </c>
      <c r="CV536" s="492">
        <f t="shared" si="1306"/>
        <v>0</v>
      </c>
      <c r="CW536" s="492">
        <f t="shared" si="1307"/>
        <v>0.51967445959707326</v>
      </c>
      <c r="CX536" s="492">
        <f t="shared" si="1308"/>
        <v>0.43303434020007198</v>
      </c>
      <c r="CY536" s="492">
        <f t="shared" si="1309"/>
        <v>0.42502194987084602</v>
      </c>
      <c r="CZ536" s="492">
        <f t="shared" si="1310"/>
        <v>0.41128175005285023</v>
      </c>
      <c r="DA536" s="492">
        <f t="shared" si="1311"/>
        <v>0.39746017289851038</v>
      </c>
      <c r="DB536" s="492">
        <f t="shared" si="1311"/>
        <v>0.38996509071345958</v>
      </c>
      <c r="DC536" s="1311">
        <f t="shared" si="1311"/>
        <v>0.39288017769175937</v>
      </c>
      <c r="DD536" s="331"/>
      <c r="DE536" s="331"/>
      <c r="DF536" s="502"/>
      <c r="DG536" s="503"/>
      <c r="DH536" s="469"/>
      <c r="DI536" s="3213"/>
      <c r="DJ536" s="502"/>
      <c r="DK536" s="503"/>
      <c r="DL536" s="502"/>
      <c r="DM536" s="502"/>
      <c r="DN536" s="502"/>
      <c r="DO536" s="502"/>
      <c r="DP536" s="503"/>
      <c r="DQ536" s="503"/>
      <c r="DR536" s="296"/>
      <c r="DS536" s="296"/>
      <c r="DT536" s="296"/>
    </row>
    <row r="537" spans="1:124" ht="12" customHeight="1" x14ac:dyDescent="0.25">
      <c r="A537" s="465" t="s">
        <v>1491</v>
      </c>
      <c r="B537" s="281"/>
      <c r="C537" s="472"/>
      <c r="D537" s="472"/>
      <c r="E537" s="472"/>
      <c r="F537" s="472"/>
      <c r="G537" s="491"/>
      <c r="H537" s="472"/>
      <c r="I537" s="472"/>
      <c r="J537" s="472"/>
      <c r="K537" s="472"/>
      <c r="L537" s="491"/>
      <c r="M537" s="472"/>
      <c r="N537" s="472"/>
      <c r="O537" s="472"/>
      <c r="P537" s="472"/>
      <c r="Q537" s="491"/>
      <c r="R537" s="472"/>
      <c r="S537" s="472"/>
      <c r="T537" s="472"/>
      <c r="U537" s="472"/>
      <c r="V537" s="491"/>
      <c r="W537" s="472"/>
      <c r="X537" s="472"/>
      <c r="Y537" s="472"/>
      <c r="Z537" s="472"/>
      <c r="AA537" s="491"/>
      <c r="AB537" s="472"/>
      <c r="AC537" s="472"/>
      <c r="AD537" s="472"/>
      <c r="AE537" s="492"/>
      <c r="AF537" s="493"/>
      <c r="AG537" s="472"/>
      <c r="AH537" s="472"/>
      <c r="AI537" s="472"/>
      <c r="AJ537" s="492"/>
      <c r="AK537" s="493"/>
      <c r="AL537" s="472"/>
      <c r="AM537" s="472"/>
      <c r="AN537" s="472"/>
      <c r="AO537" s="492"/>
      <c r="AP537" s="494"/>
      <c r="AQ537" s="494"/>
      <c r="AR537" s="492"/>
      <c r="AS537" s="492"/>
      <c r="AT537" s="492"/>
      <c r="AU537" s="470"/>
      <c r="AV537" s="471"/>
      <c r="AW537" s="469"/>
      <c r="AX537" s="469"/>
      <c r="AY537" s="1463"/>
      <c r="AZ537" s="470"/>
      <c r="BA537" s="1667"/>
      <c r="BB537" s="540"/>
      <c r="BC537" s="540"/>
      <c r="BD537" s="1668"/>
      <c r="BE537" s="493"/>
      <c r="BF537" s="540"/>
      <c r="BG537" s="469"/>
      <c r="BH537" s="469">
        <f t="shared" ref="BH537:BO537" si="1313">+BH535/BC535-1</f>
        <v>2.0324470580248248</v>
      </c>
      <c r="BI537" s="1463">
        <f t="shared" si="1313"/>
        <v>-5.1181980806784155E-2</v>
      </c>
      <c r="BJ537" s="2653">
        <f t="shared" si="1313"/>
        <v>1.6798425626286524</v>
      </c>
      <c r="BK537" s="471">
        <f t="shared" si="1313"/>
        <v>0.15973052321568271</v>
      </c>
      <c r="BL537" s="469">
        <f t="shared" si="1313"/>
        <v>5.5701070189455582E-2</v>
      </c>
      <c r="BM537" s="469">
        <f t="shared" si="1313"/>
        <v>2.2111895100454193E-2</v>
      </c>
      <c r="BN537" s="1463">
        <f t="shared" si="1313"/>
        <v>3.3819445786892777E-2</v>
      </c>
      <c r="BO537" s="1311">
        <f t="shared" si="1313"/>
        <v>6.4193635242157931E-2</v>
      </c>
      <c r="BP537" s="469">
        <f t="shared" ref="BP537:BX537" si="1314">+BP535/BK535-1</f>
        <v>6.6310898912714134E-2</v>
      </c>
      <c r="BQ537" s="469">
        <f t="shared" si="1314"/>
        <v>0.14411985189830601</v>
      </c>
      <c r="BR537" s="469">
        <f t="shared" si="1314"/>
        <v>8.3758679653679557E-2</v>
      </c>
      <c r="BS537" s="469">
        <f t="shared" si="1314"/>
        <v>6.0916373164812576E-2</v>
      </c>
      <c r="BT537" s="2693">
        <f t="shared" si="1314"/>
        <v>8.8260546690202668E-2</v>
      </c>
      <c r="BU537" s="469">
        <f t="shared" si="1314"/>
        <v>3.7435274185530387E-2</v>
      </c>
      <c r="BV537" s="469">
        <f t="shared" si="1314"/>
        <v>1.2193525307758524E-2</v>
      </c>
      <c r="BW537" s="469">
        <f t="shared" si="1314"/>
        <v>1.929839066532546E-3</v>
      </c>
      <c r="BX537" s="469">
        <f t="shared" si="1314"/>
        <v>-1.0394045563867027E-2</v>
      </c>
      <c r="BY537" s="2693">
        <f>+BY535/BT535-1</f>
        <v>9.805313025242679E-3</v>
      </c>
      <c r="BZ537" s="539">
        <v>-0.01</v>
      </c>
      <c r="CA537" s="578">
        <v>0.01</v>
      </c>
      <c r="CB537" s="578">
        <v>-0.03</v>
      </c>
      <c r="CC537" s="578">
        <v>-0.03</v>
      </c>
      <c r="CD537" s="578">
        <v>0.01</v>
      </c>
      <c r="CE537" s="578">
        <v>0.01</v>
      </c>
      <c r="CF537" s="578">
        <v>0.01</v>
      </c>
      <c r="CG537" s="331"/>
      <c r="CH537" s="331"/>
      <c r="CI537" s="331"/>
      <c r="CJ537" s="331"/>
      <c r="CK537" s="331"/>
      <c r="CL537" s="1310" t="str">
        <f t="shared" si="1304"/>
        <v>% growth (y-o-y)</v>
      </c>
      <c r="CM537" s="492"/>
      <c r="CN537" s="492"/>
      <c r="CO537" s="492"/>
      <c r="CP537" s="492"/>
      <c r="CQ537" s="492"/>
      <c r="CR537" s="492"/>
      <c r="CS537" s="492"/>
      <c r="CT537" s="492"/>
      <c r="CU537" s="492">
        <f t="shared" si="1305"/>
        <v>0</v>
      </c>
      <c r="CV537" s="492">
        <f t="shared" si="1306"/>
        <v>0</v>
      </c>
      <c r="CW537" s="492">
        <f t="shared" si="1307"/>
        <v>0</v>
      </c>
      <c r="CX537" s="492">
        <f t="shared" si="1308"/>
        <v>1.6798425626286524</v>
      </c>
      <c r="CY537" s="492">
        <f t="shared" si="1309"/>
        <v>6.4193635242157931E-2</v>
      </c>
      <c r="CZ537" s="492">
        <f t="shared" si="1310"/>
        <v>8.8260546690202668E-2</v>
      </c>
      <c r="DA537" s="492">
        <f t="shared" si="1311"/>
        <v>9.805313025242679E-3</v>
      </c>
      <c r="DB537" s="492">
        <f t="shared" si="1311"/>
        <v>-0.01</v>
      </c>
      <c r="DC537" s="1311">
        <f t="shared" si="1311"/>
        <v>0.01</v>
      </c>
      <c r="DD537" s="331"/>
      <c r="DE537" s="331"/>
      <c r="DF537" s="502"/>
      <c r="DG537" s="503"/>
      <c r="DH537" s="2653"/>
      <c r="DI537" s="3213"/>
      <c r="DJ537" s="502"/>
      <c r="DK537" s="503"/>
      <c r="DL537" s="502"/>
      <c r="DM537" s="502"/>
      <c r="DN537" s="502"/>
      <c r="DO537" s="502"/>
      <c r="DP537" s="503"/>
      <c r="DQ537" s="503"/>
      <c r="DR537" s="296"/>
      <c r="DS537" s="296"/>
      <c r="DT537" s="296"/>
    </row>
    <row r="538" spans="1:124" ht="12" customHeight="1" x14ac:dyDescent="0.25">
      <c r="A538" s="281" t="s">
        <v>2161</v>
      </c>
      <c r="B538" s="281"/>
      <c r="C538" s="452"/>
      <c r="D538" s="452"/>
      <c r="E538" s="452"/>
      <c r="F538" s="452"/>
      <c r="G538" s="475"/>
      <c r="H538" s="452"/>
      <c r="I538" s="452"/>
      <c r="J538" s="452"/>
      <c r="K538" s="452"/>
      <c r="L538" s="475"/>
      <c r="M538" s="452"/>
      <c r="N538" s="452"/>
      <c r="O538" s="452"/>
      <c r="P538" s="452"/>
      <c r="Q538" s="475"/>
      <c r="R538" s="452"/>
      <c r="S538" s="452"/>
      <c r="T538" s="452"/>
      <c r="U538" s="452"/>
      <c r="V538" s="475"/>
      <c r="W538" s="452"/>
      <c r="X538" s="452"/>
      <c r="Y538" s="452"/>
      <c r="Z538" s="452"/>
      <c r="AA538" s="475"/>
      <c r="AB538" s="452"/>
      <c r="AC538" s="452"/>
      <c r="AD538" s="452"/>
      <c r="AE538" s="476"/>
      <c r="AF538" s="477"/>
      <c r="AG538" s="452"/>
      <c r="AH538" s="452"/>
      <c r="AI538" s="452"/>
      <c r="AJ538" s="476"/>
      <c r="AK538" s="477"/>
      <c r="AL538" s="452"/>
      <c r="AM538" s="452"/>
      <c r="AN538" s="452"/>
      <c r="AO538" s="476"/>
      <c r="AP538" s="478"/>
      <c r="AQ538" s="478"/>
      <c r="AR538" s="476"/>
      <c r="AS538" s="476"/>
      <c r="AT538" s="476"/>
      <c r="AU538" s="477"/>
      <c r="AV538" s="478"/>
      <c r="AW538" s="476"/>
      <c r="AX538" s="476"/>
      <c r="AY538" s="682"/>
      <c r="AZ538" s="477"/>
      <c r="BA538" s="478"/>
      <c r="BB538" s="476"/>
      <c r="BC538" s="476">
        <f>BC539*BC529</f>
        <v>1.9590417</v>
      </c>
      <c r="BD538" s="682">
        <f>BD539*BD529</f>
        <v>7.5100670699999998</v>
      </c>
      <c r="BE538" s="477">
        <f>+SUM(BA538:BD538)</f>
        <v>9.4691087700000001</v>
      </c>
      <c r="BF538" s="476">
        <f>BF539*BF529</f>
        <v>7.1712299999999995</v>
      </c>
      <c r="BG538" s="476">
        <f>BG539*BG529</f>
        <v>7.6455452700000004</v>
      </c>
      <c r="BH538" s="476">
        <f>BH539*BH529</f>
        <v>7.97841924</v>
      </c>
      <c r="BI538" s="682">
        <f>BI539*BI529</f>
        <v>7.60615416</v>
      </c>
      <c r="BJ538" s="477">
        <f>+SUM(BF538:BI538)</f>
        <v>30.401348670000001</v>
      </c>
      <c r="BK538" s="476">
        <f>BK539*BK529</f>
        <v>8.3166943199999999</v>
      </c>
      <c r="BL538" s="476">
        <f>BL539*BL529</f>
        <v>8.2635867600000008</v>
      </c>
      <c r="BM538" s="476">
        <f>BM539*BM529</f>
        <v>8.3490000000000002</v>
      </c>
      <c r="BN538" s="682">
        <f>BN539*BN529</f>
        <v>8.0381320800000005</v>
      </c>
      <c r="BO538" s="477">
        <f>+SUM(BK538:BN538)</f>
        <v>32.96741316</v>
      </c>
      <c r="BP538" s="476">
        <f>BP539*BP529</f>
        <v>9.3229603500000007</v>
      </c>
      <c r="BQ538" s="476">
        <f>BQ539*BQ529</f>
        <v>9.4545336600000009</v>
      </c>
      <c r="BR538" s="476">
        <f>BR539*BR529</f>
        <v>9.2689914899999994</v>
      </c>
      <c r="BS538" s="476">
        <f>BS539*BS529</f>
        <v>9.0294203999999993</v>
      </c>
      <c r="BT538" s="2604">
        <f>+SUM(BP538:BS538)</f>
        <v>37.075905900000002</v>
      </c>
      <c r="BU538" s="2577">
        <f>BU539*BU529</f>
        <v>9.7975779000000003</v>
      </c>
      <c r="BV538" s="2577">
        <f>BV539*BV529</f>
        <v>10.099566136984155</v>
      </c>
      <c r="BW538" s="2577">
        <f>BW539*BW529</f>
        <v>9.6701988408291903</v>
      </c>
      <c r="BX538" s="2577">
        <f>BX539*BX529</f>
        <v>9.2928136393055265</v>
      </c>
      <c r="BY538" s="2604">
        <f>+SUM(BU538:BX538)</f>
        <v>38.860156517118874</v>
      </c>
      <c r="BZ538" s="477">
        <f t="shared" ref="BZ538:CF538" si="1315">BZ539*BZ529</f>
        <v>39.244013883319639</v>
      </c>
      <c r="CA538" s="477">
        <f t="shared" si="1315"/>
        <v>39.351531729575306</v>
      </c>
      <c r="CB538" s="477">
        <f t="shared" si="1315"/>
        <v>37.281813189153652</v>
      </c>
      <c r="CC538" s="477">
        <f t="shared" si="1315"/>
        <v>35.417722529695965</v>
      </c>
      <c r="CD538" s="477">
        <f t="shared" si="1315"/>
        <v>36.126076980289881</v>
      </c>
      <c r="CE538" s="477">
        <f t="shared" si="1315"/>
        <v>36.949553584333749</v>
      </c>
      <c r="CF538" s="477">
        <f t="shared" si="1315"/>
        <v>37.585570490293591</v>
      </c>
      <c r="CG538" s="331"/>
      <c r="CH538" s="331"/>
      <c r="CI538" s="331"/>
      <c r="CJ538" s="331"/>
      <c r="CK538" s="331"/>
      <c r="CL538" s="520" t="str">
        <f t="shared" si="1304"/>
        <v>Tax expense</v>
      </c>
      <c r="CM538" s="476"/>
      <c r="CN538" s="476"/>
      <c r="CO538" s="476"/>
      <c r="CP538" s="476"/>
      <c r="CQ538" s="476"/>
      <c r="CR538" s="476"/>
      <c r="CS538" s="476"/>
      <c r="CT538" s="476"/>
      <c r="CU538" s="476">
        <f t="shared" si="1305"/>
        <v>0</v>
      </c>
      <c r="CV538" s="476">
        <f t="shared" si="1306"/>
        <v>0</v>
      </c>
      <c r="CW538" s="476">
        <f t="shared" si="1307"/>
        <v>9.4691087700000001</v>
      </c>
      <c r="CX538" s="476">
        <f t="shared" si="1308"/>
        <v>30.401348670000001</v>
      </c>
      <c r="CY538" s="476">
        <f t="shared" si="1309"/>
        <v>32.96741316</v>
      </c>
      <c r="CZ538" s="476">
        <f t="shared" si="1310"/>
        <v>37.075905900000002</v>
      </c>
      <c r="DA538" s="476">
        <f t="shared" si="1311"/>
        <v>38.860156517118874</v>
      </c>
      <c r="DB538" s="476">
        <f t="shared" si="1311"/>
        <v>39.244013883319639</v>
      </c>
      <c r="DC538" s="682">
        <f t="shared" si="1311"/>
        <v>39.351531729575306</v>
      </c>
      <c r="DD538" s="331"/>
      <c r="DE538" s="331"/>
      <c r="DF538" s="502"/>
      <c r="DG538" s="503"/>
      <c r="DH538" s="2577"/>
      <c r="DI538" s="3213"/>
      <c r="DJ538" s="502"/>
      <c r="DK538" s="503"/>
      <c r="DL538" s="502"/>
      <c r="DM538" s="502"/>
      <c r="DN538" s="502"/>
      <c r="DO538" s="502"/>
      <c r="DP538" s="503"/>
      <c r="DQ538" s="503"/>
      <c r="DR538" s="296"/>
      <c r="DS538" s="296"/>
      <c r="DT538" s="296"/>
    </row>
    <row r="539" spans="1:124" ht="12" customHeight="1" x14ac:dyDescent="0.25">
      <c r="A539" s="465" t="s">
        <v>1810</v>
      </c>
      <c r="B539" s="281"/>
      <c r="C539" s="472"/>
      <c r="D539" s="472"/>
      <c r="E539" s="472"/>
      <c r="F539" s="472"/>
      <c r="G539" s="491"/>
      <c r="H539" s="472"/>
      <c r="I539" s="472"/>
      <c r="J539" s="472"/>
      <c r="K539" s="472"/>
      <c r="L539" s="491"/>
      <c r="M539" s="472"/>
      <c r="N539" s="472"/>
      <c r="O539" s="472"/>
      <c r="P539" s="472"/>
      <c r="Q539" s="491"/>
      <c r="R539" s="472"/>
      <c r="S539" s="472"/>
      <c r="T539" s="472"/>
      <c r="U539" s="472"/>
      <c r="V539" s="491"/>
      <c r="W539" s="472"/>
      <c r="X539" s="472"/>
      <c r="Y539" s="472"/>
      <c r="Z539" s="472"/>
      <c r="AA539" s="491"/>
      <c r="AB539" s="472"/>
      <c r="AC539" s="472"/>
      <c r="AD539" s="472"/>
      <c r="AE539" s="492"/>
      <c r="AF539" s="493"/>
      <c r="AG539" s="472"/>
      <c r="AH539" s="472"/>
      <c r="AI539" s="472"/>
      <c r="AJ539" s="492"/>
      <c r="AK539" s="493"/>
      <c r="AL539" s="472"/>
      <c r="AM539" s="472"/>
      <c r="AN539" s="472"/>
      <c r="AO539" s="492"/>
      <c r="AP539" s="494"/>
      <c r="AQ539" s="494"/>
      <c r="AR539" s="936"/>
      <c r="AS539" s="936"/>
      <c r="AT539" s="492"/>
      <c r="AU539" s="539"/>
      <c r="AV539" s="1667"/>
      <c r="AW539" s="540"/>
      <c r="AX539" s="540"/>
      <c r="AY539" s="1668"/>
      <c r="AZ539" s="470"/>
      <c r="BA539" s="1667"/>
      <c r="BB539" s="540"/>
      <c r="BC539" s="540">
        <v>0.33</v>
      </c>
      <c r="BD539" s="1668">
        <v>0.33</v>
      </c>
      <c r="BE539" s="470">
        <f>+BE538/BE529</f>
        <v>0.33</v>
      </c>
      <c r="BF539" s="540">
        <v>0.33</v>
      </c>
      <c r="BG539" s="540">
        <v>0.33</v>
      </c>
      <c r="BH539" s="540">
        <v>0.33</v>
      </c>
      <c r="BI539" s="1668">
        <v>0.33</v>
      </c>
      <c r="BJ539" s="470">
        <f>+BJ538/BJ529</f>
        <v>0.33</v>
      </c>
      <c r="BK539" s="540">
        <v>0.33</v>
      </c>
      <c r="BL539" s="540">
        <v>0.33</v>
      </c>
      <c r="BM539" s="540">
        <v>0.33</v>
      </c>
      <c r="BN539" s="1668">
        <v>0.33</v>
      </c>
      <c r="BO539" s="470">
        <f>+BO538/BO529</f>
        <v>0.33</v>
      </c>
      <c r="BP539" s="540">
        <v>0.33</v>
      </c>
      <c r="BQ539" s="540">
        <v>0.33</v>
      </c>
      <c r="BR539" s="540">
        <v>0.33</v>
      </c>
      <c r="BS539" s="540">
        <v>0.33</v>
      </c>
      <c r="BT539" s="470">
        <f>+BT538/BT529</f>
        <v>0.33</v>
      </c>
      <c r="BU539" s="540">
        <v>0.33</v>
      </c>
      <c r="BV539" s="540">
        <v>0.33</v>
      </c>
      <c r="BW539" s="540">
        <v>0.33</v>
      </c>
      <c r="BX539" s="540">
        <v>0.33</v>
      </c>
      <c r="BY539" s="470">
        <f>+BY538/BY529</f>
        <v>0.33</v>
      </c>
      <c r="BZ539" s="539">
        <v>0.33</v>
      </c>
      <c r="CA539" s="539">
        <v>0.33</v>
      </c>
      <c r="CB539" s="539">
        <v>0.33</v>
      </c>
      <c r="CC539" s="539">
        <v>0.33</v>
      </c>
      <c r="CD539" s="539">
        <v>0.33</v>
      </c>
      <c r="CE539" s="539">
        <v>0.33</v>
      </c>
      <c r="CF539" s="539">
        <v>0.33</v>
      </c>
      <c r="CG539" s="331"/>
      <c r="CH539" s="331"/>
      <c r="CI539" s="331"/>
      <c r="CJ539" s="331"/>
      <c r="CK539" s="331"/>
      <c r="CL539" s="1310" t="str">
        <f t="shared" si="1304"/>
        <v>% of Gaming revenue</v>
      </c>
      <c r="CM539" s="492"/>
      <c r="CN539" s="492"/>
      <c r="CO539" s="492"/>
      <c r="CP539" s="492"/>
      <c r="CQ539" s="492"/>
      <c r="CR539" s="492"/>
      <c r="CS539" s="492"/>
      <c r="CT539" s="492"/>
      <c r="CU539" s="492">
        <f t="shared" si="1305"/>
        <v>0</v>
      </c>
      <c r="CV539" s="492">
        <f t="shared" si="1306"/>
        <v>0</v>
      </c>
      <c r="CW539" s="492">
        <f t="shared" si="1307"/>
        <v>0.33</v>
      </c>
      <c r="CX539" s="492">
        <f t="shared" si="1308"/>
        <v>0.33</v>
      </c>
      <c r="CY539" s="492">
        <f t="shared" si="1309"/>
        <v>0.33</v>
      </c>
      <c r="CZ539" s="492">
        <f t="shared" si="1310"/>
        <v>0.33</v>
      </c>
      <c r="DA539" s="492">
        <f t="shared" si="1311"/>
        <v>0.33</v>
      </c>
      <c r="DB539" s="492">
        <f t="shared" si="1311"/>
        <v>0.33</v>
      </c>
      <c r="DC539" s="1311">
        <f t="shared" si="1311"/>
        <v>0.33</v>
      </c>
      <c r="DD539" s="331"/>
      <c r="DE539" s="331"/>
      <c r="DF539" s="502"/>
      <c r="DG539" s="503"/>
      <c r="DH539" s="469"/>
      <c r="DI539" s="3213"/>
      <c r="DJ539" s="502"/>
      <c r="DK539" s="503"/>
      <c r="DL539" s="502"/>
      <c r="DM539" s="502"/>
      <c r="DN539" s="502"/>
      <c r="DO539" s="502"/>
      <c r="DP539" s="503"/>
      <c r="DQ539" s="503"/>
      <c r="DR539" s="296"/>
      <c r="DS539" s="296"/>
      <c r="DT539" s="296"/>
    </row>
    <row r="540" spans="1:124" ht="12" customHeight="1" x14ac:dyDescent="0.25">
      <c r="A540" s="281" t="s">
        <v>2162</v>
      </c>
      <c r="B540" s="281"/>
      <c r="C540" s="452"/>
      <c r="D540" s="452"/>
      <c r="E540" s="452"/>
      <c r="F540" s="452"/>
      <c r="G540" s="475"/>
      <c r="H540" s="452"/>
      <c r="I540" s="452"/>
      <c r="J540" s="452"/>
      <c r="K540" s="452"/>
      <c r="L540" s="475"/>
      <c r="M540" s="452"/>
      <c r="N540" s="452"/>
      <c r="O540" s="452"/>
      <c r="P540" s="452"/>
      <c r="Q540" s="475"/>
      <c r="R540" s="452"/>
      <c r="S540" s="452"/>
      <c r="T540" s="452"/>
      <c r="U540" s="452"/>
      <c r="V540" s="475"/>
      <c r="W540" s="452"/>
      <c r="X540" s="452"/>
      <c r="Y540" s="452"/>
      <c r="Z540" s="452"/>
      <c r="AA540" s="475"/>
      <c r="AB540" s="452"/>
      <c r="AC540" s="452"/>
      <c r="AD540" s="452"/>
      <c r="AE540" s="476"/>
      <c r="AF540" s="477"/>
      <c r="AG540" s="452"/>
      <c r="AH540" s="452"/>
      <c r="AI540" s="452"/>
      <c r="AJ540" s="476"/>
      <c r="AK540" s="477"/>
      <c r="AL540" s="452"/>
      <c r="AM540" s="452"/>
      <c r="AN540" s="452"/>
      <c r="AO540" s="476"/>
      <c r="AP540" s="478"/>
      <c r="AQ540" s="478"/>
      <c r="AR540" s="476"/>
      <c r="AS540" s="476"/>
      <c r="AT540" s="476"/>
      <c r="AU540" s="477"/>
      <c r="AV540" s="478"/>
      <c r="AW540" s="476"/>
      <c r="AX540" s="476"/>
      <c r="AY540" s="682"/>
      <c r="AZ540" s="477"/>
      <c r="BA540" s="478"/>
      <c r="BB540" s="476"/>
      <c r="BC540" s="476">
        <f>BC538+BC535</f>
        <v>5.6709357000000002</v>
      </c>
      <c r="BD540" s="682">
        <f>BD538+BD535</f>
        <v>20.138956569999998</v>
      </c>
      <c r="BE540" s="477">
        <f>+SUM(BA540:BD540)</f>
        <v>25.809892269999999</v>
      </c>
      <c r="BF540" s="476">
        <f>BF538+BF535</f>
        <v>16.900939999999999</v>
      </c>
      <c r="BG540" s="476">
        <f>BG538+BG535</f>
        <v>18.467922439999999</v>
      </c>
      <c r="BH540" s="476">
        <f>BH538+BH535</f>
        <v>19.234541279999998</v>
      </c>
      <c r="BI540" s="682">
        <f>BI538+BI535</f>
        <v>19.588672080000002</v>
      </c>
      <c r="BJ540" s="682">
        <f>+SUM(BF540:BI540)</f>
        <v>74.192075799999998</v>
      </c>
      <c r="BK540" s="476">
        <f>BK538+BK535</f>
        <v>19.600535989036857</v>
      </c>
      <c r="BL540" s="476">
        <f>BL538+BL535</f>
        <v>19.688781920362931</v>
      </c>
      <c r="BM540" s="476">
        <f>BM538+BM535</f>
        <v>19.854016229786389</v>
      </c>
      <c r="BN540" s="682">
        <f>BN538+BN535</f>
        <v>20.425892115185913</v>
      </c>
      <c r="BO540" s="682">
        <f>+SUM(BK540:BN540)</f>
        <v>79.569226254372083</v>
      </c>
      <c r="BP540" s="476">
        <f>BP538+BP535</f>
        <v>21.355043703299437</v>
      </c>
      <c r="BQ540" s="476">
        <f>BQ538+BQ535</f>
        <v>22.52632625478368</v>
      </c>
      <c r="BR540" s="476">
        <f>BR538+BR535</f>
        <v>21.737652688587453</v>
      </c>
      <c r="BS540" s="476">
        <f>BS538+BS535</f>
        <v>22.171797848165451</v>
      </c>
      <c r="BT540" s="2604">
        <f>+SUM(BP540:BS540)</f>
        <v>87.790820494836026</v>
      </c>
      <c r="BU540" s="2577">
        <f>BU538+BU535</f>
        <v>22.280085592653354</v>
      </c>
      <c r="BV540" s="2577">
        <f>BV538+BV535</f>
        <v>23.330749965590098</v>
      </c>
      <c r="BW540" s="2577">
        <f>BW538+BW535</f>
        <v>22.162922548905037</v>
      </c>
      <c r="BX540" s="2577">
        <f>BX538+BX535</f>
        <v>22.298588617457206</v>
      </c>
      <c r="BY540" s="2604">
        <f>+SUM(BU540:BX540)</f>
        <v>90.072346724605694</v>
      </c>
      <c r="BZ540" s="477">
        <f t="shared" ref="BZ540:CF540" si="1316">BZ538+BZ535</f>
        <v>89.944082188731599</v>
      </c>
      <c r="CA540" s="477">
        <f t="shared" si="1316"/>
        <v>90.55860071804139</v>
      </c>
      <c r="CB540" s="477">
        <f t="shared" si="1316"/>
        <v>86.952670107965758</v>
      </c>
      <c r="CC540" s="477">
        <f t="shared" si="1316"/>
        <v>83.598453740943697</v>
      </c>
      <c r="CD540" s="477">
        <f t="shared" si="1316"/>
        <v>84.788615503650092</v>
      </c>
      <c r="CE540" s="477">
        <f t="shared" si="1316"/>
        <v>86.098717492927562</v>
      </c>
      <c r="CF540" s="477">
        <f t="shared" si="1316"/>
        <v>87.226226037973333</v>
      </c>
      <c r="CG540" s="331"/>
      <c r="CH540" s="331"/>
      <c r="CI540" s="331"/>
      <c r="CJ540" s="331"/>
      <c r="CK540" s="331"/>
      <c r="CL540" s="520" t="str">
        <f t="shared" si="1304"/>
        <v>Total expenses</v>
      </c>
      <c r="CM540" s="476"/>
      <c r="CN540" s="476"/>
      <c r="CO540" s="476"/>
      <c r="CP540" s="476"/>
      <c r="CQ540" s="476"/>
      <c r="CR540" s="476"/>
      <c r="CS540" s="476"/>
      <c r="CT540" s="476"/>
      <c r="CU540" s="476">
        <f t="shared" si="1305"/>
        <v>0</v>
      </c>
      <c r="CV540" s="476">
        <f t="shared" si="1306"/>
        <v>0</v>
      </c>
      <c r="CW540" s="476">
        <f t="shared" si="1307"/>
        <v>25.809892269999999</v>
      </c>
      <c r="CX540" s="476">
        <f t="shared" si="1308"/>
        <v>74.192075799999998</v>
      </c>
      <c r="CY540" s="476">
        <f t="shared" si="1309"/>
        <v>79.569226254372083</v>
      </c>
      <c r="CZ540" s="476">
        <f t="shared" si="1310"/>
        <v>87.790820494836026</v>
      </c>
      <c r="DA540" s="476">
        <f t="shared" si="1311"/>
        <v>90.072346724605694</v>
      </c>
      <c r="DB540" s="476">
        <f t="shared" si="1311"/>
        <v>89.944082188731599</v>
      </c>
      <c r="DC540" s="682">
        <f t="shared" si="1311"/>
        <v>90.55860071804139</v>
      </c>
      <c r="DD540" s="331"/>
      <c r="DE540" s="331"/>
      <c r="DF540" s="502"/>
      <c r="DG540" s="503"/>
      <c r="DH540" s="2577"/>
      <c r="DI540" s="3213"/>
      <c r="DJ540" s="502"/>
      <c r="DK540" s="503"/>
      <c r="DL540" s="502"/>
      <c r="DM540" s="502"/>
      <c r="DN540" s="502"/>
      <c r="DO540" s="502"/>
      <c r="DP540" s="503"/>
      <c r="DQ540" s="503"/>
      <c r="DR540" s="296"/>
      <c r="DS540" s="296"/>
      <c r="DT540" s="296"/>
    </row>
    <row r="541" spans="1:124" ht="5.0999999999999996" customHeight="1" x14ac:dyDescent="0.25">
      <c r="A541" s="281"/>
      <c r="B541" s="281"/>
      <c r="C541" s="305"/>
      <c r="D541" s="305"/>
      <c r="E541" s="305"/>
      <c r="F541" s="305"/>
      <c r="G541" s="440"/>
      <c r="H541" s="305"/>
      <c r="I541" s="305"/>
      <c r="J541" s="305"/>
      <c r="K541" s="305"/>
      <c r="L541" s="440"/>
      <c r="M541" s="305"/>
      <c r="N541" s="305"/>
      <c r="O541" s="305"/>
      <c r="P541" s="305"/>
      <c r="Q541" s="440"/>
      <c r="R541" s="305"/>
      <c r="S541" s="305"/>
      <c r="T541" s="305"/>
      <c r="U541" s="305"/>
      <c r="V541" s="440"/>
      <c r="W541" s="305"/>
      <c r="X541" s="305"/>
      <c r="Y541" s="305"/>
      <c r="Z541" s="305"/>
      <c r="AA541" s="440"/>
      <c r="AB541" s="305"/>
      <c r="AC541" s="305"/>
      <c r="AD541" s="305"/>
      <c r="AE541" s="331"/>
      <c r="AF541" s="441"/>
      <c r="AG541" s="305"/>
      <c r="AH541" s="305"/>
      <c r="AI541" s="305"/>
      <c r="AJ541" s="331"/>
      <c r="AK541" s="441"/>
      <c r="AL541" s="305"/>
      <c r="AM541" s="305"/>
      <c r="AN541" s="305"/>
      <c r="AO541" s="331"/>
      <c r="AP541" s="569"/>
      <c r="AQ541" s="569"/>
      <c r="AR541" s="442"/>
      <c r="AS541" s="442"/>
      <c r="AT541" s="442"/>
      <c r="AU541" s="441"/>
      <c r="AV541" s="569"/>
      <c r="AW541" s="442"/>
      <c r="AX541" s="442"/>
      <c r="AY541" s="1312"/>
      <c r="AZ541" s="441"/>
      <c r="BA541" s="569"/>
      <c r="BB541" s="442"/>
      <c r="BC541" s="442"/>
      <c r="BD541" s="1312"/>
      <c r="BE541" s="590"/>
      <c r="BF541" s="442"/>
      <c r="BG541" s="442"/>
      <c r="BH541" s="442"/>
      <c r="BI541" s="1312"/>
      <c r="BJ541" s="1312"/>
      <c r="BK541" s="442"/>
      <c r="BL541" s="442"/>
      <c r="BM541" s="442"/>
      <c r="BN541" s="1312"/>
      <c r="BO541" s="1312"/>
      <c r="BP541" s="442"/>
      <c r="BQ541" s="442"/>
      <c r="BR541" s="442"/>
      <c r="BS541" s="442"/>
      <c r="BT541" s="3236"/>
      <c r="BU541" s="3298"/>
      <c r="BV541" s="3298"/>
      <c r="BW541" s="3298"/>
      <c r="BX541" s="3298"/>
      <c r="BY541" s="3236"/>
      <c r="BZ541" s="441"/>
      <c r="CA541" s="441"/>
      <c r="CB541" s="441"/>
      <c r="CC541" s="441"/>
      <c r="CD541" s="441"/>
      <c r="CE541" s="441"/>
      <c r="CF541" s="441"/>
      <c r="CG541" s="331"/>
      <c r="CH541" s="331"/>
      <c r="CI541" s="331"/>
      <c r="CJ541" s="331"/>
      <c r="CK541" s="331"/>
      <c r="CL541" s="520"/>
      <c r="CM541" s="442"/>
      <c r="CN541" s="442"/>
      <c r="CO541" s="442"/>
      <c r="CP541" s="442"/>
      <c r="CQ541" s="442"/>
      <c r="CR541" s="442"/>
      <c r="CS541" s="442"/>
      <c r="CT541" s="442"/>
      <c r="CU541" s="442"/>
      <c r="CV541" s="442"/>
      <c r="CW541" s="442"/>
      <c r="CX541" s="442"/>
      <c r="CY541" s="442"/>
      <c r="CZ541" s="442"/>
      <c r="DA541" s="442"/>
      <c r="DB541" s="442"/>
      <c r="DC541" s="1312"/>
      <c r="DD541" s="331"/>
      <c r="DE541" s="331"/>
      <c r="DF541" s="502"/>
      <c r="DG541" s="503"/>
      <c r="DH541" s="3298"/>
      <c r="DI541" s="3213"/>
      <c r="DJ541" s="502"/>
      <c r="DK541" s="503"/>
      <c r="DL541" s="502"/>
      <c r="DM541" s="502"/>
      <c r="DN541" s="502"/>
      <c r="DO541" s="502"/>
      <c r="DP541" s="503"/>
      <c r="DQ541" s="503"/>
      <c r="DR541" s="296"/>
      <c r="DS541" s="296"/>
      <c r="DT541" s="296"/>
    </row>
    <row r="542" spans="1:124" ht="12" customHeight="1" x14ac:dyDescent="0.25">
      <c r="A542" s="496" t="s">
        <v>2010</v>
      </c>
      <c r="B542" s="1007"/>
      <c r="C542" s="1008"/>
      <c r="D542" s="1008"/>
      <c r="E542" s="1008"/>
      <c r="F542" s="1008"/>
      <c r="G542" s="1009"/>
      <c r="H542" s="1008"/>
      <c r="I542" s="1008"/>
      <c r="J542" s="1008"/>
      <c r="K542" s="1008"/>
      <c r="L542" s="1009"/>
      <c r="M542" s="1008"/>
      <c r="N542" s="1008"/>
      <c r="O542" s="1008"/>
      <c r="P542" s="1008"/>
      <c r="Q542" s="1009"/>
      <c r="R542" s="1008"/>
      <c r="S542" s="1008"/>
      <c r="T542" s="1008"/>
      <c r="U542" s="1008"/>
      <c r="V542" s="1009"/>
      <c r="W542" s="1008"/>
      <c r="X542" s="1008"/>
      <c r="Y542" s="1008"/>
      <c r="Z542" s="1008"/>
      <c r="AA542" s="1009"/>
      <c r="AB542" s="1008"/>
      <c r="AC542" s="1008"/>
      <c r="AD542" s="1008"/>
      <c r="AE542" s="1010"/>
      <c r="AF542" s="1011"/>
      <c r="AG542" s="1008"/>
      <c r="AH542" s="1008"/>
      <c r="AI542" s="1008"/>
      <c r="AJ542" s="1010"/>
      <c r="AK542" s="1011"/>
      <c r="AL542" s="1008"/>
      <c r="AM542" s="1008"/>
      <c r="AN542" s="1008"/>
      <c r="AO542" s="1010"/>
      <c r="AP542" s="1013"/>
      <c r="AQ542" s="1013"/>
      <c r="AR542" s="1012"/>
      <c r="AS542" s="1012"/>
      <c r="AT542" s="1012"/>
      <c r="AU542" s="1011"/>
      <c r="AV542" s="1013"/>
      <c r="AW542" s="1012"/>
      <c r="AX542" s="1012"/>
      <c r="AY542" s="1877"/>
      <c r="AZ542" s="1011"/>
      <c r="BA542" s="1013"/>
      <c r="BB542" s="1012"/>
      <c r="BC542" s="1012">
        <f>BC532-BC540</f>
        <v>0.5155542999999998</v>
      </c>
      <c r="BD542" s="1877">
        <f>BD532-BD540</f>
        <v>5.1188224300000016</v>
      </c>
      <c r="BE542" s="1877">
        <f>+SUM(BA542:BD542)</f>
        <v>5.6343767300000014</v>
      </c>
      <c r="BF542" s="1012">
        <f>BF532-BF540</f>
        <v>6.8300599999999996</v>
      </c>
      <c r="BG542" s="1012">
        <f>BG532-BG540</f>
        <v>6.7003965600000015</v>
      </c>
      <c r="BH542" s="1012">
        <f>BH532-BH540</f>
        <v>6.9424867200000016</v>
      </c>
      <c r="BI542" s="1877">
        <f>BI532-BI540</f>
        <v>6.4602799199999978</v>
      </c>
      <c r="BJ542" s="1877">
        <f>+SUM(BF542:BI542)</f>
        <v>26.9332232</v>
      </c>
      <c r="BK542" s="1012">
        <f>BK532-BK540</f>
        <v>7.9210290573945059</v>
      </c>
      <c r="BL542" s="1012">
        <f>BL532-BL540</f>
        <v>7.5140636995488101</v>
      </c>
      <c r="BM542" s="1012">
        <f>BM532-BM540</f>
        <v>7.5388795554193031</v>
      </c>
      <c r="BN542" s="1877">
        <f>BN532-BN540</f>
        <v>7.1024635185605582</v>
      </c>
      <c r="BO542" s="1877">
        <f>+SUM(BK542:BN542)</f>
        <v>30.076435830923177</v>
      </c>
      <c r="BP542" s="1012">
        <f>BP532-BP540</f>
        <v>9.4964520743914207</v>
      </c>
      <c r="BQ542" s="1012">
        <f>BQ532-BQ540</f>
        <v>8.5969894470822226</v>
      </c>
      <c r="BR542" s="1012">
        <f>BR532-BR540</f>
        <v>8.6737160884551159</v>
      </c>
      <c r="BS542" s="1012">
        <f>BS532-BS540</f>
        <v>8.7514432063414951</v>
      </c>
      <c r="BT542" s="1011">
        <f>+SUM(BP542:BS542)</f>
        <v>35.518600816270251</v>
      </c>
      <c r="BU542" s="1012">
        <f>BU532-BU540</f>
        <v>10.14201231034237</v>
      </c>
      <c r="BV542" s="1012">
        <f>BV532-BV540</f>
        <v>9.7472096059247555</v>
      </c>
      <c r="BW542" s="1012">
        <f>BW532-BW540</f>
        <v>9.4642260791350807</v>
      </c>
      <c r="BX542" s="1012">
        <f>BX532-BX540</f>
        <v>9.4228137682786048</v>
      </c>
      <c r="BY542" s="1011">
        <f>+SUM(BU542:BX542)</f>
        <v>38.776261763680807</v>
      </c>
      <c r="BZ542" s="1011">
        <f t="shared" ref="BZ542:CF542" si="1317">BZ532-BZ540</f>
        <v>40.067730439557224</v>
      </c>
      <c r="CA542" s="1011">
        <f t="shared" si="1317"/>
        <v>39.779023565567627</v>
      </c>
      <c r="CB542" s="1011">
        <f t="shared" si="1317"/>
        <v>37.113079810729175</v>
      </c>
      <c r="CC542" s="1011">
        <f t="shared" si="1317"/>
        <v>34.818536603637014</v>
      </c>
      <c r="CD542" s="1011">
        <f t="shared" si="1317"/>
        <v>35.774903479094021</v>
      </c>
      <c r="CE542" s="1011">
        <f t="shared" si="1317"/>
        <v>36.960185138434326</v>
      </c>
      <c r="CF542" s="1011">
        <f t="shared" si="1317"/>
        <v>37.760000550842619</v>
      </c>
      <c r="CG542" s="331"/>
      <c r="CH542" s="331"/>
      <c r="CI542" s="331"/>
      <c r="CJ542" s="331"/>
      <c r="CK542" s="331"/>
      <c r="CL542" s="2102" t="str">
        <f t="shared" ref="CL542:CL547" si="1318">A542</f>
        <v>Property EBITDA</v>
      </c>
      <c r="CM542" s="1012"/>
      <c r="CN542" s="1012"/>
      <c r="CO542" s="1012"/>
      <c r="CP542" s="1012"/>
      <c r="CQ542" s="1012"/>
      <c r="CR542" s="1012"/>
      <c r="CS542" s="1012"/>
      <c r="CT542" s="1012"/>
      <c r="CU542" s="1012">
        <f t="shared" ref="CU542:CU547" si="1319">AU542</f>
        <v>0</v>
      </c>
      <c r="CV542" s="1012">
        <f t="shared" ref="CV542:CV547" si="1320">AZ542</f>
        <v>0</v>
      </c>
      <c r="CW542" s="1012">
        <f t="shared" ref="CW542:CW547" si="1321">BE542</f>
        <v>5.6343767300000014</v>
      </c>
      <c r="CX542" s="1012">
        <f t="shared" ref="CX542:CX547" si="1322">BJ542</f>
        <v>26.9332232</v>
      </c>
      <c r="CY542" s="1012">
        <f t="shared" ref="CY542:CY547" si="1323">BO542</f>
        <v>30.076435830923177</v>
      </c>
      <c r="CZ542" s="1012">
        <f t="shared" ref="CZ542:CZ547" si="1324">BT542</f>
        <v>35.518600816270251</v>
      </c>
      <c r="DA542" s="1012">
        <f t="shared" ref="DA542:DC547" si="1325">BY542</f>
        <v>38.776261763680807</v>
      </c>
      <c r="DB542" s="1012">
        <f t="shared" si="1325"/>
        <v>40.067730439557224</v>
      </c>
      <c r="DC542" s="1877">
        <f t="shared" si="1325"/>
        <v>39.779023565567627</v>
      </c>
      <c r="DD542" s="331"/>
      <c r="DE542" s="331"/>
      <c r="DF542" s="502"/>
      <c r="DG542" s="503"/>
      <c r="DH542" s="598"/>
      <c r="DI542" s="3213"/>
      <c r="DJ542" s="502"/>
      <c r="DK542" s="503"/>
      <c r="DL542" s="502"/>
      <c r="DM542" s="502"/>
      <c r="DN542" s="502"/>
      <c r="DO542" s="502"/>
      <c r="DP542" s="503"/>
      <c r="DQ542" s="503"/>
      <c r="DR542" s="296"/>
      <c r="DS542" s="296"/>
      <c r="DT542" s="296"/>
    </row>
    <row r="543" spans="1:124" ht="12" customHeight="1" x14ac:dyDescent="0.25">
      <c r="A543" s="465" t="s">
        <v>1892</v>
      </c>
      <c r="B543" s="281"/>
      <c r="C543" s="472"/>
      <c r="D543" s="472"/>
      <c r="E543" s="472"/>
      <c r="F543" s="472"/>
      <c r="G543" s="491"/>
      <c r="H543" s="472"/>
      <c r="I543" s="472"/>
      <c r="J543" s="472"/>
      <c r="K543" s="472"/>
      <c r="L543" s="491"/>
      <c r="M543" s="472"/>
      <c r="N543" s="472"/>
      <c r="O543" s="472"/>
      <c r="P543" s="472"/>
      <c r="Q543" s="491"/>
      <c r="R543" s="472"/>
      <c r="S543" s="472"/>
      <c r="T543" s="472"/>
      <c r="U543" s="472"/>
      <c r="V543" s="491"/>
      <c r="W543" s="472"/>
      <c r="X543" s="472"/>
      <c r="Y543" s="472"/>
      <c r="Z543" s="472"/>
      <c r="AA543" s="491"/>
      <c r="AB543" s="472"/>
      <c r="AC543" s="472"/>
      <c r="AD543" s="472"/>
      <c r="AE543" s="492"/>
      <c r="AF543" s="493"/>
      <c r="AG543" s="472"/>
      <c r="AH543" s="472"/>
      <c r="AI543" s="472"/>
      <c r="AJ543" s="492"/>
      <c r="AK543" s="493"/>
      <c r="AL543" s="472"/>
      <c r="AM543" s="472"/>
      <c r="AN543" s="472"/>
      <c r="AO543" s="492"/>
      <c r="AP543" s="494"/>
      <c r="AQ543" s="494"/>
      <c r="AR543" s="492"/>
      <c r="AS543" s="492"/>
      <c r="AT543" s="492"/>
      <c r="AU543" s="470"/>
      <c r="AV543" s="471"/>
      <c r="AW543" s="469"/>
      <c r="AX543" s="469"/>
      <c r="AY543" s="1463"/>
      <c r="AZ543" s="470"/>
      <c r="BA543" s="471"/>
      <c r="BB543" s="469"/>
      <c r="BC543" s="469">
        <f t="shared" ref="BC543:CA543" si="1326">BC542/BC532</f>
        <v>8.3335510119631612E-2</v>
      </c>
      <c r="BD543" s="1463">
        <f t="shared" si="1326"/>
        <v>0.20266320447257069</v>
      </c>
      <c r="BE543" s="1463">
        <f t="shared" si="1326"/>
        <v>0.17918612545898274</v>
      </c>
      <c r="BF543" s="469">
        <f t="shared" si="1326"/>
        <v>0.28781172306266067</v>
      </c>
      <c r="BG543" s="469">
        <f t="shared" si="1326"/>
        <v>0.26622344384621005</v>
      </c>
      <c r="BH543" s="469">
        <f t="shared" si="1326"/>
        <v>0.26521294625195807</v>
      </c>
      <c r="BI543" s="1463">
        <f t="shared" si="1326"/>
        <v>0.24800536773993817</v>
      </c>
      <c r="BJ543" s="1463">
        <f t="shared" si="1326"/>
        <v>0.26633516505103239</v>
      </c>
      <c r="BK543" s="469">
        <f t="shared" si="1326"/>
        <v>0.28781172306266067</v>
      </c>
      <c r="BL543" s="469">
        <f t="shared" si="1326"/>
        <v>0.27622344384621</v>
      </c>
      <c r="BM543" s="469">
        <f t="shared" si="1326"/>
        <v>0.27521294625195808</v>
      </c>
      <c r="BN543" s="1463">
        <f t="shared" si="1326"/>
        <v>0.25800536773993821</v>
      </c>
      <c r="BO543" s="1463">
        <f t="shared" si="1326"/>
        <v>0.27430575235640597</v>
      </c>
      <c r="BP543" s="469">
        <f t="shared" ref="BP543:BY543" si="1327">BP542/BP532</f>
        <v>0.30781172306266058</v>
      </c>
      <c r="BQ543" s="469">
        <f t="shared" si="1327"/>
        <v>0.27622344384621</v>
      </c>
      <c r="BR543" s="469">
        <f t="shared" si="1327"/>
        <v>0.28521294625195798</v>
      </c>
      <c r="BS543" s="469">
        <f t="shared" si="1327"/>
        <v>0.28300536773993828</v>
      </c>
      <c r="BT543" s="470">
        <f t="shared" si="1327"/>
        <v>0.28804450169835605</v>
      </c>
      <c r="BU543" s="469">
        <f t="shared" si="1327"/>
        <v>0.3128117230626607</v>
      </c>
      <c r="BV543" s="469">
        <f t="shared" si="1327"/>
        <v>0.29467384724415058</v>
      </c>
      <c r="BW543" s="469">
        <f t="shared" si="1327"/>
        <v>0.29924373488238681</v>
      </c>
      <c r="BX543" s="469">
        <f t="shared" si="1327"/>
        <v>0.29704909176763789</v>
      </c>
      <c r="BY543" s="470">
        <f t="shared" si="1327"/>
        <v>0.30094435802312847</v>
      </c>
      <c r="BZ543" s="470">
        <f t="shared" si="1326"/>
        <v>0.30818530739289934</v>
      </c>
      <c r="CA543" s="470">
        <f t="shared" si="1326"/>
        <v>0.30519985141826889</v>
      </c>
      <c r="CB543" s="470">
        <f>CB542/CB532</f>
        <v>0.29914041413565634</v>
      </c>
      <c r="CC543" s="470">
        <f>CC542/CC532</f>
        <v>0.29403328443257015</v>
      </c>
      <c r="CD543" s="470">
        <f>CD542/CD532</f>
        <v>0.29673075056986659</v>
      </c>
      <c r="CE543" s="470">
        <f>CE542/CE532</f>
        <v>0.3003454796696271</v>
      </c>
      <c r="CF543" s="470">
        <f>CF542/CF532</f>
        <v>0.30211329345165999</v>
      </c>
      <c r="CG543" s="331"/>
      <c r="CH543" s="331"/>
      <c r="CI543" s="331"/>
      <c r="CJ543" s="331"/>
      <c r="CK543" s="331"/>
      <c r="CL543" s="1310" t="str">
        <f t="shared" si="1318"/>
        <v>Margin</v>
      </c>
      <c r="CM543" s="492"/>
      <c r="CN543" s="492"/>
      <c r="CO543" s="492"/>
      <c r="CP543" s="492"/>
      <c r="CQ543" s="492"/>
      <c r="CR543" s="492"/>
      <c r="CS543" s="492"/>
      <c r="CT543" s="492"/>
      <c r="CU543" s="492">
        <f t="shared" si="1319"/>
        <v>0</v>
      </c>
      <c r="CV543" s="492">
        <f t="shared" si="1320"/>
        <v>0</v>
      </c>
      <c r="CW543" s="492">
        <f t="shared" si="1321"/>
        <v>0.17918612545898274</v>
      </c>
      <c r="CX543" s="492">
        <f t="shared" si="1322"/>
        <v>0.26633516505103239</v>
      </c>
      <c r="CY543" s="492">
        <f t="shared" si="1323"/>
        <v>0.27430575235640597</v>
      </c>
      <c r="CZ543" s="492">
        <f t="shared" si="1324"/>
        <v>0.28804450169835605</v>
      </c>
      <c r="DA543" s="492">
        <f t="shared" si="1325"/>
        <v>0.30094435802312847</v>
      </c>
      <c r="DB543" s="492">
        <f t="shared" si="1325"/>
        <v>0.30818530739289934</v>
      </c>
      <c r="DC543" s="1311">
        <f t="shared" si="1325"/>
        <v>0.30519985141826889</v>
      </c>
      <c r="DD543" s="331"/>
      <c r="DE543" s="331"/>
      <c r="DF543" s="502"/>
      <c r="DG543" s="503"/>
      <c r="DH543" s="469"/>
      <c r="DI543" s="3213"/>
      <c r="DJ543" s="502"/>
      <c r="DK543" s="503"/>
      <c r="DL543" s="502"/>
      <c r="DM543" s="502"/>
      <c r="DN543" s="502"/>
      <c r="DO543" s="502"/>
      <c r="DP543" s="503"/>
      <c r="DQ543" s="503"/>
      <c r="DR543" s="296"/>
      <c r="DS543" s="296"/>
      <c r="DT543" s="296"/>
    </row>
    <row r="544" spans="1:124" ht="12" customHeight="1" x14ac:dyDescent="0.25">
      <c r="A544" s="465" t="s">
        <v>1491</v>
      </c>
      <c r="B544" s="281"/>
      <c r="C544" s="472"/>
      <c r="D544" s="472"/>
      <c r="E544" s="472"/>
      <c r="F544" s="472"/>
      <c r="G544" s="491"/>
      <c r="H544" s="472"/>
      <c r="I544" s="472"/>
      <c r="J544" s="472"/>
      <c r="K544" s="472"/>
      <c r="L544" s="491"/>
      <c r="M544" s="472"/>
      <c r="N544" s="472"/>
      <c r="O544" s="472"/>
      <c r="P544" s="472"/>
      <c r="Q544" s="491"/>
      <c r="R544" s="472"/>
      <c r="S544" s="472"/>
      <c r="T544" s="472"/>
      <c r="U544" s="472"/>
      <c r="V544" s="491"/>
      <c r="W544" s="472"/>
      <c r="X544" s="472"/>
      <c r="Y544" s="472"/>
      <c r="Z544" s="472"/>
      <c r="AA544" s="491"/>
      <c r="AB544" s="472"/>
      <c r="AC544" s="472"/>
      <c r="AD544" s="472"/>
      <c r="AE544" s="492"/>
      <c r="AF544" s="493"/>
      <c r="AG544" s="472"/>
      <c r="AH544" s="472"/>
      <c r="AI544" s="472"/>
      <c r="AJ544" s="492"/>
      <c r="AK544" s="493"/>
      <c r="AL544" s="472"/>
      <c r="AM544" s="472"/>
      <c r="AN544" s="472"/>
      <c r="AO544" s="492"/>
      <c r="AP544" s="494"/>
      <c r="AQ544" s="494"/>
      <c r="AR544" s="492"/>
      <c r="AS544" s="492"/>
      <c r="AT544" s="492"/>
      <c r="AU544" s="470"/>
      <c r="AV544" s="471"/>
      <c r="AW544" s="469"/>
      <c r="AX544" s="469"/>
      <c r="AY544" s="1463"/>
      <c r="AZ544" s="470"/>
      <c r="BA544" s="471"/>
      <c r="BB544" s="469"/>
      <c r="BC544" s="469"/>
      <c r="BD544" s="1463"/>
      <c r="BE544" s="1463"/>
      <c r="BF544" s="469"/>
      <c r="BG544" s="469"/>
      <c r="BH544" s="469"/>
      <c r="BI544" s="1463">
        <f t="shared" ref="BI544:BT544" si="1328">+BI542/BD542-1</f>
        <v>0.26206368912859435</v>
      </c>
      <c r="BJ544" s="1463">
        <f t="shared" si="1328"/>
        <v>3.7801601651155465</v>
      </c>
      <c r="BK544" s="469">
        <f t="shared" si="1328"/>
        <v>0.15973052321568271</v>
      </c>
      <c r="BL544" s="469">
        <f t="shared" si="1328"/>
        <v>0.12143566910744297</v>
      </c>
      <c r="BM544" s="469">
        <f t="shared" si="1328"/>
        <v>8.5904785917876536E-2</v>
      </c>
      <c r="BN544" s="1463">
        <f t="shared" si="1328"/>
        <v>9.9404918442072887E-2</v>
      </c>
      <c r="BO544" s="1463">
        <f t="shared" si="1328"/>
        <v>0.11670391648197453</v>
      </c>
      <c r="BP544" s="469">
        <f t="shared" si="1328"/>
        <v>0.19889120537011706</v>
      </c>
      <c r="BQ544" s="469">
        <f t="shared" si="1328"/>
        <v>0.14411985189830601</v>
      </c>
      <c r="BR544" s="469">
        <f t="shared" si="1328"/>
        <v>0.1505311929569213</v>
      </c>
      <c r="BS544" s="469">
        <f t="shared" si="1328"/>
        <v>0.23217010315811271</v>
      </c>
      <c r="BT544" s="470">
        <f t="shared" si="1328"/>
        <v>0.18094447812701575</v>
      </c>
      <c r="BU544" s="469">
        <f>+BU542/BP542-1</f>
        <v>6.7979096918921567E-2</v>
      </c>
      <c r="BV544" s="469">
        <f>+BV542/BQ542-1</f>
        <v>0.13379336637814676</v>
      </c>
      <c r="BW544" s="469">
        <f>+BW542/BR542-1</f>
        <v>9.1138559599863944E-2</v>
      </c>
      <c r="BX544" s="469">
        <f>+BX542/BS542-1</f>
        <v>7.6715410945090712E-2</v>
      </c>
      <c r="BY544" s="470">
        <f>+BY542/BT542-1</f>
        <v>9.1717040439225128E-2</v>
      </c>
      <c r="BZ544" s="470">
        <f t="shared" ref="BZ544:CF544" si="1329">BZ542/BY542-1</f>
        <v>3.330565188947765E-2</v>
      </c>
      <c r="CA544" s="470">
        <f t="shared" si="1329"/>
        <v>-7.2054711066081856E-3</v>
      </c>
      <c r="CB544" s="470">
        <f t="shared" si="1329"/>
        <v>-6.7018833442308745E-2</v>
      </c>
      <c r="CC544" s="470">
        <f t="shared" si="1329"/>
        <v>-6.1825728794106194E-2</v>
      </c>
      <c r="CD544" s="470">
        <f t="shared" si="1329"/>
        <v>2.7467176071871657E-2</v>
      </c>
      <c r="CE544" s="470">
        <f t="shared" si="1329"/>
        <v>3.3131652193917338E-2</v>
      </c>
      <c r="CF544" s="470">
        <f t="shared" si="1329"/>
        <v>2.1639918994252438E-2</v>
      </c>
      <c r="CG544" s="331"/>
      <c r="CH544" s="331"/>
      <c r="CI544" s="331"/>
      <c r="CJ544" s="331"/>
      <c r="CK544" s="331"/>
      <c r="CL544" s="1310" t="str">
        <f t="shared" si="1318"/>
        <v>% growth (y-o-y)</v>
      </c>
      <c r="CM544" s="492"/>
      <c r="CN544" s="492"/>
      <c r="CO544" s="492"/>
      <c r="CP544" s="492"/>
      <c r="CQ544" s="492"/>
      <c r="CR544" s="492"/>
      <c r="CS544" s="492"/>
      <c r="CT544" s="492"/>
      <c r="CU544" s="492">
        <f t="shared" si="1319"/>
        <v>0</v>
      </c>
      <c r="CV544" s="492">
        <f t="shared" si="1320"/>
        <v>0</v>
      </c>
      <c r="CW544" s="492">
        <f t="shared" si="1321"/>
        <v>0</v>
      </c>
      <c r="CX544" s="492">
        <f t="shared" si="1322"/>
        <v>3.7801601651155465</v>
      </c>
      <c r="CY544" s="492">
        <f t="shared" si="1323"/>
        <v>0.11670391648197453</v>
      </c>
      <c r="CZ544" s="492">
        <f t="shared" si="1324"/>
        <v>0.18094447812701575</v>
      </c>
      <c r="DA544" s="492">
        <f t="shared" si="1325"/>
        <v>9.1717040439225128E-2</v>
      </c>
      <c r="DB544" s="492">
        <f t="shared" si="1325"/>
        <v>3.330565188947765E-2</v>
      </c>
      <c r="DC544" s="1311">
        <f t="shared" si="1325"/>
        <v>-7.2054711066081856E-3</v>
      </c>
      <c r="DD544" s="331"/>
      <c r="DE544" s="331"/>
      <c r="DF544" s="502"/>
      <c r="DG544" s="503"/>
      <c r="DH544" s="469"/>
      <c r="DI544" s="3213"/>
      <c r="DJ544" s="502"/>
      <c r="DK544" s="503"/>
      <c r="DL544" s="502"/>
      <c r="DM544" s="502"/>
      <c r="DN544" s="502"/>
      <c r="DO544" s="502"/>
      <c r="DP544" s="503"/>
      <c r="DQ544" s="503"/>
      <c r="DR544" s="296"/>
      <c r="DS544" s="296"/>
      <c r="DT544" s="296"/>
    </row>
    <row r="545" spans="1:130" ht="12" customHeight="1" x14ac:dyDescent="0.25">
      <c r="A545" s="281" t="s">
        <v>2197</v>
      </c>
      <c r="B545" s="281"/>
      <c r="C545" s="570"/>
      <c r="D545" s="570"/>
      <c r="E545" s="570"/>
      <c r="F545" s="570"/>
      <c r="G545" s="475"/>
      <c r="H545" s="570"/>
      <c r="I545" s="570"/>
      <c r="J545" s="570"/>
      <c r="K545" s="570"/>
      <c r="L545" s="475"/>
      <c r="M545" s="570"/>
      <c r="N545" s="570"/>
      <c r="O545" s="570"/>
      <c r="P545" s="570"/>
      <c r="Q545" s="475"/>
      <c r="R545" s="570"/>
      <c r="S545" s="570"/>
      <c r="T545" s="570"/>
      <c r="U545" s="570"/>
      <c r="V545" s="475"/>
      <c r="W545" s="570"/>
      <c r="X545" s="570"/>
      <c r="Y545" s="570"/>
      <c r="Z545" s="570"/>
      <c r="AA545" s="475"/>
      <c r="AB545" s="570"/>
      <c r="AC545" s="570"/>
      <c r="AD545" s="570"/>
      <c r="AE545" s="572"/>
      <c r="AF545" s="477"/>
      <c r="AG545" s="570"/>
      <c r="AH545" s="570"/>
      <c r="AI545" s="570"/>
      <c r="AJ545" s="572"/>
      <c r="AK545" s="477"/>
      <c r="AL545" s="570"/>
      <c r="AM545" s="570"/>
      <c r="AN545" s="570"/>
      <c r="AO545" s="572"/>
      <c r="AP545" s="478"/>
      <c r="AQ545" s="478"/>
      <c r="AR545" s="476"/>
      <c r="AS545" s="476"/>
      <c r="AT545" s="476"/>
      <c r="AU545" s="477"/>
      <c r="AV545" s="478"/>
      <c r="AW545" s="476"/>
      <c r="AX545" s="476"/>
      <c r="AY545" s="682"/>
      <c r="AZ545" s="477"/>
      <c r="BA545" s="478"/>
      <c r="BB545" s="476"/>
      <c r="BC545" s="572">
        <v>2.5</v>
      </c>
      <c r="BD545" s="1313">
        <v>2.5</v>
      </c>
      <c r="BE545" s="682">
        <f>+SUM(BA545:BD545)</f>
        <v>5</v>
      </c>
      <c r="BF545" s="572">
        <v>2.5</v>
      </c>
      <c r="BG545" s="572">
        <v>2.5</v>
      </c>
      <c r="BH545" s="572">
        <v>2.5</v>
      </c>
      <c r="BI545" s="1313">
        <v>2.5</v>
      </c>
      <c r="BJ545" s="682">
        <f>+SUM(BF545:BI545)</f>
        <v>10</v>
      </c>
      <c r="BK545" s="572">
        <v>2.5</v>
      </c>
      <c r="BL545" s="572">
        <v>2.5</v>
      </c>
      <c r="BM545" s="572">
        <v>2.5</v>
      </c>
      <c r="BN545" s="1313">
        <v>2.5</v>
      </c>
      <c r="BO545" s="682">
        <f>+SUM(BK545:BN545)</f>
        <v>10</v>
      </c>
      <c r="BP545" s="572">
        <v>2.5</v>
      </c>
      <c r="BQ545" s="572">
        <v>2.5</v>
      </c>
      <c r="BR545" s="572">
        <v>2.5</v>
      </c>
      <c r="BS545" s="572">
        <v>2.5</v>
      </c>
      <c r="BT545" s="2604">
        <f>+SUM(BP545:BS545)</f>
        <v>10</v>
      </c>
      <c r="BU545" s="572">
        <v>2.5</v>
      </c>
      <c r="BV545" s="572">
        <v>2.5</v>
      </c>
      <c r="BW545" s="572">
        <v>2.5</v>
      </c>
      <c r="BX545" s="572">
        <v>2.5</v>
      </c>
      <c r="BY545" s="2604">
        <f>+SUM(BU545:BX545)</f>
        <v>10</v>
      </c>
      <c r="BZ545" s="477">
        <f t="shared" ref="BZ545:CF545" si="1330">BY545</f>
        <v>10</v>
      </c>
      <c r="CA545" s="477">
        <f t="shared" si="1330"/>
        <v>10</v>
      </c>
      <c r="CB545" s="477">
        <f t="shared" si="1330"/>
        <v>10</v>
      </c>
      <c r="CC545" s="477">
        <f t="shared" si="1330"/>
        <v>10</v>
      </c>
      <c r="CD545" s="477">
        <f t="shared" si="1330"/>
        <v>10</v>
      </c>
      <c r="CE545" s="477">
        <f t="shared" si="1330"/>
        <v>10</v>
      </c>
      <c r="CF545" s="477">
        <f t="shared" si="1330"/>
        <v>10</v>
      </c>
      <c r="CG545" s="331"/>
      <c r="CH545" s="331"/>
      <c r="CI545" s="331"/>
      <c r="CJ545" s="331"/>
      <c r="CK545" s="331"/>
      <c r="CL545" s="520" t="str">
        <f t="shared" si="1318"/>
        <v>Depreciation and amortization</v>
      </c>
      <c r="CM545" s="476"/>
      <c r="CN545" s="476"/>
      <c r="CO545" s="476"/>
      <c r="CP545" s="476"/>
      <c r="CQ545" s="476"/>
      <c r="CR545" s="476"/>
      <c r="CS545" s="476"/>
      <c r="CT545" s="476"/>
      <c r="CU545" s="476">
        <f t="shared" si="1319"/>
        <v>0</v>
      </c>
      <c r="CV545" s="476">
        <f t="shared" si="1320"/>
        <v>0</v>
      </c>
      <c r="CW545" s="476">
        <f t="shared" si="1321"/>
        <v>5</v>
      </c>
      <c r="CX545" s="476">
        <f t="shared" si="1322"/>
        <v>10</v>
      </c>
      <c r="CY545" s="476">
        <f t="shared" si="1323"/>
        <v>10</v>
      </c>
      <c r="CZ545" s="476">
        <f t="shared" si="1324"/>
        <v>10</v>
      </c>
      <c r="DA545" s="476">
        <f t="shared" si="1325"/>
        <v>10</v>
      </c>
      <c r="DB545" s="476">
        <f t="shared" si="1325"/>
        <v>10</v>
      </c>
      <c r="DC545" s="682">
        <f t="shared" si="1325"/>
        <v>10</v>
      </c>
      <c r="DD545" s="331"/>
      <c r="DE545" s="331"/>
      <c r="DF545" s="502"/>
      <c r="DG545" s="503"/>
      <c r="DH545" s="2577"/>
      <c r="DI545" s="3213"/>
      <c r="DJ545" s="502"/>
      <c r="DK545" s="503"/>
      <c r="DL545" s="502"/>
      <c r="DM545" s="502"/>
      <c r="DN545" s="502"/>
      <c r="DO545" s="502"/>
      <c r="DP545" s="503"/>
      <c r="DQ545" s="503"/>
      <c r="DR545" s="296"/>
      <c r="DS545" s="296"/>
      <c r="DT545" s="296"/>
    </row>
    <row r="546" spans="1:130" ht="12" customHeight="1" x14ac:dyDescent="0.25">
      <c r="A546" s="465" t="s">
        <v>646</v>
      </c>
      <c r="B546" s="281"/>
      <c r="C546" s="472"/>
      <c r="D546" s="472"/>
      <c r="E546" s="472"/>
      <c r="F546" s="472"/>
      <c r="G546" s="491"/>
      <c r="H546" s="472"/>
      <c r="I546" s="472"/>
      <c r="J546" s="472"/>
      <c r="K546" s="472"/>
      <c r="L546" s="491"/>
      <c r="M546" s="472"/>
      <c r="N546" s="472"/>
      <c r="O546" s="472"/>
      <c r="P546" s="472"/>
      <c r="Q546" s="491"/>
      <c r="R546" s="472"/>
      <c r="S546" s="472"/>
      <c r="T546" s="472"/>
      <c r="U546" s="472"/>
      <c r="V546" s="491"/>
      <c r="W546" s="472"/>
      <c r="X546" s="472"/>
      <c r="Y546" s="472"/>
      <c r="Z546" s="472"/>
      <c r="AA546" s="491"/>
      <c r="AB546" s="472"/>
      <c r="AC546" s="472"/>
      <c r="AD546" s="472"/>
      <c r="AE546" s="492"/>
      <c r="AF546" s="493"/>
      <c r="AG546" s="472"/>
      <c r="AH546" s="472"/>
      <c r="AI546" s="472"/>
      <c r="AJ546" s="492"/>
      <c r="AK546" s="493"/>
      <c r="AL546" s="472"/>
      <c r="AM546" s="472"/>
      <c r="AN546" s="472"/>
      <c r="AO546" s="492"/>
      <c r="AP546" s="494"/>
      <c r="AQ546" s="494"/>
      <c r="AR546" s="492"/>
      <c r="AS546" s="492"/>
      <c r="AT546" s="492"/>
      <c r="AU546" s="470"/>
      <c r="AV546" s="471"/>
      <c r="AW546" s="469"/>
      <c r="AX546" s="469"/>
      <c r="AY546" s="1463"/>
      <c r="AZ546" s="470"/>
      <c r="BA546" s="471"/>
      <c r="BB546" s="469"/>
      <c r="BC546" s="469">
        <f t="shared" ref="BC546:CA546" si="1331">BC545/BC532</f>
        <v>0.40410636726156512</v>
      </c>
      <c r="BD546" s="1463">
        <f t="shared" si="1331"/>
        <v>9.8979407492638213E-2</v>
      </c>
      <c r="BE546" s="1463">
        <f t="shared" si="1331"/>
        <v>0.15901148791215342</v>
      </c>
      <c r="BF546" s="469">
        <f t="shared" si="1331"/>
        <v>0.10534743584341158</v>
      </c>
      <c r="BG546" s="469">
        <f t="shared" si="1331"/>
        <v>9.9331226690189359E-2</v>
      </c>
      <c r="BH546" s="469">
        <f t="shared" si="1331"/>
        <v>9.5503584287719753E-2</v>
      </c>
      <c r="BI546" s="1463">
        <f t="shared" si="1331"/>
        <v>9.5973150858429931E-2</v>
      </c>
      <c r="BJ546" s="1463">
        <f t="shared" si="1331"/>
        <v>9.8887223067691501E-2</v>
      </c>
      <c r="BK546" s="469">
        <f t="shared" si="1331"/>
        <v>9.08378573595751E-2</v>
      </c>
      <c r="BL546" s="469">
        <f t="shared" si="1331"/>
        <v>9.1902150051907369E-2</v>
      </c>
      <c r="BM546" s="469">
        <f t="shared" si="1331"/>
        <v>9.1264538791484606E-2</v>
      </c>
      <c r="BN546" s="1463">
        <f t="shared" si="1331"/>
        <v>9.0815449831492992E-2</v>
      </c>
      <c r="BO546" s="1463">
        <f t="shared" si="1331"/>
        <v>9.120287852537956E-2</v>
      </c>
      <c r="BP546" s="469">
        <f t="shared" ref="BP546:BY546" si="1332">BP545/BP532</f>
        <v>8.1033348205041794E-2</v>
      </c>
      <c r="BQ546" s="469">
        <f t="shared" si="1332"/>
        <v>8.0325631881506765E-2</v>
      </c>
      <c r="BR546" s="469">
        <f t="shared" si="1332"/>
        <v>8.2206099249542516E-2</v>
      </c>
      <c r="BS546" s="469">
        <f t="shared" si="1332"/>
        <v>8.0845342038804002E-2</v>
      </c>
      <c r="BT546" s="470">
        <f t="shared" si="1332"/>
        <v>8.109680423177297E-2</v>
      </c>
      <c r="BU546" s="469">
        <f t="shared" si="1332"/>
        <v>7.7107903611906808E-2</v>
      </c>
      <c r="BV546" s="469">
        <f t="shared" si="1332"/>
        <v>7.5579027013288919E-2</v>
      </c>
      <c r="BW546" s="469">
        <f t="shared" si="1332"/>
        <v>7.9046012949252731E-2</v>
      </c>
      <c r="BX546" s="469">
        <f t="shared" si="1332"/>
        <v>7.8811143643642223E-2</v>
      </c>
      <c r="BY546" s="470">
        <f t="shared" si="1332"/>
        <v>7.7610461745181269E-2</v>
      </c>
      <c r="BZ546" s="470">
        <f t="shared" si="1331"/>
        <v>7.6916087837268832E-2</v>
      </c>
      <c r="CA546" s="470">
        <f t="shared" si="1331"/>
        <v>7.6723816741054246E-2</v>
      </c>
      <c r="CB546" s="470">
        <f>CB545/CB532</f>
        <v>8.0602422558630288E-2</v>
      </c>
      <c r="CC546" s="470">
        <f>CC545/CC532</f>
        <v>8.4447341305509238E-2</v>
      </c>
      <c r="CD546" s="470">
        <f>CD545/CD532</f>
        <v>8.294382981166358E-2</v>
      </c>
      <c r="CE546" s="470">
        <f>CE545/CE532</f>
        <v>8.1261898051831594E-2</v>
      </c>
      <c r="CF546" s="470">
        <f>CF545/CF532</f>
        <v>8.0008815954563925E-2</v>
      </c>
      <c r="CG546" s="331"/>
      <c r="CH546" s="331"/>
      <c r="CI546" s="331"/>
      <c r="CJ546" s="331"/>
      <c r="CK546" s="331"/>
      <c r="CL546" s="1310" t="str">
        <f t="shared" si="1318"/>
        <v>% of Net revenue</v>
      </c>
      <c r="CM546" s="492"/>
      <c r="CN546" s="492"/>
      <c r="CO546" s="492"/>
      <c r="CP546" s="492"/>
      <c r="CQ546" s="492"/>
      <c r="CR546" s="492"/>
      <c r="CS546" s="492"/>
      <c r="CT546" s="492"/>
      <c r="CU546" s="492">
        <f t="shared" si="1319"/>
        <v>0</v>
      </c>
      <c r="CV546" s="492">
        <f t="shared" si="1320"/>
        <v>0</v>
      </c>
      <c r="CW546" s="492">
        <f t="shared" si="1321"/>
        <v>0.15901148791215342</v>
      </c>
      <c r="CX546" s="492">
        <f t="shared" si="1322"/>
        <v>9.8887223067691501E-2</v>
      </c>
      <c r="CY546" s="492">
        <f t="shared" si="1323"/>
        <v>9.120287852537956E-2</v>
      </c>
      <c r="CZ546" s="492">
        <f t="shared" si="1324"/>
        <v>8.109680423177297E-2</v>
      </c>
      <c r="DA546" s="492">
        <f t="shared" si="1325"/>
        <v>7.7610461745181269E-2</v>
      </c>
      <c r="DB546" s="492">
        <f t="shared" si="1325"/>
        <v>7.6916087837268832E-2</v>
      </c>
      <c r="DC546" s="1311">
        <f t="shared" si="1325"/>
        <v>7.6723816741054246E-2</v>
      </c>
      <c r="DD546" s="331"/>
      <c r="DE546" s="331"/>
      <c r="DF546" s="502"/>
      <c r="DG546" s="503"/>
      <c r="DH546" s="469"/>
      <c r="DI546" s="3213"/>
      <c r="DJ546" s="502"/>
      <c r="DK546" s="503"/>
      <c r="DL546" s="502"/>
      <c r="DM546" s="502"/>
      <c r="DN546" s="502"/>
      <c r="DO546" s="502"/>
      <c r="DP546" s="503"/>
      <c r="DQ546" s="503"/>
      <c r="DR546" s="296"/>
      <c r="DS546" s="296"/>
      <c r="DT546" s="296"/>
    </row>
    <row r="547" spans="1:130" ht="12" customHeight="1" x14ac:dyDescent="0.25">
      <c r="A547" s="333" t="s">
        <v>2226</v>
      </c>
      <c r="B547" s="333"/>
      <c r="C547" s="593"/>
      <c r="D547" s="593"/>
      <c r="E547" s="593"/>
      <c r="F547" s="593"/>
      <c r="G547" s="594"/>
      <c r="H547" s="593"/>
      <c r="I547" s="593"/>
      <c r="J547" s="593"/>
      <c r="K547" s="593"/>
      <c r="L547" s="594"/>
      <c r="M547" s="593"/>
      <c r="N547" s="593"/>
      <c r="O547" s="593"/>
      <c r="P547" s="593"/>
      <c r="Q547" s="594"/>
      <c r="R547" s="593"/>
      <c r="S547" s="593"/>
      <c r="T547" s="593"/>
      <c r="U547" s="593"/>
      <c r="V547" s="594"/>
      <c r="W547" s="593"/>
      <c r="X547" s="593"/>
      <c r="Y547" s="593"/>
      <c r="Z547" s="593"/>
      <c r="AA547" s="594"/>
      <c r="AB547" s="593"/>
      <c r="AC547" s="593"/>
      <c r="AD547" s="593"/>
      <c r="AE547" s="595"/>
      <c r="AF547" s="596"/>
      <c r="AG547" s="593"/>
      <c r="AH547" s="593"/>
      <c r="AI547" s="593"/>
      <c r="AJ547" s="595"/>
      <c r="AK547" s="596"/>
      <c r="AL547" s="593"/>
      <c r="AM547" s="593"/>
      <c r="AN547" s="593"/>
      <c r="AO547" s="595"/>
      <c r="AP547" s="597"/>
      <c r="AQ547" s="597"/>
      <c r="AR547" s="598"/>
      <c r="AS547" s="598"/>
      <c r="AT547" s="598"/>
      <c r="AU547" s="596"/>
      <c r="AV547" s="597"/>
      <c r="AW547" s="598"/>
      <c r="AX547" s="598"/>
      <c r="AY547" s="1922"/>
      <c r="AZ547" s="596"/>
      <c r="BA547" s="597"/>
      <c r="BB547" s="598"/>
      <c r="BC547" s="598">
        <f t="shared" ref="BC547:CA547" si="1333">BC542-BC545</f>
        <v>-1.9844457000000002</v>
      </c>
      <c r="BD547" s="1922">
        <f t="shared" si="1333"/>
        <v>2.6188224300000016</v>
      </c>
      <c r="BE547" s="1922">
        <f t="shared" si="1333"/>
        <v>0.63437673000000139</v>
      </c>
      <c r="BF547" s="598">
        <f t="shared" si="1333"/>
        <v>4.3300599999999996</v>
      </c>
      <c r="BG547" s="598">
        <f t="shared" si="1333"/>
        <v>4.2003965600000015</v>
      </c>
      <c r="BH547" s="598">
        <f t="shared" si="1333"/>
        <v>4.4424867200000016</v>
      </c>
      <c r="BI547" s="1922">
        <f t="shared" si="1333"/>
        <v>3.9602799199999978</v>
      </c>
      <c r="BJ547" s="1922">
        <f t="shared" si="1333"/>
        <v>16.9332232</v>
      </c>
      <c r="BK547" s="598">
        <f t="shared" si="1333"/>
        <v>5.4210290573945059</v>
      </c>
      <c r="BL547" s="598">
        <f t="shared" si="1333"/>
        <v>5.0140636995488101</v>
      </c>
      <c r="BM547" s="598">
        <f t="shared" si="1333"/>
        <v>5.0388795554193031</v>
      </c>
      <c r="BN547" s="1922">
        <f t="shared" si="1333"/>
        <v>4.6024635185605582</v>
      </c>
      <c r="BO547" s="1922">
        <f t="shared" si="1333"/>
        <v>20.076435830923177</v>
      </c>
      <c r="BP547" s="598">
        <f t="shared" ref="BP547:BX547" si="1334">BP542-BP545</f>
        <v>6.9964520743914207</v>
      </c>
      <c r="BQ547" s="598">
        <f t="shared" si="1334"/>
        <v>6.0969894470822226</v>
      </c>
      <c r="BR547" s="598">
        <f t="shared" si="1334"/>
        <v>6.1737160884551159</v>
      </c>
      <c r="BS547" s="598">
        <f t="shared" si="1334"/>
        <v>6.2514432063414951</v>
      </c>
      <c r="BT547" s="596">
        <f t="shared" si="1334"/>
        <v>25.518600816270251</v>
      </c>
      <c r="BU547" s="598">
        <f t="shared" si="1334"/>
        <v>7.6420123103423698</v>
      </c>
      <c r="BV547" s="598">
        <f t="shared" si="1334"/>
        <v>7.2472096059247555</v>
      </c>
      <c r="BW547" s="598">
        <f t="shared" si="1334"/>
        <v>6.9642260791350807</v>
      </c>
      <c r="BX547" s="598">
        <f t="shared" si="1334"/>
        <v>6.9228137682786048</v>
      </c>
      <c r="BY547" s="596">
        <f>BY542-BY545</f>
        <v>28.776261763680807</v>
      </c>
      <c r="BZ547" s="596">
        <f t="shared" si="1333"/>
        <v>30.067730439557224</v>
      </c>
      <c r="CA547" s="596">
        <f t="shared" si="1333"/>
        <v>29.779023565567627</v>
      </c>
      <c r="CB547" s="596">
        <f>CB542-CB545</f>
        <v>27.113079810729175</v>
      </c>
      <c r="CC547" s="596">
        <f>CC542-CC545</f>
        <v>24.818536603637014</v>
      </c>
      <c r="CD547" s="596">
        <f>CD542-CD545</f>
        <v>25.774903479094021</v>
      </c>
      <c r="CE547" s="596">
        <f>CE542-CE545</f>
        <v>26.960185138434326</v>
      </c>
      <c r="CF547" s="596">
        <f>CF542-CF545</f>
        <v>27.760000550842619</v>
      </c>
      <c r="CG547" s="502"/>
      <c r="CH547" s="502"/>
      <c r="CI547" s="502"/>
      <c r="CJ547" s="502"/>
      <c r="CK547" s="502"/>
      <c r="CL547" s="1149" t="str">
        <f t="shared" si="1318"/>
        <v>Operating Income</v>
      </c>
      <c r="CM547" s="598"/>
      <c r="CN547" s="598"/>
      <c r="CO547" s="598"/>
      <c r="CP547" s="598"/>
      <c r="CQ547" s="598"/>
      <c r="CR547" s="598"/>
      <c r="CS547" s="598"/>
      <c r="CT547" s="598"/>
      <c r="CU547" s="598">
        <f t="shared" si="1319"/>
        <v>0</v>
      </c>
      <c r="CV547" s="598">
        <f t="shared" si="1320"/>
        <v>0</v>
      </c>
      <c r="CW547" s="598">
        <f t="shared" si="1321"/>
        <v>0.63437673000000139</v>
      </c>
      <c r="CX547" s="598">
        <f t="shared" si="1322"/>
        <v>16.9332232</v>
      </c>
      <c r="CY547" s="598">
        <f t="shared" si="1323"/>
        <v>20.076435830923177</v>
      </c>
      <c r="CZ547" s="598">
        <f t="shared" si="1324"/>
        <v>25.518600816270251</v>
      </c>
      <c r="DA547" s="598">
        <f t="shared" si="1325"/>
        <v>28.776261763680807</v>
      </c>
      <c r="DB547" s="598">
        <f t="shared" si="1325"/>
        <v>30.067730439557224</v>
      </c>
      <c r="DC547" s="1922">
        <f t="shared" si="1325"/>
        <v>29.779023565567627</v>
      </c>
      <c r="DD547" s="502"/>
      <c r="DE547" s="502"/>
      <c r="DF547" s="502"/>
      <c r="DG547" s="503"/>
      <c r="DH547" s="598"/>
      <c r="DI547" s="3213"/>
      <c r="DJ547" s="502"/>
      <c r="DK547" s="503"/>
      <c r="DL547" s="502"/>
      <c r="DM547" s="502"/>
      <c r="DN547" s="502"/>
      <c r="DO547" s="502"/>
      <c r="DP547" s="503"/>
      <c r="DQ547" s="503"/>
      <c r="DR547" s="719"/>
      <c r="DS547" s="719"/>
      <c r="DT547" s="719"/>
    </row>
    <row r="548" spans="1:130" ht="12" customHeight="1" x14ac:dyDescent="0.25">
      <c r="A548" s="281"/>
      <c r="B548" s="281"/>
      <c r="C548" s="305"/>
      <c r="D548" s="305"/>
      <c r="E548" s="305"/>
      <c r="F548" s="305"/>
      <c r="G548" s="440"/>
      <c r="H548" s="305"/>
      <c r="I548" s="305"/>
      <c r="J548" s="305"/>
      <c r="K548" s="305"/>
      <c r="L548" s="440"/>
      <c r="M548" s="305"/>
      <c r="N548" s="305"/>
      <c r="O548" s="305"/>
      <c r="P548" s="305"/>
      <c r="Q548" s="440"/>
      <c r="R548" s="305"/>
      <c r="S548" s="305"/>
      <c r="T548" s="305"/>
      <c r="U548" s="305"/>
      <c r="V548" s="440"/>
      <c r="W548" s="305"/>
      <c r="X548" s="305"/>
      <c r="Y548" s="305"/>
      <c r="Z548" s="305"/>
      <c r="AA548" s="440"/>
      <c r="AB548" s="305"/>
      <c r="AC548" s="305"/>
      <c r="AD548" s="305"/>
      <c r="AE548" s="331"/>
      <c r="AF548" s="441"/>
      <c r="AG548" s="305"/>
      <c r="AH548" s="305"/>
      <c r="AI548" s="305"/>
      <c r="AJ548" s="331"/>
      <c r="AK548" s="441"/>
      <c r="AL548" s="305"/>
      <c r="AM548" s="305"/>
      <c r="AN548" s="305"/>
      <c r="AO548" s="331"/>
      <c r="AP548" s="569"/>
      <c r="AQ548" s="569"/>
      <c r="AR548" s="442"/>
      <c r="AS548" s="442"/>
      <c r="AT548" s="442"/>
      <c r="AU548" s="441"/>
      <c r="AV548" s="569"/>
      <c r="AW548" s="442"/>
      <c r="AX548" s="442"/>
      <c r="AY548" s="1312"/>
      <c r="AZ548" s="441"/>
      <c r="BA548" s="569"/>
      <c r="BB548" s="442"/>
      <c r="BC548" s="442"/>
      <c r="BD548" s="1312"/>
      <c r="BE548" s="1312"/>
      <c r="BF548" s="442"/>
      <c r="BG548" s="442"/>
      <c r="BH548" s="442"/>
      <c r="BI548" s="1312"/>
      <c r="BJ548" s="1312"/>
      <c r="BK548" s="442"/>
      <c r="BL548" s="442"/>
      <c r="BM548" s="442"/>
      <c r="BN548" s="1312"/>
      <c r="BO548" s="1312"/>
      <c r="BP548" s="442"/>
      <c r="BQ548" s="442"/>
      <c r="BR548" s="442"/>
      <c r="BS548" s="442"/>
      <c r="BT548" s="3236"/>
      <c r="BU548" s="3409"/>
      <c r="BV548" s="3298"/>
      <c r="BW548" s="3298"/>
      <c r="BX548" s="3298"/>
      <c r="BY548" s="3236"/>
      <c r="BZ548" s="441"/>
      <c r="CA548" s="441"/>
      <c r="CB548" s="441"/>
      <c r="CC548" s="441"/>
      <c r="CD548" s="441"/>
      <c r="CE548" s="441"/>
      <c r="CF548" s="441"/>
      <c r="CG548" s="331"/>
      <c r="CH548" s="331"/>
      <c r="CI548" s="331"/>
      <c r="CJ548" s="331"/>
      <c r="CK548" s="331"/>
      <c r="CL548" s="520"/>
      <c r="CM548" s="442"/>
      <c r="CN548" s="442"/>
      <c r="CO548" s="442"/>
      <c r="CP548" s="442"/>
      <c r="CQ548" s="442"/>
      <c r="CR548" s="442"/>
      <c r="CS548" s="442"/>
      <c r="CT548" s="442"/>
      <c r="CU548" s="442"/>
      <c r="CV548" s="442"/>
      <c r="CW548" s="442"/>
      <c r="CX548" s="442"/>
      <c r="CY548" s="442"/>
      <c r="CZ548" s="442"/>
      <c r="DA548" s="442"/>
      <c r="DB548" s="442"/>
      <c r="DC548" s="1312"/>
      <c r="DD548" s="331"/>
      <c r="DE548" s="331"/>
      <c r="DF548" s="502"/>
      <c r="DG548" s="503"/>
      <c r="DH548" s="3298"/>
      <c r="DI548" s="3213"/>
      <c r="DJ548" s="502"/>
      <c r="DK548" s="503"/>
      <c r="DL548" s="502"/>
      <c r="DM548" s="502"/>
      <c r="DN548" s="502"/>
      <c r="DO548" s="502"/>
      <c r="DP548" s="503"/>
      <c r="DQ548" s="503"/>
      <c r="DR548" s="428"/>
      <c r="DS548" s="428"/>
      <c r="DT548" s="428"/>
    </row>
    <row r="549" spans="1:130" ht="12" customHeight="1" x14ac:dyDescent="0.25">
      <c r="A549" s="2125" t="s">
        <v>204</v>
      </c>
      <c r="B549" s="428"/>
      <c r="C549" s="502"/>
      <c r="D549" s="502"/>
      <c r="E549" s="502"/>
      <c r="F549" s="502"/>
      <c r="G549" s="534"/>
      <c r="H549" s="502"/>
      <c r="I549" s="502"/>
      <c r="J549" s="502"/>
      <c r="K549" s="502"/>
      <c r="L549" s="534"/>
      <c r="M549" s="502"/>
      <c r="N549" s="502"/>
      <c r="O549" s="502"/>
      <c r="P549" s="502"/>
      <c r="Q549" s="534"/>
      <c r="R549" s="502"/>
      <c r="S549" s="502"/>
      <c r="T549" s="502"/>
      <c r="U549" s="502"/>
      <c r="V549" s="534"/>
      <c r="W549" s="502"/>
      <c r="X549" s="502"/>
      <c r="Y549" s="502"/>
      <c r="Z549" s="502"/>
      <c r="AA549" s="534"/>
      <c r="AB549" s="502"/>
      <c r="AC549" s="502"/>
      <c r="AD549" s="502"/>
      <c r="AE549" s="502"/>
      <c r="AF549" s="534"/>
      <c r="AG549" s="502"/>
      <c r="AH549" s="502"/>
      <c r="AI549" s="502"/>
      <c r="AJ549" s="502"/>
      <c r="AK549" s="534"/>
      <c r="AL549" s="503"/>
      <c r="AM549" s="503"/>
      <c r="AN549" s="503"/>
      <c r="AO549" s="503"/>
      <c r="AP549" s="535"/>
      <c r="AQ549" s="535"/>
      <c r="AR549" s="537"/>
      <c r="AS549" s="537"/>
      <c r="AT549" s="537"/>
      <c r="AU549" s="536"/>
      <c r="AV549" s="535"/>
      <c r="AW549" s="537"/>
      <c r="AX549" s="537"/>
      <c r="AY549" s="1926"/>
      <c r="AZ549" s="536"/>
      <c r="BA549" s="535"/>
      <c r="BB549" s="537"/>
      <c r="BC549" s="537"/>
      <c r="BD549" s="1926"/>
      <c r="BE549" s="1926"/>
      <c r="BF549" s="537"/>
      <c r="BG549" s="537"/>
      <c r="BH549" s="537"/>
      <c r="BI549" s="1926"/>
      <c r="BJ549" s="1926"/>
      <c r="BK549" s="537"/>
      <c r="BL549" s="537"/>
      <c r="BM549" s="537"/>
      <c r="BN549" s="3321"/>
      <c r="BO549" s="1926"/>
      <c r="BP549" s="537"/>
      <c r="BQ549" s="537"/>
      <c r="BR549" s="537"/>
      <c r="BS549" s="537"/>
      <c r="BT549" s="536"/>
      <c r="BU549" s="535"/>
      <c r="BV549" s="537"/>
      <c r="BW549" s="537"/>
      <c r="BX549" s="537"/>
      <c r="BY549" s="536"/>
      <c r="BZ549" s="536"/>
      <c r="CA549" s="536"/>
      <c r="CB549" s="536"/>
      <c r="CC549" s="536"/>
      <c r="CD549" s="536"/>
      <c r="CE549" s="536"/>
      <c r="CF549" s="536"/>
      <c r="CG549" s="331"/>
      <c r="CH549" s="331"/>
      <c r="CI549" s="331"/>
      <c r="CJ549" s="331"/>
      <c r="CK549" s="331"/>
      <c r="CL549" s="2036" t="str">
        <f t="shared" ref="CL549:CL555" si="1335">A549</f>
        <v>Plainridge Park Casino (MA)</v>
      </c>
      <c r="CM549" s="537">
        <f>G549</f>
        <v>0</v>
      </c>
      <c r="CN549" s="537">
        <f>L549</f>
        <v>0</v>
      </c>
      <c r="CO549" s="537">
        <f>Q549</f>
        <v>0</v>
      </c>
      <c r="CP549" s="537">
        <f>V549</f>
        <v>0</v>
      </c>
      <c r="CQ549" s="537">
        <f>AA549</f>
        <v>0</v>
      </c>
      <c r="CR549" s="537">
        <f>AF549</f>
        <v>0</v>
      </c>
      <c r="CS549" s="537">
        <f>AK549</f>
        <v>0</v>
      </c>
      <c r="CT549" s="537">
        <f>AP549</f>
        <v>0</v>
      </c>
      <c r="CU549" s="537">
        <f t="shared" ref="CU549:CU554" si="1336">AU549</f>
        <v>0</v>
      </c>
      <c r="CV549" s="537">
        <f t="shared" ref="CV549:CV555" si="1337">AZ549</f>
        <v>0</v>
      </c>
      <c r="CW549" s="537">
        <f t="shared" ref="CW549:CW555" si="1338">BE549</f>
        <v>0</v>
      </c>
      <c r="CX549" s="537">
        <f t="shared" ref="CX549:CX555" si="1339">BJ549</f>
        <v>0</v>
      </c>
      <c r="CY549" s="537">
        <f t="shared" ref="CY549:CY555" si="1340">BO549</f>
        <v>0</v>
      </c>
      <c r="CZ549" s="537">
        <f t="shared" ref="CZ549:CZ555" si="1341">BT549</f>
        <v>0</v>
      </c>
      <c r="DA549" s="537">
        <f t="shared" ref="DA549:DC555" si="1342">BY549</f>
        <v>0</v>
      </c>
      <c r="DB549" s="537">
        <f t="shared" si="1342"/>
        <v>0</v>
      </c>
      <c r="DC549" s="1926">
        <f t="shared" si="1342"/>
        <v>0</v>
      </c>
      <c r="DD549" s="331"/>
      <c r="DE549" s="331"/>
      <c r="DF549" s="502"/>
      <c r="DG549" s="503"/>
      <c r="DH549" s="537"/>
      <c r="DI549" s="3213"/>
      <c r="DJ549" s="502"/>
      <c r="DK549" s="503"/>
      <c r="DL549" s="502"/>
      <c r="DM549" s="502"/>
      <c r="DN549" s="502"/>
      <c r="DO549" s="502"/>
      <c r="DP549" s="503"/>
      <c r="DQ549" s="503"/>
      <c r="DR549" s="428"/>
      <c r="DS549" s="428"/>
      <c r="DT549" s="428"/>
    </row>
    <row r="550" spans="1:130" ht="12" customHeight="1" x14ac:dyDescent="0.25">
      <c r="A550" s="281" t="s">
        <v>894</v>
      </c>
      <c r="B550" s="281"/>
      <c r="C550" s="305"/>
      <c r="D550" s="305"/>
      <c r="E550" s="305"/>
      <c r="F550" s="305"/>
      <c r="G550" s="345"/>
      <c r="H550" s="305"/>
      <c r="I550" s="305"/>
      <c r="J550" s="305"/>
      <c r="K550" s="305"/>
      <c r="L550" s="345"/>
      <c r="M550" s="305"/>
      <c r="N550" s="305"/>
      <c r="O550" s="305"/>
      <c r="P550" s="305"/>
      <c r="Q550" s="345"/>
      <c r="R550" s="305"/>
      <c r="S550" s="305"/>
      <c r="T550" s="305"/>
      <c r="U550" s="305"/>
      <c r="V550" s="345"/>
      <c r="W550" s="305"/>
      <c r="X550" s="305"/>
      <c r="Y550" s="305"/>
      <c r="Z550" s="305"/>
      <c r="AA550" s="345"/>
      <c r="AB550" s="305"/>
      <c r="AC550" s="305"/>
      <c r="AD550" s="305"/>
      <c r="AE550" s="331"/>
      <c r="AF550" s="348"/>
      <c r="AG550" s="305"/>
      <c r="AH550" s="305"/>
      <c r="AI550" s="305"/>
      <c r="AJ550" s="331"/>
      <c r="AK550" s="348"/>
      <c r="AL550" s="305"/>
      <c r="AM550" s="305"/>
      <c r="AN550" s="305"/>
      <c r="AO550" s="331"/>
      <c r="AP550" s="568"/>
      <c r="AQ550" s="568"/>
      <c r="AR550" s="330"/>
      <c r="AS550" s="330"/>
      <c r="AT550" s="330"/>
      <c r="AU550" s="348"/>
      <c r="AV550" s="568"/>
      <c r="AW550" s="330"/>
      <c r="AX550" s="330"/>
      <c r="AY550" s="1888"/>
      <c r="AZ550" s="349"/>
      <c r="BA550" s="568"/>
      <c r="BB550" s="330"/>
      <c r="BC550" s="330"/>
      <c r="BD550" s="1888"/>
      <c r="BE550" s="1895"/>
      <c r="BF550" s="330"/>
      <c r="BG550" s="330">
        <f>BG551+(BG552*BG$320)</f>
        <v>1250</v>
      </c>
      <c r="BH550" s="330">
        <f>BH551+(BH552*BH$320)</f>
        <v>1250</v>
      </c>
      <c r="BI550" s="1888">
        <f>BI551+(BI552*BI$320)</f>
        <v>1250</v>
      </c>
      <c r="BJ550" s="1895">
        <f>BI550</f>
        <v>1250</v>
      </c>
      <c r="BK550" s="330">
        <f>BK551+(BK552*BK$320)</f>
        <v>1250</v>
      </c>
      <c r="BL550" s="330">
        <f>BL551+(BL552*BL$320)</f>
        <v>1250</v>
      </c>
      <c r="BM550" s="330">
        <f>BM551+(BM552*BM$320)</f>
        <v>1250</v>
      </c>
      <c r="BN550" s="1888">
        <f>BN551+(BN552*BN$320)</f>
        <v>1250</v>
      </c>
      <c r="BO550" s="1895">
        <f>BN550</f>
        <v>1250</v>
      </c>
      <c r="BP550" s="330">
        <f>BP551+(BP552*BP$320)</f>
        <v>1250</v>
      </c>
      <c r="BQ550" s="330">
        <f>BQ551+(BQ552*BQ$320)</f>
        <v>1250</v>
      </c>
      <c r="BR550" s="330">
        <f>BR551+(BR552*BR$320)</f>
        <v>1250</v>
      </c>
      <c r="BS550" s="330">
        <f>BS551+(BS552*BS$320)</f>
        <v>1250</v>
      </c>
      <c r="BT550" s="3222">
        <f>BS550</f>
        <v>1250</v>
      </c>
      <c r="BU550" s="2909">
        <f>BU551+(BU552*BU$320)</f>
        <v>1250</v>
      </c>
      <c r="BV550" s="2909">
        <f>BV551+(BV552*BV$320)</f>
        <v>1250</v>
      </c>
      <c r="BW550" s="2909">
        <f>BW551+(BW552*BW$320)</f>
        <v>1250</v>
      </c>
      <c r="BX550" s="2909">
        <f>BX551+(BX552*BX$320)</f>
        <v>1250</v>
      </c>
      <c r="BY550" s="3222">
        <f>BX550</f>
        <v>1250</v>
      </c>
      <c r="BZ550" s="349">
        <f t="shared" ref="BZ550:CF550" si="1343">BZ551+(BZ552*BZ$320)</f>
        <v>1250</v>
      </c>
      <c r="CA550" s="349">
        <f t="shared" si="1343"/>
        <v>1250</v>
      </c>
      <c r="CB550" s="349">
        <f t="shared" si="1343"/>
        <v>1250</v>
      </c>
      <c r="CC550" s="349">
        <f t="shared" si="1343"/>
        <v>1250</v>
      </c>
      <c r="CD550" s="349">
        <f t="shared" si="1343"/>
        <v>1250</v>
      </c>
      <c r="CE550" s="349">
        <f t="shared" si="1343"/>
        <v>1250</v>
      </c>
      <c r="CF550" s="349">
        <f t="shared" si="1343"/>
        <v>1250</v>
      </c>
      <c r="CG550" s="331"/>
      <c r="CH550" s="331"/>
      <c r="CI550" s="331"/>
      <c r="CJ550" s="331"/>
      <c r="CK550" s="331"/>
      <c r="CL550" s="520" t="str">
        <f t="shared" si="1335"/>
        <v>Positions</v>
      </c>
      <c r="CM550" s="330"/>
      <c r="CN550" s="330"/>
      <c r="CO550" s="330"/>
      <c r="CP550" s="330"/>
      <c r="CQ550" s="330"/>
      <c r="CR550" s="330"/>
      <c r="CS550" s="330"/>
      <c r="CT550" s="330"/>
      <c r="CU550" s="330">
        <f t="shared" si="1336"/>
        <v>0</v>
      </c>
      <c r="CV550" s="330">
        <f t="shared" si="1337"/>
        <v>0</v>
      </c>
      <c r="CW550" s="330">
        <f t="shared" si="1338"/>
        <v>0</v>
      </c>
      <c r="CX550" s="330">
        <f t="shared" si="1339"/>
        <v>1250</v>
      </c>
      <c r="CY550" s="330">
        <f t="shared" si="1340"/>
        <v>1250</v>
      </c>
      <c r="CZ550" s="330">
        <f t="shared" si="1341"/>
        <v>1250</v>
      </c>
      <c r="DA550" s="330">
        <f t="shared" si="1342"/>
        <v>1250</v>
      </c>
      <c r="DB550" s="330">
        <f t="shared" si="1342"/>
        <v>1250</v>
      </c>
      <c r="DC550" s="1888">
        <f t="shared" si="1342"/>
        <v>1250</v>
      </c>
      <c r="DD550" s="331"/>
      <c r="DE550" s="331"/>
      <c r="DF550" s="502"/>
      <c r="DG550" s="503"/>
      <c r="DH550" s="2601"/>
      <c r="DI550" s="3213"/>
      <c r="DJ550" s="502"/>
      <c r="DK550" s="503"/>
      <c r="DL550" s="502"/>
      <c r="DM550" s="502"/>
      <c r="DN550" s="502"/>
      <c r="DO550" s="502"/>
      <c r="DP550" s="503"/>
      <c r="DQ550" s="503"/>
      <c r="DR550" s="296"/>
      <c r="DS550" s="296"/>
      <c r="DT550" s="296"/>
    </row>
    <row r="551" spans="1:130" ht="12" customHeight="1" x14ac:dyDescent="0.25">
      <c r="A551" s="281" t="s">
        <v>585</v>
      </c>
      <c r="B551" s="281"/>
      <c r="C551" s="340"/>
      <c r="D551" s="340"/>
      <c r="E551" s="340"/>
      <c r="F551" s="340"/>
      <c r="G551" s="345"/>
      <c r="H551" s="340"/>
      <c r="I551" s="340"/>
      <c r="J551" s="340"/>
      <c r="K551" s="340"/>
      <c r="L551" s="345"/>
      <c r="M551" s="340"/>
      <c r="N551" s="340"/>
      <c r="O551" s="340"/>
      <c r="P551" s="340"/>
      <c r="Q551" s="345"/>
      <c r="R551" s="340"/>
      <c r="S551" s="340"/>
      <c r="T551" s="340"/>
      <c r="U551" s="340"/>
      <c r="V551" s="345"/>
      <c r="W551" s="340"/>
      <c r="X551" s="340"/>
      <c r="Y551" s="340"/>
      <c r="Z551" s="340"/>
      <c r="AA551" s="345"/>
      <c r="AB551" s="340"/>
      <c r="AC551" s="340"/>
      <c r="AD551" s="340"/>
      <c r="AE551" s="339"/>
      <c r="AF551" s="348"/>
      <c r="AG551" s="340"/>
      <c r="AH551" s="340"/>
      <c r="AI551" s="340"/>
      <c r="AJ551" s="339"/>
      <c r="AK551" s="348"/>
      <c r="AL551" s="340"/>
      <c r="AM551" s="340"/>
      <c r="AN551" s="340"/>
      <c r="AO551" s="339"/>
      <c r="AP551" s="568"/>
      <c r="AQ551" s="568"/>
      <c r="AR551" s="338"/>
      <c r="AS551" s="338"/>
      <c r="AT551" s="330"/>
      <c r="AU551" s="348"/>
      <c r="AV551" s="568"/>
      <c r="AW551" s="330"/>
      <c r="AX551" s="330"/>
      <c r="AY551" s="1888"/>
      <c r="AZ551" s="348"/>
      <c r="BA551" s="568"/>
      <c r="BB551" s="330"/>
      <c r="BC551" s="338"/>
      <c r="BD551" s="2557"/>
      <c r="BE551" s="1895"/>
      <c r="BF551" s="338"/>
      <c r="BG551" s="338">
        <v>1250</v>
      </c>
      <c r="BH551" s="338">
        <v>1250</v>
      </c>
      <c r="BI551" s="2557">
        <v>1250</v>
      </c>
      <c r="BJ551" s="1895">
        <f>BI551</f>
        <v>1250</v>
      </c>
      <c r="BK551" s="338">
        <v>1250</v>
      </c>
      <c r="BL551" s="338">
        <v>1250</v>
      </c>
      <c r="BM551" s="338">
        <v>1250</v>
      </c>
      <c r="BN551" s="2557">
        <v>1250</v>
      </c>
      <c r="BO551" s="1895">
        <f>BN551</f>
        <v>1250</v>
      </c>
      <c r="BP551" s="338">
        <v>1250</v>
      </c>
      <c r="BQ551" s="338">
        <v>1250</v>
      </c>
      <c r="BR551" s="338">
        <v>1250</v>
      </c>
      <c r="BS551" s="338">
        <v>1250</v>
      </c>
      <c r="BT551" s="3081">
        <f>BS551</f>
        <v>1250</v>
      </c>
      <c r="BU551" s="338">
        <v>1250</v>
      </c>
      <c r="BV551" s="338">
        <v>1250</v>
      </c>
      <c r="BW551" s="338">
        <v>1250</v>
      </c>
      <c r="BX551" s="338">
        <v>1250</v>
      </c>
      <c r="BY551" s="3081">
        <f>BX551</f>
        <v>1250</v>
      </c>
      <c r="BZ551" s="348">
        <f>BY551</f>
        <v>1250</v>
      </c>
      <c r="CA551" s="348">
        <f>BZ551</f>
        <v>1250</v>
      </c>
      <c r="CB551" s="348">
        <f t="shared" ref="CB551:CF552" si="1344">CA551</f>
        <v>1250</v>
      </c>
      <c r="CC551" s="348">
        <f t="shared" si="1344"/>
        <v>1250</v>
      </c>
      <c r="CD551" s="348">
        <f t="shared" si="1344"/>
        <v>1250</v>
      </c>
      <c r="CE551" s="348">
        <f t="shared" si="1344"/>
        <v>1250</v>
      </c>
      <c r="CF551" s="348">
        <f t="shared" si="1344"/>
        <v>1250</v>
      </c>
      <c r="CG551" s="331"/>
      <c r="CH551" s="331"/>
      <c r="CI551" s="331"/>
      <c r="CJ551" s="331"/>
      <c r="CK551" s="331"/>
      <c r="CL551" s="520" t="str">
        <f t="shared" si="1335"/>
        <v>Slots</v>
      </c>
      <c r="CM551" s="330"/>
      <c r="CN551" s="330"/>
      <c r="CO551" s="330"/>
      <c r="CP551" s="330"/>
      <c r="CQ551" s="330"/>
      <c r="CR551" s="330"/>
      <c r="CS551" s="330"/>
      <c r="CT551" s="330"/>
      <c r="CU551" s="330">
        <f t="shared" si="1336"/>
        <v>0</v>
      </c>
      <c r="CV551" s="330">
        <f t="shared" si="1337"/>
        <v>0</v>
      </c>
      <c r="CW551" s="330">
        <f t="shared" si="1338"/>
        <v>0</v>
      </c>
      <c r="CX551" s="330">
        <f t="shared" si="1339"/>
        <v>1250</v>
      </c>
      <c r="CY551" s="330">
        <f t="shared" si="1340"/>
        <v>1250</v>
      </c>
      <c r="CZ551" s="330">
        <f t="shared" si="1341"/>
        <v>1250</v>
      </c>
      <c r="DA551" s="330">
        <f t="shared" si="1342"/>
        <v>1250</v>
      </c>
      <c r="DB551" s="330">
        <f t="shared" si="1342"/>
        <v>1250</v>
      </c>
      <c r="DC551" s="1888">
        <f t="shared" si="1342"/>
        <v>1250</v>
      </c>
      <c r="DD551" s="331"/>
      <c r="DE551" s="331"/>
      <c r="DF551" s="502"/>
      <c r="DG551" s="503"/>
      <c r="DH551" s="2909"/>
      <c r="DI551" s="3213"/>
      <c r="DJ551" s="502"/>
      <c r="DK551" s="503"/>
      <c r="DL551" s="502"/>
      <c r="DM551" s="502"/>
      <c r="DN551" s="502"/>
      <c r="DO551" s="502"/>
      <c r="DP551" s="503"/>
      <c r="DQ551" s="503"/>
      <c r="DR551" s="296"/>
      <c r="DS551" s="296"/>
      <c r="DT551" s="296"/>
    </row>
    <row r="552" spans="1:130" ht="12" customHeight="1" x14ac:dyDescent="0.25">
      <c r="A552" s="281" t="s">
        <v>584</v>
      </c>
      <c r="B552" s="281"/>
      <c r="C552" s="340"/>
      <c r="D552" s="340"/>
      <c r="E552" s="340"/>
      <c r="F552" s="340"/>
      <c r="G552" s="345"/>
      <c r="H552" s="340"/>
      <c r="I552" s="340"/>
      <c r="J552" s="340"/>
      <c r="K552" s="340"/>
      <c r="L552" s="345"/>
      <c r="M552" s="340"/>
      <c r="N552" s="340"/>
      <c r="O552" s="340"/>
      <c r="P552" s="340"/>
      <c r="Q552" s="345"/>
      <c r="R552" s="340"/>
      <c r="S552" s="340"/>
      <c r="T552" s="340"/>
      <c r="U552" s="340"/>
      <c r="V552" s="345"/>
      <c r="W552" s="340"/>
      <c r="X552" s="340"/>
      <c r="Y552" s="340"/>
      <c r="Z552" s="340"/>
      <c r="AA552" s="345"/>
      <c r="AB552" s="340"/>
      <c r="AC552" s="340"/>
      <c r="AD552" s="340"/>
      <c r="AE552" s="339"/>
      <c r="AF552" s="348"/>
      <c r="AG552" s="340"/>
      <c r="AH552" s="340"/>
      <c r="AI552" s="340"/>
      <c r="AJ552" s="339"/>
      <c r="AK552" s="348"/>
      <c r="AL552" s="340"/>
      <c r="AM552" s="340"/>
      <c r="AN552" s="340"/>
      <c r="AO552" s="339"/>
      <c r="AP552" s="568"/>
      <c r="AQ552" s="568"/>
      <c r="AR552" s="338"/>
      <c r="AS552" s="338"/>
      <c r="AT552" s="330"/>
      <c r="AU552" s="348"/>
      <c r="AV552" s="568"/>
      <c r="AW552" s="330"/>
      <c r="AX552" s="330"/>
      <c r="AY552" s="1888"/>
      <c r="AZ552" s="348"/>
      <c r="BA552" s="568"/>
      <c r="BB552" s="330"/>
      <c r="BC552" s="330"/>
      <c r="BD552" s="1888"/>
      <c r="BE552" s="1895"/>
      <c r="BF552" s="330"/>
      <c r="BG552" s="330">
        <v>0</v>
      </c>
      <c r="BH552" s="330">
        <v>0</v>
      </c>
      <c r="BI552" s="1888">
        <v>0</v>
      </c>
      <c r="BJ552" s="1895">
        <f>BI552</f>
        <v>0</v>
      </c>
      <c r="BK552" s="330">
        <v>0</v>
      </c>
      <c r="BL552" s="330">
        <v>0</v>
      </c>
      <c r="BM552" s="330">
        <v>0</v>
      </c>
      <c r="BN552" s="1888">
        <v>0</v>
      </c>
      <c r="BO552" s="1895">
        <f>BN552</f>
        <v>0</v>
      </c>
      <c r="BP552" s="330">
        <v>0</v>
      </c>
      <c r="BQ552" s="330">
        <v>0</v>
      </c>
      <c r="BR552" s="330">
        <v>0</v>
      </c>
      <c r="BS552" s="330">
        <v>0</v>
      </c>
      <c r="BT552" s="3081">
        <f>BS552</f>
        <v>0</v>
      </c>
      <c r="BU552" s="330">
        <v>0</v>
      </c>
      <c r="BV552" s="2909">
        <v>0</v>
      </c>
      <c r="BW552" s="2909">
        <v>0</v>
      </c>
      <c r="BX552" s="2909">
        <v>0</v>
      </c>
      <c r="BY552" s="3081">
        <f>BX552</f>
        <v>0</v>
      </c>
      <c r="BZ552" s="348">
        <f>BY552</f>
        <v>0</v>
      </c>
      <c r="CA552" s="348">
        <f>BZ552</f>
        <v>0</v>
      </c>
      <c r="CB552" s="348">
        <f t="shared" si="1344"/>
        <v>0</v>
      </c>
      <c r="CC552" s="348">
        <f t="shared" si="1344"/>
        <v>0</v>
      </c>
      <c r="CD552" s="348">
        <f t="shared" si="1344"/>
        <v>0</v>
      </c>
      <c r="CE552" s="348">
        <f t="shared" si="1344"/>
        <v>0</v>
      </c>
      <c r="CF552" s="348">
        <f t="shared" si="1344"/>
        <v>0</v>
      </c>
      <c r="CG552" s="331"/>
      <c r="CH552" s="331"/>
      <c r="CI552" s="331"/>
      <c r="CJ552" s="331"/>
      <c r="CK552" s="331"/>
      <c r="CL552" s="520" t="str">
        <f t="shared" si="1335"/>
        <v>Tables</v>
      </c>
      <c r="CM552" s="330"/>
      <c r="CN552" s="330"/>
      <c r="CO552" s="330"/>
      <c r="CP552" s="330"/>
      <c r="CQ552" s="330"/>
      <c r="CR552" s="330"/>
      <c r="CS552" s="330"/>
      <c r="CT552" s="330"/>
      <c r="CU552" s="330">
        <f t="shared" si="1336"/>
        <v>0</v>
      </c>
      <c r="CV552" s="330">
        <f t="shared" si="1337"/>
        <v>0</v>
      </c>
      <c r="CW552" s="330">
        <f t="shared" si="1338"/>
        <v>0</v>
      </c>
      <c r="CX552" s="330">
        <f t="shared" si="1339"/>
        <v>0</v>
      </c>
      <c r="CY552" s="330">
        <f t="shared" si="1340"/>
        <v>0</v>
      </c>
      <c r="CZ552" s="330">
        <f t="shared" si="1341"/>
        <v>0</v>
      </c>
      <c r="DA552" s="330">
        <f t="shared" si="1342"/>
        <v>0</v>
      </c>
      <c r="DB552" s="330">
        <f t="shared" si="1342"/>
        <v>0</v>
      </c>
      <c r="DC552" s="1888">
        <f t="shared" si="1342"/>
        <v>0</v>
      </c>
      <c r="DD552" s="331"/>
      <c r="DE552" s="331"/>
      <c r="DF552" s="502"/>
      <c r="DG552" s="503"/>
      <c r="DH552" s="2909"/>
      <c r="DI552" s="3213"/>
      <c r="DJ552" s="502"/>
      <c r="DK552" s="503"/>
      <c r="DL552" s="502"/>
      <c r="DM552" s="502"/>
      <c r="DN552" s="502"/>
      <c r="DO552" s="502"/>
      <c r="DP552" s="503"/>
      <c r="DQ552" s="503"/>
      <c r="DR552" s="296"/>
      <c r="DS552" s="296"/>
      <c r="DT552" s="296"/>
    </row>
    <row r="553" spans="1:130" ht="12" customHeight="1" x14ac:dyDescent="0.25">
      <c r="A553" s="511" t="s">
        <v>2111</v>
      </c>
      <c r="B553" s="281"/>
      <c r="C553" s="340"/>
      <c r="D553" s="305"/>
      <c r="E553" s="305"/>
      <c r="F553" s="305"/>
      <c r="G553" s="345"/>
      <c r="H553" s="305"/>
      <c r="I553" s="305"/>
      <c r="J553" s="305"/>
      <c r="K553" s="305"/>
      <c r="L553" s="345"/>
      <c r="M553" s="305"/>
      <c r="N553" s="305"/>
      <c r="O553" s="305"/>
      <c r="P553" s="305"/>
      <c r="Q553" s="345"/>
      <c r="R553" s="305"/>
      <c r="S553" s="305"/>
      <c r="T553" s="305"/>
      <c r="U553" s="305"/>
      <c r="V553" s="345"/>
      <c r="W553" s="305"/>
      <c r="X553" s="305"/>
      <c r="Y553" s="305"/>
      <c r="Z553" s="305"/>
      <c r="AA553" s="345"/>
      <c r="AB553" s="305"/>
      <c r="AC553" s="305"/>
      <c r="AD553" s="305"/>
      <c r="AE553" s="331"/>
      <c r="AF553" s="348"/>
      <c r="AG553" s="305"/>
      <c r="AH553" s="305"/>
      <c r="AI553" s="305"/>
      <c r="AJ553" s="331"/>
      <c r="AK553" s="348"/>
      <c r="AL553" s="305"/>
      <c r="AM553" s="305"/>
      <c r="AN553" s="305"/>
      <c r="AO553" s="331"/>
      <c r="AP553" s="568"/>
      <c r="AQ553" s="568"/>
      <c r="AR553" s="330"/>
      <c r="AS553" s="330"/>
      <c r="AT553" s="330"/>
      <c r="AU553" s="348"/>
      <c r="AV553" s="568"/>
      <c r="AW553" s="330"/>
      <c r="AX553" s="330"/>
      <c r="AY553" s="1888"/>
      <c r="AZ553" s="348"/>
      <c r="BA553" s="568"/>
      <c r="BB553" s="330"/>
      <c r="BC553" s="330"/>
      <c r="BD553" s="1888"/>
      <c r="BE553" s="1895"/>
      <c r="BF553" s="2909"/>
      <c r="BG553" s="2909">
        <f>AVERAGE(BG550,BF550)</f>
        <v>1250</v>
      </c>
      <c r="BH553" s="2909">
        <f>AVERAGE(BH550,BG550)</f>
        <v>1250</v>
      </c>
      <c r="BI553" s="2910">
        <f>AVERAGE(BI550,BH550)</f>
        <v>1250</v>
      </c>
      <c r="BJ553" s="1895">
        <f>AVERAGE(BF553:BI553)</f>
        <v>1250</v>
      </c>
      <c r="BK553" s="2909">
        <f>AVERAGE(BK550,BJ550)</f>
        <v>1250</v>
      </c>
      <c r="BL553" s="2909">
        <f>AVERAGE(BL550,BK550)</f>
        <v>1250</v>
      </c>
      <c r="BM553" s="2909">
        <f>AVERAGE(BM550,BL550)</f>
        <v>1250</v>
      </c>
      <c r="BN553" s="2910">
        <f>AVERAGE(BN550,BM550)</f>
        <v>1250</v>
      </c>
      <c r="BO553" s="1895">
        <f>AVERAGE(BK553:BN553)</f>
        <v>1250</v>
      </c>
      <c r="BP553" s="2909">
        <f>AVERAGE(BP550,BO550)</f>
        <v>1250</v>
      </c>
      <c r="BQ553" s="2909">
        <f>AVERAGE(BQ550,BP550)</f>
        <v>1250</v>
      </c>
      <c r="BR553" s="2909">
        <f>AVERAGE(BR550,BQ550)</f>
        <v>1250</v>
      </c>
      <c r="BS553" s="2909">
        <f>AVERAGE(BS550,BR550)</f>
        <v>1250</v>
      </c>
      <c r="BT553" s="3222">
        <f>AVERAGE(BP553:BS553)</f>
        <v>1250</v>
      </c>
      <c r="BU553" s="2909">
        <f>AVERAGE(BU550,BT550)</f>
        <v>1250</v>
      </c>
      <c r="BV553" s="2909">
        <f>AVERAGE(BV550,BU550)</f>
        <v>1250</v>
      </c>
      <c r="BW553" s="2909">
        <f>AVERAGE(BW550,BV550)</f>
        <v>1250</v>
      </c>
      <c r="BX553" s="2909">
        <f>AVERAGE(BX550,BW550)</f>
        <v>1250</v>
      </c>
      <c r="BY553" s="3222">
        <f>AVERAGE(BU553:BX553)</f>
        <v>1250</v>
      </c>
      <c r="BZ553" s="349">
        <f t="shared" ref="BZ553:CF553" si="1345">AVERAGE(BY550:BZ550)</f>
        <v>1250</v>
      </c>
      <c r="CA553" s="349">
        <f t="shared" si="1345"/>
        <v>1250</v>
      </c>
      <c r="CB553" s="349">
        <f t="shared" si="1345"/>
        <v>1250</v>
      </c>
      <c r="CC553" s="349">
        <f t="shared" si="1345"/>
        <v>1250</v>
      </c>
      <c r="CD553" s="349">
        <f t="shared" si="1345"/>
        <v>1250</v>
      </c>
      <c r="CE553" s="349">
        <f t="shared" si="1345"/>
        <v>1250</v>
      </c>
      <c r="CF553" s="349">
        <f t="shared" si="1345"/>
        <v>1250</v>
      </c>
      <c r="CG553" s="331"/>
      <c r="CH553" s="331"/>
      <c r="CI553" s="331"/>
      <c r="CJ553" s="331"/>
      <c r="CK553" s="331"/>
      <c r="CL553" s="1118" t="str">
        <f t="shared" si="1335"/>
        <v>Average Positions</v>
      </c>
      <c r="CM553" s="330"/>
      <c r="CN553" s="330"/>
      <c r="CO553" s="330"/>
      <c r="CP553" s="330"/>
      <c r="CQ553" s="330"/>
      <c r="CR553" s="330"/>
      <c r="CS553" s="330"/>
      <c r="CT553" s="330"/>
      <c r="CU553" s="330">
        <f t="shared" si="1336"/>
        <v>0</v>
      </c>
      <c r="CV553" s="330">
        <f t="shared" si="1337"/>
        <v>0</v>
      </c>
      <c r="CW553" s="330">
        <f t="shared" si="1338"/>
        <v>0</v>
      </c>
      <c r="CX553" s="330">
        <f t="shared" si="1339"/>
        <v>1250</v>
      </c>
      <c r="CY553" s="330">
        <f t="shared" si="1340"/>
        <v>1250</v>
      </c>
      <c r="CZ553" s="330">
        <f t="shared" si="1341"/>
        <v>1250</v>
      </c>
      <c r="DA553" s="330">
        <f t="shared" si="1342"/>
        <v>1250</v>
      </c>
      <c r="DB553" s="330">
        <f t="shared" si="1342"/>
        <v>1250</v>
      </c>
      <c r="DC553" s="1888">
        <f t="shared" si="1342"/>
        <v>1250</v>
      </c>
      <c r="DD553" s="331"/>
      <c r="DE553" s="331"/>
      <c r="DF553" s="502"/>
      <c r="DG553" s="503"/>
      <c r="DH553" s="2601"/>
      <c r="DI553" s="3213"/>
      <c r="DJ553" s="502"/>
      <c r="DK553" s="503"/>
      <c r="DL553" s="502"/>
      <c r="DM553" s="502"/>
      <c r="DN553" s="502"/>
      <c r="DO553" s="502"/>
      <c r="DP553" s="503"/>
      <c r="DQ553" s="503"/>
      <c r="DR553" s="296"/>
      <c r="DS553" s="296"/>
      <c r="DT553" s="296"/>
    </row>
    <row r="554" spans="1:130" ht="12" customHeight="1" x14ac:dyDescent="0.25">
      <c r="A554" s="557" t="s">
        <v>901</v>
      </c>
      <c r="B554" s="558"/>
      <c r="C554" s="318"/>
      <c r="D554" s="318"/>
      <c r="E554" s="318"/>
      <c r="F554" s="318"/>
      <c r="G554" s="559"/>
      <c r="H554" s="318"/>
      <c r="I554" s="318"/>
      <c r="J554" s="318"/>
      <c r="K554" s="318"/>
      <c r="L554" s="559"/>
      <c r="M554" s="318"/>
      <c r="N554" s="318"/>
      <c r="O554" s="318"/>
      <c r="P554" s="318"/>
      <c r="Q554" s="559"/>
      <c r="R554" s="318"/>
      <c r="S554" s="318"/>
      <c r="T554" s="318"/>
      <c r="U554" s="318"/>
      <c r="V554" s="559"/>
      <c r="W554" s="318"/>
      <c r="X554" s="318"/>
      <c r="Y554" s="318"/>
      <c r="Z554" s="318"/>
      <c r="AA554" s="559"/>
      <c r="AB554" s="318"/>
      <c r="AC554" s="318"/>
      <c r="AD554" s="318"/>
      <c r="AE554" s="560"/>
      <c r="AF554" s="561"/>
      <c r="AG554" s="318"/>
      <c r="AH554" s="318"/>
      <c r="AI554" s="318"/>
      <c r="AJ554" s="560"/>
      <c r="AK554" s="561"/>
      <c r="AL554" s="318"/>
      <c r="AM554" s="318"/>
      <c r="AN554" s="318"/>
      <c r="AO554" s="560"/>
      <c r="AP554" s="562"/>
      <c r="AQ554" s="562"/>
      <c r="AR554" s="1766"/>
      <c r="AS554" s="1766"/>
      <c r="AT554" s="1766"/>
      <c r="AU554" s="1688"/>
      <c r="AV554" s="1766"/>
      <c r="AW554" s="1308"/>
      <c r="AX554" s="1308"/>
      <c r="AY554" s="1309"/>
      <c r="AZ554" s="1688"/>
      <c r="BA554" s="562"/>
      <c r="BB554" s="560"/>
      <c r="BC554" s="1308"/>
      <c r="BD554" s="1309"/>
      <c r="BE554" s="2450"/>
      <c r="BF554" s="1308"/>
      <c r="BG554" s="2588">
        <f>+(BG557*1000000)/BG553/7</f>
        <v>703.38587199999995</v>
      </c>
      <c r="BH554" s="2588">
        <f>+(BH557*1000000)/BH553/BH5</f>
        <v>400.07819339130435</v>
      </c>
      <c r="BI554" s="2556">
        <f>+(BI557*1000000)/BI553/BI5</f>
        <v>313.77025660869566</v>
      </c>
      <c r="BJ554" s="2556">
        <f>(BJ557*1000000)/BJ550/(BH5+BI5+7)</f>
        <v>369.62177227225123</v>
      </c>
      <c r="BK554" s="2588">
        <f>+(BK557*1000000)/BK553/BK5</f>
        <v>340.19385793406593</v>
      </c>
      <c r="BL554" s="2588">
        <f>+(BL557*1000000)/BL553/BL5</f>
        <v>343.90626382417577</v>
      </c>
      <c r="BM554" s="2588">
        <f>+(BM557*1000000)/BM553/BM5</f>
        <v>346.0718906086957</v>
      </c>
      <c r="BN554" s="2556">
        <f>+(BN557*1000000)/BN553/BN5</f>
        <v>325.21739130434781</v>
      </c>
      <c r="BO554" s="2556">
        <f>(BO557*1000000)/BO550/(BO5)</f>
        <v>338.82984977049176</v>
      </c>
      <c r="BP554" s="2588">
        <f>+(BP557*1000000)/BP553/BP5</f>
        <v>341.24086417777778</v>
      </c>
      <c r="BQ554" s="2588">
        <f>+(BQ557*1000000)/BQ553/BQ5</f>
        <v>374.97014347252758</v>
      </c>
      <c r="BR554" s="2588">
        <f>+(BR557*1000000)/BR553/BR5</f>
        <v>387.46073791304343</v>
      </c>
      <c r="BS554" s="2588">
        <f>+(BS557*1000000)/BS553/BS5</f>
        <v>340.74603539130436</v>
      </c>
      <c r="BT554" s="2589">
        <f>(BT557*1000000)/BT550/(BT5)</f>
        <v>361.17529856438364</v>
      </c>
      <c r="BU554" s="2588">
        <f>+(BU557*1000000)/BU553/BU5</f>
        <v>375.08358782222228</v>
      </c>
      <c r="BV554" s="1308">
        <f>+BQ554*1.03</f>
        <v>386.21924777670341</v>
      </c>
      <c r="BW554" s="1308">
        <f>+BR554*1.03</f>
        <v>399.08456005043473</v>
      </c>
      <c r="BX554" s="1308">
        <f>+BS554*1.03</f>
        <v>350.96841645304352</v>
      </c>
      <c r="BY554" s="2589">
        <f>(BY557*1000000)/BY550/(BY5)</f>
        <v>377.83109120547954</v>
      </c>
      <c r="BZ554" s="3318">
        <f>(BY554*1.02*0.5)+(225*0.5)</f>
        <v>305.19385651479456</v>
      </c>
      <c r="CA554" s="3319">
        <v>225</v>
      </c>
      <c r="CB554" s="2589">
        <f>+CA554*(1+CB555)</f>
        <v>218.25</v>
      </c>
      <c r="CC554" s="2589">
        <f>+CB554*(1+CC555)</f>
        <v>211.70249999999999</v>
      </c>
      <c r="CD554" s="2589">
        <f>+CC554*(1+CD555)</f>
        <v>213.819525</v>
      </c>
      <c r="CE554" s="2589">
        <f>+CD554*(1+CE555)</f>
        <v>215.95772024999999</v>
      </c>
      <c r="CF554" s="2589">
        <f>+CE554*(1+CF555)</f>
        <v>218.1172974525</v>
      </c>
      <c r="CG554" s="560"/>
      <c r="CH554" s="560"/>
      <c r="CI554" s="560"/>
      <c r="CJ554" s="560"/>
      <c r="CK554" s="560"/>
      <c r="CL554" s="1307" t="str">
        <f t="shared" si="1335"/>
        <v>Daily Win / Position</v>
      </c>
      <c r="CM554" s="560"/>
      <c r="CN554" s="560"/>
      <c r="CO554" s="560"/>
      <c r="CP554" s="560"/>
      <c r="CQ554" s="560"/>
      <c r="CR554" s="560"/>
      <c r="CS554" s="560"/>
      <c r="CT554" s="560"/>
      <c r="CU554" s="560">
        <f t="shared" si="1336"/>
        <v>0</v>
      </c>
      <c r="CV554" s="560">
        <f t="shared" si="1337"/>
        <v>0</v>
      </c>
      <c r="CW554" s="560">
        <f t="shared" si="1338"/>
        <v>0</v>
      </c>
      <c r="CX554" s="560">
        <f t="shared" si="1339"/>
        <v>369.62177227225123</v>
      </c>
      <c r="CY554" s="560">
        <f t="shared" si="1340"/>
        <v>338.82984977049176</v>
      </c>
      <c r="CZ554" s="560">
        <f t="shared" si="1341"/>
        <v>361.17529856438364</v>
      </c>
      <c r="DA554" s="560">
        <f t="shared" si="1342"/>
        <v>377.83109120547954</v>
      </c>
      <c r="DB554" s="560">
        <f t="shared" si="1342"/>
        <v>305.19385651479456</v>
      </c>
      <c r="DC554" s="1878">
        <f t="shared" si="1342"/>
        <v>225</v>
      </c>
      <c r="DD554" s="560"/>
      <c r="DE554" s="560"/>
      <c r="DF554" s="707"/>
      <c r="DG554" s="707"/>
      <c r="DH554" s="2588"/>
      <c r="DI554" s="3213"/>
      <c r="DJ554" s="707"/>
      <c r="DK554" s="707"/>
      <c r="DL554" s="707"/>
      <c r="DM554" s="707"/>
      <c r="DN554" s="707"/>
      <c r="DO554" s="707"/>
      <c r="DP554" s="707"/>
      <c r="DQ554" s="707"/>
      <c r="DR554" s="968"/>
      <c r="DS554" s="968"/>
      <c r="DT554" s="968"/>
    </row>
    <row r="555" spans="1:130" ht="12" customHeight="1" x14ac:dyDescent="0.25">
      <c r="A555" s="465" t="s">
        <v>1491</v>
      </c>
      <c r="B555" s="281"/>
      <c r="C555" s="472"/>
      <c r="D555" s="472"/>
      <c r="E555" s="472"/>
      <c r="F555" s="472"/>
      <c r="G555" s="491"/>
      <c r="H555" s="472"/>
      <c r="I555" s="472"/>
      <c r="J555" s="472"/>
      <c r="K555" s="472"/>
      <c r="L555" s="491"/>
      <c r="M555" s="472"/>
      <c r="N555" s="472"/>
      <c r="O555" s="472"/>
      <c r="P555" s="472"/>
      <c r="Q555" s="491"/>
      <c r="R555" s="472"/>
      <c r="S555" s="472"/>
      <c r="T555" s="472"/>
      <c r="U555" s="472"/>
      <c r="V555" s="491"/>
      <c r="W555" s="472"/>
      <c r="X555" s="472"/>
      <c r="Y555" s="472"/>
      <c r="Z555" s="472"/>
      <c r="AA555" s="491"/>
      <c r="AB555" s="472"/>
      <c r="AC555" s="472"/>
      <c r="AD555" s="472"/>
      <c r="AE555" s="492"/>
      <c r="AF555" s="493"/>
      <c r="AG555" s="472"/>
      <c r="AH555" s="472"/>
      <c r="AI555" s="472"/>
      <c r="AJ555" s="492"/>
      <c r="AK555" s="493"/>
      <c r="AL555" s="472"/>
      <c r="AM555" s="472"/>
      <c r="AN555" s="472"/>
      <c r="AO555" s="492"/>
      <c r="AP555" s="494"/>
      <c r="AQ555" s="494"/>
      <c r="AR555" s="492"/>
      <c r="AS555" s="492"/>
      <c r="AT555" s="492"/>
      <c r="AU555" s="493"/>
      <c r="AV555" s="1618"/>
      <c r="AW555" s="519"/>
      <c r="AX555" s="519"/>
      <c r="AY555" s="1462"/>
      <c r="AZ555" s="591"/>
      <c r="BA555" s="1681"/>
      <c r="BB555" s="1245"/>
      <c r="BC555" s="1245"/>
      <c r="BD555" s="1775"/>
      <c r="BE555" s="1462"/>
      <c r="BF555" s="1245"/>
      <c r="BG555" s="1245"/>
      <c r="BH555" s="1245"/>
      <c r="BI555" s="3116"/>
      <c r="BJ555" s="1462"/>
      <c r="BK555" s="1245"/>
      <c r="BL555" s="519">
        <f>+BL554/BG554-1</f>
        <v>-0.5110702709363264</v>
      </c>
      <c r="BM555" s="519">
        <f>+BM554/BH554-1</f>
        <v>-0.13498936876518719</v>
      </c>
      <c r="BN555" s="1462">
        <f>+BN554/BI554-1</f>
        <v>3.6482536042056868E-2</v>
      </c>
      <c r="BO555" s="1462">
        <f t="shared" ref="BO555:BU555" si="1346">+BO554/BJ554-1</f>
        <v>-8.330657123487617E-2</v>
      </c>
      <c r="BP555" s="519">
        <f t="shared" si="1346"/>
        <v>3.0776753292083292E-3</v>
      </c>
      <c r="BQ555" s="519">
        <f t="shared" si="1346"/>
        <v>9.0326588713235623E-2</v>
      </c>
      <c r="BR555" s="519">
        <f t="shared" si="1346"/>
        <v>0.11959609672877525</v>
      </c>
      <c r="BS555" s="519">
        <f t="shared" si="1346"/>
        <v>4.7748504545454651E-2</v>
      </c>
      <c r="BT555" s="591">
        <f t="shared" si="1346"/>
        <v>6.5948879087918799E-2</v>
      </c>
      <c r="BU555" s="519">
        <f t="shared" si="1346"/>
        <v>9.9175471630541079E-2</v>
      </c>
      <c r="BV555" s="519">
        <f>+BV554/BQ554-1</f>
        <v>3.0000000000000027E-2</v>
      </c>
      <c r="BW555" s="519">
        <f>+BW554/BR554-1</f>
        <v>3.0000000000000027E-2</v>
      </c>
      <c r="BX555" s="519">
        <f>+BX554/BS554-1</f>
        <v>3.0000000000000027E-2</v>
      </c>
      <c r="BY555" s="591">
        <f>+BY554/BT554-1</f>
        <v>4.6115536437015825E-2</v>
      </c>
      <c r="BZ555" s="591">
        <f>+BZ554/BY554-1</f>
        <v>-0.19224790225424293</v>
      </c>
      <c r="CA555" s="591">
        <f>+CA554/BZ554-1</f>
        <v>-0.26276366579124466</v>
      </c>
      <c r="CB555" s="578">
        <v>-0.03</v>
      </c>
      <c r="CC555" s="578">
        <v>-0.03</v>
      </c>
      <c r="CD555" s="578">
        <v>0.01</v>
      </c>
      <c r="CE555" s="578">
        <v>0.01</v>
      </c>
      <c r="CF555" s="578">
        <v>0.01</v>
      </c>
      <c r="CG555" s="331"/>
      <c r="CH555" s="331"/>
      <c r="CI555" s="331"/>
      <c r="CJ555" s="331"/>
      <c r="CK555" s="331"/>
      <c r="CL555" s="1310" t="str">
        <f t="shared" si="1335"/>
        <v>% growth (y-o-y)</v>
      </c>
      <c r="CM555" s="492"/>
      <c r="CN555" s="492"/>
      <c r="CO555" s="492"/>
      <c r="CP555" s="492"/>
      <c r="CQ555" s="492"/>
      <c r="CR555" s="492"/>
      <c r="CS555" s="492"/>
      <c r="CT555" s="492"/>
      <c r="CU555" s="492"/>
      <c r="CV555" s="492">
        <f t="shared" si="1337"/>
        <v>0</v>
      </c>
      <c r="CW555" s="492">
        <f t="shared" si="1338"/>
        <v>0</v>
      </c>
      <c r="CX555" s="492">
        <f t="shared" si="1339"/>
        <v>0</v>
      </c>
      <c r="CY555" s="492">
        <f t="shared" si="1340"/>
        <v>-8.330657123487617E-2</v>
      </c>
      <c r="CZ555" s="492">
        <f t="shared" si="1341"/>
        <v>6.5948879087918799E-2</v>
      </c>
      <c r="DA555" s="492">
        <f t="shared" si="1342"/>
        <v>4.6115536437015825E-2</v>
      </c>
      <c r="DB555" s="492">
        <f t="shared" si="1342"/>
        <v>-0.19224790225424293</v>
      </c>
      <c r="DC555" s="1311">
        <f t="shared" si="1342"/>
        <v>-0.26276366579124466</v>
      </c>
      <c r="DD555" s="331"/>
      <c r="DE555" s="331"/>
      <c r="DF555" s="502"/>
      <c r="DG555" s="503"/>
      <c r="DH555" s="519"/>
      <c r="DI555" s="3213"/>
      <c r="DJ555" s="502"/>
      <c r="DK555" s="503"/>
      <c r="DL555" s="502"/>
      <c r="DM555" s="502"/>
      <c r="DN555" s="502"/>
      <c r="DO555" s="502"/>
      <c r="DP555" s="503"/>
      <c r="DQ555" s="503"/>
      <c r="DR555" s="296"/>
      <c r="DS555" s="296"/>
      <c r="DT555" s="296"/>
    </row>
    <row r="556" spans="1:130" ht="5.0999999999999996" customHeight="1" x14ac:dyDescent="0.25">
      <c r="A556" s="281"/>
      <c r="B556" s="281"/>
      <c r="C556" s="305"/>
      <c r="D556" s="305"/>
      <c r="E556" s="305"/>
      <c r="F556" s="305"/>
      <c r="G556" s="440"/>
      <c r="H556" s="305"/>
      <c r="I556" s="305"/>
      <c r="J556" s="305"/>
      <c r="K556" s="305"/>
      <c r="L556" s="440"/>
      <c r="M556" s="305"/>
      <c r="N556" s="305"/>
      <c r="O556" s="305"/>
      <c r="P556" s="305"/>
      <c r="Q556" s="440"/>
      <c r="R556" s="305"/>
      <c r="S556" s="305"/>
      <c r="T556" s="305"/>
      <c r="U556" s="305"/>
      <c r="V556" s="440"/>
      <c r="W556" s="305"/>
      <c r="X556" s="305"/>
      <c r="Y556" s="305"/>
      <c r="Z556" s="305"/>
      <c r="AA556" s="440"/>
      <c r="AB556" s="305"/>
      <c r="AC556" s="305"/>
      <c r="AD556" s="305"/>
      <c r="AE556" s="331"/>
      <c r="AF556" s="441"/>
      <c r="AG556" s="305"/>
      <c r="AH556" s="305"/>
      <c r="AI556" s="305"/>
      <c r="AJ556" s="331"/>
      <c r="AK556" s="441"/>
      <c r="AL556" s="305"/>
      <c r="AM556" s="305"/>
      <c r="AN556" s="305"/>
      <c r="AO556" s="331"/>
      <c r="AP556" s="569"/>
      <c r="AQ556" s="569"/>
      <c r="AR556" s="442"/>
      <c r="AS556" s="442"/>
      <c r="AT556" s="442"/>
      <c r="AU556" s="441"/>
      <c r="AV556" s="569"/>
      <c r="AW556" s="442"/>
      <c r="AX556" s="442"/>
      <c r="AY556" s="1312"/>
      <c r="AZ556" s="441"/>
      <c r="BA556" s="569"/>
      <c r="BB556" s="442"/>
      <c r="BC556" s="442"/>
      <c r="BD556" s="1312"/>
      <c r="BE556" s="1312"/>
      <c r="BF556" s="442"/>
      <c r="BG556" s="442"/>
      <c r="BH556" s="442"/>
      <c r="BI556" s="1312"/>
      <c r="BJ556" s="1312"/>
      <c r="BK556" s="442"/>
      <c r="BL556" s="442"/>
      <c r="BM556" s="442"/>
      <c r="BN556" s="1312"/>
      <c r="BO556" s="1312"/>
      <c r="BP556" s="442"/>
      <c r="BQ556" s="442"/>
      <c r="BR556" s="442"/>
      <c r="BS556" s="442"/>
      <c r="BT556" s="3236"/>
      <c r="BU556" s="3298"/>
      <c r="BV556" s="3298"/>
      <c r="BW556" s="3298"/>
      <c r="BX556" s="3298"/>
      <c r="BY556" s="3236"/>
      <c r="BZ556" s="441"/>
      <c r="CA556" s="441"/>
      <c r="CB556" s="441"/>
      <c r="CC556" s="441"/>
      <c r="CD556" s="441"/>
      <c r="CE556" s="441"/>
      <c r="CF556" s="441"/>
      <c r="CG556" s="331"/>
      <c r="CH556" s="331"/>
      <c r="CI556" s="331"/>
      <c r="CJ556" s="331"/>
      <c r="CK556" s="331"/>
      <c r="CL556" s="520"/>
      <c r="CM556" s="442"/>
      <c r="CN556" s="442"/>
      <c r="CO556" s="442"/>
      <c r="CP556" s="442"/>
      <c r="CQ556" s="442"/>
      <c r="CR556" s="442"/>
      <c r="CS556" s="442"/>
      <c r="CT556" s="442"/>
      <c r="CU556" s="442"/>
      <c r="CV556" s="442"/>
      <c r="CW556" s="442"/>
      <c r="CX556" s="442"/>
      <c r="CY556" s="442"/>
      <c r="CZ556" s="442"/>
      <c r="DA556" s="442"/>
      <c r="DB556" s="442"/>
      <c r="DC556" s="1312"/>
      <c r="DD556" s="331"/>
      <c r="DE556" s="331"/>
      <c r="DF556" s="502"/>
      <c r="DG556" s="503"/>
      <c r="DH556" s="3298"/>
      <c r="DI556" s="3213"/>
      <c r="DJ556" s="502"/>
      <c r="DK556" s="503"/>
      <c r="DL556" s="502"/>
      <c r="DM556" s="502"/>
      <c r="DN556" s="502"/>
      <c r="DO556" s="502"/>
      <c r="DP556" s="503"/>
      <c r="DQ556" s="503"/>
      <c r="DR556" s="296"/>
      <c r="DS556" s="296"/>
      <c r="DT556" s="296"/>
    </row>
    <row r="557" spans="1:130" ht="12" customHeight="1" x14ac:dyDescent="0.25">
      <c r="A557" s="2575" t="s">
        <v>1280</v>
      </c>
      <c r="B557" s="281"/>
      <c r="C557" s="570"/>
      <c r="D557" s="570"/>
      <c r="E557" s="570"/>
      <c r="F557" s="452"/>
      <c r="G557" s="571"/>
      <c r="H557" s="570"/>
      <c r="I557" s="570"/>
      <c r="J557" s="570"/>
      <c r="K557" s="452"/>
      <c r="L557" s="571"/>
      <c r="M557" s="570"/>
      <c r="N557" s="570"/>
      <c r="O557" s="570"/>
      <c r="P557" s="452"/>
      <c r="Q557" s="571"/>
      <c r="R557" s="570"/>
      <c r="S557" s="570"/>
      <c r="T557" s="570"/>
      <c r="U557" s="452"/>
      <c r="V557" s="571"/>
      <c r="W557" s="570"/>
      <c r="X557" s="570"/>
      <c r="Y557" s="570"/>
      <c r="Z557" s="452"/>
      <c r="AA557" s="571"/>
      <c r="AB557" s="570"/>
      <c r="AC557" s="570"/>
      <c r="AD557" s="570"/>
      <c r="AE557" s="476"/>
      <c r="AF557" s="573"/>
      <c r="AG557" s="570"/>
      <c r="AH557" s="570"/>
      <c r="AI557" s="570"/>
      <c r="AJ557" s="476"/>
      <c r="AK557" s="573"/>
      <c r="AL557" s="570"/>
      <c r="AM557" s="570"/>
      <c r="AN557" s="570"/>
      <c r="AO557" s="476"/>
      <c r="AP557" s="592"/>
      <c r="AQ557" s="592"/>
      <c r="AR557" s="572"/>
      <c r="AS557" s="572"/>
      <c r="AT557" s="572"/>
      <c r="AU557" s="1464"/>
      <c r="AV557" s="592"/>
      <c r="AW557" s="1771"/>
      <c r="AX557" s="1771"/>
      <c r="AY557" s="1866"/>
      <c r="AZ557" s="477"/>
      <c r="BA557" s="478"/>
      <c r="BB557" s="476"/>
      <c r="BC557" s="476"/>
      <c r="BD557" s="682"/>
      <c r="BE557" s="682"/>
      <c r="BF557" s="476"/>
      <c r="BG557" s="2941">
        <v>6.1546263799999998</v>
      </c>
      <c r="BH557" s="2941">
        <v>46.008992239999998</v>
      </c>
      <c r="BI557" s="2941">
        <v>36.08357951</v>
      </c>
      <c r="BJ557" s="477">
        <f>+SUM(BF557:BI557)</f>
        <v>88.247198129999987</v>
      </c>
      <c r="BK557" s="2941">
        <v>38.697051340000002</v>
      </c>
      <c r="BL557" s="2941">
        <v>39.119337509999994</v>
      </c>
      <c r="BM557" s="2941">
        <v>39.798267420000002</v>
      </c>
      <c r="BN557" s="2941">
        <v>37.4</v>
      </c>
      <c r="BO557" s="477">
        <f>+SUM(BK557:BN557)</f>
        <v>155.01465626999999</v>
      </c>
      <c r="BP557" s="2941">
        <v>38.389597219999999</v>
      </c>
      <c r="BQ557" s="2941">
        <v>42.652853820000004</v>
      </c>
      <c r="BR557" s="2941">
        <v>44.557984859999998</v>
      </c>
      <c r="BS557" s="2941">
        <v>39.18579407</v>
      </c>
      <c r="BT557" s="2604">
        <f>+SUM(BP557:BS557)</f>
        <v>164.78622997000002</v>
      </c>
      <c r="BU557" s="2941">
        <v>42.196903630000001</v>
      </c>
      <c r="BV557" s="2577">
        <f>+BV554*BV553*(BV$5)/1000000</f>
        <v>43.932439434600013</v>
      </c>
      <c r="BW557" s="2577">
        <f>+BW554*BW553*(BW$5)/1000000</f>
        <v>45.894724405799991</v>
      </c>
      <c r="BX557" s="2577">
        <f>+BX554*BX553*(BX$5)/1000000</f>
        <v>40.361367892100006</v>
      </c>
      <c r="BY557" s="2604">
        <f>+SUM(BU557:BX557)</f>
        <v>172.3854353625</v>
      </c>
      <c r="BZ557" s="477">
        <f t="shared" ref="BZ557:CF557" si="1347">+(BZ554*BZ553*BZ5)/1000000</f>
        <v>139.24469703487503</v>
      </c>
      <c r="CA557" s="477">
        <f t="shared" si="1347"/>
        <v>102.9375</v>
      </c>
      <c r="CB557" s="477">
        <f t="shared" si="1347"/>
        <v>99.576562499999994</v>
      </c>
      <c r="CC557" s="477">
        <f t="shared" si="1347"/>
        <v>96.589265624999996</v>
      </c>
      <c r="CD557" s="477">
        <f t="shared" si="1347"/>
        <v>97.555158281250002</v>
      </c>
      <c r="CE557" s="477">
        <f t="shared" si="1347"/>
        <v>98.800657014375005</v>
      </c>
      <c r="CF557" s="477">
        <f t="shared" si="1347"/>
        <v>99.516016962703119</v>
      </c>
      <c r="CG557" s="331"/>
      <c r="CH557" s="331"/>
      <c r="CI557" s="331"/>
      <c r="CJ557" s="331"/>
      <c r="CK557" s="331"/>
      <c r="CL557" s="520" t="str">
        <f>A557</f>
        <v>Gross casino revenue</v>
      </c>
      <c r="CM557" s="476"/>
      <c r="CN557" s="476"/>
      <c r="CO557" s="476"/>
      <c r="CP557" s="476"/>
      <c r="CQ557" s="476"/>
      <c r="CR557" s="476"/>
      <c r="CS557" s="476"/>
      <c r="CT557" s="476"/>
      <c r="CU557" s="476">
        <f>AU557</f>
        <v>0</v>
      </c>
      <c r="CV557" s="476">
        <f>AZ557</f>
        <v>0</v>
      </c>
      <c r="CW557" s="476">
        <f>BE557</f>
        <v>0</v>
      </c>
      <c r="CX557" s="476">
        <f>BJ557</f>
        <v>88.247198129999987</v>
      </c>
      <c r="CY557" s="476">
        <f>BO557</f>
        <v>155.01465626999999</v>
      </c>
      <c r="CZ557" s="476">
        <f>BT557</f>
        <v>164.78622997000002</v>
      </c>
      <c r="DA557" s="476">
        <f t="shared" ref="DA557:DC558" si="1348">BY557</f>
        <v>172.3854353625</v>
      </c>
      <c r="DB557" s="476">
        <f t="shared" si="1348"/>
        <v>139.24469703487503</v>
      </c>
      <c r="DC557" s="682">
        <f t="shared" si="1348"/>
        <v>102.9375</v>
      </c>
      <c r="DD557" s="331"/>
      <c r="DE557" s="331"/>
      <c r="DF557" s="502"/>
      <c r="DG557" s="503"/>
      <c r="DH557" s="2577"/>
      <c r="DI557" s="3213"/>
      <c r="DJ557" s="502"/>
      <c r="DK557" s="503"/>
      <c r="DL557" s="502"/>
      <c r="DM557" s="502"/>
      <c r="DN557" s="502"/>
      <c r="DO557" s="502"/>
      <c r="DP557" s="503"/>
      <c r="DQ557" s="503"/>
      <c r="DR557" s="296"/>
      <c r="DS557" s="296"/>
      <c r="DT557" s="296"/>
    </row>
    <row r="558" spans="1:130" ht="12" customHeight="1" x14ac:dyDescent="0.25">
      <c r="A558" s="465" t="s">
        <v>1491</v>
      </c>
      <c r="B558" s="281"/>
      <c r="C558" s="472"/>
      <c r="D558" s="472"/>
      <c r="E558" s="472"/>
      <c r="F558" s="472"/>
      <c r="G558" s="491"/>
      <c r="H558" s="472"/>
      <c r="I558" s="472"/>
      <c r="J558" s="472"/>
      <c r="K558" s="472"/>
      <c r="L558" s="491"/>
      <c r="M558" s="472"/>
      <c r="N558" s="472"/>
      <c r="O558" s="472"/>
      <c r="P558" s="472"/>
      <c r="Q558" s="491"/>
      <c r="R558" s="472"/>
      <c r="S558" s="472"/>
      <c r="T558" s="472"/>
      <c r="U558" s="472"/>
      <c r="V558" s="491"/>
      <c r="W558" s="472"/>
      <c r="X558" s="472"/>
      <c r="Y558" s="472"/>
      <c r="Z558" s="472"/>
      <c r="AA558" s="491"/>
      <c r="AB558" s="472"/>
      <c r="AC558" s="472"/>
      <c r="AD558" s="472"/>
      <c r="AE558" s="492"/>
      <c r="AF558" s="493"/>
      <c r="AG558" s="472"/>
      <c r="AH558" s="472"/>
      <c r="AI558" s="472"/>
      <c r="AJ558" s="492"/>
      <c r="AK558" s="493"/>
      <c r="AL558" s="472"/>
      <c r="AM558" s="472"/>
      <c r="AN558" s="472"/>
      <c r="AO558" s="492"/>
      <c r="AP558" s="494"/>
      <c r="AQ558" s="494"/>
      <c r="AR558" s="492"/>
      <c r="AS558" s="492"/>
      <c r="AT558" s="492"/>
      <c r="AU558" s="493"/>
      <c r="AV558" s="494"/>
      <c r="AW558" s="492"/>
      <c r="AX558" s="492"/>
      <c r="AY558" s="1311"/>
      <c r="AZ558" s="470"/>
      <c r="BA558" s="471"/>
      <c r="BB558" s="469"/>
      <c r="BC558" s="469"/>
      <c r="BD558" s="1463"/>
      <c r="BE558" s="1868"/>
      <c r="BF558" s="469"/>
      <c r="BG558" s="469"/>
      <c r="BH558" s="469"/>
      <c r="BI558" s="1463"/>
      <c r="BJ558" s="1868"/>
      <c r="BK558" s="469"/>
      <c r="BL558" s="469">
        <f t="shared" ref="BL558:BT558" si="1349">+BL557/BG557-1</f>
        <v>5.3560864778277564</v>
      </c>
      <c r="BM558" s="469">
        <f t="shared" si="1349"/>
        <v>-0.13498936876518719</v>
      </c>
      <c r="BN558" s="1463">
        <f t="shared" si="1349"/>
        <v>3.6482536042056868E-2</v>
      </c>
      <c r="BO558" s="1868">
        <f t="shared" si="1349"/>
        <v>0.75659578496353563</v>
      </c>
      <c r="BP558" s="469">
        <f t="shared" si="1349"/>
        <v>-7.9451562678161114E-3</v>
      </c>
      <c r="BQ558" s="469">
        <f t="shared" si="1349"/>
        <v>9.0326588713235401E-2</v>
      </c>
      <c r="BR558" s="469">
        <f t="shared" si="1349"/>
        <v>0.11959609672877547</v>
      </c>
      <c r="BS558" s="469">
        <f t="shared" si="1349"/>
        <v>4.7748504545454651E-2</v>
      </c>
      <c r="BT558" s="470">
        <f t="shared" si="1349"/>
        <v>6.3036450456531057E-2</v>
      </c>
      <c r="BU558" s="469">
        <f>+BU557/BP557-1</f>
        <v>9.9175471630540857E-2</v>
      </c>
      <c r="BV558" s="469">
        <f>+BV557/BQ557-1</f>
        <v>3.0000000000000249E-2</v>
      </c>
      <c r="BW558" s="469">
        <f>+BW557/BR557-1</f>
        <v>2.9999999999999805E-2</v>
      </c>
      <c r="BX558" s="469">
        <f>+BX557/BS557-1</f>
        <v>3.0000000000000249E-2</v>
      </c>
      <c r="BY558" s="470">
        <f>+BY557/BT557-1</f>
        <v>4.6115536437015603E-2</v>
      </c>
      <c r="BZ558" s="1689">
        <f t="shared" ref="BZ558:CF558" si="1350">+BZ557/BY557-1</f>
        <v>-0.19224790225424271</v>
      </c>
      <c r="CA558" s="1689">
        <f t="shared" si="1350"/>
        <v>-0.26074384021807007</v>
      </c>
      <c r="CB558" s="1689">
        <f t="shared" si="1350"/>
        <v>-3.2650273224043791E-2</v>
      </c>
      <c r="CC558" s="1689">
        <f t="shared" si="1350"/>
        <v>-3.0000000000000027E-2</v>
      </c>
      <c r="CD558" s="1689">
        <f t="shared" si="1350"/>
        <v>1.0000000000000009E-2</v>
      </c>
      <c r="CE558" s="1689">
        <f t="shared" si="1350"/>
        <v>1.2767123287671378E-2</v>
      </c>
      <c r="CF558" s="1689">
        <f t="shared" si="1350"/>
        <v>7.2404371584697813E-3</v>
      </c>
      <c r="CG558" s="331"/>
      <c r="CH558" s="331"/>
      <c r="CI558" s="331"/>
      <c r="CJ558" s="331"/>
      <c r="CK558" s="331"/>
      <c r="CL558" s="1310" t="str">
        <f>A558</f>
        <v>% growth (y-o-y)</v>
      </c>
      <c r="CM558" s="492"/>
      <c r="CN558" s="492"/>
      <c r="CO558" s="492"/>
      <c r="CP558" s="492"/>
      <c r="CQ558" s="492"/>
      <c r="CR558" s="492"/>
      <c r="CS558" s="492"/>
      <c r="CT558" s="492"/>
      <c r="CU558" s="492"/>
      <c r="CV558" s="492">
        <f>AZ558</f>
        <v>0</v>
      </c>
      <c r="CW558" s="492">
        <f>BE558</f>
        <v>0</v>
      </c>
      <c r="CX558" s="492">
        <f>BJ558</f>
        <v>0</v>
      </c>
      <c r="CY558" s="492">
        <f>BO558</f>
        <v>0.75659578496353563</v>
      </c>
      <c r="CZ558" s="492">
        <f>BT558</f>
        <v>6.3036450456531057E-2</v>
      </c>
      <c r="DA558" s="492">
        <f t="shared" si="1348"/>
        <v>4.6115536437015603E-2</v>
      </c>
      <c r="DB558" s="492">
        <f t="shared" si="1348"/>
        <v>-0.19224790225424271</v>
      </c>
      <c r="DC558" s="1311">
        <f t="shared" si="1348"/>
        <v>-0.26074384021807007</v>
      </c>
      <c r="DD558" s="331"/>
      <c r="DE558" s="331"/>
      <c r="DF558" s="502"/>
      <c r="DG558" s="503"/>
      <c r="DH558" s="469"/>
      <c r="DI558" s="3213"/>
      <c r="DJ558" s="502"/>
      <c r="DK558" s="503"/>
      <c r="DL558" s="502"/>
      <c r="DM558" s="502"/>
      <c r="DN558" s="502"/>
      <c r="DO558" s="502"/>
      <c r="DP558" s="503"/>
      <c r="DQ558" s="503"/>
      <c r="DR558" s="296"/>
      <c r="DS558" s="296"/>
      <c r="DT558" s="296"/>
    </row>
    <row r="559" spans="1:130" ht="12" customHeight="1" x14ac:dyDescent="0.25">
      <c r="A559" s="2575" t="s">
        <v>213</v>
      </c>
      <c r="B559" s="281"/>
      <c r="C559" s="472"/>
      <c r="D559" s="472"/>
      <c r="E559" s="472"/>
      <c r="F559" s="472"/>
      <c r="G559" s="491"/>
      <c r="H559" s="472"/>
      <c r="I559" s="472"/>
      <c r="J559" s="472"/>
      <c r="K559" s="472"/>
      <c r="L559" s="491"/>
      <c r="M559" s="472"/>
      <c r="N559" s="472"/>
      <c r="O559" s="472"/>
      <c r="P559" s="472"/>
      <c r="Q559" s="491"/>
      <c r="R559" s="472"/>
      <c r="S559" s="472"/>
      <c r="T559" s="472"/>
      <c r="U559" s="472"/>
      <c r="V559" s="491"/>
      <c r="W559" s="472"/>
      <c r="X559" s="472"/>
      <c r="Y559" s="472"/>
      <c r="Z559" s="472"/>
      <c r="AA559" s="491"/>
      <c r="AB559" s="472"/>
      <c r="AC559" s="472"/>
      <c r="AD559" s="472"/>
      <c r="AE559" s="492"/>
      <c r="AF559" s="493"/>
      <c r="AG559" s="472"/>
      <c r="AH559" s="472"/>
      <c r="AI559" s="472"/>
      <c r="AJ559" s="492"/>
      <c r="AK559" s="493"/>
      <c r="AL559" s="472"/>
      <c r="AM559" s="472"/>
      <c r="AN559" s="472"/>
      <c r="AO559" s="492"/>
      <c r="AP559" s="494"/>
      <c r="AQ559" s="494"/>
      <c r="AR559" s="492"/>
      <c r="AS559" s="492"/>
      <c r="AT559" s="492"/>
      <c r="AU559" s="493"/>
      <c r="AV559" s="494"/>
      <c r="AW559" s="492"/>
      <c r="AX559" s="492"/>
      <c r="AY559" s="1311"/>
      <c r="AZ559" s="470"/>
      <c r="BA559" s="471"/>
      <c r="BB559" s="469"/>
      <c r="BC559" s="469"/>
      <c r="BD559" s="1463"/>
      <c r="BE559" s="1868"/>
      <c r="BF559" s="2577"/>
      <c r="BG559" s="2941">
        <v>-1.2792000000000001E-3</v>
      </c>
      <c r="BH559" s="2941">
        <v>-2.12809895</v>
      </c>
      <c r="BI559" s="2944">
        <v>-3.6654533800000002</v>
      </c>
      <c r="BJ559" s="1866">
        <f>+SUM(BF559:BI559)</f>
        <v>-5.7948315299999997</v>
      </c>
      <c r="BK559" s="2577">
        <f>+-BK557*BK560</f>
        <v>-3.4827346206000001</v>
      </c>
      <c r="BL559" s="2577">
        <f>+-BL557*BL560</f>
        <v>-3.1295470007999997</v>
      </c>
      <c r="BM559" s="2577">
        <f>+-BM557*BM560</f>
        <v>-2.7858787194000003</v>
      </c>
      <c r="BN559" s="2911">
        <f>+-BN557*BN560</f>
        <v>-2.8049999999999997</v>
      </c>
      <c r="BO559" s="1866">
        <f>+SUM(BK559:BN559)</f>
        <v>-12.2031603408</v>
      </c>
      <c r="BP559" s="2577">
        <f>+-BP557*BP560</f>
        <v>-3.0711677775999999</v>
      </c>
      <c r="BQ559" s="2577">
        <f>+-BQ557*BQ560</f>
        <v>-3.4122283056000002</v>
      </c>
      <c r="BR559" s="2577">
        <f>+-BR557*BR560</f>
        <v>-3.5646387888</v>
      </c>
      <c r="BS559" s="2577">
        <f>+-BS557*BS560</f>
        <v>-3.1348635256000001</v>
      </c>
      <c r="BT559" s="2604">
        <f>+SUM(BP559:BS559)</f>
        <v>-13.182898397600001</v>
      </c>
      <c r="BU559" s="2577">
        <f>+-BU557*BU560</f>
        <v>-3.3757522904000004</v>
      </c>
      <c r="BV559" s="2577">
        <f>+-BV557*BV560</f>
        <v>-3.514595154768001</v>
      </c>
      <c r="BW559" s="2577">
        <f>+-BW557*BW560</f>
        <v>-3.6715779524639993</v>
      </c>
      <c r="BX559" s="2577">
        <f>+-BX557*BX560</f>
        <v>-3.2289094313680007</v>
      </c>
      <c r="BY559" s="2604">
        <f>+SUM(BU559:BX559)</f>
        <v>-13.790834829000001</v>
      </c>
      <c r="BZ559" s="2604">
        <f>-BZ557*BZ560</f>
        <v>-11.139575762790002</v>
      </c>
      <c r="CA559" s="2604">
        <f>-CA557*CA560</f>
        <v>-8.2349999999999994</v>
      </c>
      <c r="CB559" s="477">
        <f>+CB557*-0.08</f>
        <v>-7.9661249999999999</v>
      </c>
      <c r="CC559" s="477">
        <f>+CC557*-0.08</f>
        <v>-7.7271412499999999</v>
      </c>
      <c r="CD559" s="477">
        <f>+CD557*-0.08</f>
        <v>-7.8044126624999999</v>
      </c>
      <c r="CE559" s="477">
        <f>+CE557*-0.08</f>
        <v>-7.9040525611500003</v>
      </c>
      <c r="CF559" s="477">
        <f>+CF557*-0.08</f>
        <v>-7.9612813570162499</v>
      </c>
      <c r="CG559" s="331"/>
      <c r="CH559" s="331"/>
      <c r="CI559" s="331"/>
      <c r="CJ559" s="331"/>
      <c r="CK559" s="331"/>
      <c r="CL559" s="1310"/>
      <c r="CM559" s="492"/>
      <c r="CN559" s="492"/>
      <c r="CO559" s="492"/>
      <c r="CP559" s="492"/>
      <c r="CQ559" s="492"/>
      <c r="CR559" s="492"/>
      <c r="CS559" s="492"/>
      <c r="CT559" s="492"/>
      <c r="CU559" s="492"/>
      <c r="CV559" s="492"/>
      <c r="CW559" s="492"/>
      <c r="CX559" s="492"/>
      <c r="CY559" s="492"/>
      <c r="CZ559" s="492"/>
      <c r="DA559" s="492"/>
      <c r="DB559" s="492"/>
      <c r="DC559" s="1311"/>
      <c r="DD559" s="331"/>
      <c r="DE559" s="331"/>
      <c r="DF559" s="502"/>
      <c r="DG559" s="503"/>
      <c r="DH559" s="2577"/>
      <c r="DI559" s="3213"/>
      <c r="DJ559" s="502"/>
      <c r="DK559" s="503"/>
      <c r="DL559" s="502"/>
      <c r="DM559" s="502"/>
      <c r="DN559" s="502"/>
      <c r="DO559" s="502"/>
      <c r="DP559" s="503"/>
      <c r="DQ559" s="503"/>
      <c r="DR559" s="296"/>
      <c r="DS559" s="296"/>
      <c r="DT559" s="296"/>
    </row>
    <row r="560" spans="1:130" s="3125" customFormat="1" ht="12" customHeight="1" x14ac:dyDescent="0.25">
      <c r="A560" s="2609" t="s">
        <v>2394</v>
      </c>
      <c r="B560" s="2639"/>
      <c r="C560" s="2665"/>
      <c r="D560" s="2665"/>
      <c r="E560" s="2665"/>
      <c r="F560" s="2665"/>
      <c r="G560" s="3121"/>
      <c r="H560" s="2665"/>
      <c r="I560" s="2665"/>
      <c r="J560" s="2665"/>
      <c r="K560" s="2665"/>
      <c r="L560" s="3121"/>
      <c r="M560" s="2665"/>
      <c r="N560" s="2665"/>
      <c r="O560" s="2665"/>
      <c r="P560" s="2665"/>
      <c r="Q560" s="3121"/>
      <c r="R560" s="2665"/>
      <c r="S560" s="2665"/>
      <c r="T560" s="2665"/>
      <c r="U560" s="2665"/>
      <c r="V560" s="3121"/>
      <c r="W560" s="2665"/>
      <c r="X560" s="2665"/>
      <c r="Y560" s="2665"/>
      <c r="Z560" s="2665"/>
      <c r="AA560" s="3121"/>
      <c r="AB560" s="2665"/>
      <c r="AC560" s="2665"/>
      <c r="AD560" s="2665"/>
      <c r="AE560" s="2977"/>
      <c r="AF560" s="3122"/>
      <c r="AG560" s="2665"/>
      <c r="AH560" s="2665"/>
      <c r="AI560" s="2665"/>
      <c r="AJ560" s="2977"/>
      <c r="AK560" s="3122"/>
      <c r="AL560" s="2665"/>
      <c r="AM560" s="2665"/>
      <c r="AN560" s="2665"/>
      <c r="AO560" s="2977"/>
      <c r="AP560" s="3123"/>
      <c r="AQ560" s="3123"/>
      <c r="AR560" s="2977"/>
      <c r="AS560" s="2977"/>
      <c r="AT560" s="2977"/>
      <c r="AU560" s="3122"/>
      <c r="AV560" s="3123"/>
      <c r="AW560" s="2977"/>
      <c r="AX560" s="2977"/>
      <c r="AY560" s="2560"/>
      <c r="AZ560" s="591"/>
      <c r="BA560" s="1618"/>
      <c r="BB560" s="519"/>
      <c r="BC560" s="519"/>
      <c r="BD560" s="1462"/>
      <c r="BE560" s="1462"/>
      <c r="BF560" s="2977"/>
      <c r="BG560" s="2977">
        <f>-BG559/BG557</f>
        <v>2.078436481793392E-4</v>
      </c>
      <c r="BH560" s="2977">
        <f>-BH559/BH557</f>
        <v>4.6253978763521816E-2</v>
      </c>
      <c r="BI560" s="2560">
        <f>-BI559/BI557</f>
        <v>0.10158231056273608</v>
      </c>
      <c r="BJ560" s="2560">
        <f>-BJ559/BJ557</f>
        <v>6.5665898213147042E-2</v>
      </c>
      <c r="BK560" s="3118">
        <v>0.09</v>
      </c>
      <c r="BL560" s="3118">
        <v>0.08</v>
      </c>
      <c r="BM560" s="3118">
        <v>7.0000000000000007E-2</v>
      </c>
      <c r="BN560" s="3119">
        <v>7.4999999999999997E-2</v>
      </c>
      <c r="BO560" s="2560">
        <f>-BO559/BO557</f>
        <v>7.8722622972790993E-2</v>
      </c>
      <c r="BP560" s="3118">
        <v>0.08</v>
      </c>
      <c r="BQ560" s="3118">
        <v>0.08</v>
      </c>
      <c r="BR560" s="3118">
        <v>0.08</v>
      </c>
      <c r="BS560" s="3118">
        <v>0.08</v>
      </c>
      <c r="BT560" s="3122">
        <f>-BT559/BT557</f>
        <v>7.9999999999999988E-2</v>
      </c>
      <c r="BU560" s="737">
        <v>0.08</v>
      </c>
      <c r="BV560" s="737">
        <v>0.08</v>
      </c>
      <c r="BW560" s="737">
        <v>0.08</v>
      </c>
      <c r="BX560" s="737">
        <v>0.08</v>
      </c>
      <c r="BY560" s="3122">
        <f>-BY559/BY557</f>
        <v>0.08</v>
      </c>
      <c r="BZ560" s="3100">
        <v>0.08</v>
      </c>
      <c r="CA560" s="3100">
        <v>0.08</v>
      </c>
      <c r="CB560" s="3122"/>
      <c r="CC560" s="3122"/>
      <c r="CD560" s="3122"/>
      <c r="CE560" s="3122"/>
      <c r="CF560" s="3122"/>
      <c r="CG560" s="2977"/>
      <c r="CH560" s="2977"/>
      <c r="CI560" s="2977"/>
      <c r="CJ560" s="2977"/>
      <c r="CK560" s="2977"/>
      <c r="CL560" s="3120"/>
      <c r="CM560" s="2977"/>
      <c r="CN560" s="2977"/>
      <c r="CO560" s="2977"/>
      <c r="CP560" s="2977"/>
      <c r="CQ560" s="2977"/>
      <c r="CR560" s="2977"/>
      <c r="CS560" s="2977"/>
      <c r="CT560" s="2977"/>
      <c r="CU560" s="2977"/>
      <c r="CV560" s="2977"/>
      <c r="CW560" s="2977"/>
      <c r="CX560" s="2977"/>
      <c r="CY560" s="2977"/>
      <c r="CZ560" s="2977"/>
      <c r="DA560" s="2977"/>
      <c r="DB560" s="2977"/>
      <c r="DC560" s="2560"/>
      <c r="DD560" s="2977"/>
      <c r="DE560" s="2977"/>
      <c r="DF560" s="964"/>
      <c r="DG560" s="964"/>
      <c r="DH560" s="2977"/>
      <c r="DI560" s="3213"/>
      <c r="DJ560" s="964"/>
      <c r="DK560" s="964"/>
      <c r="DL560" s="964"/>
      <c r="DM560" s="964"/>
      <c r="DN560" s="964"/>
      <c r="DO560" s="964"/>
      <c r="DP560" s="964"/>
      <c r="DQ560" s="964"/>
      <c r="DR560" s="3124"/>
      <c r="DS560" s="3124"/>
      <c r="DT560" s="3124"/>
      <c r="DU560"/>
      <c r="DV560"/>
      <c r="DW560"/>
      <c r="DX560"/>
      <c r="DY560"/>
      <c r="DZ560"/>
    </row>
    <row r="561" spans="1:130" ht="12" customHeight="1" x14ac:dyDescent="0.25">
      <c r="A561" s="2615" t="s">
        <v>1593</v>
      </c>
      <c r="B561" s="385"/>
      <c r="C561" s="2682"/>
      <c r="D561" s="2682"/>
      <c r="E561" s="2682"/>
      <c r="F561" s="2682"/>
      <c r="G561" s="2683"/>
      <c r="H561" s="2682"/>
      <c r="I561" s="2682"/>
      <c r="J561" s="2682"/>
      <c r="K561" s="2682"/>
      <c r="L561" s="2683"/>
      <c r="M561" s="2682"/>
      <c r="N561" s="2682"/>
      <c r="O561" s="2682"/>
      <c r="P561" s="2682"/>
      <c r="Q561" s="2683"/>
      <c r="R561" s="2682"/>
      <c r="S561" s="2682"/>
      <c r="T561" s="2682"/>
      <c r="U561" s="2682"/>
      <c r="V561" s="2683"/>
      <c r="W561" s="2682"/>
      <c r="X561" s="2682"/>
      <c r="Y561" s="2682"/>
      <c r="Z561" s="2682"/>
      <c r="AA561" s="2683"/>
      <c r="AB561" s="2682"/>
      <c r="AC561" s="2682"/>
      <c r="AD561" s="2682"/>
      <c r="AE561" s="2684"/>
      <c r="AF561" s="2685"/>
      <c r="AG561" s="2682"/>
      <c r="AH561" s="2682"/>
      <c r="AI561" s="2682"/>
      <c r="AJ561" s="2684"/>
      <c r="AK561" s="2685"/>
      <c r="AL561" s="2682"/>
      <c r="AM561" s="2682"/>
      <c r="AN561" s="2682"/>
      <c r="AO561" s="2684"/>
      <c r="AP561" s="2686"/>
      <c r="AQ561" s="2686"/>
      <c r="AR561" s="2684"/>
      <c r="AS561" s="2684"/>
      <c r="AT561" s="2684"/>
      <c r="AU561" s="2685"/>
      <c r="AV561" s="2686"/>
      <c r="AW561" s="2684"/>
      <c r="AX561" s="2684"/>
      <c r="AY561" s="2687"/>
      <c r="AZ561" s="2688"/>
      <c r="BA561" s="2689"/>
      <c r="BB561" s="2690"/>
      <c r="BC561" s="2690"/>
      <c r="BD561" s="2691"/>
      <c r="BE561" s="2692"/>
      <c r="BF561" s="2912"/>
      <c r="BG561" s="2912">
        <f>+BG557+BG559</f>
        <v>6.1533471799999999</v>
      </c>
      <c r="BH561" s="2912">
        <f>+BH557+BH559</f>
        <v>43.880893289999996</v>
      </c>
      <c r="BI561" s="2913">
        <f>+BI557+BI559</f>
        <v>32.418126129999997</v>
      </c>
      <c r="BJ561" s="2914">
        <f>+BJ557+BJ559</f>
        <v>82.452366599999991</v>
      </c>
      <c r="BK561" s="2912">
        <f>+BK557+BK559</f>
        <v>35.214316719400003</v>
      </c>
      <c r="BL561" s="2912">
        <f t="shared" ref="BL561:BT561" si="1351">+BL557+BL559</f>
        <v>35.989790509199992</v>
      </c>
      <c r="BM561" s="2912">
        <f t="shared" si="1351"/>
        <v>37.012388700599999</v>
      </c>
      <c r="BN561" s="2913">
        <f t="shared" si="1351"/>
        <v>34.594999999999999</v>
      </c>
      <c r="BO561" s="2914">
        <f t="shared" si="1351"/>
        <v>142.81149592919999</v>
      </c>
      <c r="BP561" s="2912">
        <f t="shared" si="1351"/>
        <v>35.318429442399996</v>
      </c>
      <c r="BQ561" s="2912">
        <f t="shared" si="1351"/>
        <v>39.240625514400001</v>
      </c>
      <c r="BR561" s="2912">
        <f t="shared" si="1351"/>
        <v>40.993346071199994</v>
      </c>
      <c r="BS561" s="2912">
        <f t="shared" si="1351"/>
        <v>36.050930544400003</v>
      </c>
      <c r="BT561" s="3237">
        <f t="shared" si="1351"/>
        <v>151.60333157240001</v>
      </c>
      <c r="BU561" s="2912">
        <f t="shared" ref="BU561:CF561" si="1352">+BU557+BU559</f>
        <v>38.8211513396</v>
      </c>
      <c r="BV561" s="2912">
        <f t="shared" si="1352"/>
        <v>40.417844279832011</v>
      </c>
      <c r="BW561" s="2912">
        <f t="shared" si="1352"/>
        <v>42.223146453335993</v>
      </c>
      <c r="BX561" s="2912">
        <f t="shared" si="1352"/>
        <v>37.132458460732003</v>
      </c>
      <c r="BY561" s="3237">
        <f t="shared" si="1352"/>
        <v>158.5946005335</v>
      </c>
      <c r="BZ561" s="1020">
        <f t="shared" si="1352"/>
        <v>128.10512127208503</v>
      </c>
      <c r="CA561" s="1020">
        <f t="shared" si="1352"/>
        <v>94.702500000000001</v>
      </c>
      <c r="CB561" s="1020">
        <f t="shared" si="1352"/>
        <v>91.610437499999989</v>
      </c>
      <c r="CC561" s="1020">
        <f t="shared" si="1352"/>
        <v>88.862124374999993</v>
      </c>
      <c r="CD561" s="1020">
        <f t="shared" si="1352"/>
        <v>89.750745618750003</v>
      </c>
      <c r="CE561" s="1020">
        <f t="shared" si="1352"/>
        <v>90.896604453225009</v>
      </c>
      <c r="CF561" s="1020">
        <f t="shared" si="1352"/>
        <v>91.554735605686872</v>
      </c>
      <c r="CG561" s="331"/>
      <c r="CH561" s="331"/>
      <c r="CI561" s="331"/>
      <c r="CJ561" s="331"/>
      <c r="CK561" s="331"/>
      <c r="CL561" s="1310"/>
      <c r="CM561" s="492"/>
      <c r="CN561" s="492"/>
      <c r="CO561" s="492"/>
      <c r="CP561" s="492"/>
      <c r="CQ561" s="492"/>
      <c r="CR561" s="492"/>
      <c r="CS561" s="492"/>
      <c r="CT561" s="492"/>
      <c r="CU561" s="492"/>
      <c r="CV561" s="492"/>
      <c r="CW561" s="492"/>
      <c r="CX561" s="492"/>
      <c r="CY561" s="492"/>
      <c r="CZ561" s="492"/>
      <c r="DA561" s="492"/>
      <c r="DB561" s="492"/>
      <c r="DC561" s="1311"/>
      <c r="DD561" s="331"/>
      <c r="DE561" s="331"/>
      <c r="DF561" s="502"/>
      <c r="DG561" s="503"/>
      <c r="DH561" s="2577"/>
      <c r="DI561" s="3213"/>
      <c r="DJ561" s="502"/>
      <c r="DK561" s="503"/>
      <c r="DL561" s="502"/>
      <c r="DM561" s="502"/>
      <c r="DN561" s="502"/>
      <c r="DO561" s="502"/>
      <c r="DP561" s="503"/>
      <c r="DQ561" s="503"/>
      <c r="DR561" s="296"/>
      <c r="DS561" s="296"/>
      <c r="DT561" s="296"/>
    </row>
    <row r="562" spans="1:130" ht="12" customHeight="1" x14ac:dyDescent="0.25">
      <c r="A562" s="281" t="s">
        <v>645</v>
      </c>
      <c r="B562" s="281"/>
      <c r="C562" s="452"/>
      <c r="D562" s="452"/>
      <c r="E562" s="452"/>
      <c r="F562" s="452"/>
      <c r="G562" s="475"/>
      <c r="H562" s="452"/>
      <c r="I562" s="452"/>
      <c r="J562" s="452"/>
      <c r="K562" s="452"/>
      <c r="L562" s="475"/>
      <c r="M562" s="452"/>
      <c r="N562" s="452"/>
      <c r="O562" s="452"/>
      <c r="P562" s="452"/>
      <c r="Q562" s="475"/>
      <c r="R562" s="452"/>
      <c r="S562" s="452"/>
      <c r="T562" s="452"/>
      <c r="U562" s="452"/>
      <c r="V562" s="475"/>
      <c r="W562" s="452"/>
      <c r="X562" s="452"/>
      <c r="Y562" s="452"/>
      <c r="Z562" s="452"/>
      <c r="AA562" s="475"/>
      <c r="AB562" s="452"/>
      <c r="AC562" s="452"/>
      <c r="AD562" s="452"/>
      <c r="AE562" s="476"/>
      <c r="AF562" s="477"/>
      <c r="AG562" s="452"/>
      <c r="AH562" s="452"/>
      <c r="AI562" s="452"/>
      <c r="AJ562" s="476"/>
      <c r="AK562" s="477"/>
      <c r="AL562" s="452"/>
      <c r="AM562" s="452"/>
      <c r="AN562" s="452"/>
      <c r="AO562" s="476"/>
      <c r="AP562" s="478"/>
      <c r="AQ562" s="478"/>
      <c r="AR562" s="572"/>
      <c r="AS562" s="572"/>
      <c r="AT562" s="476"/>
      <c r="AU562" s="477"/>
      <c r="AV562" s="478"/>
      <c r="AW562" s="476"/>
      <c r="AX562" s="476"/>
      <c r="AY562" s="682"/>
      <c r="AZ562" s="477"/>
      <c r="BA562" s="478"/>
      <c r="BB562" s="476"/>
      <c r="BC562" s="572"/>
      <c r="BD562" s="1313"/>
      <c r="BE562" s="682"/>
      <c r="BF562" s="572"/>
      <c r="BG562" s="572">
        <v>1</v>
      </c>
      <c r="BH562" s="572">
        <f>+BH561*0.075</f>
        <v>3.2910669967499997</v>
      </c>
      <c r="BI562" s="1313">
        <f>+BI561*0.1</f>
        <v>3.241812613</v>
      </c>
      <c r="BJ562" s="682">
        <f>+SUM(BF562:BI562)</f>
        <v>7.5328796097499993</v>
      </c>
      <c r="BK562" s="572">
        <f>+BK561*0.095</f>
        <v>3.3453600883430004</v>
      </c>
      <c r="BL562" s="572">
        <f>+BL561*0.095</f>
        <v>3.4190300983739994</v>
      </c>
      <c r="BM562" s="572">
        <f>+BM561*0.095</f>
        <v>3.5161769265569998</v>
      </c>
      <c r="BN562" s="1313">
        <f>+BN561*0.095</f>
        <v>3.2865250000000001</v>
      </c>
      <c r="BO562" s="682">
        <f>+SUM(BK562:BN562)</f>
        <v>13.567092113274001</v>
      </c>
      <c r="BP562" s="572">
        <f>+BP561*0.095</f>
        <v>3.3552507970279994</v>
      </c>
      <c r="BQ562" s="572">
        <f>+BQ561*0.1</f>
        <v>3.9240625514400005</v>
      </c>
      <c r="BR562" s="572">
        <f>+BR561*0.095</f>
        <v>3.8943678767639995</v>
      </c>
      <c r="BS562" s="1313">
        <f>+BS561*0.095</f>
        <v>3.4248384017180005</v>
      </c>
      <c r="BT562" s="2604">
        <f>+SUM(BP562:BS562)</f>
        <v>14.598519626949999</v>
      </c>
      <c r="BU562" s="572">
        <f>+BU561*0.095</f>
        <v>3.688009377262</v>
      </c>
      <c r="BV562" s="572">
        <f>+BV561*0.095</f>
        <v>3.8396952065840408</v>
      </c>
      <c r="BW562" s="572">
        <f>+BW561*0.095</f>
        <v>4.0111989130669192</v>
      </c>
      <c r="BX562" s="572">
        <f>+BX561*0.095</f>
        <v>3.5275835537695404</v>
      </c>
      <c r="BY562" s="2604">
        <f>+SUM(BU562:BX562)</f>
        <v>15.0664870506825</v>
      </c>
      <c r="BZ562" s="573">
        <f t="shared" ref="BZ562:CF562" si="1353">+BZ561*0.075</f>
        <v>9.6078840954063764</v>
      </c>
      <c r="CA562" s="573">
        <f t="shared" si="1353"/>
        <v>7.1026875</v>
      </c>
      <c r="CB562" s="573">
        <f t="shared" si="1353"/>
        <v>6.870782812499999</v>
      </c>
      <c r="CC562" s="573">
        <f t="shared" si="1353"/>
        <v>6.6646593281249995</v>
      </c>
      <c r="CD562" s="573">
        <f t="shared" si="1353"/>
        <v>6.7313059214062498</v>
      </c>
      <c r="CE562" s="573">
        <f t="shared" si="1353"/>
        <v>6.8172453339918757</v>
      </c>
      <c r="CF562" s="573">
        <f t="shared" si="1353"/>
        <v>6.8666051704265154</v>
      </c>
      <c r="CG562" s="331"/>
      <c r="CH562" s="331"/>
      <c r="CI562" s="331"/>
      <c r="CJ562" s="331"/>
      <c r="CK562" s="331"/>
      <c r="CL562" s="520" t="str">
        <f>A562</f>
        <v>Other revenue</v>
      </c>
      <c r="CM562" s="476"/>
      <c r="CN562" s="476"/>
      <c r="CO562" s="476"/>
      <c r="CP562" s="476"/>
      <c r="CQ562" s="476"/>
      <c r="CR562" s="476"/>
      <c r="CS562" s="476"/>
      <c r="CT562" s="476"/>
      <c r="CU562" s="476">
        <f>AU562</f>
        <v>0</v>
      </c>
      <c r="CV562" s="476">
        <f>AZ562</f>
        <v>0</v>
      </c>
      <c r="CW562" s="476">
        <f>BE562</f>
        <v>0</v>
      </c>
      <c r="CX562" s="476">
        <f>BJ562</f>
        <v>7.5328796097499993</v>
      </c>
      <c r="CY562" s="476">
        <f>BO562</f>
        <v>13.567092113274001</v>
      </c>
      <c r="CZ562" s="476">
        <f>BT562</f>
        <v>14.598519626949999</v>
      </c>
      <c r="DA562" s="476">
        <f t="shared" ref="DA562:DC564" si="1354">BY562</f>
        <v>15.0664870506825</v>
      </c>
      <c r="DB562" s="476">
        <f t="shared" si="1354"/>
        <v>9.6078840954063764</v>
      </c>
      <c r="DC562" s="682">
        <f t="shared" si="1354"/>
        <v>7.1026875</v>
      </c>
      <c r="DD562" s="331"/>
      <c r="DE562" s="331"/>
      <c r="DF562" s="502"/>
      <c r="DG562" s="503"/>
      <c r="DH562" s="2577"/>
      <c r="DI562" s="3213"/>
      <c r="DJ562" s="502"/>
      <c r="DK562" s="503"/>
      <c r="DL562" s="502"/>
      <c r="DM562" s="502"/>
      <c r="DN562" s="502"/>
      <c r="DO562" s="502"/>
      <c r="DP562" s="503"/>
      <c r="DQ562" s="503"/>
      <c r="DR562" s="296"/>
      <c r="DS562" s="296"/>
      <c r="DT562" s="296"/>
    </row>
    <row r="563" spans="1:130" ht="12" customHeight="1" x14ac:dyDescent="0.25">
      <c r="A563" s="496" t="s">
        <v>1418</v>
      </c>
      <c r="B563" s="1007"/>
      <c r="C563" s="1008"/>
      <c r="D563" s="1008"/>
      <c r="E563" s="1008"/>
      <c r="F563" s="1008"/>
      <c r="G563" s="1009"/>
      <c r="H563" s="1008"/>
      <c r="I563" s="1008"/>
      <c r="J563" s="1008"/>
      <c r="K563" s="1008"/>
      <c r="L563" s="1009"/>
      <c r="M563" s="1008"/>
      <c r="N563" s="1008"/>
      <c r="O563" s="1008"/>
      <c r="P563" s="1008"/>
      <c r="Q563" s="1009"/>
      <c r="R563" s="1008"/>
      <c r="S563" s="1008"/>
      <c r="T563" s="1008"/>
      <c r="U563" s="1008"/>
      <c r="V563" s="1009"/>
      <c r="W563" s="1008"/>
      <c r="X563" s="1008"/>
      <c r="Y563" s="1008"/>
      <c r="Z563" s="1008"/>
      <c r="AA563" s="1009"/>
      <c r="AB563" s="1014"/>
      <c r="AC563" s="1014"/>
      <c r="AD563" s="1014"/>
      <c r="AE563" s="1012"/>
      <c r="AF563" s="1011"/>
      <c r="AG563" s="1014"/>
      <c r="AH563" s="1014"/>
      <c r="AI563" s="1014"/>
      <c r="AJ563" s="1012"/>
      <c r="AK563" s="1011"/>
      <c r="AL563" s="1014"/>
      <c r="AM563" s="1014"/>
      <c r="AN563" s="1014"/>
      <c r="AO563" s="1012"/>
      <c r="AP563" s="1013"/>
      <c r="AQ563" s="1013"/>
      <c r="AR563" s="1012"/>
      <c r="AS563" s="1012"/>
      <c r="AT563" s="1012"/>
      <c r="AU563" s="1011"/>
      <c r="AV563" s="1013"/>
      <c r="AW563" s="1012"/>
      <c r="AX563" s="1012"/>
      <c r="AY563" s="1877"/>
      <c r="AZ563" s="1011"/>
      <c r="BA563" s="1013"/>
      <c r="BB563" s="1012"/>
      <c r="BC563" s="1012"/>
      <c r="BD563" s="1877"/>
      <c r="BE563" s="1877"/>
      <c r="BF563" s="1012"/>
      <c r="BG563" s="1012">
        <f>+BG561+BG562</f>
        <v>7.1533471799999999</v>
      </c>
      <c r="BH563" s="1012">
        <f>+BH561+BH562</f>
        <v>47.171960286749993</v>
      </c>
      <c r="BI563" s="1877">
        <f>+BI561+BI562</f>
        <v>35.659938742999998</v>
      </c>
      <c r="BJ563" s="1877">
        <f>+BJ561+BJ562</f>
        <v>89.985246209749988</v>
      </c>
      <c r="BK563" s="1012">
        <f>+BK561+BK562</f>
        <v>38.559676807743003</v>
      </c>
      <c r="BL563" s="1012">
        <f t="shared" ref="BL563:BT563" si="1355">+BL561+BL562</f>
        <v>39.408820607573993</v>
      </c>
      <c r="BM563" s="1012">
        <f t="shared" si="1355"/>
        <v>40.528565627157001</v>
      </c>
      <c r="BN563" s="1877">
        <f t="shared" si="1355"/>
        <v>37.881524999999996</v>
      </c>
      <c r="BO563" s="1877">
        <f t="shared" si="1355"/>
        <v>156.37858804247401</v>
      </c>
      <c r="BP563" s="1012">
        <f t="shared" si="1355"/>
        <v>38.673680239427995</v>
      </c>
      <c r="BQ563" s="1012">
        <f t="shared" si="1355"/>
        <v>43.164688065840004</v>
      </c>
      <c r="BR563" s="1012">
        <f t="shared" si="1355"/>
        <v>44.887713947963995</v>
      </c>
      <c r="BS563" s="1012">
        <f t="shared" si="1355"/>
        <v>39.475768946118002</v>
      </c>
      <c r="BT563" s="1011">
        <f t="shared" si="1355"/>
        <v>166.20185119935002</v>
      </c>
      <c r="BU563" s="1012">
        <f t="shared" ref="BU563:CF563" si="1356">+BU561+BU562</f>
        <v>42.509160716861999</v>
      </c>
      <c r="BV563" s="1012">
        <f t="shared" si="1356"/>
        <v>44.25753948641605</v>
      </c>
      <c r="BW563" s="1012">
        <f t="shared" si="1356"/>
        <v>46.234345366402913</v>
      </c>
      <c r="BX563" s="1012">
        <f t="shared" si="1356"/>
        <v>40.660042014501542</v>
      </c>
      <c r="BY563" s="1011">
        <f t="shared" si="1356"/>
        <v>173.6610875841825</v>
      </c>
      <c r="BZ563" s="1011">
        <f>+BZ561+BZ562</f>
        <v>137.71300536749141</v>
      </c>
      <c r="CA563" s="1011">
        <f t="shared" si="1356"/>
        <v>101.8051875</v>
      </c>
      <c r="CB563" s="1011">
        <f t="shared" si="1356"/>
        <v>98.481220312499985</v>
      </c>
      <c r="CC563" s="1011">
        <f t="shared" si="1356"/>
        <v>95.526783703124991</v>
      </c>
      <c r="CD563" s="1011">
        <f t="shared" si="1356"/>
        <v>96.482051540156249</v>
      </c>
      <c r="CE563" s="1011">
        <f t="shared" si="1356"/>
        <v>97.713849787216887</v>
      </c>
      <c r="CF563" s="1011">
        <f t="shared" si="1356"/>
        <v>98.421340776113382</v>
      </c>
      <c r="CG563" s="476"/>
      <c r="CH563" s="476"/>
      <c r="CI563" s="476"/>
      <c r="CJ563" s="476"/>
      <c r="CK563" s="331"/>
      <c r="CL563" s="2102" t="str">
        <f>A563</f>
        <v>Net revenue</v>
      </c>
      <c r="CM563" s="1012"/>
      <c r="CN563" s="1012"/>
      <c r="CO563" s="1012"/>
      <c r="CP563" s="1012"/>
      <c r="CQ563" s="1012"/>
      <c r="CR563" s="1012"/>
      <c r="CS563" s="1012"/>
      <c r="CT563" s="1012"/>
      <c r="CU563" s="1012">
        <f>AU563</f>
        <v>0</v>
      </c>
      <c r="CV563" s="1012">
        <f>AZ563</f>
        <v>0</v>
      </c>
      <c r="CW563" s="1012">
        <f>BE563</f>
        <v>0</v>
      </c>
      <c r="CX563" s="1012">
        <f>BJ563</f>
        <v>89.985246209749988</v>
      </c>
      <c r="CY563" s="1012">
        <f>BO563</f>
        <v>156.37858804247401</v>
      </c>
      <c r="CZ563" s="1012">
        <f>BT563</f>
        <v>166.20185119935002</v>
      </c>
      <c r="DA563" s="1012">
        <f t="shared" si="1354"/>
        <v>173.6610875841825</v>
      </c>
      <c r="DB563" s="1012">
        <f t="shared" si="1354"/>
        <v>137.71300536749141</v>
      </c>
      <c r="DC563" s="1877">
        <f t="shared" si="1354"/>
        <v>101.8051875</v>
      </c>
      <c r="DD563" s="331"/>
      <c r="DE563" s="331"/>
      <c r="DF563" s="502"/>
      <c r="DG563" s="503"/>
      <c r="DH563" s="598"/>
      <c r="DI563" s="3213"/>
      <c r="DJ563" s="502"/>
      <c r="DK563" s="503"/>
      <c r="DL563" s="502"/>
      <c r="DM563" s="502"/>
      <c r="DN563" s="502"/>
      <c r="DO563" s="502"/>
      <c r="DP563" s="503"/>
      <c r="DQ563" s="503"/>
      <c r="DR563" s="296"/>
      <c r="DS563" s="296"/>
      <c r="DT563" s="296"/>
    </row>
    <row r="564" spans="1:130" ht="12" customHeight="1" x14ac:dyDescent="0.25">
      <c r="A564" s="465" t="s">
        <v>1491</v>
      </c>
      <c r="B564" s="281"/>
      <c r="C564" s="472"/>
      <c r="D564" s="472"/>
      <c r="E564" s="472"/>
      <c r="F564" s="472"/>
      <c r="G564" s="491"/>
      <c r="H564" s="472"/>
      <c r="I564" s="472"/>
      <c r="J564" s="472"/>
      <c r="K564" s="472"/>
      <c r="L564" s="491"/>
      <c r="M564" s="472"/>
      <c r="N564" s="472"/>
      <c r="O564" s="472"/>
      <c r="P564" s="472"/>
      <c r="Q564" s="491"/>
      <c r="R564" s="472"/>
      <c r="S564" s="472"/>
      <c r="T564" s="472"/>
      <c r="U564" s="472"/>
      <c r="V564" s="491"/>
      <c r="W564" s="472"/>
      <c r="X564" s="472"/>
      <c r="Y564" s="472"/>
      <c r="Z564" s="472"/>
      <c r="AA564" s="491"/>
      <c r="AB564" s="472"/>
      <c r="AC564" s="472"/>
      <c r="AD564" s="472"/>
      <c r="AE564" s="492"/>
      <c r="AF564" s="493"/>
      <c r="AG564" s="472"/>
      <c r="AH564" s="472"/>
      <c r="AI564" s="472"/>
      <c r="AJ564" s="492"/>
      <c r="AK564" s="493"/>
      <c r="AL564" s="472"/>
      <c r="AM564" s="472"/>
      <c r="AN564" s="472"/>
      <c r="AO564" s="492"/>
      <c r="AP564" s="494"/>
      <c r="AQ564" s="494"/>
      <c r="AR564" s="492"/>
      <c r="AS564" s="492"/>
      <c r="AT564" s="492"/>
      <c r="AU564" s="493"/>
      <c r="AV564" s="494"/>
      <c r="AW564" s="492"/>
      <c r="AX564" s="492"/>
      <c r="AY564" s="1311"/>
      <c r="AZ564" s="470"/>
      <c r="BA564" s="471"/>
      <c r="BB564" s="469"/>
      <c r="BC564" s="469"/>
      <c r="BD564" s="1463"/>
      <c r="BE564" s="1463"/>
      <c r="BF564" s="469"/>
      <c r="BG564" s="469"/>
      <c r="BH564" s="469"/>
      <c r="BI564" s="1463"/>
      <c r="BJ564" s="1463"/>
      <c r="BK564" s="469"/>
      <c r="BL564" s="469"/>
      <c r="BM564" s="469">
        <f>+BM563/BH563-1</f>
        <v>-0.14083355067732972</v>
      </c>
      <c r="BN564" s="1463">
        <f t="shared" ref="BN564:BT564" si="1357">+BN563/BI563-1</f>
        <v>6.2299216860996154E-2</v>
      </c>
      <c r="BO564" s="1463">
        <f t="shared" si="1357"/>
        <v>0.73782475049260055</v>
      </c>
      <c r="BP564" s="469">
        <f t="shared" si="1357"/>
        <v>2.9565453116582319E-3</v>
      </c>
      <c r="BQ564" s="469">
        <f t="shared" si="1357"/>
        <v>9.5305248935670273E-2</v>
      </c>
      <c r="BR564" s="469">
        <f t="shared" si="1357"/>
        <v>0.10755742902201448</v>
      </c>
      <c r="BS564" s="469">
        <f t="shared" si="1357"/>
        <v>4.2084999115479249E-2</v>
      </c>
      <c r="BT564" s="2693">
        <f t="shared" si="1357"/>
        <v>6.2817187952917797E-2</v>
      </c>
      <c r="BU564" s="469">
        <f>+BU563/BP563-1</f>
        <v>9.9175471630540857E-2</v>
      </c>
      <c r="BV564" s="469">
        <f>+BV563/BQ563-1</f>
        <v>2.5318181818182017E-2</v>
      </c>
      <c r="BW564" s="469">
        <f>+BW563/BR563-1</f>
        <v>3.0000000000000027E-2</v>
      </c>
      <c r="BX564" s="469">
        <f>+BX563/BS563-1</f>
        <v>3.0000000000000027E-2</v>
      </c>
      <c r="BY564" s="2693">
        <f>+BY563/BT563-1</f>
        <v>4.4880585450793431E-2</v>
      </c>
      <c r="BZ564" s="2693">
        <f>BZ563/BY563-1</f>
        <v>-0.20700136522676793</v>
      </c>
      <c r="CA564" s="2693">
        <f>CA563/BZ563-1</f>
        <v>-0.26074384021807007</v>
      </c>
      <c r="CB564" s="470"/>
      <c r="CC564" s="470"/>
      <c r="CD564" s="470"/>
      <c r="CE564" s="470"/>
      <c r="CF564" s="470"/>
      <c r="CG564" s="476"/>
      <c r="CH564" s="476"/>
      <c r="CI564" s="476"/>
      <c r="CJ564" s="476"/>
      <c r="CK564" s="331"/>
      <c r="CL564" s="1310" t="str">
        <f>A564</f>
        <v>% growth (y-o-y)</v>
      </c>
      <c r="CM564" s="492"/>
      <c r="CN564" s="492"/>
      <c r="CO564" s="492"/>
      <c r="CP564" s="492"/>
      <c r="CQ564" s="492"/>
      <c r="CR564" s="492"/>
      <c r="CS564" s="492"/>
      <c r="CT564" s="492"/>
      <c r="CU564" s="492"/>
      <c r="CV564" s="492">
        <f>AZ564</f>
        <v>0</v>
      </c>
      <c r="CW564" s="492">
        <f>BE564</f>
        <v>0</v>
      </c>
      <c r="CX564" s="492">
        <f>BJ564</f>
        <v>0</v>
      </c>
      <c r="CY564" s="492">
        <f>BO564</f>
        <v>0.73782475049260055</v>
      </c>
      <c r="CZ564" s="492">
        <f>BT564</f>
        <v>6.2817187952917797E-2</v>
      </c>
      <c r="DA564" s="492">
        <f t="shared" si="1354"/>
        <v>4.4880585450793431E-2</v>
      </c>
      <c r="DB564" s="492">
        <f t="shared" si="1354"/>
        <v>-0.20700136522676793</v>
      </c>
      <c r="DC564" s="1311">
        <f t="shared" si="1354"/>
        <v>-0.26074384021807007</v>
      </c>
      <c r="DD564" s="331"/>
      <c r="DE564" s="331"/>
      <c r="DF564" s="502"/>
      <c r="DG564" s="503"/>
      <c r="DH564" s="2653"/>
      <c r="DI564" s="3213"/>
      <c r="DJ564" s="502"/>
      <c r="DK564" s="503"/>
      <c r="DL564" s="502"/>
      <c r="DM564" s="502"/>
      <c r="DN564" s="502"/>
      <c r="DO564" s="502"/>
      <c r="DP564" s="503"/>
      <c r="DQ564" s="503"/>
      <c r="DR564" s="296"/>
      <c r="DS564" s="296"/>
      <c r="DT564" s="296"/>
    </row>
    <row r="565" spans="1:130" ht="5.0999999999999996" customHeight="1" x14ac:dyDescent="0.25">
      <c r="A565" s="281"/>
      <c r="B565" s="281"/>
      <c r="C565" s="305"/>
      <c r="D565" s="305"/>
      <c r="E565" s="305"/>
      <c r="F565" s="305"/>
      <c r="G565" s="440"/>
      <c r="H565" s="305"/>
      <c r="I565" s="305"/>
      <c r="J565" s="305"/>
      <c r="K565" s="305"/>
      <c r="L565" s="440"/>
      <c r="M565" s="305"/>
      <c r="N565" s="305"/>
      <c r="O565" s="305"/>
      <c r="P565" s="305"/>
      <c r="Q565" s="440"/>
      <c r="R565" s="305"/>
      <c r="S565" s="305"/>
      <c r="T565" s="305"/>
      <c r="U565" s="305"/>
      <c r="V565" s="440"/>
      <c r="W565" s="305"/>
      <c r="X565" s="305"/>
      <c r="Y565" s="305"/>
      <c r="Z565" s="305"/>
      <c r="AA565" s="440"/>
      <c r="AB565" s="305"/>
      <c r="AC565" s="305"/>
      <c r="AD565" s="305"/>
      <c r="AE565" s="331"/>
      <c r="AF565" s="441"/>
      <c r="AG565" s="305"/>
      <c r="AH565" s="305"/>
      <c r="AI565" s="305"/>
      <c r="AJ565" s="331"/>
      <c r="AK565" s="441"/>
      <c r="AL565" s="305"/>
      <c r="AM565" s="305"/>
      <c r="AN565" s="305"/>
      <c r="AO565" s="331"/>
      <c r="AP565" s="569"/>
      <c r="AQ565" s="569"/>
      <c r="AR565" s="442"/>
      <c r="AS565" s="442"/>
      <c r="AT565" s="442"/>
      <c r="AU565" s="441"/>
      <c r="AV565" s="569"/>
      <c r="AW565" s="442"/>
      <c r="AX565" s="442"/>
      <c r="AY565" s="1312"/>
      <c r="AZ565" s="441"/>
      <c r="BA565" s="569"/>
      <c r="BB565" s="442"/>
      <c r="BC565" s="442"/>
      <c r="BD565" s="1312"/>
      <c r="BE565" s="1312"/>
      <c r="BF565" s="442"/>
      <c r="BG565" s="442"/>
      <c r="BH565" s="442"/>
      <c r="BI565" s="1312"/>
      <c r="BJ565" s="1312"/>
      <c r="BK565" s="442"/>
      <c r="BL565" s="442"/>
      <c r="BM565" s="442"/>
      <c r="BN565" s="1312"/>
      <c r="BO565" s="1312"/>
      <c r="BP565" s="442"/>
      <c r="BQ565" s="442"/>
      <c r="BR565" s="442"/>
      <c r="BS565" s="442"/>
      <c r="BT565" s="3236"/>
      <c r="BU565" s="3298"/>
      <c r="BV565" s="3298"/>
      <c r="BW565" s="3298"/>
      <c r="BX565" s="3298"/>
      <c r="BY565" s="3236"/>
      <c r="BZ565" s="441"/>
      <c r="CA565" s="441"/>
      <c r="CB565" s="441"/>
      <c r="CC565" s="441"/>
      <c r="CD565" s="441"/>
      <c r="CE565" s="441"/>
      <c r="CF565" s="441"/>
      <c r="CG565" s="331"/>
      <c r="CH565" s="331"/>
      <c r="CI565" s="331"/>
      <c r="CJ565" s="331"/>
      <c r="CK565" s="331"/>
      <c r="CL565" s="520"/>
      <c r="CM565" s="442"/>
      <c r="CN565" s="442"/>
      <c r="CO565" s="442"/>
      <c r="CP565" s="442"/>
      <c r="CQ565" s="442"/>
      <c r="CR565" s="442"/>
      <c r="CS565" s="442"/>
      <c r="CT565" s="442"/>
      <c r="CU565" s="442"/>
      <c r="CV565" s="442"/>
      <c r="CW565" s="442"/>
      <c r="CX565" s="442"/>
      <c r="CY565" s="442"/>
      <c r="CZ565" s="442"/>
      <c r="DA565" s="442"/>
      <c r="DB565" s="442"/>
      <c r="DC565" s="1312"/>
      <c r="DD565" s="331"/>
      <c r="DE565" s="331"/>
      <c r="DF565" s="502"/>
      <c r="DG565" s="503"/>
      <c r="DH565" s="3298"/>
      <c r="DI565" s="3213"/>
      <c r="DJ565" s="502"/>
      <c r="DK565" s="503"/>
      <c r="DL565" s="502"/>
      <c r="DM565" s="502"/>
      <c r="DN565" s="502"/>
      <c r="DO565" s="502"/>
      <c r="DP565" s="503"/>
      <c r="DQ565" s="503"/>
      <c r="DR565" s="296"/>
      <c r="DS565" s="296"/>
      <c r="DT565" s="296"/>
    </row>
    <row r="566" spans="1:130" s="1049" customFormat="1" ht="12" customHeight="1" x14ac:dyDescent="0.25">
      <c r="A566" s="428" t="s">
        <v>601</v>
      </c>
      <c r="B566" s="428"/>
      <c r="C566" s="476"/>
      <c r="D566" s="476"/>
      <c r="E566" s="476"/>
      <c r="F566" s="476"/>
      <c r="G566" s="477"/>
      <c r="H566" s="476"/>
      <c r="I566" s="476"/>
      <c r="J566" s="476"/>
      <c r="K566" s="476"/>
      <c r="L566" s="477"/>
      <c r="M566" s="476"/>
      <c r="N566" s="476"/>
      <c r="O566" s="476"/>
      <c r="P566" s="476"/>
      <c r="Q566" s="477"/>
      <c r="R566" s="476"/>
      <c r="S566" s="476"/>
      <c r="T566" s="476"/>
      <c r="U566" s="476"/>
      <c r="V566" s="477"/>
      <c r="W566" s="476"/>
      <c r="X566" s="476"/>
      <c r="Y566" s="476"/>
      <c r="Z566" s="476"/>
      <c r="AA566" s="477"/>
      <c r="AB566" s="476"/>
      <c r="AC566" s="476"/>
      <c r="AD566" s="476"/>
      <c r="AE566" s="476"/>
      <c r="AF566" s="477"/>
      <c r="AG566" s="476"/>
      <c r="AH566" s="476"/>
      <c r="AI566" s="476"/>
      <c r="AJ566" s="476"/>
      <c r="AK566" s="477"/>
      <c r="AL566" s="476"/>
      <c r="AM566" s="476"/>
      <c r="AN566" s="476"/>
      <c r="AO566" s="476"/>
      <c r="AP566" s="478"/>
      <c r="AQ566" s="478"/>
      <c r="AR566" s="572"/>
      <c r="AS566" s="476"/>
      <c r="AT566" s="476"/>
      <c r="AU566" s="477"/>
      <c r="AV566" s="478"/>
      <c r="AW566" s="476"/>
      <c r="AX566" s="476"/>
      <c r="AY566" s="682"/>
      <c r="AZ566" s="477"/>
      <c r="BA566" s="478"/>
      <c r="BB566" s="476"/>
      <c r="BC566" s="476"/>
      <c r="BD566" s="682"/>
      <c r="BE566" s="682"/>
      <c r="BF566" s="476"/>
      <c r="BG566" s="476">
        <f>BG567*BG563</f>
        <v>7.8686818980000002</v>
      </c>
      <c r="BH566" s="476">
        <f>BH567*BH563</f>
        <v>11.792990071687498</v>
      </c>
      <c r="BI566" s="682">
        <f>BI567*BI563</f>
        <v>8.9149846857499995</v>
      </c>
      <c r="BJ566" s="682">
        <f>+SUM(BF566:BI566)</f>
        <v>28.576656655437496</v>
      </c>
      <c r="BK566" s="476">
        <f>BK567*BK563</f>
        <v>9.0615240498196048</v>
      </c>
      <c r="BL566" s="476">
        <f>BL567*BL563</f>
        <v>9.0640287397420192</v>
      </c>
      <c r="BM566" s="476">
        <f>BM567*BM563</f>
        <v>8.1057131254314001</v>
      </c>
      <c r="BN566" s="682">
        <f>BN567*BN563</f>
        <v>9.4703812499999991</v>
      </c>
      <c r="BO566" s="682">
        <f>+SUM(BK566:BN566)</f>
        <v>35.70164716499302</v>
      </c>
      <c r="BP566" s="476">
        <f>BP567*BP563</f>
        <v>8.3148412514770182</v>
      </c>
      <c r="BQ566" s="476">
        <f>BQ567*BQ563</f>
        <v>9.58256075061648</v>
      </c>
      <c r="BR566" s="476">
        <f>BR567*BR563</f>
        <v>8.3042270803733391</v>
      </c>
      <c r="BS566" s="476">
        <f>BS567*BS563</f>
        <v>9.6715633917989106</v>
      </c>
      <c r="BT566" s="2604">
        <f>+SUM(BP566:BS566)</f>
        <v>35.87319247426575</v>
      </c>
      <c r="BU566" s="2577">
        <f t="shared" ref="BU566:CA566" si="1358">BU567*BU563</f>
        <v>8.9269237505410199</v>
      </c>
      <c r="BV566" s="2577">
        <f t="shared" si="1358"/>
        <v>9.7145299172683224</v>
      </c>
      <c r="BW566" s="2577">
        <f t="shared" si="1358"/>
        <v>8.3221821659525244</v>
      </c>
      <c r="BX566" s="2577">
        <f t="shared" si="1358"/>
        <v>9.5551098734078614</v>
      </c>
      <c r="BY566" s="2604">
        <f>+SUM(BU566:BX566)</f>
        <v>36.518745707169728</v>
      </c>
      <c r="BZ566" s="477">
        <f t="shared" si="1358"/>
        <v>28.575448613754464</v>
      </c>
      <c r="CA566" s="477">
        <f t="shared" si="1358"/>
        <v>21.12457640625</v>
      </c>
      <c r="CB566" s="477">
        <f>-CB567*CB563</f>
        <v>-20.681056265624996</v>
      </c>
      <c r="CC566" s="477">
        <f>-CC567*CC563</f>
        <v>-20.29944153691406</v>
      </c>
      <c r="CD566" s="477">
        <f>-CD567*CD563</f>
        <v>-20.502435952283204</v>
      </c>
      <c r="CE566" s="477">
        <f>-CE567*CE563</f>
        <v>-20.764193079783588</v>
      </c>
      <c r="CF566" s="477">
        <f>-CF567*CF563</f>
        <v>-20.914534914924094</v>
      </c>
      <c r="CG566" s="331"/>
      <c r="CH566" s="331"/>
      <c r="CI566" s="331"/>
      <c r="CJ566" s="331"/>
      <c r="CK566" s="331"/>
      <c r="CL566" s="520" t="str">
        <f t="shared" ref="CL566:CL571" si="1359">A566</f>
        <v>Operating expenses</v>
      </c>
      <c r="CM566" s="476"/>
      <c r="CN566" s="476"/>
      <c r="CO566" s="476"/>
      <c r="CP566" s="476"/>
      <c r="CQ566" s="476"/>
      <c r="CR566" s="476"/>
      <c r="CS566" s="476"/>
      <c r="CT566" s="476"/>
      <c r="CU566" s="476">
        <f t="shared" ref="CU566:CU571" si="1360">AU566</f>
        <v>0</v>
      </c>
      <c r="CV566" s="476">
        <f t="shared" ref="CV566:CV571" si="1361">AZ566</f>
        <v>0</v>
      </c>
      <c r="CW566" s="476">
        <f t="shared" ref="CW566:CW571" si="1362">BE566</f>
        <v>0</v>
      </c>
      <c r="CX566" s="476">
        <f t="shared" ref="CX566:CX571" si="1363">BJ566</f>
        <v>28.576656655437496</v>
      </c>
      <c r="CY566" s="476">
        <f t="shared" ref="CY566:CY571" si="1364">BO566</f>
        <v>35.70164716499302</v>
      </c>
      <c r="CZ566" s="476">
        <f t="shared" ref="CZ566:CZ571" si="1365">BT566</f>
        <v>35.87319247426575</v>
      </c>
      <c r="DA566" s="476">
        <f t="shared" ref="DA566:DC571" si="1366">BY566</f>
        <v>36.518745707169728</v>
      </c>
      <c r="DB566" s="476">
        <f t="shared" si="1366"/>
        <v>28.575448613754464</v>
      </c>
      <c r="DC566" s="682">
        <f t="shared" si="1366"/>
        <v>21.12457640625</v>
      </c>
      <c r="DD566" s="331"/>
      <c r="DE566" s="331"/>
      <c r="DF566" s="502"/>
      <c r="DG566" s="503"/>
      <c r="DH566" s="2577"/>
      <c r="DI566" s="3213"/>
      <c r="DJ566" s="502"/>
      <c r="DK566" s="503"/>
      <c r="DL566" s="502"/>
      <c r="DM566" s="502"/>
      <c r="DN566" s="502"/>
      <c r="DO566" s="502"/>
      <c r="DP566" s="503"/>
      <c r="DQ566" s="503"/>
      <c r="DR566" s="296"/>
      <c r="DS566" s="296"/>
      <c r="DT566" s="296"/>
      <c r="DU566"/>
      <c r="DV566"/>
      <c r="DW566"/>
      <c r="DX566"/>
      <c r="DY566"/>
      <c r="DZ566"/>
    </row>
    <row r="567" spans="1:130" ht="12" customHeight="1" x14ac:dyDescent="0.25">
      <c r="A567" s="465" t="s">
        <v>646</v>
      </c>
      <c r="B567" s="281"/>
      <c r="C567" s="472"/>
      <c r="D567" s="472"/>
      <c r="E567" s="472"/>
      <c r="F567" s="472"/>
      <c r="G567" s="491"/>
      <c r="H567" s="472"/>
      <c r="I567" s="472"/>
      <c r="J567" s="472"/>
      <c r="K567" s="472"/>
      <c r="L567" s="491"/>
      <c r="M567" s="472"/>
      <c r="N567" s="472"/>
      <c r="O567" s="472"/>
      <c r="P567" s="472"/>
      <c r="Q567" s="491"/>
      <c r="R567" s="472"/>
      <c r="S567" s="472"/>
      <c r="T567" s="472"/>
      <c r="U567" s="472"/>
      <c r="V567" s="491"/>
      <c r="W567" s="472"/>
      <c r="X567" s="472"/>
      <c r="Y567" s="472"/>
      <c r="Z567" s="472"/>
      <c r="AA567" s="491"/>
      <c r="AB567" s="472"/>
      <c r="AC567" s="472"/>
      <c r="AD567" s="472"/>
      <c r="AE567" s="492"/>
      <c r="AF567" s="493"/>
      <c r="AG567" s="472"/>
      <c r="AH567" s="472"/>
      <c r="AI567" s="472"/>
      <c r="AJ567" s="492"/>
      <c r="AK567" s="493"/>
      <c r="AL567" s="472"/>
      <c r="AM567" s="472"/>
      <c r="AN567" s="472"/>
      <c r="AO567" s="492"/>
      <c r="AP567" s="494"/>
      <c r="AQ567" s="494"/>
      <c r="AR567" s="1735"/>
      <c r="AS567" s="936"/>
      <c r="AT567" s="936"/>
      <c r="AU567" s="470"/>
      <c r="AV567" s="1667"/>
      <c r="AW567" s="540"/>
      <c r="AX567" s="540"/>
      <c r="AY567" s="540"/>
      <c r="AZ567" s="470"/>
      <c r="BA567" s="471"/>
      <c r="BB567" s="469"/>
      <c r="BC567" s="540"/>
      <c r="BD567" s="1668"/>
      <c r="BE567" s="1463"/>
      <c r="BF567" s="540"/>
      <c r="BG567" s="540">
        <v>1.1000000000000001</v>
      </c>
      <c r="BH567" s="540">
        <v>0.25</v>
      </c>
      <c r="BI567" s="1668">
        <v>0.25</v>
      </c>
      <c r="BJ567" s="1463">
        <f>BJ566/BJ563</f>
        <v>0.31757046692773494</v>
      </c>
      <c r="BK567" s="540">
        <v>0.23499999999999999</v>
      </c>
      <c r="BL567" s="540">
        <v>0.23</v>
      </c>
      <c r="BM567" s="540">
        <v>0.2</v>
      </c>
      <c r="BN567" s="1668">
        <v>0.25</v>
      </c>
      <c r="BO567" s="1463">
        <f>BO566/BO563</f>
        <v>0.22830265710863235</v>
      </c>
      <c r="BP567" s="540">
        <f>+BK567-0.02</f>
        <v>0.215</v>
      </c>
      <c r="BQ567" s="540">
        <v>0.222</v>
      </c>
      <c r="BR567" s="540">
        <f>+BM567-0.015</f>
        <v>0.185</v>
      </c>
      <c r="BS567" s="540">
        <v>0.245</v>
      </c>
      <c r="BT567" s="470">
        <f>BT566/BT563</f>
        <v>0.21584111257123015</v>
      </c>
      <c r="BU567" s="540">
        <f>+BP567-0.005</f>
        <v>0.21</v>
      </c>
      <c r="BV567" s="540">
        <f>+BQ567-0.0025</f>
        <v>0.2195</v>
      </c>
      <c r="BW567" s="540">
        <f>+BR567-0.005</f>
        <v>0.18</v>
      </c>
      <c r="BX567" s="540">
        <v>0.23499999999999999</v>
      </c>
      <c r="BY567" s="470">
        <f>BY566/BY563</f>
        <v>0.21028744098741869</v>
      </c>
      <c r="BZ567" s="3100">
        <v>0.20749999999999999</v>
      </c>
      <c r="CA567" s="2936">
        <f>+BZ567</f>
        <v>0.20749999999999999</v>
      </c>
      <c r="CB567" s="3101">
        <f>+CA567+0.0025</f>
        <v>0.21</v>
      </c>
      <c r="CC567" s="3101">
        <f>+CB567+0.0025</f>
        <v>0.21249999999999999</v>
      </c>
      <c r="CD567" s="2936">
        <f>+CC567</f>
        <v>0.21249999999999999</v>
      </c>
      <c r="CE567" s="2936">
        <f>+CD567</f>
        <v>0.21249999999999999</v>
      </c>
      <c r="CF567" s="2936">
        <f>+CE567</f>
        <v>0.21249999999999999</v>
      </c>
      <c r="CG567" s="331"/>
      <c r="CH567" s="331"/>
      <c r="CI567" s="331"/>
      <c r="CJ567" s="331"/>
      <c r="CK567" s="331"/>
      <c r="CL567" s="1310" t="str">
        <f t="shared" si="1359"/>
        <v>% of Net revenue</v>
      </c>
      <c r="CM567" s="492"/>
      <c r="CN567" s="492"/>
      <c r="CO567" s="492"/>
      <c r="CP567" s="492"/>
      <c r="CQ567" s="492"/>
      <c r="CR567" s="492"/>
      <c r="CS567" s="492"/>
      <c r="CT567" s="492"/>
      <c r="CU567" s="492">
        <f t="shared" si="1360"/>
        <v>0</v>
      </c>
      <c r="CV567" s="492">
        <f t="shared" si="1361"/>
        <v>0</v>
      </c>
      <c r="CW567" s="492">
        <f t="shared" si="1362"/>
        <v>0</v>
      </c>
      <c r="CX567" s="492">
        <f t="shared" si="1363"/>
        <v>0.31757046692773494</v>
      </c>
      <c r="CY567" s="492">
        <f t="shared" si="1364"/>
        <v>0.22830265710863235</v>
      </c>
      <c r="CZ567" s="492">
        <f t="shared" si="1365"/>
        <v>0.21584111257123015</v>
      </c>
      <c r="DA567" s="492">
        <f t="shared" si="1366"/>
        <v>0.21028744098741869</v>
      </c>
      <c r="DB567" s="492">
        <f t="shared" si="1366"/>
        <v>0.20749999999999999</v>
      </c>
      <c r="DC567" s="1311">
        <f t="shared" si="1366"/>
        <v>0.20749999999999999</v>
      </c>
      <c r="DD567" s="331"/>
      <c r="DE567" s="331"/>
      <c r="DF567" s="502"/>
      <c r="DG567" s="503"/>
      <c r="DH567" s="469"/>
      <c r="DI567" s="3213"/>
      <c r="DJ567" s="502"/>
      <c r="DK567" s="503"/>
      <c r="DL567" s="502"/>
      <c r="DM567" s="502"/>
      <c r="DN567" s="502"/>
      <c r="DO567" s="502"/>
      <c r="DP567" s="503"/>
      <c r="DQ567" s="503"/>
      <c r="DR567" s="296"/>
      <c r="DS567" s="296"/>
      <c r="DT567" s="296"/>
    </row>
    <row r="568" spans="1:130" ht="12" customHeight="1" x14ac:dyDescent="0.25">
      <c r="A568" s="465" t="s">
        <v>1491</v>
      </c>
      <c r="B568" s="281"/>
      <c r="C568" s="472"/>
      <c r="D568" s="472"/>
      <c r="E568" s="472"/>
      <c r="F568" s="472"/>
      <c r="G568" s="491"/>
      <c r="H568" s="472"/>
      <c r="I568" s="472"/>
      <c r="J568" s="472"/>
      <c r="K568" s="472"/>
      <c r="L568" s="491"/>
      <c r="M568" s="472"/>
      <c r="N568" s="472"/>
      <c r="O568" s="472"/>
      <c r="P568" s="472"/>
      <c r="Q568" s="491"/>
      <c r="R568" s="472"/>
      <c r="S568" s="472"/>
      <c r="T568" s="472"/>
      <c r="U568" s="472"/>
      <c r="V568" s="491"/>
      <c r="W568" s="472"/>
      <c r="X568" s="472"/>
      <c r="Y568" s="472"/>
      <c r="Z568" s="472"/>
      <c r="AA568" s="491"/>
      <c r="AB568" s="472"/>
      <c r="AC568" s="472"/>
      <c r="AD568" s="472"/>
      <c r="AE568" s="492"/>
      <c r="AF568" s="493"/>
      <c r="AG568" s="472"/>
      <c r="AH568" s="472"/>
      <c r="AI568" s="472"/>
      <c r="AJ568" s="492"/>
      <c r="AK568" s="493"/>
      <c r="AL568" s="472"/>
      <c r="AM568" s="472"/>
      <c r="AN568" s="472"/>
      <c r="AO568" s="492"/>
      <c r="AP568" s="494"/>
      <c r="AQ568" s="494"/>
      <c r="AR568" s="492"/>
      <c r="AS568" s="492"/>
      <c r="AT568" s="492"/>
      <c r="AU568" s="470"/>
      <c r="AV568" s="471"/>
      <c r="AW568" s="469"/>
      <c r="AX568" s="469"/>
      <c r="AY568" s="1463"/>
      <c r="AZ568" s="470"/>
      <c r="BA568" s="1667"/>
      <c r="BB568" s="540"/>
      <c r="BC568" s="540"/>
      <c r="BD568" s="1668"/>
      <c r="BE568" s="493"/>
      <c r="BF568" s="540"/>
      <c r="BG568" s="3091"/>
      <c r="BH568" s="3091"/>
      <c r="BI568" s="1463"/>
      <c r="BJ568" s="1463"/>
      <c r="BK568" s="469"/>
      <c r="BL568" s="469"/>
      <c r="BM568" s="469">
        <f t="shared" ref="BM568:BT568" si="1367">+BM566/BH566-1</f>
        <v>-0.31266684054186378</v>
      </c>
      <c r="BN568" s="1463">
        <f t="shared" si="1367"/>
        <v>6.2299216860996154E-2</v>
      </c>
      <c r="BO568" s="1463">
        <f t="shared" si="1367"/>
        <v>0.24932904487270724</v>
      </c>
      <c r="BP568" s="469">
        <f t="shared" si="1367"/>
        <v>-8.2401458544652972E-2</v>
      </c>
      <c r="BQ568" s="469">
        <f t="shared" si="1367"/>
        <v>5.7207675059646856E-2</v>
      </c>
      <c r="BR568" s="469">
        <f t="shared" si="1367"/>
        <v>2.4490621845363325E-2</v>
      </c>
      <c r="BS568" s="469">
        <f t="shared" si="1367"/>
        <v>2.1243299133169691E-2</v>
      </c>
      <c r="BT568" s="2693">
        <f t="shared" si="1367"/>
        <v>4.8049690391018807E-3</v>
      </c>
      <c r="BU568" s="469">
        <f>+BU566/BP566-1</f>
        <v>7.3613251360063359E-2</v>
      </c>
      <c r="BV568" s="469">
        <f>+BV566/BQ566-1</f>
        <v>1.3771805896806155E-2</v>
      </c>
      <c r="BW568" s="469">
        <f>+BW566/BR566-1</f>
        <v>2.1621621621621401E-3</v>
      </c>
      <c r="BX568" s="469">
        <f>+BX566/BS566-1</f>
        <v>-1.2040816326530757E-2</v>
      </c>
      <c r="BY568" s="2693">
        <f>+BY566/BT566-1</f>
        <v>1.7995421884101193E-2</v>
      </c>
      <c r="BZ568" s="2693">
        <f t="shared" ref="BZ568:CF568" si="1368">+BZ566/BY566-1</f>
        <v>-0.21751286742183362</v>
      </c>
      <c r="CA568" s="2693">
        <f t="shared" si="1368"/>
        <v>-0.26074384021806996</v>
      </c>
      <c r="CB568" s="2693">
        <f t="shared" si="1368"/>
        <v>-1.9790045427612086</v>
      </c>
      <c r="CC568" s="2693">
        <f t="shared" si="1368"/>
        <v>-1.8452380952380887E-2</v>
      </c>
      <c r="CD568" s="2693">
        <f t="shared" si="1368"/>
        <v>1.0000000000000231E-2</v>
      </c>
      <c r="CE568" s="2693">
        <f t="shared" si="1368"/>
        <v>1.2767123287671378E-2</v>
      </c>
      <c r="CF568" s="2693">
        <f t="shared" si="1368"/>
        <v>7.2404371584697813E-3</v>
      </c>
      <c r="CG568" s="331"/>
      <c r="CH568" s="331"/>
      <c r="CI568" s="331"/>
      <c r="CJ568" s="331"/>
      <c r="CK568" s="331"/>
      <c r="CL568" s="1310" t="str">
        <f t="shared" si="1359"/>
        <v>% growth (y-o-y)</v>
      </c>
      <c r="CM568" s="492"/>
      <c r="CN568" s="492"/>
      <c r="CO568" s="492"/>
      <c r="CP568" s="492"/>
      <c r="CQ568" s="492"/>
      <c r="CR568" s="492"/>
      <c r="CS568" s="492"/>
      <c r="CT568" s="492"/>
      <c r="CU568" s="492">
        <f t="shared" si="1360"/>
        <v>0</v>
      </c>
      <c r="CV568" s="492">
        <f t="shared" si="1361"/>
        <v>0</v>
      </c>
      <c r="CW568" s="492">
        <f t="shared" si="1362"/>
        <v>0</v>
      </c>
      <c r="CX568" s="492">
        <f t="shared" si="1363"/>
        <v>0</v>
      </c>
      <c r="CY568" s="492">
        <f t="shared" si="1364"/>
        <v>0.24932904487270724</v>
      </c>
      <c r="CZ568" s="492">
        <f t="shared" si="1365"/>
        <v>4.8049690391018807E-3</v>
      </c>
      <c r="DA568" s="492">
        <f t="shared" si="1366"/>
        <v>1.7995421884101193E-2</v>
      </c>
      <c r="DB568" s="492">
        <f t="shared" si="1366"/>
        <v>-0.21751286742183362</v>
      </c>
      <c r="DC568" s="1311">
        <f t="shared" si="1366"/>
        <v>-0.26074384021806996</v>
      </c>
      <c r="DD568" s="331"/>
      <c r="DE568" s="331"/>
      <c r="DF568" s="502"/>
      <c r="DG568" s="503"/>
      <c r="DH568" s="2653"/>
      <c r="DI568" s="3213"/>
      <c r="DJ568" s="502"/>
      <c r="DK568" s="503"/>
      <c r="DL568" s="502"/>
      <c r="DM568" s="502"/>
      <c r="DN568" s="502"/>
      <c r="DO568" s="502"/>
      <c r="DP568" s="503"/>
      <c r="DQ568" s="503"/>
      <c r="DR568" s="296"/>
      <c r="DS568" s="296"/>
      <c r="DT568" s="296"/>
    </row>
    <row r="569" spans="1:130" s="1049" customFormat="1" ht="12" customHeight="1" x14ac:dyDescent="0.25">
      <c r="A569" s="428" t="s">
        <v>2161</v>
      </c>
      <c r="B569" s="428"/>
      <c r="C569" s="476"/>
      <c r="D569" s="476"/>
      <c r="E569" s="476"/>
      <c r="F569" s="476"/>
      <c r="G569" s="477"/>
      <c r="H569" s="476"/>
      <c r="I569" s="476"/>
      <c r="J569" s="476"/>
      <c r="K569" s="476"/>
      <c r="L569" s="477"/>
      <c r="M569" s="476"/>
      <c r="N569" s="476"/>
      <c r="O569" s="476"/>
      <c r="P569" s="476"/>
      <c r="Q569" s="477"/>
      <c r="R569" s="476"/>
      <c r="S569" s="476"/>
      <c r="T569" s="476"/>
      <c r="U569" s="476"/>
      <c r="V569" s="477"/>
      <c r="W569" s="476"/>
      <c r="X569" s="476"/>
      <c r="Y569" s="476"/>
      <c r="Z569" s="476"/>
      <c r="AA569" s="477"/>
      <c r="AB569" s="476"/>
      <c r="AC569" s="476"/>
      <c r="AD569" s="476"/>
      <c r="AE569" s="476"/>
      <c r="AF569" s="477"/>
      <c r="AG569" s="476"/>
      <c r="AH569" s="476"/>
      <c r="AI569" s="476"/>
      <c r="AJ569" s="476"/>
      <c r="AK569" s="477"/>
      <c r="AL569" s="476"/>
      <c r="AM569" s="476"/>
      <c r="AN569" s="476"/>
      <c r="AO569" s="476"/>
      <c r="AP569" s="478"/>
      <c r="AQ569" s="478"/>
      <c r="AR569" s="476"/>
      <c r="AS569" s="476"/>
      <c r="AT569" s="476"/>
      <c r="AU569" s="477"/>
      <c r="AV569" s="478"/>
      <c r="AW569" s="476"/>
      <c r="AX569" s="476"/>
      <c r="AY569" s="682"/>
      <c r="AZ569" s="477"/>
      <c r="BA569" s="478"/>
      <c r="BB569" s="476"/>
      <c r="BC569" s="476"/>
      <c r="BD569" s="682"/>
      <c r="BE569" s="477"/>
      <c r="BF569" s="476"/>
      <c r="BG569" s="476">
        <f>+BG570*BG557</f>
        <v>3.0157669262</v>
      </c>
      <c r="BH569" s="476">
        <f>+BH570*BH557</f>
        <v>22.544406197599997</v>
      </c>
      <c r="BI569" s="682">
        <f>+BI570*BI557</f>
        <v>17.680953959899998</v>
      </c>
      <c r="BJ569" s="682">
        <f>+SUM(BF569:BI569)</f>
        <v>43.241127083699993</v>
      </c>
      <c r="BK569" s="476">
        <f>+BK570*BK557</f>
        <v>18.961555156599999</v>
      </c>
      <c r="BL569" s="476">
        <f>+BL570*BL557</f>
        <v>19.168475379899999</v>
      </c>
      <c r="BM569" s="476">
        <f>+BM570*BM557</f>
        <v>19.5011510358</v>
      </c>
      <c r="BN569" s="682">
        <f>+BN570*BN557</f>
        <v>18.326000000000001</v>
      </c>
      <c r="BO569" s="682">
        <f>+SUM(BK569:BN569)</f>
        <v>75.957181572300001</v>
      </c>
      <c r="BP569" s="476">
        <f>+BP570*BP557</f>
        <v>18.810902637799998</v>
      </c>
      <c r="BQ569" s="476">
        <f>+BQ570*BQ557</f>
        <v>20.899898371800003</v>
      </c>
      <c r="BR569" s="476">
        <f>+BR570*BR557</f>
        <v>21.833412581399998</v>
      </c>
      <c r="BS569" s="476">
        <f>+BS570*BS557</f>
        <v>19.2010390943</v>
      </c>
      <c r="BT569" s="2604">
        <f>+SUM(BP569:BS569)</f>
        <v>80.745252685300002</v>
      </c>
      <c r="BU569" s="2577">
        <f t="shared" ref="BU569:CA569" si="1369">+BU570*BU557</f>
        <v>20.676482778699999</v>
      </c>
      <c r="BV569" s="2577">
        <f t="shared" si="1369"/>
        <v>21.526895322954005</v>
      </c>
      <c r="BW569" s="2577">
        <f t="shared" si="1369"/>
        <v>22.488414958841997</v>
      </c>
      <c r="BX569" s="2577">
        <f t="shared" si="1369"/>
        <v>19.777070267129002</v>
      </c>
      <c r="BY569" s="2604">
        <f>+SUM(BU569:BX569)</f>
        <v>84.468863327625002</v>
      </c>
      <c r="BZ569" s="477">
        <f t="shared" si="1369"/>
        <v>68.229901547088758</v>
      </c>
      <c r="CA569" s="477">
        <f t="shared" si="1369"/>
        <v>50.439374999999998</v>
      </c>
      <c r="CB569" s="477">
        <f>+-CB570*CB557</f>
        <v>-48.792515624999993</v>
      </c>
      <c r="CC569" s="477">
        <f>+-CC570*CC557</f>
        <v>-47.328740156249999</v>
      </c>
      <c r="CD569" s="477">
        <f>+-CD570*CD557</f>
        <v>-47.802027557812501</v>
      </c>
      <c r="CE569" s="477">
        <f>+-CE570*CE557</f>
        <v>-48.41232193704375</v>
      </c>
      <c r="CF569" s="477">
        <f>+-CF570*CF557</f>
        <v>-48.762848311724525</v>
      </c>
      <c r="CG569" s="331"/>
      <c r="CH569" s="331"/>
      <c r="CI569" s="331"/>
      <c r="CJ569" s="331"/>
      <c r="CK569" s="331"/>
      <c r="CL569" s="520" t="str">
        <f t="shared" si="1359"/>
        <v>Tax expense</v>
      </c>
      <c r="CM569" s="476"/>
      <c r="CN569" s="476"/>
      <c r="CO569" s="476"/>
      <c r="CP569" s="476"/>
      <c r="CQ569" s="476"/>
      <c r="CR569" s="476"/>
      <c r="CS569" s="476"/>
      <c r="CT569" s="476"/>
      <c r="CU569" s="476">
        <f t="shared" si="1360"/>
        <v>0</v>
      </c>
      <c r="CV569" s="476">
        <f t="shared" si="1361"/>
        <v>0</v>
      </c>
      <c r="CW569" s="476">
        <f t="shared" si="1362"/>
        <v>0</v>
      </c>
      <c r="CX569" s="476">
        <f t="shared" si="1363"/>
        <v>43.241127083699993</v>
      </c>
      <c r="CY569" s="476">
        <f t="shared" si="1364"/>
        <v>75.957181572300001</v>
      </c>
      <c r="CZ569" s="476">
        <f t="shared" si="1365"/>
        <v>80.745252685300002</v>
      </c>
      <c r="DA569" s="476">
        <f t="shared" si="1366"/>
        <v>84.468863327625002</v>
      </c>
      <c r="DB569" s="476">
        <f t="shared" si="1366"/>
        <v>68.229901547088758</v>
      </c>
      <c r="DC569" s="682">
        <f t="shared" si="1366"/>
        <v>50.439374999999998</v>
      </c>
      <c r="DD569" s="331"/>
      <c r="DE569" s="331"/>
      <c r="DF569" s="502"/>
      <c r="DG569" s="503"/>
      <c r="DH569" s="2577"/>
      <c r="DI569" s="3213"/>
      <c r="DJ569" s="502"/>
      <c r="DK569" s="503"/>
      <c r="DL569" s="502"/>
      <c r="DM569" s="502"/>
      <c r="DN569" s="502"/>
      <c r="DO569" s="502"/>
      <c r="DP569" s="503"/>
      <c r="DQ569" s="503"/>
      <c r="DR569" s="296"/>
      <c r="DS569" s="296"/>
      <c r="DT569" s="296"/>
      <c r="DU569"/>
      <c r="DV569"/>
      <c r="DW569"/>
      <c r="DX569"/>
      <c r="DY569"/>
      <c r="DZ569"/>
    </row>
    <row r="570" spans="1:130" ht="12" customHeight="1" x14ac:dyDescent="0.25">
      <c r="A570" s="465" t="s">
        <v>1810</v>
      </c>
      <c r="B570" s="281"/>
      <c r="C570" s="472"/>
      <c r="D570" s="472"/>
      <c r="E570" s="472"/>
      <c r="F570" s="472"/>
      <c r="G570" s="491"/>
      <c r="H570" s="472"/>
      <c r="I570" s="472"/>
      <c r="J570" s="472"/>
      <c r="K570" s="472"/>
      <c r="L570" s="491"/>
      <c r="M570" s="472"/>
      <c r="N570" s="472"/>
      <c r="O570" s="472"/>
      <c r="P570" s="472"/>
      <c r="Q570" s="491"/>
      <c r="R570" s="472"/>
      <c r="S570" s="472"/>
      <c r="T570" s="472"/>
      <c r="U570" s="472"/>
      <c r="V570" s="491"/>
      <c r="W570" s="472"/>
      <c r="X570" s="472"/>
      <c r="Y570" s="472"/>
      <c r="Z570" s="472"/>
      <c r="AA570" s="491"/>
      <c r="AB570" s="472"/>
      <c r="AC570" s="472"/>
      <c r="AD570" s="472"/>
      <c r="AE570" s="492"/>
      <c r="AF570" s="493"/>
      <c r="AG570" s="472"/>
      <c r="AH570" s="472"/>
      <c r="AI570" s="472"/>
      <c r="AJ570" s="492"/>
      <c r="AK570" s="493"/>
      <c r="AL570" s="472"/>
      <c r="AM570" s="472"/>
      <c r="AN570" s="472"/>
      <c r="AO570" s="492"/>
      <c r="AP570" s="494"/>
      <c r="AQ570" s="494"/>
      <c r="AR570" s="936"/>
      <c r="AS570" s="936"/>
      <c r="AT570" s="492"/>
      <c r="AU570" s="539"/>
      <c r="AV570" s="1667"/>
      <c r="AW570" s="540"/>
      <c r="AX570" s="540"/>
      <c r="AY570" s="1668"/>
      <c r="AZ570" s="470"/>
      <c r="BA570" s="1667"/>
      <c r="BB570" s="540"/>
      <c r="BC570" s="540"/>
      <c r="BD570" s="1668"/>
      <c r="BE570" s="470"/>
      <c r="BF570" s="540"/>
      <c r="BG570" s="540">
        <v>0.49</v>
      </c>
      <c r="BH570" s="540">
        <v>0.49</v>
      </c>
      <c r="BI570" s="1668">
        <v>0.49</v>
      </c>
      <c r="BJ570" s="470">
        <f>BJ569/BJ557</f>
        <v>0.49</v>
      </c>
      <c r="BK570" s="540">
        <v>0.49</v>
      </c>
      <c r="BL570" s="540">
        <v>0.49</v>
      </c>
      <c r="BM570" s="540">
        <v>0.49</v>
      </c>
      <c r="BN570" s="1668">
        <v>0.49</v>
      </c>
      <c r="BO570" s="470">
        <f>BO569/BO557</f>
        <v>0.49000000000000005</v>
      </c>
      <c r="BP570" s="540">
        <v>0.49</v>
      </c>
      <c r="BQ570" s="540">
        <v>0.49</v>
      </c>
      <c r="BR570" s="540">
        <v>0.49</v>
      </c>
      <c r="BS570" s="540">
        <v>0.49</v>
      </c>
      <c r="BT570" s="470">
        <f>BT569/BT557</f>
        <v>0.48999999999999994</v>
      </c>
      <c r="BU570" s="540">
        <v>0.49</v>
      </c>
      <c r="BV570" s="540">
        <v>0.49</v>
      </c>
      <c r="BW570" s="540">
        <v>0.49</v>
      </c>
      <c r="BX570" s="540">
        <v>0.49</v>
      </c>
      <c r="BY570" s="470">
        <f>BY569/BY557</f>
        <v>0.49</v>
      </c>
      <c r="BZ570" s="470">
        <f t="shared" ref="BZ570:CF570" si="1370">+BY570</f>
        <v>0.49</v>
      </c>
      <c r="CA570" s="470">
        <f t="shared" si="1370"/>
        <v>0.49</v>
      </c>
      <c r="CB570" s="470">
        <f t="shared" si="1370"/>
        <v>0.49</v>
      </c>
      <c r="CC570" s="470">
        <f t="shared" si="1370"/>
        <v>0.49</v>
      </c>
      <c r="CD570" s="470">
        <f t="shared" si="1370"/>
        <v>0.49</v>
      </c>
      <c r="CE570" s="470">
        <f t="shared" si="1370"/>
        <v>0.49</v>
      </c>
      <c r="CF570" s="470">
        <f t="shared" si="1370"/>
        <v>0.49</v>
      </c>
      <c r="CG570" s="331"/>
      <c r="CH570" s="331"/>
      <c r="CI570" s="331"/>
      <c r="CJ570" s="331"/>
      <c r="CK570" s="331"/>
      <c r="CL570" s="1310" t="str">
        <f t="shared" si="1359"/>
        <v>% of Gaming revenue</v>
      </c>
      <c r="CM570" s="492"/>
      <c r="CN570" s="492"/>
      <c r="CO570" s="492"/>
      <c r="CP570" s="492"/>
      <c r="CQ570" s="492"/>
      <c r="CR570" s="492"/>
      <c r="CS570" s="492"/>
      <c r="CT570" s="492"/>
      <c r="CU570" s="492">
        <f t="shared" si="1360"/>
        <v>0</v>
      </c>
      <c r="CV570" s="492">
        <f t="shared" si="1361"/>
        <v>0</v>
      </c>
      <c r="CW570" s="492">
        <f t="shared" si="1362"/>
        <v>0</v>
      </c>
      <c r="CX570" s="492">
        <f t="shared" si="1363"/>
        <v>0.49</v>
      </c>
      <c r="CY570" s="492">
        <f t="shared" si="1364"/>
        <v>0.49000000000000005</v>
      </c>
      <c r="CZ570" s="492">
        <f t="shared" si="1365"/>
        <v>0.48999999999999994</v>
      </c>
      <c r="DA570" s="492">
        <f t="shared" si="1366"/>
        <v>0.49</v>
      </c>
      <c r="DB570" s="492">
        <f t="shared" si="1366"/>
        <v>0.49</v>
      </c>
      <c r="DC570" s="1311">
        <f t="shared" si="1366"/>
        <v>0.49</v>
      </c>
      <c r="DD570" s="331"/>
      <c r="DE570" s="331"/>
      <c r="DF570" s="502"/>
      <c r="DG570" s="503"/>
      <c r="DH570" s="469"/>
      <c r="DI570" s="3213"/>
      <c r="DJ570" s="502"/>
      <c r="DK570" s="503"/>
      <c r="DL570" s="502"/>
      <c r="DM570" s="502"/>
      <c r="DN570" s="502"/>
      <c r="DO570" s="502"/>
      <c r="DP570" s="503"/>
      <c r="DQ570" s="503"/>
      <c r="DR570" s="296"/>
      <c r="DS570" s="296"/>
      <c r="DT570" s="296"/>
    </row>
    <row r="571" spans="1:130" s="1049" customFormat="1" ht="12" customHeight="1" x14ac:dyDescent="0.25">
      <c r="A571" s="428" t="s">
        <v>2162</v>
      </c>
      <c r="B571" s="428"/>
      <c r="C571" s="476"/>
      <c r="D571" s="476"/>
      <c r="E571" s="476"/>
      <c r="F571" s="476"/>
      <c r="G571" s="477"/>
      <c r="H571" s="476"/>
      <c r="I571" s="476"/>
      <c r="J571" s="476"/>
      <c r="K571" s="476"/>
      <c r="L571" s="477"/>
      <c r="M571" s="476"/>
      <c r="N571" s="476"/>
      <c r="O571" s="476"/>
      <c r="P571" s="476"/>
      <c r="Q571" s="477"/>
      <c r="R571" s="476"/>
      <c r="S571" s="476"/>
      <c r="T571" s="476"/>
      <c r="U571" s="476"/>
      <c r="V571" s="477"/>
      <c r="W571" s="476"/>
      <c r="X571" s="476"/>
      <c r="Y571" s="476"/>
      <c r="Z571" s="476"/>
      <c r="AA571" s="477"/>
      <c r="AB571" s="476"/>
      <c r="AC571" s="476"/>
      <c r="AD571" s="476"/>
      <c r="AE571" s="476"/>
      <c r="AF571" s="477"/>
      <c r="AG571" s="476"/>
      <c r="AH571" s="476"/>
      <c r="AI571" s="476"/>
      <c r="AJ571" s="476"/>
      <c r="AK571" s="477"/>
      <c r="AL571" s="476"/>
      <c r="AM571" s="476"/>
      <c r="AN571" s="476"/>
      <c r="AO571" s="476"/>
      <c r="AP571" s="478"/>
      <c r="AQ571" s="478"/>
      <c r="AR571" s="476"/>
      <c r="AS571" s="476"/>
      <c r="AT571" s="476"/>
      <c r="AU571" s="477"/>
      <c r="AV571" s="478"/>
      <c r="AW571" s="476"/>
      <c r="AX571" s="476"/>
      <c r="AY571" s="682"/>
      <c r="AZ571" s="477"/>
      <c r="BA571" s="478"/>
      <c r="BB571" s="476"/>
      <c r="BC571" s="476"/>
      <c r="BD571" s="682"/>
      <c r="BE571" s="477"/>
      <c r="BF571" s="476"/>
      <c r="BG571" s="476">
        <f>+BG569+BG566</f>
        <v>10.8844488242</v>
      </c>
      <c r="BH571" s="476">
        <f>+BH569+BH566</f>
        <v>34.337396269287495</v>
      </c>
      <c r="BI571" s="682">
        <f>+BI569+BI566</f>
        <v>26.595938645649998</v>
      </c>
      <c r="BJ571" s="477">
        <f>+BJ569+BJ566</f>
        <v>71.817783739137496</v>
      </c>
      <c r="BK571" s="476">
        <f>+BK569+BK566</f>
        <v>28.023079206419602</v>
      </c>
      <c r="BL571" s="476">
        <f t="shared" ref="BL571:BT571" si="1371">+BL569+BL566</f>
        <v>28.232504119642016</v>
      </c>
      <c r="BM571" s="476">
        <f t="shared" si="1371"/>
        <v>27.6068641612314</v>
      </c>
      <c r="BN571" s="682">
        <f t="shared" si="1371"/>
        <v>27.79638125</v>
      </c>
      <c r="BO571" s="477">
        <f t="shared" si="1371"/>
        <v>111.65882873729302</v>
      </c>
      <c r="BP571" s="476">
        <f t="shared" si="1371"/>
        <v>27.125743889277018</v>
      </c>
      <c r="BQ571" s="476">
        <f t="shared" si="1371"/>
        <v>30.482459122416483</v>
      </c>
      <c r="BR571" s="476">
        <f t="shared" si="1371"/>
        <v>30.137639661773335</v>
      </c>
      <c r="BS571" s="476">
        <f t="shared" si="1371"/>
        <v>28.872602486098913</v>
      </c>
      <c r="BT571" s="2604">
        <f t="shared" si="1371"/>
        <v>116.61844515956575</v>
      </c>
      <c r="BU571" s="2577">
        <f t="shared" ref="BU571:CF571" si="1372">+BU569+BU566</f>
        <v>29.60340652924102</v>
      </c>
      <c r="BV571" s="2577">
        <f t="shared" si="1372"/>
        <v>31.241425240222327</v>
      </c>
      <c r="BW571" s="2577">
        <f t="shared" si="1372"/>
        <v>30.810597124794519</v>
      </c>
      <c r="BX571" s="2577">
        <f t="shared" si="1372"/>
        <v>29.332180140536863</v>
      </c>
      <c r="BY571" s="2604">
        <f t="shared" si="1372"/>
        <v>120.98760903479473</v>
      </c>
      <c r="BZ571" s="477">
        <f t="shared" si="1372"/>
        <v>96.805350160843219</v>
      </c>
      <c r="CA571" s="477">
        <f t="shared" si="1372"/>
        <v>71.563951406249998</v>
      </c>
      <c r="CB571" s="477">
        <f t="shared" si="1372"/>
        <v>-69.473571890624982</v>
      </c>
      <c r="CC571" s="477">
        <f t="shared" si="1372"/>
        <v>-67.628181693164066</v>
      </c>
      <c r="CD571" s="477">
        <f t="shared" si="1372"/>
        <v>-68.304463510095701</v>
      </c>
      <c r="CE571" s="477">
        <f t="shared" si="1372"/>
        <v>-69.176515016827338</v>
      </c>
      <c r="CF571" s="477">
        <f t="shared" si="1372"/>
        <v>-69.677383226648615</v>
      </c>
      <c r="CG571" s="331"/>
      <c r="CH571" s="331"/>
      <c r="CI571" s="331"/>
      <c r="CJ571" s="331"/>
      <c r="CK571" s="331"/>
      <c r="CL571" s="520" t="str">
        <f t="shared" si="1359"/>
        <v>Total expenses</v>
      </c>
      <c r="CM571" s="476"/>
      <c r="CN571" s="476"/>
      <c r="CO571" s="476"/>
      <c r="CP571" s="476"/>
      <c r="CQ571" s="476"/>
      <c r="CR571" s="476"/>
      <c r="CS571" s="476"/>
      <c r="CT571" s="476"/>
      <c r="CU571" s="476">
        <f t="shared" si="1360"/>
        <v>0</v>
      </c>
      <c r="CV571" s="476">
        <f t="shared" si="1361"/>
        <v>0</v>
      </c>
      <c r="CW571" s="476">
        <f t="shared" si="1362"/>
        <v>0</v>
      </c>
      <c r="CX571" s="476">
        <f t="shared" si="1363"/>
        <v>71.817783739137496</v>
      </c>
      <c r="CY571" s="476">
        <f t="shared" si="1364"/>
        <v>111.65882873729302</v>
      </c>
      <c r="CZ571" s="476">
        <f t="shared" si="1365"/>
        <v>116.61844515956575</v>
      </c>
      <c r="DA571" s="476">
        <f t="shared" si="1366"/>
        <v>120.98760903479473</v>
      </c>
      <c r="DB571" s="476">
        <f t="shared" si="1366"/>
        <v>96.805350160843219</v>
      </c>
      <c r="DC571" s="682">
        <f t="shared" si="1366"/>
        <v>71.563951406249998</v>
      </c>
      <c r="DD571" s="331"/>
      <c r="DE571" s="331"/>
      <c r="DF571" s="502"/>
      <c r="DG571" s="503"/>
      <c r="DH571" s="2577"/>
      <c r="DI571" s="3213"/>
      <c r="DJ571" s="502"/>
      <c r="DK571" s="503"/>
      <c r="DL571" s="502"/>
      <c r="DM571" s="502"/>
      <c r="DN571" s="502"/>
      <c r="DO571" s="502"/>
      <c r="DP571" s="503"/>
      <c r="DQ571" s="503"/>
      <c r="DR571" s="296"/>
      <c r="DS571" s="296"/>
      <c r="DT571" s="296"/>
      <c r="DU571"/>
      <c r="DV571"/>
      <c r="DW571"/>
      <c r="DX571"/>
      <c r="DY571"/>
      <c r="DZ571"/>
    </row>
    <row r="572" spans="1:130" ht="5.0999999999999996" customHeight="1" x14ac:dyDescent="0.25">
      <c r="A572" s="281"/>
      <c r="B572" s="281"/>
      <c r="C572" s="305"/>
      <c r="D572" s="305"/>
      <c r="E572" s="305"/>
      <c r="F572" s="305"/>
      <c r="G572" s="440"/>
      <c r="H572" s="305"/>
      <c r="I572" s="305"/>
      <c r="J572" s="305"/>
      <c r="K572" s="305"/>
      <c r="L572" s="440"/>
      <c r="M572" s="305"/>
      <c r="N572" s="305"/>
      <c r="O572" s="305"/>
      <c r="P572" s="305"/>
      <c r="Q572" s="440"/>
      <c r="R572" s="305"/>
      <c r="S572" s="305"/>
      <c r="T572" s="305"/>
      <c r="U572" s="305"/>
      <c r="V572" s="440"/>
      <c r="W572" s="305"/>
      <c r="X572" s="305"/>
      <c r="Y572" s="305"/>
      <c r="Z572" s="305"/>
      <c r="AA572" s="440"/>
      <c r="AB572" s="305"/>
      <c r="AC572" s="305"/>
      <c r="AD572" s="305"/>
      <c r="AE572" s="331"/>
      <c r="AF572" s="441"/>
      <c r="AG572" s="305"/>
      <c r="AH572" s="305"/>
      <c r="AI572" s="305"/>
      <c r="AJ572" s="331"/>
      <c r="AK572" s="441"/>
      <c r="AL572" s="305"/>
      <c r="AM572" s="305"/>
      <c r="AN572" s="305"/>
      <c r="AO572" s="331"/>
      <c r="AP572" s="569"/>
      <c r="AQ572" s="569"/>
      <c r="AR572" s="442"/>
      <c r="AS572" s="442"/>
      <c r="AT572" s="442"/>
      <c r="AU572" s="441"/>
      <c r="AV572" s="569"/>
      <c r="AW572" s="442"/>
      <c r="AX572" s="442"/>
      <c r="AY572" s="1312"/>
      <c r="AZ572" s="441"/>
      <c r="BA572" s="569"/>
      <c r="BB572" s="442"/>
      <c r="BC572" s="442"/>
      <c r="BD572" s="1312"/>
      <c r="BE572" s="1312"/>
      <c r="BF572" s="442"/>
      <c r="BG572" s="442"/>
      <c r="BH572" s="442"/>
      <c r="BI572" s="1312"/>
      <c r="BJ572" s="1312"/>
      <c r="BK572" s="442"/>
      <c r="BL572" s="442"/>
      <c r="BM572" s="442"/>
      <c r="BN572" s="1312"/>
      <c r="BO572" s="1312"/>
      <c r="BP572" s="442"/>
      <c r="BQ572" s="442"/>
      <c r="BR572" s="442"/>
      <c r="BS572" s="442"/>
      <c r="BT572" s="3236"/>
      <c r="BU572" s="3298"/>
      <c r="BV572" s="3298"/>
      <c r="BW572" s="3298"/>
      <c r="BX572" s="3298"/>
      <c r="BY572" s="3236"/>
      <c r="BZ572" s="441"/>
      <c r="CA572" s="441"/>
      <c r="CB572" s="441"/>
      <c r="CC572" s="441"/>
      <c r="CD572" s="441"/>
      <c r="CE572" s="441"/>
      <c r="CF572" s="441"/>
      <c r="CG572" s="331"/>
      <c r="CH572" s="331"/>
      <c r="CI572" s="331"/>
      <c r="CJ572" s="331"/>
      <c r="CK572" s="331"/>
      <c r="CL572" s="520"/>
      <c r="CM572" s="442"/>
      <c r="CN572" s="442"/>
      <c r="CO572" s="442"/>
      <c r="CP572" s="442"/>
      <c r="CQ572" s="442"/>
      <c r="CR572" s="442"/>
      <c r="CS572" s="442"/>
      <c r="CT572" s="442"/>
      <c r="CU572" s="442"/>
      <c r="CV572" s="442"/>
      <c r="CW572" s="442"/>
      <c r="CX572" s="442"/>
      <c r="CY572" s="442"/>
      <c r="CZ572" s="442"/>
      <c r="DA572" s="442"/>
      <c r="DB572" s="442"/>
      <c r="DC572" s="1312"/>
      <c r="DD572" s="331"/>
      <c r="DE572" s="331"/>
      <c r="DF572" s="502"/>
      <c r="DG572" s="503"/>
      <c r="DH572" s="3298"/>
      <c r="DI572" s="3213"/>
      <c r="DJ572" s="502"/>
      <c r="DK572" s="503"/>
      <c r="DL572" s="502"/>
      <c r="DM572" s="502"/>
      <c r="DN572" s="502"/>
      <c r="DO572" s="502"/>
      <c r="DP572" s="503"/>
      <c r="DQ572" s="503"/>
      <c r="DR572" s="296"/>
      <c r="DS572" s="296"/>
      <c r="DT572" s="296"/>
    </row>
    <row r="573" spans="1:130" ht="12" customHeight="1" x14ac:dyDescent="0.25">
      <c r="A573" s="496" t="s">
        <v>2010</v>
      </c>
      <c r="B573" s="1007"/>
      <c r="C573" s="1008"/>
      <c r="D573" s="1008"/>
      <c r="E573" s="1008"/>
      <c r="F573" s="1008"/>
      <c r="G573" s="1009"/>
      <c r="H573" s="1008"/>
      <c r="I573" s="1008"/>
      <c r="J573" s="1008"/>
      <c r="K573" s="1008"/>
      <c r="L573" s="1009"/>
      <c r="M573" s="1008"/>
      <c r="N573" s="1008"/>
      <c r="O573" s="1008"/>
      <c r="P573" s="1008"/>
      <c r="Q573" s="1009"/>
      <c r="R573" s="1008"/>
      <c r="S573" s="1008"/>
      <c r="T573" s="1008"/>
      <c r="U573" s="1008"/>
      <c r="V573" s="1009"/>
      <c r="W573" s="1008"/>
      <c r="X573" s="1008"/>
      <c r="Y573" s="1008"/>
      <c r="Z573" s="1008"/>
      <c r="AA573" s="1009"/>
      <c r="AB573" s="1008"/>
      <c r="AC573" s="1008"/>
      <c r="AD573" s="1008"/>
      <c r="AE573" s="1010"/>
      <c r="AF573" s="1011"/>
      <c r="AG573" s="1008"/>
      <c r="AH573" s="1008"/>
      <c r="AI573" s="1008"/>
      <c r="AJ573" s="1010"/>
      <c r="AK573" s="1011"/>
      <c r="AL573" s="1008"/>
      <c r="AM573" s="1008"/>
      <c r="AN573" s="1008"/>
      <c r="AO573" s="1010"/>
      <c r="AP573" s="1013"/>
      <c r="AQ573" s="1013"/>
      <c r="AR573" s="1012"/>
      <c r="AS573" s="1012"/>
      <c r="AT573" s="1012"/>
      <c r="AU573" s="1011"/>
      <c r="AV573" s="1013"/>
      <c r="AW573" s="1012"/>
      <c r="AX573" s="1012"/>
      <c r="AY573" s="1877"/>
      <c r="AZ573" s="1011"/>
      <c r="BA573" s="1013"/>
      <c r="BB573" s="1012"/>
      <c r="BC573" s="1012"/>
      <c r="BD573" s="1877"/>
      <c r="BE573" s="1877"/>
      <c r="BF573" s="1012"/>
      <c r="BG573" s="1012">
        <f>+BG563-BG571</f>
        <v>-3.7311016441999998</v>
      </c>
      <c r="BH573" s="1012">
        <f t="shared" ref="BH573:CA573" si="1373">+BH563-BH571</f>
        <v>12.834564017462498</v>
      </c>
      <c r="BI573" s="1877">
        <f t="shared" si="1373"/>
        <v>9.0640000973500001</v>
      </c>
      <c r="BJ573" s="1877">
        <f t="shared" si="1373"/>
        <v>18.167462470612492</v>
      </c>
      <c r="BK573" s="1012">
        <f t="shared" si="1373"/>
        <v>10.5365976013234</v>
      </c>
      <c r="BL573" s="1012">
        <f t="shared" si="1373"/>
        <v>11.176316487931977</v>
      </c>
      <c r="BM573" s="1012">
        <f t="shared" si="1373"/>
        <v>12.921701465925601</v>
      </c>
      <c r="BN573" s="1877">
        <f t="shared" si="1373"/>
        <v>10.085143749999997</v>
      </c>
      <c r="BO573" s="1877">
        <f t="shared" si="1373"/>
        <v>44.719759305180986</v>
      </c>
      <c r="BP573" s="1012">
        <f t="shared" ref="BP573:BX573" si="1374">+BP563-BP571</f>
        <v>11.547936350150977</v>
      </c>
      <c r="BQ573" s="1012">
        <f t="shared" si="1374"/>
        <v>12.682228943423521</v>
      </c>
      <c r="BR573" s="1012">
        <f t="shared" si="1374"/>
        <v>14.75007428619066</v>
      </c>
      <c r="BS573" s="1012">
        <f t="shared" si="1374"/>
        <v>10.603166460019089</v>
      </c>
      <c r="BT573" s="1011">
        <f t="shared" si="1374"/>
        <v>49.583406039784265</v>
      </c>
      <c r="BU573" s="1012">
        <f t="shared" si="1374"/>
        <v>12.905754187620978</v>
      </c>
      <c r="BV573" s="1012">
        <f t="shared" si="1374"/>
        <v>13.016114246193723</v>
      </c>
      <c r="BW573" s="1012">
        <f t="shared" si="1374"/>
        <v>15.423748241608394</v>
      </c>
      <c r="BX573" s="1012">
        <f t="shared" si="1374"/>
        <v>11.327861873964679</v>
      </c>
      <c r="BY573" s="1011">
        <f>+BY563-BY571</f>
        <v>52.673478549387767</v>
      </c>
      <c r="BZ573" s="1011">
        <f t="shared" si="1373"/>
        <v>40.907655206648187</v>
      </c>
      <c r="CA573" s="1011">
        <f t="shared" si="1373"/>
        <v>30.241236093750004</v>
      </c>
      <c r="CB573" s="1011">
        <f>+CB563+CB571</f>
        <v>29.007648421875004</v>
      </c>
      <c r="CC573" s="1011">
        <f>+CC563+CC571</f>
        <v>27.898602009960925</v>
      </c>
      <c r="CD573" s="1011">
        <f>+CD563+CD571</f>
        <v>28.177588030060548</v>
      </c>
      <c r="CE573" s="1011">
        <f>+CE563+CE571</f>
        <v>28.537334770389549</v>
      </c>
      <c r="CF573" s="1011">
        <f>+CF563+CF571</f>
        <v>28.743957549464767</v>
      </c>
      <c r="CG573" s="331"/>
      <c r="CH573" s="331"/>
      <c r="CI573" s="331"/>
      <c r="CJ573" s="331"/>
      <c r="CK573" s="331"/>
      <c r="CL573" s="2102" t="str">
        <f t="shared" ref="CL573:CL578" si="1375">A573</f>
        <v>Property EBITDA</v>
      </c>
      <c r="CM573" s="1012"/>
      <c r="CN573" s="1012"/>
      <c r="CO573" s="1012"/>
      <c r="CP573" s="1012"/>
      <c r="CQ573" s="1012"/>
      <c r="CR573" s="1012"/>
      <c r="CS573" s="1012"/>
      <c r="CT573" s="1012"/>
      <c r="CU573" s="1012">
        <f t="shared" ref="CU573:CU578" si="1376">AU573</f>
        <v>0</v>
      </c>
      <c r="CV573" s="1012">
        <f t="shared" ref="CV573:CV578" si="1377">AZ573</f>
        <v>0</v>
      </c>
      <c r="CW573" s="1012">
        <f t="shared" ref="CW573:CW578" si="1378">BE573</f>
        <v>0</v>
      </c>
      <c r="CX573" s="1012">
        <f t="shared" ref="CX573:CX578" si="1379">BJ573</f>
        <v>18.167462470612492</v>
      </c>
      <c r="CY573" s="1012">
        <f t="shared" ref="CY573:CY578" si="1380">BO573</f>
        <v>44.719759305180986</v>
      </c>
      <c r="CZ573" s="1012">
        <f t="shared" ref="CZ573:CZ578" si="1381">BT573</f>
        <v>49.583406039784265</v>
      </c>
      <c r="DA573" s="1012">
        <f t="shared" ref="DA573:DC578" si="1382">BY573</f>
        <v>52.673478549387767</v>
      </c>
      <c r="DB573" s="1012">
        <f t="shared" si="1382"/>
        <v>40.907655206648187</v>
      </c>
      <c r="DC573" s="1877">
        <f t="shared" si="1382"/>
        <v>30.241236093750004</v>
      </c>
      <c r="DD573" s="331"/>
      <c r="DE573" s="331"/>
      <c r="DF573" s="502"/>
      <c r="DG573" s="503"/>
      <c r="DH573" s="598"/>
      <c r="DI573" s="3213"/>
      <c r="DJ573" s="502"/>
      <c r="DK573" s="503"/>
      <c r="DL573" s="502"/>
      <c r="DM573" s="502"/>
      <c r="DN573" s="502"/>
      <c r="DO573" s="502"/>
      <c r="DP573" s="503"/>
      <c r="DQ573" s="503"/>
      <c r="DR573" s="296"/>
      <c r="DS573" s="296"/>
      <c r="DT573" s="296"/>
    </row>
    <row r="574" spans="1:130" ht="12" customHeight="1" x14ac:dyDescent="0.25">
      <c r="A574" s="465" t="s">
        <v>1892</v>
      </c>
      <c r="B574" s="281"/>
      <c r="C574" s="472"/>
      <c r="D574" s="472"/>
      <c r="E574" s="472"/>
      <c r="F574" s="472"/>
      <c r="G574" s="491"/>
      <c r="H574" s="472"/>
      <c r="I574" s="472"/>
      <c r="J574" s="472"/>
      <c r="K574" s="472"/>
      <c r="L574" s="491"/>
      <c r="M574" s="472"/>
      <c r="N574" s="472"/>
      <c r="O574" s="472"/>
      <c r="P574" s="472"/>
      <c r="Q574" s="491"/>
      <c r="R574" s="472"/>
      <c r="S574" s="472"/>
      <c r="T574" s="472"/>
      <c r="U574" s="472"/>
      <c r="V574" s="491"/>
      <c r="W574" s="472"/>
      <c r="X574" s="472"/>
      <c r="Y574" s="472"/>
      <c r="Z574" s="472"/>
      <c r="AA574" s="491"/>
      <c r="AB574" s="472"/>
      <c r="AC574" s="472"/>
      <c r="AD574" s="472"/>
      <c r="AE574" s="492"/>
      <c r="AF574" s="493"/>
      <c r="AG574" s="472"/>
      <c r="AH574" s="472"/>
      <c r="AI574" s="472"/>
      <c r="AJ574" s="492"/>
      <c r="AK574" s="493"/>
      <c r="AL574" s="472"/>
      <c r="AM574" s="472"/>
      <c r="AN574" s="472"/>
      <c r="AO574" s="492"/>
      <c r="AP574" s="494"/>
      <c r="AQ574" s="494"/>
      <c r="AR574" s="492"/>
      <c r="AS574" s="492"/>
      <c r="AT574" s="492"/>
      <c r="AU574" s="470"/>
      <c r="AV574" s="471"/>
      <c r="AW574" s="469"/>
      <c r="AX574" s="469"/>
      <c r="AY574" s="1463"/>
      <c r="AZ574" s="470"/>
      <c r="BA574" s="471"/>
      <c r="BB574" s="469"/>
      <c r="BC574" s="469"/>
      <c r="BD574" s="1463"/>
      <c r="BE574" s="1463"/>
      <c r="BF574" s="469"/>
      <c r="BG574" s="469">
        <f>+BG573/BG563</f>
        <v>-0.5215882230114266</v>
      </c>
      <c r="BH574" s="469">
        <f>+BH573/BH563</f>
        <v>0.27208036171156458</v>
      </c>
      <c r="BI574" s="1463">
        <f>+BI573/BI563</f>
        <v>0.25417879045373437</v>
      </c>
      <c r="BJ574" s="1463">
        <f>+BJ573/BJ563</f>
        <v>0.20189379076949204</v>
      </c>
      <c r="BK574" s="469">
        <f>+BK573/BK563</f>
        <v>0.27325430277485085</v>
      </c>
      <c r="BL574" s="469">
        <f t="shared" ref="BL574:BT574" si="1383">+BL573/BL563</f>
        <v>0.283599364701211</v>
      </c>
      <c r="BM574" s="469">
        <f t="shared" si="1383"/>
        <v>0.31882947905926257</v>
      </c>
      <c r="BN574" s="1463">
        <f t="shared" si="1383"/>
        <v>0.26622855732444767</v>
      </c>
      <c r="BO574" s="1463">
        <f t="shared" si="1383"/>
        <v>0.28597111577087936</v>
      </c>
      <c r="BP574" s="469">
        <f t="shared" si="1383"/>
        <v>0.29859936470121101</v>
      </c>
      <c r="BQ574" s="469">
        <f t="shared" si="1383"/>
        <v>0.29381027667984189</v>
      </c>
      <c r="BR574" s="469">
        <f t="shared" si="1383"/>
        <v>0.32859936470121109</v>
      </c>
      <c r="BS574" s="469">
        <f t="shared" si="1383"/>
        <v>0.26859936470121099</v>
      </c>
      <c r="BT574" s="470">
        <f t="shared" si="1383"/>
        <v>0.29833245347136167</v>
      </c>
      <c r="BU574" s="469">
        <f t="shared" ref="BU574:CF574" si="1384">+BU573/BU563</f>
        <v>0.30359936470121102</v>
      </c>
      <c r="BV574" s="469">
        <f t="shared" si="1384"/>
        <v>0.29409936470121106</v>
      </c>
      <c r="BW574" s="469">
        <f t="shared" si="1384"/>
        <v>0.3335993647012111</v>
      </c>
      <c r="BX574" s="469">
        <f t="shared" si="1384"/>
        <v>0.27859936470121105</v>
      </c>
      <c r="BY574" s="470">
        <f t="shared" si="1384"/>
        <v>0.30331192371379229</v>
      </c>
      <c r="BZ574" s="470">
        <f t="shared" si="1384"/>
        <v>0.29705005055611738</v>
      </c>
      <c r="CA574" s="470">
        <f t="shared" si="1384"/>
        <v>0.29705005055611733</v>
      </c>
      <c r="CB574" s="470">
        <f t="shared" si="1384"/>
        <v>0.29455005055611738</v>
      </c>
      <c r="CC574" s="470">
        <f t="shared" si="1384"/>
        <v>0.29205005055611716</v>
      </c>
      <c r="CD574" s="470">
        <f t="shared" si="1384"/>
        <v>0.29205005055611732</v>
      </c>
      <c r="CE574" s="470">
        <f t="shared" si="1384"/>
        <v>0.29205005055611738</v>
      </c>
      <c r="CF574" s="470">
        <f t="shared" si="1384"/>
        <v>0.29205005055611732</v>
      </c>
      <c r="CG574" s="331"/>
      <c r="CH574" s="331"/>
      <c r="CI574" s="331"/>
      <c r="CJ574" s="331"/>
      <c r="CK574" s="331"/>
      <c r="CL574" s="1310" t="str">
        <f t="shared" si="1375"/>
        <v>Margin</v>
      </c>
      <c r="CM574" s="492"/>
      <c r="CN574" s="492"/>
      <c r="CO574" s="492"/>
      <c r="CP574" s="492"/>
      <c r="CQ574" s="492"/>
      <c r="CR574" s="492"/>
      <c r="CS574" s="492"/>
      <c r="CT574" s="492"/>
      <c r="CU574" s="492">
        <f t="shared" si="1376"/>
        <v>0</v>
      </c>
      <c r="CV574" s="492">
        <f t="shared" si="1377"/>
        <v>0</v>
      </c>
      <c r="CW574" s="492">
        <f t="shared" si="1378"/>
        <v>0</v>
      </c>
      <c r="CX574" s="492">
        <f t="shared" si="1379"/>
        <v>0.20189379076949204</v>
      </c>
      <c r="CY574" s="492">
        <f t="shared" si="1380"/>
        <v>0.28597111577087936</v>
      </c>
      <c r="CZ574" s="492">
        <f t="shared" si="1381"/>
        <v>0.29833245347136167</v>
      </c>
      <c r="DA574" s="492">
        <f t="shared" si="1382"/>
        <v>0.30331192371379229</v>
      </c>
      <c r="DB574" s="492">
        <f t="shared" si="1382"/>
        <v>0.29705005055611738</v>
      </c>
      <c r="DC574" s="1311">
        <f t="shared" si="1382"/>
        <v>0.29705005055611733</v>
      </c>
      <c r="DD574" s="331"/>
      <c r="DE574" s="331"/>
      <c r="DF574" s="502"/>
      <c r="DG574" s="503"/>
      <c r="DH574" s="469"/>
      <c r="DI574" s="3213"/>
      <c r="DJ574" s="502"/>
      <c r="DK574" s="503"/>
      <c r="DL574" s="502"/>
      <c r="DM574" s="502"/>
      <c r="DN574" s="502"/>
      <c r="DO574" s="502"/>
      <c r="DP574" s="503"/>
      <c r="DQ574" s="503"/>
      <c r="DR574" s="296"/>
      <c r="DS574" s="296"/>
      <c r="DT574" s="296"/>
    </row>
    <row r="575" spans="1:130" ht="12" customHeight="1" x14ac:dyDescent="0.25">
      <c r="A575" s="465" t="s">
        <v>1491</v>
      </c>
      <c r="B575" s="281"/>
      <c r="C575" s="472"/>
      <c r="D575" s="472"/>
      <c r="E575" s="472"/>
      <c r="F575" s="472"/>
      <c r="G575" s="491"/>
      <c r="H575" s="472"/>
      <c r="I575" s="472"/>
      <c r="J575" s="472"/>
      <c r="K575" s="472"/>
      <c r="L575" s="491"/>
      <c r="M575" s="472"/>
      <c r="N575" s="472"/>
      <c r="O575" s="472"/>
      <c r="P575" s="472"/>
      <c r="Q575" s="491"/>
      <c r="R575" s="472"/>
      <c r="S575" s="472"/>
      <c r="T575" s="472"/>
      <c r="U575" s="472"/>
      <c r="V575" s="491"/>
      <c r="W575" s="472"/>
      <c r="X575" s="472"/>
      <c r="Y575" s="472"/>
      <c r="Z575" s="472"/>
      <c r="AA575" s="491"/>
      <c r="AB575" s="472"/>
      <c r="AC575" s="472"/>
      <c r="AD575" s="472"/>
      <c r="AE575" s="492"/>
      <c r="AF575" s="493"/>
      <c r="AG575" s="472"/>
      <c r="AH575" s="472"/>
      <c r="AI575" s="472"/>
      <c r="AJ575" s="492"/>
      <c r="AK575" s="493"/>
      <c r="AL575" s="472"/>
      <c r="AM575" s="472"/>
      <c r="AN575" s="472"/>
      <c r="AO575" s="492"/>
      <c r="AP575" s="494"/>
      <c r="AQ575" s="494"/>
      <c r="AR575" s="492"/>
      <c r="AS575" s="492"/>
      <c r="AT575" s="492"/>
      <c r="AU575" s="470"/>
      <c r="AV575" s="471"/>
      <c r="AW575" s="469"/>
      <c r="AX575" s="469"/>
      <c r="AY575" s="1463"/>
      <c r="AZ575" s="470"/>
      <c r="BA575" s="471"/>
      <c r="BB575" s="469"/>
      <c r="BC575" s="469"/>
      <c r="BD575" s="1463"/>
      <c r="BE575" s="1463"/>
      <c r="BF575" s="469"/>
      <c r="BG575" s="469"/>
      <c r="BH575" s="469"/>
      <c r="BI575" s="1463"/>
      <c r="BJ575" s="1463"/>
      <c r="BK575" s="469"/>
      <c r="BL575" s="469"/>
      <c r="BM575" s="469"/>
      <c r="BN575" s="1463"/>
      <c r="BO575" s="1463"/>
      <c r="BP575" s="469"/>
      <c r="BQ575" s="469"/>
      <c r="BR575" s="469"/>
      <c r="BS575" s="469"/>
      <c r="BT575" s="470"/>
      <c r="BU575" s="469"/>
      <c r="BV575" s="469"/>
      <c r="BW575" s="469"/>
      <c r="BX575" s="469"/>
      <c r="BY575" s="470">
        <f>+BY573/BT573-1</f>
        <v>6.2320698725781831E-2</v>
      </c>
      <c r="BZ575" s="470">
        <f t="shared" ref="BZ575:CF575" si="1385">+BZ573/BY573-1</f>
        <v>-0.22337281810062526</v>
      </c>
      <c r="CA575" s="470">
        <f t="shared" si="1385"/>
        <v>-0.26074384021807018</v>
      </c>
      <c r="CB575" s="470">
        <f t="shared" si="1385"/>
        <v>-4.0791575716375816E-2</v>
      </c>
      <c r="CC575" s="470">
        <f t="shared" si="1385"/>
        <v>-3.8232896227387236E-2</v>
      </c>
      <c r="CD575" s="470">
        <f t="shared" si="1385"/>
        <v>1.0000000000000453E-2</v>
      </c>
      <c r="CE575" s="470">
        <f t="shared" si="1385"/>
        <v>1.27671232876716E-2</v>
      </c>
      <c r="CF575" s="470">
        <f t="shared" si="1385"/>
        <v>7.2404371584697813E-3</v>
      </c>
      <c r="CG575" s="331"/>
      <c r="CH575" s="331"/>
      <c r="CI575" s="331"/>
      <c r="CJ575" s="331"/>
      <c r="CK575" s="331"/>
      <c r="CL575" s="1310" t="str">
        <f t="shared" si="1375"/>
        <v>% growth (y-o-y)</v>
      </c>
      <c r="CM575" s="492"/>
      <c r="CN575" s="492"/>
      <c r="CO575" s="492"/>
      <c r="CP575" s="492"/>
      <c r="CQ575" s="492"/>
      <c r="CR575" s="492"/>
      <c r="CS575" s="492"/>
      <c r="CT575" s="492"/>
      <c r="CU575" s="492">
        <f t="shared" si="1376"/>
        <v>0</v>
      </c>
      <c r="CV575" s="492">
        <f t="shared" si="1377"/>
        <v>0</v>
      </c>
      <c r="CW575" s="492">
        <f t="shared" si="1378"/>
        <v>0</v>
      </c>
      <c r="CX575" s="492">
        <f t="shared" si="1379"/>
        <v>0</v>
      </c>
      <c r="CY575" s="492">
        <f t="shared" si="1380"/>
        <v>0</v>
      </c>
      <c r="CZ575" s="492">
        <f t="shared" si="1381"/>
        <v>0</v>
      </c>
      <c r="DA575" s="492">
        <f t="shared" si="1382"/>
        <v>6.2320698725781831E-2</v>
      </c>
      <c r="DB575" s="492">
        <f t="shared" si="1382"/>
        <v>-0.22337281810062526</v>
      </c>
      <c r="DC575" s="1311">
        <f t="shared" si="1382"/>
        <v>-0.26074384021807018</v>
      </c>
      <c r="DD575" s="331"/>
      <c r="DE575" s="331"/>
      <c r="DF575" s="502"/>
      <c r="DG575" s="503"/>
      <c r="DH575" s="469"/>
      <c r="DI575" s="3213"/>
      <c r="DJ575" s="502"/>
      <c r="DK575" s="503"/>
      <c r="DL575" s="502"/>
      <c r="DM575" s="502"/>
      <c r="DN575" s="502"/>
      <c r="DO575" s="502"/>
      <c r="DP575" s="503"/>
      <c r="DQ575" s="503"/>
      <c r="DR575" s="296"/>
      <c r="DS575" s="296"/>
      <c r="DT575" s="296"/>
    </row>
    <row r="576" spans="1:130" ht="12" customHeight="1" x14ac:dyDescent="0.25">
      <c r="A576" s="281" t="s">
        <v>2197</v>
      </c>
      <c r="B576" s="281"/>
      <c r="C576" s="570"/>
      <c r="D576" s="570"/>
      <c r="E576" s="570"/>
      <c r="F576" s="570"/>
      <c r="G576" s="475"/>
      <c r="H576" s="570"/>
      <c r="I576" s="570"/>
      <c r="J576" s="570"/>
      <c r="K576" s="570"/>
      <c r="L576" s="475"/>
      <c r="M576" s="570"/>
      <c r="N576" s="570"/>
      <c r="O576" s="570"/>
      <c r="P576" s="570"/>
      <c r="Q576" s="475"/>
      <c r="R576" s="570"/>
      <c r="S576" s="570"/>
      <c r="T576" s="570"/>
      <c r="U576" s="570"/>
      <c r="V576" s="475"/>
      <c r="W576" s="570"/>
      <c r="X576" s="570"/>
      <c r="Y576" s="570"/>
      <c r="Z576" s="570"/>
      <c r="AA576" s="475"/>
      <c r="AB576" s="570"/>
      <c r="AC576" s="570"/>
      <c r="AD576" s="570"/>
      <c r="AE576" s="572"/>
      <c r="AF576" s="477"/>
      <c r="AG576" s="570"/>
      <c r="AH576" s="570"/>
      <c r="AI576" s="570"/>
      <c r="AJ576" s="572"/>
      <c r="AK576" s="477"/>
      <c r="AL576" s="570"/>
      <c r="AM576" s="570"/>
      <c r="AN576" s="570"/>
      <c r="AO576" s="572"/>
      <c r="AP576" s="478"/>
      <c r="AQ576" s="478"/>
      <c r="AR576" s="476"/>
      <c r="AS576" s="476"/>
      <c r="AT576" s="476"/>
      <c r="AU576" s="477"/>
      <c r="AV576" s="478"/>
      <c r="AW576" s="476"/>
      <c r="AX576" s="476"/>
      <c r="AY576" s="682"/>
      <c r="AZ576" s="477"/>
      <c r="BA576" s="478"/>
      <c r="BB576" s="476"/>
      <c r="BC576" s="572"/>
      <c r="BD576" s="1313"/>
      <c r="BE576" s="682"/>
      <c r="BF576" s="572"/>
      <c r="BG576" s="572"/>
      <c r="BH576" s="572">
        <f>250/30/4</f>
        <v>2.0833333333333335</v>
      </c>
      <c r="BI576" s="2919">
        <f>BH576</f>
        <v>2.0833333333333335</v>
      </c>
      <c r="BJ576" s="682">
        <f>+SUM(BF576:BI576)</f>
        <v>4.166666666666667</v>
      </c>
      <c r="BK576" s="3030">
        <f>+BI576</f>
        <v>2.0833333333333335</v>
      </c>
      <c r="BL576" s="3030">
        <f>+BK576</f>
        <v>2.0833333333333335</v>
      </c>
      <c r="BM576" s="3030">
        <f>+BL576</f>
        <v>2.0833333333333335</v>
      </c>
      <c r="BN576" s="3030">
        <f>+BM576</f>
        <v>2.0833333333333335</v>
      </c>
      <c r="BO576" s="477">
        <f>+SUM(BK576:BN576)</f>
        <v>8.3333333333333339</v>
      </c>
      <c r="BP576" s="3030">
        <f>+BN576</f>
        <v>2.0833333333333335</v>
      </c>
      <c r="BQ576" s="3030">
        <f>+BP576</f>
        <v>2.0833333333333335</v>
      </c>
      <c r="BR576" s="3030">
        <f>+BQ576</f>
        <v>2.0833333333333335</v>
      </c>
      <c r="BS576" s="3030">
        <f>+BR576</f>
        <v>2.0833333333333335</v>
      </c>
      <c r="BT576" s="2604">
        <f>+SUM(BP576:BS576)</f>
        <v>8.3333333333333339</v>
      </c>
      <c r="BU576" s="3445">
        <f>BS576</f>
        <v>2.0833333333333335</v>
      </c>
      <c r="BV576" s="3445">
        <f>+BU576</f>
        <v>2.0833333333333335</v>
      </c>
      <c r="BW576" s="3445">
        <f>+BV576</f>
        <v>2.0833333333333335</v>
      </c>
      <c r="BX576" s="3445">
        <f>+BW576</f>
        <v>2.0833333333333335</v>
      </c>
      <c r="BY576" s="2604">
        <f>+SUM(BU576:BX576)</f>
        <v>8.3333333333333339</v>
      </c>
      <c r="BZ576" s="477">
        <f t="shared" ref="BZ576:CF576" si="1386">BY576</f>
        <v>8.3333333333333339</v>
      </c>
      <c r="CA576" s="477">
        <f t="shared" si="1386"/>
        <v>8.3333333333333339</v>
      </c>
      <c r="CB576" s="477">
        <f t="shared" si="1386"/>
        <v>8.3333333333333339</v>
      </c>
      <c r="CC576" s="477">
        <f t="shared" si="1386"/>
        <v>8.3333333333333339</v>
      </c>
      <c r="CD576" s="477">
        <f t="shared" si="1386"/>
        <v>8.3333333333333339</v>
      </c>
      <c r="CE576" s="477">
        <f t="shared" si="1386"/>
        <v>8.3333333333333339</v>
      </c>
      <c r="CF576" s="477">
        <f t="shared" si="1386"/>
        <v>8.3333333333333339</v>
      </c>
      <c r="CG576" s="331"/>
      <c r="CH576" s="331"/>
      <c r="CI576" s="331"/>
      <c r="CJ576" s="331"/>
      <c r="CK576" s="331"/>
      <c r="CL576" s="520" t="str">
        <f t="shared" si="1375"/>
        <v>Depreciation and amortization</v>
      </c>
      <c r="CM576" s="476"/>
      <c r="CN576" s="476"/>
      <c r="CO576" s="476"/>
      <c r="CP576" s="476"/>
      <c r="CQ576" s="476"/>
      <c r="CR576" s="476"/>
      <c r="CS576" s="476"/>
      <c r="CT576" s="476"/>
      <c r="CU576" s="476">
        <f t="shared" si="1376"/>
        <v>0</v>
      </c>
      <c r="CV576" s="476">
        <f t="shared" si="1377"/>
        <v>0</v>
      </c>
      <c r="CW576" s="476">
        <f t="shared" si="1378"/>
        <v>0</v>
      </c>
      <c r="CX576" s="476">
        <f t="shared" si="1379"/>
        <v>4.166666666666667</v>
      </c>
      <c r="CY576" s="476">
        <f t="shared" si="1380"/>
        <v>8.3333333333333339</v>
      </c>
      <c r="CZ576" s="476">
        <f t="shared" si="1381"/>
        <v>8.3333333333333339</v>
      </c>
      <c r="DA576" s="476">
        <f t="shared" si="1382"/>
        <v>8.3333333333333339</v>
      </c>
      <c r="DB576" s="476">
        <f t="shared" si="1382"/>
        <v>8.3333333333333339</v>
      </c>
      <c r="DC576" s="682">
        <f t="shared" si="1382"/>
        <v>8.3333333333333339</v>
      </c>
      <c r="DD576" s="331"/>
      <c r="DE576" s="331"/>
      <c r="DF576" s="502"/>
      <c r="DG576" s="503"/>
      <c r="DH576" s="2577"/>
      <c r="DI576" s="3213"/>
      <c r="DJ576" s="502"/>
      <c r="DK576" s="503"/>
      <c r="DL576" s="502"/>
      <c r="DM576" s="502"/>
      <c r="DN576" s="502"/>
      <c r="DO576" s="502"/>
      <c r="DP576" s="503"/>
      <c r="DQ576" s="503"/>
      <c r="DR576" s="296"/>
      <c r="DS576" s="296"/>
      <c r="DT576" s="296"/>
    </row>
    <row r="577" spans="1:124" ht="12" customHeight="1" x14ac:dyDescent="0.25">
      <c r="A577" s="465" t="s">
        <v>646</v>
      </c>
      <c r="B577" s="281"/>
      <c r="C577" s="472"/>
      <c r="D577" s="472"/>
      <c r="E577" s="472"/>
      <c r="F577" s="472"/>
      <c r="G577" s="491"/>
      <c r="H577" s="472"/>
      <c r="I577" s="472"/>
      <c r="J577" s="472"/>
      <c r="K577" s="472"/>
      <c r="L577" s="491"/>
      <c r="M577" s="472"/>
      <c r="N577" s="472"/>
      <c r="O577" s="472"/>
      <c r="P577" s="472"/>
      <c r="Q577" s="491"/>
      <c r="R577" s="472"/>
      <c r="S577" s="472"/>
      <c r="T577" s="472"/>
      <c r="U577" s="472"/>
      <c r="V577" s="491"/>
      <c r="W577" s="472"/>
      <c r="X577" s="472"/>
      <c r="Y577" s="472"/>
      <c r="Z577" s="472"/>
      <c r="AA577" s="491"/>
      <c r="AB577" s="472"/>
      <c r="AC577" s="472"/>
      <c r="AD577" s="472"/>
      <c r="AE577" s="492"/>
      <c r="AF577" s="493"/>
      <c r="AG577" s="472"/>
      <c r="AH577" s="472"/>
      <c r="AI577" s="472"/>
      <c r="AJ577" s="492"/>
      <c r="AK577" s="493"/>
      <c r="AL577" s="472"/>
      <c r="AM577" s="472"/>
      <c r="AN577" s="472"/>
      <c r="AO577" s="492"/>
      <c r="AP577" s="494"/>
      <c r="AQ577" s="494"/>
      <c r="AR577" s="492"/>
      <c r="AS577" s="492"/>
      <c r="AT577" s="492"/>
      <c r="AU577" s="470"/>
      <c r="AV577" s="471"/>
      <c r="AW577" s="469"/>
      <c r="AX577" s="469"/>
      <c r="AY577" s="1463"/>
      <c r="AZ577" s="470"/>
      <c r="BA577" s="471"/>
      <c r="BB577" s="469"/>
      <c r="BC577" s="469"/>
      <c r="BD577" s="1463"/>
      <c r="BE577" s="1463"/>
      <c r="BF577" s="469"/>
      <c r="BG577" s="469"/>
      <c r="BH577" s="469"/>
      <c r="BI577" s="1463"/>
      <c r="BJ577" s="470">
        <f>BJ576/BJ563</f>
        <v>4.6303886938914712E-2</v>
      </c>
      <c r="BK577" s="469"/>
      <c r="BL577" s="469"/>
      <c r="BM577" s="469"/>
      <c r="BN577" s="1463"/>
      <c r="BO577" s="470">
        <f>BO576/BO563</f>
        <v>5.3289478039473766E-2</v>
      </c>
      <c r="BP577" s="469"/>
      <c r="BQ577" s="469"/>
      <c r="BR577" s="469"/>
      <c r="BS577" s="469"/>
      <c r="BT577" s="470">
        <f t="shared" ref="BT577:CF577" si="1387">BT576/BT563</f>
        <v>5.0139834623971528E-2</v>
      </c>
      <c r="BU577" s="471"/>
      <c r="BV577" s="469"/>
      <c r="BW577" s="469"/>
      <c r="BX577" s="469"/>
      <c r="BY577" s="470">
        <f>BY576/BY563</f>
        <v>4.7986186481146713E-2</v>
      </c>
      <c r="BZ577" s="470">
        <f t="shared" si="1387"/>
        <v>6.0512319160384138E-2</v>
      </c>
      <c r="CA577" s="470">
        <f t="shared" si="1387"/>
        <v>8.1855684744290003E-2</v>
      </c>
      <c r="CB577" s="470">
        <f t="shared" si="1387"/>
        <v>8.4618501952860178E-2</v>
      </c>
      <c r="CC577" s="470">
        <f t="shared" si="1387"/>
        <v>8.7235569023567189E-2</v>
      </c>
      <c r="CD577" s="470">
        <f t="shared" si="1387"/>
        <v>8.637185051838335E-2</v>
      </c>
      <c r="CE577" s="470">
        <f t="shared" si="1387"/>
        <v>8.5283031540361195E-2</v>
      </c>
      <c r="CF577" s="470">
        <f t="shared" si="1387"/>
        <v>8.4669983843136315E-2</v>
      </c>
      <c r="CG577" s="331"/>
      <c r="CH577" s="331"/>
      <c r="CI577" s="331"/>
      <c r="CJ577" s="331"/>
      <c r="CK577" s="331"/>
      <c r="CL577" s="1310" t="str">
        <f t="shared" si="1375"/>
        <v>% of Net revenue</v>
      </c>
      <c r="CM577" s="492"/>
      <c r="CN577" s="492"/>
      <c r="CO577" s="492"/>
      <c r="CP577" s="492"/>
      <c r="CQ577" s="492"/>
      <c r="CR577" s="492"/>
      <c r="CS577" s="492"/>
      <c r="CT577" s="492"/>
      <c r="CU577" s="492">
        <f t="shared" si="1376"/>
        <v>0</v>
      </c>
      <c r="CV577" s="492">
        <f t="shared" si="1377"/>
        <v>0</v>
      </c>
      <c r="CW577" s="492">
        <f t="shared" si="1378"/>
        <v>0</v>
      </c>
      <c r="CX577" s="492">
        <f t="shared" si="1379"/>
        <v>4.6303886938914712E-2</v>
      </c>
      <c r="CY577" s="492">
        <f t="shared" si="1380"/>
        <v>5.3289478039473766E-2</v>
      </c>
      <c r="CZ577" s="492">
        <f t="shared" si="1381"/>
        <v>5.0139834623971528E-2</v>
      </c>
      <c r="DA577" s="492">
        <f t="shared" si="1382"/>
        <v>4.7986186481146713E-2</v>
      </c>
      <c r="DB577" s="492">
        <f t="shared" si="1382"/>
        <v>6.0512319160384138E-2</v>
      </c>
      <c r="DC577" s="1311">
        <f t="shared" si="1382"/>
        <v>8.1855684744290003E-2</v>
      </c>
      <c r="DD577" s="331"/>
      <c r="DE577" s="331"/>
      <c r="DF577" s="502"/>
      <c r="DG577" s="503"/>
      <c r="DH577" s="469"/>
      <c r="DI577" s="3213"/>
      <c r="DJ577" s="502"/>
      <c r="DK577" s="503"/>
      <c r="DL577" s="502"/>
      <c r="DM577" s="502"/>
      <c r="DN577" s="502"/>
      <c r="DO577" s="502"/>
      <c r="DP577" s="503"/>
      <c r="DQ577" s="503"/>
      <c r="DR577" s="296"/>
      <c r="DS577" s="296"/>
      <c r="DT577" s="296"/>
    </row>
    <row r="578" spans="1:124" ht="12" customHeight="1" x14ac:dyDescent="0.25">
      <c r="A578" s="333" t="s">
        <v>2226</v>
      </c>
      <c r="B578" s="333"/>
      <c r="C578" s="593"/>
      <c r="D578" s="593"/>
      <c r="E578" s="593"/>
      <c r="F578" s="593"/>
      <c r="G578" s="594"/>
      <c r="H578" s="593"/>
      <c r="I578" s="593"/>
      <c r="J578" s="593"/>
      <c r="K578" s="593"/>
      <c r="L578" s="594"/>
      <c r="M578" s="593"/>
      <c r="N578" s="593"/>
      <c r="O578" s="593"/>
      <c r="P578" s="593"/>
      <c r="Q578" s="594"/>
      <c r="R578" s="593"/>
      <c r="S578" s="593"/>
      <c r="T578" s="593"/>
      <c r="U578" s="593"/>
      <c r="V578" s="594"/>
      <c r="W578" s="593"/>
      <c r="X578" s="593"/>
      <c r="Y578" s="593"/>
      <c r="Z578" s="593"/>
      <c r="AA578" s="594"/>
      <c r="AB578" s="593"/>
      <c r="AC578" s="593"/>
      <c r="AD578" s="593"/>
      <c r="AE578" s="595"/>
      <c r="AF578" s="596"/>
      <c r="AG578" s="593"/>
      <c r="AH578" s="593"/>
      <c r="AI578" s="593"/>
      <c r="AJ578" s="595"/>
      <c r="AK578" s="596"/>
      <c r="AL578" s="593"/>
      <c r="AM578" s="593"/>
      <c r="AN578" s="593"/>
      <c r="AO578" s="595"/>
      <c r="AP578" s="597"/>
      <c r="AQ578" s="597"/>
      <c r="AR578" s="598"/>
      <c r="AS578" s="598"/>
      <c r="AT578" s="598"/>
      <c r="AU578" s="596"/>
      <c r="AV578" s="597"/>
      <c r="AW578" s="598"/>
      <c r="AX578" s="598"/>
      <c r="AY578" s="1922"/>
      <c r="AZ578" s="596"/>
      <c r="BA578" s="597"/>
      <c r="BB578" s="598"/>
      <c r="BC578" s="598"/>
      <c r="BD578" s="1922"/>
      <c r="BE578" s="1922"/>
      <c r="BF578" s="598"/>
      <c r="BG578" s="598"/>
      <c r="BH578" s="598"/>
      <c r="BI578" s="1922"/>
      <c r="BJ578" s="596">
        <f>BJ573-BJ576</f>
        <v>14.000795803945824</v>
      </c>
      <c r="BK578" s="598"/>
      <c r="BL578" s="598"/>
      <c r="BM578" s="598"/>
      <c r="BN578" s="1922"/>
      <c r="BO578" s="596">
        <f>BO573-BO576</f>
        <v>36.38642597184765</v>
      </c>
      <c r="BP578" s="598"/>
      <c r="BQ578" s="598"/>
      <c r="BR578" s="598"/>
      <c r="BS578" s="598"/>
      <c r="BT578" s="596">
        <f t="shared" ref="BT578:CF578" si="1388">BT573-BT576</f>
        <v>41.250072706450929</v>
      </c>
      <c r="BU578" s="597"/>
      <c r="BV578" s="598"/>
      <c r="BW578" s="598"/>
      <c r="BX578" s="598"/>
      <c r="BY578" s="596">
        <f>BY573-BY576</f>
        <v>44.340145216054431</v>
      </c>
      <c r="BZ578" s="596">
        <f t="shared" si="1388"/>
        <v>32.574321873314851</v>
      </c>
      <c r="CA578" s="596">
        <f t="shared" si="1388"/>
        <v>21.907902760416668</v>
      </c>
      <c r="CB578" s="596">
        <f t="shared" si="1388"/>
        <v>20.674315088541668</v>
      </c>
      <c r="CC578" s="596">
        <f t="shared" si="1388"/>
        <v>19.565268676627589</v>
      </c>
      <c r="CD578" s="596">
        <f t="shared" si="1388"/>
        <v>19.844254696727212</v>
      </c>
      <c r="CE578" s="596">
        <f t="shared" si="1388"/>
        <v>20.204001437056213</v>
      </c>
      <c r="CF578" s="596">
        <f t="shared" si="1388"/>
        <v>20.410624216131431</v>
      </c>
      <c r="CG578" s="502"/>
      <c r="CH578" s="502"/>
      <c r="CI578" s="502"/>
      <c r="CJ578" s="502"/>
      <c r="CK578" s="502"/>
      <c r="CL578" s="1149" t="str">
        <f t="shared" si="1375"/>
        <v>Operating Income</v>
      </c>
      <c r="CM578" s="598"/>
      <c r="CN578" s="598"/>
      <c r="CO578" s="598"/>
      <c r="CP578" s="598"/>
      <c r="CQ578" s="598"/>
      <c r="CR578" s="598"/>
      <c r="CS578" s="598"/>
      <c r="CT578" s="598"/>
      <c r="CU578" s="598">
        <f t="shared" si="1376"/>
        <v>0</v>
      </c>
      <c r="CV578" s="598">
        <f t="shared" si="1377"/>
        <v>0</v>
      </c>
      <c r="CW578" s="598">
        <f t="shared" si="1378"/>
        <v>0</v>
      </c>
      <c r="CX578" s="598">
        <f t="shared" si="1379"/>
        <v>14.000795803945824</v>
      </c>
      <c r="CY578" s="598">
        <f t="shared" si="1380"/>
        <v>36.38642597184765</v>
      </c>
      <c r="CZ578" s="598">
        <f t="shared" si="1381"/>
        <v>41.250072706450929</v>
      </c>
      <c r="DA578" s="598">
        <f t="shared" si="1382"/>
        <v>44.340145216054431</v>
      </c>
      <c r="DB578" s="598">
        <f t="shared" si="1382"/>
        <v>32.574321873314851</v>
      </c>
      <c r="DC578" s="1922">
        <f t="shared" si="1382"/>
        <v>21.907902760416668</v>
      </c>
      <c r="DD578" s="502"/>
      <c r="DE578" s="502"/>
      <c r="DF578" s="502"/>
      <c r="DG578" s="503"/>
      <c r="DH578" s="598"/>
      <c r="DI578" s="3213"/>
      <c r="DJ578" s="502"/>
      <c r="DK578" s="503"/>
      <c r="DL578" s="502"/>
      <c r="DM578" s="502"/>
      <c r="DN578" s="502"/>
      <c r="DO578" s="502"/>
      <c r="DP578" s="503"/>
      <c r="DQ578" s="503"/>
      <c r="DR578" s="719"/>
      <c r="DS578" s="719"/>
      <c r="DT578" s="719"/>
    </row>
    <row r="579" spans="1:124" ht="12" customHeight="1" x14ac:dyDescent="0.25">
      <c r="A579" s="281"/>
      <c r="B579" s="281"/>
      <c r="C579" s="305"/>
      <c r="D579" s="305"/>
      <c r="E579" s="305"/>
      <c r="F579" s="305"/>
      <c r="G579" s="440"/>
      <c r="H579" s="305"/>
      <c r="I579" s="305"/>
      <c r="J579" s="305"/>
      <c r="K579" s="305"/>
      <c r="L579" s="440"/>
      <c r="M579" s="305"/>
      <c r="N579" s="305"/>
      <c r="O579" s="305"/>
      <c r="P579" s="305"/>
      <c r="Q579" s="440"/>
      <c r="R579" s="305"/>
      <c r="S579" s="305"/>
      <c r="T579" s="305"/>
      <c r="U579" s="305"/>
      <c r="V579" s="440"/>
      <c r="W579" s="305"/>
      <c r="X579" s="305"/>
      <c r="Y579" s="305"/>
      <c r="Z579" s="305"/>
      <c r="AA579" s="440"/>
      <c r="AB579" s="305"/>
      <c r="AC579" s="305"/>
      <c r="AD579" s="305"/>
      <c r="AE579" s="331"/>
      <c r="AF579" s="441"/>
      <c r="AG579" s="305"/>
      <c r="AH579" s="305"/>
      <c r="AI579" s="305"/>
      <c r="AJ579" s="331"/>
      <c r="AK579" s="441"/>
      <c r="AL579" s="305"/>
      <c r="AM579" s="305"/>
      <c r="AN579" s="305"/>
      <c r="AO579" s="331"/>
      <c r="AP579" s="569"/>
      <c r="AQ579" s="569"/>
      <c r="AR579" s="442"/>
      <c r="AS579" s="442"/>
      <c r="AT579" s="442"/>
      <c r="AU579" s="441"/>
      <c r="AV579" s="569"/>
      <c r="AW579" s="442"/>
      <c r="AX579" s="442"/>
      <c r="AY579" s="1312"/>
      <c r="AZ579" s="441"/>
      <c r="BA579" s="569"/>
      <c r="BB579" s="442"/>
      <c r="BC579" s="442"/>
      <c r="BD579" s="1312"/>
      <c r="BE579" s="1312"/>
      <c r="BF579" s="442"/>
      <c r="BG579" s="2884"/>
      <c r="BH579" s="2884"/>
      <c r="BI579" s="3126"/>
      <c r="BJ579" s="3126"/>
      <c r="BK579" s="2884"/>
      <c r="BL579" s="2884"/>
      <c r="BM579" s="2884"/>
      <c r="BN579" s="3126"/>
      <c r="BO579" s="3126"/>
      <c r="BP579" s="2884"/>
      <c r="BQ579" s="2884"/>
      <c r="BR579" s="2884"/>
      <c r="BS579" s="2884"/>
      <c r="BT579" s="3238"/>
      <c r="BU579" s="3411"/>
      <c r="BV579" s="3299"/>
      <c r="BW579" s="3299"/>
      <c r="BX579" s="3299"/>
      <c r="BY579" s="3238"/>
      <c r="BZ579" s="3127"/>
      <c r="CA579" s="3127"/>
      <c r="CB579" s="441"/>
      <c r="CC579" s="441"/>
      <c r="CD579" s="441"/>
      <c r="CE579" s="441"/>
      <c r="CF579" s="441"/>
      <c r="CG579" s="331"/>
      <c r="CH579" s="331"/>
      <c r="CI579" s="331"/>
      <c r="CJ579" s="331"/>
      <c r="CK579" s="331"/>
      <c r="CL579" s="520"/>
      <c r="CM579" s="442"/>
      <c r="CN579" s="442"/>
      <c r="CO579" s="442"/>
      <c r="CP579" s="442"/>
      <c r="CQ579" s="442"/>
      <c r="CR579" s="442"/>
      <c r="CS579" s="442"/>
      <c r="CT579" s="442"/>
      <c r="CU579" s="442"/>
      <c r="CV579" s="442"/>
      <c r="CW579" s="442"/>
      <c r="CX579" s="442"/>
      <c r="CY579" s="442"/>
      <c r="CZ579" s="442"/>
      <c r="DA579" s="442"/>
      <c r="DB579" s="442"/>
      <c r="DC579" s="1312"/>
      <c r="DD579" s="331"/>
      <c r="DE579" s="331"/>
      <c r="DF579" s="502"/>
      <c r="DG579" s="503"/>
      <c r="DH579" s="3299"/>
      <c r="DI579" s="3213"/>
      <c r="DJ579" s="502"/>
      <c r="DK579" s="503"/>
      <c r="DL579" s="502"/>
      <c r="DM579" s="502"/>
      <c r="DN579" s="502"/>
      <c r="DO579" s="502"/>
      <c r="DP579" s="503"/>
      <c r="DQ579" s="503"/>
      <c r="DR579" s="428"/>
      <c r="DS579" s="428"/>
      <c r="DT579" s="428"/>
    </row>
    <row r="580" spans="1:124" ht="12" customHeight="1" x14ac:dyDescent="0.25">
      <c r="A580" s="2125" t="s">
        <v>427</v>
      </c>
      <c r="B580" s="428"/>
      <c r="C580" s="502"/>
      <c r="D580" s="502"/>
      <c r="E580" s="502"/>
      <c r="F580" s="502"/>
      <c r="G580" s="534"/>
      <c r="H580" s="502"/>
      <c r="I580" s="502"/>
      <c r="J580" s="502"/>
      <c r="K580" s="502"/>
      <c r="L580" s="534"/>
      <c r="M580" s="502"/>
      <c r="N580" s="502"/>
      <c r="O580" s="502"/>
      <c r="P580" s="502"/>
      <c r="Q580" s="534"/>
      <c r="R580" s="502"/>
      <c r="S580" s="502"/>
      <c r="T580" s="502"/>
      <c r="U580" s="502"/>
      <c r="V580" s="534"/>
      <c r="W580" s="502"/>
      <c r="X580" s="502"/>
      <c r="Y580" s="502"/>
      <c r="Z580" s="502"/>
      <c r="AA580" s="534"/>
      <c r="AB580" s="502"/>
      <c r="AC580" s="502"/>
      <c r="AD580" s="502"/>
      <c r="AE580" s="502"/>
      <c r="AF580" s="534"/>
      <c r="AG580" s="502"/>
      <c r="AH580" s="502"/>
      <c r="AI580" s="502"/>
      <c r="AJ580" s="502"/>
      <c r="AK580" s="534"/>
      <c r="AL580" s="503"/>
      <c r="AM580" s="503"/>
      <c r="AN580" s="503"/>
      <c r="AO580" s="503"/>
      <c r="AP580" s="535"/>
      <c r="AQ580" s="535"/>
      <c r="AR580" s="537"/>
      <c r="AS580" s="537"/>
      <c r="AT580" s="537"/>
      <c r="AU580" s="536"/>
      <c r="AV580" s="535"/>
      <c r="AW580" s="537"/>
      <c r="AX580" s="537"/>
      <c r="AY580" s="1926"/>
      <c r="AZ580" s="536"/>
      <c r="BA580" s="2495" t="s">
        <v>1238</v>
      </c>
      <c r="BB580" s="537"/>
      <c r="BC580" s="537"/>
      <c r="BD580" s="1926"/>
      <c r="BE580" s="1926"/>
      <c r="BF580" s="537"/>
      <c r="BG580" s="537"/>
      <c r="BH580" s="537"/>
      <c r="BI580" s="1926"/>
      <c r="BJ580" s="1926"/>
      <c r="BK580" s="537"/>
      <c r="BL580" s="537"/>
      <c r="BM580" s="537"/>
      <c r="BN580" s="1926"/>
      <c r="BO580" s="1926"/>
      <c r="BP580" s="537"/>
      <c r="BQ580" s="537"/>
      <c r="BR580" s="537"/>
      <c r="BS580" s="537"/>
      <c r="BT580" s="536"/>
      <c r="BU580" s="535"/>
      <c r="BV580" s="537"/>
      <c r="BW580" s="537"/>
      <c r="BX580" s="537"/>
      <c r="BY580" s="536"/>
      <c r="BZ580" s="536"/>
      <c r="CA580" s="536"/>
      <c r="CB580" s="536"/>
      <c r="CC580" s="536"/>
      <c r="CD580" s="536"/>
      <c r="CE580" s="536"/>
      <c r="CF580" s="536"/>
      <c r="CG580" s="331"/>
      <c r="CH580" s="331"/>
      <c r="CI580" s="331"/>
      <c r="CJ580" s="331"/>
      <c r="CK580" s="331"/>
      <c r="CL580" s="2036" t="str">
        <f t="shared" ref="CL580:CL586" si="1389">A580</f>
        <v>Hollywood Perryville - Cecil County, MD</v>
      </c>
      <c r="CM580" s="537">
        <f>G580</f>
        <v>0</v>
      </c>
      <c r="CN580" s="537">
        <f>L580</f>
        <v>0</v>
      </c>
      <c r="CO580" s="537">
        <f>Q580</f>
        <v>0</v>
      </c>
      <c r="CP580" s="537">
        <f>V580</f>
        <v>0</v>
      </c>
      <c r="CQ580" s="537">
        <f>AA580</f>
        <v>0</v>
      </c>
      <c r="CR580" s="537">
        <f>AF580</f>
        <v>0</v>
      </c>
      <c r="CS580" s="537">
        <f t="shared" ref="CS580:CS585" si="1390">AK580</f>
        <v>0</v>
      </c>
      <c r="CT580" s="537">
        <f t="shared" ref="CT580:CT585" si="1391">AP580</f>
        <v>0</v>
      </c>
      <c r="CU580" s="537">
        <f t="shared" ref="CU580:CU586" si="1392">AU580</f>
        <v>0</v>
      </c>
      <c r="CV580" s="537">
        <f t="shared" ref="CV580:CV586" si="1393">AZ580</f>
        <v>0</v>
      </c>
      <c r="CW580" s="537">
        <f t="shared" ref="CW580:CW586" si="1394">BE580</f>
        <v>0</v>
      </c>
      <c r="CX580" s="537">
        <f t="shared" ref="CX580:CX586" si="1395">BJ580</f>
        <v>0</v>
      </c>
      <c r="CY580" s="537">
        <f t="shared" ref="CY580:CY586" si="1396">BO580</f>
        <v>0</v>
      </c>
      <c r="CZ580" s="537">
        <f t="shared" ref="CZ580:CZ586" si="1397">BT580</f>
        <v>0</v>
      </c>
      <c r="DA580" s="537">
        <f t="shared" ref="DA580:DC586" si="1398">BY580</f>
        <v>0</v>
      </c>
      <c r="DB580" s="537">
        <f t="shared" si="1398"/>
        <v>0</v>
      </c>
      <c r="DC580" s="1926">
        <f t="shared" si="1398"/>
        <v>0</v>
      </c>
      <c r="DD580" s="331"/>
      <c r="DE580" s="331"/>
      <c r="DF580" s="502"/>
      <c r="DG580" s="503"/>
      <c r="DH580" s="537"/>
      <c r="DI580" s="3213"/>
      <c r="DJ580" s="502"/>
      <c r="DK580" s="503"/>
      <c r="DL580" s="502"/>
      <c r="DM580" s="502"/>
      <c r="DN580" s="502"/>
      <c r="DO580" s="502"/>
      <c r="DP580" s="503"/>
      <c r="DQ580" s="503"/>
      <c r="DR580" s="428"/>
      <c r="DS580" s="428"/>
      <c r="DT580" s="428"/>
    </row>
    <row r="581" spans="1:124" ht="12" customHeight="1" x14ac:dyDescent="0.25">
      <c r="A581" s="281" t="s">
        <v>894</v>
      </c>
      <c r="B581" s="281"/>
      <c r="C581" s="305"/>
      <c r="D581" s="305"/>
      <c r="E581" s="305"/>
      <c r="F581" s="305"/>
      <c r="G581" s="345"/>
      <c r="H581" s="305"/>
      <c r="I581" s="305"/>
      <c r="J581" s="305"/>
      <c r="K581" s="305"/>
      <c r="L581" s="345"/>
      <c r="M581" s="305"/>
      <c r="N581" s="305"/>
      <c r="O581" s="305"/>
      <c r="P581" s="305"/>
      <c r="Q581" s="345"/>
      <c r="R581" s="305"/>
      <c r="S581" s="305"/>
      <c r="T581" s="305"/>
      <c r="U581" s="305"/>
      <c r="V581" s="345"/>
      <c r="W581" s="305"/>
      <c r="X581" s="305"/>
      <c r="Y581" s="305"/>
      <c r="Z581" s="305"/>
      <c r="AA581" s="345"/>
      <c r="AB581" s="305"/>
      <c r="AC581" s="305"/>
      <c r="AD581" s="305"/>
      <c r="AE581" s="331"/>
      <c r="AF581" s="348"/>
      <c r="AG581" s="305"/>
      <c r="AH581" s="305"/>
      <c r="AI581" s="340">
        <v>1500</v>
      </c>
      <c r="AJ581" s="340">
        <v>1500</v>
      </c>
      <c r="AK581" s="348">
        <f>AJ581</f>
        <v>1500</v>
      </c>
      <c r="AL581" s="305">
        <f>AL582+(AL583*AL$320)</f>
        <v>1500</v>
      </c>
      <c r="AM581" s="305">
        <f>AM582+(AM583*AM$320)</f>
        <v>1500</v>
      </c>
      <c r="AN581" s="305">
        <f>AN582+(AN583*AN$320)</f>
        <v>1500</v>
      </c>
      <c r="AO581" s="331">
        <f>AO582+(AO583*AO$320)</f>
        <v>1500</v>
      </c>
      <c r="AP581" s="568">
        <f>AO581</f>
        <v>1500</v>
      </c>
      <c r="AQ581" s="568">
        <f>AQ582+(AQ583*AQ$320)</f>
        <v>1500</v>
      </c>
      <c r="AR581" s="330">
        <f>AR582+(AR583*AR$320)</f>
        <v>1500</v>
      </c>
      <c r="AS581" s="330">
        <f>AS582+(AS583*AS$320)</f>
        <v>1500</v>
      </c>
      <c r="AT581" s="330">
        <f>AT582+(AT583*AT$320)</f>
        <v>1500</v>
      </c>
      <c r="AU581" s="349">
        <f>AT581</f>
        <v>1500</v>
      </c>
      <c r="AV581" s="443">
        <f>AV582+(AV583*AV$320)</f>
        <v>1500</v>
      </c>
      <c r="AW581" s="331">
        <f>AW582+(AW583*AW$320)</f>
        <v>1608</v>
      </c>
      <c r="AX581" s="331">
        <f>AX582+(AX583*AX$320)</f>
        <v>1608</v>
      </c>
      <c r="AY581" s="1306">
        <f>AY582+(AY583*AY$320)</f>
        <v>1608</v>
      </c>
      <c r="AZ581" s="349">
        <f>AY581</f>
        <v>1608</v>
      </c>
      <c r="BA581" s="331"/>
      <c r="BB581" s="331"/>
      <c r="BC581" s="331"/>
      <c r="BD581" s="331"/>
      <c r="BE581" s="349"/>
      <c r="BF581" s="331"/>
      <c r="BG581" s="331"/>
      <c r="BH581" s="331"/>
      <c r="BI581" s="331"/>
      <c r="BJ581" s="349"/>
      <c r="BK581" s="331"/>
      <c r="BL581" s="331"/>
      <c r="BM581" s="331"/>
      <c r="BN581" s="331"/>
      <c r="BO581" s="349"/>
      <c r="BP581" s="331"/>
      <c r="BQ581" s="331"/>
      <c r="BR581" s="331"/>
      <c r="BS581" s="331"/>
      <c r="BT581" s="3222"/>
      <c r="BU581" s="3393"/>
      <c r="BV581" s="2601"/>
      <c r="BW581" s="2601"/>
      <c r="BX581" s="2601"/>
      <c r="BY581" s="3222"/>
      <c r="BZ581" s="349"/>
      <c r="CA581" s="349"/>
      <c r="CB581" s="349"/>
      <c r="CC581" s="349"/>
      <c r="CD581" s="349"/>
      <c r="CE581" s="349"/>
      <c r="CF581" s="349"/>
      <c r="CG581" s="331"/>
      <c r="CH581" s="331"/>
      <c r="CI581" s="331"/>
      <c r="CJ581" s="331"/>
      <c r="CK581" s="331"/>
      <c r="CL581" s="520" t="str">
        <f t="shared" si="1389"/>
        <v>Positions</v>
      </c>
      <c r="CM581" s="330"/>
      <c r="CN581" s="330"/>
      <c r="CO581" s="330"/>
      <c r="CP581" s="330"/>
      <c r="CQ581" s="330"/>
      <c r="CR581" s="330"/>
      <c r="CS581" s="330">
        <f t="shared" si="1390"/>
        <v>1500</v>
      </c>
      <c r="CT581" s="330">
        <f t="shared" si="1391"/>
        <v>1500</v>
      </c>
      <c r="CU581" s="330">
        <f t="shared" si="1392"/>
        <v>1500</v>
      </c>
      <c r="CV581" s="330">
        <f t="shared" si="1393"/>
        <v>1608</v>
      </c>
      <c r="CW581" s="330">
        <f t="shared" si="1394"/>
        <v>0</v>
      </c>
      <c r="CX581" s="330">
        <f t="shared" si="1395"/>
        <v>0</v>
      </c>
      <c r="CY581" s="330">
        <f t="shared" si="1396"/>
        <v>0</v>
      </c>
      <c r="CZ581" s="330">
        <f t="shared" si="1397"/>
        <v>0</v>
      </c>
      <c r="DA581" s="330">
        <f t="shared" si="1398"/>
        <v>0</v>
      </c>
      <c r="DB581" s="330">
        <f t="shared" si="1398"/>
        <v>0</v>
      </c>
      <c r="DC581" s="1888">
        <f t="shared" si="1398"/>
        <v>0</v>
      </c>
      <c r="DD581" s="331"/>
      <c r="DE581" s="331"/>
      <c r="DF581" s="502"/>
      <c r="DG581" s="503"/>
      <c r="DH581" s="2601"/>
      <c r="DI581" s="3213"/>
      <c r="DJ581" s="502"/>
      <c r="DK581" s="503"/>
      <c r="DL581" s="502"/>
      <c r="DM581" s="502"/>
      <c r="DN581" s="502"/>
      <c r="DO581" s="502"/>
      <c r="DP581" s="503"/>
      <c r="DQ581" s="503"/>
      <c r="DR581" s="296"/>
      <c r="DS581" s="296"/>
      <c r="DT581" s="296"/>
    </row>
    <row r="582" spans="1:124" ht="12" customHeight="1" x14ac:dyDescent="0.25">
      <c r="A582" s="281" t="s">
        <v>585</v>
      </c>
      <c r="B582" s="281"/>
      <c r="C582" s="340"/>
      <c r="D582" s="340"/>
      <c r="E582" s="340"/>
      <c r="F582" s="340"/>
      <c r="G582" s="345"/>
      <c r="H582" s="340"/>
      <c r="I582" s="340"/>
      <c r="J582" s="340"/>
      <c r="K582" s="340"/>
      <c r="L582" s="345"/>
      <c r="M582" s="340"/>
      <c r="N582" s="340"/>
      <c r="O582" s="340"/>
      <c r="P582" s="340"/>
      <c r="Q582" s="345"/>
      <c r="R582" s="340"/>
      <c r="S582" s="340"/>
      <c r="T582" s="340"/>
      <c r="U582" s="340"/>
      <c r="V582" s="345"/>
      <c r="W582" s="340"/>
      <c r="X582" s="340"/>
      <c r="Y582" s="340"/>
      <c r="Z582" s="340"/>
      <c r="AA582" s="345"/>
      <c r="AB582" s="340"/>
      <c r="AC582" s="340"/>
      <c r="AD582" s="340"/>
      <c r="AE582" s="339"/>
      <c r="AF582" s="348"/>
      <c r="AG582" s="340"/>
      <c r="AH582" s="340"/>
      <c r="AI582" s="340">
        <v>1500</v>
      </c>
      <c r="AJ582" s="340">
        <v>1500</v>
      </c>
      <c r="AK582" s="348">
        <f>AJ582</f>
        <v>1500</v>
      </c>
      <c r="AL582" s="305">
        <f>Maryland!D35</f>
        <v>1500</v>
      </c>
      <c r="AM582" s="305">
        <f>Maryland!E35</f>
        <v>1500</v>
      </c>
      <c r="AN582" s="305">
        <f>Maryland!F35</f>
        <v>1500</v>
      </c>
      <c r="AO582" s="305">
        <f>Maryland!G35</f>
        <v>1500</v>
      </c>
      <c r="AP582" s="586">
        <f>Maryland!H35</f>
        <v>1500</v>
      </c>
      <c r="AQ582" s="586">
        <f>+AO582</f>
        <v>1500</v>
      </c>
      <c r="AR582" s="305">
        <f t="shared" ref="AR582:AZ582" si="1399">+AQ582</f>
        <v>1500</v>
      </c>
      <c r="AS582" s="305">
        <f t="shared" si="1399"/>
        <v>1500</v>
      </c>
      <c r="AT582" s="305">
        <f t="shared" si="1399"/>
        <v>1500</v>
      </c>
      <c r="AU582" s="346">
        <f t="shared" si="1399"/>
        <v>1500</v>
      </c>
      <c r="AV582" s="586">
        <f t="shared" si="1399"/>
        <v>1500</v>
      </c>
      <c r="AW582" s="305">
        <f t="shared" si="1399"/>
        <v>1500</v>
      </c>
      <c r="AX582" s="305">
        <f t="shared" si="1399"/>
        <v>1500</v>
      </c>
      <c r="AY582" s="305">
        <f t="shared" si="1399"/>
        <v>1500</v>
      </c>
      <c r="AZ582" s="346">
        <f t="shared" si="1399"/>
        <v>1500</v>
      </c>
      <c r="BA582" s="305"/>
      <c r="BB582" s="305"/>
      <c r="BC582" s="305"/>
      <c r="BD582" s="305"/>
      <c r="BE582" s="346"/>
      <c r="BF582" s="305"/>
      <c r="BG582" s="305"/>
      <c r="BH582" s="305"/>
      <c r="BI582" s="305"/>
      <c r="BJ582" s="346"/>
      <c r="BK582" s="305"/>
      <c r="BL582" s="305"/>
      <c r="BM582" s="305"/>
      <c r="BN582" s="305"/>
      <c r="BO582" s="346"/>
      <c r="BP582" s="305"/>
      <c r="BQ582" s="305"/>
      <c r="BR582" s="305"/>
      <c r="BS582" s="305"/>
      <c r="BT582" s="3075"/>
      <c r="BU582" s="3412"/>
      <c r="BV582" s="2707"/>
      <c r="BW582" s="2707"/>
      <c r="BX582" s="2707"/>
      <c r="BY582" s="3075"/>
      <c r="BZ582" s="346"/>
      <c r="CA582" s="346"/>
      <c r="CB582" s="346"/>
      <c r="CC582" s="346"/>
      <c r="CD582" s="346"/>
      <c r="CE582" s="346"/>
      <c r="CF582" s="346"/>
      <c r="CG582" s="331"/>
      <c r="CH582" s="331"/>
      <c r="CI582" s="331"/>
      <c r="CJ582" s="331"/>
      <c r="CK582" s="331"/>
      <c r="CL582" s="520" t="str">
        <f t="shared" si="1389"/>
        <v>Slots</v>
      </c>
      <c r="CM582" s="331"/>
      <c r="CN582" s="331"/>
      <c r="CO582" s="331"/>
      <c r="CP582" s="331"/>
      <c r="CQ582" s="331"/>
      <c r="CR582" s="331"/>
      <c r="CS582" s="331">
        <f t="shared" si="1390"/>
        <v>1500</v>
      </c>
      <c r="CT582" s="331">
        <f t="shared" si="1391"/>
        <v>1500</v>
      </c>
      <c r="CU582" s="331">
        <f t="shared" si="1392"/>
        <v>1500</v>
      </c>
      <c r="CV582" s="331">
        <f t="shared" si="1393"/>
        <v>1500</v>
      </c>
      <c r="CW582" s="331">
        <f t="shared" si="1394"/>
        <v>0</v>
      </c>
      <c r="CX582" s="331">
        <f t="shared" si="1395"/>
        <v>0</v>
      </c>
      <c r="CY582" s="331">
        <f t="shared" si="1396"/>
        <v>0</v>
      </c>
      <c r="CZ582" s="331">
        <f t="shared" si="1397"/>
        <v>0</v>
      </c>
      <c r="DA582" s="331">
        <f t="shared" si="1398"/>
        <v>0</v>
      </c>
      <c r="DB582" s="331">
        <f t="shared" si="1398"/>
        <v>0</v>
      </c>
      <c r="DC582" s="1306">
        <f t="shared" si="1398"/>
        <v>0</v>
      </c>
      <c r="DD582" s="331"/>
      <c r="DE582" s="331"/>
      <c r="DF582" s="502"/>
      <c r="DG582" s="503"/>
      <c r="DH582" s="2601"/>
      <c r="DI582" s="3213"/>
      <c r="DJ582" s="502"/>
      <c r="DK582" s="503"/>
      <c r="DL582" s="502"/>
      <c r="DM582" s="502"/>
      <c r="DN582" s="502"/>
      <c r="DO582" s="502"/>
      <c r="DP582" s="503"/>
      <c r="DQ582" s="503"/>
      <c r="DR582" s="296"/>
      <c r="DS582" s="296"/>
      <c r="DT582" s="296"/>
    </row>
    <row r="583" spans="1:124" ht="12" customHeight="1" x14ac:dyDescent="0.25">
      <c r="A583" s="281" t="s">
        <v>584</v>
      </c>
      <c r="B583" s="281"/>
      <c r="C583" s="340"/>
      <c r="D583" s="340"/>
      <c r="E583" s="340"/>
      <c r="F583" s="340"/>
      <c r="G583" s="345"/>
      <c r="H583" s="340"/>
      <c r="I583" s="340"/>
      <c r="J583" s="340"/>
      <c r="K583" s="340"/>
      <c r="L583" s="345"/>
      <c r="M583" s="340"/>
      <c r="N583" s="340"/>
      <c r="O583" s="340"/>
      <c r="P583" s="340"/>
      <c r="Q583" s="345"/>
      <c r="R583" s="340"/>
      <c r="S583" s="340"/>
      <c r="T583" s="340"/>
      <c r="U583" s="340"/>
      <c r="V583" s="345"/>
      <c r="W583" s="340"/>
      <c r="X583" s="340"/>
      <c r="Y583" s="340"/>
      <c r="Z583" s="340"/>
      <c r="AA583" s="345"/>
      <c r="AB583" s="340"/>
      <c r="AC583" s="340"/>
      <c r="AD583" s="340"/>
      <c r="AE583" s="339"/>
      <c r="AF583" s="348"/>
      <c r="AG583" s="340"/>
      <c r="AH583" s="340"/>
      <c r="AI583" s="339">
        <v>0</v>
      </c>
      <c r="AJ583" s="305">
        <f>Maryland!B36</f>
        <v>0</v>
      </c>
      <c r="AK583" s="348">
        <f>AJ583</f>
        <v>0</v>
      </c>
      <c r="AL583" s="305">
        <f>Maryland!D36</f>
        <v>0</v>
      </c>
      <c r="AM583" s="305">
        <f>Maryland!E36</f>
        <v>0</v>
      </c>
      <c r="AN583" s="305">
        <f>Maryland!F36</f>
        <v>0</v>
      </c>
      <c r="AO583" s="305">
        <f>Maryland!G36</f>
        <v>0</v>
      </c>
      <c r="AP583" s="586">
        <f>Maryland!H36</f>
        <v>0</v>
      </c>
      <c r="AQ583" s="586">
        <v>0</v>
      </c>
      <c r="AR583" s="305">
        <v>0</v>
      </c>
      <c r="AS583" s="305">
        <v>0</v>
      </c>
      <c r="AT583" s="305">
        <v>0</v>
      </c>
      <c r="AU583" s="346">
        <f>+AT583</f>
        <v>0</v>
      </c>
      <c r="AV583" s="586">
        <v>0</v>
      </c>
      <c r="AW583" s="339">
        <v>18</v>
      </c>
      <c r="AX583" s="305">
        <f>+AW583</f>
        <v>18</v>
      </c>
      <c r="AY583" s="305">
        <f>+AX583</f>
        <v>18</v>
      </c>
      <c r="AZ583" s="346">
        <f>+AY583</f>
        <v>18</v>
      </c>
      <c r="BA583" s="305"/>
      <c r="BB583" s="305"/>
      <c r="BC583" s="305"/>
      <c r="BD583" s="305"/>
      <c r="BE583" s="346"/>
      <c r="BF583" s="305"/>
      <c r="BG583" s="305"/>
      <c r="BH583" s="305"/>
      <c r="BI583" s="305"/>
      <c r="BJ583" s="346"/>
      <c r="BK583" s="305"/>
      <c r="BL583" s="305"/>
      <c r="BM583" s="305"/>
      <c r="BN583" s="305"/>
      <c r="BO583" s="346"/>
      <c r="BP583" s="305"/>
      <c r="BQ583" s="305"/>
      <c r="BR583" s="305"/>
      <c r="BS583" s="305"/>
      <c r="BT583" s="3075"/>
      <c r="BU583" s="3412"/>
      <c r="BV583" s="2707"/>
      <c r="BW583" s="2707"/>
      <c r="BX583" s="2707"/>
      <c r="BY583" s="3075"/>
      <c r="BZ583" s="346"/>
      <c r="CA583" s="346"/>
      <c r="CB583" s="346"/>
      <c r="CC583" s="346"/>
      <c r="CD583" s="346"/>
      <c r="CE583" s="346"/>
      <c r="CF583" s="346"/>
      <c r="CG583" s="331"/>
      <c r="CH583" s="331"/>
      <c r="CI583" s="331"/>
      <c r="CJ583" s="331"/>
      <c r="CK583" s="331"/>
      <c r="CL583" s="520" t="str">
        <f t="shared" si="1389"/>
        <v>Tables</v>
      </c>
      <c r="CM583" s="331"/>
      <c r="CN583" s="331"/>
      <c r="CO583" s="331"/>
      <c r="CP583" s="331"/>
      <c r="CQ583" s="331"/>
      <c r="CR583" s="331"/>
      <c r="CS583" s="331">
        <f t="shared" si="1390"/>
        <v>0</v>
      </c>
      <c r="CT583" s="331">
        <f t="shared" si="1391"/>
        <v>0</v>
      </c>
      <c r="CU583" s="331">
        <f t="shared" si="1392"/>
        <v>0</v>
      </c>
      <c r="CV583" s="331">
        <f t="shared" si="1393"/>
        <v>18</v>
      </c>
      <c r="CW583" s="331">
        <f t="shared" si="1394"/>
        <v>0</v>
      </c>
      <c r="CX583" s="331">
        <f t="shared" si="1395"/>
        <v>0</v>
      </c>
      <c r="CY583" s="331">
        <f t="shared" si="1396"/>
        <v>0</v>
      </c>
      <c r="CZ583" s="331">
        <f t="shared" si="1397"/>
        <v>0</v>
      </c>
      <c r="DA583" s="331">
        <f t="shared" si="1398"/>
        <v>0</v>
      </c>
      <c r="DB583" s="331">
        <f t="shared" si="1398"/>
        <v>0</v>
      </c>
      <c r="DC583" s="1306">
        <f t="shared" si="1398"/>
        <v>0</v>
      </c>
      <c r="DD583" s="331"/>
      <c r="DE583" s="331"/>
      <c r="DF583" s="502"/>
      <c r="DG583" s="503"/>
      <c r="DH583" s="2601"/>
      <c r="DI583" s="3213"/>
      <c r="DJ583" s="502"/>
      <c r="DK583" s="503"/>
      <c r="DL583" s="502"/>
      <c r="DM583" s="502"/>
      <c r="DN583" s="502"/>
      <c r="DO583" s="502"/>
      <c r="DP583" s="503"/>
      <c r="DQ583" s="503"/>
      <c r="DR583" s="296"/>
      <c r="DS583" s="296"/>
      <c r="DT583" s="296"/>
    </row>
    <row r="584" spans="1:124" ht="12" customHeight="1" x14ac:dyDescent="0.25">
      <c r="A584" s="511" t="s">
        <v>2111</v>
      </c>
      <c r="B584" s="281"/>
      <c r="C584" s="340"/>
      <c r="D584" s="305"/>
      <c r="E584" s="305"/>
      <c r="F584" s="305"/>
      <c r="G584" s="345"/>
      <c r="H584" s="305"/>
      <c r="I584" s="305"/>
      <c r="J584" s="305"/>
      <c r="K584" s="305"/>
      <c r="L584" s="345"/>
      <c r="M584" s="305"/>
      <c r="N584" s="305"/>
      <c r="O584" s="305"/>
      <c r="P584" s="305"/>
      <c r="Q584" s="345"/>
      <c r="R584" s="305"/>
      <c r="S584" s="305"/>
      <c r="T584" s="305"/>
      <c r="U584" s="305"/>
      <c r="V584" s="345"/>
      <c r="W584" s="305"/>
      <c r="X584" s="305"/>
      <c r="Y584" s="305"/>
      <c r="Z584" s="305"/>
      <c r="AA584" s="345"/>
      <c r="AB584" s="305"/>
      <c r="AC584" s="305"/>
      <c r="AD584" s="305"/>
      <c r="AE584" s="331"/>
      <c r="AF584" s="348"/>
      <c r="AG584" s="305"/>
      <c r="AH584" s="305"/>
      <c r="AI584" s="305">
        <f>AI581*(2/3)</f>
        <v>1000</v>
      </c>
      <c r="AJ584" s="305">
        <f>AJ581*(2/3)</f>
        <v>1000</v>
      </c>
      <c r="AK584" s="348">
        <f>AK581*(2/12)</f>
        <v>250</v>
      </c>
      <c r="AL584" s="305">
        <f>AL581</f>
        <v>1500</v>
      </c>
      <c r="AM584" s="305">
        <f>AVERAGE(AL581:AM581)</f>
        <v>1500</v>
      </c>
      <c r="AN584" s="305">
        <f>AVERAGE(AM581:AN581)</f>
        <v>1500</v>
      </c>
      <c r="AO584" s="331">
        <f>AVERAGE(AN581:AO581)</f>
        <v>1500</v>
      </c>
      <c r="AP584" s="568">
        <f>AVERAGE(AL584:AO584)</f>
        <v>1500</v>
      </c>
      <c r="AQ584" s="568">
        <f>AVERAGE(AP581:AQ581)</f>
        <v>1500</v>
      </c>
      <c r="AR584" s="330">
        <f>AVERAGE(AQ581:AR581)</f>
        <v>1500</v>
      </c>
      <c r="AS584" s="330">
        <f>AVERAGE(AR581:AS581)</f>
        <v>1500</v>
      </c>
      <c r="AT584" s="330">
        <f>AVERAGE(AS581:AT581)</f>
        <v>1500</v>
      </c>
      <c r="AU584" s="349">
        <f>AVERAGE(AQ584:AT584)</f>
        <v>1500</v>
      </c>
      <c r="AV584" s="443">
        <f>AVERAGE(AU581:AV581)</f>
        <v>1500</v>
      </c>
      <c r="AW584" s="331">
        <f>AVERAGE(AV581:AW581)</f>
        <v>1554</v>
      </c>
      <c r="AX584" s="331">
        <f>AVERAGE(AW581:AX581)</f>
        <v>1608</v>
      </c>
      <c r="AY584" s="331">
        <f>AVERAGE(AX581:AY581)</f>
        <v>1608</v>
      </c>
      <c r="AZ584" s="349">
        <f>AVERAGE(AV584:AY584)</f>
        <v>1567.5</v>
      </c>
      <c r="BA584" s="331"/>
      <c r="BB584" s="331"/>
      <c r="BC584" s="331"/>
      <c r="BD584" s="331"/>
      <c r="BE584" s="349"/>
      <c r="BF584" s="331"/>
      <c r="BG584" s="331"/>
      <c r="BH584" s="331"/>
      <c r="BI584" s="331"/>
      <c r="BJ584" s="349"/>
      <c r="BK584" s="331"/>
      <c r="BL584" s="331"/>
      <c r="BM584" s="331"/>
      <c r="BN584" s="331"/>
      <c r="BO584" s="349"/>
      <c r="BP584" s="331"/>
      <c r="BQ584" s="331"/>
      <c r="BR584" s="331"/>
      <c r="BS584" s="331"/>
      <c r="BT584" s="3222"/>
      <c r="BU584" s="3393"/>
      <c r="BV584" s="2601"/>
      <c r="BW584" s="2601"/>
      <c r="BX584" s="2601"/>
      <c r="BY584" s="3222"/>
      <c r="BZ584" s="349"/>
      <c r="CA584" s="349"/>
      <c r="CB584" s="349"/>
      <c r="CC584" s="349"/>
      <c r="CD584" s="349"/>
      <c r="CE584" s="349"/>
      <c r="CF584" s="349"/>
      <c r="CG584" s="331"/>
      <c r="CH584" s="331"/>
      <c r="CI584" s="331"/>
      <c r="CJ584" s="331"/>
      <c r="CK584" s="331"/>
      <c r="CL584" s="1118" t="str">
        <f t="shared" si="1389"/>
        <v>Average Positions</v>
      </c>
      <c r="CM584" s="330"/>
      <c r="CN584" s="330"/>
      <c r="CO584" s="330"/>
      <c r="CP584" s="330"/>
      <c r="CQ584" s="330"/>
      <c r="CR584" s="330"/>
      <c r="CS584" s="330">
        <f t="shared" si="1390"/>
        <v>250</v>
      </c>
      <c r="CT584" s="330">
        <f t="shared" si="1391"/>
        <v>1500</v>
      </c>
      <c r="CU584" s="330">
        <f t="shared" si="1392"/>
        <v>1500</v>
      </c>
      <c r="CV584" s="330">
        <f t="shared" si="1393"/>
        <v>1567.5</v>
      </c>
      <c r="CW584" s="330">
        <f t="shared" si="1394"/>
        <v>0</v>
      </c>
      <c r="CX584" s="330">
        <f t="shared" si="1395"/>
        <v>0</v>
      </c>
      <c r="CY584" s="330">
        <f t="shared" si="1396"/>
        <v>0</v>
      </c>
      <c r="CZ584" s="330">
        <f t="shared" si="1397"/>
        <v>0</v>
      </c>
      <c r="DA584" s="330">
        <f t="shared" si="1398"/>
        <v>0</v>
      </c>
      <c r="DB584" s="330">
        <f t="shared" si="1398"/>
        <v>0</v>
      </c>
      <c r="DC584" s="1888">
        <f t="shared" si="1398"/>
        <v>0</v>
      </c>
      <c r="DD584" s="331"/>
      <c r="DE584" s="331"/>
      <c r="DF584" s="502"/>
      <c r="DG584" s="503"/>
      <c r="DH584" s="2601"/>
      <c r="DI584" s="3213"/>
      <c r="DJ584" s="502"/>
      <c r="DK584" s="503"/>
      <c r="DL584" s="502"/>
      <c r="DM584" s="502"/>
      <c r="DN584" s="502"/>
      <c r="DO584" s="502"/>
      <c r="DP584" s="503"/>
      <c r="DQ584" s="503"/>
      <c r="DR584" s="296"/>
      <c r="DS584" s="296"/>
      <c r="DT584" s="296"/>
    </row>
    <row r="585" spans="1:124" ht="12" customHeight="1" x14ac:dyDescent="0.25">
      <c r="A585" s="557" t="s">
        <v>901</v>
      </c>
      <c r="B585" s="558"/>
      <c r="C585" s="318"/>
      <c r="D585" s="318"/>
      <c r="E585" s="318"/>
      <c r="F585" s="318"/>
      <c r="G585" s="559"/>
      <c r="H585" s="318"/>
      <c r="I585" s="318"/>
      <c r="J585" s="318"/>
      <c r="K585" s="318"/>
      <c r="L585" s="559"/>
      <c r="M585" s="318"/>
      <c r="N585" s="318"/>
      <c r="O585" s="318"/>
      <c r="P585" s="318"/>
      <c r="Q585" s="559"/>
      <c r="R585" s="318"/>
      <c r="S585" s="318"/>
      <c r="T585" s="318"/>
      <c r="U585" s="318"/>
      <c r="V585" s="559"/>
      <c r="W585" s="318"/>
      <c r="X585" s="318"/>
      <c r="Y585" s="318"/>
      <c r="Z585" s="318"/>
      <c r="AA585" s="559"/>
      <c r="AB585" s="318"/>
      <c r="AC585" s="318"/>
      <c r="AD585" s="318"/>
      <c r="AE585" s="560"/>
      <c r="AF585" s="561"/>
      <c r="AG585" s="318"/>
      <c r="AH585" s="318"/>
      <c r="AI585" s="318">
        <f>AI588/AI581*1000000/4</f>
        <v>345.97308833333335</v>
      </c>
      <c r="AJ585" s="318">
        <f>AJ588/AJ581*1000000/AJ5</f>
        <v>184.93180710144929</v>
      </c>
      <c r="AK585" s="561">
        <f>AJ585</f>
        <v>184.93180710144929</v>
      </c>
      <c r="AL585" s="2081">
        <f>AL588/AL581*1000000/AL5</f>
        <v>196.84003703703704</v>
      </c>
      <c r="AM585" s="2081">
        <f>AM588/AM581*1000000/AM5</f>
        <v>208.6508104029304</v>
      </c>
      <c r="AN585" s="2081">
        <f>AN588/AN581*1000000/AN5</f>
        <v>203.19294304347824</v>
      </c>
      <c r="AO585" s="2081">
        <f>AO588/AO581*1000000/AO5</f>
        <v>200.60311724637683</v>
      </c>
      <c r="AP585" s="559">
        <f>Maryland!H38</f>
        <v>198.75</v>
      </c>
      <c r="AQ585" s="2081">
        <f>AQ588/AQ581*1000000/AQ5</f>
        <v>246.13178776556779</v>
      </c>
      <c r="AR585" s="2081">
        <f>AR588/AR581*1000000/AR5</f>
        <v>210.66199377289377</v>
      </c>
      <c r="AS585" s="2081">
        <f>AS588/AS581*1000000/AS5</f>
        <v>140.58813297101449</v>
      </c>
      <c r="AT585" s="2081">
        <f>AT588/AT581*1000000/AT5</f>
        <v>122.14425376811595</v>
      </c>
      <c r="AU585" s="559">
        <f>+AU588/AU584/AU5*1000000</f>
        <v>179.61643087431693</v>
      </c>
      <c r="AV585" s="2081">
        <f>AV588/AV581*1000000/AV5</f>
        <v>154.85702074074072</v>
      </c>
      <c r="AW585" s="2081">
        <f>AW588/AW581*1000000/AW5</f>
        <v>169.457969014816</v>
      </c>
      <c r="AX585" s="2081">
        <f>AX588/AX581*1000000/AX5</f>
        <v>147.46931017467011</v>
      </c>
      <c r="AY585" s="2559">
        <f>AY588/AY581*1000000/35</f>
        <v>138.30460662165365</v>
      </c>
      <c r="AZ585" s="559">
        <f>+AZ588/AZ584/AZ5*1000000</f>
        <v>131.61512157596147</v>
      </c>
      <c r="BA585" s="318"/>
      <c r="BB585" s="318"/>
      <c r="BC585" s="318"/>
      <c r="BD585" s="318"/>
      <c r="BE585" s="559"/>
      <c r="BF585" s="318"/>
      <c r="BG585" s="318"/>
      <c r="BH585" s="318"/>
      <c r="BI585" s="318"/>
      <c r="BJ585" s="559"/>
      <c r="BK585" s="318"/>
      <c r="BL585" s="318"/>
      <c r="BM585" s="318"/>
      <c r="BN585" s="318"/>
      <c r="BO585" s="559"/>
      <c r="BP585" s="318"/>
      <c r="BQ585" s="318"/>
      <c r="BR585" s="318"/>
      <c r="BS585" s="318"/>
      <c r="BT585" s="3235"/>
      <c r="BU585" s="3407"/>
      <c r="BV585" s="3408"/>
      <c r="BW585" s="3408"/>
      <c r="BX585" s="3408"/>
      <c r="BY585" s="3235"/>
      <c r="BZ585" s="559"/>
      <c r="CA585" s="559"/>
      <c r="CB585" s="559"/>
      <c r="CC585" s="559"/>
      <c r="CD585" s="559"/>
      <c r="CE585" s="559"/>
      <c r="CF585" s="559"/>
      <c r="CG585" s="560"/>
      <c r="CH585" s="560"/>
      <c r="CI585" s="560"/>
      <c r="CJ585" s="560"/>
      <c r="CK585" s="560"/>
      <c r="CL585" s="1307" t="str">
        <f t="shared" si="1389"/>
        <v>Daily Win / Position</v>
      </c>
      <c r="CM585" s="560"/>
      <c r="CN585" s="560"/>
      <c r="CO585" s="560"/>
      <c r="CP585" s="560"/>
      <c r="CQ585" s="560"/>
      <c r="CR585" s="560"/>
      <c r="CS585" s="560">
        <f t="shared" si="1390"/>
        <v>184.93180710144929</v>
      </c>
      <c r="CT585" s="560">
        <f t="shared" si="1391"/>
        <v>198.75</v>
      </c>
      <c r="CU585" s="560">
        <f t="shared" si="1392"/>
        <v>179.61643087431693</v>
      </c>
      <c r="CV585" s="560">
        <f t="shared" si="1393"/>
        <v>131.61512157596147</v>
      </c>
      <c r="CW585" s="560">
        <f t="shared" si="1394"/>
        <v>0</v>
      </c>
      <c r="CX585" s="560">
        <f t="shared" si="1395"/>
        <v>0</v>
      </c>
      <c r="CY585" s="560">
        <f t="shared" si="1396"/>
        <v>0</v>
      </c>
      <c r="CZ585" s="560">
        <f t="shared" si="1397"/>
        <v>0</v>
      </c>
      <c r="DA585" s="560">
        <f t="shared" si="1398"/>
        <v>0</v>
      </c>
      <c r="DB585" s="560">
        <f t="shared" si="1398"/>
        <v>0</v>
      </c>
      <c r="DC585" s="1878">
        <f t="shared" si="1398"/>
        <v>0</v>
      </c>
      <c r="DD585" s="560"/>
      <c r="DE585" s="560"/>
      <c r="DF585" s="707"/>
      <c r="DG585" s="707"/>
      <c r="DH585" s="2588"/>
      <c r="DI585" s="3213"/>
      <c r="DJ585" s="707"/>
      <c r="DK585" s="707"/>
      <c r="DL585" s="707"/>
      <c r="DM585" s="707"/>
      <c r="DN585" s="707"/>
      <c r="DO585" s="707"/>
      <c r="DP585" s="707"/>
      <c r="DQ585" s="707"/>
      <c r="DR585" s="968"/>
      <c r="DS585" s="968"/>
      <c r="DT585" s="968"/>
    </row>
    <row r="586" spans="1:124" ht="12" customHeight="1" x14ac:dyDescent="0.25">
      <c r="A586" s="465" t="s">
        <v>1491</v>
      </c>
      <c r="B586" s="281"/>
      <c r="C586" s="472"/>
      <c r="D586" s="472"/>
      <c r="E586" s="472"/>
      <c r="F586" s="472"/>
      <c r="G586" s="491"/>
      <c r="H586" s="472"/>
      <c r="I586" s="472"/>
      <c r="J586" s="472"/>
      <c r="K586" s="472"/>
      <c r="L586" s="491"/>
      <c r="M586" s="472"/>
      <c r="N586" s="472"/>
      <c r="O586" s="472"/>
      <c r="P586" s="472"/>
      <c r="Q586" s="491"/>
      <c r="R586" s="472"/>
      <c r="S586" s="472"/>
      <c r="T586" s="472"/>
      <c r="U586" s="472"/>
      <c r="V586" s="491"/>
      <c r="W586" s="472"/>
      <c r="X586" s="472"/>
      <c r="Y586" s="472"/>
      <c r="Z586" s="472"/>
      <c r="AA586" s="491"/>
      <c r="AB586" s="472"/>
      <c r="AC586" s="472"/>
      <c r="AD586" s="472"/>
      <c r="AE586" s="492"/>
      <c r="AF586" s="493"/>
      <c r="AG586" s="472"/>
      <c r="AH586" s="472"/>
      <c r="AI586" s="492"/>
      <c r="AJ586" s="472"/>
      <c r="AK586" s="493"/>
      <c r="AL586" s="472"/>
      <c r="AM586" s="472"/>
      <c r="AN586" s="472"/>
      <c r="AO586" s="472"/>
      <c r="AP586" s="494"/>
      <c r="AQ586" s="1734">
        <f t="shared" ref="AQ586:AY586" si="1400">+AQ585/AL585-1</f>
        <v>0.25041526851194473</v>
      </c>
      <c r="AR586" s="1735">
        <f t="shared" si="1400"/>
        <v>9.6389914138339527E-3</v>
      </c>
      <c r="AS586" s="1735">
        <f t="shared" si="1400"/>
        <v>-0.30810523798096612</v>
      </c>
      <c r="AT586" s="1735">
        <f t="shared" si="1400"/>
        <v>-0.39111487675388035</v>
      </c>
      <c r="AU586" s="1702">
        <f t="shared" si="1400"/>
        <v>-9.6269530192116037E-2</v>
      </c>
      <c r="AV586" s="1735">
        <f t="shared" si="1400"/>
        <v>-0.37083697255619497</v>
      </c>
      <c r="AW586" s="1735">
        <f t="shared" si="1400"/>
        <v>-0.19559306365674189</v>
      </c>
      <c r="AX586" s="1735">
        <f t="shared" si="1400"/>
        <v>4.8945647532529168E-2</v>
      </c>
      <c r="AY586" s="2560">
        <f t="shared" si="1400"/>
        <v>0.13230546959840805</v>
      </c>
      <c r="AZ586" s="1702">
        <f>+AZ585/AU585-1</f>
        <v>-0.26724342012977331</v>
      </c>
      <c r="BA586" s="737"/>
      <c r="BB586" s="737"/>
      <c r="BC586" s="737"/>
      <c r="BD586" s="737"/>
      <c r="BE586" s="1702"/>
      <c r="BF586" s="737"/>
      <c r="BG586" s="737"/>
      <c r="BH586" s="737"/>
      <c r="BI586" s="737"/>
      <c r="BJ586" s="1702"/>
      <c r="BK586" s="737"/>
      <c r="BL586" s="737"/>
      <c r="BM586" s="737"/>
      <c r="BN586" s="737"/>
      <c r="BO586" s="1702"/>
      <c r="BP586" s="737"/>
      <c r="BQ586" s="737"/>
      <c r="BR586" s="737"/>
      <c r="BS586" s="737"/>
      <c r="BT586" s="3122"/>
      <c r="BU586" s="3123"/>
      <c r="BV586" s="2977"/>
      <c r="BW586" s="2977"/>
      <c r="BX586" s="2977"/>
      <c r="BY586" s="3122"/>
      <c r="BZ586" s="587"/>
      <c r="CA586" s="587"/>
      <c r="CB586" s="587"/>
      <c r="CC586" s="587"/>
      <c r="CD586" s="587"/>
      <c r="CE586" s="587"/>
      <c r="CF586" s="587"/>
      <c r="CG586" s="331"/>
      <c r="CH586" s="331"/>
      <c r="CI586" s="331"/>
      <c r="CJ586" s="331"/>
      <c r="CK586" s="331"/>
      <c r="CL586" s="1310" t="str">
        <f t="shared" si="1389"/>
        <v>% growth (y-o-y)</v>
      </c>
      <c r="CM586" s="492"/>
      <c r="CN586" s="492"/>
      <c r="CO586" s="492"/>
      <c r="CP586" s="492"/>
      <c r="CQ586" s="492"/>
      <c r="CR586" s="492"/>
      <c r="CS586" s="492"/>
      <c r="CT586" s="492"/>
      <c r="CU586" s="492">
        <f t="shared" si="1392"/>
        <v>-9.6269530192116037E-2</v>
      </c>
      <c r="CV586" s="492">
        <f t="shared" si="1393"/>
        <v>-0.26724342012977331</v>
      </c>
      <c r="CW586" s="492">
        <f t="shared" si="1394"/>
        <v>0</v>
      </c>
      <c r="CX586" s="492">
        <f t="shared" si="1395"/>
        <v>0</v>
      </c>
      <c r="CY586" s="492">
        <f t="shared" si="1396"/>
        <v>0</v>
      </c>
      <c r="CZ586" s="492">
        <f t="shared" si="1397"/>
        <v>0</v>
      </c>
      <c r="DA586" s="492">
        <f t="shared" si="1398"/>
        <v>0</v>
      </c>
      <c r="DB586" s="492">
        <f t="shared" si="1398"/>
        <v>0</v>
      </c>
      <c r="DC586" s="1311">
        <f t="shared" si="1398"/>
        <v>0</v>
      </c>
      <c r="DD586" s="331"/>
      <c r="DE586" s="331"/>
      <c r="DF586" s="502"/>
      <c r="DG586" s="503"/>
      <c r="DH586" s="2977"/>
      <c r="DI586" s="3213"/>
      <c r="DJ586" s="502"/>
      <c r="DK586" s="503"/>
      <c r="DL586" s="502"/>
      <c r="DM586" s="502"/>
      <c r="DN586" s="502"/>
      <c r="DO586" s="502"/>
      <c r="DP586" s="503"/>
      <c r="DQ586" s="503"/>
      <c r="DR586" s="296"/>
      <c r="DS586" s="296"/>
      <c r="DT586" s="296"/>
    </row>
    <row r="587" spans="1:124" ht="5.0999999999999996" customHeight="1" x14ac:dyDescent="0.25">
      <c r="A587" s="281"/>
      <c r="B587" s="281"/>
      <c r="C587" s="305"/>
      <c r="D587" s="305"/>
      <c r="E587" s="305"/>
      <c r="F587" s="305"/>
      <c r="G587" s="440"/>
      <c r="H587" s="305"/>
      <c r="I587" s="305"/>
      <c r="J587" s="305"/>
      <c r="K587" s="305"/>
      <c r="L587" s="440"/>
      <c r="M587" s="305"/>
      <c r="N587" s="305"/>
      <c r="O587" s="305"/>
      <c r="P587" s="305"/>
      <c r="Q587" s="440"/>
      <c r="R587" s="305"/>
      <c r="S587" s="305"/>
      <c r="T587" s="305"/>
      <c r="U587" s="305"/>
      <c r="V587" s="440"/>
      <c r="W587" s="305"/>
      <c r="X587" s="305"/>
      <c r="Y587" s="305"/>
      <c r="Z587" s="305"/>
      <c r="AA587" s="440"/>
      <c r="AB587" s="305"/>
      <c r="AC587" s="305"/>
      <c r="AD587" s="305"/>
      <c r="AE587" s="331"/>
      <c r="AF587" s="441"/>
      <c r="AG587" s="305"/>
      <c r="AH587" s="305"/>
      <c r="AI587" s="331"/>
      <c r="AJ587" s="305"/>
      <c r="AK587" s="441"/>
      <c r="AL587" s="305"/>
      <c r="AM587" s="305"/>
      <c r="AN587" s="305"/>
      <c r="AO587" s="331"/>
      <c r="AP587" s="569"/>
      <c r="AQ587" s="569"/>
      <c r="AR587" s="442"/>
      <c r="AS587" s="442"/>
      <c r="AT587" s="442"/>
      <c r="AU587" s="441"/>
      <c r="AV587" s="569"/>
      <c r="AW587" s="442"/>
      <c r="AX587" s="442"/>
      <c r="AY587" s="1312"/>
      <c r="AZ587" s="441"/>
      <c r="BA587" s="442"/>
      <c r="BB587" s="442"/>
      <c r="BC587" s="442"/>
      <c r="BD587" s="442"/>
      <c r="BE587" s="441"/>
      <c r="BF587" s="442"/>
      <c r="BG587" s="442"/>
      <c r="BH587" s="442"/>
      <c r="BI587" s="442"/>
      <c r="BJ587" s="441"/>
      <c r="BK587" s="442"/>
      <c r="BL587" s="442"/>
      <c r="BM587" s="442"/>
      <c r="BN587" s="442"/>
      <c r="BO587" s="441"/>
      <c r="BP587" s="442"/>
      <c r="BQ587" s="442"/>
      <c r="BR587" s="442"/>
      <c r="BS587" s="442"/>
      <c r="BT587" s="3236"/>
      <c r="BU587" s="3409"/>
      <c r="BV587" s="3298"/>
      <c r="BW587" s="3298"/>
      <c r="BX587" s="3298"/>
      <c r="BY587" s="3236"/>
      <c r="BZ587" s="441"/>
      <c r="CA587" s="441"/>
      <c r="CB587" s="441"/>
      <c r="CC587" s="441"/>
      <c r="CD587" s="441"/>
      <c r="CE587" s="441"/>
      <c r="CF587" s="441"/>
      <c r="CG587" s="331"/>
      <c r="CH587" s="331"/>
      <c r="CI587" s="331"/>
      <c r="CJ587" s="331"/>
      <c r="CK587" s="331"/>
      <c r="CL587" s="520"/>
      <c r="CM587" s="442"/>
      <c r="CN587" s="442"/>
      <c r="CO587" s="442"/>
      <c r="CP587" s="442"/>
      <c r="CQ587" s="442"/>
      <c r="CR587" s="442"/>
      <c r="CS587" s="442"/>
      <c r="CT587" s="442"/>
      <c r="CU587" s="442"/>
      <c r="CV587" s="442"/>
      <c r="CW587" s="442"/>
      <c r="CX587" s="442"/>
      <c r="CY587" s="442"/>
      <c r="CZ587" s="442"/>
      <c r="DA587" s="442"/>
      <c r="DB587" s="442"/>
      <c r="DC587" s="1312"/>
      <c r="DD587" s="331"/>
      <c r="DE587" s="331"/>
      <c r="DF587" s="502"/>
      <c r="DG587" s="503"/>
      <c r="DH587" s="3298"/>
      <c r="DI587" s="3213"/>
      <c r="DJ587" s="502"/>
      <c r="DK587" s="503"/>
      <c r="DL587" s="502"/>
      <c r="DM587" s="502"/>
      <c r="DN587" s="502"/>
      <c r="DO587" s="502"/>
      <c r="DP587" s="503"/>
      <c r="DQ587" s="503"/>
      <c r="DR587" s="296"/>
      <c r="DS587" s="296"/>
      <c r="DT587" s="296"/>
    </row>
    <row r="588" spans="1:124" ht="12" customHeight="1" x14ac:dyDescent="0.25">
      <c r="A588" s="281" t="s">
        <v>730</v>
      </c>
      <c r="B588" s="281"/>
      <c r="C588" s="570"/>
      <c r="D588" s="570"/>
      <c r="E588" s="570"/>
      <c r="F588" s="452"/>
      <c r="G588" s="571"/>
      <c r="H588" s="570"/>
      <c r="I588" s="570"/>
      <c r="J588" s="570"/>
      <c r="K588" s="452"/>
      <c r="L588" s="571"/>
      <c r="M588" s="570"/>
      <c r="N588" s="570"/>
      <c r="O588" s="570"/>
      <c r="P588" s="452"/>
      <c r="Q588" s="571"/>
      <c r="R588" s="570"/>
      <c r="S588" s="570"/>
      <c r="T588" s="570"/>
      <c r="U588" s="452"/>
      <c r="V588" s="571"/>
      <c r="W588" s="570"/>
      <c r="X588" s="570"/>
      <c r="Y588" s="570"/>
      <c r="Z588" s="452"/>
      <c r="AA588" s="571"/>
      <c r="AB588" s="570"/>
      <c r="AC588" s="570"/>
      <c r="AD588" s="570"/>
      <c r="AE588" s="476"/>
      <c r="AF588" s="573"/>
      <c r="AG588" s="570"/>
      <c r="AH588" s="570"/>
      <c r="AI588" s="572">
        <v>2.07583853</v>
      </c>
      <c r="AJ588" s="570">
        <v>25.520589380000001</v>
      </c>
      <c r="AK588" s="477">
        <f>AJ588</f>
        <v>25.520589380000001</v>
      </c>
      <c r="AL588" s="572">
        <v>26.573405000000001</v>
      </c>
      <c r="AM588" s="570">
        <v>28.480835620000001</v>
      </c>
      <c r="AN588" s="570">
        <v>28.040626140000001</v>
      </c>
      <c r="AO588" s="570">
        <v>27.683230180000002</v>
      </c>
      <c r="AP588" s="584">
        <f>SUM(AL588:AO588)</f>
        <v>110.77809694000001</v>
      </c>
      <c r="AQ588" s="1731">
        <v>33.596989030000003</v>
      </c>
      <c r="AR588" s="570">
        <v>28.755362149999996</v>
      </c>
      <c r="AS588" s="570">
        <v>19.40116235</v>
      </c>
      <c r="AT588" s="570">
        <v>16.85590702</v>
      </c>
      <c r="AU588" s="475">
        <f>SUM(AQ588:AT588)</f>
        <v>98.609420549999996</v>
      </c>
      <c r="AV588" s="592">
        <v>20.905697799999999</v>
      </c>
      <c r="AW588" s="572">
        <v>24.796445689999999</v>
      </c>
      <c r="AX588" s="570">
        <v>21.816019869999998</v>
      </c>
      <c r="AY588" s="570">
        <v>7.7837832606666666</v>
      </c>
      <c r="AZ588" s="475">
        <f>SUM(AV588:AY588)</f>
        <v>75.301946620666655</v>
      </c>
      <c r="BA588" s="452"/>
      <c r="BB588" s="452"/>
      <c r="BC588" s="452"/>
      <c r="BD588" s="452"/>
      <c r="BE588" s="475"/>
      <c r="BF588" s="452"/>
      <c r="BG588" s="452"/>
      <c r="BH588" s="452"/>
      <c r="BI588" s="452"/>
      <c r="BJ588" s="475"/>
      <c r="BK588" s="452"/>
      <c r="BL588" s="452"/>
      <c r="BM588" s="452"/>
      <c r="BN588" s="452"/>
      <c r="BO588" s="475"/>
      <c r="BP588" s="452"/>
      <c r="BQ588" s="452"/>
      <c r="BR588" s="452"/>
      <c r="BS588" s="452"/>
      <c r="BT588" s="3239"/>
      <c r="BU588" s="3413"/>
      <c r="BV588" s="2785"/>
      <c r="BW588" s="2785"/>
      <c r="BX588" s="2785"/>
      <c r="BY588" s="3239"/>
      <c r="BZ588" s="475"/>
      <c r="CA588" s="475"/>
      <c r="CB588" s="475"/>
      <c r="CC588" s="475"/>
      <c r="CD588" s="475"/>
      <c r="CE588" s="475"/>
      <c r="CF588" s="475"/>
      <c r="CG588" s="331"/>
      <c r="CH588" s="331"/>
      <c r="CI588" s="331"/>
      <c r="CJ588" s="331"/>
      <c r="CK588" s="331"/>
      <c r="CL588" s="520" t="str">
        <f>A588</f>
        <v>Casino revenue</v>
      </c>
      <c r="CM588" s="476"/>
      <c r="CN588" s="476"/>
      <c r="CO588" s="476"/>
      <c r="CP588" s="476"/>
      <c r="CQ588" s="476"/>
      <c r="CR588" s="476"/>
      <c r="CS588" s="476">
        <f>AK588</f>
        <v>25.520589380000001</v>
      </c>
      <c r="CT588" s="476">
        <f>AP588</f>
        <v>110.77809694000001</v>
      </c>
      <c r="CU588" s="476">
        <f>AU588</f>
        <v>98.609420549999996</v>
      </c>
      <c r="CV588" s="476">
        <f>AZ588</f>
        <v>75.301946620666655</v>
      </c>
      <c r="CW588" s="476">
        <f>BE588</f>
        <v>0</v>
      </c>
      <c r="CX588" s="476">
        <f>BJ588</f>
        <v>0</v>
      </c>
      <c r="CY588" s="476">
        <f>BO588</f>
        <v>0</v>
      </c>
      <c r="CZ588" s="476">
        <f>BT588</f>
        <v>0</v>
      </c>
      <c r="DA588" s="476">
        <f t="shared" ref="DA588:DC592" si="1401">BY588</f>
        <v>0</v>
      </c>
      <c r="DB588" s="476">
        <f t="shared" si="1401"/>
        <v>0</v>
      </c>
      <c r="DC588" s="682">
        <f t="shared" si="1401"/>
        <v>0</v>
      </c>
      <c r="DD588" s="331"/>
      <c r="DE588" s="331"/>
      <c r="DF588" s="502"/>
      <c r="DG588" s="503"/>
      <c r="DH588" s="2577"/>
      <c r="DI588" s="3213"/>
      <c r="DJ588" s="502"/>
      <c r="DK588" s="503"/>
      <c r="DL588" s="502"/>
      <c r="DM588" s="502"/>
      <c r="DN588" s="502"/>
      <c r="DO588" s="502"/>
      <c r="DP588" s="503"/>
      <c r="DQ588" s="503"/>
      <c r="DR588" s="296"/>
      <c r="DS588" s="296"/>
      <c r="DT588" s="296"/>
    </row>
    <row r="589" spans="1:124" ht="12" customHeight="1" x14ac:dyDescent="0.25">
      <c r="A589" s="465" t="s">
        <v>1491</v>
      </c>
      <c r="B589" s="281"/>
      <c r="C589" s="472"/>
      <c r="D589" s="472"/>
      <c r="E589" s="472"/>
      <c r="F589" s="472"/>
      <c r="G589" s="491"/>
      <c r="H589" s="472"/>
      <c r="I589" s="472"/>
      <c r="J589" s="472"/>
      <c r="K589" s="472"/>
      <c r="L589" s="491"/>
      <c r="M589" s="472"/>
      <c r="N589" s="472"/>
      <c r="O589" s="472"/>
      <c r="P589" s="472"/>
      <c r="Q589" s="491"/>
      <c r="R589" s="472"/>
      <c r="S589" s="472"/>
      <c r="T589" s="472"/>
      <c r="U589" s="472"/>
      <c r="V589" s="491"/>
      <c r="W589" s="472"/>
      <c r="X589" s="472"/>
      <c r="Y589" s="472"/>
      <c r="Z589" s="472"/>
      <c r="AA589" s="491"/>
      <c r="AB589" s="472"/>
      <c r="AC589" s="472"/>
      <c r="AD589" s="472"/>
      <c r="AE589" s="492"/>
      <c r="AF589" s="493"/>
      <c r="AG589" s="472"/>
      <c r="AH589" s="472"/>
      <c r="AI589" s="492"/>
      <c r="AJ589" s="472"/>
      <c r="AK589" s="493"/>
      <c r="AL589" s="472"/>
      <c r="AM589" s="472"/>
      <c r="AN589" s="472"/>
      <c r="AO589" s="472">
        <f>+AO588/AJ588-1</f>
        <v>8.4741020977157522E-2</v>
      </c>
      <c r="AP589" s="494"/>
      <c r="AQ589" s="494">
        <f t="shared" ref="AQ589:AZ589" si="1402">+AQ588/AL588-1</f>
        <v>0.26430877149541065</v>
      </c>
      <c r="AR589" s="492">
        <f t="shared" si="1402"/>
        <v>9.6389914138339527E-3</v>
      </c>
      <c r="AS589" s="492">
        <f t="shared" si="1402"/>
        <v>-0.30810523798096612</v>
      </c>
      <c r="AT589" s="492">
        <f t="shared" si="1402"/>
        <v>-0.39111487675388035</v>
      </c>
      <c r="AU589" s="493">
        <f t="shared" si="1402"/>
        <v>-0.10984731391974401</v>
      </c>
      <c r="AV589" s="494">
        <f t="shared" si="1402"/>
        <v>-0.37775085197865432</v>
      </c>
      <c r="AW589" s="492">
        <f t="shared" si="1402"/>
        <v>-0.13767576424002703</v>
      </c>
      <c r="AX589" s="492">
        <f t="shared" si="1402"/>
        <v>0.12446973415487128</v>
      </c>
      <c r="AY589" s="1311">
        <f t="shared" si="1402"/>
        <v>-0.53821629109421454</v>
      </c>
      <c r="AZ589" s="493">
        <f t="shared" si="1402"/>
        <v>-0.23636153421584361</v>
      </c>
      <c r="BA589" s="492"/>
      <c r="BB589" s="492"/>
      <c r="BC589" s="492"/>
      <c r="BD589" s="492"/>
      <c r="BE589" s="493"/>
      <c r="BF589" s="492"/>
      <c r="BG589" s="492"/>
      <c r="BH589" s="492"/>
      <c r="BI589" s="492"/>
      <c r="BJ589" s="493"/>
      <c r="BK589" s="492"/>
      <c r="BL589" s="492"/>
      <c r="BM589" s="492"/>
      <c r="BN589" s="492"/>
      <c r="BO589" s="493"/>
      <c r="BP589" s="492"/>
      <c r="BQ589" s="492"/>
      <c r="BR589" s="492"/>
      <c r="BS589" s="492"/>
      <c r="BT589" s="2693"/>
      <c r="BU589" s="3398"/>
      <c r="BV589" s="2653"/>
      <c r="BW589" s="2653"/>
      <c r="BX589" s="2653"/>
      <c r="BY589" s="2693"/>
      <c r="BZ589" s="493"/>
      <c r="CA589" s="493"/>
      <c r="CB589" s="493"/>
      <c r="CC589" s="493"/>
      <c r="CD589" s="493"/>
      <c r="CE589" s="493"/>
      <c r="CF589" s="493"/>
      <c r="CG589" s="331"/>
      <c r="CH589" s="331"/>
      <c r="CI589" s="331"/>
      <c r="CJ589" s="331"/>
      <c r="CK589" s="331"/>
      <c r="CL589" s="1310" t="str">
        <f>A589</f>
        <v>% growth (y-o-y)</v>
      </c>
      <c r="CM589" s="492"/>
      <c r="CN589" s="492"/>
      <c r="CO589" s="492"/>
      <c r="CP589" s="492"/>
      <c r="CQ589" s="492"/>
      <c r="CR589" s="492"/>
      <c r="CS589" s="492"/>
      <c r="CT589" s="492"/>
      <c r="CU589" s="492">
        <f>AU589</f>
        <v>-0.10984731391974401</v>
      </c>
      <c r="CV589" s="492">
        <f>AZ589</f>
        <v>-0.23636153421584361</v>
      </c>
      <c r="CW589" s="492">
        <f>BE589</f>
        <v>0</v>
      </c>
      <c r="CX589" s="492">
        <f>BJ589</f>
        <v>0</v>
      </c>
      <c r="CY589" s="492">
        <f>BO589</f>
        <v>0</v>
      </c>
      <c r="CZ589" s="492">
        <f>BT589</f>
        <v>0</v>
      </c>
      <c r="DA589" s="492">
        <f t="shared" si="1401"/>
        <v>0</v>
      </c>
      <c r="DB589" s="492">
        <f t="shared" si="1401"/>
        <v>0</v>
      </c>
      <c r="DC589" s="1311">
        <f t="shared" si="1401"/>
        <v>0</v>
      </c>
      <c r="DD589" s="331"/>
      <c r="DE589" s="331"/>
      <c r="DF589" s="502"/>
      <c r="DG589" s="503"/>
      <c r="DH589" s="2653"/>
      <c r="DI589" s="3213"/>
      <c r="DJ589" s="502"/>
      <c r="DK589" s="503"/>
      <c r="DL589" s="502"/>
      <c r="DM589" s="502"/>
      <c r="DN589" s="502"/>
      <c r="DO589" s="502"/>
      <c r="DP589" s="503"/>
      <c r="DQ589" s="503"/>
      <c r="DR589" s="296"/>
      <c r="DS589" s="296"/>
      <c r="DT589" s="296"/>
    </row>
    <row r="590" spans="1:124" ht="12" customHeight="1" x14ac:dyDescent="0.25">
      <c r="A590" s="281" t="s">
        <v>645</v>
      </c>
      <c r="B590" s="281"/>
      <c r="C590" s="452"/>
      <c r="D590" s="452"/>
      <c r="E590" s="452"/>
      <c r="F590" s="452"/>
      <c r="G590" s="475"/>
      <c r="H590" s="452"/>
      <c r="I590" s="452"/>
      <c r="J590" s="452"/>
      <c r="K590" s="452"/>
      <c r="L590" s="475"/>
      <c r="M590" s="452"/>
      <c r="N590" s="452"/>
      <c r="O590" s="452"/>
      <c r="P590" s="452"/>
      <c r="Q590" s="475"/>
      <c r="R590" s="452"/>
      <c r="S590" s="452"/>
      <c r="T590" s="452"/>
      <c r="U590" s="452"/>
      <c r="V590" s="475"/>
      <c r="W590" s="452"/>
      <c r="X590" s="452"/>
      <c r="Y590" s="452"/>
      <c r="Z590" s="452"/>
      <c r="AA590" s="475"/>
      <c r="AB590" s="452"/>
      <c r="AC590" s="452"/>
      <c r="AD590" s="452"/>
      <c r="AE590" s="476"/>
      <c r="AF590" s="477"/>
      <c r="AG590" s="452"/>
      <c r="AH590" s="452"/>
      <c r="AI590" s="2169">
        <f>AI591-AI588</f>
        <v>0.15316147000000013</v>
      </c>
      <c r="AJ590" s="2169">
        <f>AJ591-AJ588</f>
        <v>1.3604106199999997</v>
      </c>
      <c r="AK590" s="477">
        <f>AJ590</f>
        <v>1.3604106199999997</v>
      </c>
      <c r="AL590" s="2169">
        <f>AL591-AL588</f>
        <v>1.181594999999998</v>
      </c>
      <c r="AM590" s="2169">
        <f>AM591-AM588</f>
        <v>1.1091643799999993</v>
      </c>
      <c r="AN590" s="570">
        <f>+AM590</f>
        <v>1.1091643799999993</v>
      </c>
      <c r="AO590" s="570">
        <f>+AN590</f>
        <v>1.1091643799999993</v>
      </c>
      <c r="AP590" s="584">
        <f>SUM(AL590:AO590)</f>
        <v>4.5090881399999958</v>
      </c>
      <c r="AQ590" s="570">
        <f>+AL590*(1+AQ589)</f>
        <v>1.4939009228551172</v>
      </c>
      <c r="AR590" s="570">
        <f>+AM590*(1+AR589)</f>
        <v>1.1198556059353497</v>
      </c>
      <c r="AS590" s="570">
        <f>+AN590*(1+AS589)</f>
        <v>0.76742502474008878</v>
      </c>
      <c r="AT590" s="570">
        <f>+AO590*(1+AT589)</f>
        <v>0.67535369021650549</v>
      </c>
      <c r="AU590" s="475">
        <f>SUM(AQ590:AT590)</f>
        <v>4.056535243747061</v>
      </c>
      <c r="AV590" s="1731">
        <f>+AQ590*(1+AV589)</f>
        <v>0.92957857647489872</v>
      </c>
      <c r="AW590" s="570">
        <f>+AR590*(1+AW589)</f>
        <v>0.96567862954972195</v>
      </c>
      <c r="AX590" s="570">
        <f>+AS590*(1+AX589)</f>
        <v>0.86294621355328316</v>
      </c>
      <c r="AY590" s="2173">
        <f>+AT590*(1+AY589)</f>
        <v>0.31186733189138677</v>
      </c>
      <c r="AZ590" s="475">
        <f>SUM(AV590:AY590)</f>
        <v>3.0700707514692906</v>
      </c>
      <c r="BA590" s="452"/>
      <c r="BB590" s="452"/>
      <c r="BC590" s="452"/>
      <c r="BD590" s="452"/>
      <c r="BE590" s="475"/>
      <c r="BF590" s="452"/>
      <c r="BG590" s="452"/>
      <c r="BH590" s="452"/>
      <c r="BI590" s="452"/>
      <c r="BJ590" s="475"/>
      <c r="BK590" s="452"/>
      <c r="BL590" s="452"/>
      <c r="BM590" s="452"/>
      <c r="BN590" s="452"/>
      <c r="BO590" s="475"/>
      <c r="BP590" s="452"/>
      <c r="BQ590" s="452"/>
      <c r="BR590" s="452"/>
      <c r="BS590" s="452"/>
      <c r="BT590" s="3239"/>
      <c r="BU590" s="3413"/>
      <c r="BV590" s="2785"/>
      <c r="BW590" s="2785"/>
      <c r="BX590" s="2785"/>
      <c r="BY590" s="3239"/>
      <c r="BZ590" s="475"/>
      <c r="CA590" s="475"/>
      <c r="CB590" s="475"/>
      <c r="CC590" s="475"/>
      <c r="CD590" s="475"/>
      <c r="CE590" s="475"/>
      <c r="CF590" s="475"/>
      <c r="CG590" s="331"/>
      <c r="CH590" s="331"/>
      <c r="CI590" s="331"/>
      <c r="CJ590" s="331"/>
      <c r="CK590" s="331"/>
      <c r="CL590" s="520" t="str">
        <f>A590</f>
        <v>Other revenue</v>
      </c>
      <c r="CM590" s="476"/>
      <c r="CN590" s="476"/>
      <c r="CO590" s="476"/>
      <c r="CP590" s="476"/>
      <c r="CQ590" s="476"/>
      <c r="CR590" s="476"/>
      <c r="CS590" s="476">
        <f>AK590</f>
        <v>1.3604106199999997</v>
      </c>
      <c r="CT590" s="476">
        <f>AP590</f>
        <v>4.5090881399999958</v>
      </c>
      <c r="CU590" s="476">
        <f>AU590</f>
        <v>4.056535243747061</v>
      </c>
      <c r="CV590" s="476">
        <f>AZ590</f>
        <v>3.0700707514692906</v>
      </c>
      <c r="CW590" s="476">
        <f>BE590</f>
        <v>0</v>
      </c>
      <c r="CX590" s="476">
        <f>BJ590</f>
        <v>0</v>
      </c>
      <c r="CY590" s="476">
        <f>BO590</f>
        <v>0</v>
      </c>
      <c r="CZ590" s="476">
        <f>BT590</f>
        <v>0</v>
      </c>
      <c r="DA590" s="476">
        <f t="shared" si="1401"/>
        <v>0</v>
      </c>
      <c r="DB590" s="476">
        <f t="shared" si="1401"/>
        <v>0</v>
      </c>
      <c r="DC590" s="682">
        <f t="shared" si="1401"/>
        <v>0</v>
      </c>
      <c r="DD590" s="331"/>
      <c r="DE590" s="331"/>
      <c r="DF590" s="502"/>
      <c r="DG590" s="503"/>
      <c r="DH590" s="2577"/>
      <c r="DI590" s="3213"/>
      <c r="DJ590" s="502"/>
      <c r="DK590" s="503"/>
      <c r="DL590" s="502"/>
      <c r="DM590" s="502"/>
      <c r="DN590" s="502"/>
      <c r="DO590" s="502"/>
      <c r="DP590" s="503"/>
      <c r="DQ590" s="503"/>
      <c r="DR590" s="296"/>
      <c r="DS590" s="296"/>
      <c r="DT590" s="296"/>
    </row>
    <row r="591" spans="1:124" ht="12" customHeight="1" x14ac:dyDescent="0.25">
      <c r="A591" s="496" t="s">
        <v>1418</v>
      </c>
      <c r="B591" s="1007"/>
      <c r="C591" s="1008"/>
      <c r="D591" s="1008"/>
      <c r="E591" s="1008"/>
      <c r="F591" s="1008"/>
      <c r="G591" s="1009"/>
      <c r="H591" s="1008"/>
      <c r="I591" s="1008"/>
      <c r="J591" s="1008"/>
      <c r="K591" s="1008"/>
      <c r="L591" s="1009"/>
      <c r="M591" s="1008"/>
      <c r="N591" s="1008"/>
      <c r="O591" s="1008"/>
      <c r="P591" s="1008"/>
      <c r="Q591" s="1009"/>
      <c r="R591" s="1008"/>
      <c r="S591" s="1008"/>
      <c r="T591" s="1008"/>
      <c r="U591" s="1008"/>
      <c r="V591" s="1009"/>
      <c r="W591" s="1008"/>
      <c r="X591" s="1008"/>
      <c r="Y591" s="1008"/>
      <c r="Z591" s="1008"/>
      <c r="AA591" s="1009"/>
      <c r="AB591" s="1014"/>
      <c r="AC591" s="1014"/>
      <c r="AD591" s="1014"/>
      <c r="AE591" s="1012"/>
      <c r="AF591" s="1011"/>
      <c r="AG591" s="1014"/>
      <c r="AH591" s="1014"/>
      <c r="AI591" s="1010">
        <v>2.2290000000000001</v>
      </c>
      <c r="AJ591" s="1394">
        <v>26.881</v>
      </c>
      <c r="AK591" s="1011">
        <f>AJ591</f>
        <v>26.881</v>
      </c>
      <c r="AL591" s="1459">
        <v>27.754999999999999</v>
      </c>
      <c r="AM591" s="1010">
        <v>29.59</v>
      </c>
      <c r="AN591" s="1014">
        <f>+AN590+AN588</f>
        <v>29.14979052</v>
      </c>
      <c r="AO591" s="1014">
        <f>+AO590+AO588</f>
        <v>28.792394560000002</v>
      </c>
      <c r="AP591" s="1021">
        <f>SUM(AL591:AO591)</f>
        <v>115.28718508</v>
      </c>
      <c r="AQ591" s="1021">
        <f>+AQ590+AQ588</f>
        <v>35.090889952855122</v>
      </c>
      <c r="AR591" s="1014">
        <f>+AR590+AR588</f>
        <v>29.875217755935346</v>
      </c>
      <c r="AS591" s="1014">
        <f>+AS590+AS588</f>
        <v>20.168587374740088</v>
      </c>
      <c r="AT591" s="1014">
        <f>+AT590+AT588</f>
        <v>17.531260710216504</v>
      </c>
      <c r="AU591" s="1009">
        <f>SUM(AQ591:AT591)</f>
        <v>102.66595579374706</v>
      </c>
      <c r="AV591" s="1021">
        <f>+AV590+AV588</f>
        <v>21.835276376474898</v>
      </c>
      <c r="AW591" s="1014">
        <f>+AW590+AW588</f>
        <v>25.76212431954972</v>
      </c>
      <c r="AX591" s="1014">
        <f>+AX590+AX588</f>
        <v>22.678966083553281</v>
      </c>
      <c r="AY591" s="1920">
        <f>+AY590+AY588</f>
        <v>8.0956505925580533</v>
      </c>
      <c r="AZ591" s="1009">
        <f>SUM(AV591:AY591)</f>
        <v>78.372017372135957</v>
      </c>
      <c r="BA591" s="1014"/>
      <c r="BB591" s="1014"/>
      <c r="BC591" s="1014"/>
      <c r="BD591" s="1014"/>
      <c r="BE591" s="1009"/>
      <c r="BF591" s="1014"/>
      <c r="BG591" s="1014"/>
      <c r="BH591" s="1014"/>
      <c r="BI591" s="1014"/>
      <c r="BJ591" s="1009"/>
      <c r="BK591" s="1014"/>
      <c r="BL591" s="1014"/>
      <c r="BM591" s="1014"/>
      <c r="BN591" s="1014"/>
      <c r="BO591" s="1009"/>
      <c r="BP591" s="1014"/>
      <c r="BQ591" s="1014"/>
      <c r="BR591" s="1014"/>
      <c r="BS591" s="1014"/>
      <c r="BT591" s="1009"/>
      <c r="BU591" s="1021"/>
      <c r="BV591" s="1014"/>
      <c r="BW591" s="1014"/>
      <c r="BX591" s="1014"/>
      <c r="BY591" s="1009"/>
      <c r="BZ591" s="1009"/>
      <c r="CA591" s="1009"/>
      <c r="CB591" s="1009"/>
      <c r="CC591" s="1009"/>
      <c r="CD591" s="1009"/>
      <c r="CE591" s="1009"/>
      <c r="CF591" s="1009"/>
      <c r="CG591" s="331"/>
      <c r="CH591" s="331"/>
      <c r="CI591" s="331"/>
      <c r="CJ591" s="331"/>
      <c r="CK591" s="331"/>
      <c r="CL591" s="2102" t="str">
        <f>A591</f>
        <v>Net revenue</v>
      </c>
      <c r="CM591" s="1012"/>
      <c r="CN591" s="1012"/>
      <c r="CO591" s="1012"/>
      <c r="CP591" s="1012"/>
      <c r="CQ591" s="1012"/>
      <c r="CR591" s="1012"/>
      <c r="CS591" s="1012">
        <f>AK591</f>
        <v>26.881</v>
      </c>
      <c r="CT591" s="1012">
        <f>AP591</f>
        <v>115.28718508</v>
      </c>
      <c r="CU591" s="1012">
        <f>AU591</f>
        <v>102.66595579374706</v>
      </c>
      <c r="CV591" s="1012">
        <f>AZ591</f>
        <v>78.372017372135957</v>
      </c>
      <c r="CW591" s="1012">
        <f>BE591</f>
        <v>0</v>
      </c>
      <c r="CX591" s="1012">
        <f>BJ591</f>
        <v>0</v>
      </c>
      <c r="CY591" s="1012">
        <f>BO591</f>
        <v>0</v>
      </c>
      <c r="CZ591" s="1012">
        <f>BT591</f>
        <v>0</v>
      </c>
      <c r="DA591" s="1012">
        <f t="shared" si="1401"/>
        <v>0</v>
      </c>
      <c r="DB591" s="1012">
        <f t="shared" si="1401"/>
        <v>0</v>
      </c>
      <c r="DC591" s="1877">
        <f t="shared" si="1401"/>
        <v>0</v>
      </c>
      <c r="DD591" s="331"/>
      <c r="DE591" s="331"/>
      <c r="DF591" s="502"/>
      <c r="DG591" s="503"/>
      <c r="DH591" s="598"/>
      <c r="DI591" s="3213"/>
      <c r="DJ591" s="502"/>
      <c r="DK591" s="503"/>
      <c r="DL591" s="502"/>
      <c r="DM591" s="502"/>
      <c r="DN591" s="502"/>
      <c r="DO591" s="502"/>
      <c r="DP591" s="503"/>
      <c r="DQ591" s="503"/>
      <c r="DR591" s="296"/>
      <c r="DS591" s="296"/>
      <c r="DT591" s="296"/>
    </row>
    <row r="592" spans="1:124" ht="12" customHeight="1" x14ac:dyDescent="0.25">
      <c r="A592" s="465" t="s">
        <v>1491</v>
      </c>
      <c r="B592" s="281"/>
      <c r="C592" s="472"/>
      <c r="D592" s="472"/>
      <c r="E592" s="472"/>
      <c r="F592" s="472"/>
      <c r="G592" s="491"/>
      <c r="H592" s="472"/>
      <c r="I592" s="472"/>
      <c r="J592" s="472"/>
      <c r="K592" s="472"/>
      <c r="L592" s="491"/>
      <c r="M592" s="472"/>
      <c r="N592" s="472"/>
      <c r="O592" s="472"/>
      <c r="P592" s="472"/>
      <c r="Q592" s="491"/>
      <c r="R592" s="472"/>
      <c r="S592" s="472"/>
      <c r="T592" s="472"/>
      <c r="U592" s="472"/>
      <c r="V592" s="491"/>
      <c r="W592" s="472"/>
      <c r="X592" s="472"/>
      <c r="Y592" s="472"/>
      <c r="Z592" s="472"/>
      <c r="AA592" s="491"/>
      <c r="AB592" s="472"/>
      <c r="AC592" s="472"/>
      <c r="AD592" s="472"/>
      <c r="AE592" s="492"/>
      <c r="AF592" s="493"/>
      <c r="AG592" s="472"/>
      <c r="AH592" s="472"/>
      <c r="AI592" s="492"/>
      <c r="AJ592" s="472"/>
      <c r="AK592" s="493"/>
      <c r="AL592" s="472"/>
      <c r="AM592" s="472"/>
      <c r="AN592" s="472"/>
      <c r="AO592" s="472"/>
      <c r="AP592" s="494"/>
      <c r="AQ592" s="494">
        <f t="shared" ref="AQ592:AZ592" si="1403">+AQ591/AL591-1</f>
        <v>0.26430877149541065</v>
      </c>
      <c r="AR592" s="492">
        <f t="shared" si="1403"/>
        <v>9.6389914138339527E-3</v>
      </c>
      <c r="AS592" s="492">
        <f t="shared" si="1403"/>
        <v>-0.30810523798096612</v>
      </c>
      <c r="AT592" s="492">
        <f t="shared" si="1403"/>
        <v>-0.39111487675388046</v>
      </c>
      <c r="AU592" s="493">
        <f t="shared" si="1403"/>
        <v>-0.10947642860301277</v>
      </c>
      <c r="AV592" s="494">
        <f t="shared" si="1403"/>
        <v>-0.37775085197865432</v>
      </c>
      <c r="AW592" s="492">
        <f t="shared" si="1403"/>
        <v>-0.13767576424002703</v>
      </c>
      <c r="AX592" s="492">
        <f t="shared" si="1403"/>
        <v>0.12446973415487128</v>
      </c>
      <c r="AY592" s="1311">
        <f t="shared" si="1403"/>
        <v>-0.53821629109421443</v>
      </c>
      <c r="AZ592" s="493">
        <f t="shared" si="1403"/>
        <v>-0.2366309087933387</v>
      </c>
      <c r="BA592" s="492"/>
      <c r="BB592" s="492"/>
      <c r="BC592" s="492"/>
      <c r="BD592" s="492"/>
      <c r="BE592" s="493"/>
      <c r="BF592" s="492"/>
      <c r="BG592" s="492"/>
      <c r="BH592" s="492"/>
      <c r="BI592" s="492"/>
      <c r="BJ592" s="493"/>
      <c r="BK592" s="492"/>
      <c r="BL592" s="492"/>
      <c r="BM592" s="492"/>
      <c r="BN592" s="492"/>
      <c r="BO592" s="493"/>
      <c r="BP592" s="492"/>
      <c r="BQ592" s="492"/>
      <c r="BR592" s="492"/>
      <c r="BS592" s="492"/>
      <c r="BT592" s="2693"/>
      <c r="BU592" s="3398"/>
      <c r="BV592" s="2653"/>
      <c r="BW592" s="2653"/>
      <c r="BX592" s="2653"/>
      <c r="BY592" s="2693"/>
      <c r="BZ592" s="493"/>
      <c r="CA592" s="493"/>
      <c r="CB592" s="493"/>
      <c r="CC592" s="493"/>
      <c r="CD592" s="493"/>
      <c r="CE592" s="493"/>
      <c r="CF592" s="493"/>
      <c r="CG592" s="331"/>
      <c r="CH592" s="331"/>
      <c r="CI592" s="331"/>
      <c r="CJ592" s="331"/>
      <c r="CK592" s="331"/>
      <c r="CL592" s="1310" t="str">
        <f>A592</f>
        <v>% growth (y-o-y)</v>
      </c>
      <c r="CM592" s="492"/>
      <c r="CN592" s="492"/>
      <c r="CO592" s="492"/>
      <c r="CP592" s="492"/>
      <c r="CQ592" s="492"/>
      <c r="CR592" s="492"/>
      <c r="CS592" s="492"/>
      <c r="CT592" s="492"/>
      <c r="CU592" s="492">
        <f>AU592</f>
        <v>-0.10947642860301277</v>
      </c>
      <c r="CV592" s="492">
        <f>AZ592</f>
        <v>-0.2366309087933387</v>
      </c>
      <c r="CW592" s="492">
        <f>BE592</f>
        <v>0</v>
      </c>
      <c r="CX592" s="492">
        <f>BJ592</f>
        <v>0</v>
      </c>
      <c r="CY592" s="492">
        <f>BO592</f>
        <v>0</v>
      </c>
      <c r="CZ592" s="492">
        <f>BT592</f>
        <v>0</v>
      </c>
      <c r="DA592" s="492">
        <f t="shared" si="1401"/>
        <v>0</v>
      </c>
      <c r="DB592" s="492">
        <f t="shared" si="1401"/>
        <v>0</v>
      </c>
      <c r="DC592" s="1311">
        <f t="shared" si="1401"/>
        <v>0</v>
      </c>
      <c r="DD592" s="331"/>
      <c r="DE592" s="331"/>
      <c r="DF592" s="502"/>
      <c r="DG592" s="503"/>
      <c r="DH592" s="2653"/>
      <c r="DI592" s="3213"/>
      <c r="DJ592" s="502"/>
      <c r="DK592" s="503"/>
      <c r="DL592" s="502"/>
      <c r="DM592" s="502"/>
      <c r="DN592" s="502"/>
      <c r="DO592" s="502"/>
      <c r="DP592" s="503"/>
      <c r="DQ592" s="503"/>
      <c r="DR592" s="296"/>
      <c r="DS592" s="296"/>
      <c r="DT592" s="296"/>
    </row>
    <row r="593" spans="1:124" ht="5.0999999999999996" customHeight="1" x14ac:dyDescent="0.25">
      <c r="A593" s="281"/>
      <c r="B593" s="281"/>
      <c r="C593" s="305"/>
      <c r="D593" s="305"/>
      <c r="E593" s="305"/>
      <c r="F593" s="305"/>
      <c r="G593" s="440"/>
      <c r="H593" s="305"/>
      <c r="I593" s="305"/>
      <c r="J593" s="305"/>
      <c r="K593" s="305"/>
      <c r="L593" s="440"/>
      <c r="M593" s="305"/>
      <c r="N593" s="305"/>
      <c r="O593" s="305"/>
      <c r="P593" s="305"/>
      <c r="Q593" s="440"/>
      <c r="R593" s="305"/>
      <c r="S593" s="305"/>
      <c r="T593" s="305"/>
      <c r="U593" s="305"/>
      <c r="V593" s="440"/>
      <c r="W593" s="305"/>
      <c r="X593" s="305"/>
      <c r="Y593" s="305"/>
      <c r="Z593" s="305"/>
      <c r="AA593" s="440"/>
      <c r="AB593" s="305"/>
      <c r="AC593" s="305"/>
      <c r="AD593" s="305"/>
      <c r="AE593" s="331"/>
      <c r="AF593" s="441"/>
      <c r="AG593" s="305"/>
      <c r="AH593" s="305"/>
      <c r="AI593" s="331"/>
      <c r="AJ593" s="305"/>
      <c r="AK593" s="441"/>
      <c r="AL593" s="305"/>
      <c r="AM593" s="305"/>
      <c r="AN593" s="305"/>
      <c r="AO593" s="331"/>
      <c r="AP593" s="569"/>
      <c r="AQ593" s="569"/>
      <c r="AR593" s="442"/>
      <c r="AS593" s="442"/>
      <c r="AT593" s="442"/>
      <c r="AU593" s="441"/>
      <c r="AV593" s="569"/>
      <c r="AW593" s="442"/>
      <c r="AX593" s="442"/>
      <c r="AY593" s="1312"/>
      <c r="AZ593" s="441"/>
      <c r="BA593" s="442"/>
      <c r="BB593" s="442"/>
      <c r="BC593" s="442"/>
      <c r="BD593" s="442"/>
      <c r="BE593" s="441"/>
      <c r="BF593" s="442"/>
      <c r="BG593" s="442"/>
      <c r="BH593" s="442"/>
      <c r="BI593" s="442"/>
      <c r="BJ593" s="441"/>
      <c r="BK593" s="442"/>
      <c r="BL593" s="442"/>
      <c r="BM593" s="442"/>
      <c r="BN593" s="442"/>
      <c r="BO593" s="441"/>
      <c r="BP593" s="442"/>
      <c r="BQ593" s="442"/>
      <c r="BR593" s="442"/>
      <c r="BS593" s="442"/>
      <c r="BT593" s="3236"/>
      <c r="BU593" s="3409"/>
      <c r="BV593" s="3298"/>
      <c r="BW593" s="3298"/>
      <c r="BX593" s="3298"/>
      <c r="BY593" s="3236"/>
      <c r="BZ593" s="441"/>
      <c r="CA593" s="441"/>
      <c r="CB593" s="441"/>
      <c r="CC593" s="441"/>
      <c r="CD593" s="441"/>
      <c r="CE593" s="441"/>
      <c r="CF593" s="441"/>
      <c r="CG593" s="331"/>
      <c r="CH593" s="331"/>
      <c r="CI593" s="331"/>
      <c r="CJ593" s="331"/>
      <c r="CK593" s="331"/>
      <c r="CL593" s="520"/>
      <c r="CM593" s="442"/>
      <c r="CN593" s="442"/>
      <c r="CO593" s="442"/>
      <c r="CP593" s="442"/>
      <c r="CQ593" s="442"/>
      <c r="CR593" s="442"/>
      <c r="CS593" s="442"/>
      <c r="CT593" s="442"/>
      <c r="CU593" s="442"/>
      <c r="CV593" s="442"/>
      <c r="CW593" s="442"/>
      <c r="CX593" s="442"/>
      <c r="CY593" s="442"/>
      <c r="CZ593" s="442"/>
      <c r="DA593" s="442"/>
      <c r="DB593" s="442"/>
      <c r="DC593" s="1312"/>
      <c r="DD593" s="331"/>
      <c r="DE593" s="331"/>
      <c r="DF593" s="502"/>
      <c r="DG593" s="503"/>
      <c r="DH593" s="3298"/>
      <c r="DI593" s="3213"/>
      <c r="DJ593" s="502"/>
      <c r="DK593" s="503"/>
      <c r="DL593" s="502"/>
      <c r="DM593" s="502"/>
      <c r="DN593" s="502"/>
      <c r="DO593" s="502"/>
      <c r="DP593" s="503"/>
      <c r="DQ593" s="503"/>
      <c r="DR593" s="296"/>
      <c r="DS593" s="296"/>
      <c r="DT593" s="296"/>
    </row>
    <row r="594" spans="1:124" ht="12" customHeight="1" x14ac:dyDescent="0.25">
      <c r="A594" s="281" t="s">
        <v>601</v>
      </c>
      <c r="B594" s="281"/>
      <c r="C594" s="452"/>
      <c r="D594" s="452"/>
      <c r="E594" s="452"/>
      <c r="F594" s="452"/>
      <c r="G594" s="475"/>
      <c r="H594" s="452"/>
      <c r="I594" s="452"/>
      <c r="J594" s="452"/>
      <c r="K594" s="452"/>
      <c r="L594" s="475"/>
      <c r="M594" s="452"/>
      <c r="N594" s="452"/>
      <c r="O594" s="452"/>
      <c r="P594" s="452"/>
      <c r="Q594" s="475"/>
      <c r="R594" s="452"/>
      <c r="S594" s="452"/>
      <c r="T594" s="452"/>
      <c r="U594" s="452"/>
      <c r="V594" s="475"/>
      <c r="W594" s="452"/>
      <c r="X594" s="452"/>
      <c r="Y594" s="452"/>
      <c r="Z594" s="452"/>
      <c r="AA594" s="475"/>
      <c r="AB594" s="452"/>
      <c r="AC594" s="452"/>
      <c r="AD594" s="452"/>
      <c r="AE594" s="476"/>
      <c r="AF594" s="477"/>
      <c r="AG594" s="452"/>
      <c r="AH594" s="452"/>
      <c r="AI594" s="331"/>
      <c r="AJ594" s="452">
        <f>AJ591-AJ601-AJ597</f>
        <v>10.961033398437499</v>
      </c>
      <c r="AK594" s="477">
        <f>AJ594</f>
        <v>10.961033398437499</v>
      </c>
      <c r="AL594" s="452">
        <f>AL591-AL601-AL597</f>
        <v>5.3968186500000002</v>
      </c>
      <c r="AM594" s="452">
        <f>AM591-AM601-AM597</f>
        <v>4.8288401346000001</v>
      </c>
      <c r="AN594" s="452">
        <f>+AN591*AN595</f>
        <v>4.7570016349495976</v>
      </c>
      <c r="AO594" s="452">
        <f>+AO591*AO595</f>
        <v>4.6986776080624102</v>
      </c>
      <c r="AP594" s="584">
        <f>SUM(AL594:AO594)</f>
        <v>19.681338027612007</v>
      </c>
      <c r="AQ594" s="584">
        <f>+AL594*(1+AQ596)</f>
        <v>5.3968186500000002</v>
      </c>
      <c r="AR594" s="452">
        <f>+AM594*(1+AR596)</f>
        <v>4.8288401346000001</v>
      </c>
      <c r="AS594" s="452">
        <f>+AN594*(1+AS596)</f>
        <v>4.0434513897071582</v>
      </c>
      <c r="AT594" s="452">
        <f>+AO594*(1+AT596)</f>
        <v>3.7589420864499283</v>
      </c>
      <c r="AU594" s="475">
        <f>SUM(AQ594:AT594)</f>
        <v>18.028052260757086</v>
      </c>
      <c r="AV594" s="584">
        <f>+AQ594*(1+AV596)</f>
        <v>4.8571367850000007</v>
      </c>
      <c r="AW594" s="452">
        <f>+AR594*(1+AW596)</f>
        <v>4.9737053386380001</v>
      </c>
      <c r="AX594" s="452">
        <f>+AS594*(1+AX596)</f>
        <v>4.4477965286778742</v>
      </c>
      <c r="AY594" s="2497">
        <f>+AT594*(1+AY596)/3</f>
        <v>1.4409277998058059</v>
      </c>
      <c r="AZ594" s="475">
        <f>SUM(AV594:AY594)</f>
        <v>15.719566452121679</v>
      </c>
      <c r="BA594" s="452"/>
      <c r="BB594" s="452"/>
      <c r="BC594" s="452"/>
      <c r="BD594" s="452"/>
      <c r="BE594" s="475"/>
      <c r="BF594" s="452"/>
      <c r="BG594" s="452"/>
      <c r="BH594" s="452"/>
      <c r="BI594" s="452"/>
      <c r="BJ594" s="475"/>
      <c r="BK594" s="452"/>
      <c r="BL594" s="452"/>
      <c r="BM594" s="452"/>
      <c r="BN594" s="452"/>
      <c r="BO594" s="475"/>
      <c r="BP594" s="452"/>
      <c r="BQ594" s="452"/>
      <c r="BR594" s="452"/>
      <c r="BS594" s="452"/>
      <c r="BT594" s="3239"/>
      <c r="BU594" s="3413"/>
      <c r="BV594" s="2785"/>
      <c r="BW594" s="2785"/>
      <c r="BX594" s="2785"/>
      <c r="BY594" s="3239"/>
      <c r="BZ594" s="475"/>
      <c r="CA594" s="475"/>
      <c r="CB594" s="475"/>
      <c r="CC594" s="475"/>
      <c r="CD594" s="475"/>
      <c r="CE594" s="475"/>
      <c r="CF594" s="475"/>
      <c r="CG594" s="331"/>
      <c r="CH594" s="331"/>
      <c r="CI594" s="331"/>
      <c r="CJ594" s="331"/>
      <c r="CK594" s="331"/>
      <c r="CL594" s="520" t="str">
        <f t="shared" ref="CL594:CL599" si="1404">A594</f>
        <v>Operating expenses</v>
      </c>
      <c r="CM594" s="476"/>
      <c r="CN594" s="476"/>
      <c r="CO594" s="476"/>
      <c r="CP594" s="476"/>
      <c r="CQ594" s="476"/>
      <c r="CR594" s="476"/>
      <c r="CS594" s="476">
        <f>AK594</f>
        <v>10.961033398437499</v>
      </c>
      <c r="CT594" s="476">
        <f>AP594</f>
        <v>19.681338027612007</v>
      </c>
      <c r="CU594" s="476">
        <f t="shared" ref="CU594:CU599" si="1405">AU594</f>
        <v>18.028052260757086</v>
      </c>
      <c r="CV594" s="476">
        <f t="shared" ref="CV594:CV599" si="1406">AZ594</f>
        <v>15.719566452121679</v>
      </c>
      <c r="CW594" s="476">
        <f t="shared" ref="CW594:CW599" si="1407">BE594</f>
        <v>0</v>
      </c>
      <c r="CX594" s="476">
        <f t="shared" ref="CX594:CX599" si="1408">BJ594</f>
        <v>0</v>
      </c>
      <c r="CY594" s="476">
        <f t="shared" ref="CY594:CY599" si="1409">BO594</f>
        <v>0</v>
      </c>
      <c r="CZ594" s="476">
        <f t="shared" ref="CZ594:CZ599" si="1410">BT594</f>
        <v>0</v>
      </c>
      <c r="DA594" s="476">
        <f t="shared" ref="DA594:DC599" si="1411">BY594</f>
        <v>0</v>
      </c>
      <c r="DB594" s="476">
        <f t="shared" si="1411"/>
        <v>0</v>
      </c>
      <c r="DC594" s="682">
        <f t="shared" si="1411"/>
        <v>0</v>
      </c>
      <c r="DD594" s="331"/>
      <c r="DE594" s="331"/>
      <c r="DF594" s="502"/>
      <c r="DG594" s="503"/>
      <c r="DH594" s="2577"/>
      <c r="DI594" s="3213"/>
      <c r="DJ594" s="502"/>
      <c r="DK594" s="503"/>
      <c r="DL594" s="502"/>
      <c r="DM594" s="502"/>
      <c r="DN594" s="502"/>
      <c r="DO594" s="502"/>
      <c r="DP594" s="503"/>
      <c r="DQ594" s="503"/>
      <c r="DR594" s="296"/>
      <c r="DS594" s="296"/>
      <c r="DT594" s="296"/>
    </row>
    <row r="595" spans="1:124" ht="12" customHeight="1" x14ac:dyDescent="0.25">
      <c r="A595" s="465" t="s">
        <v>646</v>
      </c>
      <c r="B595" s="281"/>
      <c r="C595" s="472"/>
      <c r="D595" s="472"/>
      <c r="E595" s="472"/>
      <c r="F595" s="472"/>
      <c r="G595" s="491"/>
      <c r="H595" s="472"/>
      <c r="I595" s="472"/>
      <c r="J595" s="472"/>
      <c r="K595" s="472"/>
      <c r="L595" s="491"/>
      <c r="M595" s="472"/>
      <c r="N595" s="472"/>
      <c r="O595" s="472"/>
      <c r="P595" s="472"/>
      <c r="Q595" s="491"/>
      <c r="R595" s="472"/>
      <c r="S595" s="472"/>
      <c r="T595" s="472"/>
      <c r="U595" s="472"/>
      <c r="V595" s="491"/>
      <c r="W595" s="472"/>
      <c r="X595" s="472"/>
      <c r="Y595" s="472"/>
      <c r="Z595" s="472"/>
      <c r="AA595" s="491"/>
      <c r="AB595" s="472"/>
      <c r="AC595" s="472"/>
      <c r="AD595" s="472"/>
      <c r="AE595" s="492"/>
      <c r="AF595" s="493"/>
      <c r="AG595" s="472"/>
      <c r="AH595" s="472"/>
      <c r="AI595" s="331"/>
      <c r="AJ595" s="472">
        <f>AJ594/AJ591</f>
        <v>0.40776137042660238</v>
      </c>
      <c r="AK595" s="493">
        <f>AJ595</f>
        <v>0.40776137042660238</v>
      </c>
      <c r="AL595" s="472">
        <f>AL594/AL591</f>
        <v>0.19444491623130969</v>
      </c>
      <c r="AM595" s="472">
        <f>AM594/AM591</f>
        <v>0.16319162333896586</v>
      </c>
      <c r="AN595" s="577">
        <f>+AM595</f>
        <v>0.16319162333896586</v>
      </c>
      <c r="AO595" s="577">
        <f>+AN595</f>
        <v>0.16319162333896586</v>
      </c>
      <c r="AP595" s="589">
        <f t="shared" ref="AP595:AZ595" si="1412">AP594/AP591</f>
        <v>0.17071574792944028</v>
      </c>
      <c r="AQ595" s="589">
        <f t="shared" si="1412"/>
        <v>0.15379543400724996</v>
      </c>
      <c r="AR595" s="472">
        <f t="shared" si="1412"/>
        <v>0.16163363808923698</v>
      </c>
      <c r="AS595" s="472">
        <f t="shared" si="1412"/>
        <v>0.20048262749285711</v>
      </c>
      <c r="AT595" s="472">
        <f t="shared" si="1412"/>
        <v>0.2144136778628459</v>
      </c>
      <c r="AU595" s="1697">
        <f t="shared" si="1412"/>
        <v>0.17559912749436554</v>
      </c>
      <c r="AV595" s="1869">
        <f>AV594/AV591</f>
        <v>0.22244448392844846</v>
      </c>
      <c r="AW595" s="1847">
        <f>AW594/AW591</f>
        <v>0.1930627023200753</v>
      </c>
      <c r="AX595" s="1847">
        <f>AX594/AX591</f>
        <v>0.19611989860081863</v>
      </c>
      <c r="AY595" s="1870">
        <f>AY594/AY591</f>
        <v>0.17798789403415982</v>
      </c>
      <c r="AZ595" s="1697">
        <f t="shared" si="1412"/>
        <v>0.20057626406986614</v>
      </c>
      <c r="BA595" s="577"/>
      <c r="BB595" s="2249"/>
      <c r="BC595" s="2249"/>
      <c r="BD595" s="2249"/>
      <c r="BE595" s="1697"/>
      <c r="BF595" s="2249"/>
      <c r="BG595" s="2249"/>
      <c r="BH595" s="2249"/>
      <c r="BI595" s="2249"/>
      <c r="BJ595" s="1697"/>
      <c r="BK595" s="2249"/>
      <c r="BL595" s="2249"/>
      <c r="BM595" s="2249"/>
      <c r="BN595" s="2249"/>
      <c r="BO595" s="1697"/>
      <c r="BP595" s="2249"/>
      <c r="BQ595" s="2249"/>
      <c r="BR595" s="2249"/>
      <c r="BS595" s="2249"/>
      <c r="BT595" s="3240"/>
      <c r="BU595" s="3414"/>
      <c r="BV595" s="3415"/>
      <c r="BW595" s="3415"/>
      <c r="BX595" s="3415"/>
      <c r="BY595" s="3240"/>
      <c r="BZ595" s="491"/>
      <c r="CA595" s="491"/>
      <c r="CB595" s="491"/>
      <c r="CC595" s="491"/>
      <c r="CD595" s="491"/>
      <c r="CE595" s="491"/>
      <c r="CF595" s="491"/>
      <c r="CG595" s="331"/>
      <c r="CH595" s="331"/>
      <c r="CI595" s="331"/>
      <c r="CJ595" s="331"/>
      <c r="CK595" s="331"/>
      <c r="CL595" s="1310" t="str">
        <f t="shared" si="1404"/>
        <v>% of Net revenue</v>
      </c>
      <c r="CM595" s="492"/>
      <c r="CN595" s="492"/>
      <c r="CO595" s="492"/>
      <c r="CP595" s="492"/>
      <c r="CQ595" s="492"/>
      <c r="CR595" s="492"/>
      <c r="CS595" s="492">
        <f>AK595</f>
        <v>0.40776137042660238</v>
      </c>
      <c r="CT595" s="492">
        <f>AP595</f>
        <v>0.17071574792944028</v>
      </c>
      <c r="CU595" s="492">
        <f t="shared" si="1405"/>
        <v>0.17559912749436554</v>
      </c>
      <c r="CV595" s="492">
        <f t="shared" si="1406"/>
        <v>0.20057626406986614</v>
      </c>
      <c r="CW595" s="492">
        <f t="shared" si="1407"/>
        <v>0</v>
      </c>
      <c r="CX595" s="492">
        <f t="shared" si="1408"/>
        <v>0</v>
      </c>
      <c r="CY595" s="492">
        <f t="shared" si="1409"/>
        <v>0</v>
      </c>
      <c r="CZ595" s="492">
        <f t="shared" si="1410"/>
        <v>0</v>
      </c>
      <c r="DA595" s="492">
        <f t="shared" si="1411"/>
        <v>0</v>
      </c>
      <c r="DB595" s="492">
        <f t="shared" si="1411"/>
        <v>0</v>
      </c>
      <c r="DC595" s="1311">
        <f t="shared" si="1411"/>
        <v>0</v>
      </c>
      <c r="DD595" s="331"/>
      <c r="DE595" s="331"/>
      <c r="DF595" s="502"/>
      <c r="DG595" s="503"/>
      <c r="DH595" s="2653"/>
      <c r="DI595" s="3213"/>
      <c r="DJ595" s="502"/>
      <c r="DK595" s="503"/>
      <c r="DL595" s="502"/>
      <c r="DM595" s="502"/>
      <c r="DN595" s="502"/>
      <c r="DO595" s="502"/>
      <c r="DP595" s="503"/>
      <c r="DQ595" s="503"/>
      <c r="DR595" s="296"/>
      <c r="DS595" s="296"/>
      <c r="DT595" s="296"/>
    </row>
    <row r="596" spans="1:124" ht="12" customHeight="1" x14ac:dyDescent="0.25">
      <c r="A596" s="465" t="s">
        <v>1491</v>
      </c>
      <c r="B596" s="281"/>
      <c r="C596" s="472"/>
      <c r="D596" s="472"/>
      <c r="E596" s="472"/>
      <c r="F596" s="472"/>
      <c r="G596" s="491"/>
      <c r="H596" s="472"/>
      <c r="I596" s="472"/>
      <c r="J596" s="472"/>
      <c r="K596" s="472"/>
      <c r="L596" s="491"/>
      <c r="M596" s="472"/>
      <c r="N596" s="472"/>
      <c r="O596" s="472"/>
      <c r="P596" s="472"/>
      <c r="Q596" s="491"/>
      <c r="R596" s="472"/>
      <c r="S596" s="472"/>
      <c r="T596" s="472"/>
      <c r="U596" s="472"/>
      <c r="V596" s="491"/>
      <c r="W596" s="472"/>
      <c r="X596" s="472"/>
      <c r="Y596" s="472"/>
      <c r="Z596" s="472"/>
      <c r="AA596" s="491"/>
      <c r="AB596" s="472"/>
      <c r="AC596" s="472"/>
      <c r="AD596" s="472"/>
      <c r="AE596" s="492"/>
      <c r="AF596" s="493"/>
      <c r="AG596" s="472"/>
      <c r="AH596" s="472"/>
      <c r="AI596" s="492"/>
      <c r="AJ596" s="472"/>
      <c r="AK596" s="493"/>
      <c r="AL596" s="472"/>
      <c r="AM596" s="472"/>
      <c r="AN596" s="472"/>
      <c r="AO596" s="472"/>
      <c r="AP596" s="494"/>
      <c r="AQ596" s="1680">
        <v>0</v>
      </c>
      <c r="AR596" s="936">
        <v>0</v>
      </c>
      <c r="AS596" s="936">
        <v>-0.15</v>
      </c>
      <c r="AT596" s="936">
        <v>-0.2</v>
      </c>
      <c r="AU596" s="493">
        <f>+AU594/AP594-1</f>
        <v>-8.4002711834705424E-2</v>
      </c>
      <c r="AV596" s="1680">
        <v>-0.1</v>
      </c>
      <c r="AW596" s="936">
        <v>0.03</v>
      </c>
      <c r="AX596" s="936">
        <v>0.1</v>
      </c>
      <c r="AY596" s="1314">
        <v>0.15</v>
      </c>
      <c r="AZ596" s="493">
        <f>+AZ594/AU594-1</f>
        <v>-0.1280496514679208</v>
      </c>
      <c r="BA596" s="492"/>
      <c r="BB596" s="492"/>
      <c r="BC596" s="492"/>
      <c r="BD596" s="492"/>
      <c r="BE596" s="493"/>
      <c r="BF596" s="492"/>
      <c r="BG596" s="492"/>
      <c r="BH596" s="492"/>
      <c r="BI596" s="492"/>
      <c r="BJ596" s="493"/>
      <c r="BK596" s="492"/>
      <c r="BL596" s="492"/>
      <c r="BM596" s="492"/>
      <c r="BN596" s="492"/>
      <c r="BO596" s="493"/>
      <c r="BP596" s="492"/>
      <c r="BQ596" s="492"/>
      <c r="BR596" s="492"/>
      <c r="BS596" s="492"/>
      <c r="BT596" s="2693"/>
      <c r="BU596" s="3398"/>
      <c r="BV596" s="2653"/>
      <c r="BW596" s="2653"/>
      <c r="BX596" s="2653"/>
      <c r="BY596" s="2693"/>
      <c r="BZ596" s="493"/>
      <c r="CA596" s="493"/>
      <c r="CB596" s="493"/>
      <c r="CC596" s="493"/>
      <c r="CD596" s="493"/>
      <c r="CE596" s="493"/>
      <c r="CF596" s="493"/>
      <c r="CG596" s="331"/>
      <c r="CH596" s="331"/>
      <c r="CI596" s="331"/>
      <c r="CJ596" s="331"/>
      <c r="CK596" s="331"/>
      <c r="CL596" s="1310" t="str">
        <f t="shared" si="1404"/>
        <v>% growth (y-o-y)</v>
      </c>
      <c r="CM596" s="492"/>
      <c r="CN596" s="492"/>
      <c r="CO596" s="492"/>
      <c r="CP596" s="492"/>
      <c r="CQ596" s="492"/>
      <c r="CR596" s="492"/>
      <c r="CS596" s="492"/>
      <c r="CT596" s="492"/>
      <c r="CU596" s="492">
        <f t="shared" si="1405"/>
        <v>-8.4002711834705424E-2</v>
      </c>
      <c r="CV596" s="492">
        <f t="shared" si="1406"/>
        <v>-0.1280496514679208</v>
      </c>
      <c r="CW596" s="492">
        <f t="shared" si="1407"/>
        <v>0</v>
      </c>
      <c r="CX596" s="492">
        <f t="shared" si="1408"/>
        <v>0</v>
      </c>
      <c r="CY596" s="492">
        <f t="shared" si="1409"/>
        <v>0</v>
      </c>
      <c r="CZ596" s="492">
        <f t="shared" si="1410"/>
        <v>0</v>
      </c>
      <c r="DA596" s="492">
        <f t="shared" si="1411"/>
        <v>0</v>
      </c>
      <c r="DB596" s="492">
        <f t="shared" si="1411"/>
        <v>0</v>
      </c>
      <c r="DC596" s="1311">
        <f t="shared" si="1411"/>
        <v>0</v>
      </c>
      <c r="DD596" s="331"/>
      <c r="DE596" s="331"/>
      <c r="DF596" s="502"/>
      <c r="DG596" s="503"/>
      <c r="DH596" s="2653"/>
      <c r="DI596" s="3213"/>
      <c r="DJ596" s="502"/>
      <c r="DK596" s="503"/>
      <c r="DL596" s="502"/>
      <c r="DM596" s="502"/>
      <c r="DN596" s="502"/>
      <c r="DO596" s="502"/>
      <c r="DP596" s="503"/>
      <c r="DQ596" s="503"/>
      <c r="DR596" s="296"/>
      <c r="DS596" s="296"/>
      <c r="DT596" s="296"/>
    </row>
    <row r="597" spans="1:124" ht="12" customHeight="1" x14ac:dyDescent="0.25">
      <c r="A597" s="281" t="s">
        <v>2161</v>
      </c>
      <c r="B597" s="281"/>
      <c r="C597" s="452"/>
      <c r="D597" s="452"/>
      <c r="E597" s="452"/>
      <c r="F597" s="452"/>
      <c r="G597" s="475"/>
      <c r="H597" s="452"/>
      <c r="I597" s="452"/>
      <c r="J597" s="452"/>
      <c r="K597" s="452"/>
      <c r="L597" s="475"/>
      <c r="M597" s="452"/>
      <c r="N597" s="452"/>
      <c r="O597" s="452"/>
      <c r="P597" s="452"/>
      <c r="Q597" s="475"/>
      <c r="R597" s="452"/>
      <c r="S597" s="452"/>
      <c r="T597" s="452"/>
      <c r="U597" s="452"/>
      <c r="V597" s="475"/>
      <c r="W597" s="452"/>
      <c r="X597" s="452"/>
      <c r="Y597" s="452"/>
      <c r="Z597" s="452"/>
      <c r="AA597" s="475"/>
      <c r="AB597" s="452"/>
      <c r="AC597" s="452"/>
      <c r="AD597" s="452"/>
      <c r="AE597" s="476"/>
      <c r="AF597" s="477"/>
      <c r="AG597" s="452"/>
      <c r="AH597" s="452"/>
      <c r="AI597" s="331"/>
      <c r="AJ597" s="452">
        <f>Maryland!B50</f>
        <v>12.302966601562501</v>
      </c>
      <c r="AK597" s="477">
        <f>AJ597</f>
        <v>12.302966601562501</v>
      </c>
      <c r="AL597" s="452">
        <f>+AL598*AL588</f>
        <v>17.80418135</v>
      </c>
      <c r="AM597" s="452">
        <f>+AM598*AM588</f>
        <v>19.082159865400001</v>
      </c>
      <c r="AN597" s="452">
        <f>+AN598*AN588</f>
        <v>18.7872195138</v>
      </c>
      <c r="AO597" s="452">
        <f>+AO598*AO588</f>
        <v>18.547764220600001</v>
      </c>
      <c r="AP597" s="584">
        <f>SUM(AL597:AO597)</f>
        <v>74.221324949800007</v>
      </c>
      <c r="AQ597" s="584">
        <f>+AQ598*AQ588</f>
        <v>22.509982650100003</v>
      </c>
      <c r="AR597" s="452">
        <f>+AR598*AR588</f>
        <v>19.266092640499998</v>
      </c>
      <c r="AS597" s="452">
        <f>+AS598*AS588</f>
        <v>12.9987787745</v>
      </c>
      <c r="AT597" s="452">
        <f>+AT598*AT588</f>
        <v>11.293457703400001</v>
      </c>
      <c r="AU597" s="475">
        <f>SUM(AQ597:AT597)</f>
        <v>66.068311768499996</v>
      </c>
      <c r="AV597" s="584">
        <f>+AV598*AV588</f>
        <v>14.006817525999997</v>
      </c>
      <c r="AW597" s="452">
        <f>+AW598*AW588</f>
        <v>16.613618612299998</v>
      </c>
      <c r="AX597" s="452">
        <f>+AX598*AX588</f>
        <v>14.616733312899997</v>
      </c>
      <c r="AY597" s="683">
        <f>+AY598*AY588</f>
        <v>5.2151347846466658</v>
      </c>
      <c r="AZ597" s="475">
        <f>SUM(AV597:AY597)</f>
        <v>50.452304235846654</v>
      </c>
      <c r="BA597" s="452"/>
      <c r="BB597" s="452"/>
      <c r="BC597" s="452"/>
      <c r="BD597" s="452"/>
      <c r="BE597" s="475"/>
      <c r="BF597" s="452"/>
      <c r="BG597" s="452"/>
      <c r="BH597" s="452"/>
      <c r="BI597" s="452"/>
      <c r="BJ597" s="475"/>
      <c r="BK597" s="452"/>
      <c r="BL597" s="452"/>
      <c r="BM597" s="452"/>
      <c r="BN597" s="452"/>
      <c r="BO597" s="475"/>
      <c r="BP597" s="452"/>
      <c r="BQ597" s="452"/>
      <c r="BR597" s="452"/>
      <c r="BS597" s="452"/>
      <c r="BT597" s="3239"/>
      <c r="BU597" s="3413"/>
      <c r="BV597" s="2785"/>
      <c r="BW597" s="2785"/>
      <c r="BX597" s="2785"/>
      <c r="BY597" s="3239"/>
      <c r="BZ597" s="475"/>
      <c r="CA597" s="475"/>
      <c r="CB597" s="475"/>
      <c r="CC597" s="475"/>
      <c r="CD597" s="475"/>
      <c r="CE597" s="475"/>
      <c r="CF597" s="475"/>
      <c r="CG597" s="331"/>
      <c r="CH597" s="331"/>
      <c r="CI597" s="331"/>
      <c r="CJ597" s="331"/>
      <c r="CK597" s="331"/>
      <c r="CL597" s="520" t="str">
        <f t="shared" si="1404"/>
        <v>Tax expense</v>
      </c>
      <c r="CM597" s="476"/>
      <c r="CN597" s="476"/>
      <c r="CO597" s="476"/>
      <c r="CP597" s="476"/>
      <c r="CQ597" s="476"/>
      <c r="CR597" s="476"/>
      <c r="CS597" s="476">
        <f>AK597</f>
        <v>12.302966601562501</v>
      </c>
      <c r="CT597" s="476">
        <f>AP597</f>
        <v>74.221324949800007</v>
      </c>
      <c r="CU597" s="476">
        <f t="shared" si="1405"/>
        <v>66.068311768499996</v>
      </c>
      <c r="CV597" s="476">
        <f t="shared" si="1406"/>
        <v>50.452304235846654</v>
      </c>
      <c r="CW597" s="476">
        <f t="shared" si="1407"/>
        <v>0</v>
      </c>
      <c r="CX597" s="476">
        <f t="shared" si="1408"/>
        <v>0</v>
      </c>
      <c r="CY597" s="476">
        <f t="shared" si="1409"/>
        <v>0</v>
      </c>
      <c r="CZ597" s="476">
        <f t="shared" si="1410"/>
        <v>0</v>
      </c>
      <c r="DA597" s="476">
        <f t="shared" si="1411"/>
        <v>0</v>
      </c>
      <c r="DB597" s="476">
        <f t="shared" si="1411"/>
        <v>0</v>
      </c>
      <c r="DC597" s="682">
        <f t="shared" si="1411"/>
        <v>0</v>
      </c>
      <c r="DD597" s="331"/>
      <c r="DE597" s="331"/>
      <c r="DF597" s="502"/>
      <c r="DG597" s="503"/>
      <c r="DH597" s="2577"/>
      <c r="DI597" s="3213"/>
      <c r="DJ597" s="502"/>
      <c r="DK597" s="503"/>
      <c r="DL597" s="502"/>
      <c r="DM597" s="502"/>
      <c r="DN597" s="502"/>
      <c r="DO597" s="502"/>
      <c r="DP597" s="503"/>
      <c r="DQ597" s="503"/>
      <c r="DR597" s="296"/>
      <c r="DS597" s="296"/>
      <c r="DT597" s="296"/>
    </row>
    <row r="598" spans="1:124" ht="12" customHeight="1" x14ac:dyDescent="0.25">
      <c r="A598" s="465" t="s">
        <v>1810</v>
      </c>
      <c r="B598" s="281"/>
      <c r="C598" s="472"/>
      <c r="D598" s="472"/>
      <c r="E598" s="472"/>
      <c r="F598" s="472"/>
      <c r="G598" s="491"/>
      <c r="H598" s="472"/>
      <c r="I598" s="472"/>
      <c r="J598" s="472"/>
      <c r="K598" s="472"/>
      <c r="L598" s="491"/>
      <c r="M598" s="472"/>
      <c r="N598" s="472"/>
      <c r="O598" s="472"/>
      <c r="P598" s="472"/>
      <c r="Q598" s="491"/>
      <c r="R598" s="472"/>
      <c r="S598" s="472"/>
      <c r="T598" s="472"/>
      <c r="U598" s="472"/>
      <c r="V598" s="491"/>
      <c r="W598" s="472"/>
      <c r="X598" s="472"/>
      <c r="Y598" s="472"/>
      <c r="Z598" s="472"/>
      <c r="AA598" s="491"/>
      <c r="AB598" s="472"/>
      <c r="AC598" s="472"/>
      <c r="AD598" s="472"/>
      <c r="AE598" s="492"/>
      <c r="AF598" s="493"/>
      <c r="AG598" s="472"/>
      <c r="AH598" s="472"/>
      <c r="AI598" s="331"/>
      <c r="AJ598" s="472">
        <f>Maryland!B51</f>
        <v>0.67</v>
      </c>
      <c r="AK598" s="493">
        <f>AJ598</f>
        <v>0.67</v>
      </c>
      <c r="AL598" s="577">
        <v>0.67</v>
      </c>
      <c r="AM598" s="577">
        <v>0.67</v>
      </c>
      <c r="AN598" s="472">
        <f>+AM598</f>
        <v>0.67</v>
      </c>
      <c r="AO598" s="472">
        <f>+AN598</f>
        <v>0.67</v>
      </c>
      <c r="AP598" s="589">
        <f>AP597/AP588</f>
        <v>0.67</v>
      </c>
      <c r="AQ598" s="1683">
        <f>+AO598</f>
        <v>0.67</v>
      </c>
      <c r="AR598" s="472">
        <f>+AQ598</f>
        <v>0.67</v>
      </c>
      <c r="AS598" s="472">
        <f>+AR598</f>
        <v>0.67</v>
      </c>
      <c r="AT598" s="472">
        <f>+AS598</f>
        <v>0.67</v>
      </c>
      <c r="AU598" s="589">
        <f>AU597/AU588</f>
        <v>0.66999999999999993</v>
      </c>
      <c r="AV598" s="589">
        <f>+AU598</f>
        <v>0.66999999999999993</v>
      </c>
      <c r="AW598" s="472">
        <f>+AV598</f>
        <v>0.66999999999999993</v>
      </c>
      <c r="AX598" s="472">
        <f>+AW598</f>
        <v>0.66999999999999993</v>
      </c>
      <c r="AY598" s="1670">
        <f>+AX598</f>
        <v>0.66999999999999993</v>
      </c>
      <c r="AZ598" s="491">
        <f>AZ597/AZ588</f>
        <v>0.66999999999999993</v>
      </c>
      <c r="BA598" s="472"/>
      <c r="BB598" s="472"/>
      <c r="BC598" s="472"/>
      <c r="BD598" s="472"/>
      <c r="BE598" s="491"/>
      <c r="BF598" s="472"/>
      <c r="BG598" s="472"/>
      <c r="BH598" s="472"/>
      <c r="BI598" s="472"/>
      <c r="BJ598" s="491"/>
      <c r="BK598" s="472"/>
      <c r="BL598" s="472"/>
      <c r="BM598" s="472"/>
      <c r="BN598" s="472"/>
      <c r="BO598" s="491"/>
      <c r="BP598" s="472"/>
      <c r="BQ598" s="472"/>
      <c r="BR598" s="472"/>
      <c r="BS598" s="472"/>
      <c r="BT598" s="3240"/>
      <c r="BU598" s="3414"/>
      <c r="BV598" s="3415"/>
      <c r="BW598" s="3415"/>
      <c r="BX598" s="3415"/>
      <c r="BY598" s="3240"/>
      <c r="BZ598" s="491"/>
      <c r="CA598" s="491"/>
      <c r="CB598" s="491"/>
      <c r="CC598" s="491"/>
      <c r="CD598" s="491"/>
      <c r="CE598" s="491"/>
      <c r="CF598" s="491"/>
      <c r="CG598" s="331"/>
      <c r="CH598" s="331"/>
      <c r="CI598" s="331"/>
      <c r="CJ598" s="331"/>
      <c r="CK598" s="331"/>
      <c r="CL598" s="1310" t="str">
        <f t="shared" si="1404"/>
        <v>% of Gaming revenue</v>
      </c>
      <c r="CM598" s="492"/>
      <c r="CN598" s="492"/>
      <c r="CO598" s="492"/>
      <c r="CP598" s="492"/>
      <c r="CQ598" s="492"/>
      <c r="CR598" s="492"/>
      <c r="CS598" s="492">
        <f>AK598</f>
        <v>0.67</v>
      </c>
      <c r="CT598" s="492">
        <f>AP598</f>
        <v>0.67</v>
      </c>
      <c r="CU598" s="492">
        <f t="shared" si="1405"/>
        <v>0.66999999999999993</v>
      </c>
      <c r="CV598" s="492">
        <f t="shared" si="1406"/>
        <v>0.66999999999999993</v>
      </c>
      <c r="CW598" s="492">
        <f t="shared" si="1407"/>
        <v>0</v>
      </c>
      <c r="CX598" s="492">
        <f t="shared" si="1408"/>
        <v>0</v>
      </c>
      <c r="CY598" s="492">
        <f t="shared" si="1409"/>
        <v>0</v>
      </c>
      <c r="CZ598" s="492">
        <f t="shared" si="1410"/>
        <v>0</v>
      </c>
      <c r="DA598" s="492">
        <f t="shared" si="1411"/>
        <v>0</v>
      </c>
      <c r="DB598" s="492">
        <f t="shared" si="1411"/>
        <v>0</v>
      </c>
      <c r="DC598" s="1311">
        <f t="shared" si="1411"/>
        <v>0</v>
      </c>
      <c r="DD598" s="331"/>
      <c r="DE598" s="331"/>
      <c r="DF598" s="502"/>
      <c r="DG598" s="503"/>
      <c r="DH598" s="2653"/>
      <c r="DI598" s="3213"/>
      <c r="DJ598" s="502"/>
      <c r="DK598" s="503"/>
      <c r="DL598" s="502"/>
      <c r="DM598" s="502"/>
      <c r="DN598" s="502"/>
      <c r="DO598" s="502"/>
      <c r="DP598" s="503"/>
      <c r="DQ598" s="503"/>
      <c r="DR598" s="296"/>
      <c r="DS598" s="296"/>
      <c r="DT598" s="296"/>
    </row>
    <row r="599" spans="1:124" ht="12" customHeight="1" x14ac:dyDescent="0.25">
      <c r="A599" s="281" t="s">
        <v>2162</v>
      </c>
      <c r="B599" s="281"/>
      <c r="C599" s="452"/>
      <c r="D599" s="452"/>
      <c r="E599" s="452"/>
      <c r="F599" s="452"/>
      <c r="G599" s="475"/>
      <c r="H599" s="452"/>
      <c r="I599" s="452"/>
      <c r="J599" s="452"/>
      <c r="K599" s="452"/>
      <c r="L599" s="475"/>
      <c r="M599" s="452"/>
      <c r="N599" s="452"/>
      <c r="O599" s="452"/>
      <c r="P599" s="452"/>
      <c r="Q599" s="475"/>
      <c r="R599" s="452"/>
      <c r="S599" s="452"/>
      <c r="T599" s="452"/>
      <c r="U599" s="452"/>
      <c r="V599" s="475"/>
      <c r="W599" s="452"/>
      <c r="X599" s="452"/>
      <c r="Y599" s="452"/>
      <c r="Z599" s="452"/>
      <c r="AA599" s="475"/>
      <c r="AB599" s="452"/>
      <c r="AC599" s="452"/>
      <c r="AD599" s="452"/>
      <c r="AE599" s="476"/>
      <c r="AF599" s="477"/>
      <c r="AG599" s="452"/>
      <c r="AH599" s="452"/>
      <c r="AI599" s="476">
        <f>AI591-AI601</f>
        <v>1.8070000000000004</v>
      </c>
      <c r="AJ599" s="476">
        <f>AJ591-AJ601</f>
        <v>23.263999999999999</v>
      </c>
      <c r="AK599" s="477">
        <f>AJ599</f>
        <v>23.263999999999999</v>
      </c>
      <c r="AL599" s="476">
        <f>AL591-AL601</f>
        <v>23.201000000000001</v>
      </c>
      <c r="AM599" s="476">
        <f>AM591-AM601</f>
        <v>23.911000000000001</v>
      </c>
      <c r="AN599" s="452">
        <f>+AN597+AN594</f>
        <v>23.5442211487496</v>
      </c>
      <c r="AO599" s="452">
        <f>+AO597+AO594</f>
        <v>23.246441828662412</v>
      </c>
      <c r="AP599" s="584">
        <f>SUM(AL599:AO599)</f>
        <v>93.902662977412021</v>
      </c>
      <c r="AQ599" s="584">
        <f>+AQ597+AQ594</f>
        <v>27.906801300100003</v>
      </c>
      <c r="AR599" s="452">
        <f>+AR597+AR594</f>
        <v>24.094932775099998</v>
      </c>
      <c r="AS599" s="452">
        <f>+AS597+AS594</f>
        <v>17.042230164207158</v>
      </c>
      <c r="AT599" s="452">
        <f>+AT597+AT594</f>
        <v>15.052399789849929</v>
      </c>
      <c r="AU599" s="475">
        <f>SUM(AQ599:AT599)</f>
        <v>84.096364029257089</v>
      </c>
      <c r="AV599" s="584">
        <f>+AV597+AV594</f>
        <v>18.863954310999997</v>
      </c>
      <c r="AW599" s="452">
        <f>+AW597+AW594</f>
        <v>21.587323950938</v>
      </c>
      <c r="AX599" s="452">
        <f>+AX597+AX594</f>
        <v>19.064529841577873</v>
      </c>
      <c r="AY599" s="683">
        <f>+AY597+AY594</f>
        <v>6.6560625844524717</v>
      </c>
      <c r="AZ599" s="475">
        <f>SUM(AV599:AY599)</f>
        <v>66.171870687968351</v>
      </c>
      <c r="BA599" s="452"/>
      <c r="BB599" s="452"/>
      <c r="BC599" s="452"/>
      <c r="BD599" s="452"/>
      <c r="BE599" s="475"/>
      <c r="BF599" s="452"/>
      <c r="BG599" s="452"/>
      <c r="BH599" s="452"/>
      <c r="BI599" s="452"/>
      <c r="BJ599" s="475"/>
      <c r="BK599" s="452"/>
      <c r="BL599" s="452"/>
      <c r="BM599" s="452"/>
      <c r="BN599" s="452"/>
      <c r="BO599" s="475"/>
      <c r="BP599" s="452"/>
      <c r="BQ599" s="452"/>
      <c r="BR599" s="452"/>
      <c r="BS599" s="452"/>
      <c r="BT599" s="3239"/>
      <c r="BU599" s="3413"/>
      <c r="BV599" s="2785"/>
      <c r="BW599" s="2785"/>
      <c r="BX599" s="2785"/>
      <c r="BY599" s="3239"/>
      <c r="BZ599" s="475"/>
      <c r="CA599" s="475"/>
      <c r="CB599" s="475"/>
      <c r="CC599" s="475"/>
      <c r="CD599" s="475"/>
      <c r="CE599" s="475"/>
      <c r="CF599" s="475"/>
      <c r="CG599" s="331"/>
      <c r="CH599" s="331"/>
      <c r="CI599" s="331"/>
      <c r="CJ599" s="331"/>
      <c r="CK599" s="331"/>
      <c r="CL599" s="520" t="str">
        <f t="shared" si="1404"/>
        <v>Total expenses</v>
      </c>
      <c r="CM599" s="476"/>
      <c r="CN599" s="476"/>
      <c r="CO599" s="476"/>
      <c r="CP599" s="476"/>
      <c r="CQ599" s="476"/>
      <c r="CR599" s="476"/>
      <c r="CS599" s="476">
        <f>AK599</f>
        <v>23.263999999999999</v>
      </c>
      <c r="CT599" s="476">
        <f>AP599</f>
        <v>93.902662977412021</v>
      </c>
      <c r="CU599" s="476">
        <f t="shared" si="1405"/>
        <v>84.096364029257089</v>
      </c>
      <c r="CV599" s="476">
        <f t="shared" si="1406"/>
        <v>66.171870687968351</v>
      </c>
      <c r="CW599" s="476">
        <f t="shared" si="1407"/>
        <v>0</v>
      </c>
      <c r="CX599" s="476">
        <f t="shared" si="1408"/>
        <v>0</v>
      </c>
      <c r="CY599" s="476">
        <f t="shared" si="1409"/>
        <v>0</v>
      </c>
      <c r="CZ599" s="476">
        <f t="shared" si="1410"/>
        <v>0</v>
      </c>
      <c r="DA599" s="476">
        <f t="shared" si="1411"/>
        <v>0</v>
      </c>
      <c r="DB599" s="476">
        <f t="shared" si="1411"/>
        <v>0</v>
      </c>
      <c r="DC599" s="682">
        <f t="shared" si="1411"/>
        <v>0</v>
      </c>
      <c r="DD599" s="331"/>
      <c r="DE599" s="331"/>
      <c r="DF599" s="502"/>
      <c r="DG599" s="503"/>
      <c r="DH599" s="2577"/>
      <c r="DI599" s="3213"/>
      <c r="DJ599" s="502"/>
      <c r="DK599" s="503"/>
      <c r="DL599" s="502"/>
      <c r="DM599" s="502"/>
      <c r="DN599" s="502"/>
      <c r="DO599" s="502"/>
      <c r="DP599" s="503"/>
      <c r="DQ599" s="503"/>
      <c r="DR599" s="296"/>
      <c r="DS599" s="296"/>
      <c r="DT599" s="296"/>
    </row>
    <row r="600" spans="1:124" ht="5.0999999999999996" customHeight="1" x14ac:dyDescent="0.25">
      <c r="A600" s="281"/>
      <c r="B600" s="281"/>
      <c r="C600" s="305"/>
      <c r="D600" s="305"/>
      <c r="E600" s="305"/>
      <c r="F600" s="305"/>
      <c r="G600" s="440"/>
      <c r="H600" s="305"/>
      <c r="I600" s="305"/>
      <c r="J600" s="305"/>
      <c r="K600" s="305"/>
      <c r="L600" s="440"/>
      <c r="M600" s="305"/>
      <c r="N600" s="305"/>
      <c r="O600" s="305"/>
      <c r="P600" s="305"/>
      <c r="Q600" s="440"/>
      <c r="R600" s="305"/>
      <c r="S600" s="305"/>
      <c r="T600" s="305"/>
      <c r="U600" s="305"/>
      <c r="V600" s="440"/>
      <c r="W600" s="305"/>
      <c r="X600" s="305"/>
      <c r="Y600" s="305"/>
      <c r="Z600" s="305"/>
      <c r="AA600" s="440"/>
      <c r="AB600" s="305"/>
      <c r="AC600" s="305"/>
      <c r="AD600" s="305"/>
      <c r="AE600" s="331"/>
      <c r="AF600" s="441"/>
      <c r="AG600" s="305"/>
      <c r="AH600" s="305"/>
      <c r="AI600" s="331"/>
      <c r="AJ600" s="305"/>
      <c r="AK600" s="441"/>
      <c r="AL600" s="305"/>
      <c r="AM600" s="305"/>
      <c r="AN600" s="305"/>
      <c r="AO600" s="331"/>
      <c r="AP600" s="569"/>
      <c r="AQ600" s="569"/>
      <c r="AR600" s="442"/>
      <c r="AS600" s="442"/>
      <c r="AT600" s="442"/>
      <c r="AU600" s="441"/>
      <c r="AV600" s="569"/>
      <c r="AW600" s="442"/>
      <c r="AX600" s="442"/>
      <c r="AY600" s="1312"/>
      <c r="AZ600" s="441"/>
      <c r="BA600" s="442"/>
      <c r="BB600" s="442"/>
      <c r="BC600" s="442"/>
      <c r="BD600" s="442"/>
      <c r="BE600" s="441"/>
      <c r="BF600" s="442"/>
      <c r="BG600" s="442"/>
      <c r="BH600" s="442"/>
      <c r="BI600" s="442"/>
      <c r="BJ600" s="441"/>
      <c r="BK600" s="442"/>
      <c r="BL600" s="442"/>
      <c r="BM600" s="442"/>
      <c r="BN600" s="442"/>
      <c r="BO600" s="441"/>
      <c r="BP600" s="442"/>
      <c r="BQ600" s="442"/>
      <c r="BR600" s="442"/>
      <c r="BS600" s="442"/>
      <c r="BT600" s="3236"/>
      <c r="BU600" s="3409"/>
      <c r="BV600" s="3298"/>
      <c r="BW600" s="3298"/>
      <c r="BX600" s="3298"/>
      <c r="BY600" s="3236"/>
      <c r="BZ600" s="441"/>
      <c r="CA600" s="441"/>
      <c r="CB600" s="441"/>
      <c r="CC600" s="441"/>
      <c r="CD600" s="441"/>
      <c r="CE600" s="441"/>
      <c r="CF600" s="441"/>
      <c r="CG600" s="331"/>
      <c r="CH600" s="331"/>
      <c r="CI600" s="331"/>
      <c r="CJ600" s="331"/>
      <c r="CK600" s="331"/>
      <c r="CL600" s="520"/>
      <c r="CM600" s="442"/>
      <c r="CN600" s="442"/>
      <c r="CO600" s="442"/>
      <c r="CP600" s="442"/>
      <c r="CQ600" s="442"/>
      <c r="CR600" s="442"/>
      <c r="CS600" s="442"/>
      <c r="CT600" s="442"/>
      <c r="CU600" s="442"/>
      <c r="CV600" s="442"/>
      <c r="CW600" s="442"/>
      <c r="CX600" s="442"/>
      <c r="CY600" s="442"/>
      <c r="CZ600" s="442"/>
      <c r="DA600" s="442"/>
      <c r="DB600" s="442"/>
      <c r="DC600" s="1312"/>
      <c r="DD600" s="331"/>
      <c r="DE600" s="331"/>
      <c r="DF600" s="502"/>
      <c r="DG600" s="503"/>
      <c r="DH600" s="3298"/>
      <c r="DI600" s="3213"/>
      <c r="DJ600" s="502"/>
      <c r="DK600" s="503"/>
      <c r="DL600" s="502"/>
      <c r="DM600" s="502"/>
      <c r="DN600" s="502"/>
      <c r="DO600" s="502"/>
      <c r="DP600" s="503"/>
      <c r="DQ600" s="503"/>
      <c r="DR600" s="296"/>
      <c r="DS600" s="296"/>
      <c r="DT600" s="296"/>
    </row>
    <row r="601" spans="1:124" ht="12" customHeight="1" x14ac:dyDescent="0.25">
      <c r="A601" s="496" t="s">
        <v>2010</v>
      </c>
      <c r="B601" s="1007"/>
      <c r="C601" s="1008"/>
      <c r="D601" s="1008"/>
      <c r="E601" s="1008"/>
      <c r="F601" s="1008"/>
      <c r="G601" s="1009"/>
      <c r="H601" s="1008"/>
      <c r="I601" s="1008"/>
      <c r="J601" s="1008"/>
      <c r="K601" s="1008"/>
      <c r="L601" s="1009"/>
      <c r="M601" s="1008"/>
      <c r="N601" s="1008"/>
      <c r="O601" s="1008"/>
      <c r="P601" s="1008"/>
      <c r="Q601" s="1009"/>
      <c r="R601" s="1008"/>
      <c r="S601" s="1008"/>
      <c r="T601" s="1008"/>
      <c r="U601" s="1008"/>
      <c r="V601" s="1009"/>
      <c r="W601" s="1008"/>
      <c r="X601" s="1008"/>
      <c r="Y601" s="1008"/>
      <c r="Z601" s="1008"/>
      <c r="AA601" s="1009"/>
      <c r="AB601" s="1008"/>
      <c r="AC601" s="1008"/>
      <c r="AD601" s="1008"/>
      <c r="AE601" s="1010"/>
      <c r="AF601" s="1011"/>
      <c r="AG601" s="1008"/>
      <c r="AH601" s="1008"/>
      <c r="AI601" s="1010">
        <f>-2.378+2.8</f>
        <v>0.42199999999999971</v>
      </c>
      <c r="AJ601" s="1008">
        <v>3.617</v>
      </c>
      <c r="AK601" s="1011">
        <f>AJ601</f>
        <v>3.617</v>
      </c>
      <c r="AL601" s="1008">
        <v>4.5540000000000003</v>
      </c>
      <c r="AM601" s="1010">
        <v>5.6790000000000003</v>
      </c>
      <c r="AN601" s="1014">
        <f>+AN591-AN599</f>
        <v>5.6055693712504002</v>
      </c>
      <c r="AO601" s="1014">
        <f>+AO591-AO599</f>
        <v>5.5459527313375894</v>
      </c>
      <c r="AP601" s="1021">
        <f>SUM(AL601:AO601)</f>
        <v>21.38452210258799</v>
      </c>
      <c r="AQ601" s="1021">
        <f>+AQ591-AQ599</f>
        <v>7.1840886527551184</v>
      </c>
      <c r="AR601" s="1014">
        <f>+AR591-AR599</f>
        <v>5.7802849808353471</v>
      </c>
      <c r="AS601" s="1014">
        <f>+AS591-AS599</f>
        <v>3.1263572105329303</v>
      </c>
      <c r="AT601" s="1014">
        <f>+AT591-AT599</f>
        <v>2.478860920366575</v>
      </c>
      <c r="AU601" s="1009">
        <f>SUM(AQ601:AT601)</f>
        <v>18.569591764489971</v>
      </c>
      <c r="AV601" s="1021">
        <f>+AV591-AV599</f>
        <v>2.9713220654749009</v>
      </c>
      <c r="AW601" s="1014">
        <f>+AW591-AW599</f>
        <v>4.1748003686117201</v>
      </c>
      <c r="AX601" s="1014">
        <f>+AX591-AX599</f>
        <v>3.6144362419754081</v>
      </c>
      <c r="AY601" s="1920">
        <f>+AY591-AY599</f>
        <v>1.4395880081055816</v>
      </c>
      <c r="AZ601" s="1009">
        <f>SUM(AV601:AY601)</f>
        <v>12.20014668416761</v>
      </c>
      <c r="BA601" s="1014"/>
      <c r="BB601" s="1014"/>
      <c r="BC601" s="1014"/>
      <c r="BD601" s="1014"/>
      <c r="BE601" s="1009"/>
      <c r="BF601" s="1014"/>
      <c r="BG601" s="1014"/>
      <c r="BH601" s="1014"/>
      <c r="BI601" s="1014"/>
      <c r="BJ601" s="1009"/>
      <c r="BK601" s="1014"/>
      <c r="BL601" s="1014"/>
      <c r="BM601" s="1014"/>
      <c r="BN601" s="1014"/>
      <c r="BO601" s="1009"/>
      <c r="BP601" s="1014"/>
      <c r="BQ601" s="1014"/>
      <c r="BR601" s="1014"/>
      <c r="BS601" s="1014"/>
      <c r="BT601" s="1009"/>
      <c r="BU601" s="1021"/>
      <c r="BV601" s="1014"/>
      <c r="BW601" s="1014"/>
      <c r="BX601" s="1014"/>
      <c r="BY601" s="1009"/>
      <c r="BZ601" s="1009"/>
      <c r="CA601" s="1009"/>
      <c r="CB601" s="1009"/>
      <c r="CC601" s="1009"/>
      <c r="CD601" s="1009"/>
      <c r="CE601" s="1009"/>
      <c r="CF601" s="1009"/>
      <c r="CG601" s="331"/>
      <c r="CH601" s="331"/>
      <c r="CI601" s="331"/>
      <c r="CJ601" s="331"/>
      <c r="CK601" s="331"/>
      <c r="CL601" s="2102" t="str">
        <f>A601</f>
        <v>Property EBITDA</v>
      </c>
      <c r="CM601" s="1012"/>
      <c r="CN601" s="1012"/>
      <c r="CO601" s="1012"/>
      <c r="CP601" s="1012"/>
      <c r="CQ601" s="1012"/>
      <c r="CR601" s="1012"/>
      <c r="CS601" s="1012">
        <f>AK601</f>
        <v>3.617</v>
      </c>
      <c r="CT601" s="1012">
        <f>AP601</f>
        <v>21.38452210258799</v>
      </c>
      <c r="CU601" s="1012">
        <f>AU601</f>
        <v>18.569591764489971</v>
      </c>
      <c r="CV601" s="1012">
        <f>AZ601</f>
        <v>12.20014668416761</v>
      </c>
      <c r="CW601" s="1012">
        <f>BE601</f>
        <v>0</v>
      </c>
      <c r="CX601" s="1012">
        <f>BJ601</f>
        <v>0</v>
      </c>
      <c r="CY601" s="1012">
        <f>BO601</f>
        <v>0</v>
      </c>
      <c r="CZ601" s="1012">
        <f>BT601</f>
        <v>0</v>
      </c>
      <c r="DA601" s="1012">
        <f t="shared" ref="DA601:DC605" si="1413">BY601</f>
        <v>0</v>
      </c>
      <c r="DB601" s="1012">
        <f t="shared" si="1413"/>
        <v>0</v>
      </c>
      <c r="DC601" s="1877">
        <f t="shared" si="1413"/>
        <v>0</v>
      </c>
      <c r="DD601" s="331"/>
      <c r="DE601" s="331"/>
      <c r="DF601" s="502"/>
      <c r="DG601" s="503"/>
      <c r="DH601" s="598"/>
      <c r="DI601" s="3213"/>
      <c r="DJ601" s="502"/>
      <c r="DK601" s="503"/>
      <c r="DL601" s="502"/>
      <c r="DM601" s="502"/>
      <c r="DN601" s="502"/>
      <c r="DO601" s="502"/>
      <c r="DP601" s="503"/>
      <c r="DQ601" s="503"/>
      <c r="DR601" s="296"/>
      <c r="DS601" s="296"/>
      <c r="DT601" s="296"/>
    </row>
    <row r="602" spans="1:124" ht="12" customHeight="1" x14ac:dyDescent="0.25">
      <c r="A602" s="465" t="s">
        <v>1892</v>
      </c>
      <c r="B602" s="281"/>
      <c r="C602" s="472"/>
      <c r="D602" s="472"/>
      <c r="E602" s="472"/>
      <c r="F602" s="472"/>
      <c r="G602" s="491"/>
      <c r="H602" s="472"/>
      <c r="I602" s="472"/>
      <c r="J602" s="472"/>
      <c r="K602" s="472"/>
      <c r="L602" s="491"/>
      <c r="M602" s="472"/>
      <c r="N602" s="472"/>
      <c r="O602" s="472"/>
      <c r="P602" s="472"/>
      <c r="Q602" s="491"/>
      <c r="R602" s="472"/>
      <c r="S602" s="472"/>
      <c r="T602" s="472"/>
      <c r="U602" s="472"/>
      <c r="V602" s="491"/>
      <c r="W602" s="472"/>
      <c r="X602" s="472"/>
      <c r="Y602" s="472"/>
      <c r="Z602" s="472"/>
      <c r="AA602" s="491"/>
      <c r="AB602" s="472"/>
      <c r="AC602" s="472"/>
      <c r="AD602" s="472"/>
      <c r="AE602" s="492"/>
      <c r="AF602" s="493"/>
      <c r="AG602" s="472"/>
      <c r="AH602" s="472"/>
      <c r="AI602" s="492">
        <f>AI601/AI591</f>
        <v>0.1893225661731717</v>
      </c>
      <c r="AJ602" s="492">
        <f>AJ601/AJ591</f>
        <v>0.13455600610096349</v>
      </c>
      <c r="AK602" s="493">
        <f>AJ602</f>
        <v>0.13455600610096349</v>
      </c>
      <c r="AL602" s="472">
        <f>Maryland!D55</f>
        <v>0.14000000000000001</v>
      </c>
      <c r="AM602" s="472">
        <f>Maryland!E55</f>
        <v>0.14000000000000001</v>
      </c>
      <c r="AN602" s="472">
        <f>Maryland!F55</f>
        <v>0.14499999999999999</v>
      </c>
      <c r="AO602" s="472">
        <f>Maryland!G55</f>
        <v>0.14499999999999999</v>
      </c>
      <c r="AP602" s="589">
        <f>AP601/AP591</f>
        <v>0.18548915118145054</v>
      </c>
      <c r="AQ602" s="589">
        <f>Maryland!I55</f>
        <v>0.14257861635220126</v>
      </c>
      <c r="AR602" s="472">
        <f>Maryland!J55</f>
        <v>0.11</v>
      </c>
      <c r="AS602" s="472">
        <f>Maryland!K55</f>
        <v>0.11</v>
      </c>
      <c r="AT602" s="472">
        <f>Maryland!L55</f>
        <v>0.11</v>
      </c>
      <c r="AU602" s="589">
        <f t="shared" ref="AU602:AZ602" si="1414">AU601/AU591</f>
        <v>0.18087389944331445</v>
      </c>
      <c r="AV602" s="589">
        <f t="shared" si="1414"/>
        <v>0.13607897670927457</v>
      </c>
      <c r="AW602" s="472">
        <f t="shared" si="1414"/>
        <v>0.16205186796042481</v>
      </c>
      <c r="AX602" s="472">
        <f t="shared" si="1414"/>
        <v>0.15937394273880001</v>
      </c>
      <c r="AY602" s="1670">
        <f t="shared" si="1414"/>
        <v>0.17782239878644546</v>
      </c>
      <c r="AZ602" s="491">
        <f t="shared" si="1414"/>
        <v>0.15566967768913392</v>
      </c>
      <c r="BA602" s="472"/>
      <c r="BB602" s="472"/>
      <c r="BC602" s="472"/>
      <c r="BD602" s="472"/>
      <c r="BE602" s="491"/>
      <c r="BF602" s="472"/>
      <c r="BG602" s="472"/>
      <c r="BH602" s="472"/>
      <c r="BI602" s="472"/>
      <c r="BJ602" s="491"/>
      <c r="BK602" s="472"/>
      <c r="BL602" s="472"/>
      <c r="BM602" s="472"/>
      <c r="BN602" s="472"/>
      <c r="BO602" s="491"/>
      <c r="BP602" s="472"/>
      <c r="BQ602" s="472"/>
      <c r="BR602" s="472"/>
      <c r="BS602" s="472"/>
      <c r="BT602" s="3240"/>
      <c r="BU602" s="3414"/>
      <c r="BV602" s="3415"/>
      <c r="BW602" s="3415"/>
      <c r="BX602" s="3415"/>
      <c r="BY602" s="3240"/>
      <c r="BZ602" s="491"/>
      <c r="CA602" s="491"/>
      <c r="CB602" s="491"/>
      <c r="CC602" s="491"/>
      <c r="CD602" s="491"/>
      <c r="CE602" s="491"/>
      <c r="CF602" s="491"/>
      <c r="CG602" s="331"/>
      <c r="CH602" s="331"/>
      <c r="CI602" s="331"/>
      <c r="CJ602" s="331"/>
      <c r="CK602" s="331"/>
      <c r="CL602" s="1310" t="str">
        <f>A602</f>
        <v>Margin</v>
      </c>
      <c r="CM602" s="492"/>
      <c r="CN602" s="492"/>
      <c r="CO602" s="492"/>
      <c r="CP602" s="492"/>
      <c r="CQ602" s="492"/>
      <c r="CR602" s="492"/>
      <c r="CS602" s="492">
        <f>AK602</f>
        <v>0.13455600610096349</v>
      </c>
      <c r="CT602" s="492">
        <f>AP602</f>
        <v>0.18548915118145054</v>
      </c>
      <c r="CU602" s="492">
        <f>AU602</f>
        <v>0.18087389944331445</v>
      </c>
      <c r="CV602" s="492">
        <f>AZ602</f>
        <v>0.15566967768913392</v>
      </c>
      <c r="CW602" s="492">
        <f>BE602</f>
        <v>0</v>
      </c>
      <c r="CX602" s="492">
        <f>BJ602</f>
        <v>0</v>
      </c>
      <c r="CY602" s="492">
        <f>BO602</f>
        <v>0</v>
      </c>
      <c r="CZ602" s="492">
        <f>BT602</f>
        <v>0</v>
      </c>
      <c r="DA602" s="492">
        <f t="shared" si="1413"/>
        <v>0</v>
      </c>
      <c r="DB602" s="492">
        <f t="shared" si="1413"/>
        <v>0</v>
      </c>
      <c r="DC602" s="1311">
        <f t="shared" si="1413"/>
        <v>0</v>
      </c>
      <c r="DD602" s="331"/>
      <c r="DE602" s="331"/>
      <c r="DF602" s="502"/>
      <c r="DG602" s="503"/>
      <c r="DH602" s="2653"/>
      <c r="DI602" s="3213"/>
      <c r="DJ602" s="502"/>
      <c r="DK602" s="503"/>
      <c r="DL602" s="502"/>
      <c r="DM602" s="502"/>
      <c r="DN602" s="502"/>
      <c r="DO602" s="502"/>
      <c r="DP602" s="503"/>
      <c r="DQ602" s="503"/>
      <c r="DR602" s="296"/>
      <c r="DS602" s="296"/>
      <c r="DT602" s="296"/>
    </row>
    <row r="603" spans="1:124" ht="12" customHeight="1" x14ac:dyDescent="0.25">
      <c r="A603" s="465" t="s">
        <v>1491</v>
      </c>
      <c r="B603" s="281"/>
      <c r="C603" s="472"/>
      <c r="D603" s="472"/>
      <c r="E603" s="472"/>
      <c r="F603" s="472"/>
      <c r="G603" s="491"/>
      <c r="H603" s="472"/>
      <c r="I603" s="472"/>
      <c r="J603" s="472"/>
      <c r="K603" s="472"/>
      <c r="L603" s="491"/>
      <c r="M603" s="472"/>
      <c r="N603" s="472"/>
      <c r="O603" s="472"/>
      <c r="P603" s="472"/>
      <c r="Q603" s="491"/>
      <c r="R603" s="472"/>
      <c r="S603" s="472"/>
      <c r="T603" s="472"/>
      <c r="U603" s="472"/>
      <c r="V603" s="491"/>
      <c r="W603" s="472"/>
      <c r="X603" s="472"/>
      <c r="Y603" s="472"/>
      <c r="Z603" s="472"/>
      <c r="AA603" s="491"/>
      <c r="AB603" s="472"/>
      <c r="AC603" s="472"/>
      <c r="AD603" s="472"/>
      <c r="AE603" s="492"/>
      <c r="AF603" s="493"/>
      <c r="AG603" s="472"/>
      <c r="AH603" s="472"/>
      <c r="AI603" s="492"/>
      <c r="AJ603" s="472"/>
      <c r="AK603" s="493"/>
      <c r="AL603" s="472"/>
      <c r="AM603" s="472"/>
      <c r="AN603" s="472"/>
      <c r="AO603" s="472"/>
      <c r="AP603" s="494"/>
      <c r="AQ603" s="494">
        <f t="shared" ref="AQ603:AZ603" si="1415">+AQ601/AL601-1</f>
        <v>0.57753374017459769</v>
      </c>
      <c r="AR603" s="492">
        <f t="shared" si="1415"/>
        <v>1.7835002788403997E-2</v>
      </c>
      <c r="AS603" s="492">
        <f t="shared" si="1415"/>
        <v>-0.44227659966759936</v>
      </c>
      <c r="AT603" s="492">
        <f t="shared" si="1415"/>
        <v>-0.55303244718266542</v>
      </c>
      <c r="AU603" s="493">
        <f t="shared" si="1415"/>
        <v>-0.13163400727843955</v>
      </c>
      <c r="AV603" s="494">
        <f t="shared" si="1415"/>
        <v>-0.58640236652210709</v>
      </c>
      <c r="AW603" s="492">
        <f t="shared" si="1415"/>
        <v>-0.27775180939117083</v>
      </c>
      <c r="AX603" s="492">
        <f t="shared" si="1415"/>
        <v>0.15611748708628159</v>
      </c>
      <c r="AY603" s="1311">
        <f t="shared" si="1415"/>
        <v>-0.41925422427786119</v>
      </c>
      <c r="AZ603" s="493">
        <f t="shared" si="1415"/>
        <v>-0.34300404452091637</v>
      </c>
      <c r="BA603" s="492"/>
      <c r="BB603" s="492"/>
      <c r="BC603" s="492"/>
      <c r="BD603" s="492"/>
      <c r="BE603" s="493"/>
      <c r="BF603" s="492"/>
      <c r="BG603" s="492"/>
      <c r="BH603" s="492"/>
      <c r="BI603" s="492"/>
      <c r="BJ603" s="493"/>
      <c r="BK603" s="492"/>
      <c r="BL603" s="492"/>
      <c r="BM603" s="492"/>
      <c r="BN603" s="492"/>
      <c r="BO603" s="493"/>
      <c r="BP603" s="492"/>
      <c r="BQ603" s="492"/>
      <c r="BR603" s="492"/>
      <c r="BS603" s="492"/>
      <c r="BT603" s="2693"/>
      <c r="BU603" s="3398"/>
      <c r="BV603" s="2653"/>
      <c r="BW603" s="2653"/>
      <c r="BX603" s="2653"/>
      <c r="BY603" s="2693"/>
      <c r="BZ603" s="493"/>
      <c r="CA603" s="493"/>
      <c r="CB603" s="493"/>
      <c r="CC603" s="493"/>
      <c r="CD603" s="493"/>
      <c r="CE603" s="493"/>
      <c r="CF603" s="493"/>
      <c r="CG603" s="331"/>
      <c r="CH603" s="331"/>
      <c r="CI603" s="331"/>
      <c r="CJ603" s="331"/>
      <c r="CK603" s="331"/>
      <c r="CL603" s="1310" t="str">
        <f>A603</f>
        <v>% growth (y-o-y)</v>
      </c>
      <c r="CM603" s="492"/>
      <c r="CN603" s="492"/>
      <c r="CO603" s="492"/>
      <c r="CP603" s="492"/>
      <c r="CQ603" s="492"/>
      <c r="CR603" s="492"/>
      <c r="CS603" s="492"/>
      <c r="CT603" s="492"/>
      <c r="CU603" s="492">
        <f>AU603</f>
        <v>-0.13163400727843955</v>
      </c>
      <c r="CV603" s="492">
        <f>AZ603</f>
        <v>-0.34300404452091637</v>
      </c>
      <c r="CW603" s="492">
        <f>BE603</f>
        <v>0</v>
      </c>
      <c r="CX603" s="492">
        <f>BJ603</f>
        <v>0</v>
      </c>
      <c r="CY603" s="492">
        <f>BO603</f>
        <v>0</v>
      </c>
      <c r="CZ603" s="492">
        <f>BT603</f>
        <v>0</v>
      </c>
      <c r="DA603" s="492">
        <f t="shared" si="1413"/>
        <v>0</v>
      </c>
      <c r="DB603" s="492">
        <f t="shared" si="1413"/>
        <v>0</v>
      </c>
      <c r="DC603" s="1311">
        <f t="shared" si="1413"/>
        <v>0</v>
      </c>
      <c r="DD603" s="331"/>
      <c r="DE603" s="331"/>
      <c r="DF603" s="502"/>
      <c r="DG603" s="503"/>
      <c r="DH603" s="2653"/>
      <c r="DI603" s="3213"/>
      <c r="DJ603" s="502"/>
      <c r="DK603" s="503"/>
      <c r="DL603" s="502"/>
      <c r="DM603" s="502"/>
      <c r="DN603" s="502"/>
      <c r="DO603" s="502"/>
      <c r="DP603" s="503"/>
      <c r="DQ603" s="503"/>
      <c r="DR603" s="296"/>
      <c r="DS603" s="296"/>
      <c r="DT603" s="296"/>
    </row>
    <row r="604" spans="1:124" ht="12" customHeight="1" x14ac:dyDescent="0.25">
      <c r="A604" s="281" t="s">
        <v>2197</v>
      </c>
      <c r="B604" s="281"/>
      <c r="C604" s="570"/>
      <c r="D604" s="570"/>
      <c r="E604" s="570"/>
      <c r="F604" s="570"/>
      <c r="G604" s="475"/>
      <c r="H604" s="570"/>
      <c r="I604" s="570"/>
      <c r="J604" s="570"/>
      <c r="K604" s="570"/>
      <c r="L604" s="475"/>
      <c r="M604" s="570"/>
      <c r="N604" s="570"/>
      <c r="O604" s="570"/>
      <c r="P604" s="570"/>
      <c r="Q604" s="475"/>
      <c r="R604" s="570"/>
      <c r="S604" s="570"/>
      <c r="T604" s="570"/>
      <c r="U604" s="570"/>
      <c r="V604" s="475"/>
      <c r="W604" s="570"/>
      <c r="X604" s="570"/>
      <c r="Y604" s="570"/>
      <c r="Z604" s="570"/>
      <c r="AA604" s="475"/>
      <c r="AB604" s="570"/>
      <c r="AC604" s="570"/>
      <c r="AD604" s="570"/>
      <c r="AE604" s="572"/>
      <c r="AF604" s="477"/>
      <c r="AG604" s="570"/>
      <c r="AH604" s="570"/>
      <c r="AI604" s="572">
        <v>2E-3</v>
      </c>
      <c r="AJ604" s="570">
        <v>1.593</v>
      </c>
      <c r="AK604" s="477">
        <f>AJ604</f>
        <v>1.593</v>
      </c>
      <c r="AL604" s="570">
        <v>1.593</v>
      </c>
      <c r="AM604" s="570">
        <v>1.883</v>
      </c>
      <c r="AN604" s="570">
        <f>+AM604</f>
        <v>1.883</v>
      </c>
      <c r="AO604" s="570">
        <f>+AN604</f>
        <v>1.883</v>
      </c>
      <c r="AP604" s="584">
        <f>SUM(AL604:AO604)</f>
        <v>7.242</v>
      </c>
      <c r="AQ604" s="584">
        <f>+AO604</f>
        <v>1.883</v>
      </c>
      <c r="AR604" s="452">
        <f>+AQ604</f>
        <v>1.883</v>
      </c>
      <c r="AS604" s="452">
        <f>+AR604</f>
        <v>1.883</v>
      </c>
      <c r="AT604" s="452">
        <f>+AS604</f>
        <v>1.883</v>
      </c>
      <c r="AU604" s="475">
        <f>SUM(AQ604:AT604)</f>
        <v>7.532</v>
      </c>
      <c r="AV604" s="584">
        <f>+AT604</f>
        <v>1.883</v>
      </c>
      <c r="AW604" s="452">
        <f>+AV604</f>
        <v>1.883</v>
      </c>
      <c r="AX604" s="452">
        <f>+AW604</f>
        <v>1.883</v>
      </c>
      <c r="AY604" s="683">
        <f>+AX604</f>
        <v>1.883</v>
      </c>
      <c r="AZ604" s="475">
        <f>SUM(AV604:AY604)</f>
        <v>7.532</v>
      </c>
      <c r="BA604" s="452"/>
      <c r="BB604" s="452"/>
      <c r="BC604" s="452"/>
      <c r="BD604" s="452"/>
      <c r="BE604" s="475"/>
      <c r="BF604" s="452"/>
      <c r="BG604" s="452"/>
      <c r="BH604" s="452"/>
      <c r="BI604" s="452"/>
      <c r="BJ604" s="475"/>
      <c r="BK604" s="452"/>
      <c r="BL604" s="452"/>
      <c r="BM604" s="452"/>
      <c r="BN604" s="452"/>
      <c r="BO604" s="475"/>
      <c r="BP604" s="452"/>
      <c r="BQ604" s="452"/>
      <c r="BR604" s="452"/>
      <c r="BS604" s="452"/>
      <c r="BT604" s="3239"/>
      <c r="BU604" s="3413"/>
      <c r="BV604" s="2785"/>
      <c r="BW604" s="2785"/>
      <c r="BX604" s="2785"/>
      <c r="BY604" s="3239"/>
      <c r="BZ604" s="475"/>
      <c r="CA604" s="475"/>
      <c r="CB604" s="475"/>
      <c r="CC604" s="475"/>
      <c r="CD604" s="475"/>
      <c r="CE604" s="475"/>
      <c r="CF604" s="475"/>
      <c r="CG604" s="331"/>
      <c r="CH604" s="331"/>
      <c r="CI604" s="331"/>
      <c r="CJ604" s="331"/>
      <c r="CK604" s="331"/>
      <c r="CL604" s="520" t="str">
        <f>A604</f>
        <v>Depreciation and amortization</v>
      </c>
      <c r="CM604" s="476"/>
      <c r="CN604" s="476"/>
      <c r="CO604" s="476"/>
      <c r="CP604" s="476"/>
      <c r="CQ604" s="476"/>
      <c r="CR604" s="476"/>
      <c r="CS604" s="476">
        <f>AK604</f>
        <v>1.593</v>
      </c>
      <c r="CT604" s="476">
        <f>AP604</f>
        <v>7.242</v>
      </c>
      <c r="CU604" s="476">
        <f>AU604</f>
        <v>7.532</v>
      </c>
      <c r="CV604" s="476">
        <f>AZ604</f>
        <v>7.532</v>
      </c>
      <c r="CW604" s="476">
        <f>BE604</f>
        <v>0</v>
      </c>
      <c r="CX604" s="476">
        <f>BJ604</f>
        <v>0</v>
      </c>
      <c r="CY604" s="476">
        <f>BO604</f>
        <v>0</v>
      </c>
      <c r="CZ604" s="476">
        <f>BT604</f>
        <v>0</v>
      </c>
      <c r="DA604" s="476">
        <f t="shared" si="1413"/>
        <v>0</v>
      </c>
      <c r="DB604" s="476">
        <f t="shared" si="1413"/>
        <v>0</v>
      </c>
      <c r="DC604" s="682">
        <f t="shared" si="1413"/>
        <v>0</v>
      </c>
      <c r="DD604" s="331"/>
      <c r="DE604" s="331"/>
      <c r="DF604" s="502"/>
      <c r="DG604" s="503"/>
      <c r="DH604" s="2577"/>
      <c r="DI604" s="3213"/>
      <c r="DJ604" s="502"/>
      <c r="DK604" s="503"/>
      <c r="DL604" s="502"/>
      <c r="DM604" s="502"/>
      <c r="DN604" s="502"/>
      <c r="DO604" s="502"/>
      <c r="DP604" s="503"/>
      <c r="DQ604" s="503"/>
      <c r="DR604" s="296"/>
      <c r="DS604" s="296"/>
      <c r="DT604" s="296"/>
    </row>
    <row r="605" spans="1:124" ht="12" customHeight="1" x14ac:dyDescent="0.25">
      <c r="A605" s="465" t="s">
        <v>646</v>
      </c>
      <c r="B605" s="281"/>
      <c r="C605" s="472"/>
      <c r="D605" s="472"/>
      <c r="E605" s="472"/>
      <c r="F605" s="472"/>
      <c r="G605" s="491"/>
      <c r="H605" s="472"/>
      <c r="I605" s="472"/>
      <c r="J605" s="472"/>
      <c r="K605" s="472"/>
      <c r="L605" s="491"/>
      <c r="M605" s="472"/>
      <c r="N605" s="472"/>
      <c r="O605" s="472"/>
      <c r="P605" s="472"/>
      <c r="Q605" s="491"/>
      <c r="R605" s="472"/>
      <c r="S605" s="472"/>
      <c r="T605" s="472"/>
      <c r="U605" s="472"/>
      <c r="V605" s="491"/>
      <c r="W605" s="472"/>
      <c r="X605" s="472"/>
      <c r="Y605" s="472"/>
      <c r="Z605" s="472"/>
      <c r="AA605" s="491"/>
      <c r="AB605" s="472"/>
      <c r="AC605" s="472"/>
      <c r="AD605" s="472"/>
      <c r="AE605" s="492"/>
      <c r="AF605" s="493"/>
      <c r="AG605" s="472"/>
      <c r="AH605" s="472"/>
      <c r="AI605" s="472"/>
      <c r="AJ605" s="472">
        <f>AJ604/AJ591</f>
        <v>5.9261188199843752E-2</v>
      </c>
      <c r="AK605" s="493">
        <f>AJ605</f>
        <v>5.9261188199843752E-2</v>
      </c>
      <c r="AL605" s="472">
        <f t="shared" ref="AL605:AZ605" si="1416">AL604/AL591</f>
        <v>5.7395063952441004E-2</v>
      </c>
      <c r="AM605" s="472">
        <f t="shared" si="1416"/>
        <v>6.3636363636363644E-2</v>
      </c>
      <c r="AN605" s="472">
        <f t="shared" si="1416"/>
        <v>6.4597376736139925E-2</v>
      </c>
      <c r="AO605" s="472">
        <f t="shared" si="1416"/>
        <v>6.5399214923789931E-2</v>
      </c>
      <c r="AP605" s="589">
        <f t="shared" si="1416"/>
        <v>6.2817042457708E-2</v>
      </c>
      <c r="AQ605" s="589">
        <f t="shared" si="1416"/>
        <v>5.3660651027369922E-2</v>
      </c>
      <c r="AR605" s="472">
        <f t="shared" si="1416"/>
        <v>6.3028829291994104E-2</v>
      </c>
      <c r="AS605" s="472">
        <f t="shared" si="1416"/>
        <v>9.3363008772659073E-2</v>
      </c>
      <c r="AT605" s="472">
        <f t="shared" si="1416"/>
        <v>0.10740813402556181</v>
      </c>
      <c r="AU605" s="491">
        <f t="shared" si="1416"/>
        <v>7.3364144343345622E-2</v>
      </c>
      <c r="AV605" s="589">
        <f t="shared" si="1416"/>
        <v>8.6236600239634462E-2</v>
      </c>
      <c r="AW605" s="472">
        <f t="shared" si="1416"/>
        <v>7.3091798511781728E-2</v>
      </c>
      <c r="AX605" s="472">
        <f t="shared" si="1416"/>
        <v>8.3028476389210085E-2</v>
      </c>
      <c r="AY605" s="1670">
        <f t="shared" si="1416"/>
        <v>0.23259403039589585</v>
      </c>
      <c r="AZ605" s="491">
        <f t="shared" si="1416"/>
        <v>9.6105730751265495E-2</v>
      </c>
      <c r="BA605" s="472"/>
      <c r="BB605" s="472"/>
      <c r="BC605" s="472"/>
      <c r="BD605" s="472"/>
      <c r="BE605" s="491"/>
      <c r="BF605" s="472"/>
      <c r="BG605" s="472"/>
      <c r="BH605" s="472"/>
      <c r="BI605" s="472"/>
      <c r="BJ605" s="491"/>
      <c r="BK605" s="472"/>
      <c r="BL605" s="472"/>
      <c r="BM605" s="472"/>
      <c r="BN605" s="472"/>
      <c r="BO605" s="491"/>
      <c r="BP605" s="472"/>
      <c r="BQ605" s="472"/>
      <c r="BR605" s="472"/>
      <c r="BS605" s="472"/>
      <c r="BT605" s="3240"/>
      <c r="BU605" s="3414"/>
      <c r="BV605" s="3415"/>
      <c r="BW605" s="3415"/>
      <c r="BX605" s="3415"/>
      <c r="BY605" s="3240"/>
      <c r="BZ605" s="491"/>
      <c r="CA605" s="491"/>
      <c r="CB605" s="491"/>
      <c r="CC605" s="491"/>
      <c r="CD605" s="491"/>
      <c r="CE605" s="491"/>
      <c r="CF605" s="491"/>
      <c r="CG605" s="331"/>
      <c r="CH605" s="331"/>
      <c r="CI605" s="331"/>
      <c r="CJ605" s="331"/>
      <c r="CK605" s="331"/>
      <c r="CL605" s="1310" t="str">
        <f>A605</f>
        <v>% of Net revenue</v>
      </c>
      <c r="CM605" s="492"/>
      <c r="CN605" s="492"/>
      <c r="CO605" s="492"/>
      <c r="CP605" s="492"/>
      <c r="CQ605" s="492"/>
      <c r="CR605" s="492"/>
      <c r="CS605" s="492">
        <f>AK605</f>
        <v>5.9261188199843752E-2</v>
      </c>
      <c r="CT605" s="492">
        <f>AP605</f>
        <v>6.2817042457708E-2</v>
      </c>
      <c r="CU605" s="492">
        <f>AU605</f>
        <v>7.3364144343345622E-2</v>
      </c>
      <c r="CV605" s="492">
        <f>AZ605</f>
        <v>9.6105730751265495E-2</v>
      </c>
      <c r="CW605" s="492">
        <f>BE605</f>
        <v>0</v>
      </c>
      <c r="CX605" s="492">
        <f>BJ605</f>
        <v>0</v>
      </c>
      <c r="CY605" s="492">
        <f>BO605</f>
        <v>0</v>
      </c>
      <c r="CZ605" s="492">
        <f>BT605</f>
        <v>0</v>
      </c>
      <c r="DA605" s="492">
        <f t="shared" si="1413"/>
        <v>0</v>
      </c>
      <c r="DB605" s="492">
        <f t="shared" si="1413"/>
        <v>0</v>
      </c>
      <c r="DC605" s="1311">
        <f t="shared" si="1413"/>
        <v>0</v>
      </c>
      <c r="DD605" s="331"/>
      <c r="DE605" s="331"/>
      <c r="DF605" s="502"/>
      <c r="DG605" s="503"/>
      <c r="DH605" s="2653"/>
      <c r="DI605" s="3213"/>
      <c r="DJ605" s="502"/>
      <c r="DK605" s="503"/>
      <c r="DL605" s="502"/>
      <c r="DM605" s="502"/>
      <c r="DN605" s="502"/>
      <c r="DO605" s="502"/>
      <c r="DP605" s="503"/>
      <c r="DQ605" s="503"/>
      <c r="DR605" s="296"/>
      <c r="DS605" s="296"/>
      <c r="DT605" s="296"/>
    </row>
    <row r="606" spans="1:124" ht="12" customHeight="1" x14ac:dyDescent="0.25">
      <c r="A606" s="281"/>
      <c r="B606" s="281"/>
      <c r="C606" s="305"/>
      <c r="D606" s="305"/>
      <c r="E606" s="305"/>
      <c r="F606" s="305"/>
      <c r="G606" s="440"/>
      <c r="H606" s="305"/>
      <c r="I606" s="305"/>
      <c r="J606" s="305"/>
      <c r="K606" s="305"/>
      <c r="L606" s="440"/>
      <c r="M606" s="305"/>
      <c r="N606" s="305"/>
      <c r="O606" s="305"/>
      <c r="P606" s="305"/>
      <c r="Q606" s="440"/>
      <c r="R606" s="305"/>
      <c r="S606" s="305"/>
      <c r="T606" s="305"/>
      <c r="U606" s="305"/>
      <c r="V606" s="440"/>
      <c r="W606" s="305"/>
      <c r="X606" s="305"/>
      <c r="Y606" s="305"/>
      <c r="Z606" s="305"/>
      <c r="AA606" s="440"/>
      <c r="AB606" s="305"/>
      <c r="AC606" s="305"/>
      <c r="AD606" s="305"/>
      <c r="AE606" s="331"/>
      <c r="AF606" s="441"/>
      <c r="AG606" s="305"/>
      <c r="AH606" s="305"/>
      <c r="AI606" s="305"/>
      <c r="AJ606" s="331"/>
      <c r="AK606" s="441"/>
      <c r="AL606" s="305"/>
      <c r="AM606" s="305"/>
      <c r="AN606" s="305"/>
      <c r="AO606" s="331"/>
      <c r="AP606" s="569"/>
      <c r="AQ606" s="569"/>
      <c r="AR606" s="442"/>
      <c r="AS606" s="442"/>
      <c r="AT606" s="442"/>
      <c r="AU606" s="441"/>
      <c r="AV606" s="569"/>
      <c r="AW606" s="442"/>
      <c r="AX606" s="442"/>
      <c r="AY606" s="1312"/>
      <c r="AZ606" s="441"/>
      <c r="BA606" s="442"/>
      <c r="BB606" s="442"/>
      <c r="BC606" s="442"/>
      <c r="BD606" s="442"/>
      <c r="BE606" s="441"/>
      <c r="BF606" s="442"/>
      <c r="BG606" s="442"/>
      <c r="BH606" s="442"/>
      <c r="BI606" s="442"/>
      <c r="BJ606" s="441"/>
      <c r="BK606" s="442"/>
      <c r="BL606" s="442"/>
      <c r="BM606" s="442"/>
      <c r="BN606" s="442"/>
      <c r="BO606" s="441"/>
      <c r="BP606" s="442"/>
      <c r="BQ606" s="442"/>
      <c r="BR606" s="442"/>
      <c r="BS606" s="442"/>
      <c r="BT606" s="3236"/>
      <c r="BU606" s="3409"/>
      <c r="BV606" s="3298"/>
      <c r="BW606" s="3298"/>
      <c r="BX606" s="3298"/>
      <c r="BY606" s="3236"/>
      <c r="BZ606" s="441"/>
      <c r="CA606" s="441"/>
      <c r="CB606" s="441"/>
      <c r="CC606" s="441"/>
      <c r="CD606" s="441"/>
      <c r="CE606" s="441"/>
      <c r="CF606" s="441"/>
      <c r="CG606" s="331"/>
      <c r="CH606" s="331"/>
      <c r="CI606" s="331"/>
      <c r="CJ606" s="331"/>
      <c r="CK606" s="331"/>
      <c r="CL606" s="520"/>
      <c r="CM606" s="442"/>
      <c r="CN606" s="442"/>
      <c r="CO606" s="442"/>
      <c r="CP606" s="442"/>
      <c r="CQ606" s="442"/>
      <c r="CR606" s="442"/>
      <c r="CS606" s="442"/>
      <c r="CT606" s="442"/>
      <c r="CU606" s="442"/>
      <c r="CV606" s="442"/>
      <c r="CW606" s="442"/>
      <c r="CX606" s="442"/>
      <c r="CY606" s="442"/>
      <c r="CZ606" s="442"/>
      <c r="DA606" s="442"/>
      <c r="DB606" s="442"/>
      <c r="DC606" s="1312"/>
      <c r="DD606" s="331"/>
      <c r="DE606" s="331"/>
      <c r="DF606" s="502"/>
      <c r="DG606" s="503"/>
      <c r="DH606" s="3298"/>
      <c r="DI606" s="3213"/>
      <c r="DJ606" s="502"/>
      <c r="DK606" s="503"/>
      <c r="DL606" s="502"/>
      <c r="DM606" s="502"/>
      <c r="DN606" s="502"/>
      <c r="DO606" s="502"/>
      <c r="DP606" s="503"/>
      <c r="DQ606" s="503"/>
      <c r="DR606" s="296"/>
      <c r="DS606" s="296"/>
      <c r="DT606" s="296"/>
    </row>
    <row r="607" spans="1:124" ht="12" customHeight="1" x14ac:dyDescent="0.25">
      <c r="A607" s="281"/>
      <c r="B607" s="281"/>
      <c r="C607" s="305"/>
      <c r="D607" s="305"/>
      <c r="E607" s="305"/>
      <c r="F607" s="305"/>
      <c r="G607" s="440"/>
      <c r="H607" s="305"/>
      <c r="I607" s="305"/>
      <c r="J607" s="305"/>
      <c r="K607" s="305"/>
      <c r="L607" s="440"/>
      <c r="M607" s="305"/>
      <c r="N607" s="305"/>
      <c r="O607" s="305"/>
      <c r="P607" s="305"/>
      <c r="Q607" s="440"/>
      <c r="R607" s="305"/>
      <c r="S607" s="305"/>
      <c r="T607" s="305"/>
      <c r="U607" s="305"/>
      <c r="V607" s="440"/>
      <c r="W607" s="305"/>
      <c r="X607" s="305"/>
      <c r="Y607" s="305"/>
      <c r="Z607" s="305"/>
      <c r="AA607" s="440"/>
      <c r="AB607" s="305"/>
      <c r="AC607" s="305"/>
      <c r="AD607" s="305"/>
      <c r="AE607" s="331"/>
      <c r="AF607" s="441"/>
      <c r="AG607" s="305"/>
      <c r="AH607" s="305"/>
      <c r="AI607" s="305"/>
      <c r="AJ607" s="331"/>
      <c r="AK607" s="441"/>
      <c r="AL607" s="305"/>
      <c r="AM607" s="305"/>
      <c r="AN607" s="305"/>
      <c r="AO607" s="331"/>
      <c r="AP607" s="569"/>
      <c r="AQ607" s="569"/>
      <c r="AR607" s="442"/>
      <c r="AS607" s="442"/>
      <c r="AT607" s="442"/>
      <c r="AU607" s="590"/>
      <c r="AV607" s="569"/>
      <c r="AW607" s="442"/>
      <c r="AX607" s="442"/>
      <c r="AY607" s="1312"/>
      <c r="AZ607" s="441"/>
      <c r="BA607" s="569"/>
      <c r="BB607" s="442"/>
      <c r="BC607" s="442"/>
      <c r="BD607" s="1312"/>
      <c r="BE607" s="1312"/>
      <c r="BF607" s="442"/>
      <c r="BG607" s="442"/>
      <c r="BH607" s="442"/>
      <c r="BI607" s="1312"/>
      <c r="BJ607" s="1312"/>
      <c r="BK607" s="442"/>
      <c r="BL607" s="442"/>
      <c r="BM607" s="442"/>
      <c r="BN607" s="1312"/>
      <c r="BO607" s="1312"/>
      <c r="BP607" s="442"/>
      <c r="BQ607" s="442"/>
      <c r="BR607" s="442"/>
      <c r="BS607" s="442"/>
      <c r="BT607" s="3236"/>
      <c r="BU607" s="3409"/>
      <c r="BV607" s="3298"/>
      <c r="BW607" s="3298"/>
      <c r="BX607" s="3298"/>
      <c r="BY607" s="3236"/>
      <c r="BZ607" s="441"/>
      <c r="CA607" s="441"/>
      <c r="CB607" s="441"/>
      <c r="CC607" s="441"/>
      <c r="CD607" s="441"/>
      <c r="CE607" s="441"/>
      <c r="CF607" s="441"/>
      <c r="CG607" s="331"/>
      <c r="CH607" s="331"/>
      <c r="CI607" s="331"/>
      <c r="CJ607" s="331"/>
      <c r="CK607" s="331"/>
      <c r="CL607" s="520"/>
      <c r="CM607" s="442"/>
      <c r="CN607" s="442"/>
      <c r="CO607" s="442"/>
      <c r="CP607" s="442"/>
      <c r="CQ607" s="442"/>
      <c r="CR607" s="442"/>
      <c r="CS607" s="442"/>
      <c r="CT607" s="442"/>
      <c r="CU607" s="442"/>
      <c r="CV607" s="442"/>
      <c r="CW607" s="442"/>
      <c r="CX607" s="442"/>
      <c r="CY607" s="442"/>
      <c r="CZ607" s="442"/>
      <c r="DA607" s="442"/>
      <c r="DB607" s="442"/>
      <c r="DC607" s="1312"/>
      <c r="DD607" s="331"/>
      <c r="DE607" s="331"/>
      <c r="DF607" s="502"/>
      <c r="DG607" s="503"/>
      <c r="DH607" s="3298"/>
      <c r="DI607" s="3213"/>
      <c r="DJ607" s="502"/>
      <c r="DK607" s="503"/>
      <c r="DL607" s="502"/>
      <c r="DM607" s="502"/>
      <c r="DN607" s="502"/>
      <c r="DO607" s="502"/>
      <c r="DP607" s="503"/>
      <c r="DQ607" s="503"/>
      <c r="DR607" s="296"/>
      <c r="DS607" s="296"/>
      <c r="DT607" s="296"/>
    </row>
    <row r="608" spans="1:124" ht="12" customHeight="1" x14ac:dyDescent="0.25">
      <c r="A608" s="462" t="s">
        <v>2506</v>
      </c>
      <c r="B608" s="409"/>
      <c r="C608" s="433" t="str">
        <f t="shared" ref="C608:AH608" si="1417">C$6</f>
        <v>1Q04</v>
      </c>
      <c r="D608" s="433" t="str">
        <f t="shared" si="1417"/>
        <v>2Q04</v>
      </c>
      <c r="E608" s="433" t="str">
        <f t="shared" si="1417"/>
        <v>3Q04</v>
      </c>
      <c r="F608" s="433" t="str">
        <f t="shared" si="1417"/>
        <v>4Q04</v>
      </c>
      <c r="G608" s="434">
        <f t="shared" si="1417"/>
        <v>2004</v>
      </c>
      <c r="H608" s="433" t="str">
        <f t="shared" si="1417"/>
        <v>1Q05</v>
      </c>
      <c r="I608" s="433" t="str">
        <f t="shared" si="1417"/>
        <v>2Q05</v>
      </c>
      <c r="J608" s="433" t="str">
        <f t="shared" si="1417"/>
        <v>3Q05</v>
      </c>
      <c r="K608" s="433" t="str">
        <f t="shared" si="1417"/>
        <v>4Q05</v>
      </c>
      <c r="L608" s="434">
        <f t="shared" si="1417"/>
        <v>2005</v>
      </c>
      <c r="M608" s="433" t="str">
        <f t="shared" si="1417"/>
        <v>1Q06</v>
      </c>
      <c r="N608" s="433" t="str">
        <f t="shared" si="1417"/>
        <v>2Q06</v>
      </c>
      <c r="O608" s="433" t="str">
        <f t="shared" si="1417"/>
        <v>3Q06</v>
      </c>
      <c r="P608" s="433" t="str">
        <f t="shared" si="1417"/>
        <v>4Q06</v>
      </c>
      <c r="Q608" s="434">
        <f t="shared" si="1417"/>
        <v>2006</v>
      </c>
      <c r="R608" s="433" t="str">
        <f t="shared" si="1417"/>
        <v>1Q07</v>
      </c>
      <c r="S608" s="433" t="str">
        <f t="shared" si="1417"/>
        <v>2Q07</v>
      </c>
      <c r="T608" s="433" t="str">
        <f t="shared" si="1417"/>
        <v>3Q07</v>
      </c>
      <c r="U608" s="433" t="str">
        <f t="shared" si="1417"/>
        <v>4Q07</v>
      </c>
      <c r="V608" s="434">
        <f t="shared" si="1417"/>
        <v>2007</v>
      </c>
      <c r="W608" s="433" t="str">
        <f t="shared" si="1417"/>
        <v>1Q08</v>
      </c>
      <c r="X608" s="433" t="str">
        <f t="shared" si="1417"/>
        <v>2Q08</v>
      </c>
      <c r="Y608" s="433" t="str">
        <f t="shared" si="1417"/>
        <v>3Q08</v>
      </c>
      <c r="Z608" s="433" t="str">
        <f t="shared" si="1417"/>
        <v>4Q08</v>
      </c>
      <c r="AA608" s="434">
        <f t="shared" si="1417"/>
        <v>2008</v>
      </c>
      <c r="AB608" s="433" t="str">
        <f t="shared" si="1417"/>
        <v>1Q09</v>
      </c>
      <c r="AC608" s="433" t="str">
        <f t="shared" si="1417"/>
        <v>2Q09</v>
      </c>
      <c r="AD608" s="433" t="str">
        <f t="shared" si="1417"/>
        <v>3Q09</v>
      </c>
      <c r="AE608" s="433" t="str">
        <f t="shared" si="1417"/>
        <v>4Q09</v>
      </c>
      <c r="AF608" s="434">
        <f t="shared" si="1417"/>
        <v>2009</v>
      </c>
      <c r="AG608" s="433" t="str">
        <f t="shared" si="1417"/>
        <v>1Q10</v>
      </c>
      <c r="AH608" s="433" t="str">
        <f t="shared" si="1417"/>
        <v>2Q10</v>
      </c>
      <c r="AI608" s="433" t="str">
        <f t="shared" ref="AI608:CF608" si="1418">AI$6</f>
        <v>3Q10</v>
      </c>
      <c r="AJ608" s="433" t="str">
        <f t="shared" si="1418"/>
        <v>4Q10</v>
      </c>
      <c r="AK608" s="434">
        <f t="shared" si="1418"/>
        <v>2010</v>
      </c>
      <c r="AL608" s="435" t="str">
        <f t="shared" si="1418"/>
        <v>1Q11</v>
      </c>
      <c r="AM608" s="435" t="str">
        <f t="shared" si="1418"/>
        <v>2Q11</v>
      </c>
      <c r="AN608" s="435" t="str">
        <f t="shared" si="1418"/>
        <v>3Q11</v>
      </c>
      <c r="AO608" s="435" t="str">
        <f t="shared" si="1418"/>
        <v>4Q11</v>
      </c>
      <c r="AP608" s="436">
        <f t="shared" si="1418"/>
        <v>2011</v>
      </c>
      <c r="AQ608" s="436" t="str">
        <f t="shared" si="1418"/>
        <v>1Q12</v>
      </c>
      <c r="AR608" s="437" t="str">
        <f t="shared" si="1418"/>
        <v>2Q12</v>
      </c>
      <c r="AS608" s="437" t="str">
        <f t="shared" si="1418"/>
        <v>3Q12</v>
      </c>
      <c r="AT608" s="437" t="str">
        <f t="shared" si="1418"/>
        <v>4Q12</v>
      </c>
      <c r="AU608" s="438">
        <f t="shared" si="1418"/>
        <v>2012</v>
      </c>
      <c r="AV608" s="436" t="str">
        <f t="shared" si="1418"/>
        <v>1Q13</v>
      </c>
      <c r="AW608" s="437" t="str">
        <f t="shared" si="1418"/>
        <v>2Q13</v>
      </c>
      <c r="AX608" s="437" t="str">
        <f t="shared" si="1418"/>
        <v>3Q13</v>
      </c>
      <c r="AY608" s="861" t="str">
        <f t="shared" si="1418"/>
        <v>4Q13</v>
      </c>
      <c r="AZ608" s="438">
        <f t="shared" si="1418"/>
        <v>2013</v>
      </c>
      <c r="BA608" s="436" t="str">
        <f t="shared" si="1418"/>
        <v>1Q14</v>
      </c>
      <c r="BB608" s="437" t="str">
        <f t="shared" si="1418"/>
        <v>2Q14</v>
      </c>
      <c r="BC608" s="437" t="str">
        <f t="shared" si="1418"/>
        <v>3Q14</v>
      </c>
      <c r="BD608" s="861" t="str">
        <f t="shared" si="1418"/>
        <v>4Q14</v>
      </c>
      <c r="BE608" s="861">
        <f t="shared" si="1418"/>
        <v>2014</v>
      </c>
      <c r="BF608" s="437" t="str">
        <f t="shared" si="1418"/>
        <v>1Q15</v>
      </c>
      <c r="BG608" s="437" t="str">
        <f t="shared" si="1418"/>
        <v>2Q15</v>
      </c>
      <c r="BH608" s="437" t="str">
        <f t="shared" si="1418"/>
        <v>3Q15</v>
      </c>
      <c r="BI608" s="861" t="str">
        <f t="shared" si="1418"/>
        <v>4Q15</v>
      </c>
      <c r="BJ608" s="861">
        <f t="shared" si="1418"/>
        <v>2015</v>
      </c>
      <c r="BK608" s="437" t="str">
        <f t="shared" si="1418"/>
        <v>1Q16</v>
      </c>
      <c r="BL608" s="437" t="str">
        <f t="shared" si="1418"/>
        <v>2Q16</v>
      </c>
      <c r="BM608" s="437" t="str">
        <f t="shared" si="1418"/>
        <v>3Q16</v>
      </c>
      <c r="BN608" s="861" t="str">
        <f t="shared" si="1418"/>
        <v>4Q16</v>
      </c>
      <c r="BO608" s="861">
        <f t="shared" si="1418"/>
        <v>2016</v>
      </c>
      <c r="BP608" s="437" t="str">
        <f t="shared" si="1418"/>
        <v>1Q17</v>
      </c>
      <c r="BQ608" s="437" t="str">
        <f t="shared" si="1418"/>
        <v>2Q17</v>
      </c>
      <c r="BR608" s="437" t="str">
        <f t="shared" si="1418"/>
        <v>3Q17</v>
      </c>
      <c r="BS608" s="437" t="str">
        <f t="shared" si="1418"/>
        <v>4Q17</v>
      </c>
      <c r="BT608" s="438">
        <f t="shared" si="1418"/>
        <v>2017</v>
      </c>
      <c r="BU608" s="437" t="str">
        <f t="shared" si="1418"/>
        <v>1Q18E</v>
      </c>
      <c r="BV608" s="437" t="str">
        <f t="shared" si="1418"/>
        <v>2Q18E</v>
      </c>
      <c r="BW608" s="437" t="str">
        <f t="shared" si="1418"/>
        <v>3Q18E</v>
      </c>
      <c r="BX608" s="437" t="str">
        <f t="shared" si="1418"/>
        <v>4Q18E</v>
      </c>
      <c r="BY608" s="438" t="str">
        <f t="shared" si="1418"/>
        <v>2018E</v>
      </c>
      <c r="BZ608" s="438" t="str">
        <f t="shared" si="1418"/>
        <v>2019E</v>
      </c>
      <c r="CA608" s="438" t="str">
        <f t="shared" si="1418"/>
        <v>2020E</v>
      </c>
      <c r="CB608" s="438" t="str">
        <f t="shared" si="1418"/>
        <v>2021E</v>
      </c>
      <c r="CC608" s="438" t="str">
        <f t="shared" si="1418"/>
        <v>2022E</v>
      </c>
      <c r="CD608" s="438" t="str">
        <f t="shared" si="1418"/>
        <v>2023E</v>
      </c>
      <c r="CE608" s="438" t="str">
        <f t="shared" si="1418"/>
        <v>2024E</v>
      </c>
      <c r="CF608" s="438" t="str">
        <f t="shared" si="1418"/>
        <v>2025E</v>
      </c>
      <c r="CG608" s="331"/>
      <c r="CH608" s="331"/>
      <c r="CI608" s="331"/>
      <c r="CJ608" s="331"/>
      <c r="CK608" s="331"/>
      <c r="CL608" s="2225" t="str">
        <f>A608</f>
        <v>South/West</v>
      </c>
      <c r="CM608" s="2199">
        <f>G608</f>
        <v>2004</v>
      </c>
      <c r="CN608" s="2199">
        <f>L608</f>
        <v>2005</v>
      </c>
      <c r="CO608" s="2199">
        <f>Q608</f>
        <v>2006</v>
      </c>
      <c r="CP608" s="2199">
        <f>V608</f>
        <v>2007</v>
      </c>
      <c r="CQ608" s="2199">
        <f>AA608</f>
        <v>2008</v>
      </c>
      <c r="CR608" s="2199">
        <f>AF608</f>
        <v>2009</v>
      </c>
      <c r="CS608" s="2199">
        <f>AK608</f>
        <v>2010</v>
      </c>
      <c r="CT608" s="2199">
        <f>AP608</f>
        <v>2011</v>
      </c>
      <c r="CU608" s="2199">
        <f>AU608</f>
        <v>2012</v>
      </c>
      <c r="CV608" s="2199">
        <f>AZ608</f>
        <v>2013</v>
      </c>
      <c r="CW608" s="2199">
        <f>BE608</f>
        <v>2014</v>
      </c>
      <c r="CX608" s="2199">
        <f>BJ608</f>
        <v>2015</v>
      </c>
      <c r="CY608" s="2199">
        <f>BO608</f>
        <v>2016</v>
      </c>
      <c r="CZ608" s="2199">
        <f>BT608</f>
        <v>2017</v>
      </c>
      <c r="DA608" s="2199" t="str">
        <f>BY608</f>
        <v>2018E</v>
      </c>
      <c r="DB608" s="2199" t="str">
        <f>BZ608</f>
        <v>2019E</v>
      </c>
      <c r="DC608" s="2200" t="str">
        <f>CA608</f>
        <v>2020E</v>
      </c>
      <c r="DD608" s="331"/>
      <c r="DE608" s="331"/>
      <c r="DF608" s="502"/>
      <c r="DG608" s="503"/>
      <c r="DH608" s="537"/>
      <c r="DI608" s="3213"/>
      <c r="DJ608" s="502"/>
      <c r="DK608" s="503"/>
      <c r="DL608" s="502"/>
      <c r="DM608" s="502"/>
      <c r="DN608" s="502"/>
      <c r="DO608" s="502"/>
      <c r="DP608" s="503"/>
      <c r="DQ608" s="503"/>
      <c r="DR608" s="296"/>
      <c r="DS608" s="296"/>
      <c r="DT608" s="296"/>
    </row>
    <row r="609" spans="1:124" ht="12" customHeight="1" x14ac:dyDescent="0.25">
      <c r="A609" s="281"/>
      <c r="B609" s="281"/>
      <c r="C609" s="305"/>
      <c r="D609" s="305"/>
      <c r="E609" s="305"/>
      <c r="F609" s="305"/>
      <c r="G609" s="440"/>
      <c r="H609" s="305"/>
      <c r="I609" s="305"/>
      <c r="J609" s="305"/>
      <c r="K609" s="305"/>
      <c r="L609" s="440"/>
      <c r="M609" s="305"/>
      <c r="N609" s="305"/>
      <c r="O609" s="305"/>
      <c r="P609" s="305"/>
      <c r="Q609" s="440"/>
      <c r="R609" s="305"/>
      <c r="S609" s="305"/>
      <c r="T609" s="305"/>
      <c r="U609" s="305"/>
      <c r="V609" s="440"/>
      <c r="W609" s="305"/>
      <c r="X609" s="305"/>
      <c r="Y609" s="305"/>
      <c r="Z609" s="305"/>
      <c r="AA609" s="440"/>
      <c r="AB609" s="305"/>
      <c r="AC609" s="305"/>
      <c r="AD609" s="305"/>
      <c r="AE609" s="331"/>
      <c r="AF609" s="441"/>
      <c r="AG609" s="331"/>
      <c r="AH609" s="331"/>
      <c r="AI609" s="331"/>
      <c r="AJ609" s="331"/>
      <c r="AK609" s="441"/>
      <c r="AL609" s="442"/>
      <c r="AM609" s="442"/>
      <c r="AN609" s="442"/>
      <c r="AO609" s="442"/>
      <c r="AP609" s="443"/>
      <c r="AQ609" s="443"/>
      <c r="AR609" s="331"/>
      <c r="AS609" s="331"/>
      <c r="AT609" s="331"/>
      <c r="AU609" s="349"/>
      <c r="AV609" s="443"/>
      <c r="AW609" s="331"/>
      <c r="AX609" s="331"/>
      <c r="AY609" s="1306"/>
      <c r="AZ609" s="349"/>
      <c r="BA609" s="443"/>
      <c r="BB609" s="331"/>
      <c r="BC609" s="331"/>
      <c r="BD609" s="1306"/>
      <c r="BE609" s="1306"/>
      <c r="BF609" s="331"/>
      <c r="BG609" s="331"/>
      <c r="BH609" s="331"/>
      <c r="BI609" s="1306"/>
      <c r="BJ609" s="1306"/>
      <c r="BK609" s="331"/>
      <c r="BL609" s="331"/>
      <c r="BM609" s="331"/>
      <c r="BN609" s="1306"/>
      <c r="BO609" s="1306"/>
      <c r="BP609" s="331"/>
      <c r="BQ609" s="331"/>
      <c r="BR609" s="331"/>
      <c r="BS609" s="331"/>
      <c r="BT609" s="3222"/>
      <c r="BU609" s="3393"/>
      <c r="BV609" s="2601"/>
      <c r="BW609" s="2601"/>
      <c r="BX609" s="2601"/>
      <c r="BY609" s="3222"/>
      <c r="BZ609" s="349"/>
      <c r="CA609" s="349"/>
      <c r="CB609" s="349"/>
      <c r="CC609" s="349"/>
      <c r="CD609" s="349"/>
      <c r="CE609" s="349"/>
      <c r="CF609" s="349"/>
      <c r="CG609" s="331"/>
      <c r="CH609" s="331"/>
      <c r="CI609" s="331"/>
      <c r="CJ609" s="331"/>
      <c r="CK609" s="331"/>
      <c r="CL609" s="520"/>
      <c r="CM609" s="331"/>
      <c r="CN609" s="331"/>
      <c r="CO609" s="331"/>
      <c r="CP609" s="331"/>
      <c r="CQ609" s="331"/>
      <c r="CR609" s="331"/>
      <c r="CS609" s="331"/>
      <c r="CT609" s="331"/>
      <c r="CU609" s="331"/>
      <c r="CV609" s="331"/>
      <c r="CW609" s="331"/>
      <c r="CX609" s="331"/>
      <c r="CY609" s="331"/>
      <c r="CZ609" s="331"/>
      <c r="DA609" s="331"/>
      <c r="DB609" s="331"/>
      <c r="DC609" s="1306"/>
      <c r="DD609" s="331"/>
      <c r="DE609" s="331"/>
      <c r="DF609" s="502"/>
      <c r="DG609" s="503"/>
      <c r="DH609" s="2601"/>
      <c r="DI609" s="3213"/>
      <c r="DJ609" s="502"/>
      <c r="DK609" s="503"/>
      <c r="DL609" s="502"/>
      <c r="DM609" s="502"/>
      <c r="DN609" s="502"/>
      <c r="DO609" s="502"/>
      <c r="DP609" s="503"/>
      <c r="DQ609" s="503"/>
      <c r="DR609" s="296"/>
      <c r="DS609" s="296"/>
      <c r="DT609" s="296"/>
    </row>
    <row r="610" spans="1:124" ht="12" customHeight="1" x14ac:dyDescent="0.25">
      <c r="A610" s="2125" t="s">
        <v>205</v>
      </c>
      <c r="B610" s="428"/>
      <c r="C610" s="502"/>
      <c r="D610" s="502"/>
      <c r="E610" s="502"/>
      <c r="F610" s="502"/>
      <c r="G610" s="534"/>
      <c r="H610" s="502"/>
      <c r="I610" s="502"/>
      <c r="J610" s="502"/>
      <c r="K610" s="502"/>
      <c r="L610" s="534"/>
      <c r="M610" s="502"/>
      <c r="N610" s="502"/>
      <c r="O610" s="502"/>
      <c r="P610" s="502"/>
      <c r="Q610" s="534"/>
      <c r="R610" s="502"/>
      <c r="S610" s="502"/>
      <c r="T610" s="502"/>
      <c r="U610" s="502"/>
      <c r="V610" s="534"/>
      <c r="W610" s="502"/>
      <c r="X610" s="502"/>
      <c r="Y610" s="502"/>
      <c r="Z610" s="502"/>
      <c r="AA610" s="534"/>
      <c r="AB610" s="502"/>
      <c r="AC610" s="502"/>
      <c r="AD610" s="502"/>
      <c r="AE610" s="502"/>
      <c r="AF610" s="534"/>
      <c r="AG610" s="502"/>
      <c r="AH610" s="502"/>
      <c r="AI610" s="502"/>
      <c r="AJ610" s="502"/>
      <c r="AK610" s="534"/>
      <c r="AL610" s="503"/>
      <c r="AM610" s="503"/>
      <c r="AN610" s="503"/>
      <c r="AO610" s="503"/>
      <c r="AP610" s="535"/>
      <c r="AQ610" s="535"/>
      <c r="AR610" s="537"/>
      <c r="AS610" s="537"/>
      <c r="AT610" s="537"/>
      <c r="AU610" s="536"/>
      <c r="AV610" s="535"/>
      <c r="AW610" s="537"/>
      <c r="AX610" s="537"/>
      <c r="AY610" s="1926"/>
      <c r="AZ610" s="536"/>
      <c r="BA610" s="535"/>
      <c r="BB610" s="537"/>
      <c r="BC610" s="537"/>
      <c r="BD610" s="1926"/>
      <c r="BE610" s="1926"/>
      <c r="BF610" s="537"/>
      <c r="BG610" s="537"/>
      <c r="BH610" s="537"/>
      <c r="BI610" s="1926"/>
      <c r="BJ610" s="1926"/>
      <c r="BK610" s="537"/>
      <c r="BL610" s="537"/>
      <c r="BM610" s="537"/>
      <c r="BN610" s="3321"/>
      <c r="BO610" s="1926"/>
      <c r="BP610" s="537"/>
      <c r="BQ610" s="537"/>
      <c r="BR610" s="537"/>
      <c r="BS610" s="537"/>
      <c r="BT610" s="536"/>
      <c r="BU610" s="535"/>
      <c r="BV610" s="537"/>
      <c r="BW610" s="537"/>
      <c r="BX610" s="537"/>
      <c r="BY610" s="536"/>
      <c r="BZ610" s="536"/>
      <c r="CA610" s="536"/>
      <c r="CB610" s="536"/>
      <c r="CC610" s="536"/>
      <c r="CD610" s="536"/>
      <c r="CE610" s="536"/>
      <c r="CF610" s="536"/>
      <c r="CG610" s="331"/>
      <c r="CH610" s="331"/>
      <c r="CI610" s="331"/>
      <c r="CJ610" s="331"/>
      <c r="CK610" s="331"/>
      <c r="CL610" s="2036" t="str">
        <f t="shared" ref="CL610:CL616" si="1419">A610</f>
        <v>Zia Park Casino (NM)</v>
      </c>
      <c r="CM610" s="537">
        <f>G610</f>
        <v>0</v>
      </c>
      <c r="CN610" s="537">
        <f>L610</f>
        <v>0</v>
      </c>
      <c r="CO610" s="537">
        <f>Q610</f>
        <v>0</v>
      </c>
      <c r="CP610" s="537">
        <f t="shared" ref="CP610:CP616" si="1420">V610</f>
        <v>0</v>
      </c>
      <c r="CQ610" s="537">
        <f t="shared" ref="CQ610:CQ616" si="1421">AA610</f>
        <v>0</v>
      </c>
      <c r="CR610" s="537">
        <f t="shared" ref="CR610:CR616" si="1422">AF610</f>
        <v>0</v>
      </c>
      <c r="CS610" s="537">
        <f t="shared" ref="CS610:CS616" si="1423">AK610</f>
        <v>0</v>
      </c>
      <c r="CT610" s="537">
        <f t="shared" ref="CT610:CT616" si="1424">AP610</f>
        <v>0</v>
      </c>
      <c r="CU610" s="537">
        <f t="shared" ref="CU610:CU616" si="1425">AU610</f>
        <v>0</v>
      </c>
      <c r="CV610" s="537">
        <f t="shared" ref="CV610:CV616" si="1426">AZ610</f>
        <v>0</v>
      </c>
      <c r="CW610" s="537">
        <f t="shared" ref="CW610:CW616" si="1427">BE610</f>
        <v>0</v>
      </c>
      <c r="CX610" s="537">
        <f t="shared" ref="CX610:CX616" si="1428">BJ610</f>
        <v>0</v>
      </c>
      <c r="CY610" s="537">
        <f t="shared" ref="CY610:CY616" si="1429">BO610</f>
        <v>0</v>
      </c>
      <c r="CZ610" s="537">
        <f t="shared" ref="CZ610:CZ616" si="1430">BT610</f>
        <v>0</v>
      </c>
      <c r="DA610" s="537">
        <f t="shared" ref="DA610:DC616" si="1431">BY610</f>
        <v>0</v>
      </c>
      <c r="DB610" s="537">
        <f t="shared" si="1431"/>
        <v>0</v>
      </c>
      <c r="DC610" s="1926">
        <f t="shared" si="1431"/>
        <v>0</v>
      </c>
      <c r="DD610" s="331"/>
      <c r="DE610" s="331"/>
      <c r="DF610" s="502"/>
      <c r="DG610" s="503"/>
      <c r="DH610" s="537"/>
      <c r="DI610" s="3213"/>
      <c r="DJ610" s="502"/>
      <c r="DK610" s="503"/>
      <c r="DL610" s="502"/>
      <c r="DM610" s="502"/>
      <c r="DN610" s="502"/>
      <c r="DO610" s="502"/>
      <c r="DP610" s="503"/>
      <c r="DQ610" s="503"/>
      <c r="DR610" s="428"/>
      <c r="DS610" s="428"/>
      <c r="DT610" s="428"/>
    </row>
    <row r="611" spans="1:124" ht="12" customHeight="1" x14ac:dyDescent="0.25">
      <c r="A611" s="281" t="s">
        <v>894</v>
      </c>
      <c r="B611" s="281"/>
      <c r="C611" s="305"/>
      <c r="D611" s="305"/>
      <c r="E611" s="305"/>
      <c r="F611" s="305"/>
      <c r="G611" s="345"/>
      <c r="H611" s="305"/>
      <c r="I611" s="305"/>
      <c r="J611" s="305"/>
      <c r="K611" s="305"/>
      <c r="L611" s="345"/>
      <c r="M611" s="305"/>
      <c r="N611" s="305"/>
      <c r="O611" s="305"/>
      <c r="P611" s="305"/>
      <c r="Q611" s="345"/>
      <c r="R611" s="305"/>
      <c r="S611" s="305">
        <f>S612+(S613*S$320)</f>
        <v>750</v>
      </c>
      <c r="T611" s="305">
        <f>T612+(T613*T$320)</f>
        <v>750</v>
      </c>
      <c r="U611" s="305">
        <f>U612+(U613*U$320)</f>
        <v>748</v>
      </c>
      <c r="V611" s="345">
        <f>U611</f>
        <v>748</v>
      </c>
      <c r="W611" s="305">
        <f>W612+(W613*W$320)</f>
        <v>748</v>
      </c>
      <c r="X611" s="305">
        <f>X612+(X613*X$320)</f>
        <v>748</v>
      </c>
      <c r="Y611" s="305">
        <f>Y612+(Y613*Y$320)</f>
        <v>748</v>
      </c>
      <c r="Z611" s="305">
        <f>Z612+(Z613*Z$320)</f>
        <v>750</v>
      </c>
      <c r="AA611" s="345">
        <f>Z611</f>
        <v>750</v>
      </c>
      <c r="AB611" s="305">
        <f>AB612+(AB613*AB$320)</f>
        <v>750</v>
      </c>
      <c r="AC611" s="305">
        <f>AC612+(AC613*AC$320)</f>
        <v>750</v>
      </c>
      <c r="AD611" s="305">
        <f>AD612+(AD613*AD$320)</f>
        <v>750</v>
      </c>
      <c r="AE611" s="331">
        <f>AE612+(AE613*AE$320)</f>
        <v>750</v>
      </c>
      <c r="AF611" s="348">
        <f>AE611</f>
        <v>750</v>
      </c>
      <c r="AG611" s="305">
        <f>AG612+(AG613*AG$320)</f>
        <v>750</v>
      </c>
      <c r="AH611" s="305">
        <f>AH612+(AH613*AH$320)</f>
        <v>750</v>
      </c>
      <c r="AI611" s="305">
        <f>AI612+(AI613*AI$320)</f>
        <v>750</v>
      </c>
      <c r="AJ611" s="331">
        <f>AJ612+(AJ613*AJ$320)</f>
        <v>750</v>
      </c>
      <c r="AK611" s="348">
        <f>AJ611</f>
        <v>750</v>
      </c>
      <c r="AL611" s="305">
        <f>AL612+(AL613*AL$320)</f>
        <v>750</v>
      </c>
      <c r="AM611" s="305">
        <f>AM612+(AM613*AM$320)</f>
        <v>750</v>
      </c>
      <c r="AN611" s="305">
        <f>AN612+(AN613*AN$320)</f>
        <v>750</v>
      </c>
      <c r="AO611" s="331">
        <f>AO612+(AO613*AO$320)</f>
        <v>750</v>
      </c>
      <c r="AP611" s="568">
        <f>AO611</f>
        <v>750</v>
      </c>
      <c r="AQ611" s="568">
        <f>AQ612+(AQ613*AQ$320)</f>
        <v>750</v>
      </c>
      <c r="AR611" s="330">
        <f>AR612+(AR613*AR$320)</f>
        <v>750</v>
      </c>
      <c r="AS611" s="330">
        <f>AS612+(AS613*AS$320)</f>
        <v>750</v>
      </c>
      <c r="AT611" s="330">
        <f>AT612+(AT613*AT$320)</f>
        <v>750</v>
      </c>
      <c r="AU611" s="1692">
        <f>AT611</f>
        <v>750</v>
      </c>
      <c r="AV611" s="1912">
        <f>AV612+(AV613*AV$320)</f>
        <v>750</v>
      </c>
      <c r="AW611" s="1839">
        <f>AW612+(AW613*AW$320)</f>
        <v>750</v>
      </c>
      <c r="AX611" s="1839">
        <f>AX612+(AX613*AX$320)</f>
        <v>750</v>
      </c>
      <c r="AY611" s="1906">
        <f>AY612+(AY613*AY$320)</f>
        <v>750</v>
      </c>
      <c r="AZ611" s="1692">
        <f>AY611</f>
        <v>750</v>
      </c>
      <c r="BA611" s="1912">
        <f>BA612+(BA613*BA$320)</f>
        <v>750</v>
      </c>
      <c r="BB611" s="1839">
        <f>BB612+(BB613*BB$320)</f>
        <v>750</v>
      </c>
      <c r="BC611" s="1839">
        <f>BC612+(BC613*BC$320)</f>
        <v>750</v>
      </c>
      <c r="BD611" s="1906">
        <f>BD612+(BD613*BD$320)</f>
        <v>750</v>
      </c>
      <c r="BE611" s="1906">
        <f>BD611</f>
        <v>750</v>
      </c>
      <c r="BF611" s="1839">
        <f>BF612+(BF613*BF$320)</f>
        <v>750</v>
      </c>
      <c r="BG611" s="1839">
        <f>BG612+(BG613*BG$320)</f>
        <v>750</v>
      </c>
      <c r="BH611" s="1839">
        <f>BH612+(BH613*BH$320)</f>
        <v>750</v>
      </c>
      <c r="BI611" s="1906">
        <f>BI612+(BI613*BI$320)</f>
        <v>750</v>
      </c>
      <c r="BJ611" s="1906">
        <f>BI611</f>
        <v>750</v>
      </c>
      <c r="BK611" s="1839">
        <f>BK612+(BK613*BK$320)</f>
        <v>750</v>
      </c>
      <c r="BL611" s="1839">
        <f>BL612+(BL613*BL$320)</f>
        <v>750</v>
      </c>
      <c r="BM611" s="1839">
        <f>BM612+(BM613*BM$320)</f>
        <v>750</v>
      </c>
      <c r="BN611" s="1906">
        <f>BN612+(BN613*BN$320)</f>
        <v>750</v>
      </c>
      <c r="BO611" s="1906">
        <f>BN611</f>
        <v>750</v>
      </c>
      <c r="BP611" s="1839">
        <f>BP612+(BP613*BP$320)</f>
        <v>750</v>
      </c>
      <c r="BQ611" s="1839">
        <f>BQ612+(BQ613*BQ$320)</f>
        <v>750</v>
      </c>
      <c r="BR611" s="1839">
        <f>BR612+(BR613*BR$320)</f>
        <v>750</v>
      </c>
      <c r="BS611" s="1839">
        <f>BS612+(BS613*BS$320)</f>
        <v>750</v>
      </c>
      <c r="BT611" s="3234">
        <f>BS611</f>
        <v>750</v>
      </c>
      <c r="BU611" s="1839">
        <f>BU612+(BU613*BU$320)</f>
        <v>750</v>
      </c>
      <c r="BV611" s="1839">
        <f>BV612+(BV613*BV$320)</f>
        <v>750</v>
      </c>
      <c r="BW611" s="1839">
        <f>BW612+(BW613*BW$320)</f>
        <v>750</v>
      </c>
      <c r="BX611" s="1839">
        <f>BX612+(BX613*BX$320)</f>
        <v>750</v>
      </c>
      <c r="BY611" s="3234">
        <f>BX611</f>
        <v>750</v>
      </c>
      <c r="BZ611" s="552">
        <f t="shared" ref="BZ611:CF611" si="1432">BZ612+(BZ613*BZ$320)</f>
        <v>750</v>
      </c>
      <c r="CA611" s="552">
        <f t="shared" si="1432"/>
        <v>750</v>
      </c>
      <c r="CB611" s="552">
        <f t="shared" si="1432"/>
        <v>750</v>
      </c>
      <c r="CC611" s="552">
        <f t="shared" si="1432"/>
        <v>750</v>
      </c>
      <c r="CD611" s="552">
        <f t="shared" si="1432"/>
        <v>750</v>
      </c>
      <c r="CE611" s="552">
        <f t="shared" si="1432"/>
        <v>750</v>
      </c>
      <c r="CF611" s="552">
        <f t="shared" si="1432"/>
        <v>750</v>
      </c>
      <c r="CG611" s="331"/>
      <c r="CH611" s="331"/>
      <c r="CI611" s="331"/>
      <c r="CJ611" s="331"/>
      <c r="CK611" s="331"/>
      <c r="CL611" s="520" t="str">
        <f t="shared" si="1419"/>
        <v>Positions</v>
      </c>
      <c r="CM611" s="330"/>
      <c r="CN611" s="330"/>
      <c r="CO611" s="330"/>
      <c r="CP611" s="330">
        <f t="shared" si="1420"/>
        <v>748</v>
      </c>
      <c r="CQ611" s="330">
        <f t="shared" si="1421"/>
        <v>750</v>
      </c>
      <c r="CR611" s="330">
        <f t="shared" si="1422"/>
        <v>750</v>
      </c>
      <c r="CS611" s="330">
        <f t="shared" si="1423"/>
        <v>750</v>
      </c>
      <c r="CT611" s="330">
        <f t="shared" si="1424"/>
        <v>750</v>
      </c>
      <c r="CU611" s="330">
        <f t="shared" si="1425"/>
        <v>750</v>
      </c>
      <c r="CV611" s="330">
        <f t="shared" si="1426"/>
        <v>750</v>
      </c>
      <c r="CW611" s="330">
        <f t="shared" si="1427"/>
        <v>750</v>
      </c>
      <c r="CX611" s="330">
        <f t="shared" si="1428"/>
        <v>750</v>
      </c>
      <c r="CY611" s="330">
        <f t="shared" si="1429"/>
        <v>750</v>
      </c>
      <c r="CZ611" s="330">
        <f t="shared" si="1430"/>
        <v>750</v>
      </c>
      <c r="DA611" s="330">
        <f t="shared" si="1431"/>
        <v>750</v>
      </c>
      <c r="DB611" s="330">
        <f t="shared" si="1431"/>
        <v>750</v>
      </c>
      <c r="DC611" s="1888">
        <f t="shared" si="1431"/>
        <v>750</v>
      </c>
      <c r="DD611" s="331"/>
      <c r="DE611" s="331"/>
      <c r="DF611" s="502"/>
      <c r="DG611" s="503"/>
      <c r="DH611" s="3297"/>
      <c r="DI611" s="3213"/>
      <c r="DJ611" s="502"/>
      <c r="DK611" s="503"/>
      <c r="DL611" s="502"/>
      <c r="DM611" s="502"/>
      <c r="DN611" s="502"/>
      <c r="DO611" s="502"/>
      <c r="DP611" s="503"/>
      <c r="DQ611" s="503"/>
      <c r="DR611" s="296"/>
      <c r="DS611" s="296"/>
      <c r="DT611" s="296"/>
    </row>
    <row r="612" spans="1:124" ht="12" customHeight="1" x14ac:dyDescent="0.25">
      <c r="A612" s="281" t="s">
        <v>585</v>
      </c>
      <c r="B612" s="281"/>
      <c r="C612" s="340"/>
      <c r="D612" s="340"/>
      <c r="E612" s="340"/>
      <c r="F612" s="340"/>
      <c r="G612" s="583"/>
      <c r="H612" s="340"/>
      <c r="I612" s="340"/>
      <c r="J612" s="340"/>
      <c r="K612" s="340"/>
      <c r="L612" s="583"/>
      <c r="M612" s="340"/>
      <c r="N612" s="340"/>
      <c r="O612" s="340"/>
      <c r="P612" s="340"/>
      <c r="Q612" s="583"/>
      <c r="R612" s="337"/>
      <c r="S612" s="337">
        <v>750</v>
      </c>
      <c r="T612" s="337">
        <v>750</v>
      </c>
      <c r="U612" s="337">
        <v>748</v>
      </c>
      <c r="V612" s="345">
        <f>U612</f>
        <v>748</v>
      </c>
      <c r="W612" s="337">
        <v>748</v>
      </c>
      <c r="X612" s="337">
        <v>748</v>
      </c>
      <c r="Y612" s="337">
        <v>748</v>
      </c>
      <c r="Z612" s="337">
        <v>750</v>
      </c>
      <c r="AA612" s="345">
        <f>Z612</f>
        <v>750</v>
      </c>
      <c r="AB612" s="338">
        <v>750</v>
      </c>
      <c r="AC612" s="338">
        <v>750</v>
      </c>
      <c r="AD612" s="338">
        <v>750</v>
      </c>
      <c r="AE612" s="338">
        <v>750</v>
      </c>
      <c r="AF612" s="348">
        <f>AE612</f>
        <v>750</v>
      </c>
      <c r="AG612" s="330">
        <f>AE612</f>
        <v>750</v>
      </c>
      <c r="AH612" s="330">
        <f t="shared" ref="AH612:AJ613" si="1433">AG612</f>
        <v>750</v>
      </c>
      <c r="AI612" s="330">
        <f t="shared" si="1433"/>
        <v>750</v>
      </c>
      <c r="AJ612" s="330">
        <f t="shared" si="1433"/>
        <v>750</v>
      </c>
      <c r="AK612" s="348">
        <f>AJ612</f>
        <v>750</v>
      </c>
      <c r="AL612" s="330">
        <f>AJ612</f>
        <v>750</v>
      </c>
      <c r="AM612" s="330">
        <f t="shared" ref="AM612:AT613" si="1434">AK612</f>
        <v>750</v>
      </c>
      <c r="AN612" s="330">
        <f t="shared" si="1434"/>
        <v>750</v>
      </c>
      <c r="AO612" s="330">
        <f t="shared" si="1434"/>
        <v>750</v>
      </c>
      <c r="AP612" s="568">
        <f>AO612</f>
        <v>750</v>
      </c>
      <c r="AQ612" s="568">
        <f t="shared" si="1434"/>
        <v>750</v>
      </c>
      <c r="AR612" s="330">
        <f t="shared" si="1434"/>
        <v>750</v>
      </c>
      <c r="AS612" s="330">
        <f t="shared" si="1434"/>
        <v>750</v>
      </c>
      <c r="AT612" s="330">
        <f t="shared" si="1434"/>
        <v>750</v>
      </c>
      <c r="AU612" s="1692">
        <f>AT612</f>
        <v>750</v>
      </c>
      <c r="AV612" s="1912">
        <f t="shared" ref="AV612:AY613" si="1435">AT612</f>
        <v>750</v>
      </c>
      <c r="AW612" s="1839">
        <f t="shared" si="1435"/>
        <v>750</v>
      </c>
      <c r="AX612" s="1839">
        <f t="shared" si="1435"/>
        <v>750</v>
      </c>
      <c r="AY612" s="1906">
        <f t="shared" si="1435"/>
        <v>750</v>
      </c>
      <c r="AZ612" s="1692">
        <f>AY612</f>
        <v>750</v>
      </c>
      <c r="BA612" s="1912">
        <f t="shared" ref="BA612:BD613" si="1436">AY612</f>
        <v>750</v>
      </c>
      <c r="BB612" s="1839">
        <f>AZ612</f>
        <v>750</v>
      </c>
      <c r="BC612" s="1839">
        <f>BA612</f>
        <v>750</v>
      </c>
      <c r="BD612" s="1906">
        <f t="shared" si="1436"/>
        <v>750</v>
      </c>
      <c r="BE612" s="1906">
        <f>BD612</f>
        <v>750</v>
      </c>
      <c r="BF612" s="1839">
        <f>BD612</f>
        <v>750</v>
      </c>
      <c r="BG612" s="1839">
        <f t="shared" ref="BG612:BI613" si="1437">+BF612</f>
        <v>750</v>
      </c>
      <c r="BH612" s="1839">
        <f t="shared" si="1437"/>
        <v>750</v>
      </c>
      <c r="BI612" s="1906">
        <f t="shared" si="1437"/>
        <v>750</v>
      </c>
      <c r="BJ612" s="1906">
        <f>BI612</f>
        <v>750</v>
      </c>
      <c r="BK612" s="1839">
        <f>BI612</f>
        <v>750</v>
      </c>
      <c r="BL612" s="1839">
        <f>+BK612</f>
        <v>750</v>
      </c>
      <c r="BM612" s="1839">
        <f>BK612</f>
        <v>750</v>
      </c>
      <c r="BN612" s="1906">
        <f>BL612</f>
        <v>750</v>
      </c>
      <c r="BO612" s="1906">
        <f>BN612</f>
        <v>750</v>
      </c>
      <c r="BP612" s="1839">
        <f t="shared" ref="BP612:BS613" si="1438">BN612</f>
        <v>750</v>
      </c>
      <c r="BQ612" s="1839">
        <f t="shared" si="1438"/>
        <v>750</v>
      </c>
      <c r="BR612" s="1839">
        <f t="shared" si="1438"/>
        <v>750</v>
      </c>
      <c r="BS612" s="1839">
        <f t="shared" si="1438"/>
        <v>750</v>
      </c>
      <c r="BT612" s="3234">
        <f>BS612</f>
        <v>750</v>
      </c>
      <c r="BU612" s="1839">
        <f>BS612</f>
        <v>750</v>
      </c>
      <c r="BV612" s="3297">
        <f t="shared" ref="BV612:BX613" si="1439">BU612</f>
        <v>750</v>
      </c>
      <c r="BW612" s="3297">
        <f t="shared" si="1439"/>
        <v>750</v>
      </c>
      <c r="BX612" s="3297">
        <f t="shared" si="1439"/>
        <v>750</v>
      </c>
      <c r="BY612" s="3234">
        <f>BX612</f>
        <v>750</v>
      </c>
      <c r="BZ612" s="552">
        <f>BY612</f>
        <v>750</v>
      </c>
      <c r="CA612" s="552">
        <f>BZ612</f>
        <v>750</v>
      </c>
      <c r="CB612" s="552">
        <f t="shared" ref="CB612:CF613" si="1440">CA612</f>
        <v>750</v>
      </c>
      <c r="CC612" s="552">
        <f t="shared" si="1440"/>
        <v>750</v>
      </c>
      <c r="CD612" s="552">
        <f t="shared" si="1440"/>
        <v>750</v>
      </c>
      <c r="CE612" s="552">
        <f t="shared" si="1440"/>
        <v>750</v>
      </c>
      <c r="CF612" s="552">
        <f t="shared" si="1440"/>
        <v>750</v>
      </c>
      <c r="CG612" s="331"/>
      <c r="CH612" s="331"/>
      <c r="CI612" s="331"/>
      <c r="CJ612" s="331"/>
      <c r="CK612" s="331"/>
      <c r="CL612" s="520" t="str">
        <f t="shared" si="1419"/>
        <v>Slots</v>
      </c>
      <c r="CM612" s="330"/>
      <c r="CN612" s="330"/>
      <c r="CO612" s="330"/>
      <c r="CP612" s="330">
        <f t="shared" si="1420"/>
        <v>748</v>
      </c>
      <c r="CQ612" s="330">
        <f t="shared" si="1421"/>
        <v>750</v>
      </c>
      <c r="CR612" s="330">
        <f t="shared" si="1422"/>
        <v>750</v>
      </c>
      <c r="CS612" s="330">
        <f t="shared" si="1423"/>
        <v>750</v>
      </c>
      <c r="CT612" s="330">
        <f t="shared" si="1424"/>
        <v>750</v>
      </c>
      <c r="CU612" s="330">
        <f t="shared" si="1425"/>
        <v>750</v>
      </c>
      <c r="CV612" s="330">
        <f t="shared" si="1426"/>
        <v>750</v>
      </c>
      <c r="CW612" s="330">
        <f t="shared" si="1427"/>
        <v>750</v>
      </c>
      <c r="CX612" s="330">
        <f t="shared" si="1428"/>
        <v>750</v>
      </c>
      <c r="CY612" s="330">
        <f t="shared" si="1429"/>
        <v>750</v>
      </c>
      <c r="CZ612" s="330">
        <f t="shared" si="1430"/>
        <v>750</v>
      </c>
      <c r="DA612" s="330">
        <f t="shared" si="1431"/>
        <v>750</v>
      </c>
      <c r="DB612" s="330">
        <f t="shared" si="1431"/>
        <v>750</v>
      </c>
      <c r="DC612" s="1888">
        <f t="shared" si="1431"/>
        <v>750</v>
      </c>
      <c r="DD612" s="331"/>
      <c r="DE612" s="331"/>
      <c r="DF612" s="502"/>
      <c r="DG612" s="503"/>
      <c r="DH612" s="3297"/>
      <c r="DI612" s="3213"/>
      <c r="DJ612" s="502"/>
      <c r="DK612" s="503"/>
      <c r="DL612" s="502"/>
      <c r="DM612" s="502"/>
      <c r="DN612" s="502"/>
      <c r="DO612" s="502"/>
      <c r="DP612" s="503"/>
      <c r="DQ612" s="503"/>
      <c r="DR612" s="296"/>
      <c r="DS612" s="296"/>
      <c r="DT612" s="296"/>
    </row>
    <row r="613" spans="1:124" ht="12" customHeight="1" x14ac:dyDescent="0.25">
      <c r="A613" s="281" t="s">
        <v>584</v>
      </c>
      <c r="B613" s="281"/>
      <c r="C613" s="340"/>
      <c r="D613" s="340"/>
      <c r="E613" s="340"/>
      <c r="F613" s="340"/>
      <c r="G613" s="583"/>
      <c r="H613" s="340"/>
      <c r="I613" s="340"/>
      <c r="J613" s="340"/>
      <c r="K613" s="340"/>
      <c r="L613" s="583"/>
      <c r="M613" s="340"/>
      <c r="N613" s="340"/>
      <c r="O613" s="340"/>
      <c r="P613" s="340"/>
      <c r="Q613" s="583"/>
      <c r="R613" s="565"/>
      <c r="S613" s="565">
        <v>0</v>
      </c>
      <c r="T613" s="565">
        <v>0</v>
      </c>
      <c r="U613" s="565">
        <v>0</v>
      </c>
      <c r="V613" s="447">
        <f>U613</f>
        <v>0</v>
      </c>
      <c r="W613" s="565">
        <v>0</v>
      </c>
      <c r="X613" s="565">
        <v>0</v>
      </c>
      <c r="Y613" s="565">
        <v>0</v>
      </c>
      <c r="Z613" s="565">
        <v>0</v>
      </c>
      <c r="AA613" s="447">
        <f>Z613</f>
        <v>0</v>
      </c>
      <c r="AB613" s="563">
        <v>0</v>
      </c>
      <c r="AC613" s="563">
        <v>0</v>
      </c>
      <c r="AD613" s="563">
        <v>0</v>
      </c>
      <c r="AE613" s="563">
        <v>0</v>
      </c>
      <c r="AF613" s="455">
        <f>AE613</f>
        <v>0</v>
      </c>
      <c r="AG613" s="454">
        <f>AE613</f>
        <v>0</v>
      </c>
      <c r="AH613" s="454">
        <f t="shared" si="1433"/>
        <v>0</v>
      </c>
      <c r="AI613" s="454">
        <f t="shared" si="1433"/>
        <v>0</v>
      </c>
      <c r="AJ613" s="454">
        <f t="shared" si="1433"/>
        <v>0</v>
      </c>
      <c r="AK613" s="455">
        <f>AJ613</f>
        <v>0</v>
      </c>
      <c r="AL613" s="454">
        <f>AJ613</f>
        <v>0</v>
      </c>
      <c r="AM613" s="454">
        <f t="shared" si="1434"/>
        <v>0</v>
      </c>
      <c r="AN613" s="454">
        <f t="shared" si="1434"/>
        <v>0</v>
      </c>
      <c r="AO613" s="454">
        <f t="shared" si="1434"/>
        <v>0</v>
      </c>
      <c r="AP613" s="456">
        <f>AO613</f>
        <v>0</v>
      </c>
      <c r="AQ613" s="456">
        <f t="shared" si="1434"/>
        <v>0</v>
      </c>
      <c r="AR613" s="454">
        <f t="shared" si="1434"/>
        <v>0</v>
      </c>
      <c r="AS613" s="454">
        <f t="shared" si="1434"/>
        <v>0</v>
      </c>
      <c r="AT613" s="454">
        <f t="shared" si="1434"/>
        <v>0</v>
      </c>
      <c r="AU613" s="1692">
        <f>AT613</f>
        <v>0</v>
      </c>
      <c r="AV613" s="1912">
        <f t="shared" si="1435"/>
        <v>0</v>
      </c>
      <c r="AW613" s="1839">
        <f t="shared" si="1435"/>
        <v>0</v>
      </c>
      <c r="AX613" s="1839">
        <f t="shared" si="1435"/>
        <v>0</v>
      </c>
      <c r="AY613" s="1906">
        <f t="shared" si="1435"/>
        <v>0</v>
      </c>
      <c r="AZ613" s="1692">
        <f>AY613</f>
        <v>0</v>
      </c>
      <c r="BA613" s="1912">
        <f t="shared" si="1436"/>
        <v>0</v>
      </c>
      <c r="BB613" s="1839">
        <f>AZ613</f>
        <v>0</v>
      </c>
      <c r="BC613" s="1839">
        <f>BA613</f>
        <v>0</v>
      </c>
      <c r="BD613" s="1906">
        <f t="shared" si="1436"/>
        <v>0</v>
      </c>
      <c r="BE613" s="1906">
        <f>BD613</f>
        <v>0</v>
      </c>
      <c r="BF613" s="1839">
        <f>BD613</f>
        <v>0</v>
      </c>
      <c r="BG613" s="1839">
        <f t="shared" si="1437"/>
        <v>0</v>
      </c>
      <c r="BH613" s="1839">
        <f t="shared" si="1437"/>
        <v>0</v>
      </c>
      <c r="BI613" s="1906">
        <f t="shared" si="1437"/>
        <v>0</v>
      </c>
      <c r="BJ613" s="1906">
        <f>BI613</f>
        <v>0</v>
      </c>
      <c r="BK613" s="1839">
        <f>BI613</f>
        <v>0</v>
      </c>
      <c r="BL613" s="1839">
        <f>+BK613</f>
        <v>0</v>
      </c>
      <c r="BM613" s="1839">
        <f>BK613</f>
        <v>0</v>
      </c>
      <c r="BN613" s="1906">
        <f>BL613</f>
        <v>0</v>
      </c>
      <c r="BO613" s="1906">
        <f>BN613</f>
        <v>0</v>
      </c>
      <c r="BP613" s="1839">
        <f t="shared" si="1438"/>
        <v>0</v>
      </c>
      <c r="BQ613" s="1839">
        <f t="shared" si="1438"/>
        <v>0</v>
      </c>
      <c r="BR613" s="1839">
        <f t="shared" si="1438"/>
        <v>0</v>
      </c>
      <c r="BS613" s="1839">
        <f t="shared" si="1438"/>
        <v>0</v>
      </c>
      <c r="BT613" s="3234">
        <f>BS613</f>
        <v>0</v>
      </c>
      <c r="BU613" s="1839">
        <f>BS613</f>
        <v>0</v>
      </c>
      <c r="BV613" s="3297">
        <f t="shared" si="1439"/>
        <v>0</v>
      </c>
      <c r="BW613" s="3297">
        <f t="shared" si="1439"/>
        <v>0</v>
      </c>
      <c r="BX613" s="3297">
        <f t="shared" si="1439"/>
        <v>0</v>
      </c>
      <c r="BY613" s="3234">
        <f>BX613</f>
        <v>0</v>
      </c>
      <c r="BZ613" s="552">
        <f>BY613</f>
        <v>0</v>
      </c>
      <c r="CA613" s="552">
        <f>BZ613</f>
        <v>0</v>
      </c>
      <c r="CB613" s="552">
        <f t="shared" si="1440"/>
        <v>0</v>
      </c>
      <c r="CC613" s="552">
        <f t="shared" si="1440"/>
        <v>0</v>
      </c>
      <c r="CD613" s="552">
        <f t="shared" si="1440"/>
        <v>0</v>
      </c>
      <c r="CE613" s="552">
        <f t="shared" si="1440"/>
        <v>0</v>
      </c>
      <c r="CF613" s="552">
        <f t="shared" si="1440"/>
        <v>0</v>
      </c>
      <c r="CG613" s="331"/>
      <c r="CH613" s="331"/>
      <c r="CI613" s="331"/>
      <c r="CJ613" s="331"/>
      <c r="CK613" s="331"/>
      <c r="CL613" s="520" t="str">
        <f t="shared" si="1419"/>
        <v>Tables</v>
      </c>
      <c r="CM613" s="454"/>
      <c r="CN613" s="454"/>
      <c r="CO613" s="454"/>
      <c r="CP613" s="454">
        <f t="shared" si="1420"/>
        <v>0</v>
      </c>
      <c r="CQ613" s="454">
        <f t="shared" si="1421"/>
        <v>0</v>
      </c>
      <c r="CR613" s="454">
        <f t="shared" si="1422"/>
        <v>0</v>
      </c>
      <c r="CS613" s="454">
        <f t="shared" si="1423"/>
        <v>0</v>
      </c>
      <c r="CT613" s="454">
        <f t="shared" si="1424"/>
        <v>0</v>
      </c>
      <c r="CU613" s="454">
        <f t="shared" si="1425"/>
        <v>0</v>
      </c>
      <c r="CV613" s="454">
        <f t="shared" si="1426"/>
        <v>0</v>
      </c>
      <c r="CW613" s="454">
        <f t="shared" si="1427"/>
        <v>0</v>
      </c>
      <c r="CX613" s="454">
        <f t="shared" si="1428"/>
        <v>0</v>
      </c>
      <c r="CY613" s="454">
        <f t="shared" si="1429"/>
        <v>0</v>
      </c>
      <c r="CZ613" s="454">
        <f t="shared" si="1430"/>
        <v>0</v>
      </c>
      <c r="DA613" s="454">
        <f t="shared" si="1431"/>
        <v>0</v>
      </c>
      <c r="DB613" s="454">
        <f t="shared" si="1431"/>
        <v>0</v>
      </c>
      <c r="DC613" s="1666">
        <f t="shared" si="1431"/>
        <v>0</v>
      </c>
      <c r="DD613" s="331"/>
      <c r="DE613" s="331"/>
      <c r="DF613" s="502"/>
      <c r="DG613" s="503"/>
      <c r="DH613" s="3297"/>
      <c r="DI613" s="3213"/>
      <c r="DJ613" s="502"/>
      <c r="DK613" s="503"/>
      <c r="DL613" s="502"/>
      <c r="DM613" s="502"/>
      <c r="DN613" s="502"/>
      <c r="DO613" s="502"/>
      <c r="DP613" s="503"/>
      <c r="DQ613" s="503"/>
      <c r="DR613" s="296"/>
      <c r="DS613" s="296"/>
      <c r="DT613" s="296"/>
    </row>
    <row r="614" spans="1:124" ht="12" customHeight="1" x14ac:dyDescent="0.25">
      <c r="A614" s="511" t="s">
        <v>2111</v>
      </c>
      <c r="B614" s="281"/>
      <c r="C614" s="340"/>
      <c r="D614" s="305"/>
      <c r="E614" s="305"/>
      <c r="F614" s="305"/>
      <c r="G614" s="345"/>
      <c r="H614" s="305"/>
      <c r="I614" s="305"/>
      <c r="J614" s="305"/>
      <c r="K614" s="305"/>
      <c r="L614" s="345"/>
      <c r="M614" s="305"/>
      <c r="N614" s="305"/>
      <c r="O614" s="305"/>
      <c r="P614" s="305"/>
      <c r="Q614" s="345"/>
      <c r="R614" s="305"/>
      <c r="S614" s="305">
        <f>S611</f>
        <v>750</v>
      </c>
      <c r="T614" s="305">
        <f>AVERAGE(S611:T611)</f>
        <v>750</v>
      </c>
      <c r="U614" s="305">
        <f>AVERAGE(T611:U611)</f>
        <v>749</v>
      </c>
      <c r="V614" s="345">
        <f>AVERAGE(R614:U614)</f>
        <v>749.66666666666663</v>
      </c>
      <c r="W614" s="305">
        <f>AVERAGE(V611:W611)</f>
        <v>748</v>
      </c>
      <c r="X614" s="305">
        <f>AVERAGE(W611:X611)</f>
        <v>748</v>
      </c>
      <c r="Y614" s="305">
        <f>AVERAGE(X611:Y611)</f>
        <v>748</v>
      </c>
      <c r="Z614" s="305">
        <f>AVERAGE(Y611:Z611)</f>
        <v>749</v>
      </c>
      <c r="AA614" s="345">
        <f>AVERAGE(W614:Z614)</f>
        <v>748.25</v>
      </c>
      <c r="AB614" s="305">
        <f>AVERAGE(AA611:AB611)</f>
        <v>750</v>
      </c>
      <c r="AC614" s="305">
        <f>AVERAGE(AB611:AC611)</f>
        <v>750</v>
      </c>
      <c r="AD614" s="305">
        <f>AVERAGE(AC611:AD611)</f>
        <v>750</v>
      </c>
      <c r="AE614" s="331">
        <f>AVERAGE(AD611:AE611)</f>
        <v>750</v>
      </c>
      <c r="AF614" s="348">
        <f>AVERAGE(AB614:AE614)</f>
        <v>750</v>
      </c>
      <c r="AG614" s="305">
        <f>AVERAGE(AF611:AG611)</f>
        <v>750</v>
      </c>
      <c r="AH614" s="305">
        <f>AVERAGE(AG611:AH611)</f>
        <v>750</v>
      </c>
      <c r="AI614" s="305">
        <f>AVERAGE(AH611:AI611)</f>
        <v>750</v>
      </c>
      <c r="AJ614" s="331">
        <f>AVERAGE(AI611:AJ611)</f>
        <v>750</v>
      </c>
      <c r="AK614" s="348">
        <f>AVERAGE(AG614:AJ614)</f>
        <v>750</v>
      </c>
      <c r="AL614" s="305">
        <f>AVERAGE(AK611:AL611)</f>
        <v>750</v>
      </c>
      <c r="AM614" s="305">
        <f>AVERAGE(AL611:AM611)</f>
        <v>750</v>
      </c>
      <c r="AN614" s="305">
        <f>AVERAGE(AM611:AN611)</f>
        <v>750</v>
      </c>
      <c r="AO614" s="331">
        <f>AVERAGE(AN611:AO611)</f>
        <v>750</v>
      </c>
      <c r="AP614" s="568">
        <f>AVERAGE(AL614:AO614)</f>
        <v>750</v>
      </c>
      <c r="AQ614" s="568">
        <f>AVERAGE(AP611:AQ611)</f>
        <v>750</v>
      </c>
      <c r="AR614" s="330">
        <f>AVERAGE(AQ611:AR611)</f>
        <v>750</v>
      </c>
      <c r="AS614" s="330">
        <f>AVERAGE(AR611:AS611)</f>
        <v>750</v>
      </c>
      <c r="AT614" s="330">
        <f>AVERAGE(AS611:AT611)</f>
        <v>750</v>
      </c>
      <c r="AU614" s="1692">
        <f>AVERAGE(AQ614:AT614)</f>
        <v>750</v>
      </c>
      <c r="AV614" s="1912">
        <f>AVERAGE(AU611:AV611)</f>
        <v>750</v>
      </c>
      <c r="AW614" s="1839">
        <f>AVERAGE(AV611:AW611)</f>
        <v>750</v>
      </c>
      <c r="AX614" s="1839">
        <f>AVERAGE(AW611:AX611)</f>
        <v>750</v>
      </c>
      <c r="AY614" s="1906">
        <f>AVERAGE(AX611:AY611)</f>
        <v>750</v>
      </c>
      <c r="AZ614" s="1692">
        <f>AVERAGE(AV614:AY614)</f>
        <v>750</v>
      </c>
      <c r="BA614" s="1912">
        <f>AVERAGE(AZ611:BA611)</f>
        <v>750</v>
      </c>
      <c r="BB614" s="1839">
        <f>AVERAGE(BA611:BB611)</f>
        <v>750</v>
      </c>
      <c r="BC614" s="1839">
        <f>AVERAGE(BB611:BC611)</f>
        <v>750</v>
      </c>
      <c r="BD614" s="1906">
        <f>AVERAGE(BC611:BD611)</f>
        <v>750</v>
      </c>
      <c r="BE614" s="1906">
        <f>AVERAGE(BA614:BD614)</f>
        <v>750</v>
      </c>
      <c r="BF614" s="1839">
        <f>AVERAGE(BE611:BF611)</f>
        <v>750</v>
      </c>
      <c r="BG614" s="1839">
        <f>AVERAGE(BF611:BG611)</f>
        <v>750</v>
      </c>
      <c r="BH614" s="1839">
        <f>AVERAGE(BG611:BH611)</f>
        <v>750</v>
      </c>
      <c r="BI614" s="1906">
        <f>AVERAGE(BH611:BI611)</f>
        <v>750</v>
      </c>
      <c r="BJ614" s="1906">
        <f>AVERAGE(BF614:BI614)</f>
        <v>750</v>
      </c>
      <c r="BK614" s="1839">
        <f>AVERAGE(BJ611:BK611)</f>
        <v>750</v>
      </c>
      <c r="BL614" s="1839">
        <f>AVERAGE(BK611:BL611)</f>
        <v>750</v>
      </c>
      <c r="BM614" s="1839">
        <f>AVERAGE(BL611:BM611)</f>
        <v>750</v>
      </c>
      <c r="BN614" s="1906">
        <f>AVERAGE(BM611:BN611)</f>
        <v>750</v>
      </c>
      <c r="BO614" s="1906">
        <f>AVERAGE(BK614:BN614)</f>
        <v>750</v>
      </c>
      <c r="BP614" s="1839">
        <f>AVERAGE(BO611:BP611)</f>
        <v>750</v>
      </c>
      <c r="BQ614" s="1839">
        <f>AVERAGE(BP611:BQ611)</f>
        <v>750</v>
      </c>
      <c r="BR614" s="1839">
        <f>AVERAGE(BQ611:BR611)</f>
        <v>750</v>
      </c>
      <c r="BS614" s="1839">
        <f>AVERAGE(BR611:BS611)</f>
        <v>750</v>
      </c>
      <c r="BT614" s="3234">
        <f>AVERAGE(BP614:BS614)</f>
        <v>750</v>
      </c>
      <c r="BU614" s="1839">
        <f>AVERAGE(BT611:BU611)</f>
        <v>750</v>
      </c>
      <c r="BV614" s="1839">
        <f>AVERAGE(BU611:BV611)</f>
        <v>750</v>
      </c>
      <c r="BW614" s="1839">
        <f>AVERAGE(BV611:BW611)</f>
        <v>750</v>
      </c>
      <c r="BX614" s="1839">
        <f>AVERAGE(BW611:BX611)</f>
        <v>750</v>
      </c>
      <c r="BY614" s="3234">
        <f>AVERAGE(BU614:BX614)</f>
        <v>750</v>
      </c>
      <c r="BZ614" s="552">
        <f t="shared" ref="BZ614:CF614" si="1441">AVERAGE(BY611:BZ611)</f>
        <v>750</v>
      </c>
      <c r="CA614" s="552">
        <f t="shared" si="1441"/>
        <v>750</v>
      </c>
      <c r="CB614" s="552">
        <f t="shared" si="1441"/>
        <v>750</v>
      </c>
      <c r="CC614" s="552">
        <f t="shared" si="1441"/>
        <v>750</v>
      </c>
      <c r="CD614" s="552">
        <f t="shared" si="1441"/>
        <v>750</v>
      </c>
      <c r="CE614" s="552">
        <f t="shared" si="1441"/>
        <v>750</v>
      </c>
      <c r="CF614" s="552">
        <f t="shared" si="1441"/>
        <v>750</v>
      </c>
      <c r="CG614" s="331"/>
      <c r="CH614" s="331"/>
      <c r="CI614" s="331"/>
      <c r="CJ614" s="331"/>
      <c r="CK614" s="331"/>
      <c r="CL614" s="1118" t="str">
        <f t="shared" si="1419"/>
        <v>Average Positions</v>
      </c>
      <c r="CM614" s="330"/>
      <c r="CN614" s="330"/>
      <c r="CO614" s="330"/>
      <c r="CP614" s="330">
        <f t="shared" si="1420"/>
        <v>749.66666666666663</v>
      </c>
      <c r="CQ614" s="330">
        <f t="shared" si="1421"/>
        <v>748.25</v>
      </c>
      <c r="CR614" s="330">
        <f t="shared" si="1422"/>
        <v>750</v>
      </c>
      <c r="CS614" s="330">
        <f t="shared" si="1423"/>
        <v>750</v>
      </c>
      <c r="CT614" s="330">
        <f t="shared" si="1424"/>
        <v>750</v>
      </c>
      <c r="CU614" s="330">
        <f t="shared" si="1425"/>
        <v>750</v>
      </c>
      <c r="CV614" s="330">
        <f t="shared" si="1426"/>
        <v>750</v>
      </c>
      <c r="CW614" s="330">
        <f t="shared" si="1427"/>
        <v>750</v>
      </c>
      <c r="CX614" s="330">
        <f t="shared" si="1428"/>
        <v>750</v>
      </c>
      <c r="CY614" s="330">
        <f t="shared" si="1429"/>
        <v>750</v>
      </c>
      <c r="CZ614" s="330">
        <f t="shared" si="1430"/>
        <v>750</v>
      </c>
      <c r="DA614" s="330">
        <f t="shared" si="1431"/>
        <v>750</v>
      </c>
      <c r="DB614" s="330">
        <f t="shared" si="1431"/>
        <v>750</v>
      </c>
      <c r="DC614" s="1888">
        <f t="shared" si="1431"/>
        <v>750</v>
      </c>
      <c r="DD614" s="331"/>
      <c r="DE614" s="331"/>
      <c r="DF614" s="502"/>
      <c r="DG614" s="503"/>
      <c r="DH614" s="3297"/>
      <c r="DI614" s="3213"/>
      <c r="DJ614" s="502"/>
      <c r="DK614" s="503"/>
      <c r="DL614" s="502"/>
      <c r="DM614" s="502"/>
      <c r="DN614" s="502"/>
      <c r="DO614" s="502"/>
      <c r="DP614" s="503"/>
      <c r="DQ614" s="503"/>
      <c r="DR614" s="296"/>
      <c r="DS614" s="296"/>
      <c r="DT614" s="296"/>
    </row>
    <row r="615" spans="1:124" ht="12" customHeight="1" x14ac:dyDescent="0.25">
      <c r="A615" s="557" t="s">
        <v>901</v>
      </c>
      <c r="B615" s="558"/>
      <c r="C615" s="318"/>
      <c r="D615" s="318"/>
      <c r="E615" s="318"/>
      <c r="F615" s="318"/>
      <c r="G615" s="559"/>
      <c r="H615" s="318"/>
      <c r="I615" s="318"/>
      <c r="J615" s="318"/>
      <c r="K615" s="318"/>
      <c r="L615" s="559"/>
      <c r="M615" s="318"/>
      <c r="N615" s="318"/>
      <c r="O615" s="318"/>
      <c r="P615" s="318"/>
      <c r="Q615" s="559"/>
      <c r="R615" s="318"/>
      <c r="S615" s="318">
        <f t="shared" ref="S615:BE615" si="1442">S618*1000000/S614/S$5</f>
        <v>247.80952380952382</v>
      </c>
      <c r="T615" s="318">
        <f t="shared" si="1442"/>
        <v>295.17391304347825</v>
      </c>
      <c r="U615" s="318">
        <f t="shared" si="1442"/>
        <v>308.99169907703026</v>
      </c>
      <c r="V615" s="559">
        <f t="shared" si="1442"/>
        <v>214.05678018236418</v>
      </c>
      <c r="W615" s="318">
        <f t="shared" si="1442"/>
        <v>321.95745431039546</v>
      </c>
      <c r="X615" s="318">
        <f t="shared" si="1442"/>
        <v>315.72838925780098</v>
      </c>
      <c r="Y615" s="318">
        <f t="shared" si="1442"/>
        <v>334.35538246919322</v>
      </c>
      <c r="Z615" s="318">
        <f t="shared" si="1442"/>
        <v>345.96853776049227</v>
      </c>
      <c r="AA615" s="559">
        <f t="shared" si="1442"/>
        <v>329.56680341562003</v>
      </c>
      <c r="AB615" s="318">
        <f t="shared" si="1442"/>
        <v>331.05185185185189</v>
      </c>
      <c r="AC615" s="318">
        <f t="shared" si="1442"/>
        <v>289.80219780219778</v>
      </c>
      <c r="AD615" s="318">
        <f t="shared" si="1442"/>
        <v>287.82608695652175</v>
      </c>
      <c r="AE615" s="560">
        <f t="shared" si="1442"/>
        <v>286.3478260869565</v>
      </c>
      <c r="AF615" s="561">
        <f t="shared" si="1442"/>
        <v>298.60456621004568</v>
      </c>
      <c r="AG615" s="318">
        <f t="shared" si="1442"/>
        <v>305.57037037037037</v>
      </c>
      <c r="AH615" s="318">
        <f t="shared" si="1442"/>
        <v>293.97802197802196</v>
      </c>
      <c r="AI615" s="318">
        <f t="shared" si="1442"/>
        <v>312.44927536231882</v>
      </c>
      <c r="AJ615" s="560">
        <f t="shared" si="1442"/>
        <v>329.43478260869563</v>
      </c>
      <c r="AK615" s="561">
        <f t="shared" si="1442"/>
        <v>310.42922374429219</v>
      </c>
      <c r="AL615" s="318">
        <f t="shared" si="1442"/>
        <v>334.66666666666669</v>
      </c>
      <c r="AM615" s="318">
        <f t="shared" si="1442"/>
        <v>319.28205128205127</v>
      </c>
      <c r="AN615" s="318">
        <f t="shared" si="1442"/>
        <v>321.82275362318842</v>
      </c>
      <c r="AO615" s="560">
        <f t="shared" si="1442"/>
        <v>339.31782608695659</v>
      </c>
      <c r="AP615" s="562">
        <f t="shared" si="1442"/>
        <v>328.7660273972603</v>
      </c>
      <c r="AQ615" s="562">
        <f t="shared" si="1442"/>
        <v>327.67912087912089</v>
      </c>
      <c r="AR615" s="560">
        <f t="shared" si="1442"/>
        <v>312.89641025641026</v>
      </c>
      <c r="AS615" s="560">
        <f t="shared" si="1442"/>
        <v>315.38629855072469</v>
      </c>
      <c r="AT615" s="560">
        <f t="shared" si="1442"/>
        <v>329.13829130434789</v>
      </c>
      <c r="AU615" s="1688">
        <f t="shared" si="1442"/>
        <v>321.28042513661194</v>
      </c>
      <c r="AV615" s="1732">
        <f t="shared" si="1442"/>
        <v>328.0068</v>
      </c>
      <c r="AW615" s="1766">
        <f t="shared" si="1442"/>
        <v>316.02537435897437</v>
      </c>
      <c r="AX615" s="1766">
        <f t="shared" si="1442"/>
        <v>321.69402452173915</v>
      </c>
      <c r="AY615" s="1901">
        <f t="shared" si="1442"/>
        <v>339.01244004347831</v>
      </c>
      <c r="AZ615" s="1688">
        <f t="shared" si="1442"/>
        <v>326.20250905936075</v>
      </c>
      <c r="BA615" s="1732">
        <f t="shared" si="1442"/>
        <v>341.12707200000006</v>
      </c>
      <c r="BB615" s="1766">
        <f t="shared" si="1442"/>
        <v>328.66638933333343</v>
      </c>
      <c r="BC615" s="1766">
        <f t="shared" si="1442"/>
        <v>353.86342697391308</v>
      </c>
      <c r="BD615" s="1901">
        <f t="shared" si="1442"/>
        <v>372.91368404782611</v>
      </c>
      <c r="BE615" s="1901">
        <f t="shared" si="1442"/>
        <v>349.24266335159825</v>
      </c>
      <c r="BF615" s="1766">
        <f t="shared" ref="BF615:BO615" si="1443">BF618*1000000/BF614/BF$5</f>
        <v>351.36088416000007</v>
      </c>
      <c r="BG615" s="1766">
        <f t="shared" si="1443"/>
        <v>335.23971712000008</v>
      </c>
      <c r="BH615" s="1766">
        <f t="shared" si="1443"/>
        <v>327.32366995086966</v>
      </c>
      <c r="BI615" s="1901">
        <f t="shared" si="1443"/>
        <v>316.97663144065217</v>
      </c>
      <c r="BJ615" s="1901">
        <f t="shared" si="1443"/>
        <v>332.61622345298639</v>
      </c>
      <c r="BK615" s="1766">
        <f t="shared" si="1443"/>
        <v>295.37480921142856</v>
      </c>
      <c r="BL615" s="1766">
        <f t="shared" si="1443"/>
        <v>284.95375955200001</v>
      </c>
      <c r="BM615" s="1766">
        <f t="shared" si="1443"/>
        <v>261.8589359606957</v>
      </c>
      <c r="BN615" s="1901">
        <f t="shared" si="1443"/>
        <v>263.0906040957413</v>
      </c>
      <c r="BO615" s="1901">
        <f t="shared" si="1443"/>
        <v>276.24387279416453</v>
      </c>
      <c r="BP615" s="1766">
        <f t="shared" ref="BP615:BY615" si="1444">BP618*1000000/BP614/BP$5</f>
        <v>261.32465759400003</v>
      </c>
      <c r="BQ615" s="1766">
        <f t="shared" si="1444"/>
        <v>249.33453960800006</v>
      </c>
      <c r="BR615" s="1766">
        <f t="shared" si="1444"/>
        <v>242.21951576364356</v>
      </c>
      <c r="BS615" s="1766">
        <f t="shared" si="1444"/>
        <v>268.3524161776561</v>
      </c>
      <c r="BT615" s="2589">
        <f t="shared" si="1444"/>
        <v>255.29117815448649</v>
      </c>
      <c r="BU615" s="1766">
        <f t="shared" si="1444"/>
        <v>266.55115074588002</v>
      </c>
      <c r="BV615" s="1766">
        <f t="shared" si="1444"/>
        <v>254.32123040016006</v>
      </c>
      <c r="BW615" s="1766">
        <f t="shared" si="1444"/>
        <v>247.06390607891643</v>
      </c>
      <c r="BX615" s="1766">
        <f t="shared" si="1444"/>
        <v>273.71946450120925</v>
      </c>
      <c r="BY615" s="2589">
        <f t="shared" si="1444"/>
        <v>260.39700171757625</v>
      </c>
      <c r="BZ615" s="561">
        <f t="shared" ref="BZ615:CF615" si="1445">BZ618*1000000/BZ614/BZ$5</f>
        <v>265.60494175192775</v>
      </c>
      <c r="CA615" s="561">
        <f t="shared" si="1445"/>
        <v>267.52803764166163</v>
      </c>
      <c r="CB615" s="561">
        <f t="shared" si="1445"/>
        <v>254.84794161097471</v>
      </c>
      <c r="CC615" s="561">
        <f t="shared" si="1445"/>
        <v>242.10554453042596</v>
      </c>
      <c r="CD615" s="561">
        <f t="shared" si="1445"/>
        <v>246.94765542103445</v>
      </c>
      <c r="CE615" s="561">
        <f t="shared" si="1445"/>
        <v>251.19839375205228</v>
      </c>
      <c r="CF615" s="561">
        <f t="shared" si="1445"/>
        <v>256.9243407000443</v>
      </c>
      <c r="CG615" s="560"/>
      <c r="CH615" s="560"/>
      <c r="CI615" s="560"/>
      <c r="CJ615" s="560"/>
      <c r="CK615" s="560"/>
      <c r="CL615" s="1307" t="str">
        <f t="shared" si="1419"/>
        <v>Daily Win / Position</v>
      </c>
      <c r="CM615" s="560"/>
      <c r="CN615" s="560"/>
      <c r="CO615" s="560"/>
      <c r="CP615" s="560">
        <f t="shared" si="1420"/>
        <v>214.05678018236418</v>
      </c>
      <c r="CQ615" s="560">
        <f t="shared" si="1421"/>
        <v>329.56680341562003</v>
      </c>
      <c r="CR615" s="560">
        <f t="shared" si="1422"/>
        <v>298.60456621004568</v>
      </c>
      <c r="CS615" s="560">
        <f t="shared" si="1423"/>
        <v>310.42922374429219</v>
      </c>
      <c r="CT615" s="560">
        <f t="shared" si="1424"/>
        <v>328.7660273972603</v>
      </c>
      <c r="CU615" s="560">
        <f t="shared" si="1425"/>
        <v>321.28042513661194</v>
      </c>
      <c r="CV615" s="560">
        <f t="shared" si="1426"/>
        <v>326.20250905936075</v>
      </c>
      <c r="CW615" s="560">
        <f t="shared" si="1427"/>
        <v>349.24266335159825</v>
      </c>
      <c r="CX615" s="560">
        <f t="shared" si="1428"/>
        <v>332.61622345298639</v>
      </c>
      <c r="CY615" s="560">
        <f t="shared" si="1429"/>
        <v>276.24387279416453</v>
      </c>
      <c r="CZ615" s="560">
        <f t="shared" si="1430"/>
        <v>255.29117815448649</v>
      </c>
      <c r="DA615" s="560">
        <f t="shared" si="1431"/>
        <v>260.39700171757625</v>
      </c>
      <c r="DB615" s="560">
        <f t="shared" si="1431"/>
        <v>265.60494175192775</v>
      </c>
      <c r="DC615" s="1878">
        <f t="shared" si="1431"/>
        <v>267.52803764166163</v>
      </c>
      <c r="DD615" s="560"/>
      <c r="DE615" s="560"/>
      <c r="DF615" s="707"/>
      <c r="DG615" s="707"/>
      <c r="DH615" s="2588"/>
      <c r="DI615" s="3213"/>
      <c r="DJ615" s="707"/>
      <c r="DK615" s="707"/>
      <c r="DL615" s="707"/>
      <c r="DM615" s="707"/>
      <c r="DN615" s="707"/>
      <c r="DO615" s="707"/>
      <c r="DP615" s="707"/>
      <c r="DQ615" s="707"/>
      <c r="DR615" s="968"/>
      <c r="DS615" s="968"/>
      <c r="DT615" s="968"/>
    </row>
    <row r="616" spans="1:124" ht="12" customHeight="1" x14ac:dyDescent="0.25">
      <c r="A616" s="465" t="s">
        <v>1491</v>
      </c>
      <c r="B616" s="466"/>
      <c r="C616" s="467"/>
      <c r="D616" s="467"/>
      <c r="E616" s="467"/>
      <c r="F616" s="467"/>
      <c r="G616" s="468"/>
      <c r="H616" s="467"/>
      <c r="I616" s="467"/>
      <c r="J616" s="467"/>
      <c r="K616" s="467"/>
      <c r="L616" s="468"/>
      <c r="M616" s="467"/>
      <c r="N616" s="467"/>
      <c r="O616" s="467"/>
      <c r="P616" s="467"/>
      <c r="Q616" s="468"/>
      <c r="R616" s="467"/>
      <c r="S616" s="467" t="s">
        <v>553</v>
      </c>
      <c r="T616" s="467" t="s">
        <v>553</v>
      </c>
      <c r="U616" s="467" t="s">
        <v>553</v>
      </c>
      <c r="V616" s="468" t="s">
        <v>553</v>
      </c>
      <c r="W616" s="467" t="s">
        <v>553</v>
      </c>
      <c r="X616" s="467">
        <f t="shared" ref="X616:AF616" si="1446">(X615-S615)/S615</f>
        <v>0.27407689746614533</v>
      </c>
      <c r="Y616" s="467">
        <f t="shared" si="1446"/>
        <v>0.13274028528375964</v>
      </c>
      <c r="Z616" s="467">
        <f t="shared" si="1446"/>
        <v>0.11966935938380611</v>
      </c>
      <c r="AA616" s="468">
        <f t="shared" si="1446"/>
        <v>0.53962328656372338</v>
      </c>
      <c r="AB616" s="467">
        <f t="shared" si="1446"/>
        <v>2.8247202913614253E-2</v>
      </c>
      <c r="AC616" s="467">
        <f t="shared" si="1446"/>
        <v>-8.2115490205202132E-2</v>
      </c>
      <c r="AD616" s="467">
        <f t="shared" si="1446"/>
        <v>-0.13916119779216826</v>
      </c>
      <c r="AE616" s="469">
        <f t="shared" si="1446"/>
        <v>-0.17232986577181217</v>
      </c>
      <c r="AF616" s="470">
        <f t="shared" si="1446"/>
        <v>-9.3948288737465968E-2</v>
      </c>
      <c r="AG616" s="467">
        <f t="shared" ref="AG616:AU616" si="1447">(AG615-AB615)/AB615</f>
        <v>-7.6971270025955552E-2</v>
      </c>
      <c r="AH616" s="467">
        <f t="shared" si="1447"/>
        <v>1.4409221902017291E-2</v>
      </c>
      <c r="AI616" s="467">
        <f t="shared" si="1447"/>
        <v>8.5548841893252639E-2</v>
      </c>
      <c r="AJ616" s="469">
        <f t="shared" si="1447"/>
        <v>0.15047069541451563</v>
      </c>
      <c r="AK616" s="470">
        <f t="shared" si="1447"/>
        <v>3.9599721077033904E-2</v>
      </c>
      <c r="AL616" s="467">
        <f t="shared" si="1447"/>
        <v>9.5219625715116912E-2</v>
      </c>
      <c r="AM616" s="467">
        <f t="shared" si="1447"/>
        <v>8.6074561403508817E-2</v>
      </c>
      <c r="AN616" s="467">
        <f t="shared" si="1447"/>
        <v>3.0000000000000127E-2</v>
      </c>
      <c r="AO616" s="469">
        <f t="shared" si="1447"/>
        <v>3.0000000000000273E-2</v>
      </c>
      <c r="AP616" s="471">
        <f t="shared" si="1447"/>
        <v>5.9069192751235844E-2</v>
      </c>
      <c r="AQ616" s="471">
        <f t="shared" si="1447"/>
        <v>-2.0879120879120909E-2</v>
      </c>
      <c r="AR616" s="469">
        <f t="shared" si="1447"/>
        <v>-1.9999999999999941E-2</v>
      </c>
      <c r="AS616" s="469">
        <f t="shared" si="1447"/>
        <v>-1.9999999999999879E-2</v>
      </c>
      <c r="AT616" s="469">
        <f t="shared" si="1447"/>
        <v>-3.0000000000000002E-2</v>
      </c>
      <c r="AU616" s="1689">
        <f t="shared" si="1447"/>
        <v>-2.2768782772081345E-2</v>
      </c>
      <c r="AV616" s="1730">
        <f t="shared" ref="AV616:BA616" si="1448">(AV615-AQ615)/AQ615</f>
        <v>9.9999999999996988E-4</v>
      </c>
      <c r="AW616" s="1465">
        <f t="shared" si="1448"/>
        <v>1.000000000000003E-2</v>
      </c>
      <c r="AX616" s="1465">
        <f t="shared" si="1448"/>
        <v>1.9999999999999903E-2</v>
      </c>
      <c r="AY616" s="1868">
        <f t="shared" si="1448"/>
        <v>2.9999999999999947E-2</v>
      </c>
      <c r="AZ616" s="1689">
        <f t="shared" si="1448"/>
        <v>1.5320211060651727E-2</v>
      </c>
      <c r="BA616" s="1730">
        <f t="shared" si="1448"/>
        <v>4.0000000000000174E-2</v>
      </c>
      <c r="BB616" s="1465">
        <f t="shared" ref="BB616:BJ616" si="1449">(BB615-AW615)/AW615</f>
        <v>4.0000000000000244E-2</v>
      </c>
      <c r="BC616" s="1465">
        <f t="shared" si="1449"/>
        <v>0.10000000000000003</v>
      </c>
      <c r="BD616" s="1868">
        <f t="shared" si="1449"/>
        <v>9.9999999999999922E-2</v>
      </c>
      <c r="BE616" s="1868">
        <f t="shared" si="1449"/>
        <v>7.063144412554094E-2</v>
      </c>
      <c r="BF616" s="1465">
        <f t="shared" si="1449"/>
        <v>3.0000000000000034E-2</v>
      </c>
      <c r="BG616" s="1465">
        <f t="shared" si="1449"/>
        <v>1.9999999999999952E-2</v>
      </c>
      <c r="BH616" s="1465">
        <f t="shared" si="1449"/>
        <v>-7.4999999999999831E-2</v>
      </c>
      <c r="BI616" s="1868">
        <f t="shared" si="1449"/>
        <v>-0.15000000000000005</v>
      </c>
      <c r="BJ616" s="1868">
        <f t="shared" si="1449"/>
        <v>-4.7607127202192019E-2</v>
      </c>
      <c r="BK616" s="1465">
        <f t="shared" ref="BK616:BT616" si="1450">(BK615-BF615)/BF615</f>
        <v>-0.15934065934065955</v>
      </c>
      <c r="BL616" s="1465">
        <f t="shared" si="1450"/>
        <v>-0.15000000000000019</v>
      </c>
      <c r="BM616" s="1465">
        <f t="shared" si="1450"/>
        <v>-0.20000000000000007</v>
      </c>
      <c r="BN616" s="1868">
        <f t="shared" si="1450"/>
        <v>-0.17</v>
      </c>
      <c r="BO616" s="1868">
        <f t="shared" si="1450"/>
        <v>-0.16948166290147842</v>
      </c>
      <c r="BP616" s="1465">
        <f>(BP615-BK615)/BK615</f>
        <v>-0.11527777777777763</v>
      </c>
      <c r="BQ616" s="1465">
        <f>(BQ615-BL615)/BL615</f>
        <v>-0.12499999999999982</v>
      </c>
      <c r="BR616" s="1465">
        <f>(BR615-BM615)/BM615</f>
        <v>-7.4999999999999886E-2</v>
      </c>
      <c r="BS616" s="1465">
        <f>(BS615-BN615)/BN615</f>
        <v>1.9999999999999893E-2</v>
      </c>
      <c r="BT616" s="470">
        <f t="shared" si="1450"/>
        <v>-7.5848540739545611E-2</v>
      </c>
      <c r="BU616" s="1465">
        <f>(BU615-BP615)/BP615</f>
        <v>1.9999999999999969E-2</v>
      </c>
      <c r="BV616" s="1465">
        <f>(BV615-BQ615)/BQ615</f>
        <v>2.0000000000000014E-2</v>
      </c>
      <c r="BW616" s="1465">
        <f>(BW615-BR615)/BR615</f>
        <v>2.0000000000000018E-2</v>
      </c>
      <c r="BX616" s="1465">
        <f>(BX615-BS615)/BS615</f>
        <v>2.0000000000000101E-2</v>
      </c>
      <c r="BY616" s="470">
        <f>(BY615-BT615)/BT615</f>
        <v>2.0000000000000108E-2</v>
      </c>
      <c r="BZ616" s="470">
        <f t="shared" ref="BZ616:CF616" si="1451">(BZ615-BY615)/BY615</f>
        <v>1.9999999999999938E-2</v>
      </c>
      <c r="CA616" s="470">
        <f t="shared" si="1451"/>
        <v>7.2404371584698299E-3</v>
      </c>
      <c r="CB616" s="470">
        <f t="shared" si="1451"/>
        <v>-4.7397260273972362E-2</v>
      </c>
      <c r="CC616" s="470">
        <f t="shared" si="1451"/>
        <v>-5.0000000000000079E-2</v>
      </c>
      <c r="CD616" s="470">
        <f t="shared" si="1451"/>
        <v>1.99999999999999E-2</v>
      </c>
      <c r="CE616" s="470">
        <f t="shared" si="1451"/>
        <v>1.7213114754098452E-2</v>
      </c>
      <c r="CF616" s="470">
        <f t="shared" si="1451"/>
        <v>2.2794520547945316E-2</v>
      </c>
      <c r="CG616" s="492"/>
      <c r="CH616" s="492"/>
      <c r="CI616" s="492"/>
      <c r="CJ616" s="492"/>
      <c r="CK616" s="492"/>
      <c r="CL616" s="1310" t="str">
        <f t="shared" si="1419"/>
        <v>% growth (y-o-y)</v>
      </c>
      <c r="CM616" s="469"/>
      <c r="CN616" s="469"/>
      <c r="CO616" s="469"/>
      <c r="CP616" s="469" t="str">
        <f t="shared" si="1420"/>
        <v xml:space="preserve">n/a </v>
      </c>
      <c r="CQ616" s="469">
        <f t="shared" si="1421"/>
        <v>0.53962328656372338</v>
      </c>
      <c r="CR616" s="469">
        <f t="shared" si="1422"/>
        <v>-9.3948288737465968E-2</v>
      </c>
      <c r="CS616" s="469">
        <f t="shared" si="1423"/>
        <v>3.9599721077033904E-2</v>
      </c>
      <c r="CT616" s="469">
        <f t="shared" si="1424"/>
        <v>5.9069192751235844E-2</v>
      </c>
      <c r="CU616" s="469">
        <f t="shared" si="1425"/>
        <v>-2.2768782772081345E-2</v>
      </c>
      <c r="CV616" s="469">
        <f t="shared" si="1426"/>
        <v>1.5320211060651727E-2</v>
      </c>
      <c r="CW616" s="469">
        <f t="shared" si="1427"/>
        <v>7.063144412554094E-2</v>
      </c>
      <c r="CX616" s="469">
        <f t="shared" si="1428"/>
        <v>-4.7607127202192019E-2</v>
      </c>
      <c r="CY616" s="469">
        <f t="shared" si="1429"/>
        <v>-0.16948166290147842</v>
      </c>
      <c r="CZ616" s="469">
        <f t="shared" si="1430"/>
        <v>-7.5848540739545611E-2</v>
      </c>
      <c r="DA616" s="469">
        <f t="shared" si="1431"/>
        <v>2.0000000000000108E-2</v>
      </c>
      <c r="DB616" s="469">
        <f t="shared" si="1431"/>
        <v>1.9999999999999938E-2</v>
      </c>
      <c r="DC616" s="1463">
        <f t="shared" si="1431"/>
        <v>7.2404371584698299E-3</v>
      </c>
      <c r="DD616" s="492"/>
      <c r="DE616" s="492"/>
      <c r="DF616" s="962"/>
      <c r="DG616" s="962"/>
      <c r="DH616" s="469"/>
      <c r="DI616" s="3213"/>
      <c r="DJ616" s="962"/>
      <c r="DK616" s="962"/>
      <c r="DL616" s="962"/>
      <c r="DM616" s="962"/>
      <c r="DN616" s="962"/>
      <c r="DO616" s="962"/>
      <c r="DP616" s="962"/>
      <c r="DQ616" s="962"/>
      <c r="DR616" s="963"/>
      <c r="DS616" s="963"/>
      <c r="DT616" s="963"/>
    </row>
    <row r="617" spans="1:124" ht="5.0999999999999996" customHeight="1" x14ac:dyDescent="0.25">
      <c r="A617" s="281"/>
      <c r="B617" s="281"/>
      <c r="C617" s="305"/>
      <c r="D617" s="305"/>
      <c r="E617" s="305"/>
      <c r="F617" s="305"/>
      <c r="G617" s="440"/>
      <c r="H617" s="305"/>
      <c r="I617" s="305"/>
      <c r="J617" s="305"/>
      <c r="K617" s="305"/>
      <c r="L617" s="440"/>
      <c r="M617" s="305"/>
      <c r="N617" s="305"/>
      <c r="O617" s="305"/>
      <c r="P617" s="305"/>
      <c r="Q617" s="440"/>
      <c r="R617" s="305"/>
      <c r="S617" s="305"/>
      <c r="T617" s="305"/>
      <c r="U617" s="305"/>
      <c r="V617" s="440"/>
      <c r="W617" s="305"/>
      <c r="X617" s="305"/>
      <c r="Y617" s="305"/>
      <c r="Z617" s="305"/>
      <c r="AA617" s="440"/>
      <c r="AB617" s="305"/>
      <c r="AC617" s="305"/>
      <c r="AD617" s="305"/>
      <c r="AE617" s="331"/>
      <c r="AF617" s="441"/>
      <c r="AG617" s="305"/>
      <c r="AH617" s="305"/>
      <c r="AI617" s="305"/>
      <c r="AJ617" s="331"/>
      <c r="AK617" s="441"/>
      <c r="AL617" s="305"/>
      <c r="AM617" s="305"/>
      <c r="AN617" s="305"/>
      <c r="AO617" s="331"/>
      <c r="AP617" s="569"/>
      <c r="AQ617" s="569"/>
      <c r="AR617" s="442"/>
      <c r="AS617" s="442"/>
      <c r="AT617" s="442"/>
      <c r="AU617" s="1690"/>
      <c r="AV617" s="1902"/>
      <c r="AW617" s="1837"/>
      <c r="AX617" s="1837"/>
      <c r="AY617" s="1903"/>
      <c r="AZ617" s="1690"/>
      <c r="BA617" s="1902"/>
      <c r="BB617" s="1837"/>
      <c r="BC617" s="1837"/>
      <c r="BD617" s="1903"/>
      <c r="BE617" s="1903"/>
      <c r="BF617" s="1837"/>
      <c r="BG617" s="1837"/>
      <c r="BH617" s="1837"/>
      <c r="BI617" s="1903"/>
      <c r="BJ617" s="1903"/>
      <c r="BK617" s="1837"/>
      <c r="BL617" s="1837"/>
      <c r="BM617" s="1837"/>
      <c r="BN617" s="1903"/>
      <c r="BO617" s="1903"/>
      <c r="BP617" s="1837"/>
      <c r="BQ617" s="1837"/>
      <c r="BR617" s="1837"/>
      <c r="BS617" s="1837"/>
      <c r="BT617" s="3236"/>
      <c r="BU617" s="1837"/>
      <c r="BV617" s="1837"/>
      <c r="BW617" s="1837"/>
      <c r="BX617" s="1837"/>
      <c r="BY617" s="3236"/>
      <c r="BZ617" s="441"/>
      <c r="CA617" s="441"/>
      <c r="CB617" s="441"/>
      <c r="CC617" s="441"/>
      <c r="CD617" s="441"/>
      <c r="CE617" s="441"/>
      <c r="CF617" s="441"/>
      <c r="CG617" s="331"/>
      <c r="CH617" s="331"/>
      <c r="CI617" s="331"/>
      <c r="CJ617" s="331"/>
      <c r="CK617" s="331"/>
      <c r="CL617" s="520"/>
      <c r="CM617" s="442"/>
      <c r="CN617" s="442"/>
      <c r="CO617" s="442"/>
      <c r="CP617" s="442"/>
      <c r="CQ617" s="442"/>
      <c r="CR617" s="442"/>
      <c r="CS617" s="442"/>
      <c r="CT617" s="442"/>
      <c r="CU617" s="442"/>
      <c r="CV617" s="442"/>
      <c r="CW617" s="442"/>
      <c r="CX617" s="442"/>
      <c r="CY617" s="442"/>
      <c r="CZ617" s="442"/>
      <c r="DA617" s="442"/>
      <c r="DB617" s="442"/>
      <c r="DC617" s="1312"/>
      <c r="DD617" s="331"/>
      <c r="DE617" s="331"/>
      <c r="DF617" s="502"/>
      <c r="DG617" s="503"/>
      <c r="DH617" s="3298"/>
      <c r="DI617" s="3213"/>
      <c r="DJ617" s="502"/>
      <c r="DK617" s="503"/>
      <c r="DL617" s="502"/>
      <c r="DM617" s="502"/>
      <c r="DN617" s="502"/>
      <c r="DO617" s="502"/>
      <c r="DP617" s="503"/>
      <c r="DQ617" s="503"/>
      <c r="DR617" s="296"/>
      <c r="DS617" s="296"/>
      <c r="DT617" s="296"/>
    </row>
    <row r="618" spans="1:124" ht="12" customHeight="1" x14ac:dyDescent="0.25">
      <c r="A618" s="496" t="s">
        <v>1418</v>
      </c>
      <c r="B618" s="1007"/>
      <c r="C618" s="1008"/>
      <c r="D618" s="1008"/>
      <c r="E618" s="1008"/>
      <c r="F618" s="1008"/>
      <c r="G618" s="1009"/>
      <c r="H618" s="1008"/>
      <c r="I618" s="1008"/>
      <c r="J618" s="1008"/>
      <c r="K618" s="1008"/>
      <c r="L618" s="1009"/>
      <c r="M618" s="1008"/>
      <c r="N618" s="1008"/>
      <c r="O618" s="1008"/>
      <c r="P618" s="1008"/>
      <c r="Q618" s="1009"/>
      <c r="R618" s="1008"/>
      <c r="S618" s="1008">
        <v>16.913</v>
      </c>
      <c r="T618" s="1008">
        <v>20.367000000000001</v>
      </c>
      <c r="U618" s="1008">
        <v>21.292000000000002</v>
      </c>
      <c r="V618" s="1009">
        <f>SUM(R618:U618)</f>
        <v>58.572000000000003</v>
      </c>
      <c r="W618" s="1008">
        <v>21.914999999999999</v>
      </c>
      <c r="X618" s="1008">
        <v>21.491</v>
      </c>
      <c r="Y618" s="1008">
        <v>23.009</v>
      </c>
      <c r="Z618" s="1008">
        <v>23.84</v>
      </c>
      <c r="AA618" s="1009">
        <f>SUM(W618:Z618)</f>
        <v>90.254999999999995</v>
      </c>
      <c r="AB618" s="1008">
        <v>22.346</v>
      </c>
      <c r="AC618" s="1008">
        <v>19.779</v>
      </c>
      <c r="AD618" s="1008">
        <v>19.86</v>
      </c>
      <c r="AE618" s="1010">
        <v>19.757999999999999</v>
      </c>
      <c r="AF618" s="1011">
        <f>SUM(AB618:AE618)</f>
        <v>81.742999999999995</v>
      </c>
      <c r="AG618" s="1008">
        <v>20.626000000000001</v>
      </c>
      <c r="AH618" s="1008">
        <v>20.064</v>
      </c>
      <c r="AI618" s="1008">
        <v>21.559000000000001</v>
      </c>
      <c r="AJ618" s="1008">
        <v>22.731000000000002</v>
      </c>
      <c r="AK618" s="1011">
        <f>SUM(AG618:AJ618)</f>
        <v>84.97999999999999</v>
      </c>
      <c r="AL618" s="1008">
        <v>22.59</v>
      </c>
      <c r="AM618" s="1008">
        <v>21.791</v>
      </c>
      <c r="AN618" s="1593">
        <f>AI618*(1+AN619)</f>
        <v>22.205770000000001</v>
      </c>
      <c r="AO618" s="1014">
        <f>AJ618*(1+AO619)</f>
        <v>23.412930000000003</v>
      </c>
      <c r="AP618" s="1013">
        <f>SUM(AL618:AO618)</f>
        <v>89.999700000000004</v>
      </c>
      <c r="AQ618" s="1013">
        <f>AL618*(1+AQ619)</f>
        <v>22.364100000000001</v>
      </c>
      <c r="AR618" s="1012">
        <f>AM618*(1+AR619)</f>
        <v>21.355180000000001</v>
      </c>
      <c r="AS618" s="1012">
        <f>AN618*(1+AS619)</f>
        <v>21.7616546</v>
      </c>
      <c r="AT618" s="1012">
        <f>AO618*(1+AT619)</f>
        <v>22.710542100000001</v>
      </c>
      <c r="AU618" s="1691">
        <f>SUM(AQ618:AT618)</f>
        <v>88.191476699999996</v>
      </c>
      <c r="AV618" s="1904">
        <f>AQ618*(1+AV619)</f>
        <v>22.140459</v>
      </c>
      <c r="AW618" s="1838">
        <f>AR618*(1+AW619)</f>
        <v>21.568731800000002</v>
      </c>
      <c r="AX618" s="1838">
        <f>AS618*(1+AX619)</f>
        <v>22.196887692000001</v>
      </c>
      <c r="AY618" s="1905">
        <f>AT618*(1+AY619)</f>
        <v>23.391858363000001</v>
      </c>
      <c r="AZ618" s="1691">
        <f>SUM(AV618:AY618)</f>
        <v>89.297936855000003</v>
      </c>
      <c r="BA618" s="1904">
        <f>AV618*(1+BA619)</f>
        <v>23.026077360000002</v>
      </c>
      <c r="BB618" s="1838">
        <f>AW618*(1+BB619)</f>
        <v>22.431481072000004</v>
      </c>
      <c r="BC618" s="1838">
        <f>AX618*(1+BC619)</f>
        <v>24.416576461200002</v>
      </c>
      <c r="BD618" s="1905">
        <f>AY618*(1+BD619)</f>
        <v>25.731044199300001</v>
      </c>
      <c r="BE618" s="1905">
        <f>SUM(BA618:BD618)</f>
        <v>95.605179092500009</v>
      </c>
      <c r="BF618" s="1838">
        <f>BA618*(1+BF619)</f>
        <v>23.716859680800003</v>
      </c>
      <c r="BG618" s="1838">
        <f>BB618*(1+BG619)</f>
        <v>22.880110693440006</v>
      </c>
      <c r="BH618" s="1838">
        <f>BC618*(1+BH619)</f>
        <v>22.585333226610004</v>
      </c>
      <c r="BI618" s="1905">
        <f>BD618*(1+BI619)</f>
        <v>21.871387569405002</v>
      </c>
      <c r="BJ618" s="1905">
        <f>SUM(BF618:BI618)</f>
        <v>91.053691170255021</v>
      </c>
      <c r="BK618" s="1838">
        <f>BF618*(1+BK619)</f>
        <v>20.159330728680001</v>
      </c>
      <c r="BL618" s="1838">
        <f>BG618*(1+BL619)</f>
        <v>19.448094089424004</v>
      </c>
      <c r="BM618" s="1838">
        <f>BH618*(1+BM619)</f>
        <v>18.068266581288004</v>
      </c>
      <c r="BN618" s="1905">
        <f>BI618*(1+BN619)</f>
        <v>18.15325168260615</v>
      </c>
      <c r="BO618" s="1905">
        <f>SUM(BK618:BN618)</f>
        <v>75.828943081998162</v>
      </c>
      <c r="BP618" s="1838">
        <f>BK618*(1+BP619)</f>
        <v>17.639414387595</v>
      </c>
      <c r="BQ618" s="1838">
        <f>BL618*(1+BQ619)</f>
        <v>17.017082328246005</v>
      </c>
      <c r="BR618" s="1838">
        <f>BM618*(1+BR619)</f>
        <v>16.713146587691405</v>
      </c>
      <c r="BS618" s="1838">
        <f>BN618*(1+BS619)</f>
        <v>18.516316716258274</v>
      </c>
      <c r="BT618" s="1011">
        <f>SUM(BP618:BS618)</f>
        <v>69.885960019790673</v>
      </c>
      <c r="BU618" s="1838">
        <f>BP618*(1+BU619)</f>
        <v>17.992202675346899</v>
      </c>
      <c r="BV618" s="1838">
        <f>BQ618*(1+BV619)</f>
        <v>17.357423974810924</v>
      </c>
      <c r="BW618" s="1838">
        <f>BR618*(1+BW619)</f>
        <v>17.047409519445232</v>
      </c>
      <c r="BX618" s="1838">
        <f>BS618*(1+BX619)</f>
        <v>18.886643050583441</v>
      </c>
      <c r="BY618" s="1011">
        <f>SUM(BU618:BX618)</f>
        <v>71.283679220186499</v>
      </c>
      <c r="BZ618" s="1011">
        <f t="shared" ref="BZ618:CF618" si="1452">BY618*(1+BZ619)</f>
        <v>72.709352804590225</v>
      </c>
      <c r="CA618" s="1011">
        <f t="shared" si="1452"/>
        <v>73.436446332636123</v>
      </c>
      <c r="CB618" s="1011">
        <f t="shared" si="1452"/>
        <v>69.764624016004319</v>
      </c>
      <c r="CC618" s="1011">
        <f t="shared" si="1452"/>
        <v>66.276392815204105</v>
      </c>
      <c r="CD618" s="1011">
        <f t="shared" si="1452"/>
        <v>67.601920671508182</v>
      </c>
      <c r="CE618" s="1011">
        <f t="shared" si="1452"/>
        <v>68.953959084938347</v>
      </c>
      <c r="CF618" s="1011">
        <f t="shared" si="1452"/>
        <v>70.333038266637118</v>
      </c>
      <c r="CG618" s="502"/>
      <c r="CH618" s="502"/>
      <c r="CI618" s="502"/>
      <c r="CJ618" s="502"/>
      <c r="CK618" s="502"/>
      <c r="CL618" s="2102" t="str">
        <f>A618</f>
        <v>Net revenue</v>
      </c>
      <c r="CM618" s="1012"/>
      <c r="CN618" s="1012"/>
      <c r="CO618" s="1012"/>
      <c r="CP618" s="1012">
        <f>V618</f>
        <v>58.572000000000003</v>
      </c>
      <c r="CQ618" s="1012">
        <f>AA618</f>
        <v>90.254999999999995</v>
      </c>
      <c r="CR618" s="1012">
        <f>AF618</f>
        <v>81.742999999999995</v>
      </c>
      <c r="CS618" s="1012">
        <f>AK618</f>
        <v>84.97999999999999</v>
      </c>
      <c r="CT618" s="1012">
        <f>AP618</f>
        <v>89.999700000000004</v>
      </c>
      <c r="CU618" s="1012">
        <f>AU618</f>
        <v>88.191476699999996</v>
      </c>
      <c r="CV618" s="1012">
        <f>AZ618</f>
        <v>89.297936855000003</v>
      </c>
      <c r="CW618" s="1012">
        <f>BE618</f>
        <v>95.605179092500009</v>
      </c>
      <c r="CX618" s="1012">
        <f>BJ618</f>
        <v>91.053691170255021</v>
      </c>
      <c r="CY618" s="1012">
        <f>BO618</f>
        <v>75.828943081998162</v>
      </c>
      <c r="CZ618" s="1012">
        <f>BT618</f>
        <v>69.885960019790673</v>
      </c>
      <c r="DA618" s="1012">
        <f t="shared" ref="DA618:DC619" si="1453">BY618</f>
        <v>71.283679220186499</v>
      </c>
      <c r="DB618" s="1012">
        <f t="shared" si="1453"/>
        <v>72.709352804590225</v>
      </c>
      <c r="DC618" s="1877">
        <f t="shared" si="1453"/>
        <v>73.436446332636123</v>
      </c>
      <c r="DD618" s="502"/>
      <c r="DE618" s="502"/>
      <c r="DF618" s="502"/>
      <c r="DG618" s="503"/>
      <c r="DH618" s="598"/>
      <c r="DI618" s="3213"/>
      <c r="DJ618" s="502"/>
      <c r="DK618" s="503"/>
      <c r="DL618" s="502"/>
      <c r="DM618" s="502"/>
      <c r="DN618" s="502"/>
      <c r="DO618" s="502"/>
      <c r="DP618" s="503"/>
      <c r="DQ618" s="503"/>
      <c r="DR618" s="719"/>
      <c r="DS618" s="719"/>
      <c r="DT618" s="719"/>
    </row>
    <row r="619" spans="1:124" ht="12" customHeight="1" x14ac:dyDescent="0.25">
      <c r="A619" s="465" t="s">
        <v>1491</v>
      </c>
      <c r="B619" s="466"/>
      <c r="C619" s="467"/>
      <c r="D619" s="467"/>
      <c r="E619" s="467"/>
      <c r="F619" s="467"/>
      <c r="G619" s="468"/>
      <c r="H619" s="467"/>
      <c r="I619" s="467"/>
      <c r="J619" s="467"/>
      <c r="K619" s="467"/>
      <c r="L619" s="468"/>
      <c r="M619" s="467"/>
      <c r="N619" s="467"/>
      <c r="O619" s="467"/>
      <c r="P619" s="467"/>
      <c r="Q619" s="468"/>
      <c r="R619" s="467"/>
      <c r="S619" s="467" t="s">
        <v>553</v>
      </c>
      <c r="T619" s="467" t="s">
        <v>553</v>
      </c>
      <c r="U619" s="467" t="s">
        <v>553</v>
      </c>
      <c r="V619" s="468" t="s">
        <v>553</v>
      </c>
      <c r="W619" s="467" t="s">
        <v>553</v>
      </c>
      <c r="X619" s="467">
        <f t="shared" ref="X619:AF619" si="1454">(X618-S618)/S618</f>
        <v>0.27067935907290247</v>
      </c>
      <c r="Y619" s="467">
        <f t="shared" si="1454"/>
        <v>0.12971964452300286</v>
      </c>
      <c r="Z619" s="467">
        <f t="shared" si="1454"/>
        <v>0.11966935938380603</v>
      </c>
      <c r="AA619" s="468">
        <f t="shared" si="1454"/>
        <v>0.54092399098545363</v>
      </c>
      <c r="AB619" s="467">
        <f t="shared" si="1454"/>
        <v>1.9666894820898971E-2</v>
      </c>
      <c r="AC619" s="467">
        <f t="shared" si="1454"/>
        <v>-7.966125354799683E-2</v>
      </c>
      <c r="AD619" s="467">
        <f t="shared" si="1454"/>
        <v>-0.13685948976487466</v>
      </c>
      <c r="AE619" s="469">
        <f t="shared" si="1454"/>
        <v>-0.17122483221476514</v>
      </c>
      <c r="AF619" s="470">
        <f t="shared" si="1454"/>
        <v>-9.4310564511661407E-2</v>
      </c>
      <c r="AG619" s="467">
        <f t="shared" ref="AG619:AM619" si="1455">(AG618-AB618)/AB618</f>
        <v>-7.6971270025955371E-2</v>
      </c>
      <c r="AH619" s="467">
        <f t="shared" si="1455"/>
        <v>1.4409221902017297E-2</v>
      </c>
      <c r="AI619" s="467">
        <f t="shared" si="1455"/>
        <v>8.5548841893252847E-2</v>
      </c>
      <c r="AJ619" s="467">
        <f t="shared" si="1455"/>
        <v>0.15047069541451577</v>
      </c>
      <c r="AK619" s="470">
        <f t="shared" si="1455"/>
        <v>3.9599721077034057E-2</v>
      </c>
      <c r="AL619" s="467">
        <f t="shared" si="1455"/>
        <v>9.5219625715116774E-2</v>
      </c>
      <c r="AM619" s="467">
        <f t="shared" si="1455"/>
        <v>8.607456140350879E-2</v>
      </c>
      <c r="AN619" s="538">
        <v>0.03</v>
      </c>
      <c r="AO619" s="469">
        <f>AN619</f>
        <v>0.03</v>
      </c>
      <c r="AP619" s="471">
        <f>(AP618-AK618)/AK618</f>
        <v>5.9069192751235761E-2</v>
      </c>
      <c r="AQ619" s="1667">
        <v>-0.01</v>
      </c>
      <c r="AR619" s="540">
        <v>-0.02</v>
      </c>
      <c r="AS619" s="540">
        <v>-0.02</v>
      </c>
      <c r="AT619" s="540">
        <v>-0.03</v>
      </c>
      <c r="AU619" s="1689">
        <f>(AU618-AP618)/AP618</f>
        <v>-2.0091436971456669E-2</v>
      </c>
      <c r="AV619" s="1667">
        <v>-0.01</v>
      </c>
      <c r="AW619" s="540">
        <v>0.01</v>
      </c>
      <c r="AX619" s="540">
        <v>0.02</v>
      </c>
      <c r="AY619" s="1668">
        <v>0.03</v>
      </c>
      <c r="AZ619" s="1689">
        <f>(AZ618-AU618)/AU618</f>
        <v>1.2546112123327308E-2</v>
      </c>
      <c r="BA619" s="1667">
        <v>0.04</v>
      </c>
      <c r="BB619" s="540">
        <v>0.04</v>
      </c>
      <c r="BC619" s="540">
        <v>0.1</v>
      </c>
      <c r="BD619" s="1668">
        <v>0.1</v>
      </c>
      <c r="BE619" s="1868">
        <f>(BE618-AZ618)/AZ618</f>
        <v>7.0631444125540829E-2</v>
      </c>
      <c r="BF619" s="540">
        <v>0.03</v>
      </c>
      <c r="BG619" s="540">
        <v>0.02</v>
      </c>
      <c r="BH619" s="540">
        <v>-7.4999999999999997E-2</v>
      </c>
      <c r="BI619" s="1668">
        <v>-0.15</v>
      </c>
      <c r="BJ619" s="1868">
        <f>(BJ618-BE618)/BE618</f>
        <v>-4.7607127202191922E-2</v>
      </c>
      <c r="BK619" s="540">
        <v>-0.15</v>
      </c>
      <c r="BL619" s="540">
        <v>-0.15</v>
      </c>
      <c r="BM619" s="540">
        <v>-0.2</v>
      </c>
      <c r="BN619" s="540">
        <v>-0.17</v>
      </c>
      <c r="BO619" s="3112">
        <f>(BO618-BJ618)/BJ618</f>
        <v>-0.16720627019709891</v>
      </c>
      <c r="BP619" s="540">
        <v>-0.125</v>
      </c>
      <c r="BQ619" s="540">
        <v>-0.125</v>
      </c>
      <c r="BR619" s="540">
        <v>-7.4999999999999997E-2</v>
      </c>
      <c r="BS619" s="540">
        <v>0.02</v>
      </c>
      <c r="BT619" s="470">
        <f>(BT618-BO618)/BO618</f>
        <v>-7.8373544726596051E-2</v>
      </c>
      <c r="BU619" s="540">
        <v>0.02</v>
      </c>
      <c r="BV619" s="540">
        <v>0.02</v>
      </c>
      <c r="BW619" s="540">
        <v>0.02</v>
      </c>
      <c r="BX619" s="540">
        <v>0.02</v>
      </c>
      <c r="BY619" s="470">
        <f>(BY618-BT618)/BT618</f>
        <v>2.0000000000000188E-2</v>
      </c>
      <c r="BZ619" s="566">
        <v>0.02</v>
      </c>
      <c r="CA619" s="566">
        <v>0.01</v>
      </c>
      <c r="CB619" s="566">
        <v>-0.05</v>
      </c>
      <c r="CC619" s="566">
        <v>-0.05</v>
      </c>
      <c r="CD619" s="566">
        <v>0.02</v>
      </c>
      <c r="CE619" s="566">
        <v>0.02</v>
      </c>
      <c r="CF619" s="566">
        <v>0.02</v>
      </c>
      <c r="CG619" s="492"/>
      <c r="CH619" s="492"/>
      <c r="CI619" s="492"/>
      <c r="CJ619" s="492"/>
      <c r="CK619" s="492"/>
      <c r="CL619" s="1310" t="str">
        <f>A619</f>
        <v>% growth (y-o-y)</v>
      </c>
      <c r="CM619" s="469"/>
      <c r="CN619" s="469"/>
      <c r="CO619" s="469"/>
      <c r="CP619" s="469" t="str">
        <f>V619</f>
        <v xml:space="preserve">n/a </v>
      </c>
      <c r="CQ619" s="469">
        <f>AA619</f>
        <v>0.54092399098545363</v>
      </c>
      <c r="CR619" s="469">
        <f>AF619</f>
        <v>-9.4310564511661407E-2</v>
      </c>
      <c r="CS619" s="469">
        <f>AK619</f>
        <v>3.9599721077034057E-2</v>
      </c>
      <c r="CT619" s="469">
        <f>AP619</f>
        <v>5.9069192751235761E-2</v>
      </c>
      <c r="CU619" s="469">
        <f>AU619</f>
        <v>-2.0091436971456669E-2</v>
      </c>
      <c r="CV619" s="469">
        <f>AZ619</f>
        <v>1.2546112123327308E-2</v>
      </c>
      <c r="CW619" s="469">
        <f>BE619</f>
        <v>7.0631444125540829E-2</v>
      </c>
      <c r="CX619" s="469">
        <f>BJ619</f>
        <v>-4.7607127202191922E-2</v>
      </c>
      <c r="CY619" s="469">
        <f>BO619</f>
        <v>-0.16720627019709891</v>
      </c>
      <c r="CZ619" s="469">
        <f>BT619</f>
        <v>-7.8373544726596051E-2</v>
      </c>
      <c r="DA619" s="469">
        <f t="shared" si="1453"/>
        <v>2.0000000000000188E-2</v>
      </c>
      <c r="DB619" s="469">
        <f t="shared" si="1453"/>
        <v>0.02</v>
      </c>
      <c r="DC619" s="1463">
        <f t="shared" si="1453"/>
        <v>0.01</v>
      </c>
      <c r="DD619" s="492"/>
      <c r="DE619" s="492"/>
      <c r="DF619" s="962"/>
      <c r="DG619" s="962"/>
      <c r="DH619" s="469"/>
      <c r="DI619" s="3213"/>
      <c r="DJ619" s="962"/>
      <c r="DK619" s="962"/>
      <c r="DL619" s="962"/>
      <c r="DM619" s="962"/>
      <c r="DN619" s="962"/>
      <c r="DO619" s="962"/>
      <c r="DP619" s="962"/>
      <c r="DQ619" s="962"/>
      <c r="DR619" s="963"/>
      <c r="DS619" s="963"/>
      <c r="DT619" s="963"/>
    </row>
    <row r="620" spans="1:124" ht="5.0999999999999996" customHeight="1" x14ac:dyDescent="0.25">
      <c r="A620" s="281"/>
      <c r="B620" s="281"/>
      <c r="C620" s="305"/>
      <c r="D620" s="305"/>
      <c r="E620" s="305"/>
      <c r="F620" s="305"/>
      <c r="G620" s="440"/>
      <c r="H620" s="305"/>
      <c r="I620" s="305"/>
      <c r="J620" s="305"/>
      <c r="K620" s="305"/>
      <c r="L620" s="440"/>
      <c r="M620" s="305"/>
      <c r="N620" s="305"/>
      <c r="O620" s="305"/>
      <c r="P620" s="305"/>
      <c r="Q620" s="440"/>
      <c r="R620" s="305"/>
      <c r="S620" s="305"/>
      <c r="T620" s="305"/>
      <c r="U620" s="305"/>
      <c r="V620" s="440"/>
      <c r="W620" s="305"/>
      <c r="X620" s="305"/>
      <c r="Y620" s="305"/>
      <c r="Z620" s="305"/>
      <c r="AA620" s="440"/>
      <c r="AB620" s="305"/>
      <c r="AC620" s="305"/>
      <c r="AD620" s="305"/>
      <c r="AE620" s="331"/>
      <c r="AF620" s="441"/>
      <c r="AG620" s="305"/>
      <c r="AH620" s="305"/>
      <c r="AI620" s="305"/>
      <c r="AJ620" s="331"/>
      <c r="AK620" s="441"/>
      <c r="AL620" s="305"/>
      <c r="AM620" s="305"/>
      <c r="AN620" s="305"/>
      <c r="AO620" s="331"/>
      <c r="AP620" s="569"/>
      <c r="AQ620" s="569"/>
      <c r="AR620" s="442"/>
      <c r="AS620" s="442"/>
      <c r="AT620" s="442"/>
      <c r="AU620" s="1690"/>
      <c r="AV620" s="1902"/>
      <c r="AW620" s="1837"/>
      <c r="AX620" s="1837"/>
      <c r="AY620" s="1903"/>
      <c r="AZ620" s="1690"/>
      <c r="BA620" s="1902"/>
      <c r="BB620" s="1837"/>
      <c r="BC620" s="1837"/>
      <c r="BD620" s="1903"/>
      <c r="BE620" s="1903"/>
      <c r="BF620" s="1837"/>
      <c r="BG620" s="1837"/>
      <c r="BH620" s="1837"/>
      <c r="BI620" s="1903"/>
      <c r="BJ620" s="1903"/>
      <c r="BK620" s="1837"/>
      <c r="BL620" s="1837"/>
      <c r="BM620" s="1837"/>
      <c r="BN620" s="1903"/>
      <c r="BO620" s="1903"/>
      <c r="BP620" s="1837"/>
      <c r="BQ620" s="1837"/>
      <c r="BR620" s="1837"/>
      <c r="BS620" s="1837"/>
      <c r="BT620" s="3236"/>
      <c r="BU620" s="1837"/>
      <c r="BV620" s="1837"/>
      <c r="BW620" s="1837"/>
      <c r="BX620" s="1837"/>
      <c r="BY620" s="3236"/>
      <c r="BZ620" s="441"/>
      <c r="CA620" s="441"/>
      <c r="CB620" s="441"/>
      <c r="CC620" s="441"/>
      <c r="CD620" s="441"/>
      <c r="CE620" s="441"/>
      <c r="CF620" s="441"/>
      <c r="CG620" s="331"/>
      <c r="CH620" s="331"/>
      <c r="CI620" s="331"/>
      <c r="CJ620" s="331"/>
      <c r="CK620" s="331"/>
      <c r="CL620" s="520"/>
      <c r="CM620" s="442"/>
      <c r="CN620" s="442"/>
      <c r="CO620" s="442"/>
      <c r="CP620" s="442"/>
      <c r="CQ620" s="442"/>
      <c r="CR620" s="442"/>
      <c r="CS620" s="442"/>
      <c r="CT620" s="442"/>
      <c r="CU620" s="442"/>
      <c r="CV620" s="442"/>
      <c r="CW620" s="442"/>
      <c r="CX620" s="442"/>
      <c r="CY620" s="442"/>
      <c r="CZ620" s="442"/>
      <c r="DA620" s="442"/>
      <c r="DB620" s="442"/>
      <c r="DC620" s="1312"/>
      <c r="DD620" s="331"/>
      <c r="DE620" s="331"/>
      <c r="DF620" s="502"/>
      <c r="DG620" s="503"/>
      <c r="DH620" s="3298"/>
      <c r="DI620" s="3213"/>
      <c r="DJ620" s="502"/>
      <c r="DK620" s="503"/>
      <c r="DL620" s="502"/>
      <c r="DM620" s="502"/>
      <c r="DN620" s="502"/>
      <c r="DO620" s="502"/>
      <c r="DP620" s="503"/>
      <c r="DQ620" s="503"/>
      <c r="DR620" s="296"/>
      <c r="DS620" s="296"/>
      <c r="DT620" s="296"/>
    </row>
    <row r="621" spans="1:124" ht="12" customHeight="1" x14ac:dyDescent="0.25">
      <c r="A621" s="311" t="s">
        <v>601</v>
      </c>
      <c r="B621" s="281"/>
      <c r="C621" s="452"/>
      <c r="D621" s="452"/>
      <c r="E621" s="452"/>
      <c r="F621" s="452"/>
      <c r="G621" s="475"/>
      <c r="H621" s="452"/>
      <c r="I621" s="452"/>
      <c r="J621" s="452"/>
      <c r="K621" s="452"/>
      <c r="L621" s="475"/>
      <c r="M621" s="452"/>
      <c r="N621" s="452"/>
      <c r="O621" s="452"/>
      <c r="P621" s="452"/>
      <c r="Q621" s="475"/>
      <c r="R621" s="452"/>
      <c r="S621" s="452">
        <f>S626-S624</f>
        <v>2.5584549999999995</v>
      </c>
      <c r="T621" s="452">
        <f>T626-T624</f>
        <v>3.5653450000000007</v>
      </c>
      <c r="U621" s="452">
        <f>U626-U624</f>
        <v>5.0092200000000009</v>
      </c>
      <c r="V621" s="475">
        <f>SUM(R621:U621)</f>
        <v>11.133020000000002</v>
      </c>
      <c r="W621" s="452">
        <f>W626-W624</f>
        <v>3.3495249999999999</v>
      </c>
      <c r="X621" s="452">
        <f>X626-X624</f>
        <v>3.3396849999999993</v>
      </c>
      <c r="Y621" s="452">
        <f>Y626-Y624</f>
        <v>3.9578150000000001</v>
      </c>
      <c r="Z621" s="452">
        <f>Z626-Z624</f>
        <v>5.1873999999999985</v>
      </c>
      <c r="AA621" s="475">
        <f>SUM(W621:Z621)</f>
        <v>15.834424999999998</v>
      </c>
      <c r="AB621" s="452">
        <f>AB626-AB624</f>
        <v>3.5761099999999999</v>
      </c>
      <c r="AC621" s="452">
        <f>AC626-AC624</f>
        <v>3.895764999999999</v>
      </c>
      <c r="AD621" s="452">
        <f>AD626-AD624</f>
        <v>4.9910999999999994</v>
      </c>
      <c r="AE621" s="452">
        <f>AE626-AE624</f>
        <v>4.9525299999999994</v>
      </c>
      <c r="AF621" s="477">
        <f>SUM(AB621:AE621)</f>
        <v>17.415504999999996</v>
      </c>
      <c r="AG621" s="452">
        <f>AG626-AG624</f>
        <v>3.9279100000000007</v>
      </c>
      <c r="AH621" s="452">
        <f>AH626-AH624</f>
        <v>3.8912399999999998</v>
      </c>
      <c r="AI621" s="452">
        <f>AI626-AI624</f>
        <v>4.4920650000000002</v>
      </c>
      <c r="AJ621" s="452">
        <f>AJ626-AJ624</f>
        <v>5.4770849999999989</v>
      </c>
      <c r="AK621" s="477">
        <f>SUM(AG621:AJ621)</f>
        <v>17.7883</v>
      </c>
      <c r="AL621" s="2875">
        <f>AL626-AL624</f>
        <v>4.3036499999999993</v>
      </c>
      <c r="AM621" s="2875">
        <f>AM626-AM624</f>
        <v>4.1261849999999995</v>
      </c>
      <c r="AN621" s="452">
        <f>AI621*(1+AN623)</f>
        <v>4.5819063</v>
      </c>
      <c r="AO621" s="452">
        <f>AJ621*(1+AO623)</f>
        <v>5.5866266999999992</v>
      </c>
      <c r="AP621" s="478">
        <f>SUM(AL621:AO621)</f>
        <v>18.598367999999997</v>
      </c>
      <c r="AQ621" s="478">
        <f>AL621*(1+AQ623)</f>
        <v>4.2606134999999989</v>
      </c>
      <c r="AR621" s="476">
        <f>AM621*(1+AR623)</f>
        <v>4.0023994499999995</v>
      </c>
      <c r="AS621" s="476">
        <f>AN621*(1+AS623)</f>
        <v>4.444449111</v>
      </c>
      <c r="AT621" s="476">
        <f>AO621*(1+AT623)</f>
        <v>5.307295364999999</v>
      </c>
      <c r="AU621" s="1464">
        <f>SUM(AQ621:AT621)</f>
        <v>18.014757425999996</v>
      </c>
      <c r="AV621" s="1865">
        <f>AQ621*(1+AV623)</f>
        <v>4.1327950949999988</v>
      </c>
      <c r="AW621" s="1771">
        <f>AR621*(1+AW623)</f>
        <v>3.8823274664999996</v>
      </c>
      <c r="AX621" s="1771">
        <f>AS621*(1+AX623)</f>
        <v>4.3111156376699995</v>
      </c>
      <c r="AY621" s="1866">
        <f>AT621*(1+AY623)</f>
        <v>5.1480765040499987</v>
      </c>
      <c r="AZ621" s="1464">
        <f>SUM(AV621:AY621)</f>
        <v>17.474314703219996</v>
      </c>
      <c r="BA621" s="1865">
        <f>AV621*(1+BA623)</f>
        <v>3.9674832911999989</v>
      </c>
      <c r="BB621" s="1771">
        <f>AW621*(1+BB623)</f>
        <v>3.7270343678399995</v>
      </c>
      <c r="BC621" s="1771">
        <f>AX621*(1+BC623)</f>
        <v>4.2680044812932998</v>
      </c>
      <c r="BD621" s="1866">
        <f>AY621*(1+BD623)</f>
        <v>5.0965957390094987</v>
      </c>
      <c r="BE621" s="1866">
        <f>SUM(BA621:BD621)</f>
        <v>17.059117879342796</v>
      </c>
      <c r="BF621" s="1771">
        <f>BA621*(1+BF623)</f>
        <v>3.8484587924639988</v>
      </c>
      <c r="BG621" s="1771">
        <f>BB621*(1+BG623)</f>
        <v>3.6152233368047995</v>
      </c>
      <c r="BH621" s="1771">
        <f>BC621*(1+BH623)</f>
        <v>4.1399643468545007</v>
      </c>
      <c r="BI621" s="1866">
        <f>BD621*(1+BI623)</f>
        <v>4.943697866839214</v>
      </c>
      <c r="BJ621" s="1866">
        <f>SUM(BF621:BI621)</f>
        <v>16.547344342962511</v>
      </c>
      <c r="BK621" s="1771">
        <f>BF621*(1+BK623)</f>
        <v>3.7522473226523987</v>
      </c>
      <c r="BL621" s="1771">
        <f>BG621*(1+BL623)</f>
        <v>3.5248427533846796</v>
      </c>
      <c r="BM621" s="1771">
        <f>BH621*(1+BM623)</f>
        <v>4.0364652381831378</v>
      </c>
      <c r="BN621" s="1866">
        <f>BI621*(1+BN623)</f>
        <v>4.8448239095024297</v>
      </c>
      <c r="BO621" s="1866">
        <f>SUM(BK621:BN621)</f>
        <v>16.158379223722648</v>
      </c>
      <c r="BP621" s="1771">
        <f>BK621*(1+BP623)</f>
        <v>3.6021574297463026</v>
      </c>
      <c r="BQ621" s="1771">
        <f>BL621*(1+BQ623)</f>
        <v>3.3838490432492923</v>
      </c>
      <c r="BR621" s="1771">
        <f>BM621*(1+BR623)</f>
        <v>3.8346419762739807</v>
      </c>
      <c r="BS621" s="1771">
        <f>BN621*(1+BS623)</f>
        <v>4.893272148597454</v>
      </c>
      <c r="BT621" s="2604">
        <f>SUM(BP621:BS621)</f>
        <v>15.713920597867029</v>
      </c>
      <c r="BU621" s="1771">
        <f>BP621*(1+BU623)</f>
        <v>3.6381790040437658</v>
      </c>
      <c r="BV621" s="1771">
        <f>BQ621*(1+BV623)</f>
        <v>3.4176875336817854</v>
      </c>
      <c r="BW621" s="1771">
        <f>BR621*(1+BW623)</f>
        <v>3.8346419762739807</v>
      </c>
      <c r="BX621" s="1771">
        <f>BS621*(1+BX623)</f>
        <v>4.9422048700834287</v>
      </c>
      <c r="BY621" s="2604">
        <f>SUM(BU621:BX621)</f>
        <v>15.832713384082961</v>
      </c>
      <c r="BZ621" s="477">
        <f t="shared" ref="BZ621:CF621" si="1456">BY621*(1+BZ623)</f>
        <v>15.674386250242131</v>
      </c>
      <c r="CA621" s="477">
        <f t="shared" si="1456"/>
        <v>15.831130112744553</v>
      </c>
      <c r="CB621" s="477">
        <f t="shared" si="1456"/>
        <v>15.356196209362215</v>
      </c>
      <c r="CC621" s="477">
        <f t="shared" si="1456"/>
        <v>14.895510323081348</v>
      </c>
      <c r="CD621" s="477">
        <f t="shared" si="1456"/>
        <v>15.044465426312161</v>
      </c>
      <c r="CE621" s="477">
        <f t="shared" si="1456"/>
        <v>15.194910080575283</v>
      </c>
      <c r="CF621" s="477">
        <f t="shared" si="1456"/>
        <v>15.346859181381037</v>
      </c>
      <c r="CG621" s="331"/>
      <c r="CH621" s="331"/>
      <c r="CI621" s="331"/>
      <c r="CJ621" s="331"/>
      <c r="CK621" s="331"/>
      <c r="CL621" s="528" t="str">
        <f t="shared" ref="CL621:CL626" si="1457">A621</f>
        <v>Operating expenses</v>
      </c>
      <c r="CM621" s="476"/>
      <c r="CN621" s="476"/>
      <c r="CO621" s="476"/>
      <c r="CP621" s="476">
        <f t="shared" ref="CP621:CP626" si="1458">V621</f>
        <v>11.133020000000002</v>
      </c>
      <c r="CQ621" s="476">
        <f t="shared" ref="CQ621:CQ626" si="1459">AA621</f>
        <v>15.834424999999998</v>
      </c>
      <c r="CR621" s="476">
        <f t="shared" ref="CR621:CR626" si="1460">AF621</f>
        <v>17.415504999999996</v>
      </c>
      <c r="CS621" s="476">
        <f t="shared" ref="CS621:CS626" si="1461">AK621</f>
        <v>17.7883</v>
      </c>
      <c r="CT621" s="476">
        <f t="shared" ref="CT621:CT626" si="1462">AP621</f>
        <v>18.598367999999997</v>
      </c>
      <c r="CU621" s="476">
        <f t="shared" ref="CU621:CU626" si="1463">AU621</f>
        <v>18.014757425999996</v>
      </c>
      <c r="CV621" s="476">
        <f t="shared" ref="CV621:CV626" si="1464">AZ621</f>
        <v>17.474314703219996</v>
      </c>
      <c r="CW621" s="476">
        <f t="shared" ref="CW621:CW626" si="1465">BE621</f>
        <v>17.059117879342796</v>
      </c>
      <c r="CX621" s="476">
        <f t="shared" ref="CX621:CX626" si="1466">BJ621</f>
        <v>16.547344342962511</v>
      </c>
      <c r="CY621" s="476">
        <f t="shared" ref="CY621:CY626" si="1467">BO621</f>
        <v>16.158379223722648</v>
      </c>
      <c r="CZ621" s="476">
        <f t="shared" ref="CZ621:CZ626" si="1468">BT621</f>
        <v>15.713920597867029</v>
      </c>
      <c r="DA621" s="476">
        <f t="shared" ref="DA621:DC626" si="1469">BY621</f>
        <v>15.832713384082961</v>
      </c>
      <c r="DB621" s="476">
        <f t="shared" si="1469"/>
        <v>15.674386250242131</v>
      </c>
      <c r="DC621" s="682">
        <f t="shared" si="1469"/>
        <v>15.831130112744553</v>
      </c>
      <c r="DD621" s="331"/>
      <c r="DE621" s="331"/>
      <c r="DF621" s="502"/>
      <c r="DG621" s="503"/>
      <c r="DH621" s="2577"/>
      <c r="DI621" s="3213"/>
      <c r="DJ621" s="502"/>
      <c r="DK621" s="503"/>
      <c r="DL621" s="502"/>
      <c r="DM621" s="502"/>
      <c r="DN621" s="502"/>
      <c r="DO621" s="502"/>
      <c r="DP621" s="503"/>
      <c r="DQ621" s="503"/>
      <c r="DR621" s="296"/>
      <c r="DS621" s="296"/>
      <c r="DT621" s="296"/>
    </row>
    <row r="622" spans="1:124" ht="12" customHeight="1" x14ac:dyDescent="0.25">
      <c r="A622" s="465" t="s">
        <v>646</v>
      </c>
      <c r="B622" s="466"/>
      <c r="C622" s="467"/>
      <c r="D622" s="467"/>
      <c r="E622" s="467"/>
      <c r="F622" s="467"/>
      <c r="G622" s="468"/>
      <c r="H622" s="467"/>
      <c r="I622" s="467"/>
      <c r="J622" s="467"/>
      <c r="K622" s="467"/>
      <c r="L622" s="468"/>
      <c r="M622" s="467"/>
      <c r="N622" s="467"/>
      <c r="O622" s="467"/>
      <c r="P622" s="467"/>
      <c r="Q622" s="468"/>
      <c r="R622" s="467"/>
      <c r="S622" s="467">
        <f t="shared" ref="S622:AA622" si="1470">S621/S618</f>
        <v>0.15127150712469695</v>
      </c>
      <c r="T622" s="467">
        <f t="shared" si="1470"/>
        <v>0.17505499091667898</v>
      </c>
      <c r="U622" s="467">
        <f t="shared" si="1470"/>
        <v>0.23526300958106333</v>
      </c>
      <c r="V622" s="468">
        <f t="shared" si="1470"/>
        <v>0.19007409683807966</v>
      </c>
      <c r="W622" s="467">
        <f t="shared" si="1470"/>
        <v>0.15284166096281085</v>
      </c>
      <c r="X622" s="467">
        <f t="shared" si="1470"/>
        <v>0.15539923688986085</v>
      </c>
      <c r="Y622" s="467">
        <f t="shared" si="1470"/>
        <v>0.17201160415489591</v>
      </c>
      <c r="Z622" s="467">
        <f t="shared" si="1470"/>
        <v>0.21759228187919458</v>
      </c>
      <c r="AA622" s="468">
        <f t="shared" si="1470"/>
        <v>0.17544097279929088</v>
      </c>
      <c r="AB622" s="467">
        <f t="shared" ref="AB622:AU622" si="1471">AB621/AB618</f>
        <v>0.16003356305379038</v>
      </c>
      <c r="AC622" s="467">
        <f t="shared" si="1471"/>
        <v>0.19696471004600835</v>
      </c>
      <c r="AD622" s="467">
        <f t="shared" si="1471"/>
        <v>0.25131419939577038</v>
      </c>
      <c r="AE622" s="469">
        <f t="shared" si="1471"/>
        <v>0.25065947970442348</v>
      </c>
      <c r="AF622" s="470">
        <f t="shared" si="1471"/>
        <v>0.21305194328566357</v>
      </c>
      <c r="AG622" s="467">
        <f t="shared" si="1471"/>
        <v>0.19043488800543007</v>
      </c>
      <c r="AH622" s="467">
        <f t="shared" si="1471"/>
        <v>0.19394138755980861</v>
      </c>
      <c r="AI622" s="467">
        <f t="shared" si="1471"/>
        <v>0.20836147316665893</v>
      </c>
      <c r="AJ622" s="469">
        <f t="shared" si="1471"/>
        <v>0.24095222383529094</v>
      </c>
      <c r="AK622" s="470">
        <f t="shared" si="1471"/>
        <v>0.20932337020475408</v>
      </c>
      <c r="AL622" s="467">
        <f t="shared" si="1471"/>
        <v>0.19051128818061086</v>
      </c>
      <c r="AM622" s="467">
        <f t="shared" si="1471"/>
        <v>0.18935271442338578</v>
      </c>
      <c r="AN622" s="467">
        <f t="shared" si="1471"/>
        <v>0.20633854624271078</v>
      </c>
      <c r="AO622" s="469">
        <f t="shared" si="1471"/>
        <v>0.23861288185630755</v>
      </c>
      <c r="AP622" s="471">
        <f t="shared" si="1471"/>
        <v>0.20664922216407383</v>
      </c>
      <c r="AQ622" s="471">
        <f t="shared" si="1471"/>
        <v>0.19051128818061083</v>
      </c>
      <c r="AR622" s="469">
        <f t="shared" si="1471"/>
        <v>0.1874205438680451</v>
      </c>
      <c r="AS622" s="469">
        <f t="shared" si="1471"/>
        <v>0.20423305087288721</v>
      </c>
      <c r="AT622" s="469">
        <f t="shared" si="1471"/>
        <v>0.23369302862215688</v>
      </c>
      <c r="AU622" s="1689">
        <f t="shared" si="1471"/>
        <v>0.20426869012841914</v>
      </c>
      <c r="AV622" s="1730">
        <f t="shared" ref="AV622:BJ622" si="1472">AV621/AV618</f>
        <v>0.18666257528807323</v>
      </c>
      <c r="AW622" s="1465">
        <f t="shared" si="1472"/>
        <v>0.17999794807129083</v>
      </c>
      <c r="AX622" s="1465">
        <f t="shared" si="1472"/>
        <v>0.19422162681049074</v>
      </c>
      <c r="AY622" s="1868">
        <f t="shared" si="1472"/>
        <v>0.22007984248882734</v>
      </c>
      <c r="AZ622" s="1689">
        <f t="shared" si="1472"/>
        <v>0.19568553673971659</v>
      </c>
      <c r="BA622" s="1730">
        <f t="shared" si="1472"/>
        <v>0.17230391565052913</v>
      </c>
      <c r="BB622" s="1465">
        <f t="shared" si="1472"/>
        <v>0.16615195206580691</v>
      </c>
      <c r="BC622" s="1465">
        <f t="shared" si="1472"/>
        <v>0.17479946412944167</v>
      </c>
      <c r="BD622" s="1868">
        <f t="shared" si="1472"/>
        <v>0.19807185823994461</v>
      </c>
      <c r="BE622" s="1868">
        <f t="shared" si="1472"/>
        <v>0.17843298910446831</v>
      </c>
      <c r="BF622" s="1465">
        <f t="shared" si="1472"/>
        <v>0.16226679435049829</v>
      </c>
      <c r="BG622" s="1465">
        <f t="shared" si="1472"/>
        <v>0.1580072485331693</v>
      </c>
      <c r="BH622" s="1465">
        <f t="shared" si="1472"/>
        <v>0.18330322184384693</v>
      </c>
      <c r="BI622" s="1868">
        <f t="shared" si="1472"/>
        <v>0.22603494410911326</v>
      </c>
      <c r="BJ622" s="1868">
        <f t="shared" si="1472"/>
        <v>0.18173172476909005</v>
      </c>
      <c r="BK622" s="1465">
        <f t="shared" ref="BK622:BU622" si="1473">BK621/BK618</f>
        <v>0.18612955822557159</v>
      </c>
      <c r="BL622" s="1465">
        <f t="shared" si="1473"/>
        <v>0.18124360861157657</v>
      </c>
      <c r="BM622" s="1465">
        <f t="shared" si="1473"/>
        <v>0.22340080162218842</v>
      </c>
      <c r="BN622" s="1868">
        <f t="shared" si="1473"/>
        <v>0.26688463280353131</v>
      </c>
      <c r="BO622" s="1868">
        <f t="shared" si="1473"/>
        <v>0.21308986472684541</v>
      </c>
      <c r="BP622" s="1465">
        <f t="shared" si="1473"/>
        <v>0.20421071531034141</v>
      </c>
      <c r="BQ622" s="1465">
        <f t="shared" si="1473"/>
        <v>0.19885013059098683</v>
      </c>
      <c r="BR622" s="1465">
        <f t="shared" si="1473"/>
        <v>0.22943866112549077</v>
      </c>
      <c r="BS622" s="1465">
        <f t="shared" si="1473"/>
        <v>0.26426811679565354</v>
      </c>
      <c r="BT622" s="470">
        <f t="shared" si="1473"/>
        <v>0.22485089413405895</v>
      </c>
      <c r="BU622" s="1465">
        <f t="shared" si="1473"/>
        <v>0.20220864947396552</v>
      </c>
      <c r="BV622" s="1465">
        <f t="shared" ref="BV622:CF622" si="1474">BV621/BV618</f>
        <v>0.19690061950676149</v>
      </c>
      <c r="BW622" s="1465">
        <f t="shared" si="1474"/>
        <v>0.22493986384852038</v>
      </c>
      <c r="BX622" s="1465">
        <f t="shared" si="1474"/>
        <v>0.26167725290550009</v>
      </c>
      <c r="BY622" s="470">
        <f t="shared" si="1474"/>
        <v>0.22210853251804891</v>
      </c>
      <c r="BZ622" s="470">
        <f t="shared" si="1474"/>
        <v>0.21557592862045927</v>
      </c>
      <c r="CA622" s="470">
        <f t="shared" si="1474"/>
        <v>0.21557592862045927</v>
      </c>
      <c r="CB622" s="470">
        <f t="shared" si="1474"/>
        <v>0.22011436922299524</v>
      </c>
      <c r="CC622" s="470">
        <f t="shared" si="1474"/>
        <v>0.22474835594347933</v>
      </c>
      <c r="CD622" s="470">
        <f t="shared" si="1474"/>
        <v>0.2225449406891315</v>
      </c>
      <c r="CE622" s="470">
        <f t="shared" si="1474"/>
        <v>0.22036312754512041</v>
      </c>
      <c r="CF622" s="470">
        <f t="shared" si="1474"/>
        <v>0.21820270472605061</v>
      </c>
      <c r="CG622" s="492"/>
      <c r="CH622" s="492"/>
      <c r="CI622" s="492"/>
      <c r="CJ622" s="492"/>
      <c r="CK622" s="492"/>
      <c r="CL622" s="1310" t="str">
        <f t="shared" si="1457"/>
        <v>% of Net revenue</v>
      </c>
      <c r="CM622" s="469"/>
      <c r="CN622" s="469"/>
      <c r="CO622" s="469"/>
      <c r="CP622" s="469">
        <f t="shared" si="1458"/>
        <v>0.19007409683807966</v>
      </c>
      <c r="CQ622" s="469">
        <f t="shared" si="1459"/>
        <v>0.17544097279929088</v>
      </c>
      <c r="CR622" s="469">
        <f t="shared" si="1460"/>
        <v>0.21305194328566357</v>
      </c>
      <c r="CS622" s="469">
        <f t="shared" si="1461"/>
        <v>0.20932337020475408</v>
      </c>
      <c r="CT622" s="469">
        <f t="shared" si="1462"/>
        <v>0.20664922216407383</v>
      </c>
      <c r="CU622" s="469">
        <f t="shared" si="1463"/>
        <v>0.20426869012841914</v>
      </c>
      <c r="CV622" s="469">
        <f t="shared" si="1464"/>
        <v>0.19568553673971659</v>
      </c>
      <c r="CW622" s="469">
        <f t="shared" si="1465"/>
        <v>0.17843298910446831</v>
      </c>
      <c r="CX622" s="469">
        <f t="shared" si="1466"/>
        <v>0.18173172476909005</v>
      </c>
      <c r="CY622" s="469">
        <f t="shared" si="1467"/>
        <v>0.21308986472684541</v>
      </c>
      <c r="CZ622" s="469">
        <f t="shared" si="1468"/>
        <v>0.22485089413405895</v>
      </c>
      <c r="DA622" s="469">
        <f t="shared" si="1469"/>
        <v>0.22210853251804891</v>
      </c>
      <c r="DB622" s="469">
        <f t="shared" si="1469"/>
        <v>0.21557592862045927</v>
      </c>
      <c r="DC622" s="1463">
        <f t="shared" si="1469"/>
        <v>0.21557592862045927</v>
      </c>
      <c r="DD622" s="492"/>
      <c r="DE622" s="492"/>
      <c r="DF622" s="962"/>
      <c r="DG622" s="962"/>
      <c r="DH622" s="469"/>
      <c r="DI622" s="3213"/>
      <c r="DJ622" s="962"/>
      <c r="DK622" s="962"/>
      <c r="DL622" s="962"/>
      <c r="DM622" s="962"/>
      <c r="DN622" s="962"/>
      <c r="DO622" s="962"/>
      <c r="DP622" s="962"/>
      <c r="DQ622" s="962"/>
      <c r="DR622" s="963"/>
      <c r="DS622" s="963"/>
      <c r="DT622" s="963"/>
    </row>
    <row r="623" spans="1:124" ht="12" customHeight="1" x14ac:dyDescent="0.25">
      <c r="A623" s="465" t="s">
        <v>1491</v>
      </c>
      <c r="B623" s="466"/>
      <c r="C623" s="467"/>
      <c r="D623" s="467"/>
      <c r="E623" s="467"/>
      <c r="F623" s="467"/>
      <c r="G623" s="468"/>
      <c r="H623" s="467"/>
      <c r="I623" s="467"/>
      <c r="J623" s="467"/>
      <c r="K623" s="467"/>
      <c r="L623" s="468"/>
      <c r="M623" s="467"/>
      <c r="N623" s="467"/>
      <c r="O623" s="467"/>
      <c r="P623" s="467"/>
      <c r="Q623" s="468"/>
      <c r="R623" s="467"/>
      <c r="S623" s="467" t="s">
        <v>553</v>
      </c>
      <c r="T623" s="467" t="s">
        <v>553</v>
      </c>
      <c r="U623" s="467" t="s">
        <v>553</v>
      </c>
      <c r="V623" s="468" t="s">
        <v>553</v>
      </c>
      <c r="W623" s="467" t="s">
        <v>553</v>
      </c>
      <c r="X623" s="467">
        <f t="shared" ref="X623:AF623" si="1475">(X621-S621)/S621</f>
        <v>0.30535225360618029</v>
      </c>
      <c r="Y623" s="467">
        <f t="shared" si="1475"/>
        <v>0.11007910875385113</v>
      </c>
      <c r="Z623" s="467">
        <f t="shared" si="1475"/>
        <v>3.5570408167338932E-2</v>
      </c>
      <c r="AA623" s="468">
        <f t="shared" si="1475"/>
        <v>0.42229377114206162</v>
      </c>
      <c r="AB623" s="467">
        <f t="shared" si="1475"/>
        <v>6.764690515819409E-2</v>
      </c>
      <c r="AC623" s="467">
        <f t="shared" si="1475"/>
        <v>0.16650672144229164</v>
      </c>
      <c r="AD623" s="467">
        <f t="shared" si="1475"/>
        <v>0.26107460808552174</v>
      </c>
      <c r="AE623" s="469">
        <f t="shared" si="1475"/>
        <v>-4.5277017388286829E-2</v>
      </c>
      <c r="AF623" s="470">
        <f t="shared" si="1475"/>
        <v>9.9850799760647993E-2</v>
      </c>
      <c r="AG623" s="467">
        <f t="shared" ref="AG623:AM623" si="1476">(AG621-AB621)/AB621</f>
        <v>9.8375049984480559E-2</v>
      </c>
      <c r="AH623" s="467">
        <f t="shared" si="1476"/>
        <v>-1.1615176993476828E-3</v>
      </c>
      <c r="AI623" s="467">
        <f t="shared" si="1476"/>
        <v>-9.9984973252389114E-2</v>
      </c>
      <c r="AJ623" s="467">
        <f t="shared" si="1476"/>
        <v>0.10591657193394073</v>
      </c>
      <c r="AK623" s="470">
        <f t="shared" si="1476"/>
        <v>2.1405925352150492E-2</v>
      </c>
      <c r="AL623" s="467">
        <f t="shared" si="1476"/>
        <v>9.5659014590456143E-2</v>
      </c>
      <c r="AM623" s="467">
        <f t="shared" si="1476"/>
        <v>6.0377925802571869E-2</v>
      </c>
      <c r="AN623" s="538">
        <v>0.02</v>
      </c>
      <c r="AO623" s="469">
        <f>AN623</f>
        <v>0.02</v>
      </c>
      <c r="AP623" s="471">
        <f>(AP621-AK621)/AK621</f>
        <v>4.5539371384561628E-2</v>
      </c>
      <c r="AQ623" s="1667">
        <v>-0.01</v>
      </c>
      <c r="AR623" s="540">
        <v>-0.03</v>
      </c>
      <c r="AS623" s="540">
        <v>-0.03</v>
      </c>
      <c r="AT623" s="540">
        <v>-0.05</v>
      </c>
      <c r="AU623" s="1689">
        <f>(AU621-AP621)/AP621</f>
        <v>-3.137966589326556E-2</v>
      </c>
      <c r="AV623" s="1667">
        <v>-0.03</v>
      </c>
      <c r="AW623" s="540">
        <v>-0.03</v>
      </c>
      <c r="AX623" s="540">
        <v>-0.03</v>
      </c>
      <c r="AY623" s="1668">
        <v>-0.03</v>
      </c>
      <c r="AZ623" s="1689">
        <f>(AZ621-AU621)/AU621</f>
        <v>-3.0000000000000002E-2</v>
      </c>
      <c r="BA623" s="1667">
        <v>-0.04</v>
      </c>
      <c r="BB623" s="540">
        <v>-0.04</v>
      </c>
      <c r="BC623" s="540">
        <v>-0.01</v>
      </c>
      <c r="BD623" s="1668">
        <v>-0.01</v>
      </c>
      <c r="BE623" s="1868">
        <f>(BE621-AZ621)/AZ621</f>
        <v>-2.3760406684257027E-2</v>
      </c>
      <c r="BF623" s="540">
        <v>-0.03</v>
      </c>
      <c r="BG623" s="540">
        <v>-0.03</v>
      </c>
      <c r="BH623" s="540">
        <v>-0.03</v>
      </c>
      <c r="BI623" s="1668">
        <v>-0.03</v>
      </c>
      <c r="BJ623" s="1868">
        <f>(BJ621-BE621)/BE621</f>
        <v>-3.000000000000011E-2</v>
      </c>
      <c r="BK623" s="540">
        <v>-2.5000000000000001E-2</v>
      </c>
      <c r="BL623" s="540">
        <v>-2.5000000000000001E-2</v>
      </c>
      <c r="BM623" s="540">
        <v>-2.5000000000000001E-2</v>
      </c>
      <c r="BN623" s="1668">
        <v>-0.02</v>
      </c>
      <c r="BO623" s="1868">
        <f>(BO621-BJ621)/BJ621</f>
        <v>-2.3506195990010186E-2</v>
      </c>
      <c r="BP623" s="540">
        <v>-0.04</v>
      </c>
      <c r="BQ623" s="540">
        <v>-0.04</v>
      </c>
      <c r="BR623" s="540">
        <v>-0.05</v>
      </c>
      <c r="BS623" s="540">
        <v>0.01</v>
      </c>
      <c r="BT623" s="470">
        <f>(BT621-BO621)/BO621</f>
        <v>-2.7506386606095654E-2</v>
      </c>
      <c r="BU623" s="540">
        <v>0.01</v>
      </c>
      <c r="BV623" s="540">
        <v>0.01</v>
      </c>
      <c r="BW623" s="540">
        <v>0</v>
      </c>
      <c r="BX623" s="540">
        <v>0.01</v>
      </c>
      <c r="BY623" s="470">
        <f>(BY621-BT621)/BT621</f>
        <v>7.5597165886186939E-3</v>
      </c>
      <c r="BZ623" s="539">
        <v>-0.01</v>
      </c>
      <c r="CA623" s="539">
        <v>0.01</v>
      </c>
      <c r="CB623" s="539">
        <v>-0.03</v>
      </c>
      <c r="CC623" s="539">
        <v>-0.03</v>
      </c>
      <c r="CD623" s="539">
        <v>0.01</v>
      </c>
      <c r="CE623" s="539">
        <v>0.01</v>
      </c>
      <c r="CF623" s="539">
        <v>0.01</v>
      </c>
      <c r="CG623" s="492"/>
      <c r="CH623" s="492"/>
      <c r="CI623" s="492"/>
      <c r="CJ623" s="492"/>
      <c r="CK623" s="492"/>
      <c r="CL623" s="1310" t="str">
        <f t="shared" si="1457"/>
        <v>% growth (y-o-y)</v>
      </c>
      <c r="CM623" s="469"/>
      <c r="CN623" s="469"/>
      <c r="CO623" s="469"/>
      <c r="CP623" s="469" t="str">
        <f t="shared" si="1458"/>
        <v xml:space="preserve">n/a </v>
      </c>
      <c r="CQ623" s="469">
        <f t="shared" si="1459"/>
        <v>0.42229377114206162</v>
      </c>
      <c r="CR623" s="469">
        <f t="shared" si="1460"/>
        <v>9.9850799760647993E-2</v>
      </c>
      <c r="CS623" s="469">
        <f t="shared" si="1461"/>
        <v>2.1405925352150492E-2</v>
      </c>
      <c r="CT623" s="469">
        <f t="shared" si="1462"/>
        <v>4.5539371384561628E-2</v>
      </c>
      <c r="CU623" s="469">
        <f t="shared" si="1463"/>
        <v>-3.137966589326556E-2</v>
      </c>
      <c r="CV623" s="469">
        <f t="shared" si="1464"/>
        <v>-3.0000000000000002E-2</v>
      </c>
      <c r="CW623" s="469">
        <f t="shared" si="1465"/>
        <v>-2.3760406684257027E-2</v>
      </c>
      <c r="CX623" s="469">
        <f t="shared" si="1466"/>
        <v>-3.000000000000011E-2</v>
      </c>
      <c r="CY623" s="469">
        <f t="shared" si="1467"/>
        <v>-2.3506195990010186E-2</v>
      </c>
      <c r="CZ623" s="469">
        <f t="shared" si="1468"/>
        <v>-2.7506386606095654E-2</v>
      </c>
      <c r="DA623" s="469">
        <f t="shared" si="1469"/>
        <v>7.5597165886186939E-3</v>
      </c>
      <c r="DB623" s="469">
        <f t="shared" si="1469"/>
        <v>-0.01</v>
      </c>
      <c r="DC623" s="1463">
        <f t="shared" si="1469"/>
        <v>0.01</v>
      </c>
      <c r="DD623" s="492"/>
      <c r="DE623" s="492"/>
      <c r="DF623" s="962"/>
      <c r="DG623" s="962"/>
      <c r="DH623" s="469"/>
      <c r="DI623" s="3213"/>
      <c r="DJ623" s="962"/>
      <c r="DK623" s="962"/>
      <c r="DL623" s="962"/>
      <c r="DM623" s="962"/>
      <c r="DN623" s="962"/>
      <c r="DO623" s="962"/>
      <c r="DP623" s="962"/>
      <c r="DQ623" s="962"/>
      <c r="DR623" s="963"/>
      <c r="DS623" s="963"/>
      <c r="DT623" s="963"/>
    </row>
    <row r="624" spans="1:124" ht="12" customHeight="1" x14ac:dyDescent="0.25">
      <c r="A624" s="281" t="s">
        <v>2161</v>
      </c>
      <c r="B624" s="281"/>
      <c r="C624" s="452"/>
      <c r="D624" s="452"/>
      <c r="E624" s="452"/>
      <c r="F624" s="452"/>
      <c r="G624" s="475"/>
      <c r="H624" s="452"/>
      <c r="I624" s="452"/>
      <c r="J624" s="452"/>
      <c r="K624" s="452"/>
      <c r="L624" s="475"/>
      <c r="M624" s="452"/>
      <c r="N624" s="452"/>
      <c r="O624" s="452"/>
      <c r="P624" s="452"/>
      <c r="Q624" s="475"/>
      <c r="R624" s="452"/>
      <c r="S624" s="452">
        <f>S625*S618</f>
        <v>7.8645450000000006</v>
      </c>
      <c r="T624" s="452">
        <f>T625*T618</f>
        <v>9.4706550000000007</v>
      </c>
      <c r="U624" s="452">
        <f>U625*U618</f>
        <v>9.900780000000001</v>
      </c>
      <c r="V624" s="475">
        <f>SUM(R624:U624)</f>
        <v>27.235980000000001</v>
      </c>
      <c r="W624" s="452">
        <f>W625*W618</f>
        <v>10.190474999999999</v>
      </c>
      <c r="X624" s="452">
        <f>X625*X618</f>
        <v>9.9933150000000008</v>
      </c>
      <c r="Y624" s="452">
        <f>Y625*Y618</f>
        <v>10.699185</v>
      </c>
      <c r="Z624" s="452">
        <f>Z625*Z618</f>
        <v>11.085600000000001</v>
      </c>
      <c r="AA624" s="475">
        <f>SUM(W624:Z624)</f>
        <v>41.968575000000001</v>
      </c>
      <c r="AB624" s="452">
        <f>AB625*AB618</f>
        <v>10.390890000000001</v>
      </c>
      <c r="AC624" s="452">
        <f>AC625*AC618</f>
        <v>9.1972350000000009</v>
      </c>
      <c r="AD624" s="452">
        <f>AD625*AD618</f>
        <v>9.2348999999999997</v>
      </c>
      <c r="AE624" s="452">
        <f>AE625*AE618</f>
        <v>9.1874699999999994</v>
      </c>
      <c r="AF624" s="475">
        <f>SUM(AB624:AE624)</f>
        <v>38.010494999999999</v>
      </c>
      <c r="AG624" s="452">
        <f>AG625*AG618</f>
        <v>9.5910900000000012</v>
      </c>
      <c r="AH624" s="452">
        <f>AH625*AH618</f>
        <v>9.3297600000000003</v>
      </c>
      <c r="AI624" s="452">
        <f>AI625*AI618</f>
        <v>10.024935000000001</v>
      </c>
      <c r="AJ624" s="452">
        <f>AJ625*AJ618</f>
        <v>10.569915000000002</v>
      </c>
      <c r="AK624" s="475">
        <f>SUM(AG624:AJ624)</f>
        <v>39.515700000000002</v>
      </c>
      <c r="AL624" s="452">
        <f>AL625*AL618</f>
        <v>10.504350000000001</v>
      </c>
      <c r="AM624" s="452">
        <f>AM625*AM618</f>
        <v>10.132815000000001</v>
      </c>
      <c r="AN624" s="452">
        <f>AN625*AN618</f>
        <v>10.32568305</v>
      </c>
      <c r="AO624" s="452">
        <f>AO625*AO618</f>
        <v>10.887012450000002</v>
      </c>
      <c r="AP624" s="584">
        <f>SUM(AL624:AO624)</f>
        <v>41.849860500000005</v>
      </c>
      <c r="AQ624" s="584">
        <f>AQ625*AQ618</f>
        <v>10.399306500000002</v>
      </c>
      <c r="AR624" s="452">
        <f>AR625*AR618</f>
        <v>9.9301587000000016</v>
      </c>
      <c r="AS624" s="452">
        <f>AS625*AS618</f>
        <v>10.119169389</v>
      </c>
      <c r="AT624" s="452">
        <f>AT625*AT618</f>
        <v>10.560402076500001</v>
      </c>
      <c r="AU624" s="1695">
        <f>SUM(AQ624:AT624)</f>
        <v>41.009036665500005</v>
      </c>
      <c r="AV624" s="1914">
        <f>AV625*AV618</f>
        <v>10.295313435000001</v>
      </c>
      <c r="AW624" s="1842">
        <f>AW625*AW618</f>
        <v>10.029460287000001</v>
      </c>
      <c r="AX624" s="1842">
        <f>AX625*AX618</f>
        <v>10.321552776780001</v>
      </c>
      <c r="AY624" s="1908">
        <f>AY625*AY618</f>
        <v>10.877214138795001</v>
      </c>
      <c r="AZ624" s="1695">
        <f>SUM(AV624:AY624)</f>
        <v>41.52354063757501</v>
      </c>
      <c r="BA624" s="1914">
        <f>BA625*BA618</f>
        <v>10.707125972400002</v>
      </c>
      <c r="BB624" s="1842">
        <f>BB625*BB618</f>
        <v>10.430638698480003</v>
      </c>
      <c r="BC624" s="1842">
        <f>BC625*BC618</f>
        <v>11.353708054458002</v>
      </c>
      <c r="BD624" s="1908">
        <f>BD625*BD618</f>
        <v>11.9649355526745</v>
      </c>
      <c r="BE624" s="1908">
        <f>SUM(BA624:BD624)</f>
        <v>44.456408278012503</v>
      </c>
      <c r="BF624" s="1842">
        <f>BF625*BF618</f>
        <v>11.028339751572002</v>
      </c>
      <c r="BG624" s="1842">
        <f>BG625*BG618</f>
        <v>10.639251472449603</v>
      </c>
      <c r="BH624" s="1842">
        <f>BH625*BH618</f>
        <v>10.502179950373652</v>
      </c>
      <c r="BI624" s="1908">
        <f>BI625*BI618</f>
        <v>10.170195219773326</v>
      </c>
      <c r="BJ624" s="1908">
        <f>SUM(BF624:BI624)</f>
        <v>42.339966394168584</v>
      </c>
      <c r="BK624" s="1842">
        <f>BK625*BK618</f>
        <v>9.3740887888362003</v>
      </c>
      <c r="BL624" s="1842">
        <f>BL625*BL618</f>
        <v>9.043363751582163</v>
      </c>
      <c r="BM624" s="1842">
        <f>BM625*BM618</f>
        <v>8.4017439602989228</v>
      </c>
      <c r="BN624" s="1908">
        <f>BN625*BN618</f>
        <v>8.4412620324118599</v>
      </c>
      <c r="BO624" s="1908">
        <f>SUM(BK624:BN624)</f>
        <v>35.260458533129146</v>
      </c>
      <c r="BP624" s="1842">
        <f>BP625*BP618</f>
        <v>8.2023276902316749</v>
      </c>
      <c r="BQ624" s="1842">
        <f>BQ625*BQ618</f>
        <v>7.9129432826343926</v>
      </c>
      <c r="BR624" s="1842">
        <f>BR625*BR618</f>
        <v>7.7716131632765038</v>
      </c>
      <c r="BS624" s="1842">
        <f>BS625*BS618</f>
        <v>8.6100872730600972</v>
      </c>
      <c r="BT624" s="3239">
        <f>SUM(BP624:BS624)</f>
        <v>32.496971409202665</v>
      </c>
      <c r="BU624" s="1842">
        <f>BU625*BU618</f>
        <v>8.366374244036308</v>
      </c>
      <c r="BV624" s="1842">
        <f>BV625*BV618</f>
        <v>8.0712021482870799</v>
      </c>
      <c r="BW624" s="1842">
        <f>BW625*BW618</f>
        <v>7.9270454265420334</v>
      </c>
      <c r="BX624" s="1842">
        <f>BX625*BX618</f>
        <v>8.7822890185213005</v>
      </c>
      <c r="BY624" s="3239">
        <f>SUM(BU624:BX624)</f>
        <v>33.14691083738672</v>
      </c>
      <c r="BZ624" s="475">
        <f t="shared" ref="BZ624:CF624" si="1477">BZ625*BZ618</f>
        <v>33.809849054134453</v>
      </c>
      <c r="CA624" s="475">
        <f t="shared" si="1477"/>
        <v>34.147947544675802</v>
      </c>
      <c r="CB624" s="475">
        <f t="shared" si="1477"/>
        <v>32.440550167442012</v>
      </c>
      <c r="CC624" s="475">
        <f t="shared" si="1477"/>
        <v>30.81852265906991</v>
      </c>
      <c r="CD624" s="475">
        <f t="shared" si="1477"/>
        <v>31.434893112251306</v>
      </c>
      <c r="CE624" s="475">
        <f t="shared" si="1477"/>
        <v>32.063590974496336</v>
      </c>
      <c r="CF624" s="475">
        <f t="shared" si="1477"/>
        <v>32.704862793986258</v>
      </c>
      <c r="CG624" s="331"/>
      <c r="CH624" s="331"/>
      <c r="CI624" s="331"/>
      <c r="CJ624" s="331"/>
      <c r="CK624" s="331"/>
      <c r="CL624" s="520" t="str">
        <f t="shared" si="1457"/>
        <v>Tax expense</v>
      </c>
      <c r="CM624" s="476"/>
      <c r="CN624" s="476"/>
      <c r="CO624" s="476"/>
      <c r="CP624" s="476">
        <f t="shared" si="1458"/>
        <v>27.235980000000001</v>
      </c>
      <c r="CQ624" s="476">
        <f t="shared" si="1459"/>
        <v>41.968575000000001</v>
      </c>
      <c r="CR624" s="476">
        <f t="shared" si="1460"/>
        <v>38.010494999999999</v>
      </c>
      <c r="CS624" s="476">
        <f t="shared" si="1461"/>
        <v>39.515700000000002</v>
      </c>
      <c r="CT624" s="476">
        <f t="shared" si="1462"/>
        <v>41.849860500000005</v>
      </c>
      <c r="CU624" s="476">
        <f t="shared" si="1463"/>
        <v>41.009036665500005</v>
      </c>
      <c r="CV624" s="476">
        <f t="shared" si="1464"/>
        <v>41.52354063757501</v>
      </c>
      <c r="CW624" s="476">
        <f t="shared" si="1465"/>
        <v>44.456408278012503</v>
      </c>
      <c r="CX624" s="476">
        <f t="shared" si="1466"/>
        <v>42.339966394168584</v>
      </c>
      <c r="CY624" s="476">
        <f t="shared" si="1467"/>
        <v>35.260458533129146</v>
      </c>
      <c r="CZ624" s="476">
        <f t="shared" si="1468"/>
        <v>32.496971409202665</v>
      </c>
      <c r="DA624" s="476">
        <f t="shared" si="1469"/>
        <v>33.14691083738672</v>
      </c>
      <c r="DB624" s="476">
        <f t="shared" si="1469"/>
        <v>33.809849054134453</v>
      </c>
      <c r="DC624" s="682">
        <f t="shared" si="1469"/>
        <v>34.147947544675802</v>
      </c>
      <c r="DD624" s="331"/>
      <c r="DE624" s="331"/>
      <c r="DF624" s="502"/>
      <c r="DG624" s="503"/>
      <c r="DH624" s="2577"/>
      <c r="DI624" s="3213"/>
      <c r="DJ624" s="502"/>
      <c r="DK624" s="503"/>
      <c r="DL624" s="502"/>
      <c r="DM624" s="502"/>
      <c r="DN624" s="502"/>
      <c r="DO624" s="502"/>
      <c r="DP624" s="503"/>
      <c r="DQ624" s="503"/>
      <c r="DR624" s="296"/>
      <c r="DS624" s="296"/>
      <c r="DT624" s="296"/>
    </row>
    <row r="625" spans="1:124" ht="12" customHeight="1" x14ac:dyDescent="0.25">
      <c r="A625" s="465" t="s">
        <v>1810</v>
      </c>
      <c r="B625" s="466"/>
      <c r="C625" s="467"/>
      <c r="D625" s="467"/>
      <c r="E625" s="467"/>
      <c r="F625" s="467"/>
      <c r="G625" s="468"/>
      <c r="H625" s="467"/>
      <c r="I625" s="467"/>
      <c r="J625" s="467"/>
      <c r="K625" s="467"/>
      <c r="L625" s="468"/>
      <c r="M625" s="467"/>
      <c r="N625" s="467"/>
      <c r="O625" s="467"/>
      <c r="P625" s="467"/>
      <c r="Q625" s="468"/>
      <c r="R625" s="467"/>
      <c r="S625" s="540">
        <v>0.46500000000000002</v>
      </c>
      <c r="T625" s="469">
        <f>S625</f>
        <v>0.46500000000000002</v>
      </c>
      <c r="U625" s="469">
        <f>T625</f>
        <v>0.46500000000000002</v>
      </c>
      <c r="V625" s="470">
        <f>U625</f>
        <v>0.46500000000000002</v>
      </c>
      <c r="W625" s="469">
        <f>U625</f>
        <v>0.46500000000000002</v>
      </c>
      <c r="X625" s="469">
        <f>W625</f>
        <v>0.46500000000000002</v>
      </c>
      <c r="Y625" s="469">
        <f>X625</f>
        <v>0.46500000000000002</v>
      </c>
      <c r="Z625" s="469">
        <f>Y625</f>
        <v>0.46500000000000002</v>
      </c>
      <c r="AA625" s="470">
        <f>Z625</f>
        <v>0.46500000000000002</v>
      </c>
      <c r="AB625" s="469">
        <f>Z625</f>
        <v>0.46500000000000002</v>
      </c>
      <c r="AC625" s="469">
        <f>AB625</f>
        <v>0.46500000000000002</v>
      </c>
      <c r="AD625" s="469">
        <f>AC625</f>
        <v>0.46500000000000002</v>
      </c>
      <c r="AE625" s="469">
        <f>AD625</f>
        <v>0.46500000000000002</v>
      </c>
      <c r="AF625" s="470">
        <f>AE625</f>
        <v>0.46500000000000002</v>
      </c>
      <c r="AG625" s="469">
        <f>AE625</f>
        <v>0.46500000000000002</v>
      </c>
      <c r="AH625" s="469">
        <f>AG625</f>
        <v>0.46500000000000002</v>
      </c>
      <c r="AI625" s="469">
        <f>AH625</f>
        <v>0.46500000000000002</v>
      </c>
      <c r="AJ625" s="469">
        <f>AI625</f>
        <v>0.46500000000000002</v>
      </c>
      <c r="AK625" s="470">
        <f>AJ625</f>
        <v>0.46500000000000002</v>
      </c>
      <c r="AL625" s="469">
        <f>AJ625</f>
        <v>0.46500000000000002</v>
      </c>
      <c r="AM625" s="469">
        <f>AK625</f>
        <v>0.46500000000000002</v>
      </c>
      <c r="AN625" s="469">
        <f>AM625</f>
        <v>0.46500000000000002</v>
      </c>
      <c r="AO625" s="469">
        <f>AN625</f>
        <v>0.46500000000000002</v>
      </c>
      <c r="AP625" s="471">
        <f>AO625</f>
        <v>0.46500000000000002</v>
      </c>
      <c r="AQ625" s="471">
        <f>+AO625</f>
        <v>0.46500000000000002</v>
      </c>
      <c r="AR625" s="469">
        <f t="shared" ref="AR625:BE625" si="1478">AQ625</f>
        <v>0.46500000000000002</v>
      </c>
      <c r="AS625" s="469">
        <f t="shared" si="1478"/>
        <v>0.46500000000000002</v>
      </c>
      <c r="AT625" s="469">
        <f t="shared" si="1478"/>
        <v>0.46500000000000002</v>
      </c>
      <c r="AU625" s="1689">
        <f t="shared" si="1478"/>
        <v>0.46500000000000002</v>
      </c>
      <c r="AV625" s="1730">
        <f t="shared" si="1478"/>
        <v>0.46500000000000002</v>
      </c>
      <c r="AW625" s="1465">
        <f t="shared" si="1478"/>
        <v>0.46500000000000002</v>
      </c>
      <c r="AX625" s="1465">
        <f t="shared" si="1478"/>
        <v>0.46500000000000002</v>
      </c>
      <c r="AY625" s="1868">
        <f t="shared" si="1478"/>
        <v>0.46500000000000002</v>
      </c>
      <c r="AZ625" s="1689">
        <f t="shared" si="1478"/>
        <v>0.46500000000000002</v>
      </c>
      <c r="BA625" s="1730">
        <f t="shared" si="1478"/>
        <v>0.46500000000000002</v>
      </c>
      <c r="BB625" s="1465">
        <f t="shared" si="1478"/>
        <v>0.46500000000000002</v>
      </c>
      <c r="BC625" s="1465">
        <f t="shared" si="1478"/>
        <v>0.46500000000000002</v>
      </c>
      <c r="BD625" s="1868">
        <f t="shared" si="1478"/>
        <v>0.46500000000000002</v>
      </c>
      <c r="BE625" s="1868">
        <f t="shared" si="1478"/>
        <v>0.46500000000000002</v>
      </c>
      <c r="BF625" s="1465">
        <f>BD625</f>
        <v>0.46500000000000002</v>
      </c>
      <c r="BG625" s="1465">
        <f t="shared" ref="BG625:BO625" si="1479">BF625</f>
        <v>0.46500000000000002</v>
      </c>
      <c r="BH625" s="1465">
        <f t="shared" si="1479"/>
        <v>0.46500000000000002</v>
      </c>
      <c r="BI625" s="1868">
        <f t="shared" si="1479"/>
        <v>0.46500000000000002</v>
      </c>
      <c r="BJ625" s="1868">
        <f t="shared" si="1479"/>
        <v>0.46500000000000002</v>
      </c>
      <c r="BK625" s="1465">
        <f t="shared" si="1479"/>
        <v>0.46500000000000002</v>
      </c>
      <c r="BL625" s="1465">
        <f>BK625</f>
        <v>0.46500000000000002</v>
      </c>
      <c r="BM625" s="1465">
        <f t="shared" si="1479"/>
        <v>0.46500000000000002</v>
      </c>
      <c r="BN625" s="1868">
        <f t="shared" si="1479"/>
        <v>0.46500000000000002</v>
      </c>
      <c r="BO625" s="1868">
        <f t="shared" si="1479"/>
        <v>0.46500000000000002</v>
      </c>
      <c r="BP625" s="1465">
        <f t="shared" ref="BP625:BX625" si="1480">BO625</f>
        <v>0.46500000000000002</v>
      </c>
      <c r="BQ625" s="1465">
        <f t="shared" si="1480"/>
        <v>0.46500000000000002</v>
      </c>
      <c r="BR625" s="1465">
        <f t="shared" si="1480"/>
        <v>0.46500000000000002</v>
      </c>
      <c r="BS625" s="1465">
        <f t="shared" si="1480"/>
        <v>0.46500000000000002</v>
      </c>
      <c r="BT625" s="470">
        <f t="shared" si="1480"/>
        <v>0.46500000000000002</v>
      </c>
      <c r="BU625" s="1465">
        <f t="shared" si="1480"/>
        <v>0.46500000000000002</v>
      </c>
      <c r="BV625" s="1465">
        <f t="shared" si="1480"/>
        <v>0.46500000000000002</v>
      </c>
      <c r="BW625" s="1465">
        <f t="shared" si="1480"/>
        <v>0.46500000000000002</v>
      </c>
      <c r="BX625" s="1465">
        <f t="shared" si="1480"/>
        <v>0.46500000000000002</v>
      </c>
      <c r="BY625" s="470">
        <f>BX625</f>
        <v>0.46500000000000002</v>
      </c>
      <c r="BZ625" s="470">
        <f t="shared" ref="BZ625:CF625" si="1481">BY625</f>
        <v>0.46500000000000002</v>
      </c>
      <c r="CA625" s="470">
        <f t="shared" si="1481"/>
        <v>0.46500000000000002</v>
      </c>
      <c r="CB625" s="470">
        <f t="shared" si="1481"/>
        <v>0.46500000000000002</v>
      </c>
      <c r="CC625" s="470">
        <f t="shared" si="1481"/>
        <v>0.46500000000000002</v>
      </c>
      <c r="CD625" s="470">
        <f t="shared" si="1481"/>
        <v>0.46500000000000002</v>
      </c>
      <c r="CE625" s="470">
        <f t="shared" si="1481"/>
        <v>0.46500000000000002</v>
      </c>
      <c r="CF625" s="470">
        <f t="shared" si="1481"/>
        <v>0.46500000000000002</v>
      </c>
      <c r="CG625" s="492"/>
      <c r="CH625" s="492"/>
      <c r="CI625" s="492"/>
      <c r="CJ625" s="492"/>
      <c r="CK625" s="492"/>
      <c r="CL625" s="1310" t="str">
        <f t="shared" si="1457"/>
        <v>% of Gaming revenue</v>
      </c>
      <c r="CM625" s="469"/>
      <c r="CN625" s="469"/>
      <c r="CO625" s="469"/>
      <c r="CP625" s="469">
        <f t="shared" si="1458"/>
        <v>0.46500000000000002</v>
      </c>
      <c r="CQ625" s="469">
        <f t="shared" si="1459"/>
        <v>0.46500000000000002</v>
      </c>
      <c r="CR625" s="469">
        <f t="shared" si="1460"/>
        <v>0.46500000000000002</v>
      </c>
      <c r="CS625" s="469">
        <f t="shared" si="1461"/>
        <v>0.46500000000000002</v>
      </c>
      <c r="CT625" s="469">
        <f t="shared" si="1462"/>
        <v>0.46500000000000002</v>
      </c>
      <c r="CU625" s="469">
        <f t="shared" si="1463"/>
        <v>0.46500000000000002</v>
      </c>
      <c r="CV625" s="469">
        <f t="shared" si="1464"/>
        <v>0.46500000000000002</v>
      </c>
      <c r="CW625" s="469">
        <f t="shared" si="1465"/>
        <v>0.46500000000000002</v>
      </c>
      <c r="CX625" s="469">
        <f t="shared" si="1466"/>
        <v>0.46500000000000002</v>
      </c>
      <c r="CY625" s="469">
        <f t="shared" si="1467"/>
        <v>0.46500000000000002</v>
      </c>
      <c r="CZ625" s="469">
        <f t="shared" si="1468"/>
        <v>0.46500000000000002</v>
      </c>
      <c r="DA625" s="469">
        <f t="shared" si="1469"/>
        <v>0.46500000000000002</v>
      </c>
      <c r="DB625" s="469">
        <f t="shared" si="1469"/>
        <v>0.46500000000000002</v>
      </c>
      <c r="DC625" s="1463">
        <f t="shared" si="1469"/>
        <v>0.46500000000000002</v>
      </c>
      <c r="DD625" s="492"/>
      <c r="DE625" s="492"/>
      <c r="DF625" s="962"/>
      <c r="DG625" s="962"/>
      <c r="DH625" s="469"/>
      <c r="DI625" s="3213"/>
      <c r="DJ625" s="962"/>
      <c r="DK625" s="962"/>
      <c r="DL625" s="962"/>
      <c r="DM625" s="962"/>
      <c r="DN625" s="962"/>
      <c r="DO625" s="962"/>
      <c r="DP625" s="962"/>
      <c r="DQ625" s="962"/>
      <c r="DR625" s="963"/>
      <c r="DS625" s="963"/>
      <c r="DT625" s="963"/>
    </row>
    <row r="626" spans="1:124" ht="12" customHeight="1" x14ac:dyDescent="0.25">
      <c r="A626" s="281" t="s">
        <v>2162</v>
      </c>
      <c r="B626" s="281"/>
      <c r="C626" s="452"/>
      <c r="D626" s="452"/>
      <c r="E626" s="452"/>
      <c r="F626" s="452"/>
      <c r="G626" s="475"/>
      <c r="H626" s="452"/>
      <c r="I626" s="452"/>
      <c r="J626" s="452"/>
      <c r="K626" s="452"/>
      <c r="L626" s="475"/>
      <c r="M626" s="452"/>
      <c r="N626" s="452"/>
      <c r="O626" s="452"/>
      <c r="P626" s="452"/>
      <c r="Q626" s="475"/>
      <c r="R626" s="452"/>
      <c r="S626" s="452">
        <f>S618-S628</f>
        <v>10.423</v>
      </c>
      <c r="T626" s="452">
        <f>T618-T628</f>
        <v>13.036000000000001</v>
      </c>
      <c r="U626" s="452">
        <f>U618-U628</f>
        <v>14.910000000000002</v>
      </c>
      <c r="V626" s="475">
        <f>SUM(R626:U626)</f>
        <v>38.369000000000007</v>
      </c>
      <c r="W626" s="452">
        <f>W618-W628</f>
        <v>13.54</v>
      </c>
      <c r="X626" s="452">
        <f>X618-X628</f>
        <v>13.333</v>
      </c>
      <c r="Y626" s="452">
        <f>Y618-Y628</f>
        <v>14.657</v>
      </c>
      <c r="Z626" s="452">
        <f>Z618-Z628</f>
        <v>16.273</v>
      </c>
      <c r="AA626" s="475">
        <f>SUM(W626:Z626)</f>
        <v>57.802999999999997</v>
      </c>
      <c r="AB626" s="452">
        <f>AB618-AB628</f>
        <v>13.967000000000001</v>
      </c>
      <c r="AC626" s="452">
        <f>AC618-AC628</f>
        <v>13.093</v>
      </c>
      <c r="AD626" s="452">
        <f>AD618-AD628</f>
        <v>14.225999999999999</v>
      </c>
      <c r="AE626" s="452">
        <f>AE618-AE628</f>
        <v>14.139999999999999</v>
      </c>
      <c r="AF626" s="477">
        <f>SUM(AB626:AE626)</f>
        <v>55.426000000000002</v>
      </c>
      <c r="AG626" s="452">
        <f>AG618-AG628</f>
        <v>13.519000000000002</v>
      </c>
      <c r="AH626" s="452">
        <f>AH618-AH628</f>
        <v>13.221</v>
      </c>
      <c r="AI626" s="452">
        <f>AI618-AI628</f>
        <v>14.517000000000001</v>
      </c>
      <c r="AJ626" s="452">
        <f>AJ618-AJ628</f>
        <v>16.047000000000001</v>
      </c>
      <c r="AK626" s="477">
        <f>SUM(AG626:AJ626)</f>
        <v>57.304000000000002</v>
      </c>
      <c r="AL626" s="452">
        <f>AL618-AL628</f>
        <v>14.808</v>
      </c>
      <c r="AM626" s="452">
        <f>AM618-AM628</f>
        <v>14.259</v>
      </c>
      <c r="AN626" s="476">
        <f>AN621+AN624</f>
        <v>14.90758935</v>
      </c>
      <c r="AO626" s="476">
        <f>AO621+AO624</f>
        <v>16.47363915</v>
      </c>
      <c r="AP626" s="478">
        <f>SUM(AL626:AO626)</f>
        <v>60.448228499999999</v>
      </c>
      <c r="AQ626" s="478">
        <f>AQ621+AQ624</f>
        <v>14.65992</v>
      </c>
      <c r="AR626" s="476">
        <f>AR621+AR624</f>
        <v>13.932558150000002</v>
      </c>
      <c r="AS626" s="476">
        <f>AS621+AS624</f>
        <v>14.5636185</v>
      </c>
      <c r="AT626" s="476">
        <f>AT621+AT624</f>
        <v>15.867697441499999</v>
      </c>
      <c r="AU626" s="1464">
        <f>SUM(AQ626:AT626)</f>
        <v>59.023794091500001</v>
      </c>
      <c r="AV626" s="1865">
        <f>AV621+AV624</f>
        <v>14.428108529999999</v>
      </c>
      <c r="AW626" s="1771">
        <f>AW621+AW624</f>
        <v>13.911787753500001</v>
      </c>
      <c r="AX626" s="1771">
        <f>AX621+AX624</f>
        <v>14.63266841445</v>
      </c>
      <c r="AY626" s="1866">
        <f>AY621+AY624</f>
        <v>16.025290642845</v>
      </c>
      <c r="AZ626" s="1464">
        <f>SUM(AV626:AY626)</f>
        <v>58.997855340794999</v>
      </c>
      <c r="BA626" s="1865">
        <f>BA621+BA624</f>
        <v>14.674609263600001</v>
      </c>
      <c r="BB626" s="1771">
        <f>BB621+BB624</f>
        <v>14.157673066320003</v>
      </c>
      <c r="BC626" s="1771">
        <f>BC621+BC624</f>
        <v>15.621712535751302</v>
      </c>
      <c r="BD626" s="1866">
        <f>BD621+BD624</f>
        <v>17.061531291683998</v>
      </c>
      <c r="BE626" s="1866">
        <f>SUM(BA626:BD626)</f>
        <v>61.515526157355303</v>
      </c>
      <c r="BF626" s="1771">
        <f>BF621+BF624</f>
        <v>14.876798544036001</v>
      </c>
      <c r="BG626" s="1771">
        <f>BG621+BG624</f>
        <v>14.254474809254402</v>
      </c>
      <c r="BH626" s="1771">
        <f>BH621+BH624</f>
        <v>14.642144297228153</v>
      </c>
      <c r="BI626" s="1866">
        <f>BI621+BI624</f>
        <v>15.11389308661254</v>
      </c>
      <c r="BJ626" s="1866">
        <f>SUM(BF626:BI626)</f>
        <v>58.887310737131095</v>
      </c>
      <c r="BK626" s="1771">
        <f>BK621+BK624</f>
        <v>13.126336111488598</v>
      </c>
      <c r="BL626" s="1771">
        <f>BL621+BL624</f>
        <v>12.568206504966842</v>
      </c>
      <c r="BM626" s="1771">
        <f>BM621+BM624</f>
        <v>12.43820919848206</v>
      </c>
      <c r="BN626" s="1866">
        <f>BN621+BN624</f>
        <v>13.28608594191429</v>
      </c>
      <c r="BO626" s="1866">
        <f>SUM(BK626:BN626)</f>
        <v>51.418837756851786</v>
      </c>
      <c r="BP626" s="1771">
        <f>BP621+BP624</f>
        <v>11.804485119977977</v>
      </c>
      <c r="BQ626" s="1771">
        <f>BQ621+BQ624</f>
        <v>11.296792325883684</v>
      </c>
      <c r="BR626" s="1771">
        <f>BR621+BR624</f>
        <v>11.606255139550484</v>
      </c>
      <c r="BS626" s="1771">
        <f>BS621+BS624</f>
        <v>13.503359421657551</v>
      </c>
      <c r="BT626" s="2604">
        <f>SUM(BP626:BS626)</f>
        <v>48.210892007069695</v>
      </c>
      <c r="BU626" s="1771">
        <f>BU621+BU624</f>
        <v>12.004553248080073</v>
      </c>
      <c r="BV626" s="1771">
        <f>BV621+BV624</f>
        <v>11.488889681968866</v>
      </c>
      <c r="BW626" s="1771">
        <f>BW621+BW624</f>
        <v>11.761687402816014</v>
      </c>
      <c r="BX626" s="1771">
        <f>BX621+BX624</f>
        <v>13.72449388860473</v>
      </c>
      <c r="BY626" s="2604">
        <f>SUM(BU626:BX626)</f>
        <v>48.979624221469678</v>
      </c>
      <c r="BZ626" s="477">
        <f t="shared" ref="BZ626:CF626" si="1482">BZ621+BZ624</f>
        <v>49.484235304376583</v>
      </c>
      <c r="CA626" s="477">
        <f t="shared" si="1482"/>
        <v>49.979077657420355</v>
      </c>
      <c r="CB626" s="477">
        <f t="shared" si="1482"/>
        <v>47.796746376804229</v>
      </c>
      <c r="CC626" s="477">
        <f t="shared" si="1482"/>
        <v>45.714032982151259</v>
      </c>
      <c r="CD626" s="477">
        <f t="shared" si="1482"/>
        <v>46.479358538563467</v>
      </c>
      <c r="CE626" s="477">
        <f t="shared" si="1482"/>
        <v>47.258501055071619</v>
      </c>
      <c r="CF626" s="477">
        <f t="shared" si="1482"/>
        <v>48.051721975367293</v>
      </c>
      <c r="CG626" s="331"/>
      <c r="CH626" s="331"/>
      <c r="CI626" s="331"/>
      <c r="CJ626" s="331"/>
      <c r="CK626" s="331"/>
      <c r="CL626" s="520" t="str">
        <f t="shared" si="1457"/>
        <v>Total expenses</v>
      </c>
      <c r="CM626" s="476"/>
      <c r="CN626" s="476"/>
      <c r="CO626" s="476"/>
      <c r="CP626" s="476">
        <f t="shared" si="1458"/>
        <v>38.369000000000007</v>
      </c>
      <c r="CQ626" s="476">
        <f t="shared" si="1459"/>
        <v>57.802999999999997</v>
      </c>
      <c r="CR626" s="476">
        <f t="shared" si="1460"/>
        <v>55.426000000000002</v>
      </c>
      <c r="CS626" s="476">
        <f t="shared" si="1461"/>
        <v>57.304000000000002</v>
      </c>
      <c r="CT626" s="476">
        <f t="shared" si="1462"/>
        <v>60.448228499999999</v>
      </c>
      <c r="CU626" s="476">
        <f t="shared" si="1463"/>
        <v>59.023794091500001</v>
      </c>
      <c r="CV626" s="476">
        <f t="shared" si="1464"/>
        <v>58.997855340794999</v>
      </c>
      <c r="CW626" s="476">
        <f t="shared" si="1465"/>
        <v>61.515526157355303</v>
      </c>
      <c r="CX626" s="476">
        <f t="shared" si="1466"/>
        <v>58.887310737131095</v>
      </c>
      <c r="CY626" s="476">
        <f t="shared" si="1467"/>
        <v>51.418837756851786</v>
      </c>
      <c r="CZ626" s="476">
        <f t="shared" si="1468"/>
        <v>48.210892007069695</v>
      </c>
      <c r="DA626" s="476">
        <f t="shared" si="1469"/>
        <v>48.979624221469678</v>
      </c>
      <c r="DB626" s="476">
        <f t="shared" si="1469"/>
        <v>49.484235304376583</v>
      </c>
      <c r="DC626" s="682">
        <f t="shared" si="1469"/>
        <v>49.979077657420355</v>
      </c>
      <c r="DD626" s="331"/>
      <c r="DE626" s="331"/>
      <c r="DF626" s="502"/>
      <c r="DG626" s="503"/>
      <c r="DH626" s="2577"/>
      <c r="DI626" s="3213"/>
      <c r="DJ626" s="502"/>
      <c r="DK626" s="503"/>
      <c r="DL626" s="502"/>
      <c r="DM626" s="502"/>
      <c r="DN626" s="502"/>
      <c r="DO626" s="502"/>
      <c r="DP626" s="503"/>
      <c r="DQ626" s="503"/>
      <c r="DR626" s="296"/>
      <c r="DS626" s="296"/>
      <c r="DT626" s="296"/>
    </row>
    <row r="627" spans="1:124" ht="5.0999999999999996" customHeight="1" x14ac:dyDescent="0.25">
      <c r="A627" s="281"/>
      <c r="B627" s="281"/>
      <c r="C627" s="305"/>
      <c r="D627" s="305"/>
      <c r="E627" s="305"/>
      <c r="F627" s="305"/>
      <c r="G627" s="440"/>
      <c r="H627" s="305"/>
      <c r="I627" s="305"/>
      <c r="J627" s="305"/>
      <c r="K627" s="305"/>
      <c r="L627" s="440"/>
      <c r="M627" s="305"/>
      <c r="N627" s="305"/>
      <c r="O627" s="305"/>
      <c r="P627" s="305"/>
      <c r="Q627" s="440"/>
      <c r="R627" s="305"/>
      <c r="S627" s="305"/>
      <c r="T627" s="305"/>
      <c r="U627" s="305"/>
      <c r="V627" s="440"/>
      <c r="W627" s="305"/>
      <c r="X627" s="305"/>
      <c r="Y627" s="305"/>
      <c r="Z627" s="305"/>
      <c r="AA627" s="440"/>
      <c r="AB627" s="305"/>
      <c r="AC627" s="305"/>
      <c r="AD627" s="305"/>
      <c r="AE627" s="331"/>
      <c r="AF627" s="441"/>
      <c r="AG627" s="305"/>
      <c r="AH627" s="305"/>
      <c r="AI627" s="305"/>
      <c r="AJ627" s="331"/>
      <c r="AK627" s="441"/>
      <c r="AL627" s="305"/>
      <c r="AM627" s="305"/>
      <c r="AN627" s="305"/>
      <c r="AO627" s="331"/>
      <c r="AP627" s="569"/>
      <c r="AQ627" s="569"/>
      <c r="AR627" s="442"/>
      <c r="AS627" s="442"/>
      <c r="AT627" s="442"/>
      <c r="AU627" s="1690"/>
      <c r="AV627" s="1902"/>
      <c r="AW627" s="1837"/>
      <c r="AX627" s="1837"/>
      <c r="AY627" s="1903"/>
      <c r="AZ627" s="1690"/>
      <c r="BA627" s="1902"/>
      <c r="BB627" s="1837"/>
      <c r="BC627" s="1837"/>
      <c r="BD627" s="1903"/>
      <c r="BE627" s="1903"/>
      <c r="BF627" s="1837"/>
      <c r="BG627" s="1837"/>
      <c r="BH627" s="1837"/>
      <c r="BI627" s="1903"/>
      <c r="BJ627" s="1903"/>
      <c r="BK627" s="1837"/>
      <c r="BL627" s="1837"/>
      <c r="BM627" s="1837"/>
      <c r="BN627" s="1903"/>
      <c r="BO627" s="1903"/>
      <c r="BP627" s="1837"/>
      <c r="BQ627" s="1837"/>
      <c r="BR627" s="1837"/>
      <c r="BS627" s="1837"/>
      <c r="BT627" s="3236"/>
      <c r="BU627" s="1837"/>
      <c r="BV627" s="1837"/>
      <c r="BW627" s="1837"/>
      <c r="BX627" s="1837"/>
      <c r="BY627" s="3236"/>
      <c r="BZ627" s="441"/>
      <c r="CA627" s="441"/>
      <c r="CB627" s="441"/>
      <c r="CC627" s="441"/>
      <c r="CD627" s="441"/>
      <c r="CE627" s="441"/>
      <c r="CF627" s="441"/>
      <c r="CG627" s="331"/>
      <c r="CH627" s="331"/>
      <c r="CI627" s="331"/>
      <c r="CJ627" s="331"/>
      <c r="CK627" s="331"/>
      <c r="CL627" s="520"/>
      <c r="CM627" s="442"/>
      <c r="CN627" s="442"/>
      <c r="CO627" s="442"/>
      <c r="CP627" s="442"/>
      <c r="CQ627" s="442"/>
      <c r="CR627" s="442"/>
      <c r="CS627" s="442"/>
      <c r="CT627" s="442"/>
      <c r="CU627" s="442"/>
      <c r="CV627" s="442"/>
      <c r="CW627" s="442"/>
      <c r="CX627" s="442"/>
      <c r="CY627" s="442"/>
      <c r="CZ627" s="442"/>
      <c r="DA627" s="442"/>
      <c r="DB627" s="442"/>
      <c r="DC627" s="1312"/>
      <c r="DD627" s="331"/>
      <c r="DE627" s="331"/>
      <c r="DF627" s="502"/>
      <c r="DG627" s="503"/>
      <c r="DH627" s="3298"/>
      <c r="DI627" s="3213"/>
      <c r="DJ627" s="502"/>
      <c r="DK627" s="503"/>
      <c r="DL627" s="502"/>
      <c r="DM627" s="502"/>
      <c r="DN627" s="502"/>
      <c r="DO627" s="502"/>
      <c r="DP627" s="503"/>
      <c r="DQ627" s="503"/>
      <c r="DR627" s="296"/>
      <c r="DS627" s="296"/>
      <c r="DT627" s="296"/>
    </row>
    <row r="628" spans="1:124" ht="12" customHeight="1" x14ac:dyDescent="0.25">
      <c r="A628" s="999" t="s">
        <v>2010</v>
      </c>
      <c r="B628" s="1007"/>
      <c r="C628" s="1008"/>
      <c r="D628" s="1008"/>
      <c r="E628" s="1008"/>
      <c r="F628" s="1008"/>
      <c r="G628" s="1009"/>
      <c r="H628" s="1008"/>
      <c r="I628" s="1008"/>
      <c r="J628" s="1008"/>
      <c r="K628" s="1008"/>
      <c r="L628" s="1009"/>
      <c r="M628" s="1008"/>
      <c r="N628" s="1008"/>
      <c r="O628" s="1008"/>
      <c r="P628" s="1008"/>
      <c r="Q628" s="1009"/>
      <c r="R628" s="1008"/>
      <c r="S628" s="1008">
        <v>6.49</v>
      </c>
      <c r="T628" s="1008">
        <v>7.3310000000000004</v>
      </c>
      <c r="U628" s="1008">
        <v>6.3819999999999997</v>
      </c>
      <c r="V628" s="1009">
        <f>SUM(R628:U628)</f>
        <v>20.203000000000003</v>
      </c>
      <c r="W628" s="1008">
        <v>8.375</v>
      </c>
      <c r="X628" s="1008">
        <v>8.1579999999999995</v>
      </c>
      <c r="Y628" s="1008">
        <v>8.3520000000000003</v>
      </c>
      <c r="Z628" s="1008">
        <v>7.5670000000000002</v>
      </c>
      <c r="AA628" s="1009">
        <f>SUM(W628:Z628)</f>
        <v>32.451999999999998</v>
      </c>
      <c r="AB628" s="1008">
        <v>8.3789999999999996</v>
      </c>
      <c r="AC628" s="1008">
        <v>6.6859999999999999</v>
      </c>
      <c r="AD628" s="1008">
        <v>5.6340000000000003</v>
      </c>
      <c r="AE628" s="1010">
        <v>5.6180000000000003</v>
      </c>
      <c r="AF628" s="1011">
        <f>SUM(AB628:AE628)</f>
        <v>26.317</v>
      </c>
      <c r="AG628" s="1010">
        <v>7.1070000000000002</v>
      </c>
      <c r="AH628" s="1010">
        <v>6.843</v>
      </c>
      <c r="AI628" s="1010">
        <v>7.0419999999999998</v>
      </c>
      <c r="AJ628" s="1010">
        <v>6.6840000000000002</v>
      </c>
      <c r="AK628" s="1011">
        <f>SUM(AG628:AJ628)</f>
        <v>27.675999999999998</v>
      </c>
      <c r="AL628" s="1010">
        <v>7.782</v>
      </c>
      <c r="AM628" s="1008">
        <v>7.532</v>
      </c>
      <c r="AN628" s="1593">
        <f>AN618-AN626</f>
        <v>7.2981806500000008</v>
      </c>
      <c r="AO628" s="1012">
        <f>AO618-AO626</f>
        <v>6.9392908500000026</v>
      </c>
      <c r="AP628" s="1013">
        <f>SUM(AL628:AO628)</f>
        <v>29.551471500000002</v>
      </c>
      <c r="AQ628" s="1013">
        <f>AQ618-AQ626</f>
        <v>7.7041800000000009</v>
      </c>
      <c r="AR628" s="1012">
        <f>AR618-AR626</f>
        <v>7.4226218499999987</v>
      </c>
      <c r="AS628" s="1012">
        <f>AS618-AS626</f>
        <v>7.1980360999999995</v>
      </c>
      <c r="AT628" s="1012">
        <f>AT618-AT626</f>
        <v>6.8428446585000025</v>
      </c>
      <c r="AU628" s="1691">
        <f>SUM(AQ628:AT628)</f>
        <v>29.167682608500002</v>
      </c>
      <c r="AV628" s="1904">
        <f>AV618-AV626</f>
        <v>7.7123504700000005</v>
      </c>
      <c r="AW628" s="1838">
        <f>AW618-AW626</f>
        <v>7.6569440465000014</v>
      </c>
      <c r="AX628" s="1838">
        <f>AX618-AX626</f>
        <v>7.5642192775500003</v>
      </c>
      <c r="AY628" s="1905">
        <f>AY618-AY626</f>
        <v>7.3665677201550004</v>
      </c>
      <c r="AZ628" s="1691">
        <f>SUM(AV628:AY628)</f>
        <v>30.300081514205001</v>
      </c>
      <c r="BA628" s="1904">
        <f>BA618-BA626</f>
        <v>8.3514680964000014</v>
      </c>
      <c r="BB628" s="1838">
        <f>BB618-BB626</f>
        <v>8.2738080056800012</v>
      </c>
      <c r="BC628" s="1838">
        <f>BC618-BC626</f>
        <v>8.7948639254487002</v>
      </c>
      <c r="BD628" s="1905">
        <f>BD618-BD626</f>
        <v>8.6695129076160029</v>
      </c>
      <c r="BE628" s="1905">
        <f>SUM(BA628:BD628)</f>
        <v>34.089652935144706</v>
      </c>
      <c r="BF628" s="1838">
        <f>BF618-BF626</f>
        <v>8.8400611367640014</v>
      </c>
      <c r="BG628" s="1838">
        <f>BG618-BG626</f>
        <v>8.6256358841856038</v>
      </c>
      <c r="BH628" s="1838">
        <f>BH618-BH626</f>
        <v>7.9431889293818507</v>
      </c>
      <c r="BI628" s="1905">
        <f>BI618-BI626</f>
        <v>6.7574944827924615</v>
      </c>
      <c r="BJ628" s="1905">
        <f>SUM(BF628:BI628)</f>
        <v>32.166380433123919</v>
      </c>
      <c r="BK628" s="1838">
        <f>BK618-BK626</f>
        <v>7.0329946171914024</v>
      </c>
      <c r="BL628" s="1838">
        <f>BL618-BL626</f>
        <v>6.8798875844571619</v>
      </c>
      <c r="BM628" s="1838">
        <f>BM618-BM626</f>
        <v>5.6300573828059441</v>
      </c>
      <c r="BN628" s="1905">
        <f>BN618-BN626</f>
        <v>4.8671657406918598</v>
      </c>
      <c r="BO628" s="1905">
        <f>SUM(BK628:BN628)</f>
        <v>24.410105325146368</v>
      </c>
      <c r="BP628" s="1838">
        <f>BP618-BP626</f>
        <v>5.8349292676170226</v>
      </c>
      <c r="BQ628" s="1838">
        <f>BQ618-BQ626</f>
        <v>5.7202900023623204</v>
      </c>
      <c r="BR628" s="1838">
        <f>BR618-BR626</f>
        <v>5.1068914481409209</v>
      </c>
      <c r="BS628" s="1838">
        <f>BS618-BS626</f>
        <v>5.0129572946007226</v>
      </c>
      <c r="BT628" s="1011">
        <f>SUM(BP628:BS628)</f>
        <v>21.675068012720985</v>
      </c>
      <c r="BU628" s="1838">
        <f>BU618-BU626</f>
        <v>5.9876494272668257</v>
      </c>
      <c r="BV628" s="1838">
        <f>BV618-BV626</f>
        <v>5.8685342928420585</v>
      </c>
      <c r="BW628" s="1838">
        <f>BW618-BW626</f>
        <v>5.2857221166292181</v>
      </c>
      <c r="BX628" s="1838">
        <f>BX618-BX626</f>
        <v>5.1621491619787108</v>
      </c>
      <c r="BY628" s="1011">
        <f>SUM(BU628:BX628)</f>
        <v>22.304054998716815</v>
      </c>
      <c r="BZ628" s="1011">
        <f t="shared" ref="BZ628:CF628" si="1483">BZ618-BZ626</f>
        <v>23.225117500213642</v>
      </c>
      <c r="CA628" s="1011">
        <f t="shared" si="1483"/>
        <v>23.457368675215768</v>
      </c>
      <c r="CB628" s="1011">
        <f t="shared" si="1483"/>
        <v>21.96787763920009</v>
      </c>
      <c r="CC628" s="1011">
        <f t="shared" si="1483"/>
        <v>20.562359833052845</v>
      </c>
      <c r="CD628" s="1011">
        <f t="shared" si="1483"/>
        <v>21.122562132944715</v>
      </c>
      <c r="CE628" s="1011">
        <f t="shared" si="1483"/>
        <v>21.695458029866728</v>
      </c>
      <c r="CF628" s="1011">
        <f t="shared" si="1483"/>
        <v>22.281316291269825</v>
      </c>
      <c r="CG628" s="502"/>
      <c r="CH628" s="502"/>
      <c r="CI628" s="502"/>
      <c r="CJ628" s="502"/>
      <c r="CK628" s="502"/>
      <c r="CL628" s="2221" t="str">
        <f>A628</f>
        <v>Property EBITDA</v>
      </c>
      <c r="CM628" s="1012"/>
      <c r="CN628" s="1012"/>
      <c r="CO628" s="1012"/>
      <c r="CP628" s="1012">
        <f>V628</f>
        <v>20.203000000000003</v>
      </c>
      <c r="CQ628" s="1012">
        <f>AA628</f>
        <v>32.451999999999998</v>
      </c>
      <c r="CR628" s="1012">
        <f>AF628</f>
        <v>26.317</v>
      </c>
      <c r="CS628" s="1012">
        <f>AK628</f>
        <v>27.675999999999998</v>
      </c>
      <c r="CT628" s="1012">
        <f>AP628</f>
        <v>29.551471500000002</v>
      </c>
      <c r="CU628" s="1012">
        <f>AU628</f>
        <v>29.167682608500002</v>
      </c>
      <c r="CV628" s="1012">
        <f>AZ628</f>
        <v>30.300081514205001</v>
      </c>
      <c r="CW628" s="1012">
        <f>BE628</f>
        <v>34.089652935144706</v>
      </c>
      <c r="CX628" s="1012">
        <f>BJ628</f>
        <v>32.166380433123919</v>
      </c>
      <c r="CY628" s="1012">
        <f>BO628</f>
        <v>24.410105325146368</v>
      </c>
      <c r="CZ628" s="1012">
        <f>BT628</f>
        <v>21.675068012720985</v>
      </c>
      <c r="DA628" s="1012">
        <f t="shared" ref="DA628:DC632" si="1484">BY628</f>
        <v>22.304054998716815</v>
      </c>
      <c r="DB628" s="1012">
        <f t="shared" si="1484"/>
        <v>23.225117500213642</v>
      </c>
      <c r="DC628" s="1877">
        <f t="shared" si="1484"/>
        <v>23.457368675215768</v>
      </c>
      <c r="DD628" s="502"/>
      <c r="DE628" s="502"/>
      <c r="DF628" s="502"/>
      <c r="DG628" s="503"/>
      <c r="DH628" s="598"/>
      <c r="DI628" s="3213"/>
      <c r="DJ628" s="502"/>
      <c r="DK628" s="503"/>
      <c r="DL628" s="502"/>
      <c r="DM628" s="502"/>
      <c r="DN628" s="502"/>
      <c r="DO628" s="502"/>
      <c r="DP628" s="503"/>
      <c r="DQ628" s="503"/>
      <c r="DR628" s="719"/>
      <c r="DS628" s="719"/>
      <c r="DT628" s="719"/>
    </row>
    <row r="629" spans="1:124" ht="12" customHeight="1" x14ac:dyDescent="0.25">
      <c r="A629" s="465" t="s">
        <v>1892</v>
      </c>
      <c r="B629" s="466"/>
      <c r="C629" s="467"/>
      <c r="D629" s="467"/>
      <c r="E629" s="467"/>
      <c r="F629" s="467"/>
      <c r="G629" s="468"/>
      <c r="H629" s="467"/>
      <c r="I629" s="467"/>
      <c r="J629" s="467"/>
      <c r="K629" s="467"/>
      <c r="L629" s="468"/>
      <c r="M629" s="467"/>
      <c r="N629" s="467"/>
      <c r="O629" s="467"/>
      <c r="P629" s="467"/>
      <c r="Q629" s="468"/>
      <c r="R629" s="467"/>
      <c r="S629" s="467">
        <f t="shared" ref="S629:AA629" si="1485">S628/S618</f>
        <v>0.38372849287530303</v>
      </c>
      <c r="T629" s="467">
        <f t="shared" si="1485"/>
        <v>0.35994500908332105</v>
      </c>
      <c r="U629" s="467">
        <f t="shared" si="1485"/>
        <v>0.29973699041893664</v>
      </c>
      <c r="V629" s="468">
        <f t="shared" si="1485"/>
        <v>0.3449259031619204</v>
      </c>
      <c r="W629" s="467">
        <f t="shared" si="1485"/>
        <v>0.38215833903718915</v>
      </c>
      <c r="X629" s="467">
        <f t="shared" si="1485"/>
        <v>0.37960076311013913</v>
      </c>
      <c r="Y629" s="467">
        <f t="shared" si="1485"/>
        <v>0.36298839584510412</v>
      </c>
      <c r="Z629" s="467">
        <f t="shared" si="1485"/>
        <v>0.31740771812080537</v>
      </c>
      <c r="AA629" s="468">
        <f t="shared" si="1485"/>
        <v>0.35955902720070909</v>
      </c>
      <c r="AB629" s="467">
        <f t="shared" ref="AB629:AU629" si="1486">AB628/AB618</f>
        <v>0.37496643694620957</v>
      </c>
      <c r="AC629" s="467">
        <f t="shared" si="1486"/>
        <v>0.33803528995399162</v>
      </c>
      <c r="AD629" s="467">
        <f t="shared" si="1486"/>
        <v>0.28368580060422965</v>
      </c>
      <c r="AE629" s="469">
        <f t="shared" si="1486"/>
        <v>0.28434052029557649</v>
      </c>
      <c r="AF629" s="470">
        <f t="shared" si="1486"/>
        <v>0.32194805671433641</v>
      </c>
      <c r="AG629" s="467">
        <f>AG628/AG618</f>
        <v>0.34456511199456996</v>
      </c>
      <c r="AH629" s="467">
        <f t="shared" si="1486"/>
        <v>0.34105861244019137</v>
      </c>
      <c r="AI629" s="467">
        <f t="shared" si="1486"/>
        <v>0.32663852683334105</v>
      </c>
      <c r="AJ629" s="469">
        <f t="shared" si="1486"/>
        <v>0.29404777616470895</v>
      </c>
      <c r="AK629" s="470">
        <f t="shared" si="1486"/>
        <v>0.32567662979524598</v>
      </c>
      <c r="AL629" s="467">
        <f t="shared" si="1486"/>
        <v>0.34448871181938912</v>
      </c>
      <c r="AM629" s="467">
        <f t="shared" si="1486"/>
        <v>0.34564728557661417</v>
      </c>
      <c r="AN629" s="467">
        <f t="shared" si="1486"/>
        <v>0.32866145375728922</v>
      </c>
      <c r="AO629" s="469">
        <f t="shared" si="1486"/>
        <v>0.29638711814369245</v>
      </c>
      <c r="AP629" s="471">
        <f t="shared" si="1486"/>
        <v>0.32835077783592614</v>
      </c>
      <c r="AQ629" s="471">
        <f t="shared" si="1486"/>
        <v>0.34448871181938917</v>
      </c>
      <c r="AR629" s="469">
        <f t="shared" si="1486"/>
        <v>0.34757945613195479</v>
      </c>
      <c r="AS629" s="469">
        <f t="shared" si="1486"/>
        <v>0.33076694912711274</v>
      </c>
      <c r="AT629" s="469">
        <f t="shared" si="1486"/>
        <v>0.30130697137784318</v>
      </c>
      <c r="AU629" s="1689">
        <f t="shared" si="1486"/>
        <v>0.33073130987158084</v>
      </c>
      <c r="AV629" s="1730">
        <f t="shared" ref="AV629:BJ629" si="1487">AV628/AV618</f>
        <v>0.34833742471192675</v>
      </c>
      <c r="AW629" s="1465">
        <f t="shared" si="1487"/>
        <v>0.35500205192870915</v>
      </c>
      <c r="AX629" s="1465">
        <f t="shared" si="1487"/>
        <v>0.34077837318950921</v>
      </c>
      <c r="AY629" s="1868">
        <f t="shared" si="1487"/>
        <v>0.31492015751117258</v>
      </c>
      <c r="AZ629" s="1689">
        <f t="shared" si="1487"/>
        <v>0.33931446326028336</v>
      </c>
      <c r="BA629" s="1730">
        <f t="shared" si="1487"/>
        <v>0.36269608434947082</v>
      </c>
      <c r="BB629" s="1465">
        <f t="shared" si="1487"/>
        <v>0.36884804793419301</v>
      </c>
      <c r="BC629" s="1465">
        <f t="shared" si="1487"/>
        <v>0.36020053587055828</v>
      </c>
      <c r="BD629" s="1868">
        <f t="shared" si="1487"/>
        <v>0.33692814176005542</v>
      </c>
      <c r="BE629" s="1868">
        <f t="shared" si="1487"/>
        <v>0.35656701089553167</v>
      </c>
      <c r="BF629" s="1465">
        <f t="shared" si="1487"/>
        <v>0.37273320564950163</v>
      </c>
      <c r="BG629" s="1465">
        <f t="shared" si="1487"/>
        <v>0.3769927514668307</v>
      </c>
      <c r="BH629" s="1465">
        <f t="shared" si="1487"/>
        <v>0.35169677815615302</v>
      </c>
      <c r="BI629" s="1868">
        <f t="shared" si="1487"/>
        <v>0.30896505589088674</v>
      </c>
      <c r="BJ629" s="1868">
        <f t="shared" si="1487"/>
        <v>0.35326827523090987</v>
      </c>
      <c r="BK629" s="1465">
        <f t="shared" ref="BK629:BU629" si="1488">BK628/BK618</f>
        <v>0.34887044177442844</v>
      </c>
      <c r="BL629" s="1465">
        <f t="shared" si="1488"/>
        <v>0.35375639138842341</v>
      </c>
      <c r="BM629" s="1465">
        <f t="shared" si="1488"/>
        <v>0.31159919837781158</v>
      </c>
      <c r="BN629" s="1868">
        <f t="shared" si="1488"/>
        <v>0.26811536719646861</v>
      </c>
      <c r="BO629" s="1868">
        <f t="shared" si="1488"/>
        <v>0.3219101352731546</v>
      </c>
      <c r="BP629" s="1465">
        <f t="shared" si="1488"/>
        <v>0.33078928468965862</v>
      </c>
      <c r="BQ629" s="1465">
        <f t="shared" si="1488"/>
        <v>0.3361498694090132</v>
      </c>
      <c r="BR629" s="1465">
        <f t="shared" si="1488"/>
        <v>0.3055613388745092</v>
      </c>
      <c r="BS629" s="1465">
        <f t="shared" si="1488"/>
        <v>0.27073188320434644</v>
      </c>
      <c r="BT629" s="470">
        <f t="shared" si="1488"/>
        <v>0.31014910586594108</v>
      </c>
      <c r="BU629" s="1465">
        <f t="shared" si="1488"/>
        <v>0.33279135052603448</v>
      </c>
      <c r="BV629" s="1465">
        <f t="shared" ref="BV629:CF629" si="1489">BV628/BV618</f>
        <v>0.33809938049323845</v>
      </c>
      <c r="BW629" s="1465">
        <f t="shared" si="1489"/>
        <v>0.31006013615147959</v>
      </c>
      <c r="BX629" s="1465">
        <f t="shared" si="1489"/>
        <v>0.27332274709449983</v>
      </c>
      <c r="BY629" s="470">
        <f t="shared" si="1489"/>
        <v>0.31289146748195107</v>
      </c>
      <c r="BZ629" s="470">
        <f t="shared" si="1489"/>
        <v>0.31942407137954076</v>
      </c>
      <c r="CA629" s="470">
        <f t="shared" si="1489"/>
        <v>0.31942407137954065</v>
      </c>
      <c r="CB629" s="470">
        <f t="shared" si="1489"/>
        <v>0.31488563077700471</v>
      </c>
      <c r="CC629" s="470">
        <f t="shared" si="1489"/>
        <v>0.31025164405652061</v>
      </c>
      <c r="CD629" s="470">
        <f t="shared" si="1489"/>
        <v>0.31245505931086848</v>
      </c>
      <c r="CE629" s="470">
        <f t="shared" si="1489"/>
        <v>0.31463687245487953</v>
      </c>
      <c r="CF629" s="470">
        <f t="shared" si="1489"/>
        <v>0.31679729527394945</v>
      </c>
      <c r="CG629" s="492"/>
      <c r="CH629" s="492"/>
      <c r="CI629" s="492"/>
      <c r="CJ629" s="492"/>
      <c r="CK629" s="492"/>
      <c r="CL629" s="1310" t="str">
        <f>A629</f>
        <v>Margin</v>
      </c>
      <c r="CM629" s="469"/>
      <c r="CN629" s="469"/>
      <c r="CO629" s="469"/>
      <c r="CP629" s="469">
        <f>V629</f>
        <v>0.3449259031619204</v>
      </c>
      <c r="CQ629" s="469">
        <f>AA629</f>
        <v>0.35955902720070909</v>
      </c>
      <c r="CR629" s="469">
        <f>AF629</f>
        <v>0.32194805671433641</v>
      </c>
      <c r="CS629" s="469">
        <f>AK629</f>
        <v>0.32567662979524598</v>
      </c>
      <c r="CT629" s="469">
        <f>AP629</f>
        <v>0.32835077783592614</v>
      </c>
      <c r="CU629" s="469">
        <f>AU629</f>
        <v>0.33073130987158084</v>
      </c>
      <c r="CV629" s="469">
        <f>AZ629</f>
        <v>0.33931446326028336</v>
      </c>
      <c r="CW629" s="469">
        <f>BE629</f>
        <v>0.35656701089553167</v>
      </c>
      <c r="CX629" s="469">
        <f>BJ629</f>
        <v>0.35326827523090987</v>
      </c>
      <c r="CY629" s="469">
        <f>BO629</f>
        <v>0.3219101352731546</v>
      </c>
      <c r="CZ629" s="469">
        <f>BT629</f>
        <v>0.31014910586594108</v>
      </c>
      <c r="DA629" s="469">
        <f t="shared" si="1484"/>
        <v>0.31289146748195107</v>
      </c>
      <c r="DB629" s="469">
        <f t="shared" si="1484"/>
        <v>0.31942407137954076</v>
      </c>
      <c r="DC629" s="1463">
        <f t="shared" si="1484"/>
        <v>0.31942407137954065</v>
      </c>
      <c r="DD629" s="492"/>
      <c r="DE629" s="492"/>
      <c r="DF629" s="962"/>
      <c r="DG629" s="962"/>
      <c r="DH629" s="469"/>
      <c r="DI629" s="3213"/>
      <c r="DJ629" s="962"/>
      <c r="DK629" s="962"/>
      <c r="DL629" s="962"/>
      <c r="DM629" s="962"/>
      <c r="DN629" s="962"/>
      <c r="DO629" s="962"/>
      <c r="DP629" s="962"/>
      <c r="DQ629" s="962"/>
      <c r="DR629" s="963"/>
      <c r="DS629" s="963"/>
      <c r="DT629" s="963"/>
    </row>
    <row r="630" spans="1:124" ht="12" customHeight="1" x14ac:dyDescent="0.25">
      <c r="A630" s="465" t="s">
        <v>1491</v>
      </c>
      <c r="B630" s="466"/>
      <c r="C630" s="467"/>
      <c r="D630" s="467"/>
      <c r="E630" s="467"/>
      <c r="F630" s="467"/>
      <c r="G630" s="468"/>
      <c r="H630" s="467"/>
      <c r="I630" s="467"/>
      <c r="J630" s="467"/>
      <c r="K630" s="467"/>
      <c r="L630" s="468"/>
      <c r="M630" s="467"/>
      <c r="N630" s="467"/>
      <c r="O630" s="467"/>
      <c r="P630" s="467"/>
      <c r="Q630" s="468"/>
      <c r="R630" s="467"/>
      <c r="S630" s="467" t="s">
        <v>553</v>
      </c>
      <c r="T630" s="467" t="s">
        <v>553</v>
      </c>
      <c r="U630" s="467" t="s">
        <v>553</v>
      </c>
      <c r="V630" s="468" t="s">
        <v>553</v>
      </c>
      <c r="W630" s="467" t="s">
        <v>553</v>
      </c>
      <c r="X630" s="467">
        <f t="shared" ref="X630:AF630" si="1490">(X628-S628)/S628</f>
        <v>0.257010785824345</v>
      </c>
      <c r="Y630" s="467">
        <f t="shared" si="1490"/>
        <v>0.13927158641385892</v>
      </c>
      <c r="Z630" s="467">
        <f t="shared" si="1490"/>
        <v>0.18567847069884058</v>
      </c>
      <c r="AA630" s="468">
        <f t="shared" si="1490"/>
        <v>0.6062960946394097</v>
      </c>
      <c r="AB630" s="467">
        <f t="shared" si="1490"/>
        <v>4.7761194029845484E-4</v>
      </c>
      <c r="AC630" s="467">
        <f t="shared" si="1490"/>
        <v>-0.18043638146604554</v>
      </c>
      <c r="AD630" s="467">
        <f t="shared" si="1490"/>
        <v>-0.32543103448275862</v>
      </c>
      <c r="AE630" s="469">
        <f t="shared" si="1490"/>
        <v>-0.25756574600237875</v>
      </c>
      <c r="AF630" s="470">
        <f t="shared" si="1490"/>
        <v>-0.18904844077406627</v>
      </c>
      <c r="AG630" s="467">
        <f>(AG628-AB628)/AB628</f>
        <v>-0.15180809165771564</v>
      </c>
      <c r="AH630" s="467">
        <f t="shared" ref="AH630:AU630" si="1491">(AH628-AC628)/AC628</f>
        <v>2.3481902482799886E-2</v>
      </c>
      <c r="AI630" s="467">
        <f t="shared" si="1491"/>
        <v>0.24991125310614118</v>
      </c>
      <c r="AJ630" s="469">
        <f t="shared" si="1491"/>
        <v>0.18974724101103591</v>
      </c>
      <c r="AK630" s="470">
        <f t="shared" si="1491"/>
        <v>5.163962457726938E-2</v>
      </c>
      <c r="AL630" s="467">
        <f t="shared" si="1491"/>
        <v>9.49767834529337E-2</v>
      </c>
      <c r="AM630" s="467">
        <f t="shared" si="1491"/>
        <v>0.10068683326026598</v>
      </c>
      <c r="AN630" s="467">
        <f t="shared" si="1491"/>
        <v>3.6378961942630079E-2</v>
      </c>
      <c r="AO630" s="469">
        <f t="shared" si="1491"/>
        <v>3.819432226211885E-2</v>
      </c>
      <c r="AP630" s="471">
        <f t="shared" si="1491"/>
        <v>6.77652659343837E-2</v>
      </c>
      <c r="AQ630" s="471">
        <f t="shared" si="1491"/>
        <v>-9.9999999999998857E-3</v>
      </c>
      <c r="AR630" s="469">
        <f t="shared" si="1491"/>
        <v>-1.4521793680297568E-2</v>
      </c>
      <c r="AS630" s="469">
        <f t="shared" si="1491"/>
        <v>-1.3721851349349831E-2</v>
      </c>
      <c r="AT630" s="469">
        <f t="shared" si="1491"/>
        <v>-1.3898565946403598E-2</v>
      </c>
      <c r="AU630" s="1689">
        <f t="shared" si="1491"/>
        <v>-1.2987133026522895E-2</v>
      </c>
      <c r="AV630" s="1730">
        <f t="shared" ref="AV630:BA630" si="1492">(AV628-AQ628)/AQ628</f>
        <v>1.0605242868156762E-3</v>
      </c>
      <c r="AW630" s="1465">
        <f t="shared" si="1492"/>
        <v>3.156865609420783E-2</v>
      </c>
      <c r="AX630" s="1465">
        <f t="shared" si="1492"/>
        <v>5.0872650881814953E-2</v>
      </c>
      <c r="AY630" s="1868">
        <f t="shared" si="1492"/>
        <v>7.6535868895466277E-2</v>
      </c>
      <c r="AZ630" s="1689">
        <f t="shared" si="1492"/>
        <v>3.8823753018177636E-2</v>
      </c>
      <c r="BA630" s="1730">
        <f t="shared" si="1492"/>
        <v>8.2869370224561492E-2</v>
      </c>
      <c r="BB630" s="1465">
        <f t="shared" ref="BB630:BJ630" si="1493">(BB628-AW628)/AW628</f>
        <v>8.0562683419629938E-2</v>
      </c>
      <c r="BC630" s="1465">
        <f t="shared" si="1493"/>
        <v>0.1626928837918746</v>
      </c>
      <c r="BD630" s="1868">
        <f t="shared" si="1493"/>
        <v>0.17687276313175429</v>
      </c>
      <c r="BE630" s="1868">
        <f t="shared" si="1493"/>
        <v>0.12506802726464988</v>
      </c>
      <c r="BF630" s="1465">
        <f t="shared" si="1493"/>
        <v>5.8503850427760573E-2</v>
      </c>
      <c r="BG630" s="1465">
        <f t="shared" si="1493"/>
        <v>4.252308952106109E-2</v>
      </c>
      <c r="BH630" s="1465">
        <f t="shared" si="1493"/>
        <v>-9.6837768416456582E-2</v>
      </c>
      <c r="BI630" s="1868">
        <f t="shared" si="1493"/>
        <v>-0.22054508081346411</v>
      </c>
      <c r="BJ630" s="1868">
        <f t="shared" si="1493"/>
        <v>-5.6418072242618522E-2</v>
      </c>
      <c r="BK630" s="1465">
        <f t="shared" ref="BK630:BT630" si="1494">(BK628-BF628)/BF628</f>
        <v>-0.2044178758060145</v>
      </c>
      <c r="BL630" s="1465">
        <f t="shared" si="1494"/>
        <v>-0.20239067857352155</v>
      </c>
      <c r="BM630" s="1465">
        <f t="shared" si="1494"/>
        <v>-0.29120943328184407</v>
      </c>
      <c r="BN630" s="1868">
        <f t="shared" si="1494"/>
        <v>-0.27973811105790852</v>
      </c>
      <c r="BO630" s="1868">
        <f t="shared" si="1494"/>
        <v>-0.2411298692466618</v>
      </c>
      <c r="BP630" s="1465">
        <f t="shared" si="1494"/>
        <v>-0.17034924876038399</v>
      </c>
      <c r="BQ630" s="1465">
        <f t="shared" si="1494"/>
        <v>-0.16854891418786697</v>
      </c>
      <c r="BR630" s="1465">
        <f t="shared" si="1494"/>
        <v>-9.2923730451266631E-2</v>
      </c>
      <c r="BS630" s="1465">
        <f t="shared" si="1494"/>
        <v>2.9954096835037868E-2</v>
      </c>
      <c r="BT630" s="470">
        <f t="shared" si="1494"/>
        <v>-0.11204528927648057</v>
      </c>
      <c r="BU630" s="1465">
        <f>(BU628-BP628)/BP628</f>
        <v>2.6173438039322428E-2</v>
      </c>
      <c r="BV630" s="1465">
        <f>(BV628-BQ628)/BQ628</f>
        <v>2.5915520090505434E-2</v>
      </c>
      <c r="BW630" s="1465">
        <f>(BW628-BR628)/BR628</f>
        <v>3.5017519033696626E-2</v>
      </c>
      <c r="BX630" s="1465">
        <f>(BX628-BS628)/BS628</f>
        <v>2.9761248422897481E-2</v>
      </c>
      <c r="BY630" s="470">
        <f>(BY628-BT628)/BT628</f>
        <v>2.901891637095122E-2</v>
      </c>
      <c r="BZ630" s="470">
        <f t="shared" ref="BZ630:CF630" si="1495">(BZ628-BY628)/BY628</f>
        <v>4.1295742032102116E-2</v>
      </c>
      <c r="CA630" s="470">
        <f t="shared" si="1495"/>
        <v>9.9999999999995648E-3</v>
      </c>
      <c r="CB630" s="470">
        <f t="shared" si="1495"/>
        <v>-6.3497788547332776E-2</v>
      </c>
      <c r="CC630" s="470">
        <f t="shared" si="1495"/>
        <v>-6.3980591536034401E-2</v>
      </c>
      <c r="CD630" s="470">
        <f t="shared" si="1495"/>
        <v>2.7244066558517081E-2</v>
      </c>
      <c r="CE630" s="470">
        <f t="shared" si="1495"/>
        <v>2.7122462384829311E-2</v>
      </c>
      <c r="CF630" s="470">
        <f t="shared" si="1495"/>
        <v>2.7003728642031134E-2</v>
      </c>
      <c r="CG630" s="492"/>
      <c r="CH630" s="492"/>
      <c r="CI630" s="492"/>
      <c r="CJ630" s="492"/>
      <c r="CK630" s="492"/>
      <c r="CL630" s="1310" t="str">
        <f>A630</f>
        <v>% growth (y-o-y)</v>
      </c>
      <c r="CM630" s="469"/>
      <c r="CN630" s="469"/>
      <c r="CO630" s="469"/>
      <c r="CP630" s="469" t="str">
        <f>V630</f>
        <v xml:space="preserve">n/a </v>
      </c>
      <c r="CQ630" s="469">
        <f>AA630</f>
        <v>0.6062960946394097</v>
      </c>
      <c r="CR630" s="469">
        <f>AF630</f>
        <v>-0.18904844077406627</v>
      </c>
      <c r="CS630" s="469">
        <f>AK630</f>
        <v>5.163962457726938E-2</v>
      </c>
      <c r="CT630" s="469">
        <f>AP630</f>
        <v>6.77652659343837E-2</v>
      </c>
      <c r="CU630" s="469">
        <f>AU630</f>
        <v>-1.2987133026522895E-2</v>
      </c>
      <c r="CV630" s="469">
        <f>AZ630</f>
        <v>3.8823753018177636E-2</v>
      </c>
      <c r="CW630" s="469">
        <f>BE630</f>
        <v>0.12506802726464988</v>
      </c>
      <c r="CX630" s="469">
        <f>BJ630</f>
        <v>-5.6418072242618522E-2</v>
      </c>
      <c r="CY630" s="469">
        <f>BO630</f>
        <v>-0.2411298692466618</v>
      </c>
      <c r="CZ630" s="469">
        <f>BT630</f>
        <v>-0.11204528927648057</v>
      </c>
      <c r="DA630" s="469">
        <f t="shared" si="1484"/>
        <v>2.901891637095122E-2</v>
      </c>
      <c r="DB630" s="469">
        <f t="shared" si="1484"/>
        <v>4.1295742032102116E-2</v>
      </c>
      <c r="DC630" s="1463">
        <f t="shared" si="1484"/>
        <v>9.9999999999995648E-3</v>
      </c>
      <c r="DD630" s="492"/>
      <c r="DE630" s="492"/>
      <c r="DF630" s="962"/>
      <c r="DG630" s="962"/>
      <c r="DH630" s="469"/>
      <c r="DI630" s="3213"/>
      <c r="DJ630" s="962"/>
      <c r="DK630" s="962"/>
      <c r="DL630" s="962"/>
      <c r="DM630" s="962"/>
      <c r="DN630" s="962"/>
      <c r="DO630" s="962"/>
      <c r="DP630" s="962"/>
      <c r="DQ630" s="962"/>
      <c r="DR630" s="963"/>
      <c r="DS630" s="963"/>
      <c r="DT630" s="963"/>
    </row>
    <row r="631" spans="1:124" ht="12" customHeight="1" x14ac:dyDescent="0.25">
      <c r="A631" s="281" t="s">
        <v>2197</v>
      </c>
      <c r="B631" s="281"/>
      <c r="C631" s="570"/>
      <c r="D631" s="570"/>
      <c r="E631" s="570"/>
      <c r="F631" s="570"/>
      <c r="G631" s="475"/>
      <c r="H631" s="570"/>
      <c r="I631" s="570"/>
      <c r="J631" s="570"/>
      <c r="K631" s="570"/>
      <c r="L631" s="475"/>
      <c r="M631" s="570"/>
      <c r="N631" s="570"/>
      <c r="O631" s="570"/>
      <c r="P631" s="570"/>
      <c r="Q631" s="475"/>
      <c r="R631" s="570"/>
      <c r="S631" s="570">
        <v>1.03</v>
      </c>
      <c r="T631" s="570">
        <v>1.2350000000000001</v>
      </c>
      <c r="U631" s="570">
        <v>1.236</v>
      </c>
      <c r="V631" s="475">
        <f>SUM(R631:U631)</f>
        <v>3.5010000000000003</v>
      </c>
      <c r="W631" s="570">
        <v>1.246</v>
      </c>
      <c r="X631" s="570">
        <v>1.03</v>
      </c>
      <c r="Y631" s="570">
        <v>1.1679999999999999</v>
      </c>
      <c r="Z631" s="570">
        <v>1.05</v>
      </c>
      <c r="AA631" s="475">
        <f>SUM(W631:Z631)</f>
        <v>4.4939999999999998</v>
      </c>
      <c r="AB631" s="570">
        <v>1.262</v>
      </c>
      <c r="AC631" s="570">
        <v>0.98899999999999999</v>
      </c>
      <c r="AD631" s="570">
        <v>0.96299999999999997</v>
      </c>
      <c r="AE631" s="572">
        <v>1.04</v>
      </c>
      <c r="AF631" s="477">
        <f>SUM(AB631:AE631)</f>
        <v>4.2539999999999996</v>
      </c>
      <c r="AG631" s="570">
        <v>1.073</v>
      </c>
      <c r="AH631" s="570">
        <v>1.2410000000000001</v>
      </c>
      <c r="AI631" s="570">
        <v>1.0049999999999999</v>
      </c>
      <c r="AJ631" s="572">
        <v>1.101</v>
      </c>
      <c r="AK631" s="477">
        <f>SUM(AG631:AJ631)</f>
        <v>4.42</v>
      </c>
      <c r="AL631" s="570">
        <v>1.127</v>
      </c>
      <c r="AM631" s="570">
        <v>1.0840000000000001</v>
      </c>
      <c r="AN631" s="1594">
        <f>AM631</f>
        <v>1.0840000000000001</v>
      </c>
      <c r="AO631" s="476">
        <f>AN631</f>
        <v>1.0840000000000001</v>
      </c>
      <c r="AP631" s="478">
        <f>SUM(AL631:AO631)</f>
        <v>4.3790000000000004</v>
      </c>
      <c r="AQ631" s="478">
        <f>+AO631</f>
        <v>1.0840000000000001</v>
      </c>
      <c r="AR631" s="476">
        <f>AQ631</f>
        <v>1.0840000000000001</v>
      </c>
      <c r="AS631" s="476">
        <f>AR631</f>
        <v>1.0840000000000001</v>
      </c>
      <c r="AT631" s="476">
        <f>AS631</f>
        <v>1.0840000000000001</v>
      </c>
      <c r="AU631" s="1464">
        <f>SUM(AQ631:AT631)</f>
        <v>4.3360000000000003</v>
      </c>
      <c r="AV631" s="478">
        <f>+AT631</f>
        <v>1.0840000000000001</v>
      </c>
      <c r="AW631" s="476">
        <f>AV631</f>
        <v>1.0840000000000001</v>
      </c>
      <c r="AX631" s="476">
        <f>AW631</f>
        <v>1.0840000000000001</v>
      </c>
      <c r="AY631" s="682">
        <f>AX631</f>
        <v>1.0840000000000001</v>
      </c>
      <c r="AZ631" s="1464">
        <f>SUM(AV631:AY631)</f>
        <v>4.3360000000000003</v>
      </c>
      <c r="BA631" s="478">
        <f>+AY631</f>
        <v>1.0840000000000001</v>
      </c>
      <c r="BB631" s="476">
        <f>BA631</f>
        <v>1.0840000000000001</v>
      </c>
      <c r="BC631" s="476">
        <f>BB631</f>
        <v>1.0840000000000001</v>
      </c>
      <c r="BD631" s="682">
        <f>BC631</f>
        <v>1.0840000000000001</v>
      </c>
      <c r="BE631" s="1866">
        <f>SUM(BA631:BD631)</f>
        <v>4.3360000000000003</v>
      </c>
      <c r="BF631" s="476">
        <f>BD631</f>
        <v>1.0840000000000001</v>
      </c>
      <c r="BG631" s="476">
        <f>BF631</f>
        <v>1.0840000000000001</v>
      </c>
      <c r="BH631" s="476">
        <f>BG631</f>
        <v>1.0840000000000001</v>
      </c>
      <c r="BI631" s="682">
        <f>BH631</f>
        <v>1.0840000000000001</v>
      </c>
      <c r="BJ631" s="1866">
        <f>SUM(BF631:BI631)</f>
        <v>4.3360000000000003</v>
      </c>
      <c r="BK631" s="476">
        <f>BJ631/4</f>
        <v>1.0840000000000001</v>
      </c>
      <c r="BL631" s="476">
        <f>BK631</f>
        <v>1.0840000000000001</v>
      </c>
      <c r="BM631" s="476">
        <f>BL631</f>
        <v>1.0840000000000001</v>
      </c>
      <c r="BN631" s="682">
        <f>BM631</f>
        <v>1.0840000000000001</v>
      </c>
      <c r="BO631" s="1866">
        <f>SUM(BK631:BN631)</f>
        <v>4.3360000000000003</v>
      </c>
      <c r="BP631" s="476">
        <f>+BN631</f>
        <v>1.0840000000000001</v>
      </c>
      <c r="BQ631" s="476">
        <f>BP631</f>
        <v>1.0840000000000001</v>
      </c>
      <c r="BR631" s="476">
        <f>BQ631</f>
        <v>1.0840000000000001</v>
      </c>
      <c r="BS631" s="476">
        <f>BR631</f>
        <v>1.0840000000000001</v>
      </c>
      <c r="BT631" s="2604">
        <f>SUM(BP631:BS631)</f>
        <v>4.3360000000000003</v>
      </c>
      <c r="BU631" s="2577">
        <f>BS631</f>
        <v>1.0840000000000001</v>
      </c>
      <c r="BV631" s="2577">
        <f>BU631</f>
        <v>1.0840000000000001</v>
      </c>
      <c r="BW631" s="2577">
        <f>BV631</f>
        <v>1.0840000000000001</v>
      </c>
      <c r="BX631" s="2577">
        <f>BW631</f>
        <v>1.0840000000000001</v>
      </c>
      <c r="BY631" s="2604">
        <f>SUM(BU631:BX631)</f>
        <v>4.3360000000000003</v>
      </c>
      <c r="BZ631" s="477">
        <f t="shared" ref="BZ631:CF631" si="1496">BY631</f>
        <v>4.3360000000000003</v>
      </c>
      <c r="CA631" s="477">
        <f t="shared" si="1496"/>
        <v>4.3360000000000003</v>
      </c>
      <c r="CB631" s="477">
        <f t="shared" si="1496"/>
        <v>4.3360000000000003</v>
      </c>
      <c r="CC631" s="477">
        <f t="shared" si="1496"/>
        <v>4.3360000000000003</v>
      </c>
      <c r="CD631" s="477">
        <f t="shared" si="1496"/>
        <v>4.3360000000000003</v>
      </c>
      <c r="CE631" s="477">
        <f t="shared" si="1496"/>
        <v>4.3360000000000003</v>
      </c>
      <c r="CF631" s="477">
        <f t="shared" si="1496"/>
        <v>4.3360000000000003</v>
      </c>
      <c r="CG631" s="331"/>
      <c r="CH631" s="331"/>
      <c r="CI631" s="331"/>
      <c r="CJ631" s="331"/>
      <c r="CK631" s="331"/>
      <c r="CL631" s="520" t="str">
        <f>A631</f>
        <v>Depreciation and amortization</v>
      </c>
      <c r="CM631" s="476"/>
      <c r="CN631" s="476"/>
      <c r="CO631" s="476"/>
      <c r="CP631" s="476">
        <f>V631</f>
        <v>3.5010000000000003</v>
      </c>
      <c r="CQ631" s="476">
        <f>AA631</f>
        <v>4.4939999999999998</v>
      </c>
      <c r="CR631" s="476">
        <f>AF631</f>
        <v>4.2539999999999996</v>
      </c>
      <c r="CS631" s="476">
        <f>AK631</f>
        <v>4.42</v>
      </c>
      <c r="CT631" s="476">
        <f>AP631</f>
        <v>4.3790000000000004</v>
      </c>
      <c r="CU631" s="476">
        <f>AU631</f>
        <v>4.3360000000000003</v>
      </c>
      <c r="CV631" s="476">
        <f>AZ631</f>
        <v>4.3360000000000003</v>
      </c>
      <c r="CW631" s="476">
        <f>BE631</f>
        <v>4.3360000000000003</v>
      </c>
      <c r="CX631" s="476">
        <f>BJ631</f>
        <v>4.3360000000000003</v>
      </c>
      <c r="CY631" s="476">
        <f>BO631</f>
        <v>4.3360000000000003</v>
      </c>
      <c r="CZ631" s="476">
        <f>BT631</f>
        <v>4.3360000000000003</v>
      </c>
      <c r="DA631" s="476">
        <f t="shared" si="1484"/>
        <v>4.3360000000000003</v>
      </c>
      <c r="DB631" s="476">
        <f t="shared" si="1484"/>
        <v>4.3360000000000003</v>
      </c>
      <c r="DC631" s="682">
        <f t="shared" si="1484"/>
        <v>4.3360000000000003</v>
      </c>
      <c r="DD631" s="331"/>
      <c r="DE631" s="331"/>
      <c r="DF631" s="502"/>
      <c r="DG631" s="503"/>
      <c r="DH631" s="2577"/>
      <c r="DI631" s="3213"/>
      <c r="DJ631" s="502"/>
      <c r="DK631" s="503"/>
      <c r="DL631" s="502"/>
      <c r="DM631" s="502"/>
      <c r="DN631" s="502"/>
      <c r="DO631" s="502"/>
      <c r="DP631" s="503"/>
      <c r="DQ631" s="503"/>
      <c r="DR631" s="296"/>
      <c r="DS631" s="296"/>
      <c r="DT631" s="296"/>
    </row>
    <row r="632" spans="1:124" ht="12" customHeight="1" x14ac:dyDescent="0.25">
      <c r="A632" s="465" t="s">
        <v>646</v>
      </c>
      <c r="B632" s="466"/>
      <c r="C632" s="467"/>
      <c r="D632" s="467"/>
      <c r="E632" s="467"/>
      <c r="F632" s="467"/>
      <c r="G632" s="468"/>
      <c r="H632" s="467"/>
      <c r="I632" s="467"/>
      <c r="J632" s="467"/>
      <c r="K632" s="467"/>
      <c r="L632" s="468"/>
      <c r="M632" s="467"/>
      <c r="N632" s="467"/>
      <c r="O632" s="467"/>
      <c r="P632" s="467"/>
      <c r="Q632" s="468"/>
      <c r="R632" s="467"/>
      <c r="S632" s="467">
        <f t="shared" ref="S632:AA632" si="1497">S631/S618</f>
        <v>6.0899899485602794E-2</v>
      </c>
      <c r="T632" s="467">
        <f t="shared" si="1497"/>
        <v>6.0637305445082737E-2</v>
      </c>
      <c r="U632" s="467">
        <f t="shared" si="1497"/>
        <v>5.8049971820402023E-2</v>
      </c>
      <c r="V632" s="468">
        <f t="shared" si="1497"/>
        <v>5.9772587584511372E-2</v>
      </c>
      <c r="W632" s="467">
        <f t="shared" si="1497"/>
        <v>5.6856034679443307E-2</v>
      </c>
      <c r="X632" s="467">
        <f t="shared" si="1497"/>
        <v>4.7927039225722397E-2</v>
      </c>
      <c r="Y632" s="467">
        <f t="shared" si="1497"/>
        <v>5.0762745012821069E-2</v>
      </c>
      <c r="Z632" s="467">
        <f t="shared" si="1497"/>
        <v>4.4043624161073824E-2</v>
      </c>
      <c r="AA632" s="468">
        <f t="shared" si="1497"/>
        <v>4.979225527671597E-2</v>
      </c>
      <c r="AB632" s="467">
        <f t="shared" ref="AB632:AU632" si="1498">AB631/AB618</f>
        <v>5.6475431844625439E-2</v>
      </c>
      <c r="AC632" s="467">
        <f t="shared" si="1498"/>
        <v>5.0002527933667024E-2</v>
      </c>
      <c r="AD632" s="467">
        <f t="shared" si="1498"/>
        <v>4.8489425981873113E-2</v>
      </c>
      <c r="AE632" s="469">
        <f t="shared" si="1498"/>
        <v>5.2636906569490841E-2</v>
      </c>
      <c r="AF632" s="470">
        <f t="shared" si="1498"/>
        <v>5.2041153370930841E-2</v>
      </c>
      <c r="AG632" s="467">
        <f t="shared" si="1498"/>
        <v>5.2021720159022587E-2</v>
      </c>
      <c r="AH632" s="467">
        <f t="shared" si="1498"/>
        <v>6.1852073365231262E-2</v>
      </c>
      <c r="AI632" s="467">
        <f t="shared" si="1498"/>
        <v>4.6616262349830691E-2</v>
      </c>
      <c r="AJ632" s="469">
        <f t="shared" si="1498"/>
        <v>4.843605648673617E-2</v>
      </c>
      <c r="AK632" s="470">
        <f t="shared" si="1498"/>
        <v>5.2012238173687934E-2</v>
      </c>
      <c r="AL632" s="467">
        <f t="shared" si="1498"/>
        <v>4.9889331562638334E-2</v>
      </c>
      <c r="AM632" s="467">
        <f t="shared" si="1498"/>
        <v>4.9745307695837737E-2</v>
      </c>
      <c r="AN632" s="467">
        <f t="shared" si="1498"/>
        <v>4.881614103001157E-2</v>
      </c>
      <c r="AO632" s="469">
        <f t="shared" si="1498"/>
        <v>4.6299203047205112E-2</v>
      </c>
      <c r="AP632" s="471">
        <f t="shared" si="1498"/>
        <v>4.8655717741281364E-2</v>
      </c>
      <c r="AQ632" s="471">
        <f t="shared" si="1498"/>
        <v>4.8470539838401723E-2</v>
      </c>
      <c r="AR632" s="469">
        <f t="shared" si="1498"/>
        <v>5.0760518056977282E-2</v>
      </c>
      <c r="AS632" s="469">
        <f t="shared" si="1498"/>
        <v>4.9812388806134256E-2</v>
      </c>
      <c r="AT632" s="469">
        <f t="shared" si="1498"/>
        <v>4.7731137162067123E-2</v>
      </c>
      <c r="AU632" s="1689">
        <f t="shared" si="1498"/>
        <v>4.916574891641428E-2</v>
      </c>
      <c r="AV632" s="1730">
        <f t="shared" ref="AV632:BJ632" si="1499">AV631/AV618</f>
        <v>4.8960141250910839E-2</v>
      </c>
      <c r="AW632" s="1465">
        <f t="shared" si="1499"/>
        <v>5.0257938670274532E-2</v>
      </c>
      <c r="AX632" s="1465">
        <f t="shared" si="1499"/>
        <v>4.8835675300131623E-2</v>
      </c>
      <c r="AY632" s="1868">
        <f t="shared" si="1499"/>
        <v>4.6340909866084593E-2</v>
      </c>
      <c r="AZ632" s="1689">
        <f t="shared" si="1499"/>
        <v>4.8556552958672498E-2</v>
      </c>
      <c r="BA632" s="1730">
        <f t="shared" si="1499"/>
        <v>4.707705889510657E-2</v>
      </c>
      <c r="BB632" s="1465">
        <f t="shared" si="1499"/>
        <v>4.832494102911012E-2</v>
      </c>
      <c r="BC632" s="1465">
        <f t="shared" si="1499"/>
        <v>4.4396068454665108E-2</v>
      </c>
      <c r="BD632" s="1868">
        <f t="shared" si="1499"/>
        <v>4.2128099878258718E-2</v>
      </c>
      <c r="BE632" s="1868">
        <f t="shared" si="1499"/>
        <v>4.5353191544203163E-2</v>
      </c>
      <c r="BF632" s="1465">
        <f t="shared" si="1499"/>
        <v>4.5705882422433564E-2</v>
      </c>
      <c r="BG632" s="1465">
        <f t="shared" si="1499"/>
        <v>4.7377393165794229E-2</v>
      </c>
      <c r="BH632" s="1465">
        <f t="shared" si="1499"/>
        <v>4.7995749680719034E-2</v>
      </c>
      <c r="BI632" s="1868">
        <f t="shared" si="1499"/>
        <v>4.9562470445010255E-2</v>
      </c>
      <c r="BJ632" s="1868">
        <f t="shared" si="1499"/>
        <v>4.7620255085457357E-2</v>
      </c>
      <c r="BK632" s="1465">
        <f t="shared" ref="BK632:BU632" si="1500">BK631/BK618</f>
        <v>5.3771626379333602E-2</v>
      </c>
      <c r="BL632" s="1465">
        <f t="shared" si="1500"/>
        <v>5.5738109606816751E-2</v>
      </c>
      <c r="BM632" s="1465">
        <f t="shared" si="1500"/>
        <v>5.9994687100898787E-2</v>
      </c>
      <c r="BN632" s="1868">
        <f t="shared" si="1500"/>
        <v>5.9713819813265373E-2</v>
      </c>
      <c r="BO632" s="1868">
        <f t="shared" si="1500"/>
        <v>5.7181332401155006E-2</v>
      </c>
      <c r="BP632" s="1465">
        <f t="shared" si="1500"/>
        <v>6.1453287290666979E-2</v>
      </c>
      <c r="BQ632" s="1465">
        <f t="shared" si="1500"/>
        <v>6.3700696693504852E-2</v>
      </c>
      <c r="BR632" s="1465">
        <f t="shared" si="1500"/>
        <v>6.4859121190160851E-2</v>
      </c>
      <c r="BS632" s="1465">
        <f t="shared" si="1500"/>
        <v>5.8542960601240555E-2</v>
      </c>
      <c r="BT632" s="470">
        <f t="shared" si="1500"/>
        <v>6.2043935559762065E-2</v>
      </c>
      <c r="BU632" s="1465">
        <f t="shared" si="1500"/>
        <v>6.0248320873202921E-2</v>
      </c>
      <c r="BV632" s="1465">
        <f t="shared" ref="BV632:CF632" si="1501">BV631/BV618</f>
        <v>6.2451663425004758E-2</v>
      </c>
      <c r="BW632" s="1465">
        <f t="shared" si="1501"/>
        <v>6.358737371584397E-2</v>
      </c>
      <c r="BX632" s="1465">
        <f t="shared" si="1501"/>
        <v>5.7395059412980932E-2</v>
      </c>
      <c r="BY632" s="470">
        <f t="shared" si="1501"/>
        <v>6.0827387803688286E-2</v>
      </c>
      <c r="BZ632" s="470">
        <f t="shared" si="1501"/>
        <v>5.9634693925184598E-2</v>
      </c>
      <c r="CA632" s="470">
        <f t="shared" si="1501"/>
        <v>5.9044251411073861E-2</v>
      </c>
      <c r="CB632" s="470">
        <f t="shared" si="1501"/>
        <v>6.2151843590604064E-2</v>
      </c>
      <c r="CC632" s="470">
        <f t="shared" si="1501"/>
        <v>6.5422993253267434E-2</v>
      </c>
      <c r="CD632" s="470">
        <f t="shared" si="1501"/>
        <v>6.4140189463987682E-2</v>
      </c>
      <c r="CE632" s="470">
        <f t="shared" si="1501"/>
        <v>6.2882538690184009E-2</v>
      </c>
      <c r="CF632" s="470">
        <f t="shared" si="1501"/>
        <v>6.1649547735474507E-2</v>
      </c>
      <c r="CG632" s="492"/>
      <c r="CH632" s="492"/>
      <c r="CI632" s="492"/>
      <c r="CJ632" s="492"/>
      <c r="CK632" s="492"/>
      <c r="CL632" s="1310" t="str">
        <f>A632</f>
        <v>% of Net revenue</v>
      </c>
      <c r="CM632" s="469"/>
      <c r="CN632" s="469"/>
      <c r="CO632" s="469"/>
      <c r="CP632" s="469">
        <f>V632</f>
        <v>5.9772587584511372E-2</v>
      </c>
      <c r="CQ632" s="469">
        <f>AA632</f>
        <v>4.979225527671597E-2</v>
      </c>
      <c r="CR632" s="469">
        <f>AF632</f>
        <v>5.2041153370930841E-2</v>
      </c>
      <c r="CS632" s="469">
        <f>AK632</f>
        <v>5.2012238173687934E-2</v>
      </c>
      <c r="CT632" s="469">
        <f>AP632</f>
        <v>4.8655717741281364E-2</v>
      </c>
      <c r="CU632" s="469">
        <f>AU632</f>
        <v>4.916574891641428E-2</v>
      </c>
      <c r="CV632" s="469">
        <f>AZ632</f>
        <v>4.8556552958672498E-2</v>
      </c>
      <c r="CW632" s="469">
        <f>BE632</f>
        <v>4.5353191544203163E-2</v>
      </c>
      <c r="CX632" s="469">
        <f>BJ632</f>
        <v>4.7620255085457357E-2</v>
      </c>
      <c r="CY632" s="469">
        <f>BO632</f>
        <v>5.7181332401155006E-2</v>
      </c>
      <c r="CZ632" s="469">
        <f>BT632</f>
        <v>6.2043935559762065E-2</v>
      </c>
      <c r="DA632" s="469">
        <f t="shared" si="1484"/>
        <v>6.0827387803688286E-2</v>
      </c>
      <c r="DB632" s="469">
        <f t="shared" si="1484"/>
        <v>5.9634693925184598E-2</v>
      </c>
      <c r="DC632" s="1463">
        <f t="shared" si="1484"/>
        <v>5.9044251411073861E-2</v>
      </c>
      <c r="DD632" s="492"/>
      <c r="DE632" s="492"/>
      <c r="DF632" s="962"/>
      <c r="DG632" s="962"/>
      <c r="DH632" s="469"/>
      <c r="DI632" s="3213"/>
      <c r="DJ632" s="962"/>
      <c r="DK632" s="962"/>
      <c r="DL632" s="962"/>
      <c r="DM632" s="962"/>
      <c r="DN632" s="962"/>
      <c r="DO632" s="962"/>
      <c r="DP632" s="962"/>
      <c r="DQ632" s="962"/>
      <c r="DR632" s="963"/>
      <c r="DS632" s="963"/>
      <c r="DT632" s="963"/>
    </row>
    <row r="633" spans="1:124" ht="12" customHeight="1" x14ac:dyDescent="0.25">
      <c r="A633" s="281"/>
      <c r="B633" s="281"/>
      <c r="C633" s="305"/>
      <c r="D633" s="305"/>
      <c r="E633" s="305"/>
      <c r="F633" s="305"/>
      <c r="G633" s="440"/>
      <c r="H633" s="305"/>
      <c r="I633" s="305"/>
      <c r="J633" s="305"/>
      <c r="K633" s="305"/>
      <c r="L633" s="440"/>
      <c r="M633" s="305"/>
      <c r="N633" s="305"/>
      <c r="O633" s="305"/>
      <c r="P633" s="305"/>
      <c r="Q633" s="440"/>
      <c r="R633" s="305"/>
      <c r="S633" s="305"/>
      <c r="T633" s="305"/>
      <c r="U633" s="305"/>
      <c r="V633" s="440"/>
      <c r="W633" s="305"/>
      <c r="X633" s="305"/>
      <c r="Y633" s="305"/>
      <c r="Z633" s="305"/>
      <c r="AA633" s="440"/>
      <c r="AB633" s="305"/>
      <c r="AC633" s="305"/>
      <c r="AD633" s="305"/>
      <c r="AE633" s="331"/>
      <c r="AF633" s="441"/>
      <c r="AG633" s="331"/>
      <c r="AH633" s="331"/>
      <c r="AI633" s="331"/>
      <c r="AJ633" s="331"/>
      <c r="AK633" s="441"/>
      <c r="AL633" s="442"/>
      <c r="AM633" s="442"/>
      <c r="AN633" s="442"/>
      <c r="AO633" s="442"/>
      <c r="AP633" s="443"/>
      <c r="AQ633" s="443"/>
      <c r="AR633" s="331"/>
      <c r="AS633" s="331"/>
      <c r="AT633" s="331"/>
      <c r="AU633" s="1686"/>
      <c r="AV633" s="1899"/>
      <c r="AW633" s="1774"/>
      <c r="AX633" s="1774"/>
      <c r="AY633" s="1900"/>
      <c r="AZ633" s="349"/>
      <c r="BA633" s="443"/>
      <c r="BB633" s="331"/>
      <c r="BC633" s="331"/>
      <c r="BD633" s="1306"/>
      <c r="BE633" s="1306"/>
      <c r="BF633" s="331"/>
      <c r="BG633" s="331"/>
      <c r="BH633" s="331"/>
      <c r="BI633" s="1306"/>
      <c r="BJ633" s="1306"/>
      <c r="BK633" s="331"/>
      <c r="BL633" s="331"/>
      <c r="BM633" s="331"/>
      <c r="BN633" s="1306"/>
      <c r="BO633" s="1306"/>
      <c r="BP633" s="331"/>
      <c r="BQ633" s="331"/>
      <c r="BR633" s="331"/>
      <c r="BS633" s="331"/>
      <c r="BT633" s="3222"/>
      <c r="BU633" s="2601"/>
      <c r="BV633" s="2601"/>
      <c r="BW633" s="2601"/>
      <c r="BX633" s="2601"/>
      <c r="BY633" s="3222"/>
      <c r="BZ633" s="349"/>
      <c r="CA633" s="349"/>
      <c r="CB633" s="349"/>
      <c r="CC633" s="349"/>
      <c r="CD633" s="349"/>
      <c r="CE633" s="349"/>
      <c r="CF633" s="349"/>
      <c r="CG633" s="331"/>
      <c r="CH633" s="331"/>
      <c r="CI633" s="331"/>
      <c r="CJ633" s="331"/>
      <c r="CK633" s="331"/>
      <c r="CL633" s="520"/>
      <c r="CM633" s="331"/>
      <c r="CN633" s="331"/>
      <c r="CO633" s="331"/>
      <c r="CP633" s="331"/>
      <c r="CQ633" s="331"/>
      <c r="CR633" s="331"/>
      <c r="CS633" s="331"/>
      <c r="CT633" s="331"/>
      <c r="CU633" s="331"/>
      <c r="CV633" s="331"/>
      <c r="CW633" s="331"/>
      <c r="CX633" s="331"/>
      <c r="CY633" s="331"/>
      <c r="CZ633" s="331"/>
      <c r="DA633" s="331"/>
      <c r="DB633" s="331"/>
      <c r="DC633" s="1306"/>
      <c r="DD633" s="331"/>
      <c r="DE633" s="331"/>
      <c r="DF633" s="502"/>
      <c r="DG633" s="503"/>
      <c r="DH633" s="2601"/>
      <c r="DI633" s="3213"/>
      <c r="DJ633" s="502"/>
      <c r="DK633" s="503"/>
      <c r="DL633" s="502"/>
      <c r="DM633" s="502"/>
      <c r="DN633" s="502"/>
      <c r="DO633" s="502"/>
      <c r="DP633" s="503"/>
      <c r="DQ633" s="503"/>
      <c r="DR633" s="296"/>
      <c r="DS633" s="296"/>
      <c r="DT633" s="296"/>
    </row>
    <row r="634" spans="1:124" ht="12" customHeight="1" x14ac:dyDescent="0.25">
      <c r="A634" s="2125" t="s">
        <v>143</v>
      </c>
      <c r="B634" s="428"/>
      <c r="C634" s="502"/>
      <c r="D634" s="502"/>
      <c r="E634" s="502"/>
      <c r="F634" s="502"/>
      <c r="G634" s="534"/>
      <c r="H634" s="502"/>
      <c r="I634" s="502"/>
      <c r="J634" s="502"/>
      <c r="K634" s="502"/>
      <c r="L634" s="534"/>
      <c r="M634" s="502"/>
      <c r="N634" s="502"/>
      <c r="O634" s="502"/>
      <c r="P634" s="502"/>
      <c r="Q634" s="534"/>
      <c r="R634" s="502"/>
      <c r="S634" s="502"/>
      <c r="T634" s="502"/>
      <c r="U634" s="502"/>
      <c r="V634" s="534"/>
      <c r="W634" s="502"/>
      <c r="X634" s="502"/>
      <c r="Y634" s="502"/>
      <c r="Z634" s="502"/>
      <c r="AA634" s="534"/>
      <c r="AB634" s="502"/>
      <c r="AC634" s="502"/>
      <c r="AD634" s="502"/>
      <c r="AE634" s="502"/>
      <c r="AF634" s="534"/>
      <c r="AG634" s="502"/>
      <c r="AH634" s="502"/>
      <c r="AI634" s="502"/>
      <c r="AJ634" s="502"/>
      <c r="AK634" s="534"/>
      <c r="AL634" s="503"/>
      <c r="AM634" s="503"/>
      <c r="AN634" s="503"/>
      <c r="AO634" s="503"/>
      <c r="AP634" s="535"/>
      <c r="AQ634" s="535"/>
      <c r="AR634" s="537"/>
      <c r="AS634" s="537"/>
      <c r="AT634" s="537"/>
      <c r="AU634" s="536"/>
      <c r="AV634" s="535"/>
      <c r="AW634" s="537"/>
      <c r="AX634" s="537"/>
      <c r="AY634" s="1926"/>
      <c r="AZ634" s="536"/>
      <c r="BA634" s="535"/>
      <c r="BB634" s="537"/>
      <c r="BC634" s="537"/>
      <c r="BD634" s="1926"/>
      <c r="BE634" s="1926"/>
      <c r="BF634" s="537"/>
      <c r="BG634" s="537"/>
      <c r="BH634" s="537"/>
      <c r="BI634" s="1926"/>
      <c r="BJ634" s="1926"/>
      <c r="BK634" s="537"/>
      <c r="BL634" s="537"/>
      <c r="BM634" s="537"/>
      <c r="BN634" s="1926"/>
      <c r="BO634" s="1926"/>
      <c r="BP634" s="537"/>
      <c r="BQ634" s="537"/>
      <c r="BR634" s="537"/>
      <c r="BS634" s="537"/>
      <c r="BT634" s="536"/>
      <c r="BU634" s="535"/>
      <c r="BV634" s="537"/>
      <c r="BW634" s="537"/>
      <c r="BX634" s="537"/>
      <c r="BY634" s="536"/>
      <c r="BZ634" s="536"/>
      <c r="CA634" s="536"/>
      <c r="CB634" s="536"/>
      <c r="CC634" s="536"/>
      <c r="CD634" s="536"/>
      <c r="CE634" s="536"/>
      <c r="CF634" s="536"/>
      <c r="CG634" s="331"/>
      <c r="CH634" s="331"/>
      <c r="CI634" s="331"/>
      <c r="CJ634" s="331"/>
      <c r="CK634" s="331"/>
      <c r="CL634" s="2036" t="str">
        <f>A634</f>
        <v>M Resort (NV)</v>
      </c>
      <c r="CM634" s="537">
        <f>G634</f>
        <v>0</v>
      </c>
      <c r="CN634" s="537">
        <f>L634</f>
        <v>0</v>
      </c>
      <c r="CO634" s="537">
        <f>Q634</f>
        <v>0</v>
      </c>
      <c r="CP634" s="537">
        <f>V634</f>
        <v>0</v>
      </c>
      <c r="CQ634" s="537">
        <f>AA634</f>
        <v>0</v>
      </c>
      <c r="CR634" s="537">
        <f>AF634</f>
        <v>0</v>
      </c>
      <c r="CS634" s="537">
        <f>AK634</f>
        <v>0</v>
      </c>
      <c r="CT634" s="537">
        <f>AP634</f>
        <v>0</v>
      </c>
      <c r="CU634" s="537">
        <f>AU634</f>
        <v>0</v>
      </c>
      <c r="CV634" s="537">
        <f>AZ634</f>
        <v>0</v>
      </c>
      <c r="CW634" s="537">
        <f>BE634</f>
        <v>0</v>
      </c>
      <c r="CX634" s="537">
        <f>BJ634</f>
        <v>0</v>
      </c>
      <c r="CY634" s="537">
        <f>BO634</f>
        <v>0</v>
      </c>
      <c r="CZ634" s="537">
        <f>BT634</f>
        <v>0</v>
      </c>
      <c r="DA634" s="537">
        <f>BY634</f>
        <v>0</v>
      </c>
      <c r="DB634" s="537">
        <f>BZ634</f>
        <v>0</v>
      </c>
      <c r="DC634" s="1926">
        <f>CA634</f>
        <v>0</v>
      </c>
      <c r="DD634" s="331"/>
      <c r="DE634" s="331"/>
      <c r="DF634" s="502"/>
      <c r="DG634" s="503"/>
      <c r="DH634" s="537"/>
      <c r="DI634" s="3213"/>
      <c r="DJ634" s="502"/>
      <c r="DK634" s="503"/>
      <c r="DL634" s="502"/>
      <c r="DM634" s="502"/>
      <c r="DN634" s="502"/>
      <c r="DO634" s="502"/>
      <c r="DP634" s="503"/>
      <c r="DQ634" s="503"/>
      <c r="DR634" s="428"/>
      <c r="DS634" s="428"/>
      <c r="DT634" s="428"/>
    </row>
    <row r="635" spans="1:124" ht="12" customHeight="1" x14ac:dyDescent="0.25">
      <c r="A635" s="281" t="s">
        <v>894</v>
      </c>
      <c r="B635" s="281"/>
      <c r="C635" s="446"/>
      <c r="D635" s="446"/>
      <c r="E635" s="446"/>
      <c r="F635" s="446"/>
      <c r="G635" s="447"/>
      <c r="H635" s="446"/>
      <c r="I635" s="446"/>
      <c r="J635" s="446"/>
      <c r="K635" s="446"/>
      <c r="L635" s="447"/>
      <c r="M635" s="446"/>
      <c r="N635" s="446"/>
      <c r="O635" s="446"/>
      <c r="P635" s="446"/>
      <c r="Q635" s="447"/>
      <c r="R635" s="446"/>
      <c r="S635" s="446"/>
      <c r="T635" s="446"/>
      <c r="U635" s="446"/>
      <c r="V635" s="447"/>
      <c r="W635" s="446"/>
      <c r="X635" s="446"/>
      <c r="Y635" s="446"/>
      <c r="Z635" s="446"/>
      <c r="AA635" s="447"/>
      <c r="AB635" s="446"/>
      <c r="AC635" s="446"/>
      <c r="AD635" s="446"/>
      <c r="AE635" s="454"/>
      <c r="AF635" s="455"/>
      <c r="AG635" s="446"/>
      <c r="AH635" s="446"/>
      <c r="AI635" s="446"/>
      <c r="AJ635" s="454"/>
      <c r="AK635" s="455"/>
      <c r="AL635" s="446"/>
      <c r="AM635" s="446"/>
      <c r="AN635" s="446"/>
      <c r="AO635" s="454"/>
      <c r="AP635" s="456"/>
      <c r="AQ635" s="456"/>
      <c r="AR635" s="454"/>
      <c r="AS635" s="454"/>
      <c r="AT635" s="454"/>
      <c r="AU635" s="455"/>
      <c r="AV635" s="456"/>
      <c r="AW635" s="454"/>
      <c r="AX635" s="454"/>
      <c r="AY635" s="1666"/>
      <c r="AZ635" s="455"/>
      <c r="BA635" s="456"/>
      <c r="BB635" s="454"/>
      <c r="BC635" s="454"/>
      <c r="BD635" s="1666"/>
      <c r="BE635" s="1666"/>
      <c r="BF635" s="454"/>
      <c r="BG635" s="454"/>
      <c r="BH635" s="454"/>
      <c r="BI635" s="1666"/>
      <c r="BJ635" s="1666"/>
      <c r="BK635" s="454"/>
      <c r="BL635" s="454"/>
      <c r="BM635" s="454"/>
      <c r="BN635" s="1666"/>
      <c r="BO635" s="1666"/>
      <c r="BP635" s="454"/>
      <c r="BQ635" s="454"/>
      <c r="BR635" s="454"/>
      <c r="BS635" s="454"/>
      <c r="BT635" s="3066"/>
      <c r="BU635" s="3391"/>
      <c r="BV635" s="2915"/>
      <c r="BW635" s="2915"/>
      <c r="BX635" s="2915"/>
      <c r="BY635" s="3066"/>
      <c r="BZ635" s="455"/>
      <c r="CA635" s="455"/>
      <c r="CB635" s="455"/>
      <c r="CC635" s="455"/>
      <c r="CD635" s="455"/>
      <c r="CE635" s="455"/>
      <c r="CF635" s="455"/>
      <c r="CG635" s="331"/>
      <c r="CH635" s="331"/>
      <c r="CI635" s="331"/>
      <c r="CJ635" s="331"/>
      <c r="CK635" s="331"/>
      <c r="CL635" s="520" t="str">
        <f>A635</f>
        <v>Positions</v>
      </c>
      <c r="CM635" s="454"/>
      <c r="CN635" s="454"/>
      <c r="CO635" s="454"/>
      <c r="CP635" s="454"/>
      <c r="CQ635" s="454"/>
      <c r="CR635" s="454"/>
      <c r="CS635" s="454"/>
      <c r="CT635" s="454"/>
      <c r="CU635" s="454"/>
      <c r="CV635" s="454"/>
      <c r="CW635" s="454"/>
      <c r="CX635" s="454"/>
      <c r="CY635" s="454"/>
      <c r="CZ635" s="454"/>
      <c r="DA635" s="454"/>
      <c r="DB635" s="454"/>
      <c r="DC635" s="1666"/>
      <c r="DD635" s="331"/>
      <c r="DE635" s="331"/>
      <c r="DF635" s="502"/>
      <c r="DG635" s="503"/>
      <c r="DH635" s="2915"/>
      <c r="DI635" s="3213"/>
      <c r="DJ635" s="502"/>
      <c r="DK635" s="503"/>
      <c r="DL635" s="502"/>
      <c r="DM635" s="502"/>
      <c r="DN635" s="502"/>
      <c r="DO635" s="502"/>
      <c r="DP635" s="503"/>
      <c r="DQ635" s="503"/>
      <c r="DR635" s="296"/>
      <c r="DS635" s="296"/>
      <c r="DT635" s="296"/>
    </row>
    <row r="636" spans="1:124" ht="12" customHeight="1" x14ac:dyDescent="0.25">
      <c r="A636" s="281" t="s">
        <v>585</v>
      </c>
      <c r="B636" s="281"/>
      <c r="C636" s="446"/>
      <c r="D636" s="446"/>
      <c r="E636" s="446"/>
      <c r="F636" s="446"/>
      <c r="G636" s="447"/>
      <c r="H636" s="446"/>
      <c r="I636" s="446"/>
      <c r="J636" s="446"/>
      <c r="K636" s="446"/>
      <c r="L636" s="447"/>
      <c r="M636" s="446"/>
      <c r="N636" s="446"/>
      <c r="O636" s="446"/>
      <c r="P636" s="446"/>
      <c r="Q636" s="447"/>
      <c r="R636" s="446"/>
      <c r="S636" s="446"/>
      <c r="T636" s="446"/>
      <c r="U636" s="446"/>
      <c r="V636" s="447"/>
      <c r="W636" s="446"/>
      <c r="X636" s="446"/>
      <c r="Y636" s="446"/>
      <c r="Z636" s="446"/>
      <c r="AA636" s="447"/>
      <c r="AB636" s="446"/>
      <c r="AC636" s="446"/>
      <c r="AD636" s="446"/>
      <c r="AE636" s="454"/>
      <c r="AF636" s="455"/>
      <c r="AG636" s="446"/>
      <c r="AH636" s="446"/>
      <c r="AI636" s="446"/>
      <c r="AJ636" s="454"/>
      <c r="AK636" s="455"/>
      <c r="AL636" s="446"/>
      <c r="AM636" s="446"/>
      <c r="AN636" s="446"/>
      <c r="AO636" s="454"/>
      <c r="AP636" s="456"/>
      <c r="AQ636" s="456"/>
      <c r="AR636" s="454"/>
      <c r="AS636" s="454"/>
      <c r="AT636" s="454"/>
      <c r="AU636" s="455"/>
      <c r="AV636" s="456"/>
      <c r="AW636" s="454"/>
      <c r="AX636" s="454"/>
      <c r="AY636" s="1666"/>
      <c r="AZ636" s="455"/>
      <c r="BA636" s="456"/>
      <c r="BB636" s="454"/>
      <c r="BC636" s="454"/>
      <c r="BD636" s="1666"/>
      <c r="BE636" s="1666"/>
      <c r="BF636" s="454"/>
      <c r="BG636" s="454"/>
      <c r="BH636" s="454"/>
      <c r="BI636" s="1666"/>
      <c r="BJ636" s="1666"/>
      <c r="BK636" s="454"/>
      <c r="BL636" s="454"/>
      <c r="BM636" s="454"/>
      <c r="BN636" s="1666"/>
      <c r="BO636" s="1666"/>
      <c r="BP636" s="454"/>
      <c r="BQ636" s="454"/>
      <c r="BR636" s="454"/>
      <c r="BS636" s="454"/>
      <c r="BT636" s="3066"/>
      <c r="BU636" s="3391"/>
      <c r="BV636" s="2915"/>
      <c r="BW636" s="2915"/>
      <c r="BX636" s="2915"/>
      <c r="BY636" s="3066"/>
      <c r="BZ636" s="455"/>
      <c r="CA636" s="455"/>
      <c r="CB636" s="455"/>
      <c r="CC636" s="455"/>
      <c r="CD636" s="455"/>
      <c r="CE636" s="455"/>
      <c r="CF636" s="455"/>
      <c r="CG636" s="331"/>
      <c r="CH636" s="331"/>
      <c r="CI636" s="331"/>
      <c r="CJ636" s="331"/>
      <c r="CK636" s="331"/>
      <c r="CL636" s="520" t="str">
        <f>A636</f>
        <v>Slots</v>
      </c>
      <c r="CM636" s="454"/>
      <c r="CN636" s="454"/>
      <c r="CO636" s="454"/>
      <c r="CP636" s="454"/>
      <c r="CQ636" s="454"/>
      <c r="CR636" s="454"/>
      <c r="CS636" s="454"/>
      <c r="CT636" s="454"/>
      <c r="CU636" s="454"/>
      <c r="CV636" s="454"/>
      <c r="CW636" s="454"/>
      <c r="CX636" s="454"/>
      <c r="CY636" s="454"/>
      <c r="CZ636" s="454"/>
      <c r="DA636" s="454"/>
      <c r="DB636" s="454"/>
      <c r="DC636" s="1666"/>
      <c r="DD636" s="331"/>
      <c r="DE636" s="331"/>
      <c r="DF636" s="502"/>
      <c r="DG636" s="503"/>
      <c r="DH636" s="2915"/>
      <c r="DI636" s="3213"/>
      <c r="DJ636" s="502"/>
      <c r="DK636" s="503"/>
      <c r="DL636" s="502"/>
      <c r="DM636" s="502"/>
      <c r="DN636" s="502"/>
      <c r="DO636" s="502"/>
      <c r="DP636" s="503"/>
      <c r="DQ636" s="503"/>
      <c r="DR636" s="296"/>
      <c r="DS636" s="296"/>
      <c r="DT636" s="296"/>
    </row>
    <row r="637" spans="1:124" ht="12" customHeight="1" x14ac:dyDescent="0.25">
      <c r="A637" s="281" t="s">
        <v>584</v>
      </c>
      <c r="B637" s="281"/>
      <c r="C637" s="446"/>
      <c r="D637" s="446"/>
      <c r="E637" s="446"/>
      <c r="F637" s="446"/>
      <c r="G637" s="447"/>
      <c r="H637" s="446"/>
      <c r="I637" s="446"/>
      <c r="J637" s="446"/>
      <c r="K637" s="446"/>
      <c r="L637" s="447"/>
      <c r="M637" s="446"/>
      <c r="N637" s="446"/>
      <c r="O637" s="446"/>
      <c r="P637" s="446"/>
      <c r="Q637" s="447"/>
      <c r="R637" s="446"/>
      <c r="S637" s="446"/>
      <c r="T637" s="446"/>
      <c r="U637" s="446"/>
      <c r="V637" s="447"/>
      <c r="W637" s="446"/>
      <c r="X637" s="446"/>
      <c r="Y637" s="446"/>
      <c r="Z637" s="446"/>
      <c r="AA637" s="447"/>
      <c r="AB637" s="446"/>
      <c r="AC637" s="446"/>
      <c r="AD637" s="446"/>
      <c r="AE637" s="454"/>
      <c r="AF637" s="455"/>
      <c r="AG637" s="446"/>
      <c r="AH637" s="446"/>
      <c r="AI637" s="446"/>
      <c r="AJ637" s="454"/>
      <c r="AK637" s="455"/>
      <c r="AL637" s="446"/>
      <c r="AM637" s="446"/>
      <c r="AN637" s="446"/>
      <c r="AO637" s="454"/>
      <c r="AP637" s="456"/>
      <c r="AQ637" s="456"/>
      <c r="AR637" s="454"/>
      <c r="AS637" s="454"/>
      <c r="AT637" s="454"/>
      <c r="AU637" s="455"/>
      <c r="AV637" s="456"/>
      <c r="AW637" s="454"/>
      <c r="AX637" s="454"/>
      <c r="AY637" s="1666"/>
      <c r="AZ637" s="455"/>
      <c r="BA637" s="456"/>
      <c r="BB637" s="454"/>
      <c r="BC637" s="454"/>
      <c r="BD637" s="1666"/>
      <c r="BE637" s="1666"/>
      <c r="BF637" s="454"/>
      <c r="BG637" s="454"/>
      <c r="BH637" s="454"/>
      <c r="BI637" s="1666"/>
      <c r="BJ637" s="1666"/>
      <c r="BK637" s="454"/>
      <c r="BL637" s="454"/>
      <c r="BM637" s="454"/>
      <c r="BN637" s="1666"/>
      <c r="BO637" s="1666"/>
      <c r="BP637" s="454"/>
      <c r="BQ637" s="454"/>
      <c r="BR637" s="454"/>
      <c r="BS637" s="454"/>
      <c r="BT637" s="3066"/>
      <c r="BU637" s="3391"/>
      <c r="BV637" s="2915"/>
      <c r="BW637" s="2915"/>
      <c r="BX637" s="2915"/>
      <c r="BY637" s="3066"/>
      <c r="BZ637" s="455"/>
      <c r="CA637" s="455"/>
      <c r="CB637" s="455"/>
      <c r="CC637" s="455"/>
      <c r="CD637" s="455"/>
      <c r="CE637" s="455"/>
      <c r="CF637" s="455"/>
      <c r="CG637" s="331"/>
      <c r="CH637" s="331"/>
      <c r="CI637" s="331"/>
      <c r="CJ637" s="331"/>
      <c r="CK637" s="331"/>
      <c r="CL637" s="520" t="str">
        <f>A637</f>
        <v>Tables</v>
      </c>
      <c r="CM637" s="454"/>
      <c r="CN637" s="454"/>
      <c r="CO637" s="454"/>
      <c r="CP637" s="454"/>
      <c r="CQ637" s="454"/>
      <c r="CR637" s="454"/>
      <c r="CS637" s="454"/>
      <c r="CT637" s="454"/>
      <c r="CU637" s="454"/>
      <c r="CV637" s="454"/>
      <c r="CW637" s="454"/>
      <c r="CX637" s="454"/>
      <c r="CY637" s="454"/>
      <c r="CZ637" s="454"/>
      <c r="DA637" s="454"/>
      <c r="DB637" s="454"/>
      <c r="DC637" s="1666"/>
      <c r="DD637" s="331"/>
      <c r="DE637" s="331"/>
      <c r="DF637" s="502"/>
      <c r="DG637" s="503"/>
      <c r="DH637" s="2915"/>
      <c r="DI637" s="3213"/>
      <c r="DJ637" s="502"/>
      <c r="DK637" s="503"/>
      <c r="DL637" s="502"/>
      <c r="DM637" s="502"/>
      <c r="DN637" s="502"/>
      <c r="DO637" s="502"/>
      <c r="DP637" s="503"/>
      <c r="DQ637" s="503"/>
      <c r="DR637" s="296"/>
      <c r="DS637" s="296"/>
      <c r="DT637" s="296"/>
    </row>
    <row r="638" spans="1:124" ht="12" customHeight="1" x14ac:dyDescent="0.25">
      <c r="A638" s="511" t="s">
        <v>2111</v>
      </c>
      <c r="B638" s="281"/>
      <c r="C638" s="446"/>
      <c r="D638" s="446"/>
      <c r="E638" s="446"/>
      <c r="F638" s="446"/>
      <c r="G638" s="447"/>
      <c r="H638" s="446"/>
      <c r="I638" s="446"/>
      <c r="J638" s="446"/>
      <c r="K638" s="446"/>
      <c r="L638" s="447"/>
      <c r="M638" s="446"/>
      <c r="N638" s="446"/>
      <c r="O638" s="446"/>
      <c r="P638" s="446"/>
      <c r="Q638" s="447"/>
      <c r="R638" s="446"/>
      <c r="S638" s="446"/>
      <c r="T638" s="446"/>
      <c r="U638" s="446"/>
      <c r="V638" s="447"/>
      <c r="W638" s="446"/>
      <c r="X638" s="446"/>
      <c r="Y638" s="446"/>
      <c r="Z638" s="446"/>
      <c r="AA638" s="447"/>
      <c r="AB638" s="446"/>
      <c r="AC638" s="446"/>
      <c r="AD638" s="446"/>
      <c r="AE638" s="454"/>
      <c r="AF638" s="455"/>
      <c r="AG638" s="446"/>
      <c r="AH638" s="446"/>
      <c r="AI638" s="446"/>
      <c r="AJ638" s="454"/>
      <c r="AK638" s="455"/>
      <c r="AL638" s="446"/>
      <c r="AM638" s="446"/>
      <c r="AN638" s="446"/>
      <c r="AO638" s="454"/>
      <c r="AP638" s="456"/>
      <c r="AQ638" s="456"/>
      <c r="AR638" s="454"/>
      <c r="AS638" s="454"/>
      <c r="AT638" s="454"/>
      <c r="AU638" s="455"/>
      <c r="AV638" s="456"/>
      <c r="AW638" s="454"/>
      <c r="AX638" s="454"/>
      <c r="AY638" s="1666"/>
      <c r="AZ638" s="455"/>
      <c r="BA638" s="456"/>
      <c r="BB638" s="454"/>
      <c r="BC638" s="454"/>
      <c r="BD638" s="1666"/>
      <c r="BE638" s="1666"/>
      <c r="BF638" s="454"/>
      <c r="BG638" s="454"/>
      <c r="BH638" s="454"/>
      <c r="BI638" s="1666"/>
      <c r="BJ638" s="1666"/>
      <c r="BK638" s="454"/>
      <c r="BL638" s="454"/>
      <c r="BM638" s="454"/>
      <c r="BN638" s="1666"/>
      <c r="BO638" s="1666"/>
      <c r="BP638" s="454"/>
      <c r="BQ638" s="454"/>
      <c r="BR638" s="454"/>
      <c r="BS638" s="454"/>
      <c r="BT638" s="3066"/>
      <c r="BU638" s="3391"/>
      <c r="BV638" s="2915"/>
      <c r="BW638" s="2915"/>
      <c r="BX638" s="2915"/>
      <c r="BY638" s="3066"/>
      <c r="BZ638" s="455"/>
      <c r="CA638" s="455"/>
      <c r="CB638" s="455"/>
      <c r="CC638" s="455"/>
      <c r="CD638" s="455"/>
      <c r="CE638" s="455"/>
      <c r="CF638" s="455"/>
      <c r="CG638" s="331"/>
      <c r="CH638" s="331"/>
      <c r="CI638" s="331"/>
      <c r="CJ638" s="331"/>
      <c r="CK638" s="331"/>
      <c r="CL638" s="1118" t="str">
        <f>A638</f>
        <v>Average Positions</v>
      </c>
      <c r="CM638" s="454"/>
      <c r="CN638" s="454"/>
      <c r="CO638" s="454"/>
      <c r="CP638" s="454"/>
      <c r="CQ638" s="454"/>
      <c r="CR638" s="454"/>
      <c r="CS638" s="454"/>
      <c r="CT638" s="454"/>
      <c r="CU638" s="454"/>
      <c r="CV638" s="454"/>
      <c r="CW638" s="454"/>
      <c r="CX638" s="454"/>
      <c r="CY638" s="454"/>
      <c r="CZ638" s="454"/>
      <c r="DA638" s="454"/>
      <c r="DB638" s="454"/>
      <c r="DC638" s="1666"/>
      <c r="DD638" s="331"/>
      <c r="DE638" s="331"/>
      <c r="DF638" s="502"/>
      <c r="DG638" s="503"/>
      <c r="DH638" s="2915"/>
      <c r="DI638" s="3213"/>
      <c r="DJ638" s="502"/>
      <c r="DK638" s="503"/>
      <c r="DL638" s="502"/>
      <c r="DM638" s="502"/>
      <c r="DN638" s="502"/>
      <c r="DO638" s="502"/>
      <c r="DP638" s="503"/>
      <c r="DQ638" s="503"/>
      <c r="DR638" s="296"/>
      <c r="DS638" s="296"/>
      <c r="DT638" s="296"/>
    </row>
    <row r="639" spans="1:124" ht="12" customHeight="1" x14ac:dyDescent="0.25">
      <c r="A639" s="557"/>
      <c r="B639" s="281"/>
      <c r="C639" s="446"/>
      <c r="D639" s="446"/>
      <c r="E639" s="446"/>
      <c r="F639" s="446"/>
      <c r="G639" s="447"/>
      <c r="H639" s="446"/>
      <c r="I639" s="446"/>
      <c r="J639" s="446"/>
      <c r="K639" s="446"/>
      <c r="L639" s="447"/>
      <c r="M639" s="446"/>
      <c r="N639" s="446"/>
      <c r="O639" s="446"/>
      <c r="P639" s="446"/>
      <c r="Q639" s="447"/>
      <c r="R639" s="446"/>
      <c r="S639" s="446"/>
      <c r="T639" s="446"/>
      <c r="U639" s="446"/>
      <c r="V639" s="447"/>
      <c r="W639" s="446"/>
      <c r="X639" s="446"/>
      <c r="Y639" s="446"/>
      <c r="Z639" s="446"/>
      <c r="AA639" s="447"/>
      <c r="AB639" s="446"/>
      <c r="AC639" s="446"/>
      <c r="AD639" s="446"/>
      <c r="AE639" s="454"/>
      <c r="AF639" s="455"/>
      <c r="AG639" s="446"/>
      <c r="AH639" s="446"/>
      <c r="AI639" s="446"/>
      <c r="AJ639" s="454"/>
      <c r="AK639" s="455"/>
      <c r="AL639" s="446"/>
      <c r="AM639" s="446"/>
      <c r="AN639" s="446"/>
      <c r="AO639" s="454"/>
      <c r="AP639" s="456"/>
      <c r="AQ639" s="456"/>
      <c r="AR639" s="454"/>
      <c r="AS639" s="454"/>
      <c r="AT639" s="454"/>
      <c r="AU639" s="455"/>
      <c r="AV639" s="456"/>
      <c r="AW639" s="454"/>
      <c r="AX639" s="454"/>
      <c r="AY639" s="1666"/>
      <c r="AZ639" s="455"/>
      <c r="BA639" s="456"/>
      <c r="BB639" s="454"/>
      <c r="BC639" s="454"/>
      <c r="BD639" s="1666"/>
      <c r="BE639" s="1666"/>
      <c r="BF639" s="454"/>
      <c r="BG639" s="454"/>
      <c r="BH639" s="454"/>
      <c r="BI639" s="1666"/>
      <c r="BJ639" s="1666"/>
      <c r="BK639" s="454"/>
      <c r="BL639" s="454"/>
      <c r="BM639" s="454"/>
      <c r="BN639" s="1666"/>
      <c r="BO639" s="1666"/>
      <c r="BP639" s="454"/>
      <c r="BQ639" s="454"/>
      <c r="BR639" s="454"/>
      <c r="BS639" s="454"/>
      <c r="BT639" s="3066"/>
      <c r="BU639" s="3391"/>
      <c r="BV639" s="2915"/>
      <c r="BW639" s="2915"/>
      <c r="BX639" s="2915"/>
      <c r="BY639" s="3066"/>
      <c r="BZ639" s="455"/>
      <c r="CA639" s="455"/>
      <c r="CB639" s="455"/>
      <c r="CC639" s="455"/>
      <c r="CD639" s="455"/>
      <c r="CE639" s="455"/>
      <c r="CF639" s="455"/>
      <c r="CG639" s="331"/>
      <c r="CH639" s="331"/>
      <c r="CI639" s="331"/>
      <c r="CJ639" s="331"/>
      <c r="CK639" s="331"/>
      <c r="CL639" s="1307"/>
      <c r="CM639" s="454"/>
      <c r="CN639" s="454"/>
      <c r="CO639" s="454"/>
      <c r="CP639" s="454"/>
      <c r="CQ639" s="454"/>
      <c r="CR639" s="454"/>
      <c r="CS639" s="454"/>
      <c r="CT639" s="454"/>
      <c r="CU639" s="454"/>
      <c r="CV639" s="454"/>
      <c r="CW639" s="454"/>
      <c r="CX639" s="454"/>
      <c r="CY639" s="454"/>
      <c r="CZ639" s="454"/>
      <c r="DA639" s="454"/>
      <c r="DB639" s="454"/>
      <c r="DC639" s="1666"/>
      <c r="DD639" s="331"/>
      <c r="DE639" s="331"/>
      <c r="DF639" s="502"/>
      <c r="DG639" s="503"/>
      <c r="DH639" s="2915"/>
      <c r="DI639" s="3213"/>
      <c r="DJ639" s="502"/>
      <c r="DK639" s="503"/>
      <c r="DL639" s="502"/>
      <c r="DM639" s="502"/>
      <c r="DN639" s="502"/>
      <c r="DO639" s="502"/>
      <c r="DP639" s="503"/>
      <c r="DQ639" s="503"/>
      <c r="DR639" s="296"/>
      <c r="DS639" s="296"/>
      <c r="DT639" s="296"/>
    </row>
    <row r="640" spans="1:124" ht="12" customHeight="1" x14ac:dyDescent="0.25">
      <c r="A640" s="496" t="s">
        <v>1418</v>
      </c>
      <c r="B640" s="1007"/>
      <c r="C640" s="1005"/>
      <c r="D640" s="1005"/>
      <c r="E640" s="1005"/>
      <c r="F640" s="1005"/>
      <c r="G640" s="1002"/>
      <c r="H640" s="1005"/>
      <c r="I640" s="1005"/>
      <c r="J640" s="1005"/>
      <c r="K640" s="1005"/>
      <c r="L640" s="1002"/>
      <c r="M640" s="1005"/>
      <c r="N640" s="1005"/>
      <c r="O640" s="1005"/>
      <c r="P640" s="1005"/>
      <c r="Q640" s="1002"/>
      <c r="R640" s="1005"/>
      <c r="S640" s="1005"/>
      <c r="T640" s="1005"/>
      <c r="U640" s="1005"/>
      <c r="V640" s="1002"/>
      <c r="W640" s="1005"/>
      <c r="X640" s="1005"/>
      <c r="Y640" s="1005"/>
      <c r="Z640" s="1005"/>
      <c r="AA640" s="1002"/>
      <c r="AB640" s="1005"/>
      <c r="AC640" s="1005"/>
      <c r="AD640" s="1005"/>
      <c r="AE640" s="1015"/>
      <c r="AF640" s="1004"/>
      <c r="AG640" s="1001">
        <f>81.817-AH640</f>
        <v>39.947999999999993</v>
      </c>
      <c r="AH640" s="1001">
        <v>41.869</v>
      </c>
      <c r="AI640" s="1005"/>
      <c r="AJ640" s="1015"/>
      <c r="AK640" s="1004"/>
      <c r="AL640" s="1001">
        <f>83.748-AM640</f>
        <v>40.651000000000003</v>
      </c>
      <c r="AM640" s="1001">
        <v>43.097000000000001</v>
      </c>
      <c r="AN640" s="1001">
        <v>39</v>
      </c>
      <c r="AO640" s="1003">
        <v>40</v>
      </c>
      <c r="AP640" s="1006">
        <f>SUM(AL640:AO640)</f>
        <v>162.74799999999999</v>
      </c>
      <c r="AQ640" s="1006">
        <f>+AL640*(1+AQ641)</f>
        <v>41.464020000000005</v>
      </c>
      <c r="AR640" s="1015">
        <f>+AM640*(1+AR641)</f>
        <v>42.235059999999997</v>
      </c>
      <c r="AS640" s="1015">
        <f>+AN640*(1+AS641)</f>
        <v>36.269999999999996</v>
      </c>
      <c r="AT640" s="1015">
        <f>+AO640*(1+AT641)</f>
        <v>38.799999999999997</v>
      </c>
      <c r="AU640" s="1004">
        <f>SUM(AQ640:AT640)</f>
        <v>158.76908</v>
      </c>
      <c r="AV640" s="1006">
        <f>+AQ640*(1+AV641)</f>
        <v>40.220099400000002</v>
      </c>
      <c r="AW640" s="1015">
        <f>+AR640*(1+AW641)</f>
        <v>41.390358799999994</v>
      </c>
      <c r="AX640" s="1015">
        <f>+AS640*(1+AX641)</f>
        <v>35.907299999999992</v>
      </c>
      <c r="AY640" s="1871">
        <f>+AT640*(1+AY641)</f>
        <v>38.023999999999994</v>
      </c>
      <c r="AZ640" s="1004">
        <f>SUM(AV640:AY640)</f>
        <v>155.54175819999998</v>
      </c>
      <c r="BA640" s="1006">
        <f>+AV640*(1+BA641)</f>
        <v>39.817898406000005</v>
      </c>
      <c r="BB640" s="1015">
        <f>+AW640*(1+BB641)</f>
        <v>39.734744447999994</v>
      </c>
      <c r="BC640" s="1015">
        <f>+AX640*(1+BC641)</f>
        <v>34.830080999999993</v>
      </c>
      <c r="BD640" s="1871">
        <f>+AY640*(1+BD641)</f>
        <v>38.784479999999995</v>
      </c>
      <c r="BE640" s="1871">
        <f>SUM(BA640:BD640)</f>
        <v>153.16720385399998</v>
      </c>
      <c r="BF640" s="1015">
        <f>+BA640*(1+BF641)</f>
        <v>40.614256374120004</v>
      </c>
      <c r="BG640" s="1015">
        <f>+BB640*(1+BG641)</f>
        <v>40.926786781439993</v>
      </c>
      <c r="BH640" s="1015">
        <f>+BC640*(1+BH641)</f>
        <v>35.874983429999993</v>
      </c>
      <c r="BI640" s="1871">
        <f>+BD640*(1+BI641)</f>
        <v>38.784479999999995</v>
      </c>
      <c r="BJ640" s="1871">
        <f>SUM(BF640:BI640)</f>
        <v>156.20050658555999</v>
      </c>
      <c r="BK640" s="1015">
        <f>+BF640*(1+BK641)</f>
        <v>41.832684065343607</v>
      </c>
      <c r="BL640" s="1015">
        <f>+BG640*(1+BL641)</f>
        <v>41.745322517068793</v>
      </c>
      <c r="BM640" s="1015">
        <f>+BH640*(1+BM641)</f>
        <v>36.951232932899991</v>
      </c>
      <c r="BN640" s="1871">
        <f>+BI640*(1+BN641)</f>
        <v>39.560169599999995</v>
      </c>
      <c r="BO640" s="1871">
        <f>SUM(BK640:BN640)</f>
        <v>160.08940911531238</v>
      </c>
      <c r="BP640" s="1015">
        <f>+BK640*(1+BP641)</f>
        <v>42.251010905997042</v>
      </c>
      <c r="BQ640" s="1015">
        <f>+BL640*(1+BQ641)</f>
        <v>42.162775742239482</v>
      </c>
      <c r="BR640" s="1015">
        <f>+BM640*(1+BR641)</f>
        <v>37.320745262228989</v>
      </c>
      <c r="BS640" s="1015">
        <f>+BN640*(1+BS641)</f>
        <v>39.955771295999995</v>
      </c>
      <c r="BT640" s="1004">
        <f>SUM(BP640:BS640)</f>
        <v>161.6903032064655</v>
      </c>
      <c r="BU640" s="1015">
        <f>+BP640*(1+BU641)</f>
        <v>43.096031124116983</v>
      </c>
      <c r="BV640" s="1015">
        <f>+BQ640*(1+BV641)</f>
        <v>43.006031257084274</v>
      </c>
      <c r="BW640" s="1015">
        <f>+BR640*(1+BW641)</f>
        <v>38.067160167473567</v>
      </c>
      <c r="BX640" s="1015">
        <f>+BS640*(1+BX641)</f>
        <v>40.754886721919995</v>
      </c>
      <c r="BY640" s="1004">
        <f>SUM(BU640:BX640)</f>
        <v>164.92410927059481</v>
      </c>
      <c r="BZ640" s="1004">
        <f t="shared" ref="BZ640:CF640" si="1502">BY640*(1+BZ641)</f>
        <v>167.39797090965371</v>
      </c>
      <c r="CA640" s="1004">
        <f t="shared" si="1502"/>
        <v>167.39797090965371</v>
      </c>
      <c r="CB640" s="1004">
        <f t="shared" si="1502"/>
        <v>159.02807236417101</v>
      </c>
      <c r="CC640" s="1004">
        <f t="shared" si="1502"/>
        <v>151.07666874596245</v>
      </c>
      <c r="CD640" s="1004">
        <f t="shared" si="1502"/>
        <v>154.09820212088169</v>
      </c>
      <c r="CE640" s="1004">
        <f t="shared" si="1502"/>
        <v>157.18016616329933</v>
      </c>
      <c r="CF640" s="1004">
        <f t="shared" si="1502"/>
        <v>160.32376948656531</v>
      </c>
      <c r="CG640" s="331"/>
      <c r="CH640" s="331"/>
      <c r="CI640" s="331"/>
      <c r="CJ640" s="331"/>
      <c r="CK640" s="331"/>
      <c r="CL640" s="2102" t="str">
        <f>A640</f>
        <v>Net revenue</v>
      </c>
      <c r="CM640" s="1015"/>
      <c r="CN640" s="1015"/>
      <c r="CO640" s="1015"/>
      <c r="CP640" s="1015"/>
      <c r="CQ640" s="1015"/>
      <c r="CR640" s="1015"/>
      <c r="CS640" s="1015"/>
      <c r="CT640" s="1015">
        <f>AP640</f>
        <v>162.74799999999999</v>
      </c>
      <c r="CU640" s="1015">
        <f>AU640</f>
        <v>158.76908</v>
      </c>
      <c r="CV640" s="1015">
        <f>AZ640</f>
        <v>155.54175819999998</v>
      </c>
      <c r="CW640" s="1015">
        <f>BE640</f>
        <v>153.16720385399998</v>
      </c>
      <c r="CX640" s="1015">
        <f>BJ640</f>
        <v>156.20050658555999</v>
      </c>
      <c r="CY640" s="1015">
        <f>BO640</f>
        <v>160.08940911531238</v>
      </c>
      <c r="CZ640" s="1015">
        <f>BT640</f>
        <v>161.6903032064655</v>
      </c>
      <c r="DA640" s="1015">
        <f t="shared" ref="DA640:DC641" si="1503">BY640</f>
        <v>164.92410927059481</v>
      </c>
      <c r="DB640" s="1015">
        <f t="shared" si="1503"/>
        <v>167.39797090965371</v>
      </c>
      <c r="DC640" s="1871">
        <f t="shared" si="1503"/>
        <v>167.39797090965371</v>
      </c>
      <c r="DD640" s="331"/>
      <c r="DE640" s="331"/>
      <c r="DF640" s="502"/>
      <c r="DG640" s="503"/>
      <c r="DH640" s="463"/>
      <c r="DI640" s="3213"/>
      <c r="DJ640" s="502"/>
      <c r="DK640" s="503"/>
      <c r="DL640" s="502"/>
      <c r="DM640" s="502"/>
      <c r="DN640" s="502"/>
      <c r="DO640" s="502"/>
      <c r="DP640" s="503"/>
      <c r="DQ640" s="503"/>
      <c r="DR640" s="296"/>
      <c r="DS640" s="296"/>
      <c r="DT640" s="296"/>
    </row>
    <row r="641" spans="1:130" ht="12" customHeight="1" x14ac:dyDescent="0.25">
      <c r="A641" s="465" t="s">
        <v>1491</v>
      </c>
      <c r="B641" s="579"/>
      <c r="C641" s="1577"/>
      <c r="D641" s="1577"/>
      <c r="E641" s="1577"/>
      <c r="F641" s="1577"/>
      <c r="G641" s="1578"/>
      <c r="H641" s="1577"/>
      <c r="I641" s="1577"/>
      <c r="J641" s="1577"/>
      <c r="K641" s="1577"/>
      <c r="L641" s="1578"/>
      <c r="M641" s="1577"/>
      <c r="N641" s="1577"/>
      <c r="O641" s="1577"/>
      <c r="P641" s="1577"/>
      <c r="Q641" s="1578"/>
      <c r="R641" s="1577"/>
      <c r="S641" s="1577"/>
      <c r="T641" s="1577"/>
      <c r="U641" s="1577"/>
      <c r="V641" s="1578"/>
      <c r="W641" s="1577"/>
      <c r="X641" s="1577"/>
      <c r="Y641" s="1577"/>
      <c r="Z641" s="1577"/>
      <c r="AA641" s="1578"/>
      <c r="AB641" s="1577"/>
      <c r="AC641" s="1577"/>
      <c r="AD641" s="1577"/>
      <c r="AE641" s="1579"/>
      <c r="AF641" s="1580"/>
      <c r="AG641" s="1577"/>
      <c r="AH641" s="1577"/>
      <c r="AI641" s="1577"/>
      <c r="AJ641" s="1579"/>
      <c r="AK641" s="1580"/>
      <c r="AL641" s="517">
        <f>AL640/AG640-1</f>
        <v>1.759787724041284E-2</v>
      </c>
      <c r="AM641" s="517">
        <f>AM640/AH640-1</f>
        <v>2.9329575580978817E-2</v>
      </c>
      <c r="AN641" s="1234"/>
      <c r="AO641" s="1234"/>
      <c r="AP641" s="1581"/>
      <c r="AQ641" s="1681">
        <v>0.02</v>
      </c>
      <c r="AR641" s="1245">
        <v>-0.02</v>
      </c>
      <c r="AS641" s="1245">
        <v>-7.0000000000000007E-2</v>
      </c>
      <c r="AT641" s="1245">
        <v>-0.03</v>
      </c>
      <c r="AU641" s="1701">
        <f>+AU640/AP640-1</f>
        <v>-2.4448349595693863E-2</v>
      </c>
      <c r="AV641" s="1889">
        <v>-0.03</v>
      </c>
      <c r="AW641" s="1890">
        <v>-0.02</v>
      </c>
      <c r="AX641" s="1890">
        <v>-0.01</v>
      </c>
      <c r="AY641" s="1891">
        <v>-0.02</v>
      </c>
      <c r="AZ641" s="1701">
        <f>+AZ640/AU640-1</f>
        <v>-2.0327143043217366E-2</v>
      </c>
      <c r="BA641" s="1889">
        <v>-0.01</v>
      </c>
      <c r="BB641" s="1890">
        <v>-0.04</v>
      </c>
      <c r="BC641" s="1890">
        <v>-0.03</v>
      </c>
      <c r="BD641" s="1891">
        <v>0.02</v>
      </c>
      <c r="BE641" s="1872">
        <f>+BE640/AZ640-1</f>
        <v>-1.5266346307766021E-2</v>
      </c>
      <c r="BF641" s="1890">
        <v>0.02</v>
      </c>
      <c r="BG641" s="1890">
        <v>0.03</v>
      </c>
      <c r="BH641" s="1890">
        <v>0.03</v>
      </c>
      <c r="BI641" s="1891">
        <v>0</v>
      </c>
      <c r="BJ641" s="1872">
        <f>+BJ640/BE640-1</f>
        <v>1.9803865679048238E-2</v>
      </c>
      <c r="BK641" s="1890">
        <v>0.03</v>
      </c>
      <c r="BL641" s="1890">
        <v>0.02</v>
      </c>
      <c r="BM641" s="1890">
        <v>0.03</v>
      </c>
      <c r="BN641" s="1891">
        <v>0.02</v>
      </c>
      <c r="BO641" s="1872">
        <f>+BO640/BJ640-1</f>
        <v>2.489686246710221E-2</v>
      </c>
      <c r="BP641" s="1890">
        <v>0.01</v>
      </c>
      <c r="BQ641" s="1890">
        <v>0.01</v>
      </c>
      <c r="BR641" s="1890">
        <v>0.01</v>
      </c>
      <c r="BS641" s="1890">
        <v>0.01</v>
      </c>
      <c r="BT641" s="3241">
        <f>+BT640/BO640-1</f>
        <v>1.0000000000000009E-2</v>
      </c>
      <c r="BU641" s="1890">
        <v>0.02</v>
      </c>
      <c r="BV641" s="1890">
        <v>0.02</v>
      </c>
      <c r="BW641" s="1890">
        <v>0.02</v>
      </c>
      <c r="BX641" s="1890">
        <v>0.02</v>
      </c>
      <c r="BY641" s="3241">
        <f>+BY640/BT640-1</f>
        <v>2.0000000000000018E-2</v>
      </c>
      <c r="BZ641" s="566">
        <v>1.4999999999999999E-2</v>
      </c>
      <c r="CA641" s="566">
        <v>0</v>
      </c>
      <c r="CB641" s="566">
        <v>-0.05</v>
      </c>
      <c r="CC641" s="566">
        <v>-0.05</v>
      </c>
      <c r="CD641" s="566">
        <v>0.02</v>
      </c>
      <c r="CE641" s="566">
        <v>0.02</v>
      </c>
      <c r="CF641" s="566">
        <v>0.02</v>
      </c>
      <c r="CG641" s="331"/>
      <c r="CH641" s="331"/>
      <c r="CI641" s="331"/>
      <c r="CJ641" s="331"/>
      <c r="CK641" s="331"/>
      <c r="CL641" s="1310" t="str">
        <f>A641</f>
        <v>% growth (y-o-y)</v>
      </c>
      <c r="CM641" s="519"/>
      <c r="CN641" s="519"/>
      <c r="CO641" s="519"/>
      <c r="CP641" s="519"/>
      <c r="CQ641" s="519"/>
      <c r="CR641" s="519"/>
      <c r="CS641" s="519"/>
      <c r="CT641" s="519"/>
      <c r="CU641" s="519">
        <f>AU641</f>
        <v>-2.4448349595693863E-2</v>
      </c>
      <c r="CV641" s="519">
        <f>AZ641</f>
        <v>-2.0327143043217366E-2</v>
      </c>
      <c r="CW641" s="519">
        <f>BE641</f>
        <v>-1.5266346307766021E-2</v>
      </c>
      <c r="CX641" s="519">
        <f>BJ641</f>
        <v>1.9803865679048238E-2</v>
      </c>
      <c r="CY641" s="519">
        <f>BO641</f>
        <v>2.489686246710221E-2</v>
      </c>
      <c r="CZ641" s="519">
        <f>BT641</f>
        <v>1.0000000000000009E-2</v>
      </c>
      <c r="DA641" s="519">
        <f t="shared" si="1503"/>
        <v>2.0000000000000018E-2</v>
      </c>
      <c r="DB641" s="519">
        <f t="shared" si="1503"/>
        <v>1.4999999999999999E-2</v>
      </c>
      <c r="DC641" s="1462">
        <f t="shared" si="1503"/>
        <v>0</v>
      </c>
      <c r="DD641" s="331"/>
      <c r="DE641" s="331"/>
      <c r="DF641" s="502"/>
      <c r="DG641" s="503"/>
      <c r="DH641" s="519"/>
      <c r="DI641" s="3213"/>
      <c r="DJ641" s="502"/>
      <c r="DK641" s="503"/>
      <c r="DL641" s="502"/>
      <c r="DM641" s="502"/>
      <c r="DN641" s="502"/>
      <c r="DO641" s="502"/>
      <c r="DP641" s="503"/>
      <c r="DQ641" s="503"/>
      <c r="DR641" s="296"/>
      <c r="DS641" s="296"/>
      <c r="DT641" s="296"/>
    </row>
    <row r="642" spans="1:130" ht="12" customHeight="1" x14ac:dyDescent="0.25">
      <c r="A642" s="281"/>
      <c r="B642" s="281"/>
      <c r="C642" s="446"/>
      <c r="D642" s="446"/>
      <c r="E642" s="446"/>
      <c r="F642" s="446"/>
      <c r="G642" s="447"/>
      <c r="H642" s="446"/>
      <c r="I642" s="446"/>
      <c r="J642" s="446"/>
      <c r="K642" s="446"/>
      <c r="L642" s="447"/>
      <c r="M642" s="446"/>
      <c r="N642" s="446"/>
      <c r="O642" s="446"/>
      <c r="P642" s="446"/>
      <c r="Q642" s="447"/>
      <c r="R642" s="446"/>
      <c r="S642" s="446"/>
      <c r="T642" s="446"/>
      <c r="U642" s="446"/>
      <c r="V642" s="447"/>
      <c r="W642" s="446"/>
      <c r="X642" s="446"/>
      <c r="Y642" s="446"/>
      <c r="Z642" s="446"/>
      <c r="AA642" s="447"/>
      <c r="AB642" s="446"/>
      <c r="AC642" s="446"/>
      <c r="AD642" s="446"/>
      <c r="AE642" s="454"/>
      <c r="AF642" s="455"/>
      <c r="AG642" s="446"/>
      <c r="AH642" s="446"/>
      <c r="AI642" s="446"/>
      <c r="AJ642" s="454"/>
      <c r="AK642" s="455"/>
      <c r="AL642" s="446"/>
      <c r="AM642" s="446"/>
      <c r="AN642" s="446"/>
      <c r="AO642" s="454"/>
      <c r="AP642" s="456"/>
      <c r="AQ642" s="456"/>
      <c r="AR642" s="454"/>
      <c r="AS642" s="454"/>
      <c r="AT642" s="454"/>
      <c r="AU642" s="455"/>
      <c r="AV642" s="456"/>
      <c r="AW642" s="454"/>
      <c r="AX642" s="454"/>
      <c r="AY642" s="1666"/>
      <c r="AZ642" s="455"/>
      <c r="BA642" s="456"/>
      <c r="BB642" s="454"/>
      <c r="BC642" s="454"/>
      <c r="BD642" s="1666"/>
      <c r="BE642" s="1666"/>
      <c r="BF642" s="454"/>
      <c r="BG642" s="454"/>
      <c r="BH642" s="454"/>
      <c r="BI642" s="1666"/>
      <c r="BJ642" s="1666"/>
      <c r="BK642" s="454"/>
      <c r="BL642" s="454"/>
      <c r="BM642" s="454"/>
      <c r="BN642" s="1666"/>
      <c r="BO642" s="1666"/>
      <c r="BP642" s="454"/>
      <c r="BQ642" s="454"/>
      <c r="BR642" s="454"/>
      <c r="BS642" s="454"/>
      <c r="BT642" s="3066"/>
      <c r="BU642" s="2915"/>
      <c r="BV642" s="2915"/>
      <c r="BW642" s="2915"/>
      <c r="BX642" s="2915"/>
      <c r="BY642" s="3066"/>
      <c r="BZ642" s="455"/>
      <c r="CA642" s="455"/>
      <c r="CB642" s="455"/>
      <c r="CC642" s="455"/>
      <c r="CD642" s="455"/>
      <c r="CE642" s="455"/>
      <c r="CF642" s="455"/>
      <c r="CG642" s="331"/>
      <c r="CH642" s="331"/>
      <c r="CI642" s="331"/>
      <c r="CJ642" s="331"/>
      <c r="CK642" s="331"/>
      <c r="CL642" s="520"/>
      <c r="CM642" s="454"/>
      <c r="CN642" s="454"/>
      <c r="CO642" s="454"/>
      <c r="CP642" s="454"/>
      <c r="CQ642" s="454"/>
      <c r="CR642" s="454"/>
      <c r="CS642" s="454"/>
      <c r="CT642" s="454"/>
      <c r="CU642" s="454"/>
      <c r="CV642" s="454"/>
      <c r="CW642" s="454"/>
      <c r="CX642" s="454"/>
      <c r="CY642" s="454"/>
      <c r="CZ642" s="454"/>
      <c r="DA642" s="454"/>
      <c r="DB642" s="454"/>
      <c r="DC642" s="1666"/>
      <c r="DD642" s="331"/>
      <c r="DE642" s="331"/>
      <c r="DF642" s="502"/>
      <c r="DG642" s="503"/>
      <c r="DH642" s="2915"/>
      <c r="DI642" s="3213"/>
      <c r="DJ642" s="502"/>
      <c r="DK642" s="503"/>
      <c r="DL642" s="502"/>
      <c r="DM642" s="502"/>
      <c r="DN642" s="502"/>
      <c r="DO642" s="502"/>
      <c r="DP642" s="503"/>
      <c r="DQ642" s="503"/>
      <c r="DR642" s="296"/>
      <c r="DS642" s="296"/>
      <c r="DT642" s="296"/>
    </row>
    <row r="643" spans="1:130" ht="12" customHeight="1" x14ac:dyDescent="0.25">
      <c r="A643" s="311" t="s">
        <v>601</v>
      </c>
      <c r="B643" s="281"/>
      <c r="C643" s="446"/>
      <c r="D643" s="446"/>
      <c r="E643" s="446"/>
      <c r="F643" s="446"/>
      <c r="G643" s="447"/>
      <c r="H643" s="446"/>
      <c r="I643" s="446"/>
      <c r="J643" s="446"/>
      <c r="K643" s="446"/>
      <c r="L643" s="447"/>
      <c r="M643" s="446"/>
      <c r="N643" s="446"/>
      <c r="O643" s="446"/>
      <c r="P643" s="446"/>
      <c r="Q643" s="447"/>
      <c r="R643" s="446"/>
      <c r="S643" s="446"/>
      <c r="T643" s="446"/>
      <c r="U643" s="446"/>
      <c r="V643" s="447"/>
      <c r="W643" s="446"/>
      <c r="X643" s="446"/>
      <c r="Y643" s="446"/>
      <c r="Z643" s="446"/>
      <c r="AA643" s="447"/>
      <c r="AB643" s="446"/>
      <c r="AC643" s="446"/>
      <c r="AD643" s="446"/>
      <c r="AE643" s="454"/>
      <c r="AF643" s="455"/>
      <c r="AG643" s="446">
        <f>AG640-AG647</f>
        <v>35.438999999999993</v>
      </c>
      <c r="AH643" s="446">
        <f>AH640-AH647</f>
        <v>37.326999999999998</v>
      </c>
      <c r="AI643" s="446"/>
      <c r="AJ643" s="454"/>
      <c r="AK643" s="455"/>
      <c r="AL643" s="446">
        <f>AL640-AL647</f>
        <v>34.317</v>
      </c>
      <c r="AM643" s="446">
        <f>AM640-AM647</f>
        <v>37.533999999999999</v>
      </c>
      <c r="AN643" s="565">
        <v>33</v>
      </c>
      <c r="AO643" s="563">
        <v>33</v>
      </c>
      <c r="AP643" s="456">
        <f>SUM(AL643:AO643)</f>
        <v>137.851</v>
      </c>
      <c r="AQ643" s="456">
        <f>+AL643*(1+AQ645)</f>
        <v>32.601149999999997</v>
      </c>
      <c r="AR643" s="454">
        <f>+AM643*(1+AR645)</f>
        <v>34.906619999999997</v>
      </c>
      <c r="AS643" s="454">
        <f>+AN643*(1+AS645)</f>
        <v>29.7</v>
      </c>
      <c r="AT643" s="454">
        <f>+AO643*(1+AT645)</f>
        <v>31.02</v>
      </c>
      <c r="AU643" s="455">
        <f>SUM(AQ643:AT643)</f>
        <v>128.22776999999999</v>
      </c>
      <c r="AV643" s="456">
        <f>+AQ643*(1+AV645)</f>
        <v>30.645080999999994</v>
      </c>
      <c r="AW643" s="454">
        <f>+AR643*(1+AW645)</f>
        <v>32.812222799999994</v>
      </c>
      <c r="AX643" s="454">
        <f>+AS643*(1+AX645)</f>
        <v>28.214999999999996</v>
      </c>
      <c r="AY643" s="1666">
        <f>+AT643*(1+AY645)</f>
        <v>29.468999999999998</v>
      </c>
      <c r="AZ643" s="455">
        <f>SUM(AV643:AY643)</f>
        <v>121.14130379999997</v>
      </c>
      <c r="BA643" s="456">
        <f>+AV643*(1+BA645)</f>
        <v>29.112826949999992</v>
      </c>
      <c r="BB643" s="454">
        <f>+AW643*(1+BB645)</f>
        <v>30.351306089999994</v>
      </c>
      <c r="BC643" s="454">
        <f>+AX643*(1+BC645)</f>
        <v>26.804249999999996</v>
      </c>
      <c r="BD643" s="1666">
        <f>+AY643*(1+BD645)</f>
        <v>27.995549999999998</v>
      </c>
      <c r="BE643" s="1666">
        <f>SUM(BA643:BD643)</f>
        <v>114.26393303999997</v>
      </c>
      <c r="BF643" s="454">
        <f>+BA643*(1+BF645)</f>
        <v>28.530570410999992</v>
      </c>
      <c r="BG643" s="454">
        <f>+BB643*(1+BG645)</f>
        <v>29.744279968199994</v>
      </c>
      <c r="BH643" s="454">
        <f>+BC643*(1+BH645)</f>
        <v>26.268164999999996</v>
      </c>
      <c r="BI643" s="1666">
        <f>+BD643*(1+BI645)</f>
        <v>27.435638999999998</v>
      </c>
      <c r="BJ643" s="1666">
        <f>SUM(BF643:BI643)</f>
        <v>111.97865437919998</v>
      </c>
      <c r="BK643" s="454">
        <f>+BF643*(1+BK645)</f>
        <v>28.815876115109994</v>
      </c>
      <c r="BL643" s="454">
        <f>+BG643*(1+BL645)</f>
        <v>30.041722767881993</v>
      </c>
      <c r="BM643" s="454">
        <f>+BH643*(1+BM645)</f>
        <v>26.924869124999994</v>
      </c>
      <c r="BN643" s="1666">
        <f>+BI643*(1+BN645)</f>
        <v>28.258708169999998</v>
      </c>
      <c r="BO643" s="1666">
        <f>SUM(BK643:BN643)</f>
        <v>114.04117617799199</v>
      </c>
      <c r="BP643" s="454">
        <f>+BK643*(1+BP645)</f>
        <v>28.959955495685541</v>
      </c>
      <c r="BQ643" s="454">
        <f>+BL643*(1+BQ645)</f>
        <v>30.1919313817214</v>
      </c>
      <c r="BR643" s="454">
        <f>+BM643*(1+BR645)</f>
        <v>27.059493470624989</v>
      </c>
      <c r="BS643" s="454">
        <f>+BN643*(1+BS645)</f>
        <v>28.400001710849995</v>
      </c>
      <c r="BT643" s="3066">
        <f>SUM(BP643:BS643)</f>
        <v>114.61138205888192</v>
      </c>
      <c r="BU643" s="2915">
        <f>+BP643*(1+BU645)</f>
        <v>29.249555050642396</v>
      </c>
      <c r="BV643" s="2915">
        <f>+BQ643*(1+BV645)</f>
        <v>30.342891038630004</v>
      </c>
      <c r="BW643" s="2915">
        <f>+BR643*(1+BW645)</f>
        <v>27.059493470624989</v>
      </c>
      <c r="BX643" s="2915">
        <f>+BS643*(1+BX645)</f>
        <v>28.542001719404244</v>
      </c>
      <c r="BY643" s="3066">
        <f>SUM(BU643:BX643)</f>
        <v>115.19394127930163</v>
      </c>
      <c r="BZ643" s="455">
        <f t="shared" ref="BZ643:CF643" si="1504">BY643*(1+BZ645)</f>
        <v>114.32998671970687</v>
      </c>
      <c r="CA643" s="455">
        <f t="shared" si="1504"/>
        <v>115.47328658690394</v>
      </c>
      <c r="CB643" s="455">
        <f t="shared" si="1504"/>
        <v>112.00908798929682</v>
      </c>
      <c r="CC643" s="455">
        <f t="shared" si="1504"/>
        <v>108.64881534961791</v>
      </c>
      <c r="CD643" s="455">
        <f t="shared" si="1504"/>
        <v>109.73530350311408</v>
      </c>
      <c r="CE643" s="455">
        <f t="shared" si="1504"/>
        <v>110.83265653814523</v>
      </c>
      <c r="CF643" s="455">
        <f t="shared" si="1504"/>
        <v>111.94098310352668</v>
      </c>
      <c r="CG643" s="331"/>
      <c r="CH643" s="331"/>
      <c r="CI643" s="331"/>
      <c r="CJ643" s="331"/>
      <c r="CK643" s="331"/>
      <c r="CL643" s="528" t="str">
        <f>A643</f>
        <v>Operating expenses</v>
      </c>
      <c r="CM643" s="454"/>
      <c r="CN643" s="454"/>
      <c r="CO643" s="454"/>
      <c r="CP643" s="454"/>
      <c r="CQ643" s="454"/>
      <c r="CR643" s="454"/>
      <c r="CS643" s="454"/>
      <c r="CT643" s="454">
        <f>AP643</f>
        <v>137.851</v>
      </c>
      <c r="CU643" s="454">
        <f>AU643</f>
        <v>128.22776999999999</v>
      </c>
      <c r="CV643" s="454">
        <f>AZ643</f>
        <v>121.14130379999997</v>
      </c>
      <c r="CW643" s="454">
        <f>BE643</f>
        <v>114.26393303999997</v>
      </c>
      <c r="CX643" s="454">
        <f>BJ643</f>
        <v>111.97865437919998</v>
      </c>
      <c r="CY643" s="454">
        <f>BO643</f>
        <v>114.04117617799199</v>
      </c>
      <c r="CZ643" s="454">
        <f>BT643</f>
        <v>114.61138205888192</v>
      </c>
      <c r="DA643" s="454">
        <f>BY643</f>
        <v>115.19394127930163</v>
      </c>
      <c r="DB643" s="454">
        <f>BZ643</f>
        <v>114.32998671970687</v>
      </c>
      <c r="DC643" s="1666">
        <f>CA643</f>
        <v>115.47328658690394</v>
      </c>
      <c r="DD643" s="331"/>
      <c r="DE643" s="331"/>
      <c r="DF643" s="502"/>
      <c r="DG643" s="503"/>
      <c r="DH643" s="2915"/>
      <c r="DI643" s="3213"/>
      <c r="DJ643" s="502"/>
      <c r="DK643" s="503"/>
      <c r="DL643" s="502"/>
      <c r="DM643" s="502"/>
      <c r="DN643" s="502"/>
      <c r="DO643" s="502"/>
      <c r="DP643" s="503"/>
      <c r="DQ643" s="503"/>
      <c r="DR643" s="296"/>
      <c r="DS643" s="296"/>
      <c r="DT643" s="296"/>
    </row>
    <row r="644" spans="1:130" ht="12" customHeight="1" x14ac:dyDescent="0.25">
      <c r="A644" s="465" t="s">
        <v>646</v>
      </c>
      <c r="B644" s="579"/>
      <c r="C644" s="1577"/>
      <c r="D644" s="1577"/>
      <c r="E644" s="1577"/>
      <c r="F644" s="1577"/>
      <c r="G644" s="1578"/>
      <c r="H644" s="1577"/>
      <c r="I644" s="1577"/>
      <c r="J644" s="1577"/>
      <c r="K644" s="1577"/>
      <c r="L644" s="1578"/>
      <c r="M644" s="1577"/>
      <c r="N644" s="1577"/>
      <c r="O644" s="1577"/>
      <c r="P644" s="1577"/>
      <c r="Q644" s="1578"/>
      <c r="R644" s="1577"/>
      <c r="S644" s="1577"/>
      <c r="T644" s="1577"/>
      <c r="U644" s="1577"/>
      <c r="V644" s="1578"/>
      <c r="W644" s="1577"/>
      <c r="X644" s="1577"/>
      <c r="Y644" s="1577"/>
      <c r="Z644" s="1577"/>
      <c r="AA644" s="1578"/>
      <c r="AB644" s="1577"/>
      <c r="AC644" s="1577"/>
      <c r="AD644" s="1577"/>
      <c r="AE644" s="1579"/>
      <c r="AF644" s="1580"/>
      <c r="AG644" s="517">
        <f>AG643/AG640</f>
        <v>0.88712826674677081</v>
      </c>
      <c r="AH644" s="517">
        <f>AH643/AH640</f>
        <v>0.89151878478110291</v>
      </c>
      <c r="AI644" s="1577"/>
      <c r="AJ644" s="1579"/>
      <c r="AK644" s="1580"/>
      <c r="AL644" s="517">
        <f>AL643/AL640</f>
        <v>0.84418587488622665</v>
      </c>
      <c r="AM644" s="517">
        <f>AM643/AM640</f>
        <v>0.87091908949578856</v>
      </c>
      <c r="AN644" s="517">
        <f>AN643/AN640</f>
        <v>0.84615384615384615</v>
      </c>
      <c r="AO644" s="517">
        <f>AO643/AO640</f>
        <v>0.82499999999999996</v>
      </c>
      <c r="AP644" s="1580"/>
      <c r="AQ644" s="517">
        <f>AQ643/AQ640</f>
        <v>0.7862515501391325</v>
      </c>
      <c r="AR644" s="517">
        <f>AR643/AR640</f>
        <v>0.82648444207253402</v>
      </c>
      <c r="AS644" s="517">
        <f>AS643/AS640</f>
        <v>0.81885856079404473</v>
      </c>
      <c r="AT644" s="517">
        <f>AT643/AT640</f>
        <v>0.79948453608247427</v>
      </c>
      <c r="AU644" s="591"/>
      <c r="AV644" s="1618">
        <f>AV643/AV640</f>
        <v>0.7619344918874067</v>
      </c>
      <c r="AW644" s="519">
        <f>AW643/AW640</f>
        <v>0.79275038321243052</v>
      </c>
      <c r="AX644" s="519">
        <f>AX643/AX640</f>
        <v>0.7857733664185278</v>
      </c>
      <c r="AY644" s="1462">
        <f>AY643/AY640</f>
        <v>0.77501051967178636</v>
      </c>
      <c r="AZ644" s="591"/>
      <c r="BA644" s="1618">
        <f>BA643/BA640</f>
        <v>0.73114925989195589</v>
      </c>
      <c r="BB644" s="519">
        <f>BB643/BB640</f>
        <v>0.76384802549114406</v>
      </c>
      <c r="BC644" s="519">
        <f>BC643/BC640</f>
        <v>0.76957185370886738</v>
      </c>
      <c r="BD644" s="1462">
        <f>BD643/BD640</f>
        <v>0.72182352322372256</v>
      </c>
      <c r="BE644" s="1462"/>
      <c r="BF644" s="519">
        <f>BF643/BF640</f>
        <v>0.70247673989619286</v>
      </c>
      <c r="BG644" s="519">
        <f>BG643/BG640</f>
        <v>0.7267680242537099</v>
      </c>
      <c r="BH644" s="519">
        <f>BH643/BH640</f>
        <v>0.73221399673270882</v>
      </c>
      <c r="BI644" s="1462">
        <f>BI643/BI640</f>
        <v>0.70738705275924807</v>
      </c>
      <c r="BJ644" s="1462"/>
      <c r="BK644" s="519">
        <f>BK643/BK640</f>
        <v>0.68883641484966485</v>
      </c>
      <c r="BL644" s="519">
        <f>BL643/BL640</f>
        <v>0.71964284754534014</v>
      </c>
      <c r="BM644" s="519">
        <f>BM643/BM640</f>
        <v>0.72865955985536546</v>
      </c>
      <c r="BN644" s="1462">
        <f>BN643/BN640</f>
        <v>0.71432221994316225</v>
      </c>
      <c r="BO644" s="1462"/>
      <c r="BP644" s="519">
        <f>BP643/BP640</f>
        <v>0.68542633358803284</v>
      </c>
      <c r="BQ644" s="519">
        <f>BQ643/BQ640</f>
        <v>0.71608025919115526</v>
      </c>
      <c r="BR644" s="519">
        <f>BR643/BR640</f>
        <v>0.72505233431152694</v>
      </c>
      <c r="BS644" s="519">
        <f>BS643/BS640</f>
        <v>0.71078597132958221</v>
      </c>
      <c r="BT644" s="1580"/>
      <c r="BU644" s="519">
        <f>BU643/BU640</f>
        <v>0.67870646757246389</v>
      </c>
      <c r="BV644" s="519">
        <f>BV643/BV640</f>
        <v>0.7055496671442264</v>
      </c>
      <c r="BW644" s="519">
        <f>BW643/BW640</f>
        <v>0.71083562187404614</v>
      </c>
      <c r="BX644" s="519">
        <f>BX643/BX640</f>
        <v>0.70033323645708834</v>
      </c>
      <c r="BY644" s="1580"/>
      <c r="BZ644" s="1580"/>
      <c r="CA644" s="1580"/>
      <c r="CB644" s="1580"/>
      <c r="CC644" s="1580"/>
      <c r="CD644" s="1580"/>
      <c r="CE644" s="1580"/>
      <c r="CF644" s="1580"/>
      <c r="CG644" s="331"/>
      <c r="CH644" s="331"/>
      <c r="CI644" s="331"/>
      <c r="CJ644" s="331"/>
      <c r="CK644" s="331"/>
      <c r="CL644" s="1310" t="str">
        <f>A644</f>
        <v>% of Net revenue</v>
      </c>
      <c r="CM644" s="519"/>
      <c r="CN644" s="519"/>
      <c r="CO644" s="519"/>
      <c r="CP644" s="519"/>
      <c r="CQ644" s="519"/>
      <c r="CR644" s="519"/>
      <c r="CS644" s="519"/>
      <c r="CT644" s="519"/>
      <c r="CU644" s="519"/>
      <c r="CV644" s="519"/>
      <c r="CW644" s="519"/>
      <c r="CX644" s="519"/>
      <c r="CY644" s="519"/>
      <c r="CZ644" s="519"/>
      <c r="DA644" s="519"/>
      <c r="DB644" s="519"/>
      <c r="DC644" s="1462"/>
      <c r="DD644" s="331"/>
      <c r="DE644" s="331"/>
      <c r="DF644" s="502"/>
      <c r="DG644" s="503"/>
      <c r="DH644" s="1579"/>
      <c r="DI644" s="3213"/>
      <c r="DJ644" s="502"/>
      <c r="DK644" s="503"/>
      <c r="DL644" s="502"/>
      <c r="DM644" s="502"/>
      <c r="DN644" s="502"/>
      <c r="DO644" s="502"/>
      <c r="DP644" s="503"/>
      <c r="DQ644" s="503"/>
      <c r="DR644" s="296"/>
      <c r="DS644" s="296"/>
      <c r="DT644" s="296"/>
    </row>
    <row r="645" spans="1:130" ht="12" customHeight="1" x14ac:dyDescent="0.25">
      <c r="A645" s="465" t="s">
        <v>1491</v>
      </c>
      <c r="B645" s="579"/>
      <c r="C645" s="1577"/>
      <c r="D645" s="1577"/>
      <c r="E645" s="1577"/>
      <c r="F645" s="1577"/>
      <c r="G645" s="1578"/>
      <c r="H645" s="1577"/>
      <c r="I645" s="1577"/>
      <c r="J645" s="1577"/>
      <c r="K645" s="1577"/>
      <c r="L645" s="1578"/>
      <c r="M645" s="1577"/>
      <c r="N645" s="1577"/>
      <c r="O645" s="1577"/>
      <c r="P645" s="1577"/>
      <c r="Q645" s="1578"/>
      <c r="R645" s="1577"/>
      <c r="S645" s="1577"/>
      <c r="T645" s="1577"/>
      <c r="U645" s="1577"/>
      <c r="V645" s="1578"/>
      <c r="W645" s="1577"/>
      <c r="X645" s="1577"/>
      <c r="Y645" s="1577"/>
      <c r="Z645" s="1577"/>
      <c r="AA645" s="1578"/>
      <c r="AB645" s="1577"/>
      <c r="AC645" s="1577"/>
      <c r="AD645" s="1577"/>
      <c r="AE645" s="1579"/>
      <c r="AF645" s="1580"/>
      <c r="AG645" s="1577"/>
      <c r="AH645" s="1577"/>
      <c r="AI645" s="1577"/>
      <c r="AJ645" s="1579"/>
      <c r="AK645" s="1580"/>
      <c r="AL645" s="517">
        <f>AL643/AG643-1</f>
        <v>-3.1660035554050392E-2</v>
      </c>
      <c r="AM645" s="517">
        <f>AM643/AH643-1</f>
        <v>5.5455836257936042E-3</v>
      </c>
      <c r="AN645" s="1577"/>
      <c r="AO645" s="1579"/>
      <c r="AP645" s="1581"/>
      <c r="AQ645" s="1681">
        <v>-0.05</v>
      </c>
      <c r="AR645" s="1245">
        <v>-7.0000000000000007E-2</v>
      </c>
      <c r="AS645" s="1245">
        <v>-0.1</v>
      </c>
      <c r="AT645" s="1775">
        <v>-0.06</v>
      </c>
      <c r="AU645" s="1717">
        <f>+AU643/AP643-1</f>
        <v>-6.980892412822548E-2</v>
      </c>
      <c r="AV645" s="1892">
        <v>-0.06</v>
      </c>
      <c r="AW645" s="1234">
        <v>-0.06</v>
      </c>
      <c r="AX645" s="1234">
        <v>-0.05</v>
      </c>
      <c r="AY645" s="1234">
        <v>-0.05</v>
      </c>
      <c r="AZ645" s="1717">
        <f>+AZ643/AU643-1</f>
        <v>-5.5264676286579828E-2</v>
      </c>
      <c r="BA645" s="1892">
        <v>-0.05</v>
      </c>
      <c r="BB645" s="1234">
        <v>-7.4999999999999997E-2</v>
      </c>
      <c r="BC645" s="1234">
        <v>-0.05</v>
      </c>
      <c r="BD645" s="1893">
        <v>-0.05</v>
      </c>
      <c r="BE645" s="1873">
        <f>+BE643/AZ643-1</f>
        <v>-5.6771477145023175E-2</v>
      </c>
      <c r="BF645" s="1234">
        <v>-0.02</v>
      </c>
      <c r="BG645" s="1234">
        <v>-0.02</v>
      </c>
      <c r="BH645" s="1234">
        <v>-0.02</v>
      </c>
      <c r="BI645" s="1893">
        <v>-0.02</v>
      </c>
      <c r="BJ645" s="1873">
        <f>+BJ643/BE643-1</f>
        <v>-1.9999999999999907E-2</v>
      </c>
      <c r="BK645" s="1234">
        <v>0.01</v>
      </c>
      <c r="BL645" s="1234">
        <v>0.01</v>
      </c>
      <c r="BM645" s="1234">
        <v>2.5000000000000001E-2</v>
      </c>
      <c r="BN645" s="1234">
        <v>0.03</v>
      </c>
      <c r="BO645" s="1717">
        <f>+BO643/BJ643-1</f>
        <v>1.8418883583004808E-2</v>
      </c>
      <c r="BP645" s="1234">
        <v>5.0000000000000001E-3</v>
      </c>
      <c r="BQ645" s="1234">
        <v>5.0000000000000001E-3</v>
      </c>
      <c r="BR645" s="1234">
        <v>5.0000000000000001E-3</v>
      </c>
      <c r="BS645" s="1234">
        <v>5.0000000000000001E-3</v>
      </c>
      <c r="BT645" s="3242">
        <f>+BT643/BO643-1</f>
        <v>4.9999999999996714E-3</v>
      </c>
      <c r="BU645" s="1234">
        <v>0.01</v>
      </c>
      <c r="BV645" s="1234">
        <v>5.0000000000000001E-3</v>
      </c>
      <c r="BW645" s="540">
        <v>0</v>
      </c>
      <c r="BX645" s="1234">
        <v>5.0000000000000001E-3</v>
      </c>
      <c r="BY645" s="3242">
        <f>+BY643/BT643-1</f>
        <v>5.0829089568120711E-3</v>
      </c>
      <c r="BZ645" s="539">
        <v>-7.4999999999999997E-3</v>
      </c>
      <c r="CA645" s="539">
        <v>0.01</v>
      </c>
      <c r="CB645" s="539">
        <v>-0.03</v>
      </c>
      <c r="CC645" s="539">
        <v>-0.03</v>
      </c>
      <c r="CD645" s="539">
        <v>0.01</v>
      </c>
      <c r="CE645" s="539">
        <v>0.01</v>
      </c>
      <c r="CF645" s="539">
        <v>0.01</v>
      </c>
      <c r="CG645" s="331"/>
      <c r="CH645" s="331"/>
      <c r="CI645" s="331"/>
      <c r="CJ645" s="331"/>
      <c r="CK645" s="331"/>
      <c r="CL645" s="1310" t="str">
        <f>A645</f>
        <v>% growth (y-o-y)</v>
      </c>
      <c r="CM645" s="519"/>
      <c r="CN645" s="519"/>
      <c r="CO645" s="519"/>
      <c r="CP645" s="519"/>
      <c r="CQ645" s="519"/>
      <c r="CR645" s="519"/>
      <c r="CS645" s="519"/>
      <c r="CT645" s="519"/>
      <c r="CU645" s="519">
        <f>AU645</f>
        <v>-6.980892412822548E-2</v>
      </c>
      <c r="CV645" s="519">
        <f>AZ645</f>
        <v>-5.5264676286579828E-2</v>
      </c>
      <c r="CW645" s="519">
        <f>BE645</f>
        <v>-5.6771477145023175E-2</v>
      </c>
      <c r="CX645" s="519">
        <f>BJ645</f>
        <v>-1.9999999999999907E-2</v>
      </c>
      <c r="CY645" s="519">
        <f>BO645</f>
        <v>1.8418883583004808E-2</v>
      </c>
      <c r="CZ645" s="519">
        <f>BT645</f>
        <v>4.9999999999996714E-3</v>
      </c>
      <c r="DA645" s="519">
        <f>BY645</f>
        <v>5.0829089568120711E-3</v>
      </c>
      <c r="DB645" s="519">
        <f>BZ645</f>
        <v>-7.4999999999999997E-3</v>
      </c>
      <c r="DC645" s="1462">
        <f>CA645</f>
        <v>0.01</v>
      </c>
      <c r="DD645" s="331"/>
      <c r="DE645" s="331"/>
      <c r="DF645" s="502"/>
      <c r="DG645" s="503"/>
      <c r="DH645" s="519"/>
      <c r="DI645" s="3213"/>
      <c r="DJ645" s="502"/>
      <c r="DK645" s="503"/>
      <c r="DL645" s="502"/>
      <c r="DM645" s="502"/>
      <c r="DN645" s="502"/>
      <c r="DO645" s="502"/>
      <c r="DP645" s="503"/>
      <c r="DQ645" s="503"/>
      <c r="DR645" s="296"/>
      <c r="DS645" s="296"/>
      <c r="DT645" s="296"/>
    </row>
    <row r="646" spans="1:130" ht="12" customHeight="1" x14ac:dyDescent="0.25">
      <c r="A646" s="281"/>
      <c r="B646" s="281"/>
      <c r="C646" s="446"/>
      <c r="D646" s="446"/>
      <c r="E646" s="446"/>
      <c r="F646" s="446"/>
      <c r="G646" s="447"/>
      <c r="H646" s="446"/>
      <c r="I646" s="446"/>
      <c r="J646" s="446"/>
      <c r="K646" s="446"/>
      <c r="L646" s="447"/>
      <c r="M646" s="446"/>
      <c r="N646" s="446"/>
      <c r="O646" s="446"/>
      <c r="P646" s="446"/>
      <c r="Q646" s="447"/>
      <c r="R646" s="446"/>
      <c r="S646" s="446"/>
      <c r="T646" s="446"/>
      <c r="U646" s="446"/>
      <c r="V646" s="447"/>
      <c r="W646" s="446"/>
      <c r="X646" s="446"/>
      <c r="Y646" s="446"/>
      <c r="Z646" s="446"/>
      <c r="AA646" s="447"/>
      <c r="AB646" s="446"/>
      <c r="AC646" s="446"/>
      <c r="AD646" s="446"/>
      <c r="AE646" s="454"/>
      <c r="AF646" s="455"/>
      <c r="AG646" s="446"/>
      <c r="AH646" s="446"/>
      <c r="AI646" s="446"/>
      <c r="AJ646" s="454"/>
      <c r="AK646" s="455"/>
      <c r="AL646" s="446"/>
      <c r="AM646" s="446"/>
      <c r="AN646" s="446"/>
      <c r="AO646" s="454"/>
      <c r="AP646" s="456"/>
      <c r="AQ646" s="456"/>
      <c r="AR646" s="454"/>
      <c r="AS646" s="454"/>
      <c r="AT646" s="454"/>
      <c r="AU646" s="455"/>
      <c r="AV646" s="456"/>
      <c r="AW646" s="454"/>
      <c r="AX646" s="454"/>
      <c r="AY646" s="1666"/>
      <c r="AZ646" s="455"/>
      <c r="BA646" s="456"/>
      <c r="BB646" s="454"/>
      <c r="BC646" s="454"/>
      <c r="BD646" s="1666"/>
      <c r="BE646" s="1666"/>
      <c r="BF646" s="454"/>
      <c r="BG646" s="454"/>
      <c r="BH646" s="454"/>
      <c r="BI646" s="1666"/>
      <c r="BJ646" s="1666"/>
      <c r="BK646" s="454"/>
      <c r="BL646" s="454"/>
      <c r="BM646" s="454"/>
      <c r="BN646" s="1666"/>
      <c r="BO646" s="1666"/>
      <c r="BP646" s="454"/>
      <c r="BQ646" s="454"/>
      <c r="BR646" s="454"/>
      <c r="BS646" s="454"/>
      <c r="BT646" s="3066"/>
      <c r="BU646" s="2915"/>
      <c r="BV646" s="2915"/>
      <c r="BW646" s="2915"/>
      <c r="BX646" s="2915"/>
      <c r="BY646" s="3066"/>
      <c r="BZ646" s="455"/>
      <c r="CA646" s="455"/>
      <c r="CB646" s="455"/>
      <c r="CC646" s="455"/>
      <c r="CD646" s="455"/>
      <c r="CE646" s="455"/>
      <c r="CF646" s="455"/>
      <c r="CG646" s="331"/>
      <c r="CH646" s="331"/>
      <c r="CI646" s="331"/>
      <c r="CJ646" s="331"/>
      <c r="CK646" s="331"/>
      <c r="CL646" s="520"/>
      <c r="CM646" s="454"/>
      <c r="CN646" s="454"/>
      <c r="CO646" s="454"/>
      <c r="CP646" s="454"/>
      <c r="CQ646" s="454"/>
      <c r="CR646" s="454"/>
      <c r="CS646" s="454"/>
      <c r="CT646" s="454"/>
      <c r="CU646" s="454"/>
      <c r="CV646" s="454"/>
      <c r="CW646" s="454"/>
      <c r="CX646" s="454"/>
      <c r="CY646" s="454"/>
      <c r="CZ646" s="454"/>
      <c r="DA646" s="454"/>
      <c r="DB646" s="454"/>
      <c r="DC646" s="1666"/>
      <c r="DD646" s="331"/>
      <c r="DE646" s="331"/>
      <c r="DF646" s="502"/>
      <c r="DG646" s="503"/>
      <c r="DH646" s="2915"/>
      <c r="DI646" s="3213"/>
      <c r="DJ646" s="502"/>
      <c r="DK646" s="503"/>
      <c r="DL646" s="502"/>
      <c r="DM646" s="502"/>
      <c r="DN646" s="502"/>
      <c r="DO646" s="502"/>
      <c r="DP646" s="503"/>
      <c r="DQ646" s="503"/>
      <c r="DR646" s="296"/>
      <c r="DS646" s="296"/>
      <c r="DT646" s="296"/>
    </row>
    <row r="647" spans="1:130" ht="12" customHeight="1" x14ac:dyDescent="0.25">
      <c r="A647" s="999" t="s">
        <v>2010</v>
      </c>
      <c r="B647" s="1007"/>
      <c r="C647" s="1005"/>
      <c r="D647" s="1005"/>
      <c r="E647" s="1005"/>
      <c r="F647" s="1005"/>
      <c r="G647" s="1002"/>
      <c r="H647" s="1005"/>
      <c r="I647" s="1005"/>
      <c r="J647" s="1005"/>
      <c r="K647" s="1005"/>
      <c r="L647" s="1002"/>
      <c r="M647" s="1005"/>
      <c r="N647" s="1005"/>
      <c r="O647" s="1005"/>
      <c r="P647" s="1005"/>
      <c r="Q647" s="1002"/>
      <c r="R647" s="1005"/>
      <c r="S647" s="1005"/>
      <c r="T647" s="1005"/>
      <c r="U647" s="1005"/>
      <c r="V647" s="1002"/>
      <c r="W647" s="1005"/>
      <c r="X647" s="1005"/>
      <c r="Y647" s="1005"/>
      <c r="Z647" s="1005"/>
      <c r="AA647" s="1002"/>
      <c r="AB647" s="1005"/>
      <c r="AC647" s="1005"/>
      <c r="AD647" s="1005"/>
      <c r="AE647" s="1015"/>
      <c r="AF647" s="1004"/>
      <c r="AG647" s="1001">
        <f>9.051-AH647</f>
        <v>4.5090000000000003</v>
      </c>
      <c r="AH647" s="1001">
        <v>4.5419999999999998</v>
      </c>
      <c r="AI647" s="1005"/>
      <c r="AJ647" s="1015"/>
      <c r="AK647" s="1004"/>
      <c r="AL647" s="1001">
        <f>10.497+1.4-AM647</f>
        <v>6.3340000000000005</v>
      </c>
      <c r="AM647" s="1001">
        <f>4.263+1.3</f>
        <v>5.5629999999999997</v>
      </c>
      <c r="AN647" s="1005">
        <f>AN640-AN643</f>
        <v>6</v>
      </c>
      <c r="AO647" s="1005">
        <f>AO640-AO643</f>
        <v>7</v>
      </c>
      <c r="AP647" s="1006">
        <f>SUM(AL647:AO647)</f>
        <v>24.896999999999998</v>
      </c>
      <c r="AQ647" s="1006">
        <f>AQ640-AQ643</f>
        <v>8.862870000000008</v>
      </c>
      <c r="AR647" s="1015">
        <f>AR640-AR643</f>
        <v>7.3284400000000005</v>
      </c>
      <c r="AS647" s="1015">
        <f>AS640-AS643</f>
        <v>6.5699999999999967</v>
      </c>
      <c r="AT647" s="1015">
        <f>AT640-AT643</f>
        <v>7.7799999999999976</v>
      </c>
      <c r="AU647" s="1004">
        <f>SUM(AQ647:AT647)</f>
        <v>30.541310000000003</v>
      </c>
      <c r="AV647" s="1006">
        <f>AV640-AV643</f>
        <v>9.5750184000000083</v>
      </c>
      <c r="AW647" s="1015">
        <f>AW640-AW643</f>
        <v>8.5781360000000006</v>
      </c>
      <c r="AX647" s="1015">
        <f>AX640-AX643</f>
        <v>7.6922999999999959</v>
      </c>
      <c r="AY647" s="1871">
        <f>AY640-AY643</f>
        <v>8.5549999999999962</v>
      </c>
      <c r="AZ647" s="1004">
        <f>SUM(AV647:AY647)</f>
        <v>34.400454400000001</v>
      </c>
      <c r="BA647" s="1006">
        <f>BA640-BA643</f>
        <v>10.705071456000013</v>
      </c>
      <c r="BB647" s="1015">
        <f>BB640-BB643</f>
        <v>9.3834383579999994</v>
      </c>
      <c r="BC647" s="1015">
        <f>BC640-BC643</f>
        <v>8.0258309999999966</v>
      </c>
      <c r="BD647" s="1871">
        <f>BD640-BD643</f>
        <v>10.788929999999997</v>
      </c>
      <c r="BE647" s="1871">
        <f>SUM(BA647:BD647)</f>
        <v>38.90327081400001</v>
      </c>
      <c r="BF647" s="1015">
        <f>BF640-BF643</f>
        <v>12.083685963120011</v>
      </c>
      <c r="BG647" s="1015">
        <f>BG640-BG643</f>
        <v>11.18250681324</v>
      </c>
      <c r="BH647" s="1015">
        <f>BH640-BH643</f>
        <v>9.606818429999997</v>
      </c>
      <c r="BI647" s="1871">
        <f>BI640-BI643</f>
        <v>11.348840999999997</v>
      </c>
      <c r="BJ647" s="1871">
        <f>SUM(BF647:BI647)</f>
        <v>44.221852206359998</v>
      </c>
      <c r="BK647" s="1015">
        <f>BK640-BK643</f>
        <v>13.016807950233613</v>
      </c>
      <c r="BL647" s="1015">
        <f>BL640-BL643</f>
        <v>11.7035997491868</v>
      </c>
      <c r="BM647" s="1015">
        <f>BM640-BM643</f>
        <v>10.026363807899997</v>
      </c>
      <c r="BN647" s="1871">
        <f>BN640-BN643</f>
        <v>11.301461429999996</v>
      </c>
      <c r="BO647" s="1871">
        <f>SUM(BK647:BN647)</f>
        <v>46.048232937320407</v>
      </c>
      <c r="BP647" s="1015">
        <f>BP640-BP643</f>
        <v>13.2910554103115</v>
      </c>
      <c r="BQ647" s="1015">
        <f>BQ640-BQ643</f>
        <v>11.970844360518083</v>
      </c>
      <c r="BR647" s="1015">
        <f>BR640-BR643</f>
        <v>10.261251791604</v>
      </c>
      <c r="BS647" s="1015">
        <f>BS640-BS643</f>
        <v>11.555769585149999</v>
      </c>
      <c r="BT647" s="1004">
        <f>SUM(BP647:BS647)</f>
        <v>47.078921147583586</v>
      </c>
      <c r="BU647" s="1015">
        <f>BU640-BU643</f>
        <v>13.846476073474587</v>
      </c>
      <c r="BV647" s="1015">
        <f>BV640-BV643</f>
        <v>12.66314021845427</v>
      </c>
      <c r="BW647" s="1015">
        <f>BW640-BW643</f>
        <v>11.007666696848577</v>
      </c>
      <c r="BX647" s="1015">
        <f>BX640-BX643</f>
        <v>12.212885002515751</v>
      </c>
      <c r="BY647" s="1004">
        <f>SUM(BU647:BX647)</f>
        <v>49.730167991293186</v>
      </c>
      <c r="BZ647" s="1004">
        <f t="shared" ref="BZ647:CF647" si="1505">BZ640-BZ643</f>
        <v>53.067984189946841</v>
      </c>
      <c r="CA647" s="1004">
        <f t="shared" si="1505"/>
        <v>51.924684322749769</v>
      </c>
      <c r="CB647" s="1004">
        <f t="shared" si="1505"/>
        <v>47.018984374874194</v>
      </c>
      <c r="CC647" s="1004">
        <f t="shared" si="1505"/>
        <v>42.427853396344545</v>
      </c>
      <c r="CD647" s="1004">
        <f t="shared" si="1505"/>
        <v>44.362898617767613</v>
      </c>
      <c r="CE647" s="1004">
        <f t="shared" si="1505"/>
        <v>46.347509625154103</v>
      </c>
      <c r="CF647" s="1004">
        <f t="shared" si="1505"/>
        <v>48.382786383038635</v>
      </c>
      <c r="CG647" s="331"/>
      <c r="CH647" s="331"/>
      <c r="CI647" s="331"/>
      <c r="CJ647" s="331"/>
      <c r="CK647" s="331"/>
      <c r="CL647" s="2221" t="str">
        <f>A647</f>
        <v>Property EBITDA</v>
      </c>
      <c r="CM647" s="1015"/>
      <c r="CN647" s="1015"/>
      <c r="CO647" s="1015"/>
      <c r="CP647" s="1015"/>
      <c r="CQ647" s="1015"/>
      <c r="CR647" s="1015"/>
      <c r="CS647" s="1015"/>
      <c r="CT647" s="1015">
        <f>AP647</f>
        <v>24.896999999999998</v>
      </c>
      <c r="CU647" s="1015">
        <f>AU647</f>
        <v>30.541310000000003</v>
      </c>
      <c r="CV647" s="1015">
        <f>AZ647</f>
        <v>34.400454400000001</v>
      </c>
      <c r="CW647" s="1015">
        <f>BE647</f>
        <v>38.90327081400001</v>
      </c>
      <c r="CX647" s="1015">
        <f>BJ647</f>
        <v>44.221852206359998</v>
      </c>
      <c r="CY647" s="1015">
        <f>BO647</f>
        <v>46.048232937320407</v>
      </c>
      <c r="CZ647" s="1015">
        <f>BT647</f>
        <v>47.078921147583586</v>
      </c>
      <c r="DA647" s="1015">
        <f t="shared" ref="DA647:DC650" si="1506">BY647</f>
        <v>49.730167991293186</v>
      </c>
      <c r="DB647" s="1015">
        <f t="shared" si="1506"/>
        <v>53.067984189946841</v>
      </c>
      <c r="DC647" s="1871">
        <f t="shared" si="1506"/>
        <v>51.924684322749769</v>
      </c>
      <c r="DD647" s="331"/>
      <c r="DE647" s="331"/>
      <c r="DF647" s="502"/>
      <c r="DG647" s="503"/>
      <c r="DH647" s="463"/>
      <c r="DI647" s="3213"/>
      <c r="DJ647" s="502"/>
      <c r="DK647" s="503"/>
      <c r="DL647" s="502"/>
      <c r="DM647" s="502"/>
      <c r="DN647" s="502"/>
      <c r="DO647" s="502"/>
      <c r="DP647" s="503"/>
      <c r="DQ647" s="503"/>
      <c r="DR647" s="296"/>
      <c r="DS647" s="296"/>
      <c r="DT647" s="296"/>
    </row>
    <row r="648" spans="1:130" ht="12" customHeight="1" x14ac:dyDescent="0.25">
      <c r="A648" s="465" t="s">
        <v>1892</v>
      </c>
      <c r="B648" s="579"/>
      <c r="C648" s="1577"/>
      <c r="D648" s="1577"/>
      <c r="E648" s="1577"/>
      <c r="F648" s="1577"/>
      <c r="G648" s="1578"/>
      <c r="H648" s="1577"/>
      <c r="I648" s="1577"/>
      <c r="J648" s="1577"/>
      <c r="K648" s="1577"/>
      <c r="L648" s="1578"/>
      <c r="M648" s="1577"/>
      <c r="N648" s="1577"/>
      <c r="O648" s="1577"/>
      <c r="P648" s="1577"/>
      <c r="Q648" s="1578"/>
      <c r="R648" s="1577"/>
      <c r="S648" s="1577"/>
      <c r="T648" s="1577"/>
      <c r="U648" s="1577"/>
      <c r="V648" s="1578"/>
      <c r="W648" s="1577"/>
      <c r="X648" s="1577"/>
      <c r="Y648" s="1577"/>
      <c r="Z648" s="1577"/>
      <c r="AA648" s="1578"/>
      <c r="AB648" s="1577"/>
      <c r="AC648" s="1577"/>
      <c r="AD648" s="1577"/>
      <c r="AE648" s="1579"/>
      <c r="AF648" s="1580"/>
      <c r="AG648" s="517">
        <f>AG647/AG640</f>
        <v>0.11287173325322923</v>
      </c>
      <c r="AH648" s="517">
        <f>AH647/AH640</f>
        <v>0.10848121521889703</v>
      </c>
      <c r="AI648" s="1577"/>
      <c r="AJ648" s="1579"/>
      <c r="AK648" s="1580"/>
      <c r="AL648" s="517">
        <f>AL647/AL640</f>
        <v>0.15581412511377335</v>
      </c>
      <c r="AM648" s="517">
        <f>AM647/AM640</f>
        <v>0.12908091050421142</v>
      </c>
      <c r="AN648" s="517">
        <f>AN647/AN640</f>
        <v>0.15384615384615385</v>
      </c>
      <c r="AO648" s="517">
        <f>AO647/AO640</f>
        <v>0.17499999999999999</v>
      </c>
      <c r="AP648" s="1619">
        <f>+AP647/AP640</f>
        <v>0.15297883844962765</v>
      </c>
      <c r="AQ648" s="517">
        <f>AQ647/AQ640</f>
        <v>0.2137484498608675</v>
      </c>
      <c r="AR648" s="517">
        <f>AR647/AR640</f>
        <v>0.17351555792746598</v>
      </c>
      <c r="AS648" s="517">
        <f>AS647/AS640</f>
        <v>0.18114143920595527</v>
      </c>
      <c r="AT648" s="517">
        <f>AT647/AT640</f>
        <v>0.20051546391752573</v>
      </c>
      <c r="AU648" s="1619">
        <f>+AU647/AU640</f>
        <v>0.19236308480215419</v>
      </c>
      <c r="AV648" s="1874">
        <f>AV647/AV640</f>
        <v>0.23806550811259328</v>
      </c>
      <c r="AW648" s="1875">
        <f>AW647/AW640</f>
        <v>0.20724961678756942</v>
      </c>
      <c r="AX648" s="1875">
        <f>AX647/AX640</f>
        <v>0.21422663358147223</v>
      </c>
      <c r="AY648" s="1876">
        <f>AY647/AY640</f>
        <v>0.2249894803282137</v>
      </c>
      <c r="AZ648" s="1619">
        <f>+AZ647/AZ640</f>
        <v>0.2211653950559497</v>
      </c>
      <c r="BA648" s="1874">
        <f>BA647/BA640</f>
        <v>0.26885074010804416</v>
      </c>
      <c r="BB648" s="1875">
        <f>BB647/BB640</f>
        <v>0.23615197450885594</v>
      </c>
      <c r="BC648" s="1875">
        <f>BC647/BC640</f>
        <v>0.23042814629113262</v>
      </c>
      <c r="BD648" s="1876">
        <f>BD647/BD640</f>
        <v>0.27817647677627749</v>
      </c>
      <c r="BE648" s="1876">
        <f>+BE647/BE640</f>
        <v>0.25399217218251807</v>
      </c>
      <c r="BF648" s="1875">
        <f>BF647/BF640</f>
        <v>0.29752326010380709</v>
      </c>
      <c r="BG648" s="1875">
        <f>BG647/BG640</f>
        <v>0.27323197574629016</v>
      </c>
      <c r="BH648" s="1875">
        <f>BH647/BH640</f>
        <v>0.26778600326729124</v>
      </c>
      <c r="BI648" s="1876">
        <f>BI647/BI640</f>
        <v>0.29261294724075193</v>
      </c>
      <c r="BJ648" s="1876">
        <f>+BJ647/BJ640</f>
        <v>0.28310953128783323</v>
      </c>
      <c r="BK648" s="1875">
        <f>BK647/BK640</f>
        <v>0.31116358515033515</v>
      </c>
      <c r="BL648" s="1875">
        <f>BL647/BL640</f>
        <v>0.28035715245465986</v>
      </c>
      <c r="BM648" s="1875">
        <f>BM647/BM640</f>
        <v>0.27134044014463449</v>
      </c>
      <c r="BN648" s="1876">
        <f>BN647/BN640</f>
        <v>0.28567778005683769</v>
      </c>
      <c r="BO648" s="1876">
        <f>+BO647/BO640</f>
        <v>0.28764072021873649</v>
      </c>
      <c r="BP648" s="1875">
        <f>BP647/BP640</f>
        <v>0.31457366641196716</v>
      </c>
      <c r="BQ648" s="1875">
        <f>BQ647/BQ640</f>
        <v>0.2839197408088448</v>
      </c>
      <c r="BR648" s="1875">
        <f>BR647/BR640</f>
        <v>0.27494766568847301</v>
      </c>
      <c r="BS648" s="1875">
        <f>BS647/BS640</f>
        <v>0.28921402867041779</v>
      </c>
      <c r="BT648" s="1619">
        <f>+BT647/BT640</f>
        <v>0.29116725130676263</v>
      </c>
      <c r="BU648" s="1875">
        <f>BU647/BU640</f>
        <v>0.32129353242753617</v>
      </c>
      <c r="BV648" s="1875">
        <f>BV647/BV640</f>
        <v>0.29445033285577366</v>
      </c>
      <c r="BW648" s="1875">
        <f>BW647/BW640</f>
        <v>0.28916437812595391</v>
      </c>
      <c r="BX648" s="1875">
        <f>BX647/BX640</f>
        <v>0.29966676354291172</v>
      </c>
      <c r="BY648" s="1619">
        <f t="shared" ref="BY648:CF648" si="1507">+BY647/BY640</f>
        <v>0.3015336460583804</v>
      </c>
      <c r="BZ648" s="1619">
        <f t="shared" si="1507"/>
        <v>0.31701689035757874</v>
      </c>
      <c r="CA648" s="1619">
        <f t="shared" si="1507"/>
        <v>0.31018705926115447</v>
      </c>
      <c r="CB648" s="1619">
        <f t="shared" si="1507"/>
        <v>0.29566468156138931</v>
      </c>
      <c r="CC648" s="1619">
        <f t="shared" si="1507"/>
        <v>0.28083656959426062</v>
      </c>
      <c r="CD648" s="1619">
        <f t="shared" si="1507"/>
        <v>0.28788719146098357</v>
      </c>
      <c r="CE648" s="1619">
        <f t="shared" si="1507"/>
        <v>0.2948686895839151</v>
      </c>
      <c r="CF648" s="1619">
        <f t="shared" si="1507"/>
        <v>0.30178174164681787</v>
      </c>
      <c r="CG648" s="331"/>
      <c r="CH648" s="331"/>
      <c r="CI648" s="331"/>
      <c r="CJ648" s="331"/>
      <c r="CK648" s="331"/>
      <c r="CL648" s="1310" t="str">
        <f>A648</f>
        <v>Margin</v>
      </c>
      <c r="CM648" s="519"/>
      <c r="CN648" s="519"/>
      <c r="CO648" s="519"/>
      <c r="CP648" s="519"/>
      <c r="CQ648" s="519"/>
      <c r="CR648" s="519"/>
      <c r="CS648" s="519"/>
      <c r="CT648" s="519">
        <f>AP648</f>
        <v>0.15297883844962765</v>
      </c>
      <c r="CU648" s="519">
        <f>AU648</f>
        <v>0.19236308480215419</v>
      </c>
      <c r="CV648" s="519">
        <f>AZ648</f>
        <v>0.2211653950559497</v>
      </c>
      <c r="CW648" s="519">
        <f>BE648</f>
        <v>0.25399217218251807</v>
      </c>
      <c r="CX648" s="519">
        <f>BJ648</f>
        <v>0.28310953128783323</v>
      </c>
      <c r="CY648" s="519">
        <f>BO648</f>
        <v>0.28764072021873649</v>
      </c>
      <c r="CZ648" s="519">
        <f>BT648</f>
        <v>0.29116725130676263</v>
      </c>
      <c r="DA648" s="519">
        <f t="shared" si="1506"/>
        <v>0.3015336460583804</v>
      </c>
      <c r="DB648" s="519">
        <f t="shared" si="1506"/>
        <v>0.31701689035757874</v>
      </c>
      <c r="DC648" s="1462">
        <f t="shared" si="1506"/>
        <v>0.31018705926115447</v>
      </c>
      <c r="DD648" s="331"/>
      <c r="DE648" s="331"/>
      <c r="DF648" s="502"/>
      <c r="DG648" s="503"/>
      <c r="DH648" s="519"/>
      <c r="DI648" s="3213"/>
      <c r="DJ648" s="502"/>
      <c r="DK648" s="503"/>
      <c r="DL648" s="502"/>
      <c r="DM648" s="502"/>
      <c r="DN648" s="502"/>
      <c r="DO648" s="502"/>
      <c r="DP648" s="503"/>
      <c r="DQ648" s="503"/>
      <c r="DR648" s="296"/>
      <c r="DS648" s="296"/>
      <c r="DT648" s="296"/>
    </row>
    <row r="649" spans="1:130" ht="12" customHeight="1" x14ac:dyDescent="0.25">
      <c r="A649" s="281" t="s">
        <v>2197</v>
      </c>
      <c r="B649" s="281"/>
      <c r="C649" s="446"/>
      <c r="D649" s="446"/>
      <c r="E649" s="446"/>
      <c r="F649" s="446"/>
      <c r="G649" s="447"/>
      <c r="H649" s="446"/>
      <c r="I649" s="446"/>
      <c r="J649" s="446"/>
      <c r="K649" s="446"/>
      <c r="L649" s="447"/>
      <c r="M649" s="446"/>
      <c r="N649" s="446"/>
      <c r="O649" s="446"/>
      <c r="P649" s="446"/>
      <c r="Q649" s="447"/>
      <c r="R649" s="446"/>
      <c r="S649" s="446"/>
      <c r="T649" s="446"/>
      <c r="U649" s="446"/>
      <c r="V649" s="447"/>
      <c r="W649" s="446"/>
      <c r="X649" s="446"/>
      <c r="Y649" s="446"/>
      <c r="Z649" s="446"/>
      <c r="AA649" s="447"/>
      <c r="AB649" s="446"/>
      <c r="AC649" s="446"/>
      <c r="AD649" s="446"/>
      <c r="AE649" s="454"/>
      <c r="AF649" s="455"/>
      <c r="AG649" s="446"/>
      <c r="AH649" s="446"/>
      <c r="AI649" s="446"/>
      <c r="AJ649" s="454"/>
      <c r="AK649" s="455"/>
      <c r="AL649" s="565">
        <v>1.2</v>
      </c>
      <c r="AM649" s="565">
        <v>1.2</v>
      </c>
      <c r="AN649" s="565">
        <v>1.75</v>
      </c>
      <c r="AO649" s="563">
        <v>1.8</v>
      </c>
      <c r="AP649" s="456">
        <f>SUM(AL649:AO649)</f>
        <v>5.95</v>
      </c>
      <c r="AQ649" s="1682">
        <f>+AO649</f>
        <v>1.8</v>
      </c>
      <c r="AR649" s="454">
        <f>+AQ649</f>
        <v>1.8</v>
      </c>
      <c r="AS649" s="454">
        <f>+AR649</f>
        <v>1.8</v>
      </c>
      <c r="AT649" s="454">
        <f>+AS649</f>
        <v>1.8</v>
      </c>
      <c r="AU649" s="455">
        <f>SUM(AQ649:AT649)</f>
        <v>7.2</v>
      </c>
      <c r="AV649" s="456">
        <f>+AQ649</f>
        <v>1.8</v>
      </c>
      <c r="AW649" s="454">
        <f>+AR649</f>
        <v>1.8</v>
      </c>
      <c r="AX649" s="454">
        <f>+AS649</f>
        <v>1.8</v>
      </c>
      <c r="AY649" s="1666">
        <f>+AT649</f>
        <v>1.8</v>
      </c>
      <c r="AZ649" s="455">
        <f>SUM(AV649:AY649)</f>
        <v>7.2</v>
      </c>
      <c r="BA649" s="456">
        <f>+AV649</f>
        <v>1.8</v>
      </c>
      <c r="BB649" s="454">
        <f>+AW649</f>
        <v>1.8</v>
      </c>
      <c r="BC649" s="454">
        <f>+AX649</f>
        <v>1.8</v>
      </c>
      <c r="BD649" s="1666">
        <f>+AY649</f>
        <v>1.8</v>
      </c>
      <c r="BE649" s="1666">
        <f>SUM(BA649:BD649)</f>
        <v>7.2</v>
      </c>
      <c r="BF649" s="454">
        <f>+BA649</f>
        <v>1.8</v>
      </c>
      <c r="BG649" s="454">
        <f>+BB649</f>
        <v>1.8</v>
      </c>
      <c r="BH649" s="454">
        <f>+BC649</f>
        <v>1.8</v>
      </c>
      <c r="BI649" s="1666">
        <f>+BD649</f>
        <v>1.8</v>
      </c>
      <c r="BJ649" s="1666">
        <f>SUM(BF649:BI649)</f>
        <v>7.2</v>
      </c>
      <c r="BK649" s="454">
        <f>+BF649</f>
        <v>1.8</v>
      </c>
      <c r="BL649" s="454">
        <f>+BG649</f>
        <v>1.8</v>
      </c>
      <c r="BM649" s="454">
        <f>+BH649</f>
        <v>1.8</v>
      </c>
      <c r="BN649" s="1666">
        <f>+BI649</f>
        <v>1.8</v>
      </c>
      <c r="BO649" s="1666">
        <f>SUM(BK649:BN649)</f>
        <v>7.2</v>
      </c>
      <c r="BP649" s="454">
        <f>+BK649</f>
        <v>1.8</v>
      </c>
      <c r="BQ649" s="454">
        <f>+BL649</f>
        <v>1.8</v>
      </c>
      <c r="BR649" s="454">
        <f>+BM649</f>
        <v>1.8</v>
      </c>
      <c r="BS649" s="454">
        <f>+BN649</f>
        <v>1.8</v>
      </c>
      <c r="BT649" s="3066">
        <f>SUM(BP649:BS649)</f>
        <v>7.2</v>
      </c>
      <c r="BU649" s="2915">
        <f>+BP649</f>
        <v>1.8</v>
      </c>
      <c r="BV649" s="2915">
        <f>+BQ649</f>
        <v>1.8</v>
      </c>
      <c r="BW649" s="2915">
        <f>+BR649</f>
        <v>1.8</v>
      </c>
      <c r="BX649" s="2915">
        <f>+BS649</f>
        <v>1.8</v>
      </c>
      <c r="BY649" s="3066">
        <f>SUM(BU649:BX649)</f>
        <v>7.2</v>
      </c>
      <c r="BZ649" s="455">
        <f t="shared" ref="BZ649:CF649" si="1508">BY649</f>
        <v>7.2</v>
      </c>
      <c r="CA649" s="455">
        <f t="shared" si="1508"/>
        <v>7.2</v>
      </c>
      <c r="CB649" s="455">
        <f t="shared" si="1508"/>
        <v>7.2</v>
      </c>
      <c r="CC649" s="455">
        <f t="shared" si="1508"/>
        <v>7.2</v>
      </c>
      <c r="CD649" s="455">
        <f t="shared" si="1508"/>
        <v>7.2</v>
      </c>
      <c r="CE649" s="455">
        <f t="shared" si="1508"/>
        <v>7.2</v>
      </c>
      <c r="CF649" s="455">
        <f t="shared" si="1508"/>
        <v>7.2</v>
      </c>
      <c r="CG649" s="331"/>
      <c r="CH649" s="331"/>
      <c r="CI649" s="331"/>
      <c r="CJ649" s="331"/>
      <c r="CK649" s="331"/>
      <c r="CL649" s="520" t="str">
        <f>A649</f>
        <v>Depreciation and amortization</v>
      </c>
      <c r="CM649" s="454"/>
      <c r="CN649" s="454"/>
      <c r="CO649" s="454"/>
      <c r="CP649" s="454"/>
      <c r="CQ649" s="454"/>
      <c r="CR649" s="454"/>
      <c r="CS649" s="454"/>
      <c r="CT649" s="454">
        <f>AP649</f>
        <v>5.95</v>
      </c>
      <c r="CU649" s="454">
        <f>AU649</f>
        <v>7.2</v>
      </c>
      <c r="CV649" s="454">
        <f>AZ649</f>
        <v>7.2</v>
      </c>
      <c r="CW649" s="454">
        <f>BE649</f>
        <v>7.2</v>
      </c>
      <c r="CX649" s="454">
        <f>BJ649</f>
        <v>7.2</v>
      </c>
      <c r="CY649" s="454">
        <f>BO649</f>
        <v>7.2</v>
      </c>
      <c r="CZ649" s="454">
        <f>BT649</f>
        <v>7.2</v>
      </c>
      <c r="DA649" s="454">
        <f t="shared" si="1506"/>
        <v>7.2</v>
      </c>
      <c r="DB649" s="454">
        <f t="shared" si="1506"/>
        <v>7.2</v>
      </c>
      <c r="DC649" s="1666">
        <f t="shared" si="1506"/>
        <v>7.2</v>
      </c>
      <c r="DD649" s="331"/>
      <c r="DE649" s="331"/>
      <c r="DF649" s="502"/>
      <c r="DG649" s="503"/>
      <c r="DH649" s="2915"/>
      <c r="DI649" s="3213"/>
      <c r="DJ649" s="502"/>
      <c r="DK649" s="503"/>
      <c r="DL649" s="502"/>
      <c r="DM649" s="502"/>
      <c r="DN649" s="502"/>
      <c r="DO649" s="502"/>
      <c r="DP649" s="503"/>
      <c r="DQ649" s="503"/>
      <c r="DR649" s="296"/>
      <c r="DS649" s="296"/>
      <c r="DT649" s="296"/>
    </row>
    <row r="650" spans="1:130" ht="12" customHeight="1" x14ac:dyDescent="0.25">
      <c r="A650" s="465" t="s">
        <v>646</v>
      </c>
      <c r="B650" s="281"/>
      <c r="C650" s="446"/>
      <c r="D650" s="446"/>
      <c r="E650" s="446"/>
      <c r="F650" s="446"/>
      <c r="G650" s="447"/>
      <c r="H650" s="446"/>
      <c r="I650" s="446"/>
      <c r="J650" s="446"/>
      <c r="K650" s="446"/>
      <c r="L650" s="447"/>
      <c r="M650" s="446"/>
      <c r="N650" s="446"/>
      <c r="O650" s="446"/>
      <c r="P650" s="446"/>
      <c r="Q650" s="447"/>
      <c r="R650" s="446"/>
      <c r="S650" s="446"/>
      <c r="T650" s="446"/>
      <c r="U650" s="446"/>
      <c r="V650" s="447"/>
      <c r="W650" s="446"/>
      <c r="X650" s="446"/>
      <c r="Y650" s="446"/>
      <c r="Z650" s="446"/>
      <c r="AA650" s="447"/>
      <c r="AB650" s="446"/>
      <c r="AC650" s="446"/>
      <c r="AD650" s="446"/>
      <c r="AE650" s="454"/>
      <c r="AF650" s="455"/>
      <c r="AG650" s="446"/>
      <c r="AH650" s="446"/>
      <c r="AI650" s="446"/>
      <c r="AJ650" s="454"/>
      <c r="AK650" s="455"/>
      <c r="AL650" s="309">
        <f t="shared" ref="AL650:BK650" si="1509">AL649/AL640</f>
        <v>2.9519569014292389E-2</v>
      </c>
      <c r="AM650" s="309">
        <f t="shared" si="1509"/>
        <v>2.7844165487156878E-2</v>
      </c>
      <c r="AN650" s="309">
        <f t="shared" si="1509"/>
        <v>4.4871794871794872E-2</v>
      </c>
      <c r="AO650" s="309">
        <f t="shared" si="1509"/>
        <v>4.4999999999999998E-2</v>
      </c>
      <c r="AP650" s="1482">
        <f t="shared" si="1509"/>
        <v>3.6559589057930053E-2</v>
      </c>
      <c r="AQ650" s="309">
        <f>AQ649/AQ640</f>
        <v>4.3411130903371162E-2</v>
      </c>
      <c r="AR650" s="309">
        <f>AR649/AR640</f>
        <v>4.2618620643607469E-2</v>
      </c>
      <c r="AS650" s="309">
        <f>AS649/AS640</f>
        <v>4.9627791563275438E-2</v>
      </c>
      <c r="AT650" s="309">
        <f>AT649/AT640</f>
        <v>4.6391752577319589E-2</v>
      </c>
      <c r="AU650" s="1482">
        <f t="shared" si="1509"/>
        <v>4.5348880273161501E-2</v>
      </c>
      <c r="AV650" s="1494">
        <f t="shared" si="1509"/>
        <v>4.4753743199351714E-2</v>
      </c>
      <c r="AW650" s="309">
        <f t="shared" si="1509"/>
        <v>4.348838841184436E-2</v>
      </c>
      <c r="AX650" s="309">
        <f t="shared" si="1509"/>
        <v>5.0129082387146917E-2</v>
      </c>
      <c r="AY650" s="1495">
        <f t="shared" si="1509"/>
        <v>4.7338523038081219E-2</v>
      </c>
      <c r="AZ650" s="1482">
        <f t="shared" si="1509"/>
        <v>4.6289820067110451E-2</v>
      </c>
      <c r="BA650" s="1494">
        <f>BA649/BA640</f>
        <v>4.5205801211466376E-2</v>
      </c>
      <c r="BB650" s="309">
        <f>BB649/BB640</f>
        <v>4.5300404595671209E-2</v>
      </c>
      <c r="BC650" s="309">
        <f>BC649/BC640</f>
        <v>5.1679466378501973E-2</v>
      </c>
      <c r="BD650" s="1495">
        <f>BD649/BD640</f>
        <v>4.6410316704001198E-2</v>
      </c>
      <c r="BE650" s="1495">
        <f t="shared" si="1509"/>
        <v>4.700745211006848E-2</v>
      </c>
      <c r="BF650" s="309">
        <f t="shared" si="1509"/>
        <v>4.4319412952418015E-2</v>
      </c>
      <c r="BG650" s="309">
        <f t="shared" si="1509"/>
        <v>4.398097533560312E-2</v>
      </c>
      <c r="BH650" s="309">
        <f t="shared" si="1509"/>
        <v>5.0174239202429097E-2</v>
      </c>
      <c r="BI650" s="1495">
        <f t="shared" si="1509"/>
        <v>4.6410316704001198E-2</v>
      </c>
      <c r="BJ650" s="1495">
        <f t="shared" si="1509"/>
        <v>4.6094600826765864E-2</v>
      </c>
      <c r="BK650" s="309">
        <f t="shared" si="1509"/>
        <v>4.3028556264483507E-2</v>
      </c>
      <c r="BL650" s="309">
        <f t="shared" ref="BL650:CF650" si="1510">BL649/BL640</f>
        <v>4.3118603270199132E-2</v>
      </c>
      <c r="BM650" s="309">
        <f t="shared" si="1510"/>
        <v>4.8712853594591363E-2</v>
      </c>
      <c r="BN650" s="1495">
        <f t="shared" si="1510"/>
        <v>4.5500310494118817E-2</v>
      </c>
      <c r="BO650" s="1495">
        <f t="shared" si="1510"/>
        <v>4.4974867730405835E-2</v>
      </c>
      <c r="BP650" s="309">
        <f t="shared" si="1510"/>
        <v>4.2602530954934166E-2</v>
      </c>
      <c r="BQ650" s="309">
        <f t="shared" si="1510"/>
        <v>4.2691686406137755E-2</v>
      </c>
      <c r="BR650" s="309">
        <f t="shared" si="1510"/>
        <v>4.8230548113456798E-2</v>
      </c>
      <c r="BS650" s="309">
        <f t="shared" si="1510"/>
        <v>4.5049812370414673E-2</v>
      </c>
      <c r="BT650" s="3121">
        <f t="shared" si="1510"/>
        <v>4.4529572010302804E-2</v>
      </c>
      <c r="BU650" s="2665">
        <f t="shared" si="1510"/>
        <v>4.1767187210719772E-2</v>
      </c>
      <c r="BV650" s="2665">
        <f t="shared" si="1510"/>
        <v>4.1854594515821325E-2</v>
      </c>
      <c r="BW650" s="2665">
        <f t="shared" si="1510"/>
        <v>4.7284851091624315E-2</v>
      </c>
      <c r="BX650" s="2665">
        <f t="shared" si="1510"/>
        <v>4.4166482716092817E-2</v>
      </c>
      <c r="BY650" s="3121">
        <f t="shared" si="1510"/>
        <v>4.3656443147355693E-2</v>
      </c>
      <c r="BZ650" s="1482">
        <f t="shared" si="1510"/>
        <v>4.3011274036803646E-2</v>
      </c>
      <c r="CA650" s="1482">
        <f t="shared" si="1510"/>
        <v>4.3011274036803646E-2</v>
      </c>
      <c r="CB650" s="1482">
        <f t="shared" si="1510"/>
        <v>4.5275025301898579E-2</v>
      </c>
      <c r="CC650" s="1482">
        <f t="shared" si="1510"/>
        <v>4.7657921370419555E-2</v>
      </c>
      <c r="CD650" s="1482">
        <f t="shared" si="1510"/>
        <v>4.6723452323940741E-2</v>
      </c>
      <c r="CE650" s="1482">
        <f t="shared" si="1510"/>
        <v>4.5807306199941902E-2</v>
      </c>
      <c r="CF650" s="1482">
        <f t="shared" si="1510"/>
        <v>4.4909123725433243E-2</v>
      </c>
      <c r="CG650" s="331"/>
      <c r="CH650" s="331"/>
      <c r="CI650" s="331"/>
      <c r="CJ650" s="331"/>
      <c r="CK650" s="331"/>
      <c r="CL650" s="1310" t="str">
        <f>A650</f>
        <v>% of Net revenue</v>
      </c>
      <c r="CM650" s="588"/>
      <c r="CN650" s="588"/>
      <c r="CO650" s="588"/>
      <c r="CP650" s="588"/>
      <c r="CQ650" s="588"/>
      <c r="CR650" s="588"/>
      <c r="CS650" s="588"/>
      <c r="CT650" s="588">
        <f>AP650</f>
        <v>3.6559589057930053E-2</v>
      </c>
      <c r="CU650" s="588">
        <f>AU650</f>
        <v>4.5348880273161501E-2</v>
      </c>
      <c r="CV650" s="588">
        <f>AZ650</f>
        <v>4.6289820067110451E-2</v>
      </c>
      <c r="CW650" s="588">
        <f>BE650</f>
        <v>4.700745211006848E-2</v>
      </c>
      <c r="CX650" s="588">
        <f>BJ650</f>
        <v>4.6094600826765864E-2</v>
      </c>
      <c r="CY650" s="588">
        <f>BO650</f>
        <v>4.4974867730405835E-2</v>
      </c>
      <c r="CZ650" s="588">
        <f>BT650</f>
        <v>4.4529572010302804E-2</v>
      </c>
      <c r="DA650" s="588">
        <f t="shared" si="1506"/>
        <v>4.3656443147355693E-2</v>
      </c>
      <c r="DB650" s="588">
        <f t="shared" si="1506"/>
        <v>4.3011274036803646E-2</v>
      </c>
      <c r="DC650" s="1197">
        <f t="shared" si="1506"/>
        <v>4.3011274036803646E-2</v>
      </c>
      <c r="DD650" s="331"/>
      <c r="DE650" s="331"/>
      <c r="DF650" s="502"/>
      <c r="DG650" s="503"/>
      <c r="DH650" s="2977"/>
      <c r="DI650" s="3213"/>
      <c r="DJ650" s="502"/>
      <c r="DK650" s="503"/>
      <c r="DL650" s="502"/>
      <c r="DM650" s="502"/>
      <c r="DN650" s="502"/>
      <c r="DO650" s="502"/>
      <c r="DP650" s="503"/>
      <c r="DQ650" s="503"/>
      <c r="DR650" s="296"/>
      <c r="DS650" s="296"/>
      <c r="DT650" s="296"/>
    </row>
    <row r="651" spans="1:130" ht="12" customHeight="1" x14ac:dyDescent="0.25">
      <c r="A651" s="585"/>
      <c r="B651" s="281"/>
      <c r="C651" s="472"/>
      <c r="D651" s="472"/>
      <c r="E651" s="472"/>
      <c r="F651" s="472"/>
      <c r="G651" s="491"/>
      <c r="H651" s="472"/>
      <c r="I651" s="472"/>
      <c r="J651" s="472"/>
      <c r="K651" s="472"/>
      <c r="L651" s="491"/>
      <c r="M651" s="472"/>
      <c r="N651" s="472"/>
      <c r="O651" s="472"/>
      <c r="P651" s="472"/>
      <c r="Q651" s="491"/>
      <c r="R651" s="472"/>
      <c r="S651" s="472"/>
      <c r="T651" s="472"/>
      <c r="U651" s="472"/>
      <c r="V651" s="491"/>
      <c r="W651" s="472"/>
      <c r="X651" s="472"/>
      <c r="Y651" s="472"/>
      <c r="Z651" s="472"/>
      <c r="AA651" s="491"/>
      <c r="AB651" s="472"/>
      <c r="AC651" s="472"/>
      <c r="AD651" s="472"/>
      <c r="AE651" s="492"/>
      <c r="AF651" s="493"/>
      <c r="AG651" s="492"/>
      <c r="AH651" s="492"/>
      <c r="AI651" s="492"/>
      <c r="AJ651" s="492"/>
      <c r="AK651" s="493"/>
      <c r="AL651" s="492"/>
      <c r="AM651" s="492"/>
      <c r="AN651" s="492"/>
      <c r="AO651" s="492"/>
      <c r="AP651" s="494"/>
      <c r="AQ651" s="494"/>
      <c r="AR651" s="492"/>
      <c r="AS651" s="492"/>
      <c r="AT651" s="492"/>
      <c r="AU651" s="493"/>
      <c r="AV651" s="494"/>
      <c r="AW651" s="492"/>
      <c r="AX651" s="492"/>
      <c r="AY651" s="1311"/>
      <c r="AZ651" s="493"/>
      <c r="BA651" s="494"/>
      <c r="BB651" s="492"/>
      <c r="BC651" s="492"/>
      <c r="BD651" s="1311"/>
      <c r="BE651" s="1311"/>
      <c r="BF651" s="492"/>
      <c r="BG651" s="492"/>
      <c r="BH651" s="492"/>
      <c r="BI651" s="1311"/>
      <c r="BJ651" s="1311"/>
      <c r="BK651" s="492"/>
      <c r="BL651" s="492"/>
      <c r="BM651" s="492"/>
      <c r="BN651" s="1311"/>
      <c r="BO651" s="1311"/>
      <c r="BP651" s="492"/>
      <c r="BQ651" s="492"/>
      <c r="BR651" s="492"/>
      <c r="BS651" s="1311"/>
      <c r="BT651" s="2950"/>
      <c r="BU651" s="2653"/>
      <c r="BV651" s="2653"/>
      <c r="BW651" s="2653"/>
      <c r="BX651" s="2653"/>
      <c r="BY651" s="2693"/>
      <c r="BZ651" s="493"/>
      <c r="CA651" s="493"/>
      <c r="CB651" s="493"/>
      <c r="CC651" s="493"/>
      <c r="CD651" s="493"/>
      <c r="CE651" s="493"/>
      <c r="CF651" s="493"/>
      <c r="CG651" s="331"/>
      <c r="CH651" s="331"/>
      <c r="CI651" s="331"/>
      <c r="CJ651" s="331"/>
      <c r="CK651" s="331"/>
      <c r="CL651" s="2036"/>
      <c r="CM651" s="492"/>
      <c r="CN651" s="492"/>
      <c r="CO651" s="492"/>
      <c r="CP651" s="492"/>
      <c r="CQ651" s="492"/>
      <c r="CR651" s="492"/>
      <c r="CS651" s="492"/>
      <c r="CT651" s="492"/>
      <c r="CU651" s="492"/>
      <c r="CV651" s="492"/>
      <c r="CW651" s="492"/>
      <c r="CX651" s="492"/>
      <c r="CY651" s="492"/>
      <c r="CZ651" s="492"/>
      <c r="DA651" s="492"/>
      <c r="DB651" s="492"/>
      <c r="DC651" s="1311"/>
      <c r="DD651" s="331"/>
      <c r="DE651" s="331"/>
      <c r="DF651" s="502"/>
      <c r="DG651" s="503"/>
      <c r="DH651" s="2653"/>
      <c r="DI651" s="3213"/>
      <c r="DJ651" s="502"/>
      <c r="DK651" s="503"/>
      <c r="DL651" s="502"/>
      <c r="DM651" s="502"/>
      <c r="DN651" s="502"/>
      <c r="DO651" s="502"/>
      <c r="DP651" s="503"/>
      <c r="DQ651" s="503"/>
      <c r="DR651" s="296"/>
      <c r="DS651" s="296"/>
      <c r="DT651" s="296"/>
    </row>
    <row r="652" spans="1:130" ht="12" customHeight="1" x14ac:dyDescent="0.25">
      <c r="A652" s="2125" t="s">
        <v>2296</v>
      </c>
      <c r="B652" s="281"/>
      <c r="C652" s="472"/>
      <c r="D652" s="472"/>
      <c r="E652" s="472"/>
      <c r="F652" s="472"/>
      <c r="G652" s="491"/>
      <c r="H652" s="472"/>
      <c r="I652" s="472"/>
      <c r="J652" s="472"/>
      <c r="K652" s="472"/>
      <c r="L652" s="491"/>
      <c r="M652" s="472"/>
      <c r="N652" s="472"/>
      <c r="O652" s="472"/>
      <c r="P652" s="472"/>
      <c r="Q652" s="491"/>
      <c r="R652" s="472"/>
      <c r="S652" s="472"/>
      <c r="T652" s="472"/>
      <c r="U652" s="472"/>
      <c r="V652" s="491"/>
      <c r="W652" s="472"/>
      <c r="X652" s="472"/>
      <c r="Y652" s="472"/>
      <c r="Z652" s="472"/>
      <c r="AA652" s="491"/>
      <c r="AB652" s="472"/>
      <c r="AC652" s="472"/>
      <c r="AD652" s="472"/>
      <c r="AE652" s="492"/>
      <c r="AF652" s="493"/>
      <c r="AG652" s="492"/>
      <c r="AH652" s="492"/>
      <c r="AI652" s="492"/>
      <c r="AJ652" s="492"/>
      <c r="AK652" s="493"/>
      <c r="AL652" s="492"/>
      <c r="AM652" s="492"/>
      <c r="AN652" s="492"/>
      <c r="AO652" s="492"/>
      <c r="AP652" s="493"/>
      <c r="AQ652" s="494"/>
      <c r="AR652" s="492"/>
      <c r="AS652" s="492"/>
      <c r="AT652" s="492"/>
      <c r="AU652" s="493"/>
      <c r="AV652" s="494"/>
      <c r="AW652" s="492"/>
      <c r="AX652" s="492"/>
      <c r="AY652" s="1311"/>
      <c r="AZ652" s="493"/>
      <c r="BA652" s="494"/>
      <c r="BB652" s="492"/>
      <c r="BC652" s="492"/>
      <c r="BD652" s="1311"/>
      <c r="BE652" s="1311"/>
      <c r="BF652" s="492"/>
      <c r="BG652" s="492"/>
      <c r="BH652" s="492"/>
      <c r="BI652" s="1311"/>
      <c r="BJ652" s="1311"/>
      <c r="BK652" s="492"/>
      <c r="BL652" s="492"/>
      <c r="BM652" s="492"/>
      <c r="BN652" s="1311"/>
      <c r="BO652" s="1311"/>
      <c r="BP652" s="492"/>
      <c r="BQ652" s="492"/>
      <c r="BR652" s="492"/>
      <c r="BS652" s="1311"/>
      <c r="BT652" s="2950"/>
      <c r="BU652" s="2653"/>
      <c r="BV652" s="2653"/>
      <c r="BW652" s="2653"/>
      <c r="BX652" s="2653"/>
      <c r="BY652" s="2693"/>
      <c r="BZ652" s="493"/>
      <c r="CA652" s="493"/>
      <c r="CB652" s="493"/>
      <c r="CC652" s="493"/>
      <c r="CD652" s="493"/>
      <c r="CE652" s="493"/>
      <c r="CF652" s="493"/>
      <c r="CG652" s="331"/>
      <c r="CH652" s="331"/>
      <c r="CI652" s="331"/>
      <c r="CJ652" s="331"/>
      <c r="CK652" s="331"/>
      <c r="CL652" s="2036"/>
      <c r="CM652" s="492"/>
      <c r="CN652" s="492"/>
      <c r="CO652" s="492"/>
      <c r="CP652" s="492"/>
      <c r="CQ652" s="492"/>
      <c r="CR652" s="492"/>
      <c r="CS652" s="492"/>
      <c r="CT652" s="492"/>
      <c r="CU652" s="492"/>
      <c r="CV652" s="492"/>
      <c r="CW652" s="492"/>
      <c r="CX652" s="492"/>
      <c r="CY652" s="492"/>
      <c r="CZ652" s="492"/>
      <c r="DA652" s="492"/>
      <c r="DB652" s="492"/>
      <c r="DC652" s="1311"/>
      <c r="DD652" s="331"/>
      <c r="DE652" s="331"/>
      <c r="DF652" s="502"/>
      <c r="DG652" s="503"/>
      <c r="DH652" s="2653"/>
      <c r="DI652" s="3213"/>
      <c r="DJ652" s="502"/>
      <c r="DK652" s="503"/>
      <c r="DL652" s="502"/>
      <c r="DM652" s="502"/>
      <c r="DN652" s="502"/>
      <c r="DO652" s="502"/>
      <c r="DP652" s="503"/>
      <c r="DQ652" s="503"/>
      <c r="DR652" s="296"/>
      <c r="DS652" s="296"/>
      <c r="DT652" s="296"/>
    </row>
    <row r="653" spans="1:130" s="1049" customFormat="1" ht="12" customHeight="1" x14ac:dyDescent="0.25">
      <c r="A653" s="428" t="s">
        <v>894</v>
      </c>
      <c r="B653" s="428"/>
      <c r="C653" s="492"/>
      <c r="D653" s="492"/>
      <c r="E653" s="492"/>
      <c r="F653" s="492"/>
      <c r="G653" s="348">
        <f>+G654+(G655*6)</f>
        <v>907</v>
      </c>
      <c r="H653" s="492"/>
      <c r="I653" s="492"/>
      <c r="J653" s="492"/>
      <c r="K653" s="492"/>
      <c r="L653" s="348">
        <f>+L654+(L655*6)</f>
        <v>907</v>
      </c>
      <c r="M653" s="492"/>
      <c r="N653" s="492"/>
      <c r="O653" s="492"/>
      <c r="P653" s="492"/>
      <c r="Q653" s="348">
        <f>+Q654+(Q655*6)</f>
        <v>907</v>
      </c>
      <c r="R653" s="492"/>
      <c r="S653" s="492"/>
      <c r="T653" s="492"/>
      <c r="U653" s="492"/>
      <c r="V653" s="348">
        <f>+V654+(V655*6)</f>
        <v>907</v>
      </c>
      <c r="W653" s="492"/>
      <c r="X653" s="492"/>
      <c r="Y653" s="492"/>
      <c r="Z653" s="492"/>
      <c r="AA653" s="348">
        <f t="shared" ref="AA653:CA653" si="1511">+AA654+(AA655*6)</f>
        <v>907</v>
      </c>
      <c r="AB653" s="568">
        <f t="shared" si="1511"/>
        <v>907</v>
      </c>
      <c r="AC653" s="330">
        <f t="shared" si="1511"/>
        <v>907</v>
      </c>
      <c r="AD653" s="330">
        <f t="shared" si="1511"/>
        <v>907</v>
      </c>
      <c r="AE653" s="330">
        <f t="shared" si="1511"/>
        <v>907</v>
      </c>
      <c r="AF653" s="348">
        <f t="shared" si="1511"/>
        <v>907</v>
      </c>
      <c r="AG653" s="568">
        <f t="shared" si="1511"/>
        <v>907</v>
      </c>
      <c r="AH653" s="330">
        <f t="shared" si="1511"/>
        <v>907</v>
      </c>
      <c r="AI653" s="330">
        <f t="shared" si="1511"/>
        <v>907</v>
      </c>
      <c r="AJ653" s="330">
        <f t="shared" si="1511"/>
        <v>907</v>
      </c>
      <c r="AK653" s="348">
        <f t="shared" si="1511"/>
        <v>907</v>
      </c>
      <c r="AL653" s="568">
        <f t="shared" si="1511"/>
        <v>907</v>
      </c>
      <c r="AM653" s="330">
        <f t="shared" si="1511"/>
        <v>907</v>
      </c>
      <c r="AN653" s="330">
        <f t="shared" si="1511"/>
        <v>907</v>
      </c>
      <c r="AO653" s="330">
        <f t="shared" si="1511"/>
        <v>907</v>
      </c>
      <c r="AP653" s="348">
        <f t="shared" si="1511"/>
        <v>1044</v>
      </c>
      <c r="AQ653" s="568">
        <f t="shared" si="1511"/>
        <v>1044</v>
      </c>
      <c r="AR653" s="330">
        <f t="shared" si="1511"/>
        <v>1044</v>
      </c>
      <c r="AS653" s="330">
        <f t="shared" si="1511"/>
        <v>1044</v>
      </c>
      <c r="AT653" s="330">
        <f t="shared" si="1511"/>
        <v>1044</v>
      </c>
      <c r="AU653" s="348">
        <f t="shared" si="1511"/>
        <v>1095</v>
      </c>
      <c r="AV653" s="568">
        <f t="shared" si="1511"/>
        <v>1095</v>
      </c>
      <c r="AW653" s="330">
        <f t="shared" si="1511"/>
        <v>1095</v>
      </c>
      <c r="AX653" s="330">
        <f t="shared" si="1511"/>
        <v>1095</v>
      </c>
      <c r="AY653" s="1888">
        <f t="shared" si="1511"/>
        <v>1095</v>
      </c>
      <c r="AZ653" s="1888">
        <f t="shared" si="1511"/>
        <v>1073</v>
      </c>
      <c r="BA653" s="568">
        <f t="shared" si="1511"/>
        <v>1073</v>
      </c>
      <c r="BB653" s="330">
        <f t="shared" si="1511"/>
        <v>1073</v>
      </c>
      <c r="BC653" s="330">
        <f t="shared" si="1511"/>
        <v>1073</v>
      </c>
      <c r="BD653" s="1888">
        <f t="shared" si="1511"/>
        <v>1073</v>
      </c>
      <c r="BE653" s="1888">
        <f t="shared" si="1511"/>
        <v>1072</v>
      </c>
      <c r="BF653" s="568">
        <f t="shared" si="1511"/>
        <v>1072</v>
      </c>
      <c r="BG653" s="330">
        <f t="shared" si="1511"/>
        <v>1072</v>
      </c>
      <c r="BH653" s="330">
        <f t="shared" si="1511"/>
        <v>1072</v>
      </c>
      <c r="BI653" s="1888">
        <f t="shared" si="1511"/>
        <v>1072</v>
      </c>
      <c r="BJ653" s="1888">
        <f t="shared" si="1511"/>
        <v>1072</v>
      </c>
      <c r="BK653" s="330">
        <f t="shared" si="1511"/>
        <v>1072</v>
      </c>
      <c r="BL653" s="330">
        <f t="shared" ref="BL653:BU653" si="1512">+BL654+(BL655*6)</f>
        <v>1072</v>
      </c>
      <c r="BM653" s="330">
        <f t="shared" si="1512"/>
        <v>1072</v>
      </c>
      <c r="BN653" s="1888">
        <f t="shared" si="1512"/>
        <v>1072</v>
      </c>
      <c r="BO653" s="1888">
        <f t="shared" si="1512"/>
        <v>1072</v>
      </c>
      <c r="BP653" s="330">
        <f t="shared" si="1512"/>
        <v>1072</v>
      </c>
      <c r="BQ653" s="330">
        <f t="shared" si="1512"/>
        <v>1072</v>
      </c>
      <c r="BR653" s="330">
        <f t="shared" si="1512"/>
        <v>1072</v>
      </c>
      <c r="BS653" s="1888">
        <f t="shared" si="1512"/>
        <v>1072</v>
      </c>
      <c r="BT653" s="2910">
        <f t="shared" si="1512"/>
        <v>1072</v>
      </c>
      <c r="BU653" s="2909">
        <f t="shared" si="1512"/>
        <v>1072</v>
      </c>
      <c r="BV653" s="2909">
        <f>+BV654+(BV655*6)</f>
        <v>1072</v>
      </c>
      <c r="BW653" s="2909">
        <f>+BW654+(BW655*6)</f>
        <v>1072</v>
      </c>
      <c r="BX653" s="2909">
        <f>+BX654+(BX655*6)</f>
        <v>1072</v>
      </c>
      <c r="BY653" s="3081">
        <f>+BY654+(BY655*6)</f>
        <v>1072</v>
      </c>
      <c r="BZ653" s="1888">
        <f t="shared" si="1511"/>
        <v>1072</v>
      </c>
      <c r="CA653" s="1888">
        <f t="shared" si="1511"/>
        <v>1072</v>
      </c>
      <c r="CB653" s="1888">
        <f>+CB654+(CB655*6)</f>
        <v>1072</v>
      </c>
      <c r="CC653" s="1888">
        <f>+CC654+(CC655*6)</f>
        <v>1072</v>
      </c>
      <c r="CD653" s="1888">
        <f>+CD654+(CD655*6)</f>
        <v>1072</v>
      </c>
      <c r="CE653" s="1888">
        <f>+CE654+(CE655*6)</f>
        <v>1072</v>
      </c>
      <c r="CF653" s="1888">
        <f>+CF654+(CF655*6)</f>
        <v>1072</v>
      </c>
      <c r="CG653" s="331"/>
      <c r="CH653" s="331"/>
      <c r="CI653" s="331"/>
      <c r="CJ653" s="331"/>
      <c r="CK653" s="331"/>
      <c r="CL653" s="2036"/>
      <c r="CM653" s="492"/>
      <c r="CN653" s="492"/>
      <c r="CO653" s="492"/>
      <c r="CP653" s="492"/>
      <c r="CQ653" s="492"/>
      <c r="CR653" s="492"/>
      <c r="CS653" s="492"/>
      <c r="CT653" s="492"/>
      <c r="CU653" s="492"/>
      <c r="CV653" s="492"/>
      <c r="CW653" s="492"/>
      <c r="CX653" s="492"/>
      <c r="CY653" s="492"/>
      <c r="CZ653" s="492"/>
      <c r="DA653" s="492"/>
      <c r="DB653" s="492"/>
      <c r="DC653" s="1311"/>
      <c r="DD653" s="331"/>
      <c r="DE653" s="331"/>
      <c r="DF653" s="502"/>
      <c r="DG653" s="503"/>
      <c r="DH653" s="2909"/>
      <c r="DI653" s="3213"/>
      <c r="DJ653" s="502"/>
      <c r="DK653" s="503"/>
      <c r="DL653" s="502"/>
      <c r="DM653" s="502"/>
      <c r="DN653" s="502"/>
      <c r="DO653" s="502"/>
      <c r="DP653" s="503"/>
      <c r="DQ653" s="503"/>
      <c r="DR653" s="296"/>
      <c r="DS653" s="296"/>
      <c r="DT653" s="296"/>
      <c r="DU653"/>
      <c r="DV653"/>
      <c r="DW653"/>
      <c r="DX653"/>
      <c r="DY653"/>
      <c r="DZ653"/>
    </row>
    <row r="654" spans="1:130" s="1049" customFormat="1" ht="12" customHeight="1" x14ac:dyDescent="0.25">
      <c r="A654" s="428" t="s">
        <v>585</v>
      </c>
      <c r="B654" s="428"/>
      <c r="C654" s="492"/>
      <c r="D654" s="492"/>
      <c r="E654" s="492"/>
      <c r="F654" s="492"/>
      <c r="G654" s="3009">
        <v>727</v>
      </c>
      <c r="H654" s="492"/>
      <c r="I654" s="492"/>
      <c r="J654" s="492"/>
      <c r="K654" s="492"/>
      <c r="L654" s="3009">
        <v>727</v>
      </c>
      <c r="M654" s="492"/>
      <c r="N654" s="492"/>
      <c r="O654" s="492"/>
      <c r="P654" s="492"/>
      <c r="Q654" s="3009">
        <v>727</v>
      </c>
      <c r="R654" s="492"/>
      <c r="S654" s="492"/>
      <c r="T654" s="492"/>
      <c r="U654" s="492"/>
      <c r="V654" s="3009">
        <v>727</v>
      </c>
      <c r="W654" s="492"/>
      <c r="X654" s="492"/>
      <c r="Y654" s="492"/>
      <c r="Z654" s="492"/>
      <c r="AA654" s="3009">
        <v>727</v>
      </c>
      <c r="AB654" s="3019">
        <f t="shared" ref="AB654:AE655" si="1513">+AA654</f>
        <v>727</v>
      </c>
      <c r="AC654" s="2945">
        <f t="shared" si="1513"/>
        <v>727</v>
      </c>
      <c r="AD654" s="2945">
        <f t="shared" si="1513"/>
        <v>727</v>
      </c>
      <c r="AE654" s="2945">
        <f t="shared" si="1513"/>
        <v>727</v>
      </c>
      <c r="AF654" s="3009">
        <v>727</v>
      </c>
      <c r="AG654" s="3019">
        <f t="shared" ref="AG654:AJ655" si="1514">+AF654</f>
        <v>727</v>
      </c>
      <c r="AH654" s="2945">
        <f t="shared" si="1514"/>
        <v>727</v>
      </c>
      <c r="AI654" s="2945">
        <f t="shared" si="1514"/>
        <v>727</v>
      </c>
      <c r="AJ654" s="2945">
        <f t="shared" si="1514"/>
        <v>727</v>
      </c>
      <c r="AK654" s="3009">
        <v>727</v>
      </c>
      <c r="AL654" s="3019">
        <f t="shared" ref="AL654:AO655" si="1515">+AK654</f>
        <v>727</v>
      </c>
      <c r="AM654" s="2945">
        <f t="shared" si="1515"/>
        <v>727</v>
      </c>
      <c r="AN654" s="2945">
        <f t="shared" si="1515"/>
        <v>727</v>
      </c>
      <c r="AO654" s="2945">
        <f t="shared" si="1515"/>
        <v>727</v>
      </c>
      <c r="AP654" s="3009">
        <v>816</v>
      </c>
      <c r="AQ654" s="3019">
        <f t="shared" ref="AQ654:AT655" si="1516">+AP654</f>
        <v>816</v>
      </c>
      <c r="AR654" s="2945">
        <f t="shared" si="1516"/>
        <v>816</v>
      </c>
      <c r="AS654" s="2945">
        <f t="shared" si="1516"/>
        <v>816</v>
      </c>
      <c r="AT654" s="2945">
        <f t="shared" si="1516"/>
        <v>816</v>
      </c>
      <c r="AU654" s="3009">
        <v>855</v>
      </c>
      <c r="AV654" s="3019">
        <f t="shared" ref="AV654:AY655" si="1517">+AU654</f>
        <v>855</v>
      </c>
      <c r="AW654" s="2945">
        <f t="shared" si="1517"/>
        <v>855</v>
      </c>
      <c r="AX654" s="2945">
        <f t="shared" si="1517"/>
        <v>855</v>
      </c>
      <c r="AY654" s="2947">
        <f t="shared" si="1517"/>
        <v>855</v>
      </c>
      <c r="AZ654" s="2939">
        <v>833</v>
      </c>
      <c r="BA654" s="3019">
        <f t="shared" ref="BA654:BD655" si="1518">+AZ654</f>
        <v>833</v>
      </c>
      <c r="BB654" s="2945">
        <f t="shared" si="1518"/>
        <v>833</v>
      </c>
      <c r="BC654" s="2945">
        <f t="shared" si="1518"/>
        <v>833</v>
      </c>
      <c r="BD654" s="2947">
        <f t="shared" si="1518"/>
        <v>833</v>
      </c>
      <c r="BE654" s="2939">
        <v>844</v>
      </c>
      <c r="BF654" s="3019">
        <f t="shared" ref="BF654:BJ655" si="1519">+BE654</f>
        <v>844</v>
      </c>
      <c r="BG654" s="2945">
        <f t="shared" si="1519"/>
        <v>844</v>
      </c>
      <c r="BH654" s="2945">
        <f t="shared" si="1519"/>
        <v>844</v>
      </c>
      <c r="BI654" s="2947">
        <f t="shared" si="1519"/>
        <v>844</v>
      </c>
      <c r="BJ654" s="2910">
        <f t="shared" si="1519"/>
        <v>844</v>
      </c>
      <c r="BK654" s="2945">
        <f>+BI654</f>
        <v>844</v>
      </c>
      <c r="BL654" s="2945">
        <f>+BK654</f>
        <v>844</v>
      </c>
      <c r="BM654" s="2945">
        <f t="shared" ref="BM654:BO655" si="1520">+BL654</f>
        <v>844</v>
      </c>
      <c r="BN654" s="2947">
        <f t="shared" si="1520"/>
        <v>844</v>
      </c>
      <c r="BO654" s="2910">
        <f t="shared" si="1520"/>
        <v>844</v>
      </c>
      <c r="BP654" s="2945">
        <f t="shared" ref="BP654:CA655" si="1521">+BO654</f>
        <v>844</v>
      </c>
      <c r="BQ654" s="2945">
        <f t="shared" si="1521"/>
        <v>844</v>
      </c>
      <c r="BR654" s="2945">
        <f t="shared" si="1521"/>
        <v>844</v>
      </c>
      <c r="BS654" s="2947">
        <f t="shared" si="1521"/>
        <v>844</v>
      </c>
      <c r="BT654" s="2910">
        <f t="shared" si="1521"/>
        <v>844</v>
      </c>
      <c r="BU654" s="2079">
        <f t="shared" si="1521"/>
        <v>844</v>
      </c>
      <c r="BV654" s="2079">
        <f t="shared" si="1521"/>
        <v>844</v>
      </c>
      <c r="BW654" s="2079">
        <f t="shared" si="1521"/>
        <v>844</v>
      </c>
      <c r="BX654" s="2079">
        <f t="shared" si="1521"/>
        <v>844</v>
      </c>
      <c r="BY654" s="3081">
        <f>+BX654</f>
        <v>844</v>
      </c>
      <c r="BZ654" s="2947">
        <f t="shared" si="1521"/>
        <v>844</v>
      </c>
      <c r="CA654" s="2947">
        <f t="shared" si="1521"/>
        <v>844</v>
      </c>
      <c r="CB654" s="2947">
        <f t="shared" ref="CB654:CF655" si="1522">+CA654</f>
        <v>844</v>
      </c>
      <c r="CC654" s="2947">
        <f t="shared" si="1522"/>
        <v>844</v>
      </c>
      <c r="CD654" s="2947">
        <f t="shared" si="1522"/>
        <v>844</v>
      </c>
      <c r="CE654" s="2947">
        <f t="shared" si="1522"/>
        <v>844</v>
      </c>
      <c r="CF654" s="2947">
        <f t="shared" si="1522"/>
        <v>844</v>
      </c>
      <c r="CG654" s="331"/>
      <c r="CH654" s="331"/>
      <c r="CI654" s="331"/>
      <c r="CJ654" s="331"/>
      <c r="CK654" s="331"/>
      <c r="CL654" s="2036"/>
      <c r="CM654" s="492"/>
      <c r="CN654" s="492"/>
      <c r="CO654" s="492"/>
      <c r="CP654" s="492"/>
      <c r="CQ654" s="492"/>
      <c r="CR654" s="492"/>
      <c r="CS654" s="492"/>
      <c r="CT654" s="492"/>
      <c r="CU654" s="492"/>
      <c r="CV654" s="492"/>
      <c r="CW654" s="492"/>
      <c r="CX654" s="492"/>
      <c r="CY654" s="492"/>
      <c r="CZ654" s="492"/>
      <c r="DA654" s="492"/>
      <c r="DB654" s="492"/>
      <c r="DC654" s="1311"/>
      <c r="DD654" s="331"/>
      <c r="DE654" s="331"/>
      <c r="DF654" s="502"/>
      <c r="DG654" s="503"/>
      <c r="DH654" s="2909"/>
      <c r="DI654" s="3213"/>
      <c r="DJ654" s="502"/>
      <c r="DK654" s="503"/>
      <c r="DL654" s="502"/>
      <c r="DM654" s="502"/>
      <c r="DN654" s="502"/>
      <c r="DO654" s="502"/>
      <c r="DP654" s="503"/>
      <c r="DQ654" s="503"/>
      <c r="DR654" s="296"/>
      <c r="DS654" s="296"/>
      <c r="DT654" s="296"/>
      <c r="DU654"/>
      <c r="DV654"/>
      <c r="DW654"/>
      <c r="DX654"/>
      <c r="DY654"/>
      <c r="DZ654"/>
    </row>
    <row r="655" spans="1:130" s="1049" customFormat="1" ht="12" customHeight="1" x14ac:dyDescent="0.25">
      <c r="A655" s="428" t="s">
        <v>584</v>
      </c>
      <c r="B655" s="428"/>
      <c r="C655" s="492"/>
      <c r="D655" s="492"/>
      <c r="E655" s="492"/>
      <c r="F655" s="492"/>
      <c r="G655" s="3009">
        <v>30</v>
      </c>
      <c r="H655" s="492"/>
      <c r="I655" s="492"/>
      <c r="J655" s="492"/>
      <c r="K655" s="492"/>
      <c r="L655" s="3009">
        <v>30</v>
      </c>
      <c r="M655" s="492"/>
      <c r="N655" s="492"/>
      <c r="O655" s="492"/>
      <c r="P655" s="492"/>
      <c r="Q655" s="3009">
        <v>30</v>
      </c>
      <c r="R655" s="492"/>
      <c r="S655" s="492"/>
      <c r="T655" s="492"/>
      <c r="U655" s="492"/>
      <c r="V655" s="3009">
        <v>30</v>
      </c>
      <c r="W655" s="492"/>
      <c r="X655" s="492"/>
      <c r="Y655" s="492"/>
      <c r="Z655" s="492"/>
      <c r="AA655" s="3009">
        <v>30</v>
      </c>
      <c r="AB655" s="3019">
        <f t="shared" si="1513"/>
        <v>30</v>
      </c>
      <c r="AC655" s="2945">
        <f t="shared" si="1513"/>
        <v>30</v>
      </c>
      <c r="AD655" s="2945">
        <f t="shared" si="1513"/>
        <v>30</v>
      </c>
      <c r="AE655" s="2945">
        <f t="shared" si="1513"/>
        <v>30</v>
      </c>
      <c r="AF655" s="3009">
        <v>30</v>
      </c>
      <c r="AG655" s="3019">
        <f t="shared" si="1514"/>
        <v>30</v>
      </c>
      <c r="AH655" s="2945">
        <f t="shared" si="1514"/>
        <v>30</v>
      </c>
      <c r="AI655" s="2945">
        <f t="shared" si="1514"/>
        <v>30</v>
      </c>
      <c r="AJ655" s="2945">
        <f t="shared" si="1514"/>
        <v>30</v>
      </c>
      <c r="AK655" s="3009">
        <v>30</v>
      </c>
      <c r="AL655" s="3019">
        <f t="shared" si="1515"/>
        <v>30</v>
      </c>
      <c r="AM655" s="2945">
        <f t="shared" si="1515"/>
        <v>30</v>
      </c>
      <c r="AN655" s="2945">
        <f t="shared" si="1515"/>
        <v>30</v>
      </c>
      <c r="AO655" s="2945">
        <f t="shared" si="1515"/>
        <v>30</v>
      </c>
      <c r="AP655" s="3009">
        <v>38</v>
      </c>
      <c r="AQ655" s="3019">
        <f t="shared" si="1516"/>
        <v>38</v>
      </c>
      <c r="AR655" s="2945">
        <f t="shared" si="1516"/>
        <v>38</v>
      </c>
      <c r="AS655" s="2945">
        <f t="shared" si="1516"/>
        <v>38</v>
      </c>
      <c r="AT655" s="2945">
        <f t="shared" si="1516"/>
        <v>38</v>
      </c>
      <c r="AU655" s="3009">
        <v>40</v>
      </c>
      <c r="AV655" s="3019">
        <f t="shared" si="1517"/>
        <v>40</v>
      </c>
      <c r="AW655" s="2945">
        <f t="shared" si="1517"/>
        <v>40</v>
      </c>
      <c r="AX655" s="2945">
        <f t="shared" si="1517"/>
        <v>40</v>
      </c>
      <c r="AY655" s="2947">
        <f t="shared" si="1517"/>
        <v>40</v>
      </c>
      <c r="AZ655" s="2939">
        <v>40</v>
      </c>
      <c r="BA655" s="3019">
        <f t="shared" si="1518"/>
        <v>40</v>
      </c>
      <c r="BB655" s="2945">
        <f t="shared" si="1518"/>
        <v>40</v>
      </c>
      <c r="BC655" s="2945">
        <f t="shared" si="1518"/>
        <v>40</v>
      </c>
      <c r="BD655" s="2947">
        <f t="shared" si="1518"/>
        <v>40</v>
      </c>
      <c r="BE655" s="2939">
        <v>38</v>
      </c>
      <c r="BF655" s="3019">
        <f t="shared" si="1519"/>
        <v>38</v>
      </c>
      <c r="BG655" s="2945">
        <f t="shared" si="1519"/>
        <v>38</v>
      </c>
      <c r="BH655" s="2945">
        <f t="shared" si="1519"/>
        <v>38</v>
      </c>
      <c r="BI655" s="2947">
        <f t="shared" si="1519"/>
        <v>38</v>
      </c>
      <c r="BJ655" s="2910">
        <f t="shared" si="1519"/>
        <v>38</v>
      </c>
      <c r="BK655" s="2945">
        <f>+BI655</f>
        <v>38</v>
      </c>
      <c r="BL655" s="2945">
        <f>+BK655</f>
        <v>38</v>
      </c>
      <c r="BM655" s="2945">
        <f t="shared" si="1520"/>
        <v>38</v>
      </c>
      <c r="BN655" s="2947">
        <f t="shared" si="1520"/>
        <v>38</v>
      </c>
      <c r="BO655" s="2910">
        <f t="shared" si="1520"/>
        <v>38</v>
      </c>
      <c r="BP655" s="2945">
        <f t="shared" si="1521"/>
        <v>38</v>
      </c>
      <c r="BQ655" s="2945">
        <f t="shared" si="1521"/>
        <v>38</v>
      </c>
      <c r="BR655" s="2945">
        <f t="shared" si="1521"/>
        <v>38</v>
      </c>
      <c r="BS655" s="2947">
        <f t="shared" si="1521"/>
        <v>38</v>
      </c>
      <c r="BT655" s="2910">
        <f t="shared" si="1521"/>
        <v>38</v>
      </c>
      <c r="BU655" s="2079">
        <f t="shared" si="1521"/>
        <v>38</v>
      </c>
      <c r="BV655" s="2079">
        <f t="shared" si="1521"/>
        <v>38</v>
      </c>
      <c r="BW655" s="2079">
        <f t="shared" si="1521"/>
        <v>38</v>
      </c>
      <c r="BX655" s="2079">
        <f t="shared" si="1521"/>
        <v>38</v>
      </c>
      <c r="BY655" s="3081">
        <f>+BX655</f>
        <v>38</v>
      </c>
      <c r="BZ655" s="2947">
        <f t="shared" si="1521"/>
        <v>38</v>
      </c>
      <c r="CA655" s="2947">
        <f t="shared" si="1521"/>
        <v>38</v>
      </c>
      <c r="CB655" s="2947">
        <f t="shared" si="1522"/>
        <v>38</v>
      </c>
      <c r="CC655" s="2947">
        <f t="shared" si="1522"/>
        <v>38</v>
      </c>
      <c r="CD655" s="2947">
        <f t="shared" si="1522"/>
        <v>38</v>
      </c>
      <c r="CE655" s="2947">
        <f t="shared" si="1522"/>
        <v>38</v>
      </c>
      <c r="CF655" s="2947">
        <f t="shared" si="1522"/>
        <v>38</v>
      </c>
      <c r="CG655" s="331"/>
      <c r="CH655" s="331"/>
      <c r="CI655" s="331"/>
      <c r="CJ655" s="331"/>
      <c r="CK655" s="331"/>
      <c r="CL655" s="2036"/>
      <c r="CM655" s="492"/>
      <c r="CN655" s="492"/>
      <c r="CO655" s="492"/>
      <c r="CP655" s="492"/>
      <c r="CQ655" s="492"/>
      <c r="CR655" s="492"/>
      <c r="CS655" s="492"/>
      <c r="CT655" s="492"/>
      <c r="CU655" s="492"/>
      <c r="CV655" s="492"/>
      <c r="CW655" s="492"/>
      <c r="CX655" s="492"/>
      <c r="CY655" s="492"/>
      <c r="CZ655" s="492"/>
      <c r="DA655" s="492"/>
      <c r="DB655" s="492"/>
      <c r="DC655" s="1311"/>
      <c r="DD655" s="331"/>
      <c r="DE655" s="331"/>
      <c r="DF655" s="502"/>
      <c r="DG655" s="503"/>
      <c r="DH655" s="2909"/>
      <c r="DI655" s="3213"/>
      <c r="DJ655" s="502"/>
      <c r="DK655" s="503"/>
      <c r="DL655" s="502"/>
      <c r="DM655" s="502"/>
      <c r="DN655" s="502"/>
      <c r="DO655" s="502"/>
      <c r="DP655" s="503"/>
      <c r="DQ655" s="503"/>
      <c r="DR655" s="296"/>
      <c r="DS655" s="296"/>
      <c r="DT655" s="296"/>
      <c r="DU655"/>
      <c r="DV655"/>
      <c r="DW655"/>
      <c r="DX655"/>
      <c r="DY655"/>
      <c r="DZ655"/>
    </row>
    <row r="656" spans="1:130" s="1049" customFormat="1" ht="12" customHeight="1" x14ac:dyDescent="0.25">
      <c r="A656" s="2176" t="s">
        <v>2111</v>
      </c>
      <c r="B656" s="428"/>
      <c r="C656" s="492"/>
      <c r="D656" s="492"/>
      <c r="E656" s="492"/>
      <c r="F656" s="492"/>
      <c r="G656" s="348">
        <f>+AVERAGE(G653,B653)</f>
        <v>907</v>
      </c>
      <c r="H656" s="492"/>
      <c r="I656" s="492"/>
      <c r="J656" s="492"/>
      <c r="K656" s="492"/>
      <c r="L656" s="348">
        <f>+AVERAGE(L653,G653)</f>
        <v>907</v>
      </c>
      <c r="M656" s="492"/>
      <c r="N656" s="492"/>
      <c r="O656" s="492"/>
      <c r="P656" s="492"/>
      <c r="Q656" s="348">
        <f>+AVERAGE(Q653,L653)</f>
        <v>907</v>
      </c>
      <c r="R656" s="492"/>
      <c r="S656" s="492"/>
      <c r="T656" s="492"/>
      <c r="U656" s="492"/>
      <c r="V656" s="348">
        <f>+AVERAGE(V653,Q653)</f>
        <v>907</v>
      </c>
      <c r="W656" s="492"/>
      <c r="X656" s="492"/>
      <c r="Y656" s="492"/>
      <c r="Z656" s="492"/>
      <c r="AA656" s="348">
        <f>+AVERAGE(AA653,V653)</f>
        <v>907</v>
      </c>
      <c r="AB656" s="568">
        <f>AVERAGE(AA653:AB653)</f>
        <v>907</v>
      </c>
      <c r="AC656" s="330">
        <f>AVERAGE(AB653:AC653)</f>
        <v>907</v>
      </c>
      <c r="AD656" s="330">
        <f>AVERAGE(AC653:AD653)</f>
        <v>907</v>
      </c>
      <c r="AE656" s="330">
        <f>AVERAGE(AD653:AE653)</f>
        <v>907</v>
      </c>
      <c r="AF656" s="348">
        <f>+AVERAGE(AF653,AA653)</f>
        <v>907</v>
      </c>
      <c r="AG656" s="568">
        <f>AVERAGE(AF653:AG653)</f>
        <v>907</v>
      </c>
      <c r="AH656" s="330">
        <f>AVERAGE(AG653:AH653)</f>
        <v>907</v>
      </c>
      <c r="AI656" s="330">
        <f>AVERAGE(AH653:AI653)</f>
        <v>907</v>
      </c>
      <c r="AJ656" s="330">
        <f>AVERAGE(AI653:AJ653)</f>
        <v>907</v>
      </c>
      <c r="AK656" s="348">
        <f>+AVERAGE(AK653,AF653)</f>
        <v>907</v>
      </c>
      <c r="AL656" s="568">
        <f>AVERAGE(AK653:AL653)</f>
        <v>907</v>
      </c>
      <c r="AM656" s="330">
        <f>AVERAGE(AL653:AM653)</f>
        <v>907</v>
      </c>
      <c r="AN656" s="330">
        <f>AVERAGE(AM653:AN653)</f>
        <v>907</v>
      </c>
      <c r="AO656" s="330">
        <f>AVERAGE(AN653:AO653)</f>
        <v>907</v>
      </c>
      <c r="AP656" s="348">
        <f>+AVERAGE(AP653,AK653)</f>
        <v>975.5</v>
      </c>
      <c r="AQ656" s="568">
        <f>AVERAGE(AP653:AQ653)</f>
        <v>1044</v>
      </c>
      <c r="AR656" s="330">
        <f>AVERAGE(AQ653:AR653)</f>
        <v>1044</v>
      </c>
      <c r="AS656" s="330">
        <f>AVERAGE(AR653:AS653)</f>
        <v>1044</v>
      </c>
      <c r="AT656" s="330">
        <f>AVERAGE(AS653:AT653)</f>
        <v>1044</v>
      </c>
      <c r="AU656" s="348">
        <f>+AVERAGE(AU653,AP653)</f>
        <v>1069.5</v>
      </c>
      <c r="AV656" s="568">
        <f>AVERAGE(AU653:AV653)</f>
        <v>1095</v>
      </c>
      <c r="AW656" s="330">
        <f>AVERAGE(AV653:AW653)</f>
        <v>1095</v>
      </c>
      <c r="AX656" s="330">
        <f>AVERAGE(AW653:AX653)</f>
        <v>1095</v>
      </c>
      <c r="AY656" s="1888">
        <f>AVERAGE(AX653:AY653)</f>
        <v>1095</v>
      </c>
      <c r="AZ656" s="1888">
        <f>+AVERAGE(AZ653,AU653)</f>
        <v>1084</v>
      </c>
      <c r="BA656" s="568">
        <f>AVERAGE(AZ653:BA653)</f>
        <v>1073</v>
      </c>
      <c r="BB656" s="330">
        <f>AVERAGE(BA653:BB653)</f>
        <v>1073</v>
      </c>
      <c r="BC656" s="330">
        <f>AVERAGE(BB653:BC653)</f>
        <v>1073</v>
      </c>
      <c r="BD656" s="1888">
        <f>AVERAGE(BC653:BD653)</f>
        <v>1073</v>
      </c>
      <c r="BE656" s="1888">
        <f>+AVERAGE(BE653,AZ653)</f>
        <v>1072.5</v>
      </c>
      <c r="BF656" s="568">
        <f>AVERAGE(BE653:BF653)</f>
        <v>1072</v>
      </c>
      <c r="BG656" s="330">
        <f>AVERAGE(BF653:BG653)</f>
        <v>1072</v>
      </c>
      <c r="BH656" s="330">
        <f>AVERAGE(BG653:BH653)</f>
        <v>1072</v>
      </c>
      <c r="BI656" s="1888">
        <f>AVERAGE(BH653:BI653)</f>
        <v>1072</v>
      </c>
      <c r="BJ656" s="1888">
        <f>+AVERAGE(BJ653,BE653)</f>
        <v>1072</v>
      </c>
      <c r="BK656" s="330">
        <f>AVERAGE(BJ653:BK653)</f>
        <v>1072</v>
      </c>
      <c r="BL656" s="330">
        <f>AVERAGE(BK653:BL653)</f>
        <v>1072</v>
      </c>
      <c r="BM656" s="330">
        <f>AVERAGE(BL653:BM653)</f>
        <v>1072</v>
      </c>
      <c r="BN656" s="1888">
        <f>AVERAGE(BM653:BN653)</f>
        <v>1072</v>
      </c>
      <c r="BO656" s="1888">
        <f>+AVERAGE(BO653,BJ653)</f>
        <v>1072</v>
      </c>
      <c r="BP656" s="330">
        <f>AVERAGE(BO653:BP653)</f>
        <v>1072</v>
      </c>
      <c r="BQ656" s="330">
        <f>AVERAGE(BP653:BQ653)</f>
        <v>1072</v>
      </c>
      <c r="BR656" s="330">
        <f>AVERAGE(BQ653:BR653)</f>
        <v>1072</v>
      </c>
      <c r="BS656" s="1888">
        <f>AVERAGE(BR653:BS653)</f>
        <v>1072</v>
      </c>
      <c r="BT656" s="2910">
        <f>+AVERAGE(BT653,BO653)</f>
        <v>1072</v>
      </c>
      <c r="BU656" s="2909">
        <f>AVERAGE(BT653:BU653)</f>
        <v>1072</v>
      </c>
      <c r="BV656" s="2909">
        <f>AVERAGE(BU653:BV653)</f>
        <v>1072</v>
      </c>
      <c r="BW656" s="2909">
        <f>AVERAGE(BV653:BW653)</f>
        <v>1072</v>
      </c>
      <c r="BX656" s="2909">
        <f>AVERAGE(BW653:BX653)</f>
        <v>1072</v>
      </c>
      <c r="BY656" s="3081">
        <f>+AVERAGE(BY653,BT653)</f>
        <v>1072</v>
      </c>
      <c r="BZ656" s="1888">
        <f t="shared" ref="BZ656:CF656" si="1523">+AVERAGE(BZ653,BY653)</f>
        <v>1072</v>
      </c>
      <c r="CA656" s="1888">
        <f t="shared" si="1523"/>
        <v>1072</v>
      </c>
      <c r="CB656" s="1888">
        <f t="shared" si="1523"/>
        <v>1072</v>
      </c>
      <c r="CC656" s="1888">
        <f t="shared" si="1523"/>
        <v>1072</v>
      </c>
      <c r="CD656" s="1888">
        <f t="shared" si="1523"/>
        <v>1072</v>
      </c>
      <c r="CE656" s="1888">
        <f t="shared" si="1523"/>
        <v>1072</v>
      </c>
      <c r="CF656" s="1888">
        <f t="shared" si="1523"/>
        <v>1072</v>
      </c>
      <c r="CG656" s="331"/>
      <c r="CH656" s="331"/>
      <c r="CI656" s="331"/>
      <c r="CJ656" s="331"/>
      <c r="CK656" s="331"/>
      <c r="CL656" s="2036"/>
      <c r="CM656" s="492"/>
      <c r="CN656" s="492"/>
      <c r="CO656" s="492"/>
      <c r="CP656" s="492"/>
      <c r="CQ656" s="492"/>
      <c r="CR656" s="492"/>
      <c r="CS656" s="492"/>
      <c r="CT656" s="492"/>
      <c r="CU656" s="492"/>
      <c r="CV656" s="492"/>
      <c r="CW656" s="492"/>
      <c r="CX656" s="492"/>
      <c r="CY656" s="492"/>
      <c r="CZ656" s="492"/>
      <c r="DA656" s="492"/>
      <c r="DB656" s="492"/>
      <c r="DC656" s="1311"/>
      <c r="DD656" s="331"/>
      <c r="DE656" s="331"/>
      <c r="DF656" s="502"/>
      <c r="DG656" s="503"/>
      <c r="DH656" s="2909"/>
      <c r="DI656" s="3213"/>
      <c r="DJ656" s="502"/>
      <c r="DK656" s="503"/>
      <c r="DL656" s="502"/>
      <c r="DM656" s="502"/>
      <c r="DN656" s="502"/>
      <c r="DO656" s="502"/>
      <c r="DP656" s="503"/>
      <c r="DQ656" s="503"/>
      <c r="DR656" s="296"/>
      <c r="DS656" s="296"/>
      <c r="DT656" s="296"/>
      <c r="DU656"/>
      <c r="DV656"/>
      <c r="DW656"/>
      <c r="DX656"/>
      <c r="DY656"/>
      <c r="DZ656"/>
    </row>
    <row r="657" spans="1:130" s="1049" customFormat="1" ht="12" customHeight="1" x14ac:dyDescent="0.25">
      <c r="A657" s="703" t="s">
        <v>901</v>
      </c>
      <c r="B657" s="428"/>
      <c r="C657" s="492"/>
      <c r="D657" s="492"/>
      <c r="E657" s="492"/>
      <c r="F657" s="492"/>
      <c r="G657" s="561">
        <f>(G661*1000000)/G656/G5</f>
        <v>0</v>
      </c>
      <c r="H657" s="492"/>
      <c r="I657" s="492"/>
      <c r="J657" s="492"/>
      <c r="K657" s="492"/>
      <c r="L657" s="561">
        <f>(L661*1000000)/L656/L5</f>
        <v>0</v>
      </c>
      <c r="M657" s="492"/>
      <c r="N657" s="492"/>
      <c r="O657" s="492"/>
      <c r="P657" s="492"/>
      <c r="Q657" s="561">
        <f>(Q661*1000000)/Q656/Q5</f>
        <v>192.71420156771532</v>
      </c>
      <c r="R657" s="492"/>
      <c r="S657" s="492"/>
      <c r="T657" s="492"/>
      <c r="U657" s="492"/>
      <c r="V657" s="561">
        <f>(V661*1000000)/V656/V5</f>
        <v>180.32351119904547</v>
      </c>
      <c r="W657" s="492"/>
      <c r="X657" s="492"/>
      <c r="Y657" s="492"/>
      <c r="Z657" s="492"/>
      <c r="AA657" s="561">
        <f t="shared" ref="AA657:BF657" si="1524">(AA661*1000000)/AA656/AA5</f>
        <v>138.82311830872209</v>
      </c>
      <c r="AB657" s="562">
        <f t="shared" si="1524"/>
        <v>122.45497978684307</v>
      </c>
      <c r="AC657" s="560">
        <f t="shared" si="1524"/>
        <v>106.53403927935349</v>
      </c>
      <c r="AD657" s="560">
        <f t="shared" si="1524"/>
        <v>101.64901011456786</v>
      </c>
      <c r="AE657" s="560">
        <f t="shared" si="1524"/>
        <v>83.421216624322867</v>
      </c>
      <c r="AF657" s="561">
        <f t="shared" si="1524"/>
        <v>103.40275784990409</v>
      </c>
      <c r="AG657" s="562">
        <f t="shared" si="1524"/>
        <v>79.125321572951123</v>
      </c>
      <c r="AH657" s="560">
        <f t="shared" si="1524"/>
        <v>79.079685474393301</v>
      </c>
      <c r="AI657" s="560">
        <f t="shared" si="1524"/>
        <v>71.401179233977274</v>
      </c>
      <c r="AJ657" s="560">
        <f t="shared" si="1524"/>
        <v>80.173529552753919</v>
      </c>
      <c r="AK657" s="561">
        <f t="shared" si="1524"/>
        <v>77.431242542779898</v>
      </c>
      <c r="AL657" s="562">
        <f t="shared" si="1524"/>
        <v>89.70966556413083</v>
      </c>
      <c r="AM657" s="560">
        <f t="shared" si="1524"/>
        <v>116.55378799810995</v>
      </c>
      <c r="AN657" s="560">
        <f t="shared" si="1524"/>
        <v>107.77287761852261</v>
      </c>
      <c r="AO657" s="560">
        <f t="shared" si="1524"/>
        <v>103.42265471453912</v>
      </c>
      <c r="AP657" s="561">
        <f t="shared" si="1524"/>
        <v>97.079825589967911</v>
      </c>
      <c r="AQ657" s="562">
        <f t="shared" si="1524"/>
        <v>106.78497747463264</v>
      </c>
      <c r="AR657" s="560">
        <f t="shared" si="1524"/>
        <v>108.05860805860806</v>
      </c>
      <c r="AS657" s="560">
        <f t="shared" si="1524"/>
        <v>101.62627019823422</v>
      </c>
      <c r="AT657" s="560">
        <f t="shared" si="1524"/>
        <v>94.400716308512372</v>
      </c>
      <c r="AU657" s="561">
        <f t="shared" si="1524"/>
        <v>100.24346191085667</v>
      </c>
      <c r="AV657" s="562">
        <f t="shared" si="1524"/>
        <v>76.823947234906129</v>
      </c>
      <c r="AW657" s="560">
        <f t="shared" si="1524"/>
        <v>111.63630889658286</v>
      </c>
      <c r="AX657" s="560">
        <f t="shared" si="1524"/>
        <v>98.511018463371059</v>
      </c>
      <c r="AY657" s="1878">
        <f t="shared" si="1524"/>
        <v>101.27059757792334</v>
      </c>
      <c r="AZ657" s="1878">
        <f t="shared" si="1524"/>
        <v>98.117070211798008</v>
      </c>
      <c r="BA657" s="562">
        <f t="shared" si="1524"/>
        <v>103.62431396914157</v>
      </c>
      <c r="BB657" s="560">
        <f t="shared" si="1524"/>
        <v>105.24051903362248</v>
      </c>
      <c r="BC657" s="560">
        <f t="shared" si="1524"/>
        <v>96.732039385712554</v>
      </c>
      <c r="BD657" s="1878">
        <f t="shared" si="1524"/>
        <v>116.71866769318042</v>
      </c>
      <c r="BE657" s="1878">
        <f t="shared" si="1524"/>
        <v>105.6397483794744</v>
      </c>
      <c r="BF657" s="562">
        <f t="shared" si="1524"/>
        <v>102.3320895522388</v>
      </c>
      <c r="BG657" s="560">
        <f t="shared" ref="BG657:CF657" si="1525">(BG661*1000000)/BG656/BG5</f>
        <v>115.58963424635067</v>
      </c>
      <c r="BH657" s="560">
        <f t="shared" si="1525"/>
        <v>106.50450194678778</v>
      </c>
      <c r="BI657" s="1878">
        <f t="shared" si="1525"/>
        <v>117.99582251784557</v>
      </c>
      <c r="BJ657" s="1878">
        <f t="shared" si="1525"/>
        <v>110.63719075853609</v>
      </c>
      <c r="BK657" s="560">
        <f t="shared" si="1525"/>
        <v>86.026426931277669</v>
      </c>
      <c r="BL657" s="560">
        <f t="shared" si="1525"/>
        <v>124.25885681482694</v>
      </c>
      <c r="BM657" s="560">
        <f t="shared" si="1525"/>
        <v>119.81756469013627</v>
      </c>
      <c r="BN657" s="1878">
        <f t="shared" si="1525"/>
        <v>132.15532121998703</v>
      </c>
      <c r="BO657" s="1878">
        <f t="shared" si="1525"/>
        <v>115.62149269023733</v>
      </c>
      <c r="BP657" s="560">
        <f t="shared" si="1525"/>
        <v>93.505946828358219</v>
      </c>
      <c r="BQ657" s="560">
        <f t="shared" si="1525"/>
        <v>118.04591397408561</v>
      </c>
      <c r="BR657" s="560">
        <f t="shared" si="1525"/>
        <v>134.79476027640331</v>
      </c>
      <c r="BS657" s="1878">
        <f t="shared" si="1525"/>
        <v>130.83376800778714</v>
      </c>
      <c r="BT657" s="2556">
        <f t="shared" si="1525"/>
        <v>119.43983010503986</v>
      </c>
      <c r="BU657" s="2588">
        <f t="shared" si="1525"/>
        <v>95.376065764925357</v>
      </c>
      <c r="BV657" s="2588">
        <f t="shared" si="1525"/>
        <v>121.58729139330816</v>
      </c>
      <c r="BW657" s="2588">
        <f t="shared" si="1525"/>
        <v>138.83860308469542</v>
      </c>
      <c r="BX657" s="2588">
        <f t="shared" si="1525"/>
        <v>137.37545640817652</v>
      </c>
      <c r="BY657" s="2589">
        <f t="shared" si="1525"/>
        <v>123.45200796980424</v>
      </c>
      <c r="BZ657" s="1878">
        <f t="shared" si="1525"/>
        <v>127.15556820889839</v>
      </c>
      <c r="CA657" s="1878">
        <f t="shared" si="1525"/>
        <v>130.61239308233704</v>
      </c>
      <c r="CB657" s="1878">
        <f t="shared" si="1525"/>
        <v>127.04112819751036</v>
      </c>
      <c r="CC657" s="1878">
        <f t="shared" si="1525"/>
        <v>123.22989435158506</v>
      </c>
      <c r="CD657" s="1878">
        <f t="shared" si="1525"/>
        <v>124.4621932951009</v>
      </c>
      <c r="CE657" s="1878">
        <f t="shared" si="1525"/>
        <v>125.36335398425943</v>
      </c>
      <c r="CF657" s="1878">
        <f t="shared" si="1525"/>
        <v>126.96388338033246</v>
      </c>
      <c r="CG657" s="331"/>
      <c r="CH657" s="331"/>
      <c r="CI657" s="331"/>
      <c r="CJ657" s="331"/>
      <c r="CK657" s="331"/>
      <c r="CL657" s="2036"/>
      <c r="CM657" s="492"/>
      <c r="CN657" s="492"/>
      <c r="CO657" s="492"/>
      <c r="CP657" s="492"/>
      <c r="CQ657" s="492"/>
      <c r="CR657" s="492"/>
      <c r="CS657" s="492"/>
      <c r="CT657" s="492"/>
      <c r="CU657" s="492"/>
      <c r="CV657" s="492"/>
      <c r="CW657" s="492"/>
      <c r="CX657" s="492"/>
      <c r="CY657" s="492"/>
      <c r="CZ657" s="492"/>
      <c r="DA657" s="492"/>
      <c r="DB657" s="492"/>
      <c r="DC657" s="1311"/>
      <c r="DD657" s="331"/>
      <c r="DE657" s="331"/>
      <c r="DF657" s="502"/>
      <c r="DG657" s="503"/>
      <c r="DH657" s="2588"/>
      <c r="DI657" s="3213"/>
      <c r="DJ657" s="502"/>
      <c r="DK657" s="503"/>
      <c r="DL657" s="502"/>
      <c r="DM657" s="502"/>
      <c r="DN657" s="502"/>
      <c r="DO657" s="502"/>
      <c r="DP657" s="503"/>
      <c r="DQ657" s="503"/>
      <c r="DR657" s="296"/>
      <c r="DS657" s="296"/>
      <c r="DT657" s="296"/>
      <c r="DU657"/>
      <c r="DV657"/>
      <c r="DW657"/>
      <c r="DX657"/>
      <c r="DY657"/>
      <c r="DZ657"/>
    </row>
    <row r="658" spans="1:130" s="3021" customFormat="1" ht="12" customHeight="1" x14ac:dyDescent="0.25">
      <c r="A658" s="2239" t="s">
        <v>1491</v>
      </c>
      <c r="B658" s="1185"/>
      <c r="C658" s="469"/>
      <c r="D658" s="469"/>
      <c r="E658" s="469"/>
      <c r="F658" s="469"/>
      <c r="G658" s="470"/>
      <c r="H658" s="469"/>
      <c r="I658" s="469"/>
      <c r="J658" s="469"/>
      <c r="K658" s="469"/>
      <c r="L658" s="470"/>
      <c r="M658" s="469"/>
      <c r="N658" s="469"/>
      <c r="O658" s="469"/>
      <c r="P658" s="469"/>
      <c r="Q658" s="591"/>
      <c r="R658" s="469"/>
      <c r="S658" s="469"/>
      <c r="T658" s="469"/>
      <c r="U658" s="469"/>
      <c r="V658" s="591">
        <f>+V657/Q657-1</f>
        <v>-6.4295678615652219E-2</v>
      </c>
      <c r="W658" s="469"/>
      <c r="X658" s="469"/>
      <c r="Y658" s="469"/>
      <c r="Z658" s="469"/>
      <c r="AA658" s="591">
        <f>+AA657/V657-1</f>
        <v>-0.23014410386294137</v>
      </c>
      <c r="AB658" s="469"/>
      <c r="AC658" s="469"/>
      <c r="AD658" s="469"/>
      <c r="AE658" s="1463"/>
      <c r="AF658" s="591">
        <f t="shared" ref="AF658:BJ658" si="1526">+AF657/AA657-1</f>
        <v>-0.25514741989910028</v>
      </c>
      <c r="AG658" s="469">
        <f t="shared" si="1526"/>
        <v>-0.35384153661464579</v>
      </c>
      <c r="AH658" s="469">
        <f t="shared" si="1526"/>
        <v>-0.25770499260775614</v>
      </c>
      <c r="AI658" s="469">
        <f t="shared" si="1526"/>
        <v>-0.29757132751709514</v>
      </c>
      <c r="AJ658" s="1463">
        <f t="shared" si="1526"/>
        <v>-3.8931188047694243E-2</v>
      </c>
      <c r="AK658" s="1462">
        <f t="shared" si="1526"/>
        <v>-0.25116849731245616</v>
      </c>
      <c r="AL658" s="469">
        <f t="shared" si="1526"/>
        <v>0.13376683697166736</v>
      </c>
      <c r="AM658" s="469">
        <f t="shared" si="1526"/>
        <v>0.47387773862417681</v>
      </c>
      <c r="AN658" s="469">
        <f t="shared" si="1526"/>
        <v>0.5093991272239009</v>
      </c>
      <c r="AO658" s="1463">
        <f t="shared" si="1526"/>
        <v>0.28998505231689164</v>
      </c>
      <c r="AP658" s="591">
        <f t="shared" si="1526"/>
        <v>0.2537552337008202</v>
      </c>
      <c r="AQ658" s="469">
        <f t="shared" si="1526"/>
        <v>0.19033971203799838</v>
      </c>
      <c r="AR658" s="469">
        <f t="shared" si="1526"/>
        <v>-7.2886347886347957E-2</v>
      </c>
      <c r="AS658" s="469">
        <f t="shared" si="1526"/>
        <v>-5.7032971152957246E-2</v>
      </c>
      <c r="AT658" s="1463">
        <f t="shared" si="1526"/>
        <v>-8.7233676518249759E-2</v>
      </c>
      <c r="AU658" s="1462">
        <f t="shared" si="1526"/>
        <v>3.2587989334167844E-2</v>
      </c>
      <c r="AV658" s="469">
        <f t="shared" si="1526"/>
        <v>-0.28057345656924371</v>
      </c>
      <c r="AW658" s="469">
        <f t="shared" si="1526"/>
        <v>3.3108892500580467E-2</v>
      </c>
      <c r="AX658" s="469">
        <f t="shared" si="1526"/>
        <v>-3.065400047435074E-2</v>
      </c>
      <c r="AY658" s="1463">
        <f t="shared" si="1526"/>
        <v>7.2773613782329827E-2</v>
      </c>
      <c r="AZ658" s="1462">
        <f t="shared" si="1526"/>
        <v>-2.1212273184954333E-2</v>
      </c>
      <c r="BA658" s="469">
        <f t="shared" si="1526"/>
        <v>0.34885433121898068</v>
      </c>
      <c r="BB658" s="469">
        <f t="shared" si="1526"/>
        <v>-5.7291305366297007E-2</v>
      </c>
      <c r="BC658" s="469">
        <f t="shared" si="1526"/>
        <v>-1.8058681205493476E-2</v>
      </c>
      <c r="BD658" s="1463">
        <f t="shared" si="1526"/>
        <v>0.15254249984424617</v>
      </c>
      <c r="BE658" s="1462">
        <f t="shared" si="1526"/>
        <v>7.6670432081163309E-2</v>
      </c>
      <c r="BF658" s="469">
        <f t="shared" si="1526"/>
        <v>-1.247028199663236E-2</v>
      </c>
      <c r="BG658" s="469">
        <f t="shared" si="1526"/>
        <v>9.8337743938927469E-2</v>
      </c>
      <c r="BH658" s="469">
        <f t="shared" si="1526"/>
        <v>0.10102611940298489</v>
      </c>
      <c r="BI658" s="1463">
        <f t="shared" si="1526"/>
        <v>1.0942164179104763E-2</v>
      </c>
      <c r="BJ658" s="1462">
        <f t="shared" si="1526"/>
        <v>4.7306458560560927E-2</v>
      </c>
      <c r="BK658" s="469">
        <f t="shared" ref="BK658:BT658" si="1527">+BK657/BF657-1</f>
        <v>-0.15934065934065933</v>
      </c>
      <c r="BL658" s="469">
        <f t="shared" si="1527"/>
        <v>7.4999999999999734E-2</v>
      </c>
      <c r="BM658" s="469">
        <f t="shared" si="1527"/>
        <v>0.125</v>
      </c>
      <c r="BN658" s="1463">
        <f t="shared" si="1527"/>
        <v>0.11999999999999988</v>
      </c>
      <c r="BO658" s="1462">
        <f t="shared" si="1527"/>
        <v>4.5050872112067708E-2</v>
      </c>
      <c r="BP658" s="469">
        <f t="shared" si="1527"/>
        <v>8.6944444444444713E-2</v>
      </c>
      <c r="BQ658" s="469">
        <f t="shared" si="1527"/>
        <v>-4.9999999999999933E-2</v>
      </c>
      <c r="BR658" s="469">
        <f t="shared" si="1527"/>
        <v>0.125</v>
      </c>
      <c r="BS658" s="1463">
        <f t="shared" si="1527"/>
        <v>-1.000000000000012E-2</v>
      </c>
      <c r="BT658" s="1462">
        <f t="shared" si="1527"/>
        <v>3.3024460469752492E-2</v>
      </c>
      <c r="BU658" s="469">
        <f>+BU657/BP657-1</f>
        <v>1.9999999999999796E-2</v>
      </c>
      <c r="BV658" s="469">
        <f>+BV657/BQ657-1</f>
        <v>2.9999999999999805E-2</v>
      </c>
      <c r="BW658" s="469">
        <f>+BW657/BR657-1</f>
        <v>3.0000000000000027E-2</v>
      </c>
      <c r="BX658" s="469">
        <f>+BX657/BS657-1</f>
        <v>5.0000000000000044E-2</v>
      </c>
      <c r="BY658" s="591">
        <f>+BY657/BT657-1</f>
        <v>3.3591624010482324E-2</v>
      </c>
      <c r="BZ658" s="1462">
        <f t="shared" ref="BZ658:CF658" si="1528">+BZ657/BY657-1</f>
        <v>3.0000000000000249E-2</v>
      </c>
      <c r="CA658" s="1462">
        <f t="shared" si="1528"/>
        <v>2.7185792349726956E-2</v>
      </c>
      <c r="CB658" s="1462">
        <f t="shared" si="1528"/>
        <v>-2.7342465753424916E-2</v>
      </c>
      <c r="CC658" s="1462">
        <f t="shared" si="1528"/>
        <v>-2.9999999999999916E-2</v>
      </c>
      <c r="CD658" s="1462">
        <f t="shared" si="1528"/>
        <v>1.0000000000000009E-2</v>
      </c>
      <c r="CE658" s="1462">
        <f t="shared" si="1528"/>
        <v>7.2404371584700034E-3</v>
      </c>
      <c r="CF658" s="1462">
        <f t="shared" si="1528"/>
        <v>1.2767123287671378E-2</v>
      </c>
      <c r="CG658" s="972"/>
      <c r="CH658" s="972"/>
      <c r="CI658" s="972"/>
      <c r="CJ658" s="972"/>
      <c r="CK658" s="972"/>
      <c r="CL658" s="3020"/>
      <c r="CM658" s="469"/>
      <c r="CN658" s="469"/>
      <c r="CO658" s="469"/>
      <c r="CP658" s="469"/>
      <c r="CQ658" s="469"/>
      <c r="CR658" s="469"/>
      <c r="CS658" s="469"/>
      <c r="CT658" s="469"/>
      <c r="CU658" s="469"/>
      <c r="CV658" s="469"/>
      <c r="CW658" s="469"/>
      <c r="CX658" s="469"/>
      <c r="CY658" s="469"/>
      <c r="CZ658" s="469"/>
      <c r="DA658" s="469"/>
      <c r="DB658" s="469"/>
      <c r="DC658" s="1463"/>
      <c r="DD658" s="972"/>
      <c r="DE658" s="972"/>
      <c r="DF658" s="974"/>
      <c r="DG658" s="975"/>
      <c r="DH658" s="519"/>
      <c r="DI658" s="3210"/>
      <c r="DJ658" s="974"/>
      <c r="DK658" s="975"/>
      <c r="DL658" s="974"/>
      <c r="DM658" s="974"/>
      <c r="DN658" s="974"/>
      <c r="DO658" s="974"/>
      <c r="DP658" s="975"/>
      <c r="DQ658" s="975"/>
      <c r="DR658" s="976"/>
      <c r="DS658" s="976"/>
      <c r="DT658" s="976"/>
      <c r="DU658"/>
      <c r="DV658"/>
      <c r="DW658"/>
      <c r="DX658"/>
      <c r="DY658"/>
      <c r="DZ658"/>
    </row>
    <row r="659" spans="1:130" s="1049" customFormat="1" ht="12" customHeight="1" x14ac:dyDescent="0.25">
      <c r="A659" s="428"/>
      <c r="B659" s="428"/>
      <c r="C659" s="492"/>
      <c r="D659" s="492"/>
      <c r="E659" s="492"/>
      <c r="F659" s="492"/>
      <c r="G659" s="493"/>
      <c r="H659" s="492"/>
      <c r="I659" s="492"/>
      <c r="J659" s="492"/>
      <c r="K659" s="492"/>
      <c r="L659" s="493"/>
      <c r="M659" s="492"/>
      <c r="N659" s="492"/>
      <c r="O659" s="492"/>
      <c r="P659" s="492"/>
      <c r="Q659" s="493"/>
      <c r="R659" s="492"/>
      <c r="S659" s="492"/>
      <c r="T659" s="492"/>
      <c r="U659" s="492"/>
      <c r="V659" s="493"/>
      <c r="W659" s="492"/>
      <c r="X659" s="492"/>
      <c r="Y659" s="492"/>
      <c r="Z659" s="492"/>
      <c r="AA659" s="493"/>
      <c r="AB659" s="492"/>
      <c r="AC659" s="492"/>
      <c r="AD659" s="492"/>
      <c r="AE659" s="492"/>
      <c r="AF659" s="493"/>
      <c r="AG659" s="492"/>
      <c r="AH659" s="492"/>
      <c r="AI659" s="492"/>
      <c r="AJ659" s="492"/>
      <c r="AK659" s="493"/>
      <c r="AL659" s="492"/>
      <c r="AM659" s="492"/>
      <c r="AN659" s="492"/>
      <c r="AO659" s="492"/>
      <c r="AP659" s="493"/>
      <c r="AQ659" s="494"/>
      <c r="AR659" s="492"/>
      <c r="AS659" s="492"/>
      <c r="AT659" s="492"/>
      <c r="AU659" s="493"/>
      <c r="AV659" s="494"/>
      <c r="AW659" s="492"/>
      <c r="AX659" s="492"/>
      <c r="AY659" s="1311"/>
      <c r="AZ659" s="493"/>
      <c r="BA659" s="494"/>
      <c r="BB659" s="492"/>
      <c r="BC659" s="492"/>
      <c r="BD659" s="1311"/>
      <c r="BE659" s="1311"/>
      <c r="BF659" s="492"/>
      <c r="BG659" s="492"/>
      <c r="BH659" s="492"/>
      <c r="BI659" s="492"/>
      <c r="BJ659" s="493"/>
      <c r="BK659" s="492"/>
      <c r="BL659" s="492"/>
      <c r="BM659" s="492"/>
      <c r="BN659" s="492"/>
      <c r="BO659" s="493"/>
      <c r="BP659" s="492"/>
      <c r="BQ659" s="492"/>
      <c r="BR659" s="492"/>
      <c r="BS659" s="1311"/>
      <c r="BT659" s="2950"/>
      <c r="BU659" s="2653"/>
      <c r="BV659" s="2653"/>
      <c r="BW659" s="2653"/>
      <c r="BX659" s="2653"/>
      <c r="BY659" s="2693"/>
      <c r="BZ659" s="493"/>
      <c r="CA659" s="493"/>
      <c r="CB659" s="493"/>
      <c r="CC659" s="493"/>
      <c r="CD659" s="493"/>
      <c r="CE659" s="493"/>
      <c r="CF659" s="493"/>
      <c r="CG659" s="331"/>
      <c r="CH659" s="331"/>
      <c r="CI659" s="331"/>
      <c r="CJ659" s="331"/>
      <c r="CK659" s="331"/>
      <c r="CL659" s="2036"/>
      <c r="CM659" s="492"/>
      <c r="CN659" s="492"/>
      <c r="CO659" s="492"/>
      <c r="CP659" s="492"/>
      <c r="CQ659" s="492"/>
      <c r="CR659" s="492"/>
      <c r="CS659" s="492"/>
      <c r="CT659" s="492"/>
      <c r="CU659" s="492"/>
      <c r="CV659" s="492"/>
      <c r="CW659" s="492"/>
      <c r="CX659" s="492"/>
      <c r="CY659" s="492"/>
      <c r="CZ659" s="492"/>
      <c r="DA659" s="492"/>
      <c r="DB659" s="492"/>
      <c r="DC659" s="1311"/>
      <c r="DD659" s="331"/>
      <c r="DE659" s="331"/>
      <c r="DF659" s="502"/>
      <c r="DG659" s="503"/>
      <c r="DH659" s="2653"/>
      <c r="DI659" s="3213"/>
      <c r="DJ659" s="502"/>
      <c r="DK659" s="503"/>
      <c r="DL659" s="502"/>
      <c r="DM659" s="502"/>
      <c r="DN659" s="502"/>
      <c r="DO659" s="502"/>
      <c r="DP659" s="503"/>
      <c r="DQ659" s="503"/>
      <c r="DR659" s="296"/>
      <c r="DS659" s="296"/>
      <c r="DT659" s="296"/>
      <c r="DU659"/>
      <c r="DV659"/>
      <c r="DW659"/>
      <c r="DX659"/>
      <c r="DY659"/>
      <c r="DZ659"/>
    </row>
    <row r="660" spans="1:130" s="1049" customFormat="1" ht="12" customHeight="1" x14ac:dyDescent="0.25">
      <c r="A660" s="1070" t="s">
        <v>2284</v>
      </c>
      <c r="B660" s="428"/>
      <c r="C660" s="492"/>
      <c r="D660" s="492"/>
      <c r="E660" s="492"/>
      <c r="F660" s="492"/>
      <c r="G660" s="493"/>
      <c r="H660" s="492"/>
      <c r="I660" s="492"/>
      <c r="J660" s="492"/>
      <c r="K660" s="492"/>
      <c r="L660" s="493"/>
      <c r="M660" s="492"/>
      <c r="N660" s="492"/>
      <c r="O660" s="492"/>
      <c r="P660" s="492"/>
      <c r="Q660" s="493"/>
      <c r="R660" s="492"/>
      <c r="S660" s="492"/>
      <c r="T660" s="492"/>
      <c r="U660" s="492"/>
      <c r="V660" s="493"/>
      <c r="W660" s="492"/>
      <c r="X660" s="492"/>
      <c r="Y660" s="2653"/>
      <c r="Z660" s="492"/>
      <c r="AA660" s="493"/>
      <c r="AB660" s="492"/>
      <c r="AC660" s="492"/>
      <c r="AD660" s="492"/>
      <c r="AE660" s="492"/>
      <c r="AF660" s="493"/>
      <c r="AG660" s="492"/>
      <c r="AH660" s="492"/>
      <c r="AI660" s="492"/>
      <c r="AJ660" s="492"/>
      <c r="AK660" s="493"/>
      <c r="AL660" s="492"/>
      <c r="AM660" s="492"/>
      <c r="AN660" s="492"/>
      <c r="AO660" s="492"/>
      <c r="AP660" s="494"/>
      <c r="AQ660" s="494"/>
      <c r="AR660" s="492"/>
      <c r="AS660" s="492"/>
      <c r="AT660" s="492"/>
      <c r="AU660" s="493"/>
      <c r="AV660" s="494"/>
      <c r="AW660" s="492"/>
      <c r="AX660" s="492"/>
      <c r="AY660" s="1311"/>
      <c r="AZ660" s="493"/>
      <c r="BA660" s="494"/>
      <c r="BB660" s="492"/>
      <c r="BC660" s="492"/>
      <c r="BD660" s="1311"/>
      <c r="BE660" s="1311"/>
      <c r="BF660" s="492"/>
      <c r="BG660" s="492"/>
      <c r="BH660" s="492"/>
      <c r="BI660" s="492"/>
      <c r="BJ660" s="493"/>
      <c r="BK660" s="492"/>
      <c r="BL660" s="492"/>
      <c r="BM660" s="492"/>
      <c r="BN660" s="492"/>
      <c r="BO660" s="493"/>
      <c r="BP660" s="492"/>
      <c r="BQ660" s="492"/>
      <c r="BR660" s="492"/>
      <c r="BS660" s="1311"/>
      <c r="BT660" s="2950"/>
      <c r="BU660" s="2653"/>
      <c r="BV660" s="2653"/>
      <c r="BW660" s="2653"/>
      <c r="BX660" s="2653"/>
      <c r="BY660" s="2693"/>
      <c r="BZ660" s="493"/>
      <c r="CA660" s="493"/>
      <c r="CB660" s="493"/>
      <c r="CC660" s="493"/>
      <c r="CD660" s="493"/>
      <c r="CE660" s="493"/>
      <c r="CF660" s="493"/>
      <c r="CG660" s="331"/>
      <c r="CH660" s="331"/>
      <c r="CI660" s="331"/>
      <c r="CJ660" s="331"/>
      <c r="CK660" s="331"/>
      <c r="CL660" s="2036"/>
      <c r="CM660" s="492"/>
      <c r="CN660" s="492"/>
      <c r="CO660" s="492"/>
      <c r="CP660" s="492"/>
      <c r="CQ660" s="492"/>
      <c r="CR660" s="492"/>
      <c r="CS660" s="492"/>
      <c r="CT660" s="492"/>
      <c r="CU660" s="492"/>
      <c r="CV660" s="492"/>
      <c r="CW660" s="492"/>
      <c r="CX660" s="492"/>
      <c r="CY660" s="492"/>
      <c r="CZ660" s="492"/>
      <c r="DA660" s="492"/>
      <c r="DB660" s="492"/>
      <c r="DC660" s="1311"/>
      <c r="DD660" s="331"/>
      <c r="DE660" s="331"/>
      <c r="DF660" s="502"/>
      <c r="DG660" s="503"/>
      <c r="DH660" s="2653"/>
      <c r="DI660" s="3213"/>
      <c r="DJ660" s="502"/>
      <c r="DK660" s="503"/>
      <c r="DL660" s="502"/>
      <c r="DM660" s="502"/>
      <c r="DN660" s="502"/>
      <c r="DO660" s="502"/>
      <c r="DP660" s="503"/>
      <c r="DQ660" s="503"/>
      <c r="DR660" s="296"/>
      <c r="DS660" s="296"/>
      <c r="DT660" s="296"/>
      <c r="DU660"/>
      <c r="DV660"/>
      <c r="DW660"/>
      <c r="DX660"/>
      <c r="DY660"/>
      <c r="DZ660"/>
    </row>
    <row r="661" spans="1:130" s="1049" customFormat="1" ht="12" customHeight="1" x14ac:dyDescent="0.25">
      <c r="A661" s="705" t="s">
        <v>730</v>
      </c>
      <c r="B661" s="428"/>
      <c r="C661" s="492"/>
      <c r="D661" s="492"/>
      <c r="E661" s="492"/>
      <c r="F661" s="492"/>
      <c r="G661" s="493"/>
      <c r="H661" s="492"/>
      <c r="I661" s="492"/>
      <c r="J661" s="492"/>
      <c r="K661" s="492"/>
      <c r="L661" s="493"/>
      <c r="M661" s="492"/>
      <c r="N661" s="492"/>
      <c r="O661" s="492"/>
      <c r="P661" s="492"/>
      <c r="Q661" s="2982">
        <v>63.798999999999999</v>
      </c>
      <c r="R661" s="492"/>
      <c r="S661" s="492"/>
      <c r="T661" s="492"/>
      <c r="U661" s="492"/>
      <c r="V661" s="2982">
        <v>59.697000000000003</v>
      </c>
      <c r="W661" s="492"/>
      <c r="X661" s="492"/>
      <c r="Y661" s="492"/>
      <c r="Z661" s="2962">
        <f>46.084-36.544</f>
        <v>9.5400000000000063</v>
      </c>
      <c r="AA661" s="2982">
        <v>46.084000000000003</v>
      </c>
      <c r="AB661" s="2986">
        <v>9.9960000000000004</v>
      </c>
      <c r="AC661" s="2962">
        <v>8.7929999999999993</v>
      </c>
      <c r="AD661" s="2962">
        <v>8.4819999999999993</v>
      </c>
      <c r="AE661" s="2989">
        <f>+AF661-SUM(AB661:AD661)</f>
        <v>6.9609999999999985</v>
      </c>
      <c r="AF661" s="2982">
        <f>15.443+18.789</f>
        <v>34.231999999999999</v>
      </c>
      <c r="AG661" s="2986">
        <v>6.4589999999999996</v>
      </c>
      <c r="AH661" s="2962">
        <v>6.5270000000000001</v>
      </c>
      <c r="AI661" s="2962">
        <v>5.9580000000000002</v>
      </c>
      <c r="AJ661" s="2989">
        <f>+AK661-SUM(AG661:AI661)</f>
        <v>6.6899999999999977</v>
      </c>
      <c r="AK661" s="2982">
        <v>25.634</v>
      </c>
      <c r="AL661" s="2986">
        <v>7.3230000000000004</v>
      </c>
      <c r="AM661" s="2962">
        <v>9.6199999999999992</v>
      </c>
      <c r="AN661" s="2962">
        <v>8.9930000000000003</v>
      </c>
      <c r="AO661" s="2989">
        <f>+AP661-SUM(AL661:AN661)</f>
        <v>8.6300000000000026</v>
      </c>
      <c r="AP661" s="2982">
        <v>34.566000000000003</v>
      </c>
      <c r="AQ661" s="2986">
        <v>10.145</v>
      </c>
      <c r="AR661" s="2962">
        <v>10.266</v>
      </c>
      <c r="AS661" s="2962">
        <v>9.7609999999999992</v>
      </c>
      <c r="AT661" s="2989">
        <f>+AU661-SUM(AQ661:AS661)</f>
        <v>9.0669999999999966</v>
      </c>
      <c r="AU661" s="2982">
        <v>39.238999999999997</v>
      </c>
      <c r="AV661" s="2986">
        <v>7.5709999999999997</v>
      </c>
      <c r="AW661" s="2962">
        <v>11.124000000000001</v>
      </c>
      <c r="AX661" s="2962">
        <v>9.9239999999999995</v>
      </c>
      <c r="AY661" s="3010">
        <f>+AZ661-SUM(AV661:AX661)</f>
        <v>10.201999999999998</v>
      </c>
      <c r="AZ661" s="2965">
        <v>38.820999999999998</v>
      </c>
      <c r="BA661" s="2986">
        <v>10.007</v>
      </c>
      <c r="BB661" s="2962">
        <v>10.276</v>
      </c>
      <c r="BC661" s="2962">
        <v>9.5489999999999995</v>
      </c>
      <c r="BD661" s="2989">
        <f>+BE661-SUM(BA661:BC661)</f>
        <v>11.521999999999998</v>
      </c>
      <c r="BE661" s="2965">
        <v>41.353999999999999</v>
      </c>
      <c r="BF661" s="2986">
        <v>9.8729999999999993</v>
      </c>
      <c r="BG661" s="2962">
        <v>11.276</v>
      </c>
      <c r="BH661" s="450">
        <f>+BC661*(1+BH662)</f>
        <v>10.5039</v>
      </c>
      <c r="BI661" s="450">
        <f>+BD661*(1+BI662)</f>
        <v>11.637219999999999</v>
      </c>
      <c r="BJ661" s="3023">
        <f>SUM(BF661:BI661)</f>
        <v>43.290120000000002</v>
      </c>
      <c r="BK661" s="450">
        <f>+BF661*(1+BK662)</f>
        <v>8.3920499999999993</v>
      </c>
      <c r="BL661" s="450">
        <f>+BG661*(1+BL662)</f>
        <v>12.121699999999999</v>
      </c>
      <c r="BM661" s="450">
        <f>+BH661*(1+BM662)</f>
        <v>11.8168875</v>
      </c>
      <c r="BN661" s="450">
        <f>+BI661*(1+BN662)</f>
        <v>13.033686400000001</v>
      </c>
      <c r="BO661" s="3023">
        <f>SUM(BK661:BN661)</f>
        <v>45.364323899999995</v>
      </c>
      <c r="BP661" s="450">
        <f>+BK661*(1+BP662)</f>
        <v>9.0214537499999992</v>
      </c>
      <c r="BQ661" s="450">
        <f>+BL661*(1+BQ662)</f>
        <v>11.515614999999999</v>
      </c>
      <c r="BR661" s="450">
        <f>+BM661*(1+BR662)</f>
        <v>13.293998437500001</v>
      </c>
      <c r="BS661" s="1861">
        <f>+BN661*(1+BS662)</f>
        <v>12.903349536</v>
      </c>
      <c r="BT661" s="2989">
        <f>SUM(BP661:BS661)</f>
        <v>46.734416723499997</v>
      </c>
      <c r="BU661" s="2671">
        <f>+BP661*(1+BU662)</f>
        <v>9.2018828249999984</v>
      </c>
      <c r="BV661" s="2671">
        <f>+BQ661*(1+BV662)</f>
        <v>11.861083449999999</v>
      </c>
      <c r="BW661" s="2671">
        <f>+BR661*(1+BW662)</f>
        <v>13.692818390625002</v>
      </c>
      <c r="BX661" s="2671">
        <f>+BS661*(1+BX662)</f>
        <v>13.548517012800001</v>
      </c>
      <c r="BY661" s="3023">
        <f>SUM(BU661:BX661)</f>
        <v>48.304301678425006</v>
      </c>
      <c r="BZ661" s="2989">
        <f t="shared" ref="BZ661:CF661" si="1529">+BY661*(1+BZ662)</f>
        <v>49.753430728777758</v>
      </c>
      <c r="CA661" s="2989">
        <f t="shared" si="1529"/>
        <v>51.246033650641095</v>
      </c>
      <c r="CB661" s="2989">
        <f t="shared" si="1529"/>
        <v>49.708652641121859</v>
      </c>
      <c r="CC661" s="2989">
        <f t="shared" si="1529"/>
        <v>48.217393061888203</v>
      </c>
      <c r="CD661" s="2989">
        <f t="shared" si="1529"/>
        <v>48.699566992507087</v>
      </c>
      <c r="CE661" s="2989">
        <f t="shared" si="1529"/>
        <v>49.186562662432159</v>
      </c>
      <c r="CF661" s="2989">
        <f t="shared" si="1529"/>
        <v>49.678428289056484</v>
      </c>
      <c r="CG661" s="331"/>
      <c r="CH661" s="331"/>
      <c r="CI661" s="331"/>
      <c r="CJ661" s="331"/>
      <c r="CK661" s="331"/>
      <c r="CL661" s="2036"/>
      <c r="CM661" s="492"/>
      <c r="CN661" s="492"/>
      <c r="CO661" s="492"/>
      <c r="CP661" s="492"/>
      <c r="CQ661" s="492"/>
      <c r="CR661" s="492"/>
      <c r="CS661" s="492"/>
      <c r="CT661" s="492"/>
      <c r="CU661" s="492"/>
      <c r="CV661" s="492"/>
      <c r="CW661" s="492"/>
      <c r="CX661" s="492"/>
      <c r="CY661" s="492"/>
      <c r="CZ661" s="492"/>
      <c r="DA661" s="492"/>
      <c r="DB661" s="492"/>
      <c r="DC661" s="1311"/>
      <c r="DD661" s="331"/>
      <c r="DE661" s="331"/>
      <c r="DF661" s="502"/>
      <c r="DG661" s="503"/>
      <c r="DH661" s="2671"/>
      <c r="DI661" s="3213"/>
      <c r="DJ661" s="502"/>
      <c r="DK661" s="503"/>
      <c r="DL661" s="502"/>
      <c r="DM661" s="502"/>
      <c r="DN661" s="502"/>
      <c r="DO661" s="502"/>
      <c r="DP661" s="503"/>
      <c r="DQ661" s="503"/>
      <c r="DR661" s="296"/>
      <c r="DS661" s="296"/>
      <c r="DT661" s="296"/>
      <c r="DU661"/>
      <c r="DV661"/>
      <c r="DW661"/>
      <c r="DX661"/>
      <c r="DY661"/>
      <c r="DZ661"/>
    </row>
    <row r="662" spans="1:130" s="1049" customFormat="1" ht="12" customHeight="1" x14ac:dyDescent="0.25">
      <c r="A662" s="718" t="s">
        <v>236</v>
      </c>
      <c r="B662" s="428"/>
      <c r="C662" s="492"/>
      <c r="D662" s="492"/>
      <c r="E662" s="492"/>
      <c r="F662" s="492"/>
      <c r="G662" s="493"/>
      <c r="H662" s="492"/>
      <c r="I662" s="492"/>
      <c r="J662" s="492"/>
      <c r="K662" s="492"/>
      <c r="L662" s="493"/>
      <c r="M662" s="492"/>
      <c r="N662" s="492"/>
      <c r="O662" s="492"/>
      <c r="P662" s="492"/>
      <c r="Q662" s="591"/>
      <c r="R662" s="492"/>
      <c r="S662" s="492"/>
      <c r="T662" s="492"/>
      <c r="U662" s="492"/>
      <c r="V662" s="591">
        <f>+V661/Q661-1</f>
        <v>-6.4295678615652219E-2</v>
      </c>
      <c r="W662" s="492"/>
      <c r="X662" s="492"/>
      <c r="Y662" s="492"/>
      <c r="Z662" s="519"/>
      <c r="AA662" s="591">
        <f t="shared" ref="AA662:BG662" si="1530">+AA661/V661-1</f>
        <v>-0.22803490962694939</v>
      </c>
      <c r="AB662" s="1618"/>
      <c r="AC662" s="519"/>
      <c r="AD662" s="519"/>
      <c r="AE662" s="1462">
        <f t="shared" si="1530"/>
        <v>-0.27033542976939262</v>
      </c>
      <c r="AF662" s="1462">
        <f t="shared" si="1530"/>
        <v>-0.25718253623817389</v>
      </c>
      <c r="AG662" s="1618">
        <f t="shared" si="1530"/>
        <v>-0.3538415366146459</v>
      </c>
      <c r="AH662" s="519">
        <f t="shared" si="1530"/>
        <v>-0.25770499260775614</v>
      </c>
      <c r="AI662" s="519">
        <f t="shared" si="1530"/>
        <v>-0.29757132751709492</v>
      </c>
      <c r="AJ662" s="1462">
        <f t="shared" si="1530"/>
        <v>-3.8931188047694465E-2</v>
      </c>
      <c r="AK662" s="1462">
        <f t="shared" si="1530"/>
        <v>-0.25116849731245616</v>
      </c>
      <c r="AL662" s="1618">
        <f t="shared" si="1530"/>
        <v>0.13376683697166758</v>
      </c>
      <c r="AM662" s="519">
        <f t="shared" si="1530"/>
        <v>0.47387773862417637</v>
      </c>
      <c r="AN662" s="519">
        <f t="shared" si="1530"/>
        <v>0.50939912722390068</v>
      </c>
      <c r="AO662" s="1462">
        <f t="shared" si="1530"/>
        <v>0.28998505231689164</v>
      </c>
      <c r="AP662" s="1462">
        <f t="shared" si="1530"/>
        <v>0.34844347351174232</v>
      </c>
      <c r="AQ662" s="1618">
        <f t="shared" si="1530"/>
        <v>0.38536119076881037</v>
      </c>
      <c r="AR662" s="519">
        <f t="shared" si="1530"/>
        <v>6.7151767151767183E-2</v>
      </c>
      <c r="AS662" s="519">
        <f t="shared" si="1530"/>
        <v>8.539975536528388E-2</v>
      </c>
      <c r="AT662" s="1462">
        <f t="shared" si="1530"/>
        <v>5.0637311703359611E-2</v>
      </c>
      <c r="AU662" s="1462">
        <f t="shared" si="1530"/>
        <v>0.13519064977145145</v>
      </c>
      <c r="AV662" s="1618">
        <f t="shared" si="1530"/>
        <v>-0.25372104484967961</v>
      </c>
      <c r="AW662" s="519">
        <f t="shared" si="1530"/>
        <v>8.3576855639976744E-2</v>
      </c>
      <c r="AX662" s="519">
        <f t="shared" si="1530"/>
        <v>1.6699108697879383E-2</v>
      </c>
      <c r="AY662" s="1462">
        <f t="shared" si="1530"/>
        <v>0.12517922135215631</v>
      </c>
      <c r="AZ662" s="1462">
        <f t="shared" si="1530"/>
        <v>-1.0652666989474757E-2</v>
      </c>
      <c r="BA662" s="1618">
        <f t="shared" si="1530"/>
        <v>0.32175406155065378</v>
      </c>
      <c r="BB662" s="519">
        <f t="shared" si="1530"/>
        <v>-7.6231571377202489E-2</v>
      </c>
      <c r="BC662" s="519">
        <f t="shared" si="1530"/>
        <v>-3.7787182587666224E-2</v>
      </c>
      <c r="BD662" s="1462">
        <f t="shared" si="1530"/>
        <v>0.12938639482454417</v>
      </c>
      <c r="BE662" s="1462">
        <f t="shared" si="1530"/>
        <v>6.5248190412405593E-2</v>
      </c>
      <c r="BF662" s="1618">
        <f t="shared" si="1530"/>
        <v>-1.3390626561407104E-2</v>
      </c>
      <c r="BG662" s="519">
        <f t="shared" si="1530"/>
        <v>9.7314130011677769E-2</v>
      </c>
      <c r="BH662" s="3022">
        <v>0.1</v>
      </c>
      <c r="BI662" s="3022">
        <v>0.01</v>
      </c>
      <c r="BJ662" s="591">
        <f>+BJ661/BE661-1</f>
        <v>4.6818203801325176E-2</v>
      </c>
      <c r="BK662" s="3022">
        <v>-0.15</v>
      </c>
      <c r="BL662" s="3022">
        <v>7.4999999999999997E-2</v>
      </c>
      <c r="BM662" s="3022">
        <v>0.125</v>
      </c>
      <c r="BN662" s="3022">
        <v>0.12</v>
      </c>
      <c r="BO662" s="591">
        <f>+BO661/BJ661-1</f>
        <v>4.7914025186347242E-2</v>
      </c>
      <c r="BP662" s="3022">
        <v>7.4999999999999997E-2</v>
      </c>
      <c r="BQ662" s="3022">
        <v>-0.05</v>
      </c>
      <c r="BR662" s="3022">
        <v>0.125</v>
      </c>
      <c r="BS662" s="3208">
        <v>-0.01</v>
      </c>
      <c r="BT662" s="1462">
        <f>+BT661/BO661-1</f>
        <v>3.020198926628348E-2</v>
      </c>
      <c r="BU662" s="540">
        <v>0.02</v>
      </c>
      <c r="BV662" s="540">
        <v>0.03</v>
      </c>
      <c r="BW662" s="540">
        <v>0.03</v>
      </c>
      <c r="BX662" s="540">
        <v>0.05</v>
      </c>
      <c r="BY662" s="591">
        <f>+BY661/BT661-1</f>
        <v>3.3591624010482324E-2</v>
      </c>
      <c r="BZ662" s="2991">
        <v>0.03</v>
      </c>
      <c r="CA662" s="2991">
        <v>0.03</v>
      </c>
      <c r="CB662" s="539">
        <v>-0.03</v>
      </c>
      <c r="CC662" s="539">
        <v>-0.03</v>
      </c>
      <c r="CD662" s="539">
        <v>0.01</v>
      </c>
      <c r="CE662" s="539">
        <v>0.01</v>
      </c>
      <c r="CF662" s="539">
        <v>0.01</v>
      </c>
      <c r="CG662" s="331"/>
      <c r="CH662" s="331"/>
      <c r="CI662" s="331"/>
      <c r="CJ662" s="331"/>
      <c r="CK662" s="331"/>
      <c r="CL662" s="2036"/>
      <c r="CM662" s="492"/>
      <c r="CN662" s="492"/>
      <c r="CO662" s="492"/>
      <c r="CP662" s="492"/>
      <c r="CQ662" s="492"/>
      <c r="CR662" s="492"/>
      <c r="CS662" s="492"/>
      <c r="CT662" s="492"/>
      <c r="CU662" s="492"/>
      <c r="CV662" s="492"/>
      <c r="CW662" s="492"/>
      <c r="CX662" s="492"/>
      <c r="CY662" s="492"/>
      <c r="CZ662" s="492"/>
      <c r="DA662" s="492"/>
      <c r="DB662" s="492"/>
      <c r="DC662" s="1311"/>
      <c r="DD662" s="331"/>
      <c r="DE662" s="331"/>
      <c r="DF662" s="502"/>
      <c r="DG662" s="503"/>
      <c r="DH662" s="519"/>
      <c r="DI662" s="3213"/>
      <c r="DJ662" s="502"/>
      <c r="DK662" s="503"/>
      <c r="DL662" s="502"/>
      <c r="DM662" s="502"/>
      <c r="DN662" s="502"/>
      <c r="DO662" s="502"/>
      <c r="DP662" s="503"/>
      <c r="DQ662" s="503"/>
      <c r="DR662" s="296"/>
      <c r="DS662" s="296"/>
      <c r="DT662" s="296"/>
      <c r="DU662"/>
      <c r="DV662"/>
      <c r="DW662"/>
      <c r="DX662"/>
      <c r="DY662"/>
      <c r="DZ662"/>
    </row>
    <row r="663" spans="1:130" s="1049" customFormat="1" ht="3.95" customHeight="1" x14ac:dyDescent="0.25">
      <c r="A663" s="705"/>
      <c r="B663" s="428"/>
      <c r="C663" s="492"/>
      <c r="D663" s="492"/>
      <c r="E663" s="492"/>
      <c r="F663" s="492"/>
      <c r="G663" s="493"/>
      <c r="H663" s="492"/>
      <c r="I663" s="492"/>
      <c r="J663" s="492"/>
      <c r="K663" s="492"/>
      <c r="L663" s="493"/>
      <c r="M663" s="492"/>
      <c r="N663" s="492"/>
      <c r="O663" s="492"/>
      <c r="P663" s="492"/>
      <c r="Q663" s="2982"/>
      <c r="R663" s="492"/>
      <c r="S663" s="492"/>
      <c r="T663" s="492"/>
      <c r="U663" s="492"/>
      <c r="V663" s="2982"/>
      <c r="W663" s="492"/>
      <c r="X663" s="492"/>
      <c r="Y663" s="492"/>
      <c r="Z663" s="2962"/>
      <c r="AA663" s="2982"/>
      <c r="AB663" s="2986"/>
      <c r="AC663" s="2962"/>
      <c r="AD663" s="2962"/>
      <c r="AE663" s="2989"/>
      <c r="AF663" s="2982"/>
      <c r="AG663" s="2986"/>
      <c r="AH663" s="2962"/>
      <c r="AI663" s="2962"/>
      <c r="AJ663" s="2989"/>
      <c r="AK663" s="2982"/>
      <c r="AL663" s="2986"/>
      <c r="AM663" s="2962"/>
      <c r="AN663" s="2962"/>
      <c r="AO663" s="2989"/>
      <c r="AP663" s="2982"/>
      <c r="AQ663" s="2986"/>
      <c r="AR663" s="2962"/>
      <c r="AS663" s="2962"/>
      <c r="AT663" s="2989"/>
      <c r="AU663" s="2982"/>
      <c r="AV663" s="2986"/>
      <c r="AW663" s="2962"/>
      <c r="AX663" s="2962"/>
      <c r="AY663" s="2989"/>
      <c r="AZ663" s="2965"/>
      <c r="BA663" s="2986"/>
      <c r="BB663" s="2962"/>
      <c r="BC663" s="2962"/>
      <c r="BD663" s="2989"/>
      <c r="BE663" s="2965"/>
      <c r="BF663" s="2986"/>
      <c r="BG663" s="2962"/>
      <c r="BH663" s="492"/>
      <c r="BI663" s="492"/>
      <c r="BJ663" s="3023"/>
      <c r="BK663" s="492"/>
      <c r="BL663" s="492"/>
      <c r="BM663" s="492"/>
      <c r="BN663" s="492"/>
      <c r="BO663" s="3023"/>
      <c r="BP663" s="492"/>
      <c r="BQ663" s="492"/>
      <c r="BR663" s="492"/>
      <c r="BS663" s="1311"/>
      <c r="BT663" s="2989"/>
      <c r="BU663" s="2653"/>
      <c r="BV663" s="2653"/>
      <c r="BW663" s="2653"/>
      <c r="BX663" s="2653"/>
      <c r="BY663" s="3023"/>
      <c r="BZ663" s="2989"/>
      <c r="CA663" s="2989"/>
      <c r="CB663" s="2989"/>
      <c r="CC663" s="2989"/>
      <c r="CD663" s="2989"/>
      <c r="CE663" s="2989"/>
      <c r="CF663" s="2989"/>
      <c r="CG663" s="331"/>
      <c r="CH663" s="331"/>
      <c r="CI663" s="331"/>
      <c r="CJ663" s="331"/>
      <c r="CK663" s="331"/>
      <c r="CL663" s="2036"/>
      <c r="CM663" s="492"/>
      <c r="CN663" s="492"/>
      <c r="CO663" s="492"/>
      <c r="CP663" s="492"/>
      <c r="CQ663" s="492"/>
      <c r="CR663" s="492"/>
      <c r="CS663" s="492"/>
      <c r="CT663" s="492"/>
      <c r="CU663" s="492"/>
      <c r="CV663" s="492"/>
      <c r="CW663" s="492"/>
      <c r="CX663" s="492"/>
      <c r="CY663" s="492"/>
      <c r="CZ663" s="492"/>
      <c r="DA663" s="492"/>
      <c r="DB663" s="492"/>
      <c r="DC663" s="1311"/>
      <c r="DD663" s="331"/>
      <c r="DE663" s="331"/>
      <c r="DF663" s="502"/>
      <c r="DG663" s="503"/>
      <c r="DH663" s="2671"/>
      <c r="DI663" s="3213"/>
      <c r="DJ663" s="502"/>
      <c r="DK663" s="503"/>
      <c r="DL663" s="502"/>
      <c r="DM663" s="502"/>
      <c r="DN663" s="502"/>
      <c r="DO663" s="502"/>
      <c r="DP663" s="503"/>
      <c r="DQ663" s="503"/>
      <c r="DR663" s="296"/>
      <c r="DS663" s="296"/>
      <c r="DT663" s="296"/>
      <c r="DU663"/>
      <c r="DV663"/>
      <c r="DW663"/>
      <c r="DX663"/>
      <c r="DY663"/>
      <c r="DZ663"/>
    </row>
    <row r="664" spans="1:130" s="1049" customFormat="1" ht="12" customHeight="1" x14ac:dyDescent="0.25">
      <c r="A664" s="2841" t="s">
        <v>1596</v>
      </c>
      <c r="B664" s="428"/>
      <c r="C664" s="492"/>
      <c r="D664" s="492"/>
      <c r="E664" s="492"/>
      <c r="F664" s="492"/>
      <c r="G664" s="493"/>
      <c r="H664" s="492"/>
      <c r="I664" s="492"/>
      <c r="J664" s="492"/>
      <c r="K664" s="492"/>
      <c r="L664" s="493"/>
      <c r="M664" s="492"/>
      <c r="N664" s="492"/>
      <c r="O664" s="492"/>
      <c r="P664" s="492"/>
      <c r="Q664" s="2983">
        <v>52.993000000000002</v>
      </c>
      <c r="R664" s="492"/>
      <c r="S664" s="492"/>
      <c r="T664" s="492"/>
      <c r="U664" s="492"/>
      <c r="V664" s="2983">
        <v>57.213999999999999</v>
      </c>
      <c r="W664" s="492"/>
      <c r="X664" s="492"/>
      <c r="Y664" s="492"/>
      <c r="Z664" s="2941">
        <f>38.722-31.999</f>
        <v>6.7230000000000025</v>
      </c>
      <c r="AA664" s="2983">
        <v>38.722000000000001</v>
      </c>
      <c r="AB664" s="2973">
        <v>6.5949999999999998</v>
      </c>
      <c r="AC664" s="2941">
        <v>5.8250000000000002</v>
      </c>
      <c r="AD664" s="2941">
        <v>5.8209999999999997</v>
      </c>
      <c r="AE664" s="2911">
        <f>+AF664-SUM(AB664:AD664)</f>
        <v>4.9750000000000014</v>
      </c>
      <c r="AF664" s="2983">
        <f>10.796+12.42</f>
        <v>23.216000000000001</v>
      </c>
      <c r="AG664" s="2973">
        <v>4.3730000000000002</v>
      </c>
      <c r="AH664" s="2941">
        <v>5.1230000000000002</v>
      </c>
      <c r="AI664" s="2941">
        <v>5.1150000000000002</v>
      </c>
      <c r="AJ664" s="2911">
        <f>+AK664-SUM(AG664:AI664)</f>
        <v>5.2029999999999994</v>
      </c>
      <c r="AK664" s="2983">
        <v>19.814</v>
      </c>
      <c r="AL664" s="2973">
        <v>6.41</v>
      </c>
      <c r="AM664" s="2941">
        <v>8.51</v>
      </c>
      <c r="AN664" s="2941">
        <v>8.9160000000000004</v>
      </c>
      <c r="AO664" s="2911">
        <f>+AP664-SUM(AL664:AN664)</f>
        <v>7.5970000000000013</v>
      </c>
      <c r="AP664" s="2983">
        <v>31.433</v>
      </c>
      <c r="AQ664" s="2973">
        <v>8.6240000000000006</v>
      </c>
      <c r="AR664" s="2941">
        <v>10.215999999999999</v>
      </c>
      <c r="AS664" s="2941">
        <v>8.9269999999999996</v>
      </c>
      <c r="AT664" s="2911">
        <f>+AU664-SUM(AQ664:AS664)</f>
        <v>7.8460000000000001</v>
      </c>
      <c r="AU664" s="2983">
        <v>35.613</v>
      </c>
      <c r="AV664" s="2973">
        <v>8.84</v>
      </c>
      <c r="AW664" s="2941">
        <v>11.116</v>
      </c>
      <c r="AX664" s="2941">
        <v>10.622</v>
      </c>
      <c r="AY664" s="2911">
        <f>+AZ664-SUM(AV664:AX664)</f>
        <v>10.012000000000004</v>
      </c>
      <c r="AZ664" s="2944">
        <v>40.590000000000003</v>
      </c>
      <c r="BA664" s="2973">
        <v>12.141</v>
      </c>
      <c r="BB664" s="2941">
        <v>12.683</v>
      </c>
      <c r="BC664" s="2941">
        <v>11.433999999999999</v>
      </c>
      <c r="BD664" s="2911">
        <f>+BE664-SUM(BA664:BC664)</f>
        <v>10.980000000000004</v>
      </c>
      <c r="BE664" s="2944">
        <v>47.238</v>
      </c>
      <c r="BF664" s="2973">
        <v>12.617000000000001</v>
      </c>
      <c r="BG664" s="2941">
        <v>12.958</v>
      </c>
      <c r="BH664" s="476">
        <f>+BC664*(1+BH665)</f>
        <v>12.005699999999999</v>
      </c>
      <c r="BI664" s="476">
        <f>+BD664*(1+BI665)</f>
        <v>11.529000000000005</v>
      </c>
      <c r="BJ664" s="3024">
        <f>SUM(BF664:BI664)</f>
        <v>49.109700000000004</v>
      </c>
      <c r="BK664" s="476">
        <f>+BF664*(1+BK665)</f>
        <v>14.131040000000002</v>
      </c>
      <c r="BL664" s="476">
        <f>+BG664*(1+BL665)</f>
        <v>14.57775</v>
      </c>
      <c r="BM664" s="476">
        <f>+BH664*(1+BM665)</f>
        <v>13.5064125</v>
      </c>
      <c r="BN664" s="476">
        <f>+BI664*(1+BN665)</f>
        <v>12.681900000000006</v>
      </c>
      <c r="BO664" s="3024">
        <f>SUM(BK664:BN664)</f>
        <v>54.89710250000001</v>
      </c>
      <c r="BP664" s="476">
        <f>+BK664*(1+BP665)</f>
        <v>15.544144000000005</v>
      </c>
      <c r="BQ664" s="476">
        <f>+BL664*(1+BQ665)</f>
        <v>14.723527499999999</v>
      </c>
      <c r="BR664" s="476">
        <f>+BM664*(1+BR665)</f>
        <v>14.181733125000001</v>
      </c>
      <c r="BS664" s="682">
        <f>+BN664*(1+BS665)</f>
        <v>12.301443000000006</v>
      </c>
      <c r="BT664" s="2990">
        <f>SUM(BP664:BS664)</f>
        <v>56.750847625000013</v>
      </c>
      <c r="BU664" s="2577">
        <f>+BP664*(1+BU665)</f>
        <v>15.699585440000005</v>
      </c>
      <c r="BV664" s="2577">
        <f>+BQ664*(1+BV665)</f>
        <v>15.165233324999999</v>
      </c>
      <c r="BW664" s="2577">
        <f>+BR664*(1+BW665)</f>
        <v>14.607185118750001</v>
      </c>
      <c r="BX664" s="2577">
        <f>+BS664*(1+BX665)</f>
        <v>12.916515150000007</v>
      </c>
      <c r="BY664" s="3024">
        <f>SUM(BU664:BX664)</f>
        <v>58.388519033750015</v>
      </c>
      <c r="BZ664" s="2990">
        <f t="shared" ref="BZ664:CF664" si="1531">+BY664*(1+BZ665)</f>
        <v>59.556289414425017</v>
      </c>
      <c r="CA664" s="2990">
        <f t="shared" si="1531"/>
        <v>60.747415202713519</v>
      </c>
      <c r="CB664" s="2990">
        <f t="shared" si="1531"/>
        <v>58.924992746632114</v>
      </c>
      <c r="CC664" s="2990">
        <f t="shared" si="1531"/>
        <v>57.157242964233149</v>
      </c>
      <c r="CD664" s="2990">
        <f t="shared" si="1531"/>
        <v>57.728815393875479</v>
      </c>
      <c r="CE664" s="2990">
        <f t="shared" si="1531"/>
        <v>58.306103547814232</v>
      </c>
      <c r="CF664" s="2990">
        <f t="shared" si="1531"/>
        <v>58.889164583292377</v>
      </c>
      <c r="CG664" s="331"/>
      <c r="CH664" s="331"/>
      <c r="CI664" s="331"/>
      <c r="CJ664" s="331"/>
      <c r="CK664" s="331"/>
      <c r="CL664" s="2036"/>
      <c r="CM664" s="492"/>
      <c r="CN664" s="492"/>
      <c r="CO664" s="492"/>
      <c r="CP664" s="492"/>
      <c r="CQ664" s="492"/>
      <c r="CR664" s="492"/>
      <c r="CS664" s="492"/>
      <c r="CT664" s="492"/>
      <c r="CU664" s="492"/>
      <c r="CV664" s="492"/>
      <c r="CW664" s="492"/>
      <c r="CX664" s="492"/>
      <c r="CY664" s="492"/>
      <c r="CZ664" s="492"/>
      <c r="DA664" s="492"/>
      <c r="DB664" s="492"/>
      <c r="DC664" s="1311"/>
      <c r="DD664" s="331"/>
      <c r="DE664" s="331"/>
      <c r="DF664" s="502"/>
      <c r="DG664" s="503"/>
      <c r="DH664" s="3300"/>
      <c r="DI664" s="3213"/>
      <c r="DJ664" s="502"/>
      <c r="DK664" s="503"/>
      <c r="DL664" s="502"/>
      <c r="DM664" s="502"/>
      <c r="DN664" s="502"/>
      <c r="DO664" s="502"/>
      <c r="DP664" s="503"/>
      <c r="DQ664" s="503"/>
      <c r="DR664" s="296"/>
      <c r="DS664" s="296"/>
      <c r="DT664" s="296"/>
      <c r="DU664"/>
      <c r="DV664"/>
      <c r="DW664"/>
      <c r="DX664"/>
      <c r="DY664"/>
      <c r="DZ664"/>
    </row>
    <row r="665" spans="1:130" s="1049" customFormat="1" ht="12" customHeight="1" x14ac:dyDescent="0.25">
      <c r="A665" s="718" t="s">
        <v>236</v>
      </c>
      <c r="B665" s="428"/>
      <c r="C665" s="492"/>
      <c r="D665" s="492"/>
      <c r="E665" s="492"/>
      <c r="F665" s="492"/>
      <c r="G665" s="493"/>
      <c r="H665" s="492"/>
      <c r="I665" s="492"/>
      <c r="J665" s="492"/>
      <c r="K665" s="492"/>
      <c r="L665" s="493"/>
      <c r="M665" s="492"/>
      <c r="N665" s="492"/>
      <c r="O665" s="492"/>
      <c r="P665" s="492"/>
      <c r="Q665" s="591"/>
      <c r="R665" s="492"/>
      <c r="S665" s="492"/>
      <c r="T665" s="492"/>
      <c r="U665" s="492"/>
      <c r="V665" s="591">
        <f>+V664/Q664-1</f>
        <v>7.9652029513331835E-2</v>
      </c>
      <c r="W665" s="492"/>
      <c r="X665" s="492"/>
      <c r="Y665" s="492"/>
      <c r="Z665" s="519"/>
      <c r="AA665" s="591">
        <f>+AA664/V664-1</f>
        <v>-0.32320760652987024</v>
      </c>
      <c r="AB665" s="1618"/>
      <c r="AC665" s="519"/>
      <c r="AD665" s="519"/>
      <c r="AE665" s="1462">
        <f>+AE664/Z664-1</f>
        <v>-0.26000297486241264</v>
      </c>
      <c r="AF665" s="1462">
        <f t="shared" ref="AF665:BG665" si="1532">+AF664/AA664-1</f>
        <v>-0.40044419193223491</v>
      </c>
      <c r="AG665" s="1618">
        <f t="shared" si="1532"/>
        <v>-0.33692191053828657</v>
      </c>
      <c r="AH665" s="519">
        <f t="shared" si="1532"/>
        <v>-0.12051502145922743</v>
      </c>
      <c r="AI665" s="519">
        <f t="shared" si="1532"/>
        <v>-0.1212850025768768</v>
      </c>
      <c r="AJ665" s="1462">
        <f t="shared" si="1532"/>
        <v>4.5829145728642828E-2</v>
      </c>
      <c r="AK665" s="1462">
        <f t="shared" si="1532"/>
        <v>-0.14653687112336322</v>
      </c>
      <c r="AL665" s="1618">
        <f t="shared" si="1532"/>
        <v>0.46581294305968446</v>
      </c>
      <c r="AM665" s="519">
        <f t="shared" si="1532"/>
        <v>0.66113605309389012</v>
      </c>
      <c r="AN665" s="519">
        <f t="shared" si="1532"/>
        <v>0.74310850439882703</v>
      </c>
      <c r="AO665" s="1462">
        <f t="shared" si="1532"/>
        <v>0.46011916202191094</v>
      </c>
      <c r="AP665" s="1462">
        <f t="shared" si="1532"/>
        <v>0.58640355304330272</v>
      </c>
      <c r="AQ665" s="1618">
        <f t="shared" si="1532"/>
        <v>0.34539781591263652</v>
      </c>
      <c r="AR665" s="519">
        <f t="shared" si="1532"/>
        <v>0.20047003525264384</v>
      </c>
      <c r="AS665" s="519">
        <f t="shared" si="1532"/>
        <v>1.2337371018393828E-3</v>
      </c>
      <c r="AT665" s="1462">
        <f t="shared" si="1532"/>
        <v>3.2776095827300011E-2</v>
      </c>
      <c r="AU665" s="1462">
        <f t="shared" si="1532"/>
        <v>0.13298126173130154</v>
      </c>
      <c r="AV665" s="1618">
        <f t="shared" si="1532"/>
        <v>2.5046382189239269E-2</v>
      </c>
      <c r="AW665" s="519">
        <f t="shared" si="1532"/>
        <v>8.8097102584181686E-2</v>
      </c>
      <c r="AX665" s="519">
        <f t="shared" si="1532"/>
        <v>0.18987341772151911</v>
      </c>
      <c r="AY665" s="1462">
        <f t="shared" si="1532"/>
        <v>0.2760642365536583</v>
      </c>
      <c r="AZ665" s="1462">
        <f t="shared" si="1532"/>
        <v>0.13975233762951733</v>
      </c>
      <c r="BA665" s="1618">
        <f t="shared" si="1532"/>
        <v>0.37341628959276019</v>
      </c>
      <c r="BB665" s="519">
        <f t="shared" si="1532"/>
        <v>0.14096797409139983</v>
      </c>
      <c r="BC665" s="519">
        <f t="shared" si="1532"/>
        <v>7.6445113914517027E-2</v>
      </c>
      <c r="BD665" s="1462">
        <f t="shared" si="1532"/>
        <v>9.6683979224930106E-2</v>
      </c>
      <c r="BE665" s="1462">
        <f t="shared" si="1532"/>
        <v>0.16378418329637823</v>
      </c>
      <c r="BF665" s="1618">
        <f t="shared" si="1532"/>
        <v>3.9205996211185257E-2</v>
      </c>
      <c r="BG665" s="519">
        <f t="shared" si="1532"/>
        <v>2.1682567215958404E-2</v>
      </c>
      <c r="BH665" s="3022">
        <v>0.05</v>
      </c>
      <c r="BI665" s="3022">
        <v>0.05</v>
      </c>
      <c r="BJ665" s="591">
        <f>+BJ664/BE664-1</f>
        <v>3.9622761336212564E-2</v>
      </c>
      <c r="BK665" s="3022">
        <v>0.12</v>
      </c>
      <c r="BL665" s="3022">
        <v>0.125</v>
      </c>
      <c r="BM665" s="3022">
        <v>0.125</v>
      </c>
      <c r="BN665" s="3022">
        <v>0.1</v>
      </c>
      <c r="BO665" s="591">
        <f>+BO664/BJ664-1</f>
        <v>0.11784642341533358</v>
      </c>
      <c r="BP665" s="3022">
        <v>0.1</v>
      </c>
      <c r="BQ665" s="3022">
        <v>0.01</v>
      </c>
      <c r="BR665" s="3022">
        <v>0.05</v>
      </c>
      <c r="BS665" s="3208">
        <v>-0.03</v>
      </c>
      <c r="BT665" s="1462">
        <f>+BT664/BO664-1</f>
        <v>3.3767631451951496E-2</v>
      </c>
      <c r="BU665" s="540">
        <v>0.01</v>
      </c>
      <c r="BV665" s="540">
        <v>0.03</v>
      </c>
      <c r="BW665" s="540">
        <v>0.03</v>
      </c>
      <c r="BX665" s="540">
        <v>0.05</v>
      </c>
      <c r="BY665" s="591">
        <f>+BY664/BT664-1</f>
        <v>2.8857214954240984E-2</v>
      </c>
      <c r="BZ665" s="2991">
        <v>0.02</v>
      </c>
      <c r="CA665" s="2991">
        <v>0.02</v>
      </c>
      <c r="CB665" s="539">
        <v>-0.03</v>
      </c>
      <c r="CC665" s="539">
        <v>-0.03</v>
      </c>
      <c r="CD665" s="539">
        <v>0.01</v>
      </c>
      <c r="CE665" s="539">
        <v>0.01</v>
      </c>
      <c r="CF665" s="539">
        <v>0.01</v>
      </c>
      <c r="CG665" s="331"/>
      <c r="CH665" s="331"/>
      <c r="CI665" s="331"/>
      <c r="CJ665" s="331"/>
      <c r="CK665" s="331"/>
      <c r="CL665" s="2036"/>
      <c r="CM665" s="492"/>
      <c r="CN665" s="492"/>
      <c r="CO665" s="492"/>
      <c r="CP665" s="492"/>
      <c r="CQ665" s="492"/>
      <c r="CR665" s="492"/>
      <c r="CS665" s="492"/>
      <c r="CT665" s="492"/>
      <c r="CU665" s="492"/>
      <c r="CV665" s="492"/>
      <c r="CW665" s="492"/>
      <c r="CX665" s="492"/>
      <c r="CY665" s="492"/>
      <c r="CZ665" s="492"/>
      <c r="DA665" s="492"/>
      <c r="DB665" s="492"/>
      <c r="DC665" s="1311"/>
      <c r="DD665" s="331"/>
      <c r="DE665" s="331"/>
      <c r="DF665" s="502"/>
      <c r="DG665" s="503"/>
      <c r="DH665" s="519"/>
      <c r="DI665" s="3213"/>
      <c r="DJ665" s="502"/>
      <c r="DK665" s="503"/>
      <c r="DL665" s="502"/>
      <c r="DM665" s="502"/>
      <c r="DN665" s="502"/>
      <c r="DO665" s="502"/>
      <c r="DP665" s="503"/>
      <c r="DQ665" s="503"/>
      <c r="DR665" s="296"/>
      <c r="DS665" s="296"/>
      <c r="DT665" s="296"/>
      <c r="DU665"/>
      <c r="DV665"/>
      <c r="DW665"/>
      <c r="DX665"/>
      <c r="DY665"/>
      <c r="DZ665"/>
    </row>
    <row r="666" spans="1:130" s="1049" customFormat="1" ht="3.95" customHeight="1" x14ac:dyDescent="0.25">
      <c r="A666" s="705"/>
      <c r="B666" s="428"/>
      <c r="C666" s="492"/>
      <c r="D666" s="492"/>
      <c r="E666" s="492"/>
      <c r="F666" s="492"/>
      <c r="G666" s="493"/>
      <c r="H666" s="492"/>
      <c r="I666" s="492"/>
      <c r="J666" s="492"/>
      <c r="K666" s="492"/>
      <c r="L666" s="493"/>
      <c r="M666" s="492"/>
      <c r="N666" s="492"/>
      <c r="O666" s="492"/>
      <c r="P666" s="492"/>
      <c r="Q666" s="2982"/>
      <c r="R666" s="492"/>
      <c r="S666" s="492"/>
      <c r="T666" s="492"/>
      <c r="U666" s="492"/>
      <c r="V666" s="2982"/>
      <c r="W666" s="492"/>
      <c r="X666" s="492"/>
      <c r="Y666" s="492"/>
      <c r="Z666" s="2962"/>
      <c r="AA666" s="2982"/>
      <c r="AB666" s="2986"/>
      <c r="AC666" s="2962"/>
      <c r="AD666" s="2962"/>
      <c r="AE666" s="2989"/>
      <c r="AF666" s="2982"/>
      <c r="AG666" s="2986"/>
      <c r="AH666" s="2962"/>
      <c r="AI666" s="2962"/>
      <c r="AJ666" s="2989"/>
      <c r="AK666" s="2982"/>
      <c r="AL666" s="2986"/>
      <c r="AM666" s="2962"/>
      <c r="AN666" s="2962"/>
      <c r="AO666" s="2989"/>
      <c r="AP666" s="2982"/>
      <c r="AQ666" s="2986"/>
      <c r="AR666" s="2962"/>
      <c r="AS666" s="2962"/>
      <c r="AT666" s="2989"/>
      <c r="AU666" s="2982"/>
      <c r="AV666" s="2986"/>
      <c r="AW666" s="2962"/>
      <c r="AX666" s="2962"/>
      <c r="AY666" s="2989"/>
      <c r="AZ666" s="2965"/>
      <c r="BA666" s="2986"/>
      <c r="BB666" s="2962"/>
      <c r="BC666" s="2962"/>
      <c r="BD666" s="2989"/>
      <c r="BE666" s="2965"/>
      <c r="BF666" s="2986"/>
      <c r="BG666" s="2962"/>
      <c r="BH666" s="492"/>
      <c r="BI666" s="492"/>
      <c r="BJ666" s="3023"/>
      <c r="BK666" s="492"/>
      <c r="BL666" s="492"/>
      <c r="BM666" s="492"/>
      <c r="BN666" s="492"/>
      <c r="BO666" s="3023"/>
      <c r="BP666" s="492"/>
      <c r="BQ666" s="492"/>
      <c r="BR666" s="492"/>
      <c r="BS666" s="1311"/>
      <c r="BT666" s="2989"/>
      <c r="BU666" s="2653"/>
      <c r="BV666" s="2653"/>
      <c r="BW666" s="2653"/>
      <c r="BX666" s="2653"/>
      <c r="BY666" s="3023"/>
      <c r="BZ666" s="2989"/>
      <c r="CA666" s="2989"/>
      <c r="CB666" s="2989"/>
      <c r="CC666" s="2989"/>
      <c r="CD666" s="2989"/>
      <c r="CE666" s="2989"/>
      <c r="CF666" s="2989"/>
      <c r="CG666" s="331"/>
      <c r="CH666" s="331"/>
      <c r="CI666" s="331"/>
      <c r="CJ666" s="331"/>
      <c r="CK666" s="331"/>
      <c r="CL666" s="2036"/>
      <c r="CM666" s="492"/>
      <c r="CN666" s="492"/>
      <c r="CO666" s="492"/>
      <c r="CP666" s="492"/>
      <c r="CQ666" s="492"/>
      <c r="CR666" s="492"/>
      <c r="CS666" s="492"/>
      <c r="CT666" s="492"/>
      <c r="CU666" s="492"/>
      <c r="CV666" s="492"/>
      <c r="CW666" s="492"/>
      <c r="CX666" s="492"/>
      <c r="CY666" s="492"/>
      <c r="CZ666" s="492"/>
      <c r="DA666" s="492"/>
      <c r="DB666" s="492"/>
      <c r="DC666" s="1311"/>
      <c r="DD666" s="331"/>
      <c r="DE666" s="331"/>
      <c r="DF666" s="502"/>
      <c r="DG666" s="503"/>
      <c r="DH666" s="2671"/>
      <c r="DI666" s="3213"/>
      <c r="DJ666" s="502"/>
      <c r="DK666" s="503"/>
      <c r="DL666" s="502"/>
      <c r="DM666" s="502"/>
      <c r="DN666" s="502"/>
      <c r="DO666" s="502"/>
      <c r="DP666" s="503"/>
      <c r="DQ666" s="503"/>
      <c r="DR666" s="296"/>
      <c r="DS666" s="296"/>
      <c r="DT666" s="296"/>
      <c r="DU666"/>
      <c r="DV666"/>
      <c r="DW666"/>
      <c r="DX666"/>
      <c r="DY666"/>
      <c r="DZ666"/>
    </row>
    <row r="667" spans="1:130" s="1049" customFormat="1" ht="12" customHeight="1" x14ac:dyDescent="0.25">
      <c r="A667" s="2841" t="s">
        <v>2297</v>
      </c>
      <c r="B667" s="428"/>
      <c r="C667" s="492"/>
      <c r="D667" s="492"/>
      <c r="E667" s="492"/>
      <c r="F667" s="492"/>
      <c r="G667" s="493"/>
      <c r="H667" s="492"/>
      <c r="I667" s="492"/>
      <c r="J667" s="492"/>
      <c r="K667" s="492"/>
      <c r="L667" s="493"/>
      <c r="M667" s="492"/>
      <c r="N667" s="492"/>
      <c r="O667" s="492"/>
      <c r="P667" s="492"/>
      <c r="Q667" s="2983">
        <v>20.72</v>
      </c>
      <c r="R667" s="492"/>
      <c r="S667" s="492"/>
      <c r="T667" s="492"/>
      <c r="U667" s="492"/>
      <c r="V667" s="2983">
        <v>25.399000000000001</v>
      </c>
      <c r="W667" s="492"/>
      <c r="X667" s="492"/>
      <c r="Y667" s="492"/>
      <c r="Z667" s="2941">
        <f>21.465-17.088</f>
        <v>4.3769999999999989</v>
      </c>
      <c r="AA667" s="2983">
        <v>21.465</v>
      </c>
      <c r="AB667" s="2973">
        <v>4.8789999999999996</v>
      </c>
      <c r="AC667" s="2941">
        <v>4.6260000000000003</v>
      </c>
      <c r="AD667" s="2941">
        <v>4.4829999999999997</v>
      </c>
      <c r="AE667" s="2911">
        <f>+AF667-SUM(AB667:AD667)</f>
        <v>2.9830000000000005</v>
      </c>
      <c r="AF667" s="2983">
        <f>7.466+9.505</f>
        <v>16.971</v>
      </c>
      <c r="AG667" s="2973">
        <v>2.5830000000000002</v>
      </c>
      <c r="AH667" s="2941">
        <v>2.9319999999999999</v>
      </c>
      <c r="AI667" s="2941">
        <v>3.1749999999999998</v>
      </c>
      <c r="AJ667" s="2911">
        <f>+AK667-SUM(AG667:AI667)</f>
        <v>3.3589999999999982</v>
      </c>
      <c r="AK667" s="2983">
        <v>12.048999999999999</v>
      </c>
      <c r="AL667" s="2973">
        <v>3.976</v>
      </c>
      <c r="AM667" s="2941">
        <v>7.5339999999999998</v>
      </c>
      <c r="AN667" s="2941">
        <v>7.8230000000000004</v>
      </c>
      <c r="AO667" s="2911">
        <f>+AP667-SUM(AL667:AN667)</f>
        <v>5.5150000000000006</v>
      </c>
      <c r="AP667" s="2983">
        <v>24.847999999999999</v>
      </c>
      <c r="AQ667" s="2973">
        <v>6.2919999999999998</v>
      </c>
      <c r="AR667" s="2941">
        <v>6.5780000000000003</v>
      </c>
      <c r="AS667" s="2941">
        <v>5.5949999999999998</v>
      </c>
      <c r="AT667" s="2911">
        <f>+AU667-SUM(AQ667:AS667)</f>
        <v>4.472999999999999</v>
      </c>
      <c r="AU667" s="2983">
        <v>22.937999999999999</v>
      </c>
      <c r="AV667" s="2973">
        <v>5.415</v>
      </c>
      <c r="AW667" s="2941">
        <v>6.2880000000000003</v>
      </c>
      <c r="AX667" s="2941">
        <v>5.7220000000000004</v>
      </c>
      <c r="AY667" s="2911">
        <f>+AZ667-SUM(AV667:AX667)</f>
        <v>5.5069999999999979</v>
      </c>
      <c r="AZ667" s="2944">
        <v>22.931999999999999</v>
      </c>
      <c r="BA667" s="2973">
        <v>6.2969999999999997</v>
      </c>
      <c r="BB667" s="2941">
        <v>7.1159999999999997</v>
      </c>
      <c r="BC667" s="2941">
        <v>6.7450000000000001</v>
      </c>
      <c r="BD667" s="2911">
        <f>+BE667-SUM(BA667:BC667)</f>
        <v>6.2519999999999989</v>
      </c>
      <c r="BE667" s="2944">
        <v>26.41</v>
      </c>
      <c r="BF667" s="2973">
        <v>6.8970000000000002</v>
      </c>
      <c r="BG667" s="2941">
        <v>7.7190000000000003</v>
      </c>
      <c r="BH667" s="476">
        <f>+BC667*(1+BH668)</f>
        <v>7.2846000000000002</v>
      </c>
      <c r="BI667" s="476">
        <f>+BD667*(1+BI668)</f>
        <v>5.6267999999999994</v>
      </c>
      <c r="BJ667" s="3024">
        <f>SUM(BF667:BI667)</f>
        <v>27.5274</v>
      </c>
      <c r="BK667" s="476">
        <f>+BF667*(1+BK668)</f>
        <v>5.8624499999999999</v>
      </c>
      <c r="BL667" s="476">
        <f>+BG667*(1+BL668)</f>
        <v>7.3330500000000001</v>
      </c>
      <c r="BM667" s="476">
        <f>+BH667*(1+BM668)</f>
        <v>7.8309449999999998</v>
      </c>
      <c r="BN667" s="476">
        <f>+BI667*(1+BN668)</f>
        <v>5.9644079999999997</v>
      </c>
      <c r="BO667" s="3024">
        <f>SUM(BK667:BN667)</f>
        <v>26.990852999999998</v>
      </c>
      <c r="BP667" s="476">
        <f>+BK667*(1+BP668)</f>
        <v>6.1555724999999999</v>
      </c>
      <c r="BQ667" s="476">
        <f>+BL667*(1+BQ668)</f>
        <v>7.1497237499999997</v>
      </c>
      <c r="BR667" s="476">
        <f>+BM667*(1+BR668)</f>
        <v>10.1802285</v>
      </c>
      <c r="BS667" s="682">
        <f>+BN667*(1+BS668)</f>
        <v>7.1572895999999995</v>
      </c>
      <c r="BT667" s="2990">
        <f>SUM(BP667:BS667)</f>
        <v>30.642814349999998</v>
      </c>
      <c r="BU667" s="2577">
        <f>+BP667*(1+BU668)</f>
        <v>7.0789083749999993</v>
      </c>
      <c r="BV667" s="2577">
        <f>+BQ667*(1+BV668)</f>
        <v>8.2221823124999993</v>
      </c>
      <c r="BW667" s="2577">
        <f>+BR667*(1+BW668)</f>
        <v>11.707262774999998</v>
      </c>
      <c r="BX667" s="2577">
        <f>+BS667*(1+BX668)</f>
        <v>8.5887475199999983</v>
      </c>
      <c r="BY667" s="3024">
        <f>SUM(BU667:BX667)</f>
        <v>35.597100982499995</v>
      </c>
      <c r="BZ667" s="2990">
        <f t="shared" ref="BZ667:CF667" si="1533">+BY667*(1+BZ668)</f>
        <v>37.376956031624999</v>
      </c>
      <c r="CA667" s="2990">
        <f t="shared" si="1533"/>
        <v>39.245803833206253</v>
      </c>
      <c r="CB667" s="2990">
        <f t="shared" si="1533"/>
        <v>38.068429718210062</v>
      </c>
      <c r="CC667" s="2990">
        <f t="shared" si="1533"/>
        <v>36.926376826663763</v>
      </c>
      <c r="CD667" s="2990">
        <f t="shared" si="1533"/>
        <v>37.295640594930397</v>
      </c>
      <c r="CE667" s="2990">
        <f t="shared" si="1533"/>
        <v>37.6685970008797</v>
      </c>
      <c r="CF667" s="2990">
        <f t="shared" si="1533"/>
        <v>38.045282970888501</v>
      </c>
      <c r="CG667" s="331"/>
      <c r="CH667" s="331"/>
      <c r="CI667" s="331"/>
      <c r="CJ667" s="331"/>
      <c r="CK667" s="331"/>
      <c r="CL667" s="2036"/>
      <c r="CM667" s="492"/>
      <c r="CN667" s="492"/>
      <c r="CO667" s="492"/>
      <c r="CP667" s="492"/>
      <c r="CQ667" s="492"/>
      <c r="CR667" s="492"/>
      <c r="CS667" s="492"/>
      <c r="CT667" s="492"/>
      <c r="CU667" s="492"/>
      <c r="CV667" s="492"/>
      <c r="CW667" s="492"/>
      <c r="CX667" s="492"/>
      <c r="CY667" s="492"/>
      <c r="CZ667" s="492"/>
      <c r="DA667" s="492"/>
      <c r="DB667" s="492"/>
      <c r="DC667" s="1311"/>
      <c r="DD667" s="331"/>
      <c r="DE667" s="331"/>
      <c r="DF667" s="502"/>
      <c r="DG667" s="503"/>
      <c r="DH667" s="3300"/>
      <c r="DI667" s="3213"/>
      <c r="DJ667" s="502"/>
      <c r="DK667" s="503"/>
      <c r="DL667" s="502"/>
      <c r="DM667" s="502"/>
      <c r="DN667" s="502"/>
      <c r="DO667" s="502"/>
      <c r="DP667" s="503"/>
      <c r="DQ667" s="503"/>
      <c r="DR667" s="296"/>
      <c r="DS667" s="296"/>
      <c r="DT667" s="296"/>
      <c r="DU667"/>
      <c r="DV667"/>
      <c r="DW667"/>
      <c r="DX667"/>
      <c r="DY667"/>
      <c r="DZ667"/>
    </row>
    <row r="668" spans="1:130" s="1049" customFormat="1" ht="12" customHeight="1" x14ac:dyDescent="0.25">
      <c r="A668" s="718" t="s">
        <v>236</v>
      </c>
      <c r="B668" s="428"/>
      <c r="C668" s="492"/>
      <c r="D668" s="492"/>
      <c r="E668" s="492"/>
      <c r="F668" s="492"/>
      <c r="G668" s="493"/>
      <c r="H668" s="492"/>
      <c r="I668" s="492"/>
      <c r="J668" s="492"/>
      <c r="K668" s="492"/>
      <c r="L668" s="493"/>
      <c r="M668" s="492"/>
      <c r="N668" s="492"/>
      <c r="O668" s="492"/>
      <c r="P668" s="492"/>
      <c r="Q668" s="591"/>
      <c r="R668" s="492"/>
      <c r="S668" s="492"/>
      <c r="T668" s="492"/>
      <c r="U668" s="492"/>
      <c r="V668" s="591">
        <f>+V667/Q667-1</f>
        <v>0.22582046332046346</v>
      </c>
      <c r="W668" s="492"/>
      <c r="X668" s="492"/>
      <c r="Y668" s="492"/>
      <c r="Z668" s="519"/>
      <c r="AA668" s="591">
        <f>+AA667/V667-1</f>
        <v>-0.15488798771605183</v>
      </c>
      <c r="AB668" s="1618"/>
      <c r="AC668" s="519"/>
      <c r="AD668" s="519"/>
      <c r="AE668" s="1462">
        <f>+AE667/Z667-1</f>
        <v>-0.31848297920950397</v>
      </c>
      <c r="AF668" s="1462">
        <f t="shared" ref="AF668:BG668" si="1534">+AF667/AA667-1</f>
        <v>-0.20936408106219428</v>
      </c>
      <c r="AG668" s="1618">
        <f t="shared" si="1534"/>
        <v>-0.47058823529411753</v>
      </c>
      <c r="AH668" s="519">
        <f t="shared" si="1534"/>
        <v>-0.36619109381755299</v>
      </c>
      <c r="AI668" s="519">
        <f t="shared" si="1534"/>
        <v>-0.29176890475128259</v>
      </c>
      <c r="AJ668" s="1462">
        <f t="shared" si="1534"/>
        <v>0.12604760308414265</v>
      </c>
      <c r="AK668" s="1462">
        <f t="shared" si="1534"/>
        <v>-0.2900241588592305</v>
      </c>
      <c r="AL668" s="1618">
        <f t="shared" si="1534"/>
        <v>0.53929539295392948</v>
      </c>
      <c r="AM668" s="519">
        <f t="shared" si="1534"/>
        <v>1.5695770804911322</v>
      </c>
      <c r="AN668" s="519">
        <f t="shared" si="1534"/>
        <v>1.4639370078740161</v>
      </c>
      <c r="AO668" s="1462">
        <f t="shared" si="1534"/>
        <v>0.64185769574278173</v>
      </c>
      <c r="AP668" s="1462">
        <f t="shared" si="1534"/>
        <v>1.0622458295294215</v>
      </c>
      <c r="AQ668" s="1618">
        <f t="shared" si="1534"/>
        <v>0.58249496981891347</v>
      </c>
      <c r="AR668" s="519">
        <f t="shared" si="1534"/>
        <v>-0.12689142553756294</v>
      </c>
      <c r="AS668" s="519">
        <f t="shared" si="1534"/>
        <v>-0.28480122715070955</v>
      </c>
      <c r="AT668" s="1462">
        <f t="shared" si="1534"/>
        <v>-0.18893925657298305</v>
      </c>
      <c r="AU668" s="1462">
        <f t="shared" si="1534"/>
        <v>-7.6867353509336822E-2</v>
      </c>
      <c r="AV668" s="1618">
        <f t="shared" si="1534"/>
        <v>-0.13938334392879848</v>
      </c>
      <c r="AW668" s="519">
        <f t="shared" si="1534"/>
        <v>-4.4086348434174472E-2</v>
      </c>
      <c r="AX668" s="519">
        <f t="shared" si="1534"/>
        <v>2.2698838248436326E-2</v>
      </c>
      <c r="AY668" s="1462">
        <f t="shared" si="1534"/>
        <v>0.23116476637603389</v>
      </c>
      <c r="AZ668" s="1462">
        <f t="shared" si="1534"/>
        <v>-2.6157467957099723E-4</v>
      </c>
      <c r="BA668" s="1618">
        <f t="shared" si="1534"/>
        <v>0.16288088642659271</v>
      </c>
      <c r="BB668" s="519">
        <f t="shared" si="1534"/>
        <v>0.13167938931297707</v>
      </c>
      <c r="BC668" s="519">
        <f t="shared" si="1534"/>
        <v>0.17878364208318764</v>
      </c>
      <c r="BD668" s="1462">
        <f t="shared" si="1534"/>
        <v>0.13528236789540604</v>
      </c>
      <c r="BE668" s="1462">
        <f t="shared" si="1534"/>
        <v>0.15166579452293738</v>
      </c>
      <c r="BF668" s="1618">
        <f t="shared" si="1534"/>
        <v>9.5283468318246856E-2</v>
      </c>
      <c r="BG668" s="519">
        <f t="shared" si="1534"/>
        <v>8.4738617200674549E-2</v>
      </c>
      <c r="BH668" s="3022">
        <v>0.08</v>
      </c>
      <c r="BI668" s="3022">
        <v>-0.1</v>
      </c>
      <c r="BJ668" s="591">
        <f>+BJ667/BE667-1</f>
        <v>4.2309731162438524E-2</v>
      </c>
      <c r="BK668" s="3022">
        <v>-0.15</v>
      </c>
      <c r="BL668" s="3022">
        <v>-0.05</v>
      </c>
      <c r="BM668" s="3022">
        <v>7.4999999999999997E-2</v>
      </c>
      <c r="BN668" s="3022">
        <v>0.06</v>
      </c>
      <c r="BO668" s="591">
        <f>+BO667/BJ667-1</f>
        <v>-1.949137949824542E-2</v>
      </c>
      <c r="BP668" s="3022">
        <v>0.05</v>
      </c>
      <c r="BQ668" s="3022">
        <v>-2.5000000000000001E-2</v>
      </c>
      <c r="BR668" s="3022">
        <v>0.3</v>
      </c>
      <c r="BS668" s="3208">
        <v>0.2</v>
      </c>
      <c r="BT668" s="1462">
        <f>+BT667/BO667-1</f>
        <v>0.13530366565295293</v>
      </c>
      <c r="BU668" s="540">
        <v>0.15</v>
      </c>
      <c r="BV668" s="540">
        <v>0.15</v>
      </c>
      <c r="BW668" s="540">
        <v>0.15</v>
      </c>
      <c r="BX668" s="540">
        <v>0.2</v>
      </c>
      <c r="BY668" s="591">
        <f>+BY667/BT667-1</f>
        <v>0.16167857742805514</v>
      </c>
      <c r="BZ668" s="2991">
        <v>0.05</v>
      </c>
      <c r="CA668" s="2991">
        <v>0.05</v>
      </c>
      <c r="CB668" s="539">
        <v>-0.03</v>
      </c>
      <c r="CC668" s="539">
        <v>-0.03</v>
      </c>
      <c r="CD668" s="539">
        <v>0.01</v>
      </c>
      <c r="CE668" s="539">
        <v>0.01</v>
      </c>
      <c r="CF668" s="539">
        <v>0.01</v>
      </c>
      <c r="CG668" s="331"/>
      <c r="CH668" s="331"/>
      <c r="CI668" s="331"/>
      <c r="CJ668" s="331"/>
      <c r="CK668" s="331"/>
      <c r="CL668" s="2036"/>
      <c r="CM668" s="492"/>
      <c r="CN668" s="492"/>
      <c r="CO668" s="492"/>
      <c r="CP668" s="492"/>
      <c r="CQ668" s="492"/>
      <c r="CR668" s="492"/>
      <c r="CS668" s="492"/>
      <c r="CT668" s="492"/>
      <c r="CU668" s="492"/>
      <c r="CV668" s="492"/>
      <c r="CW668" s="492"/>
      <c r="CX668" s="492"/>
      <c r="CY668" s="492"/>
      <c r="CZ668" s="492"/>
      <c r="DA668" s="492"/>
      <c r="DB668" s="492"/>
      <c r="DC668" s="1311"/>
      <c r="DD668" s="331"/>
      <c r="DE668" s="331"/>
      <c r="DF668" s="502"/>
      <c r="DG668" s="503"/>
      <c r="DH668" s="519"/>
      <c r="DI668" s="3213"/>
      <c r="DJ668" s="502"/>
      <c r="DK668" s="503"/>
      <c r="DL668" s="502"/>
      <c r="DM668" s="502"/>
      <c r="DN668" s="502"/>
      <c r="DO668" s="502"/>
      <c r="DP668" s="503"/>
      <c r="DQ668" s="503"/>
      <c r="DR668" s="296"/>
      <c r="DS668" s="296"/>
      <c r="DT668" s="296"/>
      <c r="DU668"/>
      <c r="DV668"/>
      <c r="DW668"/>
      <c r="DX668"/>
      <c r="DY668"/>
      <c r="DZ668"/>
    </row>
    <row r="669" spans="1:130" s="1049" customFormat="1" ht="3.95" customHeight="1" x14ac:dyDescent="0.25">
      <c r="A669" s="705"/>
      <c r="B669" s="428"/>
      <c r="C669" s="492"/>
      <c r="D669" s="492"/>
      <c r="E669" s="492"/>
      <c r="F669" s="492"/>
      <c r="G669" s="493"/>
      <c r="H669" s="492"/>
      <c r="I669" s="492"/>
      <c r="J669" s="492"/>
      <c r="K669" s="492"/>
      <c r="L669" s="493"/>
      <c r="M669" s="492"/>
      <c r="N669" s="492"/>
      <c r="O669" s="492"/>
      <c r="P669" s="492"/>
      <c r="Q669" s="2982"/>
      <c r="R669" s="492"/>
      <c r="S669" s="492"/>
      <c r="T669" s="492"/>
      <c r="U669" s="492"/>
      <c r="V669" s="2982"/>
      <c r="W669" s="492"/>
      <c r="X669" s="492"/>
      <c r="Y669" s="492"/>
      <c r="Z669" s="2962"/>
      <c r="AA669" s="2982"/>
      <c r="AB669" s="2986"/>
      <c r="AC669" s="2962"/>
      <c r="AD669" s="2962"/>
      <c r="AE669" s="2989"/>
      <c r="AF669" s="2982"/>
      <c r="AG669" s="2986"/>
      <c r="AH669" s="2962"/>
      <c r="AI669" s="2962"/>
      <c r="AJ669" s="2989"/>
      <c r="AK669" s="2982"/>
      <c r="AL669" s="2986"/>
      <c r="AM669" s="2962"/>
      <c r="AN669" s="2962"/>
      <c r="AO669" s="2989"/>
      <c r="AP669" s="2982"/>
      <c r="AQ669" s="2986"/>
      <c r="AR669" s="2962"/>
      <c r="AS669" s="2962"/>
      <c r="AT669" s="2989"/>
      <c r="AU669" s="2982"/>
      <c r="AV669" s="2986"/>
      <c r="AW669" s="2962"/>
      <c r="AX669" s="2962"/>
      <c r="AY669" s="2989"/>
      <c r="AZ669" s="2965"/>
      <c r="BA669" s="2986"/>
      <c r="BB669" s="2962"/>
      <c r="BC669" s="2962"/>
      <c r="BD669" s="2989"/>
      <c r="BE669" s="2965"/>
      <c r="BF669" s="2986"/>
      <c r="BG669" s="2962"/>
      <c r="BH669" s="492"/>
      <c r="BI669" s="492"/>
      <c r="BJ669" s="3023"/>
      <c r="BK669" s="492"/>
      <c r="BL669" s="492"/>
      <c r="BM669" s="492"/>
      <c r="BN669" s="492"/>
      <c r="BO669" s="3023"/>
      <c r="BP669" s="492"/>
      <c r="BQ669" s="492"/>
      <c r="BR669" s="492"/>
      <c r="BS669" s="1311"/>
      <c r="BT669" s="2989"/>
      <c r="BU669" s="2653"/>
      <c r="BV669" s="2653"/>
      <c r="BW669" s="2653"/>
      <c r="BX669" s="2653"/>
      <c r="BY669" s="3023"/>
      <c r="BZ669" s="2989"/>
      <c r="CA669" s="2989"/>
      <c r="CB669" s="2989"/>
      <c r="CC669" s="2989"/>
      <c r="CD669" s="2989"/>
      <c r="CE669" s="2989"/>
      <c r="CF669" s="2989"/>
      <c r="CG669" s="331"/>
      <c r="CH669" s="331"/>
      <c r="CI669" s="331"/>
      <c r="CJ669" s="331"/>
      <c r="CK669" s="331"/>
      <c r="CL669" s="2036"/>
      <c r="CM669" s="492"/>
      <c r="CN669" s="492"/>
      <c r="CO669" s="492"/>
      <c r="CP669" s="492"/>
      <c r="CQ669" s="492"/>
      <c r="CR669" s="492"/>
      <c r="CS669" s="492"/>
      <c r="CT669" s="492"/>
      <c r="CU669" s="492"/>
      <c r="CV669" s="492"/>
      <c r="CW669" s="492"/>
      <c r="CX669" s="492"/>
      <c r="CY669" s="492"/>
      <c r="CZ669" s="492"/>
      <c r="DA669" s="492"/>
      <c r="DB669" s="492"/>
      <c r="DC669" s="1311"/>
      <c r="DD669" s="331"/>
      <c r="DE669" s="331"/>
      <c r="DF669" s="502"/>
      <c r="DG669" s="503"/>
      <c r="DH669" s="2671"/>
      <c r="DI669" s="3213"/>
      <c r="DJ669" s="502"/>
      <c r="DK669" s="503"/>
      <c r="DL669" s="502"/>
      <c r="DM669" s="502"/>
      <c r="DN669" s="502"/>
      <c r="DO669" s="502"/>
      <c r="DP669" s="503"/>
      <c r="DQ669" s="503"/>
      <c r="DR669" s="296"/>
      <c r="DS669" s="296"/>
      <c r="DT669" s="296"/>
      <c r="DU669"/>
      <c r="DV669"/>
      <c r="DW669"/>
      <c r="DX669"/>
      <c r="DY669"/>
      <c r="DZ669"/>
    </row>
    <row r="670" spans="1:130" s="1049" customFormat="1" ht="12" customHeight="1" x14ac:dyDescent="0.25">
      <c r="A670" s="705" t="s">
        <v>645</v>
      </c>
      <c r="B670" s="428"/>
      <c r="C670" s="492"/>
      <c r="D670" s="492"/>
      <c r="E670" s="492"/>
      <c r="F670" s="492"/>
      <c r="G670" s="493"/>
      <c r="H670" s="492"/>
      <c r="I670" s="492"/>
      <c r="J670" s="492"/>
      <c r="K670" s="492"/>
      <c r="L670" s="493"/>
      <c r="M670" s="492"/>
      <c r="N670" s="492"/>
      <c r="O670" s="492"/>
      <c r="P670" s="492"/>
      <c r="Q670" s="2983">
        <v>25.367000000000001</v>
      </c>
      <c r="R670" s="492"/>
      <c r="S670" s="492"/>
      <c r="T670" s="492"/>
      <c r="U670" s="492"/>
      <c r="V670" s="2983">
        <v>26.004000000000001</v>
      </c>
      <c r="W670" s="492"/>
      <c r="X670" s="492"/>
      <c r="Y670" s="492"/>
      <c r="Z670" s="2941">
        <f>21.38-17.093</f>
        <v>4.286999999999999</v>
      </c>
      <c r="AA670" s="2983">
        <v>21.38</v>
      </c>
      <c r="AB670" s="2973">
        <v>3.9460000000000002</v>
      </c>
      <c r="AC670" s="2941">
        <v>3.04</v>
      </c>
      <c r="AD670" s="2941">
        <v>1.9550000000000001</v>
      </c>
      <c r="AE670" s="2911">
        <f>+AF670-SUM(AB670:AD670)</f>
        <v>1.548</v>
      </c>
      <c r="AF670" s="2983">
        <f>3.503+6.986</f>
        <v>10.489000000000001</v>
      </c>
      <c r="AG670" s="2973">
        <v>1.113</v>
      </c>
      <c r="AH670" s="2941">
        <v>0.85899999999999999</v>
      </c>
      <c r="AI670" s="2941">
        <v>0.73499999999999999</v>
      </c>
      <c r="AJ670" s="2911">
        <f>+AK670-SUM(AG670:AI670)</f>
        <v>0.90900000000000025</v>
      </c>
      <c r="AK670" s="2983">
        <v>3.6160000000000001</v>
      </c>
      <c r="AL670" s="2973">
        <v>0.73899999999999999</v>
      </c>
      <c r="AM670" s="2941">
        <v>1.1439999999999999</v>
      </c>
      <c r="AN670" s="2941">
        <v>1.0860000000000001</v>
      </c>
      <c r="AO670" s="2911">
        <f>+AP670-SUM(AL670:AN670)</f>
        <v>1.0079999999999996</v>
      </c>
      <c r="AP670" s="2983">
        <v>3.9769999999999999</v>
      </c>
      <c r="AQ670" s="2973">
        <v>1.117</v>
      </c>
      <c r="AR670" s="2941">
        <v>1.1910000000000001</v>
      </c>
      <c r="AS670" s="2941">
        <v>0.96</v>
      </c>
      <c r="AT670" s="2911">
        <f>+AU670-SUM(AQ670:AS670)</f>
        <v>0.96300000000000008</v>
      </c>
      <c r="AU670" s="2983">
        <v>4.2309999999999999</v>
      </c>
      <c r="AV670" s="2973">
        <v>1.4830000000000001</v>
      </c>
      <c r="AW670" s="2941">
        <v>1.2190000000000001</v>
      </c>
      <c r="AX670" s="2941">
        <v>1.077</v>
      </c>
      <c r="AY670" s="2911">
        <f>+AZ670-SUM(AV670:AX670)</f>
        <v>1.1580000000000004</v>
      </c>
      <c r="AZ670" s="2944">
        <v>4.9370000000000003</v>
      </c>
      <c r="BA670" s="2973">
        <v>1.1970000000000001</v>
      </c>
      <c r="BB670" s="2941">
        <v>1.524</v>
      </c>
      <c r="BC670" s="2941">
        <v>1.2010000000000001</v>
      </c>
      <c r="BD670" s="2911">
        <f>+BE670-SUM(BA670:BC670)</f>
        <v>1.1169999999999995</v>
      </c>
      <c r="BE670" s="2944">
        <v>5.0389999999999997</v>
      </c>
      <c r="BF670" s="2973">
        <v>1.377</v>
      </c>
      <c r="BG670" s="2941">
        <v>1.5740000000000001</v>
      </c>
      <c r="BH670" s="476">
        <f>+BC670*(1+BH671)</f>
        <v>1.3211000000000002</v>
      </c>
      <c r="BI670" s="476">
        <f>+BD670*(1+BI671)</f>
        <v>1.1393399999999996</v>
      </c>
      <c r="BJ670" s="3024">
        <f>SUM(BF670:BI670)</f>
        <v>5.4114399999999998</v>
      </c>
      <c r="BK670" s="476">
        <f>+BF670*(1+BK671)</f>
        <v>1.4045400000000001</v>
      </c>
      <c r="BL670" s="476">
        <f>+BG670*(1+BL671)</f>
        <v>1.60548</v>
      </c>
      <c r="BM670" s="476">
        <f>+BH670*(1+BM671)</f>
        <v>1.4201825000000001</v>
      </c>
      <c r="BN670" s="476">
        <f>+BI670*(1+BN671)</f>
        <v>1.2077003999999996</v>
      </c>
      <c r="BO670" s="3024">
        <f>SUM(BK670:BN670)</f>
        <v>5.6379028999999994</v>
      </c>
      <c r="BP670" s="476">
        <f>+BK670*(1+BP671)</f>
        <v>1.4747670000000002</v>
      </c>
      <c r="BQ670" s="476">
        <f>+BL670*(1+BQ671)</f>
        <v>1.5653429999999999</v>
      </c>
      <c r="BR670" s="476">
        <f>+BM670*(1+BR671)</f>
        <v>1.4911916250000001</v>
      </c>
      <c r="BS670" s="682">
        <f>+BN670*(1+BS671)</f>
        <v>1.1835463919999996</v>
      </c>
      <c r="BT670" s="2990">
        <f>SUM(BP670:BS670)</f>
        <v>5.7148480169999996</v>
      </c>
      <c r="BU670" s="2577">
        <f>+BP670*(1+BU671)</f>
        <v>1.4747670000000002</v>
      </c>
      <c r="BV670" s="2577">
        <f>+BQ670*(1+BV671)</f>
        <v>1.5966498599999999</v>
      </c>
      <c r="BW670" s="2577">
        <f>+BR670*(1+BW671)</f>
        <v>1.5210154575000001</v>
      </c>
      <c r="BX670" s="2577">
        <f>+BS670*(1+BX671)</f>
        <v>1.2427237115999996</v>
      </c>
      <c r="BY670" s="3024">
        <f>SUM(BU670:BX670)</f>
        <v>5.8351560291000002</v>
      </c>
      <c r="BZ670" s="2990">
        <f t="shared" ref="BZ670:CF670" si="1535">+BY670*(1+BZ671)</f>
        <v>5.9518591496819999</v>
      </c>
      <c r="CA670" s="2990">
        <f t="shared" si="1535"/>
        <v>6.0708963326756402</v>
      </c>
      <c r="CB670" s="2990">
        <f t="shared" si="1535"/>
        <v>5.8887694426953709</v>
      </c>
      <c r="CC670" s="2990">
        <f t="shared" si="1535"/>
        <v>5.7121063594145101</v>
      </c>
      <c r="CD670" s="2990">
        <f t="shared" si="1535"/>
        <v>5.7692274230086555</v>
      </c>
      <c r="CE670" s="2990">
        <f t="shared" si="1535"/>
        <v>5.8269196972387425</v>
      </c>
      <c r="CF670" s="2990">
        <f t="shared" si="1535"/>
        <v>5.8851888942111303</v>
      </c>
      <c r="CG670" s="331"/>
      <c r="CH670" s="331"/>
      <c r="CI670" s="331"/>
      <c r="CJ670" s="331"/>
      <c r="CK670" s="331"/>
      <c r="CL670" s="2036"/>
      <c r="CM670" s="492"/>
      <c r="CN670" s="492"/>
      <c r="CO670" s="492"/>
      <c r="CP670" s="492"/>
      <c r="CQ670" s="492"/>
      <c r="CR670" s="492"/>
      <c r="CS670" s="492"/>
      <c r="CT670" s="492"/>
      <c r="CU670" s="492"/>
      <c r="CV670" s="492"/>
      <c r="CW670" s="492"/>
      <c r="CX670" s="492"/>
      <c r="CY670" s="492"/>
      <c r="CZ670" s="492"/>
      <c r="DA670" s="492"/>
      <c r="DB670" s="492"/>
      <c r="DC670" s="1311"/>
      <c r="DD670" s="331"/>
      <c r="DE670" s="331"/>
      <c r="DF670" s="502"/>
      <c r="DG670" s="503"/>
      <c r="DH670" s="3300"/>
      <c r="DI670" s="3213"/>
      <c r="DJ670" s="502"/>
      <c r="DK670" s="503"/>
      <c r="DL670" s="502"/>
      <c r="DM670" s="502"/>
      <c r="DN670" s="502"/>
      <c r="DO670" s="502"/>
      <c r="DP670" s="503"/>
      <c r="DQ670" s="503"/>
      <c r="DR670" s="296"/>
      <c r="DS670" s="296"/>
      <c r="DT670" s="296"/>
      <c r="DU670"/>
      <c r="DV670"/>
      <c r="DW670"/>
      <c r="DX670"/>
      <c r="DY670"/>
      <c r="DZ670"/>
    </row>
    <row r="671" spans="1:130" s="1049" customFormat="1" ht="12" customHeight="1" x14ac:dyDescent="0.25">
      <c r="A671" s="718" t="s">
        <v>236</v>
      </c>
      <c r="B671" s="428"/>
      <c r="C671" s="492"/>
      <c r="D671" s="492"/>
      <c r="E671" s="492"/>
      <c r="F671" s="492"/>
      <c r="G671" s="493"/>
      <c r="H671" s="492"/>
      <c r="I671" s="492"/>
      <c r="J671" s="492"/>
      <c r="K671" s="492"/>
      <c r="L671" s="493"/>
      <c r="M671" s="492"/>
      <c r="N671" s="492"/>
      <c r="O671" s="492"/>
      <c r="P671" s="492"/>
      <c r="Q671" s="591"/>
      <c r="R671" s="492"/>
      <c r="S671" s="492"/>
      <c r="T671" s="492"/>
      <c r="U671" s="492"/>
      <c r="V671" s="591">
        <f>+V670/Q670-1</f>
        <v>2.511136515945922E-2</v>
      </c>
      <c r="W671" s="492"/>
      <c r="X671" s="492"/>
      <c r="Y671" s="492"/>
      <c r="Z671" s="519"/>
      <c r="AA671" s="591">
        <f>+AA670/V670-1</f>
        <v>-0.17781879710813731</v>
      </c>
      <c r="AB671" s="1618"/>
      <c r="AC671" s="519"/>
      <c r="AD671" s="519"/>
      <c r="AE671" s="1462">
        <f>+AE670/Z670-1</f>
        <v>-0.63890832750174931</v>
      </c>
      <c r="AF671" s="1462">
        <f t="shared" ref="AF671:BG671" si="1536">+AF670/AA670-1</f>
        <v>-0.50940130963517305</v>
      </c>
      <c r="AG671" s="1618">
        <f t="shared" si="1536"/>
        <v>-0.71794221996958951</v>
      </c>
      <c r="AH671" s="519">
        <f t="shared" si="1536"/>
        <v>-0.71743421052631584</v>
      </c>
      <c r="AI671" s="519">
        <f t="shared" si="1536"/>
        <v>-0.62404092071611261</v>
      </c>
      <c r="AJ671" s="1462">
        <f t="shared" si="1536"/>
        <v>-0.41279069767441845</v>
      </c>
      <c r="AK671" s="1462">
        <f t="shared" si="1536"/>
        <v>-0.65525788921727524</v>
      </c>
      <c r="AL671" s="1618">
        <f t="shared" si="1536"/>
        <v>-0.33602875112309072</v>
      </c>
      <c r="AM671" s="519">
        <f t="shared" si="1536"/>
        <v>0.33178114086146682</v>
      </c>
      <c r="AN671" s="519">
        <f t="shared" si="1536"/>
        <v>0.47755102040816344</v>
      </c>
      <c r="AO671" s="1462">
        <f t="shared" si="1536"/>
        <v>0.10891089108910812</v>
      </c>
      <c r="AP671" s="1462">
        <f t="shared" si="1536"/>
        <v>9.9834070796460006E-2</v>
      </c>
      <c r="AQ671" s="1618">
        <f t="shared" si="1536"/>
        <v>0.51150202976995951</v>
      </c>
      <c r="AR671" s="519">
        <f t="shared" si="1536"/>
        <v>4.1083916083916261E-2</v>
      </c>
      <c r="AS671" s="519">
        <f t="shared" si="1536"/>
        <v>-0.11602209944751396</v>
      </c>
      <c r="AT671" s="1462">
        <f t="shared" si="1536"/>
        <v>-4.4642857142856651E-2</v>
      </c>
      <c r="AU671" s="1462">
        <f t="shared" si="1536"/>
        <v>6.3867236610510414E-2</v>
      </c>
      <c r="AV671" s="1618">
        <f t="shared" si="1536"/>
        <v>0.3276633840644585</v>
      </c>
      <c r="AW671" s="519">
        <f t="shared" si="1536"/>
        <v>2.3509655751469349E-2</v>
      </c>
      <c r="AX671" s="519">
        <f t="shared" si="1536"/>
        <v>0.12187499999999996</v>
      </c>
      <c r="AY671" s="1462">
        <f t="shared" si="1536"/>
        <v>0.20249221183800659</v>
      </c>
      <c r="AZ671" s="1462">
        <f t="shared" si="1536"/>
        <v>0.16686362562042079</v>
      </c>
      <c r="BA671" s="1618">
        <f t="shared" si="1536"/>
        <v>-0.19285232636547545</v>
      </c>
      <c r="BB671" s="519">
        <f t="shared" si="1536"/>
        <v>0.25020508613617709</v>
      </c>
      <c r="BC671" s="519">
        <f t="shared" si="1536"/>
        <v>0.11513463324048301</v>
      </c>
      <c r="BD671" s="1462">
        <f t="shared" si="1536"/>
        <v>-3.5405872193437604E-2</v>
      </c>
      <c r="BE671" s="1462">
        <f t="shared" si="1536"/>
        <v>2.0660320032408253E-2</v>
      </c>
      <c r="BF671" s="1618">
        <f t="shared" si="1536"/>
        <v>0.15037593984962405</v>
      </c>
      <c r="BG671" s="519">
        <f t="shared" si="1536"/>
        <v>3.2808398950131323E-2</v>
      </c>
      <c r="BH671" s="3022">
        <v>0.1</v>
      </c>
      <c r="BI671" s="3022">
        <v>0.02</v>
      </c>
      <c r="BJ671" s="591">
        <f>+BJ670/BE670-1</f>
        <v>7.3911490375074385E-2</v>
      </c>
      <c r="BK671" s="3022">
        <v>0.02</v>
      </c>
      <c r="BL671" s="3022">
        <v>0.02</v>
      </c>
      <c r="BM671" s="3022">
        <v>7.4999999999999997E-2</v>
      </c>
      <c r="BN671" s="3022">
        <v>0.06</v>
      </c>
      <c r="BO671" s="591">
        <f>+BO670/BJ670-1</f>
        <v>4.1848916369764622E-2</v>
      </c>
      <c r="BP671" s="3022">
        <v>0.05</v>
      </c>
      <c r="BQ671" s="3022">
        <v>-2.5000000000000001E-2</v>
      </c>
      <c r="BR671" s="3022">
        <v>0.05</v>
      </c>
      <c r="BS671" s="3208">
        <v>-0.02</v>
      </c>
      <c r="BT671" s="1462">
        <f>+BT670/BO670-1</f>
        <v>1.3647825860924279E-2</v>
      </c>
      <c r="BU671" s="540">
        <v>0</v>
      </c>
      <c r="BV671" s="540">
        <v>0.02</v>
      </c>
      <c r="BW671" s="540">
        <v>0.02</v>
      </c>
      <c r="BX671" s="540">
        <v>0.05</v>
      </c>
      <c r="BY671" s="591">
        <f>+BY670/BT670-1</f>
        <v>2.1051830554744244E-2</v>
      </c>
      <c r="BZ671" s="2991">
        <v>0.02</v>
      </c>
      <c r="CA671" s="2991">
        <v>0.02</v>
      </c>
      <c r="CB671" s="539">
        <v>-0.03</v>
      </c>
      <c r="CC671" s="539">
        <v>-0.03</v>
      </c>
      <c r="CD671" s="539">
        <v>0.01</v>
      </c>
      <c r="CE671" s="539">
        <v>0.01</v>
      </c>
      <c r="CF671" s="539">
        <v>0.01</v>
      </c>
      <c r="CG671" s="331"/>
      <c r="CH671" s="331"/>
      <c r="CI671" s="331"/>
      <c r="CJ671" s="331"/>
      <c r="CK671" s="331"/>
      <c r="CL671" s="2036"/>
      <c r="CM671" s="492"/>
      <c r="CN671" s="492"/>
      <c r="CO671" s="492"/>
      <c r="CP671" s="492"/>
      <c r="CQ671" s="492"/>
      <c r="CR671" s="492"/>
      <c r="CS671" s="492"/>
      <c r="CT671" s="492"/>
      <c r="CU671" s="492"/>
      <c r="CV671" s="492"/>
      <c r="CW671" s="492"/>
      <c r="CX671" s="492"/>
      <c r="CY671" s="492"/>
      <c r="CZ671" s="492"/>
      <c r="DA671" s="492"/>
      <c r="DB671" s="492"/>
      <c r="DC671" s="1311"/>
      <c r="DD671" s="331"/>
      <c r="DE671" s="331"/>
      <c r="DF671" s="502"/>
      <c r="DG671" s="503"/>
      <c r="DH671" s="519"/>
      <c r="DI671" s="3213"/>
      <c r="DJ671" s="502"/>
      <c r="DK671" s="503"/>
      <c r="DL671" s="502"/>
      <c r="DM671" s="502"/>
      <c r="DN671" s="502"/>
      <c r="DO671" s="502"/>
      <c r="DP671" s="503"/>
      <c r="DQ671" s="503"/>
      <c r="DR671" s="296"/>
      <c r="DS671" s="296"/>
      <c r="DT671" s="296"/>
      <c r="DU671"/>
      <c r="DV671"/>
      <c r="DW671"/>
      <c r="DX671"/>
      <c r="DY671"/>
      <c r="DZ671"/>
    </row>
    <row r="672" spans="1:130" s="1049" customFormat="1" ht="3.95" customHeight="1" x14ac:dyDescent="0.25">
      <c r="A672" s="2176"/>
      <c r="B672" s="428"/>
      <c r="C672" s="492"/>
      <c r="D672" s="492"/>
      <c r="E672" s="492"/>
      <c r="F672" s="492"/>
      <c r="G672" s="493"/>
      <c r="H672" s="492"/>
      <c r="I672" s="492"/>
      <c r="J672" s="492"/>
      <c r="K672" s="492"/>
      <c r="L672" s="493"/>
      <c r="M672" s="492"/>
      <c r="N672" s="492"/>
      <c r="O672" s="492"/>
      <c r="P672" s="492"/>
      <c r="Q672" s="1464" t="s">
        <v>229</v>
      </c>
      <c r="R672" s="492"/>
      <c r="S672" s="492"/>
      <c r="T672" s="492"/>
      <c r="U672" s="492"/>
      <c r="V672" s="1464" t="s">
        <v>229</v>
      </c>
      <c r="W672" s="492"/>
      <c r="X672" s="492"/>
      <c r="Y672" s="492"/>
      <c r="Z672" s="1771" t="s">
        <v>229</v>
      </c>
      <c r="AA672" s="1464" t="s">
        <v>229</v>
      </c>
      <c r="AB672" s="1865" t="s">
        <v>229</v>
      </c>
      <c r="AC672" s="1771" t="s">
        <v>229</v>
      </c>
      <c r="AD672" s="1771" t="s">
        <v>229</v>
      </c>
      <c r="AE672" s="2911" t="s">
        <v>229</v>
      </c>
      <c r="AF672" s="1464" t="s">
        <v>229</v>
      </c>
      <c r="AG672" s="1865" t="s">
        <v>229</v>
      </c>
      <c r="AH672" s="1771" t="s">
        <v>229</v>
      </c>
      <c r="AI672" s="1771" t="s">
        <v>229</v>
      </c>
      <c r="AJ672" s="2911" t="s">
        <v>229</v>
      </c>
      <c r="AK672" s="1464" t="s">
        <v>229</v>
      </c>
      <c r="AL672" s="1865" t="s">
        <v>229</v>
      </c>
      <c r="AM672" s="1771" t="s">
        <v>229</v>
      </c>
      <c r="AN672" s="1771" t="s">
        <v>229</v>
      </c>
      <c r="AO672" s="2911" t="s">
        <v>229</v>
      </c>
      <c r="AP672" s="1464" t="s">
        <v>229</v>
      </c>
      <c r="AQ672" s="1865" t="s">
        <v>229</v>
      </c>
      <c r="AR672" s="1771" t="s">
        <v>229</v>
      </c>
      <c r="AS672" s="1771" t="s">
        <v>229</v>
      </c>
      <c r="AT672" s="2911" t="s">
        <v>229</v>
      </c>
      <c r="AU672" s="1464" t="s">
        <v>229</v>
      </c>
      <c r="AV672" s="1865" t="s">
        <v>229</v>
      </c>
      <c r="AW672" s="1771" t="s">
        <v>229</v>
      </c>
      <c r="AX672" s="1771" t="s">
        <v>229</v>
      </c>
      <c r="AY672" s="2911" t="s">
        <v>229</v>
      </c>
      <c r="AZ672" s="1866" t="s">
        <v>229</v>
      </c>
      <c r="BA672" s="1865" t="s">
        <v>229</v>
      </c>
      <c r="BB672" s="1771" t="s">
        <v>229</v>
      </c>
      <c r="BC672" s="1771" t="s">
        <v>229</v>
      </c>
      <c r="BD672" s="2911" t="s">
        <v>229</v>
      </c>
      <c r="BE672" s="1866" t="s">
        <v>229</v>
      </c>
      <c r="BF672" s="1865" t="s">
        <v>229</v>
      </c>
      <c r="BG672" s="1771" t="s">
        <v>229</v>
      </c>
      <c r="BH672" s="1771" t="s">
        <v>229</v>
      </c>
      <c r="BI672" s="1771" t="s">
        <v>229</v>
      </c>
      <c r="BJ672" s="1464" t="s">
        <v>229</v>
      </c>
      <c r="BK672" s="1771" t="s">
        <v>229</v>
      </c>
      <c r="BL672" s="1771" t="s">
        <v>229</v>
      </c>
      <c r="BM672" s="1771" t="s">
        <v>229</v>
      </c>
      <c r="BN672" s="1771" t="s">
        <v>229</v>
      </c>
      <c r="BO672" s="1464" t="s">
        <v>229</v>
      </c>
      <c r="BP672" s="1771" t="s">
        <v>229</v>
      </c>
      <c r="BQ672" s="1771" t="s">
        <v>229</v>
      </c>
      <c r="BR672" s="1771" t="s">
        <v>229</v>
      </c>
      <c r="BS672" s="1866" t="s">
        <v>229</v>
      </c>
      <c r="BT672" s="2911" t="s">
        <v>229</v>
      </c>
      <c r="BU672" s="1771" t="s">
        <v>229</v>
      </c>
      <c r="BV672" s="1771" t="s">
        <v>229</v>
      </c>
      <c r="BW672" s="1771" t="s">
        <v>229</v>
      </c>
      <c r="BX672" s="1771" t="s">
        <v>229</v>
      </c>
      <c r="BY672" s="2604" t="s">
        <v>229</v>
      </c>
      <c r="BZ672" s="1866" t="s">
        <v>229</v>
      </c>
      <c r="CA672" s="1866" t="s">
        <v>229</v>
      </c>
      <c r="CB672" s="1866" t="s">
        <v>229</v>
      </c>
      <c r="CC672" s="1866" t="s">
        <v>229</v>
      </c>
      <c r="CD672" s="1866" t="s">
        <v>229</v>
      </c>
      <c r="CE672" s="1866" t="s">
        <v>229</v>
      </c>
      <c r="CF672" s="1866" t="s">
        <v>229</v>
      </c>
      <c r="CG672" s="331"/>
      <c r="CH672" s="331"/>
      <c r="CI672" s="331"/>
      <c r="CJ672" s="331"/>
      <c r="CK672" s="331"/>
      <c r="CL672" s="2036"/>
      <c r="CM672" s="492"/>
      <c r="CN672" s="492"/>
      <c r="CO672" s="492"/>
      <c r="CP672" s="492"/>
      <c r="CQ672" s="492"/>
      <c r="CR672" s="492"/>
      <c r="CS672" s="492"/>
      <c r="CT672" s="492"/>
      <c r="CU672" s="492"/>
      <c r="CV672" s="492"/>
      <c r="CW672" s="492"/>
      <c r="CX672" s="492"/>
      <c r="CY672" s="492"/>
      <c r="CZ672" s="492"/>
      <c r="DA672" s="492"/>
      <c r="DB672" s="492"/>
      <c r="DC672" s="1311"/>
      <c r="DD672" s="331"/>
      <c r="DE672" s="331"/>
      <c r="DF672" s="502"/>
      <c r="DG672" s="503"/>
      <c r="DH672" s="2577"/>
      <c r="DI672" s="3213"/>
      <c r="DJ672" s="502"/>
      <c r="DK672" s="503"/>
      <c r="DL672" s="502"/>
      <c r="DM672" s="502"/>
      <c r="DN672" s="502"/>
      <c r="DO672" s="502"/>
      <c r="DP672" s="503"/>
      <c r="DQ672" s="503"/>
      <c r="DR672" s="296"/>
      <c r="DS672" s="296"/>
      <c r="DT672" s="296"/>
      <c r="DU672"/>
      <c r="DV672"/>
      <c r="DW672"/>
      <c r="DX672"/>
      <c r="DY672"/>
      <c r="DZ672"/>
    </row>
    <row r="673" spans="1:130" s="1049" customFormat="1" ht="12" customHeight="1" x14ac:dyDescent="0.25">
      <c r="A673" s="3011" t="s">
        <v>2298</v>
      </c>
      <c r="B673" s="428"/>
      <c r="C673" s="492"/>
      <c r="D673" s="492"/>
      <c r="E673" s="492"/>
      <c r="F673" s="492"/>
      <c r="G673" s="493"/>
      <c r="H673" s="492"/>
      <c r="I673" s="492"/>
      <c r="J673" s="492"/>
      <c r="K673" s="492"/>
      <c r="L673" s="493"/>
      <c r="M673" s="492"/>
      <c r="N673" s="492"/>
      <c r="O673" s="492"/>
      <c r="P673" s="492"/>
      <c r="Q673" s="2984">
        <f>+Q661+Q664+Q667+Q670</f>
        <v>162.87899999999999</v>
      </c>
      <c r="R673" s="492"/>
      <c r="S673" s="492"/>
      <c r="T673" s="492"/>
      <c r="U673" s="492"/>
      <c r="V673" s="2984">
        <f>+V661+V664+V667+V670</f>
        <v>168.31399999999999</v>
      </c>
      <c r="W673" s="492"/>
      <c r="X673" s="492"/>
      <c r="Y673" s="492"/>
      <c r="Z673" s="3012">
        <f>+Z661+Z664+Z667+Z670</f>
        <v>24.927000000000007</v>
      </c>
      <c r="AA673" s="2984">
        <f t="shared" ref="AA673:BI673" si="1537">+AA661+AA664+AA667+AA670</f>
        <v>127.65100000000001</v>
      </c>
      <c r="AB673" s="2987">
        <f t="shared" si="1537"/>
        <v>25.416</v>
      </c>
      <c r="AC673" s="3012">
        <f t="shared" si="1537"/>
        <v>22.283999999999999</v>
      </c>
      <c r="AD673" s="3012">
        <f t="shared" si="1537"/>
        <v>20.741</v>
      </c>
      <c r="AE673" s="2989">
        <f t="shared" si="1537"/>
        <v>16.466999999999999</v>
      </c>
      <c r="AF673" s="2980">
        <f t="shared" si="1537"/>
        <v>84.908000000000001</v>
      </c>
      <c r="AG673" s="2987">
        <f t="shared" si="1537"/>
        <v>14.528</v>
      </c>
      <c r="AH673" s="3012">
        <f t="shared" si="1537"/>
        <v>15.441000000000001</v>
      </c>
      <c r="AI673" s="3012">
        <f t="shared" si="1537"/>
        <v>14.983000000000001</v>
      </c>
      <c r="AJ673" s="2989">
        <f t="shared" si="1537"/>
        <v>16.160999999999994</v>
      </c>
      <c r="AK673" s="2980">
        <f t="shared" si="1537"/>
        <v>61.113</v>
      </c>
      <c r="AL673" s="2987">
        <f t="shared" si="1537"/>
        <v>18.448</v>
      </c>
      <c r="AM673" s="3012">
        <f t="shared" si="1537"/>
        <v>26.807999999999996</v>
      </c>
      <c r="AN673" s="3012">
        <f t="shared" si="1537"/>
        <v>26.817999999999998</v>
      </c>
      <c r="AO673" s="2989">
        <f t="shared" si="1537"/>
        <v>22.750000000000004</v>
      </c>
      <c r="AP673" s="2980">
        <f t="shared" si="1537"/>
        <v>94.823999999999998</v>
      </c>
      <c r="AQ673" s="2987">
        <f t="shared" si="1537"/>
        <v>26.178000000000001</v>
      </c>
      <c r="AR673" s="3012">
        <f t="shared" si="1537"/>
        <v>28.250999999999998</v>
      </c>
      <c r="AS673" s="3012">
        <f t="shared" si="1537"/>
        <v>25.242999999999999</v>
      </c>
      <c r="AT673" s="2989">
        <f t="shared" si="1537"/>
        <v>22.348999999999997</v>
      </c>
      <c r="AU673" s="2980">
        <f t="shared" si="1537"/>
        <v>102.021</v>
      </c>
      <c r="AV673" s="2987">
        <f t="shared" si="1537"/>
        <v>23.309000000000001</v>
      </c>
      <c r="AW673" s="3012">
        <f t="shared" si="1537"/>
        <v>29.747000000000003</v>
      </c>
      <c r="AX673" s="3012">
        <f t="shared" si="1537"/>
        <v>27.344999999999999</v>
      </c>
      <c r="AY673" s="2989">
        <f t="shared" si="1537"/>
        <v>26.879000000000001</v>
      </c>
      <c r="AZ673" s="2980">
        <f t="shared" si="1537"/>
        <v>107.28</v>
      </c>
      <c r="BA673" s="2987">
        <f t="shared" si="1537"/>
        <v>29.641999999999999</v>
      </c>
      <c r="BB673" s="3012">
        <f t="shared" si="1537"/>
        <v>31.599</v>
      </c>
      <c r="BC673" s="3012">
        <f t="shared" si="1537"/>
        <v>28.928999999999998</v>
      </c>
      <c r="BD673" s="2989">
        <f t="shared" si="1537"/>
        <v>29.871000000000002</v>
      </c>
      <c r="BE673" s="2984">
        <f t="shared" si="1537"/>
        <v>120.041</v>
      </c>
      <c r="BF673" s="3012">
        <f t="shared" si="1537"/>
        <v>30.763999999999999</v>
      </c>
      <c r="BG673" s="3012">
        <f t="shared" si="1537"/>
        <v>33.527000000000001</v>
      </c>
      <c r="BH673" s="3012">
        <f t="shared" si="1537"/>
        <v>31.115300000000001</v>
      </c>
      <c r="BI673" s="3012">
        <f t="shared" si="1537"/>
        <v>29.932360000000003</v>
      </c>
      <c r="BJ673" s="2984">
        <f t="shared" ref="BJ673:CF673" si="1538">+BJ661+BJ664+BJ667+BJ670</f>
        <v>125.33866</v>
      </c>
      <c r="BK673" s="3012">
        <f t="shared" si="1538"/>
        <v>29.790080000000003</v>
      </c>
      <c r="BL673" s="3012">
        <f t="shared" si="1538"/>
        <v>35.637979999999999</v>
      </c>
      <c r="BM673" s="3012">
        <f t="shared" si="1538"/>
        <v>34.574427500000006</v>
      </c>
      <c r="BN673" s="3012">
        <f t="shared" si="1538"/>
        <v>32.887694800000006</v>
      </c>
      <c r="BO673" s="2984">
        <f t="shared" si="1538"/>
        <v>132.89018229999999</v>
      </c>
      <c r="BP673" s="3012">
        <f t="shared" si="1538"/>
        <v>32.19593725</v>
      </c>
      <c r="BQ673" s="3012">
        <f t="shared" si="1538"/>
        <v>34.954209249999998</v>
      </c>
      <c r="BR673" s="3012">
        <f t="shared" si="1538"/>
        <v>39.147151687499999</v>
      </c>
      <c r="BS673" s="2980">
        <f t="shared" si="1538"/>
        <v>33.545628528000002</v>
      </c>
      <c r="BT673" s="2989">
        <f t="shared" si="1538"/>
        <v>139.84292671550003</v>
      </c>
      <c r="BU673" s="3012">
        <f t="shared" si="1538"/>
        <v>33.455143640000003</v>
      </c>
      <c r="BV673" s="3012">
        <f>+BV661+BV664+BV667+BV670</f>
        <v>36.845148947499993</v>
      </c>
      <c r="BW673" s="3012">
        <f>+BW661+BW664+BW667+BW670</f>
        <v>41.528281741874999</v>
      </c>
      <c r="BX673" s="3012">
        <f>+BX661+BX664+BX667+BX670</f>
        <v>36.296503394400006</v>
      </c>
      <c r="BY673" s="3023">
        <f>+BY661+BY664+BY667+BY670</f>
        <v>148.12507772377501</v>
      </c>
      <c r="BZ673" s="2980">
        <f t="shared" si="1538"/>
        <v>152.63853532450977</v>
      </c>
      <c r="CA673" s="2980">
        <f t="shared" si="1538"/>
        <v>157.31014901923649</v>
      </c>
      <c r="CB673" s="2980">
        <f t="shared" si="1538"/>
        <v>152.59084454865942</v>
      </c>
      <c r="CC673" s="2980">
        <f t="shared" si="1538"/>
        <v>148.01311921219963</v>
      </c>
      <c r="CD673" s="2980">
        <f t="shared" si="1538"/>
        <v>149.49325040432163</v>
      </c>
      <c r="CE673" s="2980">
        <f t="shared" si="1538"/>
        <v>150.98818290836482</v>
      </c>
      <c r="CF673" s="2980">
        <f t="shared" si="1538"/>
        <v>152.49806473744849</v>
      </c>
      <c r="CG673" s="331"/>
      <c r="CH673" s="331"/>
      <c r="CI673" s="331"/>
      <c r="CJ673" s="331"/>
      <c r="CK673" s="331"/>
      <c r="CL673" s="2036"/>
      <c r="CM673" s="492"/>
      <c r="CN673" s="492"/>
      <c r="CO673" s="492"/>
      <c r="CP673" s="492"/>
      <c r="CQ673" s="492"/>
      <c r="CR673" s="492"/>
      <c r="CS673" s="492"/>
      <c r="CT673" s="492"/>
      <c r="CU673" s="492"/>
      <c r="CV673" s="492"/>
      <c r="CW673" s="492"/>
      <c r="CX673" s="492"/>
      <c r="CY673" s="492"/>
      <c r="CZ673" s="492"/>
      <c r="DA673" s="492"/>
      <c r="DB673" s="492"/>
      <c r="DC673" s="1311"/>
      <c r="DD673" s="331"/>
      <c r="DE673" s="331"/>
      <c r="DF673" s="502"/>
      <c r="DG673" s="503"/>
      <c r="DH673" s="2671"/>
      <c r="DI673" s="3213"/>
      <c r="DJ673" s="502"/>
      <c r="DK673" s="503"/>
      <c r="DL673" s="502"/>
      <c r="DM673" s="502"/>
      <c r="DN673" s="502"/>
      <c r="DO673" s="502"/>
      <c r="DP673" s="503"/>
      <c r="DQ673" s="503"/>
      <c r="DR673" s="296"/>
      <c r="DS673" s="296"/>
      <c r="DT673" s="296"/>
      <c r="DU673"/>
      <c r="DV673"/>
      <c r="DW673"/>
      <c r="DX673"/>
      <c r="DY673"/>
      <c r="DZ673"/>
    </row>
    <row r="674" spans="1:130" s="1049" customFormat="1" ht="12" customHeight="1" x14ac:dyDescent="0.25">
      <c r="A674" s="3013" t="s">
        <v>213</v>
      </c>
      <c r="B674" s="428"/>
      <c r="C674" s="492"/>
      <c r="D674" s="492"/>
      <c r="E674" s="492"/>
      <c r="F674" s="492"/>
      <c r="G674" s="493"/>
      <c r="H674" s="492"/>
      <c r="I674" s="492"/>
      <c r="J674" s="492"/>
      <c r="K674" s="492"/>
      <c r="L674" s="493"/>
      <c r="M674" s="492"/>
      <c r="N674" s="492"/>
      <c r="O674" s="492"/>
      <c r="P674" s="492"/>
      <c r="Q674" s="2983">
        <v>0</v>
      </c>
      <c r="R674" s="492"/>
      <c r="S674" s="492"/>
      <c r="T674" s="492"/>
      <c r="U674" s="492"/>
      <c r="V674" s="2983">
        <v>-11.465999999999999</v>
      </c>
      <c r="W674" s="492"/>
      <c r="X674" s="492"/>
      <c r="Y674" s="492"/>
      <c r="Z674" s="2941">
        <f>-9.268+7.177</f>
        <v>-2.0910000000000011</v>
      </c>
      <c r="AA674" s="2983">
        <v>-9.2680000000000007</v>
      </c>
      <c r="AB674" s="2973">
        <v>-2.0699999999999998</v>
      </c>
      <c r="AC674" s="2941">
        <v>-1.736</v>
      </c>
      <c r="AD674" s="2941">
        <v>-1.905</v>
      </c>
      <c r="AE674" s="2911">
        <f>+AF674-SUM(AB674:AD674)</f>
        <v>-1.7519999999999998</v>
      </c>
      <c r="AF674" s="2983">
        <f>-3.657-3.806</f>
        <v>-7.4630000000000001</v>
      </c>
      <c r="AG674" s="2973">
        <v>-1.4750000000000001</v>
      </c>
      <c r="AH674" s="2941">
        <v>-1.6279999999999999</v>
      </c>
      <c r="AI674" s="2941">
        <v>-1.889</v>
      </c>
      <c r="AJ674" s="2911">
        <f>+AK674-SUM(AG674:AI674)</f>
        <v>-1.9370000000000003</v>
      </c>
      <c r="AK674" s="2983">
        <v>-6.9290000000000003</v>
      </c>
      <c r="AL674" s="2973">
        <v>-1.7849999999999999</v>
      </c>
      <c r="AM674" s="2941">
        <v>-2.3879999999999999</v>
      </c>
      <c r="AN674" s="2941">
        <v>-2.7490000000000001</v>
      </c>
      <c r="AO674" s="2911">
        <f>+AP674-SUM(AL674:AN674)</f>
        <v>-2.4779999999999998</v>
      </c>
      <c r="AP674" s="2983">
        <v>-9.4</v>
      </c>
      <c r="AQ674" s="2973">
        <v>-2.895</v>
      </c>
      <c r="AR674" s="2941">
        <v>-2.835</v>
      </c>
      <c r="AS674" s="2941">
        <v>-2.84</v>
      </c>
      <c r="AT674" s="2911">
        <f>+AU674-SUM(AQ674:AS674)</f>
        <v>-2.0549999999999997</v>
      </c>
      <c r="AU674" s="2983">
        <v>-10.625</v>
      </c>
      <c r="AV674" s="2973">
        <v>-2.4279999999999999</v>
      </c>
      <c r="AW674" s="2941">
        <v>-2.8420000000000001</v>
      </c>
      <c r="AX674" s="2941">
        <v>-2.6179999999999999</v>
      </c>
      <c r="AY674" s="2911">
        <f>+AZ674-SUM(AV674:AX674)</f>
        <v>-2.6300000000000008</v>
      </c>
      <c r="AZ674" s="2944">
        <v>-10.518000000000001</v>
      </c>
      <c r="BA674" s="2973">
        <v>-2.4929999999999999</v>
      </c>
      <c r="BB674" s="2941">
        <v>-2.5910000000000002</v>
      </c>
      <c r="BC674" s="2941">
        <v>-2.5390000000000001</v>
      </c>
      <c r="BD674" s="2911">
        <f>+BE674-SUM(BA674:BC674)</f>
        <v>-2.7580000000000009</v>
      </c>
      <c r="BE674" s="2944">
        <v>-10.381</v>
      </c>
      <c r="BF674" s="2973">
        <v>-2.6110000000000002</v>
      </c>
      <c r="BG674" s="2941">
        <v>-2.71</v>
      </c>
      <c r="BH674" s="476">
        <f>+-BH677*BH673</f>
        <v>-2.5150613833626632</v>
      </c>
      <c r="BI674" s="476">
        <f>+-BI677*BI673</f>
        <v>-2.4194438989471174</v>
      </c>
      <c r="BJ674" s="3026">
        <f>SUM(BF674:BI674)</f>
        <v>-10.25550528230978</v>
      </c>
      <c r="BK674" s="476">
        <f>+-BK677*BK673</f>
        <v>-2.9790080000000003</v>
      </c>
      <c r="BL674" s="476">
        <f>+-BL677*BL673</f>
        <v>-3.5637980000000002</v>
      </c>
      <c r="BM674" s="476">
        <f>+-BM677*BM673</f>
        <v>-3.4574427500000007</v>
      </c>
      <c r="BN674" s="476">
        <f>+-BN677*BN673</f>
        <v>-3.2887694800000009</v>
      </c>
      <c r="BO674" s="3026">
        <f>SUM(BK674:BN674)</f>
        <v>-13.289018230000002</v>
      </c>
      <c r="BP674" s="476">
        <f>+-BP677*BP673</f>
        <v>-2.8976343524999999</v>
      </c>
      <c r="BQ674" s="476">
        <f>+-BQ677*BQ673</f>
        <v>-3.1458788324999998</v>
      </c>
      <c r="BR674" s="476">
        <f>+-BR677*BR673</f>
        <v>-3.5232436518749997</v>
      </c>
      <c r="BS674" s="682">
        <f>+-BS677*BS673</f>
        <v>-3.0191065675200002</v>
      </c>
      <c r="BT674" s="2990">
        <f>SUM(BP674:BS674)</f>
        <v>-12.585863404394999</v>
      </c>
      <c r="BU674" s="2577">
        <f>+-BU677*BU673</f>
        <v>-3.0109629276000001</v>
      </c>
      <c r="BV674" s="2577">
        <f>+-BV677*BV673</f>
        <v>-3.3160634052749991</v>
      </c>
      <c r="BW674" s="2577">
        <f>+-BW677*BW673</f>
        <v>-3.7375453567687495</v>
      </c>
      <c r="BX674" s="2577">
        <f>+-BX677*BX673</f>
        <v>-3.2666853054960003</v>
      </c>
      <c r="BY674" s="3024">
        <f>SUM(BU674:BX674)</f>
        <v>-13.33125699513975</v>
      </c>
      <c r="BZ674" s="2990">
        <f t="shared" ref="BZ674:CF674" si="1539">+-BZ677*BZ673</f>
        <v>-13.737468179205878</v>
      </c>
      <c r="CA674" s="2990">
        <f t="shared" si="1539"/>
        <v>-14.157913411731284</v>
      </c>
      <c r="CB674" s="2990">
        <f t="shared" si="1539"/>
        <v>-13.733176009379347</v>
      </c>
      <c r="CC674" s="2990">
        <f t="shared" si="1539"/>
        <v>-13.321180729097966</v>
      </c>
      <c r="CD674" s="2990">
        <f t="shared" si="1539"/>
        <v>-13.454392536388946</v>
      </c>
      <c r="CE674" s="2990">
        <f t="shared" si="1539"/>
        <v>-13.588936461752834</v>
      </c>
      <c r="CF674" s="2990">
        <f t="shared" si="1539"/>
        <v>-13.724825826370363</v>
      </c>
      <c r="CG674" s="331"/>
      <c r="CH674" s="331"/>
      <c r="CI674" s="331"/>
      <c r="CJ674" s="331"/>
      <c r="CK674" s="331"/>
      <c r="CL674" s="2036"/>
      <c r="CM674" s="492"/>
      <c r="CN674" s="492"/>
      <c r="CO674" s="492"/>
      <c r="CP674" s="492"/>
      <c r="CQ674" s="492"/>
      <c r="CR674" s="492"/>
      <c r="CS674" s="492"/>
      <c r="CT674" s="492"/>
      <c r="CU674" s="492"/>
      <c r="CV674" s="492"/>
      <c r="CW674" s="492"/>
      <c r="CX674" s="492"/>
      <c r="CY674" s="492"/>
      <c r="CZ674" s="492"/>
      <c r="DA674" s="492"/>
      <c r="DB674" s="492"/>
      <c r="DC674" s="1311"/>
      <c r="DD674" s="331"/>
      <c r="DE674" s="331"/>
      <c r="DF674" s="502"/>
      <c r="DG674" s="503"/>
      <c r="DH674" s="3300"/>
      <c r="DI674" s="3213"/>
      <c r="DJ674" s="502"/>
      <c r="DK674" s="503"/>
      <c r="DL674" s="502"/>
      <c r="DM674" s="502"/>
      <c r="DN674" s="502"/>
      <c r="DO674" s="502"/>
      <c r="DP674" s="503"/>
      <c r="DQ674" s="503"/>
      <c r="DR674" s="296"/>
      <c r="DS674" s="296"/>
      <c r="DT674" s="296"/>
      <c r="DU674"/>
      <c r="DV674"/>
      <c r="DW674"/>
      <c r="DX674"/>
      <c r="DY674"/>
      <c r="DZ674"/>
    </row>
    <row r="675" spans="1:130" s="1049" customFormat="1" ht="12" customHeight="1" x14ac:dyDescent="0.25">
      <c r="A675" s="2102" t="s">
        <v>1418</v>
      </c>
      <c r="B675" s="428"/>
      <c r="C675" s="492"/>
      <c r="D675" s="492"/>
      <c r="E675" s="492"/>
      <c r="F675" s="492"/>
      <c r="G675" s="3014">
        <v>162.006</v>
      </c>
      <c r="H675" s="492"/>
      <c r="I675" s="492"/>
      <c r="J675" s="492"/>
      <c r="K675" s="492"/>
      <c r="L675" s="3014">
        <v>163.77099999999999</v>
      </c>
      <c r="M675" s="492"/>
      <c r="N675" s="492"/>
      <c r="O675" s="492"/>
      <c r="P675" s="492"/>
      <c r="Q675" s="2985">
        <f>SUM(Q673:Q674)</f>
        <v>162.87899999999999</v>
      </c>
      <c r="R675" s="492"/>
      <c r="S675" s="492"/>
      <c r="T675" s="492"/>
      <c r="U675" s="492"/>
      <c r="V675" s="2985">
        <f>SUM(V673:V674)</f>
        <v>156.84799999999998</v>
      </c>
      <c r="W675" s="492"/>
      <c r="X675" s="492"/>
      <c r="Y675" s="3012"/>
      <c r="Z675" s="3015">
        <f t="shared" ref="Z675:BI675" si="1540">SUM(Z673:Z674)</f>
        <v>22.836000000000006</v>
      </c>
      <c r="AA675" s="2985">
        <f t="shared" si="1540"/>
        <v>118.38300000000001</v>
      </c>
      <c r="AB675" s="2988">
        <f t="shared" si="1540"/>
        <v>23.346</v>
      </c>
      <c r="AC675" s="3015">
        <f t="shared" si="1540"/>
        <v>20.547999999999998</v>
      </c>
      <c r="AD675" s="3015">
        <f t="shared" si="1540"/>
        <v>18.835999999999999</v>
      </c>
      <c r="AE675" s="2202">
        <f t="shared" si="1540"/>
        <v>14.715</v>
      </c>
      <c r="AF675" s="2985">
        <f t="shared" si="1540"/>
        <v>77.445000000000007</v>
      </c>
      <c r="AG675" s="2988">
        <f t="shared" si="1540"/>
        <v>13.053000000000001</v>
      </c>
      <c r="AH675" s="3015">
        <f t="shared" si="1540"/>
        <v>13.813000000000001</v>
      </c>
      <c r="AI675" s="3015">
        <f t="shared" si="1540"/>
        <v>13.094000000000001</v>
      </c>
      <c r="AJ675" s="2202">
        <f t="shared" si="1540"/>
        <v>14.223999999999993</v>
      </c>
      <c r="AK675" s="2985">
        <f t="shared" si="1540"/>
        <v>54.183999999999997</v>
      </c>
      <c r="AL675" s="2988">
        <f t="shared" si="1540"/>
        <v>16.663</v>
      </c>
      <c r="AM675" s="3015">
        <f t="shared" si="1540"/>
        <v>24.419999999999995</v>
      </c>
      <c r="AN675" s="3015">
        <f t="shared" si="1540"/>
        <v>24.068999999999999</v>
      </c>
      <c r="AO675" s="2202">
        <f t="shared" si="1540"/>
        <v>20.272000000000006</v>
      </c>
      <c r="AP675" s="2985">
        <f t="shared" si="1540"/>
        <v>85.423999999999992</v>
      </c>
      <c r="AQ675" s="2988">
        <f t="shared" si="1540"/>
        <v>23.283000000000001</v>
      </c>
      <c r="AR675" s="3015">
        <f t="shared" si="1540"/>
        <v>25.415999999999997</v>
      </c>
      <c r="AS675" s="3015">
        <f t="shared" si="1540"/>
        <v>22.402999999999999</v>
      </c>
      <c r="AT675" s="2202">
        <f t="shared" si="1540"/>
        <v>20.293999999999997</v>
      </c>
      <c r="AU675" s="2985">
        <f t="shared" si="1540"/>
        <v>91.396000000000001</v>
      </c>
      <c r="AV675" s="2988">
        <f t="shared" si="1540"/>
        <v>20.881</v>
      </c>
      <c r="AW675" s="3015">
        <f t="shared" si="1540"/>
        <v>26.905000000000005</v>
      </c>
      <c r="AX675" s="3015">
        <f t="shared" si="1540"/>
        <v>24.727</v>
      </c>
      <c r="AY675" s="2202">
        <f t="shared" si="1540"/>
        <v>24.249000000000002</v>
      </c>
      <c r="AZ675" s="2981">
        <f t="shared" si="1540"/>
        <v>96.762</v>
      </c>
      <c r="BA675" s="2988">
        <f t="shared" si="1540"/>
        <v>27.149000000000001</v>
      </c>
      <c r="BB675" s="3015">
        <f t="shared" si="1540"/>
        <v>29.007999999999999</v>
      </c>
      <c r="BC675" s="3015">
        <f t="shared" si="1540"/>
        <v>26.389999999999997</v>
      </c>
      <c r="BD675" s="2202">
        <f t="shared" si="1540"/>
        <v>27.113</v>
      </c>
      <c r="BE675" s="2981">
        <f t="shared" si="1540"/>
        <v>109.66</v>
      </c>
      <c r="BF675" s="2988">
        <f t="shared" si="1540"/>
        <v>28.152999999999999</v>
      </c>
      <c r="BG675" s="3015">
        <f t="shared" si="1540"/>
        <v>30.817</v>
      </c>
      <c r="BH675" s="3015">
        <f t="shared" si="1540"/>
        <v>28.600238616637338</v>
      </c>
      <c r="BI675" s="3015">
        <f t="shared" si="1540"/>
        <v>27.512916101052884</v>
      </c>
      <c r="BJ675" s="2985">
        <f t="shared" ref="BJ675:CF675" si="1541">SUM(BJ673:BJ674)</f>
        <v>115.08315471769022</v>
      </c>
      <c r="BK675" s="3015">
        <f t="shared" si="1541"/>
        <v>26.811072000000003</v>
      </c>
      <c r="BL675" s="3015">
        <f t="shared" si="1541"/>
        <v>32.074182</v>
      </c>
      <c r="BM675" s="3015">
        <f t="shared" si="1541"/>
        <v>31.116984750000004</v>
      </c>
      <c r="BN675" s="3015">
        <f t="shared" si="1541"/>
        <v>29.598925320000006</v>
      </c>
      <c r="BO675" s="2985">
        <f t="shared" si="1541"/>
        <v>119.60116407</v>
      </c>
      <c r="BP675" s="3015">
        <f t="shared" si="1541"/>
        <v>29.298302897500001</v>
      </c>
      <c r="BQ675" s="3015">
        <f t="shared" si="1541"/>
        <v>31.808330417499999</v>
      </c>
      <c r="BR675" s="3015">
        <f t="shared" si="1541"/>
        <v>35.623908035625</v>
      </c>
      <c r="BS675" s="2981">
        <f t="shared" si="1541"/>
        <v>30.52652196048</v>
      </c>
      <c r="BT675" s="2202">
        <f t="shared" si="1541"/>
        <v>127.25706331110503</v>
      </c>
      <c r="BU675" s="3015">
        <f t="shared" si="1541"/>
        <v>30.444180712400001</v>
      </c>
      <c r="BV675" s="3015">
        <f>SUM(BV673:BV674)</f>
        <v>33.52908554222499</v>
      </c>
      <c r="BW675" s="3015">
        <f>SUM(BW673:BW674)</f>
        <v>37.79073638510625</v>
      </c>
      <c r="BX675" s="3015">
        <f>SUM(BX673:BX674)</f>
        <v>33.029818088904008</v>
      </c>
      <c r="BY675" s="3440">
        <f>SUM(BY673:BY674)</f>
        <v>134.79382072863527</v>
      </c>
      <c r="BZ675" s="2981">
        <f t="shared" si="1541"/>
        <v>138.9010671453039</v>
      </c>
      <c r="CA675" s="2981">
        <f t="shared" si="1541"/>
        <v>143.15223560750522</v>
      </c>
      <c r="CB675" s="2981">
        <f t="shared" si="1541"/>
        <v>138.85766853928007</v>
      </c>
      <c r="CC675" s="2981">
        <f t="shared" si="1541"/>
        <v>134.69193848310167</v>
      </c>
      <c r="CD675" s="2981">
        <f t="shared" si="1541"/>
        <v>136.03885786793268</v>
      </c>
      <c r="CE675" s="2981">
        <f t="shared" si="1541"/>
        <v>137.39924644661198</v>
      </c>
      <c r="CF675" s="2981">
        <f t="shared" si="1541"/>
        <v>138.77323891107812</v>
      </c>
      <c r="CG675" s="331"/>
      <c r="CH675" s="331"/>
      <c r="CI675" s="331"/>
      <c r="CJ675" s="331"/>
      <c r="CK675" s="331"/>
      <c r="CL675" s="2036"/>
      <c r="CM675" s="492"/>
      <c r="CN675" s="492"/>
      <c r="CO675" s="492"/>
      <c r="CP675" s="492"/>
      <c r="CQ675" s="492"/>
      <c r="CR675" s="492"/>
      <c r="CS675" s="492"/>
      <c r="CT675" s="492"/>
      <c r="CU675" s="492"/>
      <c r="CV675" s="492"/>
      <c r="CW675" s="492"/>
      <c r="CX675" s="492"/>
      <c r="CY675" s="492"/>
      <c r="CZ675" s="492"/>
      <c r="DA675" s="492"/>
      <c r="DB675" s="492"/>
      <c r="DC675" s="1311"/>
      <c r="DD675" s="331"/>
      <c r="DE675" s="331"/>
      <c r="DF675" s="502"/>
      <c r="DG675" s="503"/>
      <c r="DH675" s="2144"/>
      <c r="DI675" s="3213"/>
      <c r="DJ675" s="502"/>
      <c r="DK675" s="503"/>
      <c r="DL675" s="502"/>
      <c r="DM675" s="502"/>
      <c r="DN675" s="502"/>
      <c r="DO675" s="502"/>
      <c r="DP675" s="503"/>
      <c r="DQ675" s="503"/>
      <c r="DR675" s="296"/>
      <c r="DS675" s="296"/>
      <c r="DT675" s="296"/>
      <c r="DU675"/>
      <c r="DV675"/>
      <c r="DW675"/>
      <c r="DX675"/>
      <c r="DY675"/>
      <c r="DZ675"/>
    </row>
    <row r="676" spans="1:130" s="1049" customFormat="1" ht="12" customHeight="1" x14ac:dyDescent="0.25">
      <c r="A676" s="2239" t="s">
        <v>1491</v>
      </c>
      <c r="B676" s="428"/>
      <c r="C676" s="492"/>
      <c r="D676" s="492"/>
      <c r="E676" s="492"/>
      <c r="F676" s="492"/>
      <c r="G676" s="493"/>
      <c r="H676" s="492"/>
      <c r="I676" s="492"/>
      <c r="J676" s="492"/>
      <c r="K676" s="492"/>
      <c r="L676" s="493"/>
      <c r="M676" s="492"/>
      <c r="N676" s="492"/>
      <c r="O676" s="492"/>
      <c r="P676" s="492"/>
      <c r="Q676" s="1689"/>
      <c r="R676" s="492"/>
      <c r="S676" s="492"/>
      <c r="T676" s="492"/>
      <c r="U676" s="492"/>
      <c r="V676" s="1689">
        <f>+V675/Q675-1</f>
        <v>-3.7027486661877829E-2</v>
      </c>
      <c r="W676" s="492"/>
      <c r="X676" s="492"/>
      <c r="Y676" s="492"/>
      <c r="Z676" s="519"/>
      <c r="AA676" s="1689">
        <f t="shared" ref="AA676:BI676" si="1542">+AA675/V675-1</f>
        <v>-0.24523742731816778</v>
      </c>
      <c r="AB676" s="1618"/>
      <c r="AC676" s="519"/>
      <c r="AD676" s="519"/>
      <c r="AE676" s="1462">
        <f>+AE675/Z675-1</f>
        <v>-0.35562270099842375</v>
      </c>
      <c r="AF676" s="1689">
        <f t="shared" si="1542"/>
        <v>-0.34580978687818353</v>
      </c>
      <c r="AG676" s="1618">
        <f t="shared" si="1542"/>
        <v>-0.44088923156001025</v>
      </c>
      <c r="AH676" s="519">
        <f t="shared" si="1542"/>
        <v>-0.32776912594899743</v>
      </c>
      <c r="AI676" s="519">
        <f t="shared" si="1542"/>
        <v>-0.30484179231259279</v>
      </c>
      <c r="AJ676" s="1462">
        <f t="shared" si="1542"/>
        <v>-3.3367312266395333E-2</v>
      </c>
      <c r="AK676" s="1689">
        <f t="shared" si="1542"/>
        <v>-0.30035509070953592</v>
      </c>
      <c r="AL676" s="1618">
        <f t="shared" si="1542"/>
        <v>0.27656477438136817</v>
      </c>
      <c r="AM676" s="519">
        <f t="shared" si="1542"/>
        <v>0.76789980453196227</v>
      </c>
      <c r="AN676" s="519">
        <f t="shared" si="1542"/>
        <v>0.83817015426913066</v>
      </c>
      <c r="AO676" s="1462">
        <f t="shared" si="1542"/>
        <v>0.42519685039370181</v>
      </c>
      <c r="AP676" s="1689">
        <f t="shared" si="1542"/>
        <v>0.57655396426989514</v>
      </c>
      <c r="AQ676" s="1618">
        <f t="shared" si="1542"/>
        <v>0.39728740322871037</v>
      </c>
      <c r="AR676" s="519">
        <f t="shared" si="1542"/>
        <v>4.0786240786240935E-2</v>
      </c>
      <c r="AS676" s="519">
        <f t="shared" si="1542"/>
        <v>-6.9217665877269519E-2</v>
      </c>
      <c r="AT676" s="1462">
        <f t="shared" si="1542"/>
        <v>1.0852407261243702E-3</v>
      </c>
      <c r="AU676" s="1689">
        <f t="shared" si="1542"/>
        <v>6.9910095523506355E-2</v>
      </c>
      <c r="AV676" s="1618">
        <f t="shared" si="1542"/>
        <v>-0.1031653996478118</v>
      </c>
      <c r="AW676" s="519">
        <f t="shared" si="1542"/>
        <v>5.8585143216871582E-2</v>
      </c>
      <c r="AX676" s="519">
        <f t="shared" si="1542"/>
        <v>0.10373610677141465</v>
      </c>
      <c r="AY676" s="1462">
        <f t="shared" si="1542"/>
        <v>0.19488518774021912</v>
      </c>
      <c r="AZ676" s="1462">
        <f t="shared" si="1542"/>
        <v>5.8711540986476463E-2</v>
      </c>
      <c r="BA676" s="1618">
        <f t="shared" si="1542"/>
        <v>0.30017719457880365</v>
      </c>
      <c r="BB676" s="519">
        <f t="shared" si="1542"/>
        <v>7.8163910053893115E-2</v>
      </c>
      <c r="BC676" s="519">
        <f t="shared" si="1542"/>
        <v>6.7254418247259862E-2</v>
      </c>
      <c r="BD676" s="1462">
        <f t="shared" si="1542"/>
        <v>0.11810796321497774</v>
      </c>
      <c r="BE676" s="1462">
        <f t="shared" si="1542"/>
        <v>0.13329612864554252</v>
      </c>
      <c r="BF676" s="1618">
        <f t="shared" si="1542"/>
        <v>3.6981104276400556E-2</v>
      </c>
      <c r="BG676" s="1875">
        <f t="shared" si="1542"/>
        <v>6.2362107004964251E-2</v>
      </c>
      <c r="BH676" s="1875">
        <f t="shared" si="1542"/>
        <v>8.3752884298497143E-2</v>
      </c>
      <c r="BI676" s="519">
        <f t="shared" si="1542"/>
        <v>1.4749976065093762E-2</v>
      </c>
      <c r="BJ676" s="1619">
        <f t="shared" ref="BJ676:BO676" si="1543">+BJ675/BE675-1</f>
        <v>4.9454265162230726E-2</v>
      </c>
      <c r="BK676" s="1875">
        <f t="shared" si="1543"/>
        <v>-4.7665541860547611E-2</v>
      </c>
      <c r="BL676" s="1875">
        <f t="shared" si="1543"/>
        <v>4.0795080637310521E-2</v>
      </c>
      <c r="BM676" s="1875">
        <f t="shared" si="1543"/>
        <v>8.7997382367943633E-2</v>
      </c>
      <c r="BN676" s="519">
        <f t="shared" si="1543"/>
        <v>7.5819270166977759E-2</v>
      </c>
      <c r="BO676" s="1619">
        <f t="shared" si="1543"/>
        <v>3.9258650524421901E-2</v>
      </c>
      <c r="BP676" s="1875">
        <f t="shared" ref="BP676:BX676" si="1544">+BP675/BK675-1</f>
        <v>9.2768797066375974E-2</v>
      </c>
      <c r="BQ676" s="1875">
        <f t="shared" si="1544"/>
        <v>-8.2886473145286077E-3</v>
      </c>
      <c r="BR676" s="1875">
        <f t="shared" si="1544"/>
        <v>0.14483804654707089</v>
      </c>
      <c r="BS676" s="1876">
        <f t="shared" si="1544"/>
        <v>3.1338862152985536E-2</v>
      </c>
      <c r="BT676" s="1462">
        <f t="shared" si="1544"/>
        <v>6.4011912431088058E-2</v>
      </c>
      <c r="BU676" s="1875">
        <f t="shared" si="1544"/>
        <v>3.911072320157416E-2</v>
      </c>
      <c r="BV676" s="1875">
        <f t="shared" si="1544"/>
        <v>5.4097624808948863E-2</v>
      </c>
      <c r="BW676" s="1875">
        <f t="shared" si="1544"/>
        <v>6.0825116304318971E-2</v>
      </c>
      <c r="BX676" s="1875">
        <f t="shared" si="1544"/>
        <v>8.2003974500101995E-2</v>
      </c>
      <c r="BY676" s="591">
        <f>+BY675/BT675-1</f>
        <v>5.9224668725107676E-2</v>
      </c>
      <c r="BZ676" s="1462">
        <f t="shared" ref="BZ676:CF676" si="1545">+BZ675/BY675-1</f>
        <v>3.0470583847736377E-2</v>
      </c>
      <c r="CA676" s="1462">
        <f t="shared" si="1545"/>
        <v>3.0605729312030316E-2</v>
      </c>
      <c r="CB676" s="1462">
        <f t="shared" si="1545"/>
        <v>-2.9999999999999916E-2</v>
      </c>
      <c r="CC676" s="1462">
        <f t="shared" si="1545"/>
        <v>-3.0000000000000027E-2</v>
      </c>
      <c r="CD676" s="1462">
        <f t="shared" si="1545"/>
        <v>1.0000000000000009E-2</v>
      </c>
      <c r="CE676" s="1462">
        <f t="shared" si="1545"/>
        <v>9.9999999999997868E-3</v>
      </c>
      <c r="CF676" s="1462">
        <f t="shared" si="1545"/>
        <v>1.0000000000000231E-2</v>
      </c>
      <c r="CG676" s="331"/>
      <c r="CH676" s="331"/>
      <c r="CI676" s="331"/>
      <c r="CJ676" s="331"/>
      <c r="CK676" s="331"/>
      <c r="CL676" s="2036"/>
      <c r="CM676" s="492"/>
      <c r="CN676" s="492"/>
      <c r="CO676" s="492"/>
      <c r="CP676" s="492"/>
      <c r="CQ676" s="492"/>
      <c r="CR676" s="492"/>
      <c r="CS676" s="492"/>
      <c r="CT676" s="492"/>
      <c r="CU676" s="492"/>
      <c r="CV676" s="492"/>
      <c r="CW676" s="492"/>
      <c r="CX676" s="492"/>
      <c r="CY676" s="492"/>
      <c r="CZ676" s="492"/>
      <c r="DA676" s="492"/>
      <c r="DB676" s="492"/>
      <c r="DC676" s="1311"/>
      <c r="DD676" s="331"/>
      <c r="DE676" s="331"/>
      <c r="DF676" s="502"/>
      <c r="DG676" s="503"/>
      <c r="DH676" s="519"/>
      <c r="DI676" s="3213"/>
      <c r="DJ676" s="502"/>
      <c r="DK676" s="503"/>
      <c r="DL676" s="502"/>
      <c r="DM676" s="502"/>
      <c r="DN676" s="502"/>
      <c r="DO676" s="502"/>
      <c r="DP676" s="503"/>
      <c r="DQ676" s="503"/>
      <c r="DR676" s="296"/>
      <c r="DS676" s="296"/>
      <c r="DT676" s="296"/>
      <c r="DU676"/>
      <c r="DV676"/>
      <c r="DW676"/>
      <c r="DX676"/>
      <c r="DY676"/>
      <c r="DZ676"/>
    </row>
    <row r="677" spans="1:130" s="1049" customFormat="1" ht="12" customHeight="1" x14ac:dyDescent="0.25">
      <c r="A677" s="2239" t="s">
        <v>2307</v>
      </c>
      <c r="B677" s="428"/>
      <c r="C677" s="492"/>
      <c r="D677" s="492"/>
      <c r="E677" s="492"/>
      <c r="F677" s="492"/>
      <c r="G677" s="493"/>
      <c r="H677" s="492"/>
      <c r="I677" s="492"/>
      <c r="J677" s="492"/>
      <c r="K677" s="492"/>
      <c r="L677" s="493"/>
      <c r="M677" s="492"/>
      <c r="N677" s="492"/>
      <c r="O677" s="492"/>
      <c r="P677" s="492"/>
      <c r="Q677" s="1689"/>
      <c r="R677" s="492"/>
      <c r="S677" s="492"/>
      <c r="T677" s="492"/>
      <c r="U677" s="492"/>
      <c r="V677" s="1689">
        <f>+-V674/V673</f>
        <v>6.8122675475599179E-2</v>
      </c>
      <c r="W677" s="492"/>
      <c r="X677" s="492"/>
      <c r="Y677" s="492"/>
      <c r="Z677" s="519">
        <f>+-Z674/Z673</f>
        <v>8.3884944036586848E-2</v>
      </c>
      <c r="AA677" s="1689">
        <f t="shared" ref="AA677:BG677" si="1546">+-AA674/AA673</f>
        <v>7.2604209916099366E-2</v>
      </c>
      <c r="AB677" s="1618">
        <f t="shared" si="1546"/>
        <v>8.1444759206798861E-2</v>
      </c>
      <c r="AC677" s="519">
        <f t="shared" si="1546"/>
        <v>7.7903428468856575E-2</v>
      </c>
      <c r="AD677" s="519">
        <f t="shared" si="1546"/>
        <v>9.184706619738682E-2</v>
      </c>
      <c r="AE677" s="1462">
        <f t="shared" si="1546"/>
        <v>0.1063946073966114</v>
      </c>
      <c r="AF677" s="1689">
        <f t="shared" si="1546"/>
        <v>8.7895133556319782E-2</v>
      </c>
      <c r="AG677" s="1618">
        <f t="shared" si="1546"/>
        <v>0.10152808370044053</v>
      </c>
      <c r="AH677" s="519">
        <f t="shared" si="1546"/>
        <v>0.10543358590764845</v>
      </c>
      <c r="AI677" s="519">
        <f t="shared" si="1546"/>
        <v>0.12607621971567776</v>
      </c>
      <c r="AJ677" s="1462">
        <f t="shared" si="1546"/>
        <v>0.11985644452694764</v>
      </c>
      <c r="AK677" s="1689">
        <f t="shared" si="1546"/>
        <v>0.11338013188683259</v>
      </c>
      <c r="AL677" s="1618">
        <f t="shared" si="1546"/>
        <v>9.6758456201214219E-2</v>
      </c>
      <c r="AM677" s="519">
        <f t="shared" si="1546"/>
        <v>8.9077887197851396E-2</v>
      </c>
      <c r="AN677" s="519">
        <f t="shared" si="1546"/>
        <v>0.10250577970020137</v>
      </c>
      <c r="AO677" s="1462">
        <f t="shared" si="1546"/>
        <v>0.1089230769230769</v>
      </c>
      <c r="AP677" s="1689">
        <f t="shared" si="1546"/>
        <v>9.9131021682274542E-2</v>
      </c>
      <c r="AQ677" s="1618">
        <f t="shared" si="1546"/>
        <v>0.11058904423561769</v>
      </c>
      <c r="AR677" s="519">
        <f t="shared" si="1546"/>
        <v>0.10035043007327175</v>
      </c>
      <c r="AS677" s="519">
        <f t="shared" si="1546"/>
        <v>0.11250643742819792</v>
      </c>
      <c r="AT677" s="1462">
        <f t="shared" si="1546"/>
        <v>9.1950422837710863E-2</v>
      </c>
      <c r="AU677" s="1689">
        <f t="shared" si="1546"/>
        <v>0.10414522500269552</v>
      </c>
      <c r="AV677" s="1618">
        <f t="shared" si="1546"/>
        <v>0.10416577287742931</v>
      </c>
      <c r="AW677" s="519">
        <f t="shared" si="1546"/>
        <v>9.5539045954213864E-2</v>
      </c>
      <c r="AX677" s="519">
        <f t="shared" si="1546"/>
        <v>9.5739623331504847E-2</v>
      </c>
      <c r="AY677" s="1462">
        <f t="shared" si="1546"/>
        <v>9.7845902005282953E-2</v>
      </c>
      <c r="AZ677" s="1689">
        <f t="shared" si="1546"/>
        <v>9.8042505592841167E-2</v>
      </c>
      <c r="BA677" s="1618">
        <f t="shared" si="1546"/>
        <v>8.410363673166453E-2</v>
      </c>
      <c r="BB677" s="519">
        <f t="shared" si="1546"/>
        <v>8.199626570461091E-2</v>
      </c>
      <c r="BC677" s="519">
        <f t="shared" si="1546"/>
        <v>8.7766600988627333E-2</v>
      </c>
      <c r="BD677" s="1462">
        <f t="shared" si="1546"/>
        <v>9.2330353854909467E-2</v>
      </c>
      <c r="BE677" s="1868">
        <f t="shared" si="1546"/>
        <v>8.647878641464167E-2</v>
      </c>
      <c r="BF677" s="1618">
        <f t="shared" si="1546"/>
        <v>8.4871928227798737E-2</v>
      </c>
      <c r="BG677" s="519">
        <f t="shared" si="1546"/>
        <v>8.0830375518239031E-2</v>
      </c>
      <c r="BH677" s="3025">
        <f>+BG677</f>
        <v>8.0830375518239031E-2</v>
      </c>
      <c r="BI677" s="3025">
        <f>+BH677</f>
        <v>8.0830375518239031E-2</v>
      </c>
      <c r="BJ677" s="1689">
        <f>+-BJ674/BJ673</f>
        <v>8.182236256801996E-2</v>
      </c>
      <c r="BK677" s="3088">
        <v>0.1</v>
      </c>
      <c r="BL677" s="3088">
        <v>0.1</v>
      </c>
      <c r="BM677" s="3088">
        <v>0.1</v>
      </c>
      <c r="BN677" s="3088">
        <v>0.1</v>
      </c>
      <c r="BO677" s="1689">
        <f>+-BO674/BO673</f>
        <v>0.10000000000000002</v>
      </c>
      <c r="BP677" s="3088">
        <v>0.09</v>
      </c>
      <c r="BQ677" s="3088">
        <v>0.09</v>
      </c>
      <c r="BR677" s="3088">
        <v>0.09</v>
      </c>
      <c r="BS677" s="3209">
        <v>0.09</v>
      </c>
      <c r="BT677" s="1462">
        <f>+-BT674/BT673</f>
        <v>8.9999999999999969E-2</v>
      </c>
      <c r="BU677" s="936">
        <v>0.09</v>
      </c>
      <c r="BV677" s="936">
        <v>0.09</v>
      </c>
      <c r="BW677" s="936">
        <v>0.09</v>
      </c>
      <c r="BX677" s="936">
        <v>0.09</v>
      </c>
      <c r="BY677" s="591">
        <f>+-BY674/BY673</f>
        <v>0.09</v>
      </c>
      <c r="BZ677" s="2993">
        <f t="shared" ref="BZ677:CF677" si="1547">+BY677</f>
        <v>0.09</v>
      </c>
      <c r="CA677" s="2993">
        <f t="shared" si="1547"/>
        <v>0.09</v>
      </c>
      <c r="CB677" s="2993">
        <f t="shared" si="1547"/>
        <v>0.09</v>
      </c>
      <c r="CC677" s="2993">
        <f t="shared" si="1547"/>
        <v>0.09</v>
      </c>
      <c r="CD677" s="2993">
        <f t="shared" si="1547"/>
        <v>0.09</v>
      </c>
      <c r="CE677" s="2993">
        <f t="shared" si="1547"/>
        <v>0.09</v>
      </c>
      <c r="CF677" s="2993">
        <f t="shared" si="1547"/>
        <v>0.09</v>
      </c>
      <c r="CG677" s="331"/>
      <c r="CH677" s="331"/>
      <c r="CI677" s="331"/>
      <c r="CJ677" s="331"/>
      <c r="CK677" s="331"/>
      <c r="CL677" s="2036"/>
      <c r="CM677" s="492"/>
      <c r="CN677" s="492"/>
      <c r="CO677" s="492"/>
      <c r="CP677" s="492"/>
      <c r="CQ677" s="492"/>
      <c r="CR677" s="492"/>
      <c r="CS677" s="492"/>
      <c r="CT677" s="492"/>
      <c r="CU677" s="492"/>
      <c r="CV677" s="492"/>
      <c r="CW677" s="492"/>
      <c r="CX677" s="492"/>
      <c r="CY677" s="492"/>
      <c r="CZ677" s="492"/>
      <c r="DA677" s="492"/>
      <c r="DB677" s="492"/>
      <c r="DC677" s="1311"/>
      <c r="DD677" s="331"/>
      <c r="DE677" s="331"/>
      <c r="DF677" s="502"/>
      <c r="DG677" s="503"/>
      <c r="DH677" s="519"/>
      <c r="DI677" s="3213"/>
      <c r="DJ677" s="502"/>
      <c r="DK677" s="503"/>
      <c r="DL677" s="502"/>
      <c r="DM677" s="502"/>
      <c r="DN677" s="502"/>
      <c r="DO677" s="502"/>
      <c r="DP677" s="503"/>
      <c r="DQ677" s="503"/>
      <c r="DR677" s="296"/>
      <c r="DS677" s="296"/>
      <c r="DT677" s="296"/>
      <c r="DU677"/>
      <c r="DV677"/>
      <c r="DW677"/>
      <c r="DX677"/>
      <c r="DY677"/>
      <c r="DZ677"/>
    </row>
    <row r="678" spans="1:130" s="1049" customFormat="1" ht="12" customHeight="1" x14ac:dyDescent="0.25">
      <c r="A678" s="428"/>
      <c r="B678" s="428"/>
      <c r="C678" s="492"/>
      <c r="D678" s="492"/>
      <c r="E678" s="492"/>
      <c r="F678" s="492"/>
      <c r="G678" s="493"/>
      <c r="H678" s="492"/>
      <c r="I678" s="492"/>
      <c r="J678" s="492"/>
      <c r="K678" s="492"/>
      <c r="L678" s="493"/>
      <c r="M678" s="492"/>
      <c r="N678" s="492"/>
      <c r="O678" s="492"/>
      <c r="P678" s="492"/>
      <c r="Q678" s="1690"/>
      <c r="R678" s="492"/>
      <c r="S678" s="492"/>
      <c r="T678" s="492"/>
      <c r="U678" s="492"/>
      <c r="V678" s="1690"/>
      <c r="W678" s="492"/>
      <c r="X678" s="492"/>
      <c r="Y678" s="492"/>
      <c r="Z678" s="1837"/>
      <c r="AA678" s="1690"/>
      <c r="AB678" s="1902"/>
      <c r="AC678" s="1837"/>
      <c r="AD678" s="1837"/>
      <c r="AE678" s="3016"/>
      <c r="AF678" s="1690"/>
      <c r="AG678" s="1902"/>
      <c r="AH678" s="1837"/>
      <c r="AI678" s="1837"/>
      <c r="AJ678" s="3016"/>
      <c r="AK678" s="1690"/>
      <c r="AL678" s="1902"/>
      <c r="AM678" s="1837"/>
      <c r="AN678" s="1837"/>
      <c r="AO678" s="3016"/>
      <c r="AP678" s="1690"/>
      <c r="AQ678" s="1902"/>
      <c r="AR678" s="1837"/>
      <c r="AS678" s="1837"/>
      <c r="AT678" s="3016"/>
      <c r="AU678" s="1690"/>
      <c r="AV678" s="1902"/>
      <c r="AW678" s="1837"/>
      <c r="AX678" s="1837"/>
      <c r="AY678" s="3016"/>
      <c r="AZ678" s="1903"/>
      <c r="BA678" s="1902"/>
      <c r="BB678" s="1837"/>
      <c r="BC678" s="1837"/>
      <c r="BD678" s="3016"/>
      <c r="BE678" s="1903"/>
      <c r="BF678" s="1902"/>
      <c r="BG678" s="492"/>
      <c r="BH678" s="492"/>
      <c r="BI678" s="1311"/>
      <c r="BJ678" s="1903"/>
      <c r="BK678" s="492"/>
      <c r="BL678" s="492"/>
      <c r="BM678" s="492"/>
      <c r="BN678" s="1311"/>
      <c r="BO678" s="1903"/>
      <c r="BP678" s="492"/>
      <c r="BQ678" s="492"/>
      <c r="BR678" s="492"/>
      <c r="BS678" s="1311"/>
      <c r="BT678" s="2950"/>
      <c r="BU678" s="2653"/>
      <c r="BV678" s="2653"/>
      <c r="BW678" s="2653"/>
      <c r="BX678" s="2653"/>
      <c r="BY678" s="2693"/>
      <c r="BZ678" s="493"/>
      <c r="CA678" s="493"/>
      <c r="CB678" s="493"/>
      <c r="CC678" s="493"/>
      <c r="CD678" s="493"/>
      <c r="CE678" s="493"/>
      <c r="CF678" s="493"/>
      <c r="CG678" s="331"/>
      <c r="CH678" s="331"/>
      <c r="CI678" s="331"/>
      <c r="CJ678" s="331"/>
      <c r="CK678" s="331"/>
      <c r="CL678" s="2036"/>
      <c r="CM678" s="492"/>
      <c r="CN678" s="492"/>
      <c r="CO678" s="492"/>
      <c r="CP678" s="492"/>
      <c r="CQ678" s="492"/>
      <c r="CR678" s="492"/>
      <c r="CS678" s="492"/>
      <c r="CT678" s="492"/>
      <c r="CU678" s="492"/>
      <c r="CV678" s="492"/>
      <c r="CW678" s="492"/>
      <c r="CX678" s="492"/>
      <c r="CY678" s="492"/>
      <c r="CZ678" s="492"/>
      <c r="DA678" s="492"/>
      <c r="DB678" s="492"/>
      <c r="DC678" s="1311"/>
      <c r="DD678" s="331"/>
      <c r="DE678" s="331"/>
      <c r="DF678" s="502"/>
      <c r="DG678" s="503"/>
      <c r="DH678" s="2653"/>
      <c r="DI678" s="3213"/>
      <c r="DJ678" s="502"/>
      <c r="DK678" s="503"/>
      <c r="DL678" s="502"/>
      <c r="DM678" s="502"/>
      <c r="DN678" s="502"/>
      <c r="DO678" s="502"/>
      <c r="DP678" s="503"/>
      <c r="DQ678" s="503"/>
      <c r="DR678" s="296"/>
      <c r="DS678" s="296"/>
      <c r="DT678" s="296"/>
      <c r="DU678"/>
      <c r="DV678"/>
      <c r="DW678"/>
      <c r="DX678"/>
      <c r="DY678"/>
      <c r="DZ678"/>
    </row>
    <row r="679" spans="1:130" s="1049" customFormat="1" ht="12" customHeight="1" x14ac:dyDescent="0.25">
      <c r="A679" s="3017" t="s">
        <v>601</v>
      </c>
      <c r="B679" s="428"/>
      <c r="C679" s="492"/>
      <c r="D679" s="492"/>
      <c r="E679" s="492"/>
      <c r="F679" s="492"/>
      <c r="G679" s="493"/>
      <c r="H679" s="492"/>
      <c r="I679" s="492"/>
      <c r="J679" s="492"/>
      <c r="K679" s="492"/>
      <c r="L679" s="493"/>
      <c r="M679" s="492"/>
      <c r="N679" s="492"/>
      <c r="O679" s="492"/>
      <c r="P679" s="492"/>
      <c r="Q679" s="1464"/>
      <c r="R679" s="492"/>
      <c r="S679" s="492"/>
      <c r="T679" s="492"/>
      <c r="U679" s="492"/>
      <c r="V679" s="1464"/>
      <c r="W679" s="492"/>
      <c r="X679" s="492"/>
      <c r="Y679" s="492"/>
      <c r="Z679" s="1771"/>
      <c r="AA679" s="1464"/>
      <c r="AB679" s="1865"/>
      <c r="AC679" s="1771"/>
      <c r="AD679" s="1771"/>
      <c r="AE679" s="2911"/>
      <c r="AF679" s="1464"/>
      <c r="AG679" s="1865"/>
      <c r="AH679" s="1771"/>
      <c r="AI679" s="1771"/>
      <c r="AJ679" s="2911"/>
      <c r="AK679" s="1464"/>
      <c r="AL679" s="1865"/>
      <c r="AM679" s="1771"/>
      <c r="AN679" s="1771"/>
      <c r="AO679" s="2911"/>
      <c r="AP679" s="1464"/>
      <c r="AQ679" s="1865"/>
      <c r="AR679" s="1771"/>
      <c r="AS679" s="1771"/>
      <c r="AT679" s="2911"/>
      <c r="AU679" s="1464"/>
      <c r="AV679" s="1865"/>
      <c r="AW679" s="1771"/>
      <c r="AX679" s="1771"/>
      <c r="AY679" s="2911"/>
      <c r="AZ679" s="1866"/>
      <c r="BA679" s="1865"/>
      <c r="BB679" s="1771"/>
      <c r="BC679" s="1771"/>
      <c r="BD679" s="2911"/>
      <c r="BE679" s="1866"/>
      <c r="BF679" s="1865"/>
      <c r="BG679" s="492"/>
      <c r="BH679" s="492"/>
      <c r="BI679" s="1311"/>
      <c r="BJ679" s="1866"/>
      <c r="BK679" s="492"/>
      <c r="BL679" s="492"/>
      <c r="BM679" s="492"/>
      <c r="BN679" s="1311"/>
      <c r="BO679" s="1866"/>
      <c r="BP679" s="492"/>
      <c r="BQ679" s="492"/>
      <c r="BR679" s="492"/>
      <c r="BS679" s="1311"/>
      <c r="BT679" s="2950"/>
      <c r="BU679" s="2653"/>
      <c r="BV679" s="2653"/>
      <c r="BW679" s="2653"/>
      <c r="BX679" s="2653"/>
      <c r="BY679" s="2693"/>
      <c r="BZ679" s="493"/>
      <c r="CA679" s="493"/>
      <c r="CB679" s="493"/>
      <c r="CC679" s="493"/>
      <c r="CD679" s="493"/>
      <c r="CE679" s="493"/>
      <c r="CF679" s="493"/>
      <c r="CG679" s="331"/>
      <c r="CH679" s="331"/>
      <c r="CI679" s="331"/>
      <c r="CJ679" s="331"/>
      <c r="CK679" s="331"/>
      <c r="CL679" s="2036"/>
      <c r="CM679" s="492"/>
      <c r="CN679" s="492"/>
      <c r="CO679" s="492"/>
      <c r="CP679" s="492"/>
      <c r="CQ679" s="492"/>
      <c r="CR679" s="492"/>
      <c r="CS679" s="492"/>
      <c r="CT679" s="492"/>
      <c r="CU679" s="492"/>
      <c r="CV679" s="492"/>
      <c r="CW679" s="492"/>
      <c r="CX679" s="492"/>
      <c r="CY679" s="492"/>
      <c r="CZ679" s="492"/>
      <c r="DA679" s="492"/>
      <c r="DB679" s="492"/>
      <c r="DC679" s="1311"/>
      <c r="DD679" s="331"/>
      <c r="DE679" s="331"/>
      <c r="DF679" s="502"/>
      <c r="DG679" s="503"/>
      <c r="DH679" s="2653"/>
      <c r="DI679" s="3213"/>
      <c r="DJ679" s="502"/>
      <c r="DK679" s="503"/>
      <c r="DL679" s="502"/>
      <c r="DM679" s="502"/>
      <c r="DN679" s="502"/>
      <c r="DO679" s="502"/>
      <c r="DP679" s="503"/>
      <c r="DQ679" s="503"/>
      <c r="DR679" s="296"/>
      <c r="DS679" s="296"/>
      <c r="DT679" s="296"/>
      <c r="DU679"/>
      <c r="DV679"/>
      <c r="DW679"/>
      <c r="DX679"/>
      <c r="DY679"/>
      <c r="DZ679"/>
    </row>
    <row r="680" spans="1:130" s="1049" customFormat="1" ht="12" customHeight="1" x14ac:dyDescent="0.25">
      <c r="A680" s="3018" t="s">
        <v>849</v>
      </c>
      <c r="B680" s="428"/>
      <c r="C680" s="492"/>
      <c r="D680" s="492"/>
      <c r="E680" s="492"/>
      <c r="F680" s="492"/>
      <c r="G680" s="493"/>
      <c r="H680" s="492"/>
      <c r="I680" s="492"/>
      <c r="J680" s="492"/>
      <c r="K680" s="492"/>
      <c r="L680" s="493"/>
      <c r="M680" s="492"/>
      <c r="N680" s="492"/>
      <c r="O680" s="492"/>
      <c r="P680" s="492"/>
      <c r="Q680" s="2982">
        <v>35.634999999999998</v>
      </c>
      <c r="R680" s="492"/>
      <c r="S680" s="492"/>
      <c r="T680" s="492"/>
      <c r="U680" s="492"/>
      <c r="V680" s="2982">
        <v>28.297000000000001</v>
      </c>
      <c r="W680" s="492"/>
      <c r="X680" s="492"/>
      <c r="Y680" s="492"/>
      <c r="Z680" s="2962">
        <f>28.503-21.857</f>
        <v>6.6460000000000008</v>
      </c>
      <c r="AA680" s="2982">
        <v>28.503</v>
      </c>
      <c r="AB680" s="2986">
        <v>6.3490000000000002</v>
      </c>
      <c r="AC680" s="2962">
        <v>6.0949999999999998</v>
      </c>
      <c r="AD680" s="2962">
        <v>6.6749999999999998</v>
      </c>
      <c r="AE680" s="2989">
        <f t="shared" ref="AE680:AE689" si="1548">+AF680-SUM(AB680:AD680)</f>
        <v>5.7360000000000007</v>
      </c>
      <c r="AF680" s="2982">
        <f>12.411+12.444</f>
        <v>24.855</v>
      </c>
      <c r="AG680" s="2986">
        <v>5.202</v>
      </c>
      <c r="AH680" s="2962">
        <v>5.2249999999999996</v>
      </c>
      <c r="AI680" s="2962">
        <v>5.4610000000000003</v>
      </c>
      <c r="AJ680" s="2989">
        <f t="shared" ref="AJ680:AJ689" si="1549">+AK680-SUM(AG680:AI680)</f>
        <v>5.4060000000000006</v>
      </c>
      <c r="AK680" s="2982">
        <v>21.294</v>
      </c>
      <c r="AL680" s="2986">
        <v>4.968</v>
      </c>
      <c r="AM680" s="2962">
        <v>6.4020000000000001</v>
      </c>
      <c r="AN680" s="2962">
        <v>6.9050000000000002</v>
      </c>
      <c r="AO680" s="2989">
        <f t="shared" ref="AO680:AO689" si="1550">+AP680-SUM(AL680:AN680)</f>
        <v>6.4629999999999974</v>
      </c>
      <c r="AP680" s="2982">
        <v>24.738</v>
      </c>
      <c r="AQ680" s="2986">
        <v>7.42</v>
      </c>
      <c r="AR680" s="2962">
        <v>6.9269999999999996</v>
      </c>
      <c r="AS680" s="2962">
        <v>7.6849999999999996</v>
      </c>
      <c r="AT680" s="2989">
        <f t="shared" ref="AT680:AT689" si="1551">+AU680-SUM(AQ680:AS680)</f>
        <v>6.7169999999999987</v>
      </c>
      <c r="AU680" s="2982">
        <v>28.748999999999999</v>
      </c>
      <c r="AV680" s="2986">
        <v>7.1680000000000001</v>
      </c>
      <c r="AW680" s="2962">
        <v>8.1310000000000002</v>
      </c>
      <c r="AX680" s="2962">
        <v>6.42</v>
      </c>
      <c r="AY680" s="2989">
        <f t="shared" ref="AY680:AY689" si="1552">+AZ680-SUM(AV680:AX680)</f>
        <v>6.5659999999999989</v>
      </c>
      <c r="AZ680" s="2965">
        <v>28.285</v>
      </c>
      <c r="BA680" s="2986">
        <v>6.5389999999999997</v>
      </c>
      <c r="BB680" s="2962">
        <v>6.7439999999999998</v>
      </c>
      <c r="BC680" s="2962">
        <v>6.5110000000000001</v>
      </c>
      <c r="BD680" s="2989">
        <f t="shared" ref="BD680:BD689" si="1553">+BE680-SUM(BA680:BC680)</f>
        <v>7.3009999999999984</v>
      </c>
      <c r="BE680" s="2965">
        <v>27.094999999999999</v>
      </c>
      <c r="BF680" s="2986">
        <v>6.452</v>
      </c>
      <c r="BG680" s="2962">
        <v>6.9720000000000004</v>
      </c>
      <c r="BH680" s="2671">
        <f>+BH661*(1-BH699)</f>
        <v>7.057061</v>
      </c>
      <c r="BI680" s="2989">
        <f>+BI661*(1-BI699)</f>
        <v>6.7921489999999993</v>
      </c>
      <c r="BJ680" s="2989">
        <f t="shared" ref="BJ680:BJ686" si="1554">SUM(BF680:BI680)</f>
        <v>27.273209999999999</v>
      </c>
      <c r="BK680" s="2671">
        <f>+BK661*(1-BK699)</f>
        <v>5.2324385000000007</v>
      </c>
      <c r="BL680" s="2671">
        <f>+BL661*(1-BL699)</f>
        <v>7.1312490000000004</v>
      </c>
      <c r="BM680" s="2671">
        <f>+BM661*(1-BM699)</f>
        <v>7.3483492500000009</v>
      </c>
      <c r="BN680" s="2989">
        <f>+BN661*(1-BN699)</f>
        <v>6.9555225599999995</v>
      </c>
      <c r="BO680" s="2989">
        <f t="shared" ref="BO680:BO686" si="1555">SUM(BK680:BN680)</f>
        <v>26.667559310000001</v>
      </c>
      <c r="BP680" s="2671">
        <f>+BP661*(1-BP699)</f>
        <v>5.2324431750000002</v>
      </c>
      <c r="BQ680" s="2671">
        <f>+BQ661*(1-BQ699)</f>
        <v>6.7942128500000001</v>
      </c>
      <c r="BR680" s="2671">
        <f>+BR661*(1-BR699)</f>
        <v>7.8434590781250018</v>
      </c>
      <c r="BS680" s="2989">
        <f>+BS661*(1-BS699)</f>
        <v>7.0968422448000004</v>
      </c>
      <c r="BT680" s="2989">
        <f t="shared" ref="BT680:BT686" si="1556">SUM(BP680:BS680)</f>
        <v>26.966957347925003</v>
      </c>
      <c r="BU680" s="2671">
        <f>+BU661*(1-BU699)</f>
        <v>5.1530543819999997</v>
      </c>
      <c r="BV680" s="2671">
        <f>+BV661*(1-BV699)</f>
        <v>6.5235958974999999</v>
      </c>
      <c r="BW680" s="2671">
        <f>+BW661*(1-BW699)</f>
        <v>7.5310501148437519</v>
      </c>
      <c r="BX680" s="2671">
        <f>+BX661*(1-BX699)</f>
        <v>7.0452288466560011</v>
      </c>
      <c r="BY680" s="3023">
        <f t="shared" ref="BY680:BY686" si="1557">SUM(BU680:BX680)</f>
        <v>26.252929240999752</v>
      </c>
      <c r="BZ680" s="2989">
        <f t="shared" ref="BZ680:CF680" si="1558">+BZ661*(1-BZ699)</f>
        <v>26.542982810941965</v>
      </c>
      <c r="CA680" s="2989">
        <f t="shared" si="1558"/>
        <v>26.826811958763816</v>
      </c>
      <c r="CB680" s="2989">
        <f t="shared" si="1558"/>
        <v>27.016180652823337</v>
      </c>
      <c r="CC680" s="2989">
        <f t="shared" si="1558"/>
        <v>27.170043094476402</v>
      </c>
      <c r="CD680" s="2989">
        <f t="shared" si="1558"/>
        <v>26.954747855496095</v>
      </c>
      <c r="CE680" s="2989">
        <f t="shared" si="1558"/>
        <v>26.732429707426736</v>
      </c>
      <c r="CF680" s="2989">
        <f t="shared" si="1558"/>
        <v>26.502969721610441</v>
      </c>
      <c r="CG680" s="331"/>
      <c r="CH680" s="331"/>
      <c r="CI680" s="331"/>
      <c r="CJ680" s="331"/>
      <c r="CK680" s="331"/>
      <c r="CL680" s="2036"/>
      <c r="CM680" s="492"/>
      <c r="CN680" s="492"/>
      <c r="CO680" s="492"/>
      <c r="CP680" s="492"/>
      <c r="CQ680" s="492"/>
      <c r="CR680" s="492"/>
      <c r="CS680" s="492"/>
      <c r="CT680" s="492"/>
      <c r="CU680" s="492"/>
      <c r="CV680" s="492"/>
      <c r="CW680" s="492"/>
      <c r="CX680" s="492"/>
      <c r="CY680" s="492"/>
      <c r="CZ680" s="492"/>
      <c r="DA680" s="492"/>
      <c r="DB680" s="492"/>
      <c r="DC680" s="1311"/>
      <c r="DD680" s="331"/>
      <c r="DE680" s="331"/>
      <c r="DF680" s="502"/>
      <c r="DG680" s="503"/>
      <c r="DH680" s="2671"/>
      <c r="DI680" s="3213"/>
      <c r="DJ680" s="502"/>
      <c r="DK680" s="503"/>
      <c r="DL680" s="502"/>
      <c r="DM680" s="502"/>
      <c r="DN680" s="502"/>
      <c r="DO680" s="502"/>
      <c r="DP680" s="503"/>
      <c r="DQ680" s="503"/>
      <c r="DR680" s="296"/>
      <c r="DS680" s="296"/>
      <c r="DT680" s="296"/>
      <c r="DU680"/>
      <c r="DV680"/>
      <c r="DW680"/>
      <c r="DX680"/>
      <c r="DY680"/>
      <c r="DZ680"/>
    </row>
    <row r="681" spans="1:130" s="1049" customFormat="1" ht="12" customHeight="1" x14ac:dyDescent="0.25">
      <c r="A681" s="3013" t="s">
        <v>2299</v>
      </c>
      <c r="B681" s="428"/>
      <c r="C681" s="492"/>
      <c r="D681" s="492"/>
      <c r="E681" s="492"/>
      <c r="F681" s="492"/>
      <c r="G681" s="493"/>
      <c r="H681" s="492"/>
      <c r="I681" s="492"/>
      <c r="J681" s="492"/>
      <c r="K681" s="492"/>
      <c r="L681" s="493"/>
      <c r="M681" s="492"/>
      <c r="N681" s="492"/>
      <c r="O681" s="492"/>
      <c r="P681" s="492"/>
      <c r="Q681" s="2983">
        <v>21.39</v>
      </c>
      <c r="R681" s="492"/>
      <c r="S681" s="492"/>
      <c r="T681" s="492"/>
      <c r="U681" s="492"/>
      <c r="V681" s="2983">
        <v>23.788</v>
      </c>
      <c r="W681" s="492"/>
      <c r="X681" s="492"/>
      <c r="Y681" s="492"/>
      <c r="Z681" s="2941">
        <f>24.131-18.834</f>
        <v>5.2970000000000006</v>
      </c>
      <c r="AA681" s="2983">
        <v>24.131</v>
      </c>
      <c r="AB681" s="2973">
        <v>4.5599999999999996</v>
      </c>
      <c r="AC681" s="2941">
        <v>3.9590000000000001</v>
      </c>
      <c r="AD681" s="2941">
        <v>4.0529999999999999</v>
      </c>
      <c r="AE681" s="2911">
        <f t="shared" si="1548"/>
        <v>3.282</v>
      </c>
      <c r="AF681" s="2983">
        <f>7.335+8.519</f>
        <v>15.853999999999999</v>
      </c>
      <c r="AG681" s="2973">
        <v>2.9129999999999998</v>
      </c>
      <c r="AH681" s="2941">
        <v>3.536</v>
      </c>
      <c r="AI681" s="2941">
        <v>3.2240000000000002</v>
      </c>
      <c r="AJ681" s="2911">
        <f t="shared" si="1549"/>
        <v>3.7270000000000003</v>
      </c>
      <c r="AK681" s="2983">
        <v>13.4</v>
      </c>
      <c r="AL681" s="2973">
        <v>3.6749999999999998</v>
      </c>
      <c r="AM681" s="2941">
        <v>4.4859999999999998</v>
      </c>
      <c r="AN681" s="2941">
        <v>4.7149999999999999</v>
      </c>
      <c r="AO681" s="2911">
        <f t="shared" si="1550"/>
        <v>4.0810000000000013</v>
      </c>
      <c r="AP681" s="2983">
        <v>16.957000000000001</v>
      </c>
      <c r="AQ681" s="2973">
        <v>4.3330000000000002</v>
      </c>
      <c r="AR681" s="2941">
        <v>4.585</v>
      </c>
      <c r="AS681" s="2941">
        <v>4.423</v>
      </c>
      <c r="AT681" s="2911">
        <f t="shared" si="1551"/>
        <v>3.9590000000000014</v>
      </c>
      <c r="AU681" s="2983">
        <v>17.3</v>
      </c>
      <c r="AV681" s="2973">
        <v>4.2969999999999997</v>
      </c>
      <c r="AW681" s="2941">
        <v>5.15</v>
      </c>
      <c r="AX681" s="2941">
        <v>5.0439999999999996</v>
      </c>
      <c r="AY681" s="2911">
        <f t="shared" si="1552"/>
        <v>4.8449999999999989</v>
      </c>
      <c r="AZ681" s="2944">
        <v>19.335999999999999</v>
      </c>
      <c r="BA681" s="2973">
        <v>4.9340000000000002</v>
      </c>
      <c r="BB681" s="2941">
        <v>5.8979999999999997</v>
      </c>
      <c r="BC681" s="2941">
        <v>5.8849999999999998</v>
      </c>
      <c r="BD681" s="2911">
        <f t="shared" si="1553"/>
        <v>5.3070000000000022</v>
      </c>
      <c r="BE681" s="2944">
        <v>22.024000000000001</v>
      </c>
      <c r="BF681" s="2973">
        <v>5.4930000000000003</v>
      </c>
      <c r="BG681" s="2941">
        <v>6.0629999999999997</v>
      </c>
      <c r="BH681" s="2577">
        <f>+BH664*(1-BH700)</f>
        <v>5.9391359999999995</v>
      </c>
      <c r="BI681" s="2911">
        <f>+BI664*(1-BI700)</f>
        <v>4.9959000000000024</v>
      </c>
      <c r="BJ681" s="2911">
        <f t="shared" si="1554"/>
        <v>22.491036000000005</v>
      </c>
      <c r="BK681" s="2577">
        <f>+BK664*(1-BK700)</f>
        <v>5.728228800000001</v>
      </c>
      <c r="BL681" s="2577">
        <f>+BL664*(1-BL700)</f>
        <v>6.0919874999999983</v>
      </c>
      <c r="BM681" s="2577">
        <f>+BM664*(1-BM700)</f>
        <v>5.7360791249999989</v>
      </c>
      <c r="BN681" s="2911">
        <f>+BN664*(1-BN700)</f>
        <v>4.8613950000000017</v>
      </c>
      <c r="BO681" s="2911">
        <f t="shared" si="1555"/>
        <v>22.417690425</v>
      </c>
      <c r="BP681" s="2577">
        <f>+BP664*(1-BP700)</f>
        <v>5.7513332800000017</v>
      </c>
      <c r="BQ681" s="2577">
        <f>+BQ664*(1-BQ700)</f>
        <v>5.7421757250000001</v>
      </c>
      <c r="BR681" s="2577">
        <f>+BR664*(1-BR700)</f>
        <v>5.5308759187500005</v>
      </c>
      <c r="BS681" s="2911">
        <f>+BS664*(1-BS700)</f>
        <v>4.6745483400000021</v>
      </c>
      <c r="BT681" s="2911">
        <f t="shared" si="1556"/>
        <v>21.698933263750003</v>
      </c>
      <c r="BU681" s="2577">
        <f>+BU664*(1-BU700)</f>
        <v>5.9658424672000017</v>
      </c>
      <c r="BV681" s="2577">
        <f>+BV664*(1-BV700)</f>
        <v>5.4594839969999995</v>
      </c>
      <c r="BW681" s="2577">
        <f>+BW664*(1-BW700)</f>
        <v>5.2585866427500001</v>
      </c>
      <c r="BX681" s="2577">
        <f>+BX664*(1-BX700)</f>
        <v>4.5207803025000022</v>
      </c>
      <c r="BY681" s="2604">
        <f t="shared" si="1557"/>
        <v>21.204693409450002</v>
      </c>
      <c r="BZ681" s="2911">
        <f t="shared" ref="BZ681:CF681" si="1559">+BZ664*(1-BZ700)</f>
        <v>21.033224383494751</v>
      </c>
      <c r="CA681" s="2911">
        <f t="shared" si="1559"/>
        <v>20.84641471913751</v>
      </c>
      <c r="CB681" s="2911">
        <f t="shared" si="1559"/>
        <v>21.399522132496028</v>
      </c>
      <c r="CC681" s="2911">
        <f t="shared" si="1559"/>
        <v>21.90068132780581</v>
      </c>
      <c r="CD681" s="2911">
        <f t="shared" si="1559"/>
        <v>21.542399987145114</v>
      </c>
      <c r="CE681" s="2911">
        <f t="shared" si="1559"/>
        <v>21.174762951538423</v>
      </c>
      <c r="CF681" s="2911">
        <f t="shared" si="1559"/>
        <v>20.797618935220882</v>
      </c>
      <c r="CG681" s="331"/>
      <c r="CH681" s="331"/>
      <c r="CI681" s="331"/>
      <c r="CJ681" s="331"/>
      <c r="CK681" s="331"/>
      <c r="CL681" s="2036"/>
      <c r="CM681" s="492"/>
      <c r="CN681" s="492"/>
      <c r="CO681" s="492"/>
      <c r="CP681" s="492"/>
      <c r="CQ681" s="492"/>
      <c r="CR681" s="492"/>
      <c r="CS681" s="492"/>
      <c r="CT681" s="492"/>
      <c r="CU681" s="492"/>
      <c r="CV681" s="492"/>
      <c r="CW681" s="492"/>
      <c r="CX681" s="492"/>
      <c r="CY681" s="492"/>
      <c r="CZ681" s="492"/>
      <c r="DA681" s="492"/>
      <c r="DB681" s="492"/>
      <c r="DC681" s="1311"/>
      <c r="DD681" s="331"/>
      <c r="DE681" s="331"/>
      <c r="DF681" s="502"/>
      <c r="DG681" s="503"/>
      <c r="DH681" s="2577"/>
      <c r="DI681" s="3213"/>
      <c r="DJ681" s="502"/>
      <c r="DK681" s="503"/>
      <c r="DL681" s="502"/>
      <c r="DM681" s="502"/>
      <c r="DN681" s="502"/>
      <c r="DO681" s="502"/>
      <c r="DP681" s="503"/>
      <c r="DQ681" s="503"/>
      <c r="DR681" s="296"/>
      <c r="DS681" s="296"/>
      <c r="DT681" s="296"/>
      <c r="DU681"/>
      <c r="DV681"/>
      <c r="DW681"/>
      <c r="DX681"/>
      <c r="DY681"/>
      <c r="DZ681"/>
    </row>
    <row r="682" spans="1:130" s="1049" customFormat="1" ht="12" customHeight="1" x14ac:dyDescent="0.25">
      <c r="A682" s="3013" t="s">
        <v>2297</v>
      </c>
      <c r="B682" s="428"/>
      <c r="C682" s="492"/>
      <c r="D682" s="492"/>
      <c r="E682" s="492"/>
      <c r="F682" s="492"/>
      <c r="G682" s="493"/>
      <c r="H682" s="492"/>
      <c r="I682" s="492"/>
      <c r="J682" s="492"/>
      <c r="K682" s="492"/>
      <c r="L682" s="493"/>
      <c r="M682" s="492"/>
      <c r="N682" s="492"/>
      <c r="O682" s="492"/>
      <c r="P682" s="492"/>
      <c r="Q682" s="2983">
        <v>21.641999999999999</v>
      </c>
      <c r="R682" s="492"/>
      <c r="S682" s="492"/>
      <c r="T682" s="492"/>
      <c r="U682" s="492"/>
      <c r="V682" s="2983">
        <v>20.681999999999999</v>
      </c>
      <c r="W682" s="492"/>
      <c r="X682" s="492"/>
      <c r="Y682" s="492"/>
      <c r="Z682" s="2941">
        <f>21.867-17.161</f>
        <v>4.7059999999999995</v>
      </c>
      <c r="AA682" s="2983">
        <v>21.867000000000001</v>
      </c>
      <c r="AB682" s="2973">
        <v>5.048</v>
      </c>
      <c r="AC682" s="2941">
        <v>4.7</v>
      </c>
      <c r="AD682" s="2941">
        <v>4.5659999999999998</v>
      </c>
      <c r="AE682" s="2911">
        <f t="shared" si="1548"/>
        <v>3.0609999999999999</v>
      </c>
      <c r="AF682" s="2983">
        <f>7.627+9.748</f>
        <v>17.375</v>
      </c>
      <c r="AG682" s="2973">
        <v>2.8159999999999998</v>
      </c>
      <c r="AH682" s="2941">
        <v>2.7650000000000001</v>
      </c>
      <c r="AI682" s="2941">
        <v>2.9180000000000001</v>
      </c>
      <c r="AJ682" s="2911">
        <f t="shared" si="1549"/>
        <v>3.1670000000000016</v>
      </c>
      <c r="AK682" s="2983">
        <v>11.666</v>
      </c>
      <c r="AL682" s="2973">
        <v>4.0540000000000003</v>
      </c>
      <c r="AM682" s="2941">
        <v>6.9219999999999997</v>
      </c>
      <c r="AN682" s="2941">
        <v>7.3620000000000001</v>
      </c>
      <c r="AO682" s="2911">
        <f t="shared" si="1550"/>
        <v>5.3960000000000008</v>
      </c>
      <c r="AP682" s="2983">
        <v>23.734000000000002</v>
      </c>
      <c r="AQ682" s="2973">
        <v>5.4029999999999996</v>
      </c>
      <c r="AR682" s="2941">
        <v>5.5490000000000004</v>
      </c>
      <c r="AS682" s="2941">
        <v>5.1509999999999998</v>
      </c>
      <c r="AT682" s="2911">
        <f t="shared" si="1551"/>
        <v>4.9279999999999973</v>
      </c>
      <c r="AU682" s="2983">
        <v>21.030999999999999</v>
      </c>
      <c r="AV682" s="2973">
        <v>4.6660000000000004</v>
      </c>
      <c r="AW682" s="2941">
        <v>5.0369999999999999</v>
      </c>
      <c r="AX682" s="2941">
        <v>4.7839999999999998</v>
      </c>
      <c r="AY682" s="2911">
        <f t="shared" si="1552"/>
        <v>5.2050000000000018</v>
      </c>
      <c r="AZ682" s="2944">
        <v>19.692</v>
      </c>
      <c r="BA682" s="2973">
        <v>5.2119999999999997</v>
      </c>
      <c r="BB682" s="2941">
        <v>5.9610000000000003</v>
      </c>
      <c r="BC682" s="2941">
        <v>5.6159999999999997</v>
      </c>
      <c r="BD682" s="2911">
        <f t="shared" si="1553"/>
        <v>5.1429999999999971</v>
      </c>
      <c r="BE682" s="2944">
        <v>21.931999999999999</v>
      </c>
      <c r="BF682" s="2973">
        <v>5.3540000000000001</v>
      </c>
      <c r="BG682" s="2941">
        <v>5.9829999999999997</v>
      </c>
      <c r="BH682" s="2577">
        <f>+BH667*(1-BH701)</f>
        <v>5.8467419999999999</v>
      </c>
      <c r="BI682" s="2911">
        <f>+BI667*(1-BI701)</f>
        <v>4.3473599999999974</v>
      </c>
      <c r="BJ682" s="2911">
        <f t="shared" si="1554"/>
        <v>21.531101999999997</v>
      </c>
      <c r="BK682" s="2577">
        <f>+BK667*(1-BK701)</f>
        <v>4.4336510000000002</v>
      </c>
      <c r="BL682" s="2577">
        <f>+BL667*(1-BL701)</f>
        <v>5.4638584999999997</v>
      </c>
      <c r="BM682" s="2577">
        <f>+BM667*(1-BM701)</f>
        <v>5.7370814999999995</v>
      </c>
      <c r="BN682" s="2911">
        <f>+BN667*(1-BN701)</f>
        <v>4.3099811999999984</v>
      </c>
      <c r="BO682" s="2911">
        <f t="shared" si="1555"/>
        <v>19.9445722</v>
      </c>
      <c r="BP682" s="2577">
        <f>+BP667*(1-BP701)</f>
        <v>4.5551236499999996</v>
      </c>
      <c r="BQ682" s="2577">
        <f>+BQ667*(1-BQ701)</f>
        <v>5.1835497187499993</v>
      </c>
      <c r="BR682" s="2577">
        <f>+BR667*(1-BR701)</f>
        <v>7.1261599499999999</v>
      </c>
      <c r="BS682" s="2911">
        <f>+BS667*(1-BS701)</f>
        <v>5.010102719999999</v>
      </c>
      <c r="BT682" s="2911">
        <f t="shared" si="1556"/>
        <v>21.87493603875</v>
      </c>
      <c r="BU682" s="2577">
        <f>+BU667*(1-BU701)</f>
        <v>4.9552358624999995</v>
      </c>
      <c r="BV682" s="2577">
        <f>+BV667*(1-BV701)</f>
        <v>5.5499730609375</v>
      </c>
      <c r="BW682" s="2577">
        <f>+BW667*(1-BW701)</f>
        <v>7.6097208037499993</v>
      </c>
      <c r="BX682" s="2577">
        <f>+BX667*(1-BX701)</f>
        <v>5.5826858879999994</v>
      </c>
      <c r="BY682" s="2604">
        <f t="shared" si="1557"/>
        <v>23.697615615187502</v>
      </c>
      <c r="BZ682" s="2911">
        <f t="shared" ref="BZ682:CF682" si="1560">+BZ667*(1-BZ701)</f>
        <v>24.508726835630625</v>
      </c>
      <c r="CA682" s="2911">
        <f t="shared" si="1560"/>
        <v>25.341705139080098</v>
      </c>
      <c r="CB682" s="2911">
        <f t="shared" si="1560"/>
        <v>25.342822579271896</v>
      </c>
      <c r="CC682" s="2911">
        <f t="shared" si="1560"/>
        <v>25.321065438427016</v>
      </c>
      <c r="CD682" s="2911">
        <f t="shared" si="1560"/>
        <v>25.201319686861979</v>
      </c>
      <c r="CE682" s="2911">
        <f t="shared" si="1560"/>
        <v>25.076646913721802</v>
      </c>
      <c r="CF682" s="2911">
        <f t="shared" si="1560"/>
        <v>24.946960553150134</v>
      </c>
      <c r="CG682" s="331"/>
      <c r="CH682" s="331"/>
      <c r="CI682" s="331"/>
      <c r="CJ682" s="331"/>
      <c r="CK682" s="331"/>
      <c r="CL682" s="2036"/>
      <c r="CM682" s="492"/>
      <c r="CN682" s="492"/>
      <c r="CO682" s="492"/>
      <c r="CP682" s="492"/>
      <c r="CQ682" s="492"/>
      <c r="CR682" s="492"/>
      <c r="CS682" s="492"/>
      <c r="CT682" s="492"/>
      <c r="CU682" s="492"/>
      <c r="CV682" s="492"/>
      <c r="CW682" s="492"/>
      <c r="CX682" s="492"/>
      <c r="CY682" s="492"/>
      <c r="CZ682" s="492"/>
      <c r="DA682" s="492"/>
      <c r="DB682" s="492"/>
      <c r="DC682" s="1311"/>
      <c r="DD682" s="331"/>
      <c r="DE682" s="331"/>
      <c r="DF682" s="502"/>
      <c r="DG682" s="503"/>
      <c r="DH682" s="2577"/>
      <c r="DI682" s="3213"/>
      <c r="DJ682" s="502"/>
      <c r="DK682" s="503"/>
      <c r="DL682" s="502"/>
      <c r="DM682" s="502"/>
      <c r="DN682" s="502"/>
      <c r="DO682" s="502"/>
      <c r="DP682" s="503"/>
      <c r="DQ682" s="503"/>
      <c r="DR682" s="296"/>
      <c r="DS682" s="296"/>
      <c r="DT682" s="296"/>
      <c r="DU682"/>
      <c r="DV682"/>
      <c r="DW682"/>
      <c r="DX682"/>
      <c r="DY682"/>
      <c r="DZ682"/>
    </row>
    <row r="683" spans="1:130" s="1049" customFormat="1" ht="12" customHeight="1" x14ac:dyDescent="0.25">
      <c r="A683" s="3013" t="s">
        <v>1623</v>
      </c>
      <c r="B683" s="428"/>
      <c r="C683" s="492"/>
      <c r="D683" s="492"/>
      <c r="E683" s="492"/>
      <c r="F683" s="492"/>
      <c r="G683" s="493"/>
      <c r="H683" s="492"/>
      <c r="I683" s="492"/>
      <c r="J683" s="492"/>
      <c r="K683" s="492"/>
      <c r="L683" s="493"/>
      <c r="M683" s="492"/>
      <c r="N683" s="492"/>
      <c r="O683" s="492"/>
      <c r="P683" s="492"/>
      <c r="Q683" s="2983">
        <v>12.443</v>
      </c>
      <c r="R683" s="492"/>
      <c r="S683" s="492"/>
      <c r="T683" s="492"/>
      <c r="U683" s="492"/>
      <c r="V683" s="2983">
        <v>10.853</v>
      </c>
      <c r="W683" s="492"/>
      <c r="X683" s="492"/>
      <c r="Y683" s="492"/>
      <c r="Z683" s="2941">
        <f>9.938-7.895</f>
        <v>2.043000000000001</v>
      </c>
      <c r="AA683" s="2983">
        <v>9.9380000000000006</v>
      </c>
      <c r="AB683" s="2973">
        <v>2.3809999999999998</v>
      </c>
      <c r="AC683" s="2941">
        <v>1.5509999999999999</v>
      </c>
      <c r="AD683" s="2941">
        <v>1.165</v>
      </c>
      <c r="AE683" s="2911">
        <f t="shared" si="1548"/>
        <v>1.0640000000000001</v>
      </c>
      <c r="AF683" s="2983">
        <f>2.229+3.932</f>
        <v>6.1609999999999996</v>
      </c>
      <c r="AG683" s="2973">
        <v>1.2549999999999999</v>
      </c>
      <c r="AH683" s="2941">
        <v>0.88900000000000001</v>
      </c>
      <c r="AI683" s="2941">
        <v>0.61699999999999999</v>
      </c>
      <c r="AJ683" s="2911">
        <f t="shared" si="1549"/>
        <v>0.88700000000000001</v>
      </c>
      <c r="AK683" s="2983">
        <v>3.6480000000000001</v>
      </c>
      <c r="AL683" s="2973">
        <v>0.77900000000000003</v>
      </c>
      <c r="AM683" s="2941">
        <v>0.96499999999999997</v>
      </c>
      <c r="AN683" s="2941">
        <v>0.76100000000000001</v>
      </c>
      <c r="AO683" s="2911">
        <f t="shared" si="1550"/>
        <v>1.1890000000000001</v>
      </c>
      <c r="AP683" s="2983">
        <v>3.694</v>
      </c>
      <c r="AQ683" s="2973">
        <v>1.149</v>
      </c>
      <c r="AR683" s="2941">
        <v>1.2709999999999999</v>
      </c>
      <c r="AS683" s="2941">
        <v>0.88</v>
      </c>
      <c r="AT683" s="2911">
        <f t="shared" si="1551"/>
        <v>0.80700000000000038</v>
      </c>
      <c r="AU683" s="2983">
        <v>4.1070000000000002</v>
      </c>
      <c r="AV683" s="2973">
        <v>1.2749999999999999</v>
      </c>
      <c r="AW683" s="2941">
        <v>0.96699999999999997</v>
      </c>
      <c r="AX683" s="2941">
        <v>1</v>
      </c>
      <c r="AY683" s="2911">
        <f t="shared" si="1552"/>
        <v>1.1239999999999997</v>
      </c>
      <c r="AZ683" s="2944">
        <v>4.3659999999999997</v>
      </c>
      <c r="BA683" s="2973">
        <v>1.3240000000000001</v>
      </c>
      <c r="BB683" s="2941">
        <v>1.401</v>
      </c>
      <c r="BC683" s="2941">
        <v>1.202</v>
      </c>
      <c r="BD683" s="2911">
        <f t="shared" si="1553"/>
        <v>1.2289999999999996</v>
      </c>
      <c r="BE683" s="2944">
        <v>5.1559999999999997</v>
      </c>
      <c r="BF683" s="2973">
        <v>1.3859999999999999</v>
      </c>
      <c r="BG683" s="2941">
        <v>1.431</v>
      </c>
      <c r="BH683" s="2577">
        <f>+BH670*(1-BH702)</f>
        <v>1.2550450000000002</v>
      </c>
      <c r="BI683" s="2911">
        <f>+BI670*(1-BI702)</f>
        <v>1.0823729999999996</v>
      </c>
      <c r="BJ683" s="2911">
        <f t="shared" si="1554"/>
        <v>5.1544179999999997</v>
      </c>
      <c r="BK683" s="2577">
        <f>+BK670*(1-BK702)</f>
        <v>1.3856292000000001</v>
      </c>
      <c r="BL683" s="3138">
        <f>+BL670*(1-BL702)-4.3</f>
        <v>-2.8724895999999998</v>
      </c>
      <c r="BM683" s="2577">
        <f>+BM670*(1-BM702)</f>
        <v>1.3065679000000001</v>
      </c>
      <c r="BN683" s="2911">
        <f>+BN670*(1-BN702)</f>
        <v>1.1231613719999995</v>
      </c>
      <c r="BO683" s="2911">
        <f t="shared" si="1555"/>
        <v>0.94286887200000002</v>
      </c>
      <c r="BP683" s="2577">
        <f>+BP670*(1-BP702)</f>
        <v>1.3567856400000002</v>
      </c>
      <c r="BQ683" s="2577">
        <f>+BQ670*(1-BQ702)</f>
        <v>1.4088087</v>
      </c>
      <c r="BR683" s="2577">
        <f>+BR670*(1-BR702)</f>
        <v>1.3420724625000002</v>
      </c>
      <c r="BS683" s="2911">
        <f>+BS670*(1-BS702)</f>
        <v>1.0651917527999997</v>
      </c>
      <c r="BT683" s="2911">
        <f t="shared" si="1556"/>
        <v>5.1728585553000004</v>
      </c>
      <c r="BU683" s="2577">
        <f>+BU670*(1-BU702)</f>
        <v>1.3272903000000003</v>
      </c>
      <c r="BV683" s="2577">
        <f>+BV670*(1-BV702)</f>
        <v>1.4050518768</v>
      </c>
      <c r="BW683" s="2577">
        <f>+BW670*(1-BW702)</f>
        <v>1.3384936026000001</v>
      </c>
      <c r="BX683" s="2577">
        <f>+BX670*(1-BX702)</f>
        <v>1.0935968662079996</v>
      </c>
      <c r="BY683" s="2604">
        <f t="shared" si="1557"/>
        <v>5.1644326456079996</v>
      </c>
      <c r="BZ683" s="2911">
        <f t="shared" ref="BZ683:CF683" si="1561">+BZ670*(1-BZ702)</f>
        <v>5.1486841155265193</v>
      </c>
      <c r="CA683" s="2911">
        <f t="shared" si="1561"/>
        <v>5.1302398711835373</v>
      </c>
      <c r="CB683" s="2911">
        <f t="shared" si="1561"/>
        <v>5.0941080639019392</v>
      </c>
      <c r="CC683" s="2911">
        <f t="shared" si="1561"/>
        <v>5.0555269491731707</v>
      </c>
      <c r="CD683" s="2911">
        <f t="shared" si="1561"/>
        <v>5.0483899444348168</v>
      </c>
      <c r="CE683" s="2911">
        <f t="shared" si="1561"/>
        <v>5.0406046469067771</v>
      </c>
      <c r="CF683" s="2911">
        <f t="shared" si="1561"/>
        <v>5.0321588044337346</v>
      </c>
      <c r="CG683" s="331"/>
      <c r="CH683" s="331"/>
      <c r="CI683" s="331"/>
      <c r="CJ683" s="331"/>
      <c r="CK683" s="331"/>
      <c r="CL683" s="2036"/>
      <c r="CM683" s="492"/>
      <c r="CN683" s="492"/>
      <c r="CO683" s="492"/>
      <c r="CP683" s="492"/>
      <c r="CQ683" s="492"/>
      <c r="CR683" s="492"/>
      <c r="CS683" s="492"/>
      <c r="CT683" s="492"/>
      <c r="CU683" s="492"/>
      <c r="CV683" s="492"/>
      <c r="CW683" s="492"/>
      <c r="CX683" s="492"/>
      <c r="CY683" s="492"/>
      <c r="CZ683" s="492"/>
      <c r="DA683" s="492"/>
      <c r="DB683" s="492"/>
      <c r="DC683" s="1311"/>
      <c r="DD683" s="331"/>
      <c r="DE683" s="331"/>
      <c r="DF683" s="502"/>
      <c r="DG683" s="503"/>
      <c r="DH683" s="2577"/>
      <c r="DI683" s="3213"/>
      <c r="DJ683" s="502"/>
      <c r="DK683" s="503"/>
      <c r="DL683" s="502"/>
      <c r="DM683" s="502"/>
      <c r="DN683" s="502"/>
      <c r="DO683" s="502"/>
      <c r="DP683" s="503"/>
      <c r="DQ683" s="503"/>
      <c r="DR683" s="296"/>
      <c r="DS683" s="296"/>
      <c r="DT683" s="296"/>
      <c r="DU683"/>
      <c r="DV683"/>
      <c r="DW683"/>
      <c r="DX683"/>
      <c r="DY683"/>
      <c r="DZ683"/>
    </row>
    <row r="684" spans="1:130" s="1049" customFormat="1" ht="12" customHeight="1" x14ac:dyDescent="0.25">
      <c r="A684" s="3018" t="s">
        <v>2300</v>
      </c>
      <c r="B684" s="428"/>
      <c r="C684" s="492"/>
      <c r="D684" s="492"/>
      <c r="E684" s="492"/>
      <c r="F684" s="492"/>
      <c r="G684" s="493"/>
      <c r="H684" s="492"/>
      <c r="I684" s="492"/>
      <c r="J684" s="492"/>
      <c r="K684" s="492"/>
      <c r="L684" s="493"/>
      <c r="M684" s="492"/>
      <c r="N684" s="492"/>
      <c r="O684" s="492"/>
      <c r="P684" s="492"/>
      <c r="Q684" s="2983">
        <f>4.765+14.601+8.025</f>
        <v>27.390999999999998</v>
      </c>
      <c r="R684" s="492"/>
      <c r="S684" s="492"/>
      <c r="T684" s="492"/>
      <c r="U684" s="492"/>
      <c r="V684" s="2983">
        <f>6.303+13.922</f>
        <v>20.225000000000001</v>
      </c>
      <c r="W684" s="492"/>
      <c r="X684" s="492"/>
      <c r="Y684" s="492"/>
      <c r="Z684" s="2941">
        <f>5.912+13.971-4.242-10.05</f>
        <v>5.5909999999999975</v>
      </c>
      <c r="AA684" s="2983">
        <f>5.912+13.971</f>
        <v>19.882999999999999</v>
      </c>
      <c r="AB684" s="2973">
        <f>1.108+3.006</f>
        <v>4.1139999999999999</v>
      </c>
      <c r="AC684" s="2941">
        <f>1.148+3.596</f>
        <v>4.7439999999999998</v>
      </c>
      <c r="AD684" s="2941">
        <f>0.616+6.015</f>
        <v>6.6309999999999993</v>
      </c>
      <c r="AE684" s="2911">
        <f t="shared" si="1548"/>
        <v>6.4009999999999998</v>
      </c>
      <c r="AF684" s="2983">
        <f>0.918+2.256+0.684+11.43+6.602</f>
        <v>21.89</v>
      </c>
      <c r="AG684" s="2973">
        <f>0.459+0.249+5.431</f>
        <v>6.1390000000000002</v>
      </c>
      <c r="AH684" s="2941">
        <f>0.888+0.276+5.604</f>
        <v>6.7680000000000007</v>
      </c>
      <c r="AI684" s="2941">
        <f>0.532+0.262+4.754</f>
        <v>5.548</v>
      </c>
      <c r="AJ684" s="2911">
        <f t="shared" si="1549"/>
        <v>5.7010000000000005</v>
      </c>
      <c r="AK684" s="2983">
        <f>2.617+1.071+20.468</f>
        <v>24.155999999999999</v>
      </c>
      <c r="AL684" s="2973">
        <v>5.2889999999999997</v>
      </c>
      <c r="AM684" s="2941">
        <v>6.2050000000000001</v>
      </c>
      <c r="AN684" s="2941">
        <v>6.2640000000000002</v>
      </c>
      <c r="AO684" s="2911">
        <f t="shared" si="1550"/>
        <v>5.7140000000000022</v>
      </c>
      <c r="AP684" s="2983">
        <v>23.472000000000001</v>
      </c>
      <c r="AQ684" s="2973">
        <v>4.6900000000000004</v>
      </c>
      <c r="AR684" s="2941">
        <v>4.3440000000000003</v>
      </c>
      <c r="AS684" s="2941">
        <v>4.6509999999999998</v>
      </c>
      <c r="AT684" s="2911">
        <f t="shared" si="1551"/>
        <v>5.5439999999999987</v>
      </c>
      <c r="AU684" s="2983">
        <v>19.228999999999999</v>
      </c>
      <c r="AV684" s="2973">
        <v>4.8410000000000002</v>
      </c>
      <c r="AW684" s="2941">
        <v>4.1760000000000002</v>
      </c>
      <c r="AX684" s="2941">
        <v>4.9290000000000003</v>
      </c>
      <c r="AY684" s="2911">
        <f t="shared" si="1552"/>
        <v>5.043000000000001</v>
      </c>
      <c r="AZ684" s="2944">
        <v>18.989000000000001</v>
      </c>
      <c r="BA684" s="2973">
        <v>4.6900000000000004</v>
      </c>
      <c r="BB684" s="2941">
        <v>4.9139999999999997</v>
      </c>
      <c r="BC684" s="2941">
        <v>4.7850000000000001</v>
      </c>
      <c r="BD684" s="2911">
        <f t="shared" si="1553"/>
        <v>5.5519999999999996</v>
      </c>
      <c r="BE684" s="2944">
        <v>19.940999999999999</v>
      </c>
      <c r="BF684" s="2973">
        <v>5.1120000000000001</v>
      </c>
      <c r="BG684" s="2941">
        <v>6.0490000000000004</v>
      </c>
      <c r="BH684" s="2577">
        <f>+BC684+0.5</f>
        <v>5.2850000000000001</v>
      </c>
      <c r="BI684" s="2911">
        <f>+BD684+0.5</f>
        <v>6.0519999999999996</v>
      </c>
      <c r="BJ684" s="2911">
        <f t="shared" si="1554"/>
        <v>22.498000000000001</v>
      </c>
      <c r="BK684" s="2941">
        <f>+BF684*0.9</f>
        <v>4.6008000000000004</v>
      </c>
      <c r="BL684" s="2941">
        <f>+BG684*0.9</f>
        <v>5.4441000000000006</v>
      </c>
      <c r="BM684" s="2577">
        <f>+BH684</f>
        <v>5.2850000000000001</v>
      </c>
      <c r="BN684" s="2577">
        <f>+BI684</f>
        <v>6.0519999999999996</v>
      </c>
      <c r="BO684" s="2604">
        <f t="shared" si="1555"/>
        <v>21.381900000000002</v>
      </c>
      <c r="BP684" s="2577">
        <f>+BK684*0.9</f>
        <v>4.1407200000000008</v>
      </c>
      <c r="BQ684" s="2577">
        <f>+BL684*0.9</f>
        <v>4.8996900000000005</v>
      </c>
      <c r="BR684" s="2577">
        <f>+BM684*0.99</f>
        <v>5.2321499999999999</v>
      </c>
      <c r="BS684" s="2911">
        <f>+BN684*0.95</f>
        <v>5.7493999999999996</v>
      </c>
      <c r="BT684" s="2911">
        <f t="shared" si="1556"/>
        <v>20.02196</v>
      </c>
      <c r="BU684" s="2577">
        <f>+BP684*1.02</f>
        <v>4.223534400000001</v>
      </c>
      <c r="BV684" s="2577">
        <f>+BQ684*1.02</f>
        <v>4.9976838000000008</v>
      </c>
      <c r="BW684" s="2577">
        <f>+BR684*1.02</f>
        <v>5.3367930000000001</v>
      </c>
      <c r="BX684" s="2577">
        <f>+BS684*1.02</f>
        <v>5.8643879999999999</v>
      </c>
      <c r="BY684" s="2604">
        <f t="shared" si="1557"/>
        <v>20.422399200000001</v>
      </c>
      <c r="BZ684" s="2944">
        <f>+BY684*1.02</f>
        <v>20.830847184000003</v>
      </c>
      <c r="CA684" s="2944">
        <f>+BZ684*1.02</f>
        <v>21.247464127680004</v>
      </c>
      <c r="CB684" s="2944">
        <f>+CA684*0.975</f>
        <v>20.716277524488003</v>
      </c>
      <c r="CC684" s="2944">
        <f>+CB684*0.975</f>
        <v>20.198370586375802</v>
      </c>
      <c r="CD684" s="2944">
        <f t="shared" ref="CD684:CF685" si="1562">+CC684*1.025</f>
        <v>20.703329851035196</v>
      </c>
      <c r="CE684" s="2944">
        <f t="shared" si="1562"/>
        <v>21.220913097311076</v>
      </c>
      <c r="CF684" s="2944">
        <f t="shared" si="1562"/>
        <v>21.751435924743852</v>
      </c>
      <c r="CG684" s="331"/>
      <c r="CH684" s="331"/>
      <c r="CI684" s="331"/>
      <c r="CJ684" s="331"/>
      <c r="CK684" s="331"/>
      <c r="CL684" s="2036"/>
      <c r="CM684" s="492"/>
      <c r="CN684" s="492"/>
      <c r="CO684" s="492"/>
      <c r="CP684" s="492"/>
      <c r="CQ684" s="492"/>
      <c r="CR684" s="492"/>
      <c r="CS684" s="492"/>
      <c r="CT684" s="492"/>
      <c r="CU684" s="492"/>
      <c r="CV684" s="492"/>
      <c r="CW684" s="492"/>
      <c r="CX684" s="492"/>
      <c r="CY684" s="492"/>
      <c r="CZ684" s="492"/>
      <c r="DA684" s="492"/>
      <c r="DB684" s="492"/>
      <c r="DC684" s="1311"/>
      <c r="DD684" s="331"/>
      <c r="DE684" s="331"/>
      <c r="DF684" s="502"/>
      <c r="DG684" s="503"/>
      <c r="DH684" s="2577"/>
      <c r="DI684" s="3213"/>
      <c r="DJ684" s="502"/>
      <c r="DK684" s="503"/>
      <c r="DL684" s="502"/>
      <c r="DM684" s="502"/>
      <c r="DN684" s="502"/>
      <c r="DO684" s="502"/>
      <c r="DP684" s="503"/>
      <c r="DQ684" s="503"/>
      <c r="DR684" s="296"/>
      <c r="DS684" s="296"/>
      <c r="DT684" s="296"/>
      <c r="DU684"/>
      <c r="DV684"/>
      <c r="DW684"/>
      <c r="DX684"/>
      <c r="DY684"/>
      <c r="DZ684"/>
    </row>
    <row r="685" spans="1:130" s="1049" customFormat="1" ht="12" customHeight="1" x14ac:dyDescent="0.25">
      <c r="A685" s="3018" t="s">
        <v>2301</v>
      </c>
      <c r="B685" s="428"/>
      <c r="C685" s="492"/>
      <c r="D685" s="492"/>
      <c r="E685" s="492"/>
      <c r="F685" s="492"/>
      <c r="G685" s="493"/>
      <c r="H685" s="492"/>
      <c r="I685" s="492"/>
      <c r="J685" s="492"/>
      <c r="K685" s="492"/>
      <c r="L685" s="493"/>
      <c r="M685" s="492"/>
      <c r="N685" s="492"/>
      <c r="O685" s="492"/>
      <c r="P685" s="492"/>
      <c r="Q685" s="2983">
        <f>5.059+6.889+3.089+0.109</f>
        <v>15.146000000000001</v>
      </c>
      <c r="R685" s="492"/>
      <c r="S685" s="492"/>
      <c r="T685" s="492"/>
      <c r="U685" s="492"/>
      <c r="V685" s="2983">
        <v>10.183999999999999</v>
      </c>
      <c r="W685" s="492"/>
      <c r="X685" s="492"/>
      <c r="Y685" s="492"/>
      <c r="Z685" s="2941">
        <f>10.467-7.861</f>
        <v>2.6060000000000008</v>
      </c>
      <c r="AA685" s="2983">
        <v>10.467000000000001</v>
      </c>
      <c r="AB685" s="2973">
        <v>1.9990000000000001</v>
      </c>
      <c r="AC685" s="2941">
        <v>3.07</v>
      </c>
      <c r="AD685" s="2941">
        <v>4.359</v>
      </c>
      <c r="AE685" s="2911">
        <f t="shared" si="1548"/>
        <v>3.3329999999999984</v>
      </c>
      <c r="AF685" s="2983">
        <f>7.692+5.069</f>
        <v>12.760999999999999</v>
      </c>
      <c r="AG685" s="2973">
        <v>3.097</v>
      </c>
      <c r="AH685" s="2941">
        <v>3.1850000000000001</v>
      </c>
      <c r="AI685" s="2941">
        <v>3.331</v>
      </c>
      <c r="AJ685" s="2911">
        <f t="shared" si="1549"/>
        <v>2.5990000000000002</v>
      </c>
      <c r="AK685" s="2983">
        <v>12.212</v>
      </c>
      <c r="AL685" s="2973">
        <v>2.6819999999999999</v>
      </c>
      <c r="AM685" s="2941">
        <v>3.137</v>
      </c>
      <c r="AN685" s="2941">
        <v>3.4209999999999998</v>
      </c>
      <c r="AO685" s="2911">
        <f t="shared" si="1550"/>
        <v>2.9809999999999999</v>
      </c>
      <c r="AP685" s="2983">
        <v>12.221</v>
      </c>
      <c r="AQ685" s="2973">
        <v>2.665</v>
      </c>
      <c r="AR685" s="2941">
        <v>3.0030000000000001</v>
      </c>
      <c r="AS685" s="2941">
        <v>3.5379999999999998</v>
      </c>
      <c r="AT685" s="2911">
        <f t="shared" si="1551"/>
        <v>3.1029999999999998</v>
      </c>
      <c r="AU685" s="2983">
        <v>12.308999999999999</v>
      </c>
      <c r="AV685" s="2973">
        <v>2.7970000000000002</v>
      </c>
      <c r="AW685" s="2941">
        <v>3.0870000000000002</v>
      </c>
      <c r="AX685" s="2941">
        <v>3.262</v>
      </c>
      <c r="AY685" s="2911">
        <f t="shared" si="1552"/>
        <v>3.0569999999999986</v>
      </c>
      <c r="AZ685" s="2944">
        <v>12.202999999999999</v>
      </c>
      <c r="BA685" s="2973">
        <v>2.8580000000000001</v>
      </c>
      <c r="BB685" s="2941">
        <v>3.1480000000000001</v>
      </c>
      <c r="BC685" s="2941">
        <v>3.4159999999999999</v>
      </c>
      <c r="BD685" s="2911">
        <f t="shared" si="1553"/>
        <v>3.0679999999999996</v>
      </c>
      <c r="BE685" s="2944">
        <v>12.49</v>
      </c>
      <c r="BF685" s="2973">
        <v>3.4239999999999999</v>
      </c>
      <c r="BG685" s="2941">
        <v>3.7730000000000001</v>
      </c>
      <c r="BH685" s="2577">
        <f>+BC685+0.5</f>
        <v>3.9159999999999999</v>
      </c>
      <c r="BI685" s="2577">
        <f>+BD685+0.25</f>
        <v>3.3179999999999996</v>
      </c>
      <c r="BJ685" s="2604">
        <f t="shared" si="1554"/>
        <v>14.430999999999999</v>
      </c>
      <c r="BK685" s="2973">
        <f>+BF685</f>
        <v>3.4239999999999999</v>
      </c>
      <c r="BL685" s="2941">
        <f>+BG685</f>
        <v>3.7730000000000001</v>
      </c>
      <c r="BM685" s="2941">
        <f>+BH685-0.25</f>
        <v>3.6659999999999999</v>
      </c>
      <c r="BN685" s="2941">
        <f>+BI685</f>
        <v>3.3179999999999996</v>
      </c>
      <c r="BO685" s="2604">
        <f t="shared" si="1555"/>
        <v>14.180999999999999</v>
      </c>
      <c r="BP685" s="2941">
        <f>+BK685</f>
        <v>3.4239999999999999</v>
      </c>
      <c r="BQ685" s="2941">
        <f>+BL685</f>
        <v>3.7730000000000001</v>
      </c>
      <c r="BR685" s="2941">
        <f>+BM685</f>
        <v>3.6659999999999999</v>
      </c>
      <c r="BS685" s="2944">
        <f>+BN685</f>
        <v>3.3179999999999996</v>
      </c>
      <c r="BT685" s="2911">
        <f t="shared" si="1556"/>
        <v>14.180999999999999</v>
      </c>
      <c r="BU685" s="572">
        <f>+BP685*1.025</f>
        <v>3.5095999999999998</v>
      </c>
      <c r="BV685" s="572">
        <f>+BQ685*1.025</f>
        <v>3.8673249999999997</v>
      </c>
      <c r="BW685" s="572">
        <f>+BR685*1.025</f>
        <v>3.7576499999999995</v>
      </c>
      <c r="BX685" s="572">
        <f>+BS685*1.025</f>
        <v>3.4009499999999995</v>
      </c>
      <c r="BY685" s="2604">
        <f t="shared" si="1557"/>
        <v>14.535525</v>
      </c>
      <c r="BZ685" s="2944">
        <f>+BY685*1.025</f>
        <v>14.898913124999998</v>
      </c>
      <c r="CA685" s="2944">
        <f>+BZ685*1.025</f>
        <v>15.271385953124996</v>
      </c>
      <c r="CB685" s="2944">
        <f>+CA685*0.975</f>
        <v>14.889601304296871</v>
      </c>
      <c r="CC685" s="2944">
        <f>+CB685*0.975</f>
        <v>14.517361271689449</v>
      </c>
      <c r="CD685" s="2944">
        <f t="shared" si="1562"/>
        <v>14.880295303481684</v>
      </c>
      <c r="CE685" s="2944">
        <f t="shared" si="1562"/>
        <v>15.252302686068726</v>
      </c>
      <c r="CF685" s="2944">
        <f t="shared" si="1562"/>
        <v>15.633610253220443</v>
      </c>
      <c r="CG685" s="331"/>
      <c r="CH685" s="331"/>
      <c r="CI685" s="331"/>
      <c r="CJ685" s="331"/>
      <c r="CK685" s="331"/>
      <c r="CL685" s="2036"/>
      <c r="CM685" s="492"/>
      <c r="CN685" s="492"/>
      <c r="CO685" s="492"/>
      <c r="CP685" s="492"/>
      <c r="CQ685" s="492"/>
      <c r="CR685" s="492"/>
      <c r="CS685" s="492"/>
      <c r="CT685" s="492"/>
      <c r="CU685" s="492"/>
      <c r="CV685" s="492"/>
      <c r="CW685" s="492"/>
      <c r="CX685" s="492"/>
      <c r="CY685" s="492"/>
      <c r="CZ685" s="492"/>
      <c r="DA685" s="492"/>
      <c r="DB685" s="492"/>
      <c r="DC685" s="1311"/>
      <c r="DD685" s="331"/>
      <c r="DE685" s="331"/>
      <c r="DF685" s="502"/>
      <c r="DG685" s="503"/>
      <c r="DH685" s="2577"/>
      <c r="DI685" s="3213"/>
      <c r="DJ685" s="502"/>
      <c r="DK685" s="503"/>
      <c r="DL685" s="502"/>
      <c r="DM685" s="502"/>
      <c r="DN685" s="502"/>
      <c r="DO685" s="502"/>
      <c r="DP685" s="503"/>
      <c r="DQ685" s="503"/>
      <c r="DR685" s="296"/>
      <c r="DS685" s="296"/>
      <c r="DT685" s="296"/>
      <c r="DU685"/>
      <c r="DV685"/>
      <c r="DW685"/>
      <c r="DX685"/>
      <c r="DY685"/>
      <c r="DZ685"/>
    </row>
    <row r="686" spans="1:130" s="1049" customFormat="1" ht="12" customHeight="1" x14ac:dyDescent="0.25">
      <c r="A686" s="3018" t="s">
        <v>2197</v>
      </c>
      <c r="B686" s="428"/>
      <c r="C686" s="492"/>
      <c r="D686" s="492"/>
      <c r="E686" s="492"/>
      <c r="F686" s="492"/>
      <c r="G686" s="493"/>
      <c r="H686" s="492"/>
      <c r="I686" s="492"/>
      <c r="J686" s="492"/>
      <c r="K686" s="492"/>
      <c r="L686" s="493"/>
      <c r="M686" s="492"/>
      <c r="N686" s="492"/>
      <c r="O686" s="492"/>
      <c r="P686" s="492"/>
      <c r="Q686" s="2983">
        <v>5.2690000000000001</v>
      </c>
      <c r="R686" s="492"/>
      <c r="S686" s="492"/>
      <c r="T686" s="492"/>
      <c r="U686" s="492"/>
      <c r="V686" s="2983">
        <v>6.14</v>
      </c>
      <c r="W686" s="492"/>
      <c r="X686" s="492"/>
      <c r="Y686" s="492"/>
      <c r="Z686" s="2941">
        <f>6.385-4.671</f>
        <v>1.7139999999999995</v>
      </c>
      <c r="AA686" s="2983">
        <v>6.3849999999999998</v>
      </c>
      <c r="AB686" s="2973">
        <v>1.74</v>
      </c>
      <c r="AC686" s="2941">
        <v>0.216</v>
      </c>
      <c r="AD686" s="2941">
        <v>1.044</v>
      </c>
      <c r="AE686" s="2911">
        <f t="shared" si="1548"/>
        <v>1.2089999999999996</v>
      </c>
      <c r="AF686" s="2983">
        <f>2.253+1.956</f>
        <v>4.2089999999999996</v>
      </c>
      <c r="AG686" s="2973">
        <v>1.514</v>
      </c>
      <c r="AH686" s="2941">
        <v>2.1520000000000001</v>
      </c>
      <c r="AI686" s="2941">
        <v>2.74</v>
      </c>
      <c r="AJ686" s="2911">
        <f t="shared" si="1549"/>
        <v>3.6470000000000002</v>
      </c>
      <c r="AK686" s="2983">
        <v>10.053000000000001</v>
      </c>
      <c r="AL686" s="2973">
        <v>3.7909999999999999</v>
      </c>
      <c r="AM686" s="2941">
        <v>3.99</v>
      </c>
      <c r="AN686" s="2941">
        <v>4.7640000000000002</v>
      </c>
      <c r="AO686" s="2911">
        <f t="shared" si="1550"/>
        <v>4.4949999999999974</v>
      </c>
      <c r="AP686" s="2983">
        <v>17.04</v>
      </c>
      <c r="AQ686" s="2973">
        <v>4.641</v>
      </c>
      <c r="AR686" s="2941">
        <v>4.7069999999999999</v>
      </c>
      <c r="AS686" s="2941">
        <v>4.6449999999999996</v>
      </c>
      <c r="AT686" s="2911">
        <f t="shared" si="1551"/>
        <v>4.6670000000000016</v>
      </c>
      <c r="AU686" s="2983">
        <v>18.66</v>
      </c>
      <c r="AV686" s="2973">
        <v>4.492</v>
      </c>
      <c r="AW686" s="2941">
        <v>4.6239999999999997</v>
      </c>
      <c r="AX686" s="2941">
        <v>4.4320000000000004</v>
      </c>
      <c r="AY686" s="2911">
        <f t="shared" si="1552"/>
        <v>4.488999999999999</v>
      </c>
      <c r="AZ686" s="2944">
        <v>18.036999999999999</v>
      </c>
      <c r="BA686" s="2973">
        <v>4.5010000000000003</v>
      </c>
      <c r="BB686" s="2941">
        <v>4.4779999999999998</v>
      </c>
      <c r="BC686" s="2941">
        <v>4.407</v>
      </c>
      <c r="BD686" s="2911">
        <f t="shared" si="1553"/>
        <v>4.3230000000000004</v>
      </c>
      <c r="BE686" s="2944">
        <v>17.709</v>
      </c>
      <c r="BF686" s="2973">
        <v>4.2869999999999999</v>
      </c>
      <c r="BG686" s="2941">
        <v>4.1189999999999998</v>
      </c>
      <c r="BH686" s="3030">
        <f>+BG686</f>
        <v>4.1189999999999998</v>
      </c>
      <c r="BI686" s="3030">
        <f>+BH686</f>
        <v>4.1189999999999998</v>
      </c>
      <c r="BJ686" s="2604">
        <f t="shared" si="1554"/>
        <v>16.643999999999998</v>
      </c>
      <c r="BK686" s="3030">
        <f>+BI686</f>
        <v>4.1189999999999998</v>
      </c>
      <c r="BL686" s="3030">
        <f>+BK686</f>
        <v>4.1189999999999998</v>
      </c>
      <c r="BM686" s="3030">
        <f>+BL686</f>
        <v>4.1189999999999998</v>
      </c>
      <c r="BN686" s="2992">
        <f>+BM686</f>
        <v>4.1189999999999998</v>
      </c>
      <c r="BO686" s="2911">
        <f t="shared" si="1555"/>
        <v>16.475999999999999</v>
      </c>
      <c r="BP686" s="3030">
        <f>+BN686</f>
        <v>4.1189999999999998</v>
      </c>
      <c r="BQ686" s="3030">
        <f>+BP686</f>
        <v>4.1189999999999998</v>
      </c>
      <c r="BR686" s="3030">
        <f>+BQ686</f>
        <v>4.1189999999999998</v>
      </c>
      <c r="BS686" s="2992">
        <f>+BR686</f>
        <v>4.1189999999999998</v>
      </c>
      <c r="BT686" s="2911">
        <f t="shared" si="1556"/>
        <v>16.475999999999999</v>
      </c>
      <c r="BU686" s="3445">
        <f>BS686</f>
        <v>4.1189999999999998</v>
      </c>
      <c r="BV686" s="3445">
        <f>+BU686</f>
        <v>4.1189999999999998</v>
      </c>
      <c r="BW686" s="3445">
        <f>+BV686</f>
        <v>4.1189999999999998</v>
      </c>
      <c r="BX686" s="3445">
        <f>+BW686</f>
        <v>4.1189999999999998</v>
      </c>
      <c r="BY686" s="2604">
        <f t="shared" si="1557"/>
        <v>16.475999999999999</v>
      </c>
      <c r="BZ686" s="2992">
        <f t="shared" ref="BZ686:CF686" si="1563">+BY686</f>
        <v>16.475999999999999</v>
      </c>
      <c r="CA686" s="2992">
        <f t="shared" si="1563"/>
        <v>16.475999999999999</v>
      </c>
      <c r="CB686" s="2992">
        <f t="shared" si="1563"/>
        <v>16.475999999999999</v>
      </c>
      <c r="CC686" s="2992">
        <f t="shared" si="1563"/>
        <v>16.475999999999999</v>
      </c>
      <c r="CD686" s="2992">
        <f t="shared" si="1563"/>
        <v>16.475999999999999</v>
      </c>
      <c r="CE686" s="2992">
        <f t="shared" si="1563"/>
        <v>16.475999999999999</v>
      </c>
      <c r="CF686" s="2992">
        <f t="shared" si="1563"/>
        <v>16.475999999999999</v>
      </c>
      <c r="CG686" s="331"/>
      <c r="CH686" s="331"/>
      <c r="CI686" s="331"/>
      <c r="CJ686" s="331"/>
      <c r="CK686" s="331"/>
      <c r="CL686" s="2036"/>
      <c r="CM686" s="492"/>
      <c r="CN686" s="492"/>
      <c r="CO686" s="492"/>
      <c r="CP686" s="492"/>
      <c r="CQ686" s="492"/>
      <c r="CR686" s="492"/>
      <c r="CS686" s="492"/>
      <c r="CT686" s="492"/>
      <c r="CU686" s="492"/>
      <c r="CV686" s="492"/>
      <c r="CW686" s="492"/>
      <c r="CX686" s="492"/>
      <c r="CY686" s="492"/>
      <c r="CZ686" s="492"/>
      <c r="DA686" s="492"/>
      <c r="DB686" s="492"/>
      <c r="DC686" s="1311"/>
      <c r="DD686" s="331"/>
      <c r="DE686" s="331"/>
      <c r="DF686" s="502"/>
      <c r="DG686" s="503"/>
      <c r="DH686" s="2577"/>
      <c r="DI686" s="3213"/>
      <c r="DJ686" s="502"/>
      <c r="DK686" s="503"/>
      <c r="DL686" s="502"/>
      <c r="DM686" s="502"/>
      <c r="DN686" s="502"/>
      <c r="DO686" s="502"/>
      <c r="DP686" s="503"/>
      <c r="DQ686" s="503"/>
      <c r="DR686" s="296"/>
      <c r="DS686" s="296"/>
      <c r="DT686" s="296"/>
      <c r="DU686"/>
      <c r="DV686"/>
      <c r="DW686"/>
      <c r="DX686"/>
      <c r="DY686"/>
      <c r="DZ686"/>
    </row>
    <row r="687" spans="1:130" s="1049" customFormat="1" ht="12" customHeight="1" x14ac:dyDescent="0.25">
      <c r="A687" s="3018" t="s">
        <v>2302</v>
      </c>
      <c r="B687" s="428"/>
      <c r="C687" s="492"/>
      <c r="D687" s="492"/>
      <c r="E687" s="492"/>
      <c r="F687" s="492"/>
      <c r="G687" s="493"/>
      <c r="H687" s="492"/>
      <c r="I687" s="492"/>
      <c r="J687" s="492"/>
      <c r="K687" s="492"/>
      <c r="L687" s="493"/>
      <c r="M687" s="492"/>
      <c r="N687" s="492"/>
      <c r="O687" s="492"/>
      <c r="P687" s="492"/>
      <c r="Q687" s="2983">
        <v>0</v>
      </c>
      <c r="R687" s="492"/>
      <c r="S687" s="492"/>
      <c r="T687" s="492"/>
      <c r="U687" s="492"/>
      <c r="V687" s="2983">
        <v>0</v>
      </c>
      <c r="W687" s="492"/>
      <c r="X687" s="492"/>
      <c r="Y687" s="492"/>
      <c r="Z687" s="2941">
        <f>187.441-26.967</f>
        <v>160.47399999999999</v>
      </c>
      <c r="AA687" s="2983">
        <v>187.441</v>
      </c>
      <c r="AB687" s="2973">
        <v>0</v>
      </c>
      <c r="AC687" s="2941">
        <v>427.01900000000001</v>
      </c>
      <c r="AD687" s="2941">
        <v>0</v>
      </c>
      <c r="AE687" s="2911">
        <f t="shared" si="1548"/>
        <v>0</v>
      </c>
      <c r="AF687" s="2983">
        <v>427.01900000000001</v>
      </c>
      <c r="AG687" s="2973">
        <v>0</v>
      </c>
      <c r="AH687" s="2941">
        <v>0</v>
      </c>
      <c r="AI687" s="2941">
        <v>0</v>
      </c>
      <c r="AJ687" s="2911">
        <f t="shared" si="1549"/>
        <v>0</v>
      </c>
      <c r="AK687" s="2983">
        <v>0</v>
      </c>
      <c r="AL687" s="2973">
        <v>0</v>
      </c>
      <c r="AM687" s="2941">
        <v>0</v>
      </c>
      <c r="AN687" s="2941">
        <v>0.67500000000000004</v>
      </c>
      <c r="AO687" s="2911">
        <f t="shared" si="1550"/>
        <v>0</v>
      </c>
      <c r="AP687" s="2983">
        <v>0.67500000000000004</v>
      </c>
      <c r="AQ687" s="2973">
        <v>0</v>
      </c>
      <c r="AR687" s="2941">
        <v>0</v>
      </c>
      <c r="AS687" s="2941">
        <v>0</v>
      </c>
      <c r="AT687" s="2911">
        <f t="shared" si="1551"/>
        <v>0.214</v>
      </c>
      <c r="AU687" s="2983">
        <v>0.214</v>
      </c>
      <c r="AV687" s="2973">
        <v>0</v>
      </c>
      <c r="AW687" s="2941">
        <v>0</v>
      </c>
      <c r="AX687" s="2941">
        <v>0</v>
      </c>
      <c r="AY687" s="2911">
        <f t="shared" si="1552"/>
        <v>0</v>
      </c>
      <c r="AZ687" s="2944">
        <v>0</v>
      </c>
      <c r="BA687" s="2973">
        <v>0</v>
      </c>
      <c r="BB687" s="2941">
        <v>0</v>
      </c>
      <c r="BC687" s="2941">
        <v>0</v>
      </c>
      <c r="BD687" s="2911">
        <f t="shared" si="1553"/>
        <v>0</v>
      </c>
      <c r="BE687" s="2944">
        <v>0</v>
      </c>
      <c r="BF687" s="2973">
        <v>0</v>
      </c>
      <c r="BG687" s="2941">
        <v>0</v>
      </c>
      <c r="BH687" s="2941">
        <v>0</v>
      </c>
      <c r="BI687" s="2941">
        <v>0</v>
      </c>
      <c r="BJ687" s="2983">
        <v>0</v>
      </c>
      <c r="BK687" s="2941">
        <v>0</v>
      </c>
      <c r="BL687" s="2941">
        <v>0</v>
      </c>
      <c r="BM687" s="2941">
        <v>0</v>
      </c>
      <c r="BN687" s="2944">
        <v>0</v>
      </c>
      <c r="BO687" s="2944">
        <v>0</v>
      </c>
      <c r="BP687" s="2941">
        <v>0</v>
      </c>
      <c r="BQ687" s="2941">
        <v>0</v>
      </c>
      <c r="BR687" s="2941">
        <v>0</v>
      </c>
      <c r="BS687" s="2944">
        <v>0</v>
      </c>
      <c r="BT687" s="2911">
        <v>0</v>
      </c>
      <c r="BU687" s="572">
        <v>0</v>
      </c>
      <c r="BV687" s="572">
        <v>0</v>
      </c>
      <c r="BW687" s="572">
        <v>0</v>
      </c>
      <c r="BX687" s="572">
        <v>0</v>
      </c>
      <c r="BY687" s="2604">
        <v>0</v>
      </c>
      <c r="BZ687" s="2944">
        <v>0</v>
      </c>
      <c r="CA687" s="2944">
        <v>0</v>
      </c>
      <c r="CB687" s="2944">
        <v>0</v>
      </c>
      <c r="CC687" s="2944">
        <v>0</v>
      </c>
      <c r="CD687" s="2944">
        <v>0</v>
      </c>
      <c r="CE687" s="2944">
        <v>0</v>
      </c>
      <c r="CF687" s="2944">
        <v>0</v>
      </c>
      <c r="CG687" s="331"/>
      <c r="CH687" s="331"/>
      <c r="CI687" s="331"/>
      <c r="CJ687" s="331"/>
      <c r="CK687" s="331"/>
      <c r="CL687" s="2036"/>
      <c r="CM687" s="492"/>
      <c r="CN687" s="492"/>
      <c r="CO687" s="492"/>
      <c r="CP687" s="492"/>
      <c r="CQ687" s="492"/>
      <c r="CR687" s="492"/>
      <c r="CS687" s="492"/>
      <c r="CT687" s="492"/>
      <c r="CU687" s="492"/>
      <c r="CV687" s="492"/>
      <c r="CW687" s="492"/>
      <c r="CX687" s="492"/>
      <c r="CY687" s="492"/>
      <c r="CZ687" s="492"/>
      <c r="DA687" s="492"/>
      <c r="DB687" s="492"/>
      <c r="DC687" s="1311"/>
      <c r="DD687" s="331"/>
      <c r="DE687" s="331"/>
      <c r="DF687" s="502"/>
      <c r="DG687" s="503"/>
      <c r="DH687" s="2577"/>
      <c r="DI687" s="3213"/>
      <c r="DJ687" s="502"/>
      <c r="DK687" s="503"/>
      <c r="DL687" s="502"/>
      <c r="DM687" s="502"/>
      <c r="DN687" s="502"/>
      <c r="DO687" s="502"/>
      <c r="DP687" s="503"/>
      <c r="DQ687" s="503"/>
      <c r="DR687" s="296"/>
      <c r="DS687" s="296"/>
      <c r="DT687" s="296"/>
      <c r="DU687"/>
      <c r="DV687"/>
      <c r="DW687"/>
      <c r="DX687"/>
      <c r="DY687"/>
      <c r="DZ687"/>
    </row>
    <row r="688" spans="1:130" s="1049" customFormat="1" ht="12" customHeight="1" x14ac:dyDescent="0.25">
      <c r="A688" s="3018" t="s">
        <v>2303</v>
      </c>
      <c r="B688" s="428"/>
      <c r="C688" s="492"/>
      <c r="D688" s="492"/>
      <c r="E688" s="492"/>
      <c r="F688" s="492"/>
      <c r="G688" s="493"/>
      <c r="H688" s="492"/>
      <c r="I688" s="492"/>
      <c r="J688" s="492"/>
      <c r="K688" s="492"/>
      <c r="L688" s="493"/>
      <c r="M688" s="492"/>
      <c r="N688" s="492"/>
      <c r="O688" s="492"/>
      <c r="P688" s="492"/>
      <c r="Q688" s="2983">
        <v>0</v>
      </c>
      <c r="R688" s="492"/>
      <c r="S688" s="492"/>
      <c r="T688" s="492"/>
      <c r="U688" s="492"/>
      <c r="V688" s="2983">
        <v>0</v>
      </c>
      <c r="W688" s="492"/>
      <c r="X688" s="492"/>
      <c r="Y688" s="3012"/>
      <c r="Z688" s="2941">
        <f>26.761-0</f>
        <v>26.760999999999999</v>
      </c>
      <c r="AA688" s="2983">
        <v>26.760999999999999</v>
      </c>
      <c r="AB688" s="2973">
        <v>0</v>
      </c>
      <c r="AC688" s="2941">
        <v>0</v>
      </c>
      <c r="AD688" s="2941">
        <v>0</v>
      </c>
      <c r="AE688" s="2911">
        <f t="shared" si="1548"/>
        <v>-4.0000000000000001E-3</v>
      </c>
      <c r="AF688" s="2983">
        <v>-4.0000000000000001E-3</v>
      </c>
      <c r="AG688" s="2973">
        <v>1.4E-2</v>
      </c>
      <c r="AH688" s="2941">
        <v>2E-3</v>
      </c>
      <c r="AI688" s="2941">
        <v>0</v>
      </c>
      <c r="AJ688" s="2911">
        <f t="shared" si="1549"/>
        <v>0</v>
      </c>
      <c r="AK688" s="2983">
        <v>1.6E-2</v>
      </c>
      <c r="AL688" s="2973">
        <v>-2E-3</v>
      </c>
      <c r="AM688" s="2941">
        <v>0</v>
      </c>
      <c r="AN688" s="2941">
        <v>0</v>
      </c>
      <c r="AO688" s="2911">
        <f t="shared" si="1550"/>
        <v>0</v>
      </c>
      <c r="AP688" s="2983">
        <v>-2E-3</v>
      </c>
      <c r="AQ688" s="2973">
        <v>0</v>
      </c>
      <c r="AR688" s="2941">
        <v>4.0000000000000001E-3</v>
      </c>
      <c r="AS688" s="2941">
        <v>8.5999999999999993E-2</v>
      </c>
      <c r="AT688" s="2911">
        <f t="shared" si="1551"/>
        <v>-4.0000000000000036E-3</v>
      </c>
      <c r="AU688" s="2983">
        <v>8.5999999999999993E-2</v>
      </c>
      <c r="AV688" s="2973">
        <v>0.32200000000000001</v>
      </c>
      <c r="AW688" s="2941">
        <v>0</v>
      </c>
      <c r="AX688" s="2941">
        <v>2.3E-2</v>
      </c>
      <c r="AY688" s="2911">
        <f t="shared" si="1552"/>
        <v>0</v>
      </c>
      <c r="AZ688" s="2944">
        <v>0.34499999999999997</v>
      </c>
      <c r="BA688" s="2973">
        <v>1E-3</v>
      </c>
      <c r="BB688" s="2941">
        <v>0.87</v>
      </c>
      <c r="BC688" s="2941">
        <v>0</v>
      </c>
      <c r="BD688" s="2911">
        <f t="shared" si="1553"/>
        <v>0</v>
      </c>
      <c r="BE688" s="2944">
        <v>0.871</v>
      </c>
      <c r="BF688" s="2973">
        <v>2.5000000000000001E-2</v>
      </c>
      <c r="BG688" s="2941">
        <v>1.4999999999999999E-2</v>
      </c>
      <c r="BH688" s="2941">
        <v>0</v>
      </c>
      <c r="BI688" s="2941">
        <v>0</v>
      </c>
      <c r="BJ688" s="2983">
        <v>0</v>
      </c>
      <c r="BK688" s="2941">
        <v>0</v>
      </c>
      <c r="BL688" s="2941">
        <v>0</v>
      </c>
      <c r="BM688" s="2941">
        <v>0</v>
      </c>
      <c r="BN688" s="2944">
        <v>0</v>
      </c>
      <c r="BO688" s="2944">
        <v>0</v>
      </c>
      <c r="BP688" s="2941">
        <v>0</v>
      </c>
      <c r="BQ688" s="2941">
        <v>0</v>
      </c>
      <c r="BR688" s="2941">
        <v>0</v>
      </c>
      <c r="BS688" s="2944">
        <v>0</v>
      </c>
      <c r="BT688" s="2911">
        <v>0</v>
      </c>
      <c r="BU688" s="572">
        <v>0</v>
      </c>
      <c r="BV688" s="572">
        <v>0</v>
      </c>
      <c r="BW688" s="572">
        <v>0</v>
      </c>
      <c r="BX688" s="572">
        <v>0</v>
      </c>
      <c r="BY688" s="2604">
        <v>0</v>
      </c>
      <c r="BZ688" s="2944">
        <v>0</v>
      </c>
      <c r="CA688" s="2944">
        <v>0</v>
      </c>
      <c r="CB688" s="2944">
        <v>0</v>
      </c>
      <c r="CC688" s="2944">
        <v>0</v>
      </c>
      <c r="CD688" s="2944">
        <v>0</v>
      </c>
      <c r="CE688" s="2944">
        <v>0</v>
      </c>
      <c r="CF688" s="2944">
        <v>0</v>
      </c>
      <c r="CG688" s="331"/>
      <c r="CH688" s="331"/>
      <c r="CI688" s="331"/>
      <c r="CJ688" s="331"/>
      <c r="CK688" s="331"/>
      <c r="CL688" s="2036"/>
      <c r="CM688" s="492"/>
      <c r="CN688" s="492"/>
      <c r="CO688" s="492"/>
      <c r="CP688" s="492"/>
      <c r="CQ688" s="492"/>
      <c r="CR688" s="492"/>
      <c r="CS688" s="492"/>
      <c r="CT688" s="492"/>
      <c r="CU688" s="492"/>
      <c r="CV688" s="492"/>
      <c r="CW688" s="492"/>
      <c r="CX688" s="492"/>
      <c r="CY688" s="492"/>
      <c r="CZ688" s="492"/>
      <c r="DA688" s="492"/>
      <c r="DB688" s="492"/>
      <c r="DC688" s="1311"/>
      <c r="DD688" s="331"/>
      <c r="DE688" s="331"/>
      <c r="DF688" s="502"/>
      <c r="DG688" s="503"/>
      <c r="DH688" s="2577"/>
      <c r="DI688" s="3213"/>
      <c r="DJ688" s="502"/>
      <c r="DK688" s="503"/>
      <c r="DL688" s="502"/>
      <c r="DM688" s="502"/>
      <c r="DN688" s="502"/>
      <c r="DO688" s="502"/>
      <c r="DP688" s="503"/>
      <c r="DQ688" s="503"/>
      <c r="DR688" s="296"/>
      <c r="DS688" s="296"/>
      <c r="DT688" s="296"/>
      <c r="DU688"/>
      <c r="DV688"/>
      <c r="DW688"/>
      <c r="DX688"/>
      <c r="DY688"/>
      <c r="DZ688"/>
    </row>
    <row r="689" spans="1:130" s="1049" customFormat="1" ht="12" customHeight="1" x14ac:dyDescent="0.25">
      <c r="A689" s="3018" t="s">
        <v>2304</v>
      </c>
      <c r="B689" s="428"/>
      <c r="C689" s="492"/>
      <c r="D689" s="492"/>
      <c r="E689" s="492"/>
      <c r="F689" s="492"/>
      <c r="G689" s="493"/>
      <c r="H689" s="492"/>
      <c r="I689" s="492"/>
      <c r="J689" s="492"/>
      <c r="K689" s="492"/>
      <c r="L689" s="493"/>
      <c r="M689" s="492"/>
      <c r="N689" s="492"/>
      <c r="O689" s="492"/>
      <c r="P689" s="492"/>
      <c r="Q689" s="2983">
        <v>-7.3999999999999996E-2</v>
      </c>
      <c r="R689" s="492"/>
      <c r="S689" s="492"/>
      <c r="T689" s="492"/>
      <c r="U689" s="492"/>
      <c r="V689" s="2983">
        <v>0</v>
      </c>
      <c r="W689" s="492"/>
      <c r="X689" s="492"/>
      <c r="Y689" s="492"/>
      <c r="Z689" s="2941">
        <v>0</v>
      </c>
      <c r="AA689" s="2983">
        <v>0</v>
      </c>
      <c r="AB689" s="2973">
        <v>0</v>
      </c>
      <c r="AC689" s="2941">
        <v>0</v>
      </c>
      <c r="AD689" s="2941">
        <v>0</v>
      </c>
      <c r="AE689" s="2911">
        <f t="shared" si="1548"/>
        <v>0</v>
      </c>
      <c r="AF689" s="2983">
        <v>0</v>
      </c>
      <c r="AG689" s="2973">
        <v>0</v>
      </c>
      <c r="AH689" s="2941">
        <v>0.105</v>
      </c>
      <c r="AI689" s="2941">
        <v>6.8000000000000005E-2</v>
      </c>
      <c r="AJ689" s="2911">
        <f t="shared" si="1549"/>
        <v>0.45900000000000002</v>
      </c>
      <c r="AK689" s="2983">
        <v>0.63200000000000001</v>
      </c>
      <c r="AL689" s="2973">
        <v>0.46400000000000002</v>
      </c>
      <c r="AM689" s="2941">
        <v>1.68</v>
      </c>
      <c r="AN689" s="2941">
        <v>0</v>
      </c>
      <c r="AO689" s="2911">
        <f t="shared" si="1550"/>
        <v>0</v>
      </c>
      <c r="AP689" s="2983">
        <v>2.1440000000000001</v>
      </c>
      <c r="AQ689" s="2973">
        <v>0</v>
      </c>
      <c r="AR689" s="2941">
        <v>0</v>
      </c>
      <c r="AS689" s="2941">
        <v>0</v>
      </c>
      <c r="AT689" s="2911">
        <f t="shared" si="1551"/>
        <v>0</v>
      </c>
      <c r="AU689" s="2983">
        <v>0</v>
      </c>
      <c r="AV689" s="2973">
        <v>0</v>
      </c>
      <c r="AW689" s="2941">
        <v>0</v>
      </c>
      <c r="AX689" s="2941">
        <v>0</v>
      </c>
      <c r="AY689" s="2911">
        <f t="shared" si="1552"/>
        <v>0</v>
      </c>
      <c r="AZ689" s="2944">
        <v>0</v>
      </c>
      <c r="BA689" s="2973">
        <v>0</v>
      </c>
      <c r="BB689" s="2941">
        <v>-1.528</v>
      </c>
      <c r="BC689" s="2941">
        <v>0</v>
      </c>
      <c r="BD689" s="2911">
        <f t="shared" si="1553"/>
        <v>0</v>
      </c>
      <c r="BE689" s="2944">
        <v>-1.528</v>
      </c>
      <c r="BF689" s="2973">
        <v>0</v>
      </c>
      <c r="BG689" s="2941">
        <v>0</v>
      </c>
      <c r="BH689" s="2941">
        <v>0</v>
      </c>
      <c r="BI689" s="2941">
        <v>0</v>
      </c>
      <c r="BJ689" s="2983">
        <v>0</v>
      </c>
      <c r="BK689" s="2941">
        <v>0</v>
      </c>
      <c r="BL689" s="2941">
        <v>0</v>
      </c>
      <c r="BM689" s="2941">
        <v>0</v>
      </c>
      <c r="BN689" s="2944">
        <v>0</v>
      </c>
      <c r="BO689" s="2944">
        <v>0</v>
      </c>
      <c r="BP689" s="2941">
        <v>0</v>
      </c>
      <c r="BQ689" s="2941">
        <v>0</v>
      </c>
      <c r="BR689" s="2941">
        <v>0</v>
      </c>
      <c r="BS689" s="2944">
        <v>0</v>
      </c>
      <c r="BT689" s="2911">
        <v>0</v>
      </c>
      <c r="BU689" s="572">
        <v>0</v>
      </c>
      <c r="BV689" s="572">
        <v>0</v>
      </c>
      <c r="BW689" s="572">
        <v>0</v>
      </c>
      <c r="BX689" s="572">
        <v>0</v>
      </c>
      <c r="BY689" s="2604">
        <v>0</v>
      </c>
      <c r="BZ689" s="2944">
        <v>0</v>
      </c>
      <c r="CA689" s="2944">
        <v>0</v>
      </c>
      <c r="CB689" s="2944">
        <v>0</v>
      </c>
      <c r="CC689" s="2944">
        <v>0</v>
      </c>
      <c r="CD689" s="2944">
        <v>0</v>
      </c>
      <c r="CE689" s="2944">
        <v>0</v>
      </c>
      <c r="CF689" s="2944">
        <v>0</v>
      </c>
      <c r="CG689" s="331"/>
      <c r="CH689" s="331"/>
      <c r="CI689" s="331"/>
      <c r="CJ689" s="331"/>
      <c r="CK689" s="331"/>
      <c r="CL689" s="2036"/>
      <c r="CM689" s="492"/>
      <c r="CN689" s="492"/>
      <c r="CO689" s="492"/>
      <c r="CP689" s="492"/>
      <c r="CQ689" s="492"/>
      <c r="CR689" s="492"/>
      <c r="CS689" s="492"/>
      <c r="CT689" s="492"/>
      <c r="CU689" s="492"/>
      <c r="CV689" s="492"/>
      <c r="CW689" s="492"/>
      <c r="CX689" s="492"/>
      <c r="CY689" s="492"/>
      <c r="CZ689" s="492"/>
      <c r="DA689" s="492"/>
      <c r="DB689" s="492"/>
      <c r="DC689" s="1311"/>
      <c r="DD689" s="331"/>
      <c r="DE689" s="331"/>
      <c r="DF689" s="502"/>
      <c r="DG689" s="503"/>
      <c r="DH689" s="2577"/>
      <c r="DI689" s="3213"/>
      <c r="DJ689" s="502"/>
      <c r="DK689" s="503"/>
      <c r="DL689" s="502"/>
      <c r="DM689" s="502"/>
      <c r="DN689" s="502"/>
      <c r="DO689" s="502"/>
      <c r="DP689" s="503"/>
      <c r="DQ689" s="503"/>
      <c r="DR689" s="296"/>
      <c r="DS689" s="296"/>
      <c r="DT689" s="296"/>
      <c r="DU689"/>
      <c r="DV689"/>
      <c r="DW689"/>
      <c r="DX689"/>
      <c r="DY689"/>
      <c r="DZ689"/>
    </row>
    <row r="690" spans="1:130" s="1049" customFormat="1" ht="3.95" customHeight="1" x14ac:dyDescent="0.25">
      <c r="A690" s="526"/>
      <c r="B690" s="428"/>
      <c r="C690" s="492"/>
      <c r="D690" s="492"/>
      <c r="E690" s="492"/>
      <c r="F690" s="492"/>
      <c r="G690" s="1464" t="s">
        <v>229</v>
      </c>
      <c r="H690" s="492"/>
      <c r="I690" s="492"/>
      <c r="J690" s="492"/>
      <c r="K690" s="492"/>
      <c r="L690" s="1464" t="s">
        <v>229</v>
      </c>
      <c r="M690" s="492"/>
      <c r="N690" s="492"/>
      <c r="O690" s="492"/>
      <c r="P690" s="492"/>
      <c r="Q690" s="1464" t="s">
        <v>229</v>
      </c>
      <c r="R690" s="492"/>
      <c r="S690" s="492"/>
      <c r="T690" s="492"/>
      <c r="U690" s="492"/>
      <c r="V690" s="1464" t="s">
        <v>229</v>
      </c>
      <c r="W690" s="492"/>
      <c r="X690" s="492"/>
      <c r="Y690" s="492"/>
      <c r="Z690" s="1771" t="s">
        <v>229</v>
      </c>
      <c r="AA690" s="1464" t="s">
        <v>229</v>
      </c>
      <c r="AB690" s="1865" t="s">
        <v>229</v>
      </c>
      <c r="AC690" s="1771" t="s">
        <v>229</v>
      </c>
      <c r="AD690" s="1771" t="s">
        <v>229</v>
      </c>
      <c r="AE690" s="2911" t="s">
        <v>229</v>
      </c>
      <c r="AF690" s="1464" t="s">
        <v>229</v>
      </c>
      <c r="AG690" s="1865" t="s">
        <v>229</v>
      </c>
      <c r="AH690" s="1771" t="s">
        <v>229</v>
      </c>
      <c r="AI690" s="1771" t="s">
        <v>229</v>
      </c>
      <c r="AJ690" s="2911" t="s">
        <v>229</v>
      </c>
      <c r="AK690" s="1464" t="s">
        <v>229</v>
      </c>
      <c r="AL690" s="1865" t="s">
        <v>229</v>
      </c>
      <c r="AM690" s="1771" t="s">
        <v>229</v>
      </c>
      <c r="AN690" s="1771" t="s">
        <v>229</v>
      </c>
      <c r="AO690" s="2911" t="s">
        <v>229</v>
      </c>
      <c r="AP690" s="1464" t="s">
        <v>229</v>
      </c>
      <c r="AQ690" s="1865" t="s">
        <v>229</v>
      </c>
      <c r="AR690" s="1771" t="s">
        <v>229</v>
      </c>
      <c r="AS690" s="1771" t="s">
        <v>229</v>
      </c>
      <c r="AT690" s="2911" t="s">
        <v>229</v>
      </c>
      <c r="AU690" s="1464" t="s">
        <v>229</v>
      </c>
      <c r="AV690" s="1865" t="s">
        <v>229</v>
      </c>
      <c r="AW690" s="1771" t="s">
        <v>229</v>
      </c>
      <c r="AX690" s="1771" t="s">
        <v>229</v>
      </c>
      <c r="AY690" s="2911" t="s">
        <v>229</v>
      </c>
      <c r="AZ690" s="1866" t="s">
        <v>229</v>
      </c>
      <c r="BA690" s="1865" t="s">
        <v>229</v>
      </c>
      <c r="BB690" s="1771" t="s">
        <v>229</v>
      </c>
      <c r="BC690" s="1771" t="s">
        <v>229</v>
      </c>
      <c r="BD690" s="2911" t="s">
        <v>229</v>
      </c>
      <c r="BE690" s="1866" t="s">
        <v>229</v>
      </c>
      <c r="BF690" s="1865" t="s">
        <v>229</v>
      </c>
      <c r="BG690" s="1771" t="s">
        <v>229</v>
      </c>
      <c r="BH690" s="1771" t="s">
        <v>229</v>
      </c>
      <c r="BI690" s="1771" t="s">
        <v>229</v>
      </c>
      <c r="BJ690" s="1464" t="s">
        <v>229</v>
      </c>
      <c r="BK690" s="1771" t="s">
        <v>229</v>
      </c>
      <c r="BL690" s="1771" t="s">
        <v>229</v>
      </c>
      <c r="BM690" s="1771" t="s">
        <v>229</v>
      </c>
      <c r="BN690" s="1866" t="s">
        <v>229</v>
      </c>
      <c r="BO690" s="1866" t="s">
        <v>229</v>
      </c>
      <c r="BP690" s="1771" t="s">
        <v>229</v>
      </c>
      <c r="BQ690" s="1771" t="s">
        <v>229</v>
      </c>
      <c r="BR690" s="1771" t="s">
        <v>229</v>
      </c>
      <c r="BS690" s="1866" t="s">
        <v>229</v>
      </c>
      <c r="BT690" s="2911" t="s">
        <v>229</v>
      </c>
      <c r="BU690" s="1771" t="s">
        <v>229</v>
      </c>
      <c r="BV690" s="1771" t="s">
        <v>229</v>
      </c>
      <c r="BW690" s="1771" t="s">
        <v>229</v>
      </c>
      <c r="BX690" s="1771" t="s">
        <v>229</v>
      </c>
      <c r="BY690" s="2604" t="s">
        <v>229</v>
      </c>
      <c r="BZ690" s="1866" t="s">
        <v>229</v>
      </c>
      <c r="CA690" s="1866" t="s">
        <v>229</v>
      </c>
      <c r="CB690" s="1866" t="s">
        <v>229</v>
      </c>
      <c r="CC690" s="1866" t="s">
        <v>229</v>
      </c>
      <c r="CD690" s="1866" t="s">
        <v>229</v>
      </c>
      <c r="CE690" s="1866" t="s">
        <v>229</v>
      </c>
      <c r="CF690" s="1866" t="s">
        <v>229</v>
      </c>
      <c r="CG690" s="331"/>
      <c r="CH690" s="331"/>
      <c r="CI690" s="331"/>
      <c r="CJ690" s="331"/>
      <c r="CK690" s="331"/>
      <c r="CL690" s="2036"/>
      <c r="CM690" s="492"/>
      <c r="CN690" s="492"/>
      <c r="CO690" s="492"/>
      <c r="CP690" s="492"/>
      <c r="CQ690" s="492"/>
      <c r="CR690" s="492"/>
      <c r="CS690" s="492"/>
      <c r="CT690" s="492"/>
      <c r="CU690" s="492"/>
      <c r="CV690" s="492"/>
      <c r="CW690" s="492"/>
      <c r="CX690" s="492"/>
      <c r="CY690" s="492"/>
      <c r="CZ690" s="492"/>
      <c r="DA690" s="492"/>
      <c r="DB690" s="492"/>
      <c r="DC690" s="1311"/>
      <c r="DD690" s="331"/>
      <c r="DE690" s="331"/>
      <c r="DF690" s="502"/>
      <c r="DG690" s="503"/>
      <c r="DH690" s="2577"/>
      <c r="DI690" s="3213"/>
      <c r="DJ690" s="502"/>
      <c r="DK690" s="503"/>
      <c r="DL690" s="502"/>
      <c r="DM690" s="502"/>
      <c r="DN690" s="502"/>
      <c r="DO690" s="502"/>
      <c r="DP690" s="503"/>
      <c r="DQ690" s="503"/>
      <c r="DR690" s="296"/>
      <c r="DS690" s="296"/>
      <c r="DT690" s="296"/>
      <c r="DU690"/>
      <c r="DV690"/>
      <c r="DW690"/>
      <c r="DX690"/>
      <c r="DY690"/>
      <c r="DZ690"/>
    </row>
    <row r="691" spans="1:130" s="1049" customFormat="1" ht="12" customHeight="1" x14ac:dyDescent="0.25">
      <c r="A691" s="2585" t="s">
        <v>2305</v>
      </c>
      <c r="B691" s="428"/>
      <c r="C691" s="492"/>
      <c r="D691" s="492"/>
      <c r="E691" s="492"/>
      <c r="F691" s="492"/>
      <c r="G691" s="2984">
        <f>+G675-G693</f>
        <v>131.76400000000001</v>
      </c>
      <c r="H691" s="492"/>
      <c r="I691" s="492"/>
      <c r="J691" s="492"/>
      <c r="K691" s="492"/>
      <c r="L691" s="2984">
        <f>+L675-L693</f>
        <v>130.624</v>
      </c>
      <c r="M691" s="492"/>
      <c r="N691" s="492"/>
      <c r="O691" s="492"/>
      <c r="P691" s="492"/>
      <c r="Q691" s="2984">
        <f>SUM(Q680:Q689)</f>
        <v>138.84199999999998</v>
      </c>
      <c r="R691" s="492"/>
      <c r="S691" s="492"/>
      <c r="T691" s="492"/>
      <c r="U691" s="492"/>
      <c r="V691" s="2984">
        <f>SUM(V680:V689)</f>
        <v>120.169</v>
      </c>
      <c r="W691" s="492"/>
      <c r="X691" s="492"/>
      <c r="Y691" s="3012"/>
      <c r="Z691" s="3012">
        <f>SUM(Z680:Z689)</f>
        <v>215.83799999999999</v>
      </c>
      <c r="AA691" s="2984">
        <f t="shared" ref="AA691:BI691" si="1564">SUM(AA680:AA689)</f>
        <v>335.37600000000003</v>
      </c>
      <c r="AB691" s="2987">
        <f t="shared" si="1564"/>
        <v>26.190999999999995</v>
      </c>
      <c r="AC691" s="3012">
        <f t="shared" si="1564"/>
        <v>451.35399999999998</v>
      </c>
      <c r="AD691" s="3012">
        <f t="shared" si="1564"/>
        <v>28.492999999999999</v>
      </c>
      <c r="AE691" s="2989">
        <f t="shared" si="1564"/>
        <v>24.081999999999997</v>
      </c>
      <c r="AF691" s="2984">
        <f t="shared" si="1564"/>
        <v>530.12</v>
      </c>
      <c r="AG691" s="2987">
        <f t="shared" si="1564"/>
        <v>22.95</v>
      </c>
      <c r="AH691" s="3012">
        <f t="shared" si="1564"/>
        <v>24.626999999999999</v>
      </c>
      <c r="AI691" s="3012">
        <f t="shared" si="1564"/>
        <v>23.907</v>
      </c>
      <c r="AJ691" s="2989">
        <f t="shared" si="1564"/>
        <v>25.593000000000007</v>
      </c>
      <c r="AK691" s="2984">
        <f t="shared" si="1564"/>
        <v>97.077000000000012</v>
      </c>
      <c r="AL691" s="2987">
        <f t="shared" si="1564"/>
        <v>25.7</v>
      </c>
      <c r="AM691" s="3012">
        <f t="shared" si="1564"/>
        <v>33.786999999999999</v>
      </c>
      <c r="AN691" s="3012">
        <f t="shared" si="1564"/>
        <v>34.866999999999997</v>
      </c>
      <c r="AO691" s="2989">
        <f t="shared" si="1564"/>
        <v>30.318999999999996</v>
      </c>
      <c r="AP691" s="2984">
        <f t="shared" si="1564"/>
        <v>124.673</v>
      </c>
      <c r="AQ691" s="2987">
        <f t="shared" si="1564"/>
        <v>30.301000000000002</v>
      </c>
      <c r="AR691" s="3012">
        <f t="shared" si="1564"/>
        <v>30.390000000000004</v>
      </c>
      <c r="AS691" s="3012">
        <f t="shared" si="1564"/>
        <v>31.058999999999997</v>
      </c>
      <c r="AT691" s="2989">
        <f t="shared" si="1564"/>
        <v>29.934999999999999</v>
      </c>
      <c r="AU691" s="2984">
        <f t="shared" si="1564"/>
        <v>121.68499999999999</v>
      </c>
      <c r="AV691" s="2987">
        <f t="shared" si="1564"/>
        <v>29.858000000000001</v>
      </c>
      <c r="AW691" s="3012">
        <f t="shared" si="1564"/>
        <v>31.171999999999997</v>
      </c>
      <c r="AX691" s="3012">
        <f t="shared" si="1564"/>
        <v>29.894000000000002</v>
      </c>
      <c r="AY691" s="2989">
        <f t="shared" si="1564"/>
        <v>30.329000000000001</v>
      </c>
      <c r="AZ691" s="2980">
        <f t="shared" si="1564"/>
        <v>121.25299999999999</v>
      </c>
      <c r="BA691" s="2987">
        <f t="shared" si="1564"/>
        <v>30.059000000000005</v>
      </c>
      <c r="BB691" s="3012">
        <f t="shared" si="1564"/>
        <v>31.885999999999996</v>
      </c>
      <c r="BC691" s="3012">
        <f t="shared" si="1564"/>
        <v>31.821999999999999</v>
      </c>
      <c r="BD691" s="2989">
        <f t="shared" si="1564"/>
        <v>31.922999999999995</v>
      </c>
      <c r="BE691" s="2980">
        <f t="shared" si="1564"/>
        <v>125.69</v>
      </c>
      <c r="BF691" s="2987">
        <f t="shared" si="1564"/>
        <v>31.532999999999994</v>
      </c>
      <c r="BG691" s="3012">
        <f t="shared" si="1564"/>
        <v>34.405000000000001</v>
      </c>
      <c r="BH691" s="3012">
        <f t="shared" si="1564"/>
        <v>33.417983999999997</v>
      </c>
      <c r="BI691" s="3012">
        <f t="shared" si="1564"/>
        <v>30.706781999999997</v>
      </c>
      <c r="BJ691" s="2984">
        <f t="shared" ref="BJ691:CF691" si="1565">SUM(BJ680:BJ689)</f>
        <v>130.02276599999999</v>
      </c>
      <c r="BK691" s="3012">
        <f t="shared" si="1565"/>
        <v>28.923747500000001</v>
      </c>
      <c r="BL691" s="3012">
        <f t="shared" si="1565"/>
        <v>29.1507054</v>
      </c>
      <c r="BM691" s="3012">
        <f t="shared" si="1565"/>
        <v>33.198077775000002</v>
      </c>
      <c r="BN691" s="2980">
        <f t="shared" si="1565"/>
        <v>30.739060131999999</v>
      </c>
      <c r="BO691" s="2980">
        <f t="shared" si="1565"/>
        <v>122.011590807</v>
      </c>
      <c r="BP691" s="3012">
        <f t="shared" si="1565"/>
        <v>28.579405745000003</v>
      </c>
      <c r="BQ691" s="3012">
        <f t="shared" si="1565"/>
        <v>31.920436993749998</v>
      </c>
      <c r="BR691" s="3012">
        <f t="shared" si="1565"/>
        <v>34.859717409375001</v>
      </c>
      <c r="BS691" s="2980">
        <f t="shared" si="1565"/>
        <v>31.033085057599997</v>
      </c>
      <c r="BT691" s="2989">
        <f t="shared" si="1565"/>
        <v>126.392645205725</v>
      </c>
      <c r="BU691" s="3012">
        <f t="shared" si="1565"/>
        <v>29.253557411700005</v>
      </c>
      <c r="BV691" s="3012">
        <f>SUM(BV680:BV689)</f>
        <v>31.922113632237501</v>
      </c>
      <c r="BW691" s="3012">
        <f>SUM(BW680:BW689)</f>
        <v>34.951294163943743</v>
      </c>
      <c r="BX691" s="3012">
        <f>SUM(BX680:BX689)</f>
        <v>31.626629903364002</v>
      </c>
      <c r="BY691" s="3023">
        <f>SUM(BY680:BY689)</f>
        <v>127.75359511124526</v>
      </c>
      <c r="BZ691" s="2980">
        <f t="shared" si="1565"/>
        <v>129.43937845459385</v>
      </c>
      <c r="CA691" s="2980">
        <f t="shared" si="1565"/>
        <v>131.14002176896997</v>
      </c>
      <c r="CB691" s="2980">
        <f t="shared" si="1565"/>
        <v>130.93451225727807</v>
      </c>
      <c r="CC691" s="2980">
        <f t="shared" si="1565"/>
        <v>130.63904866794763</v>
      </c>
      <c r="CD691" s="2980">
        <f t="shared" si="1565"/>
        <v>130.80648262845489</v>
      </c>
      <c r="CE691" s="2980">
        <f t="shared" si="1565"/>
        <v>130.97366000297353</v>
      </c>
      <c r="CF691" s="2980">
        <f t="shared" si="1565"/>
        <v>131.14075419237949</v>
      </c>
      <c r="CG691" s="331"/>
      <c r="CH691" s="331"/>
      <c r="CI691" s="331"/>
      <c r="CJ691" s="331"/>
      <c r="CK691" s="331"/>
      <c r="CL691" s="2036"/>
      <c r="CM691" s="492"/>
      <c r="CN691" s="492"/>
      <c r="CO691" s="492"/>
      <c r="CP691" s="492"/>
      <c r="CQ691" s="492"/>
      <c r="CR691" s="492"/>
      <c r="CS691" s="492"/>
      <c r="CT691" s="492"/>
      <c r="CU691" s="492"/>
      <c r="CV691" s="492"/>
      <c r="CW691" s="492"/>
      <c r="CX691" s="492"/>
      <c r="CY691" s="492"/>
      <c r="CZ691" s="492"/>
      <c r="DA691" s="492"/>
      <c r="DB691" s="492"/>
      <c r="DC691" s="1311"/>
      <c r="DD691" s="331"/>
      <c r="DE691" s="331"/>
      <c r="DF691" s="502"/>
      <c r="DG691" s="503"/>
      <c r="DH691" s="2671"/>
      <c r="DI691" s="3213"/>
      <c r="DJ691" s="502"/>
      <c r="DK691" s="503"/>
      <c r="DL691" s="502"/>
      <c r="DM691" s="502"/>
      <c r="DN691" s="502"/>
      <c r="DO691" s="502"/>
      <c r="DP691" s="503"/>
      <c r="DQ691" s="503"/>
      <c r="DR691" s="296"/>
      <c r="DS691" s="296"/>
      <c r="DT691" s="296"/>
      <c r="DU691"/>
      <c r="DV691"/>
      <c r="DW691"/>
      <c r="DX691"/>
      <c r="DY691"/>
      <c r="DZ691"/>
    </row>
    <row r="692" spans="1:130" s="1049" customFormat="1" ht="12" customHeight="1" x14ac:dyDescent="0.25">
      <c r="A692" s="2585"/>
      <c r="B692" s="428"/>
      <c r="C692" s="492"/>
      <c r="D692" s="492"/>
      <c r="E692" s="492"/>
      <c r="F692" s="492"/>
      <c r="G692" s="493"/>
      <c r="H692" s="492"/>
      <c r="I692" s="492"/>
      <c r="J692" s="492"/>
      <c r="K692" s="492"/>
      <c r="L692" s="493"/>
      <c r="M692" s="492"/>
      <c r="N692" s="492"/>
      <c r="O692" s="492"/>
      <c r="P692" s="492"/>
      <c r="Q692" s="2984"/>
      <c r="R692" s="492"/>
      <c r="S692" s="492"/>
      <c r="T692" s="492"/>
      <c r="U692" s="492"/>
      <c r="V692" s="2984"/>
      <c r="W692" s="492"/>
      <c r="X692" s="492"/>
      <c r="Y692" s="492"/>
      <c r="Z692" s="3012"/>
      <c r="AA692" s="2984"/>
      <c r="AB692" s="2987"/>
      <c r="AC692" s="3012"/>
      <c r="AD692" s="3012"/>
      <c r="AE692" s="2989"/>
      <c r="AF692" s="2984"/>
      <c r="AG692" s="2987"/>
      <c r="AH692" s="3012"/>
      <c r="AI692" s="3012"/>
      <c r="AJ692" s="2989"/>
      <c r="AK692" s="2984"/>
      <c r="AL692" s="2987"/>
      <c r="AM692" s="3012"/>
      <c r="AN692" s="3012"/>
      <c r="AO692" s="2989"/>
      <c r="AP692" s="2984"/>
      <c r="AQ692" s="2987"/>
      <c r="AR692" s="3012"/>
      <c r="AS692" s="3012"/>
      <c r="AT692" s="2989"/>
      <c r="AU692" s="2984"/>
      <c r="AV692" s="2987"/>
      <c r="AW692" s="3012"/>
      <c r="AX692" s="3012"/>
      <c r="AY692" s="2989"/>
      <c r="AZ692" s="2980"/>
      <c r="BA692" s="2987"/>
      <c r="BB692" s="3012"/>
      <c r="BC692" s="3012"/>
      <c r="BD692" s="2989"/>
      <c r="BE692" s="2980"/>
      <c r="BF692" s="2987"/>
      <c r="BG692" s="2653"/>
      <c r="BH692" s="2653"/>
      <c r="BI692" s="2653"/>
      <c r="BJ692" s="2984"/>
      <c r="BK692" s="2653"/>
      <c r="BL692" s="2653"/>
      <c r="BM692" s="2653"/>
      <c r="BN692" s="2653"/>
      <c r="BO692" s="2984"/>
      <c r="BP692" s="2653"/>
      <c r="BQ692" s="2653"/>
      <c r="BR692" s="2653"/>
      <c r="BS692" s="2950"/>
      <c r="BT692" s="2989"/>
      <c r="BU692" s="2653"/>
      <c r="BV692" s="2653"/>
      <c r="BW692" s="2653"/>
      <c r="BX692" s="2653"/>
      <c r="BY692" s="3023"/>
      <c r="BZ692" s="2980"/>
      <c r="CA692" s="2980"/>
      <c r="CB692" s="2980"/>
      <c r="CC692" s="2980"/>
      <c r="CD692" s="2980"/>
      <c r="CE692" s="2980"/>
      <c r="CF692" s="2980"/>
      <c r="CG692" s="331"/>
      <c r="CH692" s="331"/>
      <c r="CI692" s="331"/>
      <c r="CJ692" s="331"/>
      <c r="CK692" s="331"/>
      <c r="CL692" s="2036"/>
      <c r="CM692" s="492"/>
      <c r="CN692" s="492"/>
      <c r="CO692" s="492"/>
      <c r="CP692" s="492"/>
      <c r="CQ692" s="492"/>
      <c r="CR692" s="492"/>
      <c r="CS692" s="492"/>
      <c r="CT692" s="492"/>
      <c r="CU692" s="492"/>
      <c r="CV692" s="492"/>
      <c r="CW692" s="492"/>
      <c r="CX692" s="492"/>
      <c r="CY692" s="492"/>
      <c r="CZ692" s="492"/>
      <c r="DA692" s="492"/>
      <c r="DB692" s="492"/>
      <c r="DC692" s="1311"/>
      <c r="DD692" s="331"/>
      <c r="DE692" s="331"/>
      <c r="DF692" s="502"/>
      <c r="DG692" s="503"/>
      <c r="DH692" s="2671"/>
      <c r="DI692" s="3213"/>
      <c r="DJ692" s="502"/>
      <c r="DK692" s="503"/>
      <c r="DL692" s="502"/>
      <c r="DM692" s="502"/>
      <c r="DN692" s="502"/>
      <c r="DO692" s="502"/>
      <c r="DP692" s="503"/>
      <c r="DQ692" s="503"/>
      <c r="DR692" s="296"/>
      <c r="DS692" s="296"/>
      <c r="DT692" s="296"/>
      <c r="DU692"/>
      <c r="DV692"/>
      <c r="DW692"/>
      <c r="DX692"/>
      <c r="DY692"/>
      <c r="DZ692"/>
    </row>
    <row r="693" spans="1:130" s="1049" customFormat="1" ht="12" customHeight="1" x14ac:dyDescent="0.25">
      <c r="A693" s="2585" t="s">
        <v>2306</v>
      </c>
      <c r="B693" s="428"/>
      <c r="C693" s="492"/>
      <c r="D693" s="492"/>
      <c r="E693" s="492"/>
      <c r="F693" s="492"/>
      <c r="G693" s="2982">
        <v>30.242000000000001</v>
      </c>
      <c r="H693" s="492"/>
      <c r="I693" s="492"/>
      <c r="J693" s="492"/>
      <c r="K693" s="492"/>
      <c r="L693" s="2982">
        <v>33.146999999999998</v>
      </c>
      <c r="M693" s="492"/>
      <c r="N693" s="492"/>
      <c r="O693" s="492"/>
      <c r="P693" s="492"/>
      <c r="Q693" s="2984">
        <f>+Q675-Q691</f>
        <v>24.037000000000006</v>
      </c>
      <c r="R693" s="492"/>
      <c r="S693" s="492"/>
      <c r="T693" s="492"/>
      <c r="U693" s="492"/>
      <c r="V693" s="2984">
        <f>+V675-V691</f>
        <v>36.678999999999988</v>
      </c>
      <c r="W693" s="492"/>
      <c r="X693" s="492"/>
      <c r="Y693" s="3012"/>
      <c r="Z693" s="3012">
        <f>+Z675-Z691</f>
        <v>-193.00199999999998</v>
      </c>
      <c r="AA693" s="2984">
        <f t="shared" ref="AA693:BI693" si="1566">+AA675-AA691</f>
        <v>-216.99300000000002</v>
      </c>
      <c r="AB693" s="2987">
        <f t="shared" si="1566"/>
        <v>-2.8449999999999953</v>
      </c>
      <c r="AC693" s="3012">
        <f t="shared" si="1566"/>
        <v>-430.80599999999998</v>
      </c>
      <c r="AD693" s="3012">
        <f t="shared" si="1566"/>
        <v>-9.657</v>
      </c>
      <c r="AE693" s="2989">
        <f t="shared" si="1566"/>
        <v>-9.3669999999999973</v>
      </c>
      <c r="AF693" s="2984">
        <f t="shared" si="1566"/>
        <v>-452.67500000000001</v>
      </c>
      <c r="AG693" s="2987">
        <f t="shared" si="1566"/>
        <v>-9.8969999999999985</v>
      </c>
      <c r="AH693" s="3012">
        <f t="shared" si="1566"/>
        <v>-10.813999999999998</v>
      </c>
      <c r="AI693" s="3012">
        <f t="shared" si="1566"/>
        <v>-10.812999999999999</v>
      </c>
      <c r="AJ693" s="2989">
        <f t="shared" si="1566"/>
        <v>-11.369000000000014</v>
      </c>
      <c r="AK693" s="2984">
        <f t="shared" si="1566"/>
        <v>-42.893000000000015</v>
      </c>
      <c r="AL693" s="2987">
        <f t="shared" si="1566"/>
        <v>-9.036999999999999</v>
      </c>
      <c r="AM693" s="3012">
        <f t="shared" si="1566"/>
        <v>-9.3670000000000044</v>
      </c>
      <c r="AN693" s="3012">
        <f t="shared" si="1566"/>
        <v>-10.797999999999998</v>
      </c>
      <c r="AO693" s="2989">
        <f t="shared" si="1566"/>
        <v>-10.04699999999999</v>
      </c>
      <c r="AP693" s="2984">
        <f t="shared" si="1566"/>
        <v>-39.249000000000009</v>
      </c>
      <c r="AQ693" s="2987">
        <f t="shared" si="1566"/>
        <v>-7.0180000000000007</v>
      </c>
      <c r="AR693" s="3012">
        <f t="shared" si="1566"/>
        <v>-4.9740000000000073</v>
      </c>
      <c r="AS693" s="3012">
        <f t="shared" si="1566"/>
        <v>-8.6559999999999988</v>
      </c>
      <c r="AT693" s="2989">
        <f t="shared" si="1566"/>
        <v>-9.6410000000000018</v>
      </c>
      <c r="AU693" s="2984">
        <f t="shared" si="1566"/>
        <v>-30.288999999999987</v>
      </c>
      <c r="AV693" s="2987">
        <f t="shared" si="1566"/>
        <v>-8.9770000000000003</v>
      </c>
      <c r="AW693" s="3012">
        <f t="shared" si="1566"/>
        <v>-4.2669999999999924</v>
      </c>
      <c r="AX693" s="3012">
        <f t="shared" si="1566"/>
        <v>-5.1670000000000016</v>
      </c>
      <c r="AY693" s="2989">
        <f t="shared" si="1566"/>
        <v>-6.0799999999999983</v>
      </c>
      <c r="AZ693" s="2980">
        <f t="shared" si="1566"/>
        <v>-24.490999999999985</v>
      </c>
      <c r="BA693" s="2987">
        <f t="shared" si="1566"/>
        <v>-2.9100000000000037</v>
      </c>
      <c r="BB693" s="3012">
        <f t="shared" si="1566"/>
        <v>-2.8779999999999966</v>
      </c>
      <c r="BC693" s="3012">
        <f t="shared" si="1566"/>
        <v>-5.4320000000000022</v>
      </c>
      <c r="BD693" s="2989">
        <f t="shared" si="1566"/>
        <v>-4.8099999999999952</v>
      </c>
      <c r="BE693" s="2980">
        <f t="shared" si="1566"/>
        <v>-16.03</v>
      </c>
      <c r="BF693" s="2987">
        <f t="shared" si="1566"/>
        <v>-3.3799999999999955</v>
      </c>
      <c r="BG693" s="3012">
        <f t="shared" si="1566"/>
        <v>-3.588000000000001</v>
      </c>
      <c r="BH693" s="3012">
        <f t="shared" si="1566"/>
        <v>-4.8177453833626593</v>
      </c>
      <c r="BI693" s="2989">
        <f t="shared" si="1566"/>
        <v>-3.1938658989471129</v>
      </c>
      <c r="BJ693" s="2980">
        <f t="shared" ref="BJ693:CF693" si="1567">+BJ675-BJ691</f>
        <v>-14.93961128230977</v>
      </c>
      <c r="BK693" s="3012">
        <f t="shared" si="1567"/>
        <v>-2.1126754999999982</v>
      </c>
      <c r="BL693" s="3012">
        <f t="shared" si="1567"/>
        <v>2.9234766000000008</v>
      </c>
      <c r="BM693" s="3012">
        <f t="shared" si="1567"/>
        <v>-2.0810930249999977</v>
      </c>
      <c r="BN693" s="2989">
        <f t="shared" si="1567"/>
        <v>-1.1401348119999923</v>
      </c>
      <c r="BO693" s="2980">
        <f t="shared" si="1567"/>
        <v>-2.4104267370000088</v>
      </c>
      <c r="BP693" s="3012">
        <f t="shared" si="1567"/>
        <v>0.71889715249999853</v>
      </c>
      <c r="BQ693" s="3012">
        <f t="shared" si="1567"/>
        <v>-0.11210657624999953</v>
      </c>
      <c r="BR693" s="3012">
        <f t="shared" si="1567"/>
        <v>0.76419062624999867</v>
      </c>
      <c r="BS693" s="2980">
        <f t="shared" si="1567"/>
        <v>-0.50656309711999725</v>
      </c>
      <c r="BT693" s="2989">
        <f t="shared" si="1567"/>
        <v>0.86441810538002528</v>
      </c>
      <c r="BU693" s="3012">
        <f t="shared" si="1567"/>
        <v>1.1906233006999969</v>
      </c>
      <c r="BV693" s="3012">
        <f>+BV675-BV691</f>
        <v>1.6069719099874895</v>
      </c>
      <c r="BW693" s="3012">
        <f>+BW675-BW691</f>
        <v>2.839442221162507</v>
      </c>
      <c r="BX693" s="3012">
        <f>+BX675-BX691</f>
        <v>1.4031881855400066</v>
      </c>
      <c r="BY693" s="3023">
        <f>+BY675-BY691</f>
        <v>7.0402256173900071</v>
      </c>
      <c r="BZ693" s="2980">
        <f t="shared" si="1567"/>
        <v>9.4616886907100479</v>
      </c>
      <c r="CA693" s="2980">
        <f t="shared" si="1567"/>
        <v>12.012213838535246</v>
      </c>
      <c r="CB693" s="2980">
        <f t="shared" si="1567"/>
        <v>7.9231562820019974</v>
      </c>
      <c r="CC693" s="2980">
        <f t="shared" si="1567"/>
        <v>4.0528898151540318</v>
      </c>
      <c r="CD693" s="2980">
        <f t="shared" si="1567"/>
        <v>5.2323752394777898</v>
      </c>
      <c r="CE693" s="2980">
        <f t="shared" si="1567"/>
        <v>6.4255864436384513</v>
      </c>
      <c r="CF693" s="2980">
        <f t="shared" si="1567"/>
        <v>7.6324847186986347</v>
      </c>
      <c r="CG693" s="331"/>
      <c r="CH693" s="331"/>
      <c r="CI693" s="331"/>
      <c r="CJ693" s="331"/>
      <c r="CK693" s="331"/>
      <c r="CL693" s="2036"/>
      <c r="CM693" s="492"/>
      <c r="CN693" s="492"/>
      <c r="CO693" s="492"/>
      <c r="CP693" s="492"/>
      <c r="CQ693" s="492"/>
      <c r="CR693" s="492"/>
      <c r="CS693" s="492"/>
      <c r="CT693" s="492"/>
      <c r="CU693" s="492"/>
      <c r="CV693" s="492"/>
      <c r="CW693" s="492"/>
      <c r="CX693" s="492"/>
      <c r="CY693" s="492"/>
      <c r="CZ693" s="492"/>
      <c r="DA693" s="492"/>
      <c r="DB693" s="492"/>
      <c r="DC693" s="1311"/>
      <c r="DD693" s="331"/>
      <c r="DE693" s="331"/>
      <c r="DF693" s="502"/>
      <c r="DG693" s="503"/>
      <c r="DH693" s="2671"/>
      <c r="DI693" s="3213"/>
      <c r="DJ693" s="502"/>
      <c r="DK693" s="503"/>
      <c r="DL693" s="502"/>
      <c r="DM693" s="502"/>
      <c r="DN693" s="502"/>
      <c r="DO693" s="502"/>
      <c r="DP693" s="503"/>
      <c r="DQ693" s="503"/>
      <c r="DR693" s="296"/>
      <c r="DS693" s="296"/>
      <c r="DT693" s="296"/>
      <c r="DU693"/>
      <c r="DV693"/>
      <c r="DW693"/>
      <c r="DX693"/>
      <c r="DY693"/>
      <c r="DZ693"/>
    </row>
    <row r="694" spans="1:130" s="1049" customFormat="1" ht="12" customHeight="1" x14ac:dyDescent="0.25">
      <c r="A694" s="428"/>
      <c r="B694" s="428"/>
      <c r="C694" s="492"/>
      <c r="D694" s="492"/>
      <c r="E694" s="492"/>
      <c r="F694" s="492"/>
      <c r="G694" s="493"/>
      <c r="H694" s="492"/>
      <c r="I694" s="492"/>
      <c r="J694" s="492"/>
      <c r="K694" s="492"/>
      <c r="L694" s="493"/>
      <c r="M694" s="492"/>
      <c r="N694" s="492"/>
      <c r="O694" s="492"/>
      <c r="P694" s="492"/>
      <c r="Q694" s="1690"/>
      <c r="R694" s="492"/>
      <c r="S694" s="492"/>
      <c r="T694" s="492"/>
      <c r="U694" s="492"/>
      <c r="V694" s="1690"/>
      <c r="W694" s="492"/>
      <c r="X694" s="492"/>
      <c r="Y694" s="492"/>
      <c r="Z694" s="1837"/>
      <c r="AA694" s="2984"/>
      <c r="AB694" s="1902"/>
      <c r="AC694" s="1837"/>
      <c r="AD694" s="1837"/>
      <c r="AE694" s="3016"/>
      <c r="AF694" s="1690"/>
      <c r="AG694" s="1902"/>
      <c r="AH694" s="1837"/>
      <c r="AI694" s="1837"/>
      <c r="AJ694" s="3016"/>
      <c r="AK694" s="1690"/>
      <c r="AL694" s="1902"/>
      <c r="AM694" s="1837"/>
      <c r="AN694" s="1837"/>
      <c r="AO694" s="3016"/>
      <c r="AP694" s="1690"/>
      <c r="AQ694" s="1902"/>
      <c r="AR694" s="1837"/>
      <c r="AS694" s="1837"/>
      <c r="AT694" s="3016"/>
      <c r="AU694" s="1690"/>
      <c r="AV694" s="1902"/>
      <c r="AW694" s="1837"/>
      <c r="AX694" s="1837"/>
      <c r="AY694" s="3016"/>
      <c r="AZ694" s="1903"/>
      <c r="BA694" s="1902"/>
      <c r="BB694" s="1837"/>
      <c r="BC694" s="1837"/>
      <c r="BD694" s="3016"/>
      <c r="BE694" s="1903"/>
      <c r="BF694" s="1902"/>
      <c r="BG694" s="2653"/>
      <c r="BH694" s="2653"/>
      <c r="BI694" s="2950"/>
      <c r="BJ694" s="1903"/>
      <c r="BK694" s="2653"/>
      <c r="BL694" s="2653"/>
      <c r="BM694" s="2653"/>
      <c r="BN694" s="2950"/>
      <c r="BO694" s="1903"/>
      <c r="BP694" s="2653"/>
      <c r="BQ694" s="2653"/>
      <c r="BR694" s="2653"/>
      <c r="BS694" s="2950"/>
      <c r="BT694" s="3016"/>
      <c r="BU694" s="2653"/>
      <c r="BV694" s="2653"/>
      <c r="BW694" s="2653"/>
      <c r="BX694" s="2653"/>
      <c r="BY694" s="1690"/>
      <c r="BZ694" s="1903"/>
      <c r="CA694" s="1903"/>
      <c r="CB694" s="1903"/>
      <c r="CC694" s="1903"/>
      <c r="CD694" s="1903"/>
      <c r="CE694" s="1903"/>
      <c r="CF694" s="1903"/>
      <c r="CG694" s="331"/>
      <c r="CH694" s="331"/>
      <c r="CI694" s="331"/>
      <c r="CJ694" s="331"/>
      <c r="CK694" s="331"/>
      <c r="CL694" s="2036"/>
      <c r="CM694" s="492"/>
      <c r="CN694" s="492"/>
      <c r="CO694" s="492"/>
      <c r="CP694" s="492"/>
      <c r="CQ694" s="492"/>
      <c r="CR694" s="492"/>
      <c r="CS694" s="492"/>
      <c r="CT694" s="492"/>
      <c r="CU694" s="492"/>
      <c r="CV694" s="492"/>
      <c r="CW694" s="492"/>
      <c r="CX694" s="492"/>
      <c r="CY694" s="492"/>
      <c r="CZ694" s="492"/>
      <c r="DA694" s="492"/>
      <c r="DB694" s="492"/>
      <c r="DC694" s="1311"/>
      <c r="DD694" s="331"/>
      <c r="DE694" s="331"/>
      <c r="DF694" s="502"/>
      <c r="DG694" s="503"/>
      <c r="DH694" s="3298"/>
      <c r="DI694" s="3213"/>
      <c r="DJ694" s="502"/>
      <c r="DK694" s="503"/>
      <c r="DL694" s="502"/>
      <c r="DM694" s="502"/>
      <c r="DN694" s="502"/>
      <c r="DO694" s="502"/>
      <c r="DP694" s="503"/>
      <c r="DQ694" s="503"/>
      <c r="DR694" s="296"/>
      <c r="DS694" s="296"/>
      <c r="DT694" s="296"/>
      <c r="DU694"/>
      <c r="DV694"/>
      <c r="DW694"/>
      <c r="DX694"/>
      <c r="DY694"/>
      <c r="DZ694"/>
    </row>
    <row r="695" spans="1:130" s="1049" customFormat="1" ht="12" customHeight="1" x14ac:dyDescent="0.25">
      <c r="A695" s="2221" t="s">
        <v>2010</v>
      </c>
      <c r="B695" s="428"/>
      <c r="C695" s="492"/>
      <c r="D695" s="492"/>
      <c r="E695" s="492"/>
      <c r="F695" s="492"/>
      <c r="G695" s="493"/>
      <c r="H695" s="492"/>
      <c r="I695" s="492"/>
      <c r="J695" s="492"/>
      <c r="K695" s="492"/>
      <c r="L695" s="493"/>
      <c r="M695" s="492"/>
      <c r="N695" s="492"/>
      <c r="O695" s="492"/>
      <c r="P695" s="492"/>
      <c r="Q695" s="2985">
        <f>+Q693+Q686+Q688+Q689+Q687</f>
        <v>29.232000000000003</v>
      </c>
      <c r="R695" s="492"/>
      <c r="S695" s="492"/>
      <c r="T695" s="492"/>
      <c r="U695" s="492"/>
      <c r="V695" s="2985">
        <f>+V693+V686+V688+V689+V687</f>
        <v>42.818999999999988</v>
      </c>
      <c r="W695" s="492"/>
      <c r="X695" s="492"/>
      <c r="Y695" s="492"/>
      <c r="Z695" s="3015">
        <f>+Z693+Z686+Z688+Z689+Z687</f>
        <v>-4.0529999999999973</v>
      </c>
      <c r="AA695" s="2985">
        <f t="shared" ref="AA695:BE695" si="1568">+AA693+AA686+AA688+AA689+AA687</f>
        <v>3.5939999999999657</v>
      </c>
      <c r="AB695" s="2988">
        <f t="shared" si="1568"/>
        <v>-1.1049999999999953</v>
      </c>
      <c r="AC695" s="3015">
        <f t="shared" si="1568"/>
        <v>-3.5709999999999695</v>
      </c>
      <c r="AD695" s="3015">
        <f t="shared" si="1568"/>
        <v>-8.6129999999999995</v>
      </c>
      <c r="AE695" s="2202">
        <f t="shared" si="1568"/>
        <v>-8.1619999999999973</v>
      </c>
      <c r="AF695" s="2985">
        <f t="shared" si="1568"/>
        <v>-21.451000000000022</v>
      </c>
      <c r="AG695" s="2988">
        <f t="shared" si="1568"/>
        <v>-8.3689999999999998</v>
      </c>
      <c r="AH695" s="3015">
        <f t="shared" si="1568"/>
        <v>-8.5549999999999979</v>
      </c>
      <c r="AI695" s="3015">
        <f t="shared" si="1568"/>
        <v>-8.004999999999999</v>
      </c>
      <c r="AJ695" s="2202">
        <f t="shared" si="1568"/>
        <v>-7.2630000000000141</v>
      </c>
      <c r="AK695" s="2985">
        <f t="shared" si="1568"/>
        <v>-32.192000000000021</v>
      </c>
      <c r="AL695" s="2988">
        <f t="shared" si="1568"/>
        <v>-4.783999999999998</v>
      </c>
      <c r="AM695" s="3015">
        <f t="shared" si="1568"/>
        <v>-3.6970000000000045</v>
      </c>
      <c r="AN695" s="3015">
        <f t="shared" si="1568"/>
        <v>-5.3589999999999982</v>
      </c>
      <c r="AO695" s="2202">
        <f t="shared" si="1568"/>
        <v>-5.5519999999999925</v>
      </c>
      <c r="AP695" s="2985">
        <f t="shared" si="1568"/>
        <v>-19.392000000000007</v>
      </c>
      <c r="AQ695" s="2988">
        <f t="shared" si="1568"/>
        <v>-2.3770000000000007</v>
      </c>
      <c r="AR695" s="3015">
        <f t="shared" si="1568"/>
        <v>-0.26300000000000745</v>
      </c>
      <c r="AS695" s="3015">
        <f t="shared" si="1568"/>
        <v>-3.9249999999999994</v>
      </c>
      <c r="AT695" s="2202">
        <f t="shared" si="1568"/>
        <v>-4.7639999999999993</v>
      </c>
      <c r="AU695" s="2985">
        <f t="shared" si="1568"/>
        <v>-11.328999999999986</v>
      </c>
      <c r="AV695" s="2988">
        <f t="shared" si="1568"/>
        <v>-4.1630000000000003</v>
      </c>
      <c r="AW695" s="3015">
        <f t="shared" si="1568"/>
        <v>0.35700000000000731</v>
      </c>
      <c r="AX695" s="3015">
        <f t="shared" si="1568"/>
        <v>-0.71200000000000119</v>
      </c>
      <c r="AY695" s="2202">
        <f t="shared" si="1568"/>
        <v>-1.5909999999999993</v>
      </c>
      <c r="AZ695" s="2981">
        <f t="shared" si="1568"/>
        <v>-6.1089999999999867</v>
      </c>
      <c r="BA695" s="2988">
        <f t="shared" si="1568"/>
        <v>1.5919999999999965</v>
      </c>
      <c r="BB695" s="3015">
        <f t="shared" si="1568"/>
        <v>0.94200000000000328</v>
      </c>
      <c r="BC695" s="3015">
        <f t="shared" si="1568"/>
        <v>-1.0250000000000021</v>
      </c>
      <c r="BD695" s="2202">
        <f t="shared" si="1568"/>
        <v>-0.48699999999999477</v>
      </c>
      <c r="BE695" s="2981">
        <f t="shared" si="1568"/>
        <v>1.0219999999999985</v>
      </c>
      <c r="BF695" s="2988">
        <f t="shared" ref="BF695:BK695" si="1569">+BF693+BF686+BF688+BF689+BF687</f>
        <v>0.93200000000000449</v>
      </c>
      <c r="BG695" s="3015">
        <f t="shared" si="1569"/>
        <v>0.54599999999999882</v>
      </c>
      <c r="BH695" s="3015">
        <f t="shared" si="1569"/>
        <v>-0.69874538336265957</v>
      </c>
      <c r="BI695" s="2202">
        <f t="shared" si="1569"/>
        <v>0.92513410105288685</v>
      </c>
      <c r="BJ695" s="2981">
        <f t="shared" si="1569"/>
        <v>1.7043887176902288</v>
      </c>
      <c r="BK695" s="3015">
        <f t="shared" si="1569"/>
        <v>2.0063245000000016</v>
      </c>
      <c r="BL695" s="3015">
        <f t="shared" ref="BL695:BU695" si="1570">+BL693+BL686+BL688+BL689+BL687</f>
        <v>7.0424766000000005</v>
      </c>
      <c r="BM695" s="3015">
        <f t="shared" si="1570"/>
        <v>2.0379069750000021</v>
      </c>
      <c r="BN695" s="2202">
        <f t="shared" si="1570"/>
        <v>2.9788651880000074</v>
      </c>
      <c r="BO695" s="2981">
        <f t="shared" si="1570"/>
        <v>14.06557326299999</v>
      </c>
      <c r="BP695" s="3015">
        <f t="shared" si="1570"/>
        <v>4.8378971524999983</v>
      </c>
      <c r="BQ695" s="3015">
        <f t="shared" si="1570"/>
        <v>4.0068934237500002</v>
      </c>
      <c r="BR695" s="3015">
        <f t="shared" si="1570"/>
        <v>4.8831906262499984</v>
      </c>
      <c r="BS695" s="2981">
        <f t="shared" si="1570"/>
        <v>3.6124369028800025</v>
      </c>
      <c r="BT695" s="2202">
        <f t="shared" si="1570"/>
        <v>17.340418105380024</v>
      </c>
      <c r="BU695" s="3015">
        <f t="shared" si="1570"/>
        <v>5.3096233006999967</v>
      </c>
      <c r="BV695" s="3015">
        <f t="shared" ref="BV695:CF695" si="1571">+BV693+BV686+BV688+BV689+BV687</f>
        <v>5.7259719099874893</v>
      </c>
      <c r="BW695" s="3015">
        <f t="shared" si="1571"/>
        <v>6.9584422211625068</v>
      </c>
      <c r="BX695" s="3015">
        <f t="shared" si="1571"/>
        <v>5.5221881855400063</v>
      </c>
      <c r="BY695" s="3440">
        <f t="shared" si="1571"/>
        <v>23.516225617390006</v>
      </c>
      <c r="BZ695" s="2981">
        <f t="shared" si="1571"/>
        <v>25.937688690710047</v>
      </c>
      <c r="CA695" s="2981">
        <f t="shared" si="1571"/>
        <v>28.488213838535245</v>
      </c>
      <c r="CB695" s="2981">
        <f t="shared" si="1571"/>
        <v>24.399156282001996</v>
      </c>
      <c r="CC695" s="2981">
        <f t="shared" si="1571"/>
        <v>20.528889815154031</v>
      </c>
      <c r="CD695" s="2981">
        <f t="shared" si="1571"/>
        <v>21.708375239477789</v>
      </c>
      <c r="CE695" s="2981">
        <f t="shared" si="1571"/>
        <v>22.90158644363845</v>
      </c>
      <c r="CF695" s="2981">
        <f t="shared" si="1571"/>
        <v>24.108484718698634</v>
      </c>
      <c r="CG695" s="331"/>
      <c r="CH695" s="331"/>
      <c r="CI695" s="331"/>
      <c r="CJ695" s="331"/>
      <c r="CK695" s="331"/>
      <c r="CL695" s="2036"/>
      <c r="CM695" s="492"/>
      <c r="CN695" s="492"/>
      <c r="CO695" s="492"/>
      <c r="CP695" s="492"/>
      <c r="CQ695" s="492"/>
      <c r="CR695" s="492"/>
      <c r="CS695" s="492"/>
      <c r="CT695" s="492"/>
      <c r="CU695" s="492"/>
      <c r="CV695" s="492"/>
      <c r="CW695" s="492"/>
      <c r="CX695" s="492"/>
      <c r="CY695" s="492"/>
      <c r="CZ695" s="492"/>
      <c r="DA695" s="492"/>
      <c r="DB695" s="492"/>
      <c r="DC695" s="1311"/>
      <c r="DD695" s="331"/>
      <c r="DE695" s="331"/>
      <c r="DF695" s="502"/>
      <c r="DG695" s="503"/>
      <c r="DH695" s="2144"/>
      <c r="DI695" s="3213"/>
      <c r="DJ695" s="502"/>
      <c r="DK695" s="503"/>
      <c r="DL695" s="502"/>
      <c r="DM695" s="502"/>
      <c r="DN695" s="502"/>
      <c r="DO695" s="502"/>
      <c r="DP695" s="503"/>
      <c r="DQ695" s="503"/>
      <c r="DR695" s="296"/>
      <c r="DS695" s="296"/>
      <c r="DT695" s="296"/>
      <c r="DU695"/>
      <c r="DV695"/>
      <c r="DW695"/>
      <c r="DX695"/>
      <c r="DY695"/>
      <c r="DZ695"/>
    </row>
    <row r="696" spans="1:130" s="1049" customFormat="1" ht="12" customHeight="1" x14ac:dyDescent="0.25">
      <c r="A696" s="2239" t="s">
        <v>1892</v>
      </c>
      <c r="B696" s="428"/>
      <c r="C696" s="492"/>
      <c r="D696" s="492"/>
      <c r="E696" s="492"/>
      <c r="F696" s="492"/>
      <c r="G696" s="493"/>
      <c r="H696" s="492"/>
      <c r="I696" s="492"/>
      <c r="J696" s="492"/>
      <c r="K696" s="492"/>
      <c r="L696" s="493"/>
      <c r="M696" s="492"/>
      <c r="N696" s="492"/>
      <c r="O696" s="492"/>
      <c r="P696" s="492"/>
      <c r="Q696" s="1689">
        <f>+Q695/Q675</f>
        <v>0.17947064999171167</v>
      </c>
      <c r="R696" s="492"/>
      <c r="S696" s="492"/>
      <c r="T696" s="492"/>
      <c r="U696" s="492"/>
      <c r="V696" s="1689">
        <f>+V695/V675</f>
        <v>0.27299678669794958</v>
      </c>
      <c r="W696" s="492"/>
      <c r="X696" s="492"/>
      <c r="Y696" s="492"/>
      <c r="Z696" s="1465">
        <f t="shared" ref="Z696:BE696" si="1572">+Z695/Z675</f>
        <v>-0.17748292170257471</v>
      </c>
      <c r="AA696" s="1689">
        <f t="shared" si="1572"/>
        <v>3.0359088720508565E-2</v>
      </c>
      <c r="AB696" s="1730">
        <f t="shared" si="1572"/>
        <v>-4.7331448642165479E-2</v>
      </c>
      <c r="AC696" s="1465">
        <f t="shared" si="1572"/>
        <v>-0.17378820323145658</v>
      </c>
      <c r="AD696" s="1465">
        <f t="shared" si="1572"/>
        <v>-0.4572626884688894</v>
      </c>
      <c r="AE696" s="1463">
        <f t="shared" si="1572"/>
        <v>-0.55467210329595629</v>
      </c>
      <c r="AF696" s="1689">
        <f t="shared" si="1572"/>
        <v>-0.27698366582736161</v>
      </c>
      <c r="AG696" s="1730">
        <f t="shared" si="1572"/>
        <v>-0.64115528997165394</v>
      </c>
      <c r="AH696" s="1465">
        <f t="shared" si="1572"/>
        <v>-0.61934409614131603</v>
      </c>
      <c r="AI696" s="1465">
        <f t="shared" si="1572"/>
        <v>-0.61134870933251861</v>
      </c>
      <c r="AJ696" s="1463">
        <f t="shared" si="1572"/>
        <v>-0.51061586051743657</v>
      </c>
      <c r="AK696" s="1689">
        <f t="shared" si="1572"/>
        <v>-0.59412372656134693</v>
      </c>
      <c r="AL696" s="1730">
        <f t="shared" si="1572"/>
        <v>-0.28710316269579295</v>
      </c>
      <c r="AM696" s="1465">
        <f t="shared" si="1572"/>
        <v>-0.15139230139230161</v>
      </c>
      <c r="AN696" s="1465">
        <f t="shared" si="1572"/>
        <v>-0.22265154347916399</v>
      </c>
      <c r="AO696" s="1463">
        <f t="shared" si="1572"/>
        <v>-0.27387529597474303</v>
      </c>
      <c r="AP696" s="1689">
        <f t="shared" si="1572"/>
        <v>-0.22700880314665678</v>
      </c>
      <c r="AQ696" s="1730">
        <f t="shared" si="1572"/>
        <v>-0.10209165485547397</v>
      </c>
      <c r="AR696" s="1465">
        <f t="shared" si="1572"/>
        <v>-1.0347812401637058E-2</v>
      </c>
      <c r="AS696" s="1465">
        <f t="shared" si="1572"/>
        <v>-0.17519975003347765</v>
      </c>
      <c r="AT696" s="1463">
        <f t="shared" si="1572"/>
        <v>-0.23474918695180841</v>
      </c>
      <c r="AU696" s="1689">
        <f t="shared" si="1572"/>
        <v>-0.12395509650312909</v>
      </c>
      <c r="AV696" s="1730">
        <f t="shared" si="1572"/>
        <v>-0.19936784636751115</v>
      </c>
      <c r="AW696" s="1465">
        <f t="shared" si="1572"/>
        <v>1.3268909124698282E-2</v>
      </c>
      <c r="AX696" s="1465">
        <f t="shared" si="1572"/>
        <v>-2.8794435232741587E-2</v>
      </c>
      <c r="AY696" s="1463">
        <f t="shared" si="1572"/>
        <v>-6.5610953028990851E-2</v>
      </c>
      <c r="AZ696" s="1868">
        <f t="shared" si="1572"/>
        <v>-6.3134288253653151E-2</v>
      </c>
      <c r="BA696" s="1730">
        <f t="shared" si="1572"/>
        <v>5.8639360565766567E-2</v>
      </c>
      <c r="BB696" s="1465">
        <f t="shared" si="1572"/>
        <v>3.2473800330943305E-2</v>
      </c>
      <c r="BC696" s="1465">
        <f t="shared" si="1572"/>
        <v>-3.8840469874952717E-2</v>
      </c>
      <c r="BD696" s="1463">
        <f t="shared" si="1572"/>
        <v>-1.7961863312801786E-2</v>
      </c>
      <c r="BE696" s="1868">
        <f t="shared" si="1572"/>
        <v>9.3197154842239519E-3</v>
      </c>
      <c r="BF696" s="1730">
        <f t="shared" ref="BF696:BK696" si="1573">+BF695/BF675</f>
        <v>3.3104820090221448E-2</v>
      </c>
      <c r="BG696" s="1465">
        <f t="shared" si="1573"/>
        <v>1.7717493591199625E-2</v>
      </c>
      <c r="BH696" s="1465">
        <f t="shared" si="1573"/>
        <v>-2.4431452923479639E-2</v>
      </c>
      <c r="BI696" s="1463">
        <f t="shared" si="1573"/>
        <v>3.3625446959345877E-2</v>
      </c>
      <c r="BJ696" s="1868">
        <f t="shared" si="1573"/>
        <v>1.4810062531490854E-2</v>
      </c>
      <c r="BK696" s="1465">
        <f t="shared" si="1573"/>
        <v>7.4831938834821726E-2</v>
      </c>
      <c r="BL696" s="1465">
        <f t="shared" ref="BL696:BU696" si="1574">+BL695/BL675</f>
        <v>0.21956839304584605</v>
      </c>
      <c r="BM696" s="1465">
        <f t="shared" si="1574"/>
        <v>6.5491788210617088E-2</v>
      </c>
      <c r="BN696" s="1463">
        <f t="shared" si="1574"/>
        <v>0.10064099138042647</v>
      </c>
      <c r="BO696" s="1868">
        <f t="shared" si="1574"/>
        <v>0.11760398297434389</v>
      </c>
      <c r="BP696" s="1465">
        <f t="shared" si="1574"/>
        <v>0.16512550810281956</v>
      </c>
      <c r="BQ696" s="1465">
        <f t="shared" si="1574"/>
        <v>0.12596993841416859</v>
      </c>
      <c r="BR696" s="1465">
        <f t="shared" si="1574"/>
        <v>0.13707621918871613</v>
      </c>
      <c r="BS696" s="1868">
        <f t="shared" si="1574"/>
        <v>0.11833765102872533</v>
      </c>
      <c r="BT696" s="1463">
        <f t="shared" si="1574"/>
        <v>0.13626291267611565</v>
      </c>
      <c r="BU696" s="1465">
        <f t="shared" si="1574"/>
        <v>0.17440519588485337</v>
      </c>
      <c r="BV696" s="1465">
        <f t="shared" ref="BV696:CF696" si="1575">+BV695/BV675</f>
        <v>0.17077626238199856</v>
      </c>
      <c r="BW696" s="1465">
        <f t="shared" si="1575"/>
        <v>0.18413089785423992</v>
      </c>
      <c r="BX696" s="1465">
        <f t="shared" si="1575"/>
        <v>0.16718796847976353</v>
      </c>
      <c r="BY696" s="470">
        <f t="shared" si="1575"/>
        <v>0.17446070962505389</v>
      </c>
      <c r="BZ696" s="1868">
        <f t="shared" si="1575"/>
        <v>0.18673498500610314</v>
      </c>
      <c r="CA696" s="1868">
        <f t="shared" si="1575"/>
        <v>0.19900641940824609</v>
      </c>
      <c r="CB696" s="1868">
        <f t="shared" si="1575"/>
        <v>0.17571342323884662</v>
      </c>
      <c r="CC696" s="1868">
        <f t="shared" si="1575"/>
        <v>0.15241364885196576</v>
      </c>
      <c r="CD696" s="1868">
        <f t="shared" si="1575"/>
        <v>0.15957481251829098</v>
      </c>
      <c r="CE696" s="1868">
        <f t="shared" si="1575"/>
        <v>0.16667912696695261</v>
      </c>
      <c r="CF696" s="1868">
        <f t="shared" si="1575"/>
        <v>0.17372574790263887</v>
      </c>
      <c r="CG696" s="331"/>
      <c r="CH696" s="331"/>
      <c r="CI696" s="331"/>
      <c r="CJ696" s="331"/>
      <c r="CK696" s="331"/>
      <c r="CL696" s="2036"/>
      <c r="CM696" s="492"/>
      <c r="CN696" s="492"/>
      <c r="CO696" s="492"/>
      <c r="CP696" s="492"/>
      <c r="CQ696" s="492"/>
      <c r="CR696" s="492"/>
      <c r="CS696" s="492"/>
      <c r="CT696" s="492"/>
      <c r="CU696" s="492"/>
      <c r="CV696" s="492"/>
      <c r="CW696" s="492"/>
      <c r="CX696" s="492"/>
      <c r="CY696" s="492"/>
      <c r="CZ696" s="492"/>
      <c r="DA696" s="492"/>
      <c r="DB696" s="492"/>
      <c r="DC696" s="1311"/>
      <c r="DD696" s="331"/>
      <c r="DE696" s="331"/>
      <c r="DF696" s="502"/>
      <c r="DG696" s="503"/>
      <c r="DH696" s="469"/>
      <c r="DI696" s="3213"/>
      <c r="DJ696" s="502"/>
      <c r="DK696" s="503"/>
      <c r="DL696" s="502"/>
      <c r="DM696" s="502"/>
      <c r="DN696" s="502"/>
      <c r="DO696" s="502"/>
      <c r="DP696" s="503"/>
      <c r="DQ696" s="503"/>
      <c r="DR696" s="296"/>
      <c r="DS696" s="296"/>
      <c r="DT696" s="296"/>
      <c r="DU696"/>
      <c r="DV696"/>
      <c r="DW696"/>
      <c r="DX696"/>
      <c r="DY696"/>
      <c r="DZ696"/>
    </row>
    <row r="697" spans="1:130" s="1049" customFormat="1" ht="12" customHeight="1" x14ac:dyDescent="0.25">
      <c r="A697" s="2239" t="s">
        <v>1491</v>
      </c>
      <c r="B697" s="428"/>
      <c r="C697" s="492"/>
      <c r="D697" s="492"/>
      <c r="E697" s="492"/>
      <c r="F697" s="492"/>
      <c r="G697" s="493"/>
      <c r="H697" s="492"/>
      <c r="I697" s="492"/>
      <c r="J697" s="492"/>
      <c r="K697" s="492"/>
      <c r="L697" s="493"/>
      <c r="M697" s="492"/>
      <c r="N697" s="492"/>
      <c r="O697" s="492"/>
      <c r="P697" s="492"/>
      <c r="Q697" s="493"/>
      <c r="R697" s="492"/>
      <c r="S697" s="492"/>
      <c r="T697" s="492"/>
      <c r="U697" s="492"/>
      <c r="V697" s="493"/>
      <c r="W697" s="492"/>
      <c r="X697" s="492"/>
      <c r="Y697" s="492"/>
      <c r="Z697" s="492"/>
      <c r="AA697" s="493"/>
      <c r="AB697" s="494"/>
      <c r="AC697" s="492"/>
      <c r="AD697" s="492"/>
      <c r="AE697" s="492"/>
      <c r="AF697" s="493"/>
      <c r="AG697" s="494"/>
      <c r="AH697" s="492"/>
      <c r="AI697" s="492"/>
      <c r="AJ697" s="492"/>
      <c r="AK697" s="493"/>
      <c r="AL697" s="494"/>
      <c r="AM697" s="492"/>
      <c r="AN697" s="492"/>
      <c r="AO697" s="492"/>
      <c r="AP697" s="493"/>
      <c r="AQ697" s="494"/>
      <c r="AR697" s="492"/>
      <c r="AS697" s="492"/>
      <c r="AT697" s="492"/>
      <c r="AU697" s="493"/>
      <c r="AV697" s="494"/>
      <c r="AW697" s="492"/>
      <c r="AX697" s="492"/>
      <c r="AY697" s="1311"/>
      <c r="AZ697" s="493"/>
      <c r="BA697" s="494"/>
      <c r="BB697" s="492"/>
      <c r="BC697" s="492"/>
      <c r="BD697" s="1311"/>
      <c r="BE697" s="1868"/>
      <c r="BF697" s="494"/>
      <c r="BG697" s="2653"/>
      <c r="BH697" s="2653"/>
      <c r="BI697" s="2950"/>
      <c r="BJ697" s="1311"/>
      <c r="BK697" s="519">
        <f t="shared" ref="BK697:BT697" si="1576">+BK695/BF695-1</f>
        <v>1.152708690987116</v>
      </c>
      <c r="BL697" s="519">
        <f t="shared" si="1576"/>
        <v>11.898308791208819</v>
      </c>
      <c r="BM697" s="519">
        <f t="shared" si="1576"/>
        <v>-3.9165229903813148</v>
      </c>
      <c r="BN697" s="1462">
        <f t="shared" si="1576"/>
        <v>2.2199279916390364</v>
      </c>
      <c r="BO697" s="1462">
        <f t="shared" si="1576"/>
        <v>7.2525618229047648</v>
      </c>
      <c r="BP697" s="519">
        <f t="shared" si="1576"/>
        <v>1.4113233689266091</v>
      </c>
      <c r="BQ697" s="519">
        <f t="shared" si="1576"/>
        <v>-0.43103915691391859</v>
      </c>
      <c r="BR697" s="519">
        <f t="shared" si="1576"/>
        <v>1.3961793576225401</v>
      </c>
      <c r="BS697" s="1462">
        <f t="shared" si="1576"/>
        <v>0.21268895196474857</v>
      </c>
      <c r="BT697" s="1462">
        <f t="shared" si="1576"/>
        <v>0.23282697271888897</v>
      </c>
      <c r="BU697" s="519">
        <f>+BU695/BP695-1</f>
        <v>9.7506444087227528E-2</v>
      </c>
      <c r="BV697" s="519">
        <f>+BV695/BQ695-1</f>
        <v>0.42903024973113091</v>
      </c>
      <c r="BW697" s="519">
        <f>+BW695/BR695-1</f>
        <v>0.42497861618525001</v>
      </c>
      <c r="BX697" s="519">
        <f>+BX695/BS695-1</f>
        <v>0.52866010784505635</v>
      </c>
      <c r="BY697" s="591">
        <f>+BY695/BT695-1</f>
        <v>0.35615101518768344</v>
      </c>
      <c r="BZ697" s="591">
        <f>+BZ695/BY695-1</f>
        <v>0.10296988609980828</v>
      </c>
      <c r="CA697" s="591">
        <f>+CA695/BZ695-1</f>
        <v>9.8332784321631062E-2</v>
      </c>
      <c r="CB697" s="493"/>
      <c r="CC697" s="493"/>
      <c r="CD697" s="493"/>
      <c r="CE697" s="493"/>
      <c r="CF697" s="493"/>
      <c r="CG697" s="331"/>
      <c r="CH697" s="331"/>
      <c r="CI697" s="331"/>
      <c r="CJ697" s="331"/>
      <c r="CK697" s="331"/>
      <c r="CL697" s="2036"/>
      <c r="CM697" s="492"/>
      <c r="CN697" s="492"/>
      <c r="CO697" s="492"/>
      <c r="CP697" s="492"/>
      <c r="CQ697" s="492"/>
      <c r="CR697" s="492"/>
      <c r="CS697" s="492"/>
      <c r="CT697" s="492"/>
      <c r="CU697" s="492"/>
      <c r="CV697" s="492"/>
      <c r="CW697" s="492"/>
      <c r="CX697" s="492"/>
      <c r="CY697" s="492"/>
      <c r="CZ697" s="492"/>
      <c r="DA697" s="492"/>
      <c r="DB697" s="492"/>
      <c r="DC697" s="1311"/>
      <c r="DD697" s="331"/>
      <c r="DE697" s="331"/>
      <c r="DF697" s="502"/>
      <c r="DG697" s="503"/>
      <c r="DH697" s="519"/>
      <c r="DI697" s="3213"/>
      <c r="DJ697" s="502"/>
      <c r="DK697" s="503"/>
      <c r="DL697" s="502"/>
      <c r="DM697" s="502"/>
      <c r="DN697" s="502"/>
      <c r="DO697" s="502"/>
      <c r="DP697" s="503"/>
      <c r="DQ697" s="503"/>
      <c r="DR697" s="296"/>
      <c r="DS697" s="296"/>
      <c r="DT697" s="296"/>
      <c r="DU697"/>
      <c r="DV697"/>
      <c r="DW697"/>
      <c r="DX697"/>
      <c r="DY697"/>
      <c r="DZ697"/>
    </row>
    <row r="698" spans="1:130" s="1049" customFormat="1" ht="12" customHeight="1" x14ac:dyDescent="0.25">
      <c r="A698" s="2239"/>
      <c r="B698" s="428"/>
      <c r="C698" s="572"/>
      <c r="D698" s="572"/>
      <c r="E698" s="572"/>
      <c r="F698" s="572"/>
      <c r="G698" s="477"/>
      <c r="H698" s="572"/>
      <c r="I698" s="572"/>
      <c r="J698" s="572"/>
      <c r="K698" s="572"/>
      <c r="L698" s="477"/>
      <c r="M698" s="572"/>
      <c r="N698" s="572"/>
      <c r="O698" s="572"/>
      <c r="P698" s="572"/>
      <c r="Q698" s="477"/>
      <c r="R698" s="572"/>
      <c r="S698" s="572"/>
      <c r="T698" s="572"/>
      <c r="U698" s="572"/>
      <c r="V698" s="477"/>
      <c r="W698" s="572"/>
      <c r="X698" s="572"/>
      <c r="Y698" s="572"/>
      <c r="Z698" s="572"/>
      <c r="AA698" s="3008"/>
      <c r="AB698" s="1642"/>
      <c r="AC698" s="1466"/>
      <c r="AD698" s="1466"/>
      <c r="AE698" s="476"/>
      <c r="AF698" s="3008"/>
      <c r="AG698" s="1642"/>
      <c r="AH698" s="1466"/>
      <c r="AI698" s="1466"/>
      <c r="AJ698" s="476"/>
      <c r="AK698" s="3008"/>
      <c r="AL698" s="1642"/>
      <c r="AM698" s="1466"/>
      <c r="AN698" s="1466"/>
      <c r="AO698" s="476"/>
      <c r="AP698" s="3008"/>
      <c r="AQ698" s="1642"/>
      <c r="AR698" s="1466"/>
      <c r="AS698" s="1466"/>
      <c r="AT698" s="476"/>
      <c r="AU698" s="3008"/>
      <c r="AV698" s="1642"/>
      <c r="AW698" s="1466"/>
      <c r="AX698" s="1466"/>
      <c r="AY698" s="1769"/>
      <c r="AZ698" s="3008"/>
      <c r="BA698" s="1923"/>
      <c r="BB698" s="1466"/>
      <c r="BC698" s="1466"/>
      <c r="BD698" s="1769"/>
      <c r="BE698" s="1769"/>
      <c r="BF698" s="1923"/>
      <c r="BG698" s="3028"/>
      <c r="BH698" s="3028"/>
      <c r="BI698" s="3029"/>
      <c r="BJ698" s="1769"/>
      <c r="BK698" s="3028"/>
      <c r="BL698" s="3028"/>
      <c r="BM698" s="3028"/>
      <c r="BN698" s="3029"/>
      <c r="BO698" s="1769"/>
      <c r="BP698" s="3028"/>
      <c r="BQ698" s="3028"/>
      <c r="BR698" s="3028"/>
      <c r="BS698" s="3029"/>
      <c r="BT698" s="3029"/>
      <c r="BU698" s="3028"/>
      <c r="BV698" s="3028"/>
      <c r="BW698" s="3028"/>
      <c r="BX698" s="3028"/>
      <c r="BY698" s="3244"/>
      <c r="BZ698" s="1768"/>
      <c r="CA698" s="1768"/>
      <c r="CB698" s="1768"/>
      <c r="CC698" s="1768"/>
      <c r="CD698" s="1768"/>
      <c r="CE698" s="1768"/>
      <c r="CF698" s="1768"/>
      <c r="CG698" s="331"/>
      <c r="CH698" s="331"/>
      <c r="CI698" s="331"/>
      <c r="CJ698" s="331"/>
      <c r="CK698" s="331"/>
      <c r="CL698" s="520"/>
      <c r="CM698" s="476"/>
      <c r="CN698" s="476"/>
      <c r="CO698" s="476"/>
      <c r="CP698" s="476"/>
      <c r="CQ698" s="476"/>
      <c r="CR698" s="476"/>
      <c r="CS698" s="476"/>
      <c r="CT698" s="476"/>
      <c r="CU698" s="600"/>
      <c r="CV698" s="600"/>
      <c r="CW698" s="600"/>
      <c r="CX698" s="600"/>
      <c r="CY698" s="600"/>
      <c r="CZ698" s="600"/>
      <c r="DA698" s="600"/>
      <c r="DB698" s="600"/>
      <c r="DC698" s="1769"/>
      <c r="DD698" s="331"/>
      <c r="DE698" s="331"/>
      <c r="DF698" s="502"/>
      <c r="DG698" s="503"/>
      <c r="DH698" s="3028"/>
      <c r="DI698" s="3213"/>
      <c r="DJ698" s="502"/>
      <c r="DK698" s="503"/>
      <c r="DL698" s="502"/>
      <c r="DM698" s="502"/>
      <c r="DN698" s="502"/>
      <c r="DO698" s="502"/>
      <c r="DP698" s="503"/>
      <c r="DQ698" s="503"/>
      <c r="DR698" s="296"/>
      <c r="DS698" s="296"/>
      <c r="DT698" s="296"/>
      <c r="DU698"/>
      <c r="DV698"/>
      <c r="DW698"/>
      <c r="DX698"/>
      <c r="DY698"/>
      <c r="DZ698"/>
    </row>
    <row r="699" spans="1:130" s="1049" customFormat="1" ht="12" customHeight="1" x14ac:dyDescent="0.25">
      <c r="A699" s="2239" t="s">
        <v>2308</v>
      </c>
      <c r="B699" s="428"/>
      <c r="C699" s="572"/>
      <c r="D699" s="572"/>
      <c r="E699" s="572"/>
      <c r="F699" s="572"/>
      <c r="G699" s="477"/>
      <c r="H699" s="572"/>
      <c r="I699" s="572"/>
      <c r="J699" s="572"/>
      <c r="K699" s="572"/>
      <c r="L699" s="591"/>
      <c r="M699" s="572"/>
      <c r="N699" s="572"/>
      <c r="O699" s="572"/>
      <c r="P699" s="572"/>
      <c r="Q699" s="591">
        <f>+(Q661-Q680)/Q661</f>
        <v>0.44144892553174819</v>
      </c>
      <c r="R699" s="572"/>
      <c r="S699" s="572"/>
      <c r="T699" s="572"/>
      <c r="U699" s="572"/>
      <c r="V699" s="591">
        <f>+(V661-V680)/V661</f>
        <v>0.52598958071594892</v>
      </c>
      <c r="W699" s="1618"/>
      <c r="X699" s="519"/>
      <c r="Y699" s="519"/>
      <c r="Z699" s="519">
        <f t="shared" ref="Z699:BF699" si="1577">+(Z661-Z680)/Z661</f>
        <v>0.30335429769392069</v>
      </c>
      <c r="AA699" s="591">
        <f t="shared" si="1577"/>
        <v>0.38149900182275848</v>
      </c>
      <c r="AB699" s="1618">
        <f t="shared" si="1577"/>
        <v>0.36484593837535012</v>
      </c>
      <c r="AC699" s="519">
        <f t="shared" si="1577"/>
        <v>0.30683498237234158</v>
      </c>
      <c r="AD699" s="519">
        <f t="shared" si="1577"/>
        <v>0.2130393775053053</v>
      </c>
      <c r="AE699" s="519">
        <f t="shared" si="1577"/>
        <v>0.17598046257721564</v>
      </c>
      <c r="AF699" s="591">
        <f t="shared" si="1577"/>
        <v>0.27392498247254027</v>
      </c>
      <c r="AG699" s="1618">
        <f t="shared" si="1577"/>
        <v>0.1946121690664189</v>
      </c>
      <c r="AH699" s="519">
        <f t="shared" si="1577"/>
        <v>0.19947908686992499</v>
      </c>
      <c r="AI699" s="519">
        <f t="shared" si="1577"/>
        <v>8.3417254112118144E-2</v>
      </c>
      <c r="AJ699" s="519">
        <f t="shared" si="1577"/>
        <v>0.19192825112107587</v>
      </c>
      <c r="AK699" s="591">
        <f t="shared" si="1577"/>
        <v>0.16930638995084651</v>
      </c>
      <c r="AL699" s="1618">
        <f t="shared" si="1577"/>
        <v>0.32158951249487921</v>
      </c>
      <c r="AM699" s="519">
        <f t="shared" si="1577"/>
        <v>0.33451143451143445</v>
      </c>
      <c r="AN699" s="519">
        <f t="shared" si="1577"/>
        <v>0.23218058489936616</v>
      </c>
      <c r="AO699" s="519">
        <f t="shared" si="1577"/>
        <v>0.25110081112398663</v>
      </c>
      <c r="AP699" s="591">
        <f t="shared" si="1577"/>
        <v>0.28432563791008514</v>
      </c>
      <c r="AQ699" s="1618">
        <f t="shared" si="1577"/>
        <v>0.26860522424839822</v>
      </c>
      <c r="AR699" s="519">
        <f t="shared" si="1577"/>
        <v>0.32524839275277617</v>
      </c>
      <c r="AS699" s="519">
        <f t="shared" si="1577"/>
        <v>0.21268312672881876</v>
      </c>
      <c r="AT699" s="519">
        <f t="shared" si="1577"/>
        <v>0.25918164773353908</v>
      </c>
      <c r="AU699" s="591">
        <f t="shared" si="1577"/>
        <v>0.2673360687071536</v>
      </c>
      <c r="AV699" s="1618">
        <f t="shared" si="1577"/>
        <v>5.3229428080834709E-2</v>
      </c>
      <c r="AW699" s="519">
        <f t="shared" si="1577"/>
        <v>0.26905789284430065</v>
      </c>
      <c r="AX699" s="519">
        <f t="shared" si="1577"/>
        <v>0.35308343409915355</v>
      </c>
      <c r="AY699" s="519">
        <f t="shared" si="1577"/>
        <v>0.35640070574397176</v>
      </c>
      <c r="AZ699" s="591">
        <f t="shared" si="1577"/>
        <v>0.2713995002704721</v>
      </c>
      <c r="BA699" s="1618">
        <f t="shared" si="1577"/>
        <v>0.34655740981313082</v>
      </c>
      <c r="BB699" s="519">
        <f t="shared" si="1577"/>
        <v>0.3437135072012456</v>
      </c>
      <c r="BC699" s="519">
        <f t="shared" si="1577"/>
        <v>0.31814849722484023</v>
      </c>
      <c r="BD699" s="519">
        <f t="shared" si="1577"/>
        <v>0.36634264884568657</v>
      </c>
      <c r="BE699" s="591">
        <f t="shared" si="1577"/>
        <v>0.34480340474923832</v>
      </c>
      <c r="BF699" s="1618">
        <f t="shared" si="1577"/>
        <v>0.34650055707485056</v>
      </c>
      <c r="BG699" s="519">
        <f>+(BG661-BG680)/BG661</f>
        <v>0.38169563675062074</v>
      </c>
      <c r="BH699" s="3027">
        <f>+BC699+0.01</f>
        <v>0.32814849722484024</v>
      </c>
      <c r="BI699" s="3027">
        <f>+BD699+0.05</f>
        <v>0.41634264884568656</v>
      </c>
      <c r="BJ699" s="591">
        <f>+(BJ661-BJ680)/BJ661</f>
        <v>0.36998996537778139</v>
      </c>
      <c r="BK699" s="3027">
        <f>+BF699+0.03</f>
        <v>0.37650055707485053</v>
      </c>
      <c r="BL699" s="3027">
        <f>+BG699+0.03</f>
        <v>0.41169563675062071</v>
      </c>
      <c r="BM699" s="3027">
        <f>+BH699+0.05</f>
        <v>0.37814849722484023</v>
      </c>
      <c r="BN699" s="3027">
        <f>+BI699+0.05</f>
        <v>0.46634264884568655</v>
      </c>
      <c r="BO699" s="591">
        <f>+(BO661-BO680)/BO661</f>
        <v>0.41214688069009214</v>
      </c>
      <c r="BP699" s="3027">
        <v>0.42</v>
      </c>
      <c r="BQ699" s="3027">
        <v>0.41</v>
      </c>
      <c r="BR699" s="3027">
        <v>0.41</v>
      </c>
      <c r="BS699" s="2991">
        <v>0.45</v>
      </c>
      <c r="BT699" s="1462">
        <f>+(BT661-BT680)/BT661</f>
        <v>0.42297434656192251</v>
      </c>
      <c r="BU699" s="1245">
        <v>0.44</v>
      </c>
      <c r="BV699" s="1245">
        <v>0.45</v>
      </c>
      <c r="BW699" s="1245">
        <v>0.45</v>
      </c>
      <c r="BX699" s="1245">
        <f t="shared" ref="BV699:BX700" si="1578">+BS699+0.03</f>
        <v>0.48</v>
      </c>
      <c r="BY699" s="591">
        <f>+(BY661-BY680)/BY661</f>
        <v>0.45650949648806216</v>
      </c>
      <c r="BZ699" s="2991">
        <f t="shared" ref="BZ699:CA701" si="1579">+BY699+0.01</f>
        <v>0.46650949648806217</v>
      </c>
      <c r="CA699" s="2991">
        <f t="shared" si="1579"/>
        <v>0.47650949648806218</v>
      </c>
      <c r="CB699" s="2991">
        <f t="shared" ref="CB699:CC702" si="1580">+CA699-0.02</f>
        <v>0.45650949648806216</v>
      </c>
      <c r="CC699" s="2991">
        <f t="shared" si="1580"/>
        <v>0.43650949648806214</v>
      </c>
      <c r="CD699" s="2991">
        <f t="shared" ref="CD699:CF702" si="1581">+CC699+0.01</f>
        <v>0.44650949648806215</v>
      </c>
      <c r="CE699" s="2991">
        <f t="shared" si="1581"/>
        <v>0.45650949648806216</v>
      </c>
      <c r="CF699" s="2991">
        <f t="shared" si="1581"/>
        <v>0.46650949648806217</v>
      </c>
      <c r="CG699" s="331"/>
      <c r="CH699" s="331"/>
      <c r="CI699" s="331"/>
      <c r="CJ699" s="331"/>
      <c r="CK699" s="331"/>
      <c r="CL699" s="520"/>
      <c r="CM699" s="476"/>
      <c r="CN699" s="476"/>
      <c r="CO699" s="476"/>
      <c r="CP699" s="476"/>
      <c r="CQ699" s="476"/>
      <c r="CR699" s="476"/>
      <c r="CS699" s="476"/>
      <c r="CT699" s="476"/>
      <c r="CU699" s="600"/>
      <c r="CV699" s="600"/>
      <c r="CW699" s="600"/>
      <c r="CX699" s="600"/>
      <c r="CY699" s="600"/>
      <c r="CZ699" s="600"/>
      <c r="DA699" s="600"/>
      <c r="DB699" s="600"/>
      <c r="DC699" s="1769"/>
      <c r="DD699" s="331"/>
      <c r="DE699" s="331"/>
      <c r="DF699" s="502"/>
      <c r="DG699" s="503"/>
      <c r="DH699" s="519"/>
      <c r="DI699" s="3213"/>
      <c r="DJ699" s="502"/>
      <c r="DK699" s="503"/>
      <c r="DL699" s="502"/>
      <c r="DM699" s="502"/>
      <c r="DN699" s="502"/>
      <c r="DO699" s="502"/>
      <c r="DP699" s="503"/>
      <c r="DQ699" s="503"/>
      <c r="DR699" s="296"/>
      <c r="DS699" s="296"/>
      <c r="DT699" s="296"/>
      <c r="DU699"/>
      <c r="DV699"/>
      <c r="DW699"/>
      <c r="DX699"/>
      <c r="DY699"/>
      <c r="DZ699"/>
    </row>
    <row r="700" spans="1:130" s="1049" customFormat="1" ht="12" customHeight="1" x14ac:dyDescent="0.25">
      <c r="A700" s="2239" t="s">
        <v>2309</v>
      </c>
      <c r="B700" s="428"/>
      <c r="C700" s="572"/>
      <c r="D700" s="572"/>
      <c r="E700" s="572"/>
      <c r="F700" s="572"/>
      <c r="G700" s="477"/>
      <c r="H700" s="572"/>
      <c r="I700" s="572"/>
      <c r="J700" s="572"/>
      <c r="K700" s="572"/>
      <c r="L700" s="591"/>
      <c r="M700" s="572"/>
      <c r="N700" s="572"/>
      <c r="O700" s="572"/>
      <c r="P700" s="572"/>
      <c r="Q700" s="591">
        <f>+(Q664-Q681)/Q664</f>
        <v>0.59636178363180048</v>
      </c>
      <c r="R700" s="572"/>
      <c r="S700" s="572"/>
      <c r="T700" s="572"/>
      <c r="U700" s="572"/>
      <c r="V700" s="591">
        <f>+(V664-V681)/V664</f>
        <v>0.58422763659244248</v>
      </c>
      <c r="W700" s="1618"/>
      <c r="X700" s="519"/>
      <c r="Y700" s="519"/>
      <c r="Z700" s="519">
        <f t="shared" ref="Z700:BF700" si="1582">+(Z664-Z681)/Z664</f>
        <v>0.21210769001933683</v>
      </c>
      <c r="AA700" s="591">
        <f t="shared" si="1582"/>
        <v>0.37681421414183153</v>
      </c>
      <c r="AB700" s="1618">
        <f t="shared" si="1582"/>
        <v>0.30856709628506446</v>
      </c>
      <c r="AC700" s="519">
        <f t="shared" si="1582"/>
        <v>0.32034334763948497</v>
      </c>
      <c r="AD700" s="519">
        <f t="shared" si="1582"/>
        <v>0.30372788180724958</v>
      </c>
      <c r="AE700" s="519">
        <f t="shared" si="1582"/>
        <v>0.34030150753768862</v>
      </c>
      <c r="AF700" s="591">
        <f t="shared" si="1582"/>
        <v>0.3171088904203998</v>
      </c>
      <c r="AG700" s="1618">
        <f t="shared" si="1582"/>
        <v>0.3338669105876973</v>
      </c>
      <c r="AH700" s="519">
        <f t="shared" si="1582"/>
        <v>0.3097794261175093</v>
      </c>
      <c r="AI700" s="519">
        <f t="shared" si="1582"/>
        <v>0.36969696969696969</v>
      </c>
      <c r="AJ700" s="519">
        <f t="shared" si="1582"/>
        <v>0.28368249087065139</v>
      </c>
      <c r="AK700" s="591">
        <f t="shared" si="1582"/>
        <v>0.32371050772181287</v>
      </c>
      <c r="AL700" s="1618">
        <f t="shared" si="1582"/>
        <v>0.42667706708268333</v>
      </c>
      <c r="AM700" s="519">
        <f t="shared" si="1582"/>
        <v>0.472855464159812</v>
      </c>
      <c r="AN700" s="519">
        <f t="shared" si="1582"/>
        <v>0.47117541498429794</v>
      </c>
      <c r="AO700" s="519">
        <f t="shared" si="1582"/>
        <v>0.4628142687903119</v>
      </c>
      <c r="AP700" s="591">
        <f t="shared" si="1582"/>
        <v>0.46053510641682305</v>
      </c>
      <c r="AQ700" s="1618">
        <f t="shared" si="1582"/>
        <v>0.4975649350649351</v>
      </c>
      <c r="AR700" s="519">
        <f t="shared" si="1582"/>
        <v>0.55119420516836337</v>
      </c>
      <c r="AS700" s="519">
        <f t="shared" si="1582"/>
        <v>0.50453679847653188</v>
      </c>
      <c r="AT700" s="519">
        <f t="shared" si="1582"/>
        <v>0.49541167473872022</v>
      </c>
      <c r="AU700" s="591">
        <f t="shared" si="1582"/>
        <v>0.51422233454075761</v>
      </c>
      <c r="AV700" s="1618">
        <f t="shared" si="1582"/>
        <v>0.51391402714932133</v>
      </c>
      <c r="AW700" s="519">
        <f t="shared" si="1582"/>
        <v>0.53670385030586543</v>
      </c>
      <c r="AX700" s="519">
        <f t="shared" si="1582"/>
        <v>0.52513650913199028</v>
      </c>
      <c r="AY700" s="519">
        <f t="shared" si="1582"/>
        <v>0.51608070315621291</v>
      </c>
      <c r="AZ700" s="591">
        <f t="shared" si="1582"/>
        <v>0.52362650899236274</v>
      </c>
      <c r="BA700" s="1618">
        <f t="shared" si="1582"/>
        <v>0.59360843423111764</v>
      </c>
      <c r="BB700" s="519">
        <f t="shared" si="1582"/>
        <v>0.53496806749191839</v>
      </c>
      <c r="BC700" s="519">
        <f t="shared" si="1582"/>
        <v>0.48530697918488719</v>
      </c>
      <c r="BD700" s="519">
        <f t="shared" si="1582"/>
        <v>0.51666666666666661</v>
      </c>
      <c r="BE700" s="591">
        <f t="shared" si="1582"/>
        <v>0.53376518904271986</v>
      </c>
      <c r="BF700" s="1618">
        <f t="shared" si="1582"/>
        <v>0.56463501624791945</v>
      </c>
      <c r="BG700" s="519">
        <f>+(BG664-BG681)/BG664</f>
        <v>0.53210371970983183</v>
      </c>
      <c r="BH700" s="3027">
        <f>+BC700+0.02</f>
        <v>0.50530697918488721</v>
      </c>
      <c r="BI700" s="3027">
        <f>+BD700+0.05</f>
        <v>0.56666666666666665</v>
      </c>
      <c r="BJ700" s="591">
        <f>+(BJ664-BJ681)/BJ664</f>
        <v>0.54202456948423627</v>
      </c>
      <c r="BK700" s="3027">
        <f>+BF700+0.03</f>
        <v>0.59463501624791948</v>
      </c>
      <c r="BL700" s="3027">
        <f>+BG700+0.05</f>
        <v>0.58210371970983188</v>
      </c>
      <c r="BM700" s="3027">
        <f>+BH700+0.07</f>
        <v>0.57530697918488727</v>
      </c>
      <c r="BN700" s="3027">
        <f>+BI700+0.05</f>
        <v>0.6166666666666667</v>
      </c>
      <c r="BO700" s="591">
        <f>+(BO664-BO681)/BO664</f>
        <v>0.59164164584096235</v>
      </c>
      <c r="BP700" s="3027">
        <v>0.63</v>
      </c>
      <c r="BQ700" s="3027">
        <v>0.61</v>
      </c>
      <c r="BR700" s="3027">
        <v>0.61</v>
      </c>
      <c r="BS700" s="2991">
        <v>0.62</v>
      </c>
      <c r="BT700" s="1462">
        <f>+(BT664-BT681)/BT664</f>
        <v>0.61764565338067068</v>
      </c>
      <c r="BU700" s="1245">
        <v>0.62</v>
      </c>
      <c r="BV700" s="1245">
        <f t="shared" si="1578"/>
        <v>0.64</v>
      </c>
      <c r="BW700" s="1245">
        <f t="shared" si="1578"/>
        <v>0.64</v>
      </c>
      <c r="BX700" s="1245">
        <f t="shared" si="1578"/>
        <v>0.65</v>
      </c>
      <c r="BY700" s="591">
        <f>+(BY664-BY681)/BY664</f>
        <v>0.63683453938619061</v>
      </c>
      <c r="BZ700" s="2991">
        <f t="shared" si="1579"/>
        <v>0.64683453938619062</v>
      </c>
      <c r="CA700" s="2991">
        <f t="shared" si="1579"/>
        <v>0.65683453938619063</v>
      </c>
      <c r="CB700" s="2991">
        <f t="shared" si="1580"/>
        <v>0.63683453938619061</v>
      </c>
      <c r="CC700" s="2991">
        <f t="shared" si="1580"/>
        <v>0.61683453938619059</v>
      </c>
      <c r="CD700" s="2991">
        <f t="shared" si="1581"/>
        <v>0.6268345393861906</v>
      </c>
      <c r="CE700" s="2991">
        <f t="shared" si="1581"/>
        <v>0.63683453938619061</v>
      </c>
      <c r="CF700" s="2991">
        <f t="shared" si="1581"/>
        <v>0.64683453938619062</v>
      </c>
      <c r="CG700" s="331"/>
      <c r="CH700" s="331"/>
      <c r="CI700" s="331"/>
      <c r="CJ700" s="331"/>
      <c r="CK700" s="331"/>
      <c r="CL700" s="520"/>
      <c r="CM700" s="476"/>
      <c r="CN700" s="476"/>
      <c r="CO700" s="476"/>
      <c r="CP700" s="476"/>
      <c r="CQ700" s="476"/>
      <c r="CR700" s="476"/>
      <c r="CS700" s="476"/>
      <c r="CT700" s="476"/>
      <c r="CU700" s="600"/>
      <c r="CV700" s="600"/>
      <c r="CW700" s="600"/>
      <c r="CX700" s="600"/>
      <c r="CY700" s="600"/>
      <c r="CZ700" s="600"/>
      <c r="DA700" s="600"/>
      <c r="DB700" s="600"/>
      <c r="DC700" s="1769"/>
      <c r="DD700" s="331"/>
      <c r="DE700" s="331"/>
      <c r="DF700" s="502"/>
      <c r="DG700" s="503"/>
      <c r="DH700" s="519"/>
      <c r="DI700" s="3213"/>
      <c r="DJ700" s="502"/>
      <c r="DK700" s="503"/>
      <c r="DL700" s="502"/>
      <c r="DM700" s="502"/>
      <c r="DN700" s="502"/>
      <c r="DO700" s="502"/>
      <c r="DP700" s="503"/>
      <c r="DQ700" s="503"/>
      <c r="DR700" s="296"/>
      <c r="DS700" s="296"/>
      <c r="DT700" s="296"/>
      <c r="DU700"/>
      <c r="DV700"/>
      <c r="DW700"/>
      <c r="DX700"/>
      <c r="DY700"/>
      <c r="DZ700"/>
    </row>
    <row r="701" spans="1:130" s="1049" customFormat="1" ht="12" customHeight="1" x14ac:dyDescent="0.25">
      <c r="A701" s="2239" t="s">
        <v>2310</v>
      </c>
      <c r="B701" s="428"/>
      <c r="C701" s="572"/>
      <c r="D701" s="572"/>
      <c r="E701" s="572"/>
      <c r="F701" s="572"/>
      <c r="G701" s="477"/>
      <c r="H701" s="572"/>
      <c r="I701" s="572"/>
      <c r="J701" s="572"/>
      <c r="K701" s="572"/>
      <c r="L701" s="591"/>
      <c r="M701" s="572"/>
      <c r="N701" s="572"/>
      <c r="O701" s="572"/>
      <c r="P701" s="572"/>
      <c r="Q701" s="591">
        <f>+(Q667-Q682)/Q667</f>
        <v>-4.4498069498069531E-2</v>
      </c>
      <c r="R701" s="572"/>
      <c r="S701" s="572"/>
      <c r="T701" s="572"/>
      <c r="U701" s="572"/>
      <c r="V701" s="591">
        <f>+(V667-V682)/V667</f>
        <v>0.18571597306980597</v>
      </c>
      <c r="W701" s="1618"/>
      <c r="X701" s="519"/>
      <c r="Y701" s="519"/>
      <c r="Z701" s="519">
        <f t="shared" ref="Z701:BF701" si="1583">+(Z667-Z682)/Z667</f>
        <v>-7.5165638565227483E-2</v>
      </c>
      <c r="AA701" s="591">
        <f t="shared" si="1583"/>
        <v>-1.8728162124388586E-2</v>
      </c>
      <c r="AB701" s="1618">
        <f t="shared" si="1583"/>
        <v>-3.4638245542119389E-2</v>
      </c>
      <c r="AC701" s="519">
        <f t="shared" si="1583"/>
        <v>-1.5996541288370046E-2</v>
      </c>
      <c r="AD701" s="519">
        <f t="shared" si="1583"/>
        <v>-1.8514387686816906E-2</v>
      </c>
      <c r="AE701" s="519">
        <f t="shared" si="1583"/>
        <v>-2.6148172980221047E-2</v>
      </c>
      <c r="AF701" s="591">
        <f t="shared" si="1583"/>
        <v>-2.3805314949030695E-2</v>
      </c>
      <c r="AG701" s="1618">
        <f t="shared" si="1583"/>
        <v>-9.0205187766163236E-2</v>
      </c>
      <c r="AH701" s="519">
        <f t="shared" si="1583"/>
        <v>5.6957708049113175E-2</v>
      </c>
      <c r="AI701" s="519">
        <f t="shared" si="1583"/>
        <v>8.0944881889763676E-2</v>
      </c>
      <c r="AJ701" s="519">
        <f t="shared" si="1583"/>
        <v>5.7159869008632548E-2</v>
      </c>
      <c r="AK701" s="591">
        <f t="shared" si="1583"/>
        <v>3.1786870279691189E-2</v>
      </c>
      <c r="AL701" s="1618">
        <f t="shared" si="1583"/>
        <v>-1.961770623742462E-2</v>
      </c>
      <c r="AM701" s="519">
        <f t="shared" si="1583"/>
        <v>8.1231749402707734E-2</v>
      </c>
      <c r="AN701" s="519">
        <f t="shared" si="1583"/>
        <v>5.892879969321236E-2</v>
      </c>
      <c r="AO701" s="519">
        <f t="shared" si="1583"/>
        <v>2.1577515865820445E-2</v>
      </c>
      <c r="AP701" s="591">
        <f t="shared" si="1583"/>
        <v>4.4832582099162799E-2</v>
      </c>
      <c r="AQ701" s="1618">
        <f t="shared" si="1583"/>
        <v>0.14129052765416406</v>
      </c>
      <c r="AR701" s="519">
        <f t="shared" si="1583"/>
        <v>0.15643052599574336</v>
      </c>
      <c r="AS701" s="519">
        <f t="shared" si="1583"/>
        <v>7.935656836461126E-2</v>
      </c>
      <c r="AT701" s="519">
        <f t="shared" si="1583"/>
        <v>-0.1017214397496084</v>
      </c>
      <c r="AU701" s="591">
        <f t="shared" si="1583"/>
        <v>8.3137152323655081E-2</v>
      </c>
      <c r="AV701" s="1618">
        <f t="shared" si="1583"/>
        <v>0.13831948291782081</v>
      </c>
      <c r="AW701" s="519">
        <f t="shared" si="1583"/>
        <v>0.19895038167938936</v>
      </c>
      <c r="AX701" s="519">
        <f t="shared" si="1583"/>
        <v>0.16392869626004902</v>
      </c>
      <c r="AY701" s="519">
        <f t="shared" si="1583"/>
        <v>5.4839295442163823E-2</v>
      </c>
      <c r="AZ701" s="591">
        <f t="shared" si="1583"/>
        <v>0.14128728414442696</v>
      </c>
      <c r="BA701" s="1618">
        <f t="shared" si="1583"/>
        <v>0.17230427187549627</v>
      </c>
      <c r="BB701" s="519">
        <f t="shared" si="1583"/>
        <v>0.16231028667790887</v>
      </c>
      <c r="BC701" s="519">
        <f t="shared" si="1583"/>
        <v>0.16738324684951822</v>
      </c>
      <c r="BD701" s="519">
        <f t="shared" si="1583"/>
        <v>0.17738323736404382</v>
      </c>
      <c r="BE701" s="591">
        <f t="shared" si="1583"/>
        <v>0.16955698599015531</v>
      </c>
      <c r="BF701" s="1618">
        <f t="shared" si="1583"/>
        <v>0.22372045817021896</v>
      </c>
      <c r="BG701" s="519">
        <f>+(BG667-BG682)/BG667</f>
        <v>0.22489959839357437</v>
      </c>
      <c r="BH701" s="3027">
        <f>+BC701+0.03</f>
        <v>0.19738324684951822</v>
      </c>
      <c r="BI701" s="3027">
        <f>+BD701+0.05</f>
        <v>0.22738323736404381</v>
      </c>
      <c r="BJ701" s="591">
        <f>+(BJ667-BJ682)/BJ667</f>
        <v>0.21783016194773219</v>
      </c>
      <c r="BK701" s="3027">
        <f>+BF701+0.02</f>
        <v>0.24372045817021895</v>
      </c>
      <c r="BL701" s="3027">
        <f>+BG701+0.03</f>
        <v>0.25489959839357434</v>
      </c>
      <c r="BM701" s="3027">
        <f>+BH701+0.07</f>
        <v>0.2673832468495182</v>
      </c>
      <c r="BN701" s="3027">
        <f>+BI701+0.05</f>
        <v>0.2773832373640438</v>
      </c>
      <c r="BO701" s="591">
        <f>+(BO667-BO682)/BO667</f>
        <v>0.26106180490108999</v>
      </c>
      <c r="BP701" s="3027">
        <v>0.26</v>
      </c>
      <c r="BQ701" s="3027">
        <v>0.27500000000000002</v>
      </c>
      <c r="BR701" s="3027">
        <v>0.3</v>
      </c>
      <c r="BS701" s="2991">
        <v>0.3</v>
      </c>
      <c r="BT701" s="1462">
        <f>+(BT667-BT682)/BT667</f>
        <v>0.28613162652437629</v>
      </c>
      <c r="BU701" s="1245">
        <v>0.3</v>
      </c>
      <c r="BV701" s="1245">
        <f>+BQ701+0.05</f>
        <v>0.32500000000000001</v>
      </c>
      <c r="BW701" s="1245">
        <f>+BR701+0.05</f>
        <v>0.35</v>
      </c>
      <c r="BX701" s="1245">
        <f>+BS701+0.05</f>
        <v>0.35</v>
      </c>
      <c r="BY701" s="591">
        <f>+(BY667-BY682)/BY667</f>
        <v>0.33428242859334073</v>
      </c>
      <c r="BZ701" s="2991">
        <f t="shared" si="1579"/>
        <v>0.34428242859334074</v>
      </c>
      <c r="CA701" s="2991">
        <f t="shared" si="1579"/>
        <v>0.35428242859334075</v>
      </c>
      <c r="CB701" s="2991">
        <f t="shared" si="1580"/>
        <v>0.33428242859334073</v>
      </c>
      <c r="CC701" s="2991">
        <f t="shared" si="1580"/>
        <v>0.31428242859334071</v>
      </c>
      <c r="CD701" s="2991">
        <f t="shared" si="1581"/>
        <v>0.32428242859334072</v>
      </c>
      <c r="CE701" s="2991">
        <f t="shared" si="1581"/>
        <v>0.33428242859334073</v>
      </c>
      <c r="CF701" s="2991">
        <f t="shared" si="1581"/>
        <v>0.34428242859334074</v>
      </c>
      <c r="CG701" s="331"/>
      <c r="CH701" s="331"/>
      <c r="CI701" s="331"/>
      <c r="CJ701" s="331"/>
      <c r="CK701" s="331"/>
      <c r="CL701" s="520"/>
      <c r="CM701" s="476"/>
      <c r="CN701" s="476"/>
      <c r="CO701" s="476"/>
      <c r="CP701" s="476"/>
      <c r="CQ701" s="476"/>
      <c r="CR701" s="476"/>
      <c r="CS701" s="476"/>
      <c r="CT701" s="476"/>
      <c r="CU701" s="600"/>
      <c r="CV701" s="600"/>
      <c r="CW701" s="600"/>
      <c r="CX701" s="600"/>
      <c r="CY701" s="600"/>
      <c r="CZ701" s="600"/>
      <c r="DA701" s="600"/>
      <c r="DB701" s="600"/>
      <c r="DC701" s="1769"/>
      <c r="DD701" s="331"/>
      <c r="DE701" s="331"/>
      <c r="DF701" s="502"/>
      <c r="DG701" s="503"/>
      <c r="DH701" s="519"/>
      <c r="DI701" s="3213"/>
      <c r="DJ701" s="502"/>
      <c r="DK701" s="503"/>
      <c r="DL701" s="502"/>
      <c r="DM701" s="502"/>
      <c r="DN701" s="502"/>
      <c r="DO701" s="502"/>
      <c r="DP701" s="503"/>
      <c r="DQ701" s="503"/>
      <c r="DR701" s="296"/>
      <c r="DS701" s="296"/>
      <c r="DT701" s="296"/>
      <c r="DU701"/>
      <c r="DV701"/>
      <c r="DW701"/>
      <c r="DX701"/>
      <c r="DY701"/>
      <c r="DZ701"/>
    </row>
    <row r="702" spans="1:130" s="1049" customFormat="1" ht="12" customHeight="1" x14ac:dyDescent="0.25">
      <c r="A702" s="2239" t="s">
        <v>2311</v>
      </c>
      <c r="B702" s="428"/>
      <c r="C702" s="572"/>
      <c r="D702" s="572"/>
      <c r="E702" s="572"/>
      <c r="F702" s="572"/>
      <c r="G702" s="477"/>
      <c r="H702" s="572"/>
      <c r="I702" s="572"/>
      <c r="J702" s="572"/>
      <c r="K702" s="572"/>
      <c r="L702" s="591"/>
      <c r="M702" s="572"/>
      <c r="N702" s="572"/>
      <c r="O702" s="572"/>
      <c r="P702" s="572"/>
      <c r="Q702" s="591">
        <f>+(Q670-Q683)/Q670</f>
        <v>0.50948082153979579</v>
      </c>
      <c r="R702" s="572"/>
      <c r="S702" s="572"/>
      <c r="T702" s="572"/>
      <c r="U702" s="572"/>
      <c r="V702" s="591">
        <f>+(V670-V683)/V670</f>
        <v>0.58264113213351798</v>
      </c>
      <c r="W702" s="1618"/>
      <c r="X702" s="519"/>
      <c r="Y702" s="519"/>
      <c r="Z702" s="519">
        <f t="shared" ref="Z702:BF702" si="1584">+(Z670-Z683)/Z670</f>
        <v>0.52344296710986671</v>
      </c>
      <c r="AA702" s="591">
        <f t="shared" si="1584"/>
        <v>0.53517305893358269</v>
      </c>
      <c r="AB702" s="1618">
        <f t="shared" si="1584"/>
        <v>0.39660415610745064</v>
      </c>
      <c r="AC702" s="519">
        <f t="shared" si="1584"/>
        <v>0.48980263157894738</v>
      </c>
      <c r="AD702" s="519">
        <f t="shared" si="1584"/>
        <v>0.40409207161125321</v>
      </c>
      <c r="AE702" s="519">
        <f t="shared" si="1584"/>
        <v>0.3126614987080103</v>
      </c>
      <c r="AF702" s="591">
        <f t="shared" si="1584"/>
        <v>0.41262274764038526</v>
      </c>
      <c r="AG702" s="1618">
        <f t="shared" si="1584"/>
        <v>-0.12758310871518411</v>
      </c>
      <c r="AH702" s="519">
        <f t="shared" si="1584"/>
        <v>-3.4924330616996541E-2</v>
      </c>
      <c r="AI702" s="519">
        <f t="shared" si="1584"/>
        <v>0.16054421768707483</v>
      </c>
      <c r="AJ702" s="519">
        <f t="shared" si="1584"/>
        <v>2.4202420242024462E-2</v>
      </c>
      <c r="AK702" s="591">
        <f t="shared" si="1584"/>
        <v>-8.8495575221239006E-3</v>
      </c>
      <c r="AL702" s="1618">
        <f t="shared" si="1584"/>
        <v>-5.4127198917456071E-2</v>
      </c>
      <c r="AM702" s="519">
        <f t="shared" si="1584"/>
        <v>0.15646853146853143</v>
      </c>
      <c r="AN702" s="519">
        <f t="shared" si="1584"/>
        <v>0.29926335174953961</v>
      </c>
      <c r="AO702" s="519">
        <f t="shared" si="1584"/>
        <v>-0.17956349206349262</v>
      </c>
      <c r="AP702" s="591">
        <f t="shared" si="1584"/>
        <v>7.1159165199899399E-2</v>
      </c>
      <c r="AQ702" s="1618">
        <f t="shared" si="1584"/>
        <v>-2.8648164726947204E-2</v>
      </c>
      <c r="AR702" s="519">
        <f t="shared" si="1584"/>
        <v>-6.7170445004198026E-2</v>
      </c>
      <c r="AS702" s="519">
        <f t="shared" si="1584"/>
        <v>8.3333333333333301E-2</v>
      </c>
      <c r="AT702" s="519">
        <f t="shared" si="1584"/>
        <v>0.16199376947040464</v>
      </c>
      <c r="AU702" s="591">
        <f t="shared" si="1584"/>
        <v>2.9307492318600727E-2</v>
      </c>
      <c r="AV702" s="1618">
        <f t="shared" si="1584"/>
        <v>0.1402562373567095</v>
      </c>
      <c r="AW702" s="519">
        <f t="shared" si="1584"/>
        <v>0.20672682526661207</v>
      </c>
      <c r="AX702" s="519">
        <f t="shared" si="1584"/>
        <v>7.1494893221912686E-2</v>
      </c>
      <c r="AY702" s="519">
        <f t="shared" si="1584"/>
        <v>2.9360967184801974E-2</v>
      </c>
      <c r="AZ702" s="591">
        <f t="shared" si="1584"/>
        <v>0.11565728175005076</v>
      </c>
      <c r="BA702" s="1618">
        <f t="shared" si="1584"/>
        <v>-0.1060985797827903</v>
      </c>
      <c r="BB702" s="519">
        <f t="shared" si="1584"/>
        <v>8.070866141732283E-2</v>
      </c>
      <c r="BC702" s="519">
        <f t="shared" si="1584"/>
        <v>-8.3263946711064935E-4</v>
      </c>
      <c r="BD702" s="519">
        <f t="shared" si="1584"/>
        <v>-0.10026857654431526</v>
      </c>
      <c r="BE702" s="591">
        <f t="shared" si="1584"/>
        <v>-2.321889263742806E-2</v>
      </c>
      <c r="BF702" s="1618">
        <f t="shared" si="1584"/>
        <v>-6.5359477124182254E-3</v>
      </c>
      <c r="BG702" s="519">
        <f>+(BG670-BG683)/BG670</f>
        <v>9.0851334180432022E-2</v>
      </c>
      <c r="BH702" s="3027">
        <v>0.05</v>
      </c>
      <c r="BI702" s="3027">
        <v>0.05</v>
      </c>
      <c r="BJ702" s="591">
        <f>+(BJ670-BJ683)/BJ670</f>
        <v>4.7496045414898824E-2</v>
      </c>
      <c r="BK702" s="3027">
        <f>+BF702+0.02</f>
        <v>1.3464052287581775E-2</v>
      </c>
      <c r="BL702" s="3027">
        <f>+BG702+0.02</f>
        <v>0.11085133418043203</v>
      </c>
      <c r="BM702" s="3027">
        <f>+BH702+0.03</f>
        <v>0.08</v>
      </c>
      <c r="BN702" s="3027">
        <f>+BI702+0.02</f>
        <v>7.0000000000000007E-2</v>
      </c>
      <c r="BO702" s="591">
        <f>+(BO670-BO683)/BO670</f>
        <v>0.8327624847884485</v>
      </c>
      <c r="BP702" s="3027">
        <v>0.08</v>
      </c>
      <c r="BQ702" s="3027">
        <v>0.1</v>
      </c>
      <c r="BR702" s="3027">
        <v>0.1</v>
      </c>
      <c r="BS702" s="2991">
        <v>0.1</v>
      </c>
      <c r="BT702" s="1462">
        <f>+(BT670-BT683)/BT670</f>
        <v>9.4838823375134246E-2</v>
      </c>
      <c r="BU702" s="1245">
        <f>+BP702+0.02</f>
        <v>0.1</v>
      </c>
      <c r="BV702" s="1245">
        <f>+BQ702+0.02</f>
        <v>0.12000000000000001</v>
      </c>
      <c r="BW702" s="1245">
        <f>+BR702+0.02</f>
        <v>0.12000000000000001</v>
      </c>
      <c r="BX702" s="1245">
        <f>+BS702+0.02</f>
        <v>0.12000000000000001</v>
      </c>
      <c r="BY702" s="591">
        <f>+(BY670-BY683)/BY670</f>
        <v>0.11494523542251384</v>
      </c>
      <c r="BZ702" s="2991">
        <f>+BY702+0.02</f>
        <v>0.13494523542251383</v>
      </c>
      <c r="CA702" s="2991">
        <f>+BZ702+0.02</f>
        <v>0.15494523542251382</v>
      </c>
      <c r="CB702" s="2991">
        <f t="shared" si="1580"/>
        <v>0.13494523542251383</v>
      </c>
      <c r="CC702" s="2991">
        <f t="shared" si="1580"/>
        <v>0.11494523542251382</v>
      </c>
      <c r="CD702" s="2991">
        <f t="shared" si="1581"/>
        <v>0.12494523542251382</v>
      </c>
      <c r="CE702" s="2991">
        <f t="shared" si="1581"/>
        <v>0.13494523542251383</v>
      </c>
      <c r="CF702" s="2991">
        <f t="shared" si="1581"/>
        <v>0.14494523542251384</v>
      </c>
      <c r="CG702" s="331"/>
      <c r="CH702" s="331"/>
      <c r="CI702" s="331"/>
      <c r="CJ702" s="331"/>
      <c r="CK702" s="331"/>
      <c r="CL702" s="520"/>
      <c r="CM702" s="476"/>
      <c r="CN702" s="476"/>
      <c r="CO702" s="476"/>
      <c r="CP702" s="476"/>
      <c r="CQ702" s="476"/>
      <c r="CR702" s="476"/>
      <c r="CS702" s="476"/>
      <c r="CT702" s="476"/>
      <c r="CU702" s="600"/>
      <c r="CV702" s="600"/>
      <c r="CW702" s="600"/>
      <c r="CX702" s="600"/>
      <c r="CY702" s="600"/>
      <c r="CZ702" s="600"/>
      <c r="DA702" s="600"/>
      <c r="DB702" s="600"/>
      <c r="DC702" s="1769"/>
      <c r="DD702" s="331"/>
      <c r="DE702" s="331"/>
      <c r="DF702" s="502"/>
      <c r="DG702" s="503"/>
      <c r="DH702" s="519"/>
      <c r="DI702" s="3213"/>
      <c r="DJ702" s="502"/>
      <c r="DK702" s="503"/>
      <c r="DL702" s="502"/>
      <c r="DM702" s="502"/>
      <c r="DN702" s="502"/>
      <c r="DO702" s="502"/>
      <c r="DP702" s="503"/>
      <c r="DQ702" s="503"/>
      <c r="DR702" s="296"/>
      <c r="DS702" s="296"/>
      <c r="DT702" s="296"/>
      <c r="DU702"/>
      <c r="DV702"/>
      <c r="DW702"/>
      <c r="DX702"/>
      <c r="DY702"/>
      <c r="DZ702"/>
    </row>
    <row r="703" spans="1:130" ht="12" customHeight="1" x14ac:dyDescent="0.25">
      <c r="A703" s="281"/>
      <c r="B703" s="281"/>
      <c r="C703" s="305"/>
      <c r="D703" s="305"/>
      <c r="E703" s="305"/>
      <c r="F703" s="305"/>
      <c r="G703" s="440"/>
      <c r="H703" s="305"/>
      <c r="I703" s="305"/>
      <c r="J703" s="305"/>
      <c r="K703" s="305"/>
      <c r="L703" s="440"/>
      <c r="M703" s="305"/>
      <c r="N703" s="305"/>
      <c r="O703" s="305"/>
      <c r="P703" s="305"/>
      <c r="Q703" s="440"/>
      <c r="R703" s="305"/>
      <c r="S703" s="305"/>
      <c r="T703" s="305"/>
      <c r="U703" s="305"/>
      <c r="V703" s="440"/>
      <c r="W703" s="305"/>
      <c r="X703" s="305"/>
      <c r="Y703" s="305"/>
      <c r="Z703" s="305"/>
      <c r="AA703" s="440"/>
      <c r="AB703" s="305"/>
      <c r="AC703" s="305"/>
      <c r="AD703" s="305"/>
      <c r="AE703" s="331"/>
      <c r="AF703" s="441"/>
      <c r="AG703" s="331"/>
      <c r="AH703" s="331"/>
      <c r="AI703" s="331"/>
      <c r="AJ703" s="331"/>
      <c r="AK703" s="441"/>
      <c r="AL703" s="442"/>
      <c r="AM703" s="442"/>
      <c r="AN703" s="442"/>
      <c r="AO703" s="442"/>
      <c r="AP703" s="443"/>
      <c r="AQ703" s="443"/>
      <c r="AR703" s="331"/>
      <c r="AS703" s="331"/>
      <c r="AT703" s="331"/>
      <c r="AU703" s="349"/>
      <c r="AV703" s="443"/>
      <c r="AW703" s="331"/>
      <c r="AX703" s="331"/>
      <c r="AY703" s="1306"/>
      <c r="AZ703" s="349"/>
      <c r="BA703" s="443"/>
      <c r="BB703" s="331"/>
      <c r="BC703" s="331"/>
      <c r="BD703" s="1306"/>
      <c r="BE703" s="1306"/>
      <c r="BF703" s="331"/>
      <c r="BG703" s="331"/>
      <c r="BH703" s="331"/>
      <c r="BI703" s="1306"/>
      <c r="BJ703" s="1306"/>
      <c r="BK703" s="331"/>
      <c r="BL703" s="331"/>
      <c r="BM703" s="331"/>
      <c r="BN703" s="1306"/>
      <c r="BO703" s="1306"/>
      <c r="BP703" s="331"/>
      <c r="BQ703" s="331"/>
      <c r="BR703" s="331"/>
      <c r="BS703" s="1306"/>
      <c r="BT703" s="3217"/>
      <c r="BU703" s="2601"/>
      <c r="BV703" s="2601"/>
      <c r="BW703" s="2601"/>
      <c r="BX703" s="2601"/>
      <c r="BY703" s="3222"/>
      <c r="BZ703" s="349"/>
      <c r="CA703" s="349"/>
      <c r="CB703" s="349"/>
      <c r="CC703" s="349"/>
      <c r="CD703" s="349"/>
      <c r="CE703" s="349"/>
      <c r="CF703" s="349"/>
      <c r="CG703" s="331"/>
      <c r="CH703" s="331"/>
      <c r="CI703" s="331"/>
      <c r="CJ703" s="331"/>
      <c r="CK703" s="331"/>
      <c r="CL703" s="520"/>
      <c r="CM703" s="331"/>
      <c r="CN703" s="331"/>
      <c r="CO703" s="331"/>
      <c r="CP703" s="331"/>
      <c r="CQ703" s="331"/>
      <c r="CR703" s="331"/>
      <c r="CS703" s="331"/>
      <c r="CT703" s="331"/>
      <c r="CU703" s="331"/>
      <c r="CV703" s="331"/>
      <c r="CW703" s="331"/>
      <c r="CX703" s="331"/>
      <c r="CY703" s="331"/>
      <c r="CZ703" s="331"/>
      <c r="DA703" s="331"/>
      <c r="DB703" s="331"/>
      <c r="DC703" s="1306"/>
      <c r="DD703" s="331"/>
      <c r="DE703" s="331"/>
      <c r="DF703" s="502"/>
      <c r="DG703" s="503"/>
      <c r="DH703" s="2601"/>
      <c r="DI703" s="3213"/>
      <c r="DJ703" s="502"/>
      <c r="DK703" s="503"/>
      <c r="DL703" s="502"/>
      <c r="DM703" s="502"/>
      <c r="DN703" s="502"/>
      <c r="DO703" s="502"/>
      <c r="DP703" s="503"/>
      <c r="DQ703" s="503"/>
      <c r="DR703" s="296"/>
      <c r="DS703" s="296"/>
      <c r="DT703" s="296"/>
    </row>
    <row r="704" spans="1:130" ht="12" customHeight="1" x14ac:dyDescent="0.25">
      <c r="A704" s="2125" t="s">
        <v>616</v>
      </c>
      <c r="B704" s="428"/>
      <c r="C704" s="502"/>
      <c r="D704" s="502"/>
      <c r="E704" s="502"/>
      <c r="F704" s="502"/>
      <c r="G704" s="534"/>
      <c r="H704" s="502"/>
      <c r="I704" s="502"/>
      <c r="J704" s="502"/>
      <c r="K704" s="502"/>
      <c r="L704" s="534"/>
      <c r="M704" s="502"/>
      <c r="N704" s="502"/>
      <c r="O704" s="502"/>
      <c r="P704" s="502"/>
      <c r="Q704" s="534"/>
      <c r="R704" s="502"/>
      <c r="S704" s="502"/>
      <c r="T704" s="502"/>
      <c r="U704" s="502"/>
      <c r="V704" s="534"/>
      <c r="W704" s="502"/>
      <c r="X704" s="502"/>
      <c r="Y704" s="502"/>
      <c r="Z704" s="502"/>
      <c r="AA704" s="534"/>
      <c r="AB704" s="502"/>
      <c r="AC704" s="502"/>
      <c r="AD704" s="502"/>
      <c r="AE704" s="502"/>
      <c r="AF704" s="534"/>
      <c r="AG704" s="502"/>
      <c r="AH704" s="502"/>
      <c r="AI704" s="502"/>
      <c r="AJ704" s="502"/>
      <c r="AK704" s="534"/>
      <c r="AL704" s="503"/>
      <c r="AM704" s="503"/>
      <c r="AN704" s="503"/>
      <c r="AO704" s="503"/>
      <c r="AP704" s="535"/>
      <c r="AQ704" s="535"/>
      <c r="AR704" s="537"/>
      <c r="AS704" s="537"/>
      <c r="AT704" s="537"/>
      <c r="AU704" s="536"/>
      <c r="AV704" s="535"/>
      <c r="AW704" s="537"/>
      <c r="AX704" s="537"/>
      <c r="AY704" s="1926"/>
      <c r="AZ704" s="536"/>
      <c r="BA704" s="535"/>
      <c r="BB704" s="537"/>
      <c r="BC704" s="537"/>
      <c r="BD704" s="1926"/>
      <c r="BE704" s="1926"/>
      <c r="BF704" s="537"/>
      <c r="BG704" s="537"/>
      <c r="BH704" s="537"/>
      <c r="BI704" s="1926"/>
      <c r="BJ704" s="1926"/>
      <c r="BK704" s="537"/>
      <c r="BL704" s="537"/>
      <c r="BM704" s="537"/>
      <c r="BN704" s="1926"/>
      <c r="BO704" s="1926"/>
      <c r="BP704" s="537"/>
      <c r="BQ704" s="537"/>
      <c r="BR704" s="537"/>
      <c r="BS704" s="1926"/>
      <c r="BT704" s="1926"/>
      <c r="BU704" s="537"/>
      <c r="BV704" s="537"/>
      <c r="BW704" s="537"/>
      <c r="BX704" s="537"/>
      <c r="BY704" s="536"/>
      <c r="BZ704" s="536"/>
      <c r="CA704" s="536"/>
      <c r="CB704" s="536"/>
      <c r="CC704" s="536"/>
      <c r="CD704" s="536"/>
      <c r="CE704" s="536"/>
      <c r="CF704" s="536"/>
      <c r="CG704" s="331"/>
      <c r="CH704" s="331"/>
      <c r="CI704" s="331"/>
      <c r="CJ704" s="331"/>
      <c r="CK704" s="331"/>
      <c r="CL704" s="2036" t="str">
        <f>A704</f>
        <v>Hollywood Tunica (MS)</v>
      </c>
      <c r="CM704" s="503">
        <f>G704</f>
        <v>0</v>
      </c>
      <c r="CN704" s="503">
        <f>L704</f>
        <v>0</v>
      </c>
      <c r="CO704" s="503">
        <f>Q704</f>
        <v>0</v>
      </c>
      <c r="CP704" s="503">
        <f>V704</f>
        <v>0</v>
      </c>
      <c r="CQ704" s="503">
        <f>AA704</f>
        <v>0</v>
      </c>
      <c r="CR704" s="503">
        <f>AF704</f>
        <v>0</v>
      </c>
      <c r="CS704" s="503">
        <f>AK704</f>
        <v>0</v>
      </c>
      <c r="CT704" s="503">
        <f>AP704</f>
        <v>0</v>
      </c>
      <c r="CU704" s="503">
        <f>AU704</f>
        <v>0</v>
      </c>
      <c r="CV704" s="503">
        <f>AZ704</f>
        <v>0</v>
      </c>
      <c r="CW704" s="503">
        <f>BE704</f>
        <v>0</v>
      </c>
      <c r="CX704" s="503">
        <f>BJ704</f>
        <v>0</v>
      </c>
      <c r="CY704" s="503">
        <f>BO704</f>
        <v>0</v>
      </c>
      <c r="CZ704" s="503">
        <f>BT704</f>
        <v>0</v>
      </c>
      <c r="DA704" s="503">
        <f t="shared" ref="DA704:DC708" si="1585">BY704</f>
        <v>0</v>
      </c>
      <c r="DB704" s="503">
        <f t="shared" si="1585"/>
        <v>0</v>
      </c>
      <c r="DC704" s="2124">
        <f t="shared" si="1585"/>
        <v>0</v>
      </c>
      <c r="DD704" s="331"/>
      <c r="DE704" s="331"/>
      <c r="DF704" s="502"/>
      <c r="DG704" s="503"/>
      <c r="DH704" s="537"/>
      <c r="DI704" s="3213"/>
      <c r="DJ704" s="502"/>
      <c r="DK704" s="503"/>
      <c r="DL704" s="502"/>
      <c r="DM704" s="502"/>
      <c r="DN704" s="502"/>
      <c r="DO704" s="502"/>
      <c r="DP704" s="503"/>
      <c r="DQ704" s="503"/>
      <c r="DR704" s="428"/>
      <c r="DS704" s="428"/>
      <c r="DT704" s="428"/>
    </row>
    <row r="705" spans="1:124" ht="12" customHeight="1" x14ac:dyDescent="0.25">
      <c r="A705" s="281" t="s">
        <v>894</v>
      </c>
      <c r="B705" s="281"/>
      <c r="C705" s="549">
        <f>C706+(C707*C$320)</f>
        <v>1824</v>
      </c>
      <c r="D705" s="549">
        <f>D706+(D707*D$320)</f>
        <v>1813</v>
      </c>
      <c r="E705" s="549">
        <f>E706+(E707*E$320)</f>
        <v>1805</v>
      </c>
      <c r="F705" s="549">
        <f>F706+(F707*F$320)</f>
        <v>1805</v>
      </c>
      <c r="G705" s="550">
        <f>F705</f>
        <v>1805</v>
      </c>
      <c r="H705" s="549">
        <f>H706+(H707*H$320)</f>
        <v>1805</v>
      </c>
      <c r="I705" s="549">
        <f>I706+(I707*I$320)</f>
        <v>1805</v>
      </c>
      <c r="J705" s="549">
        <f>J706+(J707*J$320)</f>
        <v>1805</v>
      </c>
      <c r="K705" s="549">
        <f>K706+(K707*K$320)</f>
        <v>1638</v>
      </c>
      <c r="L705" s="550">
        <f>K705</f>
        <v>1638</v>
      </c>
      <c r="M705" s="549">
        <f>M706+(M707*M$320)</f>
        <v>1638</v>
      </c>
      <c r="N705" s="549">
        <f>N706+(N707*N$320)</f>
        <v>1638</v>
      </c>
      <c r="O705" s="549">
        <f>O706+(O707*O$320)</f>
        <v>1638</v>
      </c>
      <c r="P705" s="549">
        <f>P706+(P707*P$320)</f>
        <v>1520</v>
      </c>
      <c r="Q705" s="550">
        <f>P705</f>
        <v>1520</v>
      </c>
      <c r="R705" s="549">
        <f>R706+(R707*R$320)</f>
        <v>1520</v>
      </c>
      <c r="S705" s="549">
        <f>S706+(S707*S$320)</f>
        <v>1520</v>
      </c>
      <c r="T705" s="549">
        <f>T706+(T707*T$320)</f>
        <v>1520</v>
      </c>
      <c r="U705" s="549">
        <f>U706+(U707*U$320)</f>
        <v>1497</v>
      </c>
      <c r="V705" s="550">
        <f>U705</f>
        <v>1497</v>
      </c>
      <c r="W705" s="549">
        <f>W706+(W707*W$320)</f>
        <v>1497</v>
      </c>
      <c r="X705" s="549">
        <f>X706+(X707*X$320)</f>
        <v>1497</v>
      </c>
      <c r="Y705" s="549">
        <f>Y706+(Y707*Y$320)</f>
        <v>1497</v>
      </c>
      <c r="Z705" s="549">
        <f>Z706+(Z707*Z$320)</f>
        <v>1466</v>
      </c>
      <c r="AA705" s="550">
        <f>Z705</f>
        <v>1466</v>
      </c>
      <c r="AB705" s="549">
        <f>AB706+(AB707*AB$320)</f>
        <v>1463</v>
      </c>
      <c r="AC705" s="549">
        <f>AC706+(AC707*AC$320)</f>
        <v>1459</v>
      </c>
      <c r="AD705" s="549">
        <f>AD706+(AD707*AD$320)</f>
        <v>1452</v>
      </c>
      <c r="AE705" s="551">
        <f>AE706+(AE707*AE$320)</f>
        <v>1443</v>
      </c>
      <c r="AF705" s="552">
        <f>AE705</f>
        <v>1443</v>
      </c>
      <c r="AG705" s="549">
        <f>AG706+(AG707*AG$320)</f>
        <v>1443</v>
      </c>
      <c r="AH705" s="549">
        <f>AH706+(AH707*AH$320)</f>
        <v>1443</v>
      </c>
      <c r="AI705" s="549">
        <f>AI706+(AI707*AI$320)</f>
        <v>1443</v>
      </c>
      <c r="AJ705" s="551">
        <f>AJ706+(AJ707*AJ$320)</f>
        <v>1393</v>
      </c>
      <c r="AK705" s="552">
        <f>AJ705</f>
        <v>1393</v>
      </c>
      <c r="AL705" s="549">
        <f>AL706+(AL707*AL$320)</f>
        <v>1393</v>
      </c>
      <c r="AM705" s="549">
        <f>AM706+(AM707*AM$320)</f>
        <v>1393</v>
      </c>
      <c r="AN705" s="549">
        <f>AN706+(AN707*AN$320)</f>
        <v>1393</v>
      </c>
      <c r="AO705" s="551">
        <f>AO706+(AO707*AO$320)</f>
        <v>1393</v>
      </c>
      <c r="AP705" s="553">
        <f>AO705</f>
        <v>1393</v>
      </c>
      <c r="AQ705" s="553">
        <f>AQ706+(AQ707*AQ$320)</f>
        <v>1393</v>
      </c>
      <c r="AR705" s="551">
        <f>AR706+(AR707*AR$320)</f>
        <v>1393</v>
      </c>
      <c r="AS705" s="551">
        <f>AS706+(AS707*AS$320)</f>
        <v>1393</v>
      </c>
      <c r="AT705" s="551">
        <f>AT706+(AT707*AT$320)</f>
        <v>1393</v>
      </c>
      <c r="AU705" s="1692">
        <f>AT705</f>
        <v>1393</v>
      </c>
      <c r="AV705" s="1912">
        <f>AV706+(AV707*AV$320)</f>
        <v>1393</v>
      </c>
      <c r="AW705" s="1839">
        <f>AW706+(AW707*AW$320)</f>
        <v>1393</v>
      </c>
      <c r="AX705" s="1839">
        <f>AX706+(AX707*AX$320)</f>
        <v>1393</v>
      </c>
      <c r="AY705" s="1906">
        <f>AY706+(AY707*AY$320)</f>
        <v>1393</v>
      </c>
      <c r="AZ705" s="1692">
        <f>AY705</f>
        <v>1393</v>
      </c>
      <c r="BA705" s="553">
        <f>BA706+(BA707*BA$320)</f>
        <v>1393</v>
      </c>
      <c r="BB705" s="551">
        <f>BB706+(BB707*BB$320)</f>
        <v>1393</v>
      </c>
      <c r="BC705" s="551">
        <f>BC706+(BC707*BC$320)</f>
        <v>1393</v>
      </c>
      <c r="BD705" s="1895">
        <f>BD706+(BD707*BD$320)</f>
        <v>1393</v>
      </c>
      <c r="BE705" s="1906">
        <f>BD705</f>
        <v>1393</v>
      </c>
      <c r="BF705" s="551">
        <f>BF706+(BF707*BF$320)</f>
        <v>1393</v>
      </c>
      <c r="BG705" s="551">
        <f>BG706+(BG707*BG$320)</f>
        <v>1393</v>
      </c>
      <c r="BH705" s="551">
        <f>BH706+(BH707*BH$320)</f>
        <v>1393</v>
      </c>
      <c r="BI705" s="1895">
        <f>BI706+(BI707*BI$320)</f>
        <v>1393</v>
      </c>
      <c r="BJ705" s="1906">
        <f>BI705</f>
        <v>1393</v>
      </c>
      <c r="BK705" s="551">
        <f>BK706+(BK707*BK$320)</f>
        <v>1393</v>
      </c>
      <c r="BL705" s="551">
        <f>BL706+(BL707*BL$320)</f>
        <v>1393</v>
      </c>
      <c r="BM705" s="551">
        <f>BM706+(BM707*BM$320)</f>
        <v>1393</v>
      </c>
      <c r="BN705" s="1895">
        <f>BN706+(BN707*BN$320)</f>
        <v>1393</v>
      </c>
      <c r="BO705" s="1906">
        <f>BN705</f>
        <v>1393</v>
      </c>
      <c r="BP705" s="551">
        <f>BP706+(BP707*BP$320)</f>
        <v>1393</v>
      </c>
      <c r="BQ705" s="551">
        <f>BQ706+(BQ707*BQ$320)</f>
        <v>1393</v>
      </c>
      <c r="BR705" s="551">
        <f>BR706+(BR707*BR$320)</f>
        <v>1393</v>
      </c>
      <c r="BS705" s="1895">
        <f>BS706+(BS707*BS$320)</f>
        <v>1393</v>
      </c>
      <c r="BT705" s="3218">
        <f>BS705</f>
        <v>1393</v>
      </c>
      <c r="BU705" s="3297">
        <f>BU706+(BU707*BU$320)</f>
        <v>1393</v>
      </c>
      <c r="BV705" s="3297">
        <f>BV706+(BV707*BV$320)</f>
        <v>1393</v>
      </c>
      <c r="BW705" s="3297">
        <f>BW706+(BW707*BW$320)</f>
        <v>1393</v>
      </c>
      <c r="BX705" s="3297">
        <f>BX706+(BX707*BX$320)</f>
        <v>1393</v>
      </c>
      <c r="BY705" s="3234">
        <f>BX705</f>
        <v>1393</v>
      </c>
      <c r="BZ705" s="552">
        <f t="shared" ref="BZ705:CF705" si="1586">BZ706+(BZ707*BZ$320)</f>
        <v>1393</v>
      </c>
      <c r="CA705" s="552">
        <f t="shared" si="1586"/>
        <v>1393</v>
      </c>
      <c r="CB705" s="552">
        <f t="shared" si="1586"/>
        <v>1393</v>
      </c>
      <c r="CC705" s="552">
        <f t="shared" si="1586"/>
        <v>1393</v>
      </c>
      <c r="CD705" s="552">
        <f t="shared" si="1586"/>
        <v>1393</v>
      </c>
      <c r="CE705" s="552">
        <f t="shared" si="1586"/>
        <v>1393</v>
      </c>
      <c r="CF705" s="552">
        <f t="shared" si="1586"/>
        <v>1393</v>
      </c>
      <c r="CG705" s="331"/>
      <c r="CH705" s="331"/>
      <c r="CI705" s="331"/>
      <c r="CJ705" s="331"/>
      <c r="CK705" s="331"/>
      <c r="CL705" s="520" t="str">
        <f>A705</f>
        <v>Positions</v>
      </c>
      <c r="CM705" s="551">
        <f>G705</f>
        <v>1805</v>
      </c>
      <c r="CN705" s="551">
        <f>L705</f>
        <v>1638</v>
      </c>
      <c r="CO705" s="551">
        <f>Q705</f>
        <v>1520</v>
      </c>
      <c r="CP705" s="551">
        <f>V705</f>
        <v>1497</v>
      </c>
      <c r="CQ705" s="551">
        <f>AA705</f>
        <v>1466</v>
      </c>
      <c r="CR705" s="551">
        <f>AF705</f>
        <v>1443</v>
      </c>
      <c r="CS705" s="551">
        <f>AK705</f>
        <v>1393</v>
      </c>
      <c r="CT705" s="551">
        <f>AP705</f>
        <v>1393</v>
      </c>
      <c r="CU705" s="551">
        <f>AU705</f>
        <v>1393</v>
      </c>
      <c r="CV705" s="551">
        <f>AZ705</f>
        <v>1393</v>
      </c>
      <c r="CW705" s="551">
        <f>BE705</f>
        <v>1393</v>
      </c>
      <c r="CX705" s="551">
        <f>BJ705</f>
        <v>1393</v>
      </c>
      <c r="CY705" s="551">
        <f>BO705</f>
        <v>1393</v>
      </c>
      <c r="CZ705" s="551">
        <f>BT705</f>
        <v>1393</v>
      </c>
      <c r="DA705" s="551">
        <f t="shared" si="1585"/>
        <v>1393</v>
      </c>
      <c r="DB705" s="551">
        <f t="shared" si="1585"/>
        <v>1393</v>
      </c>
      <c r="DC705" s="1895">
        <f t="shared" si="1585"/>
        <v>1393</v>
      </c>
      <c r="DD705" s="331"/>
      <c r="DE705" s="331"/>
      <c r="DF705" s="502"/>
      <c r="DG705" s="503"/>
      <c r="DH705" s="3297"/>
      <c r="DI705" s="3213"/>
      <c r="DJ705" s="502"/>
      <c r="DK705" s="503"/>
      <c r="DL705" s="502"/>
      <c r="DM705" s="502"/>
      <c r="DN705" s="502"/>
      <c r="DO705" s="502"/>
      <c r="DP705" s="503"/>
      <c r="DQ705" s="503"/>
      <c r="DR705" s="296"/>
      <c r="DS705" s="296"/>
      <c r="DT705" s="296"/>
    </row>
    <row r="706" spans="1:124" ht="12" customHeight="1" x14ac:dyDescent="0.25">
      <c r="A706" s="281" t="s">
        <v>585</v>
      </c>
      <c r="B706" s="281"/>
      <c r="C706" s="554">
        <v>1626</v>
      </c>
      <c r="D706" s="554">
        <v>1615</v>
      </c>
      <c r="E706" s="554">
        <v>1619</v>
      </c>
      <c r="F706" s="554">
        <v>1619</v>
      </c>
      <c r="G706" s="550">
        <f>F706</f>
        <v>1619</v>
      </c>
      <c r="H706" s="554">
        <v>1619</v>
      </c>
      <c r="I706" s="554">
        <v>1619</v>
      </c>
      <c r="J706" s="555">
        <v>1619</v>
      </c>
      <c r="K706" s="555">
        <v>1452</v>
      </c>
      <c r="L706" s="552">
        <f>K706</f>
        <v>1452</v>
      </c>
      <c r="M706" s="555">
        <v>1452</v>
      </c>
      <c r="N706" s="555">
        <v>1452</v>
      </c>
      <c r="O706" s="555">
        <v>1452</v>
      </c>
      <c r="P706" s="554">
        <v>1334</v>
      </c>
      <c r="Q706" s="550">
        <f>P706</f>
        <v>1334</v>
      </c>
      <c r="R706" s="554">
        <v>1334</v>
      </c>
      <c r="S706" s="554">
        <v>1334</v>
      </c>
      <c r="T706" s="554">
        <v>1334</v>
      </c>
      <c r="U706" s="554">
        <v>1305</v>
      </c>
      <c r="V706" s="550">
        <f>U706</f>
        <v>1305</v>
      </c>
      <c r="W706" s="554">
        <v>1305</v>
      </c>
      <c r="X706" s="554">
        <v>1305</v>
      </c>
      <c r="Y706" s="554">
        <v>1305</v>
      </c>
      <c r="Z706" s="554">
        <v>1298</v>
      </c>
      <c r="AA706" s="550">
        <f>Z706</f>
        <v>1298</v>
      </c>
      <c r="AB706" s="555">
        <v>1295</v>
      </c>
      <c r="AC706" s="555">
        <v>1291</v>
      </c>
      <c r="AD706" s="555">
        <v>1284</v>
      </c>
      <c r="AE706" s="555">
        <v>1275</v>
      </c>
      <c r="AF706" s="552">
        <f>AE706</f>
        <v>1275</v>
      </c>
      <c r="AG706" s="551">
        <f>AE706</f>
        <v>1275</v>
      </c>
      <c r="AH706" s="551">
        <f>AG706</f>
        <v>1275</v>
      </c>
      <c r="AI706" s="551">
        <f>AH706</f>
        <v>1275</v>
      </c>
      <c r="AJ706" s="555">
        <v>1231</v>
      </c>
      <c r="AK706" s="552">
        <f>AJ706</f>
        <v>1231</v>
      </c>
      <c r="AL706" s="551">
        <f>AJ706</f>
        <v>1231</v>
      </c>
      <c r="AM706" s="551">
        <f t="shared" ref="AM706:AO707" si="1587">AL706</f>
        <v>1231</v>
      </c>
      <c r="AN706" s="551">
        <f t="shared" si="1587"/>
        <v>1231</v>
      </c>
      <c r="AO706" s="551">
        <f t="shared" si="1587"/>
        <v>1231</v>
      </c>
      <c r="AP706" s="553">
        <f>AO706</f>
        <v>1231</v>
      </c>
      <c r="AQ706" s="553">
        <f t="shared" ref="AQ706:AT707" si="1588">AP706</f>
        <v>1231</v>
      </c>
      <c r="AR706" s="551">
        <f t="shared" si="1588"/>
        <v>1231</v>
      </c>
      <c r="AS706" s="551">
        <f t="shared" si="1588"/>
        <v>1231</v>
      </c>
      <c r="AT706" s="551">
        <f t="shared" si="1588"/>
        <v>1231</v>
      </c>
      <c r="AU706" s="1692">
        <f>AT706</f>
        <v>1231</v>
      </c>
      <c r="AV706" s="1912">
        <f t="shared" ref="AV706:AY707" si="1589">AU706</f>
        <v>1231</v>
      </c>
      <c r="AW706" s="1839">
        <f t="shared" si="1589"/>
        <v>1231</v>
      </c>
      <c r="AX706" s="1839">
        <f t="shared" si="1589"/>
        <v>1231</v>
      </c>
      <c r="AY706" s="1906">
        <f t="shared" si="1589"/>
        <v>1231</v>
      </c>
      <c r="AZ706" s="1692">
        <f>AY706</f>
        <v>1231</v>
      </c>
      <c r="BA706" s="553">
        <f t="shared" ref="BA706:BD707" si="1590">AZ706</f>
        <v>1231</v>
      </c>
      <c r="BB706" s="551">
        <f>BA706</f>
        <v>1231</v>
      </c>
      <c r="BC706" s="551">
        <f t="shared" si="1590"/>
        <v>1231</v>
      </c>
      <c r="BD706" s="1895">
        <f t="shared" si="1590"/>
        <v>1231</v>
      </c>
      <c r="BE706" s="1906">
        <f>BD706</f>
        <v>1231</v>
      </c>
      <c r="BF706" s="551">
        <f t="shared" ref="BF706:BI707" si="1591">BE706</f>
        <v>1231</v>
      </c>
      <c r="BG706" s="551">
        <f t="shared" si="1591"/>
        <v>1231</v>
      </c>
      <c r="BH706" s="551">
        <f t="shared" si="1591"/>
        <v>1231</v>
      </c>
      <c r="BI706" s="1895">
        <f t="shared" si="1591"/>
        <v>1231</v>
      </c>
      <c r="BJ706" s="1906">
        <f>BI706</f>
        <v>1231</v>
      </c>
      <c r="BK706" s="551">
        <f t="shared" ref="BK706:BN707" si="1592">BJ706</f>
        <v>1231</v>
      </c>
      <c r="BL706" s="551">
        <f>BK706</f>
        <v>1231</v>
      </c>
      <c r="BM706" s="551">
        <f t="shared" si="1592"/>
        <v>1231</v>
      </c>
      <c r="BN706" s="1895">
        <f t="shared" si="1592"/>
        <v>1231</v>
      </c>
      <c r="BO706" s="1906">
        <f>BN706</f>
        <v>1231</v>
      </c>
      <c r="BP706" s="551">
        <f t="shared" ref="BP706:BS707" si="1593">BO706</f>
        <v>1231</v>
      </c>
      <c r="BQ706" s="551">
        <f t="shared" si="1593"/>
        <v>1231</v>
      </c>
      <c r="BR706" s="551">
        <f t="shared" si="1593"/>
        <v>1231</v>
      </c>
      <c r="BS706" s="1895">
        <f t="shared" si="1593"/>
        <v>1231</v>
      </c>
      <c r="BT706" s="3218">
        <f>BS706</f>
        <v>1231</v>
      </c>
      <c r="BU706" s="3297">
        <f t="shared" ref="BU706:BX707" si="1594">BT706</f>
        <v>1231</v>
      </c>
      <c r="BV706" s="3297">
        <f t="shared" si="1594"/>
        <v>1231</v>
      </c>
      <c r="BW706" s="3297">
        <f t="shared" si="1594"/>
        <v>1231</v>
      </c>
      <c r="BX706" s="3297">
        <f t="shared" si="1594"/>
        <v>1231</v>
      </c>
      <c r="BY706" s="3234">
        <f>BX706</f>
        <v>1231</v>
      </c>
      <c r="BZ706" s="552">
        <f>BY706</f>
        <v>1231</v>
      </c>
      <c r="CA706" s="552">
        <f>BZ706</f>
        <v>1231</v>
      </c>
      <c r="CB706" s="552">
        <f t="shared" ref="CB706:CF707" si="1595">CA706</f>
        <v>1231</v>
      </c>
      <c r="CC706" s="552">
        <f t="shared" si="1595"/>
        <v>1231</v>
      </c>
      <c r="CD706" s="552">
        <f t="shared" si="1595"/>
        <v>1231</v>
      </c>
      <c r="CE706" s="552">
        <f t="shared" si="1595"/>
        <v>1231</v>
      </c>
      <c r="CF706" s="552">
        <f t="shared" si="1595"/>
        <v>1231</v>
      </c>
      <c r="CG706" s="331"/>
      <c r="CH706" s="331"/>
      <c r="CI706" s="331"/>
      <c r="CJ706" s="331"/>
      <c r="CK706" s="331"/>
      <c r="CL706" s="520" t="str">
        <f>A706</f>
        <v>Slots</v>
      </c>
      <c r="CM706" s="551">
        <f>G706</f>
        <v>1619</v>
      </c>
      <c r="CN706" s="551">
        <f>L706</f>
        <v>1452</v>
      </c>
      <c r="CO706" s="551">
        <f>Q706</f>
        <v>1334</v>
      </c>
      <c r="CP706" s="551">
        <f>V706</f>
        <v>1305</v>
      </c>
      <c r="CQ706" s="551">
        <f>AA706</f>
        <v>1298</v>
      </c>
      <c r="CR706" s="551">
        <f>AF706</f>
        <v>1275</v>
      </c>
      <c r="CS706" s="551">
        <f>AK706</f>
        <v>1231</v>
      </c>
      <c r="CT706" s="551">
        <f>AP706</f>
        <v>1231</v>
      </c>
      <c r="CU706" s="551">
        <f>AU706</f>
        <v>1231</v>
      </c>
      <c r="CV706" s="551">
        <f>AZ706</f>
        <v>1231</v>
      </c>
      <c r="CW706" s="551">
        <f>BE706</f>
        <v>1231</v>
      </c>
      <c r="CX706" s="551">
        <f>BJ706</f>
        <v>1231</v>
      </c>
      <c r="CY706" s="551">
        <f>BO706</f>
        <v>1231</v>
      </c>
      <c r="CZ706" s="551">
        <f>BT706</f>
        <v>1231</v>
      </c>
      <c r="DA706" s="551">
        <f t="shared" si="1585"/>
        <v>1231</v>
      </c>
      <c r="DB706" s="551">
        <f t="shared" si="1585"/>
        <v>1231</v>
      </c>
      <c r="DC706" s="1895">
        <f t="shared" si="1585"/>
        <v>1231</v>
      </c>
      <c r="DD706" s="331"/>
      <c r="DE706" s="331"/>
      <c r="DF706" s="502"/>
      <c r="DG706" s="503"/>
      <c r="DH706" s="3297"/>
      <c r="DI706" s="3213"/>
      <c r="DJ706" s="502"/>
      <c r="DK706" s="503"/>
      <c r="DL706" s="502"/>
      <c r="DM706" s="502"/>
      <c r="DN706" s="502"/>
      <c r="DO706" s="502"/>
      <c r="DP706" s="503"/>
      <c r="DQ706" s="503"/>
      <c r="DR706" s="296"/>
      <c r="DS706" s="296"/>
      <c r="DT706" s="296"/>
    </row>
    <row r="707" spans="1:124" ht="12" customHeight="1" x14ac:dyDescent="0.25">
      <c r="A707" s="281" t="s">
        <v>584</v>
      </c>
      <c r="B707" s="281"/>
      <c r="C707" s="554">
        <v>33</v>
      </c>
      <c r="D707" s="554">
        <v>33</v>
      </c>
      <c r="E707" s="554">
        <v>31</v>
      </c>
      <c r="F707" s="554">
        <v>31</v>
      </c>
      <c r="G707" s="550">
        <f>F707</f>
        <v>31</v>
      </c>
      <c r="H707" s="554">
        <v>31</v>
      </c>
      <c r="I707" s="554">
        <v>31</v>
      </c>
      <c r="J707" s="555">
        <v>31</v>
      </c>
      <c r="K707" s="555">
        <v>31</v>
      </c>
      <c r="L707" s="552">
        <f>K707</f>
        <v>31</v>
      </c>
      <c r="M707" s="555">
        <v>31</v>
      </c>
      <c r="N707" s="555">
        <v>31</v>
      </c>
      <c r="O707" s="555">
        <v>31</v>
      </c>
      <c r="P707" s="554">
        <v>31</v>
      </c>
      <c r="Q707" s="550">
        <f>P707</f>
        <v>31</v>
      </c>
      <c r="R707" s="554">
        <v>31</v>
      </c>
      <c r="S707" s="554">
        <v>31</v>
      </c>
      <c r="T707" s="554">
        <v>31</v>
      </c>
      <c r="U707" s="554">
        <v>32</v>
      </c>
      <c r="V707" s="550">
        <f>U707</f>
        <v>32</v>
      </c>
      <c r="W707" s="554">
        <v>32</v>
      </c>
      <c r="X707" s="554">
        <v>32</v>
      </c>
      <c r="Y707" s="554">
        <v>32</v>
      </c>
      <c r="Z707" s="554">
        <v>28</v>
      </c>
      <c r="AA707" s="550">
        <f>Z707</f>
        <v>28</v>
      </c>
      <c r="AB707" s="555">
        <v>28</v>
      </c>
      <c r="AC707" s="555">
        <v>28</v>
      </c>
      <c r="AD707" s="555">
        <v>28</v>
      </c>
      <c r="AE707" s="555">
        <v>28</v>
      </c>
      <c r="AF707" s="552">
        <f>AE707</f>
        <v>28</v>
      </c>
      <c r="AG707" s="551">
        <f>AE707</f>
        <v>28</v>
      </c>
      <c r="AH707" s="551">
        <f>AG707</f>
        <v>28</v>
      </c>
      <c r="AI707" s="551">
        <f>AH707</f>
        <v>28</v>
      </c>
      <c r="AJ707" s="555">
        <v>27</v>
      </c>
      <c r="AK707" s="552">
        <f>AJ707</f>
        <v>27</v>
      </c>
      <c r="AL707" s="551">
        <f>AJ707</f>
        <v>27</v>
      </c>
      <c r="AM707" s="551">
        <f t="shared" si="1587"/>
        <v>27</v>
      </c>
      <c r="AN707" s="551">
        <f t="shared" si="1587"/>
        <v>27</v>
      </c>
      <c r="AO707" s="551">
        <f t="shared" si="1587"/>
        <v>27</v>
      </c>
      <c r="AP707" s="553">
        <f>AO707</f>
        <v>27</v>
      </c>
      <c r="AQ707" s="553">
        <f t="shared" si="1588"/>
        <v>27</v>
      </c>
      <c r="AR707" s="551">
        <f t="shared" si="1588"/>
        <v>27</v>
      </c>
      <c r="AS707" s="551">
        <f t="shared" si="1588"/>
        <v>27</v>
      </c>
      <c r="AT707" s="551">
        <f t="shared" si="1588"/>
        <v>27</v>
      </c>
      <c r="AU707" s="1692">
        <f>AT707</f>
        <v>27</v>
      </c>
      <c r="AV707" s="1912">
        <f t="shared" si="1589"/>
        <v>27</v>
      </c>
      <c r="AW707" s="1839">
        <f t="shared" si="1589"/>
        <v>27</v>
      </c>
      <c r="AX707" s="1839">
        <f t="shared" si="1589"/>
        <v>27</v>
      </c>
      <c r="AY707" s="1906">
        <f t="shared" si="1589"/>
        <v>27</v>
      </c>
      <c r="AZ707" s="1692">
        <f>AY707</f>
        <v>27</v>
      </c>
      <c r="BA707" s="553">
        <f t="shared" si="1590"/>
        <v>27</v>
      </c>
      <c r="BB707" s="551">
        <f>BA707</f>
        <v>27</v>
      </c>
      <c r="BC707" s="551">
        <f t="shared" si="1590"/>
        <v>27</v>
      </c>
      <c r="BD707" s="1895">
        <f t="shared" si="1590"/>
        <v>27</v>
      </c>
      <c r="BE707" s="1906">
        <f>BD707</f>
        <v>27</v>
      </c>
      <c r="BF707" s="551">
        <f t="shared" si="1591"/>
        <v>27</v>
      </c>
      <c r="BG707" s="551">
        <f t="shared" si="1591"/>
        <v>27</v>
      </c>
      <c r="BH707" s="551">
        <f t="shared" si="1591"/>
        <v>27</v>
      </c>
      <c r="BI707" s="1895">
        <f t="shared" si="1591"/>
        <v>27</v>
      </c>
      <c r="BJ707" s="1906">
        <f>BI707</f>
        <v>27</v>
      </c>
      <c r="BK707" s="551">
        <f t="shared" si="1592"/>
        <v>27</v>
      </c>
      <c r="BL707" s="551">
        <f>BK707</f>
        <v>27</v>
      </c>
      <c r="BM707" s="551">
        <f t="shared" si="1592"/>
        <v>27</v>
      </c>
      <c r="BN707" s="1895">
        <f t="shared" si="1592"/>
        <v>27</v>
      </c>
      <c r="BO707" s="1906">
        <f>BN707</f>
        <v>27</v>
      </c>
      <c r="BP707" s="551">
        <f t="shared" si="1593"/>
        <v>27</v>
      </c>
      <c r="BQ707" s="551">
        <f t="shared" si="1593"/>
        <v>27</v>
      </c>
      <c r="BR707" s="551">
        <f t="shared" si="1593"/>
        <v>27</v>
      </c>
      <c r="BS707" s="1895">
        <f t="shared" si="1593"/>
        <v>27</v>
      </c>
      <c r="BT707" s="3218">
        <f>BS707</f>
        <v>27</v>
      </c>
      <c r="BU707" s="3297">
        <f t="shared" si="1594"/>
        <v>27</v>
      </c>
      <c r="BV707" s="3297">
        <f t="shared" si="1594"/>
        <v>27</v>
      </c>
      <c r="BW707" s="3297">
        <f t="shared" si="1594"/>
        <v>27</v>
      </c>
      <c r="BX707" s="3297">
        <f t="shared" si="1594"/>
        <v>27</v>
      </c>
      <c r="BY707" s="3234">
        <f>BX707</f>
        <v>27</v>
      </c>
      <c r="BZ707" s="552">
        <f>BY707</f>
        <v>27</v>
      </c>
      <c r="CA707" s="552">
        <f>BZ707</f>
        <v>27</v>
      </c>
      <c r="CB707" s="552">
        <f t="shared" si="1595"/>
        <v>27</v>
      </c>
      <c r="CC707" s="552">
        <f t="shared" si="1595"/>
        <v>27</v>
      </c>
      <c r="CD707" s="552">
        <f t="shared" si="1595"/>
        <v>27</v>
      </c>
      <c r="CE707" s="552">
        <f t="shared" si="1595"/>
        <v>27</v>
      </c>
      <c r="CF707" s="552">
        <f t="shared" si="1595"/>
        <v>27</v>
      </c>
      <c r="CG707" s="331"/>
      <c r="CH707" s="331"/>
      <c r="CI707" s="331"/>
      <c r="CJ707" s="331"/>
      <c r="CK707" s="331"/>
      <c r="CL707" s="520" t="str">
        <f>A707</f>
        <v>Tables</v>
      </c>
      <c r="CM707" s="551">
        <f>G707</f>
        <v>31</v>
      </c>
      <c r="CN707" s="551">
        <f>L707</f>
        <v>31</v>
      </c>
      <c r="CO707" s="551">
        <f>Q707</f>
        <v>31</v>
      </c>
      <c r="CP707" s="551">
        <f>V707</f>
        <v>32</v>
      </c>
      <c r="CQ707" s="551">
        <f>AA707</f>
        <v>28</v>
      </c>
      <c r="CR707" s="551">
        <f>AF707</f>
        <v>28</v>
      </c>
      <c r="CS707" s="551">
        <f>AK707</f>
        <v>27</v>
      </c>
      <c r="CT707" s="551">
        <f>AP707</f>
        <v>27</v>
      </c>
      <c r="CU707" s="551">
        <f>AU707</f>
        <v>27</v>
      </c>
      <c r="CV707" s="551">
        <f>AZ707</f>
        <v>27</v>
      </c>
      <c r="CW707" s="551">
        <f>BE707</f>
        <v>27</v>
      </c>
      <c r="CX707" s="551">
        <f>BJ707</f>
        <v>27</v>
      </c>
      <c r="CY707" s="551">
        <f>BO707</f>
        <v>27</v>
      </c>
      <c r="CZ707" s="551">
        <f>BT707</f>
        <v>27</v>
      </c>
      <c r="DA707" s="551">
        <f t="shared" si="1585"/>
        <v>27</v>
      </c>
      <c r="DB707" s="551">
        <f t="shared" si="1585"/>
        <v>27</v>
      </c>
      <c r="DC707" s="1895">
        <f t="shared" si="1585"/>
        <v>27</v>
      </c>
      <c r="DD707" s="331"/>
      <c r="DE707" s="331"/>
      <c r="DF707" s="502"/>
      <c r="DG707" s="503"/>
      <c r="DH707" s="3297"/>
      <c r="DI707" s="3213"/>
      <c r="DJ707" s="502"/>
      <c r="DK707" s="503"/>
      <c r="DL707" s="502"/>
      <c r="DM707" s="502"/>
      <c r="DN707" s="502"/>
      <c r="DO707" s="502"/>
      <c r="DP707" s="503"/>
      <c r="DQ707" s="503"/>
      <c r="DR707" s="296"/>
      <c r="DS707" s="296"/>
      <c r="DT707" s="296"/>
    </row>
    <row r="708" spans="1:124" ht="12" customHeight="1" x14ac:dyDescent="0.25">
      <c r="A708" s="511" t="s">
        <v>2111</v>
      </c>
      <c r="B708" s="281"/>
      <c r="C708" s="554">
        <v>1824</v>
      </c>
      <c r="D708" s="549">
        <f>AVERAGE(C705:D705)</f>
        <v>1818.5</v>
      </c>
      <c r="E708" s="549">
        <f>AVERAGE(D705:E705)</f>
        <v>1809</v>
      </c>
      <c r="F708" s="549">
        <f>AVERAGE(E705:F705)</f>
        <v>1805</v>
      </c>
      <c r="G708" s="550">
        <f>AVERAGE(C708:F708)</f>
        <v>1814.125</v>
      </c>
      <c r="H708" s="549">
        <f>AVERAGE(G705:H705)</f>
        <v>1805</v>
      </c>
      <c r="I708" s="549">
        <f>AVERAGE(H705:I705)</f>
        <v>1805</v>
      </c>
      <c r="J708" s="551">
        <f>AVERAGE(I705:J705)</f>
        <v>1805</v>
      </c>
      <c r="K708" s="555">
        <f>AVERAGE(J705:K705)</f>
        <v>1721.5</v>
      </c>
      <c r="L708" s="552">
        <f>AVERAGE(H708:K708)</f>
        <v>1784.125</v>
      </c>
      <c r="M708" s="551">
        <f>AVERAGE(L705:M705)</f>
        <v>1638</v>
      </c>
      <c r="N708" s="551">
        <f>AVERAGE(M705:N705)</f>
        <v>1638</v>
      </c>
      <c r="O708" s="551">
        <f>AVERAGE(N705:O705)</f>
        <v>1638</v>
      </c>
      <c r="P708" s="549">
        <f>AVERAGE(O705:P705)</f>
        <v>1579</v>
      </c>
      <c r="Q708" s="550">
        <f>AVERAGE(M708:P708)</f>
        <v>1623.25</v>
      </c>
      <c r="R708" s="549">
        <f>AVERAGE(Q705:R705)</f>
        <v>1520</v>
      </c>
      <c r="S708" s="549">
        <f>AVERAGE(R705:S705)</f>
        <v>1520</v>
      </c>
      <c r="T708" s="549">
        <f>AVERAGE(S705:T705)</f>
        <v>1520</v>
      </c>
      <c r="U708" s="549">
        <f>AVERAGE(T705:U705)</f>
        <v>1508.5</v>
      </c>
      <c r="V708" s="550">
        <f>AVERAGE(R708:U708)</f>
        <v>1517.125</v>
      </c>
      <c r="W708" s="549">
        <f>AVERAGE(V705:W705)</f>
        <v>1497</v>
      </c>
      <c r="X708" s="549">
        <f>AVERAGE(W705:X705)</f>
        <v>1497</v>
      </c>
      <c r="Y708" s="549">
        <f>AVERAGE(X705:Y705)</f>
        <v>1497</v>
      </c>
      <c r="Z708" s="549">
        <f>AVERAGE(Y705:Z705)</f>
        <v>1481.5</v>
      </c>
      <c r="AA708" s="550">
        <f>AVERAGE(W708:Z708)</f>
        <v>1493.125</v>
      </c>
      <c r="AB708" s="549">
        <f>AVERAGE(AA705:AB705)</f>
        <v>1464.5</v>
      </c>
      <c r="AC708" s="549">
        <f>AVERAGE(AB705:AC705)</f>
        <v>1461</v>
      </c>
      <c r="AD708" s="549">
        <f>AVERAGE(AC705:AD705)</f>
        <v>1455.5</v>
      </c>
      <c r="AE708" s="551">
        <f>AVERAGE(AD705:AE705)</f>
        <v>1447.5</v>
      </c>
      <c r="AF708" s="552">
        <f>AVERAGE(AB708:AE708)</f>
        <v>1457.125</v>
      </c>
      <c r="AG708" s="549">
        <f>AVERAGE(AF705:AG705)</f>
        <v>1443</v>
      </c>
      <c r="AH708" s="549">
        <f>AVERAGE(AG705:AH705)</f>
        <v>1443</v>
      </c>
      <c r="AI708" s="549">
        <f>AVERAGE(AH705:AI705)</f>
        <v>1443</v>
      </c>
      <c r="AJ708" s="551">
        <f>AVERAGE(AI705:AJ705)</f>
        <v>1418</v>
      </c>
      <c r="AK708" s="552">
        <f>AVERAGE(AG708:AJ708)</f>
        <v>1436.75</v>
      </c>
      <c r="AL708" s="549">
        <f>AVERAGE(AK705:AL705)</f>
        <v>1393</v>
      </c>
      <c r="AM708" s="549">
        <f>AVERAGE(AL705:AM705)</f>
        <v>1393</v>
      </c>
      <c r="AN708" s="549">
        <f>AVERAGE(AM705:AN705)</f>
        <v>1393</v>
      </c>
      <c r="AO708" s="551">
        <f>AVERAGE(AN705:AO705)</f>
        <v>1393</v>
      </c>
      <c r="AP708" s="553">
        <f>AVERAGE(AL708:AO708)</f>
        <v>1393</v>
      </c>
      <c r="AQ708" s="553">
        <f>AVERAGE(AP705:AQ705)</f>
        <v>1393</v>
      </c>
      <c r="AR708" s="551">
        <f>AVERAGE(AQ705:AR705)</f>
        <v>1393</v>
      </c>
      <c r="AS708" s="551">
        <f>AVERAGE(AR705:AS705)</f>
        <v>1393</v>
      </c>
      <c r="AT708" s="551">
        <f>AVERAGE(AS705:AT705)</f>
        <v>1393</v>
      </c>
      <c r="AU708" s="1692">
        <f>AVERAGE(AQ708:AT708)</f>
        <v>1393</v>
      </c>
      <c r="AV708" s="1912">
        <f>AVERAGE(AU705:AV705)</f>
        <v>1393</v>
      </c>
      <c r="AW708" s="1839">
        <f>AVERAGE(AV705:AW705)</f>
        <v>1393</v>
      </c>
      <c r="AX708" s="1839">
        <f>AVERAGE(AW705:AX705)</f>
        <v>1393</v>
      </c>
      <c r="AY708" s="1906">
        <f>AVERAGE(AX705:AY705)</f>
        <v>1393</v>
      </c>
      <c r="AZ708" s="1692">
        <f>AVERAGE(AV708:AY708)</f>
        <v>1393</v>
      </c>
      <c r="BA708" s="553">
        <f>AVERAGE(AZ705:BA705)</f>
        <v>1393</v>
      </c>
      <c r="BB708" s="551">
        <f>AVERAGE(BA705:BB705)</f>
        <v>1393</v>
      </c>
      <c r="BC708" s="551">
        <f>AVERAGE(BB705:BC705)</f>
        <v>1393</v>
      </c>
      <c r="BD708" s="1895">
        <f>AVERAGE(BC705:BD705)</f>
        <v>1393</v>
      </c>
      <c r="BE708" s="1906">
        <f>AVERAGE(BA708:BD708)</f>
        <v>1393</v>
      </c>
      <c r="BF708" s="551">
        <f>AVERAGE(BE705:BF705)</f>
        <v>1393</v>
      </c>
      <c r="BG708" s="551">
        <f>AVERAGE(BF705:BG705)</f>
        <v>1393</v>
      </c>
      <c r="BH708" s="551">
        <f>AVERAGE(BG705:BH705)</f>
        <v>1393</v>
      </c>
      <c r="BI708" s="1895">
        <f>AVERAGE(BH705:BI705)</f>
        <v>1393</v>
      </c>
      <c r="BJ708" s="1906">
        <f>AVERAGE(BF708:BI708)</f>
        <v>1393</v>
      </c>
      <c r="BK708" s="551">
        <f>AVERAGE(BJ705:BK705)</f>
        <v>1393</v>
      </c>
      <c r="BL708" s="551">
        <f>AVERAGE(BK705:BL705)</f>
        <v>1393</v>
      </c>
      <c r="BM708" s="551">
        <f>AVERAGE(BL705:BM705)</f>
        <v>1393</v>
      </c>
      <c r="BN708" s="1895">
        <f>AVERAGE(BM705:BN705)</f>
        <v>1393</v>
      </c>
      <c r="BO708" s="1906">
        <f>AVERAGE(BK708:BN708)</f>
        <v>1393</v>
      </c>
      <c r="BP708" s="551">
        <f>AVERAGE(BO705:BP705)</f>
        <v>1393</v>
      </c>
      <c r="BQ708" s="551">
        <f>AVERAGE(BP705:BQ705)</f>
        <v>1393</v>
      </c>
      <c r="BR708" s="551">
        <f>AVERAGE(BQ705:BR705)</f>
        <v>1393</v>
      </c>
      <c r="BS708" s="1895">
        <f>AVERAGE(BR705:BS705)</f>
        <v>1393</v>
      </c>
      <c r="BT708" s="3218">
        <f>AVERAGE(BP708:BS708)</f>
        <v>1393</v>
      </c>
      <c r="BU708" s="3297">
        <f>AVERAGE(BT705:BU705)</f>
        <v>1393</v>
      </c>
      <c r="BV708" s="3297">
        <f>AVERAGE(BU705:BV705)</f>
        <v>1393</v>
      </c>
      <c r="BW708" s="3297">
        <f>AVERAGE(BV705:BW705)</f>
        <v>1393</v>
      </c>
      <c r="BX708" s="3297">
        <f>AVERAGE(BW705:BX705)</f>
        <v>1393</v>
      </c>
      <c r="BY708" s="3234">
        <f>AVERAGE(BU708:BX708)</f>
        <v>1393</v>
      </c>
      <c r="BZ708" s="552">
        <f t="shared" ref="BZ708:CF708" si="1596">AVERAGE(BY705:BZ705)</f>
        <v>1393</v>
      </c>
      <c r="CA708" s="552">
        <f t="shared" si="1596"/>
        <v>1393</v>
      </c>
      <c r="CB708" s="552">
        <f t="shared" si="1596"/>
        <v>1393</v>
      </c>
      <c r="CC708" s="552">
        <f t="shared" si="1596"/>
        <v>1393</v>
      </c>
      <c r="CD708" s="552">
        <f t="shared" si="1596"/>
        <v>1393</v>
      </c>
      <c r="CE708" s="552">
        <f t="shared" si="1596"/>
        <v>1393</v>
      </c>
      <c r="CF708" s="552">
        <f t="shared" si="1596"/>
        <v>1393</v>
      </c>
      <c r="CG708" s="331"/>
      <c r="CH708" s="331"/>
      <c r="CI708" s="331"/>
      <c r="CJ708" s="331"/>
      <c r="CK708" s="331"/>
      <c r="CL708" s="1118" t="str">
        <f>A708</f>
        <v>Average Positions</v>
      </c>
      <c r="CM708" s="551">
        <f>G708</f>
        <v>1814.125</v>
      </c>
      <c r="CN708" s="551">
        <f>L708</f>
        <v>1784.125</v>
      </c>
      <c r="CO708" s="551">
        <f>Q708</f>
        <v>1623.25</v>
      </c>
      <c r="CP708" s="551">
        <f>V708</f>
        <v>1517.125</v>
      </c>
      <c r="CQ708" s="551">
        <f>AA708</f>
        <v>1493.125</v>
      </c>
      <c r="CR708" s="551">
        <f>AF708</f>
        <v>1457.125</v>
      </c>
      <c r="CS708" s="551">
        <f>AK708</f>
        <v>1436.75</v>
      </c>
      <c r="CT708" s="551">
        <f>AP708</f>
        <v>1393</v>
      </c>
      <c r="CU708" s="551">
        <f>AU708</f>
        <v>1393</v>
      </c>
      <c r="CV708" s="551">
        <f>AZ708</f>
        <v>1393</v>
      </c>
      <c r="CW708" s="551">
        <f>BE708</f>
        <v>1393</v>
      </c>
      <c r="CX708" s="551">
        <f>BJ708</f>
        <v>1393</v>
      </c>
      <c r="CY708" s="551">
        <f>BO708</f>
        <v>1393</v>
      </c>
      <c r="CZ708" s="551">
        <f>BT708</f>
        <v>1393</v>
      </c>
      <c r="DA708" s="551">
        <f t="shared" si="1585"/>
        <v>1393</v>
      </c>
      <c r="DB708" s="551">
        <f t="shared" si="1585"/>
        <v>1393</v>
      </c>
      <c r="DC708" s="1895">
        <f t="shared" si="1585"/>
        <v>1393</v>
      </c>
      <c r="DD708" s="331"/>
      <c r="DE708" s="331"/>
      <c r="DF708" s="502"/>
      <c r="DG708" s="503"/>
      <c r="DH708" s="3297"/>
      <c r="DI708" s="3213"/>
      <c r="DJ708" s="502"/>
      <c r="DK708" s="503"/>
      <c r="DL708" s="502"/>
      <c r="DM708" s="502"/>
      <c r="DN708" s="502"/>
      <c r="DO708" s="502"/>
      <c r="DP708" s="503"/>
      <c r="DQ708" s="503"/>
      <c r="DR708" s="296"/>
      <c r="DS708" s="296"/>
      <c r="DT708" s="296"/>
    </row>
    <row r="709" spans="1:124" ht="5.0999999999999996" customHeight="1" x14ac:dyDescent="0.25">
      <c r="A709" s="281"/>
      <c r="B709" s="281"/>
      <c r="C709" s="305"/>
      <c r="D709" s="305"/>
      <c r="E709" s="305"/>
      <c r="F709" s="305"/>
      <c r="G709" s="440"/>
      <c r="H709" s="305"/>
      <c r="I709" s="305"/>
      <c r="J709" s="305"/>
      <c r="K709" s="305"/>
      <c r="L709" s="440"/>
      <c r="M709" s="305"/>
      <c r="N709" s="305"/>
      <c r="O709" s="305"/>
      <c r="P709" s="305"/>
      <c r="Q709" s="440"/>
      <c r="R709" s="305"/>
      <c r="S709" s="305"/>
      <c r="T709" s="305"/>
      <c r="U709" s="305"/>
      <c r="V709" s="440"/>
      <c r="W709" s="305"/>
      <c r="X709" s="305"/>
      <c r="Y709" s="305"/>
      <c r="Z709" s="305"/>
      <c r="AA709" s="440"/>
      <c r="AB709" s="305"/>
      <c r="AC709" s="305"/>
      <c r="AD709" s="305"/>
      <c r="AE709" s="331"/>
      <c r="AF709" s="441"/>
      <c r="AG709" s="305"/>
      <c r="AH709" s="305"/>
      <c r="AI709" s="305"/>
      <c r="AJ709" s="331"/>
      <c r="AK709" s="441"/>
      <c r="AL709" s="305"/>
      <c r="AM709" s="305"/>
      <c r="AN709" s="305"/>
      <c r="AO709" s="331"/>
      <c r="AP709" s="569"/>
      <c r="AQ709" s="569"/>
      <c r="AR709" s="442"/>
      <c r="AS709" s="442"/>
      <c r="AT709" s="442"/>
      <c r="AU709" s="1690"/>
      <c r="AV709" s="1902"/>
      <c r="AW709" s="1837"/>
      <c r="AX709" s="1837"/>
      <c r="AY709" s="1903"/>
      <c r="AZ709" s="1690"/>
      <c r="BA709" s="569"/>
      <c r="BB709" s="442"/>
      <c r="BC709" s="442"/>
      <c r="BD709" s="1312"/>
      <c r="BE709" s="1903"/>
      <c r="BF709" s="442"/>
      <c r="BG709" s="442"/>
      <c r="BH709" s="442"/>
      <c r="BI709" s="1312"/>
      <c r="BJ709" s="1903"/>
      <c r="BK709" s="442"/>
      <c r="BL709" s="442"/>
      <c r="BM709" s="442"/>
      <c r="BN709" s="1312"/>
      <c r="BO709" s="1903"/>
      <c r="BP709" s="442"/>
      <c r="BQ709" s="442"/>
      <c r="BR709" s="442"/>
      <c r="BS709" s="1312"/>
      <c r="BT709" s="3016"/>
      <c r="BU709" s="3298"/>
      <c r="BV709" s="3298"/>
      <c r="BW709" s="3298"/>
      <c r="BX709" s="3298"/>
      <c r="BY709" s="3236"/>
      <c r="BZ709" s="441"/>
      <c r="CA709" s="441"/>
      <c r="CB709" s="441"/>
      <c r="CC709" s="441"/>
      <c r="CD709" s="441"/>
      <c r="CE709" s="441"/>
      <c r="CF709" s="441"/>
      <c r="CG709" s="331"/>
      <c r="CH709" s="331"/>
      <c r="CI709" s="331"/>
      <c r="CJ709" s="331"/>
      <c r="CK709" s="331"/>
      <c r="CL709" s="520"/>
      <c r="CM709" s="442"/>
      <c r="CN709" s="442"/>
      <c r="CO709" s="442"/>
      <c r="CP709" s="442"/>
      <c r="CQ709" s="442"/>
      <c r="CR709" s="442"/>
      <c r="CS709" s="442"/>
      <c r="CT709" s="442"/>
      <c r="CU709" s="442"/>
      <c r="CV709" s="442"/>
      <c r="CW709" s="442"/>
      <c r="CX709" s="442"/>
      <c r="CY709" s="442"/>
      <c r="CZ709" s="442"/>
      <c r="DA709" s="442"/>
      <c r="DB709" s="442"/>
      <c r="DC709" s="1312"/>
      <c r="DD709" s="331"/>
      <c r="DE709" s="331"/>
      <c r="DF709" s="502"/>
      <c r="DG709" s="503"/>
      <c r="DH709" s="3298"/>
      <c r="DI709" s="3213"/>
      <c r="DJ709" s="502"/>
      <c r="DK709" s="503"/>
      <c r="DL709" s="502"/>
      <c r="DM709" s="502"/>
      <c r="DN709" s="502"/>
      <c r="DO709" s="502"/>
      <c r="DP709" s="503"/>
      <c r="DQ709" s="503"/>
      <c r="DR709" s="296"/>
      <c r="DS709" s="296"/>
      <c r="DT709" s="296"/>
    </row>
    <row r="710" spans="1:124" ht="12" customHeight="1" x14ac:dyDescent="0.25">
      <c r="A710" s="496" t="s">
        <v>1418</v>
      </c>
      <c r="B710" s="1007"/>
      <c r="C710" s="1001">
        <v>30.888000000000002</v>
      </c>
      <c r="D710" s="1001">
        <v>29.864999999999998</v>
      </c>
      <c r="E710" s="1001">
        <v>30.306000000000001</v>
      </c>
      <c r="F710" s="1001">
        <v>26.449000000000002</v>
      </c>
      <c r="G710" s="1002">
        <f>SUM(C710:F710)</f>
        <v>117.508</v>
      </c>
      <c r="H710" s="1001">
        <v>26.193000000000001</v>
      </c>
      <c r="I710" s="1001">
        <v>26.504999999999999</v>
      </c>
      <c r="J710" s="1001">
        <v>26.855</v>
      </c>
      <c r="K710" s="1001">
        <v>27.881</v>
      </c>
      <c r="L710" s="1002">
        <f>SUM(H710:K710)</f>
        <v>107.434</v>
      </c>
      <c r="M710" s="1001">
        <v>28.158999999999999</v>
      </c>
      <c r="N710" s="1001">
        <v>26.899000000000001</v>
      </c>
      <c r="O710" s="1001">
        <v>27.088999999999999</v>
      </c>
      <c r="P710" s="1001">
        <v>24.206</v>
      </c>
      <c r="Q710" s="1002">
        <f>SUM(M710:P710)</f>
        <v>106.35299999999999</v>
      </c>
      <c r="R710" s="1001">
        <v>26.596</v>
      </c>
      <c r="S710" s="1001">
        <v>26.375</v>
      </c>
      <c r="T710" s="1001">
        <v>26.38</v>
      </c>
      <c r="U710" s="1001">
        <v>24.507000000000001</v>
      </c>
      <c r="V710" s="1002">
        <f>SUM(R710:U710)</f>
        <v>103.858</v>
      </c>
      <c r="W710" s="1001">
        <v>24.562000000000001</v>
      </c>
      <c r="X710" s="1001">
        <v>22.109000000000002</v>
      </c>
      <c r="Y710" s="1001">
        <v>22.346</v>
      </c>
      <c r="Z710" s="1001">
        <v>19.523</v>
      </c>
      <c r="AA710" s="1002">
        <f>SUM(W710:Z710)</f>
        <v>88.54</v>
      </c>
      <c r="AB710" s="1001">
        <v>24.41</v>
      </c>
      <c r="AC710" s="1001">
        <v>23.710999999999999</v>
      </c>
      <c r="AD710" s="1001">
        <v>23.803999999999998</v>
      </c>
      <c r="AE710" s="1003">
        <v>20.971</v>
      </c>
      <c r="AF710" s="1004">
        <f>SUM(AB710:AE710)</f>
        <v>92.896000000000001</v>
      </c>
      <c r="AG710" s="1001">
        <v>22.361999999999998</v>
      </c>
      <c r="AH710" s="1001">
        <v>21.916</v>
      </c>
      <c r="AI710" s="1001">
        <v>21.411999999999999</v>
      </c>
      <c r="AJ710" s="1001">
        <v>18.864999999999998</v>
      </c>
      <c r="AK710" s="1004">
        <f>SUM(AG710:AJ710)</f>
        <v>84.554999999999993</v>
      </c>
      <c r="AL710" s="1001">
        <v>20.535</v>
      </c>
      <c r="AM710" s="1001">
        <v>13.646000000000001</v>
      </c>
      <c r="AN710" s="1592">
        <f>AI710*(1+AN711)</f>
        <v>19.270800000000001</v>
      </c>
      <c r="AO710" s="1005">
        <f>AJ710*(1+AO711)</f>
        <v>16.9785</v>
      </c>
      <c r="AP710" s="1006">
        <f>SUM(AL710:AO710)</f>
        <v>70.430300000000003</v>
      </c>
      <c r="AQ710" s="1006">
        <f>AL710*(1+AQ711)</f>
        <v>20.535</v>
      </c>
      <c r="AR710" s="1015">
        <f>AM710*(1+AR711)</f>
        <v>17.739800000000002</v>
      </c>
      <c r="AS710" s="1015">
        <f>AN710*(1+AS711)</f>
        <v>17.343720000000001</v>
      </c>
      <c r="AT710" s="1015">
        <f>AO710*(1+AT711)</f>
        <v>15.280650000000001</v>
      </c>
      <c r="AU710" s="1698">
        <f>SUM(AQ710:AT710)</f>
        <v>70.899169999999998</v>
      </c>
      <c r="AV710" s="1915">
        <f>AQ710*(1+AV711)</f>
        <v>19.097549999999998</v>
      </c>
      <c r="AW710" s="1843">
        <f>AR710*(1+AW711)</f>
        <v>16.498014000000001</v>
      </c>
      <c r="AX710" s="1843">
        <f>AS710*(1+AX711)</f>
        <v>16.1296596</v>
      </c>
      <c r="AY710" s="1910">
        <f>AT710*(1+AY711)</f>
        <v>14.516617500000001</v>
      </c>
      <c r="AZ710" s="1698">
        <f>SUM(AV710:AY710)</f>
        <v>66.241841099999988</v>
      </c>
      <c r="BA710" s="1006">
        <f>AV710*(1+BA711)</f>
        <v>17.760721499999999</v>
      </c>
      <c r="BB710" s="1015">
        <f>AW710*(1+BB711)</f>
        <v>15.343153020000001</v>
      </c>
      <c r="BC710" s="1015">
        <f>AX710*(1+BC711)</f>
        <v>15.484473216</v>
      </c>
      <c r="BD710" s="1871">
        <f>AY710*(1+BD711)</f>
        <v>13.935952800000001</v>
      </c>
      <c r="BE710" s="1910">
        <f>SUM(BA710:BD710)</f>
        <v>62.524300535999998</v>
      </c>
      <c r="BF710" s="1015">
        <f>BA710*(1+BF711)</f>
        <v>17.405507069999999</v>
      </c>
      <c r="BG710" s="1015">
        <f>BB710*(1+BG711)</f>
        <v>15.496584550200001</v>
      </c>
      <c r="BH710" s="1015">
        <f>BC710*(1+BH711)</f>
        <v>15.63931794816</v>
      </c>
      <c r="BI710" s="1871">
        <f>BD710*(1+BI711)</f>
        <v>13.517874216000001</v>
      </c>
      <c r="BJ710" s="1910">
        <f>SUM(BF710:BI710)</f>
        <v>62.059283784359998</v>
      </c>
      <c r="BK710" s="1015">
        <f>BF710*(1+BK711)</f>
        <v>16.8833418579</v>
      </c>
      <c r="BL710" s="1015">
        <f>BG710*(1+BL711)</f>
        <v>15.651550395702001</v>
      </c>
      <c r="BM710" s="1015">
        <f>BH710*(1+BM711)</f>
        <v>15.795711127641601</v>
      </c>
      <c r="BN710" s="1871">
        <f>BI710*(1+BN711)</f>
        <v>13.653052958160002</v>
      </c>
      <c r="BO710" s="1910">
        <f>SUM(BK710:BN710)</f>
        <v>61.983656339403609</v>
      </c>
      <c r="BP710" s="1015">
        <f>BK710*(1+BP711)</f>
        <v>15.19500767211</v>
      </c>
      <c r="BQ710" s="1015">
        <f>BL710*(1+BQ711)</f>
        <v>14.086395356131801</v>
      </c>
      <c r="BR710" s="1015">
        <f>BM710*(1+BR711)</f>
        <v>14.216140014877441</v>
      </c>
      <c r="BS710" s="1871">
        <f>BN710*(1+BS711)</f>
        <v>12.287747662344001</v>
      </c>
      <c r="BT710" s="1871">
        <f>SUM(BP710:BS710)</f>
        <v>55.785290705463247</v>
      </c>
      <c r="BU710" s="1015">
        <f>BP710*(1+BU711)</f>
        <v>15.3469577488311</v>
      </c>
      <c r="BV710" s="1015">
        <f>BQ710*(1+BV711)</f>
        <v>14.227259309693119</v>
      </c>
      <c r="BW710" s="1015">
        <f>BR710*(1+BW711)</f>
        <v>14.358301415026215</v>
      </c>
      <c r="BX710" s="1015">
        <f>BS710*(1+BX711)</f>
        <v>12.410625138967442</v>
      </c>
      <c r="BY710" s="1004">
        <f>SUM(BU710:BX710)</f>
        <v>56.343143612517871</v>
      </c>
      <c r="BZ710" s="1004">
        <f t="shared" ref="BZ710:CF710" si="1597">BY710*(1+BZ711)</f>
        <v>56.343143612517871</v>
      </c>
      <c r="CA710" s="1004">
        <f t="shared" si="1597"/>
        <v>56.343143612517871</v>
      </c>
      <c r="CB710" s="1004">
        <f t="shared" si="1597"/>
        <v>53.525986431891972</v>
      </c>
      <c r="CC710" s="1004">
        <f t="shared" si="1597"/>
        <v>50.849687110297374</v>
      </c>
      <c r="CD710" s="1004">
        <f t="shared" si="1597"/>
        <v>51.866680852503322</v>
      </c>
      <c r="CE710" s="1004">
        <f t="shared" si="1597"/>
        <v>52.904014469553388</v>
      </c>
      <c r="CF710" s="1004">
        <f t="shared" si="1597"/>
        <v>53.96209475894446</v>
      </c>
      <c r="CG710" s="502"/>
      <c r="CH710" s="502"/>
      <c r="CI710" s="502"/>
      <c r="CJ710" s="502"/>
      <c r="CK710" s="502"/>
      <c r="CL710" s="2102" t="str">
        <f>A710</f>
        <v>Net revenue</v>
      </c>
      <c r="CM710" s="1015">
        <f>G710</f>
        <v>117.508</v>
      </c>
      <c r="CN710" s="1015">
        <f>L710</f>
        <v>107.434</v>
      </c>
      <c r="CO710" s="1015">
        <f>Q710</f>
        <v>106.35299999999999</v>
      </c>
      <c r="CP710" s="1015">
        <f>V710</f>
        <v>103.858</v>
      </c>
      <c r="CQ710" s="1015">
        <f>AA710</f>
        <v>88.54</v>
      </c>
      <c r="CR710" s="1015">
        <f>AF710</f>
        <v>92.896000000000001</v>
      </c>
      <c r="CS710" s="1015">
        <f>AK710</f>
        <v>84.554999999999993</v>
      </c>
      <c r="CT710" s="1015">
        <f>AP710</f>
        <v>70.430300000000003</v>
      </c>
      <c r="CU710" s="1015">
        <f>AU710</f>
        <v>70.899169999999998</v>
      </c>
      <c r="CV710" s="1015">
        <f>AZ710</f>
        <v>66.241841099999988</v>
      </c>
      <c r="CW710" s="1015">
        <f>BE710</f>
        <v>62.524300535999998</v>
      </c>
      <c r="CX710" s="1015">
        <f>BJ710</f>
        <v>62.059283784359998</v>
      </c>
      <c r="CY710" s="1015">
        <f>BO710</f>
        <v>61.983656339403609</v>
      </c>
      <c r="CZ710" s="1015">
        <f>BT710</f>
        <v>55.785290705463247</v>
      </c>
      <c r="DA710" s="1015">
        <f t="shared" ref="DA710:DC711" si="1598">BY710</f>
        <v>56.343143612517871</v>
      </c>
      <c r="DB710" s="1015">
        <f t="shared" si="1598"/>
        <v>56.343143612517871</v>
      </c>
      <c r="DC710" s="1871">
        <f t="shared" si="1598"/>
        <v>56.343143612517871</v>
      </c>
      <c r="DD710" s="502"/>
      <c r="DE710" s="502"/>
      <c r="DF710" s="502"/>
      <c r="DG710" s="503"/>
      <c r="DH710" s="463"/>
      <c r="DI710" s="3213"/>
      <c r="DJ710" s="502"/>
      <c r="DK710" s="503"/>
      <c r="DL710" s="502"/>
      <c r="DM710" s="502"/>
      <c r="DN710" s="502"/>
      <c r="DO710" s="502"/>
      <c r="DP710" s="503"/>
      <c r="DQ710" s="503"/>
      <c r="DR710" s="719"/>
      <c r="DS710" s="719"/>
      <c r="DT710" s="719"/>
    </row>
    <row r="711" spans="1:124" ht="12" customHeight="1" x14ac:dyDescent="0.25">
      <c r="A711" s="465" t="s">
        <v>1491</v>
      </c>
      <c r="B711" s="466"/>
      <c r="C711" s="467" t="s">
        <v>553</v>
      </c>
      <c r="D711" s="467" t="s">
        <v>553</v>
      </c>
      <c r="E711" s="467" t="s">
        <v>553</v>
      </c>
      <c r="F711" s="467" t="s">
        <v>553</v>
      </c>
      <c r="G711" s="468" t="s">
        <v>553</v>
      </c>
      <c r="H711" s="467">
        <f t="shared" ref="H711:AM711" si="1599">(H710-C710)/C710</f>
        <v>-0.15200077700077699</v>
      </c>
      <c r="I711" s="467">
        <f t="shared" si="1599"/>
        <v>-0.11250627825213459</v>
      </c>
      <c r="J711" s="467">
        <f t="shared" si="1599"/>
        <v>-0.11387184055962517</v>
      </c>
      <c r="K711" s="467">
        <f t="shared" si="1599"/>
        <v>5.4141933532458636E-2</v>
      </c>
      <c r="L711" s="468">
        <f t="shared" si="1599"/>
        <v>-8.573033325390611E-2</v>
      </c>
      <c r="M711" s="467">
        <f t="shared" si="1599"/>
        <v>7.5058221662276076E-2</v>
      </c>
      <c r="N711" s="467">
        <f t="shared" si="1599"/>
        <v>1.4865119788719182E-2</v>
      </c>
      <c r="O711" s="467">
        <f t="shared" si="1599"/>
        <v>8.7134611804132647E-3</v>
      </c>
      <c r="P711" s="467">
        <f t="shared" si="1599"/>
        <v>-0.13181019332161689</v>
      </c>
      <c r="Q711" s="468">
        <f t="shared" si="1599"/>
        <v>-1.006199154829945E-2</v>
      </c>
      <c r="R711" s="467">
        <f t="shared" si="1599"/>
        <v>-5.5506232465641493E-2</v>
      </c>
      <c r="S711" s="467">
        <f t="shared" si="1599"/>
        <v>-1.9480278077251976E-2</v>
      </c>
      <c r="T711" s="467">
        <f t="shared" si="1599"/>
        <v>-2.6172985344604809E-2</v>
      </c>
      <c r="U711" s="467">
        <f t="shared" si="1599"/>
        <v>1.2434933487565147E-2</v>
      </c>
      <c r="V711" s="468">
        <f t="shared" si="1599"/>
        <v>-2.3459610918356702E-2</v>
      </c>
      <c r="W711" s="467">
        <f t="shared" si="1599"/>
        <v>-7.6477665814408138E-2</v>
      </c>
      <c r="X711" s="467">
        <f t="shared" si="1599"/>
        <v>-0.16174407582938383</v>
      </c>
      <c r="Y711" s="467">
        <f t="shared" si="1599"/>
        <v>-0.15291887793783165</v>
      </c>
      <c r="Z711" s="467">
        <f t="shared" si="1599"/>
        <v>-0.20337046558126257</v>
      </c>
      <c r="AA711" s="468">
        <f t="shared" si="1599"/>
        <v>-0.14748984189951661</v>
      </c>
      <c r="AB711" s="467">
        <f t="shared" si="1599"/>
        <v>-6.1884211383438246E-3</v>
      </c>
      <c r="AC711" s="467">
        <f t="shared" si="1599"/>
        <v>7.2459179519652472E-2</v>
      </c>
      <c r="AD711" s="467">
        <f t="shared" si="1599"/>
        <v>6.5246576568513306E-2</v>
      </c>
      <c r="AE711" s="469">
        <f t="shared" si="1599"/>
        <v>7.4168928955590865E-2</v>
      </c>
      <c r="AF711" s="470">
        <f t="shared" si="1599"/>
        <v>4.9198102552518573E-2</v>
      </c>
      <c r="AG711" s="467">
        <f t="shared" si="1599"/>
        <v>-8.3900040966816955E-2</v>
      </c>
      <c r="AH711" s="467">
        <f t="shared" si="1599"/>
        <v>-7.5703260090253396E-2</v>
      </c>
      <c r="AI711" s="467">
        <f t="shared" si="1599"/>
        <v>-0.10048731305662913</v>
      </c>
      <c r="AJ711" s="467">
        <f t="shared" si="1599"/>
        <v>-0.10042439559391549</v>
      </c>
      <c r="AK711" s="470">
        <f>(AK710-AF710)/AF710</f>
        <v>-8.9788580778505087E-2</v>
      </c>
      <c r="AL711" s="467">
        <f t="shared" si="1599"/>
        <v>-8.1701100080493624E-2</v>
      </c>
      <c r="AM711" s="467">
        <f t="shared" si="1599"/>
        <v>-0.37734988136521258</v>
      </c>
      <c r="AN711" s="538">
        <v>-0.1</v>
      </c>
      <c r="AO711" s="538">
        <v>-0.1</v>
      </c>
      <c r="AP711" s="471">
        <f>(AP710-AK710)/AK710</f>
        <v>-0.16704748388622778</v>
      </c>
      <c r="AQ711" s="1667">
        <v>0</v>
      </c>
      <c r="AR711" s="540">
        <v>0.3</v>
      </c>
      <c r="AS711" s="540">
        <v>-0.1</v>
      </c>
      <c r="AT711" s="540">
        <v>-0.1</v>
      </c>
      <c r="AU711" s="1689">
        <f>(AU710-AP710)/AP710</f>
        <v>6.6572199749255004E-3</v>
      </c>
      <c r="AV711" s="1667">
        <v>-7.0000000000000007E-2</v>
      </c>
      <c r="AW711" s="540">
        <v>-7.0000000000000007E-2</v>
      </c>
      <c r="AX711" s="540">
        <v>-7.0000000000000007E-2</v>
      </c>
      <c r="AY711" s="1668">
        <v>-0.05</v>
      </c>
      <c r="AZ711" s="1689">
        <f>(AZ710-AU710)/AU710</f>
        <v>-6.5689469989564195E-2</v>
      </c>
      <c r="BA711" s="1667">
        <v>-7.0000000000000007E-2</v>
      </c>
      <c r="BB711" s="2565">
        <v>-7.0000000000000007E-2</v>
      </c>
      <c r="BC711" s="540">
        <v>-0.04</v>
      </c>
      <c r="BD711" s="1668">
        <v>-0.04</v>
      </c>
      <c r="BE711" s="1868">
        <f>(BE710-AZ710)/AZ710</f>
        <v>-5.6120731282029393E-2</v>
      </c>
      <c r="BF711" s="540">
        <v>-0.02</v>
      </c>
      <c r="BG711" s="540">
        <v>0.01</v>
      </c>
      <c r="BH711" s="540">
        <v>0.01</v>
      </c>
      <c r="BI711" s="1668">
        <v>-0.03</v>
      </c>
      <c r="BJ711" s="1868">
        <f>(BJ710-BE710)/BE710</f>
        <v>-7.4373763105475251E-3</v>
      </c>
      <c r="BK711" s="540">
        <v>-0.03</v>
      </c>
      <c r="BL711" s="540">
        <v>0.01</v>
      </c>
      <c r="BM711" s="540">
        <v>0.01</v>
      </c>
      <c r="BN711" s="540">
        <v>0.01</v>
      </c>
      <c r="BO711" s="3112">
        <f>(BO710-BJ710)/BJ710</f>
        <v>-1.2186322552347657E-3</v>
      </c>
      <c r="BP711" s="540">
        <v>-0.1</v>
      </c>
      <c r="BQ711" s="540">
        <v>-0.1</v>
      </c>
      <c r="BR711" s="540">
        <v>-0.1</v>
      </c>
      <c r="BS711" s="1668">
        <v>-0.1</v>
      </c>
      <c r="BT711" s="1463">
        <f>(BT710-BO710)/BO710</f>
        <v>-0.10000000000000002</v>
      </c>
      <c r="BU711" s="540">
        <v>0.01</v>
      </c>
      <c r="BV711" s="540">
        <v>0.01</v>
      </c>
      <c r="BW711" s="540">
        <v>0.01</v>
      </c>
      <c r="BX711" s="540">
        <v>0.01</v>
      </c>
      <c r="BY711" s="470">
        <f>(BY710-BT710)/BT710</f>
        <v>9.9999999999998458E-3</v>
      </c>
      <c r="BZ711" s="2563">
        <v>0</v>
      </c>
      <c r="CA711" s="2563">
        <v>0</v>
      </c>
      <c r="CB711" s="2563">
        <v>-0.05</v>
      </c>
      <c r="CC711" s="2563">
        <v>-0.05</v>
      </c>
      <c r="CD711" s="2563">
        <v>0.02</v>
      </c>
      <c r="CE711" s="2563">
        <v>0.02</v>
      </c>
      <c r="CF711" s="2563">
        <v>0.02</v>
      </c>
      <c r="CG711" s="492"/>
      <c r="CH711" s="492"/>
      <c r="CI711" s="492"/>
      <c r="CJ711" s="492"/>
      <c r="CK711" s="492"/>
      <c r="CL711" s="1310" t="str">
        <f>A711</f>
        <v>% growth (y-o-y)</v>
      </c>
      <c r="CM711" s="469" t="str">
        <f>G711</f>
        <v xml:space="preserve">n/a </v>
      </c>
      <c r="CN711" s="469">
        <f>L711</f>
        <v>-8.573033325390611E-2</v>
      </c>
      <c r="CO711" s="469">
        <f>Q711</f>
        <v>-1.006199154829945E-2</v>
      </c>
      <c r="CP711" s="469">
        <f>V711</f>
        <v>-2.3459610918356702E-2</v>
      </c>
      <c r="CQ711" s="469">
        <f>AA711</f>
        <v>-0.14748984189951661</v>
      </c>
      <c r="CR711" s="469">
        <f>AF711</f>
        <v>4.9198102552518573E-2</v>
      </c>
      <c r="CS711" s="469">
        <f>AK711</f>
        <v>-8.9788580778505087E-2</v>
      </c>
      <c r="CT711" s="469">
        <f>AP711</f>
        <v>-0.16704748388622778</v>
      </c>
      <c r="CU711" s="469">
        <f>AU711</f>
        <v>6.6572199749255004E-3</v>
      </c>
      <c r="CV711" s="469">
        <f>AZ711</f>
        <v>-6.5689469989564195E-2</v>
      </c>
      <c r="CW711" s="469">
        <f>BE711</f>
        <v>-5.6120731282029393E-2</v>
      </c>
      <c r="CX711" s="469">
        <f>BJ711</f>
        <v>-7.4373763105475251E-3</v>
      </c>
      <c r="CY711" s="469">
        <f>BO711</f>
        <v>-1.2186322552347657E-3</v>
      </c>
      <c r="CZ711" s="469">
        <f>BT711</f>
        <v>-0.10000000000000002</v>
      </c>
      <c r="DA711" s="469">
        <f t="shared" si="1598"/>
        <v>9.9999999999998458E-3</v>
      </c>
      <c r="DB711" s="469">
        <f t="shared" si="1598"/>
        <v>0</v>
      </c>
      <c r="DC711" s="1463">
        <f t="shared" si="1598"/>
        <v>0</v>
      </c>
      <c r="DD711" s="492"/>
      <c r="DE711" s="492"/>
      <c r="DF711" s="962"/>
      <c r="DG711" s="962"/>
      <c r="DH711" s="469"/>
      <c r="DI711" s="3213"/>
      <c r="DJ711" s="962"/>
      <c r="DK711" s="962"/>
      <c r="DL711" s="962"/>
      <c r="DM711" s="962"/>
      <c r="DN711" s="962"/>
      <c r="DO711" s="962"/>
      <c r="DP711" s="962"/>
      <c r="DQ711" s="962"/>
      <c r="DR711" s="963"/>
      <c r="DS711" s="963"/>
      <c r="DT711" s="963"/>
    </row>
    <row r="712" spans="1:124" ht="5.0999999999999996" customHeight="1" x14ac:dyDescent="0.25">
      <c r="A712" s="281"/>
      <c r="B712" s="281"/>
      <c r="C712" s="305"/>
      <c r="D712" s="305"/>
      <c r="E712" s="305"/>
      <c r="F712" s="305"/>
      <c r="G712" s="440"/>
      <c r="H712" s="305"/>
      <c r="I712" s="305"/>
      <c r="J712" s="305"/>
      <c r="K712" s="305"/>
      <c r="L712" s="440"/>
      <c r="M712" s="305"/>
      <c r="N712" s="305"/>
      <c r="O712" s="305"/>
      <c r="P712" s="305"/>
      <c r="Q712" s="440"/>
      <c r="R712" s="305"/>
      <c r="S712" s="305"/>
      <c r="T712" s="305"/>
      <c r="U712" s="305"/>
      <c r="V712" s="440"/>
      <c r="W712" s="305"/>
      <c r="X712" s="305"/>
      <c r="Y712" s="305"/>
      <c r="Z712" s="305"/>
      <c r="AA712" s="440"/>
      <c r="AB712" s="305"/>
      <c r="AC712" s="305"/>
      <c r="AD712" s="305"/>
      <c r="AE712" s="331"/>
      <c r="AF712" s="441"/>
      <c r="AG712" s="305"/>
      <c r="AH712" s="305"/>
      <c r="AI712" s="305"/>
      <c r="AJ712" s="331"/>
      <c r="AK712" s="441"/>
      <c r="AL712" s="305"/>
      <c r="AM712" s="305"/>
      <c r="AN712" s="305"/>
      <c r="AO712" s="331"/>
      <c r="AP712" s="569"/>
      <c r="AQ712" s="569"/>
      <c r="AR712" s="442"/>
      <c r="AS712" s="442"/>
      <c r="AT712" s="442"/>
      <c r="AU712" s="1690"/>
      <c r="AV712" s="1902"/>
      <c r="AW712" s="1837"/>
      <c r="AX712" s="1837"/>
      <c r="AY712" s="1903"/>
      <c r="AZ712" s="1690"/>
      <c r="BA712" s="569"/>
      <c r="BB712" s="442"/>
      <c r="BC712" s="442"/>
      <c r="BD712" s="1312"/>
      <c r="BE712" s="1903"/>
      <c r="BF712" s="442"/>
      <c r="BG712" s="442"/>
      <c r="BH712" s="442"/>
      <c r="BI712" s="1312"/>
      <c r="BJ712" s="1903"/>
      <c r="BK712" s="442"/>
      <c r="BL712" s="442"/>
      <c r="BM712" s="442"/>
      <c r="BN712" s="1312"/>
      <c r="BO712" s="1903"/>
      <c r="BP712" s="442"/>
      <c r="BQ712" s="442"/>
      <c r="BR712" s="442"/>
      <c r="BS712" s="1312"/>
      <c r="BT712" s="3016"/>
      <c r="BU712" s="3298"/>
      <c r="BV712" s="3298"/>
      <c r="BW712" s="3298"/>
      <c r="BX712" s="3298"/>
      <c r="BY712" s="3236"/>
      <c r="BZ712" s="441"/>
      <c r="CA712" s="441"/>
      <c r="CB712" s="441"/>
      <c r="CC712" s="441"/>
      <c r="CD712" s="441"/>
      <c r="CE712" s="441"/>
      <c r="CF712" s="441"/>
      <c r="CG712" s="331"/>
      <c r="CH712" s="331"/>
      <c r="CI712" s="331"/>
      <c r="CJ712" s="331"/>
      <c r="CK712" s="331"/>
      <c r="CL712" s="520"/>
      <c r="CM712" s="442"/>
      <c r="CN712" s="442"/>
      <c r="CO712" s="442"/>
      <c r="CP712" s="442"/>
      <c r="CQ712" s="442"/>
      <c r="CR712" s="442"/>
      <c r="CS712" s="442"/>
      <c r="CT712" s="442"/>
      <c r="CU712" s="442"/>
      <c r="CV712" s="442"/>
      <c r="CW712" s="442"/>
      <c r="CX712" s="442"/>
      <c r="CY712" s="442"/>
      <c r="CZ712" s="442"/>
      <c r="DA712" s="442"/>
      <c r="DB712" s="442"/>
      <c r="DC712" s="1312"/>
      <c r="DD712" s="331"/>
      <c r="DE712" s="331"/>
      <c r="DF712" s="502"/>
      <c r="DG712" s="503"/>
      <c r="DH712" s="3298"/>
      <c r="DI712" s="3213"/>
      <c r="DJ712" s="502"/>
      <c r="DK712" s="503"/>
      <c r="DL712" s="502"/>
      <c r="DM712" s="502"/>
      <c r="DN712" s="502"/>
      <c r="DO712" s="502"/>
      <c r="DP712" s="503"/>
      <c r="DQ712" s="503"/>
      <c r="DR712" s="296"/>
      <c r="DS712" s="296"/>
      <c r="DT712" s="296"/>
    </row>
    <row r="713" spans="1:124" ht="12" customHeight="1" x14ac:dyDescent="0.25">
      <c r="A713" s="311" t="s">
        <v>601</v>
      </c>
      <c r="B713" s="281"/>
      <c r="C713" s="446">
        <f>C710-C717</f>
        <v>23.867000000000001</v>
      </c>
      <c r="D713" s="446">
        <f>D710-D717</f>
        <v>23.091999999999999</v>
      </c>
      <c r="E713" s="446">
        <f>E710-E717</f>
        <v>23.341999999999999</v>
      </c>
      <c r="F713" s="446">
        <f>F710-F717</f>
        <v>21.332000000000001</v>
      </c>
      <c r="G713" s="447">
        <f>SUM(C713:F713)</f>
        <v>91.63300000000001</v>
      </c>
      <c r="H713" s="446">
        <f>H710-H717</f>
        <v>20.007000000000001</v>
      </c>
      <c r="I713" s="446">
        <f>I710-I717</f>
        <v>19.555</v>
      </c>
      <c r="J713" s="446">
        <f>J710-J717</f>
        <v>19.509</v>
      </c>
      <c r="K713" s="446">
        <f>K710-K717</f>
        <v>20.457999999999998</v>
      </c>
      <c r="L713" s="447">
        <f>SUM(H713:K713)</f>
        <v>79.528999999999996</v>
      </c>
      <c r="M713" s="446">
        <f>M710-M717</f>
        <v>20.232999999999997</v>
      </c>
      <c r="N713" s="446">
        <f>N710-N717</f>
        <v>19.925000000000001</v>
      </c>
      <c r="O713" s="446">
        <f>O710-O717</f>
        <v>20.491999999999997</v>
      </c>
      <c r="P713" s="446">
        <f>P710-P717</f>
        <v>18.811</v>
      </c>
      <c r="Q713" s="447">
        <f>SUM(M713:P713)</f>
        <v>79.460999999999999</v>
      </c>
      <c r="R713" s="446">
        <f>R710-R717</f>
        <v>19.788</v>
      </c>
      <c r="S713" s="446">
        <f>S710-S717</f>
        <v>20.158000000000001</v>
      </c>
      <c r="T713" s="446">
        <f>T710-T717</f>
        <v>18.832999999999998</v>
      </c>
      <c r="U713" s="446">
        <f>U710-U717</f>
        <v>17.931000000000001</v>
      </c>
      <c r="V713" s="447">
        <f>SUM(R713:U713)</f>
        <v>76.709999999999994</v>
      </c>
      <c r="W713" s="446">
        <f>W710-W717</f>
        <v>18.209000000000003</v>
      </c>
      <c r="X713" s="446">
        <f>X710-X717</f>
        <v>16.607000000000003</v>
      </c>
      <c r="Y713" s="446">
        <f>Y710-Y717</f>
        <v>16.838999999999999</v>
      </c>
      <c r="Z713" s="446">
        <f>Z710-Z717</f>
        <v>15.495000000000001</v>
      </c>
      <c r="AA713" s="447">
        <f>SUM(W713:Z713)</f>
        <v>67.150000000000006</v>
      </c>
      <c r="AB713" s="446">
        <f>AB710-AB717</f>
        <v>17.948999999999998</v>
      </c>
      <c r="AC713" s="446">
        <f>AC710-AC717</f>
        <v>18.001999999999999</v>
      </c>
      <c r="AD713" s="446">
        <f>AD710-AD717</f>
        <v>18.003999999999998</v>
      </c>
      <c r="AE713" s="446">
        <f>AE710-AE717</f>
        <v>17.676000000000002</v>
      </c>
      <c r="AF713" s="455">
        <f>SUM(AB713:AE713)</f>
        <v>71.631</v>
      </c>
      <c r="AG713" s="446">
        <f>AG710-AG717</f>
        <v>15.727999999999998</v>
      </c>
      <c r="AH713" s="446">
        <f>AH710-AH717</f>
        <v>16.132000000000001</v>
      </c>
      <c r="AI713" s="446">
        <f>AI710-AI717</f>
        <v>16.010999999999999</v>
      </c>
      <c r="AJ713" s="446">
        <f>AJ710-AJ717</f>
        <v>14.310999999999998</v>
      </c>
      <c r="AK713" s="455">
        <f>SUM(AG713:AJ713)</f>
        <v>62.181999999999995</v>
      </c>
      <c r="AL713" s="446">
        <f>AL710-AL717</f>
        <v>14.445</v>
      </c>
      <c r="AM713" s="446">
        <f>AM710-AM717</f>
        <v>9.9760000000000009</v>
      </c>
      <c r="AN713" s="446">
        <f>AI713*(1+AN715)</f>
        <v>14.4099</v>
      </c>
      <c r="AO713" s="446">
        <f>AJ713*(1+AO715)</f>
        <v>14.310999999999998</v>
      </c>
      <c r="AP713" s="456">
        <f>SUM(AL713:AO713)</f>
        <v>53.1419</v>
      </c>
      <c r="AQ713" s="456">
        <f>AL713*(1+AQ715)</f>
        <v>14.445</v>
      </c>
      <c r="AR713" s="454">
        <f>AM713*(1+AR715)</f>
        <v>13.9664</v>
      </c>
      <c r="AS713" s="454">
        <f>AN713*(1+AS715)</f>
        <v>13.977603</v>
      </c>
      <c r="AT713" s="454">
        <f>AO713*(1+AT715)</f>
        <v>13.881669999999998</v>
      </c>
      <c r="AU713" s="1693">
        <f>SUM(AQ713:AT713)</f>
        <v>56.270673000000002</v>
      </c>
      <c r="AV713" s="1863">
        <f>AQ713*(1+AV715)</f>
        <v>14.1561</v>
      </c>
      <c r="AW713" s="1841">
        <f>AR713*(1+AW715)</f>
        <v>13.547407999999999</v>
      </c>
      <c r="AX713" s="1841">
        <f>AS713*(1+AX715)</f>
        <v>13.83782697</v>
      </c>
      <c r="AY713" s="1864">
        <f>AT713*(1+AY715)</f>
        <v>13.048769799999997</v>
      </c>
      <c r="AZ713" s="1693">
        <f>SUM(AV713:AY713)</f>
        <v>54.590104769999996</v>
      </c>
      <c r="BA713" s="456">
        <f>AV713*(1+BA715)</f>
        <v>12.386587500000001</v>
      </c>
      <c r="BB713" s="454">
        <f>AW713*(1+BB715)</f>
        <v>11.853981999999998</v>
      </c>
      <c r="BC713" s="454">
        <f>AX713*(1+BC715)</f>
        <v>12.454044273000001</v>
      </c>
      <c r="BD713" s="1666">
        <f>AY713*(1+BD715)</f>
        <v>11.743892819999997</v>
      </c>
      <c r="BE713" s="1864">
        <f>SUM(BA713:BD713)</f>
        <v>48.438506593</v>
      </c>
      <c r="BF713" s="454">
        <f>BA713*(1+BF715)</f>
        <v>11.457593437500002</v>
      </c>
      <c r="BG713" s="454">
        <f>BB713*(1+BG715)</f>
        <v>11.261282899999998</v>
      </c>
      <c r="BH713" s="454">
        <f>BC713*(1+BH715)</f>
        <v>11.83134205935</v>
      </c>
      <c r="BI713" s="1666">
        <f>BD713*(1+BI715)</f>
        <v>11.156698178999997</v>
      </c>
      <c r="BJ713" s="1864">
        <f>SUM(BF713:BI713)</f>
        <v>45.706916575849995</v>
      </c>
      <c r="BK713" s="454">
        <f>BF713*(1+BK715)</f>
        <v>11.343017503125001</v>
      </c>
      <c r="BL713" s="454">
        <f>BG713*(1+BL715)</f>
        <v>11.486508557999997</v>
      </c>
      <c r="BM713" s="454">
        <f>BH713*(1+BM715)</f>
        <v>12.067968900537</v>
      </c>
      <c r="BN713" s="1666">
        <f>BI713*(1+BN715)</f>
        <v>11.268265160789998</v>
      </c>
      <c r="BO713" s="1864">
        <f>SUM(BK713:BN713)</f>
        <v>46.165760122451999</v>
      </c>
      <c r="BP713" s="454">
        <f>BK713*(1+BP715)</f>
        <v>10.77586662796875</v>
      </c>
      <c r="BQ713" s="454">
        <f>BL713*(1+BQ715)</f>
        <v>10.912183130099997</v>
      </c>
      <c r="BR713" s="454">
        <f>BM713*(1+BR715)</f>
        <v>11.464570455510149</v>
      </c>
      <c r="BS713" s="1666">
        <f>BN713*(1+BS715)</f>
        <v>10.704851902750498</v>
      </c>
      <c r="BT713" s="3070">
        <f>SUM(BP713:BS713)</f>
        <v>43.857472116329397</v>
      </c>
      <c r="BU713" s="2915">
        <f>BP713*(1+BU715)</f>
        <v>11.099142626807813</v>
      </c>
      <c r="BV713" s="2915">
        <f>BQ713*(1+BV715)</f>
        <v>10.966744045750495</v>
      </c>
      <c r="BW713" s="2915">
        <f>BR713*(1+BW715)</f>
        <v>11.521893307787698</v>
      </c>
      <c r="BX713" s="2915">
        <f>BS713*(1+BX715)</f>
        <v>10.75837616226425</v>
      </c>
      <c r="BY713" s="3066">
        <f>SUM(BU713:BX713)</f>
        <v>44.346156142610255</v>
      </c>
      <c r="BZ713" s="455">
        <f t="shared" ref="BZ713:CF713" si="1600">BY713*(1+BZ715)</f>
        <v>44.124425361897202</v>
      </c>
      <c r="CA713" s="455">
        <f t="shared" si="1600"/>
        <v>44.565669615516178</v>
      </c>
      <c r="CB713" s="455">
        <f t="shared" si="1600"/>
        <v>43.228699527050694</v>
      </c>
      <c r="CC713" s="455">
        <f t="shared" si="1600"/>
        <v>41.931838541239173</v>
      </c>
      <c r="CD713" s="455">
        <f t="shared" si="1600"/>
        <v>42.351156926651562</v>
      </c>
      <c r="CE713" s="455">
        <f t="shared" si="1600"/>
        <v>42.774668495918078</v>
      </c>
      <c r="CF713" s="455">
        <f t="shared" si="1600"/>
        <v>43.20241518087726</v>
      </c>
      <c r="CG713" s="331"/>
      <c r="CH713" s="331"/>
      <c r="CI713" s="331"/>
      <c r="CJ713" s="331"/>
      <c r="CK713" s="331"/>
      <c r="CL713" s="528" t="str">
        <f>A713</f>
        <v>Operating expenses</v>
      </c>
      <c r="CM713" s="454">
        <f>G713</f>
        <v>91.63300000000001</v>
      </c>
      <c r="CN713" s="454">
        <f>L713</f>
        <v>79.528999999999996</v>
      </c>
      <c r="CO713" s="454">
        <f>Q713</f>
        <v>79.460999999999999</v>
      </c>
      <c r="CP713" s="454">
        <f>V713</f>
        <v>76.709999999999994</v>
      </c>
      <c r="CQ713" s="454">
        <f>AA713</f>
        <v>67.150000000000006</v>
      </c>
      <c r="CR713" s="454">
        <f>AF713</f>
        <v>71.631</v>
      </c>
      <c r="CS713" s="454">
        <f>AK713</f>
        <v>62.181999999999995</v>
      </c>
      <c r="CT713" s="454">
        <f>AP713</f>
        <v>53.1419</v>
      </c>
      <c r="CU713" s="454">
        <f>AU713</f>
        <v>56.270673000000002</v>
      </c>
      <c r="CV713" s="454">
        <f>AZ713</f>
        <v>54.590104769999996</v>
      </c>
      <c r="CW713" s="454">
        <f>BE713</f>
        <v>48.438506593</v>
      </c>
      <c r="CX713" s="454">
        <f>BJ713</f>
        <v>45.706916575849995</v>
      </c>
      <c r="CY713" s="454">
        <f>BO713</f>
        <v>46.165760122451999</v>
      </c>
      <c r="CZ713" s="454">
        <f>BT713</f>
        <v>43.857472116329397</v>
      </c>
      <c r="DA713" s="454">
        <f t="shared" ref="DA713:DC715" si="1601">BY713</f>
        <v>44.346156142610255</v>
      </c>
      <c r="DB713" s="454">
        <f t="shared" si="1601"/>
        <v>44.124425361897202</v>
      </c>
      <c r="DC713" s="1666">
        <f t="shared" si="1601"/>
        <v>44.565669615516178</v>
      </c>
      <c r="DD713" s="331"/>
      <c r="DE713" s="331"/>
      <c r="DF713" s="502"/>
      <c r="DG713" s="503"/>
      <c r="DH713" s="2915"/>
      <c r="DI713" s="3213"/>
      <c r="DJ713" s="502"/>
      <c r="DK713" s="503"/>
      <c r="DL713" s="502"/>
      <c r="DM713" s="502"/>
      <c r="DN713" s="502"/>
      <c r="DO713" s="502"/>
      <c r="DP713" s="503"/>
      <c r="DQ713" s="503"/>
      <c r="DR713" s="296"/>
      <c r="DS713" s="296"/>
      <c r="DT713" s="296"/>
    </row>
    <row r="714" spans="1:124" ht="12" customHeight="1" x14ac:dyDescent="0.25">
      <c r="A714" s="465" t="s">
        <v>646</v>
      </c>
      <c r="B714" s="466"/>
      <c r="C714" s="467">
        <f t="shared" ref="C714:AF714" si="1602">C713/C710</f>
        <v>0.77269489769489763</v>
      </c>
      <c r="D714" s="467">
        <f t="shared" si="1602"/>
        <v>0.77321279089234896</v>
      </c>
      <c r="E714" s="467">
        <f t="shared" si="1602"/>
        <v>0.77021051936910179</v>
      </c>
      <c r="F714" s="467">
        <f t="shared" si="1602"/>
        <v>0.80653332829218494</v>
      </c>
      <c r="G714" s="468">
        <f t="shared" si="1602"/>
        <v>0.7798022262314056</v>
      </c>
      <c r="H714" s="467">
        <f t="shared" si="1602"/>
        <v>0.7638300309242928</v>
      </c>
      <c r="I714" s="467">
        <f t="shared" si="1602"/>
        <v>0.73778532352386339</v>
      </c>
      <c r="J714" s="467">
        <f t="shared" si="1602"/>
        <v>0.72645689815676784</v>
      </c>
      <c r="K714" s="467">
        <f t="shared" si="1602"/>
        <v>0.73376134284996941</v>
      </c>
      <c r="L714" s="468">
        <f t="shared" si="1602"/>
        <v>0.74025913584153991</v>
      </c>
      <c r="M714" s="467">
        <f t="shared" si="1602"/>
        <v>0.71852693632586373</v>
      </c>
      <c r="N714" s="467">
        <f t="shared" si="1602"/>
        <v>0.74073385627718502</v>
      </c>
      <c r="O714" s="467">
        <f t="shared" si="1602"/>
        <v>0.7564694156299604</v>
      </c>
      <c r="P714" s="467">
        <f t="shared" si="1602"/>
        <v>0.77712137486573574</v>
      </c>
      <c r="Q714" s="468">
        <f t="shared" si="1602"/>
        <v>0.74714394516374716</v>
      </c>
      <c r="R714" s="467">
        <f t="shared" si="1602"/>
        <v>0.74402165739208903</v>
      </c>
      <c r="S714" s="467">
        <f t="shared" si="1602"/>
        <v>0.76428436018957346</v>
      </c>
      <c r="T714" s="467">
        <f t="shared" si="1602"/>
        <v>0.71391205458680818</v>
      </c>
      <c r="U714" s="467">
        <f t="shared" si="1602"/>
        <v>0.73166850287672913</v>
      </c>
      <c r="V714" s="468">
        <f t="shared" si="1602"/>
        <v>0.73860463324924408</v>
      </c>
      <c r="W714" s="467">
        <f t="shared" si="1602"/>
        <v>0.7413484243954076</v>
      </c>
      <c r="X714" s="467">
        <f t="shared" si="1602"/>
        <v>0.75114206884074364</v>
      </c>
      <c r="Y714" s="467">
        <f t="shared" si="1602"/>
        <v>0.753557683701781</v>
      </c>
      <c r="Z714" s="467">
        <f t="shared" si="1602"/>
        <v>0.79367925011524876</v>
      </c>
      <c r="AA714" s="468">
        <f t="shared" si="1602"/>
        <v>0.75841427603343126</v>
      </c>
      <c r="AB714" s="467">
        <f t="shared" si="1602"/>
        <v>0.73531339614911917</v>
      </c>
      <c r="AC714" s="467">
        <f t="shared" si="1602"/>
        <v>0.75922567584665346</v>
      </c>
      <c r="AD714" s="467">
        <f t="shared" si="1602"/>
        <v>0.75634347168543092</v>
      </c>
      <c r="AE714" s="469">
        <f t="shared" si="1602"/>
        <v>0.84287826045491399</v>
      </c>
      <c r="AF714" s="470">
        <f t="shared" si="1602"/>
        <v>0.77108809851877369</v>
      </c>
      <c r="AG714" s="467">
        <f t="shared" ref="AG714:AU714" si="1603">AG713/AG710</f>
        <v>0.70333601645648869</v>
      </c>
      <c r="AH714" s="467">
        <f t="shared" si="1603"/>
        <v>0.73608322686621652</v>
      </c>
      <c r="AI714" s="467">
        <f t="shared" si="1603"/>
        <v>0.74775826639267695</v>
      </c>
      <c r="AJ714" s="469">
        <f t="shared" si="1603"/>
        <v>0.75860058309037892</v>
      </c>
      <c r="AK714" s="470">
        <f t="shared" si="1603"/>
        <v>0.73540299213529658</v>
      </c>
      <c r="AL714" s="467">
        <f t="shared" si="1603"/>
        <v>0.70343316289262237</v>
      </c>
      <c r="AM714" s="467">
        <f t="shared" si="1603"/>
        <v>0.73105671991792465</v>
      </c>
      <c r="AN714" s="467">
        <f t="shared" si="1603"/>
        <v>0.74775826639267695</v>
      </c>
      <c r="AO714" s="469">
        <f t="shared" si="1603"/>
        <v>0.84288953676708767</v>
      </c>
      <c r="AP714" s="471">
        <f t="shared" si="1603"/>
        <v>0.75453178532535004</v>
      </c>
      <c r="AQ714" s="471">
        <f t="shared" si="1603"/>
        <v>0.70343316289262237</v>
      </c>
      <c r="AR714" s="469">
        <f t="shared" si="1603"/>
        <v>0.78729185221930342</v>
      </c>
      <c r="AS714" s="469">
        <f t="shared" si="1603"/>
        <v>0.80591724266766296</v>
      </c>
      <c r="AT714" s="469">
        <f t="shared" si="1603"/>
        <v>0.90844761184897216</v>
      </c>
      <c r="AU714" s="1689">
        <f t="shared" si="1603"/>
        <v>0.79367181590419189</v>
      </c>
      <c r="AV714" s="1730">
        <f t="shared" ref="AV714:BJ714" si="1604">AV713/AV710</f>
        <v>0.74125215014491397</v>
      </c>
      <c r="AW714" s="1465">
        <f t="shared" si="1604"/>
        <v>0.8211538673685207</v>
      </c>
      <c r="AX714" s="1465">
        <f t="shared" si="1604"/>
        <v>0.85791190348493163</v>
      </c>
      <c r="AY714" s="1868">
        <f t="shared" si="1604"/>
        <v>0.89888500540845662</v>
      </c>
      <c r="AZ714" s="1689">
        <f t="shared" si="1604"/>
        <v>0.82410307237067426</v>
      </c>
      <c r="BA714" s="471">
        <f t="shared" si="1604"/>
        <v>0.69741465739440833</v>
      </c>
      <c r="BB714" s="469">
        <f t="shared" si="1604"/>
        <v>0.77259100424457594</v>
      </c>
      <c r="BC714" s="469">
        <f t="shared" si="1604"/>
        <v>0.80429240951712344</v>
      </c>
      <c r="BD714" s="1463">
        <f t="shared" si="1604"/>
        <v>0.84270469257042813</v>
      </c>
      <c r="BE714" s="1868">
        <f t="shared" si="1604"/>
        <v>0.77471488969493174</v>
      </c>
      <c r="BF714" s="469">
        <f t="shared" si="1604"/>
        <v>0.65827403886717117</v>
      </c>
      <c r="BG714" s="469">
        <f t="shared" si="1604"/>
        <v>0.72669450894291787</v>
      </c>
      <c r="BH714" s="469">
        <f t="shared" si="1604"/>
        <v>0.75651266241709614</v>
      </c>
      <c r="BI714" s="1463">
        <f t="shared" si="1604"/>
        <v>0.82532933808443987</v>
      </c>
      <c r="BJ714" s="1868">
        <f t="shared" si="1604"/>
        <v>0.736504093967145</v>
      </c>
      <c r="BK714" s="469">
        <f t="shared" ref="BK714:BU714" si="1605">BK713/BK710</f>
        <v>0.67184669946237052</v>
      </c>
      <c r="BL714" s="469">
        <f t="shared" si="1605"/>
        <v>0.73388950408096654</v>
      </c>
      <c r="BM714" s="469">
        <f t="shared" si="1605"/>
        <v>0.76400288679746342</v>
      </c>
      <c r="BN714" s="1463">
        <f t="shared" si="1605"/>
        <v>0.82532933808443987</v>
      </c>
      <c r="BO714" s="1868">
        <f t="shared" si="1605"/>
        <v>0.74480537046189033</v>
      </c>
      <c r="BP714" s="469">
        <f t="shared" si="1605"/>
        <v>0.70917151609916873</v>
      </c>
      <c r="BQ714" s="469">
        <f t="shared" si="1605"/>
        <v>0.77466114319657575</v>
      </c>
      <c r="BR714" s="469">
        <f t="shared" si="1605"/>
        <v>0.80644749161954465</v>
      </c>
      <c r="BS714" s="1463">
        <f t="shared" si="1605"/>
        <v>0.87118096797801992</v>
      </c>
      <c r="BT714" s="1463">
        <f t="shared" si="1605"/>
        <v>0.78618344659866191</v>
      </c>
      <c r="BU714" s="469">
        <f t="shared" si="1605"/>
        <v>0.7232145164179643</v>
      </c>
      <c r="BV714" s="469">
        <f t="shared" ref="BV714:CF714" si="1606">BV713/BV710</f>
        <v>0.77082618704213712</v>
      </c>
      <c r="BW714" s="469">
        <f t="shared" si="1606"/>
        <v>0.80245517730459637</v>
      </c>
      <c r="BX714" s="469">
        <f t="shared" si="1606"/>
        <v>0.86686819090882172</v>
      </c>
      <c r="BY714" s="470">
        <f t="shared" si="1606"/>
        <v>0.7870728060114448</v>
      </c>
      <c r="BZ714" s="470">
        <f t="shared" si="1606"/>
        <v>0.78313744198138757</v>
      </c>
      <c r="CA714" s="470">
        <f t="shared" si="1606"/>
        <v>0.79096881640120154</v>
      </c>
      <c r="CB714" s="470">
        <f t="shared" si="1606"/>
        <v>0.80762079148333221</v>
      </c>
      <c r="CC714" s="470">
        <f t="shared" si="1606"/>
        <v>0.82462333446192859</v>
      </c>
      <c r="CD714" s="470">
        <f t="shared" si="1606"/>
        <v>0.8165387919672038</v>
      </c>
      <c r="CE714" s="470">
        <f t="shared" si="1606"/>
        <v>0.80853350969301552</v>
      </c>
      <c r="CF714" s="470">
        <f t="shared" si="1606"/>
        <v>0.80060671057837807</v>
      </c>
      <c r="CG714" s="492"/>
      <c r="CH714" s="492"/>
      <c r="CI714" s="492"/>
      <c r="CJ714" s="492"/>
      <c r="CK714" s="492"/>
      <c r="CL714" s="1310" t="str">
        <f>A714</f>
        <v>% of Net revenue</v>
      </c>
      <c r="CM714" s="469">
        <f>G714</f>
        <v>0.7798022262314056</v>
      </c>
      <c r="CN714" s="469">
        <f>L714</f>
        <v>0.74025913584153991</v>
      </c>
      <c r="CO714" s="469">
        <f>Q714</f>
        <v>0.74714394516374716</v>
      </c>
      <c r="CP714" s="469">
        <f>V714</f>
        <v>0.73860463324924408</v>
      </c>
      <c r="CQ714" s="469">
        <f>AA714</f>
        <v>0.75841427603343126</v>
      </c>
      <c r="CR714" s="469">
        <f>AF714</f>
        <v>0.77108809851877369</v>
      </c>
      <c r="CS714" s="469">
        <f>AK714</f>
        <v>0.73540299213529658</v>
      </c>
      <c r="CT714" s="469">
        <f>AP714</f>
        <v>0.75453178532535004</v>
      </c>
      <c r="CU714" s="469">
        <f>AU714</f>
        <v>0.79367181590419189</v>
      </c>
      <c r="CV714" s="469">
        <f>AZ714</f>
        <v>0.82410307237067426</v>
      </c>
      <c r="CW714" s="469">
        <f>BE714</f>
        <v>0.77471488969493174</v>
      </c>
      <c r="CX714" s="469">
        <f>BJ714</f>
        <v>0.736504093967145</v>
      </c>
      <c r="CY714" s="469">
        <f>BO714</f>
        <v>0.74480537046189033</v>
      </c>
      <c r="CZ714" s="469">
        <f>BT714</f>
        <v>0.78618344659866191</v>
      </c>
      <c r="DA714" s="469">
        <f t="shared" si="1601"/>
        <v>0.7870728060114448</v>
      </c>
      <c r="DB714" s="469">
        <f t="shared" si="1601"/>
        <v>0.78313744198138757</v>
      </c>
      <c r="DC714" s="1463">
        <f t="shared" si="1601"/>
        <v>0.79096881640120154</v>
      </c>
      <c r="DD714" s="492"/>
      <c r="DE714" s="492"/>
      <c r="DF714" s="962"/>
      <c r="DG714" s="962"/>
      <c r="DH714" s="469"/>
      <c r="DI714" s="3213"/>
      <c r="DJ714" s="962"/>
      <c r="DK714" s="962"/>
      <c r="DL714" s="962"/>
      <c r="DM714" s="962"/>
      <c r="DN714" s="962"/>
      <c r="DO714" s="962"/>
      <c r="DP714" s="962"/>
      <c r="DQ714" s="962"/>
      <c r="DR714" s="963"/>
      <c r="DS714" s="963"/>
      <c r="DT714" s="963"/>
    </row>
    <row r="715" spans="1:124" ht="12" customHeight="1" x14ac:dyDescent="0.25">
      <c r="A715" s="465" t="s">
        <v>1491</v>
      </c>
      <c r="B715" s="466"/>
      <c r="C715" s="467" t="s">
        <v>553</v>
      </c>
      <c r="D715" s="467" t="s">
        <v>553</v>
      </c>
      <c r="E715" s="467" t="s">
        <v>553</v>
      </c>
      <c r="F715" s="467" t="s">
        <v>553</v>
      </c>
      <c r="G715" s="468" t="s">
        <v>553</v>
      </c>
      <c r="H715" s="467">
        <f t="shared" ref="H715:AF715" si="1607">(H713-C713)/C713</f>
        <v>-0.1617295847823354</v>
      </c>
      <c r="I715" s="467">
        <f t="shared" si="1607"/>
        <v>-0.15316992897973319</v>
      </c>
      <c r="J715" s="467">
        <f t="shared" si="1607"/>
        <v>-0.16421043612372541</v>
      </c>
      <c r="K715" s="467">
        <f t="shared" si="1607"/>
        <v>-4.0971310706919291E-2</v>
      </c>
      <c r="L715" s="468">
        <f t="shared" si="1607"/>
        <v>-0.13209215020789467</v>
      </c>
      <c r="M715" s="467">
        <f t="shared" si="1607"/>
        <v>1.1296046383765457E-2</v>
      </c>
      <c r="N715" s="467">
        <f t="shared" si="1607"/>
        <v>1.8920992073638506E-2</v>
      </c>
      <c r="O715" s="467">
        <f t="shared" si="1607"/>
        <v>5.0387000871392536E-2</v>
      </c>
      <c r="P715" s="467">
        <f t="shared" si="1607"/>
        <v>-8.0506403362987519E-2</v>
      </c>
      <c r="Q715" s="468">
        <f t="shared" si="1607"/>
        <v>-8.5503401275003894E-4</v>
      </c>
      <c r="R715" s="467">
        <f t="shared" si="1607"/>
        <v>-2.1993772549794732E-2</v>
      </c>
      <c r="S715" s="467">
        <f t="shared" si="1607"/>
        <v>1.1693851944793001E-2</v>
      </c>
      <c r="T715" s="467">
        <f t="shared" si="1607"/>
        <v>-8.0958422799141089E-2</v>
      </c>
      <c r="U715" s="467">
        <f t="shared" si="1607"/>
        <v>-4.6781138695444105E-2</v>
      </c>
      <c r="V715" s="468">
        <f t="shared" si="1607"/>
        <v>-3.4620757352663629E-2</v>
      </c>
      <c r="W715" s="467">
        <f t="shared" si="1607"/>
        <v>-7.9795835860117098E-2</v>
      </c>
      <c r="X715" s="467">
        <f t="shared" si="1607"/>
        <v>-0.17615834904256367</v>
      </c>
      <c r="Y715" s="467">
        <f t="shared" si="1607"/>
        <v>-0.10587798014124143</v>
      </c>
      <c r="Z715" s="467">
        <f t="shared" si="1607"/>
        <v>-0.135854107411745</v>
      </c>
      <c r="AA715" s="468">
        <f t="shared" si="1607"/>
        <v>-0.12462521183678776</v>
      </c>
      <c r="AB715" s="467">
        <f t="shared" si="1607"/>
        <v>-1.4278653413147623E-2</v>
      </c>
      <c r="AC715" s="467">
        <f t="shared" si="1607"/>
        <v>8.4000722586860713E-2</v>
      </c>
      <c r="AD715" s="467">
        <f t="shared" si="1607"/>
        <v>6.9184630916325152E-2</v>
      </c>
      <c r="AE715" s="469">
        <f t="shared" si="1607"/>
        <v>0.14075508228460798</v>
      </c>
      <c r="AF715" s="470">
        <f t="shared" si="1607"/>
        <v>6.6731198808637288E-2</v>
      </c>
      <c r="AG715" s="467">
        <f t="shared" ref="AG715:AM715" si="1608">(AG713-AB713)/AB713</f>
        <v>-0.12373948409382141</v>
      </c>
      <c r="AH715" s="467">
        <f t="shared" si="1608"/>
        <v>-0.1038773469614486</v>
      </c>
      <c r="AI715" s="467">
        <f t="shared" si="1608"/>
        <v>-0.11069762275049982</v>
      </c>
      <c r="AJ715" s="467">
        <f t="shared" si="1608"/>
        <v>-0.19037112468884382</v>
      </c>
      <c r="AK715" s="470">
        <f t="shared" si="1608"/>
        <v>-0.13191216093590771</v>
      </c>
      <c r="AL715" s="467">
        <f t="shared" si="1608"/>
        <v>-8.1574262461851343E-2</v>
      </c>
      <c r="AM715" s="467">
        <f t="shared" si="1608"/>
        <v>-0.38160178527151006</v>
      </c>
      <c r="AN715" s="538">
        <v>-0.1</v>
      </c>
      <c r="AO715" s="540">
        <v>0</v>
      </c>
      <c r="AP715" s="471">
        <f>(AP713-AK713)/AK713</f>
        <v>-0.14538130005467814</v>
      </c>
      <c r="AQ715" s="1667">
        <v>0</v>
      </c>
      <c r="AR715" s="540">
        <v>0.4</v>
      </c>
      <c r="AS715" s="540">
        <v>-0.03</v>
      </c>
      <c r="AT715" s="540">
        <v>-0.03</v>
      </c>
      <c r="AU715" s="1689">
        <f>(AU713-AP713)/AP713</f>
        <v>5.8875821150542275E-2</v>
      </c>
      <c r="AV715" s="1667">
        <v>-0.02</v>
      </c>
      <c r="AW715" s="540">
        <v>-0.03</v>
      </c>
      <c r="AX715" s="540">
        <v>-0.01</v>
      </c>
      <c r="AY715" s="1668">
        <v>-0.06</v>
      </c>
      <c r="AZ715" s="1689">
        <f>(AZ713-AU713)/AU713</f>
        <v>-2.9865792257363008E-2</v>
      </c>
      <c r="BA715" s="1667">
        <v>-0.125</v>
      </c>
      <c r="BB715" s="540">
        <v>-0.125</v>
      </c>
      <c r="BC715" s="540">
        <v>-0.1</v>
      </c>
      <c r="BD715" s="1668">
        <v>-0.1</v>
      </c>
      <c r="BE715" s="1868">
        <f>(BE713-AZ713)/AZ713</f>
        <v>-0.11268705570209143</v>
      </c>
      <c r="BF715" s="540">
        <v>-7.4999999999999997E-2</v>
      </c>
      <c r="BG715" s="540">
        <v>-0.05</v>
      </c>
      <c r="BH715" s="540">
        <v>-0.05</v>
      </c>
      <c r="BI715" s="540">
        <v>-0.05</v>
      </c>
      <c r="BJ715" s="1689">
        <f>(BJ713-BE713)/BE713</f>
        <v>-5.6392944565816887E-2</v>
      </c>
      <c r="BK715" s="540">
        <v>-0.01</v>
      </c>
      <c r="BL715" s="540">
        <v>0.02</v>
      </c>
      <c r="BM715" s="540">
        <v>0.02</v>
      </c>
      <c r="BN715" s="1668">
        <v>0.01</v>
      </c>
      <c r="BO715" s="1689">
        <f>(BO713-BJ713)/BJ713</f>
        <v>1.0038820838867131E-2</v>
      </c>
      <c r="BP715" s="540">
        <v>-0.05</v>
      </c>
      <c r="BQ715" s="540">
        <v>-0.05</v>
      </c>
      <c r="BR715" s="540">
        <v>-0.05</v>
      </c>
      <c r="BS715" s="1668">
        <v>-0.05</v>
      </c>
      <c r="BT715" s="1463">
        <f>(BT713-BO713)/BO713</f>
        <v>-5.0000000000000044E-2</v>
      </c>
      <c r="BU715" s="540">
        <v>0.03</v>
      </c>
      <c r="BV715" s="540">
        <v>5.0000000000000001E-3</v>
      </c>
      <c r="BW715" s="540">
        <v>5.0000000000000001E-3</v>
      </c>
      <c r="BX715" s="540">
        <v>5.0000000000000001E-3</v>
      </c>
      <c r="BY715" s="470">
        <f>(BY713-BT713)/BT713</f>
        <v>1.1142548867947783E-2</v>
      </c>
      <c r="BZ715" s="539">
        <v>-5.0000000000000001E-3</v>
      </c>
      <c r="CA715" s="2563">
        <v>0.01</v>
      </c>
      <c r="CB715" s="2563">
        <v>-0.03</v>
      </c>
      <c r="CC715" s="2563">
        <v>-0.03</v>
      </c>
      <c r="CD715" s="2563">
        <v>0.01</v>
      </c>
      <c r="CE715" s="2563">
        <v>0.01</v>
      </c>
      <c r="CF715" s="2563">
        <v>0.01</v>
      </c>
      <c r="CG715" s="492"/>
      <c r="CH715" s="492"/>
      <c r="CI715" s="492"/>
      <c r="CJ715" s="492"/>
      <c r="CK715" s="492"/>
      <c r="CL715" s="1310" t="str">
        <f>A715</f>
        <v>% growth (y-o-y)</v>
      </c>
      <c r="CM715" s="469" t="str">
        <f>G715</f>
        <v xml:space="preserve">n/a </v>
      </c>
      <c r="CN715" s="469">
        <f>L715</f>
        <v>-0.13209215020789467</v>
      </c>
      <c r="CO715" s="469">
        <f>Q715</f>
        <v>-8.5503401275003894E-4</v>
      </c>
      <c r="CP715" s="469">
        <f>V715</f>
        <v>-3.4620757352663629E-2</v>
      </c>
      <c r="CQ715" s="469">
        <f>AA715</f>
        <v>-0.12462521183678776</v>
      </c>
      <c r="CR715" s="469">
        <f>AF715</f>
        <v>6.6731198808637288E-2</v>
      </c>
      <c r="CS715" s="469">
        <f>AK715</f>
        <v>-0.13191216093590771</v>
      </c>
      <c r="CT715" s="469">
        <f>AP715</f>
        <v>-0.14538130005467814</v>
      </c>
      <c r="CU715" s="469">
        <f>AU715</f>
        <v>5.8875821150542275E-2</v>
      </c>
      <c r="CV715" s="469">
        <f>AZ715</f>
        <v>-2.9865792257363008E-2</v>
      </c>
      <c r="CW715" s="469">
        <f>BE715</f>
        <v>-0.11268705570209143</v>
      </c>
      <c r="CX715" s="469">
        <f>BJ715</f>
        <v>-5.6392944565816887E-2</v>
      </c>
      <c r="CY715" s="469">
        <f>BO715</f>
        <v>1.0038820838867131E-2</v>
      </c>
      <c r="CZ715" s="469">
        <f>BT715</f>
        <v>-5.0000000000000044E-2</v>
      </c>
      <c r="DA715" s="469">
        <f t="shared" si="1601"/>
        <v>1.1142548867947783E-2</v>
      </c>
      <c r="DB715" s="469">
        <f t="shared" si="1601"/>
        <v>-5.0000000000000001E-3</v>
      </c>
      <c r="DC715" s="1463">
        <f t="shared" si="1601"/>
        <v>0.01</v>
      </c>
      <c r="DD715" s="492"/>
      <c r="DE715" s="492"/>
      <c r="DF715" s="962"/>
      <c r="DG715" s="962"/>
      <c r="DH715" s="469"/>
      <c r="DI715" s="3213"/>
      <c r="DJ715" s="962"/>
      <c r="DK715" s="962"/>
      <c r="DL715" s="962"/>
      <c r="DM715" s="962"/>
      <c r="DN715" s="962"/>
      <c r="DO715" s="962"/>
      <c r="DP715" s="962"/>
      <c r="DQ715" s="962"/>
      <c r="DR715" s="963"/>
      <c r="DS715" s="963"/>
      <c r="DT715" s="963"/>
    </row>
    <row r="716" spans="1:124" ht="5.0999999999999996" customHeight="1" x14ac:dyDescent="0.25">
      <c r="A716" s="281"/>
      <c r="B716" s="281"/>
      <c r="C716" s="305"/>
      <c r="D716" s="305"/>
      <c r="E716" s="305"/>
      <c r="F716" s="305"/>
      <c r="G716" s="440"/>
      <c r="H716" s="305"/>
      <c r="I716" s="305"/>
      <c r="J716" s="305"/>
      <c r="K716" s="305"/>
      <c r="L716" s="440"/>
      <c r="M716" s="305"/>
      <c r="N716" s="305"/>
      <c r="O716" s="305"/>
      <c r="P716" s="305"/>
      <c r="Q716" s="440"/>
      <c r="R716" s="305"/>
      <c r="S716" s="305"/>
      <c r="T716" s="305"/>
      <c r="U716" s="305"/>
      <c r="V716" s="440"/>
      <c r="W716" s="305"/>
      <c r="X716" s="305"/>
      <c r="Y716" s="305"/>
      <c r="Z716" s="305"/>
      <c r="AA716" s="440"/>
      <c r="AB716" s="305"/>
      <c r="AC716" s="305"/>
      <c r="AD716" s="305"/>
      <c r="AE716" s="331"/>
      <c r="AF716" s="441"/>
      <c r="AG716" s="305"/>
      <c r="AH716" s="305"/>
      <c r="AI716" s="305"/>
      <c r="AJ716" s="331"/>
      <c r="AK716" s="441"/>
      <c r="AL716" s="305"/>
      <c r="AM716" s="305"/>
      <c r="AN716" s="305"/>
      <c r="AO716" s="331"/>
      <c r="AP716" s="569"/>
      <c r="AQ716" s="569"/>
      <c r="AR716" s="442"/>
      <c r="AS716" s="442"/>
      <c r="AT716" s="442"/>
      <c r="AU716" s="1690"/>
      <c r="AV716" s="1902"/>
      <c r="AW716" s="1837"/>
      <c r="AX716" s="1837"/>
      <c r="AY716" s="1903"/>
      <c r="AZ716" s="1690"/>
      <c r="BA716" s="569"/>
      <c r="BB716" s="442"/>
      <c r="BC716" s="442"/>
      <c r="BD716" s="1312"/>
      <c r="BE716" s="1903"/>
      <c r="BF716" s="442"/>
      <c r="BG716" s="442"/>
      <c r="BH716" s="442"/>
      <c r="BI716" s="1312"/>
      <c r="BJ716" s="1903"/>
      <c r="BK716" s="442"/>
      <c r="BL716" s="442"/>
      <c r="BM716" s="442"/>
      <c r="BN716" s="1312"/>
      <c r="BO716" s="1903"/>
      <c r="BP716" s="442"/>
      <c r="BQ716" s="442"/>
      <c r="BR716" s="442"/>
      <c r="BS716" s="1312"/>
      <c r="BT716" s="3016"/>
      <c r="BU716" s="3298"/>
      <c r="BV716" s="3298"/>
      <c r="BW716" s="3298"/>
      <c r="BX716" s="3298"/>
      <c r="BY716" s="3236"/>
      <c r="BZ716" s="441"/>
      <c r="CA716" s="441"/>
      <c r="CB716" s="441"/>
      <c r="CC716" s="441"/>
      <c r="CD716" s="441"/>
      <c r="CE716" s="441"/>
      <c r="CF716" s="441"/>
      <c r="CG716" s="331"/>
      <c r="CH716" s="331"/>
      <c r="CI716" s="331"/>
      <c r="CJ716" s="331"/>
      <c r="CK716" s="331"/>
      <c r="CL716" s="520"/>
      <c r="CM716" s="442"/>
      <c r="CN716" s="442"/>
      <c r="CO716" s="442"/>
      <c r="CP716" s="442"/>
      <c r="CQ716" s="442"/>
      <c r="CR716" s="442"/>
      <c r="CS716" s="442"/>
      <c r="CT716" s="442"/>
      <c r="CU716" s="442"/>
      <c r="CV716" s="442"/>
      <c r="CW716" s="442"/>
      <c r="CX716" s="442"/>
      <c r="CY716" s="442"/>
      <c r="CZ716" s="442"/>
      <c r="DA716" s="442"/>
      <c r="DB716" s="442"/>
      <c r="DC716" s="1312"/>
      <c r="DD716" s="331"/>
      <c r="DE716" s="331"/>
      <c r="DF716" s="502"/>
      <c r="DG716" s="503"/>
      <c r="DH716" s="3298"/>
      <c r="DI716" s="3213"/>
      <c r="DJ716" s="502"/>
      <c r="DK716" s="503"/>
      <c r="DL716" s="502"/>
      <c r="DM716" s="502"/>
      <c r="DN716" s="502"/>
      <c r="DO716" s="502"/>
      <c r="DP716" s="503"/>
      <c r="DQ716" s="503"/>
      <c r="DR716" s="296"/>
      <c r="DS716" s="296"/>
      <c r="DT716" s="296"/>
    </row>
    <row r="717" spans="1:124" ht="12" customHeight="1" x14ac:dyDescent="0.25">
      <c r="A717" s="999" t="s">
        <v>2010</v>
      </c>
      <c r="B717" s="1007"/>
      <c r="C717" s="1001">
        <v>7.0209999999999999</v>
      </c>
      <c r="D717" s="1001">
        <v>6.7729999999999997</v>
      </c>
      <c r="E717" s="1001">
        <v>6.9640000000000004</v>
      </c>
      <c r="F717" s="1001">
        <v>5.117</v>
      </c>
      <c r="G717" s="1002">
        <f>SUM(C717:F717)</f>
        <v>25.875000000000004</v>
      </c>
      <c r="H717" s="1001">
        <v>6.1859999999999999</v>
      </c>
      <c r="I717" s="1001">
        <v>6.95</v>
      </c>
      <c r="J717" s="1001">
        <v>7.3460000000000001</v>
      </c>
      <c r="K717" s="1001">
        <v>7.423</v>
      </c>
      <c r="L717" s="1002">
        <f>SUM(H717:K717)</f>
        <v>27.905000000000001</v>
      </c>
      <c r="M717" s="1001">
        <v>7.9260000000000002</v>
      </c>
      <c r="N717" s="1001">
        <v>6.9740000000000002</v>
      </c>
      <c r="O717" s="1001">
        <v>6.5970000000000004</v>
      </c>
      <c r="P717" s="1001">
        <v>5.3949999999999996</v>
      </c>
      <c r="Q717" s="1002">
        <f>SUM(M717:P717)</f>
        <v>26.891999999999999</v>
      </c>
      <c r="R717" s="1001">
        <v>6.8079999999999998</v>
      </c>
      <c r="S717" s="1001">
        <v>6.2169999999999996</v>
      </c>
      <c r="T717" s="1001">
        <v>7.5469999999999997</v>
      </c>
      <c r="U717" s="1001">
        <v>6.5759999999999996</v>
      </c>
      <c r="V717" s="1002">
        <f>SUM(R717:U717)</f>
        <v>27.148</v>
      </c>
      <c r="W717" s="1001">
        <v>6.3529999999999998</v>
      </c>
      <c r="X717" s="1001">
        <v>5.5019999999999998</v>
      </c>
      <c r="Y717" s="1001">
        <v>5.5069999999999997</v>
      </c>
      <c r="Z717" s="1001">
        <v>4.0279999999999996</v>
      </c>
      <c r="AA717" s="1002">
        <f>SUM(W717:Z717)</f>
        <v>21.39</v>
      </c>
      <c r="AB717" s="1003">
        <v>6.4610000000000003</v>
      </c>
      <c r="AC717" s="1003">
        <v>5.7089999999999996</v>
      </c>
      <c r="AD717" s="1003">
        <v>5.8</v>
      </c>
      <c r="AE717" s="1003">
        <v>3.2949999999999999</v>
      </c>
      <c r="AF717" s="1004">
        <f>SUM(AB717:AE717)</f>
        <v>21.265000000000001</v>
      </c>
      <c r="AG717" s="1003">
        <v>6.6340000000000003</v>
      </c>
      <c r="AH717" s="1003">
        <v>5.7839999999999998</v>
      </c>
      <c r="AI717" s="1003">
        <v>5.4009999999999998</v>
      </c>
      <c r="AJ717" s="1003">
        <v>4.5540000000000003</v>
      </c>
      <c r="AK717" s="1004">
        <f>SUM(AG717:AJ717)</f>
        <v>22.372999999999998</v>
      </c>
      <c r="AL717" s="1003">
        <v>6.09</v>
      </c>
      <c r="AM717" s="1001">
        <v>3.67</v>
      </c>
      <c r="AN717" s="1592">
        <f>AN710-AN713</f>
        <v>4.8609000000000009</v>
      </c>
      <c r="AO717" s="1015">
        <f>AO710-AO713</f>
        <v>2.6675000000000022</v>
      </c>
      <c r="AP717" s="1006">
        <f>SUM(AL717:AO717)</f>
        <v>17.288400000000003</v>
      </c>
      <c r="AQ717" s="1006">
        <f>AQ710-AQ713</f>
        <v>6.09</v>
      </c>
      <c r="AR717" s="1015">
        <f>AR710-AR713</f>
        <v>3.7734000000000023</v>
      </c>
      <c r="AS717" s="1015">
        <f>AS710-AS713</f>
        <v>3.3661170000000009</v>
      </c>
      <c r="AT717" s="1015">
        <f>AT710-AT713</f>
        <v>1.3989800000000034</v>
      </c>
      <c r="AU717" s="1698">
        <f>SUM(AQ717:AT717)</f>
        <v>14.628497000000007</v>
      </c>
      <c r="AV717" s="1915">
        <f>AV710-AV713</f>
        <v>4.9414499999999979</v>
      </c>
      <c r="AW717" s="1843">
        <f>AW710-AW713</f>
        <v>2.9506060000000023</v>
      </c>
      <c r="AX717" s="1843">
        <f>AX710-AX713</f>
        <v>2.29183263</v>
      </c>
      <c r="AY717" s="1910">
        <f>AY710-AY713</f>
        <v>1.4678477000000036</v>
      </c>
      <c r="AZ717" s="1698">
        <f>SUM(AV717:AY717)</f>
        <v>11.651736330000004</v>
      </c>
      <c r="BA717" s="1006">
        <f>BA710-BA713</f>
        <v>5.374133999999998</v>
      </c>
      <c r="BB717" s="1015">
        <f>BB710-BB713</f>
        <v>3.4891710200000023</v>
      </c>
      <c r="BC717" s="1015">
        <f>BC710-BC713</f>
        <v>3.0304289429999987</v>
      </c>
      <c r="BD717" s="1871">
        <f>BD710-BD713</f>
        <v>2.1920599800000033</v>
      </c>
      <c r="BE717" s="1910">
        <f>SUM(BA717:BD717)</f>
        <v>14.085793943000002</v>
      </c>
      <c r="BF717" s="1015">
        <f>BF710-BF713</f>
        <v>5.947913632499997</v>
      </c>
      <c r="BG717" s="1015">
        <f>BG710-BG713</f>
        <v>4.2353016502000038</v>
      </c>
      <c r="BH717" s="1015">
        <f>BH710-BH713</f>
        <v>3.8079758888100006</v>
      </c>
      <c r="BI717" s="1871">
        <f>BI710-BI713</f>
        <v>2.3611760370000034</v>
      </c>
      <c r="BJ717" s="1910">
        <f>SUM(BF717:BI717)</f>
        <v>16.352367208510003</v>
      </c>
      <c r="BK717" s="1015">
        <f>BK710-BK713</f>
        <v>5.5403243547749987</v>
      </c>
      <c r="BL717" s="1015">
        <f>BL710-BL713</f>
        <v>4.1650418377020042</v>
      </c>
      <c r="BM717" s="1015">
        <f>BM710-BM713</f>
        <v>3.727742227104601</v>
      </c>
      <c r="BN717" s="1871">
        <f>BN710-BN713</f>
        <v>2.384787797370004</v>
      </c>
      <c r="BO717" s="1910">
        <f>SUM(BK717:BN717)</f>
        <v>15.817896216951608</v>
      </c>
      <c r="BP717" s="1015">
        <f>BP710-BP713</f>
        <v>4.4191410441412504</v>
      </c>
      <c r="BQ717" s="1015">
        <f>BQ710-BQ713</f>
        <v>3.1742122260318038</v>
      </c>
      <c r="BR717" s="1015">
        <f>BR710-BR713</f>
        <v>2.751569559367292</v>
      </c>
      <c r="BS717" s="1871">
        <f>BS710-BS713</f>
        <v>1.5828957595935034</v>
      </c>
      <c r="BT717" s="1871">
        <f>SUM(BP717:BS717)</f>
        <v>11.92781858913385</v>
      </c>
      <c r="BU717" s="1015">
        <f>BU710-BU713</f>
        <v>4.2478151220232867</v>
      </c>
      <c r="BV717" s="1015">
        <f>BV710-BV713</f>
        <v>3.260515263942624</v>
      </c>
      <c r="BW717" s="1015">
        <f>BW710-BW713</f>
        <v>2.8364081072385172</v>
      </c>
      <c r="BX717" s="1015">
        <f>BX710-BX713</f>
        <v>1.6522489767031914</v>
      </c>
      <c r="BY717" s="1004">
        <f>SUM(BU717:BX717)</f>
        <v>11.996987469907619</v>
      </c>
      <c r="BZ717" s="1004">
        <f t="shared" ref="BZ717:CF717" si="1609">BZ710-BZ713</f>
        <v>12.218718250620668</v>
      </c>
      <c r="CA717" s="1004">
        <f t="shared" si="1609"/>
        <v>11.777473997001692</v>
      </c>
      <c r="CB717" s="1004">
        <f t="shared" si="1609"/>
        <v>10.297286904841279</v>
      </c>
      <c r="CC717" s="1004">
        <f t="shared" si="1609"/>
        <v>8.9178485690582008</v>
      </c>
      <c r="CD717" s="1004">
        <f t="shared" si="1609"/>
        <v>9.5155239258517597</v>
      </c>
      <c r="CE717" s="1004">
        <f t="shared" si="1609"/>
        <v>10.12934597363531</v>
      </c>
      <c r="CF717" s="1004">
        <f t="shared" si="1609"/>
        <v>10.7596795780672</v>
      </c>
      <c r="CG717" s="502"/>
      <c r="CH717" s="502"/>
      <c r="CI717" s="502"/>
      <c r="CJ717" s="502"/>
      <c r="CK717" s="502"/>
      <c r="CL717" s="2221" t="str">
        <f>A717</f>
        <v>Property EBITDA</v>
      </c>
      <c r="CM717" s="1015">
        <f>G717</f>
        <v>25.875000000000004</v>
      </c>
      <c r="CN717" s="1015">
        <f>L717</f>
        <v>27.905000000000001</v>
      </c>
      <c r="CO717" s="1015">
        <f>Q717</f>
        <v>26.891999999999999</v>
      </c>
      <c r="CP717" s="1015">
        <f>V717</f>
        <v>27.148</v>
      </c>
      <c r="CQ717" s="1015">
        <f>AA717</f>
        <v>21.39</v>
      </c>
      <c r="CR717" s="1015">
        <f>AF717</f>
        <v>21.265000000000001</v>
      </c>
      <c r="CS717" s="1015">
        <f>AK717</f>
        <v>22.372999999999998</v>
      </c>
      <c r="CT717" s="1015">
        <f>AP717</f>
        <v>17.288400000000003</v>
      </c>
      <c r="CU717" s="1015">
        <f>AU717</f>
        <v>14.628497000000007</v>
      </c>
      <c r="CV717" s="1015">
        <f>AZ717</f>
        <v>11.651736330000004</v>
      </c>
      <c r="CW717" s="1015">
        <f>BE717</f>
        <v>14.085793943000002</v>
      </c>
      <c r="CX717" s="1015">
        <f>BJ717</f>
        <v>16.352367208510003</v>
      </c>
      <c r="CY717" s="1015">
        <f>BO717</f>
        <v>15.817896216951608</v>
      </c>
      <c r="CZ717" s="1015">
        <f>BT717</f>
        <v>11.92781858913385</v>
      </c>
      <c r="DA717" s="1015">
        <f t="shared" ref="DA717:DC721" si="1610">BY717</f>
        <v>11.996987469907619</v>
      </c>
      <c r="DB717" s="1015">
        <f t="shared" si="1610"/>
        <v>12.218718250620668</v>
      </c>
      <c r="DC717" s="1871">
        <f t="shared" si="1610"/>
        <v>11.777473997001692</v>
      </c>
      <c r="DD717" s="502"/>
      <c r="DE717" s="502"/>
      <c r="DF717" s="502"/>
      <c r="DG717" s="503"/>
      <c r="DH717" s="463"/>
      <c r="DI717" s="3213"/>
      <c r="DJ717" s="502"/>
      <c r="DK717" s="503"/>
      <c r="DL717" s="502"/>
      <c r="DM717" s="502"/>
      <c r="DN717" s="502"/>
      <c r="DO717" s="502"/>
      <c r="DP717" s="503"/>
      <c r="DQ717" s="503"/>
      <c r="DR717" s="719"/>
      <c r="DS717" s="719"/>
      <c r="DT717" s="719"/>
    </row>
    <row r="718" spans="1:124" ht="12" customHeight="1" x14ac:dyDescent="0.25">
      <c r="A718" s="465" t="s">
        <v>1892</v>
      </c>
      <c r="B718" s="466"/>
      <c r="C718" s="467">
        <f t="shared" ref="C718:AU718" si="1611">C717/C710</f>
        <v>0.22730510230510229</v>
      </c>
      <c r="D718" s="467">
        <f t="shared" si="1611"/>
        <v>0.2267872091076511</v>
      </c>
      <c r="E718" s="467">
        <f t="shared" si="1611"/>
        <v>0.22978948063089819</v>
      </c>
      <c r="F718" s="467">
        <f t="shared" si="1611"/>
        <v>0.19346667170781504</v>
      </c>
      <c r="G718" s="468">
        <f t="shared" si="1611"/>
        <v>0.22019777376859451</v>
      </c>
      <c r="H718" s="467">
        <f t="shared" si="1611"/>
        <v>0.23616996907570723</v>
      </c>
      <c r="I718" s="467">
        <f t="shared" si="1611"/>
        <v>0.26221467647613661</v>
      </c>
      <c r="J718" s="467">
        <f t="shared" si="1611"/>
        <v>0.27354310184323216</v>
      </c>
      <c r="K718" s="467">
        <f t="shared" si="1611"/>
        <v>0.26623865715003048</v>
      </c>
      <c r="L718" s="468">
        <f t="shared" si="1611"/>
        <v>0.25974086415846009</v>
      </c>
      <c r="M718" s="467">
        <f t="shared" si="1611"/>
        <v>0.28147306367413616</v>
      </c>
      <c r="N718" s="467">
        <f t="shared" si="1611"/>
        <v>0.25926614372281498</v>
      </c>
      <c r="O718" s="467">
        <f t="shared" si="1611"/>
        <v>0.24353058437003952</v>
      </c>
      <c r="P718" s="467">
        <f t="shared" si="1611"/>
        <v>0.22287862513426421</v>
      </c>
      <c r="Q718" s="468">
        <f t="shared" si="1611"/>
        <v>0.25285605483625284</v>
      </c>
      <c r="R718" s="467">
        <f t="shared" si="1611"/>
        <v>0.25597834260791097</v>
      </c>
      <c r="S718" s="467">
        <f t="shared" si="1611"/>
        <v>0.23571563981042654</v>
      </c>
      <c r="T718" s="467">
        <f t="shared" si="1611"/>
        <v>0.28608794541319182</v>
      </c>
      <c r="U718" s="467">
        <f t="shared" si="1611"/>
        <v>0.26833149712327087</v>
      </c>
      <c r="V718" s="468">
        <f t="shared" si="1611"/>
        <v>0.26139536675075581</v>
      </c>
      <c r="W718" s="467">
        <f t="shared" si="1611"/>
        <v>0.25865157560459245</v>
      </c>
      <c r="X718" s="467">
        <f t="shared" si="1611"/>
        <v>0.24885793115925639</v>
      </c>
      <c r="Y718" s="467">
        <f t="shared" si="1611"/>
        <v>0.24644231629821892</v>
      </c>
      <c r="Z718" s="467">
        <f t="shared" si="1611"/>
        <v>0.2063207498847513</v>
      </c>
      <c r="AA718" s="468">
        <f t="shared" si="1611"/>
        <v>0.24158572396656877</v>
      </c>
      <c r="AB718" s="467">
        <f t="shared" si="1611"/>
        <v>0.26468660385088078</v>
      </c>
      <c r="AC718" s="467">
        <f t="shared" si="1611"/>
        <v>0.24077432415334654</v>
      </c>
      <c r="AD718" s="467">
        <f t="shared" si="1611"/>
        <v>0.24365652831456899</v>
      </c>
      <c r="AE718" s="469">
        <f t="shared" si="1611"/>
        <v>0.15712173954508607</v>
      </c>
      <c r="AF718" s="470">
        <f t="shared" si="1611"/>
        <v>0.22891190148122631</v>
      </c>
      <c r="AG718" s="467">
        <f t="shared" si="1611"/>
        <v>0.29666398354351137</v>
      </c>
      <c r="AH718" s="467">
        <f t="shared" si="1611"/>
        <v>0.26391677313378353</v>
      </c>
      <c r="AI718" s="467">
        <f t="shared" si="1611"/>
        <v>0.25224173360732299</v>
      </c>
      <c r="AJ718" s="469">
        <f t="shared" si="1611"/>
        <v>0.24139941690962102</v>
      </c>
      <c r="AK718" s="470">
        <f t="shared" si="1611"/>
        <v>0.26459700786470342</v>
      </c>
      <c r="AL718" s="467">
        <f t="shared" si="1611"/>
        <v>0.29656683710737763</v>
      </c>
      <c r="AM718" s="467">
        <f t="shared" si="1611"/>
        <v>0.2689432800820753</v>
      </c>
      <c r="AN718" s="467">
        <f t="shared" si="1611"/>
        <v>0.25224173360732305</v>
      </c>
      <c r="AO718" s="469">
        <f t="shared" si="1611"/>
        <v>0.15711046323291233</v>
      </c>
      <c r="AP718" s="471">
        <f t="shared" si="1611"/>
        <v>0.24546821467464999</v>
      </c>
      <c r="AQ718" s="471">
        <f t="shared" si="1611"/>
        <v>0.29656683710737763</v>
      </c>
      <c r="AR718" s="469">
        <f t="shared" si="1611"/>
        <v>0.2127081477806966</v>
      </c>
      <c r="AS718" s="469">
        <f t="shared" si="1611"/>
        <v>0.19408275733233704</v>
      </c>
      <c r="AT718" s="469">
        <f t="shared" si="1611"/>
        <v>9.1552388151027828E-2</v>
      </c>
      <c r="AU718" s="1689">
        <f t="shared" si="1611"/>
        <v>0.20632818409580828</v>
      </c>
      <c r="AV718" s="1730">
        <f t="shared" ref="AV718:BJ718" si="1612">AV717/AV710</f>
        <v>0.25874784985508603</v>
      </c>
      <c r="AW718" s="1465">
        <f t="shared" si="1612"/>
        <v>0.17884613263147928</v>
      </c>
      <c r="AX718" s="1465">
        <f t="shared" si="1612"/>
        <v>0.14208809651506843</v>
      </c>
      <c r="AY718" s="1868">
        <f t="shared" si="1612"/>
        <v>0.10111499459154336</v>
      </c>
      <c r="AZ718" s="1689">
        <f t="shared" si="1612"/>
        <v>0.17589692762932591</v>
      </c>
      <c r="BA718" s="471">
        <f t="shared" si="1612"/>
        <v>0.30258534260559167</v>
      </c>
      <c r="BB718" s="469">
        <f t="shared" si="1612"/>
        <v>0.22740899575542409</v>
      </c>
      <c r="BC718" s="469">
        <f t="shared" si="1612"/>
        <v>0.19570759048287656</v>
      </c>
      <c r="BD718" s="1463">
        <f t="shared" si="1612"/>
        <v>0.1572953074295719</v>
      </c>
      <c r="BE718" s="1868">
        <f t="shared" si="1612"/>
        <v>0.22528511030506831</v>
      </c>
      <c r="BF718" s="469">
        <f t="shared" si="1612"/>
        <v>0.34172596113282883</v>
      </c>
      <c r="BG718" s="469">
        <f t="shared" si="1612"/>
        <v>0.27330549105708213</v>
      </c>
      <c r="BH718" s="469">
        <f t="shared" si="1612"/>
        <v>0.24348733758290381</v>
      </c>
      <c r="BI718" s="1463">
        <f t="shared" si="1612"/>
        <v>0.1746706619155601</v>
      </c>
      <c r="BJ718" s="1868">
        <f t="shared" si="1612"/>
        <v>0.263495906032855</v>
      </c>
      <c r="BK718" s="469">
        <f t="shared" ref="BK718:BU718" si="1613">BK717/BK710</f>
        <v>0.32815330053762953</v>
      </c>
      <c r="BL718" s="469">
        <f t="shared" si="1613"/>
        <v>0.26611049591903346</v>
      </c>
      <c r="BM718" s="469">
        <f t="shared" si="1613"/>
        <v>0.23599711320253655</v>
      </c>
      <c r="BN718" s="1463">
        <f t="shared" si="1613"/>
        <v>0.17467066191556013</v>
      </c>
      <c r="BO718" s="1868">
        <f t="shared" si="1613"/>
        <v>0.25519462953810967</v>
      </c>
      <c r="BP718" s="469">
        <f t="shared" si="1613"/>
        <v>0.29082848390083127</v>
      </c>
      <c r="BQ718" s="469">
        <f t="shared" si="1613"/>
        <v>0.22533885680342422</v>
      </c>
      <c r="BR718" s="469">
        <f t="shared" si="1613"/>
        <v>0.19355250838045532</v>
      </c>
      <c r="BS718" s="1463">
        <f t="shared" si="1613"/>
        <v>0.12881903202198014</v>
      </c>
      <c r="BT718" s="1463">
        <f t="shared" si="1613"/>
        <v>0.21381655340133804</v>
      </c>
      <c r="BU718" s="469">
        <f t="shared" si="1613"/>
        <v>0.27678548358203575</v>
      </c>
      <c r="BV718" s="469">
        <f t="shared" ref="BV718:CF718" si="1614">BV717/BV710</f>
        <v>0.22917381295786288</v>
      </c>
      <c r="BW718" s="469">
        <f t="shared" si="1614"/>
        <v>0.19754482269540366</v>
      </c>
      <c r="BX718" s="469">
        <f t="shared" si="1614"/>
        <v>0.13313180909117828</v>
      </c>
      <c r="BY718" s="470">
        <f t="shared" si="1614"/>
        <v>0.21292719398855522</v>
      </c>
      <c r="BZ718" s="470">
        <f t="shared" si="1614"/>
        <v>0.21686255801861243</v>
      </c>
      <c r="CA718" s="470">
        <f t="shared" si="1614"/>
        <v>0.20903118359879846</v>
      </c>
      <c r="CB718" s="470">
        <f t="shared" si="1614"/>
        <v>0.19237920851666784</v>
      </c>
      <c r="CC718" s="470">
        <f t="shared" si="1614"/>
        <v>0.17537666553807135</v>
      </c>
      <c r="CD718" s="470">
        <f t="shared" si="1614"/>
        <v>0.1834612080327962</v>
      </c>
      <c r="CE718" s="470">
        <f t="shared" si="1614"/>
        <v>0.19146649030698448</v>
      </c>
      <c r="CF718" s="470">
        <f t="shared" si="1614"/>
        <v>0.19939328942162191</v>
      </c>
      <c r="CG718" s="492"/>
      <c r="CH718" s="492"/>
      <c r="CI718" s="492"/>
      <c r="CJ718" s="492"/>
      <c r="CK718" s="492"/>
      <c r="CL718" s="1310" t="str">
        <f>A718</f>
        <v>Margin</v>
      </c>
      <c r="CM718" s="469">
        <f>G718</f>
        <v>0.22019777376859451</v>
      </c>
      <c r="CN718" s="469">
        <f>L718</f>
        <v>0.25974086415846009</v>
      </c>
      <c r="CO718" s="469">
        <f>Q718</f>
        <v>0.25285605483625284</v>
      </c>
      <c r="CP718" s="469">
        <f>V718</f>
        <v>0.26139536675075581</v>
      </c>
      <c r="CQ718" s="469">
        <f>AA718</f>
        <v>0.24158572396656877</v>
      </c>
      <c r="CR718" s="469">
        <f>AF718</f>
        <v>0.22891190148122631</v>
      </c>
      <c r="CS718" s="469">
        <f>AK718</f>
        <v>0.26459700786470342</v>
      </c>
      <c r="CT718" s="469">
        <f>AP718</f>
        <v>0.24546821467464999</v>
      </c>
      <c r="CU718" s="469">
        <f>AU718</f>
        <v>0.20632818409580828</v>
      </c>
      <c r="CV718" s="469">
        <f>AZ718</f>
        <v>0.17589692762932591</v>
      </c>
      <c r="CW718" s="469">
        <f>BE718</f>
        <v>0.22528511030506831</v>
      </c>
      <c r="CX718" s="469">
        <f>BJ718</f>
        <v>0.263495906032855</v>
      </c>
      <c r="CY718" s="469">
        <f>BO718</f>
        <v>0.25519462953810967</v>
      </c>
      <c r="CZ718" s="469">
        <f>BT718</f>
        <v>0.21381655340133804</v>
      </c>
      <c r="DA718" s="469">
        <f t="shared" si="1610"/>
        <v>0.21292719398855522</v>
      </c>
      <c r="DB718" s="469">
        <f t="shared" si="1610"/>
        <v>0.21686255801861243</v>
      </c>
      <c r="DC718" s="1463">
        <f t="shared" si="1610"/>
        <v>0.20903118359879846</v>
      </c>
      <c r="DD718" s="492"/>
      <c r="DE718" s="492"/>
      <c r="DF718" s="962"/>
      <c r="DG718" s="962"/>
      <c r="DH718" s="469"/>
      <c r="DI718" s="3213"/>
      <c r="DJ718" s="962"/>
      <c r="DK718" s="962"/>
      <c r="DL718" s="962"/>
      <c r="DM718" s="962"/>
      <c r="DN718" s="962"/>
      <c r="DO718" s="962"/>
      <c r="DP718" s="962"/>
      <c r="DQ718" s="962"/>
      <c r="DR718" s="963"/>
      <c r="DS718" s="963"/>
      <c r="DT718" s="963"/>
    </row>
    <row r="719" spans="1:124" ht="12" customHeight="1" x14ac:dyDescent="0.25">
      <c r="A719" s="465" t="s">
        <v>1491</v>
      </c>
      <c r="B719" s="466"/>
      <c r="C719" s="467" t="s">
        <v>553</v>
      </c>
      <c r="D719" s="467" t="s">
        <v>553</v>
      </c>
      <c r="E719" s="467" t="s">
        <v>553</v>
      </c>
      <c r="F719" s="467" t="s">
        <v>553</v>
      </c>
      <c r="G719" s="468" t="s">
        <v>553</v>
      </c>
      <c r="H719" s="467">
        <f t="shared" ref="H719:AF719" si="1615">(H717-C717)/C717</f>
        <v>-0.11892892750320466</v>
      </c>
      <c r="I719" s="467">
        <f t="shared" si="1615"/>
        <v>2.6133175845268048E-2</v>
      </c>
      <c r="J719" s="467">
        <f t="shared" si="1615"/>
        <v>5.4853532452613388E-2</v>
      </c>
      <c r="K719" s="467">
        <f t="shared" si="1615"/>
        <v>0.45065468047684193</v>
      </c>
      <c r="L719" s="468">
        <f t="shared" si="1615"/>
        <v>7.8454106280193128E-2</v>
      </c>
      <c r="M719" s="467">
        <f t="shared" si="1615"/>
        <v>0.28128031037827356</v>
      </c>
      <c r="N719" s="467">
        <f t="shared" si="1615"/>
        <v>3.4532374100719452E-3</v>
      </c>
      <c r="O719" s="467">
        <f t="shared" si="1615"/>
        <v>-0.10196025047644972</v>
      </c>
      <c r="P719" s="467">
        <f t="shared" si="1615"/>
        <v>-0.2732049036777584</v>
      </c>
      <c r="Q719" s="468">
        <f t="shared" si="1615"/>
        <v>-3.6301738039777875E-2</v>
      </c>
      <c r="R719" s="467">
        <f t="shared" si="1615"/>
        <v>-0.14105475649760285</v>
      </c>
      <c r="S719" s="467">
        <f t="shared" si="1615"/>
        <v>-0.10854602810438781</v>
      </c>
      <c r="T719" s="467">
        <f t="shared" si="1615"/>
        <v>0.14400485068970734</v>
      </c>
      <c r="U719" s="467">
        <f t="shared" si="1615"/>
        <v>0.21890639481000929</v>
      </c>
      <c r="V719" s="468">
        <f t="shared" si="1615"/>
        <v>9.5195597203629415E-3</v>
      </c>
      <c r="W719" s="467">
        <f t="shared" si="1615"/>
        <v>-6.6833137485311417E-2</v>
      </c>
      <c r="X719" s="467">
        <f t="shared" si="1615"/>
        <v>-0.11500723821778991</v>
      </c>
      <c r="Y719" s="467">
        <f t="shared" si="1615"/>
        <v>-0.27030608188684246</v>
      </c>
      <c r="Z719" s="467">
        <f t="shared" si="1615"/>
        <v>-0.38746958637469592</v>
      </c>
      <c r="AA719" s="468">
        <f t="shared" si="1615"/>
        <v>-0.21209665537056133</v>
      </c>
      <c r="AB719" s="467">
        <f t="shared" si="1615"/>
        <v>1.699984259405014E-2</v>
      </c>
      <c r="AC719" s="467">
        <f t="shared" si="1615"/>
        <v>3.7622682660850573E-2</v>
      </c>
      <c r="AD719" s="467">
        <f t="shared" si="1615"/>
        <v>5.3205011803159646E-2</v>
      </c>
      <c r="AE719" s="469">
        <f t="shared" si="1615"/>
        <v>-0.18197616683217471</v>
      </c>
      <c r="AF719" s="470">
        <f t="shared" si="1615"/>
        <v>-5.8438522674146799E-3</v>
      </c>
      <c r="AG719" s="467">
        <f>(AG717-AB717)/AB717</f>
        <v>2.6776040860547908E-2</v>
      </c>
      <c r="AH719" s="467">
        <f t="shared" ref="AH719:AU719" si="1616">(AH717-AC717)/AC717</f>
        <v>1.3137151865475597E-2</v>
      </c>
      <c r="AI719" s="467">
        <f t="shared" si="1616"/>
        <v>-6.8793103448275869E-2</v>
      </c>
      <c r="AJ719" s="469">
        <f t="shared" si="1616"/>
        <v>0.38209408194233696</v>
      </c>
      <c r="AK719" s="470">
        <f t="shared" si="1616"/>
        <v>5.2104396896308344E-2</v>
      </c>
      <c r="AL719" s="467">
        <f t="shared" si="1616"/>
        <v>-8.2001808863430878E-2</v>
      </c>
      <c r="AM719" s="467">
        <f t="shared" si="1616"/>
        <v>-0.36549100968188103</v>
      </c>
      <c r="AN719" s="467">
        <f t="shared" si="1616"/>
        <v>-9.9999999999999797E-2</v>
      </c>
      <c r="AO719" s="469">
        <f t="shared" si="1616"/>
        <v>-0.41425120772946816</v>
      </c>
      <c r="AP719" s="471">
        <f t="shared" si="1616"/>
        <v>-0.22726500692799334</v>
      </c>
      <c r="AQ719" s="471">
        <f t="shared" si="1616"/>
        <v>0</v>
      </c>
      <c r="AR719" s="469">
        <f t="shared" si="1616"/>
        <v>2.8174386920981575E-2</v>
      </c>
      <c r="AS719" s="469">
        <f t="shared" si="1616"/>
        <v>-0.30751157193112383</v>
      </c>
      <c r="AT719" s="469">
        <f t="shared" si="1616"/>
        <v>-0.47554639175257646</v>
      </c>
      <c r="AU719" s="1689">
        <f t="shared" si="1616"/>
        <v>-0.1538547812406004</v>
      </c>
      <c r="AV719" s="1730">
        <f t="shared" ref="AV719:BA719" si="1617">(AV717-AQ717)/AQ717</f>
        <v>-0.18859605911330082</v>
      </c>
      <c r="AW719" s="1465">
        <f t="shared" si="1617"/>
        <v>-0.21805109450363055</v>
      </c>
      <c r="AX719" s="1465">
        <f t="shared" si="1617"/>
        <v>-0.31914647351830033</v>
      </c>
      <c r="AY719" s="1868">
        <f t="shared" si="1617"/>
        <v>4.9227079729517238E-2</v>
      </c>
      <c r="AZ719" s="1689">
        <f t="shared" si="1617"/>
        <v>-0.20349053426336289</v>
      </c>
      <c r="BA719" s="471">
        <f t="shared" si="1617"/>
        <v>8.7562152809398108E-2</v>
      </c>
      <c r="BB719" s="469">
        <f t="shared" ref="BB719:BJ719" si="1618">(BB717-AW717)/AW717</f>
        <v>0.1825269181991766</v>
      </c>
      <c r="BC719" s="469">
        <f t="shared" si="1618"/>
        <v>0.3222732338006718</v>
      </c>
      <c r="BD719" s="1463">
        <f t="shared" si="1618"/>
        <v>0.49338380269288012</v>
      </c>
      <c r="BE719" s="1868">
        <f t="shared" si="1618"/>
        <v>0.20890084911490592</v>
      </c>
      <c r="BF719" s="469">
        <f t="shared" si="1618"/>
        <v>0.10676690095557709</v>
      </c>
      <c r="BG719" s="469">
        <f t="shared" si="1618"/>
        <v>0.21384180538103889</v>
      </c>
      <c r="BH719" s="469">
        <f t="shared" si="1618"/>
        <v>0.25657983091999603</v>
      </c>
      <c r="BI719" s="1463">
        <f t="shared" si="1618"/>
        <v>7.7149374808621718E-2</v>
      </c>
      <c r="BJ719" s="1868">
        <f t="shared" si="1618"/>
        <v>0.16091199932939418</v>
      </c>
      <c r="BK719" s="469">
        <f t="shared" ref="BK719:BT719" si="1619">(BK717-BF717)/BF717</f>
        <v>-6.8526428409768692E-2</v>
      </c>
      <c r="BL719" s="469">
        <f t="shared" si="1619"/>
        <v>-1.6589092891336733E-2</v>
      </c>
      <c r="BM719" s="469">
        <f t="shared" si="1619"/>
        <v>-2.1069897512001515E-2</v>
      </c>
      <c r="BN719" s="1463">
        <f t="shared" si="1619"/>
        <v>1.0000000000000226E-2</v>
      </c>
      <c r="BO719" s="1868">
        <f t="shared" si="1619"/>
        <v>-3.268462509087057E-2</v>
      </c>
      <c r="BP719" s="469">
        <f t="shared" si="1619"/>
        <v>-0.20236781077040053</v>
      </c>
      <c r="BQ719" s="469">
        <f t="shared" si="1619"/>
        <v>-0.2378918748669461</v>
      </c>
      <c r="BR719" s="469">
        <f t="shared" si="1619"/>
        <v>-0.2618669983775993</v>
      </c>
      <c r="BS719" s="1463">
        <f t="shared" si="1619"/>
        <v>-0.33625299435901368</v>
      </c>
      <c r="BT719" s="1463">
        <f t="shared" si="1619"/>
        <v>-0.24592888804320692</v>
      </c>
      <c r="BU719" s="469">
        <f>(BU717-BP717)/BP717</f>
        <v>-3.8769054983004425E-2</v>
      </c>
      <c r="BV719" s="469">
        <f>(BV717-BQ717)/BQ717</f>
        <v>2.7188805210643017E-2</v>
      </c>
      <c r="BW719" s="469">
        <f>(BW717-BR717)/BR717</f>
        <v>3.0832783268155282E-2</v>
      </c>
      <c r="BX719" s="469">
        <f>(BX717-BS717)/BS717</f>
        <v>4.3814140438090697E-2</v>
      </c>
      <c r="BY719" s="470">
        <f>(BY717-BT717)/BT717</f>
        <v>5.7989547926879208E-3</v>
      </c>
      <c r="BZ719" s="470">
        <f t="shared" ref="BZ719:CF719" si="1620">(BZ717-BY717)/BY717</f>
        <v>1.8482204909292636E-2</v>
      </c>
      <c r="CA719" s="470">
        <f t="shared" si="1620"/>
        <v>-3.6112155511611219E-2</v>
      </c>
      <c r="CB719" s="470">
        <f t="shared" si="1620"/>
        <v>-0.12567950415659923</v>
      </c>
      <c r="CC719" s="470">
        <f t="shared" si="1620"/>
        <v>-0.1339613384118232</v>
      </c>
      <c r="CD719" s="470">
        <f t="shared" si="1620"/>
        <v>6.7020128472161128E-2</v>
      </c>
      <c r="CE719" s="470">
        <f t="shared" si="1620"/>
        <v>6.4507435698408527E-2</v>
      </c>
      <c r="CF719" s="470">
        <f t="shared" si="1620"/>
        <v>6.2228460363830375E-2</v>
      </c>
      <c r="CG719" s="492"/>
      <c r="CH719" s="492"/>
      <c r="CI719" s="492"/>
      <c r="CJ719" s="492"/>
      <c r="CK719" s="492"/>
      <c r="CL719" s="1310" t="str">
        <f>A719</f>
        <v>% growth (y-o-y)</v>
      </c>
      <c r="CM719" s="469" t="str">
        <f>G719</f>
        <v xml:space="preserve">n/a </v>
      </c>
      <c r="CN719" s="469">
        <f>L719</f>
        <v>7.8454106280193128E-2</v>
      </c>
      <c r="CO719" s="469">
        <f>Q719</f>
        <v>-3.6301738039777875E-2</v>
      </c>
      <c r="CP719" s="469">
        <f>V719</f>
        <v>9.5195597203629415E-3</v>
      </c>
      <c r="CQ719" s="469">
        <f>AA719</f>
        <v>-0.21209665537056133</v>
      </c>
      <c r="CR719" s="469">
        <f>AF719</f>
        <v>-5.8438522674146799E-3</v>
      </c>
      <c r="CS719" s="469">
        <f>AK719</f>
        <v>5.2104396896308344E-2</v>
      </c>
      <c r="CT719" s="469">
        <f>AP719</f>
        <v>-0.22726500692799334</v>
      </c>
      <c r="CU719" s="469">
        <f>AU719</f>
        <v>-0.1538547812406004</v>
      </c>
      <c r="CV719" s="469">
        <f>AZ719</f>
        <v>-0.20349053426336289</v>
      </c>
      <c r="CW719" s="469">
        <f>BE719</f>
        <v>0.20890084911490592</v>
      </c>
      <c r="CX719" s="469">
        <f>BJ719</f>
        <v>0.16091199932939418</v>
      </c>
      <c r="CY719" s="469">
        <f>BO719</f>
        <v>-3.268462509087057E-2</v>
      </c>
      <c r="CZ719" s="469">
        <f>BT719</f>
        <v>-0.24592888804320692</v>
      </c>
      <c r="DA719" s="469">
        <f t="shared" si="1610"/>
        <v>5.7989547926879208E-3</v>
      </c>
      <c r="DB719" s="469">
        <f t="shared" si="1610"/>
        <v>1.8482204909292636E-2</v>
      </c>
      <c r="DC719" s="1463">
        <f t="shared" si="1610"/>
        <v>-3.6112155511611219E-2</v>
      </c>
      <c r="DD719" s="492"/>
      <c r="DE719" s="492"/>
      <c r="DF719" s="962"/>
      <c r="DG719" s="962"/>
      <c r="DH719" s="469"/>
      <c r="DI719" s="3213"/>
      <c r="DJ719" s="962"/>
      <c r="DK719" s="962"/>
      <c r="DL719" s="962"/>
      <c r="DM719" s="962"/>
      <c r="DN719" s="962"/>
      <c r="DO719" s="962"/>
      <c r="DP719" s="962"/>
      <c r="DQ719" s="962"/>
      <c r="DR719" s="963"/>
      <c r="DS719" s="963"/>
      <c r="DT719" s="963"/>
    </row>
    <row r="720" spans="1:124" ht="12" customHeight="1" x14ac:dyDescent="0.25">
      <c r="A720" s="281" t="s">
        <v>2197</v>
      </c>
      <c r="B720" s="281"/>
      <c r="C720" s="565">
        <v>1.738</v>
      </c>
      <c r="D720" s="565">
        <v>1.7749999999999999</v>
      </c>
      <c r="E720" s="565">
        <v>1.8420000000000001</v>
      </c>
      <c r="F720" s="565">
        <v>1.901</v>
      </c>
      <c r="G720" s="447">
        <f>SUM(C720:F720)</f>
        <v>7.2560000000000002</v>
      </c>
      <c r="H720" s="565">
        <v>2.0630000000000002</v>
      </c>
      <c r="I720" s="565">
        <v>2.14</v>
      </c>
      <c r="J720" s="565">
        <v>2.2160000000000002</v>
      </c>
      <c r="K720" s="565">
        <v>2.2509999999999999</v>
      </c>
      <c r="L720" s="447">
        <f>SUM(H720:K720)</f>
        <v>8.67</v>
      </c>
      <c r="M720" s="565">
        <v>2.0939999999999999</v>
      </c>
      <c r="N720" s="565">
        <v>1.7749999999999999</v>
      </c>
      <c r="O720" s="565">
        <v>1.8120000000000001</v>
      </c>
      <c r="P720" s="565">
        <v>1.8160000000000001</v>
      </c>
      <c r="Q720" s="447">
        <f>SUM(M720:P720)</f>
        <v>7.4969999999999999</v>
      </c>
      <c r="R720" s="565">
        <v>1.8240000000000001</v>
      </c>
      <c r="S720" s="565">
        <v>1.8680000000000001</v>
      </c>
      <c r="T720" s="565">
        <v>2.04</v>
      </c>
      <c r="U720" s="565">
        <v>1.8460000000000001</v>
      </c>
      <c r="V720" s="447">
        <f>SUM(R720:U720)</f>
        <v>7.5780000000000003</v>
      </c>
      <c r="W720" s="565">
        <v>1.7989999999999999</v>
      </c>
      <c r="X720" s="565">
        <v>1.8149999999999999</v>
      </c>
      <c r="Y720" s="565">
        <v>1.7</v>
      </c>
      <c r="Z720" s="565">
        <v>1.6890000000000001</v>
      </c>
      <c r="AA720" s="447">
        <f>SUM(W720:Z720)</f>
        <v>7.0030000000000001</v>
      </c>
      <c r="AB720" s="563">
        <v>1.7310000000000001</v>
      </c>
      <c r="AC720" s="563">
        <v>1.722</v>
      </c>
      <c r="AD720" s="563">
        <v>1.538</v>
      </c>
      <c r="AE720" s="563">
        <v>1.603</v>
      </c>
      <c r="AF720" s="455">
        <f>SUM(AB720:AE720)</f>
        <v>6.5940000000000003</v>
      </c>
      <c r="AG720" s="563">
        <v>1.6439999999999999</v>
      </c>
      <c r="AH720" s="563">
        <v>1.573</v>
      </c>
      <c r="AI720" s="563">
        <v>1.647</v>
      </c>
      <c r="AJ720" s="563">
        <v>1.5860000000000001</v>
      </c>
      <c r="AK720" s="455">
        <f>SUM(AG720:AJ720)</f>
        <v>6.45</v>
      </c>
      <c r="AL720" s="563">
        <v>1.5740000000000001</v>
      </c>
      <c r="AM720" s="563">
        <f>AL720</f>
        <v>1.5740000000000001</v>
      </c>
      <c r="AN720" s="674">
        <f>AM720</f>
        <v>1.5740000000000001</v>
      </c>
      <c r="AO720" s="454">
        <f>AN720</f>
        <v>1.5740000000000001</v>
      </c>
      <c r="AP720" s="456">
        <f>SUM(AL720:AO720)</f>
        <v>6.2960000000000003</v>
      </c>
      <c r="AQ720" s="456">
        <f>+AO720</f>
        <v>1.5740000000000001</v>
      </c>
      <c r="AR720" s="454">
        <f>AQ720</f>
        <v>1.5740000000000001</v>
      </c>
      <c r="AS720" s="454">
        <f>AR720</f>
        <v>1.5740000000000001</v>
      </c>
      <c r="AT720" s="454">
        <f>AS720</f>
        <v>1.5740000000000001</v>
      </c>
      <c r="AU720" s="1693">
        <f>SUM(AQ720:AT720)</f>
        <v>6.2960000000000003</v>
      </c>
      <c r="AV720" s="456">
        <f>+AT720</f>
        <v>1.5740000000000001</v>
      </c>
      <c r="AW720" s="454">
        <f>AV720</f>
        <v>1.5740000000000001</v>
      </c>
      <c r="AX720" s="454">
        <f>AW720</f>
        <v>1.5740000000000001</v>
      </c>
      <c r="AY720" s="1666">
        <f>AX720</f>
        <v>1.5740000000000001</v>
      </c>
      <c r="AZ720" s="1693">
        <f>SUM(AV720:AY720)</f>
        <v>6.2960000000000003</v>
      </c>
      <c r="BA720" s="456">
        <f>+AY720</f>
        <v>1.5740000000000001</v>
      </c>
      <c r="BB720" s="454">
        <f>BA720</f>
        <v>1.5740000000000001</v>
      </c>
      <c r="BC720" s="454">
        <f>BB720</f>
        <v>1.5740000000000001</v>
      </c>
      <c r="BD720" s="1666">
        <f>BC720</f>
        <v>1.5740000000000001</v>
      </c>
      <c r="BE720" s="1864">
        <f>SUM(BA720:BD720)</f>
        <v>6.2960000000000003</v>
      </c>
      <c r="BF720" s="454">
        <f>BD720</f>
        <v>1.5740000000000001</v>
      </c>
      <c r="BG720" s="454">
        <f>BF720</f>
        <v>1.5740000000000001</v>
      </c>
      <c r="BH720" s="454">
        <f>BG720</f>
        <v>1.5740000000000001</v>
      </c>
      <c r="BI720" s="1666">
        <f>BH720</f>
        <v>1.5740000000000001</v>
      </c>
      <c r="BJ720" s="1864">
        <f>SUM(BF720:BI720)</f>
        <v>6.2960000000000003</v>
      </c>
      <c r="BK720" s="454">
        <f>BJ720/4</f>
        <v>1.5740000000000001</v>
      </c>
      <c r="BL720" s="454">
        <f>BK720</f>
        <v>1.5740000000000001</v>
      </c>
      <c r="BM720" s="454">
        <f>BL720</f>
        <v>1.5740000000000001</v>
      </c>
      <c r="BN720" s="1666">
        <f>BM720</f>
        <v>1.5740000000000001</v>
      </c>
      <c r="BO720" s="1864">
        <f>SUM(BK720:BN720)</f>
        <v>6.2960000000000003</v>
      </c>
      <c r="BP720" s="454">
        <f>+BN720</f>
        <v>1.5740000000000001</v>
      </c>
      <c r="BQ720" s="454">
        <f>BP720</f>
        <v>1.5740000000000001</v>
      </c>
      <c r="BR720" s="454">
        <f>BQ720</f>
        <v>1.5740000000000001</v>
      </c>
      <c r="BS720" s="1666">
        <f>BR720</f>
        <v>1.5740000000000001</v>
      </c>
      <c r="BT720" s="3070">
        <f>SUM(BP720:BS720)</f>
        <v>6.2960000000000003</v>
      </c>
      <c r="BU720" s="2915">
        <f>BS720</f>
        <v>1.5740000000000001</v>
      </c>
      <c r="BV720" s="2915">
        <f>BU720</f>
        <v>1.5740000000000001</v>
      </c>
      <c r="BW720" s="2915">
        <f>BV720</f>
        <v>1.5740000000000001</v>
      </c>
      <c r="BX720" s="2915">
        <f>BW720</f>
        <v>1.5740000000000001</v>
      </c>
      <c r="BY720" s="3066">
        <f>SUM(BU720:BX720)</f>
        <v>6.2960000000000003</v>
      </c>
      <c r="BZ720" s="455">
        <f t="shared" ref="BZ720:CF720" si="1621">BY720</f>
        <v>6.2960000000000003</v>
      </c>
      <c r="CA720" s="455">
        <f t="shared" si="1621"/>
        <v>6.2960000000000003</v>
      </c>
      <c r="CB720" s="455">
        <f t="shared" si="1621"/>
        <v>6.2960000000000003</v>
      </c>
      <c r="CC720" s="455">
        <f t="shared" si="1621"/>
        <v>6.2960000000000003</v>
      </c>
      <c r="CD720" s="455">
        <f t="shared" si="1621"/>
        <v>6.2960000000000003</v>
      </c>
      <c r="CE720" s="455">
        <f t="shared" si="1621"/>
        <v>6.2960000000000003</v>
      </c>
      <c r="CF720" s="455">
        <f t="shared" si="1621"/>
        <v>6.2960000000000003</v>
      </c>
      <c r="CG720" s="331"/>
      <c r="CH720" s="331"/>
      <c r="CI720" s="331"/>
      <c r="CJ720" s="331"/>
      <c r="CK720" s="331"/>
      <c r="CL720" s="520" t="str">
        <f>A720</f>
        <v>Depreciation and amortization</v>
      </c>
      <c r="CM720" s="454">
        <f>G720</f>
        <v>7.2560000000000002</v>
      </c>
      <c r="CN720" s="454">
        <f>L720</f>
        <v>8.67</v>
      </c>
      <c r="CO720" s="454">
        <f>Q720</f>
        <v>7.4969999999999999</v>
      </c>
      <c r="CP720" s="454">
        <f>V720</f>
        <v>7.5780000000000003</v>
      </c>
      <c r="CQ720" s="454">
        <f>AA720</f>
        <v>7.0030000000000001</v>
      </c>
      <c r="CR720" s="454">
        <f>AF720</f>
        <v>6.5940000000000003</v>
      </c>
      <c r="CS720" s="454">
        <f>AK720</f>
        <v>6.45</v>
      </c>
      <c r="CT720" s="454">
        <f>AP720</f>
        <v>6.2960000000000003</v>
      </c>
      <c r="CU720" s="454">
        <f>AU720</f>
        <v>6.2960000000000003</v>
      </c>
      <c r="CV720" s="454">
        <f>AZ720</f>
        <v>6.2960000000000003</v>
      </c>
      <c r="CW720" s="454">
        <f>BE720</f>
        <v>6.2960000000000003</v>
      </c>
      <c r="CX720" s="454">
        <f>BJ720</f>
        <v>6.2960000000000003</v>
      </c>
      <c r="CY720" s="454">
        <f>BO720</f>
        <v>6.2960000000000003</v>
      </c>
      <c r="CZ720" s="454">
        <f>BT720</f>
        <v>6.2960000000000003</v>
      </c>
      <c r="DA720" s="454">
        <f t="shared" si="1610"/>
        <v>6.2960000000000003</v>
      </c>
      <c r="DB720" s="454">
        <f t="shared" si="1610"/>
        <v>6.2960000000000003</v>
      </c>
      <c r="DC720" s="1666">
        <f t="shared" si="1610"/>
        <v>6.2960000000000003</v>
      </c>
      <c r="DD720" s="331"/>
      <c r="DE720" s="331"/>
      <c r="DF720" s="502"/>
      <c r="DG720" s="503"/>
      <c r="DH720" s="2915"/>
      <c r="DI720" s="3213"/>
      <c r="DJ720" s="502"/>
      <c r="DK720" s="503"/>
      <c r="DL720" s="502"/>
      <c r="DM720" s="502"/>
      <c r="DN720" s="502"/>
      <c r="DO720" s="502"/>
      <c r="DP720" s="503"/>
      <c r="DQ720" s="503"/>
      <c r="DR720" s="296"/>
      <c r="DS720" s="296"/>
      <c r="DT720" s="296"/>
    </row>
    <row r="721" spans="1:124" ht="12" customHeight="1" x14ac:dyDescent="0.25">
      <c r="A721" s="465" t="s">
        <v>646</v>
      </c>
      <c r="B721" s="466"/>
      <c r="C721" s="467">
        <f t="shared" ref="C721:AU721" si="1622">C720/C710</f>
        <v>5.6267806267806267E-2</v>
      </c>
      <c r="D721" s="467">
        <f t="shared" si="1622"/>
        <v>5.9434120207600874E-2</v>
      </c>
      <c r="E721" s="467">
        <f t="shared" si="1622"/>
        <v>6.0780043555731536E-2</v>
      </c>
      <c r="F721" s="467">
        <f t="shared" si="1622"/>
        <v>7.1874172936594954E-2</v>
      </c>
      <c r="G721" s="468">
        <f t="shared" si="1622"/>
        <v>6.1748987302992143E-2</v>
      </c>
      <c r="H721" s="467">
        <f t="shared" si="1622"/>
        <v>7.8761501164433242E-2</v>
      </c>
      <c r="I721" s="467">
        <f t="shared" si="1622"/>
        <v>8.0739483116393146E-2</v>
      </c>
      <c r="J721" s="467">
        <f t="shared" si="1622"/>
        <v>8.2517222118786079E-2</v>
      </c>
      <c r="K721" s="467">
        <f t="shared" si="1622"/>
        <v>8.073598507944478E-2</v>
      </c>
      <c r="L721" s="468">
        <f t="shared" si="1622"/>
        <v>8.0700709272669729E-2</v>
      </c>
      <c r="M721" s="467">
        <f t="shared" si="1622"/>
        <v>7.4363436201569655E-2</v>
      </c>
      <c r="N721" s="467">
        <f t="shared" si="1622"/>
        <v>6.5987583181530904E-2</v>
      </c>
      <c r="O721" s="467">
        <f t="shared" si="1622"/>
        <v>6.6890619808778473E-2</v>
      </c>
      <c r="P721" s="467">
        <f t="shared" si="1622"/>
        <v>7.502272163926299E-2</v>
      </c>
      <c r="Q721" s="468">
        <f t="shared" si="1622"/>
        <v>7.049166455107049E-2</v>
      </c>
      <c r="R721" s="467">
        <f t="shared" si="1622"/>
        <v>6.8581741615280495E-2</v>
      </c>
      <c r="S721" s="467">
        <f t="shared" si="1622"/>
        <v>7.0824644549763033E-2</v>
      </c>
      <c r="T721" s="467">
        <f t="shared" si="1622"/>
        <v>7.733131159969675E-2</v>
      </c>
      <c r="U721" s="467">
        <f t="shared" si="1622"/>
        <v>7.5325417227730854E-2</v>
      </c>
      <c r="V721" s="468">
        <f t="shared" si="1622"/>
        <v>7.2965009917387205E-2</v>
      </c>
      <c r="W721" s="467">
        <f t="shared" si="1622"/>
        <v>7.3243221236055686E-2</v>
      </c>
      <c r="X721" s="467">
        <f t="shared" si="1622"/>
        <v>8.2093265186123296E-2</v>
      </c>
      <c r="Y721" s="467">
        <f t="shared" si="1622"/>
        <v>7.6076255258211753E-2</v>
      </c>
      <c r="Z721" s="467">
        <f t="shared" si="1622"/>
        <v>8.6513343236182969E-2</v>
      </c>
      <c r="AA721" s="468">
        <f t="shared" si="1622"/>
        <v>7.9094194714253441E-2</v>
      </c>
      <c r="AB721" s="467">
        <f t="shared" si="1622"/>
        <v>7.0913560016386726E-2</v>
      </c>
      <c r="AC721" s="467">
        <f t="shared" si="1622"/>
        <v>7.2624520264855982E-2</v>
      </c>
      <c r="AD721" s="467">
        <f t="shared" si="1622"/>
        <v>6.4610989749621914E-2</v>
      </c>
      <c r="AE721" s="469">
        <f t="shared" si="1622"/>
        <v>7.6438891802965994E-2</v>
      </c>
      <c r="AF721" s="470">
        <f t="shared" si="1622"/>
        <v>7.0982604202549093E-2</v>
      </c>
      <c r="AG721" s="467">
        <f>AG720/AG710</f>
        <v>7.3517574456667567E-2</v>
      </c>
      <c r="AH721" s="467">
        <f t="shared" si="1622"/>
        <v>7.1774046358824603E-2</v>
      </c>
      <c r="AI721" s="467">
        <f t="shared" si="1622"/>
        <v>7.6919484401270319E-2</v>
      </c>
      <c r="AJ721" s="469">
        <f t="shared" si="1622"/>
        <v>8.4071031009806535E-2</v>
      </c>
      <c r="AK721" s="470">
        <f t="shared" si="1622"/>
        <v>7.6281710129501523E-2</v>
      </c>
      <c r="AL721" s="467">
        <f t="shared" si="1622"/>
        <v>7.664962259556854E-2</v>
      </c>
      <c r="AM721" s="467">
        <f t="shared" si="1622"/>
        <v>0.11534515608969662</v>
      </c>
      <c r="AN721" s="467">
        <f t="shared" si="1622"/>
        <v>8.1677979118666588E-2</v>
      </c>
      <c r="AO721" s="469">
        <f t="shared" si="1622"/>
        <v>9.2705480460582509E-2</v>
      </c>
      <c r="AP721" s="471">
        <f t="shared" si="1622"/>
        <v>8.9393343489946805E-2</v>
      </c>
      <c r="AQ721" s="471">
        <f t="shared" si="1622"/>
        <v>7.664962259556854E-2</v>
      </c>
      <c r="AR721" s="469">
        <f t="shared" si="1622"/>
        <v>8.8727043145920462E-2</v>
      </c>
      <c r="AS721" s="469">
        <f t="shared" si="1622"/>
        <v>9.0753310131851755E-2</v>
      </c>
      <c r="AT721" s="469">
        <f t="shared" si="1622"/>
        <v>0.10300608940064722</v>
      </c>
      <c r="AU721" s="1689">
        <f t="shared" si="1622"/>
        <v>8.8802167923827599E-2</v>
      </c>
      <c r="AV721" s="1730">
        <f t="shared" ref="AV721:BJ721" si="1623">AV720/AV710</f>
        <v>8.2418949027493069E-2</v>
      </c>
      <c r="AW721" s="1465">
        <f t="shared" si="1623"/>
        <v>9.5405422737548887E-2</v>
      </c>
      <c r="AX721" s="1465">
        <f t="shared" si="1623"/>
        <v>9.7584204442851361E-2</v>
      </c>
      <c r="AY721" s="1868">
        <f t="shared" si="1623"/>
        <v>0.10842746252699707</v>
      </c>
      <c r="AZ721" s="1689">
        <f t="shared" si="1623"/>
        <v>9.504566744296003E-2</v>
      </c>
      <c r="BA721" s="471">
        <f t="shared" si="1623"/>
        <v>8.8622525836014043E-2</v>
      </c>
      <c r="BB721" s="469">
        <f t="shared" si="1623"/>
        <v>0.10258647606188054</v>
      </c>
      <c r="BC721" s="469">
        <f t="shared" si="1623"/>
        <v>0.1016502129613035</v>
      </c>
      <c r="BD721" s="1463">
        <f t="shared" si="1623"/>
        <v>0.11294527346562196</v>
      </c>
      <c r="BE721" s="1868">
        <f t="shared" si="1623"/>
        <v>0.10069684820184296</v>
      </c>
      <c r="BF721" s="469">
        <f t="shared" si="1623"/>
        <v>9.0431148812259235E-2</v>
      </c>
      <c r="BG721" s="469">
        <f t="shared" si="1623"/>
        <v>0.10157076837809953</v>
      </c>
      <c r="BH721" s="469">
        <f t="shared" si="1623"/>
        <v>0.10064377520921138</v>
      </c>
      <c r="BI721" s="1463">
        <f t="shared" si="1623"/>
        <v>0.11643842625321851</v>
      </c>
      <c r="BJ721" s="1868">
        <f t="shared" si="1623"/>
        <v>0.10145138029431626</v>
      </c>
      <c r="BK721" s="469">
        <f t="shared" ref="BK721:BU721" si="1624">BK720/BK710</f>
        <v>9.3227988466246622E-2</v>
      </c>
      <c r="BL721" s="469">
        <f t="shared" si="1624"/>
        <v>0.10056511720603914</v>
      </c>
      <c r="BM721" s="469">
        <f t="shared" si="1624"/>
        <v>9.9647302187337999E-2</v>
      </c>
      <c r="BN721" s="1463">
        <f t="shared" si="1624"/>
        <v>0.11528557054774109</v>
      </c>
      <c r="BO721" s="1868">
        <f t="shared" si="1624"/>
        <v>0.10157516306435721</v>
      </c>
      <c r="BP721" s="469">
        <f t="shared" si="1624"/>
        <v>0.10358665385138514</v>
      </c>
      <c r="BQ721" s="469">
        <f t="shared" si="1624"/>
        <v>0.11173901911782128</v>
      </c>
      <c r="BR721" s="469">
        <f t="shared" si="1624"/>
        <v>0.11071922465259777</v>
      </c>
      <c r="BS721" s="1463">
        <f t="shared" si="1624"/>
        <v>0.12809507838637899</v>
      </c>
      <c r="BT721" s="1463">
        <f t="shared" si="1624"/>
        <v>0.11286129229373024</v>
      </c>
      <c r="BU721" s="469">
        <f t="shared" si="1624"/>
        <v>0.102561043417213</v>
      </c>
      <c r="BV721" s="469">
        <f t="shared" ref="BV721:CF721" si="1625">BV720/BV710</f>
        <v>0.11063269219586264</v>
      </c>
      <c r="BW721" s="469">
        <f t="shared" si="1625"/>
        <v>0.10962299470554235</v>
      </c>
      <c r="BX721" s="469">
        <f t="shared" si="1625"/>
        <v>0.12682681028354356</v>
      </c>
      <c r="BY721" s="470">
        <f t="shared" si="1625"/>
        <v>0.11174385375616858</v>
      </c>
      <c r="BZ721" s="470">
        <f t="shared" si="1625"/>
        <v>0.11174385375616858</v>
      </c>
      <c r="CA721" s="470">
        <f t="shared" si="1625"/>
        <v>0.11174385375616858</v>
      </c>
      <c r="CB721" s="470">
        <f t="shared" si="1625"/>
        <v>0.11762510921701956</v>
      </c>
      <c r="CC721" s="470">
        <f t="shared" si="1625"/>
        <v>0.12381590443896795</v>
      </c>
      <c r="CD721" s="470">
        <f t="shared" si="1625"/>
        <v>0.12138814160683133</v>
      </c>
      <c r="CE721" s="470">
        <f t="shared" si="1625"/>
        <v>0.11900798196748169</v>
      </c>
      <c r="CF721" s="470">
        <f t="shared" si="1625"/>
        <v>0.11667449212498204</v>
      </c>
      <c r="CG721" s="492"/>
      <c r="CH721" s="492"/>
      <c r="CI721" s="492"/>
      <c r="CJ721" s="492"/>
      <c r="CK721" s="492"/>
      <c r="CL721" s="1310" t="str">
        <f>A721</f>
        <v>% of Net revenue</v>
      </c>
      <c r="CM721" s="469">
        <f>G721</f>
        <v>6.1748987302992143E-2</v>
      </c>
      <c r="CN721" s="469">
        <f>L721</f>
        <v>8.0700709272669729E-2</v>
      </c>
      <c r="CO721" s="469">
        <f>Q721</f>
        <v>7.049166455107049E-2</v>
      </c>
      <c r="CP721" s="469">
        <f>V721</f>
        <v>7.2965009917387205E-2</v>
      </c>
      <c r="CQ721" s="469">
        <f>AA721</f>
        <v>7.9094194714253441E-2</v>
      </c>
      <c r="CR721" s="469">
        <f>AF721</f>
        <v>7.0982604202549093E-2</v>
      </c>
      <c r="CS721" s="469">
        <f>AK721</f>
        <v>7.6281710129501523E-2</v>
      </c>
      <c r="CT721" s="469">
        <f>AP721</f>
        <v>8.9393343489946805E-2</v>
      </c>
      <c r="CU721" s="469">
        <f>AU721</f>
        <v>8.8802167923827599E-2</v>
      </c>
      <c r="CV721" s="469">
        <f>AZ721</f>
        <v>9.504566744296003E-2</v>
      </c>
      <c r="CW721" s="469">
        <f>BE721</f>
        <v>0.10069684820184296</v>
      </c>
      <c r="CX721" s="469">
        <f>BJ721</f>
        <v>0.10145138029431626</v>
      </c>
      <c r="CY721" s="469">
        <f>BO721</f>
        <v>0.10157516306435721</v>
      </c>
      <c r="CZ721" s="469">
        <f>BT721</f>
        <v>0.11286129229373024</v>
      </c>
      <c r="DA721" s="469">
        <f t="shared" si="1610"/>
        <v>0.11174385375616858</v>
      </c>
      <c r="DB721" s="469">
        <f t="shared" si="1610"/>
        <v>0.11174385375616858</v>
      </c>
      <c r="DC721" s="1463">
        <f t="shared" si="1610"/>
        <v>0.11174385375616858</v>
      </c>
      <c r="DD721" s="492"/>
      <c r="DE721" s="492"/>
      <c r="DF721" s="962"/>
      <c r="DG721" s="962"/>
      <c r="DH721" s="469"/>
      <c r="DI721" s="3213"/>
      <c r="DJ721" s="962"/>
      <c r="DK721" s="962"/>
      <c r="DL721" s="962"/>
      <c r="DM721" s="962"/>
      <c r="DN721" s="962"/>
      <c r="DO721" s="962"/>
      <c r="DP721" s="962"/>
      <c r="DQ721" s="962"/>
      <c r="DR721" s="963"/>
      <c r="DS721" s="963"/>
      <c r="DT721" s="963"/>
    </row>
    <row r="722" spans="1:124" ht="12" customHeight="1" x14ac:dyDescent="0.25">
      <c r="A722" s="281"/>
      <c r="B722" s="281"/>
      <c r="C722" s="305"/>
      <c r="D722" s="305"/>
      <c r="E722" s="305"/>
      <c r="F722" s="305"/>
      <c r="G722" s="440"/>
      <c r="H722" s="305"/>
      <c r="I722" s="305"/>
      <c r="J722" s="305"/>
      <c r="K722" s="305"/>
      <c r="L722" s="440"/>
      <c r="M722" s="305"/>
      <c r="N722" s="305"/>
      <c r="O722" s="305"/>
      <c r="P722" s="305"/>
      <c r="Q722" s="440"/>
      <c r="R722" s="305"/>
      <c r="S722" s="305"/>
      <c r="T722" s="305"/>
      <c r="U722" s="305"/>
      <c r="V722" s="440"/>
      <c r="W722" s="305"/>
      <c r="X722" s="305"/>
      <c r="Y722" s="305"/>
      <c r="Z722" s="305"/>
      <c r="AA722" s="440"/>
      <c r="AB722" s="305"/>
      <c r="AC722" s="305"/>
      <c r="AD722" s="305"/>
      <c r="AE722" s="331"/>
      <c r="AF722" s="441"/>
      <c r="AG722" s="331"/>
      <c r="AH722" s="331"/>
      <c r="AI722" s="331"/>
      <c r="AJ722" s="331"/>
      <c r="AK722" s="441"/>
      <c r="AL722" s="442"/>
      <c r="AM722" s="442"/>
      <c r="AN722" s="442"/>
      <c r="AO722" s="442"/>
      <c r="AP722" s="443"/>
      <c r="AQ722" s="443"/>
      <c r="AR722" s="331"/>
      <c r="AS722" s="331"/>
      <c r="AT722" s="331"/>
      <c r="AU722" s="1686"/>
      <c r="AV722" s="1899"/>
      <c r="AW722" s="1774"/>
      <c r="AX722" s="1774"/>
      <c r="AY722" s="1900"/>
      <c r="AZ722" s="349"/>
      <c r="BA722" s="443"/>
      <c r="BB722" s="331"/>
      <c r="BC722" s="331"/>
      <c r="BD722" s="1306"/>
      <c r="BE722" s="1306"/>
      <c r="BF722" s="331"/>
      <c r="BG722" s="331"/>
      <c r="BH722" s="331"/>
      <c r="BI722" s="1306"/>
      <c r="BJ722" s="1306"/>
      <c r="BK722" s="331"/>
      <c r="BL722" s="331"/>
      <c r="BM722" s="331"/>
      <c r="BN722" s="1306"/>
      <c r="BO722" s="1306"/>
      <c r="BP722" s="588"/>
      <c r="BQ722" s="588"/>
      <c r="BR722" s="588"/>
      <c r="BS722" s="588"/>
      <c r="BT722" s="3222"/>
      <c r="BU722" s="3393"/>
      <c r="BV722" s="2601"/>
      <c r="BW722" s="2601"/>
      <c r="BX722" s="2601"/>
      <c r="BY722" s="3222"/>
      <c r="BZ722" s="349"/>
      <c r="CA722" s="349"/>
      <c r="CB722" s="349"/>
      <c r="CC722" s="349"/>
      <c r="CD722" s="349"/>
      <c r="CE722" s="349"/>
      <c r="CF722" s="349"/>
      <c r="CG722" s="331"/>
      <c r="CH722" s="331"/>
      <c r="CI722" s="331"/>
      <c r="CJ722" s="331"/>
      <c r="CK722" s="331"/>
      <c r="CL722" s="520"/>
      <c r="CM722" s="331"/>
      <c r="CN722" s="331"/>
      <c r="CO722" s="331"/>
      <c r="CP722" s="331"/>
      <c r="CQ722" s="331"/>
      <c r="CR722" s="331"/>
      <c r="CS722" s="331"/>
      <c r="CT722" s="331"/>
      <c r="CU722" s="331"/>
      <c r="CV722" s="331"/>
      <c r="CW722" s="331"/>
      <c r="CX722" s="331"/>
      <c r="CY722" s="331"/>
      <c r="CZ722" s="331"/>
      <c r="DA722" s="331"/>
      <c r="DB722" s="331"/>
      <c r="DC722" s="1306"/>
      <c r="DD722" s="331"/>
      <c r="DE722" s="331"/>
      <c r="DF722" s="502"/>
      <c r="DG722" s="503"/>
      <c r="DH722" s="2601"/>
      <c r="DI722" s="3213"/>
      <c r="DJ722" s="502"/>
      <c r="DK722" s="503"/>
      <c r="DL722" s="502"/>
      <c r="DM722" s="502"/>
      <c r="DN722" s="502"/>
      <c r="DO722" s="502"/>
      <c r="DP722" s="503"/>
      <c r="DQ722" s="503"/>
      <c r="DR722" s="296"/>
      <c r="DS722" s="296"/>
      <c r="DT722" s="296"/>
    </row>
    <row r="723" spans="1:124" ht="12" customHeight="1" x14ac:dyDescent="0.25">
      <c r="A723" s="2125" t="s">
        <v>2569</v>
      </c>
      <c r="B723" s="428"/>
      <c r="C723" s="502"/>
      <c r="D723" s="502"/>
      <c r="E723" s="502"/>
      <c r="F723" s="502"/>
      <c r="G723" s="534"/>
      <c r="H723" s="502"/>
      <c r="I723" s="502"/>
      <c r="J723" s="502"/>
      <c r="K723" s="502"/>
      <c r="L723" s="534"/>
      <c r="M723" s="502"/>
      <c r="N723" s="502"/>
      <c r="O723" s="502"/>
      <c r="P723" s="502"/>
      <c r="Q723" s="534"/>
      <c r="R723" s="502"/>
      <c r="S723" s="502"/>
      <c r="T723" s="502"/>
      <c r="U723" s="502"/>
      <c r="V723" s="534"/>
      <c r="W723" s="502"/>
      <c r="X723" s="502"/>
      <c r="Y723" s="502"/>
      <c r="Z723" s="502"/>
      <c r="AA723" s="534"/>
      <c r="AB723" s="502"/>
      <c r="AC723" s="502"/>
      <c r="AD723" s="502"/>
      <c r="AE723" s="502"/>
      <c r="AF723" s="534"/>
      <c r="AG723" s="502"/>
      <c r="AH723" s="502"/>
      <c r="AI723" s="502"/>
      <c r="AJ723" s="502"/>
      <c r="AK723" s="534"/>
      <c r="AL723" s="503"/>
      <c r="AM723" s="503"/>
      <c r="AN723" s="503"/>
      <c r="AO723" s="503"/>
      <c r="AP723" s="535"/>
      <c r="AQ723" s="535"/>
      <c r="AR723" s="537"/>
      <c r="AS723" s="537"/>
      <c r="AT723" s="537"/>
      <c r="AU723" s="536"/>
      <c r="AV723" s="535"/>
      <c r="AW723" s="537"/>
      <c r="AX723" s="537"/>
      <c r="AY723" s="1926"/>
      <c r="AZ723" s="536"/>
      <c r="BA723" s="535"/>
      <c r="BB723" s="537"/>
      <c r="BC723" s="537"/>
      <c r="BD723" s="1926"/>
      <c r="BE723" s="1926"/>
      <c r="BF723" s="537"/>
      <c r="BG723" s="537"/>
      <c r="BH723" s="537"/>
      <c r="BI723" s="1926"/>
      <c r="BJ723" s="1926"/>
      <c r="BK723" s="537"/>
      <c r="BL723" s="537"/>
      <c r="BM723" s="537"/>
      <c r="BN723" s="1926"/>
      <c r="BO723" s="1926"/>
      <c r="BP723" s="537"/>
      <c r="BQ723" s="537"/>
      <c r="BR723" s="537"/>
      <c r="BS723" s="1926"/>
      <c r="BT723" s="1926"/>
      <c r="BU723" s="537"/>
      <c r="BV723" s="537"/>
      <c r="BW723" s="537"/>
      <c r="BX723" s="537"/>
      <c r="BY723" s="536"/>
      <c r="BZ723" s="536"/>
      <c r="CA723" s="536"/>
      <c r="CB723" s="536"/>
      <c r="CC723" s="536"/>
      <c r="CD723" s="536"/>
      <c r="CE723" s="536"/>
      <c r="CF723" s="536"/>
      <c r="CG723" s="331"/>
      <c r="CH723" s="331"/>
      <c r="CI723" s="331"/>
      <c r="CJ723" s="331"/>
      <c r="CK723" s="331"/>
      <c r="CL723" s="2036"/>
      <c r="CM723" s="503"/>
      <c r="CN723" s="503"/>
      <c r="CO723" s="503"/>
      <c r="CP723" s="503"/>
      <c r="CQ723" s="503"/>
      <c r="CR723" s="503"/>
      <c r="CS723" s="503"/>
      <c r="CT723" s="503"/>
      <c r="CU723" s="503"/>
      <c r="CV723" s="503"/>
      <c r="CW723" s="503"/>
      <c r="CX723" s="503"/>
      <c r="CY723" s="503"/>
      <c r="CZ723" s="503"/>
      <c r="DA723" s="503"/>
      <c r="DB723" s="503"/>
      <c r="DC723" s="2124"/>
      <c r="DD723" s="331"/>
      <c r="DE723" s="331"/>
      <c r="DF723" s="502"/>
      <c r="DG723" s="503"/>
      <c r="DH723" s="537"/>
      <c r="DI723" s="3213"/>
      <c r="DJ723" s="502"/>
      <c r="DK723" s="503"/>
      <c r="DL723" s="502"/>
      <c r="DM723" s="502"/>
      <c r="DN723" s="502"/>
      <c r="DO723" s="502"/>
      <c r="DP723" s="503"/>
      <c r="DQ723" s="503"/>
      <c r="DR723" s="428"/>
      <c r="DS723" s="428"/>
      <c r="DT723" s="428"/>
    </row>
    <row r="724" spans="1:124" ht="12" customHeight="1" x14ac:dyDescent="0.25">
      <c r="A724" s="281" t="s">
        <v>894</v>
      </c>
      <c r="B724" s="281"/>
      <c r="C724" s="549"/>
      <c r="D724" s="549"/>
      <c r="E724" s="549"/>
      <c r="F724" s="549"/>
      <c r="G724" s="550"/>
      <c r="H724" s="549"/>
      <c r="I724" s="549"/>
      <c r="J724" s="549"/>
      <c r="K724" s="549"/>
      <c r="L724" s="550"/>
      <c r="M724" s="549"/>
      <c r="N724" s="549"/>
      <c r="O724" s="549"/>
      <c r="P724" s="549"/>
      <c r="Q724" s="550"/>
      <c r="R724" s="549"/>
      <c r="S724" s="549"/>
      <c r="T724" s="549"/>
      <c r="U724" s="549"/>
      <c r="V724" s="550"/>
      <c r="W724" s="549"/>
      <c r="X724" s="549"/>
      <c r="Y724" s="549"/>
      <c r="Z724" s="549"/>
      <c r="AA724" s="550"/>
      <c r="AB724" s="549"/>
      <c r="AC724" s="549"/>
      <c r="AD724" s="549"/>
      <c r="AE724" s="551"/>
      <c r="AF724" s="552"/>
      <c r="AG724" s="549"/>
      <c r="AH724" s="549"/>
      <c r="AI724" s="549"/>
      <c r="AJ724" s="551"/>
      <c r="AK724" s="552"/>
      <c r="AL724" s="549"/>
      <c r="AM724" s="549"/>
      <c r="AN724" s="549"/>
      <c r="AO724" s="551"/>
      <c r="AP724" s="553"/>
      <c r="AQ724" s="553"/>
      <c r="AR724" s="551"/>
      <c r="AS724" s="551"/>
      <c r="AT724" s="551"/>
      <c r="AU724" s="1692"/>
      <c r="AV724" s="1912"/>
      <c r="AW724" s="1839"/>
      <c r="AX724" s="1839"/>
      <c r="AY724" s="1906"/>
      <c r="AZ724" s="1692"/>
      <c r="BA724" s="553"/>
      <c r="BB724" s="551"/>
      <c r="BC724" s="551"/>
      <c r="BD724" s="1895"/>
      <c r="BE724" s="1906"/>
      <c r="BF724" s="551"/>
      <c r="BG724" s="551"/>
      <c r="BH724" s="551"/>
      <c r="BI724" s="1895"/>
      <c r="BJ724" s="1906"/>
      <c r="BK724" s="3366">
        <f t="shared" ref="BK724:CA724" si="1626">BK725+(BK726*BK$320)</f>
        <v>1898.3333333333333</v>
      </c>
      <c r="BL724" s="3366">
        <f t="shared" si="1626"/>
        <v>1897</v>
      </c>
      <c r="BM724" s="3366">
        <f t="shared" si="1626"/>
        <v>1883</v>
      </c>
      <c r="BN724" s="3366">
        <f t="shared" si="1626"/>
        <v>1891.3333333333333</v>
      </c>
      <c r="BO724" s="3367">
        <f t="shared" si="1626"/>
        <v>1891.3333333333333</v>
      </c>
      <c r="BP724" s="3366">
        <f t="shared" si="1626"/>
        <v>1884.5</v>
      </c>
      <c r="BQ724" s="551">
        <f t="shared" si="1626"/>
        <v>1884.5</v>
      </c>
      <c r="BR724" s="551">
        <f t="shared" si="1626"/>
        <v>1884.5</v>
      </c>
      <c r="BS724" s="1895">
        <f t="shared" si="1626"/>
        <v>1884.5</v>
      </c>
      <c r="BT724" s="3218">
        <f t="shared" si="1626"/>
        <v>1884.5</v>
      </c>
      <c r="BU724" s="3297">
        <f t="shared" si="1626"/>
        <v>1884.5</v>
      </c>
      <c r="BV724" s="3297">
        <f>BV725+(BV726*BV$320)</f>
        <v>1884.5</v>
      </c>
      <c r="BW724" s="3297">
        <f>BW725+(BW726*BW$320)</f>
        <v>1884.5</v>
      </c>
      <c r="BX724" s="3297">
        <f>BX725+(BX726*BX$320)</f>
        <v>1884.5</v>
      </c>
      <c r="BY724" s="3234">
        <f>BY725+(BY726*BY$320)</f>
        <v>1884.5</v>
      </c>
      <c r="BZ724" s="552">
        <f t="shared" si="1626"/>
        <v>1884.5</v>
      </c>
      <c r="CA724" s="552">
        <f t="shared" si="1626"/>
        <v>1884.5</v>
      </c>
      <c r="CB724" s="552"/>
      <c r="CC724" s="552"/>
      <c r="CD724" s="552"/>
      <c r="CE724" s="552"/>
      <c r="CF724" s="552"/>
      <c r="CG724" s="331"/>
      <c r="CH724" s="331"/>
      <c r="CI724" s="331"/>
      <c r="CJ724" s="331"/>
      <c r="CK724" s="331"/>
      <c r="CL724" s="520"/>
      <c r="CM724" s="551"/>
      <c r="CN724" s="551"/>
      <c r="CO724" s="551"/>
      <c r="CP724" s="551"/>
      <c r="CQ724" s="551"/>
      <c r="CR724" s="551"/>
      <c r="CS724" s="551"/>
      <c r="CT724" s="551"/>
      <c r="CU724" s="551"/>
      <c r="CV724" s="551"/>
      <c r="CW724" s="551"/>
      <c r="CX724" s="551"/>
      <c r="CY724" s="551"/>
      <c r="CZ724" s="551"/>
      <c r="DA724" s="551"/>
      <c r="DB724" s="551"/>
      <c r="DC724" s="1895"/>
      <c r="DD724" s="331"/>
      <c r="DE724" s="331"/>
      <c r="DF724" s="502"/>
      <c r="DG724" s="503"/>
      <c r="DH724" s="3297"/>
      <c r="DI724" s="3213"/>
      <c r="DJ724" s="502"/>
      <c r="DK724" s="503"/>
      <c r="DL724" s="502"/>
      <c r="DM724" s="502"/>
      <c r="DN724" s="502"/>
      <c r="DO724" s="502"/>
      <c r="DP724" s="503"/>
      <c r="DQ724" s="503"/>
      <c r="DR724" s="296"/>
      <c r="DS724" s="296"/>
      <c r="DT724" s="296"/>
    </row>
    <row r="725" spans="1:124" ht="12" customHeight="1" x14ac:dyDescent="0.25">
      <c r="A725" s="281" t="s">
        <v>585</v>
      </c>
      <c r="B725" s="281"/>
      <c r="C725" s="554"/>
      <c r="D725" s="554"/>
      <c r="E725" s="554"/>
      <c r="F725" s="554"/>
      <c r="G725" s="550"/>
      <c r="H725" s="554"/>
      <c r="I725" s="554"/>
      <c r="J725" s="555"/>
      <c r="K725" s="555"/>
      <c r="L725" s="552"/>
      <c r="M725" s="555"/>
      <c r="N725" s="555"/>
      <c r="O725" s="555"/>
      <c r="P725" s="554"/>
      <c r="Q725" s="550"/>
      <c r="R725" s="554"/>
      <c r="S725" s="554"/>
      <c r="T725" s="554"/>
      <c r="U725" s="554"/>
      <c r="V725" s="550"/>
      <c r="W725" s="554"/>
      <c r="X725" s="554"/>
      <c r="Y725" s="554"/>
      <c r="Z725" s="554"/>
      <c r="AA725" s="550"/>
      <c r="AB725" s="555"/>
      <c r="AC725" s="555"/>
      <c r="AD725" s="555"/>
      <c r="AE725" s="555"/>
      <c r="AF725" s="552"/>
      <c r="AG725" s="551"/>
      <c r="AH725" s="551"/>
      <c r="AI725" s="551"/>
      <c r="AJ725" s="555"/>
      <c r="AK725" s="552"/>
      <c r="AL725" s="551"/>
      <c r="AM725" s="551"/>
      <c r="AN725" s="551"/>
      <c r="AO725" s="551"/>
      <c r="AP725" s="553"/>
      <c r="AQ725" s="553"/>
      <c r="AR725" s="551"/>
      <c r="AS725" s="551"/>
      <c r="AT725" s="551"/>
      <c r="AU725" s="1692"/>
      <c r="AV725" s="1912"/>
      <c r="AW725" s="1839"/>
      <c r="AX725" s="1839"/>
      <c r="AY725" s="1906"/>
      <c r="AZ725" s="1692"/>
      <c r="BA725" s="553"/>
      <c r="BB725" s="551"/>
      <c r="BC725" s="551"/>
      <c r="BD725" s="1895"/>
      <c r="BE725" s="1906"/>
      <c r="BF725" s="551"/>
      <c r="BG725" s="551"/>
      <c r="BH725" s="551"/>
      <c r="BI725" s="1895"/>
      <c r="BJ725" s="1906"/>
      <c r="BK725" s="3366">
        <v>1748.3333333333333</v>
      </c>
      <c r="BL725" s="3366">
        <v>1747</v>
      </c>
      <c r="BM725" s="3366">
        <v>1733</v>
      </c>
      <c r="BN725" s="3368">
        <v>1741.3333333333333</v>
      </c>
      <c r="BO725" s="3368">
        <f>+BN725</f>
        <v>1741.3333333333333</v>
      </c>
      <c r="BP725" s="3366">
        <v>1734.5</v>
      </c>
      <c r="BQ725" s="551">
        <f t="shared" ref="BQ725:CA726" si="1627">+BP725</f>
        <v>1734.5</v>
      </c>
      <c r="BR725" s="551">
        <f t="shared" si="1627"/>
        <v>1734.5</v>
      </c>
      <c r="BS725" s="1895">
        <f t="shared" si="1627"/>
        <v>1734.5</v>
      </c>
      <c r="BT725" s="3218">
        <f t="shared" si="1627"/>
        <v>1734.5</v>
      </c>
      <c r="BU725" s="3297">
        <f t="shared" si="1627"/>
        <v>1734.5</v>
      </c>
      <c r="BV725" s="3297">
        <f t="shared" si="1627"/>
        <v>1734.5</v>
      </c>
      <c r="BW725" s="3297">
        <f t="shared" si="1627"/>
        <v>1734.5</v>
      </c>
      <c r="BX725" s="3297">
        <f t="shared" si="1627"/>
        <v>1734.5</v>
      </c>
      <c r="BY725" s="3234">
        <f>+BX725</f>
        <v>1734.5</v>
      </c>
      <c r="BZ725" s="552">
        <f t="shared" si="1627"/>
        <v>1734.5</v>
      </c>
      <c r="CA725" s="552">
        <f t="shared" si="1627"/>
        <v>1734.5</v>
      </c>
      <c r="CB725" s="552"/>
      <c r="CC725" s="552"/>
      <c r="CD725" s="552"/>
      <c r="CE725" s="552"/>
      <c r="CF725" s="552"/>
      <c r="CG725" s="331"/>
      <c r="CH725" s="331"/>
      <c r="CI725" s="331"/>
      <c r="CJ725" s="331"/>
      <c r="CK725" s="331"/>
      <c r="CL725" s="520"/>
      <c r="CM725" s="551"/>
      <c r="CN725" s="551"/>
      <c r="CO725" s="551"/>
      <c r="CP725" s="551"/>
      <c r="CQ725" s="551"/>
      <c r="CR725" s="551"/>
      <c r="CS725" s="551"/>
      <c r="CT725" s="551"/>
      <c r="CU725" s="551"/>
      <c r="CV725" s="551"/>
      <c r="CW725" s="551"/>
      <c r="CX725" s="551"/>
      <c r="CY725" s="551"/>
      <c r="CZ725" s="551"/>
      <c r="DA725" s="551"/>
      <c r="DB725" s="551"/>
      <c r="DC725" s="1895"/>
      <c r="DD725" s="331"/>
      <c r="DE725" s="331"/>
      <c r="DF725" s="502"/>
      <c r="DG725" s="503"/>
      <c r="DH725" s="3297"/>
      <c r="DI725" s="3213"/>
      <c r="DJ725" s="502"/>
      <c r="DK725" s="503"/>
      <c r="DL725" s="502"/>
      <c r="DM725" s="502"/>
      <c r="DN725" s="502"/>
      <c r="DO725" s="502"/>
      <c r="DP725" s="503"/>
      <c r="DQ725" s="503"/>
      <c r="DR725" s="296"/>
      <c r="DS725" s="296"/>
      <c r="DT725" s="296"/>
    </row>
    <row r="726" spans="1:124" ht="12" customHeight="1" x14ac:dyDescent="0.25">
      <c r="A726" s="281" t="s">
        <v>584</v>
      </c>
      <c r="B726" s="281"/>
      <c r="C726" s="554"/>
      <c r="D726" s="554"/>
      <c r="E726" s="554"/>
      <c r="F726" s="554"/>
      <c r="G726" s="550"/>
      <c r="H726" s="554"/>
      <c r="I726" s="554"/>
      <c r="J726" s="555"/>
      <c r="K726" s="555"/>
      <c r="L726" s="552"/>
      <c r="M726" s="555"/>
      <c r="N726" s="555"/>
      <c r="O726" s="555"/>
      <c r="P726" s="554"/>
      <c r="Q726" s="550"/>
      <c r="R726" s="554"/>
      <c r="S726" s="554"/>
      <c r="T726" s="554"/>
      <c r="U726" s="554"/>
      <c r="V726" s="550"/>
      <c r="W726" s="554"/>
      <c r="X726" s="554"/>
      <c r="Y726" s="554"/>
      <c r="Z726" s="554"/>
      <c r="AA726" s="550"/>
      <c r="AB726" s="555"/>
      <c r="AC726" s="555"/>
      <c r="AD726" s="555"/>
      <c r="AE726" s="555"/>
      <c r="AF726" s="552"/>
      <c r="AG726" s="551"/>
      <c r="AH726" s="551"/>
      <c r="AI726" s="551"/>
      <c r="AJ726" s="555"/>
      <c r="AK726" s="552"/>
      <c r="AL726" s="551"/>
      <c r="AM726" s="551"/>
      <c r="AN726" s="551"/>
      <c r="AO726" s="551"/>
      <c r="AP726" s="553"/>
      <c r="AQ726" s="553"/>
      <c r="AR726" s="551"/>
      <c r="AS726" s="551"/>
      <c r="AT726" s="551"/>
      <c r="AU726" s="1692"/>
      <c r="AV726" s="1912"/>
      <c r="AW726" s="1839"/>
      <c r="AX726" s="1839"/>
      <c r="AY726" s="1906"/>
      <c r="AZ726" s="1692"/>
      <c r="BA726" s="553"/>
      <c r="BB726" s="551"/>
      <c r="BC726" s="551"/>
      <c r="BD726" s="1895"/>
      <c r="BE726" s="1906"/>
      <c r="BF726" s="551"/>
      <c r="BG726" s="551"/>
      <c r="BH726" s="551"/>
      <c r="BI726" s="1895"/>
      <c r="BJ726" s="1906"/>
      <c r="BK726" s="3366">
        <v>25</v>
      </c>
      <c r="BL726" s="3366">
        <v>25</v>
      </c>
      <c r="BM726" s="3366">
        <v>25</v>
      </c>
      <c r="BN726" s="3368">
        <v>25</v>
      </c>
      <c r="BO726" s="3368">
        <f>+BN726</f>
        <v>25</v>
      </c>
      <c r="BP726" s="3366">
        <v>25</v>
      </c>
      <c r="BQ726" s="551">
        <f t="shared" si="1627"/>
        <v>25</v>
      </c>
      <c r="BR726" s="551">
        <f t="shared" si="1627"/>
        <v>25</v>
      </c>
      <c r="BS726" s="1895">
        <f t="shared" si="1627"/>
        <v>25</v>
      </c>
      <c r="BT726" s="3218">
        <f t="shared" si="1627"/>
        <v>25</v>
      </c>
      <c r="BU726" s="3297">
        <f t="shared" si="1627"/>
        <v>25</v>
      </c>
      <c r="BV726" s="3297">
        <f t="shared" si="1627"/>
        <v>25</v>
      </c>
      <c r="BW726" s="3297">
        <f t="shared" si="1627"/>
        <v>25</v>
      </c>
      <c r="BX726" s="3297">
        <f t="shared" si="1627"/>
        <v>25</v>
      </c>
      <c r="BY726" s="3234">
        <f>+BX726</f>
        <v>25</v>
      </c>
      <c r="BZ726" s="552">
        <f t="shared" si="1627"/>
        <v>25</v>
      </c>
      <c r="CA726" s="552">
        <f t="shared" si="1627"/>
        <v>25</v>
      </c>
      <c r="CB726" s="552"/>
      <c r="CC726" s="552"/>
      <c r="CD726" s="552"/>
      <c r="CE726" s="552"/>
      <c r="CF726" s="552"/>
      <c r="CG726" s="331"/>
      <c r="CH726" s="331"/>
      <c r="CI726" s="331"/>
      <c r="CJ726" s="331"/>
      <c r="CK726" s="331"/>
      <c r="CL726" s="520"/>
      <c r="CM726" s="551"/>
      <c r="CN726" s="551"/>
      <c r="CO726" s="551"/>
      <c r="CP726" s="551"/>
      <c r="CQ726" s="551"/>
      <c r="CR726" s="551"/>
      <c r="CS726" s="551"/>
      <c r="CT726" s="551"/>
      <c r="CU726" s="551"/>
      <c r="CV726" s="551"/>
      <c r="CW726" s="551"/>
      <c r="CX726" s="551"/>
      <c r="CY726" s="551"/>
      <c r="CZ726" s="551"/>
      <c r="DA726" s="551"/>
      <c r="DB726" s="551"/>
      <c r="DC726" s="1895"/>
      <c r="DD726" s="331"/>
      <c r="DE726" s="331"/>
      <c r="DF726" s="502"/>
      <c r="DG726" s="503"/>
      <c r="DH726" s="3297"/>
      <c r="DI726" s="3213"/>
      <c r="DJ726" s="502"/>
      <c r="DK726" s="503"/>
      <c r="DL726" s="502"/>
      <c r="DM726" s="502"/>
      <c r="DN726" s="502"/>
      <c r="DO726" s="502"/>
      <c r="DP726" s="503"/>
      <c r="DQ726" s="503"/>
      <c r="DR726" s="296"/>
      <c r="DS726" s="296"/>
      <c r="DT726" s="296"/>
    </row>
    <row r="727" spans="1:124" ht="12" customHeight="1" x14ac:dyDescent="0.25">
      <c r="A727" s="511" t="s">
        <v>2111</v>
      </c>
      <c r="B727" s="281"/>
      <c r="C727" s="554"/>
      <c r="D727" s="549"/>
      <c r="E727" s="549"/>
      <c r="F727" s="549"/>
      <c r="G727" s="550"/>
      <c r="H727" s="549"/>
      <c r="I727" s="549"/>
      <c r="J727" s="551"/>
      <c r="K727" s="555"/>
      <c r="L727" s="552"/>
      <c r="M727" s="551"/>
      <c r="N727" s="551"/>
      <c r="O727" s="551"/>
      <c r="P727" s="549"/>
      <c r="Q727" s="550"/>
      <c r="R727" s="549"/>
      <c r="S727" s="549"/>
      <c r="T727" s="549"/>
      <c r="U727" s="549"/>
      <c r="V727" s="550"/>
      <c r="W727" s="549"/>
      <c r="X727" s="549"/>
      <c r="Y727" s="549"/>
      <c r="Z727" s="549"/>
      <c r="AA727" s="550"/>
      <c r="AB727" s="549"/>
      <c r="AC727" s="549"/>
      <c r="AD727" s="549"/>
      <c r="AE727" s="551"/>
      <c r="AF727" s="552"/>
      <c r="AG727" s="549"/>
      <c r="AH727" s="549"/>
      <c r="AI727" s="549"/>
      <c r="AJ727" s="551"/>
      <c r="AK727" s="552"/>
      <c r="AL727" s="549"/>
      <c r="AM727" s="549"/>
      <c r="AN727" s="549"/>
      <c r="AO727" s="551"/>
      <c r="AP727" s="553"/>
      <c r="AQ727" s="553"/>
      <c r="AR727" s="551"/>
      <c r="AS727" s="551"/>
      <c r="AT727" s="551"/>
      <c r="AU727" s="1692"/>
      <c r="AV727" s="1912"/>
      <c r="AW727" s="1839"/>
      <c r="AX727" s="1839"/>
      <c r="AY727" s="1906"/>
      <c r="AZ727" s="1692"/>
      <c r="BA727" s="553"/>
      <c r="BB727" s="551"/>
      <c r="BC727" s="551"/>
      <c r="BD727" s="1895"/>
      <c r="BE727" s="1906"/>
      <c r="BF727" s="551"/>
      <c r="BG727" s="551"/>
      <c r="BH727" s="551"/>
      <c r="BI727" s="1895"/>
      <c r="BJ727" s="1906"/>
      <c r="BK727" s="3366">
        <f>AVERAGE(BJ724:BK724)</f>
        <v>1898.3333333333333</v>
      </c>
      <c r="BL727" s="3366">
        <f>AVERAGE(BK724:BL724)</f>
        <v>1897.6666666666665</v>
      </c>
      <c r="BM727" s="3366">
        <f>AVERAGE(BL724:BM724)</f>
        <v>1890</v>
      </c>
      <c r="BN727" s="3368">
        <f>AVERAGE(BM724:BN724)</f>
        <v>1887.1666666666665</v>
      </c>
      <c r="BO727" s="3368">
        <f>AVERAGE(BK727:BN727)</f>
        <v>1893.2916666666665</v>
      </c>
      <c r="BP727" s="3366">
        <f>AVERAGE(BO724:BP724)</f>
        <v>1887.9166666666665</v>
      </c>
      <c r="BQ727" s="551">
        <f>AVERAGE(BP724:BQ724)</f>
        <v>1884.5</v>
      </c>
      <c r="BR727" s="551">
        <f>AVERAGE(BQ724:BR724)</f>
        <v>1884.5</v>
      </c>
      <c r="BS727" s="1895">
        <f>AVERAGE(BR724:BS724)</f>
        <v>1884.5</v>
      </c>
      <c r="BT727" s="3218">
        <f>AVERAGE(BP727:BS727)</f>
        <v>1885.3541666666665</v>
      </c>
      <c r="BU727" s="3297">
        <f>AVERAGE(BT724:BU724)</f>
        <v>1884.5</v>
      </c>
      <c r="BV727" s="3297">
        <f>AVERAGE(BU724:BV724)</f>
        <v>1884.5</v>
      </c>
      <c r="BW727" s="3297">
        <f>AVERAGE(BV724:BW724)</f>
        <v>1884.5</v>
      </c>
      <c r="BX727" s="3297">
        <f>AVERAGE(BW724:BX724)</f>
        <v>1884.5</v>
      </c>
      <c r="BY727" s="3234">
        <f>AVERAGE(BU727:BX727)</f>
        <v>1884.5</v>
      </c>
      <c r="BZ727" s="552">
        <f>AVERAGE(BY724:BZ724)</f>
        <v>1884.5</v>
      </c>
      <c r="CA727" s="552">
        <f>AVERAGE(BZ724:CA724)</f>
        <v>1884.5</v>
      </c>
      <c r="CB727" s="552"/>
      <c r="CC727" s="552"/>
      <c r="CD727" s="552"/>
      <c r="CE727" s="552"/>
      <c r="CF727" s="552"/>
      <c r="CG727" s="331"/>
      <c r="CH727" s="331"/>
      <c r="CI727" s="331"/>
      <c r="CJ727" s="331"/>
      <c r="CK727" s="331"/>
      <c r="CL727" s="1118"/>
      <c r="CM727" s="551"/>
      <c r="CN727" s="551"/>
      <c r="CO727" s="551"/>
      <c r="CP727" s="551"/>
      <c r="CQ727" s="551"/>
      <c r="CR727" s="551"/>
      <c r="CS727" s="551"/>
      <c r="CT727" s="551"/>
      <c r="CU727" s="551"/>
      <c r="CV727" s="551"/>
      <c r="CW727" s="551"/>
      <c r="CX727" s="551"/>
      <c r="CY727" s="551"/>
      <c r="CZ727" s="551"/>
      <c r="DA727" s="551"/>
      <c r="DB727" s="551"/>
      <c r="DC727" s="1895"/>
      <c r="DD727" s="331"/>
      <c r="DE727" s="331"/>
      <c r="DF727" s="502"/>
      <c r="DG727" s="503"/>
      <c r="DH727" s="3297"/>
      <c r="DI727" s="3213"/>
      <c r="DJ727" s="502"/>
      <c r="DK727" s="503"/>
      <c r="DL727" s="502"/>
      <c r="DM727" s="502"/>
      <c r="DN727" s="502"/>
      <c r="DO727" s="502"/>
      <c r="DP727" s="503"/>
      <c r="DQ727" s="503"/>
      <c r="DR727" s="296"/>
      <c r="DS727" s="296"/>
      <c r="DT727" s="296"/>
    </row>
    <row r="728" spans="1:124" ht="5.0999999999999996" customHeight="1" x14ac:dyDescent="0.25">
      <c r="A728" s="281"/>
      <c r="B728" s="281"/>
      <c r="C728" s="305"/>
      <c r="D728" s="305"/>
      <c r="E728" s="305"/>
      <c r="F728" s="305"/>
      <c r="G728" s="440"/>
      <c r="H728" s="305"/>
      <c r="I728" s="305"/>
      <c r="J728" s="305"/>
      <c r="K728" s="305"/>
      <c r="L728" s="440"/>
      <c r="M728" s="305"/>
      <c r="N728" s="305"/>
      <c r="O728" s="305"/>
      <c r="P728" s="305"/>
      <c r="Q728" s="440"/>
      <c r="R728" s="305"/>
      <c r="S728" s="305"/>
      <c r="T728" s="305"/>
      <c r="U728" s="305"/>
      <c r="V728" s="440"/>
      <c r="W728" s="305"/>
      <c r="X728" s="305"/>
      <c r="Y728" s="305"/>
      <c r="Z728" s="305"/>
      <c r="AA728" s="440"/>
      <c r="AB728" s="305"/>
      <c r="AC728" s="305"/>
      <c r="AD728" s="305"/>
      <c r="AE728" s="331"/>
      <c r="AF728" s="441"/>
      <c r="AG728" s="305"/>
      <c r="AH728" s="305"/>
      <c r="AI728" s="305"/>
      <c r="AJ728" s="331"/>
      <c r="AK728" s="441"/>
      <c r="AL728" s="305"/>
      <c r="AM728" s="305"/>
      <c r="AN728" s="305"/>
      <c r="AO728" s="331"/>
      <c r="AP728" s="569"/>
      <c r="AQ728" s="569"/>
      <c r="AR728" s="442"/>
      <c r="AS728" s="442"/>
      <c r="AT728" s="442"/>
      <c r="AU728" s="1690"/>
      <c r="AV728" s="1902"/>
      <c r="AW728" s="1837"/>
      <c r="AX728" s="1837"/>
      <c r="AY728" s="1903"/>
      <c r="AZ728" s="1690"/>
      <c r="BA728" s="569"/>
      <c r="BB728" s="442"/>
      <c r="BC728" s="442"/>
      <c r="BD728" s="1312"/>
      <c r="BE728" s="1903"/>
      <c r="BF728" s="442"/>
      <c r="BG728" s="442"/>
      <c r="BH728" s="442"/>
      <c r="BI728" s="1312"/>
      <c r="BJ728" s="1903"/>
      <c r="BK728" s="3369"/>
      <c r="BL728" s="3369"/>
      <c r="BM728" s="3369"/>
      <c r="BN728" s="3370"/>
      <c r="BO728" s="3370"/>
      <c r="BP728" s="3369"/>
      <c r="BQ728" s="442"/>
      <c r="BR728" s="442"/>
      <c r="BS728" s="1312"/>
      <c r="BT728" s="3016"/>
      <c r="BU728" s="3298"/>
      <c r="BV728" s="3298"/>
      <c r="BW728" s="3298"/>
      <c r="BX728" s="3298"/>
      <c r="BY728" s="3236"/>
      <c r="BZ728" s="441"/>
      <c r="CA728" s="441"/>
      <c r="CB728" s="441"/>
      <c r="CC728" s="441"/>
      <c r="CD728" s="441"/>
      <c r="CE728" s="441"/>
      <c r="CF728" s="441"/>
      <c r="CG728" s="331"/>
      <c r="CH728" s="331"/>
      <c r="CI728" s="331"/>
      <c r="CJ728" s="331"/>
      <c r="CK728" s="331"/>
      <c r="CL728" s="520"/>
      <c r="CM728" s="442"/>
      <c r="CN728" s="442"/>
      <c r="CO728" s="442"/>
      <c r="CP728" s="442"/>
      <c r="CQ728" s="442"/>
      <c r="CR728" s="442"/>
      <c r="CS728" s="442"/>
      <c r="CT728" s="442"/>
      <c r="CU728" s="442"/>
      <c r="CV728" s="442"/>
      <c r="CW728" s="442"/>
      <c r="CX728" s="442"/>
      <c r="CY728" s="442"/>
      <c r="CZ728" s="442"/>
      <c r="DA728" s="442"/>
      <c r="DB728" s="442"/>
      <c r="DC728" s="1312"/>
      <c r="DD728" s="331"/>
      <c r="DE728" s="331"/>
      <c r="DF728" s="502"/>
      <c r="DG728" s="503"/>
      <c r="DH728" s="3298"/>
      <c r="DI728" s="3213"/>
      <c r="DJ728" s="502"/>
      <c r="DK728" s="503"/>
      <c r="DL728" s="502"/>
      <c r="DM728" s="502"/>
      <c r="DN728" s="502"/>
      <c r="DO728" s="502"/>
      <c r="DP728" s="503"/>
      <c r="DQ728" s="503"/>
      <c r="DR728" s="296"/>
      <c r="DS728" s="296"/>
      <c r="DT728" s="296"/>
    </row>
    <row r="729" spans="1:124" ht="12" customHeight="1" x14ac:dyDescent="0.25">
      <c r="A729" s="496" t="s">
        <v>1418</v>
      </c>
      <c r="B729" s="1007"/>
      <c r="C729" s="1001"/>
      <c r="D729" s="1001"/>
      <c r="E729" s="1001"/>
      <c r="F729" s="1001"/>
      <c r="G729" s="1002"/>
      <c r="H729" s="1001"/>
      <c r="I729" s="1001"/>
      <c r="J729" s="1001"/>
      <c r="K729" s="1001"/>
      <c r="L729" s="1002"/>
      <c r="M729" s="1001"/>
      <c r="N729" s="1001"/>
      <c r="O729" s="1001"/>
      <c r="P729" s="1001"/>
      <c r="Q729" s="1002"/>
      <c r="R729" s="1001"/>
      <c r="S729" s="1001"/>
      <c r="T729" s="1001"/>
      <c r="U729" s="1001"/>
      <c r="V729" s="1002"/>
      <c r="W729" s="1001"/>
      <c r="X729" s="1001"/>
      <c r="Y729" s="1001"/>
      <c r="Z729" s="1001"/>
      <c r="AA729" s="1002"/>
      <c r="AB729" s="1001"/>
      <c r="AC729" s="1001"/>
      <c r="AD729" s="1001"/>
      <c r="AE729" s="1003"/>
      <c r="AF729" s="1004"/>
      <c r="AG729" s="1001"/>
      <c r="AH729" s="1001"/>
      <c r="AI729" s="1001"/>
      <c r="AJ729" s="1001"/>
      <c r="AK729" s="1004"/>
      <c r="AL729" s="1001"/>
      <c r="AM729" s="1001"/>
      <c r="AN729" s="1592"/>
      <c r="AO729" s="1005"/>
      <c r="AP729" s="1006"/>
      <c r="AQ729" s="1006"/>
      <c r="AR729" s="1015"/>
      <c r="AS729" s="1015"/>
      <c r="AT729" s="1015"/>
      <c r="AU729" s="1698"/>
      <c r="AV729" s="1915"/>
      <c r="AW729" s="1843"/>
      <c r="AX729" s="1843"/>
      <c r="AY729" s="1910"/>
      <c r="AZ729" s="1698"/>
      <c r="BA729" s="1006"/>
      <c r="BB729" s="1015"/>
      <c r="BC729" s="1015"/>
      <c r="BD729" s="1871"/>
      <c r="BE729" s="1910"/>
      <c r="BF729" s="1015"/>
      <c r="BG729" s="1015"/>
      <c r="BH729" s="1015"/>
      <c r="BI729" s="1871"/>
      <c r="BJ729" s="1910"/>
      <c r="BK729" s="3371">
        <f>$BO$729*(BK710/$BO$710)</f>
        <v>22.414496476208907</v>
      </c>
      <c r="BL729" s="3371">
        <f>$BO$729*(BL710/$BO$710)</f>
        <v>20.77915759476927</v>
      </c>
      <c r="BM729" s="3371">
        <f>$BO$729*(BM710/$BO$710)</f>
        <v>20.970546849649274</v>
      </c>
      <c r="BN729" s="3372">
        <f>$BO$729*(BN710/$BO$710)</f>
        <v>18.125932057519531</v>
      </c>
      <c r="BO729" s="3372">
        <f>+BO736/BO737</f>
        <v>82.290132978146985</v>
      </c>
      <c r="BP729" s="3371">
        <f>BK729*(1+BP730)</f>
        <v>22.414496476208907</v>
      </c>
      <c r="BQ729" s="1015">
        <f>BL729*(1+BQ730)</f>
        <v>18.285658683396957</v>
      </c>
      <c r="BR729" s="1015">
        <f>BM729*(1+BR730)</f>
        <v>18.663786696187856</v>
      </c>
      <c r="BS729" s="1871">
        <f>BN729*(1+BS730)</f>
        <v>18.307191378094725</v>
      </c>
      <c r="BT729" s="1871">
        <f>SUM(BP729:BS729)</f>
        <v>77.67113323388844</v>
      </c>
      <c r="BU729" s="1015">
        <f>BP729*(1+BU730)</f>
        <v>22.750713923352038</v>
      </c>
      <c r="BV729" s="1015">
        <f>BQ729*(1+BV730)</f>
        <v>18.559943563647909</v>
      </c>
      <c r="BW729" s="1015">
        <f>BR729*(1+BW730)</f>
        <v>18.94374349663067</v>
      </c>
      <c r="BX729" s="1015">
        <f>BS729*(1+BX730)</f>
        <v>18.581799248766146</v>
      </c>
      <c r="BY729" s="1004">
        <f>SUM(BU729:BX729)</f>
        <v>78.836200232396763</v>
      </c>
      <c r="BZ729" s="1004">
        <f>BY729*(1+BZ730)</f>
        <v>78.836200232396763</v>
      </c>
      <c r="CA729" s="1004">
        <f>BZ729*(1+CA730)</f>
        <v>78.836200232396763</v>
      </c>
      <c r="CB729" s="1004"/>
      <c r="CC729" s="1004"/>
      <c r="CD729" s="1004"/>
      <c r="CE729" s="1004"/>
      <c r="CF729" s="1004"/>
      <c r="CG729" s="502"/>
      <c r="CH729" s="502"/>
      <c r="CI729" s="502"/>
      <c r="CJ729" s="502"/>
      <c r="CK729" s="502"/>
      <c r="CL729" s="2102"/>
      <c r="CM729" s="1015"/>
      <c r="CN729" s="1015"/>
      <c r="CO729" s="1015"/>
      <c r="CP729" s="1015"/>
      <c r="CQ729" s="1015"/>
      <c r="CR729" s="1015"/>
      <c r="CS729" s="1015"/>
      <c r="CT729" s="1015"/>
      <c r="CU729" s="1015"/>
      <c r="CV729" s="1015"/>
      <c r="CW729" s="1015"/>
      <c r="CX729" s="1015"/>
      <c r="CY729" s="1015"/>
      <c r="CZ729" s="1015"/>
      <c r="DA729" s="1015"/>
      <c r="DB729" s="1015"/>
      <c r="DC729" s="1871"/>
      <c r="DD729" s="502"/>
      <c r="DE729" s="502"/>
      <c r="DF729" s="502"/>
      <c r="DG729" s="503"/>
      <c r="DH729" s="463"/>
      <c r="DI729" s="3213"/>
      <c r="DJ729" s="502"/>
      <c r="DK729" s="503"/>
      <c r="DL729" s="502"/>
      <c r="DM729" s="502"/>
      <c r="DN729" s="502"/>
      <c r="DO729" s="502"/>
      <c r="DP729" s="503"/>
      <c r="DQ729" s="503"/>
      <c r="DR729" s="719"/>
      <c r="DS729" s="719"/>
      <c r="DT729" s="719"/>
    </row>
    <row r="730" spans="1:124" ht="12" customHeight="1" x14ac:dyDescent="0.25">
      <c r="A730" s="465" t="s">
        <v>1491</v>
      </c>
      <c r="B730" s="466"/>
      <c r="C730" s="467"/>
      <c r="D730" s="467"/>
      <c r="E730" s="467"/>
      <c r="F730" s="467"/>
      <c r="G730" s="468"/>
      <c r="H730" s="467"/>
      <c r="I730" s="467"/>
      <c r="J730" s="467"/>
      <c r="K730" s="467"/>
      <c r="L730" s="468"/>
      <c r="M730" s="467"/>
      <c r="N730" s="467"/>
      <c r="O730" s="467"/>
      <c r="P730" s="467"/>
      <c r="Q730" s="468"/>
      <c r="R730" s="467"/>
      <c r="S730" s="467"/>
      <c r="T730" s="467"/>
      <c r="U730" s="467"/>
      <c r="V730" s="468"/>
      <c r="W730" s="467"/>
      <c r="X730" s="467"/>
      <c r="Y730" s="467"/>
      <c r="Z730" s="467"/>
      <c r="AA730" s="468"/>
      <c r="AB730" s="467"/>
      <c r="AC730" s="467"/>
      <c r="AD730" s="467"/>
      <c r="AE730" s="469"/>
      <c r="AF730" s="470"/>
      <c r="AG730" s="467"/>
      <c r="AH730" s="467"/>
      <c r="AI730" s="467"/>
      <c r="AJ730" s="467"/>
      <c r="AK730" s="470"/>
      <c r="AL730" s="467"/>
      <c r="AM730" s="467"/>
      <c r="AN730" s="538"/>
      <c r="AO730" s="538"/>
      <c r="AP730" s="471"/>
      <c r="AQ730" s="1667"/>
      <c r="AR730" s="540"/>
      <c r="AS730" s="540"/>
      <c r="AT730" s="540"/>
      <c r="AU730" s="1689"/>
      <c r="AV730" s="1667"/>
      <c r="AW730" s="540"/>
      <c r="AX730" s="540"/>
      <c r="AY730" s="1668"/>
      <c r="AZ730" s="1689"/>
      <c r="BA730" s="1667"/>
      <c r="BB730" s="2565"/>
      <c r="BC730" s="540"/>
      <c r="BD730" s="1668"/>
      <c r="BE730" s="1868"/>
      <c r="BF730" s="540"/>
      <c r="BG730" s="540"/>
      <c r="BH730" s="540"/>
      <c r="BI730" s="1668"/>
      <c r="BJ730" s="1868"/>
      <c r="BK730" s="3373"/>
      <c r="BL730" s="3373"/>
      <c r="BM730" s="3373"/>
      <c r="BN730" s="3373"/>
      <c r="BO730" s="3374"/>
      <c r="BP730" s="3373">
        <v>0</v>
      </c>
      <c r="BQ730" s="540">
        <v>-0.12</v>
      </c>
      <c r="BR730" s="540">
        <v>-0.11</v>
      </c>
      <c r="BS730" s="1668">
        <v>0.01</v>
      </c>
      <c r="BT730" s="1463">
        <f>+BT729/BO729-1</f>
        <v>-5.6130663265365865E-2</v>
      </c>
      <c r="BU730" s="540">
        <v>1.4999999999999999E-2</v>
      </c>
      <c r="BV730" s="540">
        <v>1.4999999999999999E-2</v>
      </c>
      <c r="BW730" s="540">
        <v>1.4999999999999999E-2</v>
      </c>
      <c r="BX730" s="540">
        <v>1.4999999999999999E-2</v>
      </c>
      <c r="BY730" s="470">
        <f>+BY729/BT729-1</f>
        <v>1.4999999999999902E-2</v>
      </c>
      <c r="BZ730" s="2563">
        <v>0</v>
      </c>
      <c r="CA730" s="2563">
        <v>0</v>
      </c>
      <c r="CB730" s="2563"/>
      <c r="CC730" s="2563"/>
      <c r="CD730" s="2563"/>
      <c r="CE730" s="2563"/>
      <c r="CF730" s="2563"/>
      <c r="CG730" s="492"/>
      <c r="CH730" s="492"/>
      <c r="CI730" s="492"/>
      <c r="CJ730" s="492"/>
      <c r="CK730" s="492"/>
      <c r="CL730" s="1310"/>
      <c r="CM730" s="469"/>
      <c r="CN730" s="469"/>
      <c r="CO730" s="469"/>
      <c r="CP730" s="469"/>
      <c r="CQ730" s="469"/>
      <c r="CR730" s="469"/>
      <c r="CS730" s="469"/>
      <c r="CT730" s="469"/>
      <c r="CU730" s="469"/>
      <c r="CV730" s="469"/>
      <c r="CW730" s="469"/>
      <c r="CX730" s="469"/>
      <c r="CY730" s="469"/>
      <c r="CZ730" s="469"/>
      <c r="DA730" s="469"/>
      <c r="DB730" s="469"/>
      <c r="DC730" s="1463"/>
      <c r="DD730" s="492"/>
      <c r="DE730" s="492"/>
      <c r="DF730" s="962"/>
      <c r="DG730" s="962"/>
      <c r="DH730" s="469"/>
      <c r="DI730" s="3213"/>
      <c r="DJ730" s="962"/>
      <c r="DK730" s="962"/>
      <c r="DL730" s="962"/>
      <c r="DM730" s="962"/>
      <c r="DN730" s="962"/>
      <c r="DO730" s="962"/>
      <c r="DP730" s="962"/>
      <c r="DQ730" s="962"/>
      <c r="DR730" s="963"/>
      <c r="DS730" s="963"/>
      <c r="DT730" s="963"/>
    </row>
    <row r="731" spans="1:124" ht="5.0999999999999996" customHeight="1" x14ac:dyDescent="0.25">
      <c r="A731" s="281"/>
      <c r="B731" s="281"/>
      <c r="C731" s="305"/>
      <c r="D731" s="305"/>
      <c r="E731" s="305"/>
      <c r="F731" s="305"/>
      <c r="G731" s="440"/>
      <c r="H731" s="305"/>
      <c r="I731" s="305"/>
      <c r="J731" s="305"/>
      <c r="K731" s="305"/>
      <c r="L731" s="440"/>
      <c r="M731" s="305"/>
      <c r="N731" s="305"/>
      <c r="O731" s="305"/>
      <c r="P731" s="305"/>
      <c r="Q731" s="440"/>
      <c r="R731" s="305"/>
      <c r="S731" s="305"/>
      <c r="T731" s="305"/>
      <c r="U731" s="305"/>
      <c r="V731" s="440"/>
      <c r="W731" s="305"/>
      <c r="X731" s="305"/>
      <c r="Y731" s="305"/>
      <c r="Z731" s="305"/>
      <c r="AA731" s="440"/>
      <c r="AB731" s="305"/>
      <c r="AC731" s="305"/>
      <c r="AD731" s="305"/>
      <c r="AE731" s="331"/>
      <c r="AF731" s="441"/>
      <c r="AG731" s="305"/>
      <c r="AH731" s="305"/>
      <c r="AI731" s="305"/>
      <c r="AJ731" s="331"/>
      <c r="AK731" s="441"/>
      <c r="AL731" s="305"/>
      <c r="AM731" s="305"/>
      <c r="AN731" s="305"/>
      <c r="AO731" s="331"/>
      <c r="AP731" s="569"/>
      <c r="AQ731" s="569"/>
      <c r="AR731" s="442"/>
      <c r="AS731" s="442"/>
      <c r="AT731" s="442"/>
      <c r="AU731" s="1690"/>
      <c r="AV731" s="1902"/>
      <c r="AW731" s="1837"/>
      <c r="AX731" s="1837"/>
      <c r="AY731" s="1903"/>
      <c r="AZ731" s="1690"/>
      <c r="BA731" s="569"/>
      <c r="BB731" s="442"/>
      <c r="BC731" s="442"/>
      <c r="BD731" s="1312"/>
      <c r="BE731" s="1903"/>
      <c r="BF731" s="442"/>
      <c r="BG731" s="442"/>
      <c r="BH731" s="442"/>
      <c r="BI731" s="1312"/>
      <c r="BJ731" s="1903"/>
      <c r="BK731" s="3369"/>
      <c r="BL731" s="3369"/>
      <c r="BM731" s="3369"/>
      <c r="BN731" s="3370"/>
      <c r="BO731" s="3370"/>
      <c r="BP731" s="3369"/>
      <c r="BQ731" s="442"/>
      <c r="BR731" s="442"/>
      <c r="BS731" s="1312"/>
      <c r="BT731" s="3016"/>
      <c r="BU731" s="3298"/>
      <c r="BV731" s="3298"/>
      <c r="BW731" s="3298"/>
      <c r="BX731" s="3298"/>
      <c r="BY731" s="3236"/>
      <c r="BZ731" s="441"/>
      <c r="CA731" s="441"/>
      <c r="CB731" s="441"/>
      <c r="CC731" s="441"/>
      <c r="CD731" s="441"/>
      <c r="CE731" s="441"/>
      <c r="CF731" s="441"/>
      <c r="CG731" s="331"/>
      <c r="CH731" s="331"/>
      <c r="CI731" s="331"/>
      <c r="CJ731" s="331"/>
      <c r="CK731" s="331"/>
      <c r="CL731" s="520"/>
      <c r="CM731" s="442"/>
      <c r="CN731" s="442"/>
      <c r="CO731" s="442"/>
      <c r="CP731" s="442"/>
      <c r="CQ731" s="442"/>
      <c r="CR731" s="442"/>
      <c r="CS731" s="442"/>
      <c r="CT731" s="442"/>
      <c r="CU731" s="442"/>
      <c r="CV731" s="442"/>
      <c r="CW731" s="442"/>
      <c r="CX731" s="442"/>
      <c r="CY731" s="442"/>
      <c r="CZ731" s="442"/>
      <c r="DA731" s="442"/>
      <c r="DB731" s="442"/>
      <c r="DC731" s="1312"/>
      <c r="DD731" s="331"/>
      <c r="DE731" s="331"/>
      <c r="DF731" s="502"/>
      <c r="DG731" s="503"/>
      <c r="DH731" s="3298"/>
      <c r="DI731" s="3213"/>
      <c r="DJ731" s="502"/>
      <c r="DK731" s="503"/>
      <c r="DL731" s="502"/>
      <c r="DM731" s="502"/>
      <c r="DN731" s="502"/>
      <c r="DO731" s="502"/>
      <c r="DP731" s="503"/>
      <c r="DQ731" s="503"/>
      <c r="DR731" s="296"/>
      <c r="DS731" s="296"/>
      <c r="DT731" s="296"/>
    </row>
    <row r="732" spans="1:124" ht="12" customHeight="1" x14ac:dyDescent="0.25">
      <c r="A732" s="311" t="s">
        <v>601</v>
      </c>
      <c r="B732" s="281"/>
      <c r="C732" s="446"/>
      <c r="D732" s="446"/>
      <c r="E732" s="446"/>
      <c r="F732" s="446"/>
      <c r="G732" s="447"/>
      <c r="H732" s="446"/>
      <c r="I732" s="446"/>
      <c r="J732" s="446"/>
      <c r="K732" s="446"/>
      <c r="L732" s="447"/>
      <c r="M732" s="446"/>
      <c r="N732" s="446"/>
      <c r="O732" s="446"/>
      <c r="P732" s="446"/>
      <c r="Q732" s="447"/>
      <c r="R732" s="446"/>
      <c r="S732" s="446"/>
      <c r="T732" s="446"/>
      <c r="U732" s="446"/>
      <c r="V732" s="447"/>
      <c r="W732" s="446"/>
      <c r="X732" s="446"/>
      <c r="Y732" s="446"/>
      <c r="Z732" s="446"/>
      <c r="AA732" s="447"/>
      <c r="AB732" s="446"/>
      <c r="AC732" s="446"/>
      <c r="AD732" s="446"/>
      <c r="AE732" s="446"/>
      <c r="AF732" s="455"/>
      <c r="AG732" s="446"/>
      <c r="AH732" s="446"/>
      <c r="AI732" s="446"/>
      <c r="AJ732" s="446"/>
      <c r="AK732" s="455"/>
      <c r="AL732" s="446"/>
      <c r="AM732" s="446"/>
      <c r="AN732" s="446"/>
      <c r="AO732" s="446"/>
      <c r="AP732" s="456"/>
      <c r="AQ732" s="456"/>
      <c r="AR732" s="454"/>
      <c r="AS732" s="454"/>
      <c r="AT732" s="454"/>
      <c r="AU732" s="1693"/>
      <c r="AV732" s="1863"/>
      <c r="AW732" s="1841"/>
      <c r="AX732" s="1841"/>
      <c r="AY732" s="1864"/>
      <c r="AZ732" s="1693"/>
      <c r="BA732" s="456"/>
      <c r="BB732" s="454"/>
      <c r="BC732" s="454"/>
      <c r="BD732" s="1666"/>
      <c r="BE732" s="1864"/>
      <c r="BF732" s="454"/>
      <c r="BG732" s="454"/>
      <c r="BH732" s="454"/>
      <c r="BI732" s="1666"/>
      <c r="BJ732" s="1864"/>
      <c r="BK732" s="3375">
        <f>+BK729-BK736</f>
        <v>15.059105477651888</v>
      </c>
      <c r="BL732" s="3375">
        <f>+BL729-BL736</f>
        <v>15.24960566244547</v>
      </c>
      <c r="BM732" s="3375">
        <f>+BM729-BM736</f>
        <v>16.021558330853502</v>
      </c>
      <c r="BN732" s="3376">
        <f>+BN729-BN736</f>
        <v>14.959863507196124</v>
      </c>
      <c r="BO732" s="3376">
        <f>+BO729-BO736</f>
        <v>61.290132978146985</v>
      </c>
      <c r="BP732" s="3375">
        <f>BK732*(1+BP734)</f>
        <v>15.059105477651888</v>
      </c>
      <c r="BQ732" s="454">
        <f>BL732*(1+BQ734)</f>
        <v>13.343404954639785</v>
      </c>
      <c r="BR732" s="454">
        <f>BM732*(1+BR734)</f>
        <v>14.018863539496813</v>
      </c>
      <c r="BS732" s="1666">
        <f>BN732*(1+BS734)</f>
        <v>15.109462142268086</v>
      </c>
      <c r="BT732" s="3070">
        <f>SUM(BP732:BS732)</f>
        <v>57.530836114056569</v>
      </c>
      <c r="BU732" s="2915">
        <f>BP732*(1+BU734)</f>
        <v>15.510878641981446</v>
      </c>
      <c r="BV732" s="2915">
        <f>BQ732*(1+BV734)</f>
        <v>13.410121979412983</v>
      </c>
      <c r="BW732" s="2915">
        <f>BR732*(1+BW734)</f>
        <v>14.088957857194295</v>
      </c>
      <c r="BX732" s="2915">
        <f>BS732*(1+BX734)</f>
        <v>15.185009452979426</v>
      </c>
      <c r="BY732" s="3066">
        <f>SUM(BU732:BX732)</f>
        <v>58.194967931568144</v>
      </c>
      <c r="BZ732" s="455">
        <f>BY732*(1+BZ734)</f>
        <v>56.74009373327894</v>
      </c>
      <c r="CA732" s="455">
        <f>BZ732*(1+CA734)</f>
        <v>57.307494670611732</v>
      </c>
      <c r="CB732" s="455"/>
      <c r="CC732" s="455"/>
      <c r="CD732" s="455"/>
      <c r="CE732" s="455"/>
      <c r="CF732" s="455"/>
      <c r="CG732" s="331"/>
      <c r="CH732" s="331"/>
      <c r="CI732" s="331"/>
      <c r="CJ732" s="331"/>
      <c r="CK732" s="331"/>
      <c r="CL732" s="528"/>
      <c r="CM732" s="454"/>
      <c r="CN732" s="454"/>
      <c r="CO732" s="454"/>
      <c r="CP732" s="454"/>
      <c r="CQ732" s="454"/>
      <c r="CR732" s="454"/>
      <c r="CS732" s="454"/>
      <c r="CT732" s="454"/>
      <c r="CU732" s="454"/>
      <c r="CV732" s="454"/>
      <c r="CW732" s="454"/>
      <c r="CX732" s="454"/>
      <c r="CY732" s="454"/>
      <c r="CZ732" s="454"/>
      <c r="DA732" s="454"/>
      <c r="DB732" s="454"/>
      <c r="DC732" s="1666"/>
      <c r="DD732" s="331"/>
      <c r="DE732" s="331"/>
      <c r="DF732" s="502"/>
      <c r="DG732" s="503"/>
      <c r="DH732" s="2915"/>
      <c r="DI732" s="3213"/>
      <c r="DJ732" s="502"/>
      <c r="DK732" s="503"/>
      <c r="DL732" s="502"/>
      <c r="DM732" s="502"/>
      <c r="DN732" s="502"/>
      <c r="DO732" s="502"/>
      <c r="DP732" s="503"/>
      <c r="DQ732" s="503"/>
      <c r="DR732" s="296"/>
      <c r="DS732" s="296"/>
      <c r="DT732" s="296"/>
    </row>
    <row r="733" spans="1:124" ht="12" customHeight="1" x14ac:dyDescent="0.25">
      <c r="A733" s="465" t="s">
        <v>646</v>
      </c>
      <c r="B733" s="466"/>
      <c r="C733" s="467"/>
      <c r="D733" s="467"/>
      <c r="E733" s="467"/>
      <c r="F733" s="467"/>
      <c r="G733" s="468"/>
      <c r="H733" s="467"/>
      <c r="I733" s="467"/>
      <c r="J733" s="467"/>
      <c r="K733" s="467"/>
      <c r="L733" s="468"/>
      <c r="M733" s="467"/>
      <c r="N733" s="467"/>
      <c r="O733" s="467"/>
      <c r="P733" s="467"/>
      <c r="Q733" s="468"/>
      <c r="R733" s="467"/>
      <c r="S733" s="467"/>
      <c r="T733" s="467"/>
      <c r="U733" s="467"/>
      <c r="V733" s="468"/>
      <c r="W733" s="467"/>
      <c r="X733" s="467"/>
      <c r="Y733" s="467"/>
      <c r="Z733" s="467"/>
      <c r="AA733" s="468"/>
      <c r="AB733" s="467"/>
      <c r="AC733" s="467"/>
      <c r="AD733" s="467"/>
      <c r="AE733" s="469"/>
      <c r="AF733" s="470"/>
      <c r="AG733" s="467"/>
      <c r="AH733" s="467"/>
      <c r="AI733" s="467"/>
      <c r="AJ733" s="469"/>
      <c r="AK733" s="470"/>
      <c r="AL733" s="467"/>
      <c r="AM733" s="467"/>
      <c r="AN733" s="467"/>
      <c r="AO733" s="469"/>
      <c r="AP733" s="471"/>
      <c r="AQ733" s="471"/>
      <c r="AR733" s="469"/>
      <c r="AS733" s="469"/>
      <c r="AT733" s="469"/>
      <c r="AU733" s="1689"/>
      <c r="AV733" s="1730"/>
      <c r="AW733" s="1465"/>
      <c r="AX733" s="1465"/>
      <c r="AY733" s="1868"/>
      <c r="AZ733" s="1689"/>
      <c r="BA733" s="471"/>
      <c r="BB733" s="469"/>
      <c r="BC733" s="469"/>
      <c r="BD733" s="1463"/>
      <c r="BE733" s="1868"/>
      <c r="BF733" s="469"/>
      <c r="BG733" s="469"/>
      <c r="BH733" s="469"/>
      <c r="BI733" s="1463"/>
      <c r="BJ733" s="1868"/>
      <c r="BK733" s="3373">
        <f t="shared" ref="BK733:CA733" si="1628">BK732/BK729</f>
        <v>0.67184669946237052</v>
      </c>
      <c r="BL733" s="3373">
        <f t="shared" si="1628"/>
        <v>0.73388950408096654</v>
      </c>
      <c r="BM733" s="3373">
        <f t="shared" si="1628"/>
        <v>0.76400288679746364</v>
      </c>
      <c r="BN733" s="3377">
        <f t="shared" si="1628"/>
        <v>0.82532933808443987</v>
      </c>
      <c r="BO733" s="3377">
        <f t="shared" si="1628"/>
        <v>0.74480537046189033</v>
      </c>
      <c r="BP733" s="3373">
        <f t="shared" si="1628"/>
        <v>0.67184669946237052</v>
      </c>
      <c r="BQ733" s="469">
        <f t="shared" si="1628"/>
        <v>0.72971967735323384</v>
      </c>
      <c r="BR733" s="469">
        <f t="shared" si="1628"/>
        <v>0.75112643364919163</v>
      </c>
      <c r="BS733" s="1463">
        <f t="shared" si="1628"/>
        <v>0.82532933808443998</v>
      </c>
      <c r="BT733" s="1463">
        <f t="shared" si="1628"/>
        <v>0.74069778202946934</v>
      </c>
      <c r="BU733" s="469">
        <f t="shared" si="1628"/>
        <v>0.68177546841994263</v>
      </c>
      <c r="BV733" s="469">
        <f>BV732/BV729</f>
        <v>0.72253032092610836</v>
      </c>
      <c r="BW733" s="469">
        <f>BW732/BW729</f>
        <v>0.74372617321915035</v>
      </c>
      <c r="BX733" s="469">
        <f>BX732/BX729</f>
        <v>0.81719801455651442</v>
      </c>
      <c r="BY733" s="470">
        <f>BY732/BY729</f>
        <v>0.73817570811401989</v>
      </c>
      <c r="BZ733" s="470">
        <f t="shared" si="1628"/>
        <v>0.71972131541116946</v>
      </c>
      <c r="CA733" s="470">
        <f t="shared" si="1628"/>
        <v>0.72691852856528116</v>
      </c>
      <c r="CB733" s="470"/>
      <c r="CC733" s="470"/>
      <c r="CD733" s="470"/>
      <c r="CE733" s="470"/>
      <c r="CF733" s="470"/>
      <c r="CG733" s="492"/>
      <c r="CH733" s="492"/>
      <c r="CI733" s="492"/>
      <c r="CJ733" s="492"/>
      <c r="CK733" s="492"/>
      <c r="CL733" s="1310"/>
      <c r="CM733" s="469"/>
      <c r="CN733" s="469"/>
      <c r="CO733" s="469"/>
      <c r="CP733" s="469"/>
      <c r="CQ733" s="469"/>
      <c r="CR733" s="469"/>
      <c r="CS733" s="469"/>
      <c r="CT733" s="469"/>
      <c r="CU733" s="469"/>
      <c r="CV733" s="469"/>
      <c r="CW733" s="469"/>
      <c r="CX733" s="469"/>
      <c r="CY733" s="469"/>
      <c r="CZ733" s="469"/>
      <c r="DA733" s="469"/>
      <c r="DB733" s="469"/>
      <c r="DC733" s="1463"/>
      <c r="DD733" s="492"/>
      <c r="DE733" s="492"/>
      <c r="DF733" s="962"/>
      <c r="DG733" s="962"/>
      <c r="DH733" s="469"/>
      <c r="DI733" s="3213"/>
      <c r="DJ733" s="962"/>
      <c r="DK733" s="962"/>
      <c r="DL733" s="962"/>
      <c r="DM733" s="962"/>
      <c r="DN733" s="962"/>
      <c r="DO733" s="962"/>
      <c r="DP733" s="962"/>
      <c r="DQ733" s="962"/>
      <c r="DR733" s="963"/>
      <c r="DS733" s="963"/>
      <c r="DT733" s="963"/>
    </row>
    <row r="734" spans="1:124" ht="12" customHeight="1" x14ac:dyDescent="0.25">
      <c r="A734" s="465" t="s">
        <v>1491</v>
      </c>
      <c r="B734" s="466"/>
      <c r="C734" s="467"/>
      <c r="D734" s="467"/>
      <c r="E734" s="467"/>
      <c r="F734" s="467"/>
      <c r="G734" s="468"/>
      <c r="H734" s="467"/>
      <c r="I734" s="467"/>
      <c r="J734" s="467"/>
      <c r="K734" s="467"/>
      <c r="L734" s="468"/>
      <c r="M734" s="467"/>
      <c r="N734" s="467"/>
      <c r="O734" s="467"/>
      <c r="P734" s="467"/>
      <c r="Q734" s="468"/>
      <c r="R734" s="467"/>
      <c r="S734" s="467"/>
      <c r="T734" s="467"/>
      <c r="U734" s="467"/>
      <c r="V734" s="468"/>
      <c r="W734" s="467"/>
      <c r="X734" s="467"/>
      <c r="Y734" s="467"/>
      <c r="Z734" s="467"/>
      <c r="AA734" s="468"/>
      <c r="AB734" s="467"/>
      <c r="AC734" s="467"/>
      <c r="AD734" s="467"/>
      <c r="AE734" s="469"/>
      <c r="AF734" s="470"/>
      <c r="AG734" s="467"/>
      <c r="AH734" s="467"/>
      <c r="AI734" s="467"/>
      <c r="AJ734" s="467"/>
      <c r="AK734" s="470"/>
      <c r="AL734" s="467"/>
      <c r="AM734" s="467"/>
      <c r="AN734" s="538"/>
      <c r="AO734" s="540"/>
      <c r="AP734" s="471"/>
      <c r="AQ734" s="1667"/>
      <c r="AR734" s="540"/>
      <c r="AS734" s="540"/>
      <c r="AT734" s="540"/>
      <c r="AU734" s="1689"/>
      <c r="AV734" s="1667"/>
      <c r="AW734" s="540"/>
      <c r="AX734" s="540"/>
      <c r="AY734" s="1668"/>
      <c r="AZ734" s="1689"/>
      <c r="BA734" s="1667"/>
      <c r="BB734" s="540"/>
      <c r="BC734" s="540"/>
      <c r="BD734" s="1668"/>
      <c r="BE734" s="1868"/>
      <c r="BF734" s="540"/>
      <c r="BG734" s="540"/>
      <c r="BH734" s="540"/>
      <c r="BI734" s="540"/>
      <c r="BJ734" s="1689"/>
      <c r="BK734" s="3373"/>
      <c r="BL734" s="3373"/>
      <c r="BM734" s="3373"/>
      <c r="BN734" s="3377"/>
      <c r="BO734" s="3378"/>
      <c r="BP734" s="3373">
        <v>0</v>
      </c>
      <c r="BQ734" s="540">
        <v>-0.125</v>
      </c>
      <c r="BR734" s="540">
        <v>-0.125</v>
      </c>
      <c r="BS734" s="1668">
        <v>0.01</v>
      </c>
      <c r="BT734" s="1463">
        <f>(BT732-BO732)/BO732</f>
        <v>-6.1336085947648285E-2</v>
      </c>
      <c r="BU734" s="540">
        <v>0.03</v>
      </c>
      <c r="BV734" s="540">
        <v>5.0000000000000001E-3</v>
      </c>
      <c r="BW734" s="540">
        <v>5.0000000000000001E-3</v>
      </c>
      <c r="BX734" s="540">
        <v>5.0000000000000001E-3</v>
      </c>
      <c r="BY734" s="470">
        <f>(BY732-BT732)/BT732</f>
        <v>1.1543927785004088E-2</v>
      </c>
      <c r="BZ734" s="539">
        <v>-2.5000000000000001E-2</v>
      </c>
      <c r="CA734" s="2563">
        <v>0.01</v>
      </c>
      <c r="CB734" s="2563"/>
      <c r="CC734" s="2563"/>
      <c r="CD734" s="2563"/>
      <c r="CE734" s="2563"/>
      <c r="CF734" s="2563"/>
      <c r="CG734" s="492"/>
      <c r="CH734" s="492"/>
      <c r="CI734" s="492"/>
      <c r="CJ734" s="492"/>
      <c r="CK734" s="492"/>
      <c r="CL734" s="1310"/>
      <c r="CM734" s="469"/>
      <c r="CN734" s="469"/>
      <c r="CO734" s="469"/>
      <c r="CP734" s="469"/>
      <c r="CQ734" s="469"/>
      <c r="CR734" s="469"/>
      <c r="CS734" s="469"/>
      <c r="CT734" s="469"/>
      <c r="CU734" s="469"/>
      <c r="CV734" s="469"/>
      <c r="CW734" s="469"/>
      <c r="CX734" s="469"/>
      <c r="CY734" s="469"/>
      <c r="CZ734" s="469"/>
      <c r="DA734" s="469"/>
      <c r="DB734" s="469"/>
      <c r="DC734" s="1463"/>
      <c r="DD734" s="492"/>
      <c r="DE734" s="492"/>
      <c r="DF734" s="962"/>
      <c r="DG734" s="962"/>
      <c r="DH734" s="469"/>
      <c r="DI734" s="3213"/>
      <c r="DJ734" s="962"/>
      <c r="DK734" s="962"/>
      <c r="DL734" s="962"/>
      <c r="DM734" s="962"/>
      <c r="DN734" s="962"/>
      <c r="DO734" s="962"/>
      <c r="DP734" s="962"/>
      <c r="DQ734" s="962"/>
      <c r="DR734" s="963"/>
      <c r="DS734" s="963"/>
      <c r="DT734" s="963"/>
    </row>
    <row r="735" spans="1:124" ht="5.0999999999999996" customHeight="1" x14ac:dyDescent="0.25">
      <c r="A735" s="281"/>
      <c r="B735" s="281"/>
      <c r="C735" s="305"/>
      <c r="D735" s="305"/>
      <c r="E735" s="305"/>
      <c r="F735" s="305"/>
      <c r="G735" s="440"/>
      <c r="H735" s="305"/>
      <c r="I735" s="305"/>
      <c r="J735" s="305"/>
      <c r="K735" s="305"/>
      <c r="L735" s="440"/>
      <c r="M735" s="305"/>
      <c r="N735" s="305"/>
      <c r="O735" s="305"/>
      <c r="P735" s="305"/>
      <c r="Q735" s="440"/>
      <c r="R735" s="305"/>
      <c r="S735" s="305"/>
      <c r="T735" s="305"/>
      <c r="U735" s="305"/>
      <c r="V735" s="440"/>
      <c r="W735" s="305"/>
      <c r="X735" s="305"/>
      <c r="Y735" s="305"/>
      <c r="Z735" s="305"/>
      <c r="AA735" s="440"/>
      <c r="AB735" s="305"/>
      <c r="AC735" s="305"/>
      <c r="AD735" s="305"/>
      <c r="AE735" s="331"/>
      <c r="AF735" s="441"/>
      <c r="AG735" s="305"/>
      <c r="AH735" s="305"/>
      <c r="AI735" s="305"/>
      <c r="AJ735" s="331"/>
      <c r="AK735" s="441"/>
      <c r="AL735" s="305"/>
      <c r="AM735" s="305"/>
      <c r="AN735" s="305"/>
      <c r="AO735" s="331"/>
      <c r="AP735" s="569"/>
      <c r="AQ735" s="569"/>
      <c r="AR735" s="442"/>
      <c r="AS735" s="442"/>
      <c r="AT735" s="442"/>
      <c r="AU735" s="1690"/>
      <c r="AV735" s="1902"/>
      <c r="AW735" s="1837"/>
      <c r="AX735" s="1837"/>
      <c r="AY735" s="1903"/>
      <c r="AZ735" s="1690"/>
      <c r="BA735" s="569"/>
      <c r="BB735" s="442"/>
      <c r="BC735" s="442"/>
      <c r="BD735" s="1312"/>
      <c r="BE735" s="1903"/>
      <c r="BF735" s="442"/>
      <c r="BG735" s="442"/>
      <c r="BH735" s="442"/>
      <c r="BI735" s="1312"/>
      <c r="BJ735" s="1903"/>
      <c r="BK735" s="3369"/>
      <c r="BL735" s="3369"/>
      <c r="BM735" s="3369"/>
      <c r="BN735" s="3370"/>
      <c r="BO735" s="3370"/>
      <c r="BP735" s="3369"/>
      <c r="BQ735" s="442"/>
      <c r="BR735" s="442"/>
      <c r="BS735" s="1312"/>
      <c r="BT735" s="3016"/>
      <c r="BU735" s="3298"/>
      <c r="BV735" s="3298"/>
      <c r="BW735" s="3298"/>
      <c r="BX735" s="3298"/>
      <c r="BY735" s="3236"/>
      <c r="BZ735" s="441"/>
      <c r="CA735" s="441"/>
      <c r="CB735" s="441"/>
      <c r="CC735" s="441"/>
      <c r="CD735" s="441"/>
      <c r="CE735" s="441"/>
      <c r="CF735" s="441"/>
      <c r="CG735" s="331"/>
      <c r="CH735" s="331"/>
      <c r="CI735" s="331"/>
      <c r="CJ735" s="331"/>
      <c r="CK735" s="331"/>
      <c r="CL735" s="520"/>
      <c r="CM735" s="442"/>
      <c r="CN735" s="442"/>
      <c r="CO735" s="442"/>
      <c r="CP735" s="442"/>
      <c r="CQ735" s="442"/>
      <c r="CR735" s="442"/>
      <c r="CS735" s="442"/>
      <c r="CT735" s="442"/>
      <c r="CU735" s="442"/>
      <c r="CV735" s="442"/>
      <c r="CW735" s="442"/>
      <c r="CX735" s="442"/>
      <c r="CY735" s="442"/>
      <c r="CZ735" s="442"/>
      <c r="DA735" s="442"/>
      <c r="DB735" s="442"/>
      <c r="DC735" s="1312"/>
      <c r="DD735" s="331"/>
      <c r="DE735" s="331"/>
      <c r="DF735" s="502"/>
      <c r="DG735" s="503"/>
      <c r="DH735" s="3298"/>
      <c r="DI735" s="3213"/>
      <c r="DJ735" s="502"/>
      <c r="DK735" s="503"/>
      <c r="DL735" s="502"/>
      <c r="DM735" s="502"/>
      <c r="DN735" s="502"/>
      <c r="DO735" s="502"/>
      <c r="DP735" s="503"/>
      <c r="DQ735" s="503"/>
      <c r="DR735" s="296"/>
      <c r="DS735" s="296"/>
      <c r="DT735" s="296"/>
    </row>
    <row r="736" spans="1:124" ht="12" customHeight="1" x14ac:dyDescent="0.25">
      <c r="A736" s="999" t="s">
        <v>2010</v>
      </c>
      <c r="B736" s="1007"/>
      <c r="C736" s="1001"/>
      <c r="D736" s="1001"/>
      <c r="E736" s="1001"/>
      <c r="F736" s="1001"/>
      <c r="G736" s="1002"/>
      <c r="H736" s="1001"/>
      <c r="I736" s="1001"/>
      <c r="J736" s="1001"/>
      <c r="K736" s="1001"/>
      <c r="L736" s="1002"/>
      <c r="M736" s="1001"/>
      <c r="N736" s="1001"/>
      <c r="O736" s="1001"/>
      <c r="P736" s="1001"/>
      <c r="Q736" s="1002"/>
      <c r="R736" s="1001"/>
      <c r="S736" s="1001"/>
      <c r="T736" s="1001"/>
      <c r="U736" s="1001"/>
      <c r="V736" s="1002"/>
      <c r="W736" s="1001"/>
      <c r="X736" s="1001"/>
      <c r="Y736" s="1001"/>
      <c r="Z736" s="1001"/>
      <c r="AA736" s="1002"/>
      <c r="AB736" s="1003"/>
      <c r="AC736" s="1003"/>
      <c r="AD736" s="1003"/>
      <c r="AE736" s="1003"/>
      <c r="AF736" s="1004"/>
      <c r="AG736" s="1003"/>
      <c r="AH736" s="1003"/>
      <c r="AI736" s="1003"/>
      <c r="AJ736" s="1003"/>
      <c r="AK736" s="1004"/>
      <c r="AL736" s="1003"/>
      <c r="AM736" s="1001"/>
      <c r="AN736" s="1592"/>
      <c r="AO736" s="1015"/>
      <c r="AP736" s="1006"/>
      <c r="AQ736" s="1006"/>
      <c r="AR736" s="1015"/>
      <c r="AS736" s="1015"/>
      <c r="AT736" s="1015"/>
      <c r="AU736" s="1698"/>
      <c r="AV736" s="1915"/>
      <c r="AW736" s="1843"/>
      <c r="AX736" s="1843"/>
      <c r="AY736" s="1910"/>
      <c r="AZ736" s="1698"/>
      <c r="BA736" s="1006"/>
      <c r="BB736" s="1015"/>
      <c r="BC736" s="1015"/>
      <c r="BD736" s="1871"/>
      <c r="BE736" s="1910"/>
      <c r="BF736" s="1015"/>
      <c r="BG736" s="1015"/>
      <c r="BH736" s="1015"/>
      <c r="BI736" s="1871"/>
      <c r="BJ736" s="1910"/>
      <c r="BK736" s="3371">
        <f>+$BO$736*(BK717/$BO$717)</f>
        <v>7.3553909985570183</v>
      </c>
      <c r="BL736" s="3371">
        <f>+$BO$736*(BL717/$BO$717)</f>
        <v>5.5295519323238</v>
      </c>
      <c r="BM736" s="3371">
        <f>+$BO$736*(BM717/$BO$717)</f>
        <v>4.9489885187957743</v>
      </c>
      <c r="BN736" s="3371">
        <f>+$BO$736*(BN717/$BO$717)</f>
        <v>3.1660685503234074</v>
      </c>
      <c r="BO736" s="3379">
        <v>21</v>
      </c>
      <c r="BP736" s="3371">
        <f>+BP729-BP732</f>
        <v>7.3553909985570183</v>
      </c>
      <c r="BQ736" s="1015">
        <f t="shared" ref="BQ736:CA736" si="1629">+BQ729-BQ732</f>
        <v>4.9422537287571711</v>
      </c>
      <c r="BR736" s="1015">
        <f t="shared" si="1629"/>
        <v>4.6449231566910427</v>
      </c>
      <c r="BS736" s="1871">
        <f t="shared" si="1629"/>
        <v>3.1977292358266389</v>
      </c>
      <c r="BT736" s="1871">
        <f t="shared" si="1629"/>
        <v>20.140297119831871</v>
      </c>
      <c r="BU736" s="1015">
        <f t="shared" si="1629"/>
        <v>7.239835281370592</v>
      </c>
      <c r="BV736" s="1015">
        <f>+BV729-BV732</f>
        <v>5.1498215842349264</v>
      </c>
      <c r="BW736" s="1015">
        <f>+BW729-BW732</f>
        <v>4.8547856394363755</v>
      </c>
      <c r="BX736" s="1015">
        <f>+BX729-BX732</f>
        <v>3.3967897957867201</v>
      </c>
      <c r="BY736" s="1004">
        <f>+BY729-BY732</f>
        <v>20.641232300828619</v>
      </c>
      <c r="BZ736" s="1004">
        <f t="shared" si="1629"/>
        <v>22.096106499117823</v>
      </c>
      <c r="CA736" s="1004">
        <f t="shared" si="1629"/>
        <v>21.528705561785031</v>
      </c>
      <c r="CB736" s="1004"/>
      <c r="CC736" s="1004"/>
      <c r="CD736" s="1004"/>
      <c r="CE736" s="1004"/>
      <c r="CF736" s="1004"/>
      <c r="CG736" s="502"/>
      <c r="CH736" s="502"/>
      <c r="CI736" s="502"/>
      <c r="CJ736" s="502"/>
      <c r="CK736" s="502"/>
      <c r="CL736" s="2221"/>
      <c r="CM736" s="1015"/>
      <c r="CN736" s="1015"/>
      <c r="CO736" s="1015"/>
      <c r="CP736" s="1015"/>
      <c r="CQ736" s="1015"/>
      <c r="CR736" s="1015"/>
      <c r="CS736" s="1015"/>
      <c r="CT736" s="1015"/>
      <c r="CU736" s="1015"/>
      <c r="CV736" s="1015"/>
      <c r="CW736" s="1015"/>
      <c r="CX736" s="1015"/>
      <c r="CY736" s="1015"/>
      <c r="CZ736" s="1015"/>
      <c r="DA736" s="1015"/>
      <c r="DB736" s="1015"/>
      <c r="DC736" s="1871"/>
      <c r="DD736" s="502"/>
      <c r="DE736" s="502"/>
      <c r="DF736" s="502"/>
      <c r="DG736" s="503"/>
      <c r="DH736" s="463"/>
      <c r="DI736" s="3213"/>
      <c r="DJ736" s="502"/>
      <c r="DK736" s="503"/>
      <c r="DL736" s="502"/>
      <c r="DM736" s="502"/>
      <c r="DN736" s="502"/>
      <c r="DO736" s="502"/>
      <c r="DP736" s="503"/>
      <c r="DQ736" s="503"/>
      <c r="DR736" s="719"/>
      <c r="DS736" s="719"/>
      <c r="DT736" s="719"/>
    </row>
    <row r="737" spans="1:124" ht="12" customHeight="1" x14ac:dyDescent="0.25">
      <c r="A737" s="465" t="s">
        <v>1892</v>
      </c>
      <c r="B737" s="466"/>
      <c r="C737" s="467"/>
      <c r="D737" s="467"/>
      <c r="E737" s="467"/>
      <c r="F737" s="467"/>
      <c r="G737" s="468"/>
      <c r="H737" s="467"/>
      <c r="I737" s="467"/>
      <c r="J737" s="467"/>
      <c r="K737" s="467"/>
      <c r="L737" s="468"/>
      <c r="M737" s="467"/>
      <c r="N737" s="467"/>
      <c r="O737" s="467"/>
      <c r="P737" s="467"/>
      <c r="Q737" s="468"/>
      <c r="R737" s="467"/>
      <c r="S737" s="467"/>
      <c r="T737" s="467"/>
      <c r="U737" s="467"/>
      <c r="V737" s="468"/>
      <c r="W737" s="467"/>
      <c r="X737" s="467"/>
      <c r="Y737" s="467"/>
      <c r="Z737" s="467"/>
      <c r="AA737" s="468"/>
      <c r="AB737" s="467"/>
      <c r="AC737" s="467"/>
      <c r="AD737" s="467"/>
      <c r="AE737" s="469"/>
      <c r="AF737" s="470"/>
      <c r="AG737" s="467"/>
      <c r="AH737" s="467"/>
      <c r="AI737" s="467"/>
      <c r="AJ737" s="469"/>
      <c r="AK737" s="470"/>
      <c r="AL737" s="467"/>
      <c r="AM737" s="467"/>
      <c r="AN737" s="467"/>
      <c r="AO737" s="469"/>
      <c r="AP737" s="471"/>
      <c r="AQ737" s="471"/>
      <c r="AR737" s="469"/>
      <c r="AS737" s="469"/>
      <c r="AT737" s="469"/>
      <c r="AU737" s="1689"/>
      <c r="AV737" s="1730"/>
      <c r="AW737" s="1465"/>
      <c r="AX737" s="1465"/>
      <c r="AY737" s="1868"/>
      <c r="AZ737" s="1689"/>
      <c r="BA737" s="471"/>
      <c r="BB737" s="469"/>
      <c r="BC737" s="469"/>
      <c r="BD737" s="1463"/>
      <c r="BE737" s="1868"/>
      <c r="BF737" s="469"/>
      <c r="BG737" s="469"/>
      <c r="BH737" s="469"/>
      <c r="BI737" s="1463"/>
      <c r="BJ737" s="1868"/>
      <c r="BK737" s="3373">
        <f t="shared" ref="BK737:BP737" si="1630">+BK718</f>
        <v>0.32815330053762953</v>
      </c>
      <c r="BL737" s="3373">
        <f t="shared" si="1630"/>
        <v>0.26611049591903346</v>
      </c>
      <c r="BM737" s="3373">
        <f t="shared" si="1630"/>
        <v>0.23599711320253655</v>
      </c>
      <c r="BN737" s="3377">
        <f t="shared" si="1630"/>
        <v>0.17467066191556013</v>
      </c>
      <c r="BO737" s="3377">
        <f t="shared" si="1630"/>
        <v>0.25519462953810967</v>
      </c>
      <c r="BP737" s="3373">
        <f t="shared" si="1630"/>
        <v>0.29082848390083127</v>
      </c>
      <c r="BQ737" s="469">
        <f>+BQ736/BQ729</f>
        <v>0.27028032264676616</v>
      </c>
      <c r="BR737" s="469">
        <f t="shared" ref="BR737:CA737" si="1631">+BR736/BR729</f>
        <v>0.24887356635080837</v>
      </c>
      <c r="BS737" s="1463">
        <f t="shared" si="1631"/>
        <v>0.17467066191556002</v>
      </c>
      <c r="BT737" s="1463">
        <f t="shared" si="1631"/>
        <v>0.25930221797053071</v>
      </c>
      <c r="BU737" s="469">
        <f t="shared" si="1631"/>
        <v>0.31822453158005737</v>
      </c>
      <c r="BV737" s="469">
        <f>+BV736/BV729</f>
        <v>0.27746967907389164</v>
      </c>
      <c r="BW737" s="469">
        <f>+BW736/BW729</f>
        <v>0.25627382678084965</v>
      </c>
      <c r="BX737" s="469">
        <f>+BX736/BX729</f>
        <v>0.18280198544348558</v>
      </c>
      <c r="BY737" s="470">
        <f>+BY736/BY729</f>
        <v>0.26182429188598005</v>
      </c>
      <c r="BZ737" s="470">
        <f t="shared" si="1631"/>
        <v>0.28027868458883054</v>
      </c>
      <c r="CA737" s="470">
        <f t="shared" si="1631"/>
        <v>0.27308147143471884</v>
      </c>
      <c r="CB737" s="470"/>
      <c r="CC737" s="470"/>
      <c r="CD737" s="470"/>
      <c r="CE737" s="470"/>
      <c r="CF737" s="470"/>
      <c r="CG737" s="492"/>
      <c r="CH737" s="492"/>
      <c r="CI737" s="492"/>
      <c r="CJ737" s="492"/>
      <c r="CK737" s="492"/>
      <c r="CL737" s="1310"/>
      <c r="CM737" s="469"/>
      <c r="CN737" s="469"/>
      <c r="CO737" s="469"/>
      <c r="CP737" s="469"/>
      <c r="CQ737" s="469"/>
      <c r="CR737" s="469"/>
      <c r="CS737" s="469"/>
      <c r="CT737" s="469"/>
      <c r="CU737" s="469"/>
      <c r="CV737" s="469"/>
      <c r="CW737" s="469"/>
      <c r="CX737" s="469"/>
      <c r="CY737" s="469"/>
      <c r="CZ737" s="469"/>
      <c r="DA737" s="469"/>
      <c r="DB737" s="469"/>
      <c r="DC737" s="1463"/>
      <c r="DD737" s="492"/>
      <c r="DE737" s="492"/>
      <c r="DF737" s="962"/>
      <c r="DG737" s="962"/>
      <c r="DH737" s="469"/>
      <c r="DI737" s="3213"/>
      <c r="DJ737" s="962"/>
      <c r="DK737" s="962"/>
      <c r="DL737" s="962"/>
      <c r="DM737" s="962"/>
      <c r="DN737" s="962"/>
      <c r="DO737" s="962"/>
      <c r="DP737" s="962"/>
      <c r="DQ737" s="962"/>
      <c r="DR737" s="963"/>
      <c r="DS737" s="963"/>
      <c r="DT737" s="963"/>
    </row>
    <row r="738" spans="1:124" ht="12" customHeight="1" x14ac:dyDescent="0.25">
      <c r="A738" s="465" t="s">
        <v>1491</v>
      </c>
      <c r="B738" s="466"/>
      <c r="C738" s="467"/>
      <c r="D738" s="467"/>
      <c r="E738" s="467"/>
      <c r="F738" s="467"/>
      <c r="G738" s="468"/>
      <c r="H738" s="467"/>
      <c r="I738" s="467"/>
      <c r="J738" s="467"/>
      <c r="K738" s="467"/>
      <c r="L738" s="468"/>
      <c r="M738" s="467"/>
      <c r="N738" s="467"/>
      <c r="O738" s="467"/>
      <c r="P738" s="467"/>
      <c r="Q738" s="468"/>
      <c r="R738" s="467"/>
      <c r="S738" s="467"/>
      <c r="T738" s="467"/>
      <c r="U738" s="467"/>
      <c r="V738" s="468"/>
      <c r="W738" s="467"/>
      <c r="X738" s="467"/>
      <c r="Y738" s="467"/>
      <c r="Z738" s="467"/>
      <c r="AA738" s="468"/>
      <c r="AB738" s="467"/>
      <c r="AC738" s="467"/>
      <c r="AD738" s="467"/>
      <c r="AE738" s="469"/>
      <c r="AF738" s="470"/>
      <c r="AG738" s="467"/>
      <c r="AH738" s="467"/>
      <c r="AI738" s="467"/>
      <c r="AJ738" s="469"/>
      <c r="AK738" s="470"/>
      <c r="AL738" s="467"/>
      <c r="AM738" s="467"/>
      <c r="AN738" s="467"/>
      <c r="AO738" s="469"/>
      <c r="AP738" s="471"/>
      <c r="AQ738" s="471"/>
      <c r="AR738" s="469"/>
      <c r="AS738" s="469"/>
      <c r="AT738" s="469"/>
      <c r="AU738" s="1689"/>
      <c r="AV738" s="1730"/>
      <c r="AW738" s="1465"/>
      <c r="AX738" s="1465"/>
      <c r="AY738" s="1868"/>
      <c r="AZ738" s="1689"/>
      <c r="BA738" s="471"/>
      <c r="BB738" s="469"/>
      <c r="BC738" s="469"/>
      <c r="BD738" s="1463"/>
      <c r="BE738" s="1868"/>
      <c r="BF738" s="469"/>
      <c r="BG738" s="469"/>
      <c r="BH738" s="469"/>
      <c r="BI738" s="1463"/>
      <c r="BJ738" s="1868"/>
      <c r="BK738" s="469"/>
      <c r="BL738" s="469"/>
      <c r="BM738" s="469"/>
      <c r="BN738" s="1463"/>
      <c r="BO738" s="1868"/>
      <c r="BP738" s="469"/>
      <c r="BQ738" s="3093"/>
      <c r="BR738" s="469"/>
      <c r="BS738" s="1463"/>
      <c r="BT738" s="1463"/>
      <c r="BU738" s="469"/>
      <c r="BV738" s="469"/>
      <c r="BW738" s="469"/>
      <c r="BX738" s="469"/>
      <c r="BY738" s="470"/>
      <c r="BZ738" s="470"/>
      <c r="CA738" s="470"/>
      <c r="CB738" s="470"/>
      <c r="CC738" s="470"/>
      <c r="CD738" s="470"/>
      <c r="CE738" s="470"/>
      <c r="CF738" s="470"/>
      <c r="CG738" s="492"/>
      <c r="CH738" s="492"/>
      <c r="CI738" s="492"/>
      <c r="CJ738" s="492"/>
      <c r="CK738" s="492"/>
      <c r="CL738" s="1310"/>
      <c r="CM738" s="469"/>
      <c r="CN738" s="469"/>
      <c r="CO738" s="469"/>
      <c r="CP738" s="469"/>
      <c r="CQ738" s="469"/>
      <c r="CR738" s="469"/>
      <c r="CS738" s="469"/>
      <c r="CT738" s="469"/>
      <c r="CU738" s="469"/>
      <c r="CV738" s="469"/>
      <c r="CW738" s="469"/>
      <c r="CX738" s="469"/>
      <c r="CY738" s="469"/>
      <c r="CZ738" s="469"/>
      <c r="DA738" s="469"/>
      <c r="DB738" s="469"/>
      <c r="DC738" s="1463"/>
      <c r="DD738" s="492"/>
      <c r="DE738" s="492"/>
      <c r="DF738" s="962"/>
      <c r="DG738" s="962"/>
      <c r="DH738" s="469"/>
      <c r="DI738" s="3213"/>
      <c r="DJ738" s="962"/>
      <c r="DK738" s="962"/>
      <c r="DL738" s="962"/>
      <c r="DM738" s="962"/>
      <c r="DN738" s="962"/>
      <c r="DO738" s="962"/>
      <c r="DP738" s="962"/>
      <c r="DQ738" s="962"/>
      <c r="DR738" s="963"/>
      <c r="DS738" s="963"/>
      <c r="DT738" s="963"/>
    </row>
    <row r="739" spans="1:124" ht="12" customHeight="1" x14ac:dyDescent="0.25">
      <c r="A739" s="281" t="s">
        <v>2197</v>
      </c>
      <c r="B739" s="281"/>
      <c r="C739" s="565"/>
      <c r="D739" s="565"/>
      <c r="E739" s="565"/>
      <c r="F739" s="565"/>
      <c r="G739" s="447"/>
      <c r="H739" s="565"/>
      <c r="I739" s="565"/>
      <c r="J739" s="565"/>
      <c r="K739" s="565"/>
      <c r="L739" s="447"/>
      <c r="M739" s="565"/>
      <c r="N739" s="565"/>
      <c r="O739" s="565"/>
      <c r="P739" s="565"/>
      <c r="Q739" s="447"/>
      <c r="R739" s="565"/>
      <c r="S739" s="565"/>
      <c r="T739" s="565"/>
      <c r="U739" s="565"/>
      <c r="V739" s="447"/>
      <c r="W739" s="565"/>
      <c r="X739" s="565"/>
      <c r="Y739" s="565"/>
      <c r="Z739" s="565"/>
      <c r="AA739" s="447"/>
      <c r="AB739" s="563"/>
      <c r="AC739" s="563"/>
      <c r="AD739" s="563"/>
      <c r="AE739" s="563"/>
      <c r="AF739" s="455"/>
      <c r="AG739" s="563"/>
      <c r="AH739" s="563"/>
      <c r="AI739" s="563"/>
      <c r="AJ739" s="563"/>
      <c r="AK739" s="455"/>
      <c r="AL739" s="563"/>
      <c r="AM739" s="563"/>
      <c r="AN739" s="674"/>
      <c r="AO739" s="454"/>
      <c r="AP739" s="456"/>
      <c r="AQ739" s="456"/>
      <c r="AR739" s="454"/>
      <c r="AS739" s="454"/>
      <c r="AT739" s="454"/>
      <c r="AU739" s="1693"/>
      <c r="AV739" s="456"/>
      <c r="AW739" s="454"/>
      <c r="AX739" s="454"/>
      <c r="AY739" s="1666"/>
      <c r="AZ739" s="1693"/>
      <c r="BA739" s="456"/>
      <c r="BB739" s="454"/>
      <c r="BC739" s="454"/>
      <c r="BD739" s="1666"/>
      <c r="BE739" s="1864"/>
      <c r="BF739" s="454"/>
      <c r="BG739" s="454"/>
      <c r="BH739" s="454"/>
      <c r="BI739" s="1666"/>
      <c r="BJ739" s="1864"/>
      <c r="BK739" s="454"/>
      <c r="BL739" s="454"/>
      <c r="BM739" s="454"/>
      <c r="BN739" s="1666"/>
      <c r="BO739" s="1864"/>
      <c r="BP739" s="454"/>
      <c r="BQ739" s="3320">
        <f>(82.6+44)/15/4*(2/3)</f>
        <v>1.4066666666666665</v>
      </c>
      <c r="BR739" s="3320">
        <f>(82.6+44)/15/4</f>
        <v>2.11</v>
      </c>
      <c r="BS739" s="2915">
        <f>(82.6+44)/15/4</f>
        <v>2.11</v>
      </c>
      <c r="BT739" s="3066">
        <f>SUM(BP739:BS739)</f>
        <v>5.6266666666666669</v>
      </c>
      <c r="BU739" s="3391">
        <f>BS739</f>
        <v>2.11</v>
      </c>
      <c r="BV739" s="2915">
        <f>BU739</f>
        <v>2.11</v>
      </c>
      <c r="BW739" s="2915">
        <f>BV739</f>
        <v>2.11</v>
      </c>
      <c r="BX739" s="2915">
        <f>BW739</f>
        <v>2.11</v>
      </c>
      <c r="BY739" s="3066">
        <f>SUM(BU739:BX739)</f>
        <v>8.44</v>
      </c>
      <c r="BZ739" s="455">
        <f>+BY739</f>
        <v>8.44</v>
      </c>
      <c r="CA739" s="455">
        <f>+BZ739</f>
        <v>8.44</v>
      </c>
      <c r="CB739" s="455"/>
      <c r="CC739" s="455"/>
      <c r="CD739" s="455"/>
      <c r="CE739" s="455"/>
      <c r="CF739" s="455"/>
      <c r="CG739" s="331"/>
      <c r="CH739" s="331"/>
      <c r="CI739" s="331"/>
      <c r="CJ739" s="331"/>
      <c r="CK739" s="331"/>
      <c r="CL739" s="520"/>
      <c r="CM739" s="454"/>
      <c r="CN739" s="454"/>
      <c r="CO739" s="454"/>
      <c r="CP739" s="454"/>
      <c r="CQ739" s="454"/>
      <c r="CR739" s="454"/>
      <c r="CS739" s="454"/>
      <c r="CT739" s="454"/>
      <c r="CU739" s="454"/>
      <c r="CV739" s="454"/>
      <c r="CW739" s="454"/>
      <c r="CX739" s="454"/>
      <c r="CY739" s="454"/>
      <c r="CZ739" s="454"/>
      <c r="DA739" s="454"/>
      <c r="DB739" s="454"/>
      <c r="DC739" s="1666"/>
      <c r="DD739" s="331"/>
      <c r="DE739" s="331"/>
      <c r="DF739" s="502"/>
      <c r="DG739" s="503"/>
      <c r="DH739" s="2915"/>
      <c r="DI739" s="3213"/>
      <c r="DJ739" s="502"/>
      <c r="DK739" s="503"/>
      <c r="DL739" s="502"/>
      <c r="DM739" s="502"/>
      <c r="DN739" s="502"/>
      <c r="DO739" s="502"/>
      <c r="DP739" s="503"/>
      <c r="DQ739" s="503"/>
      <c r="DR739" s="296"/>
      <c r="DS739" s="296"/>
      <c r="DT739" s="296"/>
    </row>
    <row r="740" spans="1:124" ht="12" customHeight="1" x14ac:dyDescent="0.25">
      <c r="A740" s="465" t="s">
        <v>646</v>
      </c>
      <c r="B740" s="466"/>
      <c r="C740" s="467"/>
      <c r="D740" s="467"/>
      <c r="E740" s="467"/>
      <c r="F740" s="467"/>
      <c r="G740" s="468"/>
      <c r="H740" s="467"/>
      <c r="I740" s="467"/>
      <c r="J740" s="467"/>
      <c r="K740" s="467"/>
      <c r="L740" s="468"/>
      <c r="M740" s="467"/>
      <c r="N740" s="467"/>
      <c r="O740" s="467"/>
      <c r="P740" s="467"/>
      <c r="Q740" s="468"/>
      <c r="R740" s="467"/>
      <c r="S740" s="467"/>
      <c r="T740" s="467"/>
      <c r="U740" s="467"/>
      <c r="V740" s="468"/>
      <c r="W740" s="467"/>
      <c r="X740" s="467"/>
      <c r="Y740" s="467"/>
      <c r="Z740" s="467"/>
      <c r="AA740" s="468"/>
      <c r="AB740" s="467"/>
      <c r="AC740" s="467"/>
      <c r="AD740" s="467"/>
      <c r="AE740" s="469"/>
      <c r="AF740" s="470"/>
      <c r="AG740" s="467"/>
      <c r="AH740" s="467"/>
      <c r="AI740" s="467"/>
      <c r="AJ740" s="469"/>
      <c r="AK740" s="470"/>
      <c r="AL740" s="467"/>
      <c r="AM740" s="467"/>
      <c r="AN740" s="467"/>
      <c r="AO740" s="469"/>
      <c r="AP740" s="471"/>
      <c r="AQ740" s="471"/>
      <c r="AR740" s="469"/>
      <c r="AS740" s="469"/>
      <c r="AT740" s="469"/>
      <c r="AU740" s="1689"/>
      <c r="AV740" s="1730"/>
      <c r="AW740" s="1465"/>
      <c r="AX740" s="1465"/>
      <c r="AY740" s="1868"/>
      <c r="AZ740" s="1689"/>
      <c r="BA740" s="471"/>
      <c r="BB740" s="469"/>
      <c r="BC740" s="469"/>
      <c r="BD740" s="1463"/>
      <c r="BE740" s="1868"/>
      <c r="BF740" s="469"/>
      <c r="BG740" s="469"/>
      <c r="BH740" s="469"/>
      <c r="BI740" s="1463"/>
      <c r="BJ740" s="1868"/>
      <c r="BK740" s="469"/>
      <c r="BL740" s="469"/>
      <c r="BM740" s="469"/>
      <c r="BN740" s="1463"/>
      <c r="BO740" s="1868"/>
      <c r="BP740" s="469"/>
      <c r="BQ740" s="469">
        <f>+BQ739/BQ729</f>
        <v>7.6927317250206254E-2</v>
      </c>
      <c r="BR740" s="469">
        <f t="shared" ref="BR740:CA740" si="1632">+BR739/BR729</f>
        <v>0.11305315659393894</v>
      </c>
      <c r="BS740" s="1463">
        <f t="shared" si="1632"/>
        <v>0.11525525442011263</v>
      </c>
      <c r="BT740" s="1463">
        <f t="shared" si="1632"/>
        <v>7.2442185821124522E-2</v>
      </c>
      <c r="BU740" s="469">
        <f>+BU739/BU729</f>
        <v>9.2744342314208902E-2</v>
      </c>
      <c r="BV740" s="469">
        <f>+BV739/BV729</f>
        <v>0.11368569051754621</v>
      </c>
      <c r="BW740" s="469">
        <f>+BW739/BW729</f>
        <v>0.11138242028959502</v>
      </c>
      <c r="BX740" s="469">
        <f>+BX739/BX729</f>
        <v>0.11355197479814053</v>
      </c>
      <c r="BY740" s="470">
        <f>+BY739/BY729</f>
        <v>0.10705741746964215</v>
      </c>
      <c r="BZ740" s="470">
        <f t="shared" si="1632"/>
        <v>0.10705741746964215</v>
      </c>
      <c r="CA740" s="470">
        <f t="shared" si="1632"/>
        <v>0.10705741746964215</v>
      </c>
      <c r="CB740" s="470"/>
      <c r="CC740" s="470"/>
      <c r="CD740" s="470"/>
      <c r="CE740" s="470"/>
      <c r="CF740" s="470"/>
      <c r="CG740" s="492"/>
      <c r="CH740" s="492"/>
      <c r="CI740" s="492"/>
      <c r="CJ740" s="492"/>
      <c r="CK740" s="492"/>
      <c r="CL740" s="1310"/>
      <c r="CM740" s="469"/>
      <c r="CN740" s="469"/>
      <c r="CO740" s="469"/>
      <c r="CP740" s="469"/>
      <c r="CQ740" s="469"/>
      <c r="CR740" s="469"/>
      <c r="CS740" s="469"/>
      <c r="CT740" s="469"/>
      <c r="CU740" s="469"/>
      <c r="CV740" s="469"/>
      <c r="CW740" s="469"/>
      <c r="CX740" s="469"/>
      <c r="CY740" s="469"/>
      <c r="CZ740" s="469"/>
      <c r="DA740" s="469"/>
      <c r="DB740" s="469"/>
      <c r="DC740" s="1463"/>
      <c r="DD740" s="492"/>
      <c r="DE740" s="492"/>
      <c r="DF740" s="962"/>
      <c r="DG740" s="962"/>
      <c r="DH740" s="469"/>
      <c r="DI740" s="3213"/>
      <c r="DJ740" s="962"/>
      <c r="DK740" s="962"/>
      <c r="DL740" s="962"/>
      <c r="DM740" s="962"/>
      <c r="DN740" s="962"/>
      <c r="DO740" s="962"/>
      <c r="DP740" s="962"/>
      <c r="DQ740" s="962"/>
      <c r="DR740" s="963"/>
      <c r="DS740" s="963"/>
      <c r="DT740" s="963"/>
    </row>
    <row r="741" spans="1:124" ht="12" customHeight="1" x14ac:dyDescent="0.25">
      <c r="A741" s="281"/>
      <c r="B741" s="281"/>
      <c r="C741" s="305"/>
      <c r="D741" s="305"/>
      <c r="E741" s="305"/>
      <c r="F741" s="305"/>
      <c r="G741" s="440"/>
      <c r="H741" s="305"/>
      <c r="I741" s="305"/>
      <c r="J741" s="305"/>
      <c r="K741" s="305"/>
      <c r="L741" s="440"/>
      <c r="M741" s="305"/>
      <c r="N741" s="305"/>
      <c r="O741" s="305"/>
      <c r="P741" s="305"/>
      <c r="Q741" s="440"/>
      <c r="R741" s="305"/>
      <c r="S741" s="305"/>
      <c r="T741" s="305"/>
      <c r="U741" s="305"/>
      <c r="V741" s="440"/>
      <c r="W741" s="305"/>
      <c r="X741" s="305"/>
      <c r="Y741" s="305"/>
      <c r="Z741" s="305"/>
      <c r="AA741" s="440"/>
      <c r="AB741" s="305"/>
      <c r="AC741" s="305"/>
      <c r="AD741" s="305"/>
      <c r="AE741" s="331"/>
      <c r="AF741" s="441"/>
      <c r="AG741" s="331"/>
      <c r="AH741" s="331"/>
      <c r="AI741" s="331"/>
      <c r="AJ741" s="331"/>
      <c r="AK741" s="441"/>
      <c r="AL741" s="442"/>
      <c r="AM741" s="442"/>
      <c r="AN741" s="442"/>
      <c r="AO741" s="442"/>
      <c r="AP741" s="443"/>
      <c r="AQ741" s="443"/>
      <c r="AR741" s="331"/>
      <c r="AS741" s="331"/>
      <c r="AT741" s="331"/>
      <c r="AU741" s="1686"/>
      <c r="AV741" s="1899"/>
      <c r="AW741" s="1774"/>
      <c r="AX741" s="1774"/>
      <c r="AY741" s="1900"/>
      <c r="AZ741" s="349"/>
      <c r="BA741" s="443"/>
      <c r="BB741" s="331"/>
      <c r="BC741" s="331"/>
      <c r="BD741" s="1306"/>
      <c r="BE741" s="1306"/>
      <c r="BF741" s="331"/>
      <c r="BG741" s="331"/>
      <c r="BH741" s="331"/>
      <c r="BI741" s="1306"/>
      <c r="BJ741" s="1306"/>
      <c r="BK741" s="331"/>
      <c r="BL741" s="331"/>
      <c r="BM741" s="331"/>
      <c r="BN741" s="1306"/>
      <c r="BO741" s="1306"/>
      <c r="BP741" s="331"/>
      <c r="BQ741" s="331"/>
      <c r="BR741" s="331"/>
      <c r="BS741" s="1306"/>
      <c r="BT741" s="3217"/>
      <c r="BU741" s="2601"/>
      <c r="BV741" s="2601"/>
      <c r="BW741" s="2601"/>
      <c r="BX741" s="2601"/>
      <c r="BY741" s="3222"/>
      <c r="BZ741" s="349"/>
      <c r="CA741" s="349"/>
      <c r="CB741" s="349"/>
      <c r="CC741" s="349"/>
      <c r="CD741" s="349"/>
      <c r="CE741" s="349"/>
      <c r="CF741" s="349"/>
      <c r="CG741" s="331"/>
      <c r="CH741" s="331"/>
      <c r="CI741" s="331"/>
      <c r="CJ741" s="331"/>
      <c r="CK741" s="331"/>
      <c r="CL741" s="520"/>
      <c r="CM741" s="331"/>
      <c r="CN741" s="331"/>
      <c r="CO741" s="331"/>
      <c r="CP741" s="331"/>
      <c r="CQ741" s="331"/>
      <c r="CR741" s="331"/>
      <c r="CS741" s="331"/>
      <c r="CT741" s="331"/>
      <c r="CU741" s="331"/>
      <c r="CV741" s="331"/>
      <c r="CW741" s="331"/>
      <c r="CX741" s="331"/>
      <c r="CY741" s="331"/>
      <c r="CZ741" s="331"/>
      <c r="DA741" s="331"/>
      <c r="DB741" s="331"/>
      <c r="DC741" s="1306"/>
      <c r="DD741" s="331"/>
      <c r="DE741" s="331"/>
      <c r="DF741" s="502"/>
      <c r="DG741" s="503"/>
      <c r="DH741" s="2601"/>
      <c r="DI741" s="3213"/>
      <c r="DJ741" s="502"/>
      <c r="DK741" s="503"/>
      <c r="DL741" s="502"/>
      <c r="DM741" s="502"/>
      <c r="DN741" s="502"/>
      <c r="DO741" s="502"/>
      <c r="DP741" s="503"/>
      <c r="DQ741" s="503"/>
      <c r="DR741" s="296"/>
      <c r="DS741" s="296"/>
      <c r="DT741" s="296"/>
    </row>
    <row r="742" spans="1:124" ht="12" customHeight="1" x14ac:dyDescent="0.25">
      <c r="A742" s="2125" t="s">
        <v>615</v>
      </c>
      <c r="B742" s="428"/>
      <c r="C742" s="502"/>
      <c r="D742" s="502"/>
      <c r="E742" s="502"/>
      <c r="F742" s="502"/>
      <c r="G742" s="534"/>
      <c r="H742" s="502"/>
      <c r="I742" s="502"/>
      <c r="J742" s="502"/>
      <c r="K742" s="502"/>
      <c r="L742" s="534"/>
      <c r="M742" s="502"/>
      <c r="N742" s="502"/>
      <c r="O742" s="502"/>
      <c r="P742" s="502"/>
      <c r="Q742" s="534"/>
      <c r="R742" s="502"/>
      <c r="S742" s="502"/>
      <c r="T742" s="502"/>
      <c r="U742" s="502"/>
      <c r="V742" s="534"/>
      <c r="W742" s="502"/>
      <c r="X742" s="502"/>
      <c r="Y742" s="502"/>
      <c r="Z742" s="502"/>
      <c r="AA742" s="534"/>
      <c r="AB742" s="502"/>
      <c r="AC742" s="502"/>
      <c r="AD742" s="502"/>
      <c r="AE742" s="502"/>
      <c r="AF742" s="534"/>
      <c r="AG742" s="502"/>
      <c r="AH742" s="502"/>
      <c r="AI742" s="502"/>
      <c r="AJ742" s="502"/>
      <c r="AK742" s="534"/>
      <c r="AL742" s="503"/>
      <c r="AM742" s="503"/>
      <c r="AN742" s="503"/>
      <c r="AO742" s="503"/>
      <c r="AP742" s="535"/>
      <c r="AQ742" s="535"/>
      <c r="AR742" s="537"/>
      <c r="AS742" s="537"/>
      <c r="AT742" s="537"/>
      <c r="AU742" s="536"/>
      <c r="AV742" s="535"/>
      <c r="AW742" s="537"/>
      <c r="AX742" s="537"/>
      <c r="AY742" s="1926"/>
      <c r="AZ742" s="536"/>
      <c r="BA742" s="535"/>
      <c r="BB742" s="537"/>
      <c r="BC742" s="537"/>
      <c r="BD742" s="1926"/>
      <c r="BE742" s="1926"/>
      <c r="BF742" s="537"/>
      <c r="BG742" s="537"/>
      <c r="BH742" s="537"/>
      <c r="BI742" s="1926"/>
      <c r="BJ742" s="1926"/>
      <c r="BK742" s="537"/>
      <c r="BL742" s="537"/>
      <c r="BM742" s="537"/>
      <c r="BN742" s="1926"/>
      <c r="BO742" s="1926"/>
      <c r="BP742" s="537"/>
      <c r="BQ742" s="537"/>
      <c r="BR742" s="3389"/>
      <c r="BS742" s="1926"/>
      <c r="BT742" s="1926"/>
      <c r="BU742" s="537"/>
      <c r="BV742" s="537"/>
      <c r="BW742" s="537"/>
      <c r="BX742" s="537"/>
      <c r="BY742" s="536"/>
      <c r="BZ742" s="536"/>
      <c r="CA742" s="536"/>
      <c r="CB742" s="536"/>
      <c r="CC742" s="536"/>
      <c r="CD742" s="536"/>
      <c r="CE742" s="536"/>
      <c r="CF742" s="536"/>
      <c r="CG742" s="331"/>
      <c r="CH742" s="331"/>
      <c r="CI742" s="331"/>
      <c r="CJ742" s="331"/>
      <c r="CK742" s="331"/>
      <c r="CL742" s="2036" t="str">
        <f>A742</f>
        <v>Hollywood Bay St. Louis (MS)</v>
      </c>
      <c r="CM742" s="503">
        <f>G742</f>
        <v>0</v>
      </c>
      <c r="CN742" s="503">
        <f>L742</f>
        <v>0</v>
      </c>
      <c r="CO742" s="503">
        <f>Q742</f>
        <v>0</v>
      </c>
      <c r="CP742" s="503">
        <f>V742</f>
        <v>0</v>
      </c>
      <c r="CQ742" s="503">
        <f>AA742</f>
        <v>0</v>
      </c>
      <c r="CR742" s="503">
        <f>AF742</f>
        <v>0</v>
      </c>
      <c r="CS742" s="503">
        <f>AK742</f>
        <v>0</v>
      </c>
      <c r="CT742" s="503">
        <f>AP742</f>
        <v>0</v>
      </c>
      <c r="CU742" s="503">
        <f>AU742</f>
        <v>0</v>
      </c>
      <c r="CV742" s="503">
        <f>AZ742</f>
        <v>0</v>
      </c>
      <c r="CW742" s="503">
        <f>BE742</f>
        <v>0</v>
      </c>
      <c r="CX742" s="503">
        <f>BJ742</f>
        <v>0</v>
      </c>
      <c r="CY742" s="503">
        <f>BO742</f>
        <v>0</v>
      </c>
      <c r="CZ742" s="503">
        <f>BT742</f>
        <v>0</v>
      </c>
      <c r="DA742" s="503">
        <f t="shared" ref="DA742:DC746" si="1633">BY742</f>
        <v>0</v>
      </c>
      <c r="DB742" s="503">
        <f t="shared" si="1633"/>
        <v>0</v>
      </c>
      <c r="DC742" s="2124">
        <f t="shared" si="1633"/>
        <v>0</v>
      </c>
      <c r="DD742" s="331"/>
      <c r="DE742" s="331"/>
      <c r="DF742" s="502"/>
      <c r="DG742" s="503"/>
      <c r="DH742" s="537"/>
      <c r="DI742" s="3213"/>
      <c r="DJ742" s="502"/>
      <c r="DK742" s="503"/>
      <c r="DL742" s="502"/>
      <c r="DM742" s="502"/>
      <c r="DN742" s="502"/>
      <c r="DO742" s="502"/>
      <c r="DP742" s="503"/>
      <c r="DQ742" s="503"/>
      <c r="DR742" s="428"/>
      <c r="DS742" s="428"/>
      <c r="DT742" s="428"/>
    </row>
    <row r="743" spans="1:124" ht="12" customHeight="1" x14ac:dyDescent="0.25">
      <c r="A743" s="281" t="s">
        <v>894</v>
      </c>
      <c r="B743" s="281"/>
      <c r="C743" s="549">
        <f>C744+(C745*C$320)</f>
        <v>1392</v>
      </c>
      <c r="D743" s="549">
        <f>D744+(D745*D$320)</f>
        <v>1390</v>
      </c>
      <c r="E743" s="549">
        <f>E744+(E745*E$320)</f>
        <v>1392</v>
      </c>
      <c r="F743" s="549">
        <f>F744+(F745*F$320)</f>
        <v>1384</v>
      </c>
      <c r="G743" s="550">
        <f>F743</f>
        <v>1384</v>
      </c>
      <c r="H743" s="549">
        <f>H744+(H745*H$320)</f>
        <v>1386</v>
      </c>
      <c r="I743" s="549">
        <f>I744+(I745*I$320)</f>
        <v>1386</v>
      </c>
      <c r="J743" s="549">
        <f>J744+(J745*J$320)</f>
        <v>924</v>
      </c>
      <c r="K743" s="549">
        <f>K744+(K745*K$320)</f>
        <v>0</v>
      </c>
      <c r="L743" s="550">
        <f>K743</f>
        <v>0</v>
      </c>
      <c r="M743" s="549">
        <f>M744+(M745*M$320)</f>
        <v>0</v>
      </c>
      <c r="N743" s="549">
        <f>N744+(N745*N$320)</f>
        <v>0</v>
      </c>
      <c r="O743" s="549">
        <f>O744+(O745*O$320)</f>
        <v>970</v>
      </c>
      <c r="P743" s="549">
        <f>P744+(P745*P$320)</f>
        <v>1125</v>
      </c>
      <c r="Q743" s="550">
        <f>P743</f>
        <v>1125</v>
      </c>
      <c r="R743" s="549">
        <f>R744+(R745*R$320)</f>
        <v>1125</v>
      </c>
      <c r="S743" s="549">
        <f>S744+(S745*S$320)</f>
        <v>1125</v>
      </c>
      <c r="T743" s="549">
        <f>T744+(T745*T$320)</f>
        <v>1125</v>
      </c>
      <c r="U743" s="549">
        <f>U744+(U745*U$320)</f>
        <v>1206</v>
      </c>
      <c r="V743" s="550">
        <f>U743</f>
        <v>1206</v>
      </c>
      <c r="W743" s="549">
        <f>W744+(W745*W$320)</f>
        <v>1206</v>
      </c>
      <c r="X743" s="549">
        <f>X744+(X745*X$320)</f>
        <v>1206</v>
      </c>
      <c r="Y743" s="549">
        <f>Y744+(Y745*Y$320)</f>
        <v>1206</v>
      </c>
      <c r="Z743" s="549">
        <f>Z744+(Z745*Z$320)</f>
        <v>1318</v>
      </c>
      <c r="AA743" s="550">
        <f>Z743</f>
        <v>1318</v>
      </c>
      <c r="AB743" s="549">
        <f>AB744+(AB745*AB$320)</f>
        <v>1332</v>
      </c>
      <c r="AC743" s="549">
        <f>AC744+(AC745*AC$320)</f>
        <v>1344</v>
      </c>
      <c r="AD743" s="549">
        <f>AD744+(AD745*AD$320)</f>
        <v>1300</v>
      </c>
      <c r="AE743" s="551">
        <f>AE744+(AE745*AE$320)</f>
        <v>1259</v>
      </c>
      <c r="AF743" s="552">
        <f>AE743</f>
        <v>1259</v>
      </c>
      <c r="AG743" s="549">
        <f>AG744+(AG745*AG$320)</f>
        <v>1259</v>
      </c>
      <c r="AH743" s="549">
        <f>AH744+(AH745*AH$320)</f>
        <v>1259</v>
      </c>
      <c r="AI743" s="549">
        <f>AI744+(AI745*AI$320)</f>
        <v>1259</v>
      </c>
      <c r="AJ743" s="551">
        <f>AJ744+(AJ745*AJ$320)</f>
        <v>1369</v>
      </c>
      <c r="AK743" s="552">
        <f>AJ743</f>
        <v>1369</v>
      </c>
      <c r="AL743" s="549">
        <f>AL744+(AL745*AL$320)</f>
        <v>1369</v>
      </c>
      <c r="AM743" s="549">
        <f>AM744+(AM745*AM$320)</f>
        <v>1369</v>
      </c>
      <c r="AN743" s="549">
        <f>AN744+(AN745*AN$320)</f>
        <v>1369</v>
      </c>
      <c r="AO743" s="551">
        <f>AO744+(AO745*AO$320)</f>
        <v>1369</v>
      </c>
      <c r="AP743" s="553">
        <f>AO743</f>
        <v>1369</v>
      </c>
      <c r="AQ743" s="553">
        <f>AQ744+(AQ745*AQ$320)</f>
        <v>1369</v>
      </c>
      <c r="AR743" s="551">
        <f>AR744+(AR745*AR$320)</f>
        <v>1369</v>
      </c>
      <c r="AS743" s="551">
        <f>AS744+(AS745*AS$320)</f>
        <v>1369</v>
      </c>
      <c r="AT743" s="551">
        <f>AT744+(AT745*AT$320)</f>
        <v>1369</v>
      </c>
      <c r="AU743" s="1692">
        <f>AT743</f>
        <v>1369</v>
      </c>
      <c r="AV743" s="1912">
        <f>AV744+(AV745*AV$320)</f>
        <v>1369</v>
      </c>
      <c r="AW743" s="1839">
        <f>AW744+(AW745*AW$320)</f>
        <v>1369</v>
      </c>
      <c r="AX743" s="1839">
        <f>AX744+(AX745*AX$320)</f>
        <v>1369</v>
      </c>
      <c r="AY743" s="1906">
        <f>AY744+(AY745*AY$320)</f>
        <v>1369</v>
      </c>
      <c r="AZ743" s="1692">
        <f>AY743</f>
        <v>1369</v>
      </c>
      <c r="BA743" s="553">
        <f>BA744+(BA745*BA$320)</f>
        <v>1369</v>
      </c>
      <c r="BB743" s="551">
        <f>BB744+(BB745*BB$320)</f>
        <v>1369</v>
      </c>
      <c r="BC743" s="551">
        <f>BC744+(BC745*BC$320)</f>
        <v>1369</v>
      </c>
      <c r="BD743" s="1895">
        <f>BD744+(BD745*BD$320)</f>
        <v>1369</v>
      </c>
      <c r="BE743" s="1906">
        <f>BD743</f>
        <v>1369</v>
      </c>
      <c r="BF743" s="551">
        <f>BF744+(BF745*BF$320)</f>
        <v>1369</v>
      </c>
      <c r="BG743" s="551">
        <f>BG744+(BG745*BG$320)</f>
        <v>1369</v>
      </c>
      <c r="BH743" s="551">
        <f>BH744+(BH745*BH$320)</f>
        <v>1369</v>
      </c>
      <c r="BI743" s="1895">
        <f>BI744+(BI745*BI$320)</f>
        <v>1369</v>
      </c>
      <c r="BJ743" s="1906">
        <f>BI743</f>
        <v>1369</v>
      </c>
      <c r="BK743" s="551">
        <f>BK744+(BK745*BK$320)</f>
        <v>1369</v>
      </c>
      <c r="BL743" s="551">
        <f>BL744+(BL745*BL$320)</f>
        <v>1369</v>
      </c>
      <c r="BM743" s="551">
        <f>BM744+(BM745*BM$320)</f>
        <v>1369</v>
      </c>
      <c r="BN743" s="1895">
        <f>BN744+(BN745*BN$320)</f>
        <v>1369</v>
      </c>
      <c r="BO743" s="1906">
        <f>BN743</f>
        <v>1369</v>
      </c>
      <c r="BP743" s="551">
        <f>BP744+(BP745*BP$320)</f>
        <v>1369</v>
      </c>
      <c r="BQ743" s="551">
        <f>BQ744+(BQ745*BQ$320)</f>
        <v>1369</v>
      </c>
      <c r="BR743" s="551">
        <f>BR744+(BR745*BR$320)</f>
        <v>1369</v>
      </c>
      <c r="BS743" s="1895">
        <f>BS744+(BS745*BS$320)</f>
        <v>1369</v>
      </c>
      <c r="BT743" s="3218">
        <f>BS743</f>
        <v>1369</v>
      </c>
      <c r="BU743" s="3297">
        <f>BU744+(BU745*BU$320)</f>
        <v>1369</v>
      </c>
      <c r="BV743" s="3297">
        <f>BV744+(BV745*BV$320)</f>
        <v>1369</v>
      </c>
      <c r="BW743" s="3297">
        <f>BW744+(BW745*BW$320)</f>
        <v>1369</v>
      </c>
      <c r="BX743" s="3297">
        <f>BX744+(BX745*BX$320)</f>
        <v>1369</v>
      </c>
      <c r="BY743" s="3234">
        <f>BX743</f>
        <v>1369</v>
      </c>
      <c r="BZ743" s="552">
        <f t="shared" ref="BZ743:CF743" si="1634">BZ744+(BZ745*BZ$320)</f>
        <v>1369</v>
      </c>
      <c r="CA743" s="552">
        <f t="shared" si="1634"/>
        <v>1369</v>
      </c>
      <c r="CB743" s="552">
        <f t="shared" si="1634"/>
        <v>1369</v>
      </c>
      <c r="CC743" s="552">
        <f t="shared" si="1634"/>
        <v>1369</v>
      </c>
      <c r="CD743" s="552">
        <f t="shared" si="1634"/>
        <v>1369</v>
      </c>
      <c r="CE743" s="552">
        <f t="shared" si="1634"/>
        <v>1369</v>
      </c>
      <c r="CF743" s="552">
        <f t="shared" si="1634"/>
        <v>1369</v>
      </c>
      <c r="CG743" s="331"/>
      <c r="CH743" s="331"/>
      <c r="CI743" s="331"/>
      <c r="CJ743" s="331"/>
      <c r="CK743" s="331"/>
      <c r="CL743" s="520" t="str">
        <f>A743</f>
        <v>Positions</v>
      </c>
      <c r="CM743" s="551">
        <f>G743</f>
        <v>1384</v>
      </c>
      <c r="CN743" s="551">
        <f>L743</f>
        <v>0</v>
      </c>
      <c r="CO743" s="551">
        <f>Q743</f>
        <v>1125</v>
      </c>
      <c r="CP743" s="551">
        <f>V743</f>
        <v>1206</v>
      </c>
      <c r="CQ743" s="551">
        <f>AA743</f>
        <v>1318</v>
      </c>
      <c r="CR743" s="551">
        <f>AF743</f>
        <v>1259</v>
      </c>
      <c r="CS743" s="551">
        <f>AK743</f>
        <v>1369</v>
      </c>
      <c r="CT743" s="551">
        <f>AP743</f>
        <v>1369</v>
      </c>
      <c r="CU743" s="551">
        <f>AU743</f>
        <v>1369</v>
      </c>
      <c r="CV743" s="551">
        <f>AZ743</f>
        <v>1369</v>
      </c>
      <c r="CW743" s="551">
        <f>BE743</f>
        <v>1369</v>
      </c>
      <c r="CX743" s="551">
        <f>BJ743</f>
        <v>1369</v>
      </c>
      <c r="CY743" s="551">
        <f>BO743</f>
        <v>1369</v>
      </c>
      <c r="CZ743" s="551">
        <f>BT743</f>
        <v>1369</v>
      </c>
      <c r="DA743" s="551">
        <f t="shared" si="1633"/>
        <v>1369</v>
      </c>
      <c r="DB743" s="551">
        <f t="shared" si="1633"/>
        <v>1369</v>
      </c>
      <c r="DC743" s="1895">
        <f t="shared" si="1633"/>
        <v>1369</v>
      </c>
      <c r="DD743" s="331"/>
      <c r="DE743" s="331"/>
      <c r="DF743" s="502"/>
      <c r="DG743" s="503"/>
      <c r="DH743" s="3297"/>
      <c r="DI743" s="3213"/>
      <c r="DJ743" s="502"/>
      <c r="DK743" s="503"/>
      <c r="DL743" s="502"/>
      <c r="DM743" s="502"/>
      <c r="DN743" s="502"/>
      <c r="DO743" s="502"/>
      <c r="DP743" s="503"/>
      <c r="DQ743" s="503"/>
      <c r="DR743" s="296"/>
      <c r="DS743" s="296"/>
      <c r="DT743" s="296"/>
    </row>
    <row r="744" spans="1:124" ht="12" customHeight="1" x14ac:dyDescent="0.25">
      <c r="A744" s="281" t="s">
        <v>585</v>
      </c>
      <c r="B744" s="281"/>
      <c r="C744" s="554">
        <v>1212</v>
      </c>
      <c r="D744" s="554">
        <v>1210</v>
      </c>
      <c r="E744" s="554">
        <v>1212</v>
      </c>
      <c r="F744" s="554">
        <v>1204</v>
      </c>
      <c r="G744" s="550">
        <v>1204</v>
      </c>
      <c r="H744" s="554">
        <v>1206</v>
      </c>
      <c r="I744" s="554">
        <v>1206</v>
      </c>
      <c r="J744" s="555">
        <f>1206/3*2</f>
        <v>804</v>
      </c>
      <c r="K744" s="555">
        <v>0</v>
      </c>
      <c r="L744" s="552">
        <v>0</v>
      </c>
      <c r="M744" s="555">
        <v>0</v>
      </c>
      <c r="N744" s="555">
        <v>0</v>
      </c>
      <c r="O744" s="555">
        <v>850</v>
      </c>
      <c r="P744" s="554">
        <v>1005</v>
      </c>
      <c r="Q744" s="550">
        <v>1005</v>
      </c>
      <c r="R744" s="554">
        <v>1005</v>
      </c>
      <c r="S744" s="554">
        <v>1005</v>
      </c>
      <c r="T744" s="554">
        <v>1005</v>
      </c>
      <c r="U744" s="554">
        <v>1080</v>
      </c>
      <c r="V744" s="550">
        <v>1080</v>
      </c>
      <c r="W744" s="554">
        <v>1080</v>
      </c>
      <c r="X744" s="554">
        <v>1080</v>
      </c>
      <c r="Y744" s="554">
        <v>1080</v>
      </c>
      <c r="Z744" s="554">
        <v>1192</v>
      </c>
      <c r="AA744" s="550">
        <v>1192</v>
      </c>
      <c r="AB744" s="555">
        <v>1206</v>
      </c>
      <c r="AC744" s="555">
        <v>1218</v>
      </c>
      <c r="AD744" s="555">
        <v>1174</v>
      </c>
      <c r="AE744" s="555">
        <v>1133</v>
      </c>
      <c r="AF744" s="552">
        <f>AE744</f>
        <v>1133</v>
      </c>
      <c r="AG744" s="551">
        <f>AE744</f>
        <v>1133</v>
      </c>
      <c r="AH744" s="551">
        <f>AG744</f>
        <v>1133</v>
      </c>
      <c r="AI744" s="551">
        <f>AH744</f>
        <v>1133</v>
      </c>
      <c r="AJ744" s="555">
        <v>1237</v>
      </c>
      <c r="AK744" s="552">
        <f>AJ744</f>
        <v>1237</v>
      </c>
      <c r="AL744" s="551">
        <f>AJ744</f>
        <v>1237</v>
      </c>
      <c r="AM744" s="551">
        <f t="shared" ref="AM744:AO745" si="1635">AL744</f>
        <v>1237</v>
      </c>
      <c r="AN744" s="551">
        <f t="shared" si="1635"/>
        <v>1237</v>
      </c>
      <c r="AO744" s="551">
        <f t="shared" si="1635"/>
        <v>1237</v>
      </c>
      <c r="AP744" s="553">
        <f>AO744</f>
        <v>1237</v>
      </c>
      <c r="AQ744" s="553">
        <f t="shared" ref="AQ744:AT745" si="1636">AP744</f>
        <v>1237</v>
      </c>
      <c r="AR744" s="551">
        <f t="shared" si="1636"/>
        <v>1237</v>
      </c>
      <c r="AS744" s="551">
        <f t="shared" si="1636"/>
        <v>1237</v>
      </c>
      <c r="AT744" s="551">
        <f t="shared" si="1636"/>
        <v>1237</v>
      </c>
      <c r="AU744" s="1692">
        <f>AT744</f>
        <v>1237</v>
      </c>
      <c r="AV744" s="1912">
        <f t="shared" ref="AV744:AY745" si="1637">AU744</f>
        <v>1237</v>
      </c>
      <c r="AW744" s="1839">
        <f t="shared" si="1637"/>
        <v>1237</v>
      </c>
      <c r="AX744" s="1839">
        <f t="shared" si="1637"/>
        <v>1237</v>
      </c>
      <c r="AY744" s="1906">
        <f t="shared" si="1637"/>
        <v>1237</v>
      </c>
      <c r="AZ744" s="1692">
        <f>AY744</f>
        <v>1237</v>
      </c>
      <c r="BA744" s="553">
        <f t="shared" ref="BA744:BD745" si="1638">AZ744</f>
        <v>1237</v>
      </c>
      <c r="BB744" s="551">
        <f>BA744</f>
        <v>1237</v>
      </c>
      <c r="BC744" s="551">
        <f t="shared" si="1638"/>
        <v>1237</v>
      </c>
      <c r="BD744" s="1895">
        <f t="shared" si="1638"/>
        <v>1237</v>
      </c>
      <c r="BE744" s="1906">
        <f>BD744</f>
        <v>1237</v>
      </c>
      <c r="BF744" s="551">
        <f t="shared" ref="BF744:BI745" si="1639">BE744</f>
        <v>1237</v>
      </c>
      <c r="BG744" s="551">
        <f t="shared" si="1639"/>
        <v>1237</v>
      </c>
      <c r="BH744" s="551">
        <f t="shared" si="1639"/>
        <v>1237</v>
      </c>
      <c r="BI744" s="1895">
        <f t="shared" si="1639"/>
        <v>1237</v>
      </c>
      <c r="BJ744" s="1906">
        <f>BI744</f>
        <v>1237</v>
      </c>
      <c r="BK744" s="551">
        <f t="shared" ref="BK744:BN745" si="1640">BJ744</f>
        <v>1237</v>
      </c>
      <c r="BL744" s="551">
        <f>BK744</f>
        <v>1237</v>
      </c>
      <c r="BM744" s="551">
        <f t="shared" si="1640"/>
        <v>1237</v>
      </c>
      <c r="BN744" s="1895">
        <f t="shared" si="1640"/>
        <v>1237</v>
      </c>
      <c r="BO744" s="1906">
        <f>BN744</f>
        <v>1237</v>
      </c>
      <c r="BP744" s="551">
        <f t="shared" ref="BP744:BS745" si="1641">BO744</f>
        <v>1237</v>
      </c>
      <c r="BQ744" s="551">
        <f t="shared" si="1641"/>
        <v>1237</v>
      </c>
      <c r="BR744" s="551">
        <f t="shared" si="1641"/>
        <v>1237</v>
      </c>
      <c r="BS744" s="1895">
        <f t="shared" si="1641"/>
        <v>1237</v>
      </c>
      <c r="BT744" s="3218">
        <f>BS744</f>
        <v>1237</v>
      </c>
      <c r="BU744" s="3297">
        <f t="shared" ref="BU744:BX745" si="1642">BT744</f>
        <v>1237</v>
      </c>
      <c r="BV744" s="3297">
        <f t="shared" si="1642"/>
        <v>1237</v>
      </c>
      <c r="BW744" s="3297">
        <f t="shared" si="1642"/>
        <v>1237</v>
      </c>
      <c r="BX744" s="3297">
        <f t="shared" si="1642"/>
        <v>1237</v>
      </c>
      <c r="BY744" s="3234">
        <f>BX744</f>
        <v>1237</v>
      </c>
      <c r="BZ744" s="552">
        <f>BY744</f>
        <v>1237</v>
      </c>
      <c r="CA744" s="552">
        <f>BZ744</f>
        <v>1237</v>
      </c>
      <c r="CB744" s="552">
        <f t="shared" ref="CB744:CF745" si="1643">CA744</f>
        <v>1237</v>
      </c>
      <c r="CC744" s="552">
        <f t="shared" si="1643"/>
        <v>1237</v>
      </c>
      <c r="CD744" s="552">
        <f t="shared" si="1643"/>
        <v>1237</v>
      </c>
      <c r="CE744" s="552">
        <f t="shared" si="1643"/>
        <v>1237</v>
      </c>
      <c r="CF744" s="552">
        <f t="shared" si="1643"/>
        <v>1237</v>
      </c>
      <c r="CG744" s="331"/>
      <c r="CH744" s="331"/>
      <c r="CI744" s="331"/>
      <c r="CJ744" s="331"/>
      <c r="CK744" s="331"/>
      <c r="CL744" s="520" t="str">
        <f>A744</f>
        <v>Slots</v>
      </c>
      <c r="CM744" s="551">
        <f>G744</f>
        <v>1204</v>
      </c>
      <c r="CN744" s="551">
        <f>L744</f>
        <v>0</v>
      </c>
      <c r="CO744" s="551">
        <f>Q744</f>
        <v>1005</v>
      </c>
      <c r="CP744" s="551">
        <f>V744</f>
        <v>1080</v>
      </c>
      <c r="CQ744" s="551">
        <f>AA744</f>
        <v>1192</v>
      </c>
      <c r="CR744" s="551">
        <f>AF744</f>
        <v>1133</v>
      </c>
      <c r="CS744" s="551">
        <f>AK744</f>
        <v>1237</v>
      </c>
      <c r="CT744" s="551">
        <f>AP744</f>
        <v>1237</v>
      </c>
      <c r="CU744" s="551">
        <f>AU744</f>
        <v>1237</v>
      </c>
      <c r="CV744" s="551">
        <f>AZ744</f>
        <v>1237</v>
      </c>
      <c r="CW744" s="551">
        <f>BE744</f>
        <v>1237</v>
      </c>
      <c r="CX744" s="551">
        <f>BJ744</f>
        <v>1237</v>
      </c>
      <c r="CY744" s="551">
        <f>BO744</f>
        <v>1237</v>
      </c>
      <c r="CZ744" s="551">
        <f>BT744</f>
        <v>1237</v>
      </c>
      <c r="DA744" s="551">
        <f t="shared" si="1633"/>
        <v>1237</v>
      </c>
      <c r="DB744" s="551">
        <f t="shared" si="1633"/>
        <v>1237</v>
      </c>
      <c r="DC744" s="1895">
        <f t="shared" si="1633"/>
        <v>1237</v>
      </c>
      <c r="DD744" s="331"/>
      <c r="DE744" s="331"/>
      <c r="DF744" s="502"/>
      <c r="DG744" s="503"/>
      <c r="DH744" s="3297"/>
      <c r="DI744" s="3213"/>
      <c r="DJ744" s="502"/>
      <c r="DK744" s="503"/>
      <c r="DL744" s="502"/>
      <c r="DM744" s="502"/>
      <c r="DN744" s="502"/>
      <c r="DO744" s="502"/>
      <c r="DP744" s="503"/>
      <c r="DQ744" s="503"/>
      <c r="DR744" s="296"/>
      <c r="DS744" s="296"/>
      <c r="DT744" s="296"/>
    </row>
    <row r="745" spans="1:124" ht="12" customHeight="1" x14ac:dyDescent="0.25">
      <c r="A745" s="281" t="s">
        <v>584</v>
      </c>
      <c r="B745" s="281"/>
      <c r="C745" s="554">
        <v>30</v>
      </c>
      <c r="D745" s="554">
        <v>30</v>
      </c>
      <c r="E745" s="554">
        <v>30</v>
      </c>
      <c r="F745" s="554">
        <v>30</v>
      </c>
      <c r="G745" s="550">
        <v>30</v>
      </c>
      <c r="H745" s="554">
        <v>30</v>
      </c>
      <c r="I745" s="554">
        <v>30</v>
      </c>
      <c r="J745" s="555">
        <f>30/3*2</f>
        <v>20</v>
      </c>
      <c r="K745" s="555">
        <v>0</v>
      </c>
      <c r="L745" s="552">
        <v>0</v>
      </c>
      <c r="M745" s="555">
        <v>0</v>
      </c>
      <c r="N745" s="555">
        <v>0</v>
      </c>
      <c r="O745" s="555">
        <v>20</v>
      </c>
      <c r="P745" s="554">
        <v>20</v>
      </c>
      <c r="Q745" s="550">
        <v>20</v>
      </c>
      <c r="R745" s="554">
        <v>20</v>
      </c>
      <c r="S745" s="554">
        <v>20</v>
      </c>
      <c r="T745" s="554">
        <v>20</v>
      </c>
      <c r="U745" s="554">
        <v>21</v>
      </c>
      <c r="V745" s="550">
        <v>21</v>
      </c>
      <c r="W745" s="554">
        <v>21</v>
      </c>
      <c r="X745" s="554">
        <v>21</v>
      </c>
      <c r="Y745" s="554">
        <v>21</v>
      </c>
      <c r="Z745" s="554">
        <v>21</v>
      </c>
      <c r="AA745" s="550">
        <v>21</v>
      </c>
      <c r="AB745" s="555">
        <v>21</v>
      </c>
      <c r="AC745" s="555">
        <v>21</v>
      </c>
      <c r="AD745" s="555">
        <v>21</v>
      </c>
      <c r="AE745" s="555">
        <v>21</v>
      </c>
      <c r="AF745" s="552">
        <f>AE745</f>
        <v>21</v>
      </c>
      <c r="AG745" s="551">
        <f>AE745</f>
        <v>21</v>
      </c>
      <c r="AH745" s="551">
        <f>AG745</f>
        <v>21</v>
      </c>
      <c r="AI745" s="551">
        <f>AH745</f>
        <v>21</v>
      </c>
      <c r="AJ745" s="555">
        <v>22</v>
      </c>
      <c r="AK745" s="552">
        <f>AJ745</f>
        <v>22</v>
      </c>
      <c r="AL745" s="551">
        <f>AJ745</f>
        <v>22</v>
      </c>
      <c r="AM745" s="551">
        <f t="shared" si="1635"/>
        <v>22</v>
      </c>
      <c r="AN745" s="551">
        <f t="shared" si="1635"/>
        <v>22</v>
      </c>
      <c r="AO745" s="551">
        <f t="shared" si="1635"/>
        <v>22</v>
      </c>
      <c r="AP745" s="553">
        <f>AO745</f>
        <v>22</v>
      </c>
      <c r="AQ745" s="553">
        <f t="shared" si="1636"/>
        <v>22</v>
      </c>
      <c r="AR745" s="551">
        <f t="shared" si="1636"/>
        <v>22</v>
      </c>
      <c r="AS745" s="551">
        <f t="shared" si="1636"/>
        <v>22</v>
      </c>
      <c r="AT745" s="551">
        <f t="shared" si="1636"/>
        <v>22</v>
      </c>
      <c r="AU745" s="1692">
        <f>AT745</f>
        <v>22</v>
      </c>
      <c r="AV745" s="1912">
        <f t="shared" si="1637"/>
        <v>22</v>
      </c>
      <c r="AW745" s="1839">
        <f t="shared" si="1637"/>
        <v>22</v>
      </c>
      <c r="AX745" s="1839">
        <f t="shared" si="1637"/>
        <v>22</v>
      </c>
      <c r="AY745" s="1906">
        <f t="shared" si="1637"/>
        <v>22</v>
      </c>
      <c r="AZ745" s="1692">
        <f>AY745</f>
        <v>22</v>
      </c>
      <c r="BA745" s="553">
        <f t="shared" si="1638"/>
        <v>22</v>
      </c>
      <c r="BB745" s="551">
        <f>BA745</f>
        <v>22</v>
      </c>
      <c r="BC745" s="551">
        <f t="shared" si="1638"/>
        <v>22</v>
      </c>
      <c r="BD745" s="1895">
        <f t="shared" si="1638"/>
        <v>22</v>
      </c>
      <c r="BE745" s="1906">
        <f>BD745</f>
        <v>22</v>
      </c>
      <c r="BF745" s="551">
        <f t="shared" si="1639"/>
        <v>22</v>
      </c>
      <c r="BG745" s="551">
        <f t="shared" si="1639"/>
        <v>22</v>
      </c>
      <c r="BH745" s="551">
        <f t="shared" si="1639"/>
        <v>22</v>
      </c>
      <c r="BI745" s="1895">
        <f t="shared" si="1639"/>
        <v>22</v>
      </c>
      <c r="BJ745" s="1906">
        <f>BI745</f>
        <v>22</v>
      </c>
      <c r="BK745" s="551">
        <f t="shared" si="1640"/>
        <v>22</v>
      </c>
      <c r="BL745" s="551">
        <f>BK745</f>
        <v>22</v>
      </c>
      <c r="BM745" s="551">
        <f t="shared" si="1640"/>
        <v>22</v>
      </c>
      <c r="BN745" s="1895">
        <f t="shared" si="1640"/>
        <v>22</v>
      </c>
      <c r="BO745" s="1906">
        <f>BN745</f>
        <v>22</v>
      </c>
      <c r="BP745" s="551">
        <f t="shared" si="1641"/>
        <v>22</v>
      </c>
      <c r="BQ745" s="551">
        <f t="shared" si="1641"/>
        <v>22</v>
      </c>
      <c r="BR745" s="551">
        <f t="shared" si="1641"/>
        <v>22</v>
      </c>
      <c r="BS745" s="1895">
        <f t="shared" si="1641"/>
        <v>22</v>
      </c>
      <c r="BT745" s="3218">
        <f>BS745</f>
        <v>22</v>
      </c>
      <c r="BU745" s="3297">
        <f t="shared" si="1642"/>
        <v>22</v>
      </c>
      <c r="BV745" s="3297">
        <f t="shared" si="1642"/>
        <v>22</v>
      </c>
      <c r="BW745" s="3297">
        <f t="shared" si="1642"/>
        <v>22</v>
      </c>
      <c r="BX745" s="3297">
        <f t="shared" si="1642"/>
        <v>22</v>
      </c>
      <c r="BY745" s="3234">
        <f>BX745</f>
        <v>22</v>
      </c>
      <c r="BZ745" s="552">
        <f>BY745</f>
        <v>22</v>
      </c>
      <c r="CA745" s="552">
        <f>BZ745</f>
        <v>22</v>
      </c>
      <c r="CB745" s="552">
        <f t="shared" si="1643"/>
        <v>22</v>
      </c>
      <c r="CC745" s="552">
        <f t="shared" si="1643"/>
        <v>22</v>
      </c>
      <c r="CD745" s="552">
        <f t="shared" si="1643"/>
        <v>22</v>
      </c>
      <c r="CE745" s="552">
        <f t="shared" si="1643"/>
        <v>22</v>
      </c>
      <c r="CF745" s="552">
        <f t="shared" si="1643"/>
        <v>22</v>
      </c>
      <c r="CG745" s="331"/>
      <c r="CH745" s="331"/>
      <c r="CI745" s="331"/>
      <c r="CJ745" s="331"/>
      <c r="CK745" s="331"/>
      <c r="CL745" s="520" t="str">
        <f>A745</f>
        <v>Tables</v>
      </c>
      <c r="CM745" s="551">
        <f>G745</f>
        <v>30</v>
      </c>
      <c r="CN745" s="551">
        <f>L745</f>
        <v>0</v>
      </c>
      <c r="CO745" s="551">
        <f>Q745</f>
        <v>20</v>
      </c>
      <c r="CP745" s="551">
        <f>V745</f>
        <v>21</v>
      </c>
      <c r="CQ745" s="551">
        <f>AA745</f>
        <v>21</v>
      </c>
      <c r="CR745" s="551">
        <f>AF745</f>
        <v>21</v>
      </c>
      <c r="CS745" s="551">
        <f>AK745</f>
        <v>22</v>
      </c>
      <c r="CT745" s="551">
        <f>AP745</f>
        <v>22</v>
      </c>
      <c r="CU745" s="551">
        <f>AU745</f>
        <v>22</v>
      </c>
      <c r="CV745" s="551">
        <f>AZ745</f>
        <v>22</v>
      </c>
      <c r="CW745" s="551">
        <f>BE745</f>
        <v>22</v>
      </c>
      <c r="CX745" s="551">
        <f>BJ745</f>
        <v>22</v>
      </c>
      <c r="CY745" s="551">
        <f>BO745</f>
        <v>22</v>
      </c>
      <c r="CZ745" s="551">
        <f>BT745</f>
        <v>22</v>
      </c>
      <c r="DA745" s="551">
        <f t="shared" si="1633"/>
        <v>22</v>
      </c>
      <c r="DB745" s="551">
        <f t="shared" si="1633"/>
        <v>22</v>
      </c>
      <c r="DC745" s="1895">
        <f t="shared" si="1633"/>
        <v>22</v>
      </c>
      <c r="DD745" s="331"/>
      <c r="DE745" s="331"/>
      <c r="DF745" s="502"/>
      <c r="DG745" s="503"/>
      <c r="DH745" s="3297"/>
      <c r="DI745" s="3213"/>
      <c r="DJ745" s="502"/>
      <c r="DK745" s="503"/>
      <c r="DL745" s="502"/>
      <c r="DM745" s="502"/>
      <c r="DN745" s="502"/>
      <c r="DO745" s="502"/>
      <c r="DP745" s="503"/>
      <c r="DQ745" s="503"/>
      <c r="DR745" s="296"/>
      <c r="DS745" s="296"/>
      <c r="DT745" s="296"/>
    </row>
    <row r="746" spans="1:124" ht="12" customHeight="1" x14ac:dyDescent="0.25">
      <c r="A746" s="511" t="s">
        <v>2111</v>
      </c>
      <c r="B746" s="281"/>
      <c r="C746" s="554">
        <v>1348</v>
      </c>
      <c r="D746" s="549">
        <f>AVERAGE(C743:D743)</f>
        <v>1391</v>
      </c>
      <c r="E746" s="549">
        <f>AVERAGE(D743:E743)</f>
        <v>1391</v>
      </c>
      <c r="F746" s="549">
        <f>AVERAGE(E743:F743)</f>
        <v>1388</v>
      </c>
      <c r="G746" s="550">
        <f>AVERAGE(C746:F746)</f>
        <v>1379.5</v>
      </c>
      <c r="H746" s="549">
        <f>AVERAGE(G743:H743)</f>
        <v>1385</v>
      </c>
      <c r="I746" s="549">
        <f>AVERAGE(H743:I743)</f>
        <v>1386</v>
      </c>
      <c r="J746" s="551">
        <f>AVERAGE(I743:J743)</f>
        <v>1155</v>
      </c>
      <c r="K746" s="555">
        <v>0</v>
      </c>
      <c r="L746" s="552">
        <f>AVERAGE(H746:K746)</f>
        <v>981.5</v>
      </c>
      <c r="M746" s="551">
        <f>AVERAGE(L743:M743)</f>
        <v>0</v>
      </c>
      <c r="N746" s="551">
        <f>AVERAGE(M743:N743)</f>
        <v>0</v>
      </c>
      <c r="O746" s="551">
        <v>323.33333333333331</v>
      </c>
      <c r="P746" s="549">
        <f>AVERAGE(O743:P743)</f>
        <v>1047.5</v>
      </c>
      <c r="Q746" s="550">
        <f>AVERAGE(M746:P746)</f>
        <v>342.70833333333331</v>
      </c>
      <c r="R746" s="549">
        <f>AVERAGE(Q743:R743)</f>
        <v>1125</v>
      </c>
      <c r="S746" s="549">
        <f>AVERAGE(R743:S743)</f>
        <v>1125</v>
      </c>
      <c r="T746" s="549">
        <f>AVERAGE(S743:T743)</f>
        <v>1125</v>
      </c>
      <c r="U746" s="549">
        <f>AVERAGE(T743:U743)</f>
        <v>1165.5</v>
      </c>
      <c r="V746" s="550">
        <f>AVERAGE(R746:U746)</f>
        <v>1135.125</v>
      </c>
      <c r="W746" s="549">
        <f>AVERAGE(V743:W743)</f>
        <v>1206</v>
      </c>
      <c r="X746" s="549">
        <f>AVERAGE(W743:X743)</f>
        <v>1206</v>
      </c>
      <c r="Y746" s="549">
        <f>AVERAGE(X743:Y743)</f>
        <v>1206</v>
      </c>
      <c r="Z746" s="549">
        <f>AVERAGE(Y743:Z743)</f>
        <v>1262</v>
      </c>
      <c r="AA746" s="550">
        <f>AVERAGE(W746:Z746)</f>
        <v>1220</v>
      </c>
      <c r="AB746" s="549">
        <f>AVERAGE(AA743:AB743)</f>
        <v>1325</v>
      </c>
      <c r="AC746" s="549">
        <f>AVERAGE(AB743:AC743)</f>
        <v>1338</v>
      </c>
      <c r="AD746" s="549">
        <f>AVERAGE(AC743:AD743)</f>
        <v>1322</v>
      </c>
      <c r="AE746" s="551">
        <f>AVERAGE(AD743:AE743)</f>
        <v>1279.5</v>
      </c>
      <c r="AF746" s="552">
        <f>AVERAGE(AB746:AE746)</f>
        <v>1316.125</v>
      </c>
      <c r="AG746" s="549">
        <f>AVERAGE(AF743:AG743)</f>
        <v>1259</v>
      </c>
      <c r="AH746" s="549">
        <f>AVERAGE(AG743:AH743)</f>
        <v>1259</v>
      </c>
      <c r="AI746" s="549">
        <f>AVERAGE(AH743:AI743)</f>
        <v>1259</v>
      </c>
      <c r="AJ746" s="551">
        <f>AVERAGE(AI743:AJ743)</f>
        <v>1314</v>
      </c>
      <c r="AK746" s="552">
        <f>AVERAGE(AG746:AJ746)</f>
        <v>1272.75</v>
      </c>
      <c r="AL746" s="549">
        <f>AVERAGE(AK743:AL743)</f>
        <v>1369</v>
      </c>
      <c r="AM746" s="549">
        <f>AVERAGE(AL743:AM743)</f>
        <v>1369</v>
      </c>
      <c r="AN746" s="549">
        <f>AVERAGE(AM743:AN743)</f>
        <v>1369</v>
      </c>
      <c r="AO746" s="551">
        <f>AVERAGE(AN743:AO743)</f>
        <v>1369</v>
      </c>
      <c r="AP746" s="553">
        <f>AVERAGE(AL746:AO746)</f>
        <v>1369</v>
      </c>
      <c r="AQ746" s="553">
        <f>AVERAGE(AP743:AQ743)</f>
        <v>1369</v>
      </c>
      <c r="AR746" s="551">
        <f>AVERAGE(AQ743:AR743)</f>
        <v>1369</v>
      </c>
      <c r="AS746" s="551">
        <f>AVERAGE(AR743:AS743)</f>
        <v>1369</v>
      </c>
      <c r="AT746" s="551">
        <f>AVERAGE(AS743:AT743)</f>
        <v>1369</v>
      </c>
      <c r="AU746" s="1692">
        <f>AVERAGE(AQ746:AT746)</f>
        <v>1369</v>
      </c>
      <c r="AV746" s="1912">
        <f>AVERAGE(AU743:AV743)</f>
        <v>1369</v>
      </c>
      <c r="AW746" s="1839">
        <f>AVERAGE(AV743:AW743)</f>
        <v>1369</v>
      </c>
      <c r="AX746" s="1839">
        <f>AVERAGE(AW743:AX743)</f>
        <v>1369</v>
      </c>
      <c r="AY746" s="1906">
        <f>AVERAGE(AX743:AY743)</f>
        <v>1369</v>
      </c>
      <c r="AZ746" s="1692">
        <f>AVERAGE(AV746:AY746)</f>
        <v>1369</v>
      </c>
      <c r="BA746" s="553">
        <f>AVERAGE(AZ743:BA743)</f>
        <v>1369</v>
      </c>
      <c r="BB746" s="551">
        <f>AVERAGE(BA743:BB743)</f>
        <v>1369</v>
      </c>
      <c r="BC746" s="551">
        <f>AVERAGE(BB743:BC743)</f>
        <v>1369</v>
      </c>
      <c r="BD746" s="1895">
        <f>AVERAGE(BC743:BD743)</f>
        <v>1369</v>
      </c>
      <c r="BE746" s="1906">
        <f>AVERAGE(BA746:BD746)</f>
        <v>1369</v>
      </c>
      <c r="BF746" s="551">
        <f>AVERAGE(BE743:BF743)</f>
        <v>1369</v>
      </c>
      <c r="BG746" s="551">
        <f>AVERAGE(BF743:BG743)</f>
        <v>1369</v>
      </c>
      <c r="BH746" s="551">
        <f>AVERAGE(BG743:BH743)</f>
        <v>1369</v>
      </c>
      <c r="BI746" s="1895">
        <f>AVERAGE(BH743:BI743)</f>
        <v>1369</v>
      </c>
      <c r="BJ746" s="1906">
        <f>AVERAGE(BF746:BI746)</f>
        <v>1369</v>
      </c>
      <c r="BK746" s="551">
        <f>AVERAGE(BJ743:BK743)</f>
        <v>1369</v>
      </c>
      <c r="BL746" s="551">
        <f>AVERAGE(BK743:BL743)</f>
        <v>1369</v>
      </c>
      <c r="BM746" s="551">
        <f>AVERAGE(BL743:BM743)</f>
        <v>1369</v>
      </c>
      <c r="BN746" s="1895">
        <f>AVERAGE(BM743:BN743)</f>
        <v>1369</v>
      </c>
      <c r="BO746" s="1906">
        <f>AVERAGE(BK746:BN746)</f>
        <v>1369</v>
      </c>
      <c r="BP746" s="551">
        <f>AVERAGE(BO743:BP743)</f>
        <v>1369</v>
      </c>
      <c r="BQ746" s="551">
        <f>AVERAGE(BP743:BQ743)</f>
        <v>1369</v>
      </c>
      <c r="BR746" s="551">
        <f>AVERAGE(BQ743:BR743)</f>
        <v>1369</v>
      </c>
      <c r="BS746" s="1895">
        <f>AVERAGE(BR743:BS743)</f>
        <v>1369</v>
      </c>
      <c r="BT746" s="3218">
        <f>AVERAGE(BP746:BS746)</f>
        <v>1369</v>
      </c>
      <c r="BU746" s="3297">
        <f>AVERAGE(BT743:BU743)</f>
        <v>1369</v>
      </c>
      <c r="BV746" s="3297">
        <f>AVERAGE(BU743:BV743)</f>
        <v>1369</v>
      </c>
      <c r="BW746" s="3297">
        <f>AVERAGE(BV743:BW743)</f>
        <v>1369</v>
      </c>
      <c r="BX746" s="3297">
        <f>AVERAGE(BW743:BX743)</f>
        <v>1369</v>
      </c>
      <c r="BY746" s="3234">
        <f>AVERAGE(BU746:BX746)</f>
        <v>1369</v>
      </c>
      <c r="BZ746" s="552">
        <f t="shared" ref="BZ746:CF746" si="1644">AVERAGE(BY743:BZ743)</f>
        <v>1369</v>
      </c>
      <c r="CA746" s="552">
        <f t="shared" si="1644"/>
        <v>1369</v>
      </c>
      <c r="CB746" s="552">
        <f t="shared" si="1644"/>
        <v>1369</v>
      </c>
      <c r="CC746" s="552">
        <f t="shared" si="1644"/>
        <v>1369</v>
      </c>
      <c r="CD746" s="552">
        <f t="shared" si="1644"/>
        <v>1369</v>
      </c>
      <c r="CE746" s="552">
        <f t="shared" si="1644"/>
        <v>1369</v>
      </c>
      <c r="CF746" s="552">
        <f t="shared" si="1644"/>
        <v>1369</v>
      </c>
      <c r="CG746" s="331"/>
      <c r="CH746" s="331"/>
      <c r="CI746" s="331"/>
      <c r="CJ746" s="331"/>
      <c r="CK746" s="331"/>
      <c r="CL746" s="1118" t="str">
        <f>A746</f>
        <v>Average Positions</v>
      </c>
      <c r="CM746" s="551">
        <f>G746</f>
        <v>1379.5</v>
      </c>
      <c r="CN746" s="551">
        <f>L746</f>
        <v>981.5</v>
      </c>
      <c r="CO746" s="551">
        <f>Q746</f>
        <v>342.70833333333331</v>
      </c>
      <c r="CP746" s="551">
        <f>V746</f>
        <v>1135.125</v>
      </c>
      <c r="CQ746" s="551">
        <f>AA746</f>
        <v>1220</v>
      </c>
      <c r="CR746" s="551">
        <f>AF746</f>
        <v>1316.125</v>
      </c>
      <c r="CS746" s="551">
        <f>AK746</f>
        <v>1272.75</v>
      </c>
      <c r="CT746" s="551">
        <f>AP746</f>
        <v>1369</v>
      </c>
      <c r="CU746" s="551">
        <f>AU746</f>
        <v>1369</v>
      </c>
      <c r="CV746" s="551">
        <f>AZ746</f>
        <v>1369</v>
      </c>
      <c r="CW746" s="551">
        <f>BE746</f>
        <v>1369</v>
      </c>
      <c r="CX746" s="551">
        <f>BJ746</f>
        <v>1369</v>
      </c>
      <c r="CY746" s="551">
        <f>BO746</f>
        <v>1369</v>
      </c>
      <c r="CZ746" s="551">
        <f>BT746</f>
        <v>1369</v>
      </c>
      <c r="DA746" s="551">
        <f t="shared" si="1633"/>
        <v>1369</v>
      </c>
      <c r="DB746" s="551">
        <f t="shared" si="1633"/>
        <v>1369</v>
      </c>
      <c r="DC746" s="1895">
        <f t="shared" si="1633"/>
        <v>1369</v>
      </c>
      <c r="DD746" s="331"/>
      <c r="DE746" s="331"/>
      <c r="DF746" s="502"/>
      <c r="DG746" s="503"/>
      <c r="DH746" s="3297"/>
      <c r="DI746" s="3213"/>
      <c r="DJ746" s="502"/>
      <c r="DK746" s="503"/>
      <c r="DL746" s="502"/>
      <c r="DM746" s="502"/>
      <c r="DN746" s="502"/>
      <c r="DO746" s="502"/>
      <c r="DP746" s="503"/>
      <c r="DQ746" s="503"/>
      <c r="DR746" s="296"/>
      <c r="DS746" s="296"/>
      <c r="DT746" s="296"/>
    </row>
    <row r="747" spans="1:124" ht="5.0999999999999996" customHeight="1" x14ac:dyDescent="0.25">
      <c r="A747" s="281"/>
      <c r="B747" s="281"/>
      <c r="C747" s="305"/>
      <c r="D747" s="305"/>
      <c r="E747" s="305"/>
      <c r="F747" s="305"/>
      <c r="G747" s="440"/>
      <c r="H747" s="305"/>
      <c r="I747" s="305"/>
      <c r="J747" s="305"/>
      <c r="K747" s="305"/>
      <c r="L747" s="440"/>
      <c r="M747" s="305"/>
      <c r="N747" s="305"/>
      <c r="O747" s="305"/>
      <c r="P747" s="305"/>
      <c r="Q747" s="440"/>
      <c r="R747" s="305"/>
      <c r="S747" s="305"/>
      <c r="T747" s="305"/>
      <c r="U747" s="305"/>
      <c r="V747" s="440"/>
      <c r="W747" s="305"/>
      <c r="X747" s="305"/>
      <c r="Y747" s="305"/>
      <c r="Z747" s="305"/>
      <c r="AA747" s="440"/>
      <c r="AB747" s="305"/>
      <c r="AC747" s="305"/>
      <c r="AD747" s="305"/>
      <c r="AE747" s="331"/>
      <c r="AF747" s="441"/>
      <c r="AG747" s="305"/>
      <c r="AH747" s="305"/>
      <c r="AI747" s="305"/>
      <c r="AJ747" s="331"/>
      <c r="AK747" s="441"/>
      <c r="AL747" s="305"/>
      <c r="AM747" s="305"/>
      <c r="AN747" s="305"/>
      <c r="AO747" s="331"/>
      <c r="AP747" s="569"/>
      <c r="AQ747" s="569"/>
      <c r="AR747" s="442"/>
      <c r="AS747" s="442"/>
      <c r="AT747" s="442"/>
      <c r="AU747" s="1690"/>
      <c r="AV747" s="1902"/>
      <c r="AW747" s="1837"/>
      <c r="AX747" s="1837"/>
      <c r="AY747" s="1903"/>
      <c r="AZ747" s="1690"/>
      <c r="BA747" s="569"/>
      <c r="BB747" s="442"/>
      <c r="BC747" s="442"/>
      <c r="BD747" s="1312"/>
      <c r="BE747" s="1903"/>
      <c r="BF747" s="442"/>
      <c r="BG747" s="442"/>
      <c r="BH747" s="442"/>
      <c r="BI747" s="1312"/>
      <c r="BJ747" s="1903"/>
      <c r="BK747" s="442"/>
      <c r="BL747" s="442"/>
      <c r="BM747" s="442"/>
      <c r="BN747" s="1312"/>
      <c r="BO747" s="1903"/>
      <c r="BP747" s="442"/>
      <c r="BQ747" s="442"/>
      <c r="BR747" s="442"/>
      <c r="BS747" s="1312"/>
      <c r="BT747" s="3016"/>
      <c r="BU747" s="3298"/>
      <c r="BV747" s="3298"/>
      <c r="BW747" s="3298"/>
      <c r="BX747" s="3298"/>
      <c r="BY747" s="3236"/>
      <c r="BZ747" s="441"/>
      <c r="CA747" s="441"/>
      <c r="CB747" s="441"/>
      <c r="CC747" s="441"/>
      <c r="CD747" s="441"/>
      <c r="CE747" s="441"/>
      <c r="CF747" s="441"/>
      <c r="CG747" s="331"/>
      <c r="CH747" s="331"/>
      <c r="CI747" s="331"/>
      <c r="CJ747" s="331"/>
      <c r="CK747" s="331"/>
      <c r="CL747" s="520"/>
      <c r="CM747" s="442"/>
      <c r="CN747" s="442"/>
      <c r="CO747" s="442"/>
      <c r="CP747" s="442"/>
      <c r="CQ747" s="442"/>
      <c r="CR747" s="442"/>
      <c r="CS747" s="442"/>
      <c r="CT747" s="442"/>
      <c r="CU747" s="442"/>
      <c r="CV747" s="442"/>
      <c r="CW747" s="442"/>
      <c r="CX747" s="442"/>
      <c r="CY747" s="442"/>
      <c r="CZ747" s="442"/>
      <c r="DA747" s="442"/>
      <c r="DB747" s="442"/>
      <c r="DC747" s="1312"/>
      <c r="DD747" s="331"/>
      <c r="DE747" s="331"/>
      <c r="DF747" s="502"/>
      <c r="DG747" s="503"/>
      <c r="DH747" s="3298"/>
      <c r="DI747" s="3213"/>
      <c r="DJ747" s="502"/>
      <c r="DK747" s="503"/>
      <c r="DL747" s="502"/>
      <c r="DM747" s="502"/>
      <c r="DN747" s="502"/>
      <c r="DO747" s="502"/>
      <c r="DP747" s="503"/>
      <c r="DQ747" s="503"/>
      <c r="DR747" s="296"/>
      <c r="DS747" s="296"/>
      <c r="DT747" s="296"/>
    </row>
    <row r="748" spans="1:124" ht="12" customHeight="1" x14ac:dyDescent="0.25">
      <c r="A748" s="496" t="s">
        <v>1418</v>
      </c>
      <c r="B748" s="1007"/>
      <c r="C748" s="1001">
        <v>28.600999999999999</v>
      </c>
      <c r="D748" s="1001">
        <v>28.056999999999999</v>
      </c>
      <c r="E748" s="1001">
        <v>25.507000000000001</v>
      </c>
      <c r="F748" s="1001">
        <v>24.071000000000002</v>
      </c>
      <c r="G748" s="1002">
        <f>SUM(C748:F748)</f>
        <v>106.236</v>
      </c>
      <c r="H748" s="1001">
        <v>26.634</v>
      </c>
      <c r="I748" s="1001">
        <v>26.576000000000001</v>
      </c>
      <c r="J748" s="1001">
        <v>16.366</v>
      </c>
      <c r="K748" s="1001">
        <v>0</v>
      </c>
      <c r="L748" s="1002">
        <f>SUM(H748:K748)</f>
        <v>69.575999999999993</v>
      </c>
      <c r="M748" s="1001">
        <v>0</v>
      </c>
      <c r="N748" s="1001">
        <v>0</v>
      </c>
      <c r="O748" s="1001">
        <v>10.766999999999999</v>
      </c>
      <c r="P748" s="1001">
        <v>21.417000000000002</v>
      </c>
      <c r="Q748" s="1002">
        <f>SUM(M748:P748)</f>
        <v>32.183999999999997</v>
      </c>
      <c r="R748" s="1001">
        <v>23.484000000000002</v>
      </c>
      <c r="S748" s="1001">
        <v>25.466000000000001</v>
      </c>
      <c r="T748" s="1001">
        <v>24.545000000000002</v>
      </c>
      <c r="U748" s="1001">
        <v>23.126999999999999</v>
      </c>
      <c r="V748" s="1002">
        <f>SUM(R748:U748)</f>
        <v>96.622</v>
      </c>
      <c r="W748" s="1001">
        <v>25.440999999999999</v>
      </c>
      <c r="X748" s="1001">
        <v>25.850999999999999</v>
      </c>
      <c r="Y748" s="1001">
        <v>25.036999999999999</v>
      </c>
      <c r="Z748" s="1001">
        <v>25.667999999999999</v>
      </c>
      <c r="AA748" s="1002">
        <f>SUM(W748:Z748)</f>
        <v>101.99700000000001</v>
      </c>
      <c r="AB748" s="1001">
        <v>25.989000000000001</v>
      </c>
      <c r="AC748" s="1001">
        <v>25.422000000000001</v>
      </c>
      <c r="AD748" s="1001">
        <v>23.393999999999998</v>
      </c>
      <c r="AE748" s="1003">
        <v>20.254999999999999</v>
      </c>
      <c r="AF748" s="1004">
        <f>SUM(AB748:AE748)</f>
        <v>95.06</v>
      </c>
      <c r="AG748" s="1001">
        <v>21.33</v>
      </c>
      <c r="AH748" s="1001">
        <v>22.123000000000001</v>
      </c>
      <c r="AI748" s="1001">
        <v>22.436</v>
      </c>
      <c r="AJ748" s="1001">
        <v>20.853999999999999</v>
      </c>
      <c r="AK748" s="1004">
        <f>SUM(AG748:AJ748)</f>
        <v>86.743000000000009</v>
      </c>
      <c r="AL748" s="1001">
        <v>21.811</v>
      </c>
      <c r="AM748" s="1003">
        <v>21.632000000000001</v>
      </c>
      <c r="AN748" s="1592">
        <f>AI748*(1+AN749)</f>
        <v>20.865479999999998</v>
      </c>
      <c r="AO748" s="1005">
        <f>AJ748*(1+AO749)</f>
        <v>19.394219999999997</v>
      </c>
      <c r="AP748" s="1006">
        <f>SUM(AL748:AO748)</f>
        <v>83.702699999999993</v>
      </c>
      <c r="AQ748" s="1006">
        <f>AL748*(1+AQ749)</f>
        <v>21.811</v>
      </c>
      <c r="AR748" s="1015">
        <f>AM748*(1+AR749)</f>
        <v>21.199360000000002</v>
      </c>
      <c r="AS748" s="1015">
        <f>AN748*(1+AS749)</f>
        <v>20.865479999999998</v>
      </c>
      <c r="AT748" s="1015">
        <f>AO748*(1+AT749)</f>
        <v>18.424508999999997</v>
      </c>
      <c r="AU748" s="1698">
        <f>SUM(AQ748:AT748)</f>
        <v>82.300348999999997</v>
      </c>
      <c r="AV748" s="1915">
        <f>AQ748*(1+AV749)</f>
        <v>20.284229999999997</v>
      </c>
      <c r="AW748" s="1843">
        <f>AR748*(1+AW749)</f>
        <v>19.715404800000002</v>
      </c>
      <c r="AX748" s="1843">
        <f>AS748*(1+AX749)</f>
        <v>19.1962416</v>
      </c>
      <c r="AY748" s="1910">
        <f>AT748*(1+AY749)</f>
        <v>17.687528639999996</v>
      </c>
      <c r="AZ748" s="1698">
        <f>SUM(AV748:AY748)</f>
        <v>76.883405039999985</v>
      </c>
      <c r="BA748" s="1006">
        <f>AV748*(1+BA749)</f>
        <v>19.067176199999995</v>
      </c>
      <c r="BB748" s="1015">
        <f>AW748*(1+BB749)</f>
        <v>18.335326464000001</v>
      </c>
      <c r="BC748" s="1015">
        <f>AX748*(1+BC749)</f>
        <v>18.428391936000001</v>
      </c>
      <c r="BD748" s="1871">
        <f>AY748*(1+BD749)</f>
        <v>17.156902780799996</v>
      </c>
      <c r="BE748" s="1910">
        <f>SUM(BA748:BD748)</f>
        <v>72.987797380799989</v>
      </c>
      <c r="BF748" s="1015">
        <f>BA748*(1+BF749)</f>
        <v>18.685832675999993</v>
      </c>
      <c r="BG748" s="1015">
        <f>BB748*(1+BG749)</f>
        <v>18.518679728640002</v>
      </c>
      <c r="BH748" s="1015">
        <f>BC748*(1+BH749)</f>
        <v>18.612675855359999</v>
      </c>
      <c r="BI748" s="1871">
        <f>BD748*(1+BI749)</f>
        <v>16.985333752991995</v>
      </c>
      <c r="BJ748" s="1910">
        <f>SUM(BF748:BI748)</f>
        <v>72.802522012991986</v>
      </c>
      <c r="BK748" s="1015">
        <f>BF748*(1+BK749)</f>
        <v>18.498974349239994</v>
      </c>
      <c r="BL748" s="1015">
        <f>BG748*(1+BL749)</f>
        <v>18.703866525926401</v>
      </c>
      <c r="BM748" s="1015">
        <f>BH748*(1+BM749)</f>
        <v>18.798802613913598</v>
      </c>
      <c r="BN748" s="1871">
        <f>BI748*(1+BN749)</f>
        <v>17.155187090521913</v>
      </c>
      <c r="BO748" s="1910">
        <f>SUM(BK748:BN748)</f>
        <v>73.156830579601916</v>
      </c>
      <c r="BP748" s="1015">
        <f>BK748*(1+BP749)</f>
        <v>18.683964092732396</v>
      </c>
      <c r="BQ748" s="1015">
        <f>BL748*(1+BQ749)</f>
        <v>18.890905191185666</v>
      </c>
      <c r="BR748" s="1015">
        <f>BM748*(1+BR749)</f>
        <v>19.17477866619187</v>
      </c>
      <c r="BS748" s="1871">
        <f>BN748*(1+BS749)</f>
        <v>15.439668381469723</v>
      </c>
      <c r="BT748" s="1871">
        <f>SUM(BP748:BS748)</f>
        <v>72.189316331579647</v>
      </c>
      <c r="BU748" s="1015">
        <f>BP748*(1+BU749)</f>
        <v>18.964223554123379</v>
      </c>
      <c r="BV748" s="1015">
        <f>BQ748*(1+BV749)</f>
        <v>19.174268769053448</v>
      </c>
      <c r="BW748" s="1015">
        <f>BR748*(1+BW749)</f>
        <v>19.462400346184747</v>
      </c>
      <c r="BX748" s="1015">
        <f>BS748*(1+BX749)</f>
        <v>16.983635219616698</v>
      </c>
      <c r="BY748" s="1004">
        <f>SUM(BU748:BX748)</f>
        <v>74.584527888978272</v>
      </c>
      <c r="BZ748" s="1004">
        <f t="shared" ref="BZ748:CF748" si="1645">BY748*(1+BZ749)</f>
        <v>75.330373167868061</v>
      </c>
      <c r="CA748" s="1004">
        <f t="shared" si="1645"/>
        <v>75.330373167868061</v>
      </c>
      <c r="CB748" s="1004">
        <f t="shared" si="1645"/>
        <v>71.563854509474652</v>
      </c>
      <c r="CC748" s="1004">
        <f t="shared" si="1645"/>
        <v>67.985661784000911</v>
      </c>
      <c r="CD748" s="1004">
        <f t="shared" si="1645"/>
        <v>69.34537501968093</v>
      </c>
      <c r="CE748" s="1004">
        <f t="shared" si="1645"/>
        <v>70.732282520074548</v>
      </c>
      <c r="CF748" s="1004">
        <f t="shared" si="1645"/>
        <v>72.146928170476045</v>
      </c>
      <c r="CG748" s="502"/>
      <c r="CH748" s="502"/>
      <c r="CI748" s="502"/>
      <c r="CJ748" s="502"/>
      <c r="CK748" s="502"/>
      <c r="CL748" s="2102" t="str">
        <f>A748</f>
        <v>Net revenue</v>
      </c>
      <c r="CM748" s="1015">
        <f>G748</f>
        <v>106.236</v>
      </c>
      <c r="CN748" s="1015">
        <f>L748</f>
        <v>69.575999999999993</v>
      </c>
      <c r="CO748" s="1015">
        <f>Q748</f>
        <v>32.183999999999997</v>
      </c>
      <c r="CP748" s="1015">
        <f>V748</f>
        <v>96.622</v>
      </c>
      <c r="CQ748" s="1015">
        <f>AA748</f>
        <v>101.99700000000001</v>
      </c>
      <c r="CR748" s="1015">
        <f>AF748</f>
        <v>95.06</v>
      </c>
      <c r="CS748" s="1015">
        <f>AK748</f>
        <v>86.743000000000009</v>
      </c>
      <c r="CT748" s="1015">
        <f>AP748</f>
        <v>83.702699999999993</v>
      </c>
      <c r="CU748" s="1015">
        <f>AU748</f>
        <v>82.300348999999997</v>
      </c>
      <c r="CV748" s="1015">
        <f>AZ748</f>
        <v>76.883405039999985</v>
      </c>
      <c r="CW748" s="1015">
        <f>BE748</f>
        <v>72.987797380799989</v>
      </c>
      <c r="CX748" s="1015">
        <f>BJ748</f>
        <v>72.802522012991986</v>
      </c>
      <c r="CY748" s="1015">
        <f>BO748</f>
        <v>73.156830579601916</v>
      </c>
      <c r="CZ748" s="1015">
        <f>BT748</f>
        <v>72.189316331579647</v>
      </c>
      <c r="DA748" s="1015">
        <f t="shared" ref="DA748:DC749" si="1646">BY748</f>
        <v>74.584527888978272</v>
      </c>
      <c r="DB748" s="1015">
        <f t="shared" si="1646"/>
        <v>75.330373167868061</v>
      </c>
      <c r="DC748" s="1871">
        <f t="shared" si="1646"/>
        <v>75.330373167868061</v>
      </c>
      <c r="DD748" s="502"/>
      <c r="DE748" s="502"/>
      <c r="DF748" s="502"/>
      <c r="DG748" s="503"/>
      <c r="DH748" s="463"/>
      <c r="DI748" s="3213"/>
      <c r="DJ748" s="502"/>
      <c r="DK748" s="503"/>
      <c r="DL748" s="502"/>
      <c r="DM748" s="502"/>
      <c r="DN748" s="502"/>
      <c r="DO748" s="502"/>
      <c r="DP748" s="503"/>
      <c r="DQ748" s="503"/>
      <c r="DR748" s="719"/>
      <c r="DS748" s="719"/>
      <c r="DT748" s="719"/>
    </row>
    <row r="749" spans="1:124" ht="12" customHeight="1" x14ac:dyDescent="0.25">
      <c r="A749" s="465" t="s">
        <v>1491</v>
      </c>
      <c r="B749" s="466"/>
      <c r="C749" s="467" t="s">
        <v>553</v>
      </c>
      <c r="D749" s="467" t="s">
        <v>553</v>
      </c>
      <c r="E749" s="467" t="s">
        <v>553</v>
      </c>
      <c r="F749" s="467" t="s">
        <v>553</v>
      </c>
      <c r="G749" s="468" t="s">
        <v>553</v>
      </c>
      <c r="H749" s="467">
        <f t="shared" ref="H749:O749" si="1647">(H748-C748)/C748</f>
        <v>-6.8773819097234318E-2</v>
      </c>
      <c r="I749" s="467">
        <f t="shared" si="1647"/>
        <v>-5.278540114766362E-2</v>
      </c>
      <c r="J749" s="467">
        <f t="shared" si="1647"/>
        <v>-0.35837221154977073</v>
      </c>
      <c r="K749" s="467">
        <f t="shared" si="1647"/>
        <v>-1</v>
      </c>
      <c r="L749" s="468">
        <f t="shared" si="1647"/>
        <v>-0.3450807635829663</v>
      </c>
      <c r="M749" s="467">
        <f t="shared" si="1647"/>
        <v>-1</v>
      </c>
      <c r="N749" s="467">
        <f t="shared" si="1647"/>
        <v>-1</v>
      </c>
      <c r="O749" s="467">
        <f t="shared" si="1647"/>
        <v>-0.34211169497739219</v>
      </c>
      <c r="P749" s="467" t="s">
        <v>553</v>
      </c>
      <c r="Q749" s="468">
        <f>(Q748-L748)/L748</f>
        <v>-0.53742669886167638</v>
      </c>
      <c r="R749" s="467" t="s">
        <v>553</v>
      </c>
      <c r="S749" s="467" t="s">
        <v>553</v>
      </c>
      <c r="T749" s="467">
        <f t="shared" ref="T749:AF749" si="1648">(T748-O748)/O748</f>
        <v>1.2796507848054242</v>
      </c>
      <c r="U749" s="467">
        <f t="shared" si="1648"/>
        <v>7.9843115282252283E-2</v>
      </c>
      <c r="V749" s="468">
        <f t="shared" si="1648"/>
        <v>2.002174993785732</v>
      </c>
      <c r="W749" s="467">
        <f t="shared" si="1648"/>
        <v>8.3333333333333204E-2</v>
      </c>
      <c r="X749" s="467">
        <f t="shared" si="1648"/>
        <v>1.5118196811434776E-2</v>
      </c>
      <c r="Y749" s="467">
        <f t="shared" si="1648"/>
        <v>2.0044815644734051E-2</v>
      </c>
      <c r="Z749" s="467">
        <f t="shared" si="1648"/>
        <v>0.10987157867427684</v>
      </c>
      <c r="AA749" s="468">
        <f t="shared" si="1648"/>
        <v>5.5629152780940307E-2</v>
      </c>
      <c r="AB749" s="467">
        <f t="shared" si="1648"/>
        <v>2.1540033803702757E-2</v>
      </c>
      <c r="AC749" s="467">
        <f t="shared" si="1648"/>
        <v>-1.6595102703957237E-2</v>
      </c>
      <c r="AD749" s="467">
        <f t="shared" si="1648"/>
        <v>-6.5622878140352309E-2</v>
      </c>
      <c r="AE749" s="469">
        <f t="shared" si="1648"/>
        <v>-0.21088514882343776</v>
      </c>
      <c r="AF749" s="470">
        <f t="shared" si="1648"/>
        <v>-6.8011804268753112E-2</v>
      </c>
      <c r="AG749" s="467">
        <f t="shared" ref="AG749:AM749" si="1649">(AG748-AB748)/AB748</f>
        <v>-0.17926815191042372</v>
      </c>
      <c r="AH749" s="467">
        <f t="shared" si="1649"/>
        <v>-0.12976949099205409</v>
      </c>
      <c r="AI749" s="467">
        <f t="shared" si="1649"/>
        <v>-4.0950671112250939E-2</v>
      </c>
      <c r="AJ749" s="467">
        <f t="shared" si="1649"/>
        <v>2.9572944951863748E-2</v>
      </c>
      <c r="AK749" s="470">
        <f t="shared" si="1649"/>
        <v>-8.7492110246160243E-2</v>
      </c>
      <c r="AL749" s="467">
        <f t="shared" si="1649"/>
        <v>2.2550398499765669E-2</v>
      </c>
      <c r="AM749" s="467">
        <f t="shared" si="1649"/>
        <v>-2.2194096641504301E-2</v>
      </c>
      <c r="AN749" s="538">
        <v>-7.0000000000000007E-2</v>
      </c>
      <c r="AO749" s="540">
        <v>-7.0000000000000007E-2</v>
      </c>
      <c r="AP749" s="471">
        <f>(AP748-AK748)/AK748</f>
        <v>-3.5049514081828111E-2</v>
      </c>
      <c r="AQ749" s="2167">
        <v>0</v>
      </c>
      <c r="AR749" s="540">
        <v>-0.02</v>
      </c>
      <c r="AS749" s="540">
        <v>0</v>
      </c>
      <c r="AT749" s="540">
        <v>-0.05</v>
      </c>
      <c r="AU749" s="1689">
        <f>(AU748-AP748)/AP748</f>
        <v>-1.6753951784112053E-2</v>
      </c>
      <c r="AV749" s="1667">
        <v>-7.0000000000000007E-2</v>
      </c>
      <c r="AW749" s="540">
        <v>-7.0000000000000007E-2</v>
      </c>
      <c r="AX749" s="540">
        <v>-0.08</v>
      </c>
      <c r="AY749" s="1668">
        <v>-0.04</v>
      </c>
      <c r="AZ749" s="1689">
        <f>(AZ748-AU748)/AU748</f>
        <v>-6.5819210074066783E-2</v>
      </c>
      <c r="BA749" s="1667">
        <v>-0.06</v>
      </c>
      <c r="BB749" s="2565">
        <v>-7.0000000000000007E-2</v>
      </c>
      <c r="BC749" s="540">
        <v>-0.04</v>
      </c>
      <c r="BD749" s="1668">
        <v>-0.03</v>
      </c>
      <c r="BE749" s="1868">
        <f>(BE748-AZ748)/AZ748</f>
        <v>-5.0669031336128198E-2</v>
      </c>
      <c r="BF749" s="540">
        <v>-0.02</v>
      </c>
      <c r="BG749" s="540">
        <v>0.01</v>
      </c>
      <c r="BH749" s="540">
        <v>0.01</v>
      </c>
      <c r="BI749" s="1668">
        <v>-0.01</v>
      </c>
      <c r="BJ749" s="1868">
        <f>(BJ748-BE748)/BE748</f>
        <v>-2.5384430611238257E-3</v>
      </c>
      <c r="BK749" s="540">
        <v>-0.01</v>
      </c>
      <c r="BL749" s="540">
        <v>0.01</v>
      </c>
      <c r="BM749" s="540">
        <v>0.01</v>
      </c>
      <c r="BN749" s="540">
        <v>0.01</v>
      </c>
      <c r="BO749" s="3112">
        <f>(BO748-BJ748)/BJ748</f>
        <v>4.8667073174566942E-3</v>
      </c>
      <c r="BP749" s="540">
        <v>0.01</v>
      </c>
      <c r="BQ749" s="540">
        <v>0.01</v>
      </c>
      <c r="BR749" s="540">
        <v>0.02</v>
      </c>
      <c r="BS749" s="1668">
        <v>-0.1</v>
      </c>
      <c r="BT749" s="1463">
        <f>(BT748-BO748)/BO748</f>
        <v>-1.3225207275341393E-2</v>
      </c>
      <c r="BU749" s="540">
        <v>1.4999999999999999E-2</v>
      </c>
      <c r="BV749" s="540">
        <v>1.4999999999999999E-2</v>
      </c>
      <c r="BW749" s="540">
        <v>1.4999999999999999E-2</v>
      </c>
      <c r="BX749" s="540">
        <v>0.1</v>
      </c>
      <c r="BY749" s="470">
        <f>(BY748-BT748)/BT748</f>
        <v>3.3179585001151E-2</v>
      </c>
      <c r="BZ749" s="2563">
        <v>0.01</v>
      </c>
      <c r="CA749" s="2563">
        <v>0</v>
      </c>
      <c r="CB749" s="2563">
        <v>-0.05</v>
      </c>
      <c r="CC749" s="2563">
        <v>-0.05</v>
      </c>
      <c r="CD749" s="2563">
        <v>0.02</v>
      </c>
      <c r="CE749" s="2563">
        <v>0.02</v>
      </c>
      <c r="CF749" s="2563">
        <v>0.02</v>
      </c>
      <c r="CG749" s="492"/>
      <c r="CH749" s="492"/>
      <c r="CI749" s="492"/>
      <c r="CJ749" s="492"/>
      <c r="CK749" s="492"/>
      <c r="CL749" s="1310" t="str">
        <f>A749</f>
        <v>% growth (y-o-y)</v>
      </c>
      <c r="CM749" s="469" t="str">
        <f>G749</f>
        <v xml:space="preserve">n/a </v>
      </c>
      <c r="CN749" s="469">
        <f>L749</f>
        <v>-0.3450807635829663</v>
      </c>
      <c r="CO749" s="469">
        <f>Q749</f>
        <v>-0.53742669886167638</v>
      </c>
      <c r="CP749" s="469">
        <f>V749</f>
        <v>2.002174993785732</v>
      </c>
      <c r="CQ749" s="469">
        <f>AA749</f>
        <v>5.5629152780940307E-2</v>
      </c>
      <c r="CR749" s="469">
        <f>AF749</f>
        <v>-6.8011804268753112E-2</v>
      </c>
      <c r="CS749" s="469">
        <f>AK749</f>
        <v>-8.7492110246160243E-2</v>
      </c>
      <c r="CT749" s="469">
        <f>AP749</f>
        <v>-3.5049514081828111E-2</v>
      </c>
      <c r="CU749" s="469">
        <f>AU749</f>
        <v>-1.6753951784112053E-2</v>
      </c>
      <c r="CV749" s="469">
        <f>AZ749</f>
        <v>-6.5819210074066783E-2</v>
      </c>
      <c r="CW749" s="469">
        <f>BE749</f>
        <v>-5.0669031336128198E-2</v>
      </c>
      <c r="CX749" s="469">
        <f>BJ749</f>
        <v>-2.5384430611238257E-3</v>
      </c>
      <c r="CY749" s="469">
        <f>BO749</f>
        <v>4.8667073174566942E-3</v>
      </c>
      <c r="CZ749" s="469">
        <f>BT749</f>
        <v>-1.3225207275341393E-2</v>
      </c>
      <c r="DA749" s="469">
        <f t="shared" si="1646"/>
        <v>3.3179585001151E-2</v>
      </c>
      <c r="DB749" s="469">
        <f t="shared" si="1646"/>
        <v>0.01</v>
      </c>
      <c r="DC749" s="1463">
        <f t="shared" si="1646"/>
        <v>0</v>
      </c>
      <c r="DD749" s="492"/>
      <c r="DE749" s="492"/>
      <c r="DF749" s="962"/>
      <c r="DG749" s="962"/>
      <c r="DH749" s="469"/>
      <c r="DI749" s="3213"/>
      <c r="DJ749" s="962"/>
      <c r="DK749" s="962"/>
      <c r="DL749" s="962"/>
      <c r="DM749" s="962"/>
      <c r="DN749" s="962"/>
      <c r="DO749" s="962"/>
      <c r="DP749" s="962"/>
      <c r="DQ749" s="962"/>
      <c r="DR749" s="963"/>
      <c r="DS749" s="963"/>
      <c r="DT749" s="963"/>
    </row>
    <row r="750" spans="1:124" ht="5.0999999999999996" customHeight="1" x14ac:dyDescent="0.25">
      <c r="A750" s="281"/>
      <c r="B750" s="281"/>
      <c r="C750" s="305"/>
      <c r="D750" s="305"/>
      <c r="E750" s="305"/>
      <c r="F750" s="305"/>
      <c r="G750" s="440"/>
      <c r="H750" s="305"/>
      <c r="I750" s="305"/>
      <c r="J750" s="305"/>
      <c r="K750" s="305"/>
      <c r="L750" s="440"/>
      <c r="M750" s="305"/>
      <c r="N750" s="305"/>
      <c r="O750" s="305"/>
      <c r="P750" s="305"/>
      <c r="Q750" s="440"/>
      <c r="R750" s="305"/>
      <c r="S750" s="305"/>
      <c r="T750" s="305"/>
      <c r="U750" s="305"/>
      <c r="V750" s="440"/>
      <c r="W750" s="305"/>
      <c r="X750" s="305"/>
      <c r="Y750" s="305"/>
      <c r="Z750" s="305"/>
      <c r="AA750" s="440"/>
      <c r="AB750" s="305"/>
      <c r="AC750" s="305"/>
      <c r="AD750" s="305"/>
      <c r="AE750" s="331"/>
      <c r="AF750" s="441"/>
      <c r="AG750" s="305"/>
      <c r="AH750" s="305"/>
      <c r="AI750" s="305"/>
      <c r="AJ750" s="331"/>
      <c r="AK750" s="441"/>
      <c r="AL750" s="305"/>
      <c r="AM750" s="305"/>
      <c r="AN750" s="305"/>
      <c r="AO750" s="331"/>
      <c r="AP750" s="569"/>
      <c r="AQ750" s="569"/>
      <c r="AR750" s="442"/>
      <c r="AS750" s="442"/>
      <c r="AT750" s="442"/>
      <c r="AU750" s="1690"/>
      <c r="AV750" s="1902"/>
      <c r="AW750" s="1837"/>
      <c r="AX750" s="1837"/>
      <c r="AY750" s="1903"/>
      <c r="AZ750" s="1690"/>
      <c r="BA750" s="569"/>
      <c r="BB750" s="442"/>
      <c r="BC750" s="442"/>
      <c r="BD750" s="1312"/>
      <c r="BE750" s="1903"/>
      <c r="BF750" s="442"/>
      <c r="BG750" s="442"/>
      <c r="BH750" s="442"/>
      <c r="BI750" s="1312"/>
      <c r="BJ750" s="1903"/>
      <c r="BK750" s="442"/>
      <c r="BL750" s="442"/>
      <c r="BM750" s="442"/>
      <c r="BN750" s="1312"/>
      <c r="BO750" s="1903"/>
      <c r="BP750" s="442"/>
      <c r="BQ750" s="442"/>
      <c r="BR750" s="442"/>
      <c r="BS750" s="1312"/>
      <c r="BT750" s="3016"/>
      <c r="BU750" s="3298"/>
      <c r="BV750" s="3298"/>
      <c r="BW750" s="3298"/>
      <c r="BX750" s="3298"/>
      <c r="BY750" s="3236"/>
      <c r="BZ750" s="441"/>
      <c r="CA750" s="441"/>
      <c r="CB750" s="441"/>
      <c r="CC750" s="441"/>
      <c r="CD750" s="441"/>
      <c r="CE750" s="441"/>
      <c r="CF750" s="441"/>
      <c r="CG750" s="331"/>
      <c r="CH750" s="331"/>
      <c r="CI750" s="331"/>
      <c r="CJ750" s="331"/>
      <c r="CK750" s="331"/>
      <c r="CL750" s="520"/>
      <c r="CM750" s="442"/>
      <c r="CN750" s="442"/>
      <c r="CO750" s="442"/>
      <c r="CP750" s="442"/>
      <c r="CQ750" s="442"/>
      <c r="CR750" s="442"/>
      <c r="CS750" s="442"/>
      <c r="CT750" s="442"/>
      <c r="CU750" s="442"/>
      <c r="CV750" s="442"/>
      <c r="CW750" s="442"/>
      <c r="CX750" s="442"/>
      <c r="CY750" s="442"/>
      <c r="CZ750" s="442"/>
      <c r="DA750" s="442"/>
      <c r="DB750" s="442"/>
      <c r="DC750" s="1312"/>
      <c r="DD750" s="331"/>
      <c r="DE750" s="331"/>
      <c r="DF750" s="502"/>
      <c r="DG750" s="503"/>
      <c r="DH750" s="3298"/>
      <c r="DI750" s="3213"/>
      <c r="DJ750" s="502"/>
      <c r="DK750" s="503"/>
      <c r="DL750" s="502"/>
      <c r="DM750" s="502"/>
      <c r="DN750" s="502"/>
      <c r="DO750" s="502"/>
      <c r="DP750" s="503"/>
      <c r="DQ750" s="503"/>
      <c r="DR750" s="296"/>
      <c r="DS750" s="296"/>
      <c r="DT750" s="296"/>
    </row>
    <row r="751" spans="1:124" ht="12" customHeight="1" x14ac:dyDescent="0.25">
      <c r="A751" s="311" t="s">
        <v>601</v>
      </c>
      <c r="B751" s="281"/>
      <c r="C751" s="446">
        <f>C748-C755</f>
        <v>22.027999999999999</v>
      </c>
      <c r="D751" s="446">
        <f>D748-D755</f>
        <v>22.11</v>
      </c>
      <c r="E751" s="446">
        <f>E748-E755</f>
        <v>21.330000000000002</v>
      </c>
      <c r="F751" s="446">
        <f>F748-F755</f>
        <v>20.048999999999999</v>
      </c>
      <c r="G751" s="447">
        <f>SUM(C751:F751)</f>
        <v>85.516999999999996</v>
      </c>
      <c r="H751" s="446">
        <f>H748-H755</f>
        <v>20.917000000000002</v>
      </c>
      <c r="I751" s="446">
        <f>I748-I755</f>
        <v>21.201000000000001</v>
      </c>
      <c r="J751" s="446">
        <f>J748-J755</f>
        <v>13.355</v>
      </c>
      <c r="K751" s="446">
        <f>K748-K755</f>
        <v>0</v>
      </c>
      <c r="L751" s="447">
        <f>SUM(H751:K751)</f>
        <v>55.472999999999999</v>
      </c>
      <c r="M751" s="446">
        <f>M748-M755</f>
        <v>0</v>
      </c>
      <c r="N751" s="446">
        <f>N748-N755</f>
        <v>0</v>
      </c>
      <c r="O751" s="446">
        <f>O748-O755</f>
        <v>7.6109999999999989</v>
      </c>
      <c r="P751" s="446">
        <f>P748-P755</f>
        <v>18.803000000000001</v>
      </c>
      <c r="Q751" s="447">
        <f>SUM(M751:P751)</f>
        <v>26.414000000000001</v>
      </c>
      <c r="R751" s="446">
        <f>R748-R755</f>
        <v>19.058</v>
      </c>
      <c r="S751" s="446">
        <f>S748-S755</f>
        <v>20.244</v>
      </c>
      <c r="T751" s="446">
        <f>T748-T755</f>
        <v>19.919</v>
      </c>
      <c r="U751" s="446">
        <f>U748-U755</f>
        <v>19.446999999999999</v>
      </c>
      <c r="V751" s="447">
        <f>SUM(R751:U751)</f>
        <v>78.668000000000006</v>
      </c>
      <c r="W751" s="446">
        <f>W748-W755</f>
        <v>20.001999999999999</v>
      </c>
      <c r="X751" s="446">
        <f>X748-X755</f>
        <v>20.09</v>
      </c>
      <c r="Y751" s="446">
        <f>Y748-Y755</f>
        <v>19.750999999999998</v>
      </c>
      <c r="Z751" s="446">
        <f>Z748-Z755</f>
        <v>20.488999999999997</v>
      </c>
      <c r="AA751" s="447">
        <f>SUM(W751:Z751)</f>
        <v>80.331999999999994</v>
      </c>
      <c r="AB751" s="446">
        <f>AB748-AB755</f>
        <v>19.856000000000002</v>
      </c>
      <c r="AC751" s="446">
        <f>AC748-AC755</f>
        <v>19.47</v>
      </c>
      <c r="AD751" s="446">
        <f>AD748-AD755</f>
        <v>18.640999999999998</v>
      </c>
      <c r="AE751" s="446">
        <f>AE748-AE755</f>
        <v>17.500999999999998</v>
      </c>
      <c r="AF751" s="455">
        <f>SUM(AB751:AE751)</f>
        <v>75.467999999999989</v>
      </c>
      <c r="AG751" s="446">
        <f>AG748-AG755</f>
        <v>17.284999999999997</v>
      </c>
      <c r="AH751" s="446">
        <f>AH748-AH755</f>
        <v>17.741</v>
      </c>
      <c r="AI751" s="446">
        <f>AI748-AI755</f>
        <v>17.07</v>
      </c>
      <c r="AJ751" s="446">
        <f>AJ748-AJ755</f>
        <v>16.532</v>
      </c>
      <c r="AK751" s="455">
        <f>SUM(AG751:AJ751)</f>
        <v>68.628</v>
      </c>
      <c r="AL751" s="446">
        <f>AL748-AL755</f>
        <v>16.184999999999999</v>
      </c>
      <c r="AM751" s="446">
        <f>AM748-AM755</f>
        <v>16.248000000000001</v>
      </c>
      <c r="AN751" s="446">
        <f>AI751*(1+AN753)</f>
        <v>16.5579</v>
      </c>
      <c r="AO751" s="446">
        <f>AJ751*(1+AO753)</f>
        <v>16.03604</v>
      </c>
      <c r="AP751" s="456">
        <f>SUM(AL751:AO751)</f>
        <v>65.026939999999996</v>
      </c>
      <c r="AQ751" s="456">
        <f>AL751*(1+AQ753)</f>
        <v>15.537599999999998</v>
      </c>
      <c r="AR751" s="454">
        <f>AM751*(1+AR753)</f>
        <v>15.598080000000001</v>
      </c>
      <c r="AS751" s="454">
        <f>AN751*(1+AS753)</f>
        <v>15.730004999999998</v>
      </c>
      <c r="AT751" s="454">
        <f>AO751*(1+AT753)</f>
        <v>16.03604</v>
      </c>
      <c r="AU751" s="1693">
        <f>SUM(AQ751:AT751)</f>
        <v>62.901724999999999</v>
      </c>
      <c r="AV751" s="1863">
        <f>AQ751*(1+AV753)</f>
        <v>15.382223999999997</v>
      </c>
      <c r="AW751" s="1841">
        <f>AR751*(1+AW753)</f>
        <v>14.974156800000001</v>
      </c>
      <c r="AX751" s="1841">
        <f>AS751*(1+AX753)</f>
        <v>15.415404899999999</v>
      </c>
      <c r="AY751" s="1864">
        <f>AT751*(1+AY753)</f>
        <v>15.073877599999999</v>
      </c>
      <c r="AZ751" s="1693">
        <f>SUM(AV751:AY751)</f>
        <v>60.845663299999998</v>
      </c>
      <c r="BA751" s="456">
        <f>AV751*(1+BA753)</f>
        <v>13.844001599999999</v>
      </c>
      <c r="BB751" s="454">
        <f>AW751*(1+BB753)</f>
        <v>13.476741120000002</v>
      </c>
      <c r="BC751" s="454">
        <f>AX751*(1+BC753)</f>
        <v>13.873864409999999</v>
      </c>
      <c r="BD751" s="1666">
        <f>AY751*(1+BD753)</f>
        <v>13.943336780000001</v>
      </c>
      <c r="BE751" s="1864">
        <f>SUM(BA751:BD751)</f>
        <v>55.137943909999997</v>
      </c>
      <c r="BF751" s="454">
        <f>BA751*(1+BF753)</f>
        <v>12.80570148</v>
      </c>
      <c r="BG751" s="454">
        <f>BB751*(1+BG753)</f>
        <v>12.802904064000002</v>
      </c>
      <c r="BH751" s="454">
        <f>BC751*(1+BH753)</f>
        <v>13.180171189499999</v>
      </c>
      <c r="BI751" s="1666">
        <f>BD751*(1+BI753)</f>
        <v>13.246169941</v>
      </c>
      <c r="BJ751" s="1864">
        <f>SUM(BF751:BI751)</f>
        <v>52.034946674499999</v>
      </c>
      <c r="BK751" s="454">
        <f>BF751*(1+BK753)</f>
        <v>12.6776444652</v>
      </c>
      <c r="BL751" s="454">
        <f>BG751*(1+BL753)</f>
        <v>13.058962145280002</v>
      </c>
      <c r="BM751" s="454">
        <f>BH751*(1+BM753)</f>
        <v>13.44377461329</v>
      </c>
      <c r="BN751" s="1666">
        <f>BI751*(1+BN753)</f>
        <v>13.51109333982</v>
      </c>
      <c r="BO751" s="1864">
        <f>SUM(BK751:BN751)</f>
        <v>52.691474563589999</v>
      </c>
      <c r="BP751" s="454">
        <f>BK751*(1+BP753)</f>
        <v>12.550868020548</v>
      </c>
      <c r="BQ751" s="454">
        <f>BL751*(1+BQ753)</f>
        <v>12.928372523827202</v>
      </c>
      <c r="BR751" s="454">
        <f>BM751*(1+BR753)</f>
        <v>13.3093368671571</v>
      </c>
      <c r="BS751" s="1666">
        <f>BN751*(1+BS753)</f>
        <v>12.497761339333501</v>
      </c>
      <c r="BT751" s="3070">
        <f>SUM(BP751:BS751)</f>
        <v>51.286338750865802</v>
      </c>
      <c r="BU751" s="2915">
        <f>BP751*(1+BU753)</f>
        <v>12.8646397210617</v>
      </c>
      <c r="BV751" s="2915">
        <f>BQ751*(1+BV753)</f>
        <v>12.928372523827202</v>
      </c>
      <c r="BW751" s="2915">
        <f>BR751*(1+BW753)</f>
        <v>13.3093368671571</v>
      </c>
      <c r="BX751" s="2915">
        <f>BS751*(1+BX753)</f>
        <v>13.122649406300177</v>
      </c>
      <c r="BY751" s="3066">
        <f>SUM(BU751:BX751)</f>
        <v>52.224998518346176</v>
      </c>
      <c r="BZ751" s="455">
        <f t="shared" ref="BZ751:CF751" si="1650">BY751*(1+BZ753)</f>
        <v>51.963873525754444</v>
      </c>
      <c r="CA751" s="455">
        <f t="shared" si="1650"/>
        <v>52.483512261011988</v>
      </c>
      <c r="CB751" s="455">
        <f t="shared" si="1650"/>
        <v>50.909006893181626</v>
      </c>
      <c r="CC751" s="455">
        <f t="shared" si="1650"/>
        <v>49.381736686386176</v>
      </c>
      <c r="CD751" s="455">
        <f t="shared" si="1650"/>
        <v>49.875554053250042</v>
      </c>
      <c r="CE751" s="455">
        <f t="shared" si="1650"/>
        <v>50.374309593782542</v>
      </c>
      <c r="CF751" s="455">
        <f t="shared" si="1650"/>
        <v>50.87805268972037</v>
      </c>
      <c r="CG751" s="331"/>
      <c r="CH751" s="331"/>
      <c r="CI751" s="331"/>
      <c r="CJ751" s="331"/>
      <c r="CK751" s="331"/>
      <c r="CL751" s="528" t="str">
        <f>A751</f>
        <v>Operating expenses</v>
      </c>
      <c r="CM751" s="454">
        <f>G751</f>
        <v>85.516999999999996</v>
      </c>
      <c r="CN751" s="454">
        <f>L751</f>
        <v>55.472999999999999</v>
      </c>
      <c r="CO751" s="454">
        <f>Q751</f>
        <v>26.414000000000001</v>
      </c>
      <c r="CP751" s="454">
        <f>V751</f>
        <v>78.668000000000006</v>
      </c>
      <c r="CQ751" s="454">
        <f>AA751</f>
        <v>80.331999999999994</v>
      </c>
      <c r="CR751" s="454">
        <f>AF751</f>
        <v>75.467999999999989</v>
      </c>
      <c r="CS751" s="454">
        <f>AK751</f>
        <v>68.628</v>
      </c>
      <c r="CT751" s="454">
        <f>AP751</f>
        <v>65.026939999999996</v>
      </c>
      <c r="CU751" s="454">
        <f>AU751</f>
        <v>62.901724999999999</v>
      </c>
      <c r="CV751" s="454">
        <f>AZ751</f>
        <v>60.845663299999998</v>
      </c>
      <c r="CW751" s="454">
        <f>BE751</f>
        <v>55.137943909999997</v>
      </c>
      <c r="CX751" s="454">
        <f>BJ751</f>
        <v>52.034946674499999</v>
      </c>
      <c r="CY751" s="454">
        <f>BO751</f>
        <v>52.691474563589999</v>
      </c>
      <c r="CZ751" s="454">
        <f>BT751</f>
        <v>51.286338750865802</v>
      </c>
      <c r="DA751" s="454">
        <f t="shared" ref="DA751:DC753" si="1651">BY751</f>
        <v>52.224998518346176</v>
      </c>
      <c r="DB751" s="454">
        <f t="shared" si="1651"/>
        <v>51.963873525754444</v>
      </c>
      <c r="DC751" s="1666">
        <f t="shared" si="1651"/>
        <v>52.483512261011988</v>
      </c>
      <c r="DD751" s="331"/>
      <c r="DE751" s="331"/>
      <c r="DF751" s="502"/>
      <c r="DG751" s="503"/>
      <c r="DH751" s="2915"/>
      <c r="DI751" s="3213"/>
      <c r="DJ751" s="502"/>
      <c r="DK751" s="503"/>
      <c r="DL751" s="502"/>
      <c r="DM751" s="502"/>
      <c r="DN751" s="502"/>
      <c r="DO751" s="502"/>
      <c r="DP751" s="503"/>
      <c r="DQ751" s="503"/>
      <c r="DR751" s="296"/>
      <c r="DS751" s="296"/>
      <c r="DT751" s="296"/>
    </row>
    <row r="752" spans="1:124" ht="12" customHeight="1" x14ac:dyDescent="0.25">
      <c r="A752" s="465" t="s">
        <v>646</v>
      </c>
      <c r="B752" s="466"/>
      <c r="C752" s="467">
        <f t="shared" ref="C752:AF752" si="1652">C751/C748</f>
        <v>0.770182860739135</v>
      </c>
      <c r="D752" s="467">
        <f t="shared" si="1652"/>
        <v>0.78803863563460097</v>
      </c>
      <c r="E752" s="467">
        <f t="shared" si="1652"/>
        <v>0.83624103187360332</v>
      </c>
      <c r="F752" s="467">
        <f t="shared" si="1652"/>
        <v>0.83291097170869499</v>
      </c>
      <c r="G752" s="468">
        <f t="shared" si="1652"/>
        <v>0.80497194924507698</v>
      </c>
      <c r="H752" s="467">
        <f t="shared" si="1652"/>
        <v>0.7853495532026733</v>
      </c>
      <c r="I752" s="467">
        <f t="shared" si="1652"/>
        <v>0.79774984948826011</v>
      </c>
      <c r="J752" s="467">
        <f t="shared" si="1652"/>
        <v>0.81602101918611758</v>
      </c>
      <c r="K752" s="467" t="s">
        <v>553</v>
      </c>
      <c r="L752" s="468">
        <f t="shared" si="1652"/>
        <v>0.79730079337702664</v>
      </c>
      <c r="M752" s="467" t="s">
        <v>553</v>
      </c>
      <c r="N752" s="467" t="s">
        <v>553</v>
      </c>
      <c r="O752" s="467">
        <f t="shared" si="1652"/>
        <v>0.70688213987183057</v>
      </c>
      <c r="P752" s="467">
        <f t="shared" si="1652"/>
        <v>0.87794742494280242</v>
      </c>
      <c r="Q752" s="468">
        <f t="shared" si="1652"/>
        <v>0.82071836937608755</v>
      </c>
      <c r="R752" s="467">
        <f t="shared" si="1652"/>
        <v>0.81153125532277293</v>
      </c>
      <c r="S752" s="467">
        <f t="shared" si="1652"/>
        <v>0.7949422759758108</v>
      </c>
      <c r="T752" s="467">
        <f t="shared" si="1652"/>
        <v>0.81152984314524335</v>
      </c>
      <c r="U752" s="467">
        <f t="shared" si="1652"/>
        <v>0.84087862671336533</v>
      </c>
      <c r="V752" s="468">
        <f t="shared" si="1652"/>
        <v>0.81418310529693039</v>
      </c>
      <c r="W752" s="467">
        <f t="shared" si="1652"/>
        <v>0.78621123383514802</v>
      </c>
      <c r="X752" s="467">
        <f t="shared" si="1652"/>
        <v>0.777145951800704</v>
      </c>
      <c r="Y752" s="467">
        <f t="shared" si="1652"/>
        <v>0.7888724687462555</v>
      </c>
      <c r="Z752" s="467">
        <f t="shared" si="1652"/>
        <v>0.79823126071372907</v>
      </c>
      <c r="AA752" s="468">
        <f t="shared" si="1652"/>
        <v>0.78759179191544837</v>
      </c>
      <c r="AB752" s="467">
        <f t="shared" si="1652"/>
        <v>0.7640155450382855</v>
      </c>
      <c r="AC752" s="467">
        <f t="shared" si="1652"/>
        <v>0.76587207930139245</v>
      </c>
      <c r="AD752" s="467">
        <f t="shared" si="1652"/>
        <v>0.79682824655894668</v>
      </c>
      <c r="AE752" s="469">
        <f t="shared" si="1652"/>
        <v>0.86403357195754127</v>
      </c>
      <c r="AF752" s="470">
        <f t="shared" si="1652"/>
        <v>0.79389859036398047</v>
      </c>
      <c r="AG752" s="467">
        <f t="shared" ref="AG752:AU752" si="1653">AG751/AG748</f>
        <v>0.81036099390529759</v>
      </c>
      <c r="AH752" s="467">
        <f t="shared" si="1653"/>
        <v>0.80192559779415085</v>
      </c>
      <c r="AI752" s="467">
        <f t="shared" si="1653"/>
        <v>0.76083080763059374</v>
      </c>
      <c r="AJ752" s="469">
        <f t="shared" si="1653"/>
        <v>0.79274959240433496</v>
      </c>
      <c r="AK752" s="470">
        <f t="shared" si="1653"/>
        <v>0.79116470493296276</v>
      </c>
      <c r="AL752" s="467">
        <f t="shared" si="1653"/>
        <v>0.7420567603502819</v>
      </c>
      <c r="AM752" s="467">
        <f t="shared" si="1653"/>
        <v>0.75110946745562135</v>
      </c>
      <c r="AN752" s="467">
        <f t="shared" si="1653"/>
        <v>0.79355471333513539</v>
      </c>
      <c r="AO752" s="469">
        <f t="shared" si="1653"/>
        <v>0.82684634906688703</v>
      </c>
      <c r="AP752" s="471">
        <f t="shared" si="1653"/>
        <v>0.77687983780690473</v>
      </c>
      <c r="AQ752" s="471">
        <f t="shared" si="1653"/>
        <v>0.71237448993627062</v>
      </c>
      <c r="AR752" s="469">
        <f t="shared" si="1653"/>
        <v>0.73578070281366981</v>
      </c>
      <c r="AS752" s="469">
        <f t="shared" si="1653"/>
        <v>0.75387697766837858</v>
      </c>
      <c r="AT752" s="469">
        <f t="shared" si="1653"/>
        <v>0.87036457796514433</v>
      </c>
      <c r="AU752" s="1689">
        <f t="shared" si="1653"/>
        <v>0.76429475408421421</v>
      </c>
      <c r="AV752" s="1730">
        <f t="shared" ref="AV752:BJ752" si="1654">AV751/AV748</f>
        <v>0.75833413444828812</v>
      </c>
      <c r="AW752" s="1465">
        <f t="shared" si="1654"/>
        <v>0.75951556419475597</v>
      </c>
      <c r="AX752" s="1465">
        <f t="shared" si="1654"/>
        <v>0.80304286751631626</v>
      </c>
      <c r="AY752" s="1868">
        <f t="shared" si="1654"/>
        <v>0.85223198259087041</v>
      </c>
      <c r="AZ752" s="1689">
        <f t="shared" si="1654"/>
        <v>0.79140177608345963</v>
      </c>
      <c r="BA752" s="471">
        <f t="shared" si="1654"/>
        <v>0.72606459681219093</v>
      </c>
      <c r="BB752" s="469">
        <f t="shared" si="1654"/>
        <v>0.7350150621239574</v>
      </c>
      <c r="BC752" s="469">
        <f t="shared" si="1654"/>
        <v>0.7528526882965465</v>
      </c>
      <c r="BD752" s="1463">
        <f t="shared" si="1654"/>
        <v>0.81269544731603638</v>
      </c>
      <c r="BE752" s="1868">
        <f t="shared" si="1654"/>
        <v>0.75544057895497563</v>
      </c>
      <c r="BF752" s="469">
        <f>BF751/BF748</f>
        <v>0.68531607352171087</v>
      </c>
      <c r="BG752" s="469">
        <f>BG751/BG748</f>
        <v>0.69135080100768265</v>
      </c>
      <c r="BH752" s="469">
        <f>BH751/BH748</f>
        <v>0.70812876621952403</v>
      </c>
      <c r="BI752" s="1463">
        <f>BI751/BI748</f>
        <v>0.77985926762649949</v>
      </c>
      <c r="BJ752" s="1868">
        <f t="shared" si="1654"/>
        <v>0.71474099022577942</v>
      </c>
      <c r="BK752" s="469">
        <f>BK751/BK748</f>
        <v>0.68531607352171098</v>
      </c>
      <c r="BL752" s="469">
        <f>BL751/BL748</f>
        <v>0.69819585844340237</v>
      </c>
      <c r="BM752" s="469">
        <f>BM751/BM748</f>
        <v>0.71513994212268761</v>
      </c>
      <c r="BN752" s="1463">
        <f>BN751/BN748</f>
        <v>0.7875806465138907</v>
      </c>
      <c r="BO752" s="1868">
        <f>BO751/BO748</f>
        <v>0.72025365432222255</v>
      </c>
      <c r="BP752" s="469">
        <f t="shared" ref="BP752:BY752" si="1655">BP751/BP748</f>
        <v>0.67174545820444931</v>
      </c>
      <c r="BQ752" s="469">
        <f t="shared" si="1655"/>
        <v>0.68437019788016662</v>
      </c>
      <c r="BR752" s="469">
        <f t="shared" si="1655"/>
        <v>0.69410641441319687</v>
      </c>
      <c r="BS752" s="1463">
        <f t="shared" si="1655"/>
        <v>0.8094578866948321</v>
      </c>
      <c r="BT752" s="1463">
        <f t="shared" si="1655"/>
        <v>0.71044222825573822</v>
      </c>
      <c r="BU752" s="469">
        <f t="shared" si="1655"/>
        <v>0.67836364005868033</v>
      </c>
      <c r="BV752" s="469">
        <f t="shared" si="1655"/>
        <v>0.67425635259129724</v>
      </c>
      <c r="BW752" s="469">
        <f t="shared" si="1655"/>
        <v>0.68384868415093292</v>
      </c>
      <c r="BX752" s="469">
        <f t="shared" si="1655"/>
        <v>0.77266434639052151</v>
      </c>
      <c r="BY752" s="470">
        <f t="shared" si="1655"/>
        <v>0.70021222895028512</v>
      </c>
      <c r="BZ752" s="470">
        <f t="shared" ref="BZ752:CF752" si="1656">BZ751/BZ748</f>
        <v>0.68981303743122135</v>
      </c>
      <c r="CA752" s="470">
        <f t="shared" si="1656"/>
        <v>0.69671116780553355</v>
      </c>
      <c r="CB752" s="470">
        <f t="shared" si="1656"/>
        <v>0.71137877133828165</v>
      </c>
      <c r="CC752" s="470">
        <f t="shared" si="1656"/>
        <v>0.72635516652435084</v>
      </c>
      <c r="CD752" s="470">
        <f t="shared" si="1656"/>
        <v>0.71923403744077885</v>
      </c>
      <c r="CE752" s="470">
        <f t="shared" si="1656"/>
        <v>0.71218272334822219</v>
      </c>
      <c r="CF752" s="470">
        <f t="shared" si="1656"/>
        <v>0.70520053978598463</v>
      </c>
      <c r="CG752" s="492"/>
      <c r="CH752" s="492"/>
      <c r="CI752" s="492"/>
      <c r="CJ752" s="492"/>
      <c r="CK752" s="492"/>
      <c r="CL752" s="1310" t="str">
        <f>A752</f>
        <v>% of Net revenue</v>
      </c>
      <c r="CM752" s="469">
        <f>G752</f>
        <v>0.80497194924507698</v>
      </c>
      <c r="CN752" s="469">
        <f>L752</f>
        <v>0.79730079337702664</v>
      </c>
      <c r="CO752" s="469">
        <f>Q752</f>
        <v>0.82071836937608755</v>
      </c>
      <c r="CP752" s="469">
        <f>V752</f>
        <v>0.81418310529693039</v>
      </c>
      <c r="CQ752" s="469">
        <f>AA752</f>
        <v>0.78759179191544837</v>
      </c>
      <c r="CR752" s="469">
        <f>AF752</f>
        <v>0.79389859036398047</v>
      </c>
      <c r="CS752" s="469">
        <f>AK752</f>
        <v>0.79116470493296276</v>
      </c>
      <c r="CT752" s="469">
        <f>AP752</f>
        <v>0.77687983780690473</v>
      </c>
      <c r="CU752" s="469">
        <f>AU752</f>
        <v>0.76429475408421421</v>
      </c>
      <c r="CV752" s="469">
        <f>AZ752</f>
        <v>0.79140177608345963</v>
      </c>
      <c r="CW752" s="469">
        <f>BE752</f>
        <v>0.75544057895497563</v>
      </c>
      <c r="CX752" s="469">
        <f>BJ752</f>
        <v>0.71474099022577942</v>
      </c>
      <c r="CY752" s="469">
        <f>BO752</f>
        <v>0.72025365432222255</v>
      </c>
      <c r="CZ752" s="469">
        <f>BT752</f>
        <v>0.71044222825573822</v>
      </c>
      <c r="DA752" s="469">
        <f t="shared" si="1651"/>
        <v>0.70021222895028512</v>
      </c>
      <c r="DB752" s="469">
        <f t="shared" si="1651"/>
        <v>0.68981303743122135</v>
      </c>
      <c r="DC752" s="1463">
        <f t="shared" si="1651"/>
        <v>0.69671116780553355</v>
      </c>
      <c r="DD752" s="492"/>
      <c r="DE752" s="492"/>
      <c r="DF752" s="962"/>
      <c r="DG752" s="962"/>
      <c r="DH752" s="469"/>
      <c r="DI752" s="3213"/>
      <c r="DJ752" s="962"/>
      <c r="DK752" s="962"/>
      <c r="DL752" s="962"/>
      <c r="DM752" s="962"/>
      <c r="DN752" s="962"/>
      <c r="DO752" s="962"/>
      <c r="DP752" s="962"/>
      <c r="DQ752" s="962"/>
      <c r="DR752" s="963"/>
      <c r="DS752" s="963"/>
      <c r="DT752" s="963"/>
    </row>
    <row r="753" spans="1:124" ht="12" customHeight="1" x14ac:dyDescent="0.25">
      <c r="A753" s="465" t="s">
        <v>1491</v>
      </c>
      <c r="B753" s="466"/>
      <c r="C753" s="467" t="s">
        <v>553</v>
      </c>
      <c r="D753" s="467" t="s">
        <v>553</v>
      </c>
      <c r="E753" s="467" t="s">
        <v>553</v>
      </c>
      <c r="F753" s="467" t="s">
        <v>553</v>
      </c>
      <c r="G753" s="468" t="s">
        <v>553</v>
      </c>
      <c r="H753" s="467">
        <f t="shared" ref="H753:AF753" si="1657">(H751-C751)/C751</f>
        <v>-5.0435808970401182E-2</v>
      </c>
      <c r="I753" s="467">
        <f t="shared" si="1657"/>
        <v>-4.1112618724558972E-2</v>
      </c>
      <c r="J753" s="467">
        <f t="shared" si="1657"/>
        <v>-0.37388654477262073</v>
      </c>
      <c r="K753" s="467">
        <f t="shared" si="1657"/>
        <v>-1</v>
      </c>
      <c r="L753" s="468">
        <f t="shared" si="1657"/>
        <v>-0.35132195937649824</v>
      </c>
      <c r="M753" s="467">
        <f t="shared" si="1657"/>
        <v>-1</v>
      </c>
      <c r="N753" s="467">
        <f t="shared" si="1657"/>
        <v>-1</v>
      </c>
      <c r="O753" s="467">
        <f t="shared" si="1657"/>
        <v>-0.43010108573567962</v>
      </c>
      <c r="P753" s="467" t="s">
        <v>553</v>
      </c>
      <c r="Q753" s="468">
        <f t="shared" si="1657"/>
        <v>-0.52384042687433519</v>
      </c>
      <c r="R753" s="467" t="s">
        <v>553</v>
      </c>
      <c r="S753" s="467" t="s">
        <v>553</v>
      </c>
      <c r="T753" s="467">
        <f t="shared" si="1657"/>
        <v>1.6171330968335309</v>
      </c>
      <c r="U753" s="467">
        <f t="shared" si="1657"/>
        <v>3.4249853746742449E-2</v>
      </c>
      <c r="V753" s="468">
        <f t="shared" si="1657"/>
        <v>1.9782690997198455</v>
      </c>
      <c r="W753" s="467">
        <f t="shared" si="1657"/>
        <v>4.953300451254062E-2</v>
      </c>
      <c r="X753" s="467">
        <f t="shared" si="1657"/>
        <v>-7.6071922544951546E-3</v>
      </c>
      <c r="Y753" s="467">
        <f t="shared" si="1657"/>
        <v>-8.4341583412823346E-3</v>
      </c>
      <c r="Z753" s="467">
        <f t="shared" si="1657"/>
        <v>5.3581529284722478E-2</v>
      </c>
      <c r="AA753" s="468">
        <f t="shared" si="1657"/>
        <v>2.1152183861290322E-2</v>
      </c>
      <c r="AB753" s="467">
        <f t="shared" si="1657"/>
        <v>-7.2992700729925634E-3</v>
      </c>
      <c r="AC753" s="467">
        <f t="shared" si="1657"/>
        <v>-3.0861124937780041E-2</v>
      </c>
      <c r="AD753" s="467">
        <f t="shared" si="1657"/>
        <v>-5.6199686091843427E-2</v>
      </c>
      <c r="AE753" s="469">
        <f t="shared" si="1657"/>
        <v>-0.14583435013909904</v>
      </c>
      <c r="AF753" s="470">
        <f t="shared" si="1657"/>
        <v>-6.0548722800378485E-2</v>
      </c>
      <c r="AG753" s="467">
        <f t="shared" ref="AG753:AM753" si="1658">(AG751-AB751)/AB751</f>
        <v>-0.12948227236099943</v>
      </c>
      <c r="AH753" s="467">
        <f t="shared" si="1658"/>
        <v>-8.880328710837182E-2</v>
      </c>
      <c r="AI753" s="467">
        <f t="shared" si="1658"/>
        <v>-8.4276594603293717E-2</v>
      </c>
      <c r="AJ753" s="467">
        <f t="shared" si="1658"/>
        <v>-5.5368264670590125E-2</v>
      </c>
      <c r="AK753" s="470">
        <f t="shared" si="1658"/>
        <v>-9.0634441087613163E-2</v>
      </c>
      <c r="AL753" s="467">
        <f t="shared" si="1658"/>
        <v>-6.3638993346832401E-2</v>
      </c>
      <c r="AM753" s="467">
        <f t="shared" si="1658"/>
        <v>-8.4155346372808665E-2</v>
      </c>
      <c r="AN753" s="538">
        <v>-0.03</v>
      </c>
      <c r="AO753" s="469">
        <f>AN753</f>
        <v>-0.03</v>
      </c>
      <c r="AP753" s="471">
        <f>(AP751-AK751)/AK751</f>
        <v>-5.2472168794078275E-2</v>
      </c>
      <c r="AQ753" s="1667">
        <v>-0.04</v>
      </c>
      <c r="AR753" s="469">
        <f>AQ753</f>
        <v>-0.04</v>
      </c>
      <c r="AS753" s="540">
        <v>-0.05</v>
      </c>
      <c r="AT753" s="540">
        <v>0</v>
      </c>
      <c r="AU753" s="1689">
        <f>(AU751-AP751)/AP751</f>
        <v>-3.2682069923634684E-2</v>
      </c>
      <c r="AV753" s="1667">
        <v>-0.01</v>
      </c>
      <c r="AW753" s="540">
        <v>-0.04</v>
      </c>
      <c r="AX753" s="540">
        <v>-0.02</v>
      </c>
      <c r="AY753" s="1668">
        <v>-0.06</v>
      </c>
      <c r="AZ753" s="1689">
        <f>(AZ751-AU751)/AU751</f>
        <v>-3.2686888952568487E-2</v>
      </c>
      <c r="BA753" s="1667">
        <v>-0.1</v>
      </c>
      <c r="BB753" s="540">
        <v>-0.1</v>
      </c>
      <c r="BC753" s="540">
        <v>-0.1</v>
      </c>
      <c r="BD753" s="1668">
        <v>-7.4999999999999997E-2</v>
      </c>
      <c r="BE753" s="1868">
        <f>(BE751-AZ751)/AZ751</f>
        <v>-9.3806511104300855E-2</v>
      </c>
      <c r="BF753" s="540">
        <v>-7.4999999999999997E-2</v>
      </c>
      <c r="BG753" s="540">
        <v>-0.05</v>
      </c>
      <c r="BH753" s="540">
        <v>-0.05</v>
      </c>
      <c r="BI753" s="540">
        <v>-0.05</v>
      </c>
      <c r="BJ753" s="1689">
        <f>(BJ751-BE751)/BE751</f>
        <v>-5.6276984875695171E-2</v>
      </c>
      <c r="BK753" s="540">
        <v>-0.01</v>
      </c>
      <c r="BL753" s="540">
        <v>0.02</v>
      </c>
      <c r="BM753" s="540">
        <v>0.02</v>
      </c>
      <c r="BN753" s="1668">
        <v>0.02</v>
      </c>
      <c r="BO753" s="1689">
        <f>(BO751-BJ751)/BJ751</f>
        <v>1.2617057017408943E-2</v>
      </c>
      <c r="BP753" s="540">
        <v>-0.01</v>
      </c>
      <c r="BQ753" s="540">
        <v>-0.01</v>
      </c>
      <c r="BR753" s="540">
        <v>-0.01</v>
      </c>
      <c r="BS753" s="1668">
        <v>-7.4999999999999997E-2</v>
      </c>
      <c r="BT753" s="1463">
        <f>(BT751-BO751)/BO751</f>
        <v>-2.6667232685402029E-2</v>
      </c>
      <c r="BU753" s="540">
        <v>2.5000000000000001E-2</v>
      </c>
      <c r="BV753" s="540">
        <v>0</v>
      </c>
      <c r="BW753" s="540">
        <v>0</v>
      </c>
      <c r="BX753" s="540">
        <v>0.05</v>
      </c>
      <c r="BY753" s="470">
        <f>(BY751-BT751)/BT751</f>
        <v>1.8302335287377628E-2</v>
      </c>
      <c r="BZ753" s="539">
        <v>-5.0000000000000001E-3</v>
      </c>
      <c r="CA753" s="2563">
        <v>0.01</v>
      </c>
      <c r="CB753" s="2563">
        <v>-0.03</v>
      </c>
      <c r="CC753" s="2563">
        <v>-0.03</v>
      </c>
      <c r="CD753" s="2563">
        <v>0.01</v>
      </c>
      <c r="CE753" s="2563">
        <v>0.01</v>
      </c>
      <c r="CF753" s="2563">
        <v>0.01</v>
      </c>
      <c r="CG753" s="492"/>
      <c r="CH753" s="492"/>
      <c r="CI753" s="492"/>
      <c r="CJ753" s="492"/>
      <c r="CK753" s="492"/>
      <c r="CL753" s="1310" t="str">
        <f>A753</f>
        <v>% growth (y-o-y)</v>
      </c>
      <c r="CM753" s="469" t="str">
        <f>G753</f>
        <v xml:space="preserve">n/a </v>
      </c>
      <c r="CN753" s="469">
        <f>L753</f>
        <v>-0.35132195937649824</v>
      </c>
      <c r="CO753" s="469">
        <f>Q753</f>
        <v>-0.52384042687433519</v>
      </c>
      <c r="CP753" s="469">
        <f>V753</f>
        <v>1.9782690997198455</v>
      </c>
      <c r="CQ753" s="469">
        <f>AA753</f>
        <v>2.1152183861290322E-2</v>
      </c>
      <c r="CR753" s="469">
        <f>AF753</f>
        <v>-6.0548722800378485E-2</v>
      </c>
      <c r="CS753" s="469">
        <f>AK753</f>
        <v>-9.0634441087613163E-2</v>
      </c>
      <c r="CT753" s="469">
        <f>AP753</f>
        <v>-5.2472168794078275E-2</v>
      </c>
      <c r="CU753" s="469">
        <f>AU753</f>
        <v>-3.2682069923634684E-2</v>
      </c>
      <c r="CV753" s="469">
        <f>AZ753</f>
        <v>-3.2686888952568487E-2</v>
      </c>
      <c r="CW753" s="469">
        <f>BE753</f>
        <v>-9.3806511104300855E-2</v>
      </c>
      <c r="CX753" s="469">
        <f>BJ753</f>
        <v>-5.6276984875695171E-2</v>
      </c>
      <c r="CY753" s="469">
        <f>BO753</f>
        <v>1.2617057017408943E-2</v>
      </c>
      <c r="CZ753" s="469">
        <f>BT753</f>
        <v>-2.6667232685402029E-2</v>
      </c>
      <c r="DA753" s="469">
        <f t="shared" si="1651"/>
        <v>1.8302335287377628E-2</v>
      </c>
      <c r="DB753" s="469">
        <f t="shared" si="1651"/>
        <v>-5.0000000000000001E-3</v>
      </c>
      <c r="DC753" s="1463">
        <f t="shared" si="1651"/>
        <v>0.01</v>
      </c>
      <c r="DD753" s="492"/>
      <c r="DE753" s="492"/>
      <c r="DF753" s="962"/>
      <c r="DG753" s="962"/>
      <c r="DH753" s="469"/>
      <c r="DI753" s="3213"/>
      <c r="DJ753" s="962"/>
      <c r="DK753" s="962"/>
      <c r="DL753" s="962"/>
      <c r="DM753" s="962"/>
      <c r="DN753" s="962"/>
      <c r="DO753" s="962"/>
      <c r="DP753" s="962"/>
      <c r="DQ753" s="962"/>
      <c r="DR753" s="963"/>
      <c r="DS753" s="963"/>
      <c r="DT753" s="963"/>
    </row>
    <row r="754" spans="1:124" ht="5.0999999999999996" customHeight="1" x14ac:dyDescent="0.25">
      <c r="A754" s="281"/>
      <c r="B754" s="281"/>
      <c r="C754" s="305"/>
      <c r="D754" s="305"/>
      <c r="E754" s="305"/>
      <c r="F754" s="305"/>
      <c r="G754" s="440"/>
      <c r="H754" s="305"/>
      <c r="I754" s="305"/>
      <c r="J754" s="305"/>
      <c r="K754" s="305"/>
      <c r="L754" s="440"/>
      <c r="M754" s="305"/>
      <c r="N754" s="305"/>
      <c r="O754" s="305"/>
      <c r="P754" s="305"/>
      <c r="Q754" s="440"/>
      <c r="R754" s="305"/>
      <c r="S754" s="305"/>
      <c r="T754" s="305"/>
      <c r="U754" s="305"/>
      <c r="V754" s="440"/>
      <c r="W754" s="305"/>
      <c r="X754" s="305"/>
      <c r="Y754" s="305"/>
      <c r="Z754" s="305"/>
      <c r="AA754" s="440"/>
      <c r="AB754" s="305"/>
      <c r="AC754" s="305"/>
      <c r="AD754" s="305"/>
      <c r="AE754" s="331"/>
      <c r="AF754" s="441"/>
      <c r="AG754" s="305"/>
      <c r="AH754" s="305"/>
      <c r="AI754" s="305"/>
      <c r="AJ754" s="331"/>
      <c r="AK754" s="441"/>
      <c r="AL754" s="305"/>
      <c r="AM754" s="305"/>
      <c r="AN754" s="305"/>
      <c r="AO754" s="331"/>
      <c r="AP754" s="569"/>
      <c r="AQ754" s="569"/>
      <c r="AR754" s="442"/>
      <c r="AS754" s="442"/>
      <c r="AT754" s="442"/>
      <c r="AU754" s="1690"/>
      <c r="AV754" s="1902"/>
      <c r="AW754" s="1837"/>
      <c r="AX754" s="1837"/>
      <c r="AY754" s="1903"/>
      <c r="AZ754" s="1690"/>
      <c r="BA754" s="569"/>
      <c r="BB754" s="442"/>
      <c r="BC754" s="442"/>
      <c r="BD754" s="1312"/>
      <c r="BE754" s="1903"/>
      <c r="BF754" s="442"/>
      <c r="BG754" s="442"/>
      <c r="BH754" s="442"/>
      <c r="BI754" s="1312"/>
      <c r="BJ754" s="1903"/>
      <c r="BK754" s="442"/>
      <c r="BL754" s="442"/>
      <c r="BM754" s="442"/>
      <c r="BN754" s="1312"/>
      <c r="BO754" s="1903"/>
      <c r="BP754" s="442"/>
      <c r="BQ754" s="442"/>
      <c r="BR754" s="442"/>
      <c r="BS754" s="1312"/>
      <c r="BT754" s="3016"/>
      <c r="BU754" s="3298"/>
      <c r="BV754" s="3298"/>
      <c r="BW754" s="3298"/>
      <c r="BX754" s="3298"/>
      <c r="BY754" s="3236"/>
      <c r="BZ754" s="441"/>
      <c r="CA754" s="441"/>
      <c r="CB754" s="441"/>
      <c r="CC754" s="441"/>
      <c r="CD754" s="441"/>
      <c r="CE754" s="441"/>
      <c r="CF754" s="441"/>
      <c r="CG754" s="331"/>
      <c r="CH754" s="331"/>
      <c r="CI754" s="331"/>
      <c r="CJ754" s="331"/>
      <c r="CK754" s="331"/>
      <c r="CL754" s="520"/>
      <c r="CM754" s="442"/>
      <c r="CN754" s="442"/>
      <c r="CO754" s="442"/>
      <c r="CP754" s="442"/>
      <c r="CQ754" s="442"/>
      <c r="CR754" s="442"/>
      <c r="CS754" s="442"/>
      <c r="CT754" s="442"/>
      <c r="CU754" s="442"/>
      <c r="CV754" s="442"/>
      <c r="CW754" s="442"/>
      <c r="CX754" s="442"/>
      <c r="CY754" s="442"/>
      <c r="CZ754" s="442"/>
      <c r="DA754" s="442"/>
      <c r="DB754" s="442"/>
      <c r="DC754" s="1312"/>
      <c r="DD754" s="331"/>
      <c r="DE754" s="331"/>
      <c r="DF754" s="502"/>
      <c r="DG754" s="503"/>
      <c r="DH754" s="3298"/>
      <c r="DI754" s="3213"/>
      <c r="DJ754" s="502"/>
      <c r="DK754" s="503"/>
      <c r="DL754" s="502"/>
      <c r="DM754" s="502"/>
      <c r="DN754" s="502"/>
      <c r="DO754" s="502"/>
      <c r="DP754" s="503"/>
      <c r="DQ754" s="503"/>
      <c r="DR754" s="296"/>
      <c r="DS754" s="296"/>
      <c r="DT754" s="296"/>
    </row>
    <row r="755" spans="1:124" ht="12" customHeight="1" x14ac:dyDescent="0.25">
      <c r="A755" s="999" t="s">
        <v>2010</v>
      </c>
      <c r="B755" s="1007"/>
      <c r="C755" s="1001">
        <v>6.5730000000000004</v>
      </c>
      <c r="D755" s="1001">
        <v>5.9470000000000001</v>
      </c>
      <c r="E755" s="1001">
        <v>4.1769999999999996</v>
      </c>
      <c r="F755" s="1001">
        <v>4.0220000000000002</v>
      </c>
      <c r="G755" s="1002">
        <f>SUM(C755:F755)</f>
        <v>20.719000000000001</v>
      </c>
      <c r="H755" s="1001">
        <v>5.7169999999999996</v>
      </c>
      <c r="I755" s="1001">
        <v>5.375</v>
      </c>
      <c r="J755" s="1001">
        <v>3.0110000000000001</v>
      </c>
      <c r="K755" s="1001">
        <v>0</v>
      </c>
      <c r="L755" s="1002">
        <f>SUM(H755:K755)</f>
        <v>14.102999999999998</v>
      </c>
      <c r="M755" s="1001">
        <v>0</v>
      </c>
      <c r="N755" s="1001">
        <v>0</v>
      </c>
      <c r="O755" s="1001">
        <v>3.1560000000000001</v>
      </c>
      <c r="P755" s="1001">
        <v>2.6139999999999999</v>
      </c>
      <c r="Q755" s="1002">
        <f>SUM(M755:P755)</f>
        <v>5.77</v>
      </c>
      <c r="R755" s="1001">
        <v>4.4260000000000002</v>
      </c>
      <c r="S755" s="1001">
        <v>5.2220000000000004</v>
      </c>
      <c r="T755" s="1001">
        <v>4.6260000000000003</v>
      </c>
      <c r="U755" s="1001">
        <v>3.68</v>
      </c>
      <c r="V755" s="1002">
        <f>SUM(R755:U755)</f>
        <v>17.954000000000001</v>
      </c>
      <c r="W755" s="1001">
        <v>5.4390000000000001</v>
      </c>
      <c r="X755" s="1001">
        <v>5.7610000000000001</v>
      </c>
      <c r="Y755" s="1001">
        <v>5.2859999999999996</v>
      </c>
      <c r="Z755" s="1001">
        <v>5.1790000000000003</v>
      </c>
      <c r="AA755" s="1002">
        <f>SUM(W755:Z755)</f>
        <v>21.664999999999999</v>
      </c>
      <c r="AB755" s="1003">
        <v>6.133</v>
      </c>
      <c r="AC755" s="1003">
        <v>5.952</v>
      </c>
      <c r="AD755" s="1003">
        <v>4.7530000000000001</v>
      </c>
      <c r="AE755" s="1003">
        <v>2.754</v>
      </c>
      <c r="AF755" s="1004">
        <f>SUM(AB755:AE755)</f>
        <v>19.592000000000002</v>
      </c>
      <c r="AG755" s="1003">
        <v>4.0449999999999999</v>
      </c>
      <c r="AH755" s="1003">
        <v>4.3819999999999997</v>
      </c>
      <c r="AI755" s="1003">
        <v>5.3659999999999997</v>
      </c>
      <c r="AJ755" s="1003">
        <v>4.3220000000000001</v>
      </c>
      <c r="AK755" s="1004">
        <f>SUM(AG755:AJ755)</f>
        <v>18.114999999999998</v>
      </c>
      <c r="AL755" s="1003">
        <v>5.6260000000000003</v>
      </c>
      <c r="AM755" s="1003">
        <v>5.3840000000000003</v>
      </c>
      <c r="AN755" s="1592">
        <f>AN748-AN751</f>
        <v>4.307579999999998</v>
      </c>
      <c r="AO755" s="1015">
        <f>AO748-AO751</f>
        <v>3.3581799999999973</v>
      </c>
      <c r="AP755" s="1006">
        <f>SUM(AL755:AO755)</f>
        <v>18.675759999999997</v>
      </c>
      <c r="AQ755" s="1006">
        <f>AQ748-AQ751</f>
        <v>6.2734000000000023</v>
      </c>
      <c r="AR755" s="1015">
        <f>AR748-AR751</f>
        <v>5.6012800000000009</v>
      </c>
      <c r="AS755" s="1015">
        <f>AS748-AS751</f>
        <v>5.1354749999999996</v>
      </c>
      <c r="AT755" s="1015">
        <f>AT748-AT751</f>
        <v>2.3884689999999971</v>
      </c>
      <c r="AU755" s="1698">
        <f>SUM(AQ755:AT755)</f>
        <v>19.398624000000002</v>
      </c>
      <c r="AV755" s="1915">
        <f>AV748-AV751</f>
        <v>4.9020060000000001</v>
      </c>
      <c r="AW755" s="1843">
        <f>AW748-AW751</f>
        <v>4.7412480000000006</v>
      </c>
      <c r="AX755" s="1843">
        <f>AX748-AX751</f>
        <v>3.7808367000000018</v>
      </c>
      <c r="AY755" s="1910">
        <f>AY748-AY751</f>
        <v>2.613651039999997</v>
      </c>
      <c r="AZ755" s="1698">
        <f>SUM(AV755:AY755)</f>
        <v>16.037741740000001</v>
      </c>
      <c r="BA755" s="1006">
        <f>BA748-BA751</f>
        <v>5.2231745999999966</v>
      </c>
      <c r="BB755" s="1015">
        <f>BB748-BB751</f>
        <v>4.8585853439999998</v>
      </c>
      <c r="BC755" s="1015">
        <f>BC748-BC751</f>
        <v>4.5545275260000011</v>
      </c>
      <c r="BD755" s="1871">
        <f>BD748-BD751</f>
        <v>3.2135660007999949</v>
      </c>
      <c r="BE755" s="1910">
        <f>SUM(BA755:BD755)</f>
        <v>17.849853470799992</v>
      </c>
      <c r="BF755" s="1015">
        <f>BF748-BF751</f>
        <v>5.8801311959999936</v>
      </c>
      <c r="BG755" s="1015">
        <f>BG748-BG751</f>
        <v>5.7157756646400006</v>
      </c>
      <c r="BH755" s="1015">
        <f>BH748-BH751</f>
        <v>5.4325046658599998</v>
      </c>
      <c r="BI755" s="1871">
        <f>BI748-BI751</f>
        <v>3.739163811991995</v>
      </c>
      <c r="BJ755" s="1910">
        <f>SUM(BF755:BI755)</f>
        <v>20.767575338491987</v>
      </c>
      <c r="BK755" s="1015">
        <f>BK748-BK751</f>
        <v>5.8213298840399936</v>
      </c>
      <c r="BL755" s="1015">
        <f>BL748-BL751</f>
        <v>5.6449043806463983</v>
      </c>
      <c r="BM755" s="1015">
        <f>BM748-BM751</f>
        <v>5.355028000623598</v>
      </c>
      <c r="BN755" s="1871">
        <f>BN748-BN751</f>
        <v>3.6440937507019129</v>
      </c>
      <c r="BO755" s="1910">
        <f>SUM(BK755:BN755)</f>
        <v>20.465356016011903</v>
      </c>
      <c r="BP755" s="1015">
        <f>BP748-BP751</f>
        <v>6.1330960721843955</v>
      </c>
      <c r="BQ755" s="1015">
        <f>BQ748-BQ751</f>
        <v>5.9625326673584649</v>
      </c>
      <c r="BR755" s="1015">
        <f>BR748-BR751</f>
        <v>5.8654417990347696</v>
      </c>
      <c r="BS755" s="1871">
        <f>BS748-BS751</f>
        <v>2.9419070421362221</v>
      </c>
      <c r="BT755" s="1871">
        <f>SUM(BP755:BS755)</f>
        <v>20.902977580713852</v>
      </c>
      <c r="BU755" s="1015">
        <f>BU748-BU751</f>
        <v>6.0995838330616792</v>
      </c>
      <c r="BV755" s="1015">
        <f>BV748-BV751</f>
        <v>6.2458962452262465</v>
      </c>
      <c r="BW755" s="1015">
        <f>BW748-BW751</f>
        <v>6.1530634790276473</v>
      </c>
      <c r="BX755" s="1015">
        <f>BX748-BX751</f>
        <v>3.8609858133165211</v>
      </c>
      <c r="BY755" s="1004">
        <f>SUM(BU755:BX755)</f>
        <v>22.359529370632092</v>
      </c>
      <c r="BZ755" s="1004">
        <f t="shared" ref="BZ755:CF755" si="1659">BZ748-BZ751</f>
        <v>23.366499642113617</v>
      </c>
      <c r="CA755" s="1004">
        <f t="shared" si="1659"/>
        <v>22.846860906856072</v>
      </c>
      <c r="CB755" s="1004">
        <f t="shared" si="1659"/>
        <v>20.654847616293026</v>
      </c>
      <c r="CC755" s="1004">
        <f t="shared" si="1659"/>
        <v>18.603925097614734</v>
      </c>
      <c r="CD755" s="1004">
        <f t="shared" si="1659"/>
        <v>19.469820966430888</v>
      </c>
      <c r="CE755" s="1004">
        <f t="shared" si="1659"/>
        <v>20.357972926292007</v>
      </c>
      <c r="CF755" s="1004">
        <f t="shared" si="1659"/>
        <v>21.268875480755675</v>
      </c>
      <c r="CG755" s="502"/>
      <c r="CH755" s="502"/>
      <c r="CI755" s="502"/>
      <c r="CJ755" s="502"/>
      <c r="CK755" s="502"/>
      <c r="CL755" s="2221" t="str">
        <f>A755</f>
        <v>Property EBITDA</v>
      </c>
      <c r="CM755" s="1015">
        <f>G755</f>
        <v>20.719000000000001</v>
      </c>
      <c r="CN755" s="1015">
        <f>L755</f>
        <v>14.102999999999998</v>
      </c>
      <c r="CO755" s="1015">
        <f>Q755</f>
        <v>5.77</v>
      </c>
      <c r="CP755" s="1015">
        <f>V755</f>
        <v>17.954000000000001</v>
      </c>
      <c r="CQ755" s="1015">
        <f>AA755</f>
        <v>21.664999999999999</v>
      </c>
      <c r="CR755" s="1015">
        <f>AF755</f>
        <v>19.592000000000002</v>
      </c>
      <c r="CS755" s="1015">
        <f>AK755</f>
        <v>18.114999999999998</v>
      </c>
      <c r="CT755" s="1015">
        <f>AP755</f>
        <v>18.675759999999997</v>
      </c>
      <c r="CU755" s="1015">
        <f>AU755</f>
        <v>19.398624000000002</v>
      </c>
      <c r="CV755" s="1015">
        <f>AZ755</f>
        <v>16.037741740000001</v>
      </c>
      <c r="CW755" s="1015">
        <f>BE755</f>
        <v>17.849853470799992</v>
      </c>
      <c r="CX755" s="1015">
        <f>BJ755</f>
        <v>20.767575338491987</v>
      </c>
      <c r="CY755" s="1015">
        <f>BO755</f>
        <v>20.465356016011903</v>
      </c>
      <c r="CZ755" s="1015">
        <f>BT755</f>
        <v>20.902977580713852</v>
      </c>
      <c r="DA755" s="1015">
        <f t="shared" ref="DA755:DC759" si="1660">BY755</f>
        <v>22.359529370632092</v>
      </c>
      <c r="DB755" s="1015">
        <f t="shared" si="1660"/>
        <v>23.366499642113617</v>
      </c>
      <c r="DC755" s="1871">
        <f t="shared" si="1660"/>
        <v>22.846860906856072</v>
      </c>
      <c r="DD755" s="502"/>
      <c r="DE755" s="502"/>
      <c r="DF755" s="502"/>
      <c r="DG755" s="503"/>
      <c r="DH755" s="463"/>
      <c r="DI755" s="3213"/>
      <c r="DJ755" s="502"/>
      <c r="DK755" s="503"/>
      <c r="DL755" s="502"/>
      <c r="DM755" s="502"/>
      <c r="DN755" s="502"/>
      <c r="DO755" s="502"/>
      <c r="DP755" s="503"/>
      <c r="DQ755" s="503"/>
      <c r="DR755" s="719"/>
      <c r="DS755" s="719"/>
      <c r="DT755" s="719"/>
    </row>
    <row r="756" spans="1:124" ht="12" customHeight="1" x14ac:dyDescent="0.25">
      <c r="A756" s="465" t="s">
        <v>1892</v>
      </c>
      <c r="B756" s="466"/>
      <c r="C756" s="467">
        <f t="shared" ref="C756:J756" si="1661">C755/C748</f>
        <v>0.22981713926086503</v>
      </c>
      <c r="D756" s="467">
        <f t="shared" si="1661"/>
        <v>0.21196136436539903</v>
      </c>
      <c r="E756" s="467">
        <f t="shared" si="1661"/>
        <v>0.16375896812639665</v>
      </c>
      <c r="F756" s="467">
        <f t="shared" si="1661"/>
        <v>0.1670890282913049</v>
      </c>
      <c r="G756" s="468">
        <f t="shared" si="1661"/>
        <v>0.19502805075492299</v>
      </c>
      <c r="H756" s="467">
        <f t="shared" si="1661"/>
        <v>0.2146504467973267</v>
      </c>
      <c r="I756" s="467">
        <f t="shared" si="1661"/>
        <v>0.20225015051173992</v>
      </c>
      <c r="J756" s="467">
        <f t="shared" si="1661"/>
        <v>0.18397898081388245</v>
      </c>
      <c r="K756" s="467" t="s">
        <v>553</v>
      </c>
      <c r="L756" s="468">
        <f>L755/L748</f>
        <v>0.20269920662297342</v>
      </c>
      <c r="M756" s="467" t="s">
        <v>553</v>
      </c>
      <c r="N756" s="467" t="s">
        <v>553</v>
      </c>
      <c r="O756" s="467">
        <f t="shared" ref="O756:AU756" si="1662">O755/O748</f>
        <v>0.29311786012816943</v>
      </c>
      <c r="P756" s="467">
        <f t="shared" si="1662"/>
        <v>0.12205257505719753</v>
      </c>
      <c r="Q756" s="468">
        <f t="shared" si="1662"/>
        <v>0.1792816306239125</v>
      </c>
      <c r="R756" s="467">
        <f t="shared" si="1662"/>
        <v>0.18846874467722705</v>
      </c>
      <c r="S756" s="467">
        <f t="shared" si="1662"/>
        <v>0.20505772402418912</v>
      </c>
      <c r="T756" s="467">
        <f t="shared" si="1662"/>
        <v>0.18847015685475657</v>
      </c>
      <c r="U756" s="467">
        <f t="shared" si="1662"/>
        <v>0.15912137328663467</v>
      </c>
      <c r="V756" s="468">
        <f t="shared" si="1662"/>
        <v>0.1858168947030697</v>
      </c>
      <c r="W756" s="467">
        <f t="shared" si="1662"/>
        <v>0.21378876616485201</v>
      </c>
      <c r="X756" s="467">
        <f t="shared" si="1662"/>
        <v>0.22285404819929597</v>
      </c>
      <c r="Y756" s="467">
        <f t="shared" si="1662"/>
        <v>0.21112753125374445</v>
      </c>
      <c r="Z756" s="467">
        <f t="shared" si="1662"/>
        <v>0.20176873928627087</v>
      </c>
      <c r="AA756" s="468">
        <f t="shared" si="1662"/>
        <v>0.21240820808455146</v>
      </c>
      <c r="AB756" s="467">
        <f t="shared" si="1662"/>
        <v>0.23598445496171455</v>
      </c>
      <c r="AC756" s="467">
        <f t="shared" si="1662"/>
        <v>0.23412792069860749</v>
      </c>
      <c r="AD756" s="467">
        <f t="shared" si="1662"/>
        <v>0.20317175344105329</v>
      </c>
      <c r="AE756" s="469">
        <f t="shared" si="1662"/>
        <v>0.13596642804245865</v>
      </c>
      <c r="AF756" s="470">
        <f t="shared" si="1662"/>
        <v>0.20610140963601939</v>
      </c>
      <c r="AG756" s="467">
        <f t="shared" si="1662"/>
        <v>0.1896390060947023</v>
      </c>
      <c r="AH756" s="467">
        <f t="shared" si="1662"/>
        <v>0.1980744022058491</v>
      </c>
      <c r="AI756" s="467">
        <f t="shared" si="1662"/>
        <v>0.23916919236940629</v>
      </c>
      <c r="AJ756" s="469">
        <f t="shared" si="1662"/>
        <v>0.2072504075956651</v>
      </c>
      <c r="AK756" s="470">
        <f t="shared" si="1662"/>
        <v>0.20883529506703707</v>
      </c>
      <c r="AL756" s="467">
        <f t="shared" si="1662"/>
        <v>0.25794323964971805</v>
      </c>
      <c r="AM756" s="467">
        <f t="shared" si="1662"/>
        <v>0.24889053254437871</v>
      </c>
      <c r="AN756" s="467">
        <f t="shared" si="1662"/>
        <v>0.20644528666486456</v>
      </c>
      <c r="AO756" s="469">
        <f t="shared" si="1662"/>
        <v>0.17315365093311294</v>
      </c>
      <c r="AP756" s="471">
        <f t="shared" si="1662"/>
        <v>0.2231201621930953</v>
      </c>
      <c r="AQ756" s="471">
        <f t="shared" si="1662"/>
        <v>0.28762551006372944</v>
      </c>
      <c r="AR756" s="469">
        <f t="shared" si="1662"/>
        <v>0.26421929718633019</v>
      </c>
      <c r="AS756" s="469">
        <f t="shared" si="1662"/>
        <v>0.24612302233162142</v>
      </c>
      <c r="AT756" s="469">
        <f t="shared" si="1662"/>
        <v>0.12963542203485573</v>
      </c>
      <c r="AU756" s="1689">
        <f t="shared" si="1662"/>
        <v>0.23570524591578587</v>
      </c>
      <c r="AV756" s="1730">
        <f t="shared" ref="AV756:BJ756" si="1663">AV755/AV748</f>
        <v>0.24166586555171188</v>
      </c>
      <c r="AW756" s="1465">
        <f t="shared" si="1663"/>
        <v>0.24048443580524403</v>
      </c>
      <c r="AX756" s="1465">
        <f t="shared" si="1663"/>
        <v>0.19695713248368377</v>
      </c>
      <c r="AY756" s="1868">
        <f t="shared" si="1663"/>
        <v>0.14776801740912957</v>
      </c>
      <c r="AZ756" s="1689">
        <f t="shared" si="1663"/>
        <v>0.20859822391654056</v>
      </c>
      <c r="BA756" s="471">
        <f t="shared" si="1663"/>
        <v>0.27393540318780912</v>
      </c>
      <c r="BB756" s="469">
        <f t="shared" si="1663"/>
        <v>0.2649849378760426</v>
      </c>
      <c r="BC756" s="469">
        <f t="shared" si="1663"/>
        <v>0.2471473117034535</v>
      </c>
      <c r="BD756" s="1463">
        <f t="shared" si="1663"/>
        <v>0.18730455268396362</v>
      </c>
      <c r="BE756" s="1868">
        <f t="shared" si="1663"/>
        <v>0.24455942104502437</v>
      </c>
      <c r="BF756" s="469">
        <f t="shared" si="1663"/>
        <v>0.31468392647828908</v>
      </c>
      <c r="BG756" s="469">
        <f t="shared" si="1663"/>
        <v>0.3086491989923173</v>
      </c>
      <c r="BH756" s="469">
        <f t="shared" si="1663"/>
        <v>0.29187123378047602</v>
      </c>
      <c r="BI756" s="1463">
        <f t="shared" si="1663"/>
        <v>0.22014073237350046</v>
      </c>
      <c r="BJ756" s="1868">
        <f t="shared" si="1663"/>
        <v>0.28525900977422053</v>
      </c>
      <c r="BK756" s="469">
        <f t="shared" ref="BK756:BU756" si="1664">BK755/BK748</f>
        <v>0.31468392647828908</v>
      </c>
      <c r="BL756" s="469">
        <f t="shared" si="1664"/>
        <v>0.30180414155659757</v>
      </c>
      <c r="BM756" s="469">
        <f t="shared" si="1664"/>
        <v>0.28486005787731233</v>
      </c>
      <c r="BN756" s="1463">
        <f t="shared" si="1664"/>
        <v>0.21241935348610927</v>
      </c>
      <c r="BO756" s="1868">
        <f t="shared" si="1664"/>
        <v>0.27974634567777723</v>
      </c>
      <c r="BP756" s="469">
        <f t="shared" si="1664"/>
        <v>0.32825454179555075</v>
      </c>
      <c r="BQ756" s="469">
        <f t="shared" si="1664"/>
        <v>0.31562980211983338</v>
      </c>
      <c r="BR756" s="469">
        <f t="shared" si="1664"/>
        <v>0.30589358558680313</v>
      </c>
      <c r="BS756" s="1463">
        <f t="shared" si="1664"/>
        <v>0.1905421133051679</v>
      </c>
      <c r="BT756" s="1463">
        <f t="shared" si="1664"/>
        <v>0.28955777174426184</v>
      </c>
      <c r="BU756" s="469">
        <f t="shared" si="1664"/>
        <v>0.32163635994131967</v>
      </c>
      <c r="BV756" s="469">
        <f t="shared" ref="BV756:CF756" si="1665">BV755/BV748</f>
        <v>0.32574364740870271</v>
      </c>
      <c r="BW756" s="469">
        <f t="shared" si="1665"/>
        <v>0.31615131584906714</v>
      </c>
      <c r="BX756" s="469">
        <f t="shared" si="1665"/>
        <v>0.22733565360947852</v>
      </c>
      <c r="BY756" s="470">
        <f t="shared" si="1665"/>
        <v>0.29978777104971488</v>
      </c>
      <c r="BZ756" s="470">
        <f t="shared" si="1665"/>
        <v>0.31018696256877865</v>
      </c>
      <c r="CA756" s="470">
        <f t="shared" si="1665"/>
        <v>0.30328883219446645</v>
      </c>
      <c r="CB756" s="470">
        <f t="shared" si="1665"/>
        <v>0.2886212286617183</v>
      </c>
      <c r="CC756" s="470">
        <f t="shared" si="1665"/>
        <v>0.27364483347564916</v>
      </c>
      <c r="CD756" s="470">
        <f t="shared" si="1665"/>
        <v>0.2807659625592212</v>
      </c>
      <c r="CE756" s="470">
        <f t="shared" si="1665"/>
        <v>0.28781727665177786</v>
      </c>
      <c r="CF756" s="470">
        <f t="shared" si="1665"/>
        <v>0.29479946021401532</v>
      </c>
      <c r="CG756" s="492"/>
      <c r="CH756" s="492"/>
      <c r="CI756" s="492"/>
      <c r="CJ756" s="492"/>
      <c r="CK756" s="492"/>
      <c r="CL756" s="1310" t="str">
        <f>A756</f>
        <v>Margin</v>
      </c>
      <c r="CM756" s="469">
        <f>G756</f>
        <v>0.19502805075492299</v>
      </c>
      <c r="CN756" s="469">
        <f>L756</f>
        <v>0.20269920662297342</v>
      </c>
      <c r="CO756" s="469">
        <f>Q756</f>
        <v>0.1792816306239125</v>
      </c>
      <c r="CP756" s="469">
        <f>V756</f>
        <v>0.1858168947030697</v>
      </c>
      <c r="CQ756" s="469">
        <f>AA756</f>
        <v>0.21240820808455146</v>
      </c>
      <c r="CR756" s="469">
        <f>AF756</f>
        <v>0.20610140963601939</v>
      </c>
      <c r="CS756" s="469">
        <f>AK756</f>
        <v>0.20883529506703707</v>
      </c>
      <c r="CT756" s="469">
        <f>AP756</f>
        <v>0.2231201621930953</v>
      </c>
      <c r="CU756" s="469">
        <f>AU756</f>
        <v>0.23570524591578587</v>
      </c>
      <c r="CV756" s="469">
        <f>AZ756</f>
        <v>0.20859822391654056</v>
      </c>
      <c r="CW756" s="469">
        <f>BE756</f>
        <v>0.24455942104502437</v>
      </c>
      <c r="CX756" s="469">
        <f>BJ756</f>
        <v>0.28525900977422053</v>
      </c>
      <c r="CY756" s="469">
        <f>BO756</f>
        <v>0.27974634567777723</v>
      </c>
      <c r="CZ756" s="469">
        <f>BT756</f>
        <v>0.28955777174426184</v>
      </c>
      <c r="DA756" s="469">
        <f t="shared" si="1660"/>
        <v>0.29978777104971488</v>
      </c>
      <c r="DB756" s="469">
        <f t="shared" si="1660"/>
        <v>0.31018696256877865</v>
      </c>
      <c r="DC756" s="1463">
        <f t="shared" si="1660"/>
        <v>0.30328883219446645</v>
      </c>
      <c r="DD756" s="492"/>
      <c r="DE756" s="492"/>
      <c r="DF756" s="962"/>
      <c r="DG756" s="962"/>
      <c r="DH756" s="469"/>
      <c r="DI756" s="3213"/>
      <c r="DJ756" s="962"/>
      <c r="DK756" s="962"/>
      <c r="DL756" s="962"/>
      <c r="DM756" s="962"/>
      <c r="DN756" s="962"/>
      <c r="DO756" s="962"/>
      <c r="DP756" s="962"/>
      <c r="DQ756" s="962"/>
      <c r="DR756" s="963"/>
      <c r="DS756" s="963"/>
      <c r="DT756" s="963"/>
    </row>
    <row r="757" spans="1:124" ht="12" customHeight="1" x14ac:dyDescent="0.25">
      <c r="A757" s="465" t="s">
        <v>1491</v>
      </c>
      <c r="B757" s="466"/>
      <c r="C757" s="467" t="s">
        <v>553</v>
      </c>
      <c r="D757" s="467" t="s">
        <v>553</v>
      </c>
      <c r="E757" s="467" t="s">
        <v>553</v>
      </c>
      <c r="F757" s="467" t="s">
        <v>553</v>
      </c>
      <c r="G757" s="468" t="s">
        <v>553</v>
      </c>
      <c r="H757" s="467">
        <f t="shared" ref="H757:O757" si="1666">(H755-C755)/C755</f>
        <v>-0.13022972767381724</v>
      </c>
      <c r="I757" s="467">
        <f t="shared" si="1666"/>
        <v>-9.6182949386245178E-2</v>
      </c>
      <c r="J757" s="467">
        <f t="shared" si="1666"/>
        <v>-0.27914771367009805</v>
      </c>
      <c r="K757" s="467">
        <f t="shared" si="1666"/>
        <v>-1</v>
      </c>
      <c r="L757" s="468">
        <f t="shared" si="1666"/>
        <v>-0.31932043052270875</v>
      </c>
      <c r="M757" s="467">
        <f t="shared" si="1666"/>
        <v>-1</v>
      </c>
      <c r="N757" s="467">
        <f t="shared" si="1666"/>
        <v>-1</v>
      </c>
      <c r="O757" s="467">
        <f t="shared" si="1666"/>
        <v>4.8156758551976091E-2</v>
      </c>
      <c r="P757" s="467" t="s">
        <v>553</v>
      </c>
      <c r="Q757" s="468">
        <f>(Q755-L755)/L755</f>
        <v>-0.59086719137772103</v>
      </c>
      <c r="R757" s="467" t="s">
        <v>553</v>
      </c>
      <c r="S757" s="467" t="s">
        <v>553</v>
      </c>
      <c r="T757" s="467">
        <f t="shared" ref="T757:AF757" si="1667">(T755-O755)/O755</f>
        <v>0.46577946768060841</v>
      </c>
      <c r="U757" s="467">
        <f t="shared" si="1667"/>
        <v>0.40780413159908202</v>
      </c>
      <c r="V757" s="468">
        <f t="shared" si="1667"/>
        <v>2.1116117850953211</v>
      </c>
      <c r="W757" s="467">
        <f t="shared" si="1667"/>
        <v>0.22887483054676905</v>
      </c>
      <c r="X757" s="467">
        <f t="shared" si="1667"/>
        <v>0.10321715817694363</v>
      </c>
      <c r="Y757" s="467">
        <f t="shared" si="1667"/>
        <v>0.14267185473411137</v>
      </c>
      <c r="Z757" s="467">
        <f t="shared" si="1667"/>
        <v>0.40733695652173912</v>
      </c>
      <c r="AA757" s="468">
        <f t="shared" si="1667"/>
        <v>0.20669488693327384</v>
      </c>
      <c r="AB757" s="467">
        <f t="shared" si="1667"/>
        <v>0.12759698473984188</v>
      </c>
      <c r="AC757" s="467">
        <f t="shared" si="1667"/>
        <v>3.3153966325290718E-2</v>
      </c>
      <c r="AD757" s="467">
        <f t="shared" si="1667"/>
        <v>-0.10083238743851675</v>
      </c>
      <c r="AE757" s="469">
        <f t="shared" si="1667"/>
        <v>-0.4682371114114694</v>
      </c>
      <c r="AF757" s="470">
        <f t="shared" si="1667"/>
        <v>-9.5684283406415729E-2</v>
      </c>
      <c r="AG757" s="467">
        <f t="shared" ref="AG757:AU757" si="1668">(AG755-AB755)/AB755</f>
        <v>-0.34045328550464699</v>
      </c>
      <c r="AH757" s="467">
        <f t="shared" si="1668"/>
        <v>-0.26377688172043018</v>
      </c>
      <c r="AI757" s="467">
        <f t="shared" si="1668"/>
        <v>0.12897117609930561</v>
      </c>
      <c r="AJ757" s="469">
        <f t="shared" si="1668"/>
        <v>0.56935366739288307</v>
      </c>
      <c r="AK757" s="470">
        <f t="shared" si="1668"/>
        <v>-7.5387913434054904E-2</v>
      </c>
      <c r="AL757" s="467">
        <f t="shared" si="1668"/>
        <v>0.39085290482076651</v>
      </c>
      <c r="AM757" s="467">
        <f t="shared" si="1668"/>
        <v>0.22866271109082628</v>
      </c>
      <c r="AN757" s="467">
        <f t="shared" si="1668"/>
        <v>-0.19724562057398468</v>
      </c>
      <c r="AO757" s="469">
        <f t="shared" si="1668"/>
        <v>-0.22300323924109272</v>
      </c>
      <c r="AP757" s="471">
        <f t="shared" si="1668"/>
        <v>3.0955561689207753E-2</v>
      </c>
      <c r="AQ757" s="471">
        <f t="shared" si="1668"/>
        <v>0.11507287593316778</v>
      </c>
      <c r="AR757" s="469">
        <f t="shared" si="1668"/>
        <v>4.0356612184249734E-2</v>
      </c>
      <c r="AS757" s="469">
        <f t="shared" si="1668"/>
        <v>0.19219492151045411</v>
      </c>
      <c r="AT757" s="469">
        <f t="shared" si="1668"/>
        <v>-0.28876087642711262</v>
      </c>
      <c r="AU757" s="1689">
        <f t="shared" si="1668"/>
        <v>3.8706001790556582E-2</v>
      </c>
      <c r="AV757" s="1730">
        <f t="shared" ref="AV757:BA757" si="1669">(AV755-AQ755)/AQ755</f>
        <v>-0.21860458443587236</v>
      </c>
      <c r="AW757" s="1465">
        <f t="shared" si="1669"/>
        <v>-0.15354204753199271</v>
      </c>
      <c r="AX757" s="1465">
        <f t="shared" si="1669"/>
        <v>-0.26378052663093443</v>
      </c>
      <c r="AY757" s="1868">
        <f t="shared" si="1669"/>
        <v>9.4278820449417697E-2</v>
      </c>
      <c r="AZ757" s="1689">
        <f t="shared" si="1669"/>
        <v>-0.17325364211399738</v>
      </c>
      <c r="BA757" s="471">
        <f t="shared" si="1669"/>
        <v>6.5517790063903736E-2</v>
      </c>
      <c r="BB757" s="469">
        <f t="shared" ref="BB757:BJ757" si="1670">(BB755-AW755)/AW755</f>
        <v>2.4748197942819943E-2</v>
      </c>
      <c r="BC757" s="469">
        <f t="shared" si="1670"/>
        <v>0.20463481694409041</v>
      </c>
      <c r="BD757" s="1463">
        <f t="shared" si="1670"/>
        <v>0.22953139176529033</v>
      </c>
      <c r="BE757" s="1868">
        <f t="shared" si="1670"/>
        <v>0.1129904546523762</v>
      </c>
      <c r="BF757" s="469">
        <f t="shared" si="1670"/>
        <v>0.12577726120815441</v>
      </c>
      <c r="BG757" s="469">
        <f t="shared" si="1670"/>
        <v>0.17642796409834988</v>
      </c>
      <c r="BH757" s="469">
        <f t="shared" si="1670"/>
        <v>0.19277019072735285</v>
      </c>
      <c r="BI757" s="1463">
        <f t="shared" si="1670"/>
        <v>0.16355594098927989</v>
      </c>
      <c r="BJ757" s="1868">
        <f t="shared" si="1670"/>
        <v>0.16345914953671767</v>
      </c>
      <c r="BK757" s="469">
        <f t="shared" ref="BK757:BT757" si="1671">(BK755-BF755)/BF755</f>
        <v>-0.01</v>
      </c>
      <c r="BL757" s="469">
        <f t="shared" si="1671"/>
        <v>-1.2399241704330611E-2</v>
      </c>
      <c r="BM757" s="469">
        <f t="shared" si="1671"/>
        <v>-1.4261684066890129E-2</v>
      </c>
      <c r="BN757" s="1463">
        <f t="shared" si="1671"/>
        <v>-2.5425487106282906E-2</v>
      </c>
      <c r="BO757" s="1868">
        <f t="shared" si="1671"/>
        <v>-1.4552460629331692E-2</v>
      </c>
      <c r="BP757" s="469">
        <f t="shared" si="1671"/>
        <v>5.3555835926624482E-2</v>
      </c>
      <c r="BQ757" s="469">
        <f t="shared" si="1671"/>
        <v>5.6268142964663453E-2</v>
      </c>
      <c r="BR757" s="469">
        <f t="shared" si="1671"/>
        <v>9.5314870127986909E-2</v>
      </c>
      <c r="BS757" s="1463">
        <f t="shared" si="1671"/>
        <v>-0.19269172436368795</v>
      </c>
      <c r="BT757" s="1463">
        <f t="shared" si="1671"/>
        <v>2.1383530506850611E-2</v>
      </c>
      <c r="BU757" s="469">
        <f>(BU755-BP755)/BP755</f>
        <v>-5.4641634059354278E-3</v>
      </c>
      <c r="BV757" s="469">
        <f>(BV755-BQ755)/BQ755</f>
        <v>4.752402941438609E-2</v>
      </c>
      <c r="BW757" s="469">
        <f>(BW755-BR755)/BR755</f>
        <v>4.9036660808774772E-2</v>
      </c>
      <c r="BX757" s="469">
        <f>(BX755-BS755)/BS755</f>
        <v>0.31240918153311997</v>
      </c>
      <c r="BY757" s="470">
        <f>(BY755-BT755)/BT755</f>
        <v>6.9681545812981638E-2</v>
      </c>
      <c r="BZ757" s="470">
        <f t="shared" ref="BZ757:CF757" si="1672">(BZ755-BY755)/BY755</f>
        <v>4.503539653227763E-2</v>
      </c>
      <c r="CA757" s="470">
        <f t="shared" si="1672"/>
        <v>-2.223862124051287E-2</v>
      </c>
      <c r="CB757" s="470">
        <f t="shared" si="1672"/>
        <v>-9.5943740345757936E-2</v>
      </c>
      <c r="CC757" s="470">
        <f t="shared" si="1672"/>
        <v>-9.9294972143027377E-2</v>
      </c>
      <c r="CD757" s="470">
        <f t="shared" si="1672"/>
        <v>4.6543719364209465E-2</v>
      </c>
      <c r="CE757" s="470">
        <f t="shared" si="1672"/>
        <v>4.5616852943457284E-2</v>
      </c>
      <c r="CF757" s="470">
        <f t="shared" si="1672"/>
        <v>4.4744265932648498E-2</v>
      </c>
      <c r="CG757" s="492"/>
      <c r="CH757" s="492"/>
      <c r="CI757" s="492"/>
      <c r="CJ757" s="492"/>
      <c r="CK757" s="492"/>
      <c r="CL757" s="1310" t="str">
        <f>A757</f>
        <v>% growth (y-o-y)</v>
      </c>
      <c r="CM757" s="469" t="str">
        <f>G757</f>
        <v xml:space="preserve">n/a </v>
      </c>
      <c r="CN757" s="469">
        <f>L757</f>
        <v>-0.31932043052270875</v>
      </c>
      <c r="CO757" s="469">
        <f>Q757</f>
        <v>-0.59086719137772103</v>
      </c>
      <c r="CP757" s="469">
        <f>V757</f>
        <v>2.1116117850953211</v>
      </c>
      <c r="CQ757" s="469">
        <f>AA757</f>
        <v>0.20669488693327384</v>
      </c>
      <c r="CR757" s="469">
        <f>AF757</f>
        <v>-9.5684283406415729E-2</v>
      </c>
      <c r="CS757" s="469">
        <f>AK757</f>
        <v>-7.5387913434054904E-2</v>
      </c>
      <c r="CT757" s="469">
        <f>AP757</f>
        <v>3.0955561689207753E-2</v>
      </c>
      <c r="CU757" s="469">
        <f>AU757</f>
        <v>3.8706001790556582E-2</v>
      </c>
      <c r="CV757" s="469">
        <f>AZ757</f>
        <v>-0.17325364211399738</v>
      </c>
      <c r="CW757" s="469">
        <f>BE757</f>
        <v>0.1129904546523762</v>
      </c>
      <c r="CX757" s="469">
        <f>BJ757</f>
        <v>0.16345914953671767</v>
      </c>
      <c r="CY757" s="469">
        <f>BO757</f>
        <v>-1.4552460629331692E-2</v>
      </c>
      <c r="CZ757" s="469">
        <f>BT757</f>
        <v>2.1383530506850611E-2</v>
      </c>
      <c r="DA757" s="469">
        <f t="shared" si="1660"/>
        <v>6.9681545812981638E-2</v>
      </c>
      <c r="DB757" s="469">
        <f t="shared" si="1660"/>
        <v>4.503539653227763E-2</v>
      </c>
      <c r="DC757" s="1463">
        <f t="shared" si="1660"/>
        <v>-2.223862124051287E-2</v>
      </c>
      <c r="DD757" s="492"/>
      <c r="DE757" s="492"/>
      <c r="DF757" s="962"/>
      <c r="DG757" s="962"/>
      <c r="DH757" s="469"/>
      <c r="DI757" s="3213"/>
      <c r="DJ757" s="962"/>
      <c r="DK757" s="962"/>
      <c r="DL757" s="962"/>
      <c r="DM757" s="962"/>
      <c r="DN757" s="962"/>
      <c r="DO757" s="962"/>
      <c r="DP757" s="962"/>
      <c r="DQ757" s="962"/>
      <c r="DR757" s="963"/>
      <c r="DS757" s="963"/>
      <c r="DT757" s="963"/>
    </row>
    <row r="758" spans="1:124" ht="12" customHeight="1" x14ac:dyDescent="0.25">
      <c r="A758" s="281" t="s">
        <v>2197</v>
      </c>
      <c r="B758" s="281"/>
      <c r="C758" s="565">
        <v>2.5720000000000001</v>
      </c>
      <c r="D758" s="565">
        <v>2.5939999999999999</v>
      </c>
      <c r="E758" s="565">
        <v>2.605</v>
      </c>
      <c r="F758" s="565">
        <v>2.65</v>
      </c>
      <c r="G758" s="447">
        <f>SUM(C758:F758)</f>
        <v>10.421000000000001</v>
      </c>
      <c r="H758" s="565">
        <v>2.3130000000000002</v>
      </c>
      <c r="I758" s="565">
        <v>2.343</v>
      </c>
      <c r="J758" s="565">
        <v>1.4419999999999999</v>
      </c>
      <c r="K758" s="565">
        <v>8.1000000000000003E-2</v>
      </c>
      <c r="L758" s="447">
        <f>SUM(H758:K758)</f>
        <v>6.1790000000000012</v>
      </c>
      <c r="M758" s="565">
        <v>0.156</v>
      </c>
      <c r="N758" s="565">
        <v>0.19700000000000001</v>
      </c>
      <c r="O758" s="565">
        <v>0.99199999999999999</v>
      </c>
      <c r="P758" s="565">
        <v>3.14</v>
      </c>
      <c r="Q758" s="447">
        <f>SUM(M758:P758)</f>
        <v>4.4850000000000003</v>
      </c>
      <c r="R758" s="565">
        <v>3.15</v>
      </c>
      <c r="S758" s="565">
        <v>3.198</v>
      </c>
      <c r="T758" s="565">
        <v>3.2189999999999999</v>
      </c>
      <c r="U758" s="565">
        <v>3.5</v>
      </c>
      <c r="V758" s="447">
        <f>SUM(R758:U758)</f>
        <v>13.067</v>
      </c>
      <c r="W758" s="565">
        <v>3.2559999999999998</v>
      </c>
      <c r="X758" s="565">
        <v>4.7910000000000004</v>
      </c>
      <c r="Y758" s="565">
        <v>3.51</v>
      </c>
      <c r="Z758" s="565">
        <v>3.508</v>
      </c>
      <c r="AA758" s="447">
        <f>SUM(W758:Z758)</f>
        <v>15.065000000000001</v>
      </c>
      <c r="AB758" s="563">
        <v>3.5230000000000001</v>
      </c>
      <c r="AC758" s="563">
        <v>3.4790000000000001</v>
      </c>
      <c r="AD758" s="563">
        <v>3.5259999999999998</v>
      </c>
      <c r="AE758" s="563">
        <v>3.5230000000000001</v>
      </c>
      <c r="AF758" s="455">
        <f>SUM(AB758:AE758)</f>
        <v>14.051</v>
      </c>
      <c r="AG758" s="563">
        <v>3.5630000000000002</v>
      </c>
      <c r="AH758" s="563">
        <v>3.585</v>
      </c>
      <c r="AI758" s="563">
        <v>3.645</v>
      </c>
      <c r="AJ758" s="563">
        <v>3.629</v>
      </c>
      <c r="AK758" s="455">
        <f>SUM(AG758:AJ758)</f>
        <v>14.421999999999999</v>
      </c>
      <c r="AL758" s="563">
        <v>3.6080000000000001</v>
      </c>
      <c r="AM758" s="563">
        <v>3.968</v>
      </c>
      <c r="AN758" s="674">
        <f>AM758</f>
        <v>3.968</v>
      </c>
      <c r="AO758" s="454">
        <f>AN758</f>
        <v>3.968</v>
      </c>
      <c r="AP758" s="456">
        <f>SUM(AL758:AO758)</f>
        <v>15.512</v>
      </c>
      <c r="AQ758" s="456">
        <f>+AO758</f>
        <v>3.968</v>
      </c>
      <c r="AR758" s="454">
        <f>AQ758</f>
        <v>3.968</v>
      </c>
      <c r="AS758" s="454">
        <f>AR758</f>
        <v>3.968</v>
      </c>
      <c r="AT758" s="454">
        <f>AS758</f>
        <v>3.968</v>
      </c>
      <c r="AU758" s="1693">
        <f>SUM(AQ758:AT758)</f>
        <v>15.872</v>
      </c>
      <c r="AV758" s="456">
        <f>+AT758</f>
        <v>3.968</v>
      </c>
      <c r="AW758" s="454">
        <f>AV758</f>
        <v>3.968</v>
      </c>
      <c r="AX758" s="454">
        <f>AW758</f>
        <v>3.968</v>
      </c>
      <c r="AY758" s="1666">
        <f>AX758</f>
        <v>3.968</v>
      </c>
      <c r="AZ758" s="1693">
        <f>SUM(AV758:AY758)</f>
        <v>15.872</v>
      </c>
      <c r="BA758" s="456">
        <f>+AY758</f>
        <v>3.968</v>
      </c>
      <c r="BB758" s="454">
        <f>BA758</f>
        <v>3.968</v>
      </c>
      <c r="BC758" s="454">
        <f>BB758</f>
        <v>3.968</v>
      </c>
      <c r="BD758" s="1666">
        <f>BC758</f>
        <v>3.968</v>
      </c>
      <c r="BE758" s="1864">
        <f>SUM(BA758:BD758)</f>
        <v>15.872</v>
      </c>
      <c r="BF758" s="454">
        <f>BD758</f>
        <v>3.968</v>
      </c>
      <c r="BG758" s="454">
        <f>BF758</f>
        <v>3.968</v>
      </c>
      <c r="BH758" s="454">
        <f>BG758</f>
        <v>3.968</v>
      </c>
      <c r="BI758" s="1666">
        <f>BH758</f>
        <v>3.968</v>
      </c>
      <c r="BJ758" s="1864">
        <f>SUM(BF758:BI758)</f>
        <v>15.872</v>
      </c>
      <c r="BK758" s="454">
        <f>BJ758/4</f>
        <v>3.968</v>
      </c>
      <c r="BL758" s="454">
        <f>BK758</f>
        <v>3.968</v>
      </c>
      <c r="BM758" s="454">
        <f>BL758</f>
        <v>3.968</v>
      </c>
      <c r="BN758" s="1666">
        <f>BM758</f>
        <v>3.968</v>
      </c>
      <c r="BO758" s="1864">
        <f>SUM(BK758:BN758)</f>
        <v>15.872</v>
      </c>
      <c r="BP758" s="454">
        <f>+BN758</f>
        <v>3.968</v>
      </c>
      <c r="BQ758" s="454">
        <f>BP758</f>
        <v>3.968</v>
      </c>
      <c r="BR758" s="454">
        <f>BQ758</f>
        <v>3.968</v>
      </c>
      <c r="BS758" s="1666">
        <f>BR758</f>
        <v>3.968</v>
      </c>
      <c r="BT758" s="3070">
        <f>SUM(BP758:BS758)</f>
        <v>15.872</v>
      </c>
      <c r="BU758" s="2915">
        <f>BS758</f>
        <v>3.968</v>
      </c>
      <c r="BV758" s="2915">
        <f>BU758</f>
        <v>3.968</v>
      </c>
      <c r="BW758" s="2915">
        <f>BV758</f>
        <v>3.968</v>
      </c>
      <c r="BX758" s="2915">
        <f>BW758</f>
        <v>3.968</v>
      </c>
      <c r="BY758" s="3066">
        <f>SUM(BU758:BX758)</f>
        <v>15.872</v>
      </c>
      <c r="BZ758" s="455">
        <f t="shared" ref="BZ758:CF758" si="1673">BY758</f>
        <v>15.872</v>
      </c>
      <c r="CA758" s="455">
        <f t="shared" si="1673"/>
        <v>15.872</v>
      </c>
      <c r="CB758" s="455">
        <f t="shared" si="1673"/>
        <v>15.872</v>
      </c>
      <c r="CC758" s="455">
        <f t="shared" si="1673"/>
        <v>15.872</v>
      </c>
      <c r="CD758" s="455">
        <f t="shared" si="1673"/>
        <v>15.872</v>
      </c>
      <c r="CE758" s="455">
        <f t="shared" si="1673"/>
        <v>15.872</v>
      </c>
      <c r="CF758" s="455">
        <f t="shared" si="1673"/>
        <v>15.872</v>
      </c>
      <c r="CG758" s="331"/>
      <c r="CH758" s="331"/>
      <c r="CI758" s="331"/>
      <c r="CJ758" s="331"/>
      <c r="CK758" s="331"/>
      <c r="CL758" s="520" t="str">
        <f>A758</f>
        <v>Depreciation and amortization</v>
      </c>
      <c r="CM758" s="454">
        <f>G758</f>
        <v>10.421000000000001</v>
      </c>
      <c r="CN758" s="454">
        <f>L758</f>
        <v>6.1790000000000012</v>
      </c>
      <c r="CO758" s="454">
        <f>Q758</f>
        <v>4.4850000000000003</v>
      </c>
      <c r="CP758" s="454">
        <f>V758</f>
        <v>13.067</v>
      </c>
      <c r="CQ758" s="454">
        <f>AA758</f>
        <v>15.065000000000001</v>
      </c>
      <c r="CR758" s="454">
        <f>AF758</f>
        <v>14.051</v>
      </c>
      <c r="CS758" s="454">
        <f>AK758</f>
        <v>14.421999999999999</v>
      </c>
      <c r="CT758" s="454">
        <f>AP758</f>
        <v>15.512</v>
      </c>
      <c r="CU758" s="454">
        <f>AU758</f>
        <v>15.872</v>
      </c>
      <c r="CV758" s="454">
        <f>AZ758</f>
        <v>15.872</v>
      </c>
      <c r="CW758" s="454">
        <f>BE758</f>
        <v>15.872</v>
      </c>
      <c r="CX758" s="454">
        <f>BJ758</f>
        <v>15.872</v>
      </c>
      <c r="CY758" s="454">
        <f>BO758</f>
        <v>15.872</v>
      </c>
      <c r="CZ758" s="454">
        <f>BT758</f>
        <v>15.872</v>
      </c>
      <c r="DA758" s="454">
        <f t="shared" si="1660"/>
        <v>15.872</v>
      </c>
      <c r="DB758" s="454">
        <f t="shared" si="1660"/>
        <v>15.872</v>
      </c>
      <c r="DC758" s="1666">
        <f t="shared" si="1660"/>
        <v>15.872</v>
      </c>
      <c r="DD758" s="331"/>
      <c r="DE758" s="331"/>
      <c r="DF758" s="502"/>
      <c r="DG758" s="503"/>
      <c r="DH758" s="2915"/>
      <c r="DI758" s="3213"/>
      <c r="DJ758" s="502"/>
      <c r="DK758" s="503"/>
      <c r="DL758" s="502"/>
      <c r="DM758" s="502"/>
      <c r="DN758" s="502"/>
      <c r="DO758" s="502"/>
      <c r="DP758" s="503"/>
      <c r="DQ758" s="503"/>
      <c r="DR758" s="296"/>
      <c r="DS758" s="296"/>
      <c r="DT758" s="296"/>
    </row>
    <row r="759" spans="1:124" ht="12" customHeight="1" x14ac:dyDescent="0.25">
      <c r="A759" s="465" t="s">
        <v>646</v>
      </c>
      <c r="B759" s="466"/>
      <c r="C759" s="467">
        <f t="shared" ref="C759:J759" si="1674">C758/C748</f>
        <v>8.9926925631970911E-2</v>
      </c>
      <c r="D759" s="467">
        <f t="shared" si="1674"/>
        <v>9.2454645899419041E-2</v>
      </c>
      <c r="E759" s="467">
        <f t="shared" si="1674"/>
        <v>0.10212882738071902</v>
      </c>
      <c r="F759" s="467">
        <f t="shared" si="1674"/>
        <v>0.11009098084832369</v>
      </c>
      <c r="G759" s="468">
        <f t="shared" si="1674"/>
        <v>9.8092925185436206E-2</v>
      </c>
      <c r="H759" s="467">
        <f t="shared" si="1674"/>
        <v>8.6843883757603074E-2</v>
      </c>
      <c r="I759" s="467">
        <f t="shared" si="1674"/>
        <v>8.8162251655629131E-2</v>
      </c>
      <c r="J759" s="467">
        <f t="shared" si="1674"/>
        <v>8.8109495295124032E-2</v>
      </c>
      <c r="K759" s="467" t="s">
        <v>553</v>
      </c>
      <c r="L759" s="468">
        <f>L758/L748</f>
        <v>8.8809359549269884E-2</v>
      </c>
      <c r="M759" s="467" t="s">
        <v>553</v>
      </c>
      <c r="N759" s="467" t="s">
        <v>553</v>
      </c>
      <c r="O759" s="467">
        <f t="shared" ref="O759:AU759" si="1675">O758/O748</f>
        <v>9.2133370483885951E-2</v>
      </c>
      <c r="P759" s="467">
        <f t="shared" si="1675"/>
        <v>0.14661250408553952</v>
      </c>
      <c r="Q759" s="468">
        <f t="shared" si="1675"/>
        <v>0.1393549589858315</v>
      </c>
      <c r="R759" s="467">
        <f t="shared" si="1675"/>
        <v>0.13413387838528359</v>
      </c>
      <c r="S759" s="467">
        <f t="shared" si="1675"/>
        <v>0.12557920364407443</v>
      </c>
      <c r="T759" s="467">
        <f t="shared" si="1675"/>
        <v>0.13114687309024239</v>
      </c>
      <c r="U759" s="467">
        <f t="shared" si="1675"/>
        <v>0.15133826263674494</v>
      </c>
      <c r="V759" s="468">
        <f t="shared" si="1675"/>
        <v>0.13523835151414793</v>
      </c>
      <c r="W759" s="467">
        <f t="shared" si="1675"/>
        <v>0.12798239062929917</v>
      </c>
      <c r="X759" s="467">
        <f t="shared" si="1675"/>
        <v>0.18533132180573286</v>
      </c>
      <c r="Y759" s="467">
        <f t="shared" si="1675"/>
        <v>0.14019251507768501</v>
      </c>
      <c r="Z759" s="467">
        <f t="shared" si="1675"/>
        <v>0.13666822502727133</v>
      </c>
      <c r="AA759" s="468">
        <f t="shared" si="1675"/>
        <v>0.14770042256144789</v>
      </c>
      <c r="AB759" s="467">
        <f t="shared" si="1675"/>
        <v>0.13555735118704068</v>
      </c>
      <c r="AC759" s="467">
        <f t="shared" si="1675"/>
        <v>0.13684997246479427</v>
      </c>
      <c r="AD759" s="467">
        <f t="shared" si="1675"/>
        <v>0.15072240745490298</v>
      </c>
      <c r="AE759" s="469">
        <f t="shared" si="1675"/>
        <v>0.17393236237965937</v>
      </c>
      <c r="AF759" s="470">
        <f t="shared" si="1675"/>
        <v>0.14781190826846202</v>
      </c>
      <c r="AG759" s="467">
        <f t="shared" si="1675"/>
        <v>0.16704172526957339</v>
      </c>
      <c r="AH759" s="467">
        <f t="shared" si="1675"/>
        <v>0.16204854676128916</v>
      </c>
      <c r="AI759" s="467">
        <f t="shared" si="1675"/>
        <v>0.16246211445890532</v>
      </c>
      <c r="AJ759" s="469">
        <f t="shared" si="1675"/>
        <v>0.17401937278220006</v>
      </c>
      <c r="AK759" s="470">
        <f t="shared" si="1675"/>
        <v>0.16626125451045037</v>
      </c>
      <c r="AL759" s="467">
        <f t="shared" si="1675"/>
        <v>0.16542111778460411</v>
      </c>
      <c r="AM759" s="467">
        <f t="shared" si="1675"/>
        <v>0.18343195266272189</v>
      </c>
      <c r="AN759" s="467">
        <f t="shared" si="1675"/>
        <v>0.19017055922030071</v>
      </c>
      <c r="AO759" s="469">
        <f t="shared" si="1675"/>
        <v>0.20459703973658133</v>
      </c>
      <c r="AP759" s="471">
        <f t="shared" si="1675"/>
        <v>0.18532257621319267</v>
      </c>
      <c r="AQ759" s="471">
        <f t="shared" si="1675"/>
        <v>0.18192655082297923</v>
      </c>
      <c r="AR759" s="469">
        <f t="shared" si="1675"/>
        <v>0.18717546190073661</v>
      </c>
      <c r="AS759" s="469">
        <f t="shared" si="1675"/>
        <v>0.19017055922030071</v>
      </c>
      <c r="AT759" s="469">
        <f t="shared" si="1675"/>
        <v>0.21536530498587511</v>
      </c>
      <c r="AU759" s="1689">
        <f t="shared" si="1675"/>
        <v>0.1928545892314503</v>
      </c>
      <c r="AV759" s="1730">
        <f t="shared" ref="AV759:BJ759" si="1676">AV758/AV748</f>
        <v>0.19561994712148306</v>
      </c>
      <c r="AW759" s="1465">
        <f t="shared" si="1676"/>
        <v>0.20126393752767377</v>
      </c>
      <c r="AX759" s="1465">
        <f t="shared" si="1676"/>
        <v>0.20670712958728338</v>
      </c>
      <c r="AY759" s="1868">
        <f t="shared" si="1676"/>
        <v>0.22433885936028658</v>
      </c>
      <c r="AZ759" s="1689">
        <f t="shared" si="1676"/>
        <v>0.20644246949965736</v>
      </c>
      <c r="BA759" s="471">
        <f t="shared" si="1676"/>
        <v>0.208106326724982</v>
      </c>
      <c r="BB759" s="469">
        <f t="shared" si="1676"/>
        <v>0.21641283605126213</v>
      </c>
      <c r="BC759" s="469">
        <f t="shared" si="1676"/>
        <v>0.21531992665342017</v>
      </c>
      <c r="BD759" s="1463">
        <f t="shared" si="1676"/>
        <v>0.23127717459823358</v>
      </c>
      <c r="BE759" s="1868">
        <f t="shared" si="1676"/>
        <v>0.2174610081352483</v>
      </c>
      <c r="BF759" s="469">
        <f t="shared" si="1676"/>
        <v>0.21235339461732861</v>
      </c>
      <c r="BG759" s="469">
        <f t="shared" si="1676"/>
        <v>0.21427013470421991</v>
      </c>
      <c r="BH759" s="469">
        <f t="shared" si="1676"/>
        <v>0.21318804619150514</v>
      </c>
      <c r="BI759" s="1463">
        <f t="shared" si="1676"/>
        <v>0.23361330767498342</v>
      </c>
      <c r="BJ759" s="1868">
        <f t="shared" si="1676"/>
        <v>0.21801442534047871</v>
      </c>
      <c r="BK759" s="469">
        <f t="shared" ref="BK759:BU759" si="1677">BK758/BK748</f>
        <v>0.21449837840134203</v>
      </c>
      <c r="BL759" s="469">
        <f t="shared" si="1677"/>
        <v>0.21214864822199994</v>
      </c>
      <c r="BM759" s="469">
        <f t="shared" si="1677"/>
        <v>0.2110772734569358</v>
      </c>
      <c r="BN759" s="1463">
        <f t="shared" si="1677"/>
        <v>0.2313003046286965</v>
      </c>
      <c r="BO759" s="1868">
        <f t="shared" si="1677"/>
        <v>0.21695855156996835</v>
      </c>
      <c r="BP759" s="469">
        <f t="shared" si="1677"/>
        <v>0.21237463208053664</v>
      </c>
      <c r="BQ759" s="469">
        <f t="shared" si="1677"/>
        <v>0.21004816655643554</v>
      </c>
      <c r="BR759" s="469">
        <f t="shared" si="1677"/>
        <v>0.20693850338915273</v>
      </c>
      <c r="BS759" s="1463">
        <f t="shared" si="1677"/>
        <v>0.25700033847632942</v>
      </c>
      <c r="BT759" s="1463">
        <f t="shared" si="1677"/>
        <v>0.21986632934847034</v>
      </c>
      <c r="BU759" s="469">
        <f t="shared" si="1677"/>
        <v>0.20923609071974056</v>
      </c>
      <c r="BV759" s="469">
        <f t="shared" ref="BV759:CF759" si="1678">BV758/BV748</f>
        <v>0.20694400645954245</v>
      </c>
      <c r="BW759" s="469">
        <f t="shared" si="1678"/>
        <v>0.20388029890556922</v>
      </c>
      <c r="BX759" s="469">
        <f t="shared" si="1678"/>
        <v>0.23363667134211763</v>
      </c>
      <c r="BY759" s="470">
        <f t="shared" si="1678"/>
        <v>0.21280553017143231</v>
      </c>
      <c r="BZ759" s="470">
        <f t="shared" si="1678"/>
        <v>0.21069854472419039</v>
      </c>
      <c r="CA759" s="470">
        <f t="shared" si="1678"/>
        <v>0.21069854472419039</v>
      </c>
      <c r="CB759" s="470">
        <f t="shared" si="1678"/>
        <v>0.22178794181493727</v>
      </c>
      <c r="CC759" s="470">
        <f t="shared" si="1678"/>
        <v>0.23346099138414453</v>
      </c>
      <c r="CD759" s="470">
        <f t="shared" si="1678"/>
        <v>0.22888332488641619</v>
      </c>
      <c r="CE759" s="470">
        <f t="shared" si="1678"/>
        <v>0.22439541655530998</v>
      </c>
      <c r="CF759" s="470">
        <f t="shared" si="1678"/>
        <v>0.21999550642677448</v>
      </c>
      <c r="CG759" s="492"/>
      <c r="CH759" s="492"/>
      <c r="CI759" s="492"/>
      <c r="CJ759" s="492"/>
      <c r="CK759" s="492"/>
      <c r="CL759" s="1310" t="str">
        <f>A759</f>
        <v>% of Net revenue</v>
      </c>
      <c r="CM759" s="469">
        <f>G759</f>
        <v>9.8092925185436206E-2</v>
      </c>
      <c r="CN759" s="469">
        <f>L759</f>
        <v>8.8809359549269884E-2</v>
      </c>
      <c r="CO759" s="469">
        <f>Q759</f>
        <v>0.1393549589858315</v>
      </c>
      <c r="CP759" s="469">
        <f>V759</f>
        <v>0.13523835151414793</v>
      </c>
      <c r="CQ759" s="469">
        <f>AA759</f>
        <v>0.14770042256144789</v>
      </c>
      <c r="CR759" s="469">
        <f>AF759</f>
        <v>0.14781190826846202</v>
      </c>
      <c r="CS759" s="469">
        <f>AK759</f>
        <v>0.16626125451045037</v>
      </c>
      <c r="CT759" s="469">
        <f>AP759</f>
        <v>0.18532257621319267</v>
      </c>
      <c r="CU759" s="469">
        <f>AU759</f>
        <v>0.1928545892314503</v>
      </c>
      <c r="CV759" s="469">
        <f>AZ759</f>
        <v>0.20644246949965736</v>
      </c>
      <c r="CW759" s="469">
        <f>BE759</f>
        <v>0.2174610081352483</v>
      </c>
      <c r="CX759" s="469">
        <f>BJ759</f>
        <v>0.21801442534047871</v>
      </c>
      <c r="CY759" s="469">
        <f>BO759</f>
        <v>0.21695855156996835</v>
      </c>
      <c r="CZ759" s="469">
        <f>BT759</f>
        <v>0.21986632934847034</v>
      </c>
      <c r="DA759" s="469">
        <f t="shared" si="1660"/>
        <v>0.21280553017143231</v>
      </c>
      <c r="DB759" s="469">
        <f t="shared" si="1660"/>
        <v>0.21069854472419039</v>
      </c>
      <c r="DC759" s="1463">
        <f t="shared" si="1660"/>
        <v>0.21069854472419039</v>
      </c>
      <c r="DD759" s="492"/>
      <c r="DE759" s="492"/>
      <c r="DF759" s="962"/>
      <c r="DG759" s="962"/>
      <c r="DH759" s="469"/>
      <c r="DI759" s="3213"/>
      <c r="DJ759" s="962"/>
      <c r="DK759" s="962"/>
      <c r="DL759" s="962"/>
      <c r="DM759" s="962"/>
      <c r="DN759" s="962"/>
      <c r="DO759" s="962"/>
      <c r="DP759" s="962"/>
      <c r="DQ759" s="962"/>
      <c r="DR759" s="963"/>
      <c r="DS759" s="963"/>
      <c r="DT759" s="963"/>
    </row>
    <row r="760" spans="1:124" ht="12" customHeight="1" x14ac:dyDescent="0.25">
      <c r="A760" s="281"/>
      <c r="B760" s="281"/>
      <c r="C760" s="305"/>
      <c r="D760" s="305"/>
      <c r="E760" s="305"/>
      <c r="F760" s="305"/>
      <c r="G760" s="440"/>
      <c r="H760" s="305"/>
      <c r="I760" s="305"/>
      <c r="J760" s="305"/>
      <c r="K760" s="305"/>
      <c r="L760" s="440"/>
      <c r="M760" s="305"/>
      <c r="N760" s="305"/>
      <c r="O760" s="305"/>
      <c r="P760" s="305"/>
      <c r="Q760" s="440"/>
      <c r="R760" s="305"/>
      <c r="S760" s="305"/>
      <c r="T760" s="305"/>
      <c r="U760" s="305"/>
      <c r="V760" s="440"/>
      <c r="W760" s="305"/>
      <c r="X760" s="305"/>
      <c r="Y760" s="305"/>
      <c r="Z760" s="305"/>
      <c r="AA760" s="440"/>
      <c r="AB760" s="305"/>
      <c r="AC760" s="305"/>
      <c r="AD760" s="305"/>
      <c r="AE760" s="331"/>
      <c r="AF760" s="441"/>
      <c r="AG760" s="331"/>
      <c r="AH760" s="331"/>
      <c r="AI760" s="331"/>
      <c r="AJ760" s="331"/>
      <c r="AK760" s="441"/>
      <c r="AL760" s="442"/>
      <c r="AM760" s="442"/>
      <c r="AN760" s="442"/>
      <c r="AO760" s="442"/>
      <c r="AP760" s="443"/>
      <c r="AQ760" s="443"/>
      <c r="AR760" s="331"/>
      <c r="AS760" s="331"/>
      <c r="AT760" s="331"/>
      <c r="AU760" s="349"/>
      <c r="AV760" s="443"/>
      <c r="AW760" s="331"/>
      <c r="AX760" s="331"/>
      <c r="AY760" s="1306"/>
      <c r="AZ760" s="349"/>
      <c r="BA760" s="443"/>
      <c r="BB760" s="331"/>
      <c r="BC760" s="331"/>
      <c r="BD760" s="1306"/>
      <c r="BE760" s="1306"/>
      <c r="BF760" s="331"/>
      <c r="BG760" s="331"/>
      <c r="BH760" s="331"/>
      <c r="BI760" s="1306"/>
      <c r="BJ760" s="1306"/>
      <c r="BK760" s="331"/>
      <c r="BL760" s="331"/>
      <c r="BM760" s="331"/>
      <c r="BN760" s="1306"/>
      <c r="BO760" s="1306"/>
      <c r="BP760" s="331"/>
      <c r="BQ760" s="331"/>
      <c r="BR760" s="331"/>
      <c r="BS760" s="1306"/>
      <c r="BT760" s="3217"/>
      <c r="BU760" s="2601"/>
      <c r="BV760" s="2601"/>
      <c r="BW760" s="2601"/>
      <c r="BX760" s="2601"/>
      <c r="BY760" s="3222"/>
      <c r="BZ760" s="349"/>
      <c r="CA760" s="349"/>
      <c r="CB760" s="349"/>
      <c r="CC760" s="349"/>
      <c r="CD760" s="349"/>
      <c r="CE760" s="349"/>
      <c r="CF760" s="349"/>
      <c r="CG760" s="331"/>
      <c r="CH760" s="331"/>
      <c r="CI760" s="331"/>
      <c r="CJ760" s="331"/>
      <c r="CK760" s="331"/>
      <c r="CL760" s="520"/>
      <c r="CM760" s="331"/>
      <c r="CN760" s="331"/>
      <c r="CO760" s="331"/>
      <c r="CP760" s="331"/>
      <c r="CQ760" s="331"/>
      <c r="CR760" s="331"/>
      <c r="CS760" s="331"/>
      <c r="CT760" s="331"/>
      <c r="CU760" s="331"/>
      <c r="CV760" s="331"/>
      <c r="CW760" s="331"/>
      <c r="CX760" s="331"/>
      <c r="CY760" s="331"/>
      <c r="CZ760" s="331"/>
      <c r="DA760" s="331"/>
      <c r="DB760" s="331"/>
      <c r="DC760" s="1306"/>
      <c r="DD760" s="331"/>
      <c r="DE760" s="331"/>
      <c r="DF760" s="502"/>
      <c r="DG760" s="503"/>
      <c r="DH760" s="2601"/>
      <c r="DI760" s="3213"/>
      <c r="DJ760" s="502"/>
      <c r="DK760" s="503"/>
      <c r="DL760" s="502"/>
      <c r="DM760" s="502"/>
      <c r="DN760" s="502"/>
      <c r="DO760" s="502"/>
      <c r="DP760" s="503"/>
      <c r="DQ760" s="503"/>
      <c r="DR760" s="296"/>
      <c r="DS760" s="296"/>
      <c r="DT760" s="296"/>
    </row>
    <row r="761" spans="1:124" ht="12" customHeight="1" x14ac:dyDescent="0.25">
      <c r="A761" s="2125" t="s">
        <v>1453</v>
      </c>
      <c r="B761" s="428"/>
      <c r="C761" s="502"/>
      <c r="D761" s="502"/>
      <c r="E761" s="502"/>
      <c r="F761" s="502"/>
      <c r="G761" s="534"/>
      <c r="H761" s="502"/>
      <c r="I761" s="502"/>
      <c r="J761" s="502"/>
      <c r="K761" s="502"/>
      <c r="L761" s="534"/>
      <c r="M761" s="502"/>
      <c r="N761" s="502"/>
      <c r="O761" s="502"/>
      <c r="P761" s="502"/>
      <c r="Q761" s="534"/>
      <c r="R761" s="502"/>
      <c r="S761" s="502"/>
      <c r="T761" s="502"/>
      <c r="U761" s="502"/>
      <c r="V761" s="534"/>
      <c r="W761" s="502"/>
      <c r="X761" s="502"/>
      <c r="Y761" s="502"/>
      <c r="Z761" s="502"/>
      <c r="AA761" s="534"/>
      <c r="AB761" s="502"/>
      <c r="AC761" s="502"/>
      <c r="AD761" s="502"/>
      <c r="AE761" s="502"/>
      <c r="AF761" s="534"/>
      <c r="AG761" s="502"/>
      <c r="AH761" s="502"/>
      <c r="AI761" s="502"/>
      <c r="AJ761" s="502"/>
      <c r="AK761" s="534"/>
      <c r="AL761" s="503"/>
      <c r="AM761" s="503"/>
      <c r="AN761" s="503"/>
      <c r="AO761" s="503"/>
      <c r="AP761" s="535"/>
      <c r="AQ761" s="535"/>
      <c r="AR761" s="537"/>
      <c r="AS761" s="537"/>
      <c r="AT761" s="537"/>
      <c r="AU761" s="536"/>
      <c r="AV761" s="535"/>
      <c r="AW761" s="537"/>
      <c r="AX761" s="537"/>
      <c r="AY761" s="1926"/>
      <c r="AZ761" s="536"/>
      <c r="BA761" s="535"/>
      <c r="BB761" s="537"/>
      <c r="BC761" s="537"/>
      <c r="BD761" s="1926"/>
      <c r="BE761" s="1926"/>
      <c r="BF761" s="537"/>
      <c r="BG761" s="537"/>
      <c r="BH761" s="537"/>
      <c r="BI761" s="1926"/>
      <c r="BJ761" s="1926"/>
      <c r="BK761" s="537"/>
      <c r="BL761" s="537"/>
      <c r="BM761" s="537"/>
      <c r="BN761" s="1926"/>
      <c r="BO761" s="1926"/>
      <c r="BP761" s="537"/>
      <c r="BQ761" s="537"/>
      <c r="BR761" s="537"/>
      <c r="BS761" s="1306"/>
      <c r="BT761" s="1926"/>
      <c r="BU761" s="537"/>
      <c r="BV761" s="537"/>
      <c r="BW761" s="537"/>
      <c r="BX761" s="537"/>
      <c r="BY761" s="536"/>
      <c r="BZ761" s="536"/>
      <c r="CA761" s="536"/>
      <c r="CB761" s="536"/>
      <c r="CC761" s="536"/>
      <c r="CD761" s="536"/>
      <c r="CE761" s="536"/>
      <c r="CF761" s="536"/>
      <c r="CG761" s="331"/>
      <c r="CH761" s="331"/>
      <c r="CI761" s="331"/>
      <c r="CJ761" s="331"/>
      <c r="CK761" s="331"/>
      <c r="CL761" s="2036" t="str">
        <f>A761</f>
        <v>Boomtown Biloxi (MS)</v>
      </c>
      <c r="CM761" s="503">
        <f>G761</f>
        <v>0</v>
      </c>
      <c r="CN761" s="503">
        <f>L761</f>
        <v>0</v>
      </c>
      <c r="CO761" s="503">
        <f>Q761</f>
        <v>0</v>
      </c>
      <c r="CP761" s="503">
        <f>V761</f>
        <v>0</v>
      </c>
      <c r="CQ761" s="503">
        <f>AA761</f>
        <v>0</v>
      </c>
      <c r="CR761" s="503">
        <f>AF761</f>
        <v>0</v>
      </c>
      <c r="CS761" s="503">
        <f>AK761</f>
        <v>0</v>
      </c>
      <c r="CT761" s="503">
        <f>AP761</f>
        <v>0</v>
      </c>
      <c r="CU761" s="503">
        <f>AU761</f>
        <v>0</v>
      </c>
      <c r="CV761" s="503">
        <f>AZ761</f>
        <v>0</v>
      </c>
      <c r="CW761" s="503">
        <f>BE761</f>
        <v>0</v>
      </c>
      <c r="CX761" s="503">
        <f>BJ761</f>
        <v>0</v>
      </c>
      <c r="CY761" s="503">
        <f>BO761</f>
        <v>0</v>
      </c>
      <c r="CZ761" s="503">
        <f>BT761</f>
        <v>0</v>
      </c>
      <c r="DA761" s="503">
        <f t="shared" ref="DA761:DC765" si="1679">BY761</f>
        <v>0</v>
      </c>
      <c r="DB761" s="503">
        <f t="shared" si="1679"/>
        <v>0</v>
      </c>
      <c r="DC761" s="2124">
        <f t="shared" si="1679"/>
        <v>0</v>
      </c>
      <c r="DD761" s="331"/>
      <c r="DE761" s="331"/>
      <c r="DF761" s="502"/>
      <c r="DG761" s="503"/>
      <c r="DH761" s="537"/>
      <c r="DI761" s="3213"/>
      <c r="DJ761" s="502"/>
      <c r="DK761" s="503"/>
      <c r="DL761" s="502"/>
      <c r="DM761" s="502"/>
      <c r="DN761" s="502"/>
      <c r="DO761" s="502"/>
      <c r="DP761" s="503"/>
      <c r="DQ761" s="503"/>
      <c r="DR761" s="428"/>
      <c r="DS761" s="428"/>
      <c r="DT761" s="428"/>
    </row>
    <row r="762" spans="1:124" ht="12" customHeight="1" x14ac:dyDescent="0.25">
      <c r="A762" s="281" t="s">
        <v>894</v>
      </c>
      <c r="B762" s="281"/>
      <c r="C762" s="549">
        <f>C763+(C764*C$320)</f>
        <v>1246</v>
      </c>
      <c r="D762" s="549">
        <f>D763+(D764*D$320)</f>
        <v>1215</v>
      </c>
      <c r="E762" s="549">
        <f>E763+(E764*E$320)</f>
        <v>1225</v>
      </c>
      <c r="F762" s="549">
        <f>F763+(F764*F$320)</f>
        <v>1226</v>
      </c>
      <c r="G762" s="550">
        <f>F762</f>
        <v>1226</v>
      </c>
      <c r="H762" s="549">
        <f>H763+(H764*H$320)</f>
        <v>1135</v>
      </c>
      <c r="I762" s="549">
        <f>I763+(I764*I$320)</f>
        <v>1228</v>
      </c>
      <c r="J762" s="549">
        <f>J763+(J764*J$320)</f>
        <v>818.66666666666663</v>
      </c>
      <c r="K762" s="549">
        <f>K763+(K764*K$320)</f>
        <v>0</v>
      </c>
      <c r="L762" s="550">
        <f>K762</f>
        <v>0</v>
      </c>
      <c r="M762" s="549">
        <f>M763+(M764*M$320)</f>
        <v>0</v>
      </c>
      <c r="N762" s="549">
        <f>N763+(N764*N$320)</f>
        <v>26.782608695652172</v>
      </c>
      <c r="O762" s="549">
        <f>O763+(O764*O$320)</f>
        <v>1232</v>
      </c>
      <c r="P762" s="549">
        <f>P763+(P764*P$320)</f>
        <v>1532</v>
      </c>
      <c r="Q762" s="550">
        <f>P762</f>
        <v>1532</v>
      </c>
      <c r="R762" s="549">
        <f>R763+(R764*R$320)</f>
        <v>1532</v>
      </c>
      <c r="S762" s="549">
        <f>S763+(S764*S$320)</f>
        <v>1532</v>
      </c>
      <c r="T762" s="549">
        <f>T763+(T764*T$320)</f>
        <v>1532</v>
      </c>
      <c r="U762" s="549">
        <f>U763+(U764*U$320)</f>
        <v>1532</v>
      </c>
      <c r="V762" s="550">
        <f>U762</f>
        <v>1532</v>
      </c>
      <c r="W762" s="549">
        <f>W763+(W764*W$320)</f>
        <v>1532</v>
      </c>
      <c r="X762" s="549">
        <f>X763+(X764*X$320)</f>
        <v>1532</v>
      </c>
      <c r="Y762" s="549">
        <f>Y763+(Y764*Y$320)</f>
        <v>1532</v>
      </c>
      <c r="Z762" s="549">
        <f>Z763+(Z764*Z$320)</f>
        <v>1336</v>
      </c>
      <c r="AA762" s="550">
        <f>Z762</f>
        <v>1336</v>
      </c>
      <c r="AB762" s="549">
        <f>AB763+(AB764*AB$320)</f>
        <v>1315</v>
      </c>
      <c r="AC762" s="549">
        <f>AC763+(AC764*AC$320)</f>
        <v>1335</v>
      </c>
      <c r="AD762" s="549">
        <f>AD763+(AD764*AD$320)</f>
        <v>1338</v>
      </c>
      <c r="AE762" s="551">
        <f>AE763+(AE764*AE$320)</f>
        <v>1334</v>
      </c>
      <c r="AF762" s="552">
        <f>AE762</f>
        <v>1334</v>
      </c>
      <c r="AG762" s="549">
        <f>AG763+(AG764*AG$320)</f>
        <v>1334</v>
      </c>
      <c r="AH762" s="549">
        <f>AH763+(AH764*AH$320)</f>
        <v>1334</v>
      </c>
      <c r="AI762" s="549">
        <f>AI763+(AI764*AI$320)</f>
        <v>1334</v>
      </c>
      <c r="AJ762" s="551">
        <f>AJ763+(AJ764*AJ$320)</f>
        <v>1329</v>
      </c>
      <c r="AK762" s="552">
        <f>AJ762</f>
        <v>1329</v>
      </c>
      <c r="AL762" s="549">
        <f>AL763+(AL764*AL$320)</f>
        <v>1329</v>
      </c>
      <c r="AM762" s="549">
        <f>AM763+(AM764*AM$320)</f>
        <v>1329</v>
      </c>
      <c r="AN762" s="549">
        <f>AN763+(AN764*AN$320)</f>
        <v>1329</v>
      </c>
      <c r="AO762" s="551">
        <f>AO763+(AO764*AO$320)</f>
        <v>1329</v>
      </c>
      <c r="AP762" s="553">
        <f>AO762</f>
        <v>1329</v>
      </c>
      <c r="AQ762" s="553">
        <f>AQ763+(AQ764*AQ$320)</f>
        <v>1329</v>
      </c>
      <c r="AR762" s="551">
        <f>AR763+(AR764*AR$320)</f>
        <v>1329</v>
      </c>
      <c r="AS762" s="551">
        <f>AS763+(AS764*AS$320)</f>
        <v>1329</v>
      </c>
      <c r="AT762" s="551">
        <f>AT763+(AT764*AT$320)</f>
        <v>1329</v>
      </c>
      <c r="AU762" s="1692">
        <f>AT762</f>
        <v>1329</v>
      </c>
      <c r="AV762" s="1912">
        <f>AV763+(AV764*AV$320)</f>
        <v>1329</v>
      </c>
      <c r="AW762" s="1839">
        <f>AW763+(AW764*AW$320)</f>
        <v>1329</v>
      </c>
      <c r="AX762" s="1839">
        <f>AX763+(AX764*AX$320)</f>
        <v>1329</v>
      </c>
      <c r="AY762" s="1906">
        <f>AY763+(AY764*AY$320)</f>
        <v>1329</v>
      </c>
      <c r="AZ762" s="1692">
        <f>AY762</f>
        <v>1329</v>
      </c>
      <c r="BA762" s="553">
        <f>BA763+(BA764*BA$320)</f>
        <v>1329</v>
      </c>
      <c r="BB762" s="551">
        <f>BB763+(BB764*BB$320)</f>
        <v>1329</v>
      </c>
      <c r="BC762" s="551">
        <f>BC763+(BC764*BC$320)</f>
        <v>1329</v>
      </c>
      <c r="BD762" s="1895">
        <f>BD763+(BD764*BD$320)</f>
        <v>1329</v>
      </c>
      <c r="BE762" s="1906">
        <f>BD762</f>
        <v>1329</v>
      </c>
      <c r="BF762" s="551">
        <f>BF763+(BF764*BF$320)</f>
        <v>1329</v>
      </c>
      <c r="BG762" s="551">
        <f>BG763+(BG764*BG$320)</f>
        <v>1329</v>
      </c>
      <c r="BH762" s="551">
        <f>BH763+(BH764*BH$320)</f>
        <v>1329</v>
      </c>
      <c r="BI762" s="1895">
        <f>BI763+(BI764*BI$320)</f>
        <v>1329</v>
      </c>
      <c r="BJ762" s="1906">
        <f>BI762</f>
        <v>1329</v>
      </c>
      <c r="BK762" s="551">
        <f>BK763+(BK764*BK$320)</f>
        <v>1329</v>
      </c>
      <c r="BL762" s="551">
        <f>BL763+(BL764*BL$320)</f>
        <v>1329</v>
      </c>
      <c r="BM762" s="551">
        <f>BM763+(BM764*BM$320)</f>
        <v>1329</v>
      </c>
      <c r="BN762" s="1895">
        <f>BN763+(BN764*BN$320)</f>
        <v>1329</v>
      </c>
      <c r="BO762" s="1906">
        <f>BN762</f>
        <v>1329</v>
      </c>
      <c r="BP762" s="551">
        <f>BP763+(BP764*BP$320)</f>
        <v>1329</v>
      </c>
      <c r="BQ762" s="551">
        <f>BQ763+(BQ764*BQ$320)</f>
        <v>1329</v>
      </c>
      <c r="BR762" s="551">
        <f>BR763+(BR764*BR$320)</f>
        <v>1329</v>
      </c>
      <c r="BS762" s="1895">
        <f>BS763+(BS764*BS$320)</f>
        <v>1329</v>
      </c>
      <c r="BT762" s="3218">
        <f>BS762</f>
        <v>1329</v>
      </c>
      <c r="BU762" s="3297">
        <f>BU763+(BU764*BU$320)</f>
        <v>1329</v>
      </c>
      <c r="BV762" s="3297">
        <f>BV763+(BV764*BV$320)</f>
        <v>1329</v>
      </c>
      <c r="BW762" s="3297">
        <f>BW763+(BW764*BW$320)</f>
        <v>1329</v>
      </c>
      <c r="BX762" s="3297">
        <f>BX763+(BX764*BX$320)</f>
        <v>1329</v>
      </c>
      <c r="BY762" s="3234">
        <f>BX762</f>
        <v>1329</v>
      </c>
      <c r="BZ762" s="552">
        <f t="shared" ref="BZ762:CF762" si="1680">BZ763+(BZ764*BZ$320)</f>
        <v>1329</v>
      </c>
      <c r="CA762" s="552">
        <f t="shared" si="1680"/>
        <v>1329</v>
      </c>
      <c r="CB762" s="552">
        <f t="shared" si="1680"/>
        <v>1329</v>
      </c>
      <c r="CC762" s="552">
        <f t="shared" si="1680"/>
        <v>1329</v>
      </c>
      <c r="CD762" s="552">
        <f t="shared" si="1680"/>
        <v>1329</v>
      </c>
      <c r="CE762" s="552">
        <f t="shared" si="1680"/>
        <v>1329</v>
      </c>
      <c r="CF762" s="552">
        <f t="shared" si="1680"/>
        <v>1329</v>
      </c>
      <c r="CG762" s="331"/>
      <c r="CH762" s="331"/>
      <c r="CI762" s="331"/>
      <c r="CJ762" s="331"/>
      <c r="CK762" s="331"/>
      <c r="CL762" s="520" t="str">
        <f>A762</f>
        <v>Positions</v>
      </c>
      <c r="CM762" s="551">
        <f>G762</f>
        <v>1226</v>
      </c>
      <c r="CN762" s="551">
        <f>L762</f>
        <v>0</v>
      </c>
      <c r="CO762" s="551">
        <f>Q762</f>
        <v>1532</v>
      </c>
      <c r="CP762" s="551">
        <f>V762</f>
        <v>1532</v>
      </c>
      <c r="CQ762" s="551">
        <f>AA762</f>
        <v>1336</v>
      </c>
      <c r="CR762" s="551">
        <f>AF762</f>
        <v>1334</v>
      </c>
      <c r="CS762" s="551">
        <f>AK762</f>
        <v>1329</v>
      </c>
      <c r="CT762" s="551">
        <f>AP762</f>
        <v>1329</v>
      </c>
      <c r="CU762" s="551">
        <f>AU762</f>
        <v>1329</v>
      </c>
      <c r="CV762" s="551">
        <f>AZ762</f>
        <v>1329</v>
      </c>
      <c r="CW762" s="551">
        <f>BE762</f>
        <v>1329</v>
      </c>
      <c r="CX762" s="551">
        <f>BJ762</f>
        <v>1329</v>
      </c>
      <c r="CY762" s="551">
        <f>BO762</f>
        <v>1329</v>
      </c>
      <c r="CZ762" s="551">
        <f>BT762</f>
        <v>1329</v>
      </c>
      <c r="DA762" s="551">
        <f t="shared" si="1679"/>
        <v>1329</v>
      </c>
      <c r="DB762" s="551">
        <f t="shared" si="1679"/>
        <v>1329</v>
      </c>
      <c r="DC762" s="1895">
        <f t="shared" si="1679"/>
        <v>1329</v>
      </c>
      <c r="DD762" s="331"/>
      <c r="DE762" s="331"/>
      <c r="DF762" s="502"/>
      <c r="DG762" s="503"/>
      <c r="DH762" s="3297"/>
      <c r="DI762" s="3213"/>
      <c r="DJ762" s="502"/>
      <c r="DK762" s="503"/>
      <c r="DL762" s="502"/>
      <c r="DM762" s="502"/>
      <c r="DN762" s="502"/>
      <c r="DO762" s="502"/>
      <c r="DP762" s="503"/>
      <c r="DQ762" s="503"/>
      <c r="DR762" s="296"/>
      <c r="DS762" s="296"/>
      <c r="DT762" s="296"/>
    </row>
    <row r="763" spans="1:124" ht="12" customHeight="1" x14ac:dyDescent="0.25">
      <c r="A763" s="281" t="s">
        <v>585</v>
      </c>
      <c r="B763" s="281"/>
      <c r="C763" s="554">
        <v>1120</v>
      </c>
      <c r="D763" s="554">
        <v>1089</v>
      </c>
      <c r="E763" s="554">
        <v>1099</v>
      </c>
      <c r="F763" s="554">
        <v>1100</v>
      </c>
      <c r="G763" s="550">
        <f>F763</f>
        <v>1100</v>
      </c>
      <c r="H763" s="554">
        <v>1009</v>
      </c>
      <c r="I763" s="554">
        <v>1096</v>
      </c>
      <c r="J763" s="555">
        <f>1096/3*2</f>
        <v>730.66666666666663</v>
      </c>
      <c r="K763" s="555">
        <v>0</v>
      </c>
      <c r="L763" s="552">
        <f>K763</f>
        <v>0</v>
      </c>
      <c r="M763" s="555">
        <v>0</v>
      </c>
      <c r="N763" s="555">
        <f>1100*(2/92)</f>
        <v>23.913043478260867</v>
      </c>
      <c r="O763" s="555">
        <v>1100</v>
      </c>
      <c r="P763" s="554">
        <v>1400</v>
      </c>
      <c r="Q763" s="550">
        <f>P763</f>
        <v>1400</v>
      </c>
      <c r="R763" s="554">
        <v>1400</v>
      </c>
      <c r="S763" s="554">
        <v>1400</v>
      </c>
      <c r="T763" s="554">
        <v>1400</v>
      </c>
      <c r="U763" s="554">
        <v>1400</v>
      </c>
      <c r="V763" s="550">
        <f>U763</f>
        <v>1400</v>
      </c>
      <c r="W763" s="554">
        <v>1400</v>
      </c>
      <c r="X763" s="554">
        <v>1400</v>
      </c>
      <c r="Y763" s="554">
        <v>1400</v>
      </c>
      <c r="Z763" s="554">
        <v>1228</v>
      </c>
      <c r="AA763" s="550">
        <f>Z763</f>
        <v>1228</v>
      </c>
      <c r="AB763" s="555">
        <v>1201</v>
      </c>
      <c r="AC763" s="555">
        <v>1215</v>
      </c>
      <c r="AD763" s="555">
        <v>1218</v>
      </c>
      <c r="AE763" s="555">
        <v>1214</v>
      </c>
      <c r="AF763" s="552">
        <f>AE763</f>
        <v>1214</v>
      </c>
      <c r="AG763" s="551">
        <f>AE763</f>
        <v>1214</v>
      </c>
      <c r="AH763" s="551">
        <f>AG763</f>
        <v>1214</v>
      </c>
      <c r="AI763" s="551">
        <f>AH763</f>
        <v>1214</v>
      </c>
      <c r="AJ763" s="555">
        <v>1209</v>
      </c>
      <c r="AK763" s="552">
        <f>AJ763</f>
        <v>1209</v>
      </c>
      <c r="AL763" s="551">
        <f>AK763</f>
        <v>1209</v>
      </c>
      <c r="AM763" s="551">
        <f>AL763</f>
        <v>1209</v>
      </c>
      <c r="AN763" s="551">
        <f>AM763</f>
        <v>1209</v>
      </c>
      <c r="AO763" s="551">
        <f>AN763</f>
        <v>1209</v>
      </c>
      <c r="AP763" s="553">
        <f>AO763</f>
        <v>1209</v>
      </c>
      <c r="AQ763" s="553">
        <f t="shared" ref="AQ763:AT764" si="1681">AP763</f>
        <v>1209</v>
      </c>
      <c r="AR763" s="551">
        <f t="shared" si="1681"/>
        <v>1209</v>
      </c>
      <c r="AS763" s="551">
        <f t="shared" si="1681"/>
        <v>1209</v>
      </c>
      <c r="AT763" s="551">
        <f t="shared" si="1681"/>
        <v>1209</v>
      </c>
      <c r="AU763" s="1692">
        <f>AT763</f>
        <v>1209</v>
      </c>
      <c r="AV763" s="1912">
        <f t="shared" ref="AV763:AY764" si="1682">AU763</f>
        <v>1209</v>
      </c>
      <c r="AW763" s="1839">
        <f t="shared" si="1682"/>
        <v>1209</v>
      </c>
      <c r="AX763" s="1839">
        <f t="shared" si="1682"/>
        <v>1209</v>
      </c>
      <c r="AY763" s="1906">
        <f t="shared" si="1682"/>
        <v>1209</v>
      </c>
      <c r="AZ763" s="1692">
        <f>AY763</f>
        <v>1209</v>
      </c>
      <c r="BA763" s="553">
        <f t="shared" ref="BA763:BD764" si="1683">AZ763</f>
        <v>1209</v>
      </c>
      <c r="BB763" s="551">
        <f>BA763</f>
        <v>1209</v>
      </c>
      <c r="BC763" s="551">
        <f t="shared" si="1683"/>
        <v>1209</v>
      </c>
      <c r="BD763" s="1895">
        <f t="shared" si="1683"/>
        <v>1209</v>
      </c>
      <c r="BE763" s="1906">
        <f>BD763</f>
        <v>1209</v>
      </c>
      <c r="BF763" s="551">
        <f t="shared" ref="BF763:BI764" si="1684">BE763</f>
        <v>1209</v>
      </c>
      <c r="BG763" s="551">
        <f t="shared" si="1684"/>
        <v>1209</v>
      </c>
      <c r="BH763" s="551">
        <f t="shared" si="1684"/>
        <v>1209</v>
      </c>
      <c r="BI763" s="1895">
        <f t="shared" si="1684"/>
        <v>1209</v>
      </c>
      <c r="BJ763" s="1906">
        <f>BI763</f>
        <v>1209</v>
      </c>
      <c r="BK763" s="551">
        <f t="shared" ref="BK763:BN764" si="1685">BJ763</f>
        <v>1209</v>
      </c>
      <c r="BL763" s="551">
        <f>BK763</f>
        <v>1209</v>
      </c>
      <c r="BM763" s="551">
        <f t="shared" si="1685"/>
        <v>1209</v>
      </c>
      <c r="BN763" s="1895">
        <f t="shared" si="1685"/>
        <v>1209</v>
      </c>
      <c r="BO763" s="1906">
        <f>BN763</f>
        <v>1209</v>
      </c>
      <c r="BP763" s="551">
        <f t="shared" ref="BP763:BS764" si="1686">BO763</f>
        <v>1209</v>
      </c>
      <c r="BQ763" s="551">
        <f t="shared" si="1686"/>
        <v>1209</v>
      </c>
      <c r="BR763" s="551">
        <f t="shared" si="1686"/>
        <v>1209</v>
      </c>
      <c r="BS763" s="1895">
        <f t="shared" si="1686"/>
        <v>1209</v>
      </c>
      <c r="BT763" s="3218">
        <f>BS763</f>
        <v>1209</v>
      </c>
      <c r="BU763" s="3297">
        <f t="shared" ref="BU763:BX764" si="1687">BT763</f>
        <v>1209</v>
      </c>
      <c r="BV763" s="3297">
        <f t="shared" si="1687"/>
        <v>1209</v>
      </c>
      <c r="BW763" s="3297">
        <f t="shared" si="1687"/>
        <v>1209</v>
      </c>
      <c r="BX763" s="3297">
        <f t="shared" si="1687"/>
        <v>1209</v>
      </c>
      <c r="BY763" s="3234">
        <f>BX763</f>
        <v>1209</v>
      </c>
      <c r="BZ763" s="552">
        <f>BY763</f>
        <v>1209</v>
      </c>
      <c r="CA763" s="552">
        <f>BZ763</f>
        <v>1209</v>
      </c>
      <c r="CB763" s="552">
        <f t="shared" ref="CB763:CF764" si="1688">CA763</f>
        <v>1209</v>
      </c>
      <c r="CC763" s="552">
        <f t="shared" si="1688"/>
        <v>1209</v>
      </c>
      <c r="CD763" s="552">
        <f t="shared" si="1688"/>
        <v>1209</v>
      </c>
      <c r="CE763" s="552">
        <f t="shared" si="1688"/>
        <v>1209</v>
      </c>
      <c r="CF763" s="552">
        <f t="shared" si="1688"/>
        <v>1209</v>
      </c>
      <c r="CG763" s="331"/>
      <c r="CH763" s="331"/>
      <c r="CI763" s="331"/>
      <c r="CJ763" s="331"/>
      <c r="CK763" s="331"/>
      <c r="CL763" s="520" t="str">
        <f>A763</f>
        <v>Slots</v>
      </c>
      <c r="CM763" s="551">
        <f>G763</f>
        <v>1100</v>
      </c>
      <c r="CN763" s="551">
        <f>L763</f>
        <v>0</v>
      </c>
      <c r="CO763" s="551">
        <f>Q763</f>
        <v>1400</v>
      </c>
      <c r="CP763" s="551">
        <f>V763</f>
        <v>1400</v>
      </c>
      <c r="CQ763" s="551">
        <f>AA763</f>
        <v>1228</v>
      </c>
      <c r="CR763" s="551">
        <f>AF763</f>
        <v>1214</v>
      </c>
      <c r="CS763" s="551">
        <f>AK763</f>
        <v>1209</v>
      </c>
      <c r="CT763" s="551">
        <f>AP763</f>
        <v>1209</v>
      </c>
      <c r="CU763" s="551">
        <f>AU763</f>
        <v>1209</v>
      </c>
      <c r="CV763" s="551">
        <f>AZ763</f>
        <v>1209</v>
      </c>
      <c r="CW763" s="551">
        <f>BE763</f>
        <v>1209</v>
      </c>
      <c r="CX763" s="551">
        <f>BJ763</f>
        <v>1209</v>
      </c>
      <c r="CY763" s="551">
        <f>BO763</f>
        <v>1209</v>
      </c>
      <c r="CZ763" s="551">
        <f>BT763</f>
        <v>1209</v>
      </c>
      <c r="DA763" s="551">
        <f t="shared" si="1679"/>
        <v>1209</v>
      </c>
      <c r="DB763" s="551">
        <f t="shared" si="1679"/>
        <v>1209</v>
      </c>
      <c r="DC763" s="1895">
        <f t="shared" si="1679"/>
        <v>1209</v>
      </c>
      <c r="DD763" s="331"/>
      <c r="DE763" s="331"/>
      <c r="DF763" s="502"/>
      <c r="DG763" s="503"/>
      <c r="DH763" s="3297"/>
      <c r="DI763" s="3213"/>
      <c r="DJ763" s="502"/>
      <c r="DK763" s="503"/>
      <c r="DL763" s="502"/>
      <c r="DM763" s="502"/>
      <c r="DN763" s="502"/>
      <c r="DO763" s="502"/>
      <c r="DP763" s="503"/>
      <c r="DQ763" s="503"/>
      <c r="DR763" s="296"/>
      <c r="DS763" s="296"/>
      <c r="DT763" s="296"/>
    </row>
    <row r="764" spans="1:124" ht="12" customHeight="1" x14ac:dyDescent="0.25">
      <c r="A764" s="281" t="s">
        <v>584</v>
      </c>
      <c r="B764" s="281"/>
      <c r="C764" s="554">
        <v>21</v>
      </c>
      <c r="D764" s="554">
        <v>21</v>
      </c>
      <c r="E764" s="554">
        <v>21</v>
      </c>
      <c r="F764" s="554">
        <v>21</v>
      </c>
      <c r="G764" s="550">
        <f>F764</f>
        <v>21</v>
      </c>
      <c r="H764" s="554">
        <v>21</v>
      </c>
      <c r="I764" s="554">
        <v>22</v>
      </c>
      <c r="J764" s="555">
        <f>22/3*2</f>
        <v>14.666666666666666</v>
      </c>
      <c r="K764" s="555">
        <v>0</v>
      </c>
      <c r="L764" s="552">
        <f>K764</f>
        <v>0</v>
      </c>
      <c r="M764" s="555">
        <v>0</v>
      </c>
      <c r="N764" s="555">
        <f>22*(2/92)</f>
        <v>0.47826086956521741</v>
      </c>
      <c r="O764" s="555">
        <v>22</v>
      </c>
      <c r="P764" s="554">
        <v>22</v>
      </c>
      <c r="Q764" s="550">
        <f>P764</f>
        <v>22</v>
      </c>
      <c r="R764" s="554">
        <v>22</v>
      </c>
      <c r="S764" s="554">
        <v>22</v>
      </c>
      <c r="T764" s="554">
        <v>22</v>
      </c>
      <c r="U764" s="554">
        <v>22</v>
      </c>
      <c r="V764" s="550">
        <f>U764</f>
        <v>22</v>
      </c>
      <c r="W764" s="554">
        <v>22</v>
      </c>
      <c r="X764" s="554">
        <v>22</v>
      </c>
      <c r="Y764" s="554">
        <v>22</v>
      </c>
      <c r="Z764" s="554">
        <v>18</v>
      </c>
      <c r="AA764" s="550">
        <f>Z764</f>
        <v>18</v>
      </c>
      <c r="AB764" s="555">
        <v>19</v>
      </c>
      <c r="AC764" s="555">
        <v>20</v>
      </c>
      <c r="AD764" s="555">
        <v>20</v>
      </c>
      <c r="AE764" s="555">
        <v>20</v>
      </c>
      <c r="AF764" s="552">
        <f>AE764</f>
        <v>20</v>
      </c>
      <c r="AG764" s="551">
        <f>AE764</f>
        <v>20</v>
      </c>
      <c r="AH764" s="551">
        <f>AG764</f>
        <v>20</v>
      </c>
      <c r="AI764" s="551">
        <f>AH764</f>
        <v>20</v>
      </c>
      <c r="AJ764" s="555">
        <v>20</v>
      </c>
      <c r="AK764" s="552">
        <f>AJ764</f>
        <v>20</v>
      </c>
      <c r="AL764" s="551">
        <f>AJ764</f>
        <v>20</v>
      </c>
      <c r="AM764" s="551">
        <f>AL764</f>
        <v>20</v>
      </c>
      <c r="AN764" s="551">
        <f>AM764</f>
        <v>20</v>
      </c>
      <c r="AO764" s="551">
        <f>AN764</f>
        <v>20</v>
      </c>
      <c r="AP764" s="553">
        <f>AO764</f>
        <v>20</v>
      </c>
      <c r="AQ764" s="553">
        <f t="shared" si="1681"/>
        <v>20</v>
      </c>
      <c r="AR764" s="551">
        <f t="shared" si="1681"/>
        <v>20</v>
      </c>
      <c r="AS764" s="551">
        <f t="shared" si="1681"/>
        <v>20</v>
      </c>
      <c r="AT764" s="551">
        <f t="shared" si="1681"/>
        <v>20</v>
      </c>
      <c r="AU764" s="1692">
        <f>AT764</f>
        <v>20</v>
      </c>
      <c r="AV764" s="1912">
        <f t="shared" si="1682"/>
        <v>20</v>
      </c>
      <c r="AW764" s="1839">
        <f t="shared" si="1682"/>
        <v>20</v>
      </c>
      <c r="AX764" s="1839">
        <f t="shared" si="1682"/>
        <v>20</v>
      </c>
      <c r="AY764" s="1906">
        <f t="shared" si="1682"/>
        <v>20</v>
      </c>
      <c r="AZ764" s="1692">
        <f>AY764</f>
        <v>20</v>
      </c>
      <c r="BA764" s="553">
        <f t="shared" si="1683"/>
        <v>20</v>
      </c>
      <c r="BB764" s="551">
        <f>BA764</f>
        <v>20</v>
      </c>
      <c r="BC764" s="551">
        <f t="shared" si="1683"/>
        <v>20</v>
      </c>
      <c r="BD764" s="1895">
        <f t="shared" si="1683"/>
        <v>20</v>
      </c>
      <c r="BE764" s="1906">
        <f>BD764</f>
        <v>20</v>
      </c>
      <c r="BF764" s="551">
        <f t="shared" si="1684"/>
        <v>20</v>
      </c>
      <c r="BG764" s="551">
        <f t="shared" si="1684"/>
        <v>20</v>
      </c>
      <c r="BH764" s="551">
        <f t="shared" si="1684"/>
        <v>20</v>
      </c>
      <c r="BI764" s="1895">
        <f t="shared" si="1684"/>
        <v>20</v>
      </c>
      <c r="BJ764" s="1906">
        <f>BI764</f>
        <v>20</v>
      </c>
      <c r="BK764" s="551">
        <f t="shared" si="1685"/>
        <v>20</v>
      </c>
      <c r="BL764" s="551">
        <f>BK764</f>
        <v>20</v>
      </c>
      <c r="BM764" s="551">
        <f t="shared" si="1685"/>
        <v>20</v>
      </c>
      <c r="BN764" s="1895">
        <f t="shared" si="1685"/>
        <v>20</v>
      </c>
      <c r="BO764" s="1906">
        <f>BN764</f>
        <v>20</v>
      </c>
      <c r="BP764" s="551">
        <f t="shared" si="1686"/>
        <v>20</v>
      </c>
      <c r="BQ764" s="551">
        <f t="shared" si="1686"/>
        <v>20</v>
      </c>
      <c r="BR764" s="551">
        <f t="shared" si="1686"/>
        <v>20</v>
      </c>
      <c r="BS764" s="1895">
        <f t="shared" si="1686"/>
        <v>20</v>
      </c>
      <c r="BT764" s="3218">
        <f>BS764</f>
        <v>20</v>
      </c>
      <c r="BU764" s="3297">
        <f t="shared" si="1687"/>
        <v>20</v>
      </c>
      <c r="BV764" s="3297">
        <f t="shared" si="1687"/>
        <v>20</v>
      </c>
      <c r="BW764" s="3297">
        <f t="shared" si="1687"/>
        <v>20</v>
      </c>
      <c r="BX764" s="3297">
        <f t="shared" si="1687"/>
        <v>20</v>
      </c>
      <c r="BY764" s="3234">
        <f>BX764</f>
        <v>20</v>
      </c>
      <c r="BZ764" s="552">
        <f>BY764</f>
        <v>20</v>
      </c>
      <c r="CA764" s="552">
        <f>BZ764</f>
        <v>20</v>
      </c>
      <c r="CB764" s="552">
        <f t="shared" si="1688"/>
        <v>20</v>
      </c>
      <c r="CC764" s="552">
        <f t="shared" si="1688"/>
        <v>20</v>
      </c>
      <c r="CD764" s="552">
        <f t="shared" si="1688"/>
        <v>20</v>
      </c>
      <c r="CE764" s="552">
        <f t="shared" si="1688"/>
        <v>20</v>
      </c>
      <c r="CF764" s="552">
        <f t="shared" si="1688"/>
        <v>20</v>
      </c>
      <c r="CG764" s="331"/>
      <c r="CH764" s="331"/>
      <c r="CI764" s="331"/>
      <c r="CJ764" s="331"/>
      <c r="CK764" s="331"/>
      <c r="CL764" s="520" t="str">
        <f>A764</f>
        <v>Tables</v>
      </c>
      <c r="CM764" s="551">
        <f>G764</f>
        <v>21</v>
      </c>
      <c r="CN764" s="551">
        <f>L764</f>
        <v>0</v>
      </c>
      <c r="CO764" s="551">
        <f>Q764</f>
        <v>22</v>
      </c>
      <c r="CP764" s="551">
        <f>V764</f>
        <v>22</v>
      </c>
      <c r="CQ764" s="551">
        <f>AA764</f>
        <v>18</v>
      </c>
      <c r="CR764" s="551">
        <f>AF764</f>
        <v>20</v>
      </c>
      <c r="CS764" s="551">
        <f>AK764</f>
        <v>20</v>
      </c>
      <c r="CT764" s="551">
        <f>AP764</f>
        <v>20</v>
      </c>
      <c r="CU764" s="551">
        <f>AU764</f>
        <v>20</v>
      </c>
      <c r="CV764" s="551">
        <f>AZ764</f>
        <v>20</v>
      </c>
      <c r="CW764" s="551">
        <f>BE764</f>
        <v>20</v>
      </c>
      <c r="CX764" s="551">
        <f>BJ764</f>
        <v>20</v>
      </c>
      <c r="CY764" s="551">
        <f>BO764</f>
        <v>20</v>
      </c>
      <c r="CZ764" s="551">
        <f>BT764</f>
        <v>20</v>
      </c>
      <c r="DA764" s="551">
        <f t="shared" si="1679"/>
        <v>20</v>
      </c>
      <c r="DB764" s="551">
        <f t="shared" si="1679"/>
        <v>20</v>
      </c>
      <c r="DC764" s="1895">
        <f t="shared" si="1679"/>
        <v>20</v>
      </c>
      <c r="DD764" s="331"/>
      <c r="DE764" s="331"/>
      <c r="DF764" s="502"/>
      <c r="DG764" s="503"/>
      <c r="DH764" s="3297"/>
      <c r="DI764" s="3213"/>
      <c r="DJ764" s="502"/>
      <c r="DK764" s="503"/>
      <c r="DL764" s="502"/>
      <c r="DM764" s="502"/>
      <c r="DN764" s="502"/>
      <c r="DO764" s="502"/>
      <c r="DP764" s="503"/>
      <c r="DQ764" s="503"/>
      <c r="DR764" s="296"/>
      <c r="DS764" s="296"/>
      <c r="DT764" s="296"/>
    </row>
    <row r="765" spans="1:124" ht="12" customHeight="1" x14ac:dyDescent="0.25">
      <c r="A765" s="511" t="s">
        <v>2111</v>
      </c>
      <c r="B765" s="281"/>
      <c r="C765" s="554">
        <v>1245</v>
      </c>
      <c r="D765" s="549">
        <f>AVERAGE(C762:D762)</f>
        <v>1230.5</v>
      </c>
      <c r="E765" s="549">
        <f>AVERAGE(D762:E762)</f>
        <v>1220</v>
      </c>
      <c r="F765" s="549">
        <f>AVERAGE(E762:F762)</f>
        <v>1225.5</v>
      </c>
      <c r="G765" s="550">
        <f>AVERAGE(C765:F765)</f>
        <v>1230.25</v>
      </c>
      <c r="H765" s="549">
        <f>AVERAGE(G762:H762)</f>
        <v>1180.5</v>
      </c>
      <c r="I765" s="549">
        <f>AVERAGE(H762:I762)</f>
        <v>1181.5</v>
      </c>
      <c r="J765" s="551">
        <f>AVERAGE(I762:J762)</f>
        <v>1023.3333333333333</v>
      </c>
      <c r="K765" s="555">
        <v>0</v>
      </c>
      <c r="L765" s="552">
        <f>AVERAGE(H765:K765)</f>
        <v>846.33333333333326</v>
      </c>
      <c r="M765" s="551">
        <f>AVERAGE(L762:M762)</f>
        <v>0</v>
      </c>
      <c r="N765" s="551">
        <f>N762</f>
        <v>26.782608695652172</v>
      </c>
      <c r="O765" s="551">
        <f>O762</f>
        <v>1232</v>
      </c>
      <c r="P765" s="549">
        <f>AVERAGE(O762:P762)</f>
        <v>1382</v>
      </c>
      <c r="Q765" s="550">
        <f>AVERAGE(M765:P765)</f>
        <v>660.195652173913</v>
      </c>
      <c r="R765" s="549">
        <f>AVERAGE(Q762:R762)</f>
        <v>1532</v>
      </c>
      <c r="S765" s="549">
        <f>AVERAGE(R762:S762)</f>
        <v>1532</v>
      </c>
      <c r="T765" s="549">
        <f>AVERAGE(S762:T762)</f>
        <v>1532</v>
      </c>
      <c r="U765" s="549">
        <f>AVERAGE(T762:U762)</f>
        <v>1532</v>
      </c>
      <c r="V765" s="550">
        <f>AVERAGE(R765:U765)</f>
        <v>1532</v>
      </c>
      <c r="W765" s="549">
        <f>AVERAGE(V762:W762)</f>
        <v>1532</v>
      </c>
      <c r="X765" s="549">
        <f>AVERAGE(W762:X762)</f>
        <v>1532</v>
      </c>
      <c r="Y765" s="549">
        <f>AVERAGE(X762:Y762)</f>
        <v>1532</v>
      </c>
      <c r="Z765" s="549">
        <f>AVERAGE(Y762:Z762)</f>
        <v>1434</v>
      </c>
      <c r="AA765" s="550">
        <f>AVERAGE(W765:Z765)</f>
        <v>1507.5</v>
      </c>
      <c r="AB765" s="549">
        <f>AVERAGE(AA762:AB762)</f>
        <v>1325.5</v>
      </c>
      <c r="AC765" s="549">
        <f>AVERAGE(AB762:AC762)</f>
        <v>1325</v>
      </c>
      <c r="AD765" s="549">
        <f>AVERAGE(AC762:AD762)</f>
        <v>1336.5</v>
      </c>
      <c r="AE765" s="551">
        <f>AVERAGE(AD762:AE762)</f>
        <v>1336</v>
      </c>
      <c r="AF765" s="552">
        <f>AVERAGE(AB765:AE765)</f>
        <v>1330.75</v>
      </c>
      <c r="AG765" s="549">
        <f>AVERAGE(AF762:AG762)</f>
        <v>1334</v>
      </c>
      <c r="AH765" s="549">
        <f>AVERAGE(AG762:AH762)</f>
        <v>1334</v>
      </c>
      <c r="AI765" s="549">
        <f>AVERAGE(AH762:AI762)</f>
        <v>1334</v>
      </c>
      <c r="AJ765" s="551">
        <f>AVERAGE(AI762:AJ762)</f>
        <v>1331.5</v>
      </c>
      <c r="AK765" s="552">
        <f>AVERAGE(AG765:AJ765)</f>
        <v>1333.375</v>
      </c>
      <c r="AL765" s="549">
        <f>AVERAGE(AK762:AL762)</f>
        <v>1329</v>
      </c>
      <c r="AM765" s="549">
        <f>AVERAGE(AL762:AM762)</f>
        <v>1329</v>
      </c>
      <c r="AN765" s="549">
        <f>AVERAGE(AM762:AN762)</f>
        <v>1329</v>
      </c>
      <c r="AO765" s="551">
        <f>AVERAGE(AN762:AO762)</f>
        <v>1329</v>
      </c>
      <c r="AP765" s="553">
        <f>AVERAGE(AL765:AO765)</f>
        <v>1329</v>
      </c>
      <c r="AQ765" s="553">
        <f>AVERAGE(AP762:AQ762)</f>
        <v>1329</v>
      </c>
      <c r="AR765" s="551">
        <f>AVERAGE(AQ762:AR762)</f>
        <v>1329</v>
      </c>
      <c r="AS765" s="551">
        <f>AVERAGE(AR762:AS762)</f>
        <v>1329</v>
      </c>
      <c r="AT765" s="551">
        <f>AVERAGE(AS762:AT762)</f>
        <v>1329</v>
      </c>
      <c r="AU765" s="1692">
        <f>AVERAGE(AQ765:AT765)</f>
        <v>1329</v>
      </c>
      <c r="AV765" s="1912">
        <f>AVERAGE(AU762:AV762)</f>
        <v>1329</v>
      </c>
      <c r="AW765" s="1839">
        <f>AVERAGE(AV762:AW762)</f>
        <v>1329</v>
      </c>
      <c r="AX765" s="1839">
        <f>AVERAGE(AW762:AX762)</f>
        <v>1329</v>
      </c>
      <c r="AY765" s="1906">
        <f>AVERAGE(AX762:AY762)</f>
        <v>1329</v>
      </c>
      <c r="AZ765" s="1692">
        <f>AVERAGE(AV765:AY765)</f>
        <v>1329</v>
      </c>
      <c r="BA765" s="553">
        <f>AVERAGE(AZ762:BA762)</f>
        <v>1329</v>
      </c>
      <c r="BB765" s="551">
        <f>AVERAGE(BA762:BB762)</f>
        <v>1329</v>
      </c>
      <c r="BC765" s="551">
        <f>AVERAGE(BB762:BC762)</f>
        <v>1329</v>
      </c>
      <c r="BD765" s="1895">
        <f>AVERAGE(BC762:BD762)</f>
        <v>1329</v>
      </c>
      <c r="BE765" s="1906">
        <f>AVERAGE(BA765:BD765)</f>
        <v>1329</v>
      </c>
      <c r="BF765" s="551">
        <f>AVERAGE(BE762:BF762)</f>
        <v>1329</v>
      </c>
      <c r="BG765" s="551">
        <f>AVERAGE(BF762:BG762)</f>
        <v>1329</v>
      </c>
      <c r="BH765" s="551">
        <f>AVERAGE(BG762:BH762)</f>
        <v>1329</v>
      </c>
      <c r="BI765" s="1895">
        <f>AVERAGE(BH762:BI762)</f>
        <v>1329</v>
      </c>
      <c r="BJ765" s="1906">
        <f>AVERAGE(BF765:BI765)</f>
        <v>1329</v>
      </c>
      <c r="BK765" s="551">
        <f>AVERAGE(BJ762:BK762)</f>
        <v>1329</v>
      </c>
      <c r="BL765" s="551">
        <f>AVERAGE(BK762:BL762)</f>
        <v>1329</v>
      </c>
      <c r="BM765" s="551">
        <f>AVERAGE(BL762:BM762)</f>
        <v>1329</v>
      </c>
      <c r="BN765" s="1895">
        <f>AVERAGE(BM762:BN762)</f>
        <v>1329</v>
      </c>
      <c r="BO765" s="1906">
        <f>AVERAGE(BK765:BN765)</f>
        <v>1329</v>
      </c>
      <c r="BP765" s="551">
        <f>AVERAGE(BO762:BP762)</f>
        <v>1329</v>
      </c>
      <c r="BQ765" s="551">
        <f>AVERAGE(BP762:BQ762)</f>
        <v>1329</v>
      </c>
      <c r="BR765" s="551">
        <f>AVERAGE(BQ762:BR762)</f>
        <v>1329</v>
      </c>
      <c r="BS765" s="1895">
        <f>AVERAGE(BR762:BS762)</f>
        <v>1329</v>
      </c>
      <c r="BT765" s="3218">
        <f>AVERAGE(BP765:BS765)</f>
        <v>1329</v>
      </c>
      <c r="BU765" s="3297">
        <f>AVERAGE(BT762:BU762)</f>
        <v>1329</v>
      </c>
      <c r="BV765" s="3297">
        <f>AVERAGE(BU762:BV762)</f>
        <v>1329</v>
      </c>
      <c r="BW765" s="3297">
        <f>AVERAGE(BV762:BW762)</f>
        <v>1329</v>
      </c>
      <c r="BX765" s="3297">
        <f>AVERAGE(BW762:BX762)</f>
        <v>1329</v>
      </c>
      <c r="BY765" s="3234">
        <f>AVERAGE(BU765:BX765)</f>
        <v>1329</v>
      </c>
      <c r="BZ765" s="552">
        <f t="shared" ref="BZ765:CF765" si="1689">AVERAGE(BY762:BZ762)</f>
        <v>1329</v>
      </c>
      <c r="CA765" s="552">
        <f t="shared" si="1689"/>
        <v>1329</v>
      </c>
      <c r="CB765" s="552">
        <f t="shared" si="1689"/>
        <v>1329</v>
      </c>
      <c r="CC765" s="552">
        <f t="shared" si="1689"/>
        <v>1329</v>
      </c>
      <c r="CD765" s="552">
        <f t="shared" si="1689"/>
        <v>1329</v>
      </c>
      <c r="CE765" s="552">
        <f t="shared" si="1689"/>
        <v>1329</v>
      </c>
      <c r="CF765" s="552">
        <f t="shared" si="1689"/>
        <v>1329</v>
      </c>
      <c r="CG765" s="331"/>
      <c r="CH765" s="331"/>
      <c r="CI765" s="331"/>
      <c r="CJ765" s="331"/>
      <c r="CK765" s="331"/>
      <c r="CL765" s="1118" t="str">
        <f>A765</f>
        <v>Average Positions</v>
      </c>
      <c r="CM765" s="551">
        <f>G765</f>
        <v>1230.25</v>
      </c>
      <c r="CN765" s="551">
        <f>L765</f>
        <v>846.33333333333326</v>
      </c>
      <c r="CO765" s="551">
        <f>Q765</f>
        <v>660.195652173913</v>
      </c>
      <c r="CP765" s="551">
        <f>V765</f>
        <v>1532</v>
      </c>
      <c r="CQ765" s="551">
        <f>AA765</f>
        <v>1507.5</v>
      </c>
      <c r="CR765" s="551">
        <f>AF765</f>
        <v>1330.75</v>
      </c>
      <c r="CS765" s="551">
        <f>AK765</f>
        <v>1333.375</v>
      </c>
      <c r="CT765" s="551">
        <f>AP765</f>
        <v>1329</v>
      </c>
      <c r="CU765" s="551">
        <f>AU765</f>
        <v>1329</v>
      </c>
      <c r="CV765" s="551">
        <f>AZ765</f>
        <v>1329</v>
      </c>
      <c r="CW765" s="551">
        <f>BE765</f>
        <v>1329</v>
      </c>
      <c r="CX765" s="551">
        <f>BJ765</f>
        <v>1329</v>
      </c>
      <c r="CY765" s="551">
        <f>BO765</f>
        <v>1329</v>
      </c>
      <c r="CZ765" s="551">
        <f>BT765</f>
        <v>1329</v>
      </c>
      <c r="DA765" s="551">
        <f t="shared" si="1679"/>
        <v>1329</v>
      </c>
      <c r="DB765" s="551">
        <f t="shared" si="1679"/>
        <v>1329</v>
      </c>
      <c r="DC765" s="1895">
        <f t="shared" si="1679"/>
        <v>1329</v>
      </c>
      <c r="DD765" s="331"/>
      <c r="DE765" s="331"/>
      <c r="DF765" s="502"/>
      <c r="DG765" s="503"/>
      <c r="DH765" s="3297"/>
      <c r="DI765" s="3213"/>
      <c r="DJ765" s="502"/>
      <c r="DK765" s="503"/>
      <c r="DL765" s="502"/>
      <c r="DM765" s="502"/>
      <c r="DN765" s="502"/>
      <c r="DO765" s="502"/>
      <c r="DP765" s="503"/>
      <c r="DQ765" s="503"/>
      <c r="DR765" s="296"/>
      <c r="DS765" s="296"/>
      <c r="DT765" s="296"/>
    </row>
    <row r="766" spans="1:124" ht="5.0999999999999996" customHeight="1" x14ac:dyDescent="0.25">
      <c r="A766" s="557"/>
      <c r="B766" s="558"/>
      <c r="C766" s="318"/>
      <c r="D766" s="318"/>
      <c r="E766" s="318"/>
      <c r="F766" s="318"/>
      <c r="G766" s="559"/>
      <c r="H766" s="318"/>
      <c r="I766" s="318"/>
      <c r="J766" s="318"/>
      <c r="K766" s="318"/>
      <c r="L766" s="559"/>
      <c r="M766" s="318"/>
      <c r="N766" s="318"/>
      <c r="O766" s="318"/>
      <c r="P766" s="318"/>
      <c r="Q766" s="559"/>
      <c r="R766" s="318"/>
      <c r="S766" s="318"/>
      <c r="T766" s="318"/>
      <c r="U766" s="318"/>
      <c r="V766" s="559"/>
      <c r="W766" s="318"/>
      <c r="X766" s="318"/>
      <c r="Y766" s="318"/>
      <c r="Z766" s="318"/>
      <c r="AA766" s="559"/>
      <c r="AB766" s="318"/>
      <c r="AC766" s="318"/>
      <c r="AD766" s="318"/>
      <c r="AE766" s="560"/>
      <c r="AF766" s="561"/>
      <c r="AG766" s="318"/>
      <c r="AH766" s="318"/>
      <c r="AI766" s="318"/>
      <c r="AJ766" s="560"/>
      <c r="AK766" s="561"/>
      <c r="AL766" s="318"/>
      <c r="AM766" s="318"/>
      <c r="AN766" s="318"/>
      <c r="AO766" s="560"/>
      <c r="AP766" s="562"/>
      <c r="AQ766" s="562"/>
      <c r="AR766" s="560"/>
      <c r="AS766" s="560"/>
      <c r="AT766" s="560"/>
      <c r="AU766" s="1690"/>
      <c r="AV766" s="1902"/>
      <c r="AW766" s="1837"/>
      <c r="AX766" s="1837"/>
      <c r="AY766" s="1903"/>
      <c r="AZ766" s="1690"/>
      <c r="BA766" s="569"/>
      <c r="BB766" s="442"/>
      <c r="BC766" s="442"/>
      <c r="BD766" s="1312"/>
      <c r="BE766" s="1903"/>
      <c r="BF766" s="442"/>
      <c r="BG766" s="442"/>
      <c r="BH766" s="442"/>
      <c r="BI766" s="1312"/>
      <c r="BJ766" s="1903"/>
      <c r="BK766" s="442"/>
      <c r="BL766" s="442"/>
      <c r="BM766" s="442"/>
      <c r="BN766" s="1312"/>
      <c r="BO766" s="1903"/>
      <c r="BP766" s="442"/>
      <c r="BQ766" s="442"/>
      <c r="BR766" s="442"/>
      <c r="BS766" s="1312"/>
      <c r="BT766" s="3016"/>
      <c r="BU766" s="3298"/>
      <c r="BV766" s="3298"/>
      <c r="BW766" s="3298"/>
      <c r="BX766" s="3298"/>
      <c r="BY766" s="3236"/>
      <c r="BZ766" s="441"/>
      <c r="CA766" s="441"/>
      <c r="CB766" s="441"/>
      <c r="CC766" s="441"/>
      <c r="CD766" s="441"/>
      <c r="CE766" s="441"/>
      <c r="CF766" s="441"/>
      <c r="CG766" s="560"/>
      <c r="CH766" s="560"/>
      <c r="CI766" s="560"/>
      <c r="CJ766" s="560"/>
      <c r="CK766" s="560"/>
      <c r="CL766" s="1307"/>
      <c r="CM766" s="560"/>
      <c r="CN766" s="560"/>
      <c r="CO766" s="560"/>
      <c r="CP766" s="560"/>
      <c r="CQ766" s="560"/>
      <c r="CR766" s="560"/>
      <c r="CS766" s="560"/>
      <c r="CT766" s="560"/>
      <c r="CU766" s="560"/>
      <c r="CV766" s="560"/>
      <c r="CW766" s="560"/>
      <c r="CX766" s="560"/>
      <c r="CY766" s="560"/>
      <c r="CZ766" s="560"/>
      <c r="DA766" s="560"/>
      <c r="DB766" s="560"/>
      <c r="DC766" s="1878"/>
      <c r="DD766" s="560"/>
      <c r="DE766" s="560"/>
      <c r="DF766" s="707"/>
      <c r="DG766" s="707"/>
      <c r="DH766" s="3298"/>
      <c r="DI766" s="3213"/>
      <c r="DJ766" s="707"/>
      <c r="DK766" s="707"/>
      <c r="DL766" s="707"/>
      <c r="DM766" s="707"/>
      <c r="DN766" s="707"/>
      <c r="DO766" s="707"/>
      <c r="DP766" s="707"/>
      <c r="DQ766" s="707"/>
      <c r="DR766" s="968"/>
      <c r="DS766" s="968"/>
      <c r="DT766" s="968"/>
    </row>
    <row r="767" spans="1:124" ht="12" customHeight="1" x14ac:dyDescent="0.25">
      <c r="A767" s="496" t="s">
        <v>1418</v>
      </c>
      <c r="B767" s="1007"/>
      <c r="C767" s="1001">
        <v>19.594999999999999</v>
      </c>
      <c r="D767" s="1001">
        <v>17.373000000000001</v>
      </c>
      <c r="E767" s="1001">
        <v>16.815999999999999</v>
      </c>
      <c r="F767" s="1001">
        <v>16.606999999999999</v>
      </c>
      <c r="G767" s="1002">
        <f>SUM(C767:F767)</f>
        <v>70.391000000000005</v>
      </c>
      <c r="H767" s="1001">
        <v>18.263999999999999</v>
      </c>
      <c r="I767" s="1001">
        <v>16.791</v>
      </c>
      <c r="J767" s="1001">
        <v>10.782</v>
      </c>
      <c r="K767" s="1001">
        <v>0</v>
      </c>
      <c r="L767" s="1002">
        <f>SUM(H767:K767)</f>
        <v>45.837000000000003</v>
      </c>
      <c r="M767" s="1001">
        <v>0</v>
      </c>
      <c r="N767" s="1003">
        <v>1.01</v>
      </c>
      <c r="O767" s="1001">
        <v>27.927</v>
      </c>
      <c r="P767" s="1001">
        <v>22.484000000000002</v>
      </c>
      <c r="Q767" s="1002">
        <f>SUM(M767:P767)</f>
        <v>51.421000000000006</v>
      </c>
      <c r="R767" s="1001">
        <v>24.067</v>
      </c>
      <c r="S767" s="1001">
        <v>22.670999999999999</v>
      </c>
      <c r="T767" s="1001">
        <v>20.861000000000001</v>
      </c>
      <c r="U767" s="1001">
        <v>18.559999999999999</v>
      </c>
      <c r="V767" s="1002">
        <f>SUM(R767:U767)</f>
        <v>86.159000000000006</v>
      </c>
      <c r="W767" s="1001">
        <v>20.648</v>
      </c>
      <c r="X767" s="1001">
        <v>18.957999999999998</v>
      </c>
      <c r="Y767" s="1001">
        <v>18.013000000000002</v>
      </c>
      <c r="Z767" s="1001">
        <v>18.082000000000001</v>
      </c>
      <c r="AA767" s="1002">
        <f>SUM(W767:Z767)</f>
        <v>75.700999999999993</v>
      </c>
      <c r="AB767" s="1001">
        <v>19.943000000000001</v>
      </c>
      <c r="AC767" s="1001">
        <v>18.919</v>
      </c>
      <c r="AD767" s="1001">
        <v>18.332999999999998</v>
      </c>
      <c r="AE767" s="1003">
        <v>16.686</v>
      </c>
      <c r="AF767" s="1004">
        <f>SUM(AB767:AE767)</f>
        <v>73.881</v>
      </c>
      <c r="AG767" s="1001">
        <v>18.207000000000001</v>
      </c>
      <c r="AH767" s="1001">
        <v>17.11</v>
      </c>
      <c r="AI767" s="1001">
        <v>18.27</v>
      </c>
      <c r="AJ767" s="1001">
        <v>17.436</v>
      </c>
      <c r="AK767" s="1004">
        <f>SUM(AG767:AJ767)</f>
        <v>71.022999999999996</v>
      </c>
      <c r="AL767" s="1001">
        <v>18.853000000000002</v>
      </c>
      <c r="AM767" s="1003">
        <v>17.331</v>
      </c>
      <c r="AN767" s="1592">
        <f>AI767*(1+AN768)</f>
        <v>18.361349999999998</v>
      </c>
      <c r="AO767" s="1005">
        <f>AJ767*(1+AO768)</f>
        <v>16.5642</v>
      </c>
      <c r="AP767" s="1006">
        <f>SUM(AL767:AO767)</f>
        <v>71.109549999999999</v>
      </c>
      <c r="AQ767" s="1006">
        <f>AL767*(1+AQ768)</f>
        <v>17.910350000000001</v>
      </c>
      <c r="AR767" s="1015">
        <f>AM767*(1+AR768)</f>
        <v>16.63776</v>
      </c>
      <c r="AS767" s="1015">
        <f>AN767*(1+AS768)</f>
        <v>15.607147499999998</v>
      </c>
      <c r="AT767" s="1015">
        <f>AO767*(1+AT768)</f>
        <v>14.907780000000001</v>
      </c>
      <c r="AU767" s="1698">
        <f>SUM(AQ767:AT767)</f>
        <v>65.063037499999993</v>
      </c>
      <c r="AV767" s="1915">
        <f>AQ767*(1+AV768)</f>
        <v>14.77603875</v>
      </c>
      <c r="AW767" s="1843">
        <f>AR767*(1+AW768)</f>
        <v>14.973984</v>
      </c>
      <c r="AX767" s="1843">
        <f>AS767*(1+AX768)</f>
        <v>14.046432749999999</v>
      </c>
      <c r="AY767" s="1910">
        <f>AT767*(1+AY768)</f>
        <v>13.8642354</v>
      </c>
      <c r="AZ767" s="1698">
        <f>SUM(AV767:AY767)</f>
        <v>57.660690899999999</v>
      </c>
      <c r="BA767" s="1006">
        <f>AV767*(1+BA768)</f>
        <v>13.889476424999998</v>
      </c>
      <c r="BB767" s="1015">
        <f>AW767*(1+BB768)</f>
        <v>13.92580512</v>
      </c>
      <c r="BC767" s="1015">
        <f>AX767*(1+BC768)</f>
        <v>13.484575439999999</v>
      </c>
      <c r="BD767" s="1871">
        <f>AY767*(1+BD768)</f>
        <v>13.448308338</v>
      </c>
      <c r="BE767" s="1910">
        <f>SUM(BA767:BD767)</f>
        <v>54.748165322999995</v>
      </c>
      <c r="BF767" s="1015">
        <f>BA767*(1+BF768)</f>
        <v>13.611686896499998</v>
      </c>
      <c r="BG767" s="1015">
        <f>BB767*(1+BG768)</f>
        <v>14.0650631712</v>
      </c>
      <c r="BH767" s="1015">
        <f>BC767*(1+BH768)</f>
        <v>13.619421194399999</v>
      </c>
      <c r="BI767" s="1871">
        <f>BD767*(1+BI768)</f>
        <v>13.11210062955</v>
      </c>
      <c r="BJ767" s="1910">
        <f>SUM(BF767:BI767)</f>
        <v>54.408271891649996</v>
      </c>
      <c r="BK767" s="1015">
        <f>BF767*(1+BK768)</f>
        <v>12.5908103792625</v>
      </c>
      <c r="BL767" s="1015">
        <f>BG767*(1+BL768)</f>
        <v>13.010183433360002</v>
      </c>
      <c r="BM767" s="1015">
        <f>BH767*(1+BM768)</f>
        <v>12.59796460482</v>
      </c>
      <c r="BN767" s="1871">
        <f>BI767*(1+BN768)</f>
        <v>12.128693082333751</v>
      </c>
      <c r="BO767" s="1910">
        <f>SUM(BK767:BN767)</f>
        <v>50.327651499776252</v>
      </c>
      <c r="BP767" s="1015">
        <f>BK767*(1+BP768)</f>
        <v>11.709453652714124</v>
      </c>
      <c r="BQ767" s="1015">
        <f>BL767*(1+BQ768)</f>
        <v>12.099470593024801</v>
      </c>
      <c r="BR767" s="1015">
        <f>BM767*(1+BR768)</f>
        <v>12.0940460206272</v>
      </c>
      <c r="BS767" s="1871">
        <f>BN767*(1+BS768)</f>
        <v>10.915823774100376</v>
      </c>
      <c r="BT767" s="1871">
        <f>SUM(BP767:BS767)</f>
        <v>46.8187940404665</v>
      </c>
      <c r="BU767" s="1015">
        <f>BP767*(1+BU768)</f>
        <v>11.826548189241265</v>
      </c>
      <c r="BV767" s="1015">
        <f>BQ767*(1+BV768)</f>
        <v>12.22046529895505</v>
      </c>
      <c r="BW767" s="1015">
        <f>BR767*(1+BW768)</f>
        <v>12.214986480833472</v>
      </c>
      <c r="BX767" s="1015">
        <f>BS767*(1+BX768)</f>
        <v>12.007406151510414</v>
      </c>
      <c r="BY767" s="1004">
        <f>SUM(BU767:BX767)</f>
        <v>48.269406120540204</v>
      </c>
      <c r="BZ767" s="1004">
        <f t="shared" ref="BZ767:CF767" si="1690">BY767*(1+BZ768)</f>
        <v>48.5107531511429</v>
      </c>
      <c r="CA767" s="1004">
        <f t="shared" si="1690"/>
        <v>48.5107531511429</v>
      </c>
      <c r="CB767" s="1004">
        <f t="shared" si="1690"/>
        <v>46.08521549358575</v>
      </c>
      <c r="CC767" s="1004">
        <f t="shared" si="1690"/>
        <v>43.780954718906457</v>
      </c>
      <c r="CD767" s="1004">
        <f t="shared" si="1690"/>
        <v>44.656573813284588</v>
      </c>
      <c r="CE767" s="1004">
        <f t="shared" si="1690"/>
        <v>45.549705289550282</v>
      </c>
      <c r="CF767" s="1004">
        <f t="shared" si="1690"/>
        <v>46.460699395341287</v>
      </c>
      <c r="CG767" s="502"/>
      <c r="CH767" s="502"/>
      <c r="CI767" s="502"/>
      <c r="CJ767" s="502"/>
      <c r="CK767" s="502"/>
      <c r="CL767" s="2102" t="str">
        <f>A767</f>
        <v>Net revenue</v>
      </c>
      <c r="CM767" s="1015">
        <f>G767</f>
        <v>70.391000000000005</v>
      </c>
      <c r="CN767" s="1015">
        <f>L767</f>
        <v>45.837000000000003</v>
      </c>
      <c r="CO767" s="1015">
        <f>Q767</f>
        <v>51.421000000000006</v>
      </c>
      <c r="CP767" s="1015">
        <f>V767</f>
        <v>86.159000000000006</v>
      </c>
      <c r="CQ767" s="1015">
        <f>AA767</f>
        <v>75.700999999999993</v>
      </c>
      <c r="CR767" s="1015">
        <f>AF767</f>
        <v>73.881</v>
      </c>
      <c r="CS767" s="1015">
        <f>AK767</f>
        <v>71.022999999999996</v>
      </c>
      <c r="CT767" s="1015">
        <f>AP767</f>
        <v>71.109549999999999</v>
      </c>
      <c r="CU767" s="1015">
        <f>AU767</f>
        <v>65.063037499999993</v>
      </c>
      <c r="CV767" s="1015">
        <f>AZ767</f>
        <v>57.660690899999999</v>
      </c>
      <c r="CW767" s="1015">
        <f>BE767</f>
        <v>54.748165322999995</v>
      </c>
      <c r="CX767" s="1015">
        <f>BJ767</f>
        <v>54.408271891649996</v>
      </c>
      <c r="CY767" s="1015">
        <f>BO767</f>
        <v>50.327651499776252</v>
      </c>
      <c r="CZ767" s="1015">
        <f>BT767</f>
        <v>46.8187940404665</v>
      </c>
      <c r="DA767" s="1015">
        <f t="shared" ref="DA767:DC768" si="1691">BY767</f>
        <v>48.269406120540204</v>
      </c>
      <c r="DB767" s="1015">
        <f t="shared" si="1691"/>
        <v>48.5107531511429</v>
      </c>
      <c r="DC767" s="1871">
        <f t="shared" si="1691"/>
        <v>48.5107531511429</v>
      </c>
      <c r="DD767" s="502"/>
      <c r="DE767" s="502"/>
      <c r="DF767" s="502"/>
      <c r="DG767" s="503"/>
      <c r="DH767" s="463"/>
      <c r="DI767" s="3213"/>
      <c r="DJ767" s="502"/>
      <c r="DK767" s="503"/>
      <c r="DL767" s="502"/>
      <c r="DM767" s="502"/>
      <c r="DN767" s="502"/>
      <c r="DO767" s="502"/>
      <c r="DP767" s="503"/>
      <c r="DQ767" s="503"/>
      <c r="DR767" s="719"/>
      <c r="DS767" s="719"/>
      <c r="DT767" s="719"/>
    </row>
    <row r="768" spans="1:124" ht="12" customHeight="1" x14ac:dyDescent="0.25">
      <c r="A768" s="465" t="s">
        <v>1491</v>
      </c>
      <c r="B768" s="466"/>
      <c r="C768" s="467" t="s">
        <v>553</v>
      </c>
      <c r="D768" s="467" t="s">
        <v>553</v>
      </c>
      <c r="E768" s="467" t="s">
        <v>553</v>
      </c>
      <c r="F768" s="467" t="s">
        <v>553</v>
      </c>
      <c r="G768" s="468" t="s">
        <v>553</v>
      </c>
      <c r="H768" s="467">
        <f t="shared" ref="H768:AF768" si="1692">(H767-C767)/C767</f>
        <v>-6.7925491196733842E-2</v>
      </c>
      <c r="I768" s="467">
        <f t="shared" si="1692"/>
        <v>-3.3500259022621347E-2</v>
      </c>
      <c r="J768" s="467">
        <f t="shared" si="1692"/>
        <v>-0.35882492863939103</v>
      </c>
      <c r="K768" s="467">
        <f t="shared" si="1692"/>
        <v>-1</v>
      </c>
      <c r="L768" s="468">
        <f t="shared" si="1692"/>
        <v>-0.34882300294071683</v>
      </c>
      <c r="M768" s="467">
        <f t="shared" si="1692"/>
        <v>-1</v>
      </c>
      <c r="N768" s="467">
        <f t="shared" si="1692"/>
        <v>-0.93984872848549816</v>
      </c>
      <c r="O768" s="467">
        <f t="shared" si="1692"/>
        <v>1.5901502504173621</v>
      </c>
      <c r="P768" s="467" t="s">
        <v>553</v>
      </c>
      <c r="Q768" s="468">
        <f t="shared" si="1692"/>
        <v>0.12182298143421259</v>
      </c>
      <c r="R768" s="467" t="s">
        <v>553</v>
      </c>
      <c r="S768" s="467" t="s">
        <v>553</v>
      </c>
      <c r="T768" s="467">
        <f t="shared" si="1692"/>
        <v>-0.25301679378379344</v>
      </c>
      <c r="U768" s="467">
        <f t="shared" si="1692"/>
        <v>-0.17452410603095547</v>
      </c>
      <c r="V768" s="468">
        <f t="shared" si="1692"/>
        <v>0.67556056863927183</v>
      </c>
      <c r="W768" s="467">
        <f t="shared" si="1692"/>
        <v>-0.14206174429717042</v>
      </c>
      <c r="X768" s="467">
        <f t="shared" si="1692"/>
        <v>-0.16377751312249134</v>
      </c>
      <c r="Y768" s="467">
        <f t="shared" si="1692"/>
        <v>-0.13652269785724552</v>
      </c>
      <c r="Z768" s="467">
        <f t="shared" si="1692"/>
        <v>-2.5754310344827478E-2</v>
      </c>
      <c r="AA768" s="468">
        <f t="shared" si="1692"/>
        <v>-0.12138023886071114</v>
      </c>
      <c r="AB768" s="467">
        <f t="shared" si="1692"/>
        <v>-3.4143742735373801E-2</v>
      </c>
      <c r="AC768" s="467">
        <f t="shared" si="1692"/>
        <v>-2.0571790273234479E-3</v>
      </c>
      <c r="AD768" s="467">
        <f t="shared" si="1692"/>
        <v>1.7764947537889118E-2</v>
      </c>
      <c r="AE768" s="469">
        <f t="shared" si="1692"/>
        <v>-7.7203849131733254E-2</v>
      </c>
      <c r="AF768" s="470">
        <f t="shared" si="1692"/>
        <v>-2.4041954531644143E-2</v>
      </c>
      <c r="AG768" s="469">
        <f t="shared" ref="AG768:AM768" si="1693">(AG767-AB767)/AB767</f>
        <v>-8.7048087048087072E-2</v>
      </c>
      <c r="AH768" s="469">
        <f t="shared" si="1693"/>
        <v>-9.5618161636450177E-2</v>
      </c>
      <c r="AI768" s="469">
        <f t="shared" si="1693"/>
        <v>-3.4364261168384246E-3</v>
      </c>
      <c r="AJ768" s="469">
        <f t="shared" si="1693"/>
        <v>4.4947860481841066E-2</v>
      </c>
      <c r="AK768" s="470">
        <f t="shared" si="1693"/>
        <v>-3.8683829401334635E-2</v>
      </c>
      <c r="AL768" s="469">
        <f t="shared" si="1693"/>
        <v>3.5480859010270815E-2</v>
      </c>
      <c r="AM768" s="469">
        <f t="shared" si="1693"/>
        <v>1.2916423144360029E-2</v>
      </c>
      <c r="AN768" s="538">
        <v>5.0000000000000001E-3</v>
      </c>
      <c r="AO768" s="540">
        <v>-0.05</v>
      </c>
      <c r="AP768" s="471">
        <f>(AP767-AK767)/AK767</f>
        <v>1.2186193205018455E-3</v>
      </c>
      <c r="AQ768" s="1667">
        <v>-0.05</v>
      </c>
      <c r="AR768" s="540">
        <v>-0.04</v>
      </c>
      <c r="AS768" s="540">
        <v>-0.15</v>
      </c>
      <c r="AT768" s="540">
        <v>-0.1</v>
      </c>
      <c r="AU768" s="1689">
        <f>(AU767-AP767)/AP767</f>
        <v>-8.5030948726296338E-2</v>
      </c>
      <c r="AV768" s="1667">
        <v>-0.17499999999999999</v>
      </c>
      <c r="AW768" s="540">
        <v>-0.1</v>
      </c>
      <c r="AX768" s="540">
        <v>-0.1</v>
      </c>
      <c r="AY768" s="1668">
        <v>-7.0000000000000007E-2</v>
      </c>
      <c r="AZ768" s="1689">
        <f>(AZ767-AU767)/AU767</f>
        <v>-0.11377191850288261</v>
      </c>
      <c r="BA768" s="1667">
        <v>-0.06</v>
      </c>
      <c r="BB768" s="2565">
        <v>-7.0000000000000007E-2</v>
      </c>
      <c r="BC768" s="540">
        <v>-0.04</v>
      </c>
      <c r="BD768" s="1668">
        <v>-0.03</v>
      </c>
      <c r="BE768" s="1868">
        <f>(BE767-AZ767)/AZ767</f>
        <v>-5.0511458179562048E-2</v>
      </c>
      <c r="BF768" s="540">
        <v>-0.02</v>
      </c>
      <c r="BG768" s="540">
        <v>0.01</v>
      </c>
      <c r="BH768" s="540">
        <v>0.01</v>
      </c>
      <c r="BI768" s="1668">
        <v>-2.5000000000000001E-2</v>
      </c>
      <c r="BJ768" s="1868">
        <f>(BJ767-BE767)/BE767</f>
        <v>-6.2083072436257191E-3</v>
      </c>
      <c r="BK768" s="540">
        <v>-7.4999999999999997E-2</v>
      </c>
      <c r="BL768" s="540">
        <v>-7.4999999999999997E-2</v>
      </c>
      <c r="BM768" s="540">
        <v>-7.4999999999999997E-2</v>
      </c>
      <c r="BN768" s="1668">
        <v>-7.4999999999999997E-2</v>
      </c>
      <c r="BO768" s="1868">
        <f>(BO767-BJ767)/BJ767</f>
        <v>-7.4999999999999886E-2</v>
      </c>
      <c r="BP768" s="540">
        <v>-7.0000000000000007E-2</v>
      </c>
      <c r="BQ768" s="540">
        <v>-7.0000000000000007E-2</v>
      </c>
      <c r="BR768" s="540">
        <v>-0.04</v>
      </c>
      <c r="BS768" s="1668">
        <v>-0.1</v>
      </c>
      <c r="BT768" s="1463">
        <f>(BT767-BO767)/BO767</f>
        <v>-6.9720270164510892E-2</v>
      </c>
      <c r="BU768" s="540">
        <v>0.01</v>
      </c>
      <c r="BV768" s="540">
        <v>0.01</v>
      </c>
      <c r="BW768" s="540">
        <v>0.01</v>
      </c>
      <c r="BX768" s="540">
        <v>0.1</v>
      </c>
      <c r="BY768" s="470">
        <f>(BY767-BT767)/BT767</f>
        <v>3.0983542182225116E-2</v>
      </c>
      <c r="BZ768" s="2563">
        <v>5.0000000000000001E-3</v>
      </c>
      <c r="CA768" s="2563">
        <v>0</v>
      </c>
      <c r="CB768" s="2563">
        <v>-0.05</v>
      </c>
      <c r="CC768" s="2563">
        <v>-0.05</v>
      </c>
      <c r="CD768" s="2563">
        <v>0.02</v>
      </c>
      <c r="CE768" s="2563">
        <v>0.02</v>
      </c>
      <c r="CF768" s="2563">
        <v>0.02</v>
      </c>
      <c r="CG768" s="492"/>
      <c r="CH768" s="492"/>
      <c r="CI768" s="492"/>
      <c r="CJ768" s="492"/>
      <c r="CK768" s="492"/>
      <c r="CL768" s="1310" t="str">
        <f>A768</f>
        <v>% growth (y-o-y)</v>
      </c>
      <c r="CM768" s="469" t="str">
        <f>G768</f>
        <v xml:space="preserve">n/a </v>
      </c>
      <c r="CN768" s="469">
        <f>L768</f>
        <v>-0.34882300294071683</v>
      </c>
      <c r="CO768" s="469">
        <f>Q768</f>
        <v>0.12182298143421259</v>
      </c>
      <c r="CP768" s="469">
        <f>V768</f>
        <v>0.67556056863927183</v>
      </c>
      <c r="CQ768" s="469">
        <f>AA768</f>
        <v>-0.12138023886071114</v>
      </c>
      <c r="CR768" s="469">
        <f>AF768</f>
        <v>-2.4041954531644143E-2</v>
      </c>
      <c r="CS768" s="469">
        <f>AK768</f>
        <v>-3.8683829401334635E-2</v>
      </c>
      <c r="CT768" s="469">
        <f>AP768</f>
        <v>1.2186193205018455E-3</v>
      </c>
      <c r="CU768" s="469">
        <f>AU768</f>
        <v>-8.5030948726296338E-2</v>
      </c>
      <c r="CV768" s="469">
        <f>AZ768</f>
        <v>-0.11377191850288261</v>
      </c>
      <c r="CW768" s="469">
        <f>BE768</f>
        <v>-5.0511458179562048E-2</v>
      </c>
      <c r="CX768" s="469">
        <f>BJ768</f>
        <v>-6.2083072436257191E-3</v>
      </c>
      <c r="CY768" s="469">
        <f>BO768</f>
        <v>-7.4999999999999886E-2</v>
      </c>
      <c r="CZ768" s="469">
        <f>BT768</f>
        <v>-6.9720270164510892E-2</v>
      </c>
      <c r="DA768" s="469">
        <f t="shared" si="1691"/>
        <v>3.0983542182225116E-2</v>
      </c>
      <c r="DB768" s="469">
        <f t="shared" si="1691"/>
        <v>5.0000000000000001E-3</v>
      </c>
      <c r="DC768" s="1463">
        <f t="shared" si="1691"/>
        <v>0</v>
      </c>
      <c r="DD768" s="492"/>
      <c r="DE768" s="492"/>
      <c r="DF768" s="962"/>
      <c r="DG768" s="962"/>
      <c r="DH768" s="469"/>
      <c r="DI768" s="3213"/>
      <c r="DJ768" s="962"/>
      <c r="DK768" s="962"/>
      <c r="DL768" s="962"/>
      <c r="DM768" s="962"/>
      <c r="DN768" s="962"/>
      <c r="DO768" s="962"/>
      <c r="DP768" s="962"/>
      <c r="DQ768" s="962"/>
      <c r="DR768" s="963"/>
      <c r="DS768" s="963"/>
      <c r="DT768" s="963"/>
    </row>
    <row r="769" spans="1:130" ht="5.0999999999999996" customHeight="1" x14ac:dyDescent="0.25">
      <c r="A769" s="281"/>
      <c r="B769" s="281"/>
      <c r="C769" s="305"/>
      <c r="D769" s="305"/>
      <c r="E769" s="305"/>
      <c r="F769" s="305"/>
      <c r="G769" s="440"/>
      <c r="H769" s="305"/>
      <c r="I769" s="305"/>
      <c r="J769" s="305"/>
      <c r="K769" s="305"/>
      <c r="L769" s="440"/>
      <c r="M769" s="305"/>
      <c r="N769" s="305"/>
      <c r="O769" s="305"/>
      <c r="P769" s="305"/>
      <c r="Q769" s="440"/>
      <c r="R769" s="305"/>
      <c r="S769" s="305"/>
      <c r="T769" s="305"/>
      <c r="U769" s="305"/>
      <c r="V769" s="440"/>
      <c r="W769" s="305"/>
      <c r="X769" s="305"/>
      <c r="Y769" s="305"/>
      <c r="Z769" s="305"/>
      <c r="AA769" s="440"/>
      <c r="AB769" s="305"/>
      <c r="AC769" s="305"/>
      <c r="AD769" s="305"/>
      <c r="AE769" s="331"/>
      <c r="AF769" s="441"/>
      <c r="AG769" s="305"/>
      <c r="AH769" s="305"/>
      <c r="AI769" s="305"/>
      <c r="AJ769" s="331"/>
      <c r="AK769" s="441"/>
      <c r="AL769" s="305"/>
      <c r="AM769" s="305"/>
      <c r="AN769" s="305"/>
      <c r="AO769" s="331"/>
      <c r="AP769" s="569"/>
      <c r="AQ769" s="569"/>
      <c r="AR769" s="442"/>
      <c r="AS769" s="442"/>
      <c r="AT769" s="442"/>
      <c r="AU769" s="1690"/>
      <c r="AV769" s="1902"/>
      <c r="AW769" s="1837"/>
      <c r="AX769" s="1837"/>
      <c r="AY769" s="1903"/>
      <c r="AZ769" s="1690"/>
      <c r="BA769" s="569"/>
      <c r="BB769" s="442"/>
      <c r="BC769" s="442"/>
      <c r="BD769" s="1312"/>
      <c r="BE769" s="1903"/>
      <c r="BF769" s="442"/>
      <c r="BG769" s="442"/>
      <c r="BH769" s="442"/>
      <c r="BI769" s="1312"/>
      <c r="BJ769" s="1903"/>
      <c r="BK769" s="442"/>
      <c r="BL769" s="442"/>
      <c r="BM769" s="442"/>
      <c r="BN769" s="1312"/>
      <c r="BO769" s="1903"/>
      <c r="BP769" s="442"/>
      <c r="BQ769" s="442"/>
      <c r="BR769" s="442"/>
      <c r="BS769" s="1312"/>
      <c r="BT769" s="3016"/>
      <c r="BU769" s="3298"/>
      <c r="BV769" s="3298"/>
      <c r="BW769" s="3298"/>
      <c r="BX769" s="3298"/>
      <c r="BY769" s="3236"/>
      <c r="BZ769" s="441"/>
      <c r="CA769" s="441"/>
      <c r="CB769" s="441"/>
      <c r="CC769" s="441"/>
      <c r="CD769" s="441"/>
      <c r="CE769" s="441"/>
      <c r="CF769" s="441"/>
      <c r="CG769" s="331"/>
      <c r="CH769" s="331"/>
      <c r="CI769" s="331"/>
      <c r="CJ769" s="331"/>
      <c r="CK769" s="331"/>
      <c r="CL769" s="520"/>
      <c r="CM769" s="442"/>
      <c r="CN769" s="442"/>
      <c r="CO769" s="442"/>
      <c r="CP769" s="442"/>
      <c r="CQ769" s="442"/>
      <c r="CR769" s="442"/>
      <c r="CS769" s="442"/>
      <c r="CT769" s="442"/>
      <c r="CU769" s="442"/>
      <c r="CV769" s="442"/>
      <c r="CW769" s="442"/>
      <c r="CX769" s="442"/>
      <c r="CY769" s="442"/>
      <c r="CZ769" s="442"/>
      <c r="DA769" s="442"/>
      <c r="DB769" s="442"/>
      <c r="DC769" s="1312"/>
      <c r="DD769" s="331"/>
      <c r="DE769" s="331"/>
      <c r="DF769" s="502"/>
      <c r="DG769" s="503"/>
      <c r="DH769" s="3298"/>
      <c r="DI769" s="3213"/>
      <c r="DJ769" s="502"/>
      <c r="DK769" s="503"/>
      <c r="DL769" s="502"/>
      <c r="DM769" s="502"/>
      <c r="DN769" s="502"/>
      <c r="DO769" s="502"/>
      <c r="DP769" s="503"/>
      <c r="DQ769" s="503"/>
      <c r="DR769" s="296"/>
      <c r="DS769" s="296"/>
      <c r="DT769" s="296"/>
    </row>
    <row r="770" spans="1:130" ht="12" customHeight="1" x14ac:dyDescent="0.25">
      <c r="A770" s="311" t="s">
        <v>601</v>
      </c>
      <c r="B770" s="281"/>
      <c r="C770" s="446">
        <f>C767-C774</f>
        <v>14.7</v>
      </c>
      <c r="D770" s="446">
        <f>D767-D774</f>
        <v>13.541</v>
      </c>
      <c r="E770" s="446">
        <f>E767-E774</f>
        <v>13.454999999999998</v>
      </c>
      <c r="F770" s="446">
        <f>F767-F774</f>
        <v>12.792999999999999</v>
      </c>
      <c r="G770" s="447">
        <f>SUM(C770:F770)</f>
        <v>54.488999999999997</v>
      </c>
      <c r="H770" s="446">
        <f>H767-H774</f>
        <v>13.445</v>
      </c>
      <c r="I770" s="446">
        <f>I767-I774</f>
        <v>12.996</v>
      </c>
      <c r="J770" s="446">
        <f>J767-J774</f>
        <v>8.4269999999999996</v>
      </c>
      <c r="K770" s="446">
        <f>K767-K774</f>
        <v>0.122</v>
      </c>
      <c r="L770" s="447">
        <f>SUM(H770:K770)</f>
        <v>34.99</v>
      </c>
      <c r="M770" s="446">
        <f>M767-M774</f>
        <v>0</v>
      </c>
      <c r="N770" s="446">
        <f>N767-N774</f>
        <v>0.748</v>
      </c>
      <c r="O770" s="446">
        <f>O767-O774</f>
        <v>15.471</v>
      </c>
      <c r="P770" s="446">
        <f>P767-P774</f>
        <v>16.793000000000003</v>
      </c>
      <c r="Q770" s="447">
        <f>SUM(M770:P770)</f>
        <v>33.012</v>
      </c>
      <c r="R770" s="446">
        <f>R767-R774</f>
        <v>15.984999999999999</v>
      </c>
      <c r="S770" s="446">
        <f>S767-S774</f>
        <v>15.405999999999999</v>
      </c>
      <c r="T770" s="446">
        <f>T767-T774</f>
        <v>15.812000000000001</v>
      </c>
      <c r="U770" s="446">
        <f>U767-U774</f>
        <v>14.920999999999999</v>
      </c>
      <c r="V770" s="447">
        <f>SUM(R770:U770)</f>
        <v>62.124000000000002</v>
      </c>
      <c r="W770" s="446">
        <f>W767-W774</f>
        <v>13.832999999999998</v>
      </c>
      <c r="X770" s="446">
        <f>X767-X774</f>
        <v>13.834</v>
      </c>
      <c r="Y770" s="446">
        <f>Y767-Y774</f>
        <v>13.420000000000002</v>
      </c>
      <c r="Z770" s="446">
        <f>Z767-Z774</f>
        <v>13.551000000000002</v>
      </c>
      <c r="AA770" s="447">
        <f>SUM(W770:Z770)</f>
        <v>54.638000000000005</v>
      </c>
      <c r="AB770" s="446">
        <f>AB767-AB774</f>
        <v>13.194000000000003</v>
      </c>
      <c r="AC770" s="446">
        <f>AC767-AC774</f>
        <v>14.129000000000001</v>
      </c>
      <c r="AD770" s="446">
        <f>AD767-AD774</f>
        <v>13.605999999999998</v>
      </c>
      <c r="AE770" s="446">
        <f>AE767-AE774</f>
        <v>13.125999999999999</v>
      </c>
      <c r="AF770" s="455">
        <f>SUM(AB770:AE770)</f>
        <v>54.055</v>
      </c>
      <c r="AG770" s="446">
        <f>AG767-AG774</f>
        <v>12.992000000000001</v>
      </c>
      <c r="AH770" s="446">
        <f>AH767-AH774</f>
        <v>13.050999999999998</v>
      </c>
      <c r="AI770" s="446">
        <f>AI767-AI774</f>
        <v>13.756</v>
      </c>
      <c r="AJ770" s="446">
        <f>AJ767-AJ774</f>
        <v>13.515000000000001</v>
      </c>
      <c r="AK770" s="455">
        <f>SUM(AG770:AJ770)</f>
        <v>53.314</v>
      </c>
      <c r="AL770" s="446">
        <f>AL767-AL774</f>
        <v>13.110000000000001</v>
      </c>
      <c r="AM770" s="446">
        <f>AM767-AM774</f>
        <v>12.638</v>
      </c>
      <c r="AN770" s="446">
        <f>AI770*(1+AN772)</f>
        <v>13.61844</v>
      </c>
      <c r="AO770" s="446">
        <f>AJ770*(1+AO772)</f>
        <v>13.379850000000001</v>
      </c>
      <c r="AP770" s="456">
        <f>SUM(AL770:AO770)</f>
        <v>52.746290000000002</v>
      </c>
      <c r="AQ770" s="456">
        <f>AL770*(1+AQ772)</f>
        <v>13.110000000000001</v>
      </c>
      <c r="AR770" s="454">
        <f>AM770*(1+AR772)</f>
        <v>12.38524</v>
      </c>
      <c r="AS770" s="454">
        <f>AN770*(1+AS772)</f>
        <v>12.528964800000001</v>
      </c>
      <c r="AT770" s="454">
        <f>AO770*(1+AT772)</f>
        <v>13.112253000000001</v>
      </c>
      <c r="AU770" s="1693">
        <f>SUM(AQ770:AT770)</f>
        <v>51.136457800000009</v>
      </c>
      <c r="AV770" s="1863">
        <f>AQ770*(1+AV772)</f>
        <v>12.454500000000001</v>
      </c>
      <c r="AW770" s="1841">
        <f>AR770*(1+AW772)</f>
        <v>12.137535199999999</v>
      </c>
      <c r="AX770" s="1841">
        <f>AS770*(1+AX772)</f>
        <v>12.278385504000001</v>
      </c>
      <c r="AY770" s="1864">
        <f>AT770*(1+AY772)</f>
        <v>12.32551782</v>
      </c>
      <c r="AZ770" s="1693">
        <f>SUM(AV770:AY770)</f>
        <v>49.195938523999999</v>
      </c>
      <c r="BA770" s="456">
        <f>AV770*(1+BA772)</f>
        <v>11.209050000000001</v>
      </c>
      <c r="BB770" s="454">
        <f>AW770*(1+BB772)</f>
        <v>10.923781679999999</v>
      </c>
      <c r="BC770" s="454">
        <f>AX770*(1+BC772)</f>
        <v>11.357506591200002</v>
      </c>
      <c r="BD770" s="1666">
        <f>AY770*(1+BD772)</f>
        <v>11.401103983500001</v>
      </c>
      <c r="BE770" s="1864">
        <f>SUM(BA770:BD770)</f>
        <v>44.891442254700003</v>
      </c>
      <c r="BF770" s="454">
        <f>BA770*(1+BF772)</f>
        <v>10.368371250000001</v>
      </c>
      <c r="BG770" s="454">
        <f>BB770*(1+BG772)</f>
        <v>10.377592596</v>
      </c>
      <c r="BH770" s="454">
        <f>BC770*(1+BH772)</f>
        <v>10.78963126164</v>
      </c>
      <c r="BI770" s="454">
        <f>BD770*(1+BI772)</f>
        <v>10.831048784325001</v>
      </c>
      <c r="BJ770" s="1693">
        <f>SUM(BF770:BI770)</f>
        <v>42.366643891965005</v>
      </c>
      <c r="BK770" s="454">
        <f>BF770*(1+BK772)</f>
        <v>10.472054962500001</v>
      </c>
      <c r="BL770" s="454">
        <f>BG770*(1+BL772)</f>
        <v>10.48136852196</v>
      </c>
      <c r="BM770" s="454">
        <f>BH770*(1+BM772)</f>
        <v>10.897527574256401</v>
      </c>
      <c r="BN770" s="1666">
        <f>BI770*(1+BN772)</f>
        <v>10.93935927216825</v>
      </c>
      <c r="BO770" s="1864">
        <f>SUM(BK770:BN770)</f>
        <v>42.790310330884651</v>
      </c>
      <c r="BP770" s="454">
        <f>BK770*(1+BP772)</f>
        <v>9.8437316647500008</v>
      </c>
      <c r="BQ770" s="454">
        <f>BL770*(1+BQ772)</f>
        <v>9.9573000958619993</v>
      </c>
      <c r="BR770" s="454">
        <f>BM770*(1+BR772)</f>
        <v>10.352651195543581</v>
      </c>
      <c r="BS770" s="1666">
        <f>BN770*(1+BS772)</f>
        <v>10.118907326755632</v>
      </c>
      <c r="BT770" s="3070">
        <f>SUM(BP770:BS770)</f>
        <v>40.27259028291121</v>
      </c>
      <c r="BU770" s="2915">
        <f>BP770*(1+BU772)</f>
        <v>10.08982495636875</v>
      </c>
      <c r="BV770" s="2915">
        <f>BQ770*(1+BV772)</f>
        <v>10.056873096820619</v>
      </c>
      <c r="BW770" s="2915">
        <f>BR770*(1+BW772)</f>
        <v>10.456177707499018</v>
      </c>
      <c r="BX770" s="2915">
        <f>BS770*(1+BX772)</f>
        <v>10.624852693093414</v>
      </c>
      <c r="BY770" s="3066">
        <f>SUM(BU770:BX770)</f>
        <v>41.227728453781801</v>
      </c>
      <c r="BZ770" s="455">
        <f t="shared" ref="BZ770:CF770" si="1694">BY770*(1+BZ772)</f>
        <v>40.609312526975074</v>
      </c>
      <c r="CA770" s="455">
        <f t="shared" si="1694"/>
        <v>40.812359089609949</v>
      </c>
      <c r="CB770" s="455">
        <f t="shared" si="1694"/>
        <v>39.587988316921646</v>
      </c>
      <c r="CC770" s="455">
        <f t="shared" si="1694"/>
        <v>38.400348667413994</v>
      </c>
      <c r="CD770" s="455">
        <f t="shared" si="1694"/>
        <v>38.784352154088133</v>
      </c>
      <c r="CE770" s="455">
        <f t="shared" si="1694"/>
        <v>39.172195675629013</v>
      </c>
      <c r="CF770" s="455">
        <f t="shared" si="1694"/>
        <v>39.563917632385305</v>
      </c>
      <c r="CG770" s="331"/>
      <c r="CH770" s="331"/>
      <c r="CI770" s="331"/>
      <c r="CJ770" s="331"/>
      <c r="CK770" s="331"/>
      <c r="CL770" s="528" t="str">
        <f>A770</f>
        <v>Operating expenses</v>
      </c>
      <c r="CM770" s="454">
        <f>G770</f>
        <v>54.488999999999997</v>
      </c>
      <c r="CN770" s="454">
        <f>L770</f>
        <v>34.99</v>
      </c>
      <c r="CO770" s="454">
        <f>Q770</f>
        <v>33.012</v>
      </c>
      <c r="CP770" s="454">
        <f>V770</f>
        <v>62.124000000000002</v>
      </c>
      <c r="CQ770" s="454">
        <f>AA770</f>
        <v>54.638000000000005</v>
      </c>
      <c r="CR770" s="454">
        <f>AF770</f>
        <v>54.055</v>
      </c>
      <c r="CS770" s="454">
        <f>AK770</f>
        <v>53.314</v>
      </c>
      <c r="CT770" s="454">
        <f>AP770</f>
        <v>52.746290000000002</v>
      </c>
      <c r="CU770" s="454">
        <f>AU770</f>
        <v>51.136457800000009</v>
      </c>
      <c r="CV770" s="454">
        <f>AZ770</f>
        <v>49.195938523999999</v>
      </c>
      <c r="CW770" s="454">
        <f>BE770</f>
        <v>44.891442254700003</v>
      </c>
      <c r="CX770" s="454">
        <f>BJ770</f>
        <v>42.366643891965005</v>
      </c>
      <c r="CY770" s="454">
        <f>BO770</f>
        <v>42.790310330884651</v>
      </c>
      <c r="CZ770" s="454">
        <f>BT770</f>
        <v>40.27259028291121</v>
      </c>
      <c r="DA770" s="454">
        <f t="shared" ref="DA770:DC772" si="1695">BY770</f>
        <v>41.227728453781801</v>
      </c>
      <c r="DB770" s="454">
        <f t="shared" si="1695"/>
        <v>40.609312526975074</v>
      </c>
      <c r="DC770" s="1666">
        <f t="shared" si="1695"/>
        <v>40.812359089609949</v>
      </c>
      <c r="DD770" s="331"/>
      <c r="DE770" s="331"/>
      <c r="DF770" s="502"/>
      <c r="DG770" s="503"/>
      <c r="DH770" s="2915"/>
      <c r="DI770" s="3213"/>
      <c r="DJ770" s="502"/>
      <c r="DK770" s="503"/>
      <c r="DL770" s="502"/>
      <c r="DM770" s="502"/>
      <c r="DN770" s="502"/>
      <c r="DO770" s="502"/>
      <c r="DP770" s="503"/>
      <c r="DQ770" s="503"/>
      <c r="DR770" s="296"/>
      <c r="DS770" s="296"/>
      <c r="DT770" s="296"/>
    </row>
    <row r="771" spans="1:130" ht="12" customHeight="1" x14ac:dyDescent="0.25">
      <c r="A771" s="465" t="s">
        <v>646</v>
      </c>
      <c r="B771" s="466"/>
      <c r="C771" s="467">
        <f t="shared" ref="C771:AF771" si="1696">C770/C767</f>
        <v>0.75019137535085478</v>
      </c>
      <c r="D771" s="467">
        <f t="shared" si="1696"/>
        <v>0.77942784780981977</v>
      </c>
      <c r="E771" s="467">
        <f t="shared" si="1696"/>
        <v>0.80013082778306366</v>
      </c>
      <c r="F771" s="467">
        <f t="shared" si="1696"/>
        <v>0.77033780935749985</v>
      </c>
      <c r="G771" s="468">
        <f t="shared" si="1696"/>
        <v>0.77409043769800112</v>
      </c>
      <c r="H771" s="467">
        <f t="shared" si="1696"/>
        <v>0.73614761279018837</v>
      </c>
      <c r="I771" s="467">
        <f t="shared" si="1696"/>
        <v>0.7739860639628372</v>
      </c>
      <c r="J771" s="467">
        <f t="shared" si="1696"/>
        <v>0.78158041179744009</v>
      </c>
      <c r="K771" s="467" t="s">
        <v>553</v>
      </c>
      <c r="L771" s="468">
        <f t="shared" si="1696"/>
        <v>0.76335711324912192</v>
      </c>
      <c r="M771" s="467" t="s">
        <v>553</v>
      </c>
      <c r="N771" s="467">
        <f t="shared" si="1696"/>
        <v>0.74059405940594059</v>
      </c>
      <c r="O771" s="467">
        <f t="shared" si="1696"/>
        <v>0.55398001933612639</v>
      </c>
      <c r="P771" s="467">
        <f t="shared" si="1696"/>
        <v>0.74688667496886685</v>
      </c>
      <c r="Q771" s="468">
        <f t="shared" si="1696"/>
        <v>0.64199451585927925</v>
      </c>
      <c r="R771" s="467">
        <f t="shared" si="1696"/>
        <v>0.66418747662774746</v>
      </c>
      <c r="S771" s="467">
        <f t="shared" si="1696"/>
        <v>0.67954655727581492</v>
      </c>
      <c r="T771" s="467">
        <f t="shared" si="1696"/>
        <v>0.75796941661473571</v>
      </c>
      <c r="U771" s="467">
        <f t="shared" si="1696"/>
        <v>0.80393318965517246</v>
      </c>
      <c r="V771" s="468">
        <f t="shared" si="1696"/>
        <v>0.72103900927355236</v>
      </c>
      <c r="W771" s="467">
        <f t="shared" si="1696"/>
        <v>0.66994382022471899</v>
      </c>
      <c r="X771" s="467">
        <f t="shared" si="1696"/>
        <v>0.7297183247177973</v>
      </c>
      <c r="Y771" s="467">
        <f t="shared" si="1696"/>
        <v>0.74501748737023266</v>
      </c>
      <c r="Z771" s="467">
        <f t="shared" si="1696"/>
        <v>0.74941931202300638</v>
      </c>
      <c r="AA771" s="468">
        <f t="shared" si="1696"/>
        <v>0.72176061082416365</v>
      </c>
      <c r="AB771" s="467">
        <f t="shared" si="1696"/>
        <v>0.66158551872837601</v>
      </c>
      <c r="AC771" s="467">
        <f t="shared" si="1696"/>
        <v>0.74681537079126814</v>
      </c>
      <c r="AD771" s="467">
        <f t="shared" si="1696"/>
        <v>0.74215894834451535</v>
      </c>
      <c r="AE771" s="469">
        <f t="shared" si="1696"/>
        <v>0.78664748891286107</v>
      </c>
      <c r="AF771" s="470">
        <f t="shared" si="1696"/>
        <v>0.73164954453783781</v>
      </c>
      <c r="AG771" s="467">
        <f t="shared" ref="AG771:AU771" si="1697">AG770/AG767</f>
        <v>0.71357170319108032</v>
      </c>
      <c r="AH771" s="467">
        <f t="shared" si="1697"/>
        <v>0.76277030976037397</v>
      </c>
      <c r="AI771" s="467">
        <f t="shared" si="1697"/>
        <v>0.75292829775588399</v>
      </c>
      <c r="AJ771" s="469">
        <f t="shared" si="1697"/>
        <v>0.77512044046799733</v>
      </c>
      <c r="AK771" s="470">
        <f t="shared" si="1697"/>
        <v>0.75065823747236815</v>
      </c>
      <c r="AL771" s="467">
        <f t="shared" si="1697"/>
        <v>0.69538004561608235</v>
      </c>
      <c r="AM771" s="467">
        <f t="shared" si="1697"/>
        <v>0.7292135479776124</v>
      </c>
      <c r="AN771" s="467">
        <f t="shared" si="1697"/>
        <v>0.74169056196848282</v>
      </c>
      <c r="AO771" s="469">
        <f t="shared" si="1697"/>
        <v>0.80775709059296563</v>
      </c>
      <c r="AP771" s="471">
        <f t="shared" si="1697"/>
        <v>0.74176098709666993</v>
      </c>
      <c r="AQ771" s="471">
        <f t="shared" si="1697"/>
        <v>0.73197899538534983</v>
      </c>
      <c r="AR771" s="469">
        <f t="shared" si="1697"/>
        <v>0.74440549689381263</v>
      </c>
      <c r="AS771" s="469">
        <f t="shared" si="1697"/>
        <v>0.80277096118941671</v>
      </c>
      <c r="AT771" s="469">
        <f t="shared" si="1697"/>
        <v>0.87955772086789585</v>
      </c>
      <c r="AU771" s="1689">
        <f t="shared" si="1697"/>
        <v>0.78595251259211518</v>
      </c>
      <c r="AV771" s="1730">
        <f t="shared" ref="AV771:BJ771" si="1698">AV770/AV767</f>
        <v>0.84288490377706959</v>
      </c>
      <c r="AW771" s="1465">
        <f t="shared" si="1698"/>
        <v>0.81057487439548481</v>
      </c>
      <c r="AX771" s="1465">
        <f t="shared" si="1698"/>
        <v>0.87412837996180925</v>
      </c>
      <c r="AY771" s="1868">
        <f t="shared" si="1698"/>
        <v>0.88901533076970118</v>
      </c>
      <c r="AZ771" s="1689">
        <f t="shared" si="1698"/>
        <v>0.85319717395200345</v>
      </c>
      <c r="BA771" s="471">
        <f t="shared" si="1698"/>
        <v>0.80701746106315186</v>
      </c>
      <c r="BB771" s="469">
        <f t="shared" si="1698"/>
        <v>0.78442729780208209</v>
      </c>
      <c r="BC771" s="469">
        <f t="shared" si="1698"/>
        <v>0.84225911610903503</v>
      </c>
      <c r="BD771" s="1463">
        <f t="shared" si="1698"/>
        <v>0.84777235150718921</v>
      </c>
      <c r="BE771" s="1868">
        <f t="shared" si="1698"/>
        <v>0.81996249536129884</v>
      </c>
      <c r="BF771" s="469">
        <f>BF770/BF767</f>
        <v>0.76172566477899528</v>
      </c>
      <c r="BG771" s="469">
        <f>BG770/BG767</f>
        <v>0.73782765634849301</v>
      </c>
      <c r="BH771" s="469">
        <f>BH770/BH767</f>
        <v>0.7922239210926566</v>
      </c>
      <c r="BI771" s="469">
        <f>BI770/BI767</f>
        <v>0.82603459890444086</v>
      </c>
      <c r="BJ771" s="1689">
        <f t="shared" si="1698"/>
        <v>0.77868019731144944</v>
      </c>
      <c r="BK771" s="469">
        <f>BK770/BK767</f>
        <v>0.83172207721814617</v>
      </c>
      <c r="BL771" s="469">
        <f>BL770/BL767</f>
        <v>0.80562803558051665</v>
      </c>
      <c r="BM771" s="469">
        <f>BM770/BM767</f>
        <v>0.86502287600387373</v>
      </c>
      <c r="BN771" s="1463">
        <f>BN770/BN767</f>
        <v>0.90194048096592994</v>
      </c>
      <c r="BO771" s="1868">
        <f>BO770/BO767</f>
        <v>0.85023459382114996</v>
      </c>
      <c r="BP771" s="469">
        <f t="shared" ref="BP771:BY771" si="1699">BP770/BP767</f>
        <v>0.84066532536027683</v>
      </c>
      <c r="BQ771" s="469">
        <f t="shared" si="1699"/>
        <v>0.82295336967902244</v>
      </c>
      <c r="BR771" s="469">
        <f t="shared" si="1699"/>
        <v>0.85601222104550001</v>
      </c>
      <c r="BS771" s="1463">
        <f t="shared" si="1699"/>
        <v>0.92699438321498362</v>
      </c>
      <c r="BT771" s="1463">
        <f t="shared" si="1699"/>
        <v>0.86018000053787669</v>
      </c>
      <c r="BU771" s="469">
        <f t="shared" si="1699"/>
        <v>0.85315045395473632</v>
      </c>
      <c r="BV771" s="469">
        <f t="shared" si="1699"/>
        <v>0.82295336967902222</v>
      </c>
      <c r="BW771" s="469">
        <f t="shared" si="1699"/>
        <v>0.85601222104550012</v>
      </c>
      <c r="BX771" s="469">
        <f t="shared" si="1699"/>
        <v>0.88485827488702973</v>
      </c>
      <c r="BY771" s="470">
        <f t="shared" si="1699"/>
        <v>0.85411716793917747</v>
      </c>
      <c r="BZ771" s="470">
        <f t="shared" ref="BZ771:CF771" si="1700">BZ770/BZ767</f>
        <v>0.83711981136327362</v>
      </c>
      <c r="CA771" s="470">
        <f t="shared" si="1700"/>
        <v>0.84130541042008988</v>
      </c>
      <c r="CB771" s="470">
        <f t="shared" si="1700"/>
        <v>0.8590171032710392</v>
      </c>
      <c r="CC771" s="470">
        <f t="shared" si="1700"/>
        <v>0.87710167386621896</v>
      </c>
      <c r="CD771" s="470">
        <f t="shared" si="1700"/>
        <v>0.8685026378479227</v>
      </c>
      <c r="CE771" s="470">
        <f t="shared" si="1700"/>
        <v>0.85998790610431552</v>
      </c>
      <c r="CF771" s="470">
        <f t="shared" si="1700"/>
        <v>0.85155665212290077</v>
      </c>
      <c r="CG771" s="492"/>
      <c r="CH771" s="492"/>
      <c r="CI771" s="492"/>
      <c r="CJ771" s="492"/>
      <c r="CK771" s="492"/>
      <c r="CL771" s="1310" t="str">
        <f>A771</f>
        <v>% of Net revenue</v>
      </c>
      <c r="CM771" s="469">
        <f>G771</f>
        <v>0.77409043769800112</v>
      </c>
      <c r="CN771" s="469">
        <f>L771</f>
        <v>0.76335711324912192</v>
      </c>
      <c r="CO771" s="469">
        <f>Q771</f>
        <v>0.64199451585927925</v>
      </c>
      <c r="CP771" s="469">
        <f>V771</f>
        <v>0.72103900927355236</v>
      </c>
      <c r="CQ771" s="469">
        <f>AA771</f>
        <v>0.72176061082416365</v>
      </c>
      <c r="CR771" s="469">
        <f>AF771</f>
        <v>0.73164954453783781</v>
      </c>
      <c r="CS771" s="469">
        <f>AK771</f>
        <v>0.75065823747236815</v>
      </c>
      <c r="CT771" s="469">
        <f>AP771</f>
        <v>0.74176098709666993</v>
      </c>
      <c r="CU771" s="469">
        <f>AU771</f>
        <v>0.78595251259211518</v>
      </c>
      <c r="CV771" s="469">
        <f>AZ771</f>
        <v>0.85319717395200345</v>
      </c>
      <c r="CW771" s="469">
        <f>BE771</f>
        <v>0.81996249536129884</v>
      </c>
      <c r="CX771" s="469">
        <f>BJ771</f>
        <v>0.77868019731144944</v>
      </c>
      <c r="CY771" s="469">
        <f>BO771</f>
        <v>0.85023459382114996</v>
      </c>
      <c r="CZ771" s="469">
        <f>BT771</f>
        <v>0.86018000053787669</v>
      </c>
      <c r="DA771" s="469">
        <f t="shared" si="1695"/>
        <v>0.85411716793917747</v>
      </c>
      <c r="DB771" s="469">
        <f t="shared" si="1695"/>
        <v>0.83711981136327362</v>
      </c>
      <c r="DC771" s="1463">
        <f t="shared" si="1695"/>
        <v>0.84130541042008988</v>
      </c>
      <c r="DD771" s="492"/>
      <c r="DE771" s="492"/>
      <c r="DF771" s="962"/>
      <c r="DG771" s="962"/>
      <c r="DH771" s="469"/>
      <c r="DI771" s="3213"/>
      <c r="DJ771" s="962"/>
      <c r="DK771" s="962"/>
      <c r="DL771" s="962"/>
      <c r="DM771" s="962"/>
      <c r="DN771" s="962"/>
      <c r="DO771" s="962"/>
      <c r="DP771" s="962"/>
      <c r="DQ771" s="962"/>
      <c r="DR771" s="963"/>
      <c r="DS771" s="963"/>
      <c r="DT771" s="963"/>
    </row>
    <row r="772" spans="1:130" ht="12" customHeight="1" x14ac:dyDescent="0.25">
      <c r="A772" s="465" t="s">
        <v>1491</v>
      </c>
      <c r="B772" s="466"/>
      <c r="C772" s="467" t="s">
        <v>553</v>
      </c>
      <c r="D772" s="467" t="s">
        <v>553</v>
      </c>
      <c r="E772" s="467" t="s">
        <v>553</v>
      </c>
      <c r="F772" s="467" t="s">
        <v>553</v>
      </c>
      <c r="G772" s="468" t="s">
        <v>553</v>
      </c>
      <c r="H772" s="467">
        <f t="shared" ref="H772:AF772" si="1701">(H770-C770)/C770</f>
        <v>-8.5374149659863882E-2</v>
      </c>
      <c r="I772" s="467">
        <f t="shared" si="1701"/>
        <v>-4.0248135292814409E-2</v>
      </c>
      <c r="J772" s="467">
        <f t="shared" si="1701"/>
        <v>-0.37369007803790405</v>
      </c>
      <c r="K772" s="467">
        <f t="shared" si="1701"/>
        <v>-0.99046353474556403</v>
      </c>
      <c r="L772" s="468">
        <f t="shared" si="1701"/>
        <v>-0.35785204353172195</v>
      </c>
      <c r="M772" s="467">
        <f t="shared" si="1701"/>
        <v>-1</v>
      </c>
      <c r="N772" s="467">
        <f t="shared" si="1701"/>
        <v>-0.94244382887042177</v>
      </c>
      <c r="O772" s="467">
        <f t="shared" si="1701"/>
        <v>0.83588465646137422</v>
      </c>
      <c r="P772" s="467" t="s">
        <v>553</v>
      </c>
      <c r="Q772" s="468">
        <f t="shared" si="1701"/>
        <v>-5.6530437267790841E-2</v>
      </c>
      <c r="R772" s="467" t="s">
        <v>553</v>
      </c>
      <c r="S772" s="467" t="s">
        <v>553</v>
      </c>
      <c r="T772" s="467">
        <f t="shared" si="1701"/>
        <v>2.2041238446125079E-2</v>
      </c>
      <c r="U772" s="467">
        <f t="shared" si="1701"/>
        <v>-0.11147501935330216</v>
      </c>
      <c r="V772" s="468">
        <f t="shared" si="1701"/>
        <v>0.88186114140312621</v>
      </c>
      <c r="W772" s="467">
        <f t="shared" si="1701"/>
        <v>-0.13462621207381928</v>
      </c>
      <c r="X772" s="467">
        <f t="shared" si="1701"/>
        <v>-0.10203816694794232</v>
      </c>
      <c r="Y772" s="467">
        <f t="shared" si="1701"/>
        <v>-0.15127751075132806</v>
      </c>
      <c r="Z772" s="467">
        <f t="shared" si="1701"/>
        <v>-9.1816902352389082E-2</v>
      </c>
      <c r="AA772" s="468">
        <f t="shared" si="1701"/>
        <v>-0.12050093361663763</v>
      </c>
      <c r="AB772" s="467">
        <f t="shared" si="1701"/>
        <v>-4.6193884189980182E-2</v>
      </c>
      <c r="AC772" s="467">
        <f t="shared" si="1701"/>
        <v>2.1324273528986679E-2</v>
      </c>
      <c r="AD772" s="467">
        <f t="shared" si="1701"/>
        <v>1.3859910581221786E-2</v>
      </c>
      <c r="AE772" s="469">
        <f t="shared" si="1701"/>
        <v>-3.1362999040661386E-2</v>
      </c>
      <c r="AF772" s="470">
        <f t="shared" si="1701"/>
        <v>-1.067022951059712E-2</v>
      </c>
      <c r="AG772" s="467">
        <f t="shared" ref="AG772:AM772" si="1702">(AG770-AB770)/AB770</f>
        <v>-1.5309989389116393E-2</v>
      </c>
      <c r="AH772" s="467">
        <f t="shared" si="1702"/>
        <v>-7.6296977846981584E-2</v>
      </c>
      <c r="AI772" s="467">
        <f t="shared" si="1702"/>
        <v>1.1024547993532424E-2</v>
      </c>
      <c r="AJ772" s="467">
        <f t="shared" si="1702"/>
        <v>2.9635837269541453E-2</v>
      </c>
      <c r="AK772" s="470">
        <f t="shared" si="1702"/>
        <v>-1.3708260105448148E-2</v>
      </c>
      <c r="AL772" s="467">
        <f t="shared" si="1702"/>
        <v>9.0825123152709613E-3</v>
      </c>
      <c r="AM772" s="467">
        <f t="shared" si="1702"/>
        <v>-3.1645084667841432E-2</v>
      </c>
      <c r="AN772" s="467">
        <v>-0.01</v>
      </c>
      <c r="AO772" s="469">
        <f>AN772</f>
        <v>-0.01</v>
      </c>
      <c r="AP772" s="471">
        <f>(AP770-AK770)/AK770</f>
        <v>-1.0648422553175491E-2</v>
      </c>
      <c r="AQ772" s="1667">
        <v>0</v>
      </c>
      <c r="AR772" s="540">
        <v>-0.02</v>
      </c>
      <c r="AS772" s="540">
        <v>-0.08</v>
      </c>
      <c r="AT772" s="540">
        <v>-0.02</v>
      </c>
      <c r="AU772" s="1689">
        <f>(AU770-AP770)/AP770</f>
        <v>-3.0520292517255573E-2</v>
      </c>
      <c r="AV772" s="1667">
        <v>-0.05</v>
      </c>
      <c r="AW772" s="540">
        <v>-0.02</v>
      </c>
      <c r="AX772" s="540">
        <v>-0.02</v>
      </c>
      <c r="AY772" s="1668">
        <v>-0.06</v>
      </c>
      <c r="AZ772" s="1689">
        <f>(AZ770-AU770)/AU770</f>
        <v>-3.7947862630407107E-2</v>
      </c>
      <c r="BA772" s="1667">
        <v>-0.1</v>
      </c>
      <c r="BB772" s="540">
        <v>-0.1</v>
      </c>
      <c r="BC772" s="540">
        <v>-7.4999999999999997E-2</v>
      </c>
      <c r="BD772" s="1668">
        <v>-7.4999999999999997E-2</v>
      </c>
      <c r="BE772" s="1868">
        <f>(BE770-AZ770)/AZ770</f>
        <v>-8.7496984475660899E-2</v>
      </c>
      <c r="BF772" s="540">
        <v>-7.4999999999999997E-2</v>
      </c>
      <c r="BG772" s="540">
        <v>-0.05</v>
      </c>
      <c r="BH772" s="540">
        <v>-0.05</v>
      </c>
      <c r="BI772" s="540">
        <v>-0.05</v>
      </c>
      <c r="BJ772" s="1689">
        <f>(BJ770-BE770)/BE770</f>
        <v>-5.6242308910684623E-2</v>
      </c>
      <c r="BK772" s="540">
        <v>0.01</v>
      </c>
      <c r="BL772" s="540">
        <v>0.01</v>
      </c>
      <c r="BM772" s="540">
        <v>0.01</v>
      </c>
      <c r="BN772" s="1668">
        <v>0.01</v>
      </c>
      <c r="BO772" s="1689">
        <f>(BO770-BJ770)/BJ770</f>
        <v>9.9999999999999117E-3</v>
      </c>
      <c r="BP772" s="3219">
        <v>-0.06</v>
      </c>
      <c r="BQ772" s="3220">
        <v>-0.05</v>
      </c>
      <c r="BR772" s="3220">
        <v>-0.05</v>
      </c>
      <c r="BS772" s="3207">
        <v>-7.4999999999999997E-2</v>
      </c>
      <c r="BT772" s="1463">
        <f>(BT770-BO770)/BO770</f>
        <v>-5.8838555469793656E-2</v>
      </c>
      <c r="BU772" s="540">
        <v>2.5000000000000001E-2</v>
      </c>
      <c r="BV772" s="540">
        <v>0.01</v>
      </c>
      <c r="BW772" s="540">
        <v>0.01</v>
      </c>
      <c r="BX772" s="540">
        <v>0.05</v>
      </c>
      <c r="BY772" s="470">
        <f>(BY770-BT770)/BT770</f>
        <v>2.3716829837883119E-2</v>
      </c>
      <c r="BZ772" s="539">
        <v>-1.4999999999999999E-2</v>
      </c>
      <c r="CA772" s="2563">
        <v>5.0000000000000001E-3</v>
      </c>
      <c r="CB772" s="2563">
        <v>-0.03</v>
      </c>
      <c r="CC772" s="2563">
        <v>-0.03</v>
      </c>
      <c r="CD772" s="2563">
        <v>0.01</v>
      </c>
      <c r="CE772" s="2563">
        <v>0.01</v>
      </c>
      <c r="CF772" s="2563">
        <v>0.01</v>
      </c>
      <c r="CG772" s="492"/>
      <c r="CH772" s="492"/>
      <c r="CI772" s="492"/>
      <c r="CJ772" s="492"/>
      <c r="CK772" s="492"/>
      <c r="CL772" s="1310" t="str">
        <f>A772</f>
        <v>% growth (y-o-y)</v>
      </c>
      <c r="CM772" s="469" t="str">
        <f>G772</f>
        <v xml:space="preserve">n/a </v>
      </c>
      <c r="CN772" s="469">
        <f>L772</f>
        <v>-0.35785204353172195</v>
      </c>
      <c r="CO772" s="469">
        <f>Q772</f>
        <v>-5.6530437267790841E-2</v>
      </c>
      <c r="CP772" s="469">
        <f>V772</f>
        <v>0.88186114140312621</v>
      </c>
      <c r="CQ772" s="469">
        <f>AA772</f>
        <v>-0.12050093361663763</v>
      </c>
      <c r="CR772" s="469">
        <f>AF772</f>
        <v>-1.067022951059712E-2</v>
      </c>
      <c r="CS772" s="469">
        <f>AK772</f>
        <v>-1.3708260105448148E-2</v>
      </c>
      <c r="CT772" s="469">
        <f>AP772</f>
        <v>-1.0648422553175491E-2</v>
      </c>
      <c r="CU772" s="469">
        <f>AU772</f>
        <v>-3.0520292517255573E-2</v>
      </c>
      <c r="CV772" s="469">
        <f>AZ772</f>
        <v>-3.7947862630407107E-2</v>
      </c>
      <c r="CW772" s="469">
        <f>BE772</f>
        <v>-8.7496984475660899E-2</v>
      </c>
      <c r="CX772" s="469">
        <f>BJ772</f>
        <v>-5.6242308910684623E-2</v>
      </c>
      <c r="CY772" s="469">
        <f>BO772</f>
        <v>9.9999999999999117E-3</v>
      </c>
      <c r="CZ772" s="469">
        <f>BT772</f>
        <v>-5.8838555469793656E-2</v>
      </c>
      <c r="DA772" s="469">
        <f t="shared" si="1695"/>
        <v>2.3716829837883119E-2</v>
      </c>
      <c r="DB772" s="469">
        <f t="shared" si="1695"/>
        <v>-1.4999999999999999E-2</v>
      </c>
      <c r="DC772" s="1463">
        <f t="shared" si="1695"/>
        <v>5.0000000000000001E-3</v>
      </c>
      <c r="DD772" s="492"/>
      <c r="DE772" s="492"/>
      <c r="DF772" s="962"/>
      <c r="DG772" s="962"/>
      <c r="DH772" s="469"/>
      <c r="DI772" s="3213"/>
      <c r="DJ772" s="962"/>
      <c r="DK772" s="962"/>
      <c r="DL772" s="962"/>
      <c r="DM772" s="962"/>
      <c r="DN772" s="962"/>
      <c r="DO772" s="962"/>
      <c r="DP772" s="962"/>
      <c r="DQ772" s="962"/>
      <c r="DR772" s="963"/>
      <c r="DS772" s="963"/>
      <c r="DT772" s="963"/>
    </row>
    <row r="773" spans="1:130" ht="5.0999999999999996" customHeight="1" x14ac:dyDescent="0.25">
      <c r="A773" s="281"/>
      <c r="B773" s="281"/>
      <c r="C773" s="446"/>
      <c r="D773" s="446"/>
      <c r="E773" s="446"/>
      <c r="F773" s="446"/>
      <c r="G773" s="447"/>
      <c r="H773" s="446"/>
      <c r="I773" s="446"/>
      <c r="J773" s="446"/>
      <c r="K773" s="446"/>
      <c r="L773" s="447"/>
      <c r="M773" s="446"/>
      <c r="N773" s="446"/>
      <c r="O773" s="446"/>
      <c r="P773" s="446"/>
      <c r="Q773" s="447"/>
      <c r="R773" s="446"/>
      <c r="S773" s="446"/>
      <c r="T773" s="446"/>
      <c r="U773" s="446"/>
      <c r="V773" s="447"/>
      <c r="W773" s="446"/>
      <c r="X773" s="446"/>
      <c r="Y773" s="446"/>
      <c r="Z773" s="446"/>
      <c r="AA773" s="447"/>
      <c r="AB773" s="454"/>
      <c r="AC773" s="454"/>
      <c r="AD773" s="454"/>
      <c r="AE773" s="454"/>
      <c r="AF773" s="455"/>
      <c r="AG773" s="454"/>
      <c r="AH773" s="454"/>
      <c r="AI773" s="454"/>
      <c r="AJ773" s="454"/>
      <c r="AK773" s="455"/>
      <c r="AL773" s="454"/>
      <c r="AM773" s="454"/>
      <c r="AN773" s="454"/>
      <c r="AO773" s="454"/>
      <c r="AP773" s="456"/>
      <c r="AQ773" s="456"/>
      <c r="AR773" s="454"/>
      <c r="AS773" s="454"/>
      <c r="AT773" s="454"/>
      <c r="AU773" s="1690"/>
      <c r="AV773" s="1902"/>
      <c r="AW773" s="1837"/>
      <c r="AX773" s="1837"/>
      <c r="AY773" s="1903"/>
      <c r="AZ773" s="1690"/>
      <c r="BA773" s="569"/>
      <c r="BB773" s="442"/>
      <c r="BC773" s="442"/>
      <c r="BD773" s="1312"/>
      <c r="BE773" s="1903"/>
      <c r="BF773" s="442"/>
      <c r="BG773" s="442"/>
      <c r="BH773" s="442"/>
      <c r="BI773" s="442"/>
      <c r="BJ773" s="1690"/>
      <c r="BK773" s="442"/>
      <c r="BL773" s="442"/>
      <c r="BM773" s="442"/>
      <c r="BN773" s="1312"/>
      <c r="BO773" s="1903"/>
      <c r="BP773" s="442"/>
      <c r="BQ773" s="442"/>
      <c r="BR773" s="442"/>
      <c r="BS773" s="1312"/>
      <c r="BT773" s="3016"/>
      <c r="BU773" s="3298"/>
      <c r="BV773" s="3298"/>
      <c r="BW773" s="3298"/>
      <c r="BX773" s="3298"/>
      <c r="BY773" s="3236"/>
      <c r="BZ773" s="441"/>
      <c r="CA773" s="441"/>
      <c r="CB773" s="441"/>
      <c r="CC773" s="441"/>
      <c r="CD773" s="441"/>
      <c r="CE773" s="441"/>
      <c r="CF773" s="441"/>
      <c r="CG773" s="331"/>
      <c r="CH773" s="331"/>
      <c r="CI773" s="331"/>
      <c r="CJ773" s="331"/>
      <c r="CK773" s="331"/>
      <c r="CL773" s="520"/>
      <c r="CM773" s="454"/>
      <c r="CN773" s="454"/>
      <c r="CO773" s="454"/>
      <c r="CP773" s="454"/>
      <c r="CQ773" s="454"/>
      <c r="CR773" s="454"/>
      <c r="CS773" s="454"/>
      <c r="CT773" s="454"/>
      <c r="CU773" s="454"/>
      <c r="CV773" s="454"/>
      <c r="CW773" s="454"/>
      <c r="CX773" s="454"/>
      <c r="CY773" s="454"/>
      <c r="CZ773" s="454"/>
      <c r="DA773" s="454"/>
      <c r="DB773" s="454"/>
      <c r="DC773" s="1666"/>
      <c r="DD773" s="331"/>
      <c r="DE773" s="331"/>
      <c r="DF773" s="502"/>
      <c r="DG773" s="503"/>
      <c r="DH773" s="3298"/>
      <c r="DI773" s="3213"/>
      <c r="DJ773" s="502"/>
      <c r="DK773" s="503"/>
      <c r="DL773" s="502"/>
      <c r="DM773" s="502"/>
      <c r="DN773" s="502"/>
      <c r="DO773" s="502"/>
      <c r="DP773" s="503"/>
      <c r="DQ773" s="503"/>
      <c r="DR773" s="296"/>
      <c r="DS773" s="296"/>
      <c r="DT773" s="296"/>
    </row>
    <row r="774" spans="1:130" ht="12" customHeight="1" x14ac:dyDescent="0.25">
      <c r="A774" s="999" t="s">
        <v>2010</v>
      </c>
      <c r="B774" s="1007"/>
      <c r="C774" s="1001">
        <v>4.8949999999999996</v>
      </c>
      <c r="D774" s="1001">
        <v>3.8319999999999999</v>
      </c>
      <c r="E774" s="1001">
        <v>3.3610000000000002</v>
      </c>
      <c r="F774" s="1001">
        <v>3.8140000000000001</v>
      </c>
      <c r="G774" s="1002">
        <f>SUM(C774:F774)</f>
        <v>15.902000000000001</v>
      </c>
      <c r="H774" s="1001">
        <v>4.819</v>
      </c>
      <c r="I774" s="1001">
        <v>3.7949999999999999</v>
      </c>
      <c r="J774" s="1001">
        <v>2.355</v>
      </c>
      <c r="K774" s="1001">
        <v>-0.122</v>
      </c>
      <c r="L774" s="1002">
        <f>SUM(H774:K774)</f>
        <v>10.847000000000001</v>
      </c>
      <c r="M774" s="1001">
        <v>0</v>
      </c>
      <c r="N774" s="1001">
        <v>0.26200000000000001</v>
      </c>
      <c r="O774" s="1001">
        <v>12.456</v>
      </c>
      <c r="P774" s="1001">
        <v>5.6909999999999998</v>
      </c>
      <c r="Q774" s="1002">
        <f>SUM(M774:P774)</f>
        <v>18.408999999999999</v>
      </c>
      <c r="R774" s="1001">
        <v>8.0820000000000007</v>
      </c>
      <c r="S774" s="1001">
        <v>7.2649999999999997</v>
      </c>
      <c r="T774" s="1001">
        <v>5.0490000000000004</v>
      </c>
      <c r="U774" s="1001">
        <v>3.6389999999999998</v>
      </c>
      <c r="V774" s="1002">
        <f>SUM(R774:U774)</f>
        <v>24.035</v>
      </c>
      <c r="W774" s="1001">
        <v>6.8150000000000004</v>
      </c>
      <c r="X774" s="1001">
        <v>5.1239999999999997</v>
      </c>
      <c r="Y774" s="1001">
        <v>4.593</v>
      </c>
      <c r="Z774" s="1001">
        <v>4.5309999999999997</v>
      </c>
      <c r="AA774" s="1002">
        <f>SUM(W774:Z774)</f>
        <v>21.062999999999999</v>
      </c>
      <c r="AB774" s="1003">
        <v>6.7489999999999997</v>
      </c>
      <c r="AC774" s="1003">
        <v>4.79</v>
      </c>
      <c r="AD774" s="1003">
        <v>4.7270000000000003</v>
      </c>
      <c r="AE774" s="1003">
        <v>3.56</v>
      </c>
      <c r="AF774" s="1004">
        <f>SUM(AB774:AE774)</f>
        <v>19.825999999999997</v>
      </c>
      <c r="AG774" s="1003">
        <v>5.2149999999999999</v>
      </c>
      <c r="AH774" s="1003">
        <v>4.0590000000000002</v>
      </c>
      <c r="AI774" s="1003">
        <v>4.5140000000000002</v>
      </c>
      <c r="AJ774" s="1003">
        <v>3.9209999999999998</v>
      </c>
      <c r="AK774" s="1004">
        <f>SUM(AG774:AJ774)</f>
        <v>17.709</v>
      </c>
      <c r="AL774" s="1003">
        <v>5.7430000000000003</v>
      </c>
      <c r="AM774" s="1003">
        <v>4.6929999999999996</v>
      </c>
      <c r="AN774" s="1592">
        <f>AN767-AN770</f>
        <v>4.7429099999999984</v>
      </c>
      <c r="AO774" s="1015">
        <f>AO767-AO770</f>
        <v>3.1843499999999985</v>
      </c>
      <c r="AP774" s="1006">
        <f>SUM(AL774:AO774)</f>
        <v>18.363259999999997</v>
      </c>
      <c r="AQ774" s="1006">
        <f>AQ767-AQ770</f>
        <v>4.8003499999999999</v>
      </c>
      <c r="AR774" s="1015">
        <f>AR767-AR770</f>
        <v>4.2525200000000005</v>
      </c>
      <c r="AS774" s="1015">
        <f>AS767-AS770</f>
        <v>3.0781826999999975</v>
      </c>
      <c r="AT774" s="1015">
        <f>AT767-AT770</f>
        <v>1.7955269999999999</v>
      </c>
      <c r="AU774" s="1698">
        <f>SUM(AQ774:AT774)</f>
        <v>13.926579699999998</v>
      </c>
      <c r="AV774" s="1915">
        <f>AV767-AV770</f>
        <v>2.3215387499999984</v>
      </c>
      <c r="AW774" s="1843">
        <f>AW767-AW770</f>
        <v>2.8364488000000012</v>
      </c>
      <c r="AX774" s="1843">
        <f>AX767-AX770</f>
        <v>1.7680472459999983</v>
      </c>
      <c r="AY774" s="1910">
        <f>AY767-AY770</f>
        <v>1.5387175800000001</v>
      </c>
      <c r="AZ774" s="1698">
        <f>SUM(AV774:AY774)</f>
        <v>8.4647523759999981</v>
      </c>
      <c r="BA774" s="1006">
        <f>BA767-BA770</f>
        <v>2.6804264249999967</v>
      </c>
      <c r="BB774" s="1015">
        <f>BB767-BB770</f>
        <v>3.0020234400000003</v>
      </c>
      <c r="BC774" s="1015">
        <f>BC767-BC770</f>
        <v>2.1270688487999969</v>
      </c>
      <c r="BD774" s="1871">
        <f>BD767-BD770</f>
        <v>2.0472043544999998</v>
      </c>
      <c r="BE774" s="1910">
        <f>SUM(BA774:BD774)</f>
        <v>9.8567230682999938</v>
      </c>
      <c r="BF774" s="1015">
        <f>BF767-BF770</f>
        <v>3.2433156464999975</v>
      </c>
      <c r="BG774" s="1015">
        <f>BG767-BG770</f>
        <v>3.6874705752000008</v>
      </c>
      <c r="BH774" s="1015">
        <f>BH767-BH770</f>
        <v>2.8297899327599989</v>
      </c>
      <c r="BI774" s="1015">
        <f>BI767-BI770</f>
        <v>2.281051845224999</v>
      </c>
      <c r="BJ774" s="1698">
        <f>SUM(BF774:BI774)</f>
        <v>12.041627999684996</v>
      </c>
      <c r="BK774" s="1015">
        <f>BK767-BK770</f>
        <v>2.1187554167624985</v>
      </c>
      <c r="BL774" s="1015">
        <f>BL767-BL770</f>
        <v>2.5288149114000014</v>
      </c>
      <c r="BM774" s="1015">
        <f>BM767-BM770</f>
        <v>1.7004370305635987</v>
      </c>
      <c r="BN774" s="1871">
        <f>BN767-BN770</f>
        <v>1.1893338101655004</v>
      </c>
      <c r="BO774" s="1910">
        <f>SUM(BK774:BN774)</f>
        <v>7.537341168891599</v>
      </c>
      <c r="BP774" s="1015">
        <f>BP767-BP770</f>
        <v>1.8657219879641236</v>
      </c>
      <c r="BQ774" s="1015">
        <f>BQ767-BQ770</f>
        <v>2.1421704971628017</v>
      </c>
      <c r="BR774" s="1015">
        <f>BR767-BR770</f>
        <v>1.7413948250836189</v>
      </c>
      <c r="BS774" s="1871">
        <f>BS767-BS770</f>
        <v>0.79691644734474387</v>
      </c>
      <c r="BT774" s="1871">
        <f>SUM(BP774:BS774)</f>
        <v>6.546203757555288</v>
      </c>
      <c r="BU774" s="1015">
        <f>BU767-BU770</f>
        <v>1.7367232328725155</v>
      </c>
      <c r="BV774" s="1015">
        <f>BV767-BV770</f>
        <v>2.1635922021344314</v>
      </c>
      <c r="BW774" s="1015">
        <f>BW767-BW770</f>
        <v>1.7588087733344544</v>
      </c>
      <c r="BX774" s="1015">
        <f>BX767-BX770</f>
        <v>1.3825534584170001</v>
      </c>
      <c r="BY774" s="1004">
        <f>SUM(BU774:BX774)</f>
        <v>7.0416776667584013</v>
      </c>
      <c r="BZ774" s="1004">
        <f t="shared" ref="BZ774:CF774" si="1703">BZ767-BZ770</f>
        <v>7.9014406241678259</v>
      </c>
      <c r="CA774" s="1004">
        <f t="shared" si="1703"/>
        <v>7.6983940615329516</v>
      </c>
      <c r="CB774" s="1004">
        <f t="shared" si="1703"/>
        <v>6.4972271766641043</v>
      </c>
      <c r="CC774" s="1004">
        <f t="shared" si="1703"/>
        <v>5.3806060514924638</v>
      </c>
      <c r="CD774" s="1004">
        <f t="shared" si="1703"/>
        <v>5.8722216591964553</v>
      </c>
      <c r="CE774" s="1004">
        <f t="shared" si="1703"/>
        <v>6.3775096139212692</v>
      </c>
      <c r="CF774" s="1004">
        <f t="shared" si="1703"/>
        <v>6.8967817629559818</v>
      </c>
      <c r="CG774" s="502"/>
      <c r="CH774" s="502"/>
      <c r="CI774" s="502"/>
      <c r="CJ774" s="502"/>
      <c r="CK774" s="502"/>
      <c r="CL774" s="2221" t="str">
        <f>A774</f>
        <v>Property EBITDA</v>
      </c>
      <c r="CM774" s="1015">
        <f>G774</f>
        <v>15.902000000000001</v>
      </c>
      <c r="CN774" s="1015">
        <f>L774</f>
        <v>10.847000000000001</v>
      </c>
      <c r="CO774" s="1015">
        <f>Q774</f>
        <v>18.408999999999999</v>
      </c>
      <c r="CP774" s="1015">
        <f>V774</f>
        <v>24.035</v>
      </c>
      <c r="CQ774" s="1015">
        <f>AA774</f>
        <v>21.062999999999999</v>
      </c>
      <c r="CR774" s="1015">
        <f>AF774</f>
        <v>19.825999999999997</v>
      </c>
      <c r="CS774" s="1015">
        <f>AK774</f>
        <v>17.709</v>
      </c>
      <c r="CT774" s="1015">
        <f>AP774</f>
        <v>18.363259999999997</v>
      </c>
      <c r="CU774" s="1015">
        <f>AU774</f>
        <v>13.926579699999998</v>
      </c>
      <c r="CV774" s="1015">
        <f>AZ774</f>
        <v>8.4647523759999981</v>
      </c>
      <c r="CW774" s="1015">
        <f>BE774</f>
        <v>9.8567230682999938</v>
      </c>
      <c r="CX774" s="1015">
        <f>BJ774</f>
        <v>12.041627999684996</v>
      </c>
      <c r="CY774" s="1015">
        <f>BO774</f>
        <v>7.537341168891599</v>
      </c>
      <c r="CZ774" s="1015">
        <f>BT774</f>
        <v>6.546203757555288</v>
      </c>
      <c r="DA774" s="1015">
        <f t="shared" ref="DA774:DC778" si="1704">BY774</f>
        <v>7.0416776667584013</v>
      </c>
      <c r="DB774" s="1015">
        <f t="shared" si="1704"/>
        <v>7.9014406241678259</v>
      </c>
      <c r="DC774" s="1871">
        <f t="shared" si="1704"/>
        <v>7.6983940615329516</v>
      </c>
      <c r="DD774" s="502"/>
      <c r="DE774" s="502"/>
      <c r="DF774" s="502"/>
      <c r="DG774" s="503"/>
      <c r="DH774" s="463"/>
      <c r="DI774" s="3213"/>
      <c r="DJ774" s="502"/>
      <c r="DK774" s="503"/>
      <c r="DL774" s="502"/>
      <c r="DM774" s="502"/>
      <c r="DN774" s="502"/>
      <c r="DO774" s="502"/>
      <c r="DP774" s="503"/>
      <c r="DQ774" s="503"/>
      <c r="DR774" s="719"/>
      <c r="DS774" s="719"/>
      <c r="DT774" s="719"/>
    </row>
    <row r="775" spans="1:130" ht="12" customHeight="1" x14ac:dyDescent="0.25">
      <c r="A775" s="465" t="s">
        <v>1892</v>
      </c>
      <c r="B775" s="466"/>
      <c r="C775" s="467">
        <f t="shared" ref="C775:J775" si="1705">C774/C767</f>
        <v>0.24980862464914519</v>
      </c>
      <c r="D775" s="467">
        <f t="shared" si="1705"/>
        <v>0.22057215219018014</v>
      </c>
      <c r="E775" s="467">
        <f t="shared" si="1705"/>
        <v>0.19986917221693629</v>
      </c>
      <c r="F775" s="467">
        <f t="shared" si="1705"/>
        <v>0.22966219064250015</v>
      </c>
      <c r="G775" s="468">
        <f t="shared" si="1705"/>
        <v>0.22590956230199882</v>
      </c>
      <c r="H775" s="467">
        <f t="shared" si="1705"/>
        <v>0.26385238720981163</v>
      </c>
      <c r="I775" s="467">
        <f t="shared" si="1705"/>
        <v>0.22601393603716274</v>
      </c>
      <c r="J775" s="467">
        <f t="shared" si="1705"/>
        <v>0.21841958820255983</v>
      </c>
      <c r="K775" s="467" t="s">
        <v>553</v>
      </c>
      <c r="L775" s="468">
        <f>L774/L767</f>
        <v>0.23664288675087813</v>
      </c>
      <c r="M775" s="467" t="s">
        <v>553</v>
      </c>
      <c r="N775" s="467">
        <f t="shared" ref="N775:AU775" si="1706">N774/N767</f>
        <v>0.25940594059405941</v>
      </c>
      <c r="O775" s="467">
        <f t="shared" si="1706"/>
        <v>0.44601998066387366</v>
      </c>
      <c r="P775" s="467">
        <f t="shared" si="1706"/>
        <v>0.25311332503113321</v>
      </c>
      <c r="Q775" s="468">
        <f t="shared" si="1706"/>
        <v>0.35800548414072064</v>
      </c>
      <c r="R775" s="467">
        <f t="shared" si="1706"/>
        <v>0.33581252337225248</v>
      </c>
      <c r="S775" s="467">
        <f t="shared" si="1706"/>
        <v>0.32045344272418508</v>
      </c>
      <c r="T775" s="467">
        <f t="shared" si="1706"/>
        <v>0.24203058338526437</v>
      </c>
      <c r="U775" s="467">
        <f t="shared" si="1706"/>
        <v>0.19606681034482759</v>
      </c>
      <c r="V775" s="468">
        <f t="shared" si="1706"/>
        <v>0.27896099072644759</v>
      </c>
      <c r="W775" s="467">
        <f t="shared" si="1706"/>
        <v>0.3300561797752809</v>
      </c>
      <c r="X775" s="467">
        <f t="shared" si="1706"/>
        <v>0.27028167528220276</v>
      </c>
      <c r="Y775" s="467">
        <f t="shared" si="1706"/>
        <v>0.25498251262976734</v>
      </c>
      <c r="Z775" s="467">
        <f t="shared" si="1706"/>
        <v>0.25058068797699368</v>
      </c>
      <c r="AA775" s="468">
        <f t="shared" si="1706"/>
        <v>0.27823938917583652</v>
      </c>
      <c r="AB775" s="467">
        <f t="shared" si="1706"/>
        <v>0.3384144812716241</v>
      </c>
      <c r="AC775" s="467">
        <f t="shared" si="1706"/>
        <v>0.25318462920873197</v>
      </c>
      <c r="AD775" s="467">
        <f t="shared" si="1706"/>
        <v>0.25784105165548471</v>
      </c>
      <c r="AE775" s="469">
        <f t="shared" si="1706"/>
        <v>0.21335251108713893</v>
      </c>
      <c r="AF775" s="470">
        <f t="shared" si="1706"/>
        <v>0.26835045546216207</v>
      </c>
      <c r="AG775" s="467">
        <f t="shared" si="1706"/>
        <v>0.28642829680891962</v>
      </c>
      <c r="AH775" s="467">
        <f t="shared" si="1706"/>
        <v>0.23722969023962598</v>
      </c>
      <c r="AI775" s="467">
        <f t="shared" si="1706"/>
        <v>0.24707170224411606</v>
      </c>
      <c r="AJ775" s="469">
        <f t="shared" si="1706"/>
        <v>0.22487955953200275</v>
      </c>
      <c r="AK775" s="470">
        <f t="shared" si="1706"/>
        <v>0.2493417625276319</v>
      </c>
      <c r="AL775" s="467">
        <f t="shared" si="1706"/>
        <v>0.30461995438391765</v>
      </c>
      <c r="AM775" s="467">
        <f t="shared" si="1706"/>
        <v>0.2707864520223876</v>
      </c>
      <c r="AN775" s="467">
        <f t="shared" si="1706"/>
        <v>0.25830943803151724</v>
      </c>
      <c r="AO775" s="469">
        <f t="shared" si="1706"/>
        <v>0.19224290940703437</v>
      </c>
      <c r="AP775" s="471">
        <f t="shared" si="1706"/>
        <v>0.25823901290333012</v>
      </c>
      <c r="AQ775" s="471">
        <f t="shared" si="1706"/>
        <v>0.26802100461465017</v>
      </c>
      <c r="AR775" s="469">
        <f t="shared" si="1706"/>
        <v>0.25559450310618742</v>
      </c>
      <c r="AS775" s="469">
        <f t="shared" si="1706"/>
        <v>0.19722903881058329</v>
      </c>
      <c r="AT775" s="469">
        <f t="shared" si="1706"/>
        <v>0.12044227913210416</v>
      </c>
      <c r="AU775" s="1689">
        <f t="shared" si="1706"/>
        <v>0.21404748740788498</v>
      </c>
      <c r="AV775" s="1730">
        <f t="shared" ref="AV775:BJ775" si="1707">AV774/AV767</f>
        <v>0.15711509622293041</v>
      </c>
      <c r="AW775" s="1465">
        <f t="shared" si="1707"/>
        <v>0.18942512560451522</v>
      </c>
      <c r="AX775" s="1465">
        <f t="shared" si="1707"/>
        <v>0.12587162003819072</v>
      </c>
      <c r="AY775" s="1868">
        <f t="shared" si="1707"/>
        <v>0.11098466923029886</v>
      </c>
      <c r="AZ775" s="1689">
        <f t="shared" si="1707"/>
        <v>0.14680282604799655</v>
      </c>
      <c r="BA775" s="471">
        <f t="shared" si="1707"/>
        <v>0.19298253893684816</v>
      </c>
      <c r="BB775" s="469">
        <f t="shared" si="1707"/>
        <v>0.21557270219791791</v>
      </c>
      <c r="BC775" s="469">
        <f t="shared" si="1707"/>
        <v>0.15774088389096491</v>
      </c>
      <c r="BD775" s="1463">
        <f t="shared" si="1707"/>
        <v>0.15222764849281073</v>
      </c>
      <c r="BE775" s="1868">
        <f t="shared" si="1707"/>
        <v>0.18003750463870125</v>
      </c>
      <c r="BF775" s="469">
        <f t="shared" si="1707"/>
        <v>0.23827433522100469</v>
      </c>
      <c r="BG775" s="469">
        <f t="shared" si="1707"/>
        <v>0.26217234365150699</v>
      </c>
      <c r="BH775" s="469">
        <f t="shared" si="1707"/>
        <v>0.20777607890734337</v>
      </c>
      <c r="BI775" s="469">
        <f t="shared" si="1707"/>
        <v>0.17396540109555914</v>
      </c>
      <c r="BJ775" s="1689">
        <f t="shared" si="1707"/>
        <v>0.2213198026885507</v>
      </c>
      <c r="BK775" s="469">
        <f t="shared" ref="BK775:BU775" si="1708">BK774/BK767</f>
        <v>0.1682779227818538</v>
      </c>
      <c r="BL775" s="469">
        <f t="shared" si="1708"/>
        <v>0.19437196441948329</v>
      </c>
      <c r="BM775" s="469">
        <f t="shared" si="1708"/>
        <v>0.13497712399612624</v>
      </c>
      <c r="BN775" s="1463">
        <f t="shared" si="1708"/>
        <v>9.8059519034070078E-2</v>
      </c>
      <c r="BO775" s="1868">
        <f t="shared" si="1708"/>
        <v>0.14976540617884998</v>
      </c>
      <c r="BP775" s="469">
        <f t="shared" si="1708"/>
        <v>0.15933467463972323</v>
      </c>
      <c r="BQ775" s="469">
        <f t="shared" si="1708"/>
        <v>0.17704663032097762</v>
      </c>
      <c r="BR775" s="469">
        <f t="shared" si="1708"/>
        <v>0.14398777895449993</v>
      </c>
      <c r="BS775" s="1463">
        <f t="shared" si="1708"/>
        <v>7.3005616785016436E-2</v>
      </c>
      <c r="BT775" s="1463">
        <f t="shared" si="1708"/>
        <v>0.13981999946212331</v>
      </c>
      <c r="BU775" s="469">
        <f t="shared" si="1708"/>
        <v>0.14684954604526373</v>
      </c>
      <c r="BV775" s="469">
        <f t="shared" ref="BV775:CF775" si="1709">BV774/BV767</f>
        <v>0.17704663032097773</v>
      </c>
      <c r="BW775" s="469">
        <f t="shared" si="1709"/>
        <v>0.14398777895449988</v>
      </c>
      <c r="BX775" s="469">
        <f t="shared" si="1709"/>
        <v>0.11514172511297024</v>
      </c>
      <c r="BY775" s="470">
        <f t="shared" si="1709"/>
        <v>0.14588283206082245</v>
      </c>
      <c r="BZ775" s="470">
        <f t="shared" si="1709"/>
        <v>0.1628801886367264</v>
      </c>
      <c r="CA775" s="470">
        <f t="shared" si="1709"/>
        <v>0.15869458957991006</v>
      </c>
      <c r="CB775" s="470">
        <f t="shared" si="1709"/>
        <v>0.1409828967289608</v>
      </c>
      <c r="CC775" s="470">
        <f t="shared" si="1709"/>
        <v>0.12289832613378099</v>
      </c>
      <c r="CD775" s="470">
        <f t="shared" si="1709"/>
        <v>0.1314973621520773</v>
      </c>
      <c r="CE775" s="470">
        <f t="shared" si="1709"/>
        <v>0.14001209389568448</v>
      </c>
      <c r="CF775" s="470">
        <f t="shared" si="1709"/>
        <v>0.14844334787709926</v>
      </c>
      <c r="CG775" s="492"/>
      <c r="CH775" s="492"/>
      <c r="CI775" s="492"/>
      <c r="CJ775" s="492"/>
      <c r="CK775" s="492"/>
      <c r="CL775" s="1310" t="str">
        <f>A775</f>
        <v>Margin</v>
      </c>
      <c r="CM775" s="469">
        <f>G775</f>
        <v>0.22590956230199882</v>
      </c>
      <c r="CN775" s="469">
        <f>L775</f>
        <v>0.23664288675087813</v>
      </c>
      <c r="CO775" s="469">
        <f>Q775</f>
        <v>0.35800548414072064</v>
      </c>
      <c r="CP775" s="469">
        <f>V775</f>
        <v>0.27896099072644759</v>
      </c>
      <c r="CQ775" s="469">
        <f>AA775</f>
        <v>0.27823938917583652</v>
      </c>
      <c r="CR775" s="469">
        <f>AF775</f>
        <v>0.26835045546216207</v>
      </c>
      <c r="CS775" s="469">
        <f>AK775</f>
        <v>0.2493417625276319</v>
      </c>
      <c r="CT775" s="469">
        <f>AP775</f>
        <v>0.25823901290333012</v>
      </c>
      <c r="CU775" s="469">
        <f>AU775</f>
        <v>0.21404748740788498</v>
      </c>
      <c r="CV775" s="469">
        <f>AZ775</f>
        <v>0.14680282604799655</v>
      </c>
      <c r="CW775" s="469">
        <f>BE775</f>
        <v>0.18003750463870125</v>
      </c>
      <c r="CX775" s="469">
        <f>BJ775</f>
        <v>0.2213198026885507</v>
      </c>
      <c r="CY775" s="469">
        <f>BO775</f>
        <v>0.14976540617884998</v>
      </c>
      <c r="CZ775" s="469">
        <f>BT775</f>
        <v>0.13981999946212331</v>
      </c>
      <c r="DA775" s="469">
        <f t="shared" si="1704"/>
        <v>0.14588283206082245</v>
      </c>
      <c r="DB775" s="469">
        <f t="shared" si="1704"/>
        <v>0.1628801886367264</v>
      </c>
      <c r="DC775" s="1463">
        <f t="shared" si="1704"/>
        <v>0.15869458957991006</v>
      </c>
      <c r="DD775" s="492"/>
      <c r="DE775" s="492"/>
      <c r="DF775" s="962"/>
      <c r="DG775" s="962"/>
      <c r="DH775" s="469"/>
      <c r="DI775" s="3213"/>
      <c r="DJ775" s="962"/>
      <c r="DK775" s="962"/>
      <c r="DL775" s="962"/>
      <c r="DM775" s="962"/>
      <c r="DN775" s="962"/>
      <c r="DO775" s="962"/>
      <c r="DP775" s="962"/>
      <c r="DQ775" s="962"/>
      <c r="DR775" s="963"/>
      <c r="DS775" s="963"/>
      <c r="DT775" s="963"/>
    </row>
    <row r="776" spans="1:130" ht="12" customHeight="1" x14ac:dyDescent="0.25">
      <c r="A776" s="465" t="s">
        <v>1491</v>
      </c>
      <c r="B776" s="466"/>
      <c r="C776" s="467" t="s">
        <v>553</v>
      </c>
      <c r="D776" s="467" t="s">
        <v>553</v>
      </c>
      <c r="E776" s="467" t="s">
        <v>553</v>
      </c>
      <c r="F776" s="467" t="s">
        <v>553</v>
      </c>
      <c r="G776" s="468" t="s">
        <v>553</v>
      </c>
      <c r="H776" s="467">
        <f t="shared" ref="H776:AF776" si="1710">(H774-C774)/C774</f>
        <v>-1.5526046986721068E-2</v>
      </c>
      <c r="I776" s="467">
        <f t="shared" si="1710"/>
        <v>-9.6555323590813997E-3</v>
      </c>
      <c r="J776" s="467">
        <f t="shared" si="1710"/>
        <v>-0.29931567985718543</v>
      </c>
      <c r="K776" s="467">
        <f t="shared" si="1710"/>
        <v>-1.0319874147876245</v>
      </c>
      <c r="L776" s="468">
        <f t="shared" si="1710"/>
        <v>-0.31788454282480189</v>
      </c>
      <c r="M776" s="467">
        <f t="shared" si="1710"/>
        <v>-1</v>
      </c>
      <c r="N776" s="467">
        <f t="shared" si="1710"/>
        <v>-0.93096179183135708</v>
      </c>
      <c r="O776" s="467">
        <f t="shared" si="1710"/>
        <v>4.2891719745222927</v>
      </c>
      <c r="P776" s="467" t="s">
        <v>553</v>
      </c>
      <c r="Q776" s="468">
        <f t="shared" si="1710"/>
        <v>0.69715128606988075</v>
      </c>
      <c r="R776" s="467" t="s">
        <v>553</v>
      </c>
      <c r="S776" s="467" t="s">
        <v>553</v>
      </c>
      <c r="T776" s="467">
        <f t="shared" si="1710"/>
        <v>-0.59465317919075145</v>
      </c>
      <c r="U776" s="467">
        <f t="shared" si="1710"/>
        <v>-0.36056931997891412</v>
      </c>
      <c r="V776" s="468">
        <f t="shared" si="1710"/>
        <v>0.30561138573523827</v>
      </c>
      <c r="W776" s="467">
        <f t="shared" si="1710"/>
        <v>-0.15676812670131157</v>
      </c>
      <c r="X776" s="467">
        <f t="shared" si="1710"/>
        <v>-0.29470061940812114</v>
      </c>
      <c r="Y776" s="467">
        <f t="shared" si="1710"/>
        <v>-9.0314913844325689E-2</v>
      </c>
      <c r="Z776" s="467">
        <f t="shared" si="1710"/>
        <v>0.24512228634240174</v>
      </c>
      <c r="AA776" s="468">
        <f t="shared" si="1710"/>
        <v>-0.12365300603286879</v>
      </c>
      <c r="AB776" s="467">
        <f t="shared" si="1710"/>
        <v>-9.6845194424065618E-3</v>
      </c>
      <c r="AC776" s="467">
        <f t="shared" si="1710"/>
        <v>-6.5183450429352002E-2</v>
      </c>
      <c r="AD776" s="467">
        <f t="shared" si="1710"/>
        <v>2.9174831264968504E-2</v>
      </c>
      <c r="AE776" s="469">
        <f t="shared" si="1710"/>
        <v>-0.21430147870227317</v>
      </c>
      <c r="AF776" s="470">
        <f t="shared" si="1710"/>
        <v>-5.8728576176233296E-2</v>
      </c>
      <c r="AG776" s="467">
        <f>(AG774-AB774)/AB774</f>
        <v>-0.22729293228626463</v>
      </c>
      <c r="AH776" s="467">
        <f t="shared" ref="AH776:AU776" si="1711">(AH774-AC774)/AC774</f>
        <v>-0.15260960334029225</v>
      </c>
      <c r="AI776" s="467">
        <f t="shared" si="1711"/>
        <v>-4.5060291939919624E-2</v>
      </c>
      <c r="AJ776" s="469">
        <f t="shared" si="1711"/>
        <v>0.1014044943820224</v>
      </c>
      <c r="AK776" s="470">
        <f t="shared" si="1711"/>
        <v>-0.10677897710077663</v>
      </c>
      <c r="AL776" s="467">
        <f t="shared" si="1711"/>
        <v>0.10124640460210939</v>
      </c>
      <c r="AM776" s="467">
        <f t="shared" si="1711"/>
        <v>0.15619610741561946</v>
      </c>
      <c r="AN776" s="467">
        <f t="shared" si="1711"/>
        <v>5.0711120957022189E-2</v>
      </c>
      <c r="AO776" s="469">
        <f t="shared" si="1711"/>
        <v>-0.18787299158378001</v>
      </c>
      <c r="AP776" s="471">
        <f t="shared" si="1711"/>
        <v>3.6945056186119894E-2</v>
      </c>
      <c r="AQ776" s="471">
        <f t="shared" si="1711"/>
        <v>-0.16413895176736903</v>
      </c>
      <c r="AR776" s="469">
        <f t="shared" si="1711"/>
        <v>-9.3858938845088238E-2</v>
      </c>
      <c r="AS776" s="469">
        <f t="shared" si="1711"/>
        <v>-0.35099280821267986</v>
      </c>
      <c r="AT776" s="469">
        <f t="shared" si="1711"/>
        <v>-0.4361401855951762</v>
      </c>
      <c r="AU776" s="1689">
        <f t="shared" si="1711"/>
        <v>-0.24160635420943774</v>
      </c>
      <c r="AV776" s="1730">
        <f t="shared" ref="AV776:BA776" si="1712">(AV774-AQ774)/AQ774</f>
        <v>-0.51638135760934134</v>
      </c>
      <c r="AW776" s="1465">
        <f t="shared" si="1712"/>
        <v>-0.33299577662186164</v>
      </c>
      <c r="AX776" s="1465">
        <f t="shared" si="1712"/>
        <v>-0.42561978338712653</v>
      </c>
      <c r="AY776" s="1868">
        <f t="shared" si="1712"/>
        <v>-0.14302732289739989</v>
      </c>
      <c r="AZ776" s="1689">
        <f t="shared" si="1712"/>
        <v>-0.39218727366346817</v>
      </c>
      <c r="BA776" s="471">
        <f t="shared" si="1712"/>
        <v>0.15459043059263972</v>
      </c>
      <c r="BB776" s="469">
        <f t="shared" ref="BB776:BJ776" si="1713">(BB774-AW774)/AW774</f>
        <v>5.8373921644557458E-2</v>
      </c>
      <c r="BC776" s="469">
        <f t="shared" si="1713"/>
        <v>0.2030610910495991</v>
      </c>
      <c r="BD776" s="1463">
        <f t="shared" si="1713"/>
        <v>0.33046140572462923</v>
      </c>
      <c r="BE776" s="1868">
        <f t="shared" si="1713"/>
        <v>0.16444316743944359</v>
      </c>
      <c r="BF776" s="469">
        <f t="shared" si="1713"/>
        <v>0.20999987772468012</v>
      </c>
      <c r="BG776" s="469">
        <f t="shared" si="1713"/>
        <v>0.22832837547730819</v>
      </c>
      <c r="BH776" s="469">
        <f t="shared" si="1713"/>
        <v>0.33037063391551608</v>
      </c>
      <c r="BI776" s="469">
        <f t="shared" si="1713"/>
        <v>0.11422772241128468</v>
      </c>
      <c r="BJ776" s="1689">
        <f t="shared" si="1713"/>
        <v>0.22166646219490843</v>
      </c>
      <c r="BK776" s="469">
        <f t="shared" ref="BK776:BT776" si="1714">(BK774-BF774)/BF774</f>
        <v>-0.34673166361438201</v>
      </c>
      <c r="BL776" s="469">
        <f t="shared" si="1714"/>
        <v>-0.3142142127431502</v>
      </c>
      <c r="BM776" s="469">
        <f t="shared" si="1714"/>
        <v>-0.39909425400170978</v>
      </c>
      <c r="BN776" s="1463">
        <f t="shared" si="1714"/>
        <v>-0.47860290301810893</v>
      </c>
      <c r="BO776" s="1868">
        <f t="shared" si="1714"/>
        <v>-0.37405962307681545</v>
      </c>
      <c r="BP776" s="469">
        <f t="shared" si="1714"/>
        <v>-0.1194255017811424</v>
      </c>
      <c r="BQ776" s="469">
        <f t="shared" si="1714"/>
        <v>-0.15289549760806564</v>
      </c>
      <c r="BR776" s="469">
        <f t="shared" si="1714"/>
        <v>2.4086628192544677E-2</v>
      </c>
      <c r="BS776" s="1463">
        <f t="shared" si="1714"/>
        <v>-0.32994720192655597</v>
      </c>
      <c r="BT776" s="1463">
        <f t="shared" si="1714"/>
        <v>-0.13149695484489557</v>
      </c>
      <c r="BU776" s="469">
        <f>(BU774-BP774)/BP774</f>
        <v>-6.914146690867462E-2</v>
      </c>
      <c r="BV776" s="469">
        <f>(BV774-BQ774)/BQ774</f>
        <v>1.0000000000000763E-2</v>
      </c>
      <c r="BW776" s="469">
        <f>(BW774-BR774)/BR774</f>
        <v>9.999999999999622E-3</v>
      </c>
      <c r="BX776" s="469">
        <f>(BX774-BS774)/BS774</f>
        <v>0.73487881072545014</v>
      </c>
      <c r="BY776" s="470">
        <f>(BY774-BT774)/BT774</f>
        <v>7.5688739237800701E-2</v>
      </c>
      <c r="BZ776" s="470">
        <f t="shared" ref="BZ776:CF776" si="1715">(BZ774-BY774)/BY774</f>
        <v>0.12209632392975066</v>
      </c>
      <c r="CA776" s="470">
        <f t="shared" si="1715"/>
        <v>-2.5697410420806525E-2</v>
      </c>
      <c r="CB776" s="470">
        <f t="shared" si="1715"/>
        <v>-0.1560282411198971</v>
      </c>
      <c r="CC776" s="470">
        <f t="shared" si="1715"/>
        <v>-0.17186117936312509</v>
      </c>
      <c r="CD776" s="470">
        <f t="shared" si="1715"/>
        <v>9.1368073224321625E-2</v>
      </c>
      <c r="CE776" s="470">
        <f t="shared" si="1715"/>
        <v>8.6047152857979245E-2</v>
      </c>
      <c r="CF776" s="470">
        <f t="shared" si="1715"/>
        <v>8.1422401606609796E-2</v>
      </c>
      <c r="CG776" s="492"/>
      <c r="CH776" s="492"/>
      <c r="CI776" s="492"/>
      <c r="CJ776" s="492"/>
      <c r="CK776" s="492"/>
      <c r="CL776" s="1310" t="str">
        <f>A776</f>
        <v>% growth (y-o-y)</v>
      </c>
      <c r="CM776" s="469" t="str">
        <f>G776</f>
        <v xml:space="preserve">n/a </v>
      </c>
      <c r="CN776" s="469">
        <f>L776</f>
        <v>-0.31788454282480189</v>
      </c>
      <c r="CO776" s="469">
        <f>Q776</f>
        <v>0.69715128606988075</v>
      </c>
      <c r="CP776" s="469">
        <f>V776</f>
        <v>0.30561138573523827</v>
      </c>
      <c r="CQ776" s="469">
        <f>AA776</f>
        <v>-0.12365300603286879</v>
      </c>
      <c r="CR776" s="469">
        <f>AF776</f>
        <v>-5.8728576176233296E-2</v>
      </c>
      <c r="CS776" s="469">
        <f>AK776</f>
        <v>-0.10677897710077663</v>
      </c>
      <c r="CT776" s="469">
        <f>AP776</f>
        <v>3.6945056186119894E-2</v>
      </c>
      <c r="CU776" s="469">
        <f>AU776</f>
        <v>-0.24160635420943774</v>
      </c>
      <c r="CV776" s="469">
        <f>AZ776</f>
        <v>-0.39218727366346817</v>
      </c>
      <c r="CW776" s="469">
        <f>BE776</f>
        <v>0.16444316743944359</v>
      </c>
      <c r="CX776" s="469">
        <f>BJ776</f>
        <v>0.22166646219490843</v>
      </c>
      <c r="CY776" s="469">
        <f>BO776</f>
        <v>-0.37405962307681545</v>
      </c>
      <c r="CZ776" s="469">
        <f>BT776</f>
        <v>-0.13149695484489557</v>
      </c>
      <c r="DA776" s="469">
        <f t="shared" si="1704"/>
        <v>7.5688739237800701E-2</v>
      </c>
      <c r="DB776" s="469">
        <f t="shared" si="1704"/>
        <v>0.12209632392975066</v>
      </c>
      <c r="DC776" s="1463">
        <f t="shared" si="1704"/>
        <v>-2.5697410420806525E-2</v>
      </c>
      <c r="DD776" s="492"/>
      <c r="DE776" s="492"/>
      <c r="DF776" s="962"/>
      <c r="DG776" s="962"/>
      <c r="DH776" s="469"/>
      <c r="DI776" s="3213"/>
      <c r="DJ776" s="962"/>
      <c r="DK776" s="962"/>
      <c r="DL776" s="962"/>
      <c r="DM776" s="962"/>
      <c r="DN776" s="962"/>
      <c r="DO776" s="962"/>
      <c r="DP776" s="962"/>
      <c r="DQ776" s="962"/>
      <c r="DR776" s="963"/>
      <c r="DS776" s="963"/>
      <c r="DT776" s="963"/>
    </row>
    <row r="777" spans="1:130" ht="12" customHeight="1" x14ac:dyDescent="0.25">
      <c r="A777" s="281" t="s">
        <v>2197</v>
      </c>
      <c r="B777" s="281"/>
      <c r="C777" s="565">
        <v>1.6479999999999999</v>
      </c>
      <c r="D777" s="565">
        <v>1.6359999999999999</v>
      </c>
      <c r="E777" s="565">
        <v>1.7010000000000001</v>
      </c>
      <c r="F777" s="565">
        <v>1.7310000000000001</v>
      </c>
      <c r="G777" s="447">
        <f>SUM(C777:F777)</f>
        <v>6.7159999999999993</v>
      </c>
      <c r="H777" s="565">
        <v>1.036</v>
      </c>
      <c r="I777" s="565">
        <v>1.026</v>
      </c>
      <c r="J777" s="565">
        <v>0.70399999999999996</v>
      </c>
      <c r="K777" s="565">
        <v>0</v>
      </c>
      <c r="L777" s="447">
        <f>SUM(H777:K777)</f>
        <v>2.766</v>
      </c>
      <c r="M777" s="565">
        <v>0</v>
      </c>
      <c r="N777" s="565">
        <v>0</v>
      </c>
      <c r="O777" s="565">
        <v>1.4970000000000001</v>
      </c>
      <c r="P777" s="565">
        <v>3.282</v>
      </c>
      <c r="Q777" s="447">
        <f>SUM(M777:P777)</f>
        <v>4.7789999999999999</v>
      </c>
      <c r="R777" s="565">
        <v>2.524</v>
      </c>
      <c r="S777" s="565">
        <v>2.722</v>
      </c>
      <c r="T777" s="565">
        <v>2.6339999999999999</v>
      </c>
      <c r="U777" s="565">
        <v>2.6869999999999998</v>
      </c>
      <c r="V777" s="447">
        <f>SUM(R777:U777)</f>
        <v>10.567</v>
      </c>
      <c r="W777" s="565">
        <v>2.6579999999999999</v>
      </c>
      <c r="X777" s="565">
        <v>2.79</v>
      </c>
      <c r="Y777" s="565">
        <v>2.8679999999999999</v>
      </c>
      <c r="Z777" s="565">
        <v>2.8620000000000001</v>
      </c>
      <c r="AA777" s="447">
        <f>SUM(W777:Z777)</f>
        <v>11.178000000000001</v>
      </c>
      <c r="AB777" s="563">
        <v>2.8929999999999998</v>
      </c>
      <c r="AC777" s="563">
        <v>2.9329999999999998</v>
      </c>
      <c r="AD777" s="563">
        <v>2.9260000000000002</v>
      </c>
      <c r="AE777" s="563">
        <v>3.0230000000000001</v>
      </c>
      <c r="AF777" s="455">
        <f>SUM(AB777:AE777)</f>
        <v>11.774999999999999</v>
      </c>
      <c r="AG777" s="563">
        <v>3.048</v>
      </c>
      <c r="AH777" s="563">
        <v>3.085</v>
      </c>
      <c r="AI777" s="563">
        <v>3.1739999999999999</v>
      </c>
      <c r="AJ777" s="563">
        <v>3.1840000000000002</v>
      </c>
      <c r="AK777" s="455">
        <f>SUM(AG777:AJ777)</f>
        <v>12.491</v>
      </c>
      <c r="AL777" s="563">
        <v>3.0960000000000001</v>
      </c>
      <c r="AM777" s="563">
        <v>3.07</v>
      </c>
      <c r="AN777" s="1595">
        <f>AM777</f>
        <v>3.07</v>
      </c>
      <c r="AO777" s="454">
        <f>AN777</f>
        <v>3.07</v>
      </c>
      <c r="AP777" s="456">
        <f>SUM(AL777:AO777)</f>
        <v>12.306000000000001</v>
      </c>
      <c r="AQ777" s="456">
        <f>+AO777</f>
        <v>3.07</v>
      </c>
      <c r="AR777" s="454">
        <f>AQ777</f>
        <v>3.07</v>
      </c>
      <c r="AS777" s="454">
        <f>AR777</f>
        <v>3.07</v>
      </c>
      <c r="AT777" s="454">
        <f>AS777</f>
        <v>3.07</v>
      </c>
      <c r="AU777" s="1693">
        <f>SUM(AQ777:AT777)</f>
        <v>12.28</v>
      </c>
      <c r="AV777" s="456">
        <f>+AT777</f>
        <v>3.07</v>
      </c>
      <c r="AW777" s="454">
        <f>AV777</f>
        <v>3.07</v>
      </c>
      <c r="AX777" s="454">
        <f>AW777</f>
        <v>3.07</v>
      </c>
      <c r="AY777" s="1666">
        <f>AX777</f>
        <v>3.07</v>
      </c>
      <c r="AZ777" s="1693">
        <f>SUM(AV777:AY777)</f>
        <v>12.28</v>
      </c>
      <c r="BA777" s="456">
        <f>+AY777</f>
        <v>3.07</v>
      </c>
      <c r="BB777" s="454">
        <f>BA777</f>
        <v>3.07</v>
      </c>
      <c r="BC777" s="454">
        <f>BB777</f>
        <v>3.07</v>
      </c>
      <c r="BD777" s="1666">
        <f>BC777</f>
        <v>3.07</v>
      </c>
      <c r="BE777" s="1864">
        <f>SUM(BA777:BD777)</f>
        <v>12.28</v>
      </c>
      <c r="BF777" s="454">
        <f>BD777</f>
        <v>3.07</v>
      </c>
      <c r="BG777" s="454">
        <f>BF777</f>
        <v>3.07</v>
      </c>
      <c r="BH777" s="454">
        <f>BG777</f>
        <v>3.07</v>
      </c>
      <c r="BI777" s="1666">
        <f>BH777</f>
        <v>3.07</v>
      </c>
      <c r="BJ777" s="1864">
        <f>SUM(BF777:BI777)</f>
        <v>12.28</v>
      </c>
      <c r="BK777" s="454">
        <f>BJ777/4</f>
        <v>3.07</v>
      </c>
      <c r="BL777" s="454">
        <f>BK777</f>
        <v>3.07</v>
      </c>
      <c r="BM777" s="454">
        <f>BL777</f>
        <v>3.07</v>
      </c>
      <c r="BN777" s="1666">
        <f>BM777</f>
        <v>3.07</v>
      </c>
      <c r="BO777" s="1864">
        <f>SUM(BK777:BN777)</f>
        <v>12.28</v>
      </c>
      <c r="BP777" s="454">
        <f>+BN777</f>
        <v>3.07</v>
      </c>
      <c r="BQ777" s="454">
        <f>BP777</f>
        <v>3.07</v>
      </c>
      <c r="BR777" s="454">
        <f>BQ777</f>
        <v>3.07</v>
      </c>
      <c r="BS777" s="1666">
        <f>BR777</f>
        <v>3.07</v>
      </c>
      <c r="BT777" s="3070">
        <f>SUM(BP777:BS777)</f>
        <v>12.28</v>
      </c>
      <c r="BU777" s="2915">
        <f>BS777</f>
        <v>3.07</v>
      </c>
      <c r="BV777" s="2915">
        <f>BU777</f>
        <v>3.07</v>
      </c>
      <c r="BW777" s="2915">
        <f>BV777</f>
        <v>3.07</v>
      </c>
      <c r="BX777" s="2915">
        <f>BW777</f>
        <v>3.07</v>
      </c>
      <c r="BY777" s="3066">
        <f>SUM(BU777:BX777)</f>
        <v>12.28</v>
      </c>
      <c r="BZ777" s="455">
        <f t="shared" ref="BZ777:CF777" si="1716">BY777</f>
        <v>12.28</v>
      </c>
      <c r="CA777" s="455">
        <f t="shared" si="1716"/>
        <v>12.28</v>
      </c>
      <c r="CB777" s="455">
        <f t="shared" si="1716"/>
        <v>12.28</v>
      </c>
      <c r="CC777" s="455">
        <f t="shared" si="1716"/>
        <v>12.28</v>
      </c>
      <c r="CD777" s="455">
        <f t="shared" si="1716"/>
        <v>12.28</v>
      </c>
      <c r="CE777" s="455">
        <f t="shared" si="1716"/>
        <v>12.28</v>
      </c>
      <c r="CF777" s="455">
        <f t="shared" si="1716"/>
        <v>12.28</v>
      </c>
      <c r="CG777" s="331"/>
      <c r="CH777" s="331"/>
      <c r="CI777" s="331"/>
      <c r="CJ777" s="331"/>
      <c r="CK777" s="331"/>
      <c r="CL777" s="520" t="str">
        <f>A777</f>
        <v>Depreciation and amortization</v>
      </c>
      <c r="CM777" s="454">
        <f>G777</f>
        <v>6.7159999999999993</v>
      </c>
      <c r="CN777" s="454">
        <f>L777</f>
        <v>2.766</v>
      </c>
      <c r="CO777" s="454">
        <f>Q777</f>
        <v>4.7789999999999999</v>
      </c>
      <c r="CP777" s="454">
        <f>V777</f>
        <v>10.567</v>
      </c>
      <c r="CQ777" s="454">
        <f>AA777</f>
        <v>11.178000000000001</v>
      </c>
      <c r="CR777" s="454">
        <f>AF777</f>
        <v>11.774999999999999</v>
      </c>
      <c r="CS777" s="454">
        <f>AK777</f>
        <v>12.491</v>
      </c>
      <c r="CT777" s="454">
        <f>AP777</f>
        <v>12.306000000000001</v>
      </c>
      <c r="CU777" s="454">
        <f>AU777</f>
        <v>12.28</v>
      </c>
      <c r="CV777" s="454">
        <f>AZ777</f>
        <v>12.28</v>
      </c>
      <c r="CW777" s="454">
        <f>BE777</f>
        <v>12.28</v>
      </c>
      <c r="CX777" s="454">
        <f>BJ777</f>
        <v>12.28</v>
      </c>
      <c r="CY777" s="454">
        <f>BO777</f>
        <v>12.28</v>
      </c>
      <c r="CZ777" s="454">
        <f>BT777</f>
        <v>12.28</v>
      </c>
      <c r="DA777" s="454">
        <f t="shared" si="1704"/>
        <v>12.28</v>
      </c>
      <c r="DB777" s="454">
        <f t="shared" si="1704"/>
        <v>12.28</v>
      </c>
      <c r="DC777" s="1666">
        <f t="shared" si="1704"/>
        <v>12.28</v>
      </c>
      <c r="DD777" s="331"/>
      <c r="DE777" s="331"/>
      <c r="DF777" s="502"/>
      <c r="DG777" s="503"/>
      <c r="DH777" s="2915"/>
      <c r="DI777" s="3213"/>
      <c r="DJ777" s="502"/>
      <c r="DK777" s="503"/>
      <c r="DL777" s="502"/>
      <c r="DM777" s="502"/>
      <c r="DN777" s="502"/>
      <c r="DO777" s="502"/>
      <c r="DP777" s="503"/>
      <c r="DQ777" s="503"/>
      <c r="DR777" s="296"/>
      <c r="DS777" s="296"/>
      <c r="DT777" s="296"/>
    </row>
    <row r="778" spans="1:130" ht="12" customHeight="1" x14ac:dyDescent="0.25">
      <c r="A778" s="465" t="s">
        <v>646</v>
      </c>
      <c r="B778" s="466"/>
      <c r="C778" s="467">
        <f t="shared" ref="C778:J778" si="1717">C777/C767</f>
        <v>8.4103087522327119E-2</v>
      </c>
      <c r="D778" s="467">
        <f t="shared" si="1717"/>
        <v>9.4169112991423456E-2</v>
      </c>
      <c r="E778" s="467">
        <f t="shared" si="1717"/>
        <v>0.10115366317792579</v>
      </c>
      <c r="F778" s="467">
        <f t="shared" si="1717"/>
        <v>0.10423315469380383</v>
      </c>
      <c r="G778" s="468">
        <f t="shared" si="1717"/>
        <v>9.5409924564219845E-2</v>
      </c>
      <c r="H778" s="467">
        <f t="shared" si="1717"/>
        <v>5.6723609286027162E-2</v>
      </c>
      <c r="I778" s="467">
        <f t="shared" si="1717"/>
        <v>6.110416294443452E-2</v>
      </c>
      <c r="J778" s="467">
        <f t="shared" si="1717"/>
        <v>6.5294008532739742E-2</v>
      </c>
      <c r="K778" s="467" t="s">
        <v>553</v>
      </c>
      <c r="L778" s="468">
        <f>L777/L767</f>
        <v>6.0344263368021463E-2</v>
      </c>
      <c r="M778" s="467" t="s">
        <v>553</v>
      </c>
      <c r="N778" s="467">
        <f t="shared" ref="N778:AU778" si="1718">N777/N767</f>
        <v>0</v>
      </c>
      <c r="O778" s="467">
        <f t="shared" si="1718"/>
        <v>5.3604039101944362E-2</v>
      </c>
      <c r="P778" s="467">
        <f t="shared" si="1718"/>
        <v>0.14597046788827608</v>
      </c>
      <c r="Q778" s="468">
        <f t="shared" si="1718"/>
        <v>9.2938682639388565E-2</v>
      </c>
      <c r="R778" s="467">
        <f t="shared" si="1718"/>
        <v>0.10487389371338347</v>
      </c>
      <c r="S778" s="467">
        <f t="shared" si="1718"/>
        <v>0.12006528163733404</v>
      </c>
      <c r="T778" s="467">
        <f t="shared" si="1718"/>
        <v>0.12626432098173623</v>
      </c>
      <c r="U778" s="467">
        <f t="shared" si="1718"/>
        <v>0.14477370689655172</v>
      </c>
      <c r="V778" s="468">
        <f t="shared" si="1718"/>
        <v>0.12264534175187734</v>
      </c>
      <c r="W778" s="467">
        <f t="shared" si="1718"/>
        <v>0.12872917473847345</v>
      </c>
      <c r="X778" s="467">
        <f t="shared" si="1718"/>
        <v>0.14716742272391603</v>
      </c>
      <c r="Y778" s="467">
        <f t="shared" si="1718"/>
        <v>0.15921834230833284</v>
      </c>
      <c r="Z778" s="467">
        <f t="shared" si="1718"/>
        <v>0.15827895144342441</v>
      </c>
      <c r="AA778" s="468">
        <f t="shared" si="1718"/>
        <v>0.1476598723927029</v>
      </c>
      <c r="AB778" s="467">
        <f t="shared" si="1718"/>
        <v>0.14506343077771647</v>
      </c>
      <c r="AC778" s="467">
        <f t="shared" si="1718"/>
        <v>0.15502933558856175</v>
      </c>
      <c r="AD778" s="467">
        <f t="shared" si="1718"/>
        <v>0.15960290187094314</v>
      </c>
      <c r="AE778" s="469">
        <f t="shared" si="1718"/>
        <v>0.18116984298214073</v>
      </c>
      <c r="AF778" s="470">
        <f t="shared" si="1718"/>
        <v>0.15937791854468672</v>
      </c>
      <c r="AG778" s="467">
        <f>AG777/AG767</f>
        <v>0.16740813972647883</v>
      </c>
      <c r="AH778" s="467">
        <f t="shared" si="1718"/>
        <v>0.18030391583869082</v>
      </c>
      <c r="AI778" s="467">
        <f t="shared" si="1718"/>
        <v>0.17372742200328406</v>
      </c>
      <c r="AJ778" s="469">
        <f t="shared" si="1718"/>
        <v>0.18261069052534987</v>
      </c>
      <c r="AK778" s="470">
        <f t="shared" si="1718"/>
        <v>0.17587260464919816</v>
      </c>
      <c r="AL778" s="467">
        <f t="shared" si="1718"/>
        <v>0.16421789635601761</v>
      </c>
      <c r="AM778" s="467">
        <f t="shared" si="1718"/>
        <v>0.17713923028099937</v>
      </c>
      <c r="AN778" s="467">
        <f t="shared" si="1718"/>
        <v>0.16719903492934887</v>
      </c>
      <c r="AO778" s="469">
        <f t="shared" si="1718"/>
        <v>0.18533946704338272</v>
      </c>
      <c r="AP778" s="471">
        <f t="shared" si="1718"/>
        <v>0.17305692414028778</v>
      </c>
      <c r="AQ778" s="471">
        <f t="shared" si="1718"/>
        <v>0.17140926894225963</v>
      </c>
      <c r="AR778" s="469">
        <f t="shared" si="1718"/>
        <v>0.18452003154270766</v>
      </c>
      <c r="AS778" s="469">
        <f t="shared" si="1718"/>
        <v>0.19670474697570459</v>
      </c>
      <c r="AT778" s="469">
        <f t="shared" si="1718"/>
        <v>0.20593274115931412</v>
      </c>
      <c r="AU778" s="1689">
        <f t="shared" si="1718"/>
        <v>0.18874003538491421</v>
      </c>
      <c r="AV778" s="1730">
        <f t="shared" ref="AV778:BJ778" si="1719">AV777/AV767</f>
        <v>0.20776881083910259</v>
      </c>
      <c r="AW778" s="1465">
        <f t="shared" si="1719"/>
        <v>0.20502225726967518</v>
      </c>
      <c r="AX778" s="1465">
        <f t="shared" si="1719"/>
        <v>0.21856082997300508</v>
      </c>
      <c r="AY778" s="1868">
        <f t="shared" si="1719"/>
        <v>0.22143305501001517</v>
      </c>
      <c r="AZ778" s="1689">
        <f t="shared" si="1719"/>
        <v>0.2129700461150735</v>
      </c>
      <c r="BA778" s="471">
        <f t="shared" si="1719"/>
        <v>0.22103064982883258</v>
      </c>
      <c r="BB778" s="469">
        <f t="shared" si="1719"/>
        <v>0.22045404007491956</v>
      </c>
      <c r="BC778" s="469">
        <f t="shared" si="1719"/>
        <v>0.2276675312218803</v>
      </c>
      <c r="BD778" s="1463">
        <f t="shared" si="1719"/>
        <v>0.22828150001032493</v>
      </c>
      <c r="BE778" s="1868">
        <f t="shared" si="1719"/>
        <v>0.224299753746106</v>
      </c>
      <c r="BF778" s="469">
        <f t="shared" si="1719"/>
        <v>0.22554147941717609</v>
      </c>
      <c r="BG778" s="469">
        <f t="shared" si="1719"/>
        <v>0.21827132680685105</v>
      </c>
      <c r="BH778" s="469">
        <f t="shared" si="1719"/>
        <v>0.22541339724938642</v>
      </c>
      <c r="BI778" s="1463">
        <f t="shared" si="1719"/>
        <v>0.23413487180546147</v>
      </c>
      <c r="BJ778" s="1868">
        <f t="shared" si="1719"/>
        <v>0.2257009747424932</v>
      </c>
      <c r="BK778" s="469">
        <f t="shared" ref="BK778:BU778" si="1720">BK777/BK767</f>
        <v>0.24382862639694711</v>
      </c>
      <c r="BL778" s="469">
        <f t="shared" si="1720"/>
        <v>0.23596900195335244</v>
      </c>
      <c r="BM778" s="469">
        <f t="shared" si="1720"/>
        <v>0.24369015918852585</v>
      </c>
      <c r="BN778" s="1463">
        <f t="shared" si="1720"/>
        <v>0.25311878033022861</v>
      </c>
      <c r="BO778" s="1868">
        <f t="shared" si="1720"/>
        <v>0.2440010537756683</v>
      </c>
      <c r="BP778" s="469">
        <f t="shared" si="1720"/>
        <v>0.26218131870639472</v>
      </c>
      <c r="BQ778" s="469">
        <f t="shared" si="1720"/>
        <v>0.25373010962726072</v>
      </c>
      <c r="BR778" s="469">
        <f t="shared" si="1720"/>
        <v>0.25384391582138111</v>
      </c>
      <c r="BS778" s="1463">
        <f t="shared" si="1720"/>
        <v>0.28124308925580954</v>
      </c>
      <c r="BT778" s="1463">
        <f t="shared" si="1720"/>
        <v>0.26228783230482461</v>
      </c>
      <c r="BU778" s="469">
        <f t="shared" si="1720"/>
        <v>0.25958546406573735</v>
      </c>
      <c r="BV778" s="469">
        <f t="shared" ref="BV778:CF778" si="1721">BV777/BV767</f>
        <v>0.25121793032402046</v>
      </c>
      <c r="BW778" s="469">
        <f t="shared" si="1721"/>
        <v>0.25133060972413968</v>
      </c>
      <c r="BX778" s="469">
        <f t="shared" si="1721"/>
        <v>0.25567553568709955</v>
      </c>
      <c r="BY778" s="470">
        <f t="shared" si="1721"/>
        <v>0.2544054503039444</v>
      </c>
      <c r="BZ778" s="470">
        <f t="shared" si="1721"/>
        <v>0.25313975154621332</v>
      </c>
      <c r="CA778" s="470">
        <f t="shared" si="1721"/>
        <v>0.25313975154621332</v>
      </c>
      <c r="CB778" s="470">
        <f t="shared" si="1721"/>
        <v>0.2664628963644351</v>
      </c>
      <c r="CC778" s="470">
        <f t="shared" si="1721"/>
        <v>0.2804872593309844</v>
      </c>
      <c r="CD778" s="470">
        <f t="shared" si="1721"/>
        <v>0.27498750914802389</v>
      </c>
      <c r="CE778" s="470">
        <f t="shared" si="1721"/>
        <v>0.26959559720394499</v>
      </c>
      <c r="CF778" s="470">
        <f t="shared" si="1721"/>
        <v>0.26430940902347544</v>
      </c>
      <c r="CG778" s="492"/>
      <c r="CH778" s="492"/>
      <c r="CI778" s="492"/>
      <c r="CJ778" s="492"/>
      <c r="CK778" s="492"/>
      <c r="CL778" s="1310" t="str">
        <f>A778</f>
        <v>% of Net revenue</v>
      </c>
      <c r="CM778" s="469">
        <f>G778</f>
        <v>9.5409924564219845E-2</v>
      </c>
      <c r="CN778" s="469">
        <f>L778</f>
        <v>6.0344263368021463E-2</v>
      </c>
      <c r="CO778" s="469">
        <f>Q778</f>
        <v>9.2938682639388565E-2</v>
      </c>
      <c r="CP778" s="469">
        <f>V778</f>
        <v>0.12264534175187734</v>
      </c>
      <c r="CQ778" s="469">
        <f>AA778</f>
        <v>0.1476598723927029</v>
      </c>
      <c r="CR778" s="469">
        <f>AF778</f>
        <v>0.15937791854468672</v>
      </c>
      <c r="CS778" s="469">
        <f>AK778</f>
        <v>0.17587260464919816</v>
      </c>
      <c r="CT778" s="469">
        <f>AP778</f>
        <v>0.17305692414028778</v>
      </c>
      <c r="CU778" s="469">
        <f>AU778</f>
        <v>0.18874003538491421</v>
      </c>
      <c r="CV778" s="469">
        <f>AZ778</f>
        <v>0.2129700461150735</v>
      </c>
      <c r="CW778" s="469">
        <f>BE778</f>
        <v>0.224299753746106</v>
      </c>
      <c r="CX778" s="469">
        <f>BJ778</f>
        <v>0.2257009747424932</v>
      </c>
      <c r="CY778" s="469">
        <f>BO778</f>
        <v>0.2440010537756683</v>
      </c>
      <c r="CZ778" s="469">
        <f>BT778</f>
        <v>0.26228783230482461</v>
      </c>
      <c r="DA778" s="469">
        <f t="shared" si="1704"/>
        <v>0.2544054503039444</v>
      </c>
      <c r="DB778" s="469">
        <f t="shared" si="1704"/>
        <v>0.25313975154621332</v>
      </c>
      <c r="DC778" s="1463">
        <f t="shared" si="1704"/>
        <v>0.25313975154621332</v>
      </c>
      <c r="DD778" s="492"/>
      <c r="DE778" s="492"/>
      <c r="DF778" s="962"/>
      <c r="DG778" s="962"/>
      <c r="DH778" s="469"/>
      <c r="DI778" s="3213"/>
      <c r="DJ778" s="962"/>
      <c r="DK778" s="962"/>
      <c r="DL778" s="962"/>
      <c r="DM778" s="962"/>
      <c r="DN778" s="962"/>
      <c r="DO778" s="962"/>
      <c r="DP778" s="962"/>
      <c r="DQ778" s="962"/>
      <c r="DR778" s="963"/>
      <c r="DS778" s="963"/>
      <c r="DT778" s="963"/>
    </row>
    <row r="779" spans="1:130" ht="12" customHeight="1" x14ac:dyDescent="0.25">
      <c r="A779" s="465"/>
      <c r="B779" s="281"/>
      <c r="C779" s="570"/>
      <c r="D779" s="570"/>
      <c r="E779" s="570"/>
      <c r="F779" s="570"/>
      <c r="G779" s="475"/>
      <c r="H779" s="570"/>
      <c r="I779" s="570"/>
      <c r="J779" s="570"/>
      <c r="K779" s="570"/>
      <c r="L779" s="475"/>
      <c r="M779" s="570"/>
      <c r="N779" s="570"/>
      <c r="O779" s="570"/>
      <c r="P779" s="570"/>
      <c r="Q779" s="475"/>
      <c r="R779" s="570"/>
      <c r="S779" s="570"/>
      <c r="T779" s="570"/>
      <c r="U779" s="570"/>
      <c r="V779" s="475"/>
      <c r="W779" s="570"/>
      <c r="X779" s="570"/>
      <c r="Y779" s="570"/>
      <c r="Z779" s="570"/>
      <c r="AA779" s="475"/>
      <c r="AB779" s="570"/>
      <c r="AC779" s="570"/>
      <c r="AD779" s="570"/>
      <c r="AE779" s="572"/>
      <c r="AF779" s="477"/>
      <c r="AG779" s="570"/>
      <c r="AH779" s="570"/>
      <c r="AI779" s="570"/>
      <c r="AJ779" s="572"/>
      <c r="AK779" s="477"/>
      <c r="AL779" s="570"/>
      <c r="AM779" s="570"/>
      <c r="AN779" s="570"/>
      <c r="AO779" s="572"/>
      <c r="AP779" s="478"/>
      <c r="AQ779" s="478"/>
      <c r="AR779" s="476"/>
      <c r="AS779" s="476"/>
      <c r="AT779" s="476"/>
      <c r="AU779" s="1768"/>
      <c r="AV779" s="1923"/>
      <c r="AW779" s="600"/>
      <c r="AX779" s="600"/>
      <c r="AY779" s="1769"/>
      <c r="AZ779" s="1768"/>
      <c r="BA779" s="1923"/>
      <c r="BB779" s="600"/>
      <c r="BC779" s="600"/>
      <c r="BD779" s="1769"/>
      <c r="BE779" s="1769"/>
      <c r="BF779" s="600"/>
      <c r="BG779" s="600"/>
      <c r="BH779" s="600"/>
      <c r="BI779" s="1769"/>
      <c r="BJ779" s="1769"/>
      <c r="BK779" s="600"/>
      <c r="BL779" s="600"/>
      <c r="BM779" s="600"/>
      <c r="BN779" s="1769"/>
      <c r="BO779" s="1769"/>
      <c r="BP779" s="600"/>
      <c r="BQ779" s="600"/>
      <c r="BR779" s="600"/>
      <c r="BS779" s="1769"/>
      <c r="BT779" s="3029"/>
      <c r="BU779" s="3028"/>
      <c r="BV779" s="3028"/>
      <c r="BW779" s="3028"/>
      <c r="BX779" s="3028"/>
      <c r="BY779" s="3244"/>
      <c r="BZ779" s="1768"/>
      <c r="CA779" s="1768"/>
      <c r="CB779" s="1768"/>
      <c r="CC779" s="1768"/>
      <c r="CD779" s="1768"/>
      <c r="CE779" s="1768"/>
      <c r="CF779" s="1768"/>
      <c r="CG779" s="331"/>
      <c r="CH779" s="331"/>
      <c r="CI779" s="331"/>
      <c r="CJ779" s="331"/>
      <c r="CK779" s="331"/>
      <c r="CL779" s="520"/>
      <c r="CM779" s="476"/>
      <c r="CN779" s="476"/>
      <c r="CO779" s="476"/>
      <c r="CP779" s="476"/>
      <c r="CQ779" s="476"/>
      <c r="CR779" s="476"/>
      <c r="CS779" s="476"/>
      <c r="CT779" s="476"/>
      <c r="CU779" s="600"/>
      <c r="CV779" s="600"/>
      <c r="CW779" s="600"/>
      <c r="CX779" s="600"/>
      <c r="CY779" s="600"/>
      <c r="CZ779" s="600"/>
      <c r="DA779" s="600"/>
      <c r="DB779" s="600"/>
      <c r="DC779" s="1769"/>
      <c r="DD779" s="331"/>
      <c r="DE779" s="331"/>
      <c r="DF779" s="502"/>
      <c r="DG779" s="503"/>
      <c r="DH779" s="3028"/>
      <c r="DI779" s="3213"/>
      <c r="DJ779" s="502"/>
      <c r="DK779" s="503"/>
      <c r="DL779" s="502"/>
      <c r="DM779" s="502"/>
      <c r="DN779" s="502"/>
      <c r="DO779" s="502"/>
      <c r="DP779" s="503"/>
      <c r="DQ779" s="503"/>
      <c r="DR779" s="296"/>
      <c r="DS779" s="296"/>
      <c r="DT779" s="296"/>
    </row>
    <row r="780" spans="1:130" s="1049" customFormat="1" ht="12" customHeight="1" x14ac:dyDescent="0.25">
      <c r="A780" s="428"/>
      <c r="B780" s="428"/>
      <c r="C780" s="331"/>
      <c r="D780" s="331"/>
      <c r="E780" s="331"/>
      <c r="F780" s="331"/>
      <c r="G780" s="441"/>
      <c r="H780" s="331"/>
      <c r="I780" s="331"/>
      <c r="J780" s="331"/>
      <c r="K780" s="331"/>
      <c r="L780" s="441"/>
      <c r="M780" s="331"/>
      <c r="N780" s="331"/>
      <c r="O780" s="331"/>
      <c r="P780" s="331"/>
      <c r="Q780" s="441"/>
      <c r="R780" s="331"/>
      <c r="S780" s="331"/>
      <c r="T780" s="331"/>
      <c r="U780" s="331"/>
      <c r="V780" s="441"/>
      <c r="W780" s="331"/>
      <c r="X780" s="331"/>
      <c r="Y780" s="331"/>
      <c r="Z780" s="331"/>
      <c r="AA780" s="441"/>
      <c r="AB780" s="331"/>
      <c r="AC780" s="331"/>
      <c r="AD780" s="331"/>
      <c r="AE780" s="331"/>
      <c r="AF780" s="441"/>
      <c r="AG780" s="331"/>
      <c r="AH780" s="331"/>
      <c r="AI780" s="331"/>
      <c r="AJ780" s="331"/>
      <c r="AK780" s="441"/>
      <c r="AL780" s="442"/>
      <c r="AM780" s="442"/>
      <c r="AN780" s="442"/>
      <c r="AO780" s="442"/>
      <c r="AP780" s="443"/>
      <c r="AQ780" s="443"/>
      <c r="AR780" s="331"/>
      <c r="AS780" s="331"/>
      <c r="AT780" s="331"/>
      <c r="AU780" s="349"/>
      <c r="AV780" s="443"/>
      <c r="AW780" s="331"/>
      <c r="AX780" s="331"/>
      <c r="AY780" s="1306"/>
      <c r="AZ780" s="349"/>
      <c r="BA780" s="443"/>
      <c r="BB780" s="331"/>
      <c r="BC780" s="331"/>
      <c r="BD780" s="1306"/>
      <c r="BE780" s="1306"/>
      <c r="BF780" s="331"/>
      <c r="BG780" s="331"/>
      <c r="BH780" s="331"/>
      <c r="BI780" s="1306"/>
      <c r="BJ780" s="1306"/>
      <c r="BK780" s="331"/>
      <c r="BL780" s="331"/>
      <c r="BM780" s="331"/>
      <c r="BN780" s="1306"/>
      <c r="BO780" s="1306"/>
      <c r="BP780" s="331"/>
      <c r="BQ780" s="331"/>
      <c r="BR780" s="331"/>
      <c r="BS780" s="1306"/>
      <c r="BT780" s="3217"/>
      <c r="BU780" s="2601"/>
      <c r="BV780" s="2601"/>
      <c r="BW780" s="2601"/>
      <c r="BX780" s="2601"/>
      <c r="BY780" s="3222"/>
      <c r="BZ780" s="349"/>
      <c r="CA780" s="349"/>
      <c r="CB780" s="349"/>
      <c r="CC780" s="349"/>
      <c r="CD780" s="349"/>
      <c r="CE780" s="349"/>
      <c r="CF780" s="349"/>
      <c r="CG780" s="331"/>
      <c r="CH780" s="331"/>
      <c r="CI780" s="331"/>
      <c r="CJ780" s="331"/>
      <c r="CK780" s="331"/>
      <c r="CL780" s="520"/>
      <c r="CM780" s="331"/>
      <c r="CN780" s="331"/>
      <c r="CO780" s="331"/>
      <c r="CP780" s="331"/>
      <c r="CQ780" s="331"/>
      <c r="CR780" s="331"/>
      <c r="CS780" s="331"/>
      <c r="CT780" s="331"/>
      <c r="CU780" s="331"/>
      <c r="CV780" s="331"/>
      <c r="CW780" s="331"/>
      <c r="CX780" s="331"/>
      <c r="CY780" s="331"/>
      <c r="CZ780" s="331"/>
      <c r="DA780" s="331"/>
      <c r="DB780" s="331"/>
      <c r="DC780" s="1306"/>
      <c r="DD780" s="331"/>
      <c r="DE780" s="331"/>
      <c r="DF780" s="502"/>
      <c r="DG780" s="503"/>
      <c r="DH780" s="2601"/>
      <c r="DI780" s="3213"/>
      <c r="DJ780" s="502"/>
      <c r="DK780" s="503"/>
      <c r="DL780" s="502"/>
      <c r="DM780" s="502"/>
      <c r="DN780" s="502"/>
      <c r="DO780" s="502"/>
      <c r="DP780" s="503"/>
      <c r="DQ780" s="503"/>
      <c r="DR780" s="296"/>
      <c r="DS780" s="296"/>
      <c r="DT780" s="296"/>
      <c r="DU780"/>
      <c r="DV780"/>
      <c r="DW780"/>
      <c r="DX780"/>
      <c r="DY780"/>
      <c r="DZ780"/>
    </row>
    <row r="781" spans="1:130" ht="12" customHeight="1" x14ac:dyDescent="0.25">
      <c r="A781" s="462" t="s">
        <v>1331</v>
      </c>
      <c r="B781" s="409"/>
      <c r="C781" s="433" t="str">
        <f>C$6</f>
        <v>1Q04</v>
      </c>
      <c r="D781" s="433" t="str">
        <f t="shared" ref="D781:CB781" si="1722">D$6</f>
        <v>2Q04</v>
      </c>
      <c r="E781" s="433" t="str">
        <f t="shared" si="1722"/>
        <v>3Q04</v>
      </c>
      <c r="F781" s="433" t="str">
        <f t="shared" si="1722"/>
        <v>4Q04</v>
      </c>
      <c r="G781" s="434">
        <f t="shared" si="1722"/>
        <v>2004</v>
      </c>
      <c r="H781" s="433" t="str">
        <f t="shared" si="1722"/>
        <v>1Q05</v>
      </c>
      <c r="I781" s="433" t="str">
        <f t="shared" si="1722"/>
        <v>2Q05</v>
      </c>
      <c r="J781" s="433" t="str">
        <f t="shared" si="1722"/>
        <v>3Q05</v>
      </c>
      <c r="K781" s="433" t="str">
        <f t="shared" si="1722"/>
        <v>4Q05</v>
      </c>
      <c r="L781" s="434">
        <f t="shared" si="1722"/>
        <v>2005</v>
      </c>
      <c r="M781" s="433" t="str">
        <f t="shared" si="1722"/>
        <v>1Q06</v>
      </c>
      <c r="N781" s="433" t="str">
        <f t="shared" si="1722"/>
        <v>2Q06</v>
      </c>
      <c r="O781" s="433" t="str">
        <f t="shared" si="1722"/>
        <v>3Q06</v>
      </c>
      <c r="P781" s="433" t="str">
        <f t="shared" si="1722"/>
        <v>4Q06</v>
      </c>
      <c r="Q781" s="434">
        <f t="shared" si="1722"/>
        <v>2006</v>
      </c>
      <c r="R781" s="433" t="str">
        <f t="shared" si="1722"/>
        <v>1Q07</v>
      </c>
      <c r="S781" s="433" t="str">
        <f t="shared" si="1722"/>
        <v>2Q07</v>
      </c>
      <c r="T781" s="433" t="str">
        <f t="shared" si="1722"/>
        <v>3Q07</v>
      </c>
      <c r="U781" s="433" t="str">
        <f t="shared" si="1722"/>
        <v>4Q07</v>
      </c>
      <c r="V781" s="434">
        <f t="shared" si="1722"/>
        <v>2007</v>
      </c>
      <c r="W781" s="433" t="str">
        <f t="shared" si="1722"/>
        <v>1Q08</v>
      </c>
      <c r="X781" s="433" t="str">
        <f t="shared" si="1722"/>
        <v>2Q08</v>
      </c>
      <c r="Y781" s="433" t="str">
        <f t="shared" si="1722"/>
        <v>3Q08</v>
      </c>
      <c r="Z781" s="433" t="str">
        <f t="shared" si="1722"/>
        <v>4Q08</v>
      </c>
      <c r="AA781" s="434">
        <f t="shared" si="1722"/>
        <v>2008</v>
      </c>
      <c r="AB781" s="433" t="str">
        <f t="shared" si="1722"/>
        <v>1Q09</v>
      </c>
      <c r="AC781" s="433" t="str">
        <f t="shared" si="1722"/>
        <v>2Q09</v>
      </c>
      <c r="AD781" s="433" t="str">
        <f t="shared" si="1722"/>
        <v>3Q09</v>
      </c>
      <c r="AE781" s="433" t="str">
        <f t="shared" si="1722"/>
        <v>4Q09</v>
      </c>
      <c r="AF781" s="434">
        <f t="shared" si="1722"/>
        <v>2009</v>
      </c>
      <c r="AG781" s="433" t="str">
        <f t="shared" si="1722"/>
        <v>1Q10</v>
      </c>
      <c r="AH781" s="433" t="str">
        <f t="shared" si="1722"/>
        <v>2Q10</v>
      </c>
      <c r="AI781" s="433" t="str">
        <f t="shared" si="1722"/>
        <v>3Q10</v>
      </c>
      <c r="AJ781" s="433" t="str">
        <f t="shared" si="1722"/>
        <v>4Q10</v>
      </c>
      <c r="AK781" s="434">
        <f t="shared" si="1722"/>
        <v>2010</v>
      </c>
      <c r="AL781" s="435" t="str">
        <f t="shared" si="1722"/>
        <v>1Q11</v>
      </c>
      <c r="AM781" s="435" t="str">
        <f t="shared" si="1722"/>
        <v>2Q11</v>
      </c>
      <c r="AN781" s="435" t="str">
        <f t="shared" si="1722"/>
        <v>3Q11</v>
      </c>
      <c r="AO781" s="435" t="str">
        <f t="shared" si="1722"/>
        <v>4Q11</v>
      </c>
      <c r="AP781" s="436">
        <f t="shared" si="1722"/>
        <v>2011</v>
      </c>
      <c r="AQ781" s="436" t="str">
        <f t="shared" si="1722"/>
        <v>1Q12</v>
      </c>
      <c r="AR781" s="437" t="str">
        <f t="shared" si="1722"/>
        <v>2Q12</v>
      </c>
      <c r="AS781" s="437" t="str">
        <f t="shared" si="1722"/>
        <v>3Q12</v>
      </c>
      <c r="AT781" s="437" t="str">
        <f t="shared" si="1722"/>
        <v>4Q12</v>
      </c>
      <c r="AU781" s="438">
        <f t="shared" si="1722"/>
        <v>2012</v>
      </c>
      <c r="AV781" s="436" t="str">
        <f t="shared" si="1722"/>
        <v>1Q13</v>
      </c>
      <c r="AW781" s="437" t="str">
        <f t="shared" si="1722"/>
        <v>2Q13</v>
      </c>
      <c r="AX781" s="437" t="str">
        <f t="shared" si="1722"/>
        <v>3Q13</v>
      </c>
      <c r="AY781" s="861" t="str">
        <f t="shared" si="1722"/>
        <v>4Q13</v>
      </c>
      <c r="AZ781" s="438">
        <f t="shared" si="1722"/>
        <v>2013</v>
      </c>
      <c r="BA781" s="436" t="str">
        <f t="shared" si="1722"/>
        <v>1Q14</v>
      </c>
      <c r="BB781" s="437" t="str">
        <f t="shared" si="1722"/>
        <v>2Q14</v>
      </c>
      <c r="BC781" s="437" t="str">
        <f t="shared" si="1722"/>
        <v>3Q14</v>
      </c>
      <c r="BD781" s="861" t="str">
        <f t="shared" si="1722"/>
        <v>4Q14</v>
      </c>
      <c r="BE781" s="861">
        <f t="shared" si="1722"/>
        <v>2014</v>
      </c>
      <c r="BF781" s="437" t="str">
        <f t="shared" si="1722"/>
        <v>1Q15</v>
      </c>
      <c r="BG781" s="437" t="str">
        <f t="shared" si="1722"/>
        <v>2Q15</v>
      </c>
      <c r="BH781" s="437" t="str">
        <f t="shared" si="1722"/>
        <v>3Q15</v>
      </c>
      <c r="BI781" s="861" t="str">
        <f t="shared" si="1722"/>
        <v>4Q15</v>
      </c>
      <c r="BJ781" s="861">
        <f t="shared" si="1722"/>
        <v>2015</v>
      </c>
      <c r="BK781" s="437" t="str">
        <f t="shared" si="1722"/>
        <v>1Q16</v>
      </c>
      <c r="BL781" s="437" t="str">
        <f t="shared" si="1722"/>
        <v>2Q16</v>
      </c>
      <c r="BM781" s="437" t="str">
        <f t="shared" si="1722"/>
        <v>3Q16</v>
      </c>
      <c r="BN781" s="861" t="str">
        <f t="shared" si="1722"/>
        <v>4Q16</v>
      </c>
      <c r="BO781" s="861">
        <f t="shared" si="1722"/>
        <v>2016</v>
      </c>
      <c r="BP781" s="437" t="str">
        <f t="shared" si="1722"/>
        <v>1Q17</v>
      </c>
      <c r="BQ781" s="437" t="str">
        <f t="shared" si="1722"/>
        <v>2Q17</v>
      </c>
      <c r="BR781" s="437" t="str">
        <f t="shared" si="1722"/>
        <v>3Q17</v>
      </c>
      <c r="BS781" s="861" t="str">
        <f t="shared" si="1722"/>
        <v>4Q17</v>
      </c>
      <c r="BT781" s="861">
        <f t="shared" si="1722"/>
        <v>2017</v>
      </c>
      <c r="BU781" s="437" t="str">
        <f t="shared" si="1722"/>
        <v>1Q18E</v>
      </c>
      <c r="BV781" s="437" t="str">
        <f t="shared" si="1722"/>
        <v>2Q18E</v>
      </c>
      <c r="BW781" s="437" t="str">
        <f t="shared" si="1722"/>
        <v>3Q18E</v>
      </c>
      <c r="BX781" s="437" t="str">
        <f t="shared" si="1722"/>
        <v>4Q18E</v>
      </c>
      <c r="BY781" s="438" t="str">
        <f t="shared" si="1722"/>
        <v>2018E</v>
      </c>
      <c r="BZ781" s="438" t="str">
        <f t="shared" si="1722"/>
        <v>2019E</v>
      </c>
      <c r="CA781" s="438" t="str">
        <f t="shared" si="1722"/>
        <v>2020E</v>
      </c>
      <c r="CB781" s="438" t="str">
        <f t="shared" si="1722"/>
        <v>2021E</v>
      </c>
      <c r="CC781" s="438" t="str">
        <f>CC$6</f>
        <v>2022E</v>
      </c>
      <c r="CD781" s="438" t="str">
        <f>CD$6</f>
        <v>2023E</v>
      </c>
      <c r="CE781" s="438" t="str">
        <f>CE$6</f>
        <v>2024E</v>
      </c>
      <c r="CF781" s="438" t="str">
        <f>CF$6</f>
        <v>2025E</v>
      </c>
      <c r="CG781" s="331"/>
      <c r="CH781" s="331"/>
      <c r="CI781" s="331"/>
      <c r="CJ781" s="331"/>
      <c r="CK781" s="331"/>
      <c r="CL781" s="2225" t="str">
        <f t="shared" ref="CL781:CL788" si="1723">A781</f>
        <v>Midwest</v>
      </c>
      <c r="CM781" s="2199">
        <f t="shared" ref="CM781:CM788" si="1724">G781</f>
        <v>2004</v>
      </c>
      <c r="CN781" s="2199">
        <f t="shared" ref="CN781:CN788" si="1725">L781</f>
        <v>2005</v>
      </c>
      <c r="CO781" s="2199">
        <f t="shared" ref="CO781:CO788" si="1726">Q781</f>
        <v>2006</v>
      </c>
      <c r="CP781" s="2199">
        <f t="shared" ref="CP781:CP788" si="1727">V781</f>
        <v>2007</v>
      </c>
      <c r="CQ781" s="2199">
        <f t="shared" ref="CQ781:CQ788" si="1728">AA781</f>
        <v>2008</v>
      </c>
      <c r="CR781" s="2199">
        <f t="shared" ref="CR781:CR788" si="1729">AF781</f>
        <v>2009</v>
      </c>
      <c r="CS781" s="2199">
        <f t="shared" ref="CS781:CS788" si="1730">AK781</f>
        <v>2010</v>
      </c>
      <c r="CT781" s="2199">
        <f t="shared" ref="CT781:CT788" si="1731">AP781</f>
        <v>2011</v>
      </c>
      <c r="CU781" s="2199">
        <f t="shared" ref="CU781:CU788" si="1732">AU781</f>
        <v>2012</v>
      </c>
      <c r="CV781" s="2199">
        <f t="shared" ref="CV781:CV788" si="1733">AZ781</f>
        <v>2013</v>
      </c>
      <c r="CW781" s="2199">
        <f t="shared" ref="CW781:CW788" si="1734">BE781</f>
        <v>2014</v>
      </c>
      <c r="CX781" s="2199">
        <f t="shared" ref="CX781:CX788" si="1735">BJ781</f>
        <v>2015</v>
      </c>
      <c r="CY781" s="2199">
        <f t="shared" ref="CY781:CY788" si="1736">BO781</f>
        <v>2016</v>
      </c>
      <c r="CZ781" s="2199">
        <f t="shared" ref="CZ781:CZ788" si="1737">BT781</f>
        <v>2017</v>
      </c>
      <c r="DA781" s="2199" t="str">
        <f t="shared" ref="DA781:DC788" si="1738">BY781</f>
        <v>2018E</v>
      </c>
      <c r="DB781" s="2199" t="str">
        <f t="shared" si="1738"/>
        <v>2019E</v>
      </c>
      <c r="DC781" s="2200" t="str">
        <f t="shared" si="1738"/>
        <v>2020E</v>
      </c>
      <c r="DD781" s="331"/>
      <c r="DE781" s="331"/>
      <c r="DF781" s="502"/>
      <c r="DG781" s="503"/>
      <c r="DH781" s="537"/>
      <c r="DI781" s="3213"/>
      <c r="DJ781" s="502"/>
      <c r="DK781" s="503"/>
      <c r="DL781" s="502"/>
      <c r="DM781" s="502"/>
      <c r="DN781" s="502"/>
      <c r="DO781" s="502"/>
      <c r="DP781" s="503"/>
      <c r="DQ781" s="503"/>
      <c r="DR781" s="296"/>
      <c r="DS781" s="296"/>
      <c r="DT781" s="296"/>
    </row>
    <row r="782" spans="1:130" ht="12" customHeight="1" x14ac:dyDescent="0.25">
      <c r="A782" s="2125" t="s">
        <v>1094</v>
      </c>
      <c r="B782" s="428"/>
      <c r="C782" s="502"/>
      <c r="D782" s="502"/>
      <c r="E782" s="502"/>
      <c r="F782" s="502"/>
      <c r="G782" s="534"/>
      <c r="H782" s="502"/>
      <c r="I782" s="502"/>
      <c r="J782" s="502"/>
      <c r="K782" s="502"/>
      <c r="L782" s="534"/>
      <c r="M782" s="502"/>
      <c r="N782" s="502"/>
      <c r="O782" s="502"/>
      <c r="P782" s="502"/>
      <c r="Q782" s="534"/>
      <c r="R782" s="502"/>
      <c r="S782" s="502"/>
      <c r="T782" s="502"/>
      <c r="U782" s="502"/>
      <c r="V782" s="534"/>
      <c r="W782" s="502"/>
      <c r="X782" s="502"/>
      <c r="Y782" s="502"/>
      <c r="Z782" s="502"/>
      <c r="AA782" s="534"/>
      <c r="AB782" s="502"/>
      <c r="AC782" s="502"/>
      <c r="AD782" s="502"/>
      <c r="AE782" s="502"/>
      <c r="AF782" s="534"/>
      <c r="AG782" s="502"/>
      <c r="AH782" s="502"/>
      <c r="AI782" s="502"/>
      <c r="AJ782" s="502"/>
      <c r="AK782" s="534"/>
      <c r="AL782" s="503"/>
      <c r="AM782" s="503"/>
      <c r="AN782" s="503"/>
      <c r="AO782" s="503"/>
      <c r="AP782" s="535"/>
      <c r="AQ782" s="535"/>
      <c r="AR782" s="537"/>
      <c r="AS782" s="537"/>
      <c r="AT782" s="537"/>
      <c r="AU782" s="536"/>
      <c r="AV782" s="535"/>
      <c r="AW782" s="537"/>
      <c r="AX782" s="537"/>
      <c r="AY782" s="1926"/>
      <c r="AZ782" s="536"/>
      <c r="BA782" s="535"/>
      <c r="BB782" s="537"/>
      <c r="BC782" s="537"/>
      <c r="BD782" s="1926"/>
      <c r="BE782" s="1926"/>
      <c r="BF782" s="537"/>
      <c r="BG782" s="537"/>
      <c r="BH782" s="537"/>
      <c r="BI782" s="1926"/>
      <c r="BJ782" s="1926"/>
      <c r="BK782" s="537"/>
      <c r="BL782" s="537"/>
      <c r="BM782" s="537"/>
      <c r="BN782" s="1926"/>
      <c r="BO782" s="1926"/>
      <c r="BP782" s="537"/>
      <c r="BQ782" s="537"/>
      <c r="BR782" s="537"/>
      <c r="BS782" s="1926"/>
      <c r="BT782" s="1926"/>
      <c r="BU782" s="537"/>
      <c r="BV782" s="537"/>
      <c r="BW782" s="537"/>
      <c r="BX782" s="537"/>
      <c r="BY782" s="536"/>
      <c r="BZ782" s="536"/>
      <c r="CA782" s="536"/>
      <c r="CB782" s="536"/>
      <c r="CC782" s="536"/>
      <c r="CD782" s="536"/>
      <c r="CE782" s="536"/>
      <c r="CF782" s="536"/>
      <c r="CG782" s="331"/>
      <c r="CH782" s="331"/>
      <c r="CI782" s="331"/>
      <c r="CJ782" s="331"/>
      <c r="CK782" s="331"/>
      <c r="CL782" s="2036" t="str">
        <f t="shared" si="1723"/>
        <v>Hollywood Aurora (IL)</v>
      </c>
      <c r="CM782" s="503">
        <f t="shared" si="1724"/>
        <v>0</v>
      </c>
      <c r="CN782" s="503">
        <f t="shared" si="1725"/>
        <v>0</v>
      </c>
      <c r="CO782" s="503">
        <f t="shared" si="1726"/>
        <v>0</v>
      </c>
      <c r="CP782" s="503">
        <f t="shared" si="1727"/>
        <v>0</v>
      </c>
      <c r="CQ782" s="503">
        <f t="shared" si="1728"/>
        <v>0</v>
      </c>
      <c r="CR782" s="503">
        <f t="shared" si="1729"/>
        <v>0</v>
      </c>
      <c r="CS782" s="503">
        <f t="shared" si="1730"/>
        <v>0</v>
      </c>
      <c r="CT782" s="503">
        <f t="shared" si="1731"/>
        <v>0</v>
      </c>
      <c r="CU782" s="503">
        <f t="shared" si="1732"/>
        <v>0</v>
      </c>
      <c r="CV782" s="503">
        <f t="shared" si="1733"/>
        <v>0</v>
      </c>
      <c r="CW782" s="503">
        <f t="shared" si="1734"/>
        <v>0</v>
      </c>
      <c r="CX782" s="503">
        <f t="shared" si="1735"/>
        <v>0</v>
      </c>
      <c r="CY782" s="503">
        <f t="shared" si="1736"/>
        <v>0</v>
      </c>
      <c r="CZ782" s="503">
        <f t="shared" si="1737"/>
        <v>0</v>
      </c>
      <c r="DA782" s="503">
        <f t="shared" si="1738"/>
        <v>0</v>
      </c>
      <c r="DB782" s="503">
        <f t="shared" si="1738"/>
        <v>0</v>
      </c>
      <c r="DC782" s="2124">
        <f t="shared" si="1738"/>
        <v>0</v>
      </c>
      <c r="DD782" s="331"/>
      <c r="DE782" s="331"/>
      <c r="DF782" s="502"/>
      <c r="DG782" s="503"/>
      <c r="DH782" s="537"/>
      <c r="DI782" s="3213"/>
      <c r="DJ782" s="502"/>
      <c r="DK782" s="503"/>
      <c r="DL782" s="502"/>
      <c r="DM782" s="502"/>
      <c r="DN782" s="502"/>
      <c r="DO782" s="502"/>
      <c r="DP782" s="503"/>
      <c r="DQ782" s="503"/>
      <c r="DR782" s="428"/>
      <c r="DS782" s="428"/>
      <c r="DT782" s="428"/>
    </row>
    <row r="783" spans="1:130" ht="12" customHeight="1" x14ac:dyDescent="0.25">
      <c r="A783" s="281" t="s">
        <v>894</v>
      </c>
      <c r="B783" s="281"/>
      <c r="C783" s="305">
        <f>C784+(C785*C$320)</f>
        <v>1329</v>
      </c>
      <c r="D783" s="305">
        <f>D784+(D785*D$320)</f>
        <v>1329</v>
      </c>
      <c r="E783" s="305">
        <f>E784+(E785*E$320)</f>
        <v>1329</v>
      </c>
      <c r="F783" s="305">
        <f>F784+(F785*F$320)</f>
        <v>1323</v>
      </c>
      <c r="G783" s="345">
        <f>F783</f>
        <v>1323</v>
      </c>
      <c r="H783" s="305">
        <f>H784+(H785*H$320)</f>
        <v>1323</v>
      </c>
      <c r="I783" s="305">
        <f>I784+(I785*I$320)</f>
        <v>1323</v>
      </c>
      <c r="J783" s="305">
        <f>J784+(J785*J$320)</f>
        <v>1323</v>
      </c>
      <c r="K783" s="305">
        <f>K784+(K785*K$320)</f>
        <v>1323</v>
      </c>
      <c r="L783" s="345">
        <f>K783</f>
        <v>1323</v>
      </c>
      <c r="M783" s="305">
        <f>M784+(M785*M$320)</f>
        <v>1323</v>
      </c>
      <c r="N783" s="305">
        <f>N784+(N785*N$320)</f>
        <v>1323</v>
      </c>
      <c r="O783" s="305">
        <f>O784+(O785*O$320)</f>
        <v>1323</v>
      </c>
      <c r="P783" s="305">
        <f>P784+(P785*P$320)</f>
        <v>1334</v>
      </c>
      <c r="Q783" s="345">
        <f>P783</f>
        <v>1334</v>
      </c>
      <c r="R783" s="305">
        <f>R784+(R785*R$320)</f>
        <v>1328</v>
      </c>
      <c r="S783" s="305">
        <f>S784+(S785*S$320)</f>
        <v>1328</v>
      </c>
      <c r="T783" s="305">
        <f>T784+(T785*T$320)</f>
        <v>1328</v>
      </c>
      <c r="U783" s="305">
        <f>U784+(U785*U$320)</f>
        <v>1339</v>
      </c>
      <c r="V783" s="345">
        <f>U783</f>
        <v>1339</v>
      </c>
      <c r="W783" s="305">
        <f>W784+(W785*W$320)</f>
        <v>1333</v>
      </c>
      <c r="X783" s="305">
        <f>X784+(X785*X$320)</f>
        <v>1333</v>
      </c>
      <c r="Y783" s="305">
        <f>Y784+(Y785*Y$320)</f>
        <v>1339</v>
      </c>
      <c r="Z783" s="305">
        <f>Z784+(Z785*Z$320)</f>
        <v>1334</v>
      </c>
      <c r="AA783" s="345">
        <f>Z783</f>
        <v>1334</v>
      </c>
      <c r="AB783" s="305">
        <f>AB784+(AB785*AB$320)</f>
        <v>1336</v>
      </c>
      <c r="AC783" s="305">
        <f>AC784+(AC785*AC$320)</f>
        <v>1335</v>
      </c>
      <c r="AD783" s="305">
        <f>AD784+(AD785*AD$320)</f>
        <v>1330</v>
      </c>
      <c r="AE783" s="331">
        <f>AE784+(AE785*AE$320)</f>
        <v>1310</v>
      </c>
      <c r="AF783" s="348">
        <f>AE783</f>
        <v>1310</v>
      </c>
      <c r="AG783" s="305">
        <f>AG784+(AG785*AG$320)</f>
        <v>1310</v>
      </c>
      <c r="AH783" s="305">
        <f>AH784+(AH785*AH$320)</f>
        <v>1310</v>
      </c>
      <c r="AI783" s="305">
        <f>AI784+(AI785*AI$320)</f>
        <v>1310</v>
      </c>
      <c r="AJ783" s="331">
        <f>AJ784+(AJ785*AJ$320)</f>
        <v>1310</v>
      </c>
      <c r="AK783" s="348">
        <f>AJ783</f>
        <v>1310</v>
      </c>
      <c r="AL783" s="305">
        <f>AL784+(AL785*AL$320)</f>
        <v>1334</v>
      </c>
      <c r="AM783" s="305">
        <f>AM784+(AM785*AM$320)</f>
        <v>1334</v>
      </c>
      <c r="AN783" s="305">
        <f>AN784+(AN785*AN$320)</f>
        <v>1334</v>
      </c>
      <c r="AO783" s="331">
        <f>AO784+(AO785*AO$320)</f>
        <v>1334</v>
      </c>
      <c r="AP783" s="568">
        <f>AO783</f>
        <v>1334</v>
      </c>
      <c r="AQ783" s="568">
        <f>AQ784+(AQ785*AQ$320)</f>
        <v>1309</v>
      </c>
      <c r="AR783" s="330">
        <f>AR784+(AR785*AR$320)</f>
        <v>1309</v>
      </c>
      <c r="AS783" s="330">
        <f>AS784+(AS785*AS$320)</f>
        <v>1309</v>
      </c>
      <c r="AT783" s="330">
        <f>AT784+(AT785*AT$320)</f>
        <v>1309</v>
      </c>
      <c r="AU783" s="1692">
        <f>AT783</f>
        <v>1309</v>
      </c>
      <c r="AV783" s="1912">
        <f>AV784+(AV785*AV$320)</f>
        <v>1332</v>
      </c>
      <c r="AW783" s="1839">
        <f>AW784+(AW785*AW$320)</f>
        <v>1322</v>
      </c>
      <c r="AX783" s="1839">
        <f>AX784+(AX785*AX$320)</f>
        <v>1319</v>
      </c>
      <c r="AY783" s="1906">
        <f>AY784+(AY785*AY$320)</f>
        <v>1319</v>
      </c>
      <c r="AZ783" s="1692">
        <f>AY783</f>
        <v>1319</v>
      </c>
      <c r="BA783" s="553">
        <f>BA784+(BA785*BA$320)</f>
        <v>1319</v>
      </c>
      <c r="BB783" s="551">
        <f>BB784+(BB785*BB$320)</f>
        <v>1319</v>
      </c>
      <c r="BC783" s="551">
        <f>BC784+(BC785*BC$320)</f>
        <v>1319</v>
      </c>
      <c r="BD783" s="1895">
        <f>BD784+(BD785*BD$320)</f>
        <v>1319</v>
      </c>
      <c r="BE783" s="1906">
        <f>BD783</f>
        <v>1319</v>
      </c>
      <c r="BF783" s="551">
        <f>BF784+(BF785*BF$320)</f>
        <v>1319</v>
      </c>
      <c r="BG783" s="551">
        <f>BG784+(BG785*BG$320)</f>
        <v>1319</v>
      </c>
      <c r="BH783" s="551">
        <f>BH784+(BH785*BH$320)</f>
        <v>1289</v>
      </c>
      <c r="BI783" s="1895">
        <f>BI784+(BI785*BI$320)</f>
        <v>1289</v>
      </c>
      <c r="BJ783" s="1906">
        <f>BI783</f>
        <v>1289</v>
      </c>
      <c r="BK783" s="551">
        <f>BK784+(BK785*BK$320)</f>
        <v>1275</v>
      </c>
      <c r="BL783" s="551">
        <f>BL784+(BL785*BL$320)</f>
        <v>1268</v>
      </c>
      <c r="BM783" s="551">
        <f>BM784+(BM785*BM$320)</f>
        <v>1268</v>
      </c>
      <c r="BN783" s="1895">
        <f>BN784+(BN785*BN$320)</f>
        <v>1268</v>
      </c>
      <c r="BO783" s="1906">
        <f>BN783</f>
        <v>1268</v>
      </c>
      <c r="BP783" s="551">
        <f>BP784+(BP785*BP$320)</f>
        <v>1268</v>
      </c>
      <c r="BQ783" s="551">
        <f>BQ784+(BQ785*BQ$320)</f>
        <v>1272</v>
      </c>
      <c r="BR783" s="551">
        <f>BR784+(BR785*BR$320)</f>
        <v>1286</v>
      </c>
      <c r="BS783" s="1895">
        <f>BS784+(BS785*BS$320)</f>
        <v>1283</v>
      </c>
      <c r="BT783" s="3218">
        <f>BS783</f>
        <v>1283</v>
      </c>
      <c r="BU783" s="3297">
        <f>BU784+(BU785*BU$320)</f>
        <v>1283</v>
      </c>
      <c r="BV783" s="3297">
        <f>BV784+(BV785*BV$320)</f>
        <v>1283</v>
      </c>
      <c r="BW783" s="3297">
        <f>BW784+(BW785*BW$320)</f>
        <v>1283</v>
      </c>
      <c r="BX783" s="3297">
        <f>BX784+(BX785*BX$320)</f>
        <v>1283</v>
      </c>
      <c r="BY783" s="3234">
        <f>BX783</f>
        <v>1283</v>
      </c>
      <c r="BZ783" s="552">
        <f t="shared" ref="BZ783:CF783" si="1739">BZ784+(BZ785*BZ$320)</f>
        <v>1283</v>
      </c>
      <c r="CA783" s="552">
        <f t="shared" si="1739"/>
        <v>1283</v>
      </c>
      <c r="CB783" s="552">
        <f t="shared" si="1739"/>
        <v>1283</v>
      </c>
      <c r="CC783" s="552">
        <f t="shared" si="1739"/>
        <v>1283</v>
      </c>
      <c r="CD783" s="552">
        <f t="shared" si="1739"/>
        <v>1283</v>
      </c>
      <c r="CE783" s="552">
        <f t="shared" si="1739"/>
        <v>1283</v>
      </c>
      <c r="CF783" s="552">
        <f t="shared" si="1739"/>
        <v>1283</v>
      </c>
      <c r="CG783" s="331"/>
      <c r="CH783" s="331"/>
      <c r="CI783" s="331"/>
      <c r="CJ783" s="331"/>
      <c r="CK783" s="331"/>
      <c r="CL783" s="520" t="str">
        <f t="shared" si="1723"/>
        <v>Positions</v>
      </c>
      <c r="CM783" s="330">
        <f t="shared" si="1724"/>
        <v>1323</v>
      </c>
      <c r="CN783" s="330">
        <f t="shared" si="1725"/>
        <v>1323</v>
      </c>
      <c r="CO783" s="330">
        <f t="shared" si="1726"/>
        <v>1334</v>
      </c>
      <c r="CP783" s="330">
        <f t="shared" si="1727"/>
        <v>1339</v>
      </c>
      <c r="CQ783" s="330">
        <f t="shared" si="1728"/>
        <v>1334</v>
      </c>
      <c r="CR783" s="330">
        <f t="shared" si="1729"/>
        <v>1310</v>
      </c>
      <c r="CS783" s="330">
        <f t="shared" si="1730"/>
        <v>1310</v>
      </c>
      <c r="CT783" s="330">
        <f t="shared" si="1731"/>
        <v>1334</v>
      </c>
      <c r="CU783" s="330">
        <f t="shared" si="1732"/>
        <v>1309</v>
      </c>
      <c r="CV783" s="330">
        <f t="shared" si="1733"/>
        <v>1319</v>
      </c>
      <c r="CW783" s="330">
        <f t="shared" si="1734"/>
        <v>1319</v>
      </c>
      <c r="CX783" s="330">
        <f t="shared" si="1735"/>
        <v>1289</v>
      </c>
      <c r="CY783" s="330">
        <f t="shared" si="1736"/>
        <v>1268</v>
      </c>
      <c r="CZ783" s="330">
        <f t="shared" si="1737"/>
        <v>1283</v>
      </c>
      <c r="DA783" s="330">
        <f t="shared" si="1738"/>
        <v>1283</v>
      </c>
      <c r="DB783" s="330">
        <f t="shared" si="1738"/>
        <v>1283</v>
      </c>
      <c r="DC783" s="1888">
        <f t="shared" si="1738"/>
        <v>1283</v>
      </c>
      <c r="DD783" s="331"/>
      <c r="DE783" s="331"/>
      <c r="DF783" s="502"/>
      <c r="DG783" s="503"/>
      <c r="DH783" s="3297"/>
      <c r="DI783" s="3213"/>
      <c r="DJ783" s="502"/>
      <c r="DK783" s="503"/>
      <c r="DL783" s="502"/>
      <c r="DM783" s="502"/>
      <c r="DN783" s="502"/>
      <c r="DO783" s="502"/>
      <c r="DP783" s="503"/>
      <c r="DQ783" s="503"/>
      <c r="DR783" s="296"/>
      <c r="DS783" s="296"/>
      <c r="DT783" s="296"/>
    </row>
    <row r="784" spans="1:130" ht="12" customHeight="1" x14ac:dyDescent="0.25">
      <c r="A784" s="281" t="s">
        <v>585</v>
      </c>
      <c r="B784" s="281"/>
      <c r="C784" s="340">
        <v>1161</v>
      </c>
      <c r="D784" s="340">
        <v>1161</v>
      </c>
      <c r="E784" s="340">
        <v>1161</v>
      </c>
      <c r="F784" s="340">
        <v>1161</v>
      </c>
      <c r="G784" s="345">
        <f>F784</f>
        <v>1161</v>
      </c>
      <c r="H784" s="340">
        <v>1161</v>
      </c>
      <c r="I784" s="340">
        <v>1161</v>
      </c>
      <c r="J784" s="340">
        <v>1161</v>
      </c>
      <c r="K784" s="340">
        <v>1161</v>
      </c>
      <c r="L784" s="345">
        <f>K784</f>
        <v>1161</v>
      </c>
      <c r="M784" s="340">
        <v>1161</v>
      </c>
      <c r="N784" s="340">
        <v>1161</v>
      </c>
      <c r="O784" s="340">
        <v>1161</v>
      </c>
      <c r="P784" s="340">
        <v>1172</v>
      </c>
      <c r="Q784" s="345">
        <f>P784</f>
        <v>1172</v>
      </c>
      <c r="R784" s="340">
        <v>1172</v>
      </c>
      <c r="S784" s="340">
        <v>1172</v>
      </c>
      <c r="T784" s="340">
        <v>1172</v>
      </c>
      <c r="U784" s="340">
        <v>1183</v>
      </c>
      <c r="V784" s="345">
        <f>U784</f>
        <v>1183</v>
      </c>
      <c r="W784" s="340">
        <v>1183</v>
      </c>
      <c r="X784" s="340">
        <v>1183</v>
      </c>
      <c r="Y784" s="340">
        <v>1183</v>
      </c>
      <c r="Z784" s="340">
        <v>1172</v>
      </c>
      <c r="AA784" s="345">
        <f>Z784</f>
        <v>1172</v>
      </c>
      <c r="AB784" s="339">
        <v>1168</v>
      </c>
      <c r="AC784" s="339">
        <v>1161</v>
      </c>
      <c r="AD784" s="339">
        <v>1168</v>
      </c>
      <c r="AE784" s="339">
        <v>1172</v>
      </c>
      <c r="AF784" s="348">
        <f>AE784</f>
        <v>1172</v>
      </c>
      <c r="AG784" s="331">
        <f>AE784</f>
        <v>1172</v>
      </c>
      <c r="AH784" s="331">
        <f t="shared" ref="AH784:AJ785" si="1740">AG784</f>
        <v>1172</v>
      </c>
      <c r="AI784" s="331">
        <f t="shared" si="1740"/>
        <v>1172</v>
      </c>
      <c r="AJ784" s="331">
        <f t="shared" si="1740"/>
        <v>1172</v>
      </c>
      <c r="AK784" s="348">
        <f>AJ784</f>
        <v>1172</v>
      </c>
      <c r="AL784" s="2651">
        <v>1172</v>
      </c>
      <c r="AM784" s="2655">
        <v>1172</v>
      </c>
      <c r="AN784" s="2655">
        <v>1172</v>
      </c>
      <c r="AO784" s="2655">
        <v>1172</v>
      </c>
      <c r="AP784" s="568">
        <f>AO784</f>
        <v>1172</v>
      </c>
      <c r="AQ784" s="2651">
        <v>1177</v>
      </c>
      <c r="AR784" s="2655">
        <v>1177</v>
      </c>
      <c r="AS784" s="2655">
        <v>1177</v>
      </c>
      <c r="AT784" s="2655">
        <v>1177</v>
      </c>
      <c r="AU784" s="1692">
        <f>AT784</f>
        <v>1177</v>
      </c>
      <c r="AV784" s="2651">
        <v>1170</v>
      </c>
      <c r="AW784" s="2655">
        <v>1160</v>
      </c>
      <c r="AX784" s="2655">
        <v>1157</v>
      </c>
      <c r="AY784" s="2655">
        <v>1157</v>
      </c>
      <c r="AZ784" s="1692">
        <f>AY784</f>
        <v>1157</v>
      </c>
      <c r="BA784" s="2651">
        <v>1157</v>
      </c>
      <c r="BB784" s="2655">
        <v>1157</v>
      </c>
      <c r="BC784" s="2655">
        <v>1157</v>
      </c>
      <c r="BD784" s="2655">
        <v>1157</v>
      </c>
      <c r="BE784" s="1692">
        <f>BD784</f>
        <v>1157</v>
      </c>
      <c r="BF784" s="2651">
        <v>1157</v>
      </c>
      <c r="BG784" s="2655">
        <v>1157</v>
      </c>
      <c r="BH784" s="2655">
        <v>1127</v>
      </c>
      <c r="BI784" s="2655">
        <v>1127</v>
      </c>
      <c r="BJ784" s="1692">
        <f>BI784</f>
        <v>1127</v>
      </c>
      <c r="BK784" s="2971">
        <v>1107</v>
      </c>
      <c r="BL784" s="2971">
        <v>1100</v>
      </c>
      <c r="BM784" s="2971">
        <v>1100</v>
      </c>
      <c r="BN784" s="2949">
        <v>1100</v>
      </c>
      <c r="BO784" s="1906">
        <f>BN784</f>
        <v>1100</v>
      </c>
      <c r="BP784" s="2971">
        <v>1100</v>
      </c>
      <c r="BQ784" s="2971">
        <v>1080</v>
      </c>
      <c r="BR784" s="2971">
        <v>1076</v>
      </c>
      <c r="BS784" s="2949">
        <v>1067</v>
      </c>
      <c r="BT784" s="3218">
        <f>BS784</f>
        <v>1067</v>
      </c>
      <c r="BU784" s="3562">
        <f>BT784</f>
        <v>1067</v>
      </c>
      <c r="BV784" s="3444">
        <f>BU784</f>
        <v>1067</v>
      </c>
      <c r="BW784" s="3444">
        <f>BV784</f>
        <v>1067</v>
      </c>
      <c r="BX784" s="3444">
        <f>BW784</f>
        <v>1067</v>
      </c>
      <c r="BY784" s="3234">
        <f>BX784</f>
        <v>1067</v>
      </c>
      <c r="BZ784" s="2857">
        <f>BY784</f>
        <v>1067</v>
      </c>
      <c r="CA784" s="2857">
        <f>BZ784</f>
        <v>1067</v>
      </c>
      <c r="CB784" s="2857">
        <f t="shared" ref="CB784:CF785" si="1741">CA784</f>
        <v>1067</v>
      </c>
      <c r="CC784" s="2857">
        <f t="shared" si="1741"/>
        <v>1067</v>
      </c>
      <c r="CD784" s="2857">
        <f t="shared" si="1741"/>
        <v>1067</v>
      </c>
      <c r="CE784" s="2857">
        <f t="shared" si="1741"/>
        <v>1067</v>
      </c>
      <c r="CF784" s="2857">
        <f t="shared" si="1741"/>
        <v>1067</v>
      </c>
      <c r="CG784" s="331"/>
      <c r="CH784" s="331"/>
      <c r="CI784" s="331"/>
      <c r="CJ784" s="331"/>
      <c r="CK784" s="331"/>
      <c r="CL784" s="520" t="str">
        <f t="shared" si="1723"/>
        <v>Slots</v>
      </c>
      <c r="CM784" s="330">
        <f t="shared" si="1724"/>
        <v>1161</v>
      </c>
      <c r="CN784" s="330">
        <f t="shared" si="1725"/>
        <v>1161</v>
      </c>
      <c r="CO784" s="330">
        <f t="shared" si="1726"/>
        <v>1172</v>
      </c>
      <c r="CP784" s="330">
        <f t="shared" si="1727"/>
        <v>1183</v>
      </c>
      <c r="CQ784" s="330">
        <f t="shared" si="1728"/>
        <v>1172</v>
      </c>
      <c r="CR784" s="330">
        <f t="shared" si="1729"/>
        <v>1172</v>
      </c>
      <c r="CS784" s="330">
        <f t="shared" si="1730"/>
        <v>1172</v>
      </c>
      <c r="CT784" s="330">
        <f t="shared" si="1731"/>
        <v>1172</v>
      </c>
      <c r="CU784" s="330">
        <f t="shared" si="1732"/>
        <v>1177</v>
      </c>
      <c r="CV784" s="330">
        <f t="shared" si="1733"/>
        <v>1157</v>
      </c>
      <c r="CW784" s="330">
        <f t="shared" si="1734"/>
        <v>1157</v>
      </c>
      <c r="CX784" s="330">
        <f t="shared" si="1735"/>
        <v>1127</v>
      </c>
      <c r="CY784" s="330">
        <f t="shared" si="1736"/>
        <v>1100</v>
      </c>
      <c r="CZ784" s="330">
        <f t="shared" si="1737"/>
        <v>1067</v>
      </c>
      <c r="DA784" s="330">
        <f t="shared" si="1738"/>
        <v>1067</v>
      </c>
      <c r="DB784" s="330">
        <f t="shared" si="1738"/>
        <v>1067</v>
      </c>
      <c r="DC784" s="1888">
        <f t="shared" si="1738"/>
        <v>1067</v>
      </c>
      <c r="DD784" s="331"/>
      <c r="DE784" s="331"/>
      <c r="DF784" s="502"/>
      <c r="DG784" s="503"/>
      <c r="DH784" s="3297"/>
      <c r="DI784" s="3213"/>
      <c r="DJ784" s="502"/>
      <c r="DK784" s="503"/>
      <c r="DL784" s="502"/>
      <c r="DM784" s="502"/>
      <c r="DN784" s="502"/>
      <c r="DO784" s="502"/>
      <c r="DP784" s="503"/>
      <c r="DQ784" s="503"/>
      <c r="DR784" s="296"/>
      <c r="DS784" s="296"/>
      <c r="DT784" s="296"/>
    </row>
    <row r="785" spans="1:124" ht="12" customHeight="1" x14ac:dyDescent="0.25">
      <c r="A785" s="281" t="s">
        <v>584</v>
      </c>
      <c r="B785" s="281"/>
      <c r="C785" s="340">
        <v>28</v>
      </c>
      <c r="D785" s="340">
        <v>28</v>
      </c>
      <c r="E785" s="340">
        <v>28</v>
      </c>
      <c r="F785" s="340">
        <v>27</v>
      </c>
      <c r="G785" s="345">
        <f>F785</f>
        <v>27</v>
      </c>
      <c r="H785" s="340">
        <v>27</v>
      </c>
      <c r="I785" s="340">
        <v>27</v>
      </c>
      <c r="J785" s="340">
        <v>27</v>
      </c>
      <c r="K785" s="340">
        <v>27</v>
      </c>
      <c r="L785" s="345">
        <f>K785</f>
        <v>27</v>
      </c>
      <c r="M785" s="340">
        <v>27</v>
      </c>
      <c r="N785" s="340">
        <v>27</v>
      </c>
      <c r="O785" s="340">
        <v>27</v>
      </c>
      <c r="P785" s="340">
        <v>27</v>
      </c>
      <c r="Q785" s="345">
        <f>P785</f>
        <v>27</v>
      </c>
      <c r="R785" s="340">
        <v>26</v>
      </c>
      <c r="S785" s="340">
        <v>26</v>
      </c>
      <c r="T785" s="340">
        <v>26</v>
      </c>
      <c r="U785" s="340">
        <v>26</v>
      </c>
      <c r="V785" s="345">
        <f>U785</f>
        <v>26</v>
      </c>
      <c r="W785" s="340">
        <v>25</v>
      </c>
      <c r="X785" s="340">
        <v>25</v>
      </c>
      <c r="Y785" s="340">
        <v>26</v>
      </c>
      <c r="Z785" s="340">
        <v>27</v>
      </c>
      <c r="AA785" s="345">
        <f>Z785</f>
        <v>27</v>
      </c>
      <c r="AB785" s="339">
        <v>28</v>
      </c>
      <c r="AC785" s="339">
        <v>29</v>
      </c>
      <c r="AD785" s="339">
        <v>27</v>
      </c>
      <c r="AE785" s="339">
        <v>23</v>
      </c>
      <c r="AF785" s="348">
        <f>AE785</f>
        <v>23</v>
      </c>
      <c r="AG785" s="331">
        <f>AE785</f>
        <v>23</v>
      </c>
      <c r="AH785" s="331">
        <f t="shared" si="1740"/>
        <v>23</v>
      </c>
      <c r="AI785" s="331">
        <f t="shared" si="1740"/>
        <v>23</v>
      </c>
      <c r="AJ785" s="331">
        <f t="shared" si="1740"/>
        <v>23</v>
      </c>
      <c r="AK785" s="348">
        <f>AJ785</f>
        <v>23</v>
      </c>
      <c r="AL785" s="2651">
        <v>27</v>
      </c>
      <c r="AM785" s="2655">
        <v>27</v>
      </c>
      <c r="AN785" s="2655">
        <v>27</v>
      </c>
      <c r="AO785" s="2655">
        <v>27</v>
      </c>
      <c r="AP785" s="568">
        <f>AO785</f>
        <v>27</v>
      </c>
      <c r="AQ785" s="2651">
        <v>22</v>
      </c>
      <c r="AR785" s="2655">
        <v>22</v>
      </c>
      <c r="AS785" s="2655">
        <v>22</v>
      </c>
      <c r="AT785" s="2655">
        <v>22</v>
      </c>
      <c r="AU785" s="1692">
        <f>AT785</f>
        <v>22</v>
      </c>
      <c r="AV785" s="2651">
        <v>27</v>
      </c>
      <c r="AW785" s="2655">
        <v>27</v>
      </c>
      <c r="AX785" s="2655">
        <v>27</v>
      </c>
      <c r="AY785" s="2655">
        <v>27</v>
      </c>
      <c r="AZ785" s="1692">
        <f>AY785</f>
        <v>27</v>
      </c>
      <c r="BA785" s="2651">
        <v>27</v>
      </c>
      <c r="BB785" s="2655">
        <v>27</v>
      </c>
      <c r="BC785" s="2655">
        <v>27</v>
      </c>
      <c r="BD785" s="2655">
        <v>27</v>
      </c>
      <c r="BE785" s="1692">
        <f>BD785</f>
        <v>27</v>
      </c>
      <c r="BF785" s="2651">
        <v>27</v>
      </c>
      <c r="BG785" s="2655">
        <v>27</v>
      </c>
      <c r="BH785" s="2655">
        <v>27</v>
      </c>
      <c r="BI785" s="2655">
        <v>27</v>
      </c>
      <c r="BJ785" s="1692">
        <f>BI785</f>
        <v>27</v>
      </c>
      <c r="BK785" s="2971">
        <v>28</v>
      </c>
      <c r="BL785" s="2971">
        <v>28</v>
      </c>
      <c r="BM785" s="2971">
        <v>28</v>
      </c>
      <c r="BN785" s="2949">
        <v>28</v>
      </c>
      <c r="BO785" s="1906">
        <f>BN785</f>
        <v>28</v>
      </c>
      <c r="BP785" s="2971">
        <v>28</v>
      </c>
      <c r="BQ785" s="2971">
        <v>32</v>
      </c>
      <c r="BR785" s="2971">
        <v>35</v>
      </c>
      <c r="BS785" s="2949">
        <v>36</v>
      </c>
      <c r="BT785" s="3218">
        <f>BS785</f>
        <v>36</v>
      </c>
      <c r="BU785" s="3562">
        <f>+BT785</f>
        <v>36</v>
      </c>
      <c r="BV785" s="3444">
        <f>+BU785</f>
        <v>36</v>
      </c>
      <c r="BW785" s="3444">
        <f>+BV785</f>
        <v>36</v>
      </c>
      <c r="BX785" s="3444">
        <f>+BW785</f>
        <v>36</v>
      </c>
      <c r="BY785" s="3234">
        <f>BX785</f>
        <v>36</v>
      </c>
      <c r="BZ785" s="2857">
        <f>BY785</f>
        <v>36</v>
      </c>
      <c r="CA785" s="2857">
        <f>BZ785</f>
        <v>36</v>
      </c>
      <c r="CB785" s="2857">
        <f t="shared" si="1741"/>
        <v>36</v>
      </c>
      <c r="CC785" s="2857">
        <f t="shared" si="1741"/>
        <v>36</v>
      </c>
      <c r="CD785" s="2857">
        <f t="shared" si="1741"/>
        <v>36</v>
      </c>
      <c r="CE785" s="2857">
        <f t="shared" si="1741"/>
        <v>36</v>
      </c>
      <c r="CF785" s="2857">
        <f t="shared" si="1741"/>
        <v>36</v>
      </c>
      <c r="CG785" s="331"/>
      <c r="CH785" s="331"/>
      <c r="CI785" s="331"/>
      <c r="CJ785" s="331"/>
      <c r="CK785" s="331"/>
      <c r="CL785" s="520" t="str">
        <f t="shared" si="1723"/>
        <v>Tables</v>
      </c>
      <c r="CM785" s="330">
        <f t="shared" si="1724"/>
        <v>27</v>
      </c>
      <c r="CN785" s="330">
        <f t="shared" si="1725"/>
        <v>27</v>
      </c>
      <c r="CO785" s="330">
        <f t="shared" si="1726"/>
        <v>27</v>
      </c>
      <c r="CP785" s="330">
        <f t="shared" si="1727"/>
        <v>26</v>
      </c>
      <c r="CQ785" s="330">
        <f t="shared" si="1728"/>
        <v>27</v>
      </c>
      <c r="CR785" s="330">
        <f t="shared" si="1729"/>
        <v>23</v>
      </c>
      <c r="CS785" s="330">
        <f t="shared" si="1730"/>
        <v>23</v>
      </c>
      <c r="CT785" s="330">
        <f t="shared" si="1731"/>
        <v>27</v>
      </c>
      <c r="CU785" s="330">
        <f t="shared" si="1732"/>
        <v>22</v>
      </c>
      <c r="CV785" s="330">
        <f t="shared" si="1733"/>
        <v>27</v>
      </c>
      <c r="CW785" s="330">
        <f t="shared" si="1734"/>
        <v>27</v>
      </c>
      <c r="CX785" s="330">
        <f t="shared" si="1735"/>
        <v>27</v>
      </c>
      <c r="CY785" s="330">
        <f t="shared" si="1736"/>
        <v>28</v>
      </c>
      <c r="CZ785" s="330">
        <f t="shared" si="1737"/>
        <v>36</v>
      </c>
      <c r="DA785" s="330">
        <f t="shared" si="1738"/>
        <v>36</v>
      </c>
      <c r="DB785" s="330">
        <f t="shared" si="1738"/>
        <v>36</v>
      </c>
      <c r="DC785" s="1888">
        <f t="shared" si="1738"/>
        <v>36</v>
      </c>
      <c r="DD785" s="331"/>
      <c r="DE785" s="331"/>
      <c r="DF785" s="502"/>
      <c r="DG785" s="503"/>
      <c r="DH785" s="3297"/>
      <c r="DI785" s="3213"/>
      <c r="DJ785" s="502"/>
      <c r="DK785" s="503"/>
      <c r="DL785" s="502"/>
      <c r="DM785" s="502"/>
      <c r="DN785" s="502"/>
      <c r="DO785" s="502"/>
      <c r="DP785" s="503"/>
      <c r="DQ785" s="503"/>
      <c r="DR785" s="296"/>
      <c r="DS785" s="296"/>
      <c r="DT785" s="296"/>
    </row>
    <row r="786" spans="1:124" ht="12" customHeight="1" x14ac:dyDescent="0.25">
      <c r="A786" s="511" t="s">
        <v>2111</v>
      </c>
      <c r="B786" s="281"/>
      <c r="C786" s="340">
        <v>1329</v>
      </c>
      <c r="D786" s="305">
        <f>AVERAGE(C783:D783)</f>
        <v>1329</v>
      </c>
      <c r="E786" s="305">
        <f>AVERAGE(D783:E783)</f>
        <v>1329</v>
      </c>
      <c r="F786" s="305">
        <f>AVERAGE(E783:F783)</f>
        <v>1326</v>
      </c>
      <c r="G786" s="345">
        <f>AVERAGE(C786:F786)</f>
        <v>1328.25</v>
      </c>
      <c r="H786" s="305">
        <f>AVERAGE(G783:H783)</f>
        <v>1323</v>
      </c>
      <c r="I786" s="305">
        <f>AVERAGE(H783:I783)</f>
        <v>1323</v>
      </c>
      <c r="J786" s="305">
        <f>AVERAGE(I783:J783)</f>
        <v>1323</v>
      </c>
      <c r="K786" s="305">
        <f>AVERAGE(J783:K783)</f>
        <v>1323</v>
      </c>
      <c r="L786" s="345">
        <f>AVERAGE(H786:K786)</f>
        <v>1323</v>
      </c>
      <c r="M786" s="305">
        <f>AVERAGE(L783:M783)</f>
        <v>1323</v>
      </c>
      <c r="N786" s="305">
        <f>AVERAGE(M783:N783)</f>
        <v>1323</v>
      </c>
      <c r="O786" s="305">
        <f>AVERAGE(N783:O783)</f>
        <v>1323</v>
      </c>
      <c r="P786" s="305">
        <f>AVERAGE(O783:P783)</f>
        <v>1328.5</v>
      </c>
      <c r="Q786" s="345">
        <f>AVERAGE(M786:P786)</f>
        <v>1324.375</v>
      </c>
      <c r="R786" s="305">
        <f>AVERAGE(Q783:R783)</f>
        <v>1331</v>
      </c>
      <c r="S786" s="305">
        <f>AVERAGE(R783:S783)</f>
        <v>1328</v>
      </c>
      <c r="T786" s="305">
        <f>AVERAGE(S783:T783)</f>
        <v>1328</v>
      </c>
      <c r="U786" s="305">
        <f>AVERAGE(T783:U783)</f>
        <v>1333.5</v>
      </c>
      <c r="V786" s="345">
        <f>AVERAGE(R786:U786)</f>
        <v>1330.125</v>
      </c>
      <c r="W786" s="305">
        <f>AVERAGE(V783:W783)</f>
        <v>1336</v>
      </c>
      <c r="X786" s="305">
        <f>AVERAGE(W783:X783)</f>
        <v>1333</v>
      </c>
      <c r="Y786" s="305">
        <f>AVERAGE(X783:Y783)</f>
        <v>1336</v>
      </c>
      <c r="Z786" s="305">
        <f>AVERAGE(Y783:Z783)</f>
        <v>1336.5</v>
      </c>
      <c r="AA786" s="345">
        <f>AVERAGE(W786:Z786)</f>
        <v>1335.375</v>
      </c>
      <c r="AB786" s="305">
        <f>AVERAGE(AA783:AB783)</f>
        <v>1335</v>
      </c>
      <c r="AC786" s="305">
        <f>AVERAGE(AB783:AC783)</f>
        <v>1335.5</v>
      </c>
      <c r="AD786" s="305">
        <f>AVERAGE(AC783:AD783)</f>
        <v>1332.5</v>
      </c>
      <c r="AE786" s="331">
        <f>AVERAGE(AD783:AE783)</f>
        <v>1320</v>
      </c>
      <c r="AF786" s="348">
        <f>AVERAGE(AB786:AE786)</f>
        <v>1330.75</v>
      </c>
      <c r="AG786" s="305">
        <f>AVERAGE(AF783:AG783)</f>
        <v>1310</v>
      </c>
      <c r="AH786" s="305">
        <f>AVERAGE(AG783:AH783)</f>
        <v>1310</v>
      </c>
      <c r="AI786" s="305">
        <f>AVERAGE(AH783:AI783)</f>
        <v>1310</v>
      </c>
      <c r="AJ786" s="331">
        <f>AVERAGE(AI783:AJ783)</f>
        <v>1310</v>
      </c>
      <c r="AK786" s="348">
        <f>AVERAGE(AG786:AJ786)</f>
        <v>1310</v>
      </c>
      <c r="AL786" s="305">
        <f>AVERAGE(AK783:AL783)</f>
        <v>1322</v>
      </c>
      <c r="AM786" s="305">
        <f>AVERAGE(AL783:AM783)</f>
        <v>1334</v>
      </c>
      <c r="AN786" s="305">
        <f>AVERAGE(AM783:AN783)</f>
        <v>1334</v>
      </c>
      <c r="AO786" s="331">
        <f>AVERAGE(AN783:AO783)</f>
        <v>1334</v>
      </c>
      <c r="AP786" s="568">
        <f>AVERAGE(AL786:AO786)</f>
        <v>1331</v>
      </c>
      <c r="AQ786" s="568">
        <f>AVERAGE(AP783:AQ783)</f>
        <v>1321.5</v>
      </c>
      <c r="AR786" s="330">
        <f>AVERAGE(AQ783:AR783)</f>
        <v>1309</v>
      </c>
      <c r="AS786" s="330">
        <f>AVERAGE(AR783:AS783)</f>
        <v>1309</v>
      </c>
      <c r="AT786" s="330">
        <f>AVERAGE(AS783:AT783)</f>
        <v>1309</v>
      </c>
      <c r="AU786" s="1692">
        <f>AVERAGE(AQ786:AT786)</f>
        <v>1312.125</v>
      </c>
      <c r="AV786" s="1912">
        <f>AVERAGE(AU783:AV783)</f>
        <v>1320.5</v>
      </c>
      <c r="AW786" s="1839">
        <f>AVERAGE(AV783:AW783)</f>
        <v>1327</v>
      </c>
      <c r="AX786" s="1839">
        <f>AVERAGE(AW783:AX783)</f>
        <v>1320.5</v>
      </c>
      <c r="AY786" s="1906">
        <f>AVERAGE(AX783:AY783)</f>
        <v>1319</v>
      </c>
      <c r="AZ786" s="1692">
        <f>AVERAGE(AV786:AY786)</f>
        <v>1321.75</v>
      </c>
      <c r="BA786" s="553">
        <f>AVERAGE(AZ783:BA783)</f>
        <v>1319</v>
      </c>
      <c r="BB786" s="551">
        <f>AVERAGE(BA783:BB783)</f>
        <v>1319</v>
      </c>
      <c r="BC786" s="551">
        <f>AVERAGE(BB783:BC783)</f>
        <v>1319</v>
      </c>
      <c r="BD786" s="1895">
        <f>AVERAGE(BC783:BD783)</f>
        <v>1319</v>
      </c>
      <c r="BE786" s="1906">
        <f>AVERAGE(BA786:BD786)</f>
        <v>1319</v>
      </c>
      <c r="BF786" s="551">
        <f>AVERAGE(BE783:BF783)</f>
        <v>1319</v>
      </c>
      <c r="BG786" s="551">
        <f>AVERAGE(BF783:BG783)</f>
        <v>1319</v>
      </c>
      <c r="BH786" s="551">
        <f>AVERAGE(BG783:BH783)</f>
        <v>1304</v>
      </c>
      <c r="BI786" s="1895">
        <f>AVERAGE(BH783:BI783)</f>
        <v>1289</v>
      </c>
      <c r="BJ786" s="1906">
        <f>AVERAGE(BF786:BI786)</f>
        <v>1307.75</v>
      </c>
      <c r="BK786" s="551">
        <f>AVERAGE(BJ783:BK783)</f>
        <v>1282</v>
      </c>
      <c r="BL786" s="551">
        <f>AVERAGE(BK783:BL783)</f>
        <v>1271.5</v>
      </c>
      <c r="BM786" s="551">
        <f>AVERAGE(BL783:BM783)</f>
        <v>1268</v>
      </c>
      <c r="BN786" s="1895">
        <f>AVERAGE(BM783:BN783)</f>
        <v>1268</v>
      </c>
      <c r="BO786" s="1906">
        <f>AVERAGE(BK786:BN786)</f>
        <v>1272.375</v>
      </c>
      <c r="BP786" s="551">
        <f>AVERAGE(BO783:BP783)</f>
        <v>1268</v>
      </c>
      <c r="BQ786" s="551">
        <f>AVERAGE(BP783:BQ783)</f>
        <v>1270</v>
      </c>
      <c r="BR786" s="551">
        <f>AVERAGE(BQ783:BR783)</f>
        <v>1279</v>
      </c>
      <c r="BS786" s="1895">
        <f>AVERAGE(BR783:BS783)</f>
        <v>1284.5</v>
      </c>
      <c r="BT786" s="3218">
        <f>AVERAGE(BP786:BS786)</f>
        <v>1275.375</v>
      </c>
      <c r="BU786" s="3297">
        <f>AVERAGE(BT783:BU783)</f>
        <v>1283</v>
      </c>
      <c r="BV786" s="3297">
        <f>AVERAGE(BU783:BV783)</f>
        <v>1283</v>
      </c>
      <c r="BW786" s="3297">
        <f>AVERAGE(BV783:BW783)</f>
        <v>1283</v>
      </c>
      <c r="BX786" s="3297">
        <f>AVERAGE(BW783:BX783)</f>
        <v>1283</v>
      </c>
      <c r="BY786" s="3234">
        <f>AVERAGE(BU786:BX786)</f>
        <v>1283</v>
      </c>
      <c r="BZ786" s="552">
        <f t="shared" ref="BZ786:CF786" si="1742">AVERAGE(BY783:BZ783)</f>
        <v>1283</v>
      </c>
      <c r="CA786" s="552">
        <f t="shared" si="1742"/>
        <v>1283</v>
      </c>
      <c r="CB786" s="552">
        <f t="shared" si="1742"/>
        <v>1283</v>
      </c>
      <c r="CC786" s="552">
        <f t="shared" si="1742"/>
        <v>1283</v>
      </c>
      <c r="CD786" s="552">
        <f t="shared" si="1742"/>
        <v>1283</v>
      </c>
      <c r="CE786" s="552">
        <f t="shared" si="1742"/>
        <v>1283</v>
      </c>
      <c r="CF786" s="552">
        <f t="shared" si="1742"/>
        <v>1283</v>
      </c>
      <c r="CG786" s="331"/>
      <c r="CH786" s="331"/>
      <c r="CI786" s="331"/>
      <c r="CJ786" s="331"/>
      <c r="CK786" s="331"/>
      <c r="CL786" s="1118" t="str">
        <f t="shared" si="1723"/>
        <v>Average Positions</v>
      </c>
      <c r="CM786" s="330">
        <f t="shared" si="1724"/>
        <v>1328.25</v>
      </c>
      <c r="CN786" s="330">
        <f t="shared" si="1725"/>
        <v>1323</v>
      </c>
      <c r="CO786" s="330">
        <f t="shared" si="1726"/>
        <v>1324.375</v>
      </c>
      <c r="CP786" s="330">
        <f t="shared" si="1727"/>
        <v>1330.125</v>
      </c>
      <c r="CQ786" s="330">
        <f t="shared" si="1728"/>
        <v>1335.375</v>
      </c>
      <c r="CR786" s="330">
        <f t="shared" si="1729"/>
        <v>1330.75</v>
      </c>
      <c r="CS786" s="330">
        <f t="shared" si="1730"/>
        <v>1310</v>
      </c>
      <c r="CT786" s="330">
        <f t="shared" si="1731"/>
        <v>1331</v>
      </c>
      <c r="CU786" s="330">
        <f t="shared" si="1732"/>
        <v>1312.125</v>
      </c>
      <c r="CV786" s="330">
        <f t="shared" si="1733"/>
        <v>1321.75</v>
      </c>
      <c r="CW786" s="330">
        <f t="shared" si="1734"/>
        <v>1319</v>
      </c>
      <c r="CX786" s="330">
        <f t="shared" si="1735"/>
        <v>1307.75</v>
      </c>
      <c r="CY786" s="330">
        <f t="shared" si="1736"/>
        <v>1272.375</v>
      </c>
      <c r="CZ786" s="330">
        <f t="shared" si="1737"/>
        <v>1275.375</v>
      </c>
      <c r="DA786" s="330">
        <f t="shared" si="1738"/>
        <v>1283</v>
      </c>
      <c r="DB786" s="330">
        <f t="shared" si="1738"/>
        <v>1283</v>
      </c>
      <c r="DC786" s="1888">
        <f t="shared" si="1738"/>
        <v>1283</v>
      </c>
      <c r="DD786" s="331"/>
      <c r="DE786" s="331"/>
      <c r="DF786" s="502"/>
      <c r="DG786" s="503"/>
      <c r="DH786" s="3297"/>
      <c r="DI786" s="3213"/>
      <c r="DJ786" s="502"/>
      <c r="DK786" s="503"/>
      <c r="DL786" s="502"/>
      <c r="DM786" s="502"/>
      <c r="DN786" s="502"/>
      <c r="DO786" s="502"/>
      <c r="DP786" s="503"/>
      <c r="DQ786" s="503"/>
      <c r="DR786" s="296"/>
      <c r="DS786" s="296"/>
      <c r="DT786" s="296"/>
    </row>
    <row r="787" spans="1:124" ht="12" customHeight="1" x14ac:dyDescent="0.25">
      <c r="A787" s="557" t="s">
        <v>901</v>
      </c>
      <c r="B787" s="558"/>
      <c r="C787" s="318">
        <f t="shared" ref="C787:AH787" si="1743">C793*1000000/C786/C$5</f>
        <v>476.12432714012851</v>
      </c>
      <c r="D787" s="318">
        <f t="shared" si="1743"/>
        <v>470.3280166034117</v>
      </c>
      <c r="E787" s="318">
        <f t="shared" si="1743"/>
        <v>472.71567376582584</v>
      </c>
      <c r="F787" s="318">
        <f t="shared" si="1743"/>
        <v>469.53078890419039</v>
      </c>
      <c r="G787" s="559">
        <f t="shared" si="1743"/>
        <v>472.16899675916068</v>
      </c>
      <c r="H787" s="318">
        <f t="shared" si="1743"/>
        <v>470.63072142437221</v>
      </c>
      <c r="I787" s="318">
        <f t="shared" si="1743"/>
        <v>504.38979010407581</v>
      </c>
      <c r="J787" s="318">
        <f t="shared" si="1743"/>
        <v>527.82707285812887</v>
      </c>
      <c r="K787" s="318">
        <f t="shared" si="1743"/>
        <v>511.56791218903021</v>
      </c>
      <c r="L787" s="559">
        <f t="shared" si="1743"/>
        <v>503.7823957589124</v>
      </c>
      <c r="M787" s="318">
        <f t="shared" si="1743"/>
        <v>559.08289241622572</v>
      </c>
      <c r="N787" s="318">
        <f t="shared" si="1743"/>
        <v>545.71279061074983</v>
      </c>
      <c r="O787" s="318">
        <f t="shared" si="1743"/>
        <v>550.46994643267931</v>
      </c>
      <c r="P787" s="318">
        <f t="shared" si="1743"/>
        <v>543.94462535386435</v>
      </c>
      <c r="Q787" s="559">
        <f t="shared" si="1743"/>
        <v>549.76151842106958</v>
      </c>
      <c r="R787" s="318">
        <f t="shared" si="1743"/>
        <v>581.1670423240671</v>
      </c>
      <c r="S787" s="318">
        <f t="shared" si="1743"/>
        <v>574.15099960280691</v>
      </c>
      <c r="T787" s="318">
        <f t="shared" si="1743"/>
        <v>565.70848611838653</v>
      </c>
      <c r="U787" s="318">
        <f t="shared" si="1743"/>
        <v>525.32563864299573</v>
      </c>
      <c r="V787" s="559">
        <f t="shared" si="1743"/>
        <v>561.42009518623365</v>
      </c>
      <c r="W787" s="318">
        <f t="shared" si="1743"/>
        <v>481.62466276238723</v>
      </c>
      <c r="X787" s="318">
        <f t="shared" si="1743"/>
        <v>472.02459955648243</v>
      </c>
      <c r="Y787" s="318">
        <f t="shared" si="1743"/>
        <v>464.19389481905756</v>
      </c>
      <c r="Z787" s="318">
        <f t="shared" si="1743"/>
        <v>406.9519673384408</v>
      </c>
      <c r="AA787" s="559">
        <f t="shared" si="1743"/>
        <v>456.07417739946362</v>
      </c>
      <c r="AB787" s="318">
        <f t="shared" si="1743"/>
        <v>444.44444444444446</v>
      </c>
      <c r="AC787" s="318">
        <f t="shared" si="1743"/>
        <v>471.48658155771591</v>
      </c>
      <c r="AD787" s="318">
        <f t="shared" si="1743"/>
        <v>387.47042988824535</v>
      </c>
      <c r="AE787" s="560">
        <f t="shared" si="1743"/>
        <v>363.14229249011862</v>
      </c>
      <c r="AF787" s="561">
        <f t="shared" si="1743"/>
        <v>416.49188453313218</v>
      </c>
      <c r="AG787" s="318">
        <f t="shared" si="1743"/>
        <v>405.42832909245124</v>
      </c>
      <c r="AH787" s="318">
        <f t="shared" si="1743"/>
        <v>380.84053351228926</v>
      </c>
      <c r="AI787" s="318">
        <f t="shared" ref="AI787:CA787" si="1744">AI793*1000000/AI786/AI$5</f>
        <v>374.46067042814468</v>
      </c>
      <c r="AJ787" s="560">
        <f t="shared" si="1744"/>
        <v>354.27314968469966</v>
      </c>
      <c r="AK787" s="561">
        <f t="shared" si="1744"/>
        <v>378.59876607759065</v>
      </c>
      <c r="AL787" s="318">
        <f t="shared" si="1744"/>
        <v>372.68448478735922</v>
      </c>
      <c r="AM787" s="318">
        <f t="shared" si="1744"/>
        <v>382.22646918299097</v>
      </c>
      <c r="AN787" s="318">
        <f t="shared" si="1744"/>
        <v>354.18975294961217</v>
      </c>
      <c r="AO787" s="560">
        <f t="shared" si="1744"/>
        <v>319.32403363535622</v>
      </c>
      <c r="AP787" s="562">
        <f t="shared" si="1744"/>
        <v>356.92804874283416</v>
      </c>
      <c r="AQ787" s="562">
        <f t="shared" si="1744"/>
        <v>317.56287601917569</v>
      </c>
      <c r="AR787" s="318">
        <f t="shared" si="1744"/>
        <v>326.97554546294043</v>
      </c>
      <c r="AS787" s="560">
        <f t="shared" si="1744"/>
        <v>316.58750456704422</v>
      </c>
      <c r="AT787" s="560">
        <f t="shared" si="1744"/>
        <v>303.20191317633765</v>
      </c>
      <c r="AU787" s="1688">
        <f t="shared" si="1744"/>
        <v>316.04762432774191</v>
      </c>
      <c r="AV787" s="1732">
        <f t="shared" si="1744"/>
        <v>308.88360469519125</v>
      </c>
      <c r="AW787" s="1766">
        <f t="shared" si="1744"/>
        <v>312.47441556183077</v>
      </c>
      <c r="AX787" s="1766">
        <f t="shared" si="1744"/>
        <v>291.02196137826576</v>
      </c>
      <c r="AY787" s="1901">
        <f t="shared" si="1744"/>
        <v>263.32518047269014</v>
      </c>
      <c r="AZ787" s="1688">
        <f t="shared" si="1744"/>
        <v>293.82346049109861</v>
      </c>
      <c r="BA787" s="562">
        <f t="shared" si="1744"/>
        <v>263.11386572319094</v>
      </c>
      <c r="BB787" s="560">
        <f t="shared" si="1744"/>
        <v>277.81139557940162</v>
      </c>
      <c r="BC787" s="560">
        <f t="shared" si="1744"/>
        <v>263.43039852325541</v>
      </c>
      <c r="BD787" s="1878">
        <f t="shared" si="1744"/>
        <v>250.68324158618188</v>
      </c>
      <c r="BE787" s="1901">
        <f t="shared" si="1744"/>
        <v>263.72476658323552</v>
      </c>
      <c r="BF787" s="560">
        <f>BF793*1000000/BF786/BF$5</f>
        <v>256.14794878274785</v>
      </c>
      <c r="BG787" s="560">
        <f>BG793*1000000/BG786/BG$5</f>
        <v>268.36591990269017</v>
      </c>
      <c r="BH787" s="560">
        <f>BH793*1000000/BH786/BH$5</f>
        <v>245.77638203520939</v>
      </c>
      <c r="BI787" s="1878">
        <f>BI793*1000000/BI786/BI$5</f>
        <v>244.92851721928017</v>
      </c>
      <c r="BJ787" s="1901">
        <f t="shared" si="1744"/>
        <v>253.80809347855117</v>
      </c>
      <c r="BK787" s="560">
        <f t="shared" ref="BK787:BU787" si="1745">BK793*1000000/BK786/BK$5</f>
        <v>261.1781642694279</v>
      </c>
      <c r="BL787" s="560">
        <f t="shared" si="1745"/>
        <v>261.00521578303727</v>
      </c>
      <c r="BM787" s="560">
        <f t="shared" si="1745"/>
        <v>260.65383692223293</v>
      </c>
      <c r="BN787" s="1878">
        <f t="shared" si="1745"/>
        <v>248.0987347414621</v>
      </c>
      <c r="BO787" s="1901">
        <f t="shared" si="1745"/>
        <v>257.72251989926758</v>
      </c>
      <c r="BP787" s="560">
        <f t="shared" si="1745"/>
        <v>280.04356817385207</v>
      </c>
      <c r="BQ787" s="560">
        <f t="shared" si="1745"/>
        <v>257.85536038764388</v>
      </c>
      <c r="BR787" s="560">
        <f t="shared" si="1745"/>
        <v>258.74772240541182</v>
      </c>
      <c r="BS787" s="1878">
        <f t="shared" si="1745"/>
        <v>242.74605243116082</v>
      </c>
      <c r="BT787" s="2556">
        <f t="shared" si="1745"/>
        <v>259.69587779044303</v>
      </c>
      <c r="BU787" s="2588">
        <f t="shared" si="1745"/>
        <v>248.18216852862213</v>
      </c>
      <c r="BV787" s="2588">
        <f>BV793*1000000/BV786/BV$5</f>
        <v>255.24264044606991</v>
      </c>
      <c r="BW787" s="2588">
        <f>BW793*1000000/BW786/BW$5</f>
        <v>260.52043673116674</v>
      </c>
      <c r="BX787" s="2588">
        <f>BX793*1000000/BX786/BX$5</f>
        <v>245.46015385136738</v>
      </c>
      <c r="BY787" s="2589">
        <f>BY793*1000000/BY786/BY$5</f>
        <v>252.36627337468903</v>
      </c>
      <c r="BZ787" s="561">
        <f t="shared" si="1744"/>
        <v>254.88993610843593</v>
      </c>
      <c r="CA787" s="561">
        <f t="shared" si="1744"/>
        <v>254.19351551797573</v>
      </c>
      <c r="CB787" s="561">
        <f>CB793*1000000/CB786/CB$5</f>
        <v>242.14543930301411</v>
      </c>
      <c r="CC787" s="561">
        <f>CC793*1000000/CC786/CC$5</f>
        <v>230.0381673378634</v>
      </c>
      <c r="CD787" s="561">
        <f>CD793*1000000/CD786/CD$5</f>
        <v>234.63893068462065</v>
      </c>
      <c r="CE787" s="561">
        <f>CE793*1000000/CE786/CE$5</f>
        <v>238.67779752427396</v>
      </c>
      <c r="CF787" s="561">
        <f>CF793*1000000/CF786/CF$5</f>
        <v>244.11834348427931</v>
      </c>
      <c r="CG787" s="560"/>
      <c r="CH787" s="560"/>
      <c r="CI787" s="560"/>
      <c r="CJ787" s="560"/>
      <c r="CK787" s="560"/>
      <c r="CL787" s="1307" t="str">
        <f t="shared" si="1723"/>
        <v>Daily Win / Position</v>
      </c>
      <c r="CM787" s="560">
        <f t="shared" si="1724"/>
        <v>472.16899675916068</v>
      </c>
      <c r="CN787" s="560">
        <f t="shared" si="1725"/>
        <v>503.7823957589124</v>
      </c>
      <c r="CO787" s="560">
        <f t="shared" si="1726"/>
        <v>549.76151842106958</v>
      </c>
      <c r="CP787" s="560">
        <f t="shared" si="1727"/>
        <v>561.42009518623365</v>
      </c>
      <c r="CQ787" s="560">
        <f t="shared" si="1728"/>
        <v>456.07417739946362</v>
      </c>
      <c r="CR787" s="560">
        <f t="shared" si="1729"/>
        <v>416.49188453313218</v>
      </c>
      <c r="CS787" s="560">
        <f t="shared" si="1730"/>
        <v>378.59876607759065</v>
      </c>
      <c r="CT787" s="560">
        <f t="shared" si="1731"/>
        <v>356.92804874283416</v>
      </c>
      <c r="CU787" s="560">
        <f t="shared" si="1732"/>
        <v>316.04762432774191</v>
      </c>
      <c r="CV787" s="560">
        <f t="shared" si="1733"/>
        <v>293.82346049109861</v>
      </c>
      <c r="CW787" s="560">
        <f t="shared" si="1734"/>
        <v>263.72476658323552</v>
      </c>
      <c r="CX787" s="560">
        <f t="shared" si="1735"/>
        <v>253.80809347855117</v>
      </c>
      <c r="CY787" s="560">
        <f t="shared" si="1736"/>
        <v>257.72251989926758</v>
      </c>
      <c r="CZ787" s="560">
        <f t="shared" si="1737"/>
        <v>259.69587779044303</v>
      </c>
      <c r="DA787" s="560">
        <f t="shared" si="1738"/>
        <v>252.36627337468903</v>
      </c>
      <c r="DB787" s="560">
        <f t="shared" si="1738"/>
        <v>254.88993610843593</v>
      </c>
      <c r="DC787" s="1878">
        <f t="shared" si="1738"/>
        <v>254.19351551797573</v>
      </c>
      <c r="DD787" s="560"/>
      <c r="DE787" s="560"/>
      <c r="DF787" s="707"/>
      <c r="DG787" s="707"/>
      <c r="DH787" s="2588"/>
      <c r="DI787" s="3213"/>
      <c r="DJ787" s="707"/>
      <c r="DK787" s="707"/>
      <c r="DL787" s="707"/>
      <c r="DM787" s="707"/>
      <c r="DN787" s="707"/>
      <c r="DO787" s="707"/>
      <c r="DP787" s="707"/>
      <c r="DQ787" s="707"/>
      <c r="DR787" s="968"/>
      <c r="DS787" s="968"/>
      <c r="DT787" s="968"/>
    </row>
    <row r="788" spans="1:124" ht="12" customHeight="1" x14ac:dyDescent="0.25">
      <c r="A788" s="465" t="s">
        <v>1491</v>
      </c>
      <c r="B788" s="466"/>
      <c r="C788" s="467" t="s">
        <v>553</v>
      </c>
      <c r="D788" s="467" t="s">
        <v>553</v>
      </c>
      <c r="E788" s="467" t="s">
        <v>553</v>
      </c>
      <c r="F788" s="467" t="s">
        <v>553</v>
      </c>
      <c r="G788" s="468" t="s">
        <v>553</v>
      </c>
      <c r="H788" s="467">
        <f t="shared" ref="H788:AF788" si="1746">(H787-C787)/C787</f>
        <v>-1.1538174805631126E-2</v>
      </c>
      <c r="I788" s="467">
        <f t="shared" si="1746"/>
        <v>7.2421315120986221E-2</v>
      </c>
      <c r="J788" s="467">
        <f t="shared" si="1746"/>
        <v>0.11658466632440063</v>
      </c>
      <c r="K788" s="467">
        <f t="shared" si="1746"/>
        <v>8.9530067629745289E-2</v>
      </c>
      <c r="L788" s="468">
        <f t="shared" si="1746"/>
        <v>6.6953567931688607E-2</v>
      </c>
      <c r="M788" s="467">
        <f t="shared" si="1746"/>
        <v>0.1879438952139619</v>
      </c>
      <c r="N788" s="467">
        <f t="shared" si="1746"/>
        <v>8.1926718814326976E-2</v>
      </c>
      <c r="O788" s="467">
        <f t="shared" si="1746"/>
        <v>4.2898280021791274E-2</v>
      </c>
      <c r="P788" s="467">
        <f t="shared" si="1746"/>
        <v>6.3289178999308651E-2</v>
      </c>
      <c r="Q788" s="468">
        <f t="shared" si="1746"/>
        <v>9.126782326899871E-2</v>
      </c>
      <c r="R788" s="467">
        <f t="shared" si="1746"/>
        <v>3.9500671917180007E-2</v>
      </c>
      <c r="S788" s="467">
        <f t="shared" si="1746"/>
        <v>5.2112044066677729E-2</v>
      </c>
      <c r="T788" s="467">
        <f t="shared" si="1746"/>
        <v>2.7682782292585792E-2</v>
      </c>
      <c r="U788" s="467">
        <f t="shared" si="1746"/>
        <v>-3.422956279558053E-2</v>
      </c>
      <c r="V788" s="468">
        <f t="shared" si="1746"/>
        <v>2.1206607546209906E-2</v>
      </c>
      <c r="W788" s="467">
        <f t="shared" si="1746"/>
        <v>-0.17128015236998523</v>
      </c>
      <c r="X788" s="467">
        <f t="shared" si="1746"/>
        <v>-0.17787376511923642</v>
      </c>
      <c r="Y788" s="467">
        <f t="shared" si="1746"/>
        <v>-0.17944682427494094</v>
      </c>
      <c r="Z788" s="467">
        <f t="shared" si="1746"/>
        <v>-0.22533389310739524</v>
      </c>
      <c r="AA788" s="468">
        <f t="shared" si="1746"/>
        <v>-0.18764187226291712</v>
      </c>
      <c r="AB788" s="467">
        <f t="shared" si="1746"/>
        <v>-7.7197496707692242E-2</v>
      </c>
      <c r="AC788" s="467">
        <f t="shared" si="1746"/>
        <v>-1.1398092372135807E-3</v>
      </c>
      <c r="AD788" s="467">
        <f t="shared" si="1746"/>
        <v>-0.16528322708922952</v>
      </c>
      <c r="AE788" s="469">
        <f t="shared" si="1746"/>
        <v>-0.10765318358047879</v>
      </c>
      <c r="AF788" s="470">
        <f t="shared" si="1746"/>
        <v>-8.6789155860631712E-2</v>
      </c>
      <c r="AG788" s="467">
        <f t="shared" ref="AG788:AU788" si="1747">(AG787-AB787)/AB787</f>
        <v>-8.778625954198474E-2</v>
      </c>
      <c r="AH788" s="467">
        <f t="shared" si="1747"/>
        <v>-0.19225583842905281</v>
      </c>
      <c r="AI788" s="467">
        <f t="shared" si="1747"/>
        <v>-3.3576134993973494E-2</v>
      </c>
      <c r="AJ788" s="469">
        <f t="shared" si="1747"/>
        <v>-2.4423326582541458E-2</v>
      </c>
      <c r="AK788" s="470">
        <f t="shared" si="1747"/>
        <v>-9.098164901344459E-2</v>
      </c>
      <c r="AL788" s="467">
        <f t="shared" si="1747"/>
        <v>-8.0763582501471712E-2</v>
      </c>
      <c r="AM788" s="467">
        <f t="shared" si="1747"/>
        <v>3.6391495882015677E-3</v>
      </c>
      <c r="AN788" s="467">
        <f t="shared" si="1747"/>
        <v>-5.4133635597446009E-2</v>
      </c>
      <c r="AO788" s="469">
        <f t="shared" si="1747"/>
        <v>-9.8650197116117569E-2</v>
      </c>
      <c r="AP788" s="471">
        <f t="shared" si="1747"/>
        <v>-5.7239270902206943E-2</v>
      </c>
      <c r="AQ788" s="471">
        <f t="shared" si="1747"/>
        <v>-0.14790422198454009</v>
      </c>
      <c r="AR788" s="467">
        <f t="shared" si="1747"/>
        <v>-0.1445502291825822</v>
      </c>
      <c r="AS788" s="469">
        <f t="shared" si="1747"/>
        <v>-0.10616413396893877</v>
      </c>
      <c r="AT788" s="469">
        <f t="shared" si="1747"/>
        <v>-5.0488277614045167E-2</v>
      </c>
      <c r="AU788" s="1689">
        <f t="shared" si="1747"/>
        <v>-0.11453407643103583</v>
      </c>
      <c r="AV788" s="1730">
        <f t="shared" ref="AV788:BA788" si="1748">(AV787-AQ787)/AQ787</f>
        <v>-2.733087517276531E-2</v>
      </c>
      <c r="AW788" s="1465">
        <f t="shared" si="1748"/>
        <v>-4.4349279639792599E-2</v>
      </c>
      <c r="AX788" s="1465">
        <f t="shared" si="1748"/>
        <v>-8.0753481486078069E-2</v>
      </c>
      <c r="AY788" s="1868">
        <f t="shared" si="1748"/>
        <v>-0.1315187370880995</v>
      </c>
      <c r="AZ788" s="1689">
        <f t="shared" si="1748"/>
        <v>-7.0319034619911597E-2</v>
      </c>
      <c r="BA788" s="471">
        <f t="shared" si="1748"/>
        <v>-0.14817794883340035</v>
      </c>
      <c r="BB788" s="469">
        <f t="shared" ref="BB788:BJ788" si="1749">(BB787-AW787)/AW787</f>
        <v>-0.11093074586636106</v>
      </c>
      <c r="BC788" s="469">
        <f t="shared" si="1749"/>
        <v>-9.4809212075741847E-2</v>
      </c>
      <c r="BD788" s="1463">
        <f t="shared" si="1749"/>
        <v>-4.8008849225185939E-2</v>
      </c>
      <c r="BE788" s="1868">
        <f t="shared" si="1749"/>
        <v>-0.10243802131237555</v>
      </c>
      <c r="BF788" s="469">
        <f t="shared" si="1749"/>
        <v>-2.6474913898196419E-2</v>
      </c>
      <c r="BG788" s="469">
        <f t="shared" si="1749"/>
        <v>-3.3999597665934585E-2</v>
      </c>
      <c r="BH788" s="469">
        <f t="shared" si="1749"/>
        <v>-6.7015866760295431E-2</v>
      </c>
      <c r="BI788" s="1463">
        <f t="shared" si="1749"/>
        <v>-2.2956159057498492E-2</v>
      </c>
      <c r="BJ788" s="1868">
        <f t="shared" si="1749"/>
        <v>-3.7602358068841053E-2</v>
      </c>
      <c r="BK788" s="469">
        <f t="shared" ref="BK788:BT788" si="1750">(BK787-BF787)/BF787</f>
        <v>1.9637929995474732E-2</v>
      </c>
      <c r="BL788" s="469">
        <f t="shared" si="1750"/>
        <v>-2.7427864619776962E-2</v>
      </c>
      <c r="BM788" s="469">
        <f t="shared" si="1750"/>
        <v>6.0532483893803189E-2</v>
      </c>
      <c r="BN788" s="1463">
        <f t="shared" si="1750"/>
        <v>1.2943439817355728E-2</v>
      </c>
      <c r="BO788" s="1868">
        <f t="shared" si="1750"/>
        <v>1.5422780129141982E-2</v>
      </c>
      <c r="BP788" s="469">
        <f t="shared" si="1750"/>
        <v>7.2231933926003369E-2</v>
      </c>
      <c r="BQ788" s="469">
        <f t="shared" si="1750"/>
        <v>-1.2068170308181622E-2</v>
      </c>
      <c r="BR788" s="469">
        <f t="shared" si="1750"/>
        <v>-7.3128197126436402E-3</v>
      </c>
      <c r="BS788" s="1463">
        <f t="shared" si="1750"/>
        <v>-2.1574806964973769E-2</v>
      </c>
      <c r="BT788" s="1463">
        <f t="shared" si="1750"/>
        <v>7.6569090351388475E-3</v>
      </c>
      <c r="BU788" s="469">
        <f>(BU787-BP787)/BP787</f>
        <v>-0.11377300986770124</v>
      </c>
      <c r="BV788" s="469">
        <f>(BV787-BQ787)/BQ787</f>
        <v>-1.0132501948558172E-2</v>
      </c>
      <c r="BW788" s="469">
        <f>(BW787-BR787)/BR787</f>
        <v>6.8511301636788495E-3</v>
      </c>
      <c r="BX788" s="469">
        <f>(BX787-BS787)/BS787</f>
        <v>1.118082618862047E-2</v>
      </c>
      <c r="BY788" s="470">
        <f>(BY787-BT787)/BT787</f>
        <v>-2.8223799615596897E-2</v>
      </c>
      <c r="BZ788" s="470">
        <f t="shared" ref="BZ788:CF788" si="1751">(BZ787-BY787)/BY787</f>
        <v>1.0000000000000051E-2</v>
      </c>
      <c r="CA788" s="470">
        <f t="shared" si="1751"/>
        <v>-2.7322404371584673E-3</v>
      </c>
      <c r="CB788" s="470">
        <f t="shared" si="1751"/>
        <v>-4.7397260273972688E-2</v>
      </c>
      <c r="CC788" s="470">
        <f t="shared" si="1751"/>
        <v>-5.0000000000000044E-2</v>
      </c>
      <c r="CD788" s="470">
        <f t="shared" si="1751"/>
        <v>1.999999999999991E-2</v>
      </c>
      <c r="CE788" s="470">
        <f t="shared" si="1751"/>
        <v>1.7213114754098372E-2</v>
      </c>
      <c r="CF788" s="470">
        <f t="shared" si="1751"/>
        <v>2.2794520547945139E-2</v>
      </c>
      <c r="CG788" s="492"/>
      <c r="CH788" s="492"/>
      <c r="CI788" s="492"/>
      <c r="CJ788" s="492"/>
      <c r="CK788" s="492"/>
      <c r="CL788" s="1310" t="str">
        <f t="shared" si="1723"/>
        <v>% growth (y-o-y)</v>
      </c>
      <c r="CM788" s="469" t="str">
        <f t="shared" si="1724"/>
        <v xml:space="preserve">n/a </v>
      </c>
      <c r="CN788" s="469">
        <f t="shared" si="1725"/>
        <v>6.6953567931688607E-2</v>
      </c>
      <c r="CO788" s="469">
        <f t="shared" si="1726"/>
        <v>9.126782326899871E-2</v>
      </c>
      <c r="CP788" s="469">
        <f t="shared" si="1727"/>
        <v>2.1206607546209906E-2</v>
      </c>
      <c r="CQ788" s="469">
        <f t="shared" si="1728"/>
        <v>-0.18764187226291712</v>
      </c>
      <c r="CR788" s="469">
        <f t="shared" si="1729"/>
        <v>-8.6789155860631712E-2</v>
      </c>
      <c r="CS788" s="469">
        <f t="shared" si="1730"/>
        <v>-9.098164901344459E-2</v>
      </c>
      <c r="CT788" s="469">
        <f t="shared" si="1731"/>
        <v>-5.7239270902206943E-2</v>
      </c>
      <c r="CU788" s="469">
        <f t="shared" si="1732"/>
        <v>-0.11453407643103583</v>
      </c>
      <c r="CV788" s="469">
        <f t="shared" si="1733"/>
        <v>-7.0319034619911597E-2</v>
      </c>
      <c r="CW788" s="469">
        <f t="shared" si="1734"/>
        <v>-0.10243802131237555</v>
      </c>
      <c r="CX788" s="469">
        <f t="shared" si="1735"/>
        <v>-3.7602358068841053E-2</v>
      </c>
      <c r="CY788" s="469">
        <f t="shared" si="1736"/>
        <v>1.5422780129141982E-2</v>
      </c>
      <c r="CZ788" s="469">
        <f t="shared" si="1737"/>
        <v>7.6569090351388475E-3</v>
      </c>
      <c r="DA788" s="469">
        <f t="shared" si="1738"/>
        <v>-2.8223799615596897E-2</v>
      </c>
      <c r="DB788" s="469">
        <f t="shared" si="1738"/>
        <v>1.0000000000000051E-2</v>
      </c>
      <c r="DC788" s="1463">
        <f t="shared" si="1738"/>
        <v>-2.7322404371584673E-3</v>
      </c>
      <c r="DD788" s="492"/>
      <c r="DE788" s="492"/>
      <c r="DF788" s="962"/>
      <c r="DG788" s="962"/>
      <c r="DH788" s="469"/>
      <c r="DI788" s="3213"/>
      <c r="DJ788" s="962"/>
      <c r="DK788" s="962"/>
      <c r="DL788" s="962"/>
      <c r="DM788" s="962"/>
      <c r="DN788" s="962"/>
      <c r="DO788" s="962"/>
      <c r="DP788" s="962"/>
      <c r="DQ788" s="962"/>
      <c r="DR788" s="963"/>
      <c r="DS788" s="963"/>
      <c r="DT788" s="963"/>
    </row>
    <row r="789" spans="1:124" ht="5.0999999999999996" customHeight="1" x14ac:dyDescent="0.25">
      <c r="A789" s="281"/>
      <c r="B789" s="281"/>
      <c r="C789" s="305"/>
      <c r="D789" s="305"/>
      <c r="E789" s="305"/>
      <c r="F789" s="305"/>
      <c r="G789" s="440"/>
      <c r="H789" s="305"/>
      <c r="I789" s="305"/>
      <c r="J789" s="305"/>
      <c r="K789" s="305"/>
      <c r="L789" s="440"/>
      <c r="M789" s="305"/>
      <c r="N789" s="305"/>
      <c r="O789" s="305"/>
      <c r="P789" s="305"/>
      <c r="Q789" s="440"/>
      <c r="R789" s="305"/>
      <c r="S789" s="305"/>
      <c r="T789" s="305"/>
      <c r="U789" s="305"/>
      <c r="V789" s="440"/>
      <c r="W789" s="305"/>
      <c r="X789" s="305"/>
      <c r="Y789" s="305"/>
      <c r="Z789" s="305"/>
      <c r="AA789" s="440"/>
      <c r="AB789" s="305"/>
      <c r="AC789" s="305"/>
      <c r="AD789" s="305"/>
      <c r="AE789" s="331"/>
      <c r="AF789" s="441"/>
      <c r="AG789" s="305"/>
      <c r="AH789" s="305"/>
      <c r="AI789" s="305"/>
      <c r="AJ789" s="331"/>
      <c r="AK789" s="441"/>
      <c r="AL789" s="305"/>
      <c r="AM789" s="305"/>
      <c r="AN789" s="305"/>
      <c r="AO789" s="331"/>
      <c r="AP789" s="569"/>
      <c r="AQ789" s="569"/>
      <c r="AR789" s="442"/>
      <c r="AS789" s="442"/>
      <c r="AT789" s="442"/>
      <c r="AU789" s="1690"/>
      <c r="AV789" s="1902"/>
      <c r="AW789" s="1837"/>
      <c r="AX789" s="1837"/>
      <c r="AY789" s="1903"/>
      <c r="AZ789" s="1690"/>
      <c r="BA789" s="569"/>
      <c r="BB789" s="442"/>
      <c r="BC789" s="442"/>
      <c r="BD789" s="1312"/>
      <c r="BE789" s="1903"/>
      <c r="BF789" s="442"/>
      <c r="BG789" s="442"/>
      <c r="BH789" s="442"/>
      <c r="BI789" s="1312"/>
      <c r="BJ789" s="1903"/>
      <c r="BK789" s="442"/>
      <c r="BL789" s="442"/>
      <c r="BM789" s="442"/>
      <c r="BN789" s="1312"/>
      <c r="BO789" s="1903"/>
      <c r="BP789" s="442"/>
      <c r="BQ789" s="442"/>
      <c r="BR789" s="442"/>
      <c r="BS789" s="1312"/>
      <c r="BT789" s="3016"/>
      <c r="BU789" s="3298"/>
      <c r="BV789" s="3298"/>
      <c r="BW789" s="3298"/>
      <c r="BX789" s="3298"/>
      <c r="BY789" s="3236"/>
      <c r="BZ789" s="441"/>
      <c r="CA789" s="441"/>
      <c r="CB789" s="441"/>
      <c r="CC789" s="441"/>
      <c r="CD789" s="441"/>
      <c r="CE789" s="441"/>
      <c r="CF789" s="441"/>
      <c r="CG789" s="331"/>
      <c r="CH789" s="331"/>
      <c r="CI789" s="331"/>
      <c r="CJ789" s="331"/>
      <c r="CK789" s="331"/>
      <c r="CL789" s="520"/>
      <c r="CM789" s="442"/>
      <c r="CN789" s="442"/>
      <c r="CO789" s="442"/>
      <c r="CP789" s="442"/>
      <c r="CQ789" s="442"/>
      <c r="CR789" s="442"/>
      <c r="CS789" s="442"/>
      <c r="CT789" s="442"/>
      <c r="CU789" s="442"/>
      <c r="CV789" s="442"/>
      <c r="CW789" s="442"/>
      <c r="CX789" s="442"/>
      <c r="CY789" s="442"/>
      <c r="CZ789" s="442"/>
      <c r="DA789" s="442"/>
      <c r="DB789" s="442"/>
      <c r="DC789" s="1312"/>
      <c r="DD789" s="331"/>
      <c r="DE789" s="331"/>
      <c r="DF789" s="502"/>
      <c r="DG789" s="503"/>
      <c r="DH789" s="3298"/>
      <c r="DI789" s="3213"/>
      <c r="DJ789" s="502"/>
      <c r="DK789" s="503"/>
      <c r="DL789" s="502"/>
      <c r="DM789" s="502"/>
      <c r="DN789" s="502"/>
      <c r="DO789" s="502"/>
      <c r="DP789" s="503"/>
      <c r="DQ789" s="503"/>
      <c r="DR789" s="296"/>
      <c r="DS789" s="296"/>
      <c r="DT789" s="296"/>
    </row>
    <row r="790" spans="1:124" ht="12" customHeight="1" x14ac:dyDescent="0.25">
      <c r="A790" s="281" t="s">
        <v>1088</v>
      </c>
      <c r="B790" s="281"/>
      <c r="C790" s="340">
        <v>364.62400000000002</v>
      </c>
      <c r="D790" s="340">
        <v>363.02100000000002</v>
      </c>
      <c r="E790" s="340">
        <v>378.62299999999999</v>
      </c>
      <c r="F790" s="340">
        <v>350.62700000000001</v>
      </c>
      <c r="G790" s="345">
        <f>SUM(C790:F790)</f>
        <v>1456.895</v>
      </c>
      <c r="H790" s="340">
        <v>348.863</v>
      </c>
      <c r="I790" s="340">
        <v>358.601</v>
      </c>
      <c r="J790" s="340">
        <v>420.73200000000008</v>
      </c>
      <c r="K790" s="340">
        <v>431.83</v>
      </c>
      <c r="L790" s="345">
        <f>SUM(H790:K790)</f>
        <v>1560.0259999999998</v>
      </c>
      <c r="M790" s="340">
        <v>441.50599999999997</v>
      </c>
      <c r="N790" s="340">
        <v>444.6</v>
      </c>
      <c r="O790" s="340">
        <v>470.39599999999996</v>
      </c>
      <c r="P790" s="340">
        <v>457.68</v>
      </c>
      <c r="Q790" s="345">
        <f>SUM(M790:P790)</f>
        <v>1814.182</v>
      </c>
      <c r="R790" s="340">
        <v>459.577</v>
      </c>
      <c r="S790" s="340">
        <v>472.53100000000001</v>
      </c>
      <c r="T790" s="340">
        <v>461.31799999999998</v>
      </c>
      <c r="U790" s="340">
        <v>422.35100000000006</v>
      </c>
      <c r="V790" s="345">
        <f>SUM(R790:U790)</f>
        <v>1815.777</v>
      </c>
      <c r="W790" s="340">
        <v>416.65299999999996</v>
      </c>
      <c r="X790" s="340">
        <v>445.00200000000001</v>
      </c>
      <c r="Y790" s="340">
        <v>415.16800000000006</v>
      </c>
      <c r="Z790" s="340">
        <v>366.57899999999995</v>
      </c>
      <c r="AA790" s="345">
        <f>SUM(W790:Z790)</f>
        <v>1643.402</v>
      </c>
      <c r="AB790" s="339">
        <v>402.6</v>
      </c>
      <c r="AC790" s="339">
        <v>440.4</v>
      </c>
      <c r="AD790" s="339">
        <v>393.3</v>
      </c>
      <c r="AE790" s="339">
        <v>363.7</v>
      </c>
      <c r="AF790" s="348">
        <f>SUM(AB790:AE790)</f>
        <v>1600</v>
      </c>
      <c r="AG790" s="339">
        <v>391.3</v>
      </c>
      <c r="AH790" s="339">
        <v>371.8</v>
      </c>
      <c r="AI790" s="339">
        <v>370.91</v>
      </c>
      <c r="AJ790" s="339">
        <v>353.97399999999999</v>
      </c>
      <c r="AK790" s="348">
        <f>SUM(AG790:AJ790)</f>
        <v>1487.9839999999999</v>
      </c>
      <c r="AL790" s="339">
        <v>367.04300000000001</v>
      </c>
      <c r="AM790" s="339">
        <v>393.76499999999999</v>
      </c>
      <c r="AN790" s="339">
        <v>386.81899999999996</v>
      </c>
      <c r="AO790" s="339">
        <v>350.98199999999997</v>
      </c>
      <c r="AP790" s="568">
        <f>SUM(AL790:AO790)</f>
        <v>1498.6089999999999</v>
      </c>
      <c r="AQ790" s="1677">
        <v>348.83</v>
      </c>
      <c r="AR790" s="338">
        <v>351.81100000000004</v>
      </c>
      <c r="AS790" s="338">
        <v>347.38200000000001</v>
      </c>
      <c r="AT790" s="338">
        <v>326.43100000000004</v>
      </c>
      <c r="AU790" s="1686">
        <f>SUM(AQ790:AT790)</f>
        <v>1374.4540000000002</v>
      </c>
      <c r="AV790" s="2295">
        <v>331.42500000000001</v>
      </c>
      <c r="AW790" s="338">
        <v>333.26099999999997</v>
      </c>
      <c r="AX790" s="339">
        <v>317.57400000000001</v>
      </c>
      <c r="AY790" s="339">
        <v>274.51300000000003</v>
      </c>
      <c r="AZ790" s="1686">
        <f>SUM(AV790:AY790)</f>
        <v>1256.7730000000001</v>
      </c>
      <c r="BA790" s="339">
        <v>262.60399999999998</v>
      </c>
      <c r="BB790" s="339">
        <v>285.59399999999999</v>
      </c>
      <c r="BC790" s="339">
        <v>281.39699999999999</v>
      </c>
      <c r="BD790" s="2948">
        <v>267.70599999999996</v>
      </c>
      <c r="BE790" s="1900">
        <f>SUM(BA790:BD790)</f>
        <v>1097.3009999999999</v>
      </c>
      <c r="BF790" s="2974">
        <v>258.38499999999999</v>
      </c>
      <c r="BG790" s="2655">
        <v>265.24899999999997</v>
      </c>
      <c r="BH790" s="2655">
        <v>262.10000000000002</v>
      </c>
      <c r="BI790" s="2663">
        <v>255.65600000000001</v>
      </c>
      <c r="BJ790" s="1900">
        <f>SUM(BF790:BI790)</f>
        <v>1041.3900000000001</v>
      </c>
      <c r="BK790" s="2974">
        <v>245.88099999999997</v>
      </c>
      <c r="BL790" s="2974">
        <v>254.4</v>
      </c>
      <c r="BM790" s="2974">
        <v>255.3</v>
      </c>
      <c r="BN790" s="2948">
        <v>246.375</v>
      </c>
      <c r="BO790" s="1900">
        <f>SUM(BK790:BN790)</f>
        <v>1001.9559999999999</v>
      </c>
      <c r="BP790" s="2974">
        <v>253.72300000000001</v>
      </c>
      <c r="BQ790" s="2974">
        <v>244.858</v>
      </c>
      <c r="BR790" s="2974">
        <v>258.745</v>
      </c>
      <c r="BS790" s="2974">
        <v>234.25299999999999</v>
      </c>
      <c r="BT790" s="3222">
        <f>SUM(BP790:BS790)</f>
        <v>991.57899999999995</v>
      </c>
      <c r="BU790" s="2974">
        <v>215.97499999999997</v>
      </c>
      <c r="BV790" s="2601">
        <f>+BQ790*(1+BV794)</f>
        <v>244.858</v>
      </c>
      <c r="BW790" s="2601">
        <f>+BR790*(1+BW794)</f>
        <v>261.33244999999999</v>
      </c>
      <c r="BX790" s="2601">
        <f>+BS790*(1+BX794)</f>
        <v>236.59553</v>
      </c>
      <c r="BY790" s="3222">
        <f>SUM(BU790:BX790)</f>
        <v>958.76098000000002</v>
      </c>
      <c r="BZ790" s="349">
        <f t="shared" ref="BZ790:CF790" si="1752">BY790*(1+BZ791)</f>
        <v>968.34858980000001</v>
      </c>
      <c r="CA790" s="349">
        <f t="shared" si="1752"/>
        <v>968.34858980000001</v>
      </c>
      <c r="CB790" s="349">
        <f t="shared" si="1752"/>
        <v>919.93116031</v>
      </c>
      <c r="CC790" s="349">
        <f t="shared" si="1752"/>
        <v>873.9346022945</v>
      </c>
      <c r="CD790" s="349">
        <f t="shared" si="1752"/>
        <v>891.41329434039005</v>
      </c>
      <c r="CE790" s="349">
        <f t="shared" si="1752"/>
        <v>909.24156022719785</v>
      </c>
      <c r="CF790" s="349">
        <f t="shared" si="1752"/>
        <v>927.42639143174188</v>
      </c>
      <c r="CG790" s="331"/>
      <c r="CH790" s="331"/>
      <c r="CI790" s="331"/>
      <c r="CJ790" s="331"/>
      <c r="CK790" s="331"/>
      <c r="CL790" s="520" t="str">
        <f>A790</f>
        <v>Admissions (in thousands)</v>
      </c>
      <c r="CM790" s="330">
        <f>G790</f>
        <v>1456.895</v>
      </c>
      <c r="CN790" s="330">
        <f>L790</f>
        <v>1560.0259999999998</v>
      </c>
      <c r="CO790" s="330">
        <f>Q790</f>
        <v>1814.182</v>
      </c>
      <c r="CP790" s="330">
        <f>V790</f>
        <v>1815.777</v>
      </c>
      <c r="CQ790" s="330">
        <f>AA790</f>
        <v>1643.402</v>
      </c>
      <c r="CR790" s="330">
        <f>AF790</f>
        <v>1600</v>
      </c>
      <c r="CS790" s="330">
        <f>AK790</f>
        <v>1487.9839999999999</v>
      </c>
      <c r="CT790" s="330">
        <f>AP790</f>
        <v>1498.6089999999999</v>
      </c>
      <c r="CU790" s="330">
        <f>AU790</f>
        <v>1374.4540000000002</v>
      </c>
      <c r="CV790" s="330">
        <f>AZ790</f>
        <v>1256.7730000000001</v>
      </c>
      <c r="CW790" s="330">
        <f>BE790</f>
        <v>1097.3009999999999</v>
      </c>
      <c r="CX790" s="330">
        <f>BJ790</f>
        <v>1041.3900000000001</v>
      </c>
      <c r="CY790" s="330">
        <f>BO790</f>
        <v>1001.9559999999999</v>
      </c>
      <c r="CZ790" s="330">
        <f>BT790</f>
        <v>991.57899999999995</v>
      </c>
      <c r="DA790" s="330">
        <f t="shared" ref="DA790:DC791" si="1753">BY790</f>
        <v>958.76098000000002</v>
      </c>
      <c r="DB790" s="330">
        <f t="shared" si="1753"/>
        <v>968.34858980000001</v>
      </c>
      <c r="DC790" s="1888">
        <f t="shared" si="1753"/>
        <v>968.34858980000001</v>
      </c>
      <c r="DD790" s="331"/>
      <c r="DE790" s="331"/>
      <c r="DF790" s="502"/>
      <c r="DG790" s="503"/>
      <c r="DH790" s="2601"/>
      <c r="DI790" s="3213"/>
      <c r="DJ790" s="502"/>
      <c r="DK790" s="503"/>
      <c r="DL790" s="502"/>
      <c r="DM790" s="502"/>
      <c r="DN790" s="502"/>
      <c r="DO790" s="502"/>
      <c r="DP790" s="503"/>
      <c r="DQ790" s="503"/>
      <c r="DR790" s="296"/>
      <c r="DS790" s="296"/>
      <c r="DT790" s="296"/>
    </row>
    <row r="791" spans="1:124" ht="12" customHeight="1" x14ac:dyDescent="0.25">
      <c r="A791" s="465" t="s">
        <v>1491</v>
      </c>
      <c r="B791" s="466"/>
      <c r="C791" s="467" t="s">
        <v>553</v>
      </c>
      <c r="D791" s="467" t="s">
        <v>553</v>
      </c>
      <c r="E791" s="467" t="s">
        <v>553</v>
      </c>
      <c r="F791" s="467" t="s">
        <v>553</v>
      </c>
      <c r="G791" s="468" t="s">
        <v>553</v>
      </c>
      <c r="H791" s="467">
        <f t="shared" ref="H791:AG791" si="1754">(H790-C790)/C790</f>
        <v>-4.3225349949537119E-2</v>
      </c>
      <c r="I791" s="467">
        <f t="shared" si="1754"/>
        <v>-1.2175604166150211E-2</v>
      </c>
      <c r="J791" s="467">
        <f t="shared" si="1754"/>
        <v>0.11121617017455383</v>
      </c>
      <c r="K791" s="467">
        <f t="shared" si="1754"/>
        <v>0.23159368787914214</v>
      </c>
      <c r="L791" s="468">
        <f t="shared" si="1754"/>
        <v>7.0788217407568743E-2</v>
      </c>
      <c r="M791" s="467">
        <f t="shared" si="1754"/>
        <v>0.26555696648827753</v>
      </c>
      <c r="N791" s="467">
        <f t="shared" si="1754"/>
        <v>0.23981807078061695</v>
      </c>
      <c r="O791" s="467">
        <f t="shared" si="1754"/>
        <v>0.1180418888983958</v>
      </c>
      <c r="P791" s="467">
        <f t="shared" si="1754"/>
        <v>5.9861519579464194E-2</v>
      </c>
      <c r="Q791" s="468">
        <f t="shared" si="1754"/>
        <v>0.16291779752388755</v>
      </c>
      <c r="R791" s="467">
        <f t="shared" si="1754"/>
        <v>4.0930361082295662E-2</v>
      </c>
      <c r="S791" s="467">
        <f t="shared" si="1754"/>
        <v>6.2822762033288307E-2</v>
      </c>
      <c r="T791" s="467">
        <f t="shared" si="1754"/>
        <v>-1.929863349178134E-2</v>
      </c>
      <c r="U791" s="467">
        <f t="shared" si="1754"/>
        <v>-7.7191487502184825E-2</v>
      </c>
      <c r="V791" s="468">
        <f t="shared" si="1754"/>
        <v>8.7918411713930973E-4</v>
      </c>
      <c r="W791" s="467">
        <f t="shared" si="1754"/>
        <v>-9.3398929885525242E-2</v>
      </c>
      <c r="X791" s="467">
        <f t="shared" si="1754"/>
        <v>-5.8258611604318014E-2</v>
      </c>
      <c r="Y791" s="467">
        <f t="shared" si="1754"/>
        <v>-0.10003945217832368</v>
      </c>
      <c r="Z791" s="467">
        <f t="shared" si="1754"/>
        <v>-0.1320513032998622</v>
      </c>
      <c r="AA791" s="468">
        <f t="shared" si="1754"/>
        <v>-9.4931811560560575E-2</v>
      </c>
      <c r="AB791" s="467">
        <f t="shared" si="1754"/>
        <v>-3.3728306288446121E-2</v>
      </c>
      <c r="AC791" s="467">
        <f t="shared" si="1754"/>
        <v>-1.0341526554936904E-2</v>
      </c>
      <c r="AD791" s="467">
        <f t="shared" si="1754"/>
        <v>-5.2672652998304419E-2</v>
      </c>
      <c r="AE791" s="469">
        <f t="shared" si="1754"/>
        <v>-7.8536959291174956E-3</v>
      </c>
      <c r="AF791" s="470">
        <f t="shared" si="1754"/>
        <v>-2.6409849811549483E-2</v>
      </c>
      <c r="AG791" s="467">
        <f t="shared" si="1754"/>
        <v>-2.8067560854446127E-2</v>
      </c>
      <c r="AH791" s="467">
        <f t="shared" ref="AH791:AT791" si="1755">(AH790-AC790)/AC790</f>
        <v>-0.15576748410535871</v>
      </c>
      <c r="AI791" s="467">
        <f t="shared" si="1755"/>
        <v>-5.6928553267225998E-2</v>
      </c>
      <c r="AJ791" s="467">
        <f t="shared" si="1755"/>
        <v>-2.6741820181468243E-2</v>
      </c>
      <c r="AK791" s="470">
        <f t="shared" si="1755"/>
        <v>-7.0010000000000044E-2</v>
      </c>
      <c r="AL791" s="467">
        <f t="shared" si="1755"/>
        <v>-6.1990799897776651E-2</v>
      </c>
      <c r="AM791" s="467">
        <f t="shared" si="1755"/>
        <v>5.9077461000537852E-2</v>
      </c>
      <c r="AN791" s="467">
        <f t="shared" si="1755"/>
        <v>4.2891806637728652E-2</v>
      </c>
      <c r="AO791" s="467">
        <f t="shared" si="1755"/>
        <v>-8.4525982134281575E-3</v>
      </c>
      <c r="AP791" s="471">
        <f>(AP790-AK790)/AK790</f>
        <v>7.1405337691803142E-3</v>
      </c>
      <c r="AQ791" s="471">
        <f t="shared" si="1755"/>
        <v>-4.9620889105636182E-2</v>
      </c>
      <c r="AR791" s="469">
        <f t="shared" si="1755"/>
        <v>-0.10654578238289322</v>
      </c>
      <c r="AS791" s="469">
        <f t="shared" si="1755"/>
        <v>-0.10195207577704291</v>
      </c>
      <c r="AT791" s="469">
        <f t="shared" si="1755"/>
        <v>-6.9949456097463503E-2</v>
      </c>
      <c r="AU791" s="1689">
        <f t="shared" ref="AU791:BA791" si="1756">(AU790-AP790)/AP790</f>
        <v>-8.284682662388905E-2</v>
      </c>
      <c r="AV791" s="1730">
        <f t="shared" si="1756"/>
        <v>-4.989536450419968E-2</v>
      </c>
      <c r="AW791" s="1465">
        <f t="shared" si="1756"/>
        <v>-5.2727174534053983E-2</v>
      </c>
      <c r="AX791" s="1465">
        <f t="shared" si="1756"/>
        <v>-8.5807554795585245E-2</v>
      </c>
      <c r="AY791" s="1868">
        <f t="shared" si="1756"/>
        <v>-0.15904739439575286</v>
      </c>
      <c r="AZ791" s="1689">
        <f t="shared" si="1756"/>
        <v>-8.562018081361765E-2</v>
      </c>
      <c r="BA791" s="1730">
        <f t="shared" si="1756"/>
        <v>-0.20765180659274352</v>
      </c>
      <c r="BB791" s="469">
        <f t="shared" ref="BB791:BJ791" si="1757">(BB790-AW790)/AW790</f>
        <v>-0.14303203795223557</v>
      </c>
      <c r="BC791" s="469">
        <f t="shared" si="1757"/>
        <v>-0.11391675640952981</v>
      </c>
      <c r="BD791" s="1463">
        <f t="shared" si="1757"/>
        <v>-2.4796639867693232E-2</v>
      </c>
      <c r="BE791" s="1868">
        <f t="shared" si="1757"/>
        <v>-0.12689005890483021</v>
      </c>
      <c r="BF791" s="469">
        <f t="shared" si="1757"/>
        <v>-1.6066015749950473E-2</v>
      </c>
      <c r="BG791" s="469">
        <f t="shared" si="1757"/>
        <v>-7.123749098370423E-2</v>
      </c>
      <c r="BH791" s="469">
        <f t="shared" si="1757"/>
        <v>-6.8575713316062256E-2</v>
      </c>
      <c r="BI791" s="1463">
        <f t="shared" si="1757"/>
        <v>-4.5012065474811756E-2</v>
      </c>
      <c r="BJ791" s="1868">
        <f t="shared" si="1757"/>
        <v>-5.0953202448553163E-2</v>
      </c>
      <c r="BK791" s="469">
        <f t="shared" ref="BK791:BU791" si="1758">(BK790-BF790)/BF790</f>
        <v>-4.8392902064748416E-2</v>
      </c>
      <c r="BL791" s="469">
        <f t="shared" si="1758"/>
        <v>-4.0901190956421939E-2</v>
      </c>
      <c r="BM791" s="469">
        <f t="shared" si="1758"/>
        <v>-2.5944296070202252E-2</v>
      </c>
      <c r="BN791" s="1463">
        <f t="shared" si="1758"/>
        <v>-3.6302687986982531E-2</v>
      </c>
      <c r="BO791" s="1868">
        <f t="shared" si="1758"/>
        <v>-3.7866697394828251E-2</v>
      </c>
      <c r="BP791" s="469">
        <f t="shared" si="1758"/>
        <v>3.1893476925830146E-2</v>
      </c>
      <c r="BQ791" s="469">
        <f t="shared" si="1758"/>
        <v>-3.750786163522013E-2</v>
      </c>
      <c r="BR791" s="469">
        <f t="shared" si="1758"/>
        <v>1.3493928711319988E-2</v>
      </c>
      <c r="BS791" s="469">
        <f t="shared" si="1758"/>
        <v>-4.9201420598680927E-2</v>
      </c>
      <c r="BT791" s="470">
        <f t="shared" si="1758"/>
        <v>-1.0356742212232825E-2</v>
      </c>
      <c r="BU791" s="469">
        <f t="shared" si="1758"/>
        <v>-0.14877642153056697</v>
      </c>
      <c r="BV791" s="469">
        <f>(BV790-BQ790)/BQ790</f>
        <v>0</v>
      </c>
      <c r="BW791" s="469">
        <f>(BW790-BR790)/BR790</f>
        <v>9.9999999999999603E-3</v>
      </c>
      <c r="BX791" s="469">
        <f>(BX790-BS790)/BS790</f>
        <v>1.0000000000000045E-2</v>
      </c>
      <c r="BY791" s="470">
        <f>(BY790-BT790)/BT790</f>
        <v>-3.3096727542636477E-2</v>
      </c>
      <c r="BZ791" s="470">
        <f t="shared" ref="BZ791:CF791" si="1759">BZ794</f>
        <v>0.01</v>
      </c>
      <c r="CA791" s="470">
        <f t="shared" si="1759"/>
        <v>0</v>
      </c>
      <c r="CB791" s="470">
        <f t="shared" si="1759"/>
        <v>-0.05</v>
      </c>
      <c r="CC791" s="470">
        <f t="shared" si="1759"/>
        <v>-0.05</v>
      </c>
      <c r="CD791" s="470">
        <f t="shared" si="1759"/>
        <v>0.02</v>
      </c>
      <c r="CE791" s="470">
        <f t="shared" si="1759"/>
        <v>0.02</v>
      </c>
      <c r="CF791" s="470">
        <f t="shared" si="1759"/>
        <v>0.02</v>
      </c>
      <c r="CG791" s="492"/>
      <c r="CH791" s="492"/>
      <c r="CI791" s="492"/>
      <c r="CJ791" s="492"/>
      <c r="CK791" s="492"/>
      <c r="CL791" s="1310" t="str">
        <f>A791</f>
        <v>% growth (y-o-y)</v>
      </c>
      <c r="CM791" s="469" t="str">
        <f>G791</f>
        <v xml:space="preserve">n/a </v>
      </c>
      <c r="CN791" s="469">
        <f>L791</f>
        <v>7.0788217407568743E-2</v>
      </c>
      <c r="CO791" s="469">
        <f>Q791</f>
        <v>0.16291779752388755</v>
      </c>
      <c r="CP791" s="469">
        <f>V791</f>
        <v>8.7918411713930973E-4</v>
      </c>
      <c r="CQ791" s="469">
        <f>AA791</f>
        <v>-9.4931811560560575E-2</v>
      </c>
      <c r="CR791" s="469">
        <f>AF791</f>
        <v>-2.6409849811549483E-2</v>
      </c>
      <c r="CS791" s="469">
        <f>AK791</f>
        <v>-7.0010000000000044E-2</v>
      </c>
      <c r="CT791" s="469">
        <f>AP791</f>
        <v>7.1405337691803142E-3</v>
      </c>
      <c r="CU791" s="469">
        <f>AU791</f>
        <v>-8.284682662388905E-2</v>
      </c>
      <c r="CV791" s="469">
        <f>AZ791</f>
        <v>-8.562018081361765E-2</v>
      </c>
      <c r="CW791" s="469">
        <f>BE791</f>
        <v>-0.12689005890483021</v>
      </c>
      <c r="CX791" s="469">
        <f>BJ791</f>
        <v>-5.0953202448553163E-2</v>
      </c>
      <c r="CY791" s="469">
        <f>BO791</f>
        <v>-3.7866697394828251E-2</v>
      </c>
      <c r="CZ791" s="469">
        <f>BT791</f>
        <v>-1.0356742212232825E-2</v>
      </c>
      <c r="DA791" s="469">
        <f t="shared" si="1753"/>
        <v>-3.3096727542636477E-2</v>
      </c>
      <c r="DB791" s="469">
        <f t="shared" si="1753"/>
        <v>0.01</v>
      </c>
      <c r="DC791" s="1463">
        <f t="shared" si="1753"/>
        <v>0</v>
      </c>
      <c r="DD791" s="492"/>
      <c r="DE791" s="492"/>
      <c r="DF791" s="962"/>
      <c r="DG791" s="962"/>
      <c r="DH791" s="469"/>
      <c r="DI791" s="3213"/>
      <c r="DJ791" s="962"/>
      <c r="DK791" s="962"/>
      <c r="DL791" s="962"/>
      <c r="DM791" s="962"/>
      <c r="DN791" s="962"/>
      <c r="DO791" s="962"/>
      <c r="DP791" s="962"/>
      <c r="DQ791" s="962"/>
      <c r="DR791" s="963"/>
      <c r="DS791" s="963"/>
      <c r="DT791" s="963"/>
    </row>
    <row r="792" spans="1:124" ht="5.0999999999999996" customHeight="1" x14ac:dyDescent="0.25">
      <c r="A792" s="281"/>
      <c r="B792" s="281"/>
      <c r="C792" s="305"/>
      <c r="D792" s="305"/>
      <c r="E792" s="305"/>
      <c r="F792" s="305"/>
      <c r="G792" s="440"/>
      <c r="H792" s="305"/>
      <c r="I792" s="305"/>
      <c r="J792" s="305"/>
      <c r="K792" s="305"/>
      <c r="L792" s="440"/>
      <c r="M792" s="305"/>
      <c r="N792" s="305"/>
      <c r="O792" s="305"/>
      <c r="P792" s="305"/>
      <c r="Q792" s="440"/>
      <c r="R792" s="305"/>
      <c r="S792" s="305"/>
      <c r="T792" s="305"/>
      <c r="U792" s="305"/>
      <c r="V792" s="440"/>
      <c r="W792" s="305"/>
      <c r="X792" s="305"/>
      <c r="Y792" s="305"/>
      <c r="Z792" s="305"/>
      <c r="AA792" s="440"/>
      <c r="AB792" s="305"/>
      <c r="AC792" s="305"/>
      <c r="AD792" s="305"/>
      <c r="AE792" s="331"/>
      <c r="AF792" s="441"/>
      <c r="AG792" s="305"/>
      <c r="AH792" s="305"/>
      <c r="AI792" s="305"/>
      <c r="AJ792" s="331"/>
      <c r="AK792" s="441"/>
      <c r="AL792" s="305"/>
      <c r="AM792" s="305"/>
      <c r="AN792" s="305"/>
      <c r="AO792" s="331"/>
      <c r="AP792" s="569"/>
      <c r="AQ792" s="569"/>
      <c r="AR792" s="442"/>
      <c r="AS792" s="442"/>
      <c r="AT792" s="442"/>
      <c r="AU792" s="1690"/>
      <c r="AV792" s="1902"/>
      <c r="AW792" s="1837"/>
      <c r="AX792" s="1837"/>
      <c r="AY792" s="1903"/>
      <c r="AZ792" s="1690"/>
      <c r="BA792" s="1902"/>
      <c r="BB792" s="442"/>
      <c r="BC792" s="442"/>
      <c r="BD792" s="1312"/>
      <c r="BE792" s="1903"/>
      <c r="BF792" s="442"/>
      <c r="BG792" s="442"/>
      <c r="BH792" s="442"/>
      <c r="BI792" s="1312"/>
      <c r="BJ792" s="1903"/>
      <c r="BK792" s="442"/>
      <c r="BL792" s="442"/>
      <c r="BM792" s="442"/>
      <c r="BN792" s="1312"/>
      <c r="BO792" s="1903"/>
      <c r="BP792" s="442"/>
      <c r="BQ792" s="442"/>
      <c r="BR792" s="442"/>
      <c r="BS792" s="442"/>
      <c r="BT792" s="3236"/>
      <c r="BU792" s="3298"/>
      <c r="BV792" s="3298"/>
      <c r="BW792" s="3298"/>
      <c r="BX792" s="3298"/>
      <c r="BY792" s="3236"/>
      <c r="BZ792" s="441"/>
      <c r="CA792" s="441"/>
      <c r="CB792" s="441"/>
      <c r="CC792" s="441"/>
      <c r="CD792" s="441"/>
      <c r="CE792" s="441"/>
      <c r="CF792" s="441"/>
      <c r="CG792" s="331"/>
      <c r="CH792" s="331"/>
      <c r="CI792" s="331"/>
      <c r="CJ792" s="331"/>
      <c r="CK792" s="331"/>
      <c r="CL792" s="520"/>
      <c r="CM792" s="442"/>
      <c r="CN792" s="442"/>
      <c r="CO792" s="442"/>
      <c r="CP792" s="442"/>
      <c r="CQ792" s="442"/>
      <c r="CR792" s="442"/>
      <c r="CS792" s="442"/>
      <c r="CT792" s="442"/>
      <c r="CU792" s="442"/>
      <c r="CV792" s="442"/>
      <c r="CW792" s="442"/>
      <c r="CX792" s="442"/>
      <c r="CY792" s="442"/>
      <c r="CZ792" s="442"/>
      <c r="DA792" s="442"/>
      <c r="DB792" s="442"/>
      <c r="DC792" s="1312"/>
      <c r="DD792" s="331"/>
      <c r="DE792" s="331"/>
      <c r="DF792" s="502"/>
      <c r="DG792" s="503"/>
      <c r="DH792" s="3298"/>
      <c r="DI792" s="3213"/>
      <c r="DJ792" s="502"/>
      <c r="DK792" s="503"/>
      <c r="DL792" s="502"/>
      <c r="DM792" s="502"/>
      <c r="DN792" s="502"/>
      <c r="DO792" s="502"/>
      <c r="DP792" s="503"/>
      <c r="DQ792" s="503"/>
      <c r="DR792" s="296"/>
      <c r="DS792" s="296"/>
      <c r="DT792" s="296"/>
    </row>
    <row r="793" spans="1:124" ht="12" customHeight="1" x14ac:dyDescent="0.25">
      <c r="A793" s="281" t="s">
        <v>730</v>
      </c>
      <c r="B793" s="281"/>
      <c r="C793" s="570">
        <v>57.582000000000001</v>
      </c>
      <c r="D793" s="570">
        <v>56.881</v>
      </c>
      <c r="E793" s="570">
        <v>57.797999999999995</v>
      </c>
      <c r="F793" s="570">
        <v>57.279000000000003</v>
      </c>
      <c r="G793" s="475">
        <f>SUM(C793:F793)</f>
        <v>229.54</v>
      </c>
      <c r="H793" s="570">
        <v>56.037999999999997</v>
      </c>
      <c r="I793" s="570">
        <v>60.725000000000001</v>
      </c>
      <c r="J793" s="570">
        <v>64.245000000000005</v>
      </c>
      <c r="K793" s="570">
        <v>62.265999999999998</v>
      </c>
      <c r="L793" s="475">
        <f>SUM(H793:K793)</f>
        <v>243.274</v>
      </c>
      <c r="M793" s="570">
        <v>66.569999999999993</v>
      </c>
      <c r="N793" s="570">
        <v>65.7</v>
      </c>
      <c r="O793" s="570">
        <v>67.000999999999991</v>
      </c>
      <c r="P793" s="452">
        <v>66.481999999999999</v>
      </c>
      <c r="Q793" s="475">
        <f>SUM(M793:P793)</f>
        <v>265.75299999999993</v>
      </c>
      <c r="R793" s="570">
        <v>69.617999999999995</v>
      </c>
      <c r="S793" s="570">
        <v>69.385000000000005</v>
      </c>
      <c r="T793" s="570">
        <v>69.116</v>
      </c>
      <c r="U793" s="452">
        <v>64.448000000000008</v>
      </c>
      <c r="V793" s="475">
        <f>SUM(R793:U793)</f>
        <v>272.56700000000001</v>
      </c>
      <c r="W793" s="570">
        <v>58.553999999999995</v>
      </c>
      <c r="X793" s="570">
        <v>57.257999999999996</v>
      </c>
      <c r="Y793" s="570">
        <v>57.055</v>
      </c>
      <c r="Z793" s="570">
        <v>50.037999999999997</v>
      </c>
      <c r="AA793" s="475">
        <f>SUM(W793:Z793)</f>
        <v>222.90499999999997</v>
      </c>
      <c r="AB793" s="572">
        <v>53.4</v>
      </c>
      <c r="AC793" s="572">
        <v>57.3</v>
      </c>
      <c r="AD793" s="572">
        <v>47.5</v>
      </c>
      <c r="AE793" s="572">
        <v>44.1</v>
      </c>
      <c r="AF793" s="477">
        <f>SUM(AB793:AE793)</f>
        <v>202.29999999999998</v>
      </c>
      <c r="AG793" s="572">
        <v>47.8</v>
      </c>
      <c r="AH793" s="572">
        <v>45.4</v>
      </c>
      <c r="AI793" s="572">
        <v>45.13</v>
      </c>
      <c r="AJ793" s="572">
        <v>42.697000000000003</v>
      </c>
      <c r="AK793" s="477">
        <f>SUM(AG793:AJ793)</f>
        <v>181.02699999999999</v>
      </c>
      <c r="AL793" s="572">
        <v>44.341999999999999</v>
      </c>
      <c r="AM793" s="572">
        <v>46.4</v>
      </c>
      <c r="AN793" s="572">
        <v>43.469000000000001</v>
      </c>
      <c r="AO793" s="572">
        <v>39.19</v>
      </c>
      <c r="AP793" s="478">
        <f>SUM(AL793:AO793)</f>
        <v>173.40099999999998</v>
      </c>
      <c r="AQ793" s="592">
        <v>38.189</v>
      </c>
      <c r="AR793" s="572">
        <v>38.948999999999998</v>
      </c>
      <c r="AS793" s="572">
        <v>38.125999999999998</v>
      </c>
      <c r="AT793" s="572">
        <v>36.513999999999996</v>
      </c>
      <c r="AU793" s="1464">
        <f>SUM(AQ793:AT793)</f>
        <v>151.77800000000002</v>
      </c>
      <c r="AV793" s="592">
        <v>36.709271999999999</v>
      </c>
      <c r="AW793" s="572">
        <v>37.733473000000004</v>
      </c>
      <c r="AX793" s="572">
        <v>35.355093999999994</v>
      </c>
      <c r="AY793" s="572">
        <v>31.953983999999998</v>
      </c>
      <c r="AZ793" s="1464">
        <f>SUM(AV793:AY793)</f>
        <v>141.751823</v>
      </c>
      <c r="BA793" s="592">
        <v>31.234246999999996</v>
      </c>
      <c r="BB793" s="2654">
        <v>33.345424000000001</v>
      </c>
      <c r="BC793" s="2654">
        <v>31.966752</v>
      </c>
      <c r="BD793" s="2944">
        <v>30.419910000000002</v>
      </c>
      <c r="BE793" s="1866">
        <f>SUM(BA793:BD793)</f>
        <v>126.96633299999999</v>
      </c>
      <c r="BF793" s="2973">
        <v>30.407322999999998</v>
      </c>
      <c r="BG793" s="2941">
        <v>32.211692999999997</v>
      </c>
      <c r="BH793" s="2941">
        <v>29.485301</v>
      </c>
      <c r="BI793" s="2944">
        <v>29.045582999999997</v>
      </c>
      <c r="BJ793" s="1866">
        <f>SUM(BF793:BI793)</f>
        <v>121.14989999999999</v>
      </c>
      <c r="BK793" s="2941">
        <v>30.469566999999998</v>
      </c>
      <c r="BL793" s="2941">
        <v>30.2</v>
      </c>
      <c r="BM793" s="2941">
        <v>30.406834000000003</v>
      </c>
      <c r="BN793" s="2944">
        <v>28.942206000000002</v>
      </c>
      <c r="BO793" s="1866">
        <f>SUM(BK793:BN793)</f>
        <v>120.018607</v>
      </c>
      <c r="BP793" s="2941">
        <v>31.958572</v>
      </c>
      <c r="BQ793" s="2941">
        <v>29.800344000000003</v>
      </c>
      <c r="BR793" s="2941">
        <v>30.446326999999997</v>
      </c>
      <c r="BS793" s="2941">
        <v>28.686271999999999</v>
      </c>
      <c r="BT793" s="2604">
        <f>SUM(BP793:BS793)</f>
        <v>120.891515</v>
      </c>
      <c r="BU793" s="2941">
        <v>28.657595000000001</v>
      </c>
      <c r="BV793" s="1771">
        <f>+BQ793*(1+BV794)</f>
        <v>29.800344000000003</v>
      </c>
      <c r="BW793" s="1771">
        <f>+BR793*(1+BW794)</f>
        <v>30.750790269999996</v>
      </c>
      <c r="BX793" s="1771">
        <f>+BS793*(1+BX794)</f>
        <v>28.973134720000001</v>
      </c>
      <c r="BY793" s="2604">
        <f>SUM(BU793:BX793)</f>
        <v>118.18186399</v>
      </c>
      <c r="BZ793" s="477">
        <f t="shared" ref="BZ793:CF793" si="1760">BY793*(1+BZ794)</f>
        <v>119.3636826299</v>
      </c>
      <c r="CA793" s="477">
        <f t="shared" si="1760"/>
        <v>119.3636826299</v>
      </c>
      <c r="CB793" s="477">
        <f t="shared" si="1760"/>
        <v>113.39549849840499</v>
      </c>
      <c r="CC793" s="477">
        <f t="shared" si="1760"/>
        <v>107.72572357348473</v>
      </c>
      <c r="CD793" s="477">
        <f t="shared" si="1760"/>
        <v>109.88023804495442</v>
      </c>
      <c r="CE793" s="477">
        <f t="shared" si="1760"/>
        <v>112.07784280585352</v>
      </c>
      <c r="CF793" s="477">
        <f t="shared" si="1760"/>
        <v>114.31939966197059</v>
      </c>
      <c r="CG793" s="331"/>
      <c r="CH793" s="331"/>
      <c r="CI793" s="331"/>
      <c r="CJ793" s="331"/>
      <c r="CK793" s="331"/>
      <c r="CL793" s="520" t="str">
        <f>A793</f>
        <v>Casino revenue</v>
      </c>
      <c r="CM793" s="476">
        <f>G793</f>
        <v>229.54</v>
      </c>
      <c r="CN793" s="476">
        <f>L793</f>
        <v>243.274</v>
      </c>
      <c r="CO793" s="476">
        <f>Q793</f>
        <v>265.75299999999993</v>
      </c>
      <c r="CP793" s="476">
        <f>V793</f>
        <v>272.56700000000001</v>
      </c>
      <c r="CQ793" s="476">
        <f>AA793</f>
        <v>222.90499999999997</v>
      </c>
      <c r="CR793" s="476">
        <f>AF793</f>
        <v>202.29999999999998</v>
      </c>
      <c r="CS793" s="476">
        <f>AK793</f>
        <v>181.02699999999999</v>
      </c>
      <c r="CT793" s="476">
        <f>AP793</f>
        <v>173.40099999999998</v>
      </c>
      <c r="CU793" s="476">
        <f>AU793</f>
        <v>151.77800000000002</v>
      </c>
      <c r="CV793" s="476">
        <f>AZ793</f>
        <v>141.751823</v>
      </c>
      <c r="CW793" s="476">
        <f>BE793</f>
        <v>126.96633299999999</v>
      </c>
      <c r="CX793" s="476">
        <f>BJ793</f>
        <v>121.14989999999999</v>
      </c>
      <c r="CY793" s="476">
        <f>BO793</f>
        <v>120.018607</v>
      </c>
      <c r="CZ793" s="476">
        <f>BT793</f>
        <v>120.891515</v>
      </c>
      <c r="DA793" s="476">
        <f t="shared" ref="DA793:DC797" si="1761">BY793</f>
        <v>118.18186399</v>
      </c>
      <c r="DB793" s="476">
        <f t="shared" si="1761"/>
        <v>119.3636826299</v>
      </c>
      <c r="DC793" s="682">
        <f t="shared" si="1761"/>
        <v>119.3636826299</v>
      </c>
      <c r="DD793" s="331"/>
      <c r="DE793" s="331"/>
      <c r="DF793" s="502"/>
      <c r="DG793" s="330"/>
      <c r="DH793" s="2577"/>
      <c r="DI793" s="3213"/>
      <c r="DJ793" s="502"/>
      <c r="DK793" s="503"/>
      <c r="DL793" s="502"/>
      <c r="DM793" s="502"/>
      <c r="DN793" s="502"/>
      <c r="DO793" s="502"/>
      <c r="DP793" s="503"/>
      <c r="DQ793" s="503"/>
      <c r="DR793" s="296"/>
      <c r="DS793" s="296"/>
      <c r="DT793" s="296"/>
    </row>
    <row r="794" spans="1:124" ht="12" customHeight="1" x14ac:dyDescent="0.25">
      <c r="A794" s="465" t="s">
        <v>1491</v>
      </c>
      <c r="B794" s="466"/>
      <c r="C794" s="467" t="s">
        <v>553</v>
      </c>
      <c r="D794" s="467" t="s">
        <v>553</v>
      </c>
      <c r="E794" s="467" t="s">
        <v>553</v>
      </c>
      <c r="F794" s="467" t="s">
        <v>553</v>
      </c>
      <c r="G794" s="468" t="s">
        <v>553</v>
      </c>
      <c r="H794" s="467">
        <f t="shared" ref="H794:AF794" si="1762">(H793-C793)/C793</f>
        <v>-2.6813934910215068E-2</v>
      </c>
      <c r="I794" s="467">
        <f t="shared" si="1762"/>
        <v>6.7579683901478546E-2</v>
      </c>
      <c r="J794" s="467">
        <f t="shared" si="1762"/>
        <v>0.11154365202948217</v>
      </c>
      <c r="K794" s="467">
        <f t="shared" si="1762"/>
        <v>8.7065067476736577E-2</v>
      </c>
      <c r="L794" s="468">
        <f t="shared" si="1762"/>
        <v>5.9832708896053015E-2</v>
      </c>
      <c r="M794" s="467">
        <f t="shared" si="1762"/>
        <v>0.1879438952139619</v>
      </c>
      <c r="N794" s="467">
        <f t="shared" si="1762"/>
        <v>8.1926718814326907E-2</v>
      </c>
      <c r="O794" s="467">
        <f t="shared" si="1762"/>
        <v>4.2898280021791357E-2</v>
      </c>
      <c r="P794" s="467">
        <f t="shared" si="1762"/>
        <v>6.7709504384415267E-2</v>
      </c>
      <c r="Q794" s="468">
        <f t="shared" si="1762"/>
        <v>9.2401982949266784E-2</v>
      </c>
      <c r="R794" s="467">
        <f t="shared" si="1762"/>
        <v>4.5786390265885567E-2</v>
      </c>
      <c r="S794" s="467">
        <f t="shared" si="1762"/>
        <v>5.6088280060882831E-2</v>
      </c>
      <c r="T794" s="467">
        <f t="shared" si="1762"/>
        <v>3.1566693034432464E-2</v>
      </c>
      <c r="U794" s="467">
        <f t="shared" si="1762"/>
        <v>-3.0594747450437589E-2</v>
      </c>
      <c r="V794" s="468">
        <f t="shared" si="1762"/>
        <v>2.5640350250044516E-2</v>
      </c>
      <c r="W794" s="467">
        <f t="shared" si="1762"/>
        <v>-0.15892441609928468</v>
      </c>
      <c r="X794" s="467">
        <f t="shared" si="1762"/>
        <v>-0.17477841031923338</v>
      </c>
      <c r="Y794" s="467">
        <f t="shared" si="1762"/>
        <v>-0.17450373285491058</v>
      </c>
      <c r="Z794" s="467">
        <f t="shared" si="1762"/>
        <v>-0.22359111221449865</v>
      </c>
      <c r="AA794" s="468">
        <f t="shared" si="1762"/>
        <v>-0.18220107349752551</v>
      </c>
      <c r="AB794" s="467">
        <f t="shared" si="1762"/>
        <v>-8.8021313659186334E-2</v>
      </c>
      <c r="AC794" s="467">
        <f t="shared" si="1762"/>
        <v>7.3352195326420054E-4</v>
      </c>
      <c r="AD794" s="467">
        <f t="shared" si="1762"/>
        <v>-0.16746998510209446</v>
      </c>
      <c r="AE794" s="469">
        <f t="shared" si="1762"/>
        <v>-0.11866981094368272</v>
      </c>
      <c r="AF794" s="470">
        <f t="shared" si="1762"/>
        <v>-9.2438482761714597E-2</v>
      </c>
      <c r="AG794" s="467">
        <f t="shared" ref="AG794:BU794" si="1763">(AG793-AB793)/AB793</f>
        <v>-0.10486891385767794</v>
      </c>
      <c r="AH794" s="467">
        <f t="shared" si="1763"/>
        <v>-0.20767888307155322</v>
      </c>
      <c r="AI794" s="467">
        <f t="shared" si="1763"/>
        <v>-4.9894736842105207E-2</v>
      </c>
      <c r="AJ794" s="467">
        <f t="shared" si="1763"/>
        <v>-3.1814058956916066E-2</v>
      </c>
      <c r="AK794" s="470">
        <f t="shared" si="1763"/>
        <v>-0.10515570934256055</v>
      </c>
      <c r="AL794" s="467">
        <f t="shared" si="1763"/>
        <v>-7.2343096234309595E-2</v>
      </c>
      <c r="AM794" s="467">
        <f t="shared" si="1763"/>
        <v>2.2026431718061675E-2</v>
      </c>
      <c r="AN794" s="467">
        <f t="shared" si="1763"/>
        <v>-3.6804786173277225E-2</v>
      </c>
      <c r="AO794" s="467">
        <f t="shared" si="1763"/>
        <v>-8.2136918284657107E-2</v>
      </c>
      <c r="AP794" s="471">
        <f>(AP793-AK793)/AK793</f>
        <v>-4.2126312649494305E-2</v>
      </c>
      <c r="AQ794" s="471">
        <f t="shared" si="1763"/>
        <v>-0.13876234721031977</v>
      </c>
      <c r="AR794" s="469">
        <f t="shared" si="1763"/>
        <v>-0.16058189655172414</v>
      </c>
      <c r="AS794" s="469">
        <f t="shared" si="1763"/>
        <v>-0.12291518093353893</v>
      </c>
      <c r="AT794" s="469">
        <f t="shared" si="1763"/>
        <v>-6.8282725184996229E-2</v>
      </c>
      <c r="AU794" s="1689">
        <f>(AU793-AP793)/AP793</f>
        <v>-0.12469939619725356</v>
      </c>
      <c r="AV794" s="469">
        <f t="shared" si="1763"/>
        <v>-3.8747492733509685E-2</v>
      </c>
      <c r="AW794" s="469">
        <f t="shared" si="1763"/>
        <v>-3.120816965775744E-2</v>
      </c>
      <c r="AX794" s="469">
        <f t="shared" si="1763"/>
        <v>-7.267759534176163E-2</v>
      </c>
      <c r="AY794" s="469">
        <f t="shared" si="1763"/>
        <v>-0.1248840444760913</v>
      </c>
      <c r="AZ794" s="1689">
        <f>(AZ793-AU793)/AU793</f>
        <v>-6.6058170485841269E-2</v>
      </c>
      <c r="BA794" s="471">
        <f t="shared" si="1763"/>
        <v>-0.14914556191689127</v>
      </c>
      <c r="BB794" s="469">
        <f t="shared" si="1763"/>
        <v>-0.11629062079708385</v>
      </c>
      <c r="BC794" s="469">
        <f t="shared" si="1763"/>
        <v>-9.5837448487620908E-2</v>
      </c>
      <c r="BD794" s="1463">
        <f t="shared" si="1763"/>
        <v>-4.8008849225185724E-2</v>
      </c>
      <c r="BE794" s="1868">
        <f>(BE793-AZ793)/AZ793</f>
        <v>-0.10430546632193936</v>
      </c>
      <c r="BF794" s="469">
        <f t="shared" si="1763"/>
        <v>-2.6474913898196371E-2</v>
      </c>
      <c r="BG794" s="469">
        <f t="shared" si="1763"/>
        <v>-3.3999597665934744E-2</v>
      </c>
      <c r="BH794" s="469">
        <f t="shared" si="1763"/>
        <v>-7.7625997161050328E-2</v>
      </c>
      <c r="BI794" s="1463">
        <f t="shared" si="1763"/>
        <v>-4.5178536031171834E-2</v>
      </c>
      <c r="BJ794" s="1868">
        <f>(BJ793-BE793)/BE793</f>
        <v>-4.5810829237700391E-2</v>
      </c>
      <c r="BK794" s="469">
        <f t="shared" si="1763"/>
        <v>2.0470069002785857E-3</v>
      </c>
      <c r="BL794" s="469">
        <f t="shared" si="1763"/>
        <v>-6.2452259184265717E-2</v>
      </c>
      <c r="BM794" s="469">
        <f t="shared" si="1763"/>
        <v>3.1253979737225802E-2</v>
      </c>
      <c r="BN794" s="1463">
        <f t="shared" si="1763"/>
        <v>-3.5591297995290622E-3</v>
      </c>
      <c r="BO794" s="1868">
        <f>(BO793-BJ793)/BJ793</f>
        <v>-9.3379606586549823E-3</v>
      </c>
      <c r="BP794" s="469">
        <f t="shared" si="1763"/>
        <v>4.8868597312196872E-2</v>
      </c>
      <c r="BQ794" s="469">
        <f t="shared" si="1763"/>
        <v>-1.323364238410585E-2</v>
      </c>
      <c r="BR794" s="469">
        <f t="shared" si="1763"/>
        <v>1.2988198639816665E-3</v>
      </c>
      <c r="BS794" s="1463">
        <f t="shared" si="1763"/>
        <v>-8.842933396300318E-3</v>
      </c>
      <c r="BT794" s="1463">
        <f>(BT793-BO793)/BO793</f>
        <v>7.2731055777042579E-3</v>
      </c>
      <c r="BU794" s="469">
        <f t="shared" si="1763"/>
        <v>-0.10328925209799736</v>
      </c>
      <c r="BV794" s="540">
        <v>0</v>
      </c>
      <c r="BW794" s="540">
        <v>0.01</v>
      </c>
      <c r="BX794" s="540">
        <v>0.01</v>
      </c>
      <c r="BY794" s="470">
        <f>(BY793-BT793)/BT793</f>
        <v>-2.2413905640937676E-2</v>
      </c>
      <c r="BZ794" s="539">
        <v>0.01</v>
      </c>
      <c r="CA794" s="539">
        <v>0</v>
      </c>
      <c r="CB794" s="566">
        <v>-0.05</v>
      </c>
      <c r="CC794" s="566">
        <v>-0.05</v>
      </c>
      <c r="CD794" s="566">
        <v>0.02</v>
      </c>
      <c r="CE794" s="566">
        <v>0.02</v>
      </c>
      <c r="CF794" s="566">
        <v>0.02</v>
      </c>
      <c r="CG794" s="600"/>
      <c r="CH794" s="600"/>
      <c r="CI794" s="600"/>
      <c r="CJ794" s="600"/>
      <c r="CK794" s="492"/>
      <c r="CL794" s="1310" t="str">
        <f>A794</f>
        <v>% growth (y-o-y)</v>
      </c>
      <c r="CM794" s="469" t="str">
        <f>G794</f>
        <v xml:space="preserve">n/a </v>
      </c>
      <c r="CN794" s="469">
        <f>L794</f>
        <v>5.9832708896053015E-2</v>
      </c>
      <c r="CO794" s="469">
        <f>Q794</f>
        <v>9.2401982949266784E-2</v>
      </c>
      <c r="CP794" s="469">
        <f>V794</f>
        <v>2.5640350250044516E-2</v>
      </c>
      <c r="CQ794" s="469">
        <f>AA794</f>
        <v>-0.18220107349752551</v>
      </c>
      <c r="CR794" s="469">
        <f>AF794</f>
        <v>-9.2438482761714597E-2</v>
      </c>
      <c r="CS794" s="469">
        <f>AK794</f>
        <v>-0.10515570934256055</v>
      </c>
      <c r="CT794" s="469">
        <f>AP794</f>
        <v>-4.2126312649494305E-2</v>
      </c>
      <c r="CU794" s="469">
        <f>AU794</f>
        <v>-0.12469939619725356</v>
      </c>
      <c r="CV794" s="469">
        <f>AZ794</f>
        <v>-6.6058170485841269E-2</v>
      </c>
      <c r="CW794" s="469">
        <f>BE794</f>
        <v>-0.10430546632193936</v>
      </c>
      <c r="CX794" s="469">
        <f>BJ794</f>
        <v>-4.5810829237700391E-2</v>
      </c>
      <c r="CY794" s="469">
        <f>BO794</f>
        <v>-9.3379606586549823E-3</v>
      </c>
      <c r="CZ794" s="469">
        <f>BT794</f>
        <v>7.2731055777042579E-3</v>
      </c>
      <c r="DA794" s="469">
        <f t="shared" si="1761"/>
        <v>-2.2413905640937676E-2</v>
      </c>
      <c r="DB794" s="469">
        <f t="shared" si="1761"/>
        <v>0.01</v>
      </c>
      <c r="DC794" s="1463">
        <f t="shared" si="1761"/>
        <v>0</v>
      </c>
      <c r="DD794" s="492"/>
      <c r="DE794" s="492"/>
      <c r="DF794" s="962"/>
      <c r="DG794" s="331"/>
      <c r="DH794" s="469"/>
      <c r="DI794" s="3213"/>
      <c r="DJ794" s="962"/>
      <c r="DK794" s="962"/>
      <c r="DL794" s="962"/>
      <c r="DM794" s="962"/>
      <c r="DN794" s="962"/>
      <c r="DO794" s="962"/>
      <c r="DP794" s="962"/>
      <c r="DQ794" s="962"/>
      <c r="DR794" s="963"/>
      <c r="DS794" s="963"/>
      <c r="DT794" s="963"/>
    </row>
    <row r="795" spans="1:124" ht="12" customHeight="1" x14ac:dyDescent="0.25">
      <c r="A795" s="281" t="s">
        <v>645</v>
      </c>
      <c r="B795" s="281"/>
      <c r="C795" s="452">
        <f t="shared" ref="C795:AP795" si="1764">C796-C793</f>
        <v>1.286999999999999</v>
      </c>
      <c r="D795" s="452">
        <f t="shared" si="1764"/>
        <v>0.59400000000000119</v>
      </c>
      <c r="E795" s="452">
        <f t="shared" si="1764"/>
        <v>0.71100000000000563</v>
      </c>
      <c r="F795" s="452">
        <f t="shared" si="1764"/>
        <v>0.45199999999999818</v>
      </c>
      <c r="G795" s="475">
        <f t="shared" si="1764"/>
        <v>3.0440000000000111</v>
      </c>
      <c r="H795" s="452">
        <f t="shared" si="1764"/>
        <v>-2.5769999999999982</v>
      </c>
      <c r="I795" s="452">
        <f t="shared" si="1764"/>
        <v>-2.9430000000000049</v>
      </c>
      <c r="J795" s="452">
        <f t="shared" si="1764"/>
        <v>-5.6260000000000048</v>
      </c>
      <c r="K795" s="452">
        <f t="shared" si="1764"/>
        <v>-0.23499999999999943</v>
      </c>
      <c r="L795" s="475">
        <f t="shared" si="1764"/>
        <v>-11.381</v>
      </c>
      <c r="M795" s="452">
        <f t="shared" si="1764"/>
        <v>-4.8199999999999932</v>
      </c>
      <c r="N795" s="452">
        <f t="shared" si="1764"/>
        <v>-4.9969999999999999</v>
      </c>
      <c r="O795" s="452">
        <f t="shared" si="1764"/>
        <v>-5.2199999999999918</v>
      </c>
      <c r="P795" s="452">
        <f t="shared" si="1764"/>
        <v>-5.2409999999999997</v>
      </c>
      <c r="Q795" s="475">
        <f t="shared" si="1764"/>
        <v>-20.277999999999906</v>
      </c>
      <c r="R795" s="452">
        <f t="shared" si="1764"/>
        <v>-5.117999999999995</v>
      </c>
      <c r="S795" s="452">
        <f t="shared" si="1764"/>
        <v>-5.3329999999999984</v>
      </c>
      <c r="T795" s="452">
        <f t="shared" si="1764"/>
        <v>-5.3609999999999971</v>
      </c>
      <c r="U795" s="452">
        <f t="shared" si="1764"/>
        <v>-4.8780000000000072</v>
      </c>
      <c r="V795" s="475">
        <f t="shared" si="1764"/>
        <v>-20.689999999999998</v>
      </c>
      <c r="W795" s="452">
        <f t="shared" si="1764"/>
        <v>-4.9279999999999973</v>
      </c>
      <c r="X795" s="452">
        <f t="shared" si="1764"/>
        <v>-6.7609999999999957</v>
      </c>
      <c r="Y795" s="452">
        <f t="shared" si="1764"/>
        <v>-7.7980000000000018</v>
      </c>
      <c r="Z795" s="452">
        <f t="shared" si="1764"/>
        <v>-4.7249999999999943</v>
      </c>
      <c r="AA795" s="475">
        <f t="shared" si="1764"/>
        <v>-24.211999999999989</v>
      </c>
      <c r="AB795" s="2195">
        <f t="shared" si="1764"/>
        <v>-4.6460000000000008</v>
      </c>
      <c r="AC795" s="2195">
        <f t="shared" si="1764"/>
        <v>-4.9540000000000006</v>
      </c>
      <c r="AD795" s="2195">
        <f>AD796-AD793</f>
        <v>-4.1199999999999974</v>
      </c>
      <c r="AE795" s="2195">
        <f>AE796-AE793</f>
        <v>-3.804000000000002</v>
      </c>
      <c r="AF795" s="477">
        <f t="shared" si="1764"/>
        <v>-17.524000000000001</v>
      </c>
      <c r="AG795" s="2195">
        <f>AG796-AG793</f>
        <v>-3.8109999999999999</v>
      </c>
      <c r="AH795" s="2195">
        <f>AH796-AH793</f>
        <v>-3.5109999999999957</v>
      </c>
      <c r="AI795" s="2195">
        <f>AI796-AI793</f>
        <v>-3.2450000000000045</v>
      </c>
      <c r="AJ795" s="2169">
        <f>AI795</f>
        <v>-3.2450000000000045</v>
      </c>
      <c r="AK795" s="477">
        <f t="shared" si="1764"/>
        <v>-12.769999999999982</v>
      </c>
      <c r="AL795" s="2195">
        <f>AL796-AL793</f>
        <v>-2.0549999999999997</v>
      </c>
      <c r="AM795" s="2195">
        <f>AM796-AM793</f>
        <v>-3.0399999999999991</v>
      </c>
      <c r="AN795" s="570">
        <v>-2</v>
      </c>
      <c r="AO795" s="452">
        <f>AN795</f>
        <v>-2</v>
      </c>
      <c r="AP795" s="478">
        <f t="shared" si="1764"/>
        <v>-9.0949999999999989</v>
      </c>
      <c r="AQ795" s="2196">
        <v>-2</v>
      </c>
      <c r="AR795" s="1770">
        <v>-2</v>
      </c>
      <c r="AS795" s="1770">
        <v>-2</v>
      </c>
      <c r="AT795" s="2197">
        <v>-2</v>
      </c>
      <c r="AU795" s="1464">
        <f>AU796-AU793</f>
        <v>-8</v>
      </c>
      <c r="AV795" s="592">
        <v>-1.5</v>
      </c>
      <c r="AW795" s="572">
        <v>-1.5</v>
      </c>
      <c r="AX795" s="572">
        <v>-1.5</v>
      </c>
      <c r="AY795" s="1313">
        <v>-1.5</v>
      </c>
      <c r="AZ795" s="1464">
        <f>AZ796-AZ793</f>
        <v>-6</v>
      </c>
      <c r="BA795" s="592">
        <v>-2</v>
      </c>
      <c r="BB795" s="572">
        <v>-2</v>
      </c>
      <c r="BC795" s="572">
        <v>-2</v>
      </c>
      <c r="BD795" s="1313">
        <v>-2</v>
      </c>
      <c r="BE795" s="1866">
        <f>BE796-BE793</f>
        <v>-7.9999999999999858</v>
      </c>
      <c r="BF795" s="572">
        <f>+BA795</f>
        <v>-2</v>
      </c>
      <c r="BG795" s="572">
        <f>+BB795</f>
        <v>-2</v>
      </c>
      <c r="BH795" s="572">
        <f>+BC795</f>
        <v>-2</v>
      </c>
      <c r="BI795" s="1313">
        <v>-1.5</v>
      </c>
      <c r="BJ795" s="1866">
        <f>BJ796-BJ793</f>
        <v>-7.5</v>
      </c>
      <c r="BK795" s="572">
        <f>+BI795</f>
        <v>-1.5</v>
      </c>
      <c r="BL795" s="2941">
        <v>-1.5</v>
      </c>
      <c r="BM795" s="2941">
        <v>-2</v>
      </c>
      <c r="BN795" s="2992">
        <f>BM795</f>
        <v>-2</v>
      </c>
      <c r="BO795" s="1866">
        <f>BO796-BO793</f>
        <v>-7</v>
      </c>
      <c r="BP795" s="3387">
        <f>+BN795</f>
        <v>-2</v>
      </c>
      <c r="BQ795" s="3388">
        <f>+BP795</f>
        <v>-2</v>
      </c>
      <c r="BR795" s="3388">
        <f>+BQ795</f>
        <v>-2</v>
      </c>
      <c r="BS795" s="3563">
        <f>+BR795</f>
        <v>-2</v>
      </c>
      <c r="BT795" s="2911">
        <f>BT796-BT793</f>
        <v>-8</v>
      </c>
      <c r="BU795" s="3446">
        <f>BS795</f>
        <v>-2</v>
      </c>
      <c r="BV795" s="3446">
        <f>+BU795</f>
        <v>-2</v>
      </c>
      <c r="BW795" s="3446">
        <f>+BV795</f>
        <v>-2</v>
      </c>
      <c r="BX795" s="3446">
        <f>+BW795</f>
        <v>-2</v>
      </c>
      <c r="BY795" s="2604">
        <f>BY796-BY793</f>
        <v>-8</v>
      </c>
      <c r="BZ795" s="2966">
        <f t="shared" ref="BZ795:CF795" si="1765">+BY795</f>
        <v>-8</v>
      </c>
      <c r="CA795" s="2966">
        <f t="shared" si="1765"/>
        <v>-8</v>
      </c>
      <c r="CB795" s="573">
        <f t="shared" si="1765"/>
        <v>-8</v>
      </c>
      <c r="CC795" s="573">
        <f t="shared" si="1765"/>
        <v>-8</v>
      </c>
      <c r="CD795" s="573">
        <f t="shared" si="1765"/>
        <v>-8</v>
      </c>
      <c r="CE795" s="573">
        <f t="shared" si="1765"/>
        <v>-8</v>
      </c>
      <c r="CF795" s="573">
        <f t="shared" si="1765"/>
        <v>-8</v>
      </c>
      <c r="CG795" s="331"/>
      <c r="CH795" s="331"/>
      <c r="CI795" s="331"/>
      <c r="CJ795" s="331"/>
      <c r="CK795" s="331"/>
      <c r="CL795" s="520" t="str">
        <f>A795</f>
        <v>Other revenue</v>
      </c>
      <c r="CM795" s="1673">
        <f>G795</f>
        <v>3.0440000000000111</v>
      </c>
      <c r="CN795" s="1673">
        <f>L795</f>
        <v>-11.381</v>
      </c>
      <c r="CO795" s="1673">
        <f>Q795</f>
        <v>-20.277999999999906</v>
      </c>
      <c r="CP795" s="1673">
        <f>V795</f>
        <v>-20.689999999999998</v>
      </c>
      <c r="CQ795" s="1673">
        <f>AA795</f>
        <v>-24.211999999999989</v>
      </c>
      <c r="CR795" s="1673">
        <f>AF795</f>
        <v>-17.524000000000001</v>
      </c>
      <c r="CS795" s="1673">
        <f>AK795</f>
        <v>-12.769999999999982</v>
      </c>
      <c r="CT795" s="1673">
        <f>AP795</f>
        <v>-9.0949999999999989</v>
      </c>
      <c r="CU795" s="1673">
        <f>AU795</f>
        <v>-8</v>
      </c>
      <c r="CV795" s="1673">
        <f>AZ795</f>
        <v>-6</v>
      </c>
      <c r="CW795" s="1673">
        <f>BE795</f>
        <v>-7.9999999999999858</v>
      </c>
      <c r="CX795" s="1673">
        <f>BJ795</f>
        <v>-7.5</v>
      </c>
      <c r="CY795" s="1673">
        <f>BO795</f>
        <v>-7</v>
      </c>
      <c r="CZ795" s="1673">
        <f>BT795</f>
        <v>-8</v>
      </c>
      <c r="DA795" s="1673">
        <f t="shared" si="1761"/>
        <v>-8</v>
      </c>
      <c r="DB795" s="1673">
        <f t="shared" si="1761"/>
        <v>-8</v>
      </c>
      <c r="DC795" s="1199">
        <f t="shared" si="1761"/>
        <v>-8</v>
      </c>
      <c r="DD795" s="331"/>
      <c r="DE795" s="331"/>
      <c r="DF795" s="502"/>
      <c r="DG795" s="503"/>
      <c r="DH795" s="2577"/>
      <c r="DI795" s="3213"/>
      <c r="DJ795" s="502"/>
      <c r="DK795" s="503"/>
      <c r="DL795" s="502"/>
      <c r="DM795" s="502"/>
      <c r="DN795" s="502"/>
      <c r="DO795" s="502"/>
      <c r="DP795" s="503"/>
      <c r="DQ795" s="503"/>
      <c r="DR795" s="296"/>
      <c r="DS795" s="296"/>
      <c r="DT795" s="296"/>
    </row>
    <row r="796" spans="1:124" ht="12" customHeight="1" x14ac:dyDescent="0.25">
      <c r="A796" s="496" t="s">
        <v>1418</v>
      </c>
      <c r="B796" s="1007"/>
      <c r="C796" s="1008">
        <v>58.869</v>
      </c>
      <c r="D796" s="1008">
        <v>57.475000000000001</v>
      </c>
      <c r="E796" s="1008">
        <v>58.509</v>
      </c>
      <c r="F796" s="1008">
        <v>57.731000000000002</v>
      </c>
      <c r="G796" s="1009">
        <f>SUM(C796:F796)</f>
        <v>232.584</v>
      </c>
      <c r="H796" s="1008">
        <v>53.460999999999999</v>
      </c>
      <c r="I796" s="1008">
        <v>57.781999999999996</v>
      </c>
      <c r="J796" s="1008">
        <v>58.619</v>
      </c>
      <c r="K796" s="1008">
        <v>62.030999999999999</v>
      </c>
      <c r="L796" s="1009">
        <f>SUM(H796:K796)</f>
        <v>231.893</v>
      </c>
      <c r="M796" s="1008">
        <v>61.75</v>
      </c>
      <c r="N796" s="1008">
        <v>60.703000000000003</v>
      </c>
      <c r="O796" s="1008">
        <v>61.780999999999999</v>
      </c>
      <c r="P796" s="1008">
        <v>61.241</v>
      </c>
      <c r="Q796" s="1009">
        <f>SUM(M796:P796)</f>
        <v>245.47500000000002</v>
      </c>
      <c r="R796" s="1008">
        <v>64.5</v>
      </c>
      <c r="S796" s="1008">
        <v>64.052000000000007</v>
      </c>
      <c r="T796" s="1008">
        <v>63.755000000000003</v>
      </c>
      <c r="U796" s="1008">
        <v>59.57</v>
      </c>
      <c r="V796" s="1009">
        <f>SUM(R796:U796)</f>
        <v>251.87700000000001</v>
      </c>
      <c r="W796" s="1008">
        <v>53.625999999999998</v>
      </c>
      <c r="X796" s="1008">
        <v>50.497</v>
      </c>
      <c r="Y796" s="1008">
        <v>49.256999999999998</v>
      </c>
      <c r="Z796" s="1008">
        <v>45.313000000000002</v>
      </c>
      <c r="AA796" s="1009">
        <f>SUM(W796:Z796)</f>
        <v>198.69299999999998</v>
      </c>
      <c r="AB796" s="1008">
        <v>48.753999999999998</v>
      </c>
      <c r="AC796" s="1008">
        <v>52.345999999999997</v>
      </c>
      <c r="AD796" s="1008">
        <v>43.38</v>
      </c>
      <c r="AE796" s="1010">
        <v>40.295999999999999</v>
      </c>
      <c r="AF796" s="1011">
        <f>SUM(AB796:AE796)</f>
        <v>184.77599999999998</v>
      </c>
      <c r="AG796" s="1010">
        <v>43.988999999999997</v>
      </c>
      <c r="AH796" s="1010">
        <v>41.889000000000003</v>
      </c>
      <c r="AI796" s="1010">
        <v>41.884999999999998</v>
      </c>
      <c r="AJ796" s="1010">
        <v>40.494</v>
      </c>
      <c r="AK796" s="1011">
        <f>SUM(AG796:AJ796)</f>
        <v>168.25700000000001</v>
      </c>
      <c r="AL796" s="1010">
        <v>42.286999999999999</v>
      </c>
      <c r="AM796" s="1010">
        <v>43.36</v>
      </c>
      <c r="AN796" s="1593">
        <f>AN793+AN795</f>
        <v>41.469000000000001</v>
      </c>
      <c r="AO796" s="1012">
        <f>AO793+AO795</f>
        <v>37.19</v>
      </c>
      <c r="AP796" s="1013">
        <f>SUM(AL796:AO796)</f>
        <v>164.30599999999998</v>
      </c>
      <c r="AQ796" s="1013">
        <f>AQ793+AQ795</f>
        <v>36.189</v>
      </c>
      <c r="AR796" s="1012">
        <f>AR793+AR795</f>
        <v>36.948999999999998</v>
      </c>
      <c r="AS796" s="1012">
        <f>AS793+AS795</f>
        <v>36.125999999999998</v>
      </c>
      <c r="AT796" s="1012">
        <f>AT793+AT795</f>
        <v>34.513999999999996</v>
      </c>
      <c r="AU796" s="1691">
        <f>SUM(AQ796:AT796)</f>
        <v>143.77800000000002</v>
      </c>
      <c r="AV796" s="1904">
        <f>AV793+AV795</f>
        <v>35.209271999999999</v>
      </c>
      <c r="AW796" s="1838">
        <f>AW793+AW795</f>
        <v>36.233473000000004</v>
      </c>
      <c r="AX796" s="1838">
        <f>AX793+AX795</f>
        <v>33.855093999999994</v>
      </c>
      <c r="AY796" s="1905">
        <f>AY793+AY795</f>
        <v>30.453983999999998</v>
      </c>
      <c r="AZ796" s="1691">
        <f>SUM(AV796:AY796)</f>
        <v>135.751823</v>
      </c>
      <c r="BA796" s="1904">
        <f>BA793+BA795</f>
        <v>29.234246999999996</v>
      </c>
      <c r="BB796" s="1012">
        <f>BB793+BB795</f>
        <v>31.345424000000001</v>
      </c>
      <c r="BC796" s="1012">
        <f>BC793+BC795</f>
        <v>29.966752</v>
      </c>
      <c r="BD796" s="1877">
        <f>BD793+BD795</f>
        <v>28.419910000000002</v>
      </c>
      <c r="BE796" s="1905">
        <f>SUM(BA796:BD796)</f>
        <v>118.96633300000001</v>
      </c>
      <c r="BF796" s="1012">
        <f>BF793+BF795</f>
        <v>28.407322999999998</v>
      </c>
      <c r="BG796" s="1012">
        <f>BG793+BG795</f>
        <v>30.211692999999997</v>
      </c>
      <c r="BH796" s="1012">
        <f>BH793+BH795</f>
        <v>27.485301</v>
      </c>
      <c r="BI796" s="1877">
        <f>BI793+BI795</f>
        <v>27.545582999999997</v>
      </c>
      <c r="BJ796" s="1905">
        <f>SUM(BF796:BI796)</f>
        <v>113.64989999999999</v>
      </c>
      <c r="BK796" s="1012">
        <f>BK793+BK795</f>
        <v>28.969566999999998</v>
      </c>
      <c r="BL796" s="1012">
        <f>BL793+BL795</f>
        <v>28.7</v>
      </c>
      <c r="BM796" s="1012">
        <f>BM793+BM795</f>
        <v>28.406834000000003</v>
      </c>
      <c r="BN796" s="1877">
        <f>BN793+BN795</f>
        <v>26.942206000000002</v>
      </c>
      <c r="BO796" s="1905">
        <f>SUM(BK796:BN796)</f>
        <v>113.018607</v>
      </c>
      <c r="BP796" s="1012">
        <f>BP793+BP795</f>
        <v>29.958572</v>
      </c>
      <c r="BQ796" s="1012">
        <f>BQ793+BQ795</f>
        <v>27.800344000000003</v>
      </c>
      <c r="BR796" s="1012">
        <f>BR793+BR795</f>
        <v>28.446326999999997</v>
      </c>
      <c r="BS796" s="1877">
        <f>BS793+BS795</f>
        <v>26.686271999999999</v>
      </c>
      <c r="BT796" s="1877">
        <f>SUM(BP796:BS796)</f>
        <v>112.891515</v>
      </c>
      <c r="BU796" s="1012">
        <f>BU793+BU795</f>
        <v>26.657595000000001</v>
      </c>
      <c r="BV796" s="1012">
        <f>BV793+BV795</f>
        <v>27.800344000000003</v>
      </c>
      <c r="BW796" s="1012">
        <f>BW793+BW795</f>
        <v>28.750790269999996</v>
      </c>
      <c r="BX796" s="1012">
        <f>BX793+BX795</f>
        <v>26.973134720000001</v>
      </c>
      <c r="BY796" s="1011">
        <f>SUM(BU796:BX796)</f>
        <v>110.18186399</v>
      </c>
      <c r="BZ796" s="1011">
        <f t="shared" ref="BZ796:CF796" si="1766">BZ793+BZ795</f>
        <v>111.3636826299</v>
      </c>
      <c r="CA796" s="1011">
        <f t="shared" si="1766"/>
        <v>111.3636826299</v>
      </c>
      <c r="CB796" s="1011">
        <f t="shared" si="1766"/>
        <v>105.39549849840499</v>
      </c>
      <c r="CC796" s="1011">
        <f t="shared" si="1766"/>
        <v>99.725723573484728</v>
      </c>
      <c r="CD796" s="1011">
        <f t="shared" si="1766"/>
        <v>101.88023804495442</v>
      </c>
      <c r="CE796" s="1011">
        <f t="shared" si="1766"/>
        <v>104.07784280585352</v>
      </c>
      <c r="CF796" s="1011">
        <f t="shared" si="1766"/>
        <v>106.31939966197059</v>
      </c>
      <c r="CG796" s="502"/>
      <c r="CH796" s="502"/>
      <c r="CI796" s="502"/>
      <c r="CJ796" s="502"/>
      <c r="CK796" s="502"/>
      <c r="CL796" s="2102" t="str">
        <f>A796</f>
        <v>Net revenue</v>
      </c>
      <c r="CM796" s="1012">
        <f>G796</f>
        <v>232.584</v>
      </c>
      <c r="CN796" s="1012">
        <f>L796</f>
        <v>231.893</v>
      </c>
      <c r="CO796" s="1012">
        <f>Q796</f>
        <v>245.47500000000002</v>
      </c>
      <c r="CP796" s="1012">
        <f>V796</f>
        <v>251.87700000000001</v>
      </c>
      <c r="CQ796" s="1012">
        <f>AA796</f>
        <v>198.69299999999998</v>
      </c>
      <c r="CR796" s="1012">
        <f>AF796</f>
        <v>184.77599999999998</v>
      </c>
      <c r="CS796" s="1012">
        <f>AK796</f>
        <v>168.25700000000001</v>
      </c>
      <c r="CT796" s="1012">
        <f>AP796</f>
        <v>164.30599999999998</v>
      </c>
      <c r="CU796" s="1012">
        <f>AU796</f>
        <v>143.77800000000002</v>
      </c>
      <c r="CV796" s="1012">
        <f>AZ796</f>
        <v>135.751823</v>
      </c>
      <c r="CW796" s="1012">
        <f>BE796</f>
        <v>118.96633300000001</v>
      </c>
      <c r="CX796" s="1012">
        <f>BJ796</f>
        <v>113.64989999999999</v>
      </c>
      <c r="CY796" s="1012">
        <f>BO796</f>
        <v>113.018607</v>
      </c>
      <c r="CZ796" s="1012">
        <f>BT796</f>
        <v>112.891515</v>
      </c>
      <c r="DA796" s="1012">
        <f t="shared" si="1761"/>
        <v>110.18186399</v>
      </c>
      <c r="DB796" s="1012">
        <f t="shared" si="1761"/>
        <v>111.3636826299</v>
      </c>
      <c r="DC796" s="1877">
        <f t="shared" si="1761"/>
        <v>111.3636826299</v>
      </c>
      <c r="DD796" s="502"/>
      <c r="DE796" s="502"/>
      <c r="DF796" s="502"/>
      <c r="DG796" s="503"/>
      <c r="DH796" s="598"/>
      <c r="DI796" s="3213"/>
      <c r="DJ796" s="502"/>
      <c r="DK796" s="503"/>
      <c r="DL796" s="502"/>
      <c r="DM796" s="502"/>
      <c r="DN796" s="502"/>
      <c r="DO796" s="502"/>
      <c r="DP796" s="503"/>
      <c r="DQ796" s="503"/>
      <c r="DR796" s="719"/>
      <c r="DS796" s="719"/>
      <c r="DT796" s="719"/>
    </row>
    <row r="797" spans="1:124" ht="12" customHeight="1" x14ac:dyDescent="0.25">
      <c r="A797" s="465" t="s">
        <v>1491</v>
      </c>
      <c r="B797" s="466"/>
      <c r="C797" s="467" t="s">
        <v>553</v>
      </c>
      <c r="D797" s="467" t="s">
        <v>553</v>
      </c>
      <c r="E797" s="467" t="s">
        <v>553</v>
      </c>
      <c r="F797" s="467" t="s">
        <v>553</v>
      </c>
      <c r="G797" s="468" t="s">
        <v>553</v>
      </c>
      <c r="H797" s="467">
        <f t="shared" ref="H797:AF797" si="1767">(H796-C796)/C796</f>
        <v>-9.1864988363994649E-2</v>
      </c>
      <c r="I797" s="467">
        <f t="shared" si="1767"/>
        <v>5.3414528055675519E-3</v>
      </c>
      <c r="J797" s="467">
        <f t="shared" si="1767"/>
        <v>1.8800526414739515E-3</v>
      </c>
      <c r="K797" s="467">
        <f t="shared" si="1767"/>
        <v>7.4483379813271841E-2</v>
      </c>
      <c r="L797" s="468">
        <f t="shared" si="1767"/>
        <v>-2.9709696281773573E-3</v>
      </c>
      <c r="M797" s="467">
        <f t="shared" si="1767"/>
        <v>0.15504760479601956</v>
      </c>
      <c r="N797" s="467">
        <f t="shared" si="1767"/>
        <v>5.0552075040670219E-2</v>
      </c>
      <c r="O797" s="467">
        <f t="shared" si="1767"/>
        <v>5.3941554785990872E-2</v>
      </c>
      <c r="P797" s="467">
        <f t="shared" si="1767"/>
        <v>-1.2735567700020944E-2</v>
      </c>
      <c r="Q797" s="468">
        <f t="shared" si="1767"/>
        <v>5.8570116389886809E-2</v>
      </c>
      <c r="R797" s="467">
        <f t="shared" si="1767"/>
        <v>4.4534412955465584E-2</v>
      </c>
      <c r="S797" s="467">
        <f t="shared" si="1767"/>
        <v>5.5170255176844693E-2</v>
      </c>
      <c r="T797" s="467">
        <f t="shared" si="1767"/>
        <v>3.1951570871303535E-2</v>
      </c>
      <c r="U797" s="467">
        <f t="shared" si="1767"/>
        <v>-2.7285641971881571E-2</v>
      </c>
      <c r="V797" s="468">
        <f t="shared" si="1767"/>
        <v>2.6080048884815098E-2</v>
      </c>
      <c r="W797" s="467">
        <f t="shared" si="1767"/>
        <v>-0.16858914728682173</v>
      </c>
      <c r="X797" s="467">
        <f t="shared" si="1767"/>
        <v>-0.21162492974458261</v>
      </c>
      <c r="Y797" s="467">
        <f t="shared" si="1767"/>
        <v>-0.22740177241000711</v>
      </c>
      <c r="Z797" s="467">
        <f t="shared" si="1767"/>
        <v>-0.23933187846231321</v>
      </c>
      <c r="AA797" s="468">
        <f t="shared" si="1767"/>
        <v>-0.2111506806893842</v>
      </c>
      <c r="AB797" s="467">
        <f t="shared" si="1767"/>
        <v>-9.0851452653563577E-2</v>
      </c>
      <c r="AC797" s="467">
        <f t="shared" si="1767"/>
        <v>3.6616036596233373E-2</v>
      </c>
      <c r="AD797" s="467">
        <f t="shared" si="1767"/>
        <v>-0.11931299104695771</v>
      </c>
      <c r="AE797" s="469">
        <f t="shared" si="1767"/>
        <v>-0.11071877827555013</v>
      </c>
      <c r="AF797" s="470">
        <f t="shared" si="1767"/>
        <v>-7.0042729235554366E-2</v>
      </c>
      <c r="AG797" s="467">
        <f t="shared" ref="AG797:AU797" si="1768">(AG796-AB796)/AB796</f>
        <v>-9.7735570414735212E-2</v>
      </c>
      <c r="AH797" s="467">
        <f t="shared" si="1768"/>
        <v>-0.19976693539143381</v>
      </c>
      <c r="AI797" s="467">
        <f t="shared" si="1768"/>
        <v>-3.446288612263726E-2</v>
      </c>
      <c r="AJ797" s="469">
        <f t="shared" si="1768"/>
        <v>4.9136390708755312E-3</v>
      </c>
      <c r="AK797" s="470">
        <f t="shared" si="1768"/>
        <v>-8.9400138546131422E-2</v>
      </c>
      <c r="AL797" s="467">
        <f t="shared" si="1768"/>
        <v>-3.8691491054581785E-2</v>
      </c>
      <c r="AM797" s="467">
        <f t="shared" si="1768"/>
        <v>3.5116617727804347E-2</v>
      </c>
      <c r="AN797" s="467">
        <f t="shared" si="1768"/>
        <v>-9.9319565476900275E-3</v>
      </c>
      <c r="AO797" s="469">
        <f t="shared" si="1768"/>
        <v>-8.1592334666864275E-2</v>
      </c>
      <c r="AP797" s="471">
        <f t="shared" si="1768"/>
        <v>-2.3481935372674075E-2</v>
      </c>
      <c r="AQ797" s="471">
        <f t="shared" si="1768"/>
        <v>-0.14420507484569725</v>
      </c>
      <c r="AR797" s="469">
        <f t="shared" si="1768"/>
        <v>-0.14785516605166055</v>
      </c>
      <c r="AS797" s="469">
        <f t="shared" si="1768"/>
        <v>-0.12884323229400282</v>
      </c>
      <c r="AT797" s="469">
        <f t="shared" si="1768"/>
        <v>-7.1954826566281313E-2</v>
      </c>
      <c r="AU797" s="1689">
        <f t="shared" si="1768"/>
        <v>-0.12493761639867056</v>
      </c>
      <c r="AV797" s="1730">
        <f t="shared" ref="AV797:BA797" si="1769">(AV796-AQ796)/AQ796</f>
        <v>-2.7072535853436167E-2</v>
      </c>
      <c r="AW797" s="1465">
        <f t="shared" si="1769"/>
        <v>-1.9365260223551232E-2</v>
      </c>
      <c r="AX797" s="1465">
        <f t="shared" si="1769"/>
        <v>-6.2860709738138842E-2</v>
      </c>
      <c r="AY797" s="1868">
        <f t="shared" si="1769"/>
        <v>-0.11763388769774578</v>
      </c>
      <c r="AZ797" s="1689">
        <f t="shared" si="1769"/>
        <v>-5.5823401354866652E-2</v>
      </c>
      <c r="BA797" s="1730">
        <f t="shared" si="1769"/>
        <v>-0.1697003278000182</v>
      </c>
      <c r="BB797" s="469">
        <f t="shared" ref="BB797:BJ797" si="1770">(BB796-AW796)/AW796</f>
        <v>-0.13490423620170228</v>
      </c>
      <c r="BC797" s="469">
        <f t="shared" si="1770"/>
        <v>-0.11485249457585305</v>
      </c>
      <c r="BD797" s="1463">
        <f t="shared" si="1770"/>
        <v>-6.6791720912442745E-2</v>
      </c>
      <c r="BE797" s="1868">
        <f t="shared" si="1770"/>
        <v>-0.12364835793033878</v>
      </c>
      <c r="BF797" s="469">
        <f t="shared" si="1770"/>
        <v>-2.8286139882446718E-2</v>
      </c>
      <c r="BG797" s="469">
        <f t="shared" si="1770"/>
        <v>-3.6168947658835444E-2</v>
      </c>
      <c r="BH797" s="469">
        <f t="shared" si="1770"/>
        <v>-8.2806805355481961E-2</v>
      </c>
      <c r="BI797" s="1463">
        <f t="shared" si="1770"/>
        <v>-3.0764594258039679E-2</v>
      </c>
      <c r="BJ797" s="1868">
        <f t="shared" si="1770"/>
        <v>-4.4688550667523877E-2</v>
      </c>
      <c r="BK797" s="469">
        <f t="shared" ref="BK797:BT797" si="1771">(BK796-BF796)/BF796</f>
        <v>1.9792220477797214E-2</v>
      </c>
      <c r="BL797" s="469">
        <f t="shared" si="1771"/>
        <v>-5.0036686126791956E-2</v>
      </c>
      <c r="BM797" s="469">
        <f t="shared" si="1771"/>
        <v>3.3528212043230081E-2</v>
      </c>
      <c r="BN797" s="1463">
        <f t="shared" si="1771"/>
        <v>-2.1904673428040887E-2</v>
      </c>
      <c r="BO797" s="1868">
        <f t="shared" si="1771"/>
        <v>-5.5547167221439292E-3</v>
      </c>
      <c r="BP797" s="469">
        <f t="shared" si="1771"/>
        <v>3.4139447096327068E-2</v>
      </c>
      <c r="BQ797" s="469">
        <f t="shared" si="1771"/>
        <v>-3.1346898954703717E-2</v>
      </c>
      <c r="BR797" s="469">
        <f t="shared" si="1771"/>
        <v>1.3902640470244982E-3</v>
      </c>
      <c r="BS797" s="1463">
        <f t="shared" si="1771"/>
        <v>-9.4993706157544561E-3</v>
      </c>
      <c r="BT797" s="1463">
        <f t="shared" si="1771"/>
        <v>-1.1245227964984973E-3</v>
      </c>
      <c r="BU797" s="469">
        <f>(BU796-BP796)/BP796</f>
        <v>-0.11018472442544991</v>
      </c>
      <c r="BV797" s="469">
        <f>(BV796-BQ796)/BQ796</f>
        <v>0</v>
      </c>
      <c r="BW797" s="469">
        <f>(BW796-BR796)/BR796</f>
        <v>1.0703078467740297E-2</v>
      </c>
      <c r="BX797" s="469">
        <f>(BX796-BS796)/BS796</f>
        <v>1.0749449005091533E-2</v>
      </c>
      <c r="BY797" s="470">
        <f>(BY796-BT796)/BT796</f>
        <v>-2.400225570540002E-2</v>
      </c>
      <c r="BZ797" s="470">
        <f t="shared" ref="BZ797:CF797" si="1772">(BZ796-BY796)/BY796</f>
        <v>1.0726072305395578E-2</v>
      </c>
      <c r="CA797" s="470">
        <f t="shared" si="1772"/>
        <v>0</v>
      </c>
      <c r="CB797" s="470">
        <f t="shared" si="1772"/>
        <v>-5.3591835242458224E-2</v>
      </c>
      <c r="CC797" s="470">
        <f t="shared" si="1772"/>
        <v>-5.3795228503104101E-2</v>
      </c>
      <c r="CD797" s="470">
        <f t="shared" si="1772"/>
        <v>2.1604400492337389E-2</v>
      </c>
      <c r="CE797" s="470">
        <f t="shared" si="1772"/>
        <v>2.1570471399265954E-2</v>
      </c>
      <c r="CF797" s="470">
        <f t="shared" si="1772"/>
        <v>2.1537310878920354E-2</v>
      </c>
      <c r="CG797" s="492"/>
      <c r="CH797" s="492"/>
      <c r="CI797" s="492"/>
      <c r="CJ797" s="492"/>
      <c r="CK797" s="492"/>
      <c r="CL797" s="1310" t="str">
        <f>A797</f>
        <v>% growth (y-o-y)</v>
      </c>
      <c r="CM797" s="469" t="str">
        <f>G797</f>
        <v xml:space="preserve">n/a </v>
      </c>
      <c r="CN797" s="469">
        <f>L797</f>
        <v>-2.9709696281773573E-3</v>
      </c>
      <c r="CO797" s="469">
        <f>Q797</f>
        <v>5.8570116389886809E-2</v>
      </c>
      <c r="CP797" s="469">
        <f>V797</f>
        <v>2.6080048884815098E-2</v>
      </c>
      <c r="CQ797" s="469">
        <f>AA797</f>
        <v>-0.2111506806893842</v>
      </c>
      <c r="CR797" s="469">
        <f>AF797</f>
        <v>-7.0042729235554366E-2</v>
      </c>
      <c r="CS797" s="469">
        <f>AK797</f>
        <v>-8.9400138546131422E-2</v>
      </c>
      <c r="CT797" s="469">
        <f>AP797</f>
        <v>-2.3481935372674075E-2</v>
      </c>
      <c r="CU797" s="469">
        <f>AU797</f>
        <v>-0.12493761639867056</v>
      </c>
      <c r="CV797" s="469">
        <f>AZ797</f>
        <v>-5.5823401354866652E-2</v>
      </c>
      <c r="CW797" s="469">
        <f>BE797</f>
        <v>-0.12364835793033878</v>
      </c>
      <c r="CX797" s="469">
        <f>BJ797</f>
        <v>-4.4688550667523877E-2</v>
      </c>
      <c r="CY797" s="469">
        <f>BO797</f>
        <v>-5.5547167221439292E-3</v>
      </c>
      <c r="CZ797" s="469">
        <f>BT797</f>
        <v>-1.1245227964984973E-3</v>
      </c>
      <c r="DA797" s="469">
        <f t="shared" si="1761"/>
        <v>-2.400225570540002E-2</v>
      </c>
      <c r="DB797" s="469">
        <f t="shared" si="1761"/>
        <v>1.0726072305395578E-2</v>
      </c>
      <c r="DC797" s="1463">
        <f t="shared" si="1761"/>
        <v>0</v>
      </c>
      <c r="DD797" s="492"/>
      <c r="DE797" s="492"/>
      <c r="DF797" s="962"/>
      <c r="DG797" s="962"/>
      <c r="DH797" s="469"/>
      <c r="DI797" s="3213"/>
      <c r="DJ797" s="962"/>
      <c r="DK797" s="962"/>
      <c r="DL797" s="962"/>
      <c r="DM797" s="962"/>
      <c r="DN797" s="962"/>
      <c r="DO797" s="962"/>
      <c r="DP797" s="962"/>
      <c r="DQ797" s="962"/>
      <c r="DR797" s="963"/>
      <c r="DS797" s="963"/>
      <c r="DT797" s="963"/>
    </row>
    <row r="798" spans="1:124" ht="5.0999999999999996" customHeight="1" x14ac:dyDescent="0.25">
      <c r="A798" s="281"/>
      <c r="B798" s="281"/>
      <c r="C798" s="305"/>
      <c r="D798" s="305"/>
      <c r="E798" s="305"/>
      <c r="F798" s="305"/>
      <c r="G798" s="440"/>
      <c r="H798" s="305"/>
      <c r="I798" s="305"/>
      <c r="J798" s="305"/>
      <c r="K798" s="305"/>
      <c r="L798" s="440"/>
      <c r="M798" s="305"/>
      <c r="N798" s="305"/>
      <c r="O798" s="305"/>
      <c r="P798" s="305"/>
      <c r="Q798" s="440"/>
      <c r="R798" s="305"/>
      <c r="S798" s="305"/>
      <c r="T798" s="305"/>
      <c r="U798" s="305"/>
      <c r="V798" s="440"/>
      <c r="W798" s="305"/>
      <c r="X798" s="305"/>
      <c r="Y798" s="305"/>
      <c r="Z798" s="305"/>
      <c r="AA798" s="440"/>
      <c r="AB798" s="305"/>
      <c r="AC798" s="305"/>
      <c r="AD798" s="305"/>
      <c r="AE798" s="331"/>
      <c r="AF798" s="441"/>
      <c r="AG798" s="305"/>
      <c r="AH798" s="305"/>
      <c r="AI798" s="305"/>
      <c r="AJ798" s="331"/>
      <c r="AK798" s="441"/>
      <c r="AL798" s="305"/>
      <c r="AM798" s="305"/>
      <c r="AN798" s="305"/>
      <c r="AO798" s="331"/>
      <c r="AP798" s="569"/>
      <c r="AQ798" s="569"/>
      <c r="AR798" s="442"/>
      <c r="AS798" s="442"/>
      <c r="AT798" s="442"/>
      <c r="AU798" s="1690"/>
      <c r="AV798" s="1902"/>
      <c r="AW798" s="1837"/>
      <c r="AX798" s="1837"/>
      <c r="AY798" s="1903"/>
      <c r="AZ798" s="1690"/>
      <c r="BA798" s="569"/>
      <c r="BB798" s="442"/>
      <c r="BC798" s="442"/>
      <c r="BD798" s="1312"/>
      <c r="BE798" s="1903"/>
      <c r="BF798" s="442"/>
      <c r="BG798" s="442"/>
      <c r="BH798" s="442"/>
      <c r="BI798" s="1312"/>
      <c r="BJ798" s="1903"/>
      <c r="BK798" s="442"/>
      <c r="BL798" s="442"/>
      <c r="BM798" s="442"/>
      <c r="BN798" s="1312"/>
      <c r="BO798" s="1903"/>
      <c r="BP798" s="442"/>
      <c r="BQ798" s="442"/>
      <c r="BR798" s="442"/>
      <c r="BS798" s="1312"/>
      <c r="BT798" s="3016"/>
      <c r="BU798" s="3298"/>
      <c r="BV798" s="3298"/>
      <c r="BW798" s="3298"/>
      <c r="BX798" s="3298"/>
      <c r="BY798" s="3236"/>
      <c r="BZ798" s="441"/>
      <c r="CA798" s="441"/>
      <c r="CB798" s="441"/>
      <c r="CC798" s="441"/>
      <c r="CD798" s="441"/>
      <c r="CE798" s="441"/>
      <c r="CF798" s="441"/>
      <c r="CG798" s="331"/>
      <c r="CH798" s="331"/>
      <c r="CI798" s="331"/>
      <c r="CJ798" s="331"/>
      <c r="CK798" s="331"/>
      <c r="CL798" s="520"/>
      <c r="CM798" s="442"/>
      <c r="CN798" s="442"/>
      <c r="CO798" s="442"/>
      <c r="CP798" s="442"/>
      <c r="CQ798" s="442"/>
      <c r="CR798" s="442"/>
      <c r="CS798" s="442"/>
      <c r="CT798" s="442"/>
      <c r="CU798" s="442"/>
      <c r="CV798" s="442"/>
      <c r="CW798" s="442"/>
      <c r="CX798" s="442"/>
      <c r="CY798" s="442"/>
      <c r="CZ798" s="442"/>
      <c r="DA798" s="442"/>
      <c r="DB798" s="442"/>
      <c r="DC798" s="1312"/>
      <c r="DD798" s="331"/>
      <c r="DE798" s="331"/>
      <c r="DF798" s="502"/>
      <c r="DG798" s="503"/>
      <c r="DH798" s="3298"/>
      <c r="DI798" s="3213"/>
      <c r="DJ798" s="502"/>
      <c r="DK798" s="503"/>
      <c r="DL798" s="502"/>
      <c r="DM798" s="502"/>
      <c r="DN798" s="502"/>
      <c r="DO798" s="502"/>
      <c r="DP798" s="503"/>
      <c r="DQ798" s="503"/>
      <c r="DR798" s="296"/>
      <c r="DS798" s="296"/>
      <c r="DT798" s="296"/>
    </row>
    <row r="799" spans="1:124" ht="12" customHeight="1" x14ac:dyDescent="0.25">
      <c r="A799" s="311" t="s">
        <v>601</v>
      </c>
      <c r="B799" s="281"/>
      <c r="C799" s="452">
        <f>C804-C802</f>
        <v>16.011254000000001</v>
      </c>
      <c r="D799" s="452">
        <f>D804-D802</f>
        <v>14.828666000000002</v>
      </c>
      <c r="E799" s="452">
        <f>E804-E802</f>
        <v>15.137258000000003</v>
      </c>
      <c r="F799" s="452">
        <f>F804-F802</f>
        <v>15.126241999999998</v>
      </c>
      <c r="G799" s="475">
        <f>SUM(C799:F799)</f>
        <v>61.103420000000007</v>
      </c>
      <c r="H799" s="452">
        <f>H804-H802</f>
        <v>12.339798000000002</v>
      </c>
      <c r="I799" s="452">
        <f>I804-I802</f>
        <v>11.544345999999994</v>
      </c>
      <c r="J799" s="452">
        <f>J804-J802</f>
        <v>13.769054000000001</v>
      </c>
      <c r="K799" s="452">
        <f>K804-K802</f>
        <v>18.359260000000003</v>
      </c>
      <c r="L799" s="475">
        <f>SUM(H799:K799)</f>
        <v>56.012457999999995</v>
      </c>
      <c r="M799" s="452">
        <f>M804-M802</f>
        <v>12.404007000000007</v>
      </c>
      <c r="N799" s="452">
        <f>N804-N802</f>
        <v>12.652825000000007</v>
      </c>
      <c r="O799" s="452">
        <f>O804-O802</f>
        <v>14.770407000000009</v>
      </c>
      <c r="P799" s="452">
        <f>P804-P802</f>
        <v>14.675125000000008</v>
      </c>
      <c r="Q799" s="475">
        <f>SUM(M799:P799)</f>
        <v>54.502364000000028</v>
      </c>
      <c r="R799" s="452">
        <f>R804-R802</f>
        <v>16.977369499999998</v>
      </c>
      <c r="S799" s="452">
        <f>S804-S802</f>
        <v>16.607369500000001</v>
      </c>
      <c r="T799" s="452">
        <f>T804-T802</f>
        <v>15.599369500000005</v>
      </c>
      <c r="U799" s="452">
        <f>U804-U802</f>
        <v>12.881369500000002</v>
      </c>
      <c r="V799" s="475">
        <f>SUM(R799:U799)</f>
        <v>62.065478000000013</v>
      </c>
      <c r="W799" s="452">
        <f>W804-W802</f>
        <v>14.314248729301717</v>
      </c>
      <c r="X799" s="452">
        <f>X804-X802</f>
        <v>14.192090802000852</v>
      </c>
      <c r="Y799" s="452">
        <f>Y804-Y802</f>
        <v>10.717657425270854</v>
      </c>
      <c r="Z799" s="452">
        <f>Z804-Z802</f>
        <v>8.8286670434265737</v>
      </c>
      <c r="AA799" s="475">
        <f>SUM(W799:Z799)</f>
        <v>48.052663999999993</v>
      </c>
      <c r="AB799" s="452">
        <f>AB804-AB802</f>
        <v>13.97045</v>
      </c>
      <c r="AC799" s="452">
        <f>AC804-AC802</f>
        <v>15.736049999999999</v>
      </c>
      <c r="AD799" s="452">
        <f>AD804-AD802</f>
        <v>11.163350000000005</v>
      </c>
      <c r="AE799" s="452">
        <f>AE804-AE802</f>
        <v>9.3671500000000023</v>
      </c>
      <c r="AF799" s="477">
        <f>SUM(AB799:AE799)</f>
        <v>50.237000000000002</v>
      </c>
      <c r="AG799" s="452">
        <f>AG804-AG802</f>
        <v>14.2883125</v>
      </c>
      <c r="AH799" s="452">
        <f>AH804-AH802</f>
        <v>12.561812500000006</v>
      </c>
      <c r="AI799" s="452">
        <f>AI804-AI802</f>
        <v>11.7355825</v>
      </c>
      <c r="AJ799" s="452">
        <f>AJ804-AJ802</f>
        <v>10.876380500000003</v>
      </c>
      <c r="AK799" s="477">
        <f>SUM(AG799:AJ799)</f>
        <v>49.462088000000008</v>
      </c>
      <c r="AL799" s="452">
        <f>AL804-AL802</f>
        <v>11.731748499999998</v>
      </c>
      <c r="AM799" s="452">
        <f>AM804-AM802</f>
        <v>12.593842500000001</v>
      </c>
      <c r="AN799" s="452">
        <f>AI799*(1+AN801)</f>
        <v>11.7355825</v>
      </c>
      <c r="AO799" s="452">
        <f>AJ799*(1+AO801)</f>
        <v>10.876380500000003</v>
      </c>
      <c r="AP799" s="478">
        <f>SUM(AL799:AO799)</f>
        <v>46.937553999999999</v>
      </c>
      <c r="AQ799" s="478">
        <f>AL799*(1+AQ801)</f>
        <v>10.910526104999997</v>
      </c>
      <c r="AR799" s="476">
        <f>AM799*(1+AR801)</f>
        <v>10.704766125000001</v>
      </c>
      <c r="AS799" s="476">
        <f>AN799*(1+AS801)</f>
        <v>9.9752451249999989</v>
      </c>
      <c r="AT799" s="476">
        <f>AO799*(1+AT801)</f>
        <v>9.7887424500000026</v>
      </c>
      <c r="AU799" s="1464">
        <f>SUM(AQ799:AT799)</f>
        <v>41.379279804999996</v>
      </c>
      <c r="AV799" s="1865">
        <f>AQ799*(1+AV801)</f>
        <v>10.692315582899997</v>
      </c>
      <c r="AW799" s="1771">
        <f>AR799*(1+AW801)</f>
        <v>9.8483848350000009</v>
      </c>
      <c r="AX799" s="1771">
        <f>AS799*(1+AX801)</f>
        <v>9.3767304174999992</v>
      </c>
      <c r="AY799" s="1866">
        <f>AT799*(1+AY801)</f>
        <v>8.3204310825000025</v>
      </c>
      <c r="AZ799" s="1464">
        <f>SUM(AV799:AY799)</f>
        <v>38.237861917899998</v>
      </c>
      <c r="BA799" s="478">
        <f>AV799*(1+BA801)</f>
        <v>9.623084024609998</v>
      </c>
      <c r="BB799" s="476">
        <f>AW799*(1+BB801)</f>
        <v>9.5529332899500012</v>
      </c>
      <c r="BC799" s="476">
        <f>AX799*(1+BC801)</f>
        <v>9.0016612007999992</v>
      </c>
      <c r="BD799" s="682">
        <f>AY799*(1+BD801)</f>
        <v>8.1540224608500029</v>
      </c>
      <c r="BE799" s="1866">
        <f>SUM(BA799:BD799)</f>
        <v>36.331700976210001</v>
      </c>
      <c r="BF799" s="476">
        <f>BA799*(1+BF801)</f>
        <v>9.3343915038716982</v>
      </c>
      <c r="BG799" s="476">
        <f>BB799*(1+BG801)</f>
        <v>9.4574039570505004</v>
      </c>
      <c r="BH799" s="476">
        <f>BC799*(1+BH801)</f>
        <v>8.8216279767839989</v>
      </c>
      <c r="BI799" s="682">
        <f>BD799*(1+BI801)</f>
        <v>8.0724822362415036</v>
      </c>
      <c r="BJ799" s="1866">
        <f>SUM(BF799:BI799)</f>
        <v>35.685905673947701</v>
      </c>
      <c r="BK799" s="476">
        <f>BF799*(1+BK801)</f>
        <v>9.5210793339491318</v>
      </c>
      <c r="BL799" s="476">
        <f>BG799*(1+BL801)</f>
        <v>9.3628299174799956</v>
      </c>
      <c r="BM799" s="476">
        <f>BH799*(1+BM801)</f>
        <v>9.0421686762035982</v>
      </c>
      <c r="BN799" s="682">
        <f>BI799*(1+BN801)</f>
        <v>8.2339318809663347</v>
      </c>
      <c r="BO799" s="1866">
        <f>SUM(BK799:BN799)</f>
        <v>36.160009808599057</v>
      </c>
      <c r="BP799" s="476">
        <f>BK799*(1+BP801)</f>
        <v>9.2354469539306567</v>
      </c>
      <c r="BQ799" s="476">
        <f>BL799*(1+BQ801)</f>
        <v>9.175573319130395</v>
      </c>
      <c r="BR799" s="476">
        <f>BM799*(1+BR801)</f>
        <v>9.1325903629656349</v>
      </c>
      <c r="BS799" s="682">
        <f>BN799*(1+BS801)</f>
        <v>8.3162711997759988</v>
      </c>
      <c r="BT799" s="2911">
        <f>SUM(BP799:BS799)</f>
        <v>35.859881835802682</v>
      </c>
      <c r="BU799" s="2577">
        <f>BP799*(1+BU801)</f>
        <v>8.773674606234124</v>
      </c>
      <c r="BV799" s="2577">
        <f>BQ799*(1+BV801)</f>
        <v>9.2214511857260462</v>
      </c>
      <c r="BW799" s="2577">
        <f>BR799*(1+BW801)</f>
        <v>9.1325903629656349</v>
      </c>
      <c r="BX799" s="2577">
        <f>BS799*(1+BX801)</f>
        <v>8.357852555774878</v>
      </c>
      <c r="BY799" s="2604">
        <f>SUM(BU799:BX799)</f>
        <v>35.485568710700683</v>
      </c>
      <c r="BZ799" s="477">
        <f t="shared" ref="BZ799:CF799" si="1773">BY799*(1+BZ801)</f>
        <v>34.953285180040169</v>
      </c>
      <c r="CA799" s="477">
        <f t="shared" si="1773"/>
        <v>34.953285180040169</v>
      </c>
      <c r="CB799" s="477">
        <f t="shared" si="1773"/>
        <v>33.904686624638963</v>
      </c>
      <c r="CC799" s="477">
        <f t="shared" si="1773"/>
        <v>32.887546025899795</v>
      </c>
      <c r="CD799" s="477">
        <f t="shared" si="1773"/>
        <v>33.216421486158794</v>
      </c>
      <c r="CE799" s="477">
        <f t="shared" si="1773"/>
        <v>33.548585701020379</v>
      </c>
      <c r="CF799" s="477">
        <f t="shared" si="1773"/>
        <v>33.884071558030584</v>
      </c>
      <c r="CG799" s="331"/>
      <c r="CH799" s="331"/>
      <c r="CI799" s="331"/>
      <c r="CJ799" s="331"/>
      <c r="CK799" s="331"/>
      <c r="CL799" s="528" t="str">
        <f t="shared" ref="CL799:CL804" si="1774">A799</f>
        <v>Operating expenses</v>
      </c>
      <c r="CM799" s="476">
        <f t="shared" ref="CM799:CM804" si="1775">G799</f>
        <v>61.103420000000007</v>
      </c>
      <c r="CN799" s="476">
        <f t="shared" ref="CN799:CN804" si="1776">L799</f>
        <v>56.012457999999995</v>
      </c>
      <c r="CO799" s="476">
        <f t="shared" ref="CO799:CO804" si="1777">Q799</f>
        <v>54.502364000000028</v>
      </c>
      <c r="CP799" s="476">
        <f t="shared" ref="CP799:CP804" si="1778">V799</f>
        <v>62.065478000000013</v>
      </c>
      <c r="CQ799" s="476">
        <f t="shared" ref="CQ799:CQ804" si="1779">AA799</f>
        <v>48.052663999999993</v>
      </c>
      <c r="CR799" s="476">
        <f t="shared" ref="CR799:CR804" si="1780">AF799</f>
        <v>50.237000000000002</v>
      </c>
      <c r="CS799" s="476">
        <f t="shared" ref="CS799:CS804" si="1781">AK799</f>
        <v>49.462088000000008</v>
      </c>
      <c r="CT799" s="476">
        <f t="shared" ref="CT799:CT804" si="1782">AP799</f>
        <v>46.937553999999999</v>
      </c>
      <c r="CU799" s="476">
        <f t="shared" ref="CU799:CU804" si="1783">AU799</f>
        <v>41.379279804999996</v>
      </c>
      <c r="CV799" s="476">
        <f t="shared" ref="CV799:CV804" si="1784">AZ799</f>
        <v>38.237861917899998</v>
      </c>
      <c r="CW799" s="476">
        <f t="shared" ref="CW799:CW804" si="1785">BE799</f>
        <v>36.331700976210001</v>
      </c>
      <c r="CX799" s="476">
        <f t="shared" ref="CX799:CX804" si="1786">BJ799</f>
        <v>35.685905673947701</v>
      </c>
      <c r="CY799" s="476">
        <f t="shared" ref="CY799:CY804" si="1787">BO799</f>
        <v>36.160009808599057</v>
      </c>
      <c r="CZ799" s="476">
        <f t="shared" ref="CZ799:CZ804" si="1788">BT799</f>
        <v>35.859881835802682</v>
      </c>
      <c r="DA799" s="476">
        <f t="shared" ref="DA799:DC804" si="1789">BY799</f>
        <v>35.485568710700683</v>
      </c>
      <c r="DB799" s="476">
        <f t="shared" si="1789"/>
        <v>34.953285180040169</v>
      </c>
      <c r="DC799" s="682">
        <f t="shared" si="1789"/>
        <v>34.953285180040169</v>
      </c>
      <c r="DD799" s="331"/>
      <c r="DE799" s="331"/>
      <c r="DF799" s="502"/>
      <c r="DG799" s="503"/>
      <c r="DH799" s="2577"/>
      <c r="DI799" s="3213"/>
      <c r="DJ799" s="502"/>
      <c r="DK799" s="503"/>
      <c r="DL799" s="502"/>
      <c r="DM799" s="502"/>
      <c r="DN799" s="502"/>
      <c r="DO799" s="502"/>
      <c r="DP799" s="503"/>
      <c r="DQ799" s="503"/>
      <c r="DR799" s="296"/>
      <c r="DS799" s="296"/>
      <c r="DT799" s="296"/>
    </row>
    <row r="800" spans="1:124" ht="12" customHeight="1" x14ac:dyDescent="0.25">
      <c r="A800" s="465" t="s">
        <v>646</v>
      </c>
      <c r="B800" s="466"/>
      <c r="C800" s="467">
        <f t="shared" ref="C800:AF800" si="1790">C799/C796</f>
        <v>0.27198107662776677</v>
      </c>
      <c r="D800" s="467">
        <f t="shared" si="1790"/>
        <v>0.25800201826881253</v>
      </c>
      <c r="E800" s="467">
        <f t="shared" si="1790"/>
        <v>0.25871674443248049</v>
      </c>
      <c r="F800" s="467">
        <f t="shared" si="1790"/>
        <v>0.26201247163568964</v>
      </c>
      <c r="G800" s="468">
        <f t="shared" si="1790"/>
        <v>0.2627154920372855</v>
      </c>
      <c r="H800" s="467">
        <f t="shared" si="1790"/>
        <v>0.23081869026018972</v>
      </c>
      <c r="I800" s="467">
        <f t="shared" si="1790"/>
        <v>0.19979138832162255</v>
      </c>
      <c r="J800" s="467">
        <f t="shared" si="1790"/>
        <v>0.23489063273000224</v>
      </c>
      <c r="K800" s="467">
        <f t="shared" si="1790"/>
        <v>0.29596911221808453</v>
      </c>
      <c r="L800" s="468">
        <f t="shared" si="1790"/>
        <v>0.24154441056866743</v>
      </c>
      <c r="M800" s="467">
        <f t="shared" si="1790"/>
        <v>0.20087460728744952</v>
      </c>
      <c r="N800" s="467">
        <f t="shared" si="1790"/>
        <v>0.20843821557418918</v>
      </c>
      <c r="O800" s="467">
        <f t="shared" si="1790"/>
        <v>0.23907685210663487</v>
      </c>
      <c r="P800" s="467">
        <f t="shared" si="1790"/>
        <v>0.23962908835584018</v>
      </c>
      <c r="Q800" s="468">
        <f t="shared" si="1790"/>
        <v>0.22202816580099816</v>
      </c>
      <c r="R800" s="467">
        <f t="shared" si="1790"/>
        <v>0.2632150310077519</v>
      </c>
      <c r="S800" s="467">
        <f t="shared" si="1790"/>
        <v>0.25927948385686628</v>
      </c>
      <c r="T800" s="467">
        <f t="shared" si="1790"/>
        <v>0.24467680181946522</v>
      </c>
      <c r="U800" s="467">
        <f t="shared" si="1790"/>
        <v>0.21623920597616253</v>
      </c>
      <c r="V800" s="468">
        <f t="shared" si="1790"/>
        <v>0.24641185181656131</v>
      </c>
      <c r="W800" s="467">
        <f t="shared" si="1790"/>
        <v>0.26692739956927081</v>
      </c>
      <c r="X800" s="467">
        <f t="shared" si="1790"/>
        <v>0.28104819696221267</v>
      </c>
      <c r="Y800" s="467">
        <f t="shared" si="1790"/>
        <v>0.21758648365249314</v>
      </c>
      <c r="Z800" s="467">
        <f t="shared" si="1790"/>
        <v>0.1948373986146707</v>
      </c>
      <c r="AA800" s="468">
        <f t="shared" si="1790"/>
        <v>0.24184376903061505</v>
      </c>
      <c r="AB800" s="467">
        <f t="shared" si="1790"/>
        <v>0.28654982155310332</v>
      </c>
      <c r="AC800" s="467">
        <f t="shared" si="1790"/>
        <v>0.30061609292018493</v>
      </c>
      <c r="AD800" s="467">
        <f t="shared" si="1790"/>
        <v>0.25733863531581386</v>
      </c>
      <c r="AE800" s="469">
        <f t="shared" si="1790"/>
        <v>0.23245855668056389</v>
      </c>
      <c r="AF800" s="470">
        <f t="shared" si="1790"/>
        <v>0.27188054725721961</v>
      </c>
      <c r="AG800" s="467">
        <f t="shared" ref="AG800:AU800" si="1791">AG799/AG796</f>
        <v>0.32481557889472368</v>
      </c>
      <c r="AH800" s="467">
        <f t="shared" si="1791"/>
        <v>0.29988332259065636</v>
      </c>
      <c r="AI800" s="467">
        <f t="shared" si="1791"/>
        <v>0.28018580637459711</v>
      </c>
      <c r="AJ800" s="469">
        <f t="shared" si="1791"/>
        <v>0.26859239640440569</v>
      </c>
      <c r="AK800" s="470">
        <f t="shared" si="1791"/>
        <v>0.29396749020843121</v>
      </c>
      <c r="AL800" s="467">
        <f t="shared" si="1791"/>
        <v>0.27743156289166881</v>
      </c>
      <c r="AM800" s="467">
        <f t="shared" si="1791"/>
        <v>0.29044839714022141</v>
      </c>
      <c r="AN800" s="467">
        <f t="shared" si="1791"/>
        <v>0.28299651546938676</v>
      </c>
      <c r="AO800" s="469">
        <f t="shared" si="1791"/>
        <v>0.29245443667652604</v>
      </c>
      <c r="AP800" s="471">
        <f t="shared" si="1791"/>
        <v>0.28567157620537292</v>
      </c>
      <c r="AQ800" s="471">
        <f t="shared" si="1791"/>
        <v>0.30148736093840661</v>
      </c>
      <c r="AR800" s="469">
        <f t="shared" si="1791"/>
        <v>0.28971734350050071</v>
      </c>
      <c r="AS800" s="469">
        <f t="shared" si="1791"/>
        <v>0.27612370937828712</v>
      </c>
      <c r="AT800" s="469">
        <f t="shared" si="1791"/>
        <v>0.28361657443356331</v>
      </c>
      <c r="AU800" s="1689">
        <f t="shared" si="1791"/>
        <v>0.28779980111699976</v>
      </c>
      <c r="AV800" s="1730">
        <f t="shared" ref="AV800:BJ800" si="1792">AV799/AV796</f>
        <v>0.30367897362092572</v>
      </c>
      <c r="AW800" s="1465">
        <f t="shared" si="1792"/>
        <v>0.27180350155779986</v>
      </c>
      <c r="AX800" s="1465">
        <f t="shared" si="1792"/>
        <v>0.27696660412462598</v>
      </c>
      <c r="AY800" s="1868">
        <f t="shared" si="1792"/>
        <v>0.27321322170852924</v>
      </c>
      <c r="AZ800" s="1689">
        <f t="shared" si="1792"/>
        <v>0.28167475819385496</v>
      </c>
      <c r="BA800" s="471">
        <f t="shared" si="1792"/>
        <v>0.32917160563807235</v>
      </c>
      <c r="BB800" s="469">
        <f t="shared" si="1792"/>
        <v>0.30476324997071347</v>
      </c>
      <c r="BC800" s="469">
        <f t="shared" si="1792"/>
        <v>0.30038828368186182</v>
      </c>
      <c r="BD800" s="1463">
        <f t="shared" si="1792"/>
        <v>0.28691232522727911</v>
      </c>
      <c r="BE800" s="1868">
        <f t="shared" si="1792"/>
        <v>0.30539481263333551</v>
      </c>
      <c r="BF800" s="469">
        <f t="shared" si="1792"/>
        <v>0.32859102928747275</v>
      </c>
      <c r="BG800" s="469">
        <f t="shared" si="1792"/>
        <v>0.31303786772394721</v>
      </c>
      <c r="BH800" s="469">
        <f t="shared" si="1792"/>
        <v>0.32095802686621472</v>
      </c>
      <c r="BI800" s="1463">
        <f t="shared" si="1792"/>
        <v>0.29305904457500515</v>
      </c>
      <c r="BJ800" s="1868">
        <f t="shared" si="1792"/>
        <v>0.3139985664215077</v>
      </c>
      <c r="BK800" s="469">
        <f t="shared" ref="BK800:BU800" si="1793">BK799/BK796</f>
        <v>0.32865797869706276</v>
      </c>
      <c r="BL800" s="469">
        <f t="shared" si="1793"/>
        <v>0.32623100757770018</v>
      </c>
      <c r="BM800" s="469">
        <f t="shared" si="1793"/>
        <v>0.31830962493756249</v>
      </c>
      <c r="BN800" s="1463">
        <f t="shared" si="1793"/>
        <v>0.30561461377610777</v>
      </c>
      <c r="BO800" s="1868">
        <f t="shared" si="1793"/>
        <v>0.31994740307318648</v>
      </c>
      <c r="BP800" s="469">
        <f t="shared" si="1793"/>
        <v>0.30827393755385457</v>
      </c>
      <c r="BQ800" s="469">
        <f t="shared" si="1793"/>
        <v>0.33005251011032072</v>
      </c>
      <c r="BR800" s="469">
        <f t="shared" si="1793"/>
        <v>0.32104638194469309</v>
      </c>
      <c r="BS800" s="1463">
        <f t="shared" si="1793"/>
        <v>0.31163105883714293</v>
      </c>
      <c r="BT800" s="1463">
        <f t="shared" si="1793"/>
        <v>0.31764904418018203</v>
      </c>
      <c r="BU800" s="469">
        <f t="shared" si="1793"/>
        <v>0.32912476186370615</v>
      </c>
      <c r="BV800" s="469">
        <f t="shared" ref="BV800:CF800" si="1794">BV799/BV796</f>
        <v>0.33170277266087228</v>
      </c>
      <c r="BW800" s="469">
        <f t="shared" si="1794"/>
        <v>0.31764658561385817</v>
      </c>
      <c r="BX800" s="469">
        <f t="shared" si="1794"/>
        <v>0.30985840698662692</v>
      </c>
      <c r="BY800" s="470">
        <f t="shared" si="1794"/>
        <v>0.32206360852564014</v>
      </c>
      <c r="BZ800" s="470">
        <f t="shared" si="1794"/>
        <v>0.31386610387339664</v>
      </c>
      <c r="CA800" s="470">
        <f t="shared" si="1794"/>
        <v>0.31386610387339664</v>
      </c>
      <c r="CB800" s="470">
        <f t="shared" si="1794"/>
        <v>0.32169008266659571</v>
      </c>
      <c r="CC800" s="470">
        <f t="shared" si="1794"/>
        <v>0.32977996897326095</v>
      </c>
      <c r="CD800" s="470">
        <f t="shared" si="1794"/>
        <v>0.32603399956233048</v>
      </c>
      <c r="CE800" s="470">
        <f t="shared" si="1794"/>
        <v>0.3223412860660631</v>
      </c>
      <c r="CF800" s="470">
        <f t="shared" si="1794"/>
        <v>0.31870074196958231</v>
      </c>
      <c r="CG800" s="492"/>
      <c r="CH800" s="492"/>
      <c r="CI800" s="492"/>
      <c r="CJ800" s="492"/>
      <c r="CK800" s="492"/>
      <c r="CL800" s="1310" t="str">
        <f t="shared" si="1774"/>
        <v>% of Net revenue</v>
      </c>
      <c r="CM800" s="469">
        <f t="shared" si="1775"/>
        <v>0.2627154920372855</v>
      </c>
      <c r="CN800" s="469">
        <f t="shared" si="1776"/>
        <v>0.24154441056866743</v>
      </c>
      <c r="CO800" s="469">
        <f t="shared" si="1777"/>
        <v>0.22202816580099816</v>
      </c>
      <c r="CP800" s="469">
        <f t="shared" si="1778"/>
        <v>0.24641185181656131</v>
      </c>
      <c r="CQ800" s="469">
        <f t="shared" si="1779"/>
        <v>0.24184376903061505</v>
      </c>
      <c r="CR800" s="469">
        <f t="shared" si="1780"/>
        <v>0.27188054725721961</v>
      </c>
      <c r="CS800" s="469">
        <f t="shared" si="1781"/>
        <v>0.29396749020843121</v>
      </c>
      <c r="CT800" s="469">
        <f t="shared" si="1782"/>
        <v>0.28567157620537292</v>
      </c>
      <c r="CU800" s="469">
        <f t="shared" si="1783"/>
        <v>0.28779980111699976</v>
      </c>
      <c r="CV800" s="469">
        <f t="shared" si="1784"/>
        <v>0.28167475819385496</v>
      </c>
      <c r="CW800" s="469">
        <f t="shared" si="1785"/>
        <v>0.30539481263333551</v>
      </c>
      <c r="CX800" s="469">
        <f t="shared" si="1786"/>
        <v>0.3139985664215077</v>
      </c>
      <c r="CY800" s="469">
        <f t="shared" si="1787"/>
        <v>0.31994740307318648</v>
      </c>
      <c r="CZ800" s="469">
        <f t="shared" si="1788"/>
        <v>0.31764904418018203</v>
      </c>
      <c r="DA800" s="469">
        <f t="shared" si="1789"/>
        <v>0.32206360852564014</v>
      </c>
      <c r="DB800" s="469">
        <f t="shared" si="1789"/>
        <v>0.31386610387339664</v>
      </c>
      <c r="DC800" s="1463">
        <f t="shared" si="1789"/>
        <v>0.31386610387339664</v>
      </c>
      <c r="DD800" s="492"/>
      <c r="DE800" s="492"/>
      <c r="DF800" s="962"/>
      <c r="DG800" s="962"/>
      <c r="DH800" s="469"/>
      <c r="DI800" s="3213"/>
      <c r="DJ800" s="962"/>
      <c r="DK800" s="962"/>
      <c r="DL800" s="962"/>
      <c r="DM800" s="962"/>
      <c r="DN800" s="962"/>
      <c r="DO800" s="962"/>
      <c r="DP800" s="962"/>
      <c r="DQ800" s="962"/>
      <c r="DR800" s="963"/>
      <c r="DS800" s="963"/>
      <c r="DT800" s="963"/>
    </row>
    <row r="801" spans="1:124" ht="12" customHeight="1" x14ac:dyDescent="0.25">
      <c r="A801" s="465" t="s">
        <v>1491</v>
      </c>
      <c r="B801" s="466"/>
      <c r="C801" s="467" t="s">
        <v>553</v>
      </c>
      <c r="D801" s="467" t="s">
        <v>553</v>
      </c>
      <c r="E801" s="467" t="s">
        <v>553</v>
      </c>
      <c r="F801" s="467" t="s">
        <v>553</v>
      </c>
      <c r="G801" s="468" t="s">
        <v>553</v>
      </c>
      <c r="H801" s="467">
        <f t="shared" ref="H801:AF801" si="1795">(H799-C799)/C799</f>
        <v>-0.2293047127976359</v>
      </c>
      <c r="I801" s="467">
        <f t="shared" si="1795"/>
        <v>-0.22148452193879123</v>
      </c>
      <c r="J801" s="467">
        <f t="shared" si="1795"/>
        <v>-9.0386515179962046E-2</v>
      </c>
      <c r="K801" s="467">
        <f t="shared" si="1795"/>
        <v>0.21373570514077492</v>
      </c>
      <c r="L801" s="468">
        <f t="shared" si="1795"/>
        <v>-8.3317136749465268E-2</v>
      </c>
      <c r="M801" s="467">
        <f t="shared" si="1795"/>
        <v>5.2034077057019311E-3</v>
      </c>
      <c r="N801" s="467">
        <f t="shared" si="1795"/>
        <v>9.6019211482401334E-2</v>
      </c>
      <c r="O801" s="467">
        <f t="shared" si="1795"/>
        <v>7.2724894535238865E-2</v>
      </c>
      <c r="P801" s="467">
        <f t="shared" si="1795"/>
        <v>-0.20066903568008698</v>
      </c>
      <c r="Q801" s="468">
        <f t="shared" si="1795"/>
        <v>-2.6959966655988689E-2</v>
      </c>
      <c r="R801" s="467">
        <f t="shared" si="1795"/>
        <v>0.3687004126972831</v>
      </c>
      <c r="S801" s="467">
        <f t="shared" si="1795"/>
        <v>0.31254241641688646</v>
      </c>
      <c r="T801" s="467">
        <f t="shared" si="1795"/>
        <v>5.6123199584141137E-2</v>
      </c>
      <c r="U801" s="467">
        <f t="shared" si="1795"/>
        <v>-0.12223102017870414</v>
      </c>
      <c r="V801" s="468">
        <f t="shared" si="1795"/>
        <v>0.13876671477956407</v>
      </c>
      <c r="W801" s="467">
        <f t="shared" si="1795"/>
        <v>-0.15686297990382325</v>
      </c>
      <c r="X801" s="467">
        <f t="shared" si="1795"/>
        <v>-0.14543415186849121</v>
      </c>
      <c r="Y801" s="467">
        <f t="shared" si="1795"/>
        <v>-0.31294290930983776</v>
      </c>
      <c r="Z801" s="467">
        <f t="shared" si="1795"/>
        <v>-0.31461735932452117</v>
      </c>
      <c r="AA801" s="468">
        <f t="shared" si="1795"/>
        <v>-0.22577468911139326</v>
      </c>
      <c r="AB801" s="467">
        <f t="shared" si="1795"/>
        <v>-2.4017937357616995E-2</v>
      </c>
      <c r="AC801" s="467">
        <f t="shared" si="1795"/>
        <v>0.10879011553262287</v>
      </c>
      <c r="AD801" s="467">
        <f t="shared" si="1795"/>
        <v>4.1584887167438758E-2</v>
      </c>
      <c r="AE801" s="469">
        <f t="shared" si="1795"/>
        <v>6.099255458663589E-2</v>
      </c>
      <c r="AF801" s="470">
        <f t="shared" si="1795"/>
        <v>4.5457125956638103E-2</v>
      </c>
      <c r="AG801" s="467">
        <f t="shared" ref="AG801:AM801" si="1796">(AG799-AB799)/AB799</f>
        <v>2.2752488287778875E-2</v>
      </c>
      <c r="AH801" s="467">
        <f t="shared" si="1796"/>
        <v>-0.20171755300726635</v>
      </c>
      <c r="AI801" s="467">
        <f t="shared" si="1796"/>
        <v>5.1259926455767719E-2</v>
      </c>
      <c r="AJ801" s="467">
        <f t="shared" si="1796"/>
        <v>0.16111949739248338</v>
      </c>
      <c r="AK801" s="470">
        <f t="shared" si="1796"/>
        <v>-1.5425124907936249E-2</v>
      </c>
      <c r="AL801" s="467">
        <f t="shared" si="1796"/>
        <v>-0.1789269376632126</v>
      </c>
      <c r="AM801" s="467">
        <f t="shared" si="1796"/>
        <v>2.549791282109594E-3</v>
      </c>
      <c r="AN801" s="538">
        <v>0</v>
      </c>
      <c r="AO801" s="538">
        <v>0</v>
      </c>
      <c r="AP801" s="471">
        <f>(AP799-AK799)/AK799</f>
        <v>-5.103977818324227E-2</v>
      </c>
      <c r="AQ801" s="1667">
        <v>-7.0000000000000007E-2</v>
      </c>
      <c r="AR801" s="540">
        <v>-0.15</v>
      </c>
      <c r="AS801" s="540">
        <v>-0.15</v>
      </c>
      <c r="AT801" s="540">
        <v>-0.1</v>
      </c>
      <c r="AU801" s="1689">
        <f>(AU799-AP799)/AP799</f>
        <v>-0.11841848842400272</v>
      </c>
      <c r="AV801" s="1667">
        <v>-0.02</v>
      </c>
      <c r="AW801" s="540">
        <v>-0.08</v>
      </c>
      <c r="AX801" s="540">
        <v>-0.06</v>
      </c>
      <c r="AY801" s="1668">
        <v>-0.15</v>
      </c>
      <c r="AZ801" s="1689">
        <f>(AZ799-AU799)/AU799</f>
        <v>-7.5917654968958873E-2</v>
      </c>
      <c r="BA801" s="1667">
        <v>-0.1</v>
      </c>
      <c r="BB801" s="540">
        <v>-0.03</v>
      </c>
      <c r="BC801" s="540">
        <v>-0.04</v>
      </c>
      <c r="BD801" s="1668">
        <v>-0.02</v>
      </c>
      <c r="BE801" s="1868">
        <f>(BE799-AZ799)/AZ799</f>
        <v>-4.9850092188278981E-2</v>
      </c>
      <c r="BF801" s="540">
        <v>-0.03</v>
      </c>
      <c r="BG801" s="540">
        <v>-0.01</v>
      </c>
      <c r="BH801" s="540">
        <v>-0.02</v>
      </c>
      <c r="BI801" s="1668">
        <v>-0.01</v>
      </c>
      <c r="BJ801" s="1868">
        <f>(BJ799-BE799)/BE799</f>
        <v>-1.7774981212279793E-2</v>
      </c>
      <c r="BK801" s="540">
        <v>0.02</v>
      </c>
      <c r="BL801" s="540">
        <v>-0.01</v>
      </c>
      <c r="BM801" s="540">
        <v>2.5000000000000001E-2</v>
      </c>
      <c r="BN801" s="1668">
        <v>0.02</v>
      </c>
      <c r="BO801" s="1868">
        <f>(BO799-BJ799)/BJ799</f>
        <v>1.3285472953471168E-2</v>
      </c>
      <c r="BP801" s="540">
        <v>-0.03</v>
      </c>
      <c r="BQ801" s="540">
        <v>-0.02</v>
      </c>
      <c r="BR801" s="540">
        <v>0.01</v>
      </c>
      <c r="BS801" s="1668">
        <v>0.01</v>
      </c>
      <c r="BT801" s="2950">
        <f>(BT799-BO799)/BO799</f>
        <v>-8.2999969962674804E-3</v>
      </c>
      <c r="BU801" s="540">
        <v>-0.05</v>
      </c>
      <c r="BV801" s="540">
        <v>5.0000000000000001E-3</v>
      </c>
      <c r="BW801" s="540">
        <v>0</v>
      </c>
      <c r="BX801" s="540">
        <v>5.0000000000000001E-3</v>
      </c>
      <c r="BY801" s="2693">
        <f>(BY799-BT799)/BT799</f>
        <v>-1.0438214125075082E-2</v>
      </c>
      <c r="BZ801" s="539">
        <v>-1.4999999999999999E-2</v>
      </c>
      <c r="CA801" s="578">
        <v>0</v>
      </c>
      <c r="CB801" s="539">
        <v>-0.03</v>
      </c>
      <c r="CC801" s="539">
        <v>-0.03</v>
      </c>
      <c r="CD801" s="539">
        <v>0.01</v>
      </c>
      <c r="CE801" s="539">
        <v>0.01</v>
      </c>
      <c r="CF801" s="539">
        <v>0.01</v>
      </c>
      <c r="CG801" s="492"/>
      <c r="CH801" s="492"/>
      <c r="CI801" s="492"/>
      <c r="CJ801" s="492"/>
      <c r="CK801" s="492"/>
      <c r="CL801" s="1310" t="str">
        <f t="shared" si="1774"/>
        <v>% growth (y-o-y)</v>
      </c>
      <c r="CM801" s="469" t="str">
        <f t="shared" si="1775"/>
        <v xml:space="preserve">n/a </v>
      </c>
      <c r="CN801" s="469">
        <f t="shared" si="1776"/>
        <v>-8.3317136749465268E-2</v>
      </c>
      <c r="CO801" s="469">
        <f t="shared" si="1777"/>
        <v>-2.6959966655988689E-2</v>
      </c>
      <c r="CP801" s="469">
        <f t="shared" si="1778"/>
        <v>0.13876671477956407</v>
      </c>
      <c r="CQ801" s="469">
        <f t="shared" si="1779"/>
        <v>-0.22577468911139326</v>
      </c>
      <c r="CR801" s="469">
        <f t="shared" si="1780"/>
        <v>4.5457125956638103E-2</v>
      </c>
      <c r="CS801" s="469">
        <f t="shared" si="1781"/>
        <v>-1.5425124907936249E-2</v>
      </c>
      <c r="CT801" s="469">
        <f t="shared" si="1782"/>
        <v>-5.103977818324227E-2</v>
      </c>
      <c r="CU801" s="469">
        <f t="shared" si="1783"/>
        <v>-0.11841848842400272</v>
      </c>
      <c r="CV801" s="469">
        <f t="shared" si="1784"/>
        <v>-7.5917654968958873E-2</v>
      </c>
      <c r="CW801" s="469">
        <f t="shared" si="1785"/>
        <v>-4.9850092188278981E-2</v>
      </c>
      <c r="CX801" s="469">
        <f t="shared" si="1786"/>
        <v>-1.7774981212279793E-2</v>
      </c>
      <c r="CY801" s="469">
        <f t="shared" si="1787"/>
        <v>1.3285472953471168E-2</v>
      </c>
      <c r="CZ801" s="469">
        <f t="shared" si="1788"/>
        <v>-8.2999969962674804E-3</v>
      </c>
      <c r="DA801" s="469">
        <f t="shared" si="1789"/>
        <v>-1.0438214125075082E-2</v>
      </c>
      <c r="DB801" s="469">
        <f t="shared" si="1789"/>
        <v>-1.4999999999999999E-2</v>
      </c>
      <c r="DC801" s="1463">
        <f t="shared" si="1789"/>
        <v>0</v>
      </c>
      <c r="DD801" s="492"/>
      <c r="DE801" s="492"/>
      <c r="DF801" s="962"/>
      <c r="DG801" s="962"/>
      <c r="DH801" s="2653"/>
      <c r="DI801" s="3213"/>
      <c r="DJ801" s="962"/>
      <c r="DK801" s="962"/>
      <c r="DL801" s="962"/>
      <c r="DM801" s="962"/>
      <c r="DN801" s="962"/>
      <c r="DO801" s="962"/>
      <c r="DP801" s="962"/>
      <c r="DQ801" s="962"/>
      <c r="DR801" s="963"/>
      <c r="DS801" s="963"/>
      <c r="DT801" s="963"/>
    </row>
    <row r="802" spans="1:124" ht="12" customHeight="1" x14ac:dyDescent="0.25">
      <c r="A802" s="311" t="s">
        <v>2161</v>
      </c>
      <c r="B802" s="281"/>
      <c r="C802" s="476">
        <f>Taxes!C51</f>
        <v>25.619745999999999</v>
      </c>
      <c r="D802" s="476">
        <f>Taxes!D51</f>
        <v>25.613333999999998</v>
      </c>
      <c r="E802" s="476">
        <f>Taxes!E51</f>
        <v>25.675742</v>
      </c>
      <c r="F802" s="476">
        <f>Taxes!F51</f>
        <v>25.563758</v>
      </c>
      <c r="G802" s="477">
        <f>Taxes!G51</f>
        <v>102.47257999999999</v>
      </c>
      <c r="H802" s="476">
        <f>Taxes!H51</f>
        <v>24.883201999999997</v>
      </c>
      <c r="I802" s="476">
        <f>Taxes!I51</f>
        <v>27.265654000000001</v>
      </c>
      <c r="J802" s="476">
        <f>Taxes!J51</f>
        <v>24.790946000000002</v>
      </c>
      <c r="K802" s="476">
        <f>Taxes!K51</f>
        <v>23.83474</v>
      </c>
      <c r="L802" s="477">
        <f>Taxes!L51</f>
        <v>100.774542</v>
      </c>
      <c r="M802" s="476">
        <f>Taxes!M51</f>
        <v>27.946992999999992</v>
      </c>
      <c r="N802" s="476">
        <f>Taxes!N51</f>
        <v>27.930174999999991</v>
      </c>
      <c r="O802" s="476">
        <f>Taxes!O51</f>
        <v>28.046592999999991</v>
      </c>
      <c r="P802" s="476">
        <f>Taxes!P51</f>
        <v>27.992874999999991</v>
      </c>
      <c r="Q802" s="477">
        <f>Taxes!Q51</f>
        <v>111.91663599999995</v>
      </c>
      <c r="R802" s="476">
        <f>Taxes!R51</f>
        <v>26.851630500000002</v>
      </c>
      <c r="S802" s="476">
        <f>Taxes!S51</f>
        <v>26.851630500000002</v>
      </c>
      <c r="T802" s="476">
        <f>Taxes!T51</f>
        <v>26.851630500000002</v>
      </c>
      <c r="U802" s="476">
        <f>Taxes!U51</f>
        <v>26.851630500000002</v>
      </c>
      <c r="V802" s="477">
        <f>Taxes!V51</f>
        <v>107.40652200000001</v>
      </c>
      <c r="W802" s="476">
        <f>Taxes!W51</f>
        <v>23.253751270698281</v>
      </c>
      <c r="X802" s="476">
        <f>Taxes!X51</f>
        <v>21.99290919799915</v>
      </c>
      <c r="Y802" s="476">
        <f>Taxes!Y51</f>
        <v>20.974342574729143</v>
      </c>
      <c r="Z802" s="476">
        <f>Taxes!Z51</f>
        <v>19.903332956573429</v>
      </c>
      <c r="AA802" s="477">
        <f>Taxes!AA51</f>
        <v>86.124336</v>
      </c>
      <c r="AB802" s="476">
        <f>Taxes!AB51</f>
        <v>19.503549999999997</v>
      </c>
      <c r="AC802" s="476">
        <f>Taxes!AC51</f>
        <v>19.73395</v>
      </c>
      <c r="AD802" s="476">
        <f>Taxes!AD51</f>
        <v>19.298649999999999</v>
      </c>
      <c r="AE802" s="476">
        <f>Taxes!AE51</f>
        <v>19.107849999999999</v>
      </c>
      <c r="AF802" s="477">
        <f>Taxes!AF51</f>
        <v>77.643999999999991</v>
      </c>
      <c r="AG802" s="476">
        <f>Taxes!AG51</f>
        <v>16.879687499999999</v>
      </c>
      <c r="AH802" s="476">
        <f>Taxes!AH51</f>
        <v>16.749187499999998</v>
      </c>
      <c r="AI802" s="476">
        <f>Taxes!AI51</f>
        <v>16.738417499999997</v>
      </c>
      <c r="AJ802" s="476">
        <f>Taxes!AJ51</f>
        <v>16.614619499999996</v>
      </c>
      <c r="AK802" s="477">
        <f>Taxes!AK51</f>
        <v>66.981911999999994</v>
      </c>
      <c r="AL802" s="476">
        <f>Taxes!AL51</f>
        <v>15.8452515</v>
      </c>
      <c r="AM802" s="476">
        <f>Taxes!AM51</f>
        <v>15.987157499999999</v>
      </c>
      <c r="AN802" s="476">
        <f>Taxes!AN51</f>
        <v>15.878389499999997</v>
      </c>
      <c r="AO802" s="476">
        <f>Taxes!AO51</f>
        <v>15.642508499999998</v>
      </c>
      <c r="AP802" s="478">
        <f>Taxes!AP51</f>
        <v>63.353306999999994</v>
      </c>
      <c r="AQ802" s="478">
        <f>Taxes!AQ51</f>
        <v>13.173435000000001</v>
      </c>
      <c r="AR802" s="476">
        <f>Taxes!AR51</f>
        <v>13.205178000000002</v>
      </c>
      <c r="AS802" s="476">
        <f>Taxes!AS51</f>
        <v>13.167201000000002</v>
      </c>
      <c r="AT802" s="476">
        <f>Taxes!AT51</f>
        <v>13.055988000000003</v>
      </c>
      <c r="AU802" s="1464">
        <f>Taxes!AU51</f>
        <v>52.601802000000006</v>
      </c>
      <c r="AV802" s="1865">
        <f>Taxes!AV51</f>
        <v>12.10353656625</v>
      </c>
      <c r="AW802" s="1771">
        <f>Taxes!AW51</f>
        <v>12.139770596249999</v>
      </c>
      <c r="AX802" s="1771">
        <f>Taxes!AX51</f>
        <v>12.021358226249999</v>
      </c>
      <c r="AY802" s="1866">
        <f>Taxes!AY51</f>
        <v>11.79014192625</v>
      </c>
      <c r="AZ802" s="1464">
        <f>Taxes!AZ51</f>
        <v>48.054807315000005</v>
      </c>
      <c r="BA802" s="478">
        <f>Taxes!BA51</f>
        <v>10.346683128750001</v>
      </c>
      <c r="BB802" s="476">
        <f>Taxes!BB51</f>
        <v>10.478988438749999</v>
      </c>
      <c r="BC802" s="476">
        <f>Taxes!BC51</f>
        <v>10.425037278750001</v>
      </c>
      <c r="BD802" s="682">
        <f>Taxes!BD51</f>
        <v>10.337559018749999</v>
      </c>
      <c r="BE802" s="1866">
        <f>Taxes!BE51</f>
        <v>41.588267864999999</v>
      </c>
      <c r="BF802" s="476">
        <f>Taxes!BF51</f>
        <v>9.7639278149999988</v>
      </c>
      <c r="BG802" s="476">
        <f>Taxes!BG51</f>
        <v>9.8386509149999988</v>
      </c>
      <c r="BH802" s="476">
        <f>Taxes!BH51</f>
        <v>9.7474121549999992</v>
      </c>
      <c r="BI802" s="682">
        <f>Taxes!BI51</f>
        <v>9.7148886149999996</v>
      </c>
      <c r="BJ802" s="1866">
        <f>Taxes!BJ51</f>
        <v>39.064879499999989</v>
      </c>
      <c r="BK802" s="476">
        <f>Taxes!BK51</f>
        <v>9.622224416249999</v>
      </c>
      <c r="BL802" s="476">
        <f>Taxes!BL51</f>
        <v>9.6396944062500012</v>
      </c>
      <c r="BM802" s="476">
        <f>Taxes!BM51</f>
        <v>9.6485994262499997</v>
      </c>
      <c r="BN802" s="682">
        <f>Taxes!BN51</f>
        <v>9.5778855862500016</v>
      </c>
      <c r="BO802" s="1866">
        <f>Taxes!BO51</f>
        <v>38.488403835</v>
      </c>
      <c r="BP802" s="476">
        <f>Taxes!BP51</f>
        <v>9.7722556912499989</v>
      </c>
      <c r="BQ802" s="476">
        <f>Taxes!BQ51</f>
        <v>9.6809138512499988</v>
      </c>
      <c r="BR802" s="476">
        <f>Taxes!BR51</f>
        <v>9.7419543412499987</v>
      </c>
      <c r="BS802" s="682">
        <f>Taxes!BS51</f>
        <v>9.61567669125</v>
      </c>
      <c r="BT802" s="2911">
        <f>Taxes!BT51</f>
        <v>38.810800574999995</v>
      </c>
      <c r="BU802" s="476">
        <f>Taxes!BU51</f>
        <v>9.3059525990625005</v>
      </c>
      <c r="BV802" s="476">
        <f>Taxes!BV51</f>
        <v>9.4268840690624991</v>
      </c>
      <c r="BW802" s="476">
        <f>Taxes!BW51</f>
        <v>9.5048208071624991</v>
      </c>
      <c r="BX802" s="682">
        <f>Taxes!BX51</f>
        <v>9.3772803806624996</v>
      </c>
      <c r="BY802" s="2911">
        <f>Taxes!BY51</f>
        <v>37.614937855949997</v>
      </c>
      <c r="BZ802" s="477">
        <f>Taxes!BZ51</f>
        <v>38.122337234509502</v>
      </c>
      <c r="CA802" s="477">
        <f>Taxes!CA51</f>
        <v>38.122337234509502</v>
      </c>
      <c r="CB802" s="477">
        <f>Taxes!CB51</f>
        <v>35.559970372784022</v>
      </c>
      <c r="CC802" s="477">
        <f>Taxes!CC51</f>
        <v>33.125721854144814</v>
      </c>
      <c r="CD802" s="477">
        <f>Taxes!CD51</f>
        <v>34.050736291227715</v>
      </c>
      <c r="CE802" s="477">
        <f>Taxes!CE51</f>
        <v>34.994251017052271</v>
      </c>
      <c r="CF802" s="477">
        <f>Taxes!CF51</f>
        <v>35.956636037393316</v>
      </c>
      <c r="CG802" s="331"/>
      <c r="CH802" s="331"/>
      <c r="CI802" s="331"/>
      <c r="CJ802" s="331"/>
      <c r="CK802" s="331"/>
      <c r="CL802" s="528" t="str">
        <f t="shared" si="1774"/>
        <v>Tax expense</v>
      </c>
      <c r="CM802" s="476">
        <f t="shared" si="1775"/>
        <v>102.47257999999999</v>
      </c>
      <c r="CN802" s="476">
        <f t="shared" si="1776"/>
        <v>100.774542</v>
      </c>
      <c r="CO802" s="476">
        <f t="shared" si="1777"/>
        <v>111.91663599999995</v>
      </c>
      <c r="CP802" s="476">
        <f t="shared" si="1778"/>
        <v>107.40652200000001</v>
      </c>
      <c r="CQ802" s="476">
        <f t="shared" si="1779"/>
        <v>86.124336</v>
      </c>
      <c r="CR802" s="476">
        <f t="shared" si="1780"/>
        <v>77.643999999999991</v>
      </c>
      <c r="CS802" s="476">
        <f t="shared" si="1781"/>
        <v>66.981911999999994</v>
      </c>
      <c r="CT802" s="476">
        <f t="shared" si="1782"/>
        <v>63.353306999999994</v>
      </c>
      <c r="CU802" s="476">
        <f t="shared" si="1783"/>
        <v>52.601802000000006</v>
      </c>
      <c r="CV802" s="476">
        <f t="shared" si="1784"/>
        <v>48.054807315000005</v>
      </c>
      <c r="CW802" s="476">
        <f t="shared" si="1785"/>
        <v>41.588267864999999</v>
      </c>
      <c r="CX802" s="476">
        <f t="shared" si="1786"/>
        <v>39.064879499999989</v>
      </c>
      <c r="CY802" s="476">
        <f t="shared" si="1787"/>
        <v>38.488403835</v>
      </c>
      <c r="CZ802" s="476">
        <f t="shared" si="1788"/>
        <v>38.810800574999995</v>
      </c>
      <c r="DA802" s="476">
        <f t="shared" si="1789"/>
        <v>37.614937855949997</v>
      </c>
      <c r="DB802" s="476">
        <f t="shared" si="1789"/>
        <v>38.122337234509502</v>
      </c>
      <c r="DC802" s="682">
        <f t="shared" si="1789"/>
        <v>38.122337234509502</v>
      </c>
      <c r="DD802" s="331"/>
      <c r="DE802" s="331"/>
      <c r="DF802" s="502"/>
      <c r="DG802" s="503"/>
      <c r="DH802" s="2577"/>
      <c r="DI802" s="3213"/>
      <c r="DJ802" s="502"/>
      <c r="DK802" s="503"/>
      <c r="DL802" s="502"/>
      <c r="DM802" s="502"/>
      <c r="DN802" s="502"/>
      <c r="DO802" s="502"/>
      <c r="DP802" s="503"/>
      <c r="DQ802" s="503"/>
      <c r="DR802" s="296"/>
      <c r="DS802" s="296"/>
      <c r="DT802" s="296"/>
    </row>
    <row r="803" spans="1:124" ht="12" customHeight="1" x14ac:dyDescent="0.25">
      <c r="A803" s="465" t="s">
        <v>1810</v>
      </c>
      <c r="B803" s="466"/>
      <c r="C803" s="467">
        <f t="shared" ref="C803:AU803" si="1797">C802/C793</f>
        <v>0.44492629641207321</v>
      </c>
      <c r="D803" s="467">
        <f t="shared" si="1797"/>
        <v>0.45029683022450373</v>
      </c>
      <c r="E803" s="467">
        <f t="shared" si="1797"/>
        <v>0.44423236098134888</v>
      </c>
      <c r="F803" s="467">
        <f t="shared" si="1797"/>
        <v>0.4463024494142705</v>
      </c>
      <c r="G803" s="468">
        <f t="shared" si="1797"/>
        <v>0.44642580813801513</v>
      </c>
      <c r="H803" s="467">
        <f t="shared" si="1797"/>
        <v>0.44404157892858415</v>
      </c>
      <c r="I803" s="467">
        <f t="shared" si="1797"/>
        <v>0.44900212433100045</v>
      </c>
      <c r="J803" s="467">
        <f t="shared" si="1797"/>
        <v>0.38588132928632579</v>
      </c>
      <c r="K803" s="467">
        <f t="shared" si="1797"/>
        <v>0.3827890020235763</v>
      </c>
      <c r="L803" s="468">
        <f t="shared" si="1797"/>
        <v>0.41424296061231369</v>
      </c>
      <c r="M803" s="467">
        <f t="shared" si="1797"/>
        <v>0.41981362475589595</v>
      </c>
      <c r="N803" s="467">
        <f t="shared" si="1797"/>
        <v>0.42511681887366803</v>
      </c>
      <c r="O803" s="467">
        <f t="shared" si="1797"/>
        <v>0.41859961791615041</v>
      </c>
      <c r="P803" s="467">
        <f t="shared" si="1797"/>
        <v>0.42105945970337821</v>
      </c>
      <c r="Q803" s="468">
        <f t="shared" si="1797"/>
        <v>0.42113028263086394</v>
      </c>
      <c r="R803" s="467">
        <f t="shared" si="1797"/>
        <v>0.38569953891235031</v>
      </c>
      <c r="S803" s="467">
        <f t="shared" si="1797"/>
        <v>0.38699474670317791</v>
      </c>
      <c r="T803" s="467">
        <f t="shared" si="1797"/>
        <v>0.38850093321372769</v>
      </c>
      <c r="U803" s="467">
        <f t="shared" si="1797"/>
        <v>0.41664024484856005</v>
      </c>
      <c r="V803" s="468">
        <f t="shared" si="1797"/>
        <v>0.39405548727468848</v>
      </c>
      <c r="W803" s="467">
        <f t="shared" si="1797"/>
        <v>0.39713343701025178</v>
      </c>
      <c r="X803" s="467">
        <f t="shared" si="1797"/>
        <v>0.38410194554471255</v>
      </c>
      <c r="Y803" s="467">
        <f t="shared" si="1797"/>
        <v>0.36761620497290581</v>
      </c>
      <c r="Z803" s="467">
        <f t="shared" si="1797"/>
        <v>0.39776435821922201</v>
      </c>
      <c r="AA803" s="468">
        <f t="shared" si="1797"/>
        <v>0.38637238285368208</v>
      </c>
      <c r="AB803" s="467">
        <f t="shared" si="1797"/>
        <v>0.3652350187265917</v>
      </c>
      <c r="AC803" s="467">
        <f t="shared" si="1797"/>
        <v>0.34439703315881326</v>
      </c>
      <c r="AD803" s="467">
        <f t="shared" si="1797"/>
        <v>0.40628736842105262</v>
      </c>
      <c r="AE803" s="469">
        <f t="shared" si="1797"/>
        <v>0.4332845804988662</v>
      </c>
      <c r="AF803" s="470">
        <f t="shared" si="1797"/>
        <v>0.38380622837370243</v>
      </c>
      <c r="AG803" s="467">
        <f t="shared" si="1797"/>
        <v>0.35313153765690375</v>
      </c>
      <c r="AH803" s="467">
        <f t="shared" si="1797"/>
        <v>0.36892483480176208</v>
      </c>
      <c r="AI803" s="467">
        <f t="shared" si="1797"/>
        <v>0.37089336361621972</v>
      </c>
      <c r="AJ803" s="469">
        <f t="shared" si="1797"/>
        <v>0.3891284984893551</v>
      </c>
      <c r="AK803" s="470">
        <f t="shared" si="1797"/>
        <v>0.37001061720074907</v>
      </c>
      <c r="AL803" s="467">
        <f t="shared" si="1797"/>
        <v>0.35734183167200395</v>
      </c>
      <c r="AM803" s="467">
        <f t="shared" si="1797"/>
        <v>0.34455080818965517</v>
      </c>
      <c r="AN803" s="467">
        <f t="shared" si="1797"/>
        <v>0.36528076330258336</v>
      </c>
      <c r="AO803" s="469">
        <f t="shared" si="1797"/>
        <v>0.39914540699157947</v>
      </c>
      <c r="AP803" s="471">
        <f t="shared" si="1797"/>
        <v>0.36535721823980255</v>
      </c>
      <c r="AQ803" s="471">
        <f t="shared" si="1797"/>
        <v>0.34495365157506092</v>
      </c>
      <c r="AR803" s="469">
        <f t="shared" si="1797"/>
        <v>0.33903766463837332</v>
      </c>
      <c r="AS803" s="469">
        <f t="shared" si="1797"/>
        <v>0.34536014793054615</v>
      </c>
      <c r="AT803" s="469">
        <f t="shared" si="1797"/>
        <v>0.35756115462562316</v>
      </c>
      <c r="AU803" s="1689">
        <f t="shared" si="1797"/>
        <v>0.34657066241484275</v>
      </c>
      <c r="AV803" s="1730">
        <f t="shared" ref="AV803:BJ803" si="1798">AV802/AV793</f>
        <v>0.32971333689891752</v>
      </c>
      <c r="AW803" s="1465">
        <f t="shared" si="1798"/>
        <v>0.32172417832437522</v>
      </c>
      <c r="AX803" s="1465">
        <f t="shared" si="1798"/>
        <v>0.34001771360726696</v>
      </c>
      <c r="AY803" s="1868">
        <f t="shared" si="1798"/>
        <v>0.36897251767573019</v>
      </c>
      <c r="AZ803" s="1689">
        <f t="shared" si="1798"/>
        <v>0.33900662649678942</v>
      </c>
      <c r="BA803" s="471">
        <f t="shared" si="1798"/>
        <v>0.33126084738812506</v>
      </c>
      <c r="BB803" s="469">
        <f t="shared" si="1798"/>
        <v>0.31425566634720253</v>
      </c>
      <c r="BC803" s="469">
        <f t="shared" si="1798"/>
        <v>0.32612125494482519</v>
      </c>
      <c r="BD803" s="1463">
        <f t="shared" si="1798"/>
        <v>0.33982871805833742</v>
      </c>
      <c r="BE803" s="1868">
        <f t="shared" si="1798"/>
        <v>0.32755350873211408</v>
      </c>
      <c r="BF803" s="469">
        <f t="shared" si="1798"/>
        <v>0.32110448575167239</v>
      </c>
      <c r="BG803" s="469">
        <f t="shared" si="1798"/>
        <v>0.30543724960373864</v>
      </c>
      <c r="BH803" s="469">
        <f t="shared" si="1798"/>
        <v>0.33058547223241841</v>
      </c>
      <c r="BI803" s="1463">
        <f t="shared" si="1798"/>
        <v>0.33447042929040194</v>
      </c>
      <c r="BJ803" s="1868">
        <f t="shared" si="1798"/>
        <v>0.32245077792057603</v>
      </c>
      <c r="BK803" s="469">
        <f t="shared" ref="BK803:BU803" si="1799">BK802/BK793</f>
        <v>0.31579787189788422</v>
      </c>
      <c r="BL803" s="469">
        <f t="shared" si="1799"/>
        <v>0.31919517901490069</v>
      </c>
      <c r="BM803" s="469">
        <f t="shared" si="1799"/>
        <v>0.3173168053684905</v>
      </c>
      <c r="BN803" s="1463">
        <f t="shared" si="1799"/>
        <v>0.33093142887069493</v>
      </c>
      <c r="BO803" s="1868">
        <f t="shared" si="1799"/>
        <v>0.32068697343737707</v>
      </c>
      <c r="BP803" s="469">
        <f t="shared" si="1799"/>
        <v>0.30577885930729315</v>
      </c>
      <c r="BQ803" s="469">
        <f t="shared" si="1799"/>
        <v>0.3248591308627175</v>
      </c>
      <c r="BR803" s="469">
        <f t="shared" si="1799"/>
        <v>0.31997141531226408</v>
      </c>
      <c r="BS803" s="1463">
        <f t="shared" si="1799"/>
        <v>0.33520133572079358</v>
      </c>
      <c r="BT803" s="1463">
        <f t="shared" si="1799"/>
        <v>0.32103825131978864</v>
      </c>
      <c r="BU803" s="469">
        <f t="shared" si="1799"/>
        <v>0.32472901508526797</v>
      </c>
      <c r="BV803" s="469">
        <f t="shared" ref="BV803:CF803" si="1800">BV802/BV793</f>
        <v>0.31633473992993161</v>
      </c>
      <c r="BW803" s="469">
        <f t="shared" si="1800"/>
        <v>0.30909192003547492</v>
      </c>
      <c r="BX803" s="469">
        <f t="shared" si="1800"/>
        <v>0.32365432568086644</v>
      </c>
      <c r="BY803" s="470">
        <f t="shared" si="1800"/>
        <v>0.31828012002867717</v>
      </c>
      <c r="BZ803" s="470">
        <f t="shared" si="1800"/>
        <v>0.31937970071442862</v>
      </c>
      <c r="CA803" s="470">
        <f t="shared" si="1800"/>
        <v>0.31937970071442862</v>
      </c>
      <c r="CB803" s="470">
        <f t="shared" si="1800"/>
        <v>0.31359243394731584</v>
      </c>
      <c r="CC803" s="470">
        <f t="shared" si="1800"/>
        <v>0.30750057419246035</v>
      </c>
      <c r="CD803" s="470">
        <f t="shared" si="1800"/>
        <v>0.3098895388022076</v>
      </c>
      <c r="CE803" s="470">
        <f t="shared" si="1800"/>
        <v>0.31223166096862648</v>
      </c>
      <c r="CF803" s="470">
        <f t="shared" si="1800"/>
        <v>0.31452785917099796</v>
      </c>
      <c r="CG803" s="492"/>
      <c r="CH803" s="492"/>
      <c r="CI803" s="492"/>
      <c r="CJ803" s="492"/>
      <c r="CK803" s="492"/>
      <c r="CL803" s="1310" t="str">
        <f t="shared" si="1774"/>
        <v>% of Gaming revenue</v>
      </c>
      <c r="CM803" s="469">
        <f t="shared" si="1775"/>
        <v>0.44642580813801513</v>
      </c>
      <c r="CN803" s="469">
        <f t="shared" si="1776"/>
        <v>0.41424296061231369</v>
      </c>
      <c r="CO803" s="469">
        <f t="shared" si="1777"/>
        <v>0.42113028263086394</v>
      </c>
      <c r="CP803" s="469">
        <f t="shared" si="1778"/>
        <v>0.39405548727468848</v>
      </c>
      <c r="CQ803" s="469">
        <f t="shared" si="1779"/>
        <v>0.38637238285368208</v>
      </c>
      <c r="CR803" s="469">
        <f t="shared" si="1780"/>
        <v>0.38380622837370243</v>
      </c>
      <c r="CS803" s="469">
        <f t="shared" si="1781"/>
        <v>0.37001061720074907</v>
      </c>
      <c r="CT803" s="469">
        <f t="shared" si="1782"/>
        <v>0.36535721823980255</v>
      </c>
      <c r="CU803" s="469">
        <f t="shared" si="1783"/>
        <v>0.34657066241484275</v>
      </c>
      <c r="CV803" s="469">
        <f t="shared" si="1784"/>
        <v>0.33900662649678942</v>
      </c>
      <c r="CW803" s="469">
        <f t="shared" si="1785"/>
        <v>0.32755350873211408</v>
      </c>
      <c r="CX803" s="469">
        <f t="shared" si="1786"/>
        <v>0.32245077792057603</v>
      </c>
      <c r="CY803" s="469">
        <f t="shared" si="1787"/>
        <v>0.32068697343737707</v>
      </c>
      <c r="CZ803" s="469">
        <f t="shared" si="1788"/>
        <v>0.32103825131978864</v>
      </c>
      <c r="DA803" s="469">
        <f t="shared" si="1789"/>
        <v>0.31828012002867717</v>
      </c>
      <c r="DB803" s="469">
        <f t="shared" si="1789"/>
        <v>0.31937970071442862</v>
      </c>
      <c r="DC803" s="1463">
        <f t="shared" si="1789"/>
        <v>0.31937970071442862</v>
      </c>
      <c r="DD803" s="492"/>
      <c r="DE803" s="492"/>
      <c r="DF803" s="962"/>
      <c r="DG803" s="962"/>
      <c r="DH803" s="469"/>
      <c r="DI803" s="3213"/>
      <c r="DJ803" s="962"/>
      <c r="DK803" s="962"/>
      <c r="DL803" s="962"/>
      <c r="DM803" s="962"/>
      <c r="DN803" s="962"/>
      <c r="DO803" s="962"/>
      <c r="DP803" s="962"/>
      <c r="DQ803" s="962"/>
      <c r="DR803" s="963"/>
      <c r="DS803" s="963"/>
      <c r="DT803" s="963"/>
    </row>
    <row r="804" spans="1:124" ht="12" customHeight="1" x14ac:dyDescent="0.25">
      <c r="A804" s="311" t="s">
        <v>2162</v>
      </c>
      <c r="B804" s="281"/>
      <c r="C804" s="452">
        <f>C796-C806</f>
        <v>41.631</v>
      </c>
      <c r="D804" s="452">
        <f>D796-D806</f>
        <v>40.442</v>
      </c>
      <c r="E804" s="452">
        <f>E796-E806</f>
        <v>40.813000000000002</v>
      </c>
      <c r="F804" s="452">
        <f>F796-F806</f>
        <v>40.69</v>
      </c>
      <c r="G804" s="475">
        <f>SUM(C804:F804)</f>
        <v>163.57600000000002</v>
      </c>
      <c r="H804" s="452">
        <f>H796-H806</f>
        <v>37.222999999999999</v>
      </c>
      <c r="I804" s="452">
        <f>I796-I806</f>
        <v>38.809999999999995</v>
      </c>
      <c r="J804" s="452">
        <f>J796-J806</f>
        <v>38.56</v>
      </c>
      <c r="K804" s="452">
        <f>K796-K806</f>
        <v>42.194000000000003</v>
      </c>
      <c r="L804" s="475">
        <f>SUM(H804:K804)</f>
        <v>156.78699999999998</v>
      </c>
      <c r="M804" s="452">
        <f>M796-M806</f>
        <v>40.350999999999999</v>
      </c>
      <c r="N804" s="452">
        <f>N796-N806</f>
        <v>40.582999999999998</v>
      </c>
      <c r="O804" s="452">
        <f>O796-O806</f>
        <v>42.817</v>
      </c>
      <c r="P804" s="452">
        <f>P796-P806</f>
        <v>42.667999999999999</v>
      </c>
      <c r="Q804" s="475">
        <f>SUM(M804:P804)</f>
        <v>166.41900000000001</v>
      </c>
      <c r="R804" s="452">
        <f>R796-R806</f>
        <v>43.829000000000001</v>
      </c>
      <c r="S804" s="452">
        <f>S796-S806</f>
        <v>43.459000000000003</v>
      </c>
      <c r="T804" s="452">
        <f>T796-T806</f>
        <v>42.451000000000008</v>
      </c>
      <c r="U804" s="452">
        <f>U796-U806</f>
        <v>39.733000000000004</v>
      </c>
      <c r="V804" s="475">
        <f>SUM(R804:U804)</f>
        <v>169.47200000000004</v>
      </c>
      <c r="W804" s="452">
        <f>W796-W806</f>
        <v>37.567999999999998</v>
      </c>
      <c r="X804" s="452">
        <f>X796-X806</f>
        <v>36.185000000000002</v>
      </c>
      <c r="Y804" s="452">
        <f>Y796-Y806</f>
        <v>31.691999999999997</v>
      </c>
      <c r="Z804" s="452">
        <f>Z796-Z806</f>
        <v>28.732000000000003</v>
      </c>
      <c r="AA804" s="475">
        <f>SUM(W804:Z804)</f>
        <v>134.17699999999999</v>
      </c>
      <c r="AB804" s="452">
        <f>AB796-AB806</f>
        <v>33.473999999999997</v>
      </c>
      <c r="AC804" s="452">
        <f>AC796-AC806</f>
        <v>35.47</v>
      </c>
      <c r="AD804" s="452">
        <f>AD796-AD806</f>
        <v>30.462000000000003</v>
      </c>
      <c r="AE804" s="452">
        <f>AE796-AE806</f>
        <v>28.475000000000001</v>
      </c>
      <c r="AF804" s="477">
        <f>SUM(AB804:AE804)</f>
        <v>127.881</v>
      </c>
      <c r="AG804" s="452">
        <f>AG796-AG806</f>
        <v>31.167999999999999</v>
      </c>
      <c r="AH804" s="452">
        <f>AH796-AH806</f>
        <v>29.311000000000003</v>
      </c>
      <c r="AI804" s="452">
        <f>AI796-AI806</f>
        <v>28.473999999999997</v>
      </c>
      <c r="AJ804" s="452">
        <f>AJ796-AJ806</f>
        <v>27.491</v>
      </c>
      <c r="AK804" s="477">
        <f>SUM(AG804:AJ804)</f>
        <v>116.444</v>
      </c>
      <c r="AL804" s="452">
        <f>AL796-AL806</f>
        <v>27.576999999999998</v>
      </c>
      <c r="AM804" s="452">
        <f>AM796-AM806</f>
        <v>28.581</v>
      </c>
      <c r="AN804" s="476">
        <f>AN799+AN802</f>
        <v>27.613971999999997</v>
      </c>
      <c r="AO804" s="476">
        <f>AO799+AO802</f>
        <v>26.518889000000001</v>
      </c>
      <c r="AP804" s="478">
        <f>SUM(AL804:AO804)</f>
        <v>110.29086100000001</v>
      </c>
      <c r="AQ804" s="478">
        <f>AQ799+AQ802</f>
        <v>24.083961105</v>
      </c>
      <c r="AR804" s="476">
        <f>AR799+AR802</f>
        <v>23.909944125000003</v>
      </c>
      <c r="AS804" s="476">
        <f>AS799+AS802</f>
        <v>23.142446124999999</v>
      </c>
      <c r="AT804" s="476">
        <f>AT799+AT802</f>
        <v>22.844730450000007</v>
      </c>
      <c r="AU804" s="1464">
        <f>SUM(AQ804:AT804)</f>
        <v>93.981081805000002</v>
      </c>
      <c r="AV804" s="1865">
        <f>AV799+AV802</f>
        <v>22.795852149149997</v>
      </c>
      <c r="AW804" s="1771">
        <f>AW799+AW802</f>
        <v>21.98815543125</v>
      </c>
      <c r="AX804" s="1771">
        <f>AX799+AX802</f>
        <v>21.39808864375</v>
      </c>
      <c r="AY804" s="1866">
        <f>AY799+AY802</f>
        <v>20.110573008750002</v>
      </c>
      <c r="AZ804" s="1464">
        <f>SUM(AV804:AY804)</f>
        <v>86.29266923290001</v>
      </c>
      <c r="BA804" s="478">
        <f>BA799+BA802</f>
        <v>19.969767153359999</v>
      </c>
      <c r="BB804" s="476">
        <f>BB799+BB802</f>
        <v>20.031921728699999</v>
      </c>
      <c r="BC804" s="476">
        <f>BC799+BC802</f>
        <v>19.426698479549998</v>
      </c>
      <c r="BD804" s="682">
        <f>BD799+BD802</f>
        <v>18.491581479600001</v>
      </c>
      <c r="BE804" s="1866">
        <f>SUM(BA804:BD804)</f>
        <v>77.919968841209993</v>
      </c>
      <c r="BF804" s="476">
        <f>BF799+BF802</f>
        <v>19.098319318871695</v>
      </c>
      <c r="BG804" s="476">
        <f>BG799+BG802</f>
        <v>19.296054872050497</v>
      </c>
      <c r="BH804" s="476">
        <f>BH799+BH802</f>
        <v>18.569040131784</v>
      </c>
      <c r="BI804" s="682">
        <f>BI799+BI802</f>
        <v>17.787370851241505</v>
      </c>
      <c r="BJ804" s="1866">
        <f>SUM(BF804:BI804)</f>
        <v>74.750785173947691</v>
      </c>
      <c r="BK804" s="476">
        <f>BK799+BK802</f>
        <v>19.143303750199131</v>
      </c>
      <c r="BL804" s="476">
        <f>BL799+BL802</f>
        <v>19.002524323729997</v>
      </c>
      <c r="BM804" s="476">
        <f>BM799+BM802</f>
        <v>18.690768102453596</v>
      </c>
      <c r="BN804" s="682">
        <f>BN799+BN802</f>
        <v>17.811817467216336</v>
      </c>
      <c r="BO804" s="1866">
        <f>SUM(BK804:BN804)</f>
        <v>74.648413643599056</v>
      </c>
      <c r="BP804" s="476">
        <f>BP799+BP802</f>
        <v>19.007702645180657</v>
      </c>
      <c r="BQ804" s="476">
        <f>BQ799+BQ802</f>
        <v>18.856487170380394</v>
      </c>
      <c r="BR804" s="476">
        <f>BR799+BR802</f>
        <v>18.874544704215634</v>
      </c>
      <c r="BS804" s="682">
        <f>BS799+BS802</f>
        <v>17.931947891025999</v>
      </c>
      <c r="BT804" s="2911">
        <f>SUM(BP804:BS804)</f>
        <v>74.670682410802684</v>
      </c>
      <c r="BU804" s="2577">
        <f>BU799+BU802</f>
        <v>18.079627205296624</v>
      </c>
      <c r="BV804" s="2577">
        <f>BV799+BV802</f>
        <v>18.648335254788545</v>
      </c>
      <c r="BW804" s="2577">
        <f>BW799+BW802</f>
        <v>18.637411170128132</v>
      </c>
      <c r="BX804" s="2577">
        <f>BX799+BX802</f>
        <v>17.735132936437378</v>
      </c>
      <c r="BY804" s="2604">
        <f>SUM(BU804:BX804)</f>
        <v>73.100506566650679</v>
      </c>
      <c r="BZ804" s="477">
        <f t="shared" ref="BZ804:CF804" si="1801">BZ799+BZ802</f>
        <v>73.07562241454967</v>
      </c>
      <c r="CA804" s="477">
        <f t="shared" si="1801"/>
        <v>73.07562241454967</v>
      </c>
      <c r="CB804" s="477">
        <f t="shared" si="1801"/>
        <v>69.464656997422992</v>
      </c>
      <c r="CC804" s="477">
        <f t="shared" si="1801"/>
        <v>66.013267880044609</v>
      </c>
      <c r="CD804" s="477">
        <f t="shared" si="1801"/>
        <v>67.267157777386501</v>
      </c>
      <c r="CE804" s="477">
        <f t="shared" si="1801"/>
        <v>68.54283671807265</v>
      </c>
      <c r="CF804" s="477">
        <f t="shared" si="1801"/>
        <v>69.840707595423908</v>
      </c>
      <c r="CG804" s="331"/>
      <c r="CH804" s="331"/>
      <c r="CI804" s="331"/>
      <c r="CJ804" s="331"/>
      <c r="CK804" s="331"/>
      <c r="CL804" s="528" t="str">
        <f t="shared" si="1774"/>
        <v>Total expenses</v>
      </c>
      <c r="CM804" s="476">
        <f t="shared" si="1775"/>
        <v>163.57600000000002</v>
      </c>
      <c r="CN804" s="476">
        <f t="shared" si="1776"/>
        <v>156.78699999999998</v>
      </c>
      <c r="CO804" s="476">
        <f t="shared" si="1777"/>
        <v>166.41900000000001</v>
      </c>
      <c r="CP804" s="476">
        <f t="shared" si="1778"/>
        <v>169.47200000000004</v>
      </c>
      <c r="CQ804" s="476">
        <f t="shared" si="1779"/>
        <v>134.17699999999999</v>
      </c>
      <c r="CR804" s="476">
        <f t="shared" si="1780"/>
        <v>127.881</v>
      </c>
      <c r="CS804" s="476">
        <f t="shared" si="1781"/>
        <v>116.444</v>
      </c>
      <c r="CT804" s="476">
        <f t="shared" si="1782"/>
        <v>110.29086100000001</v>
      </c>
      <c r="CU804" s="476">
        <f t="shared" si="1783"/>
        <v>93.981081805000002</v>
      </c>
      <c r="CV804" s="476">
        <f t="shared" si="1784"/>
        <v>86.29266923290001</v>
      </c>
      <c r="CW804" s="476">
        <f t="shared" si="1785"/>
        <v>77.919968841209993</v>
      </c>
      <c r="CX804" s="476">
        <f t="shared" si="1786"/>
        <v>74.750785173947691</v>
      </c>
      <c r="CY804" s="476">
        <f t="shared" si="1787"/>
        <v>74.648413643599056</v>
      </c>
      <c r="CZ804" s="476">
        <f t="shared" si="1788"/>
        <v>74.670682410802684</v>
      </c>
      <c r="DA804" s="476">
        <f t="shared" si="1789"/>
        <v>73.100506566650679</v>
      </c>
      <c r="DB804" s="476">
        <f t="shared" si="1789"/>
        <v>73.07562241454967</v>
      </c>
      <c r="DC804" s="682">
        <f t="shared" si="1789"/>
        <v>73.07562241454967</v>
      </c>
      <c r="DD804" s="331"/>
      <c r="DE804" s="331"/>
      <c r="DF804" s="502"/>
      <c r="DG804" s="503"/>
      <c r="DH804" s="2577"/>
      <c r="DI804" s="3213"/>
      <c r="DJ804" s="502"/>
      <c r="DK804" s="503"/>
      <c r="DL804" s="502"/>
      <c r="DM804" s="502"/>
      <c r="DN804" s="502"/>
      <c r="DO804" s="502"/>
      <c r="DP804" s="503"/>
      <c r="DQ804" s="503"/>
      <c r="DR804" s="296"/>
      <c r="DS804" s="296"/>
      <c r="DT804" s="296"/>
    </row>
    <row r="805" spans="1:124" ht="5.0999999999999996" customHeight="1" x14ac:dyDescent="0.25">
      <c r="A805" s="281"/>
      <c r="B805" s="281"/>
      <c r="C805" s="305"/>
      <c r="D805" s="305"/>
      <c r="E805" s="305"/>
      <c r="F805" s="305"/>
      <c r="G805" s="440"/>
      <c r="H805" s="305"/>
      <c r="I805" s="305"/>
      <c r="J805" s="305"/>
      <c r="K805" s="305"/>
      <c r="L805" s="440"/>
      <c r="M805" s="305"/>
      <c r="N805" s="305"/>
      <c r="O805" s="305"/>
      <c r="P805" s="305"/>
      <c r="Q805" s="440"/>
      <c r="R805" s="305"/>
      <c r="S805" s="305"/>
      <c r="T805" s="305"/>
      <c r="U805" s="305"/>
      <c r="V805" s="440"/>
      <c r="W805" s="305"/>
      <c r="X805" s="305"/>
      <c r="Y805" s="305"/>
      <c r="Z805" s="305"/>
      <c r="AA805" s="440"/>
      <c r="AB805" s="305"/>
      <c r="AC805" s="305"/>
      <c r="AD805" s="305"/>
      <c r="AE805" s="331"/>
      <c r="AF805" s="441"/>
      <c r="AG805" s="305"/>
      <c r="AH805" s="305"/>
      <c r="AI805" s="305"/>
      <c r="AJ805" s="331"/>
      <c r="AK805" s="441"/>
      <c r="AL805" s="305"/>
      <c r="AM805" s="305"/>
      <c r="AN805" s="305"/>
      <c r="AO805" s="331"/>
      <c r="AP805" s="569"/>
      <c r="AQ805" s="569"/>
      <c r="AR805" s="442"/>
      <c r="AS805" s="442"/>
      <c r="AT805" s="442"/>
      <c r="AU805" s="1690"/>
      <c r="AV805" s="1902"/>
      <c r="AW805" s="1837"/>
      <c r="AX805" s="1837"/>
      <c r="AY805" s="1903"/>
      <c r="AZ805" s="1690"/>
      <c r="BA805" s="569"/>
      <c r="BB805" s="442"/>
      <c r="BC805" s="442"/>
      <c r="BD805" s="1312"/>
      <c r="BE805" s="1903"/>
      <c r="BF805" s="442"/>
      <c r="BG805" s="442"/>
      <c r="BH805" s="442"/>
      <c r="BI805" s="1312"/>
      <c r="BJ805" s="1903"/>
      <c r="BK805" s="442"/>
      <c r="BL805" s="442"/>
      <c r="BM805" s="442"/>
      <c r="BN805" s="1312"/>
      <c r="BO805" s="1903"/>
      <c r="BP805" s="442"/>
      <c r="BQ805" s="442"/>
      <c r="BR805" s="442"/>
      <c r="BS805" s="1312"/>
      <c r="BT805" s="3016"/>
      <c r="BU805" s="3298"/>
      <c r="BV805" s="3298"/>
      <c r="BW805" s="3298"/>
      <c r="BX805" s="3298"/>
      <c r="BY805" s="3236"/>
      <c r="BZ805" s="441"/>
      <c r="CA805" s="441"/>
      <c r="CB805" s="441"/>
      <c r="CC805" s="441"/>
      <c r="CD805" s="441"/>
      <c r="CE805" s="441"/>
      <c r="CF805" s="441"/>
      <c r="CG805" s="331"/>
      <c r="CH805" s="331"/>
      <c r="CI805" s="331"/>
      <c r="CJ805" s="331"/>
      <c r="CK805" s="331"/>
      <c r="CL805" s="520"/>
      <c r="CM805" s="442"/>
      <c r="CN805" s="442"/>
      <c r="CO805" s="442"/>
      <c r="CP805" s="442"/>
      <c r="CQ805" s="442"/>
      <c r="CR805" s="442"/>
      <c r="CS805" s="442"/>
      <c r="CT805" s="442"/>
      <c r="CU805" s="442"/>
      <c r="CV805" s="442"/>
      <c r="CW805" s="442"/>
      <c r="CX805" s="442"/>
      <c r="CY805" s="442"/>
      <c r="CZ805" s="442"/>
      <c r="DA805" s="442"/>
      <c r="DB805" s="442"/>
      <c r="DC805" s="1312"/>
      <c r="DD805" s="331"/>
      <c r="DE805" s="331"/>
      <c r="DF805" s="502"/>
      <c r="DG805" s="503"/>
      <c r="DH805" s="3298"/>
      <c r="DI805" s="3213"/>
      <c r="DJ805" s="502"/>
      <c r="DK805" s="503"/>
      <c r="DL805" s="502"/>
      <c r="DM805" s="502"/>
      <c r="DN805" s="502"/>
      <c r="DO805" s="502"/>
      <c r="DP805" s="503"/>
      <c r="DQ805" s="503"/>
      <c r="DR805" s="296"/>
      <c r="DS805" s="296"/>
      <c r="DT805" s="296"/>
    </row>
    <row r="806" spans="1:124" ht="12" customHeight="1" x14ac:dyDescent="0.25">
      <c r="A806" s="999" t="s">
        <v>2010</v>
      </c>
      <c r="B806" s="1007"/>
      <c r="C806" s="1008">
        <v>17.238</v>
      </c>
      <c r="D806" s="1008">
        <v>17.033000000000001</v>
      </c>
      <c r="E806" s="1008">
        <v>17.696000000000002</v>
      </c>
      <c r="F806" s="1008">
        <v>17.041</v>
      </c>
      <c r="G806" s="1009">
        <f>SUM(C806:F806)</f>
        <v>69.007999999999996</v>
      </c>
      <c r="H806" s="1008">
        <v>16.238</v>
      </c>
      <c r="I806" s="1008">
        <v>18.972000000000001</v>
      </c>
      <c r="J806" s="1008">
        <v>20.059000000000001</v>
      </c>
      <c r="K806" s="1008">
        <v>19.837</v>
      </c>
      <c r="L806" s="1009">
        <f>SUM(H806:K806)</f>
        <v>75.106000000000009</v>
      </c>
      <c r="M806" s="1008">
        <v>21.399000000000001</v>
      </c>
      <c r="N806" s="1008">
        <v>20.12</v>
      </c>
      <c r="O806" s="1008">
        <v>18.963999999999999</v>
      </c>
      <c r="P806" s="1008">
        <v>18.573</v>
      </c>
      <c r="Q806" s="1009">
        <f>SUM(M806:P806)</f>
        <v>79.056000000000012</v>
      </c>
      <c r="R806" s="1008">
        <v>20.670999999999999</v>
      </c>
      <c r="S806" s="1008">
        <v>20.593</v>
      </c>
      <c r="T806" s="1008">
        <v>21.303999999999998</v>
      </c>
      <c r="U806" s="1008">
        <v>19.837</v>
      </c>
      <c r="V806" s="1009">
        <f>SUM(R806:U806)</f>
        <v>82.405000000000001</v>
      </c>
      <c r="W806" s="1008">
        <v>16.058</v>
      </c>
      <c r="X806" s="1008">
        <v>14.311999999999999</v>
      </c>
      <c r="Y806" s="1008">
        <v>17.565000000000001</v>
      </c>
      <c r="Z806" s="1008">
        <v>16.581</v>
      </c>
      <c r="AA806" s="1009">
        <f>SUM(W806:Z806)</f>
        <v>64.516000000000005</v>
      </c>
      <c r="AB806" s="1008">
        <v>15.28</v>
      </c>
      <c r="AC806" s="1008">
        <v>16.876000000000001</v>
      </c>
      <c r="AD806" s="1008">
        <v>12.917999999999999</v>
      </c>
      <c r="AE806" s="1010">
        <v>11.821</v>
      </c>
      <c r="AF806" s="1011">
        <f>SUM(AB806:AE806)</f>
        <v>56.894999999999996</v>
      </c>
      <c r="AG806" s="1010">
        <v>12.821</v>
      </c>
      <c r="AH806" s="1010">
        <f>5.978+6.6</f>
        <v>12.577999999999999</v>
      </c>
      <c r="AI806" s="1010">
        <v>13.411</v>
      </c>
      <c r="AJ806" s="1010">
        <v>13.003</v>
      </c>
      <c r="AK806" s="1011">
        <f>SUM(AG806:AJ806)</f>
        <v>51.813000000000002</v>
      </c>
      <c r="AL806" s="1010">
        <v>14.71</v>
      </c>
      <c r="AM806" s="1010">
        <v>14.779</v>
      </c>
      <c r="AN806" s="1593">
        <f>AN796-AN804</f>
        <v>13.855028000000004</v>
      </c>
      <c r="AO806" s="1012">
        <f>AO796-AO804</f>
        <v>10.671110999999996</v>
      </c>
      <c r="AP806" s="1013">
        <f>SUM(AL806:AO806)</f>
        <v>54.015139000000005</v>
      </c>
      <c r="AQ806" s="1013">
        <f>AQ796-AQ804</f>
        <v>12.105038895</v>
      </c>
      <c r="AR806" s="1012">
        <f>AR796-AR804</f>
        <v>13.039055874999995</v>
      </c>
      <c r="AS806" s="1012">
        <f>AS796-AS804</f>
        <v>12.983553874999998</v>
      </c>
      <c r="AT806" s="1012">
        <f>AT796-AT804</f>
        <v>11.669269549999989</v>
      </c>
      <c r="AU806" s="1691">
        <f>SUM(AQ806:AT806)</f>
        <v>49.796918194999982</v>
      </c>
      <c r="AV806" s="1904">
        <f>AV796-AV804</f>
        <v>12.413419850850001</v>
      </c>
      <c r="AW806" s="1838">
        <f>AW796-AW804</f>
        <v>14.245317568750004</v>
      </c>
      <c r="AX806" s="1838">
        <f>AX796-AX804</f>
        <v>12.457005356249994</v>
      </c>
      <c r="AY806" s="1905">
        <f>AY796-AY804</f>
        <v>10.343410991249996</v>
      </c>
      <c r="AZ806" s="1691">
        <f>SUM(AV806:AY806)</f>
        <v>49.459153767099991</v>
      </c>
      <c r="BA806" s="1013">
        <f>BA796-BA804</f>
        <v>9.2644798466399969</v>
      </c>
      <c r="BB806" s="1012">
        <f>BB796-BB804</f>
        <v>11.313502271300003</v>
      </c>
      <c r="BC806" s="1012">
        <f>BC796-BC804</f>
        <v>10.540053520450002</v>
      </c>
      <c r="BD806" s="1877">
        <f>BD796-BD804</f>
        <v>9.9283285204000009</v>
      </c>
      <c r="BE806" s="1905">
        <f>SUM(BA806:BD806)</f>
        <v>41.046364158789999</v>
      </c>
      <c r="BF806" s="1012">
        <f>BF796-BF804</f>
        <v>9.3090036811283028</v>
      </c>
      <c r="BG806" s="1012">
        <f>BG796-BG804</f>
        <v>10.915638127949499</v>
      </c>
      <c r="BH806" s="1012">
        <f>BH796-BH804</f>
        <v>8.9162608682159998</v>
      </c>
      <c r="BI806" s="1877">
        <f>BI796-BI804</f>
        <v>9.7582121487584921</v>
      </c>
      <c r="BJ806" s="1905">
        <f>SUM(BF806:BI806)</f>
        <v>38.899114826052298</v>
      </c>
      <c r="BK806" s="1012">
        <f>BK796-BK804</f>
        <v>9.8262632498008671</v>
      </c>
      <c r="BL806" s="1012">
        <f>BL796-BL804</f>
        <v>9.6974756762700025</v>
      </c>
      <c r="BM806" s="1012">
        <f>BM796-BM804</f>
        <v>9.7160658975464074</v>
      </c>
      <c r="BN806" s="1877">
        <f>BN796-BN804</f>
        <v>9.130388532783666</v>
      </c>
      <c r="BO806" s="1905">
        <f>SUM(BK806:BN806)</f>
        <v>38.370193356400947</v>
      </c>
      <c r="BP806" s="1012">
        <f>BP796-BP804</f>
        <v>10.950869354819343</v>
      </c>
      <c r="BQ806" s="1012">
        <f>BQ796-BQ804</f>
        <v>8.9438568296196088</v>
      </c>
      <c r="BR806" s="1012">
        <f>BR796-BR804</f>
        <v>9.571782295784363</v>
      </c>
      <c r="BS806" s="1877">
        <f>BS796-BS804</f>
        <v>8.754324108974</v>
      </c>
      <c r="BT806" s="1877">
        <f>SUM(BP806:BS806)</f>
        <v>38.220832589197315</v>
      </c>
      <c r="BU806" s="1012">
        <f>BU796-BU804</f>
        <v>8.5779677947033761</v>
      </c>
      <c r="BV806" s="1012">
        <f>BV796-BV804</f>
        <v>9.1520087452114574</v>
      </c>
      <c r="BW806" s="1012">
        <f>BW796-BW804</f>
        <v>10.113379099871864</v>
      </c>
      <c r="BX806" s="1012">
        <f>BX796-BX804</f>
        <v>9.2380017835626234</v>
      </c>
      <c r="BY806" s="1011">
        <f>SUM(BU806:BX806)</f>
        <v>37.081357423349317</v>
      </c>
      <c r="BZ806" s="1011">
        <f t="shared" ref="BZ806:CF806" si="1802">BZ796-BZ804</f>
        <v>38.288060215350328</v>
      </c>
      <c r="CA806" s="1011">
        <f t="shared" si="1802"/>
        <v>38.288060215350328</v>
      </c>
      <c r="CB806" s="1011">
        <f t="shared" si="1802"/>
        <v>35.930841500981998</v>
      </c>
      <c r="CC806" s="1011">
        <f t="shared" si="1802"/>
        <v>33.71245569344012</v>
      </c>
      <c r="CD806" s="1011">
        <f t="shared" si="1802"/>
        <v>34.613080267567923</v>
      </c>
      <c r="CE806" s="1011">
        <f t="shared" si="1802"/>
        <v>35.535006087780872</v>
      </c>
      <c r="CF806" s="1011">
        <f t="shared" si="1802"/>
        <v>36.478692066546685</v>
      </c>
      <c r="CG806" s="502"/>
      <c r="CH806" s="502"/>
      <c r="CI806" s="502"/>
      <c r="CJ806" s="502"/>
      <c r="CK806" s="502"/>
      <c r="CL806" s="2221" t="str">
        <f t="shared" ref="CL806:CL811" si="1803">A806</f>
        <v>Property EBITDA</v>
      </c>
      <c r="CM806" s="1012">
        <f t="shared" ref="CM806:CM811" si="1804">G806</f>
        <v>69.007999999999996</v>
      </c>
      <c r="CN806" s="1012">
        <f t="shared" ref="CN806:CN811" si="1805">L806</f>
        <v>75.106000000000009</v>
      </c>
      <c r="CO806" s="1012">
        <f t="shared" ref="CO806:CO811" si="1806">Q806</f>
        <v>79.056000000000012</v>
      </c>
      <c r="CP806" s="1012">
        <f t="shared" ref="CP806:CP811" si="1807">V806</f>
        <v>82.405000000000001</v>
      </c>
      <c r="CQ806" s="1012">
        <f t="shared" ref="CQ806:CQ811" si="1808">AA806</f>
        <v>64.516000000000005</v>
      </c>
      <c r="CR806" s="1012">
        <f t="shared" ref="CR806:CR811" si="1809">AF806</f>
        <v>56.894999999999996</v>
      </c>
      <c r="CS806" s="1012">
        <f t="shared" ref="CS806:CS811" si="1810">AK806</f>
        <v>51.813000000000002</v>
      </c>
      <c r="CT806" s="1012">
        <f t="shared" ref="CT806:CT811" si="1811">AP806</f>
        <v>54.015139000000005</v>
      </c>
      <c r="CU806" s="1012">
        <f t="shared" ref="CU806:CU811" si="1812">AU806</f>
        <v>49.796918194999982</v>
      </c>
      <c r="CV806" s="1012">
        <f t="shared" ref="CV806:CV811" si="1813">AZ806</f>
        <v>49.459153767099991</v>
      </c>
      <c r="CW806" s="1012">
        <f t="shared" ref="CW806:CW811" si="1814">BE806</f>
        <v>41.046364158789999</v>
      </c>
      <c r="CX806" s="1012">
        <f t="shared" ref="CX806:CX811" si="1815">BJ806</f>
        <v>38.899114826052298</v>
      </c>
      <c r="CY806" s="1012">
        <f t="shared" ref="CY806:CY811" si="1816">BO806</f>
        <v>38.370193356400947</v>
      </c>
      <c r="CZ806" s="1012">
        <f t="shared" ref="CZ806:CZ811" si="1817">BT806</f>
        <v>38.220832589197315</v>
      </c>
      <c r="DA806" s="1012">
        <f t="shared" ref="DA806:DC811" si="1818">BY806</f>
        <v>37.081357423349317</v>
      </c>
      <c r="DB806" s="1012">
        <f t="shared" si="1818"/>
        <v>38.288060215350328</v>
      </c>
      <c r="DC806" s="1877">
        <f t="shared" si="1818"/>
        <v>38.288060215350328</v>
      </c>
      <c r="DD806" s="502"/>
      <c r="DE806" s="502"/>
      <c r="DF806" s="502"/>
      <c r="DG806" s="503"/>
      <c r="DH806" s="598"/>
      <c r="DI806" s="3213"/>
      <c r="DJ806" s="502"/>
      <c r="DK806" s="503"/>
      <c r="DL806" s="502"/>
      <c r="DM806" s="502"/>
      <c r="DN806" s="502"/>
      <c r="DO806" s="502"/>
      <c r="DP806" s="503"/>
      <c r="DQ806" s="503"/>
      <c r="DR806" s="719"/>
      <c r="DS806" s="719"/>
      <c r="DT806" s="719"/>
    </row>
    <row r="807" spans="1:124" ht="12" customHeight="1" x14ac:dyDescent="0.25">
      <c r="A807" s="465" t="s">
        <v>1892</v>
      </c>
      <c r="B807" s="466"/>
      <c r="C807" s="467">
        <f t="shared" ref="C807:AF807" si="1819">C806/C796</f>
        <v>0.29281965041023289</v>
      </c>
      <c r="D807" s="467">
        <f t="shared" si="1819"/>
        <v>0.29635493692909964</v>
      </c>
      <c r="E807" s="467">
        <f t="shared" si="1819"/>
        <v>0.30244919585021113</v>
      </c>
      <c r="F807" s="467">
        <f t="shared" si="1819"/>
        <v>0.29517936637162012</v>
      </c>
      <c r="G807" s="468">
        <f t="shared" si="1819"/>
        <v>0.29670140680356344</v>
      </c>
      <c r="H807" s="467">
        <f t="shared" si="1819"/>
        <v>0.30373543330652253</v>
      </c>
      <c r="I807" s="467">
        <f t="shared" si="1819"/>
        <v>0.32833754456405112</v>
      </c>
      <c r="J807" s="467">
        <f t="shared" si="1819"/>
        <v>0.34219280438083216</v>
      </c>
      <c r="K807" s="467">
        <f t="shared" si="1819"/>
        <v>0.31979171704470344</v>
      </c>
      <c r="L807" s="468">
        <f t="shared" si="1819"/>
        <v>0.32388213529515769</v>
      </c>
      <c r="M807" s="467">
        <f t="shared" si="1819"/>
        <v>0.34654251012145748</v>
      </c>
      <c r="N807" s="467">
        <f t="shared" si="1819"/>
        <v>0.33144984597136878</v>
      </c>
      <c r="O807" s="467">
        <f t="shared" si="1819"/>
        <v>0.30695521276767934</v>
      </c>
      <c r="P807" s="467">
        <f t="shared" si="1819"/>
        <v>0.30327721624401954</v>
      </c>
      <c r="Q807" s="468">
        <f t="shared" si="1819"/>
        <v>0.32205316223648028</v>
      </c>
      <c r="R807" s="467">
        <f t="shared" si="1819"/>
        <v>0.32048062015503875</v>
      </c>
      <c r="S807" s="467">
        <f t="shared" si="1819"/>
        <v>0.32150440267282832</v>
      </c>
      <c r="T807" s="467">
        <f t="shared" si="1819"/>
        <v>0.33415418398556973</v>
      </c>
      <c r="U807" s="467">
        <f t="shared" si="1819"/>
        <v>0.33300318952492863</v>
      </c>
      <c r="V807" s="468">
        <f t="shared" si="1819"/>
        <v>0.3271636552761864</v>
      </c>
      <c r="W807" s="467">
        <f t="shared" si="1819"/>
        <v>0.29944429940700407</v>
      </c>
      <c r="X807" s="467">
        <f t="shared" si="1819"/>
        <v>0.28342277759074797</v>
      </c>
      <c r="Y807" s="467">
        <f t="shared" si="1819"/>
        <v>0.35659906206224501</v>
      </c>
      <c r="Z807" s="467">
        <f t="shared" si="1819"/>
        <v>0.36592147948712289</v>
      </c>
      <c r="AA807" s="468">
        <f t="shared" si="1819"/>
        <v>0.32470192709355644</v>
      </c>
      <c r="AB807" s="467">
        <f t="shared" si="1819"/>
        <v>0.31341018172867868</v>
      </c>
      <c r="AC807" s="467">
        <f t="shared" si="1819"/>
        <v>0.32239330607878353</v>
      </c>
      <c r="AD807" s="467">
        <f t="shared" si="1819"/>
        <v>0.29778699861687408</v>
      </c>
      <c r="AE807" s="469">
        <f t="shared" si="1819"/>
        <v>0.29335417907484612</v>
      </c>
      <c r="AF807" s="470">
        <f t="shared" si="1819"/>
        <v>0.30791336537212627</v>
      </c>
      <c r="AG807" s="467">
        <f t="shared" ref="AG807:AU807" si="1820">AG806/AG796</f>
        <v>0.29145922844347449</v>
      </c>
      <c r="AH807" s="467">
        <f>AH806/AH796</f>
        <v>0.30026976055766424</v>
      </c>
      <c r="AI807" s="467">
        <f t="shared" si="1820"/>
        <v>0.32018622418526921</v>
      </c>
      <c r="AJ807" s="469">
        <f t="shared" si="1820"/>
        <v>0.32110930014323108</v>
      </c>
      <c r="AK807" s="470">
        <f t="shared" si="1820"/>
        <v>0.30793963995554419</v>
      </c>
      <c r="AL807" s="467">
        <f t="shared" si="1820"/>
        <v>0.34786104476553081</v>
      </c>
      <c r="AM807" s="467">
        <f t="shared" si="1820"/>
        <v>0.34084409594095944</v>
      </c>
      <c r="AN807" s="467">
        <f t="shared" si="1820"/>
        <v>0.33410566929513624</v>
      </c>
      <c r="AO807" s="469">
        <f t="shared" si="1820"/>
        <v>0.28693495563323468</v>
      </c>
      <c r="AP807" s="471">
        <f t="shared" si="1820"/>
        <v>0.32874720947500402</v>
      </c>
      <c r="AQ807" s="471">
        <f t="shared" si="1820"/>
        <v>0.33449498176241399</v>
      </c>
      <c r="AR807" s="469">
        <f t="shared" si="1820"/>
        <v>0.35289333608487367</v>
      </c>
      <c r="AS807" s="469">
        <f t="shared" si="1820"/>
        <v>0.35939638695122622</v>
      </c>
      <c r="AT807" s="469">
        <f t="shared" si="1820"/>
        <v>0.33810249608854348</v>
      </c>
      <c r="AU807" s="1689">
        <f t="shared" si="1820"/>
        <v>0.34634588181084713</v>
      </c>
      <c r="AV807" s="1730">
        <f t="shared" ref="AV807:BJ807" si="1821">AV806/AV796</f>
        <v>0.35256110523529149</v>
      </c>
      <c r="AW807" s="1465">
        <f t="shared" si="1821"/>
        <v>0.39315352322836961</v>
      </c>
      <c r="AX807" s="1465">
        <f t="shared" si="1821"/>
        <v>0.36795069469457081</v>
      </c>
      <c r="AY807" s="1868">
        <f t="shared" si="1821"/>
        <v>0.33964065231169743</v>
      </c>
      <c r="AZ807" s="1689">
        <f t="shared" si="1821"/>
        <v>0.36433509822626831</v>
      </c>
      <c r="BA807" s="471">
        <f t="shared" si="1821"/>
        <v>0.31690502740296334</v>
      </c>
      <c r="BB807" s="469">
        <f t="shared" si="1821"/>
        <v>0.36092994854049515</v>
      </c>
      <c r="BC807" s="469">
        <f t="shared" si="1821"/>
        <v>0.35172492235561603</v>
      </c>
      <c r="BD807" s="1463">
        <f t="shared" si="1821"/>
        <v>0.34934412249722113</v>
      </c>
      <c r="BE807" s="1868">
        <f t="shared" si="1821"/>
        <v>0.34502504299926601</v>
      </c>
      <c r="BF807" s="469">
        <f t="shared" si="1821"/>
        <v>0.32769732231116261</v>
      </c>
      <c r="BG807" s="469">
        <f t="shared" si="1821"/>
        <v>0.36130507906159048</v>
      </c>
      <c r="BH807" s="469">
        <f t="shared" si="1821"/>
        <v>0.32440106325253631</v>
      </c>
      <c r="BI807" s="1463">
        <f t="shared" si="1821"/>
        <v>0.35425687482303397</v>
      </c>
      <c r="BJ807" s="1868">
        <f t="shared" si="1821"/>
        <v>0.34227143909543523</v>
      </c>
      <c r="BK807" s="469">
        <f t="shared" ref="BK807:BU807" si="1822">BK806/BK796</f>
        <v>0.33919261719724247</v>
      </c>
      <c r="BL807" s="469">
        <f t="shared" si="1822"/>
        <v>0.33789113854599312</v>
      </c>
      <c r="BM807" s="469">
        <f t="shared" si="1822"/>
        <v>0.34203269176517193</v>
      </c>
      <c r="BN807" s="1463">
        <f t="shared" si="1822"/>
        <v>0.33888793414999741</v>
      </c>
      <c r="BO807" s="1868">
        <f t="shared" si="1822"/>
        <v>0.33950332936240263</v>
      </c>
      <c r="BP807" s="469">
        <f t="shared" si="1822"/>
        <v>0.36553375624243178</v>
      </c>
      <c r="BQ807" s="469">
        <f t="shared" si="1822"/>
        <v>0.32171748772675646</v>
      </c>
      <c r="BR807" s="469">
        <f t="shared" si="1822"/>
        <v>0.33648570150319806</v>
      </c>
      <c r="BS807" s="1463">
        <f t="shared" si="1822"/>
        <v>0.32804597468593594</v>
      </c>
      <c r="BT807" s="1463">
        <f t="shared" si="1822"/>
        <v>0.33856249151406387</v>
      </c>
      <c r="BU807" s="469">
        <f t="shared" si="1822"/>
        <v>0.32178325894377852</v>
      </c>
      <c r="BV807" s="469">
        <f t="shared" ref="BV807:CF807" si="1823">BV806/BV796</f>
        <v>0.32920487405520799</v>
      </c>
      <c r="BW807" s="469">
        <f t="shared" si="1823"/>
        <v>0.35176003876403589</v>
      </c>
      <c r="BX807" s="469">
        <f t="shared" si="1823"/>
        <v>0.34248899430709634</v>
      </c>
      <c r="BY807" s="470">
        <f t="shared" si="1823"/>
        <v>0.33654683339460284</v>
      </c>
      <c r="BZ807" s="470">
        <f t="shared" si="1823"/>
        <v>0.34381101011713833</v>
      </c>
      <c r="CA807" s="470">
        <f t="shared" si="1823"/>
        <v>0.34381101011713833</v>
      </c>
      <c r="CB807" s="470">
        <f t="shared" si="1823"/>
        <v>0.34091438451259626</v>
      </c>
      <c r="CC807" s="470">
        <f t="shared" si="1823"/>
        <v>0.33805175320285824</v>
      </c>
      <c r="CD807" s="470">
        <f t="shared" si="1823"/>
        <v>0.33974282875443401</v>
      </c>
      <c r="CE807" s="470">
        <f t="shared" si="1823"/>
        <v>0.34142719650778852</v>
      </c>
      <c r="CF807" s="470">
        <f t="shared" si="1823"/>
        <v>0.34310475964429993</v>
      </c>
      <c r="CG807" s="492"/>
      <c r="CH807" s="492"/>
      <c r="CI807" s="492"/>
      <c r="CJ807" s="492"/>
      <c r="CK807" s="492"/>
      <c r="CL807" s="1310" t="str">
        <f t="shared" si="1803"/>
        <v>Margin</v>
      </c>
      <c r="CM807" s="469">
        <f t="shared" si="1804"/>
        <v>0.29670140680356344</v>
      </c>
      <c r="CN807" s="469">
        <f t="shared" si="1805"/>
        <v>0.32388213529515769</v>
      </c>
      <c r="CO807" s="469">
        <f t="shared" si="1806"/>
        <v>0.32205316223648028</v>
      </c>
      <c r="CP807" s="469">
        <f t="shared" si="1807"/>
        <v>0.3271636552761864</v>
      </c>
      <c r="CQ807" s="469">
        <f t="shared" si="1808"/>
        <v>0.32470192709355644</v>
      </c>
      <c r="CR807" s="469">
        <f t="shared" si="1809"/>
        <v>0.30791336537212627</v>
      </c>
      <c r="CS807" s="469">
        <f t="shared" si="1810"/>
        <v>0.30793963995554419</v>
      </c>
      <c r="CT807" s="469">
        <f t="shared" si="1811"/>
        <v>0.32874720947500402</v>
      </c>
      <c r="CU807" s="469">
        <f t="shared" si="1812"/>
        <v>0.34634588181084713</v>
      </c>
      <c r="CV807" s="469">
        <f t="shared" si="1813"/>
        <v>0.36433509822626831</v>
      </c>
      <c r="CW807" s="469">
        <f t="shared" si="1814"/>
        <v>0.34502504299926601</v>
      </c>
      <c r="CX807" s="469">
        <f t="shared" si="1815"/>
        <v>0.34227143909543523</v>
      </c>
      <c r="CY807" s="469">
        <f t="shared" si="1816"/>
        <v>0.33950332936240263</v>
      </c>
      <c r="CZ807" s="469">
        <f t="shared" si="1817"/>
        <v>0.33856249151406387</v>
      </c>
      <c r="DA807" s="469">
        <f t="shared" si="1818"/>
        <v>0.33654683339460284</v>
      </c>
      <c r="DB807" s="469">
        <f t="shared" si="1818"/>
        <v>0.34381101011713833</v>
      </c>
      <c r="DC807" s="1463">
        <f t="shared" si="1818"/>
        <v>0.34381101011713833</v>
      </c>
      <c r="DD807" s="492"/>
      <c r="DE807" s="492"/>
      <c r="DF807" s="962"/>
      <c r="DG807" s="962"/>
      <c r="DH807" s="469"/>
      <c r="DI807" s="3213"/>
      <c r="DJ807" s="962"/>
      <c r="DK807" s="962"/>
      <c r="DL807" s="962"/>
      <c r="DM807" s="962"/>
      <c r="DN807" s="962"/>
      <c r="DO807" s="962"/>
      <c r="DP807" s="962"/>
      <c r="DQ807" s="962"/>
      <c r="DR807" s="963"/>
      <c r="DS807" s="963"/>
      <c r="DT807" s="963"/>
    </row>
    <row r="808" spans="1:124" ht="12" customHeight="1" x14ac:dyDescent="0.25">
      <c r="A808" s="465" t="s">
        <v>1812</v>
      </c>
      <c r="B808" s="466"/>
      <c r="C808" s="467">
        <f>(C806+C802)/C796</f>
        <v>0.72801892337223328</v>
      </c>
      <c r="D808" s="467">
        <f t="shared" ref="D808:BE808" si="1824">(D806+D802)/D796</f>
        <v>0.74199798173118736</v>
      </c>
      <c r="E808" s="467">
        <f t="shared" si="1824"/>
        <v>0.74128325556751951</v>
      </c>
      <c r="F808" s="467">
        <f t="shared" si="1824"/>
        <v>0.73798752836431036</v>
      </c>
      <c r="G808" s="468">
        <f t="shared" si="1824"/>
        <v>0.73728450796271439</v>
      </c>
      <c r="H808" s="467">
        <f>(H806+H802)/H796</f>
        <v>0.76918130973981025</v>
      </c>
      <c r="I808" s="467">
        <f t="shared" si="1824"/>
        <v>0.80020861167837753</v>
      </c>
      <c r="J808" s="467">
        <f t="shared" si="1824"/>
        <v>0.76510936726999779</v>
      </c>
      <c r="K808" s="467">
        <f t="shared" si="1824"/>
        <v>0.70403088778191547</v>
      </c>
      <c r="L808" s="468">
        <f t="shared" si="1824"/>
        <v>0.75845558943133251</v>
      </c>
      <c r="M808" s="467">
        <f>(M806+M802)/M796</f>
        <v>0.79912539271255045</v>
      </c>
      <c r="N808" s="467">
        <f t="shared" si="1824"/>
        <v>0.79156178442581082</v>
      </c>
      <c r="O808" s="467">
        <f t="shared" si="1824"/>
        <v>0.76092314789336502</v>
      </c>
      <c r="P808" s="467">
        <f t="shared" si="1824"/>
        <v>0.76037091164415982</v>
      </c>
      <c r="Q808" s="468">
        <f t="shared" si="1824"/>
        <v>0.77797183419900173</v>
      </c>
      <c r="R808" s="467">
        <f>(R806+R802)/R796</f>
        <v>0.7367849689922481</v>
      </c>
      <c r="S808" s="467">
        <f t="shared" si="1824"/>
        <v>0.74072051614313361</v>
      </c>
      <c r="T808" s="467">
        <f t="shared" si="1824"/>
        <v>0.75532319818053484</v>
      </c>
      <c r="U808" s="467">
        <f t="shared" si="1824"/>
        <v>0.78376079402383758</v>
      </c>
      <c r="V808" s="468">
        <f t="shared" si="1824"/>
        <v>0.75358814818343878</v>
      </c>
      <c r="W808" s="467">
        <f>(W806+W802)/W796</f>
        <v>0.73307260043072919</v>
      </c>
      <c r="X808" s="467">
        <f t="shared" si="1824"/>
        <v>0.71895180303778738</v>
      </c>
      <c r="Y808" s="467">
        <f t="shared" si="1824"/>
        <v>0.78241351634750689</v>
      </c>
      <c r="Z808" s="467">
        <f t="shared" si="1824"/>
        <v>0.80516260138532925</v>
      </c>
      <c r="AA808" s="468">
        <f t="shared" si="1824"/>
        <v>0.75815623096938489</v>
      </c>
      <c r="AB808" s="467">
        <f>(AB806+AB802)/AB796</f>
        <v>0.71345017844689662</v>
      </c>
      <c r="AC808" s="467">
        <f t="shared" si="1824"/>
        <v>0.69938390707981513</v>
      </c>
      <c r="AD808" s="467">
        <f t="shared" si="1824"/>
        <v>0.7426613646841862</v>
      </c>
      <c r="AE808" s="467">
        <f t="shared" si="1824"/>
        <v>0.76754144331943608</v>
      </c>
      <c r="AF808" s="468">
        <f t="shared" si="1824"/>
        <v>0.72811945274278045</v>
      </c>
      <c r="AG808" s="467">
        <f>(AG806+AG802)/AG796</f>
        <v>0.67518442110527643</v>
      </c>
      <c r="AH808" s="467">
        <f t="shared" si="1824"/>
        <v>0.70011667740934358</v>
      </c>
      <c r="AI808" s="467">
        <f t="shared" si="1824"/>
        <v>0.71981419362540289</v>
      </c>
      <c r="AJ808" s="467">
        <f t="shared" si="1824"/>
        <v>0.73140760359559431</v>
      </c>
      <c r="AK808" s="468">
        <f t="shared" si="1824"/>
        <v>0.70603250979156884</v>
      </c>
      <c r="AL808" s="467">
        <f>(AL806+AL802)/AL796</f>
        <v>0.72256843710833119</v>
      </c>
      <c r="AM808" s="467">
        <f t="shared" si="1824"/>
        <v>0.70955160285977859</v>
      </c>
      <c r="AN808" s="467">
        <f t="shared" si="1824"/>
        <v>0.71700348453061324</v>
      </c>
      <c r="AO808" s="467">
        <f t="shared" si="1824"/>
        <v>0.70754556332347396</v>
      </c>
      <c r="AP808" s="468">
        <f t="shared" ref="AP808:AU808" si="1825">(AP806+AP802)/AP796</f>
        <v>0.71432842379462724</v>
      </c>
      <c r="AQ808" s="581">
        <f t="shared" si="1825"/>
        <v>0.69851263906159333</v>
      </c>
      <c r="AR808" s="467">
        <f t="shared" si="1825"/>
        <v>0.71028265649949929</v>
      </c>
      <c r="AS808" s="467">
        <f t="shared" si="1825"/>
        <v>0.72387629062171299</v>
      </c>
      <c r="AT808" s="1669">
        <f t="shared" si="1825"/>
        <v>0.71638342556643664</v>
      </c>
      <c r="AU808" s="1468">
        <f t="shared" si="1825"/>
        <v>0.7122001988829999</v>
      </c>
      <c r="AV808" s="1862">
        <f>(AV806+AV802)/AV796</f>
        <v>0.69632102637907434</v>
      </c>
      <c r="AW808" s="1846">
        <f>(AW806+AW802)/AW796</f>
        <v>0.72819649844220014</v>
      </c>
      <c r="AX808" s="1846">
        <f>(AX806+AX802)/AX796</f>
        <v>0.72303339587537396</v>
      </c>
      <c r="AY808" s="1765">
        <f>(AY806+AY802)/AY796</f>
        <v>0.72678677829147076</v>
      </c>
      <c r="AZ808" s="1468">
        <f>(AZ806+AZ802)/AZ796</f>
        <v>0.71832524180614499</v>
      </c>
      <c r="BA808" s="581">
        <f t="shared" si="1824"/>
        <v>0.67082839436192765</v>
      </c>
      <c r="BB808" s="467">
        <f t="shared" si="1824"/>
        <v>0.69523675002928664</v>
      </c>
      <c r="BC808" s="467">
        <f t="shared" si="1824"/>
        <v>0.69961171631813823</v>
      </c>
      <c r="BD808" s="1669">
        <f t="shared" si="1824"/>
        <v>0.71308767477272095</v>
      </c>
      <c r="BE808" s="1765">
        <f t="shared" si="1824"/>
        <v>0.69460518736666443</v>
      </c>
      <c r="BF808" s="467">
        <f t="shared" ref="BF808:BK808" si="1826">(BF806+BF802)/BF796</f>
        <v>0.67140897071252725</v>
      </c>
      <c r="BG808" s="467">
        <f t="shared" si="1826"/>
        <v>0.68696213227605285</v>
      </c>
      <c r="BH808" s="467">
        <f t="shared" si="1826"/>
        <v>0.67904197313378523</v>
      </c>
      <c r="BI808" s="1669">
        <f t="shared" si="1826"/>
        <v>0.7069409554249948</v>
      </c>
      <c r="BJ808" s="1765">
        <f t="shared" si="1826"/>
        <v>0.6860014335784923</v>
      </c>
      <c r="BK808" s="467">
        <f t="shared" si="1826"/>
        <v>0.67134202130293719</v>
      </c>
      <c r="BL808" s="469">
        <f t="shared" ref="BL808:BU808" si="1827">(BL806+BL802)/BL796</f>
        <v>0.67376899242229982</v>
      </c>
      <c r="BM808" s="467">
        <f t="shared" si="1827"/>
        <v>0.68169037506243768</v>
      </c>
      <c r="BN808" s="1669">
        <f t="shared" si="1827"/>
        <v>0.69438538622389223</v>
      </c>
      <c r="BO808" s="1765">
        <f t="shared" si="1827"/>
        <v>0.68005259692681352</v>
      </c>
      <c r="BP808" s="467">
        <f t="shared" si="1827"/>
        <v>0.69172606244614532</v>
      </c>
      <c r="BQ808" s="467">
        <f t="shared" si="1827"/>
        <v>0.66994748988967934</v>
      </c>
      <c r="BR808" s="467">
        <f t="shared" si="1827"/>
        <v>0.67895361805530685</v>
      </c>
      <c r="BS808" s="1669">
        <f t="shared" si="1827"/>
        <v>0.68836894116285707</v>
      </c>
      <c r="BT808" s="1669">
        <f t="shared" si="1827"/>
        <v>0.68235095581981786</v>
      </c>
      <c r="BU808" s="467">
        <f t="shared" si="1827"/>
        <v>0.67087523813629379</v>
      </c>
      <c r="BV808" s="467">
        <f t="shared" ref="BV808:CF808" si="1828">(BV806+BV802)/BV796</f>
        <v>0.66829722733912766</v>
      </c>
      <c r="BW808" s="467">
        <f t="shared" si="1828"/>
        <v>0.68235341438614183</v>
      </c>
      <c r="BX808" s="467">
        <f t="shared" si="1828"/>
        <v>0.69014159301337297</v>
      </c>
      <c r="BY808" s="468">
        <f t="shared" si="1828"/>
        <v>0.6779363914743598</v>
      </c>
      <c r="BZ808" s="468">
        <f t="shared" si="1828"/>
        <v>0.68613389612660336</v>
      </c>
      <c r="CA808" s="468">
        <f t="shared" si="1828"/>
        <v>0.68613389612660336</v>
      </c>
      <c r="CB808" s="468">
        <f t="shared" si="1828"/>
        <v>0.67830991733340429</v>
      </c>
      <c r="CC808" s="468">
        <f t="shared" si="1828"/>
        <v>0.67022003102673899</v>
      </c>
      <c r="CD808" s="468">
        <f t="shared" si="1828"/>
        <v>0.67396600043766963</v>
      </c>
      <c r="CE808" s="468">
        <f t="shared" si="1828"/>
        <v>0.67765871393393684</v>
      </c>
      <c r="CF808" s="468">
        <f t="shared" si="1828"/>
        <v>0.68129925803041769</v>
      </c>
      <c r="CG808" s="492"/>
      <c r="CH808" s="492"/>
      <c r="CI808" s="492"/>
      <c r="CJ808" s="492"/>
      <c r="CK808" s="492"/>
      <c r="CL808" s="1310" t="str">
        <f t="shared" si="1803"/>
        <v>Margin bef. tax</v>
      </c>
      <c r="CM808" s="469">
        <f t="shared" si="1804"/>
        <v>0.73728450796271439</v>
      </c>
      <c r="CN808" s="469">
        <f t="shared" si="1805"/>
        <v>0.75845558943133251</v>
      </c>
      <c r="CO808" s="469">
        <f t="shared" si="1806"/>
        <v>0.77797183419900173</v>
      </c>
      <c r="CP808" s="469">
        <f t="shared" si="1807"/>
        <v>0.75358814818343878</v>
      </c>
      <c r="CQ808" s="469">
        <f t="shared" si="1808"/>
        <v>0.75815623096938489</v>
      </c>
      <c r="CR808" s="469">
        <f t="shared" si="1809"/>
        <v>0.72811945274278045</v>
      </c>
      <c r="CS808" s="469">
        <f t="shared" si="1810"/>
        <v>0.70603250979156884</v>
      </c>
      <c r="CT808" s="469">
        <f t="shared" si="1811"/>
        <v>0.71432842379462724</v>
      </c>
      <c r="CU808" s="469">
        <f t="shared" si="1812"/>
        <v>0.7122001988829999</v>
      </c>
      <c r="CV808" s="469">
        <f t="shared" si="1813"/>
        <v>0.71832524180614499</v>
      </c>
      <c r="CW808" s="469">
        <f t="shared" si="1814"/>
        <v>0.69460518736666443</v>
      </c>
      <c r="CX808" s="469">
        <f t="shared" si="1815"/>
        <v>0.6860014335784923</v>
      </c>
      <c r="CY808" s="469">
        <f t="shared" si="1816"/>
        <v>0.68005259692681352</v>
      </c>
      <c r="CZ808" s="469">
        <f t="shared" si="1817"/>
        <v>0.68235095581981786</v>
      </c>
      <c r="DA808" s="469">
        <f t="shared" si="1818"/>
        <v>0.6779363914743598</v>
      </c>
      <c r="DB808" s="469">
        <f t="shared" si="1818"/>
        <v>0.68613389612660336</v>
      </c>
      <c r="DC808" s="1463">
        <f t="shared" si="1818"/>
        <v>0.68613389612660336</v>
      </c>
      <c r="DD808" s="492"/>
      <c r="DE808" s="492"/>
      <c r="DF808" s="962"/>
      <c r="DG808" s="962"/>
      <c r="DH808" s="469"/>
      <c r="DI808" s="3213"/>
      <c r="DJ808" s="962"/>
      <c r="DK808" s="962"/>
      <c r="DL808" s="962"/>
      <c r="DM808" s="962"/>
      <c r="DN808" s="962"/>
      <c r="DO808" s="962"/>
      <c r="DP808" s="962"/>
      <c r="DQ808" s="962"/>
      <c r="DR808" s="963"/>
      <c r="DS808" s="963"/>
      <c r="DT808" s="963"/>
    </row>
    <row r="809" spans="1:124" ht="12" customHeight="1" x14ac:dyDescent="0.25">
      <c r="A809" s="465" t="s">
        <v>1491</v>
      </c>
      <c r="B809" s="466"/>
      <c r="C809" s="467" t="s">
        <v>553</v>
      </c>
      <c r="D809" s="467" t="s">
        <v>553</v>
      </c>
      <c r="E809" s="467" t="s">
        <v>553</v>
      </c>
      <c r="F809" s="467" t="s">
        <v>553</v>
      </c>
      <c r="G809" s="468" t="s">
        <v>553</v>
      </c>
      <c r="H809" s="467">
        <f t="shared" ref="H809:AF809" si="1829">(H806-C806)/C806</f>
        <v>-5.8011370228564799E-2</v>
      </c>
      <c r="I809" s="467">
        <f t="shared" si="1829"/>
        <v>0.1138378441848177</v>
      </c>
      <c r="J809" s="467">
        <f t="shared" si="1829"/>
        <v>0.13353300180831823</v>
      </c>
      <c r="K809" s="467">
        <f t="shared" si="1829"/>
        <v>0.16407487823484534</v>
      </c>
      <c r="L809" s="468">
        <f t="shared" si="1829"/>
        <v>8.8366566195223942E-2</v>
      </c>
      <c r="M809" s="467">
        <f t="shared" si="1829"/>
        <v>0.31783470870796904</v>
      </c>
      <c r="N809" s="467">
        <f t="shared" si="1829"/>
        <v>6.0510225595614572E-2</v>
      </c>
      <c r="O809" s="467">
        <f t="shared" si="1829"/>
        <v>-5.4588962560446798E-2</v>
      </c>
      <c r="P809" s="467">
        <f t="shared" si="1829"/>
        <v>-6.37193123960276E-2</v>
      </c>
      <c r="Q809" s="468">
        <f t="shared" si="1829"/>
        <v>5.2592336164886989E-2</v>
      </c>
      <c r="R809" s="467">
        <f t="shared" si="1829"/>
        <v>-3.4020281321557155E-2</v>
      </c>
      <c r="S809" s="467">
        <f t="shared" si="1829"/>
        <v>2.3508946322067542E-2</v>
      </c>
      <c r="T809" s="467">
        <f t="shared" si="1829"/>
        <v>0.12339168951697954</v>
      </c>
      <c r="U809" s="467">
        <f t="shared" si="1829"/>
        <v>6.8055779895547258E-2</v>
      </c>
      <c r="V809" s="468">
        <f t="shared" si="1829"/>
        <v>4.2362376037239288E-2</v>
      </c>
      <c r="W809" s="467">
        <f t="shared" si="1829"/>
        <v>-0.22316288520149</v>
      </c>
      <c r="X809" s="467">
        <f t="shared" si="1829"/>
        <v>-0.30500655562569806</v>
      </c>
      <c r="Y809" s="467">
        <f t="shared" si="1829"/>
        <v>-0.17550694705219666</v>
      </c>
      <c r="Z809" s="467">
        <f t="shared" si="1829"/>
        <v>-0.16413772243786864</v>
      </c>
      <c r="AA809" s="468">
        <f t="shared" si="1829"/>
        <v>-0.21708634184818876</v>
      </c>
      <c r="AB809" s="467">
        <f t="shared" si="1829"/>
        <v>-4.8449371030016224E-2</v>
      </c>
      <c r="AC809" s="467">
        <f t="shared" si="1829"/>
        <v>0.17915036333147022</v>
      </c>
      <c r="AD809" s="467">
        <f t="shared" si="1829"/>
        <v>-0.26456020495303167</v>
      </c>
      <c r="AE809" s="469">
        <f t="shared" si="1829"/>
        <v>-0.28707556842168747</v>
      </c>
      <c r="AF809" s="470">
        <f t="shared" si="1829"/>
        <v>-0.11812573625147264</v>
      </c>
      <c r="AG809" s="467">
        <f t="shared" ref="AG809:AU809" si="1830">(AG806-AB806)/AB806</f>
        <v>-0.16092931937172772</v>
      </c>
      <c r="AH809" s="467">
        <f t="shared" si="1830"/>
        <v>-0.25468120407679556</v>
      </c>
      <c r="AI809" s="467">
        <f t="shared" si="1830"/>
        <v>3.816380244619913E-2</v>
      </c>
      <c r="AJ809" s="469">
        <f t="shared" si="1830"/>
        <v>9.9991540478808941E-2</v>
      </c>
      <c r="AK809" s="470">
        <f t="shared" si="1830"/>
        <v>-8.9322436066438068E-2</v>
      </c>
      <c r="AL809" s="467">
        <f t="shared" si="1830"/>
        <v>0.14733640121675384</v>
      </c>
      <c r="AM809" s="467">
        <f t="shared" si="1830"/>
        <v>0.17498807441564643</v>
      </c>
      <c r="AN809" s="467">
        <f t="shared" si="1830"/>
        <v>3.3109238684662201E-2</v>
      </c>
      <c r="AO809" s="469">
        <f t="shared" si="1830"/>
        <v>-0.1793346919941555</v>
      </c>
      <c r="AP809" s="471">
        <f t="shared" si="1830"/>
        <v>4.2501669465192182E-2</v>
      </c>
      <c r="AQ809" s="471">
        <f t="shared" si="1830"/>
        <v>-0.17708777056424208</v>
      </c>
      <c r="AR809" s="469">
        <f t="shared" si="1830"/>
        <v>-0.11773084274984806</v>
      </c>
      <c r="AS809" s="469">
        <f t="shared" si="1830"/>
        <v>-6.2899484937887218E-2</v>
      </c>
      <c r="AT809" s="469">
        <f t="shared" si="1830"/>
        <v>9.3538390707396141E-2</v>
      </c>
      <c r="AU809" s="1689">
        <f t="shared" si="1830"/>
        <v>-7.8093306489501441E-2</v>
      </c>
      <c r="AV809" s="1730">
        <f t="shared" ref="AV809:BA809" si="1831">(AV806-AQ806)/AQ806</f>
        <v>2.5475420486040616E-2</v>
      </c>
      <c r="AW809" s="1465">
        <f t="shared" si="1831"/>
        <v>9.2511429149007202E-2</v>
      </c>
      <c r="AX809" s="1465">
        <f t="shared" si="1831"/>
        <v>-4.0555037843982053E-2</v>
      </c>
      <c r="AY809" s="1868">
        <f t="shared" si="1831"/>
        <v>-0.11361967028604576</v>
      </c>
      <c r="AZ809" s="1689">
        <f t="shared" si="1831"/>
        <v>-6.7828379775900522E-3</v>
      </c>
      <c r="BA809" s="471">
        <f t="shared" si="1831"/>
        <v>-0.25367223875815192</v>
      </c>
      <c r="BB809" s="469">
        <f t="shared" ref="BB809:BJ809" si="1832">(BB806-AW806)/AW806</f>
        <v>-0.20580905152171075</v>
      </c>
      <c r="BC809" s="469">
        <f t="shared" si="1832"/>
        <v>-0.1538854468612883</v>
      </c>
      <c r="BD809" s="1463">
        <f t="shared" si="1832"/>
        <v>-4.0130134169582374E-2</v>
      </c>
      <c r="BE809" s="1868">
        <f t="shared" si="1832"/>
        <v>-0.17009570458737089</v>
      </c>
      <c r="BF809" s="469">
        <f t="shared" si="1832"/>
        <v>4.805864465715644E-3</v>
      </c>
      <c r="BG809" s="469">
        <f t="shared" si="1832"/>
        <v>-3.5167195251270836E-2</v>
      </c>
      <c r="BH809" s="469">
        <f t="shared" si="1832"/>
        <v>-0.15405924164270041</v>
      </c>
      <c r="BI809" s="1463">
        <f t="shared" si="1832"/>
        <v>-1.7134442246946824E-2</v>
      </c>
      <c r="BJ809" s="1868">
        <f t="shared" si="1832"/>
        <v>-5.23127779218387E-2</v>
      </c>
      <c r="BK809" s="469">
        <f t="shared" ref="BK809:BT809" si="1833">(BK806-BF806)/BF806</f>
        <v>5.5565513387988E-2</v>
      </c>
      <c r="BL809" s="469">
        <f t="shared" si="1833"/>
        <v>-0.1115979146066038</v>
      </c>
      <c r="BM809" s="469">
        <f t="shared" si="1833"/>
        <v>8.9701842639159535E-2</v>
      </c>
      <c r="BN809" s="1463">
        <f t="shared" si="1833"/>
        <v>-6.4337975686939969E-2</v>
      </c>
      <c r="BO809" s="1868">
        <f t="shared" si="1833"/>
        <v>-1.359726235459505E-2</v>
      </c>
      <c r="BP809" s="469">
        <f t="shared" si="1833"/>
        <v>0.11444901041515107</v>
      </c>
      <c r="BQ809" s="469">
        <f t="shared" si="1833"/>
        <v>-7.7712888571045385E-2</v>
      </c>
      <c r="BR809" s="469">
        <f t="shared" si="1833"/>
        <v>-1.4850002386097464E-2</v>
      </c>
      <c r="BS809" s="1463">
        <f t="shared" si="1833"/>
        <v>-4.1188216959154061E-2</v>
      </c>
      <c r="BT809" s="1463">
        <f t="shared" si="1833"/>
        <v>-3.8926248251161186E-3</v>
      </c>
      <c r="BU809" s="469">
        <f>(BU806-BP806)/BP806</f>
        <v>-0.21668613543194923</v>
      </c>
      <c r="BV809" s="469">
        <f>(BV806-BQ806)/BQ806</f>
        <v>2.327317169283237E-2</v>
      </c>
      <c r="BW809" s="469">
        <f>(BW806-BR806)/BR806</f>
        <v>5.6582649641544053E-2</v>
      </c>
      <c r="BX809" s="469">
        <f>(BX806-BS806)/BS806</f>
        <v>5.5250144793338014E-2</v>
      </c>
      <c r="BY809" s="470">
        <f>(BY806-BT806)/BT806</f>
        <v>-2.9812934168526126E-2</v>
      </c>
      <c r="BZ809" s="470">
        <f t="shared" ref="BZ809:CF809" si="1834">(BZ806-BY806)/BY806</f>
        <v>3.254203394509976E-2</v>
      </c>
      <c r="CA809" s="470">
        <f t="shared" si="1834"/>
        <v>0</v>
      </c>
      <c r="CB809" s="470">
        <f t="shared" si="1834"/>
        <v>-6.1565373150538477E-2</v>
      </c>
      <c r="CC809" s="470">
        <f t="shared" si="1834"/>
        <v>-6.1740435650004172E-2</v>
      </c>
      <c r="CD809" s="470">
        <f t="shared" si="1834"/>
        <v>2.671489084976536E-2</v>
      </c>
      <c r="CE809" s="470">
        <f t="shared" si="1834"/>
        <v>2.6635185689520457E-2</v>
      </c>
      <c r="CF809" s="470">
        <f t="shared" si="1834"/>
        <v>2.6556516591967352E-2</v>
      </c>
      <c r="CG809" s="492"/>
      <c r="CH809" s="492"/>
      <c r="CI809" s="492"/>
      <c r="CJ809" s="492"/>
      <c r="CK809" s="492"/>
      <c r="CL809" s="1310" t="str">
        <f t="shared" si="1803"/>
        <v>% growth (y-o-y)</v>
      </c>
      <c r="CM809" s="469" t="str">
        <f t="shared" si="1804"/>
        <v xml:space="preserve">n/a </v>
      </c>
      <c r="CN809" s="469">
        <f t="shared" si="1805"/>
        <v>8.8366566195223942E-2</v>
      </c>
      <c r="CO809" s="469">
        <f t="shared" si="1806"/>
        <v>5.2592336164886989E-2</v>
      </c>
      <c r="CP809" s="469">
        <f t="shared" si="1807"/>
        <v>4.2362376037239288E-2</v>
      </c>
      <c r="CQ809" s="469">
        <f t="shared" si="1808"/>
        <v>-0.21708634184818876</v>
      </c>
      <c r="CR809" s="469">
        <f t="shared" si="1809"/>
        <v>-0.11812573625147264</v>
      </c>
      <c r="CS809" s="469">
        <f t="shared" si="1810"/>
        <v>-8.9322436066438068E-2</v>
      </c>
      <c r="CT809" s="469">
        <f t="shared" si="1811"/>
        <v>4.2501669465192182E-2</v>
      </c>
      <c r="CU809" s="469">
        <f t="shared" si="1812"/>
        <v>-7.8093306489501441E-2</v>
      </c>
      <c r="CV809" s="469">
        <f t="shared" si="1813"/>
        <v>-6.7828379775900522E-3</v>
      </c>
      <c r="CW809" s="469">
        <f t="shared" si="1814"/>
        <v>-0.17009570458737089</v>
      </c>
      <c r="CX809" s="469">
        <f t="shared" si="1815"/>
        <v>-5.23127779218387E-2</v>
      </c>
      <c r="CY809" s="469">
        <f t="shared" si="1816"/>
        <v>-1.359726235459505E-2</v>
      </c>
      <c r="CZ809" s="469">
        <f t="shared" si="1817"/>
        <v>-3.8926248251161186E-3</v>
      </c>
      <c r="DA809" s="469">
        <f t="shared" si="1818"/>
        <v>-2.9812934168526126E-2</v>
      </c>
      <c r="DB809" s="469">
        <f t="shared" si="1818"/>
        <v>3.254203394509976E-2</v>
      </c>
      <c r="DC809" s="1463">
        <f t="shared" si="1818"/>
        <v>0</v>
      </c>
      <c r="DD809" s="492"/>
      <c r="DE809" s="492"/>
      <c r="DF809" s="962"/>
      <c r="DG809" s="962"/>
      <c r="DH809" s="469"/>
      <c r="DI809" s="3213"/>
      <c r="DJ809" s="962"/>
      <c r="DK809" s="962"/>
      <c r="DL809" s="962"/>
      <c r="DM809" s="962"/>
      <c r="DN809" s="962"/>
      <c r="DO809" s="962"/>
      <c r="DP809" s="962"/>
      <c r="DQ809" s="962"/>
      <c r="DR809" s="963"/>
      <c r="DS809" s="963"/>
      <c r="DT809" s="963"/>
    </row>
    <row r="810" spans="1:124" ht="12" customHeight="1" x14ac:dyDescent="0.25">
      <c r="A810" s="281" t="s">
        <v>2197</v>
      </c>
      <c r="B810" s="281"/>
      <c r="C810" s="570">
        <v>2.63</v>
      </c>
      <c r="D810" s="570">
        <v>2.4089999999999998</v>
      </c>
      <c r="E810" s="570">
        <v>2.3620000000000001</v>
      </c>
      <c r="F810" s="570">
        <v>2.3719999999999999</v>
      </c>
      <c r="G810" s="475">
        <f>SUM(C810:F810)</f>
        <v>9.7729999999999997</v>
      </c>
      <c r="H810" s="570">
        <v>2.4169999999999998</v>
      </c>
      <c r="I810" s="570">
        <v>2.2629999999999999</v>
      </c>
      <c r="J810" s="570">
        <v>2.2170000000000001</v>
      </c>
      <c r="K810" s="570">
        <v>2.2389999999999999</v>
      </c>
      <c r="L810" s="475">
        <f>SUM(H810:K810)</f>
        <v>9.1359999999999992</v>
      </c>
      <c r="M810" s="570">
        <v>2.1840000000000002</v>
      </c>
      <c r="N810" s="570">
        <v>2.2589999999999999</v>
      </c>
      <c r="O810" s="570">
        <v>2.2839999999999998</v>
      </c>
      <c r="P810" s="570">
        <v>2.3570000000000002</v>
      </c>
      <c r="Q810" s="475">
        <f>SUM(M810:P810)</f>
        <v>9.0839999999999996</v>
      </c>
      <c r="R810" s="570">
        <v>2.339</v>
      </c>
      <c r="S810" s="570">
        <v>2.1840000000000002</v>
      </c>
      <c r="T810" s="570">
        <v>1.974</v>
      </c>
      <c r="U810" s="570">
        <v>1.994</v>
      </c>
      <c r="V810" s="475">
        <f>SUM(R810:U810)</f>
        <v>8.4909999999999997</v>
      </c>
      <c r="W810" s="570">
        <v>1.986</v>
      </c>
      <c r="X810" s="570">
        <v>1.9419999999999999</v>
      </c>
      <c r="Y810" s="570">
        <v>1.9350000000000001</v>
      </c>
      <c r="Z810" s="570">
        <v>1.9319999999999999</v>
      </c>
      <c r="AA810" s="475">
        <f>SUM(W810:Z810)</f>
        <v>7.7949999999999999</v>
      </c>
      <c r="AB810" s="570">
        <v>1.8320000000000001</v>
      </c>
      <c r="AC810" s="570">
        <v>1.8280000000000001</v>
      </c>
      <c r="AD810" s="570">
        <v>1.7809999999999999</v>
      </c>
      <c r="AE810" s="572">
        <v>1.841</v>
      </c>
      <c r="AF810" s="477">
        <f>SUM(AB810:AE810)</f>
        <v>7.282</v>
      </c>
      <c r="AG810" s="570">
        <v>1.8220000000000001</v>
      </c>
      <c r="AH810" s="570">
        <v>1.8120000000000001</v>
      </c>
      <c r="AI810" s="570">
        <v>1.841</v>
      </c>
      <c r="AJ810" s="570">
        <v>1.859</v>
      </c>
      <c r="AK810" s="477">
        <f>SUM(AG810:AJ810)</f>
        <v>7.3340000000000005</v>
      </c>
      <c r="AL810" s="570">
        <f>AJ810</f>
        <v>1.859</v>
      </c>
      <c r="AM810" s="570">
        <v>1.849</v>
      </c>
      <c r="AN810" s="1594">
        <f>AM810</f>
        <v>1.849</v>
      </c>
      <c r="AO810" s="452">
        <f>AN810</f>
        <v>1.849</v>
      </c>
      <c r="AP810" s="478">
        <f>SUM(AL810:AO810)</f>
        <v>7.4060000000000006</v>
      </c>
      <c r="AQ810" s="478">
        <f>+AO810</f>
        <v>1.849</v>
      </c>
      <c r="AR810" s="476">
        <f>AQ810</f>
        <v>1.849</v>
      </c>
      <c r="AS810" s="476">
        <f>AR810</f>
        <v>1.849</v>
      </c>
      <c r="AT810" s="476">
        <f>AS810</f>
        <v>1.849</v>
      </c>
      <c r="AU810" s="1464">
        <f>SUM(AQ810:AT810)</f>
        <v>7.3959999999999999</v>
      </c>
      <c r="AV810" s="478">
        <f>+AT810</f>
        <v>1.849</v>
      </c>
      <c r="AW810" s="476">
        <f>AV810</f>
        <v>1.849</v>
      </c>
      <c r="AX810" s="476">
        <f>AW810</f>
        <v>1.849</v>
      </c>
      <c r="AY810" s="682">
        <f>AX810</f>
        <v>1.849</v>
      </c>
      <c r="AZ810" s="1464">
        <f>SUM(AV810:AY810)</f>
        <v>7.3959999999999999</v>
      </c>
      <c r="BA810" s="478">
        <f>+AY810</f>
        <v>1.849</v>
      </c>
      <c r="BB810" s="476">
        <f>BA810</f>
        <v>1.849</v>
      </c>
      <c r="BC810" s="476">
        <f>BB810</f>
        <v>1.849</v>
      </c>
      <c r="BD810" s="682">
        <f>BC810</f>
        <v>1.849</v>
      </c>
      <c r="BE810" s="1866">
        <f>SUM(BA810:BD810)</f>
        <v>7.3959999999999999</v>
      </c>
      <c r="BF810" s="476">
        <f>BD810</f>
        <v>1.849</v>
      </c>
      <c r="BG810" s="476">
        <f>BF810</f>
        <v>1.849</v>
      </c>
      <c r="BH810" s="476">
        <f>BG810</f>
        <v>1.849</v>
      </c>
      <c r="BI810" s="682">
        <f>BH810</f>
        <v>1.849</v>
      </c>
      <c r="BJ810" s="1866">
        <f>SUM(BF810:BI810)</f>
        <v>7.3959999999999999</v>
      </c>
      <c r="BK810" s="476">
        <f>BJ810/4</f>
        <v>1.849</v>
      </c>
      <c r="BL810" s="476">
        <f>BK810</f>
        <v>1.849</v>
      </c>
      <c r="BM810" s="476">
        <f>BL810</f>
        <v>1.849</v>
      </c>
      <c r="BN810" s="682">
        <f>BM810</f>
        <v>1.849</v>
      </c>
      <c r="BO810" s="1866">
        <f>SUM(BK810:BN810)</f>
        <v>7.3959999999999999</v>
      </c>
      <c r="BP810" s="476">
        <f>+BN810</f>
        <v>1.849</v>
      </c>
      <c r="BQ810" s="476">
        <f>BP810</f>
        <v>1.849</v>
      </c>
      <c r="BR810" s="476">
        <f>BQ810</f>
        <v>1.849</v>
      </c>
      <c r="BS810" s="682">
        <f>BR810</f>
        <v>1.849</v>
      </c>
      <c r="BT810" s="2911">
        <f>SUM(BP810:BS810)</f>
        <v>7.3959999999999999</v>
      </c>
      <c r="BU810" s="2577">
        <f>BS810</f>
        <v>1.849</v>
      </c>
      <c r="BV810" s="2577">
        <f>BU810</f>
        <v>1.849</v>
      </c>
      <c r="BW810" s="2577">
        <f>BV810</f>
        <v>1.849</v>
      </c>
      <c r="BX810" s="2577">
        <f>BW810</f>
        <v>1.849</v>
      </c>
      <c r="BY810" s="2604">
        <f>SUM(BU810:BX810)</f>
        <v>7.3959999999999999</v>
      </c>
      <c r="BZ810" s="477">
        <f t="shared" ref="BZ810:CF810" si="1835">BY810</f>
        <v>7.3959999999999999</v>
      </c>
      <c r="CA810" s="477">
        <f t="shared" si="1835"/>
        <v>7.3959999999999999</v>
      </c>
      <c r="CB810" s="477">
        <f t="shared" si="1835"/>
        <v>7.3959999999999999</v>
      </c>
      <c r="CC810" s="477">
        <f t="shared" si="1835"/>
        <v>7.3959999999999999</v>
      </c>
      <c r="CD810" s="477">
        <f t="shared" si="1835"/>
        <v>7.3959999999999999</v>
      </c>
      <c r="CE810" s="477">
        <f t="shared" si="1835"/>
        <v>7.3959999999999999</v>
      </c>
      <c r="CF810" s="477">
        <f t="shared" si="1835"/>
        <v>7.3959999999999999</v>
      </c>
      <c r="CG810" s="331"/>
      <c r="CH810" s="331"/>
      <c r="CI810" s="331"/>
      <c r="CJ810" s="331"/>
      <c r="CK810" s="331"/>
      <c r="CL810" s="520" t="str">
        <f t="shared" si="1803"/>
        <v>Depreciation and amortization</v>
      </c>
      <c r="CM810" s="476">
        <f t="shared" si="1804"/>
        <v>9.7729999999999997</v>
      </c>
      <c r="CN810" s="476">
        <f t="shared" si="1805"/>
        <v>9.1359999999999992</v>
      </c>
      <c r="CO810" s="476">
        <f t="shared" si="1806"/>
        <v>9.0839999999999996</v>
      </c>
      <c r="CP810" s="476">
        <f t="shared" si="1807"/>
        <v>8.4909999999999997</v>
      </c>
      <c r="CQ810" s="476">
        <f t="shared" si="1808"/>
        <v>7.7949999999999999</v>
      </c>
      <c r="CR810" s="476">
        <f t="shared" si="1809"/>
        <v>7.282</v>
      </c>
      <c r="CS810" s="476">
        <f t="shared" si="1810"/>
        <v>7.3340000000000005</v>
      </c>
      <c r="CT810" s="476">
        <f t="shared" si="1811"/>
        <v>7.4060000000000006</v>
      </c>
      <c r="CU810" s="476">
        <f t="shared" si="1812"/>
        <v>7.3959999999999999</v>
      </c>
      <c r="CV810" s="476">
        <f t="shared" si="1813"/>
        <v>7.3959999999999999</v>
      </c>
      <c r="CW810" s="476">
        <f t="shared" si="1814"/>
        <v>7.3959999999999999</v>
      </c>
      <c r="CX810" s="476">
        <f t="shared" si="1815"/>
        <v>7.3959999999999999</v>
      </c>
      <c r="CY810" s="476">
        <f t="shared" si="1816"/>
        <v>7.3959999999999999</v>
      </c>
      <c r="CZ810" s="476">
        <f t="shared" si="1817"/>
        <v>7.3959999999999999</v>
      </c>
      <c r="DA810" s="476">
        <f t="shared" si="1818"/>
        <v>7.3959999999999999</v>
      </c>
      <c r="DB810" s="476">
        <f t="shared" si="1818"/>
        <v>7.3959999999999999</v>
      </c>
      <c r="DC810" s="682">
        <f t="shared" si="1818"/>
        <v>7.3959999999999999</v>
      </c>
      <c r="DD810" s="331"/>
      <c r="DE810" s="331"/>
      <c r="DF810" s="502"/>
      <c r="DG810" s="503"/>
      <c r="DH810" s="2577"/>
      <c r="DI810" s="3213"/>
      <c r="DJ810" s="502"/>
      <c r="DK810" s="503"/>
      <c r="DL810" s="502"/>
      <c r="DM810" s="502"/>
      <c r="DN810" s="502"/>
      <c r="DO810" s="502"/>
      <c r="DP810" s="503"/>
      <c r="DQ810" s="503"/>
      <c r="DR810" s="296"/>
      <c r="DS810" s="296"/>
      <c r="DT810" s="296"/>
    </row>
    <row r="811" spans="1:124" ht="12" customHeight="1" x14ac:dyDescent="0.25">
      <c r="A811" s="465" t="s">
        <v>646</v>
      </c>
      <c r="B811" s="466"/>
      <c r="C811" s="467">
        <f t="shared" ref="C811:AF811" si="1836">C810/C796</f>
        <v>4.4675465864886438E-2</v>
      </c>
      <c r="D811" s="467">
        <f t="shared" si="1836"/>
        <v>4.1913875598086119E-2</v>
      </c>
      <c r="E811" s="467">
        <f t="shared" si="1836"/>
        <v>4.0369857628740881E-2</v>
      </c>
      <c r="F811" s="467">
        <f t="shared" si="1836"/>
        <v>4.1087110910949055E-2</v>
      </c>
      <c r="G811" s="468">
        <f t="shared" si="1836"/>
        <v>4.2019227461906235E-2</v>
      </c>
      <c r="H811" s="467">
        <f t="shared" si="1836"/>
        <v>4.5210527300274965E-2</v>
      </c>
      <c r="I811" s="467">
        <f t="shared" si="1836"/>
        <v>3.9164445675123741E-2</v>
      </c>
      <c r="J811" s="467">
        <f t="shared" si="1836"/>
        <v>3.7820501885054335E-2</v>
      </c>
      <c r="K811" s="467">
        <f t="shared" si="1836"/>
        <v>3.6094855797907499E-2</v>
      </c>
      <c r="L811" s="468">
        <f t="shared" si="1836"/>
        <v>3.9397480734649167E-2</v>
      </c>
      <c r="M811" s="467">
        <f t="shared" si="1836"/>
        <v>3.5368421052631584E-2</v>
      </c>
      <c r="N811" s="467">
        <f t="shared" si="1836"/>
        <v>3.7213976244996123E-2</v>
      </c>
      <c r="O811" s="467">
        <f t="shared" si="1836"/>
        <v>3.6969294766999561E-2</v>
      </c>
      <c r="P811" s="467">
        <f t="shared" si="1836"/>
        <v>3.8487287928022078E-2</v>
      </c>
      <c r="Q811" s="468">
        <f t="shared" si="1836"/>
        <v>3.7005805071799569E-2</v>
      </c>
      <c r="R811" s="467">
        <f t="shared" si="1836"/>
        <v>3.6263565891472865E-2</v>
      </c>
      <c r="S811" s="467">
        <f t="shared" si="1836"/>
        <v>3.4097295947043027E-2</v>
      </c>
      <c r="T811" s="467">
        <f t="shared" si="1836"/>
        <v>3.0962277468433847E-2</v>
      </c>
      <c r="U811" s="467">
        <f t="shared" si="1836"/>
        <v>3.3473224777572606E-2</v>
      </c>
      <c r="V811" s="468">
        <f t="shared" si="1836"/>
        <v>3.3710898573510083E-2</v>
      </c>
      <c r="W811" s="467">
        <f t="shared" si="1836"/>
        <v>3.7034274419125053E-2</v>
      </c>
      <c r="X811" s="467">
        <f t="shared" si="1836"/>
        <v>3.8457730162187849E-2</v>
      </c>
      <c r="Y811" s="467">
        <f t="shared" si="1836"/>
        <v>3.9283756623424086E-2</v>
      </c>
      <c r="Z811" s="467">
        <f t="shared" si="1836"/>
        <v>4.2636770904596909E-2</v>
      </c>
      <c r="AA811" s="468">
        <f t="shared" si="1836"/>
        <v>3.9231377049015317E-2</v>
      </c>
      <c r="AB811" s="467">
        <f t="shared" si="1836"/>
        <v>3.7576403987365142E-2</v>
      </c>
      <c r="AC811" s="467">
        <f t="shared" si="1836"/>
        <v>3.492148397203225E-2</v>
      </c>
      <c r="AD811" s="467">
        <f t="shared" si="1836"/>
        <v>4.1055786076532957E-2</v>
      </c>
      <c r="AE811" s="469">
        <f t="shared" si="1836"/>
        <v>4.5686916815564818E-2</v>
      </c>
      <c r="AF811" s="470">
        <f t="shared" si="1836"/>
        <v>3.9409880071004898E-2</v>
      </c>
      <c r="AG811" s="467">
        <f t="shared" ref="AG811:AU811" si="1837">AG810/AG796</f>
        <v>4.1419445770533546E-2</v>
      </c>
      <c r="AH811" s="467">
        <f t="shared" si="1837"/>
        <v>4.325717968917854E-2</v>
      </c>
      <c r="AI811" s="467">
        <f t="shared" si="1837"/>
        <v>4.3953682702638178E-2</v>
      </c>
      <c r="AJ811" s="469">
        <f t="shared" si="1837"/>
        <v>4.590803575838396E-2</v>
      </c>
      <c r="AK811" s="470">
        <f t="shared" si="1837"/>
        <v>4.3588082516626353E-2</v>
      </c>
      <c r="AL811" s="467">
        <f t="shared" si="1837"/>
        <v>4.3961501170572514E-2</v>
      </c>
      <c r="AM811" s="467">
        <f t="shared" si="1837"/>
        <v>4.2642988929889297E-2</v>
      </c>
      <c r="AN811" s="467">
        <f t="shared" si="1837"/>
        <v>4.4587523210108754E-2</v>
      </c>
      <c r="AO811" s="469">
        <f t="shared" si="1837"/>
        <v>4.9717666039257868E-2</v>
      </c>
      <c r="AP811" s="471">
        <f t="shared" si="1837"/>
        <v>4.5074434287244537E-2</v>
      </c>
      <c r="AQ811" s="471">
        <f t="shared" si="1837"/>
        <v>5.1092873525104311E-2</v>
      </c>
      <c r="AR811" s="469">
        <f t="shared" si="1837"/>
        <v>5.0041949714471297E-2</v>
      </c>
      <c r="AS811" s="469">
        <f t="shared" si="1837"/>
        <v>5.1181974201406195E-2</v>
      </c>
      <c r="AT811" s="469">
        <f t="shared" si="1837"/>
        <v>5.3572463348206534E-2</v>
      </c>
      <c r="AU811" s="1689">
        <f t="shared" si="1837"/>
        <v>5.144041508436617E-2</v>
      </c>
      <c r="AV811" s="1730">
        <f t="shared" ref="AV811:BJ811" si="1838">AV810/AV796</f>
        <v>5.2514576274113253E-2</v>
      </c>
      <c r="AW811" s="1465">
        <f t="shared" si="1838"/>
        <v>5.10301620824479E-2</v>
      </c>
      <c r="AX811" s="1465">
        <f t="shared" si="1838"/>
        <v>5.4615119367265687E-2</v>
      </c>
      <c r="AY811" s="1868">
        <f t="shared" si="1838"/>
        <v>6.0714552158430246E-2</v>
      </c>
      <c r="AZ811" s="1689">
        <f t="shared" si="1838"/>
        <v>5.4481772963004702E-2</v>
      </c>
      <c r="BA811" s="471">
        <f t="shared" si="1838"/>
        <v>6.3247738175024659E-2</v>
      </c>
      <c r="BB811" s="469">
        <f t="shared" si="1838"/>
        <v>5.8987876507907495E-2</v>
      </c>
      <c r="BC811" s="469">
        <f t="shared" si="1838"/>
        <v>6.1701715287662807E-2</v>
      </c>
      <c r="BD811" s="1463">
        <f t="shared" si="1838"/>
        <v>6.5060023061297517E-2</v>
      </c>
      <c r="BE811" s="1868">
        <f t="shared" si="1838"/>
        <v>6.216884906421382E-2</v>
      </c>
      <c r="BF811" s="469">
        <f t="shared" si="1838"/>
        <v>6.5088850505202481E-2</v>
      </c>
      <c r="BG811" s="469">
        <f t="shared" si="1838"/>
        <v>6.1201469245699011E-2</v>
      </c>
      <c r="BH811" s="469">
        <f t="shared" si="1838"/>
        <v>6.7272321303667004E-2</v>
      </c>
      <c r="BI811" s="1463">
        <f t="shared" si="1838"/>
        <v>6.7125099512324718E-2</v>
      </c>
      <c r="BJ811" s="1868">
        <f t="shared" si="1838"/>
        <v>6.5077048022039619E-2</v>
      </c>
      <c r="BK811" s="469">
        <f t="shared" ref="BK811:BU811" si="1839">BK810/BK796</f>
        <v>6.3825600154810744E-2</v>
      </c>
      <c r="BL811" s="469">
        <f t="shared" si="1839"/>
        <v>6.4425087108013937E-2</v>
      </c>
      <c r="BM811" s="469">
        <f t="shared" si="1839"/>
        <v>6.5089970955580612E-2</v>
      </c>
      <c r="BN811" s="1463">
        <f t="shared" si="1839"/>
        <v>6.8628381803628097E-2</v>
      </c>
      <c r="BO811" s="1868">
        <f t="shared" si="1839"/>
        <v>6.5440551749146939E-2</v>
      </c>
      <c r="BP811" s="469">
        <f t="shared" si="1839"/>
        <v>6.1718562553649083E-2</v>
      </c>
      <c r="BQ811" s="469">
        <f t="shared" si="1839"/>
        <v>6.6509968365859068E-2</v>
      </c>
      <c r="BR811" s="469">
        <f t="shared" si="1839"/>
        <v>6.499960434259229E-2</v>
      </c>
      <c r="BS811" s="1463">
        <f t="shared" si="1839"/>
        <v>6.9286560520705184E-2</v>
      </c>
      <c r="BT811" s="1463">
        <f t="shared" si="1839"/>
        <v>6.5514223987515802E-2</v>
      </c>
      <c r="BU811" s="469">
        <f t="shared" si="1839"/>
        <v>6.9361095777769902E-2</v>
      </c>
      <c r="BV811" s="469">
        <f t="shared" ref="BV811:CF811" si="1840">BV810/BV796</f>
        <v>6.6509968365859068E-2</v>
      </c>
      <c r="BW811" s="469">
        <f t="shared" si="1840"/>
        <v>6.4311275712283233E-2</v>
      </c>
      <c r="BX811" s="469">
        <f t="shared" si="1840"/>
        <v>6.8549689133054537E-2</v>
      </c>
      <c r="BY811" s="470">
        <f t="shared" si="1840"/>
        <v>6.7125384633820076E-2</v>
      </c>
      <c r="BZ811" s="470">
        <f t="shared" si="1840"/>
        <v>6.6413033633051302E-2</v>
      </c>
      <c r="CA811" s="470">
        <f t="shared" si="1840"/>
        <v>6.6413033633051302E-2</v>
      </c>
      <c r="CB811" s="470">
        <f t="shared" si="1840"/>
        <v>7.0173775022392706E-2</v>
      </c>
      <c r="CC811" s="470">
        <f t="shared" si="1840"/>
        <v>7.4163412758295216E-2</v>
      </c>
      <c r="CD811" s="470">
        <f t="shared" si="1840"/>
        <v>7.2595040431065072E-2</v>
      </c>
      <c r="CE811" s="470">
        <f t="shared" si="1840"/>
        <v>7.1062195378092871E-2</v>
      </c>
      <c r="CF811" s="470">
        <f t="shared" si="1840"/>
        <v>6.9563974434719053E-2</v>
      </c>
      <c r="CG811" s="492"/>
      <c r="CH811" s="492"/>
      <c r="CI811" s="492"/>
      <c r="CJ811" s="492"/>
      <c r="CK811" s="492"/>
      <c r="CL811" s="1310" t="str">
        <f t="shared" si="1803"/>
        <v>% of Net revenue</v>
      </c>
      <c r="CM811" s="469">
        <f t="shared" si="1804"/>
        <v>4.2019227461906235E-2</v>
      </c>
      <c r="CN811" s="469">
        <f t="shared" si="1805"/>
        <v>3.9397480734649167E-2</v>
      </c>
      <c r="CO811" s="469">
        <f t="shared" si="1806"/>
        <v>3.7005805071799569E-2</v>
      </c>
      <c r="CP811" s="469">
        <f t="shared" si="1807"/>
        <v>3.3710898573510083E-2</v>
      </c>
      <c r="CQ811" s="469">
        <f t="shared" si="1808"/>
        <v>3.9231377049015317E-2</v>
      </c>
      <c r="CR811" s="469">
        <f t="shared" si="1809"/>
        <v>3.9409880071004898E-2</v>
      </c>
      <c r="CS811" s="469">
        <f t="shared" si="1810"/>
        <v>4.3588082516626353E-2</v>
      </c>
      <c r="CT811" s="469">
        <f t="shared" si="1811"/>
        <v>4.5074434287244537E-2</v>
      </c>
      <c r="CU811" s="469">
        <f t="shared" si="1812"/>
        <v>5.144041508436617E-2</v>
      </c>
      <c r="CV811" s="469">
        <f t="shared" si="1813"/>
        <v>5.4481772963004702E-2</v>
      </c>
      <c r="CW811" s="469">
        <f t="shared" si="1814"/>
        <v>6.216884906421382E-2</v>
      </c>
      <c r="CX811" s="469">
        <f t="shared" si="1815"/>
        <v>6.5077048022039619E-2</v>
      </c>
      <c r="CY811" s="469">
        <f t="shared" si="1816"/>
        <v>6.5440551749146939E-2</v>
      </c>
      <c r="CZ811" s="469">
        <f t="shared" si="1817"/>
        <v>6.5514223987515802E-2</v>
      </c>
      <c r="DA811" s="469">
        <f t="shared" si="1818"/>
        <v>6.7125384633820076E-2</v>
      </c>
      <c r="DB811" s="469">
        <f t="shared" si="1818"/>
        <v>6.6413033633051302E-2</v>
      </c>
      <c r="DC811" s="1463">
        <f t="shared" si="1818"/>
        <v>6.6413033633051302E-2</v>
      </c>
      <c r="DD811" s="492"/>
      <c r="DE811" s="492"/>
      <c r="DF811" s="962"/>
      <c r="DG811" s="962"/>
      <c r="DH811" s="469"/>
      <c r="DI811" s="3213"/>
      <c r="DJ811" s="962"/>
      <c r="DK811" s="962"/>
      <c r="DL811" s="962"/>
      <c r="DM811" s="962"/>
      <c r="DN811" s="962"/>
      <c r="DO811" s="962"/>
      <c r="DP811" s="962"/>
      <c r="DQ811" s="962"/>
      <c r="DR811" s="963"/>
      <c r="DS811" s="963"/>
      <c r="DT811" s="963"/>
    </row>
    <row r="812" spans="1:124" ht="12" customHeight="1" x14ac:dyDescent="0.25">
      <c r="A812" s="281"/>
      <c r="B812" s="281"/>
      <c r="C812" s="305"/>
      <c r="D812" s="305"/>
      <c r="E812" s="305"/>
      <c r="F812" s="305"/>
      <c r="G812" s="440"/>
      <c r="H812" s="305"/>
      <c r="I812" s="305"/>
      <c r="J812" s="305"/>
      <c r="K812" s="305"/>
      <c r="L812" s="440"/>
      <c r="M812" s="305"/>
      <c r="N812" s="305"/>
      <c r="O812" s="305"/>
      <c r="P812" s="305"/>
      <c r="Q812" s="440"/>
      <c r="R812" s="305"/>
      <c r="S812" s="305"/>
      <c r="T812" s="305"/>
      <c r="U812" s="305"/>
      <c r="V812" s="440"/>
      <c r="W812" s="305"/>
      <c r="X812" s="305"/>
      <c r="Y812" s="305"/>
      <c r="Z812" s="305"/>
      <c r="AA812" s="440"/>
      <c r="AB812" s="305"/>
      <c r="AC812" s="305"/>
      <c r="AD812" s="305"/>
      <c r="AE812" s="331"/>
      <c r="AF812" s="441"/>
      <c r="AG812" s="331"/>
      <c r="AH812" s="331"/>
      <c r="AI812" s="331"/>
      <c r="AJ812" s="331"/>
      <c r="AK812" s="441"/>
      <c r="AL812" s="442"/>
      <c r="AM812" s="442"/>
      <c r="AN812" s="442"/>
      <c r="AO812" s="442"/>
      <c r="AP812" s="443"/>
      <c r="AQ812" s="443"/>
      <c r="AR812" s="331"/>
      <c r="AS812" s="331"/>
      <c r="AT812" s="331"/>
      <c r="AU812" s="349"/>
      <c r="AV812" s="443"/>
      <c r="AW812" s="331"/>
      <c r="AX812" s="331"/>
      <c r="AY812" s="1306"/>
      <c r="AZ812" s="349"/>
      <c r="BA812" s="443"/>
      <c r="BB812" s="331"/>
      <c r="BC812" s="331"/>
      <c r="BD812" s="1306"/>
      <c r="BE812" s="1306"/>
      <c r="BF812" s="331"/>
      <c r="BG812" s="331"/>
      <c r="BH812" s="331"/>
      <c r="BI812" s="1306"/>
      <c r="BJ812" s="1306"/>
      <c r="BK812" s="331"/>
      <c r="BL812" s="331"/>
      <c r="BM812" s="331"/>
      <c r="BN812" s="1306"/>
      <c r="BO812" s="1306"/>
      <c r="BP812" s="331"/>
      <c r="BQ812" s="331"/>
      <c r="BR812" s="331"/>
      <c r="BS812" s="1306"/>
      <c r="BT812" s="3217"/>
      <c r="BU812" s="2601"/>
      <c r="BV812" s="2601"/>
      <c r="BW812" s="2601"/>
      <c r="BX812" s="2601"/>
      <c r="BY812" s="3222"/>
      <c r="BZ812" s="349"/>
      <c r="CA812" s="349"/>
      <c r="CB812" s="349"/>
      <c r="CC812" s="349"/>
      <c r="CD812" s="349"/>
      <c r="CE812" s="349"/>
      <c r="CF812" s="349"/>
      <c r="CG812" s="331"/>
      <c r="CH812" s="331"/>
      <c r="CI812" s="331"/>
      <c r="CJ812" s="331"/>
      <c r="CK812" s="331"/>
      <c r="CL812" s="520"/>
      <c r="CM812" s="331"/>
      <c r="CN812" s="331"/>
      <c r="CO812" s="331"/>
      <c r="CP812" s="331"/>
      <c r="CQ812" s="331"/>
      <c r="CR812" s="331"/>
      <c r="CS812" s="331"/>
      <c r="CT812" s="331"/>
      <c r="CU812" s="331"/>
      <c r="CV812" s="331"/>
      <c r="CW812" s="331"/>
      <c r="CX812" s="331"/>
      <c r="CY812" s="331"/>
      <c r="CZ812" s="331"/>
      <c r="DA812" s="331"/>
      <c r="DB812" s="331"/>
      <c r="DC812" s="1306"/>
      <c r="DD812" s="331"/>
      <c r="DE812" s="331"/>
      <c r="DF812" s="502"/>
      <c r="DG812" s="503"/>
      <c r="DH812" s="2601"/>
      <c r="DI812" s="3213"/>
      <c r="DJ812" s="502"/>
      <c r="DK812" s="503"/>
      <c r="DL812" s="502"/>
      <c r="DM812" s="502"/>
      <c r="DN812" s="502"/>
      <c r="DO812" s="502"/>
      <c r="DP812" s="503"/>
      <c r="DQ812" s="503"/>
      <c r="DR812" s="296"/>
      <c r="DS812" s="296"/>
      <c r="DT812" s="296"/>
    </row>
    <row r="813" spans="1:124" ht="12" customHeight="1" x14ac:dyDescent="0.25">
      <c r="A813" s="2125" t="s">
        <v>1786</v>
      </c>
      <c r="B813" s="428"/>
      <c r="C813" s="502"/>
      <c r="D813" s="502"/>
      <c r="E813" s="502"/>
      <c r="F813" s="502"/>
      <c r="G813" s="534"/>
      <c r="H813" s="502"/>
      <c r="I813" s="502"/>
      <c r="J813" s="502"/>
      <c r="K813" s="502"/>
      <c r="L813" s="534"/>
      <c r="M813" s="502"/>
      <c r="N813" s="502"/>
      <c r="O813" s="502"/>
      <c r="P813" s="502"/>
      <c r="Q813" s="534"/>
      <c r="R813" s="502"/>
      <c r="S813" s="502"/>
      <c r="T813" s="502"/>
      <c r="U813" s="502"/>
      <c r="V813" s="534"/>
      <c r="W813" s="502"/>
      <c r="X813" s="502"/>
      <c r="Y813" s="502"/>
      <c r="Z813" s="502"/>
      <c r="AA813" s="534"/>
      <c r="AB813" s="502"/>
      <c r="AC813" s="502"/>
      <c r="AD813" s="502"/>
      <c r="AE813" s="502"/>
      <c r="AF813" s="534"/>
      <c r="AG813" s="502"/>
      <c r="AH813" s="502"/>
      <c r="AI813" s="502"/>
      <c r="AJ813" s="502"/>
      <c r="AK813" s="534"/>
      <c r="AL813" s="503"/>
      <c r="AM813" s="503"/>
      <c r="AN813" s="503"/>
      <c r="AO813" s="503"/>
      <c r="AP813" s="535"/>
      <c r="AQ813" s="535"/>
      <c r="AR813" s="537"/>
      <c r="AS813" s="537"/>
      <c r="AT813" s="537"/>
      <c r="AU813" s="536"/>
      <c r="AV813" s="535"/>
      <c r="AW813" s="537"/>
      <c r="AX813" s="537"/>
      <c r="AY813" s="1926"/>
      <c r="AZ813" s="536"/>
      <c r="BA813" s="535"/>
      <c r="BB813" s="537"/>
      <c r="BC813" s="537"/>
      <c r="BD813" s="1926"/>
      <c r="BE813" s="1926"/>
      <c r="BF813" s="537"/>
      <c r="BG813" s="537"/>
      <c r="BH813" s="537"/>
      <c r="BI813" s="1926"/>
      <c r="BJ813" s="1926"/>
      <c r="BK813" s="537"/>
      <c r="BL813" s="537"/>
      <c r="BM813" s="537"/>
      <c r="BN813" s="1926"/>
      <c r="BO813" s="1926"/>
      <c r="BP813" s="537"/>
      <c r="BQ813" s="537"/>
      <c r="BR813" s="537"/>
      <c r="BS813" s="1926"/>
      <c r="BT813" s="1926"/>
      <c r="BU813" s="537"/>
      <c r="BV813" s="537"/>
      <c r="BW813" s="537"/>
      <c r="BX813" s="537"/>
      <c r="BY813" s="536"/>
      <c r="BZ813" s="536"/>
      <c r="CA813" s="536"/>
      <c r="CB813" s="536"/>
      <c r="CC813" s="536"/>
      <c r="CD813" s="536"/>
      <c r="CE813" s="536"/>
      <c r="CF813" s="536"/>
      <c r="CG813" s="331"/>
      <c r="CH813" s="331"/>
      <c r="CI813" s="331"/>
      <c r="CJ813" s="331"/>
      <c r="CK813" s="331"/>
      <c r="CL813" s="2036" t="str">
        <f t="shared" ref="CL813:CL819" si="1841">A813</f>
        <v>Hollywood Casino Joliet (IL)</v>
      </c>
      <c r="CM813" s="503">
        <f t="shared" ref="CM813:CM819" si="1842">G813</f>
        <v>0</v>
      </c>
      <c r="CN813" s="503">
        <f t="shared" ref="CN813:CN819" si="1843">L813</f>
        <v>0</v>
      </c>
      <c r="CO813" s="503">
        <f t="shared" ref="CO813:CO819" si="1844">Q813</f>
        <v>0</v>
      </c>
      <c r="CP813" s="503">
        <f t="shared" ref="CP813:CP819" si="1845">V813</f>
        <v>0</v>
      </c>
      <c r="CQ813" s="503">
        <f t="shared" ref="CQ813:CQ819" si="1846">AA813</f>
        <v>0</v>
      </c>
      <c r="CR813" s="503">
        <f t="shared" ref="CR813:CR819" si="1847">AF813</f>
        <v>0</v>
      </c>
      <c r="CS813" s="503">
        <f t="shared" ref="CS813:CS819" si="1848">AK813</f>
        <v>0</v>
      </c>
      <c r="CT813" s="503">
        <f t="shared" ref="CT813:CT819" si="1849">AP813</f>
        <v>0</v>
      </c>
      <c r="CU813" s="503">
        <f t="shared" ref="CU813:CU819" si="1850">AU813</f>
        <v>0</v>
      </c>
      <c r="CV813" s="503">
        <f t="shared" ref="CV813:CV819" si="1851">AZ813</f>
        <v>0</v>
      </c>
      <c r="CW813" s="503">
        <f t="shared" ref="CW813:CW819" si="1852">BE813</f>
        <v>0</v>
      </c>
      <c r="CX813" s="503">
        <f t="shared" ref="CX813:CX819" si="1853">BJ813</f>
        <v>0</v>
      </c>
      <c r="CY813" s="503">
        <f t="shared" ref="CY813:CY819" si="1854">BO813</f>
        <v>0</v>
      </c>
      <c r="CZ813" s="503">
        <f t="shared" ref="CZ813:CZ819" si="1855">BT813</f>
        <v>0</v>
      </c>
      <c r="DA813" s="503">
        <f t="shared" ref="DA813:DC819" si="1856">BY813</f>
        <v>0</v>
      </c>
      <c r="DB813" s="503">
        <f t="shared" si="1856"/>
        <v>0</v>
      </c>
      <c r="DC813" s="2124">
        <f t="shared" si="1856"/>
        <v>0</v>
      </c>
      <c r="DD813" s="331"/>
      <c r="DE813" s="331"/>
      <c r="DF813" s="502"/>
      <c r="DG813" s="503"/>
      <c r="DH813" s="537"/>
      <c r="DI813" s="3213"/>
      <c r="DJ813" s="502"/>
      <c r="DK813" s="503"/>
      <c r="DL813" s="502"/>
      <c r="DM813" s="502"/>
      <c r="DN813" s="502"/>
      <c r="DO813" s="502"/>
      <c r="DP813" s="503"/>
      <c r="DQ813" s="503"/>
      <c r="DR813" s="428"/>
      <c r="DS813" s="428"/>
      <c r="DT813" s="428"/>
    </row>
    <row r="814" spans="1:124" ht="12" customHeight="1" x14ac:dyDescent="0.25">
      <c r="A814" s="281" t="s">
        <v>894</v>
      </c>
      <c r="B814" s="281"/>
      <c r="C814" s="305">
        <f>C815+(C816*C$320)</f>
        <v>1322</v>
      </c>
      <c r="D814" s="305">
        <f>D815+(D816*D$320)</f>
        <v>1327</v>
      </c>
      <c r="E814" s="305">
        <f>E815+(E816*E$320)</f>
        <v>1327</v>
      </c>
      <c r="F814" s="305">
        <f>F815+(F816*F$320)</f>
        <v>1333</v>
      </c>
      <c r="G814" s="345">
        <f>F814</f>
        <v>1333</v>
      </c>
      <c r="H814" s="305">
        <f>H815+(H816*H$320)</f>
        <v>1327</v>
      </c>
      <c r="I814" s="305">
        <f>I815+(I816*I$320)</f>
        <v>1327</v>
      </c>
      <c r="J814" s="305">
        <f>J815+(J816*J$320)</f>
        <v>1327</v>
      </c>
      <c r="K814" s="305">
        <f>K815+(K816*K$320)</f>
        <v>1327</v>
      </c>
      <c r="L814" s="345">
        <f>K814</f>
        <v>1327</v>
      </c>
      <c r="M814" s="305">
        <f>M815+(M816*M$320)</f>
        <v>1327</v>
      </c>
      <c r="N814" s="305">
        <f>N815+(N816*N$320)</f>
        <v>1327</v>
      </c>
      <c r="O814" s="305">
        <f>O815+(O816*O$320)</f>
        <v>1327</v>
      </c>
      <c r="P814" s="305">
        <f>P815+(P816*P$320)</f>
        <v>1331</v>
      </c>
      <c r="Q814" s="345">
        <f>P814</f>
        <v>1331</v>
      </c>
      <c r="R814" s="305">
        <f>R815+(R816*R$320)</f>
        <v>1331</v>
      </c>
      <c r="S814" s="305">
        <f>S815+(S816*S$320)</f>
        <v>1331</v>
      </c>
      <c r="T814" s="305">
        <f>T815+(T816*T$320)</f>
        <v>1331</v>
      </c>
      <c r="U814" s="305">
        <f>U815+(U816*U$320)</f>
        <v>1337</v>
      </c>
      <c r="V814" s="345">
        <f>U814</f>
        <v>1337</v>
      </c>
      <c r="W814" s="305">
        <f>W815+(W816*W$320)</f>
        <v>1337</v>
      </c>
      <c r="X814" s="305">
        <f>X815+(X816*X$320)</f>
        <v>1337</v>
      </c>
      <c r="Y814" s="305">
        <f>Y815+(Y816*Y$320)</f>
        <v>1337</v>
      </c>
      <c r="Z814" s="305">
        <f>Z815+(Z816*Z$320)</f>
        <v>1314</v>
      </c>
      <c r="AA814" s="345">
        <f>Z814</f>
        <v>1314</v>
      </c>
      <c r="AB814" s="305">
        <f>AB815+(AB816*AB$320)</f>
        <v>1320</v>
      </c>
      <c r="AC814" s="305">
        <f>AC815+(AC816*AC$320)</f>
        <v>109.956</v>
      </c>
      <c r="AD814" s="305">
        <f>AD815+(AD816*AD$320)</f>
        <v>1314</v>
      </c>
      <c r="AE814" s="331">
        <f>AE815+(AE816*AE$320)</f>
        <v>1314</v>
      </c>
      <c r="AF814" s="348">
        <f>AE814</f>
        <v>1314</v>
      </c>
      <c r="AG814" s="305">
        <f>AG815+(AG816*AG$320)</f>
        <v>1314</v>
      </c>
      <c r="AH814" s="305">
        <f>AH815+(AH816*AH$320)</f>
        <v>1314</v>
      </c>
      <c r="AI814" s="305">
        <f>AI815+(AI816*AI$320)</f>
        <v>1314</v>
      </c>
      <c r="AJ814" s="331">
        <f>AJ815+(AJ816*AJ$320)</f>
        <v>1314</v>
      </c>
      <c r="AK814" s="348">
        <f>AJ814</f>
        <v>1314</v>
      </c>
      <c r="AL814" s="305">
        <f>AL815+(AL816*AL$320)</f>
        <v>1319</v>
      </c>
      <c r="AM814" s="305">
        <f>AM815+(AM816*AM$320)</f>
        <v>1304</v>
      </c>
      <c r="AN814" s="305">
        <f>AN815+(AN816*AN$320)</f>
        <v>1304</v>
      </c>
      <c r="AO814" s="331">
        <f>AO815+(AO816*AO$320)</f>
        <v>1305</v>
      </c>
      <c r="AP814" s="568">
        <f>AO814</f>
        <v>1305</v>
      </c>
      <c r="AQ814" s="568">
        <f>AQ815+(AQ816*AQ$320)</f>
        <v>1309</v>
      </c>
      <c r="AR814" s="330">
        <f>AR815+(AR816*AR$320)</f>
        <v>1309</v>
      </c>
      <c r="AS814" s="330">
        <f>AS815+(AS816*AS$320)</f>
        <v>1308</v>
      </c>
      <c r="AT814" s="330">
        <f>AT815+(AT816*AT$320)</f>
        <v>1309</v>
      </c>
      <c r="AU814" s="1692">
        <f>AT814</f>
        <v>1309</v>
      </c>
      <c r="AV814" s="1912">
        <f>AV815+(AV816*AV$320)</f>
        <v>1303</v>
      </c>
      <c r="AW814" s="1839">
        <f>AW815+(AW816*AW$320)</f>
        <v>1303</v>
      </c>
      <c r="AX814" s="1839">
        <f>AX815+(AX816*AX$320)</f>
        <v>1291</v>
      </c>
      <c r="AY814" s="1906">
        <f>AY815+(AY816*AY$320)</f>
        <v>1285</v>
      </c>
      <c r="AZ814" s="1692">
        <f>AY814</f>
        <v>1285</v>
      </c>
      <c r="BA814" s="553">
        <f>BA815+(BA816*BA$320)</f>
        <v>1266</v>
      </c>
      <c r="BB814" s="551">
        <f>BB815+(BB816*BB$320)</f>
        <v>1272</v>
      </c>
      <c r="BC814" s="551">
        <f>BC815+(BC816*BC$320)</f>
        <v>1266</v>
      </c>
      <c r="BD814" s="1895">
        <f>BD815+(BD816*BD$320)</f>
        <v>1250</v>
      </c>
      <c r="BE814" s="1906">
        <f>BD814</f>
        <v>1250</v>
      </c>
      <c r="BF814" s="551">
        <f>BF815+(BF816*BF$320)</f>
        <v>1208</v>
      </c>
      <c r="BG814" s="551">
        <f>BG815+(BG816*BG$320)</f>
        <v>1208</v>
      </c>
      <c r="BH814" s="551">
        <f>BH815+(BH816*BH$320)</f>
        <v>1202</v>
      </c>
      <c r="BI814" s="1895">
        <f>BI815+(BI816*BI$320)</f>
        <v>1202</v>
      </c>
      <c r="BJ814" s="1906">
        <f>BI814</f>
        <v>1202</v>
      </c>
      <c r="BK814" s="551">
        <f>BK815+(BK816*BK$320)</f>
        <v>1214</v>
      </c>
      <c r="BL814" s="551">
        <f>BL815+(BL816*BL$320)</f>
        <v>1202</v>
      </c>
      <c r="BM814" s="551">
        <f>BM815+(BM816*BM$320)</f>
        <v>1208</v>
      </c>
      <c r="BN814" s="1895">
        <f>BN815+(BN816*BN$320)</f>
        <v>1208</v>
      </c>
      <c r="BO814" s="1906">
        <f>BN814</f>
        <v>1208</v>
      </c>
      <c r="BP814" s="551">
        <f>BP815+(BP816*BP$320)</f>
        <v>1214</v>
      </c>
      <c r="BQ814" s="551">
        <f>BQ815+(BQ816*BQ$320)</f>
        <v>1208</v>
      </c>
      <c r="BR814" s="551">
        <f>BR815+(BR816*BR$320)</f>
        <v>1208</v>
      </c>
      <c r="BS814" s="1895">
        <f>BS815+(BS816*BS$320)</f>
        <v>1202</v>
      </c>
      <c r="BT814" s="3218">
        <f>BS814</f>
        <v>1202</v>
      </c>
      <c r="BU814" s="3297">
        <f>BU815+(BU816*BU$320)</f>
        <v>1202</v>
      </c>
      <c r="BV814" s="3297">
        <f>BV815+(BV816*BV$320)</f>
        <v>1202</v>
      </c>
      <c r="BW814" s="3297">
        <f>BW815+(BW816*BW$320)</f>
        <v>1202</v>
      </c>
      <c r="BX814" s="3297">
        <f>BX815+(BX816*BX$320)</f>
        <v>1202</v>
      </c>
      <c r="BY814" s="3234">
        <f>BX814</f>
        <v>1202</v>
      </c>
      <c r="BZ814" s="552">
        <f t="shared" ref="BZ814:CF814" si="1857">BZ815+(BZ816*BZ$320)</f>
        <v>1202</v>
      </c>
      <c r="CA814" s="552">
        <f t="shared" si="1857"/>
        <v>1202</v>
      </c>
      <c r="CB814" s="552">
        <f t="shared" si="1857"/>
        <v>1202</v>
      </c>
      <c r="CC814" s="552">
        <f t="shared" si="1857"/>
        <v>1202</v>
      </c>
      <c r="CD814" s="552">
        <f t="shared" si="1857"/>
        <v>1202</v>
      </c>
      <c r="CE814" s="552">
        <f t="shared" si="1857"/>
        <v>1202</v>
      </c>
      <c r="CF814" s="552">
        <f t="shared" si="1857"/>
        <v>1202</v>
      </c>
      <c r="CG814" s="331"/>
      <c r="CH814" s="331"/>
      <c r="CI814" s="331"/>
      <c r="CJ814" s="331"/>
      <c r="CK814" s="331"/>
      <c r="CL814" s="520" t="str">
        <f t="shared" si="1841"/>
        <v>Positions</v>
      </c>
      <c r="CM814" s="330">
        <f t="shared" si="1842"/>
        <v>1333</v>
      </c>
      <c r="CN814" s="330">
        <f t="shared" si="1843"/>
        <v>1327</v>
      </c>
      <c r="CO814" s="330">
        <f t="shared" si="1844"/>
        <v>1331</v>
      </c>
      <c r="CP814" s="330">
        <f t="shared" si="1845"/>
        <v>1337</v>
      </c>
      <c r="CQ814" s="330">
        <f t="shared" si="1846"/>
        <v>1314</v>
      </c>
      <c r="CR814" s="330">
        <f t="shared" si="1847"/>
        <v>1314</v>
      </c>
      <c r="CS814" s="330">
        <f t="shared" si="1848"/>
        <v>1314</v>
      </c>
      <c r="CT814" s="330">
        <f t="shared" si="1849"/>
        <v>1305</v>
      </c>
      <c r="CU814" s="330">
        <f t="shared" si="1850"/>
        <v>1309</v>
      </c>
      <c r="CV814" s="330">
        <f t="shared" si="1851"/>
        <v>1285</v>
      </c>
      <c r="CW814" s="330">
        <f t="shared" si="1852"/>
        <v>1250</v>
      </c>
      <c r="CX814" s="330">
        <f t="shared" si="1853"/>
        <v>1202</v>
      </c>
      <c r="CY814" s="330">
        <f t="shared" si="1854"/>
        <v>1208</v>
      </c>
      <c r="CZ814" s="330">
        <f t="shared" si="1855"/>
        <v>1202</v>
      </c>
      <c r="DA814" s="330">
        <f t="shared" si="1856"/>
        <v>1202</v>
      </c>
      <c r="DB814" s="330">
        <f t="shared" si="1856"/>
        <v>1202</v>
      </c>
      <c r="DC814" s="1888">
        <f t="shared" si="1856"/>
        <v>1202</v>
      </c>
      <c r="DD814" s="331"/>
      <c r="DE814" s="331"/>
      <c r="DF814" s="502"/>
      <c r="DG814" s="503"/>
      <c r="DH814" s="3297"/>
      <c r="DI814" s="3213"/>
      <c r="DJ814" s="502"/>
      <c r="DK814" s="503"/>
      <c r="DL814" s="502"/>
      <c r="DM814" s="502"/>
      <c r="DN814" s="502"/>
      <c r="DO814" s="502"/>
      <c r="DP814" s="503"/>
      <c r="DQ814" s="503"/>
      <c r="DR814" s="296"/>
      <c r="DS814" s="296"/>
      <c r="DT814" s="296"/>
    </row>
    <row r="815" spans="1:124" ht="12" customHeight="1" x14ac:dyDescent="0.25">
      <c r="A815" s="281" t="s">
        <v>585</v>
      </c>
      <c r="B815" s="281"/>
      <c r="C815" s="340">
        <v>1172</v>
      </c>
      <c r="D815" s="340">
        <v>1183</v>
      </c>
      <c r="E815" s="340">
        <v>1183</v>
      </c>
      <c r="F815" s="340">
        <v>1183</v>
      </c>
      <c r="G815" s="345">
        <f>F815</f>
        <v>1183</v>
      </c>
      <c r="H815" s="340">
        <v>1183</v>
      </c>
      <c r="I815" s="340">
        <v>1183</v>
      </c>
      <c r="J815" s="340">
        <v>1183</v>
      </c>
      <c r="K815" s="340">
        <v>1183</v>
      </c>
      <c r="L815" s="345">
        <f>K815</f>
        <v>1183</v>
      </c>
      <c r="M815" s="340">
        <v>1183</v>
      </c>
      <c r="N815" s="340">
        <v>1183</v>
      </c>
      <c r="O815" s="340">
        <v>1183</v>
      </c>
      <c r="P815" s="340">
        <v>1211</v>
      </c>
      <c r="Q815" s="345">
        <f>P815</f>
        <v>1211</v>
      </c>
      <c r="R815" s="340">
        <v>1211</v>
      </c>
      <c r="S815" s="340">
        <v>1211</v>
      </c>
      <c r="T815" s="340">
        <v>1211</v>
      </c>
      <c r="U815" s="340">
        <v>1211</v>
      </c>
      <c r="V815" s="345">
        <f>U815</f>
        <v>1211</v>
      </c>
      <c r="W815" s="340">
        <v>1211</v>
      </c>
      <c r="X815" s="340">
        <v>1211</v>
      </c>
      <c r="Y815" s="340">
        <v>1211</v>
      </c>
      <c r="Z815" s="340">
        <v>1194</v>
      </c>
      <c r="AA815" s="345">
        <f>Z815</f>
        <v>1194</v>
      </c>
      <c r="AB815" s="339">
        <v>1194</v>
      </c>
      <c r="AC815" s="339">
        <f>1194*0.0833</f>
        <v>99.4602</v>
      </c>
      <c r="AD815" s="339">
        <v>1194</v>
      </c>
      <c r="AE815" s="339">
        <v>1194</v>
      </c>
      <c r="AF815" s="348">
        <f>AE815</f>
        <v>1194</v>
      </c>
      <c r="AG815" s="331">
        <f>AE815</f>
        <v>1194</v>
      </c>
      <c r="AH815" s="331">
        <f t="shared" ref="AH815:AJ816" si="1858">AG815</f>
        <v>1194</v>
      </c>
      <c r="AI815" s="331">
        <f t="shared" si="1858"/>
        <v>1194</v>
      </c>
      <c r="AJ815" s="331">
        <f t="shared" si="1858"/>
        <v>1194</v>
      </c>
      <c r="AK815" s="348">
        <f>AJ815</f>
        <v>1194</v>
      </c>
      <c r="AL815" s="2651">
        <v>1175</v>
      </c>
      <c r="AM815" s="2655">
        <v>1166</v>
      </c>
      <c r="AN815" s="2655">
        <v>1166</v>
      </c>
      <c r="AO815" s="2655">
        <v>1173</v>
      </c>
      <c r="AP815" s="568">
        <f>AO815</f>
        <v>1173</v>
      </c>
      <c r="AQ815" s="2651">
        <v>1177</v>
      </c>
      <c r="AR815" s="2655">
        <v>1177</v>
      </c>
      <c r="AS815" s="2655">
        <v>1176</v>
      </c>
      <c r="AT815" s="2655">
        <v>1177</v>
      </c>
      <c r="AU815" s="1692">
        <f>AT815</f>
        <v>1177</v>
      </c>
      <c r="AV815" s="2651">
        <v>1177</v>
      </c>
      <c r="AW815" s="2655">
        <v>1177</v>
      </c>
      <c r="AX815" s="2655">
        <v>1177</v>
      </c>
      <c r="AY815" s="2655">
        <v>1177</v>
      </c>
      <c r="AZ815" s="1692">
        <f>AY815</f>
        <v>1177</v>
      </c>
      <c r="BA815" s="2651">
        <v>1164</v>
      </c>
      <c r="BB815" s="2661">
        <v>1170</v>
      </c>
      <c r="BC815" s="2661">
        <v>1170</v>
      </c>
      <c r="BD815" s="2661">
        <v>1154</v>
      </c>
      <c r="BE815" s="1692">
        <f>BD815</f>
        <v>1154</v>
      </c>
      <c r="BF815" s="2651">
        <v>1112</v>
      </c>
      <c r="BG815" s="2942">
        <v>1100</v>
      </c>
      <c r="BH815" s="2942">
        <v>1100</v>
      </c>
      <c r="BI815" s="2939">
        <v>1100</v>
      </c>
      <c r="BJ815" s="1906">
        <f>BI815</f>
        <v>1100</v>
      </c>
      <c r="BK815" s="2971">
        <v>1100</v>
      </c>
      <c r="BL815" s="2971">
        <v>1100</v>
      </c>
      <c r="BM815" s="2971">
        <v>1100</v>
      </c>
      <c r="BN815" s="2949">
        <v>1100</v>
      </c>
      <c r="BO815" s="1906">
        <f>BN815</f>
        <v>1100</v>
      </c>
      <c r="BP815" s="2971">
        <v>1100</v>
      </c>
      <c r="BQ815" s="2971">
        <v>1100</v>
      </c>
      <c r="BR815" s="2971">
        <v>1100</v>
      </c>
      <c r="BS815" s="2949">
        <v>1100</v>
      </c>
      <c r="BT815" s="3218">
        <f>BS815</f>
        <v>1100</v>
      </c>
      <c r="BU815" s="3562">
        <f t="shared" ref="BU815:BX816" si="1859">BT815</f>
        <v>1100</v>
      </c>
      <c r="BV815" s="3444">
        <f t="shared" si="1859"/>
        <v>1100</v>
      </c>
      <c r="BW815" s="3444">
        <f t="shared" si="1859"/>
        <v>1100</v>
      </c>
      <c r="BX815" s="3444">
        <f t="shared" si="1859"/>
        <v>1100</v>
      </c>
      <c r="BY815" s="3234">
        <f>BX815</f>
        <v>1100</v>
      </c>
      <c r="BZ815" s="2857">
        <f>BY815</f>
        <v>1100</v>
      </c>
      <c r="CA815" s="2857">
        <f>BZ815</f>
        <v>1100</v>
      </c>
      <c r="CB815" s="552">
        <f t="shared" ref="CB815:CF816" si="1860">CA815</f>
        <v>1100</v>
      </c>
      <c r="CC815" s="552">
        <f t="shared" si="1860"/>
        <v>1100</v>
      </c>
      <c r="CD815" s="552">
        <f t="shared" si="1860"/>
        <v>1100</v>
      </c>
      <c r="CE815" s="552">
        <f t="shared" si="1860"/>
        <v>1100</v>
      </c>
      <c r="CF815" s="552">
        <f t="shared" si="1860"/>
        <v>1100</v>
      </c>
      <c r="CG815" s="331"/>
      <c r="CH815" s="331"/>
      <c r="CI815" s="331"/>
      <c r="CJ815" s="331"/>
      <c r="CK815" s="331"/>
      <c r="CL815" s="520" t="str">
        <f t="shared" si="1841"/>
        <v>Slots</v>
      </c>
      <c r="CM815" s="330">
        <f t="shared" si="1842"/>
        <v>1183</v>
      </c>
      <c r="CN815" s="330">
        <f t="shared" si="1843"/>
        <v>1183</v>
      </c>
      <c r="CO815" s="330">
        <f t="shared" si="1844"/>
        <v>1211</v>
      </c>
      <c r="CP815" s="330">
        <f t="shared" si="1845"/>
        <v>1211</v>
      </c>
      <c r="CQ815" s="330">
        <f t="shared" si="1846"/>
        <v>1194</v>
      </c>
      <c r="CR815" s="330">
        <f t="shared" si="1847"/>
        <v>1194</v>
      </c>
      <c r="CS815" s="330">
        <f t="shared" si="1848"/>
        <v>1194</v>
      </c>
      <c r="CT815" s="330">
        <f t="shared" si="1849"/>
        <v>1173</v>
      </c>
      <c r="CU815" s="330">
        <f t="shared" si="1850"/>
        <v>1177</v>
      </c>
      <c r="CV815" s="330">
        <f t="shared" si="1851"/>
        <v>1177</v>
      </c>
      <c r="CW815" s="330">
        <f t="shared" si="1852"/>
        <v>1154</v>
      </c>
      <c r="CX815" s="330">
        <f t="shared" si="1853"/>
        <v>1100</v>
      </c>
      <c r="CY815" s="330">
        <f t="shared" si="1854"/>
        <v>1100</v>
      </c>
      <c r="CZ815" s="330">
        <f t="shared" si="1855"/>
        <v>1100</v>
      </c>
      <c r="DA815" s="330">
        <f t="shared" si="1856"/>
        <v>1100</v>
      </c>
      <c r="DB815" s="330">
        <f t="shared" si="1856"/>
        <v>1100</v>
      </c>
      <c r="DC815" s="1888">
        <f t="shared" si="1856"/>
        <v>1100</v>
      </c>
      <c r="DD815" s="331"/>
      <c r="DE815" s="331"/>
      <c r="DF815" s="502"/>
      <c r="DG815" s="503"/>
      <c r="DH815" s="3297"/>
      <c r="DI815" s="3213"/>
      <c r="DJ815" s="502"/>
      <c r="DK815" s="503"/>
      <c r="DL815" s="502"/>
      <c r="DM815" s="502"/>
      <c r="DN815" s="502"/>
      <c r="DO815" s="502"/>
      <c r="DP815" s="503"/>
      <c r="DQ815" s="503"/>
      <c r="DR815" s="296"/>
      <c r="DS815" s="296"/>
      <c r="DT815" s="296"/>
    </row>
    <row r="816" spans="1:124" ht="12" customHeight="1" x14ac:dyDescent="0.25">
      <c r="A816" s="281" t="s">
        <v>584</v>
      </c>
      <c r="B816" s="281"/>
      <c r="C816" s="340">
        <v>25</v>
      </c>
      <c r="D816" s="340">
        <v>24</v>
      </c>
      <c r="E816" s="340">
        <v>24</v>
      </c>
      <c r="F816" s="340">
        <v>25</v>
      </c>
      <c r="G816" s="345">
        <f>F816</f>
        <v>25</v>
      </c>
      <c r="H816" s="340">
        <v>24</v>
      </c>
      <c r="I816" s="340">
        <v>24</v>
      </c>
      <c r="J816" s="340">
        <v>24</v>
      </c>
      <c r="K816" s="340">
        <v>24</v>
      </c>
      <c r="L816" s="345">
        <f>K816</f>
        <v>24</v>
      </c>
      <c r="M816" s="340">
        <v>24</v>
      </c>
      <c r="N816" s="340">
        <v>24</v>
      </c>
      <c r="O816" s="340">
        <v>24</v>
      </c>
      <c r="P816" s="340">
        <v>20</v>
      </c>
      <c r="Q816" s="345">
        <f>P816</f>
        <v>20</v>
      </c>
      <c r="R816" s="340">
        <v>20</v>
      </c>
      <c r="S816" s="340">
        <v>20</v>
      </c>
      <c r="T816" s="340">
        <v>20</v>
      </c>
      <c r="U816" s="340">
        <v>21</v>
      </c>
      <c r="V816" s="345">
        <f>U816</f>
        <v>21</v>
      </c>
      <c r="W816" s="340">
        <v>21</v>
      </c>
      <c r="X816" s="340">
        <v>21</v>
      </c>
      <c r="Y816" s="340">
        <v>21</v>
      </c>
      <c r="Z816" s="340">
        <v>20</v>
      </c>
      <c r="AA816" s="345">
        <f>Z816</f>
        <v>20</v>
      </c>
      <c r="AB816" s="339">
        <v>21</v>
      </c>
      <c r="AC816" s="339">
        <f>21*0.0833</f>
        <v>1.7493000000000001</v>
      </c>
      <c r="AD816" s="339">
        <v>20</v>
      </c>
      <c r="AE816" s="339">
        <v>20</v>
      </c>
      <c r="AF816" s="348">
        <f>AE816</f>
        <v>20</v>
      </c>
      <c r="AG816" s="331">
        <f>AE816</f>
        <v>20</v>
      </c>
      <c r="AH816" s="331">
        <f t="shared" si="1858"/>
        <v>20</v>
      </c>
      <c r="AI816" s="331">
        <f t="shared" si="1858"/>
        <v>20</v>
      </c>
      <c r="AJ816" s="331">
        <f t="shared" si="1858"/>
        <v>20</v>
      </c>
      <c r="AK816" s="348">
        <f>AJ816</f>
        <v>20</v>
      </c>
      <c r="AL816" s="2651">
        <v>24</v>
      </c>
      <c r="AM816" s="2655">
        <v>23</v>
      </c>
      <c r="AN816" s="2655">
        <v>23</v>
      </c>
      <c r="AO816" s="2655">
        <v>22</v>
      </c>
      <c r="AP816" s="568">
        <f>AO816</f>
        <v>22</v>
      </c>
      <c r="AQ816" s="2651">
        <v>22</v>
      </c>
      <c r="AR816" s="2655">
        <v>22</v>
      </c>
      <c r="AS816" s="2655">
        <v>22</v>
      </c>
      <c r="AT816" s="2655">
        <v>22</v>
      </c>
      <c r="AU816" s="1692">
        <f>AT816</f>
        <v>22</v>
      </c>
      <c r="AV816" s="2651">
        <v>21</v>
      </c>
      <c r="AW816" s="2655">
        <v>21</v>
      </c>
      <c r="AX816" s="2655">
        <v>19</v>
      </c>
      <c r="AY816" s="2655">
        <v>18</v>
      </c>
      <c r="AZ816" s="1692">
        <f>AY816</f>
        <v>18</v>
      </c>
      <c r="BA816" s="2651">
        <v>17</v>
      </c>
      <c r="BB816" s="2661">
        <v>17</v>
      </c>
      <c r="BC816" s="2661">
        <v>16</v>
      </c>
      <c r="BD816" s="2661">
        <v>16</v>
      </c>
      <c r="BE816" s="1692">
        <f>BD816</f>
        <v>16</v>
      </c>
      <c r="BF816" s="2651">
        <v>16</v>
      </c>
      <c r="BG816" s="2942">
        <v>18</v>
      </c>
      <c r="BH816" s="2942">
        <v>17</v>
      </c>
      <c r="BI816" s="2939">
        <v>17</v>
      </c>
      <c r="BJ816" s="1906">
        <f>BI816</f>
        <v>17</v>
      </c>
      <c r="BK816" s="2971">
        <v>19</v>
      </c>
      <c r="BL816" s="2971">
        <v>17</v>
      </c>
      <c r="BM816" s="2971">
        <v>18</v>
      </c>
      <c r="BN816" s="2949">
        <v>18</v>
      </c>
      <c r="BO816" s="1906">
        <f>BN816</f>
        <v>18</v>
      </c>
      <c r="BP816" s="2971">
        <v>19</v>
      </c>
      <c r="BQ816" s="2971">
        <v>18</v>
      </c>
      <c r="BR816" s="2971">
        <v>18</v>
      </c>
      <c r="BS816" s="2949">
        <v>17</v>
      </c>
      <c r="BT816" s="3218">
        <f>BS816</f>
        <v>17</v>
      </c>
      <c r="BU816" s="3562">
        <f t="shared" si="1859"/>
        <v>17</v>
      </c>
      <c r="BV816" s="3444">
        <f t="shared" si="1859"/>
        <v>17</v>
      </c>
      <c r="BW816" s="3444">
        <f t="shared" si="1859"/>
        <v>17</v>
      </c>
      <c r="BX816" s="3444">
        <f t="shared" si="1859"/>
        <v>17</v>
      </c>
      <c r="BY816" s="3234">
        <f>BX816</f>
        <v>17</v>
      </c>
      <c r="BZ816" s="2857">
        <f>BY816</f>
        <v>17</v>
      </c>
      <c r="CA816" s="2857">
        <f>BZ816</f>
        <v>17</v>
      </c>
      <c r="CB816" s="552">
        <f t="shared" si="1860"/>
        <v>17</v>
      </c>
      <c r="CC816" s="552">
        <f t="shared" si="1860"/>
        <v>17</v>
      </c>
      <c r="CD816" s="552">
        <f t="shared" si="1860"/>
        <v>17</v>
      </c>
      <c r="CE816" s="552">
        <f t="shared" si="1860"/>
        <v>17</v>
      </c>
      <c r="CF816" s="552">
        <f t="shared" si="1860"/>
        <v>17</v>
      </c>
      <c r="CG816" s="331"/>
      <c r="CH816" s="331"/>
      <c r="CI816" s="331"/>
      <c r="CJ816" s="331"/>
      <c r="CK816" s="331"/>
      <c r="CL816" s="520" t="str">
        <f t="shared" si="1841"/>
        <v>Tables</v>
      </c>
      <c r="CM816" s="330">
        <f t="shared" si="1842"/>
        <v>25</v>
      </c>
      <c r="CN816" s="330">
        <f t="shared" si="1843"/>
        <v>24</v>
      </c>
      <c r="CO816" s="330">
        <f t="shared" si="1844"/>
        <v>20</v>
      </c>
      <c r="CP816" s="330">
        <f t="shared" si="1845"/>
        <v>21</v>
      </c>
      <c r="CQ816" s="330">
        <f t="shared" si="1846"/>
        <v>20</v>
      </c>
      <c r="CR816" s="330">
        <f t="shared" si="1847"/>
        <v>20</v>
      </c>
      <c r="CS816" s="330">
        <f t="shared" si="1848"/>
        <v>20</v>
      </c>
      <c r="CT816" s="330">
        <f t="shared" si="1849"/>
        <v>22</v>
      </c>
      <c r="CU816" s="330">
        <f t="shared" si="1850"/>
        <v>22</v>
      </c>
      <c r="CV816" s="330">
        <f t="shared" si="1851"/>
        <v>18</v>
      </c>
      <c r="CW816" s="330">
        <f t="shared" si="1852"/>
        <v>16</v>
      </c>
      <c r="CX816" s="330">
        <f t="shared" si="1853"/>
        <v>17</v>
      </c>
      <c r="CY816" s="330">
        <f t="shared" si="1854"/>
        <v>18</v>
      </c>
      <c r="CZ816" s="330">
        <f t="shared" si="1855"/>
        <v>17</v>
      </c>
      <c r="DA816" s="330">
        <f t="shared" si="1856"/>
        <v>17</v>
      </c>
      <c r="DB816" s="330">
        <f t="shared" si="1856"/>
        <v>17</v>
      </c>
      <c r="DC816" s="1888">
        <f t="shared" si="1856"/>
        <v>17</v>
      </c>
      <c r="DD816" s="331"/>
      <c r="DE816" s="331"/>
      <c r="DF816" s="502"/>
      <c r="DG816" s="503"/>
      <c r="DH816" s="3297"/>
      <c r="DI816" s="3213"/>
      <c r="DJ816" s="502"/>
      <c r="DK816" s="503"/>
      <c r="DL816" s="502"/>
      <c r="DM816" s="502"/>
      <c r="DN816" s="502"/>
      <c r="DO816" s="502"/>
      <c r="DP816" s="503"/>
      <c r="DQ816" s="503"/>
      <c r="DR816" s="296"/>
      <c r="DS816" s="296"/>
      <c r="DT816" s="296"/>
    </row>
    <row r="817" spans="1:124" ht="12" customHeight="1" x14ac:dyDescent="0.25">
      <c r="A817" s="511" t="s">
        <v>2111</v>
      </c>
      <c r="B817" s="281"/>
      <c r="C817" s="340">
        <v>1322</v>
      </c>
      <c r="D817" s="305">
        <f>AVERAGE(C814:D814)</f>
        <v>1324.5</v>
      </c>
      <c r="E817" s="305">
        <f>AVERAGE(D814:E814)</f>
        <v>1327</v>
      </c>
      <c r="F817" s="305">
        <f>AVERAGE(E814:F814)</f>
        <v>1330</v>
      </c>
      <c r="G817" s="345">
        <f>AVERAGE(C817:F817)</f>
        <v>1325.875</v>
      </c>
      <c r="H817" s="305">
        <f>AVERAGE(G814:H814)</f>
        <v>1330</v>
      </c>
      <c r="I817" s="305">
        <f>AVERAGE(H814:I814)</f>
        <v>1327</v>
      </c>
      <c r="J817" s="305">
        <f>AVERAGE(I814:J814)</f>
        <v>1327</v>
      </c>
      <c r="K817" s="305">
        <f>AVERAGE(J814:K814)</f>
        <v>1327</v>
      </c>
      <c r="L817" s="345">
        <f>AVERAGE(H817:K817)</f>
        <v>1327.75</v>
      </c>
      <c r="M817" s="305">
        <f>AVERAGE(L814:M814)</f>
        <v>1327</v>
      </c>
      <c r="N817" s="305">
        <f>AVERAGE(M814:N814)</f>
        <v>1327</v>
      </c>
      <c r="O817" s="305">
        <f>AVERAGE(N814:O814)</f>
        <v>1327</v>
      </c>
      <c r="P817" s="305">
        <f>AVERAGE(O814:P814)</f>
        <v>1329</v>
      </c>
      <c r="Q817" s="345">
        <f>AVERAGE(M817:P817)</f>
        <v>1327.5</v>
      </c>
      <c r="R817" s="305">
        <f>AVERAGE(Q814:R814)</f>
        <v>1331</v>
      </c>
      <c r="S817" s="305">
        <f>AVERAGE(R814:S814)</f>
        <v>1331</v>
      </c>
      <c r="T817" s="305">
        <f>AVERAGE(S814:T814)</f>
        <v>1331</v>
      </c>
      <c r="U817" s="305">
        <f>AVERAGE(T814:U814)</f>
        <v>1334</v>
      </c>
      <c r="V817" s="345">
        <f>AVERAGE(R817:U817)</f>
        <v>1331.75</v>
      </c>
      <c r="W817" s="305">
        <f>AVERAGE(V814:W814)</f>
        <v>1337</v>
      </c>
      <c r="X817" s="305">
        <f>AVERAGE(W814:X814)</f>
        <v>1337</v>
      </c>
      <c r="Y817" s="305">
        <f>AVERAGE(X814:Y814)</f>
        <v>1337</v>
      </c>
      <c r="Z817" s="305">
        <f>AVERAGE(Y814:Z814)</f>
        <v>1325.5</v>
      </c>
      <c r="AA817" s="345">
        <f>AVERAGE(W817:Z817)</f>
        <v>1334.125</v>
      </c>
      <c r="AB817" s="305">
        <f>AVERAGE(AA814:AB814)</f>
        <v>1317</v>
      </c>
      <c r="AC817" s="340">
        <v>110</v>
      </c>
      <c r="AD817" s="340">
        <v>1314</v>
      </c>
      <c r="AE817" s="331">
        <f>AVERAGE(AD814:AE814)</f>
        <v>1314</v>
      </c>
      <c r="AF817" s="348">
        <f>AVERAGE(AB817:AE817)</f>
        <v>1013.75</v>
      </c>
      <c r="AG817" s="305">
        <f>AVERAGE(AF814:AG814)</f>
        <v>1314</v>
      </c>
      <c r="AH817" s="305">
        <f>AVERAGE(AG814:AH814)</f>
        <v>1314</v>
      </c>
      <c r="AI817" s="305">
        <f>AVERAGE(AH814:AI814)</f>
        <v>1314</v>
      </c>
      <c r="AJ817" s="331">
        <f>AVERAGE(AI814:AJ814)</f>
        <v>1314</v>
      </c>
      <c r="AK817" s="348">
        <f>AVERAGE(AG817:AJ817)</f>
        <v>1314</v>
      </c>
      <c r="AL817" s="305">
        <f>AVERAGE(AK814:AL814)</f>
        <v>1316.5</v>
      </c>
      <c r="AM817" s="305">
        <f>AVERAGE(AL814:AM814)</f>
        <v>1311.5</v>
      </c>
      <c r="AN817" s="305">
        <f>AVERAGE(AM814:AN814)</f>
        <v>1304</v>
      </c>
      <c r="AO817" s="331">
        <f>AVERAGE(AN814:AO814)</f>
        <v>1304.5</v>
      </c>
      <c r="AP817" s="568">
        <f>AVERAGE(AL817:AO817)</f>
        <v>1309.125</v>
      </c>
      <c r="AQ817" s="568">
        <f>AVERAGE(AP814:AQ814)</f>
        <v>1307</v>
      </c>
      <c r="AR817" s="330">
        <f>AVERAGE(AQ814:AR814)</f>
        <v>1309</v>
      </c>
      <c r="AS817" s="330">
        <f>AVERAGE(AR814:AS814)</f>
        <v>1308.5</v>
      </c>
      <c r="AT817" s="330">
        <f>AVERAGE(AS814:AT814)</f>
        <v>1308.5</v>
      </c>
      <c r="AU817" s="1692">
        <f>AVERAGE(AQ817:AT817)</f>
        <v>1308.25</v>
      </c>
      <c r="AV817" s="1912">
        <f>AVERAGE(AU814:AV814)</f>
        <v>1306</v>
      </c>
      <c r="AW817" s="1839">
        <f>AVERAGE(AV814:AW814)</f>
        <v>1303</v>
      </c>
      <c r="AX817" s="1839">
        <f>AVERAGE(AW814:AX814)</f>
        <v>1297</v>
      </c>
      <c r="AY817" s="1906">
        <f>AVERAGE(AX814:AY814)</f>
        <v>1288</v>
      </c>
      <c r="AZ817" s="1692">
        <f>AVERAGE(AV817:AY817)</f>
        <v>1298.5</v>
      </c>
      <c r="BA817" s="553">
        <f>AVERAGE(AZ814:BA814)</f>
        <v>1275.5</v>
      </c>
      <c r="BB817" s="551">
        <f>AVERAGE(BA814:BB814)</f>
        <v>1269</v>
      </c>
      <c r="BC817" s="551">
        <f>AVERAGE(BB814:BC814)</f>
        <v>1269</v>
      </c>
      <c r="BD817" s="1895">
        <f>AVERAGE(BC814:BD814)</f>
        <v>1258</v>
      </c>
      <c r="BE817" s="1906">
        <f>AVERAGE(BA817:BD817)</f>
        <v>1267.875</v>
      </c>
      <c r="BF817" s="551">
        <f>AVERAGE(BE814:BF814)</f>
        <v>1229</v>
      </c>
      <c r="BG817" s="551">
        <f>AVERAGE(BF814:BG814)</f>
        <v>1208</v>
      </c>
      <c r="BH817" s="551">
        <f>AVERAGE(BG814:BH814)</f>
        <v>1205</v>
      </c>
      <c r="BI817" s="1895">
        <f>AVERAGE(BH814:BI814)</f>
        <v>1202</v>
      </c>
      <c r="BJ817" s="1906">
        <f>AVERAGE(BF817:BI817)</f>
        <v>1211</v>
      </c>
      <c r="BK817" s="551">
        <f>AVERAGE(BJ814:BK814)</f>
        <v>1208</v>
      </c>
      <c r="BL817" s="551">
        <f>AVERAGE(BK814:BL814)</f>
        <v>1208</v>
      </c>
      <c r="BM817" s="551">
        <f>AVERAGE(BL814:BM814)</f>
        <v>1205</v>
      </c>
      <c r="BN817" s="1895">
        <f>AVERAGE(BM814:BN814)</f>
        <v>1208</v>
      </c>
      <c r="BO817" s="1906">
        <f>AVERAGE(BK817:BN817)</f>
        <v>1207.25</v>
      </c>
      <c r="BP817" s="551">
        <f>AVERAGE(BO814:BP814)</f>
        <v>1211</v>
      </c>
      <c r="BQ817" s="551">
        <f>AVERAGE(BP814:BQ814)</f>
        <v>1211</v>
      </c>
      <c r="BR817" s="551">
        <f>AVERAGE(BQ814:BR814)</f>
        <v>1208</v>
      </c>
      <c r="BS817" s="1895">
        <f>AVERAGE(BR814:BS814)</f>
        <v>1205</v>
      </c>
      <c r="BT817" s="3218">
        <f>AVERAGE(BP817:BS817)</f>
        <v>1208.75</v>
      </c>
      <c r="BU817" s="3297">
        <f>AVERAGE(BT814:BU814)</f>
        <v>1202</v>
      </c>
      <c r="BV817" s="3297">
        <f>AVERAGE(BU814:BV814)</f>
        <v>1202</v>
      </c>
      <c r="BW817" s="3297">
        <f>AVERAGE(BV814:BW814)</f>
        <v>1202</v>
      </c>
      <c r="BX817" s="3297">
        <f>AVERAGE(BW814:BX814)</f>
        <v>1202</v>
      </c>
      <c r="BY817" s="3234">
        <f>AVERAGE(BU817:BX817)</f>
        <v>1202</v>
      </c>
      <c r="BZ817" s="552">
        <f t="shared" ref="BZ817:CF817" si="1861">AVERAGE(BY814:BZ814)</f>
        <v>1202</v>
      </c>
      <c r="CA817" s="552">
        <f t="shared" si="1861"/>
        <v>1202</v>
      </c>
      <c r="CB817" s="552">
        <f t="shared" si="1861"/>
        <v>1202</v>
      </c>
      <c r="CC817" s="552">
        <f t="shared" si="1861"/>
        <v>1202</v>
      </c>
      <c r="CD817" s="552">
        <f t="shared" si="1861"/>
        <v>1202</v>
      </c>
      <c r="CE817" s="552">
        <f t="shared" si="1861"/>
        <v>1202</v>
      </c>
      <c r="CF817" s="552">
        <f t="shared" si="1861"/>
        <v>1202</v>
      </c>
      <c r="CG817" s="331"/>
      <c r="CH817" s="331"/>
      <c r="CI817" s="331"/>
      <c r="CJ817" s="331"/>
      <c r="CK817" s="331"/>
      <c r="CL817" s="1118" t="str">
        <f t="shared" si="1841"/>
        <v>Average Positions</v>
      </c>
      <c r="CM817" s="330">
        <f t="shared" si="1842"/>
        <v>1325.875</v>
      </c>
      <c r="CN817" s="330">
        <f t="shared" si="1843"/>
        <v>1327.75</v>
      </c>
      <c r="CO817" s="330">
        <f t="shared" si="1844"/>
        <v>1327.5</v>
      </c>
      <c r="CP817" s="330">
        <f t="shared" si="1845"/>
        <v>1331.75</v>
      </c>
      <c r="CQ817" s="330">
        <f t="shared" si="1846"/>
        <v>1334.125</v>
      </c>
      <c r="CR817" s="330">
        <f t="shared" si="1847"/>
        <v>1013.75</v>
      </c>
      <c r="CS817" s="330">
        <f t="shared" si="1848"/>
        <v>1314</v>
      </c>
      <c r="CT817" s="330">
        <f t="shared" si="1849"/>
        <v>1309.125</v>
      </c>
      <c r="CU817" s="330">
        <f t="shared" si="1850"/>
        <v>1308.25</v>
      </c>
      <c r="CV817" s="330">
        <f t="shared" si="1851"/>
        <v>1298.5</v>
      </c>
      <c r="CW817" s="330">
        <f t="shared" si="1852"/>
        <v>1267.875</v>
      </c>
      <c r="CX817" s="330">
        <f t="shared" si="1853"/>
        <v>1211</v>
      </c>
      <c r="CY817" s="330">
        <f t="shared" si="1854"/>
        <v>1207.25</v>
      </c>
      <c r="CZ817" s="330">
        <f t="shared" si="1855"/>
        <v>1208.75</v>
      </c>
      <c r="DA817" s="330">
        <f t="shared" si="1856"/>
        <v>1202</v>
      </c>
      <c r="DB817" s="330">
        <f t="shared" si="1856"/>
        <v>1202</v>
      </c>
      <c r="DC817" s="1888">
        <f t="shared" si="1856"/>
        <v>1202</v>
      </c>
      <c r="DD817" s="331"/>
      <c r="DE817" s="331"/>
      <c r="DF817" s="502"/>
      <c r="DG817" s="503"/>
      <c r="DH817" s="3297"/>
      <c r="DI817" s="3213"/>
      <c r="DJ817" s="502"/>
      <c r="DK817" s="503"/>
      <c r="DL817" s="502"/>
      <c r="DM817" s="502"/>
      <c r="DN817" s="502"/>
      <c r="DO817" s="502"/>
      <c r="DP817" s="503"/>
      <c r="DQ817" s="503"/>
      <c r="DR817" s="296"/>
      <c r="DS817" s="296"/>
      <c r="DT817" s="296"/>
    </row>
    <row r="818" spans="1:124" ht="12" customHeight="1" x14ac:dyDescent="0.25">
      <c r="A818" s="557" t="s">
        <v>901</v>
      </c>
      <c r="B818" s="558"/>
      <c r="C818" s="318">
        <f t="shared" ref="C818:AB818" si="1862">C824*1000000/C817/C$5</f>
        <v>458.84523948064037</v>
      </c>
      <c r="D818" s="318">
        <f t="shared" si="1862"/>
        <v>459.15730173940818</v>
      </c>
      <c r="E818" s="318">
        <f t="shared" si="1862"/>
        <v>483.83899610104521</v>
      </c>
      <c r="F818" s="318">
        <f t="shared" si="1862"/>
        <v>478.43249427917624</v>
      </c>
      <c r="G818" s="559">
        <f t="shared" si="1862"/>
        <v>470.15451699336603</v>
      </c>
      <c r="H818" s="318">
        <f t="shared" si="1862"/>
        <v>469.9415204678362</v>
      </c>
      <c r="I818" s="318">
        <f t="shared" si="1862"/>
        <v>481.90995138998153</v>
      </c>
      <c r="J818" s="318">
        <f t="shared" si="1862"/>
        <v>519.68316896563022</v>
      </c>
      <c r="K818" s="318">
        <f t="shared" si="1862"/>
        <v>500.44231840372197</v>
      </c>
      <c r="L818" s="559">
        <f t="shared" si="1862"/>
        <v>493.13417745026481</v>
      </c>
      <c r="M818" s="318">
        <f t="shared" si="1862"/>
        <v>529.15515364648741</v>
      </c>
      <c r="N818" s="318">
        <f t="shared" si="1862"/>
        <v>524.1932144720389</v>
      </c>
      <c r="O818" s="318">
        <f t="shared" si="1862"/>
        <v>532.08446643294781</v>
      </c>
      <c r="P818" s="318">
        <f t="shared" si="1862"/>
        <v>509.80632708476458</v>
      </c>
      <c r="Q818" s="559">
        <f t="shared" si="1862"/>
        <v>523.77576554962207</v>
      </c>
      <c r="R818" s="318">
        <f t="shared" si="1862"/>
        <v>530.80390683696464</v>
      </c>
      <c r="S818" s="318">
        <f t="shared" si="1862"/>
        <v>509.34189777164988</v>
      </c>
      <c r="T818" s="318">
        <f t="shared" si="1862"/>
        <v>486.15784143991124</v>
      </c>
      <c r="U818" s="318">
        <f t="shared" si="1862"/>
        <v>450.85880972557203</v>
      </c>
      <c r="V818" s="559">
        <f t="shared" si="1862"/>
        <v>494.02706810227556</v>
      </c>
      <c r="W818" s="318">
        <f t="shared" si="1862"/>
        <v>398.16055298478636</v>
      </c>
      <c r="X818" s="318">
        <f t="shared" si="1862"/>
        <v>390.12221884323606</v>
      </c>
      <c r="Y818" s="318">
        <f t="shared" si="1862"/>
        <v>404.56407921693608</v>
      </c>
      <c r="Z818" s="318">
        <f t="shared" si="1862"/>
        <v>326.17716038246431</v>
      </c>
      <c r="AA818" s="559">
        <f t="shared" si="1862"/>
        <v>379.7888446357926</v>
      </c>
      <c r="AB818" s="318">
        <f t="shared" si="1862"/>
        <v>304.5642453387328</v>
      </c>
      <c r="AC818" s="318" t="s">
        <v>553</v>
      </c>
      <c r="AD818" s="318" t="s">
        <v>553</v>
      </c>
      <c r="AE818" s="560">
        <f t="shared" ref="AE818:CA818" si="1863">AE824*1000000/AE817/AE$5</f>
        <v>303.5867910793462</v>
      </c>
      <c r="AF818" s="561">
        <f t="shared" si="1863"/>
        <v>324.03763322804588</v>
      </c>
      <c r="AG818" s="318">
        <f t="shared" si="1863"/>
        <v>335.70099780145443</v>
      </c>
      <c r="AH818" s="318">
        <f t="shared" si="1863"/>
        <v>307.75921186880089</v>
      </c>
      <c r="AI818" s="318">
        <f t="shared" si="1863"/>
        <v>280.70610813314806</v>
      </c>
      <c r="AJ818" s="560">
        <f t="shared" si="1863"/>
        <v>272.36781152802598</v>
      </c>
      <c r="AK818" s="561">
        <f t="shared" si="1863"/>
        <v>298.90953066032819</v>
      </c>
      <c r="AL818" s="318">
        <f t="shared" si="1863"/>
        <v>341.52846351858886</v>
      </c>
      <c r="AM818" s="318">
        <f t="shared" si="1863"/>
        <v>340.9232780182075</v>
      </c>
      <c r="AN818" s="318">
        <f t="shared" si="1863"/>
        <v>287.98512936783141</v>
      </c>
      <c r="AO818" s="560">
        <f t="shared" si="1863"/>
        <v>256.69505224390491</v>
      </c>
      <c r="AP818" s="562">
        <f t="shared" si="1863"/>
        <v>306.61492239012517</v>
      </c>
      <c r="AQ818" s="562">
        <f t="shared" si="1863"/>
        <v>295.80366076157964</v>
      </c>
      <c r="AR818" s="560">
        <f t="shared" si="1863"/>
        <v>296.98033059377599</v>
      </c>
      <c r="AS818" s="560">
        <f t="shared" si="1863"/>
        <v>312.74609160838003</v>
      </c>
      <c r="AT818" s="560">
        <f t="shared" si="1863"/>
        <v>279.02011928693662</v>
      </c>
      <c r="AU818" s="1688">
        <f t="shared" si="1863"/>
        <v>296.13664439313771</v>
      </c>
      <c r="AV818" s="1732">
        <f t="shared" si="1863"/>
        <v>294.67413646418242</v>
      </c>
      <c r="AW818" s="1766">
        <f t="shared" si="1863"/>
        <v>296.91103370919183</v>
      </c>
      <c r="AX818" s="1766">
        <f t="shared" si="1863"/>
        <v>267.80355167443258</v>
      </c>
      <c r="AY818" s="1901">
        <f t="shared" si="1863"/>
        <v>248.65770152578986</v>
      </c>
      <c r="AZ818" s="1688">
        <f t="shared" si="1863"/>
        <v>276.95172828500745</v>
      </c>
      <c r="BA818" s="562">
        <f t="shared" si="1863"/>
        <v>253.7737532122479</v>
      </c>
      <c r="BB818" s="560">
        <f t="shared" si="1863"/>
        <v>286.52343716173505</v>
      </c>
      <c r="BC818" s="560">
        <f t="shared" si="1863"/>
        <v>266.16880803097263</v>
      </c>
      <c r="BD818" s="1878">
        <f t="shared" si="1863"/>
        <v>253.29470519112459</v>
      </c>
      <c r="BE818" s="1901">
        <f t="shared" si="1863"/>
        <v>264.94420742289367</v>
      </c>
      <c r="BF818" s="560">
        <f>BF824*1000000/BF817/BF$5</f>
        <v>268.55787903444536</v>
      </c>
      <c r="BG818" s="560">
        <f>BG824*1000000/BG817/BG$5</f>
        <v>307.61415653882534</v>
      </c>
      <c r="BH818" s="560">
        <f>BH824*1000000/BH817/BH$5</f>
        <v>294.57481508208554</v>
      </c>
      <c r="BI818" s="1878">
        <f>BI824*1000000/BI817/BI$5</f>
        <v>263.38071511249365</v>
      </c>
      <c r="BJ818" s="1901">
        <f t="shared" si="1863"/>
        <v>283.48099725122449</v>
      </c>
      <c r="BK818" s="560">
        <f t="shared" ref="BK818:BU818" si="1864">BK824*1000000/BK817/BK$5</f>
        <v>281.10843461174585</v>
      </c>
      <c r="BL818" s="560">
        <f>BL824*1000000/BL817/BL$5</f>
        <v>278.36402008587436</v>
      </c>
      <c r="BM818" s="560">
        <f t="shared" si="1864"/>
        <v>270.50861446869925</v>
      </c>
      <c r="BN818" s="1878">
        <f t="shared" si="1864"/>
        <v>250.76788799308954</v>
      </c>
      <c r="BO818" s="1901">
        <f t="shared" si="1864"/>
        <v>270.13390863713875</v>
      </c>
      <c r="BP818" s="560">
        <f t="shared" si="1864"/>
        <v>281.50941370767964</v>
      </c>
      <c r="BQ818" s="560">
        <f t="shared" si="1864"/>
        <v>285.15116015281166</v>
      </c>
      <c r="BR818" s="560">
        <f t="shared" si="1864"/>
        <v>290.31961740570114</v>
      </c>
      <c r="BS818" s="1878">
        <f t="shared" si="1864"/>
        <v>260.41970052318237</v>
      </c>
      <c r="BT818" s="2556">
        <f t="shared" si="1864"/>
        <v>279.33474352254541</v>
      </c>
      <c r="BU818" s="2588">
        <f t="shared" si="1864"/>
        <v>268.24874283601406</v>
      </c>
      <c r="BV818" s="2588">
        <f>BV824*1000000/BV817/BV$5</f>
        <v>287.28623539522039</v>
      </c>
      <c r="BW818" s="2588">
        <f>BW824*1000000/BW817/BW$5</f>
        <v>294.68648818997326</v>
      </c>
      <c r="BX818" s="2588">
        <f>BX824*1000000/BX817/BX$5</f>
        <v>263.68036316284457</v>
      </c>
      <c r="BY818" s="2589">
        <f>BY824*1000000/BY817/BY$5</f>
        <v>278.50735507031658</v>
      </c>
      <c r="BZ818" s="561">
        <f t="shared" si="1863"/>
        <v>278.50735507031658</v>
      </c>
      <c r="CA818" s="561">
        <f t="shared" si="1863"/>
        <v>272.19147789249246</v>
      </c>
      <c r="CB818" s="561">
        <f>CB824*1000000/CB817/CB$5</f>
        <v>259.29034757046469</v>
      </c>
      <c r="CC818" s="561">
        <f>CC824*1000000/CC817/CC$5</f>
        <v>246.32583019194146</v>
      </c>
      <c r="CD818" s="561">
        <f>CD824*1000000/CD817/CD$5</f>
        <v>251.25234679578028</v>
      </c>
      <c r="CE818" s="561">
        <f>CE824*1000000/CE817/CE$5</f>
        <v>255.57718227341257</v>
      </c>
      <c r="CF818" s="561">
        <f>CF824*1000000/CF817/CF$5</f>
        <v>261.40294160632982</v>
      </c>
      <c r="CG818" s="560"/>
      <c r="CH818" s="560"/>
      <c r="CI818" s="560"/>
      <c r="CJ818" s="560"/>
      <c r="CK818" s="560"/>
      <c r="CL818" s="1307" t="str">
        <f t="shared" si="1841"/>
        <v>Daily Win / Position</v>
      </c>
      <c r="CM818" s="560">
        <f t="shared" si="1842"/>
        <v>470.15451699336603</v>
      </c>
      <c r="CN818" s="560">
        <f t="shared" si="1843"/>
        <v>493.13417745026481</v>
      </c>
      <c r="CO818" s="560">
        <f t="shared" si="1844"/>
        <v>523.77576554962207</v>
      </c>
      <c r="CP818" s="560">
        <f t="shared" si="1845"/>
        <v>494.02706810227556</v>
      </c>
      <c r="CQ818" s="560">
        <f t="shared" si="1846"/>
        <v>379.7888446357926</v>
      </c>
      <c r="CR818" s="560">
        <f t="shared" si="1847"/>
        <v>324.03763322804588</v>
      </c>
      <c r="CS818" s="560">
        <f t="shared" si="1848"/>
        <v>298.90953066032819</v>
      </c>
      <c r="CT818" s="560">
        <f t="shared" si="1849"/>
        <v>306.61492239012517</v>
      </c>
      <c r="CU818" s="560">
        <f t="shared" si="1850"/>
        <v>296.13664439313771</v>
      </c>
      <c r="CV818" s="560">
        <f t="shared" si="1851"/>
        <v>276.95172828500745</v>
      </c>
      <c r="CW818" s="560">
        <f t="shared" si="1852"/>
        <v>264.94420742289367</v>
      </c>
      <c r="CX818" s="560">
        <f t="shared" si="1853"/>
        <v>283.48099725122449</v>
      </c>
      <c r="CY818" s="560">
        <f t="shared" si="1854"/>
        <v>270.13390863713875</v>
      </c>
      <c r="CZ818" s="560">
        <f t="shared" si="1855"/>
        <v>279.33474352254541</v>
      </c>
      <c r="DA818" s="560">
        <f t="shared" si="1856"/>
        <v>278.50735507031658</v>
      </c>
      <c r="DB818" s="560">
        <f t="shared" si="1856"/>
        <v>278.50735507031658</v>
      </c>
      <c r="DC818" s="1878">
        <f t="shared" si="1856"/>
        <v>272.19147789249246</v>
      </c>
      <c r="DD818" s="560"/>
      <c r="DE818" s="560"/>
      <c r="DF818" s="707"/>
      <c r="DG818" s="707"/>
      <c r="DH818" s="2588"/>
      <c r="DI818" s="3213"/>
      <c r="DJ818" s="707"/>
      <c r="DK818" s="707"/>
      <c r="DL818" s="707"/>
      <c r="DM818" s="707"/>
      <c r="DN818" s="707"/>
      <c r="DO818" s="707"/>
      <c r="DP818" s="707"/>
      <c r="DQ818" s="707"/>
      <c r="DR818" s="968"/>
      <c r="DS818" s="968"/>
      <c r="DT818" s="968"/>
    </row>
    <row r="819" spans="1:124" ht="12" customHeight="1" x14ac:dyDescent="0.25">
      <c r="A819" s="465" t="s">
        <v>1491</v>
      </c>
      <c r="B819" s="466"/>
      <c r="C819" s="467" t="s">
        <v>553</v>
      </c>
      <c r="D819" s="467" t="s">
        <v>553</v>
      </c>
      <c r="E819" s="467" t="s">
        <v>553</v>
      </c>
      <c r="F819" s="467" t="s">
        <v>553</v>
      </c>
      <c r="G819" s="468" t="s">
        <v>553</v>
      </c>
      <c r="H819" s="467">
        <f t="shared" ref="H819:AF819" si="1865">(H818-C818)/C818</f>
        <v>2.4183057886261454E-2</v>
      </c>
      <c r="I819" s="467">
        <f t="shared" si="1865"/>
        <v>4.9553060714444368E-2</v>
      </c>
      <c r="J819" s="467">
        <f t="shared" si="1865"/>
        <v>7.4082852257529253E-2</v>
      </c>
      <c r="K819" s="467">
        <f t="shared" si="1865"/>
        <v>4.6004032727138509E-2</v>
      </c>
      <c r="L819" s="468">
        <f t="shared" si="1865"/>
        <v>4.8876825865363391E-2</v>
      </c>
      <c r="M819" s="467">
        <f t="shared" si="1865"/>
        <v>0.12600213132838922</v>
      </c>
      <c r="N819" s="467">
        <f t="shared" si="1865"/>
        <v>8.774100422723996E-2</v>
      </c>
      <c r="O819" s="467">
        <f t="shared" si="1865"/>
        <v>2.3863188588541268E-2</v>
      </c>
      <c r="P819" s="467">
        <f t="shared" si="1865"/>
        <v>1.8711464511856842E-2</v>
      </c>
      <c r="Q819" s="468">
        <f t="shared" si="1865"/>
        <v>6.213641134708741E-2</v>
      </c>
      <c r="R819" s="467">
        <f t="shared" si="1865"/>
        <v>3.115821851333076E-3</v>
      </c>
      <c r="S819" s="467">
        <f t="shared" si="1865"/>
        <v>-2.8331760675969618E-2</v>
      </c>
      <c r="T819" s="467">
        <f t="shared" si="1865"/>
        <v>-8.6314538180234865E-2</v>
      </c>
      <c r="U819" s="467">
        <f t="shared" si="1865"/>
        <v>-0.11562727692351972</v>
      </c>
      <c r="V819" s="468">
        <f t="shared" si="1865"/>
        <v>-5.6796628259671043E-2</v>
      </c>
      <c r="W819" s="467">
        <f t="shared" si="1865"/>
        <v>-0.24989144228910021</v>
      </c>
      <c r="X819" s="467">
        <f t="shared" si="1865"/>
        <v>-0.23406611443118086</v>
      </c>
      <c r="Y819" s="467">
        <f t="shared" si="1865"/>
        <v>-0.16783389111098004</v>
      </c>
      <c r="Z819" s="467">
        <f t="shared" si="1865"/>
        <v>-0.27654255978495518</v>
      </c>
      <c r="AA819" s="468">
        <f t="shared" si="1865"/>
        <v>-0.23123879407116391</v>
      </c>
      <c r="AB819" s="467">
        <f t="shared" si="1865"/>
        <v>-0.23507177429912263</v>
      </c>
      <c r="AC819" s="318" t="s">
        <v>553</v>
      </c>
      <c r="AD819" s="318" t="s">
        <v>553</v>
      </c>
      <c r="AE819" s="469">
        <f t="shared" si="1865"/>
        <v>-6.925797403052196E-2</v>
      </c>
      <c r="AF819" s="470">
        <f t="shared" si="1865"/>
        <v>-0.14679528426173405</v>
      </c>
      <c r="AG819" s="467">
        <f t="shared" ref="AG819:AU819" si="1866">(AG818-AB818)/AB818</f>
        <v>0.10223377477580041</v>
      </c>
      <c r="AH819" s="318" t="s">
        <v>553</v>
      </c>
      <c r="AI819" s="318" t="s">
        <v>553</v>
      </c>
      <c r="AJ819" s="469">
        <f t="shared" si="1866"/>
        <v>-0.10283378746594</v>
      </c>
      <c r="AK819" s="470">
        <f t="shared" si="1866"/>
        <v>-7.754686490390901E-2</v>
      </c>
      <c r="AL819" s="467">
        <f t="shared" si="1866"/>
        <v>1.7359095609781303E-2</v>
      </c>
      <c r="AM819" s="467">
        <f t="shared" si="1866"/>
        <v>0.10775978385187897</v>
      </c>
      <c r="AN819" s="467">
        <f t="shared" si="1866"/>
        <v>2.5931110951211166E-2</v>
      </c>
      <c r="AO819" s="469">
        <f t="shared" si="1866"/>
        <v>-5.7542626627553536E-2</v>
      </c>
      <c r="AP819" s="471">
        <f t="shared" si="1866"/>
        <v>2.577834073331426E-2</v>
      </c>
      <c r="AQ819" s="471">
        <f t="shared" si="1866"/>
        <v>-0.1338828462082795</v>
      </c>
      <c r="AR819" s="469">
        <f t="shared" si="1866"/>
        <v>-0.12889394845629953</v>
      </c>
      <c r="AS819" s="469">
        <f t="shared" si="1866"/>
        <v>8.5980002838696848E-2</v>
      </c>
      <c r="AT819" s="469">
        <f t="shared" si="1866"/>
        <v>8.6971162271639799E-2</v>
      </c>
      <c r="AU819" s="1689">
        <f t="shared" si="1866"/>
        <v>-3.4174064051766193E-2</v>
      </c>
      <c r="AV819" s="1730">
        <f t="shared" ref="AV819:BA819" si="1867">(AV818-AQ818)/AQ818</f>
        <v>-3.8184933022435358E-3</v>
      </c>
      <c r="AW819" s="1465">
        <f t="shared" si="1867"/>
        <v>-2.3333829700307514E-4</v>
      </c>
      <c r="AX819" s="1465">
        <f t="shared" si="1867"/>
        <v>-0.143702962690336</v>
      </c>
      <c r="AY819" s="1868">
        <f t="shared" si="1867"/>
        <v>-0.10881802301117534</v>
      </c>
      <c r="AZ819" s="1689">
        <f t="shared" si="1867"/>
        <v>-6.4783999114480517E-2</v>
      </c>
      <c r="BA819" s="471">
        <f t="shared" si="1867"/>
        <v>-0.13879868706056583</v>
      </c>
      <c r="BB819" s="469">
        <f t="shared" ref="BB819:BJ819" si="1868">(BB818-AW818)/AW818</f>
        <v>-3.4985552465628018E-2</v>
      </c>
      <c r="BC819" s="469">
        <f t="shared" si="1868"/>
        <v>-6.1042642386136287E-3</v>
      </c>
      <c r="BD819" s="1463">
        <f t="shared" si="1868"/>
        <v>1.8648140141574496E-2</v>
      </c>
      <c r="BE819" s="1868">
        <f t="shared" si="1868"/>
        <v>-4.3356006248702644E-2</v>
      </c>
      <c r="BF819" s="469">
        <f t="shared" si="1868"/>
        <v>5.825711144301246E-2</v>
      </c>
      <c r="BG819" s="469">
        <f t="shared" si="1868"/>
        <v>7.3609054763590351E-2</v>
      </c>
      <c r="BH819" s="469">
        <f t="shared" si="1868"/>
        <v>0.10672177277740018</v>
      </c>
      <c r="BI819" s="1463">
        <f t="shared" si="1868"/>
        <v>3.9819268680561695E-2</v>
      </c>
      <c r="BJ819" s="1868">
        <f t="shared" si="1868"/>
        <v>6.9964880563488291E-2</v>
      </c>
      <c r="BK819" s="469">
        <f t="shared" ref="BK819:BT819" si="1869">(BK818-BF818)/BF818</f>
        <v>4.6733149749409307E-2</v>
      </c>
      <c r="BL819" s="469">
        <f t="shared" si="1869"/>
        <v>-9.5087094762035751E-2</v>
      </c>
      <c r="BM819" s="469">
        <f t="shared" si="1869"/>
        <v>-8.1698092916327736E-2</v>
      </c>
      <c r="BN819" s="1463">
        <f t="shared" si="1869"/>
        <v>-4.7888195284218074E-2</v>
      </c>
      <c r="BO819" s="1868">
        <f t="shared" si="1869"/>
        <v>-4.7082833570877371E-2</v>
      </c>
      <c r="BP819" s="469">
        <f t="shared" si="1869"/>
        <v>1.42642143231172E-3</v>
      </c>
      <c r="BQ819" s="469">
        <f t="shared" si="1869"/>
        <v>2.4382246185564813E-2</v>
      </c>
      <c r="BR819" s="469">
        <f t="shared" si="1869"/>
        <v>7.323612586575956E-2</v>
      </c>
      <c r="BS819" s="1463">
        <f t="shared" si="1869"/>
        <v>3.8489029067225719E-2</v>
      </c>
      <c r="BT819" s="1463">
        <f t="shared" si="1869"/>
        <v>3.4060273779867513E-2</v>
      </c>
      <c r="BU819" s="469">
        <f>(BU818-BP818)/BP818</f>
        <v>-4.7105603670630741E-2</v>
      </c>
      <c r="BV819" s="469">
        <f>(BV818-BQ818)/BQ818</f>
        <v>7.4875207986688586E-3</v>
      </c>
      <c r="BW819" s="469">
        <f>(BW818-BR818)/BR818</f>
        <v>1.5041597337770428E-2</v>
      </c>
      <c r="BX819" s="469">
        <f>(BX818-BS818)/BS818</f>
        <v>1.2520798668885415E-2</v>
      </c>
      <c r="BY819" s="470">
        <f>(BY818-BT818)/BT818</f>
        <v>-2.9619962121255135E-3</v>
      </c>
      <c r="BZ819" s="470">
        <f t="shared" ref="BZ819:CF819" si="1870">(BZ818-BY818)/BY818</f>
        <v>0</v>
      </c>
      <c r="CA819" s="470">
        <f t="shared" si="1870"/>
        <v>-2.2677595628415304E-2</v>
      </c>
      <c r="CB819" s="470">
        <f t="shared" si="1870"/>
        <v>-4.7397260273972765E-2</v>
      </c>
      <c r="CC819" s="470">
        <f t="shared" si="1870"/>
        <v>-4.9999999999999968E-2</v>
      </c>
      <c r="CD819" s="470">
        <f t="shared" si="1870"/>
        <v>1.9999999999999962E-2</v>
      </c>
      <c r="CE819" s="470">
        <f t="shared" si="1870"/>
        <v>1.7213114754098393E-2</v>
      </c>
      <c r="CF819" s="470">
        <f t="shared" si="1870"/>
        <v>2.2794520547945219E-2</v>
      </c>
      <c r="CG819" s="492"/>
      <c r="CH819" s="492"/>
      <c r="CI819" s="492"/>
      <c r="CJ819" s="492"/>
      <c r="CK819" s="492"/>
      <c r="CL819" s="1310" t="str">
        <f t="shared" si="1841"/>
        <v>% growth (y-o-y)</v>
      </c>
      <c r="CM819" s="469" t="str">
        <f t="shared" si="1842"/>
        <v xml:space="preserve">n/a </v>
      </c>
      <c r="CN819" s="469">
        <f t="shared" si="1843"/>
        <v>4.8876825865363391E-2</v>
      </c>
      <c r="CO819" s="469">
        <f t="shared" si="1844"/>
        <v>6.213641134708741E-2</v>
      </c>
      <c r="CP819" s="469">
        <f t="shared" si="1845"/>
        <v>-5.6796628259671043E-2</v>
      </c>
      <c r="CQ819" s="469">
        <f t="shared" si="1846"/>
        <v>-0.23123879407116391</v>
      </c>
      <c r="CR819" s="469">
        <f t="shared" si="1847"/>
        <v>-0.14679528426173405</v>
      </c>
      <c r="CS819" s="469">
        <f t="shared" si="1848"/>
        <v>-7.754686490390901E-2</v>
      </c>
      <c r="CT819" s="469">
        <f t="shared" si="1849"/>
        <v>2.577834073331426E-2</v>
      </c>
      <c r="CU819" s="469">
        <f t="shared" si="1850"/>
        <v>-3.4174064051766193E-2</v>
      </c>
      <c r="CV819" s="469">
        <f t="shared" si="1851"/>
        <v>-6.4783999114480517E-2</v>
      </c>
      <c r="CW819" s="469">
        <f t="shared" si="1852"/>
        <v>-4.3356006248702644E-2</v>
      </c>
      <c r="CX819" s="469">
        <f t="shared" si="1853"/>
        <v>6.9964880563488291E-2</v>
      </c>
      <c r="CY819" s="469">
        <f t="shared" si="1854"/>
        <v>-4.7082833570877371E-2</v>
      </c>
      <c r="CZ819" s="469">
        <f t="shared" si="1855"/>
        <v>3.4060273779867513E-2</v>
      </c>
      <c r="DA819" s="469">
        <f t="shared" si="1856"/>
        <v>-2.9619962121255135E-3</v>
      </c>
      <c r="DB819" s="469">
        <f t="shared" si="1856"/>
        <v>0</v>
      </c>
      <c r="DC819" s="1463">
        <f t="shared" si="1856"/>
        <v>-2.2677595628415304E-2</v>
      </c>
      <c r="DD819" s="492"/>
      <c r="DE819" s="492"/>
      <c r="DF819" s="962"/>
      <c r="DG819" s="962"/>
      <c r="DH819" s="469"/>
      <c r="DI819" s="3213"/>
      <c r="DJ819" s="962"/>
      <c r="DK819" s="962"/>
      <c r="DL819" s="962"/>
      <c r="DM819" s="962"/>
      <c r="DN819" s="962"/>
      <c r="DO819" s="962"/>
      <c r="DP819" s="962"/>
      <c r="DQ819" s="962"/>
      <c r="DR819" s="963"/>
      <c r="DS819" s="963"/>
      <c r="DT819" s="963"/>
    </row>
    <row r="820" spans="1:124" ht="5.0999999999999996" customHeight="1" x14ac:dyDescent="0.25">
      <c r="A820" s="281"/>
      <c r="B820" s="281"/>
      <c r="C820" s="305"/>
      <c r="D820" s="305"/>
      <c r="E820" s="305"/>
      <c r="F820" s="305"/>
      <c r="G820" s="440"/>
      <c r="H820" s="305"/>
      <c r="I820" s="305"/>
      <c r="J820" s="305"/>
      <c r="K820" s="305"/>
      <c r="L820" s="440"/>
      <c r="M820" s="305"/>
      <c r="N820" s="305"/>
      <c r="O820" s="305"/>
      <c r="P820" s="305"/>
      <c r="Q820" s="440"/>
      <c r="R820" s="305"/>
      <c r="S820" s="305"/>
      <c r="T820" s="305"/>
      <c r="U820" s="305"/>
      <c r="V820" s="440"/>
      <c r="W820" s="305"/>
      <c r="X820" s="305"/>
      <c r="Y820" s="305"/>
      <c r="Z820" s="305"/>
      <c r="AA820" s="440"/>
      <c r="AB820" s="305"/>
      <c r="AC820" s="305"/>
      <c r="AD820" s="305"/>
      <c r="AE820" s="331"/>
      <c r="AF820" s="441"/>
      <c r="AG820" s="305"/>
      <c r="AH820" s="305"/>
      <c r="AI820" s="305"/>
      <c r="AJ820" s="331"/>
      <c r="AK820" s="441"/>
      <c r="AL820" s="305"/>
      <c r="AM820" s="305"/>
      <c r="AN820" s="305"/>
      <c r="AO820" s="331"/>
      <c r="AP820" s="569"/>
      <c r="AQ820" s="569"/>
      <c r="AR820" s="442"/>
      <c r="AS820" s="442"/>
      <c r="AT820" s="442"/>
      <c r="AU820" s="1690"/>
      <c r="AV820" s="1902"/>
      <c r="AW820" s="1837"/>
      <c r="AX820" s="1837"/>
      <c r="AY820" s="1903"/>
      <c r="AZ820" s="1690"/>
      <c r="BA820" s="569"/>
      <c r="BB820" s="442"/>
      <c r="BC820" s="442"/>
      <c r="BD820" s="1312"/>
      <c r="BE820" s="1903"/>
      <c r="BF820" s="442"/>
      <c r="BG820" s="442"/>
      <c r="BH820" s="442"/>
      <c r="BI820" s="1312"/>
      <c r="BJ820" s="1903"/>
      <c r="BK820" s="442"/>
      <c r="BL820" s="442"/>
      <c r="BM820" s="442"/>
      <c r="BN820" s="1312"/>
      <c r="BO820" s="1903"/>
      <c r="BP820" s="442"/>
      <c r="BQ820" s="442"/>
      <c r="BR820" s="442"/>
      <c r="BS820" s="1312"/>
      <c r="BT820" s="3016"/>
      <c r="BU820" s="3298"/>
      <c r="BV820" s="3298"/>
      <c r="BW820" s="3298"/>
      <c r="BX820" s="3298"/>
      <c r="BY820" s="3236"/>
      <c r="BZ820" s="441"/>
      <c r="CA820" s="441"/>
      <c r="CB820" s="441"/>
      <c r="CC820" s="441"/>
      <c r="CD820" s="441"/>
      <c r="CE820" s="441"/>
      <c r="CF820" s="441"/>
      <c r="CG820" s="331"/>
      <c r="CH820" s="331"/>
      <c r="CI820" s="331"/>
      <c r="CJ820" s="331"/>
      <c r="CK820" s="331"/>
      <c r="CL820" s="520"/>
      <c r="CM820" s="442"/>
      <c r="CN820" s="442"/>
      <c r="CO820" s="442"/>
      <c r="CP820" s="442"/>
      <c r="CQ820" s="442"/>
      <c r="CR820" s="442"/>
      <c r="CS820" s="442"/>
      <c r="CT820" s="442"/>
      <c r="CU820" s="442"/>
      <c r="CV820" s="442"/>
      <c r="CW820" s="442"/>
      <c r="CX820" s="442"/>
      <c r="CY820" s="442"/>
      <c r="CZ820" s="442"/>
      <c r="DA820" s="442"/>
      <c r="DB820" s="442"/>
      <c r="DC820" s="1312"/>
      <c r="DD820" s="331"/>
      <c r="DE820" s="331"/>
      <c r="DF820" s="502"/>
      <c r="DG820" s="503"/>
      <c r="DH820" s="3298"/>
      <c r="DI820" s="3213"/>
      <c r="DJ820" s="502"/>
      <c r="DK820" s="503"/>
      <c r="DL820" s="502"/>
      <c r="DM820" s="502"/>
      <c r="DN820" s="502"/>
      <c r="DO820" s="502"/>
      <c r="DP820" s="503"/>
      <c r="DQ820" s="503"/>
      <c r="DR820" s="296"/>
      <c r="DS820" s="296"/>
      <c r="DT820" s="296"/>
    </row>
    <row r="821" spans="1:124" ht="12" customHeight="1" x14ac:dyDescent="0.25">
      <c r="A821" s="281" t="s">
        <v>1088</v>
      </c>
      <c r="B821" s="281"/>
      <c r="C821" s="340">
        <v>419.23500000000001</v>
      </c>
      <c r="D821" s="340">
        <v>419.46499999999997</v>
      </c>
      <c r="E821" s="340">
        <v>484.61599999999999</v>
      </c>
      <c r="F821" s="340">
        <v>463.07600000000002</v>
      </c>
      <c r="G821" s="345">
        <f>SUM(C821:F821)</f>
        <v>1786.3920000000001</v>
      </c>
      <c r="H821" s="340">
        <v>444.15199999999999</v>
      </c>
      <c r="I821" s="340">
        <v>445.40699999999998</v>
      </c>
      <c r="J821" s="340">
        <v>526.08899999999994</v>
      </c>
      <c r="K821" s="340">
        <v>508.32100000000003</v>
      </c>
      <c r="L821" s="345">
        <f>SUM(H821:K821)</f>
        <v>1923.9690000000001</v>
      </c>
      <c r="M821" s="340">
        <v>527.76599999999996</v>
      </c>
      <c r="N821" s="340">
        <v>520</v>
      </c>
      <c r="O821" s="340">
        <v>557.53</v>
      </c>
      <c r="P821" s="340">
        <v>536.26700000000005</v>
      </c>
      <c r="Q821" s="345">
        <f>SUM(M821:P821)</f>
        <v>2141.5630000000001</v>
      </c>
      <c r="R821" s="340">
        <v>547.76400000000001</v>
      </c>
      <c r="S821" s="340">
        <v>523.02499999999998</v>
      </c>
      <c r="T821" s="340">
        <v>516.01499999999999</v>
      </c>
      <c r="U821" s="340">
        <v>522.74099999999999</v>
      </c>
      <c r="V821" s="345">
        <f>SUM(R821:U821)</f>
        <v>2109.5450000000001</v>
      </c>
      <c r="W821" s="340">
        <v>470.97199999999998</v>
      </c>
      <c r="X821" s="340">
        <v>411.22299999999996</v>
      </c>
      <c r="Y821" s="340">
        <v>465.60199999999998</v>
      </c>
      <c r="Z821" s="340">
        <v>354.38900000000001</v>
      </c>
      <c r="AA821" s="345">
        <f>SUM(W821:Z821)</f>
        <v>1702.1860000000001</v>
      </c>
      <c r="AB821" s="339">
        <v>322.5</v>
      </c>
      <c r="AC821" s="339">
        <v>36.799999999999997</v>
      </c>
      <c r="AD821" s="339">
        <v>417.1</v>
      </c>
      <c r="AE821" s="339">
        <v>340</v>
      </c>
      <c r="AF821" s="348">
        <f>SUM(AB821:AE821)</f>
        <v>1116.4000000000001</v>
      </c>
      <c r="AG821" s="339">
        <v>349.8</v>
      </c>
      <c r="AH821" s="339">
        <v>318.10000000000002</v>
      </c>
      <c r="AI821" s="339">
        <v>307.00099999999998</v>
      </c>
      <c r="AJ821" s="339">
        <v>290.798</v>
      </c>
      <c r="AK821" s="348">
        <f>SUM(AG821:AJ821)</f>
        <v>1265.6990000000001</v>
      </c>
      <c r="AL821" s="339">
        <v>384.03200000000004</v>
      </c>
      <c r="AM821" s="339">
        <v>392.78699999999998</v>
      </c>
      <c r="AN821" s="339">
        <v>334.62900000000002</v>
      </c>
      <c r="AO821" s="339">
        <v>299.93899999999996</v>
      </c>
      <c r="AP821" s="568">
        <f>SUM(AL821:AO821)</f>
        <v>1411.3869999999997</v>
      </c>
      <c r="AQ821" s="1677">
        <v>320.58199999999999</v>
      </c>
      <c r="AR821" s="339">
        <v>350.87</v>
      </c>
      <c r="AS821" s="338">
        <v>354.572</v>
      </c>
      <c r="AT821" s="338">
        <v>320.077</v>
      </c>
      <c r="AU821" s="1687">
        <f>SUM(AQ821:AT821)</f>
        <v>1346.1009999999999</v>
      </c>
      <c r="AV821" s="1677">
        <v>325.21299999999997</v>
      </c>
      <c r="AW821" s="338">
        <v>326.71699999999998</v>
      </c>
      <c r="AX821" s="338">
        <v>311.31</v>
      </c>
      <c r="AY821" s="338">
        <v>274.19200000000001</v>
      </c>
      <c r="AZ821" s="1687">
        <f>SUM(AV821:AY821)</f>
        <v>1237.432</v>
      </c>
      <c r="BA821" s="2651">
        <v>261.05700000000002</v>
      </c>
      <c r="BB821" s="2655">
        <v>297.33699999999999</v>
      </c>
      <c r="BC821" s="2655">
        <v>281.12900000000002</v>
      </c>
      <c r="BD821" s="2939">
        <v>258.25800000000004</v>
      </c>
      <c r="BE821" s="1867">
        <f>SUM(BA821:BD821)</f>
        <v>1097.7809999999999</v>
      </c>
      <c r="BF821" s="2942">
        <v>259.29200000000003</v>
      </c>
      <c r="BG821" s="2942">
        <v>285.51</v>
      </c>
      <c r="BH821" s="2942">
        <v>289.57100000000003</v>
      </c>
      <c r="BI821" s="2939">
        <v>260.15300000000002</v>
      </c>
      <c r="BJ821" s="1867">
        <f>SUM(BF821:BI821)</f>
        <v>1094.5260000000001</v>
      </c>
      <c r="BK821" s="2942">
        <v>270.51299999999998</v>
      </c>
      <c r="BL821" s="2942">
        <v>274.10000000000002</v>
      </c>
      <c r="BM821" s="2942">
        <v>273.32499999999999</v>
      </c>
      <c r="BN821" s="2939">
        <v>238.69300000000001</v>
      </c>
      <c r="BO821" s="1867">
        <f>SUM(BK821:BN821)</f>
        <v>1056.6310000000001</v>
      </c>
      <c r="BP821" s="2942">
        <v>265.2</v>
      </c>
      <c r="BQ821" s="2974">
        <v>270.67099999999999</v>
      </c>
      <c r="BR821" s="2974">
        <v>284.25799999999998</v>
      </c>
      <c r="BS821" s="2974">
        <v>244.17599999999999</v>
      </c>
      <c r="BT821" s="3081">
        <f>SUM(BP821:BS821)</f>
        <v>1064.3049999999998</v>
      </c>
      <c r="BU821" s="2942">
        <v>225.85</v>
      </c>
      <c r="BV821" s="2909">
        <f>+BQ821*(1+BV825)</f>
        <v>270.67099999999999</v>
      </c>
      <c r="BW821" s="2909">
        <f>+BR821*(1+BW825)</f>
        <v>287.10057999999998</v>
      </c>
      <c r="BX821" s="2909">
        <f>+BS821*(1+BX825)</f>
        <v>246.61775999999998</v>
      </c>
      <c r="BY821" s="3081">
        <f>SUM(BU821:BX821)</f>
        <v>1030.2393400000001</v>
      </c>
      <c r="BZ821" s="348">
        <f t="shared" ref="BZ821:CF821" si="1871">BY821*(1+BZ825)</f>
        <v>1030.2393400000001</v>
      </c>
      <c r="CA821" s="348">
        <f t="shared" si="1871"/>
        <v>1009.6345532</v>
      </c>
      <c r="CB821" s="348">
        <f t="shared" si="1871"/>
        <v>959.15282553999998</v>
      </c>
      <c r="CC821" s="348">
        <f t="shared" si="1871"/>
        <v>911.19518426299999</v>
      </c>
      <c r="CD821" s="348">
        <f t="shared" si="1871"/>
        <v>929.41908794825997</v>
      </c>
      <c r="CE821" s="348">
        <f t="shared" si="1871"/>
        <v>948.00746970722514</v>
      </c>
      <c r="CF821" s="348">
        <f t="shared" si="1871"/>
        <v>966.96761910136968</v>
      </c>
      <c r="CG821" s="331"/>
      <c r="CH821" s="331"/>
      <c r="CI821" s="331"/>
      <c r="CJ821" s="331"/>
      <c r="CK821" s="331"/>
      <c r="CL821" s="520" t="str">
        <f>A821</f>
        <v>Admissions (in thousands)</v>
      </c>
      <c r="CM821" s="330">
        <f>G821</f>
        <v>1786.3920000000001</v>
      </c>
      <c r="CN821" s="330">
        <f>L821</f>
        <v>1923.9690000000001</v>
      </c>
      <c r="CO821" s="330">
        <f>Q821</f>
        <v>2141.5630000000001</v>
      </c>
      <c r="CP821" s="330">
        <f>V821</f>
        <v>2109.5450000000001</v>
      </c>
      <c r="CQ821" s="330">
        <f>AA821</f>
        <v>1702.1860000000001</v>
      </c>
      <c r="CR821" s="330">
        <f>AF821</f>
        <v>1116.4000000000001</v>
      </c>
      <c r="CS821" s="330">
        <f>AK821</f>
        <v>1265.6990000000001</v>
      </c>
      <c r="CT821" s="330">
        <f>AP821</f>
        <v>1411.3869999999997</v>
      </c>
      <c r="CU821" s="330">
        <f>AU821</f>
        <v>1346.1009999999999</v>
      </c>
      <c r="CV821" s="330">
        <f>AZ821</f>
        <v>1237.432</v>
      </c>
      <c r="CW821" s="330">
        <f>BE821</f>
        <v>1097.7809999999999</v>
      </c>
      <c r="CX821" s="330">
        <f>BJ821</f>
        <v>1094.5260000000001</v>
      </c>
      <c r="CY821" s="330">
        <f>BO821</f>
        <v>1056.6310000000001</v>
      </c>
      <c r="CZ821" s="330">
        <f>BT821</f>
        <v>1064.3049999999998</v>
      </c>
      <c r="DA821" s="330">
        <f t="shared" ref="DA821:DC822" si="1872">BY821</f>
        <v>1030.2393400000001</v>
      </c>
      <c r="DB821" s="330">
        <f t="shared" si="1872"/>
        <v>1030.2393400000001</v>
      </c>
      <c r="DC821" s="1888">
        <f t="shared" si="1872"/>
        <v>1009.6345532</v>
      </c>
      <c r="DD821" s="331"/>
      <c r="DE821" s="331"/>
      <c r="DF821" s="502"/>
      <c r="DG821" s="503"/>
      <c r="DH821" s="2909"/>
      <c r="DI821" s="3213"/>
      <c r="DJ821" s="502"/>
      <c r="DK821" s="503"/>
      <c r="DL821" s="502"/>
      <c r="DM821" s="502"/>
      <c r="DN821" s="502"/>
      <c r="DO821" s="502"/>
      <c r="DP821" s="503"/>
      <c r="DQ821" s="503"/>
      <c r="DR821" s="296"/>
      <c r="DS821" s="296"/>
      <c r="DT821" s="296"/>
    </row>
    <row r="822" spans="1:124" ht="12" customHeight="1" x14ac:dyDescent="0.25">
      <c r="A822" s="465" t="s">
        <v>1491</v>
      </c>
      <c r="B822" s="466"/>
      <c r="C822" s="467" t="s">
        <v>553</v>
      </c>
      <c r="D822" s="467" t="s">
        <v>553</v>
      </c>
      <c r="E822" s="467" t="s">
        <v>553</v>
      </c>
      <c r="F822" s="467" t="s">
        <v>553</v>
      </c>
      <c r="G822" s="468" t="s">
        <v>553</v>
      </c>
      <c r="H822" s="467">
        <f t="shared" ref="H822:AF822" si="1873">(H821-C821)/C821</f>
        <v>5.9434446074397351E-2</v>
      </c>
      <c r="I822" s="467">
        <f t="shared" si="1873"/>
        <v>6.184544598476633E-2</v>
      </c>
      <c r="J822" s="467">
        <f t="shared" si="1873"/>
        <v>8.5579097677336194E-2</v>
      </c>
      <c r="K822" s="467">
        <f t="shared" si="1873"/>
        <v>9.7705344263144714E-2</v>
      </c>
      <c r="L822" s="468">
        <f t="shared" si="1873"/>
        <v>7.701389168782663E-2</v>
      </c>
      <c r="M822" s="467">
        <f t="shared" si="1873"/>
        <v>0.18825537203479886</v>
      </c>
      <c r="N822" s="467">
        <f t="shared" si="1873"/>
        <v>0.16747154849384949</v>
      </c>
      <c r="O822" s="467">
        <f t="shared" si="1873"/>
        <v>5.9763652157714828E-2</v>
      </c>
      <c r="P822" s="467">
        <f t="shared" si="1873"/>
        <v>5.497707157485137E-2</v>
      </c>
      <c r="Q822" s="468">
        <f t="shared" si="1873"/>
        <v>0.113096416834159</v>
      </c>
      <c r="R822" s="467">
        <f t="shared" si="1873"/>
        <v>3.7891792953695477E-2</v>
      </c>
      <c r="S822" s="467">
        <f t="shared" si="1873"/>
        <v>5.8173076923076486E-3</v>
      </c>
      <c r="T822" s="467">
        <f t="shared" si="1873"/>
        <v>-7.4462360769824029E-2</v>
      </c>
      <c r="U822" s="467">
        <f t="shared" si="1873"/>
        <v>-2.5222510428573951E-2</v>
      </c>
      <c r="V822" s="468">
        <f t="shared" si="1873"/>
        <v>-1.4950762597224563E-2</v>
      </c>
      <c r="W822" s="467">
        <f t="shared" si="1873"/>
        <v>-0.14019176141550016</v>
      </c>
      <c r="X822" s="467">
        <f t="shared" si="1873"/>
        <v>-0.21376033650399126</v>
      </c>
      <c r="Y822" s="467">
        <f t="shared" si="1873"/>
        <v>-9.7696772380647875E-2</v>
      </c>
      <c r="Z822" s="467">
        <f t="shared" si="1873"/>
        <v>-0.32205623817531048</v>
      </c>
      <c r="AA822" s="468">
        <f t="shared" si="1873"/>
        <v>-0.19310277808721782</v>
      </c>
      <c r="AB822" s="467">
        <f t="shared" si="1873"/>
        <v>-0.31524591695472337</v>
      </c>
      <c r="AC822" s="467">
        <f t="shared" si="1873"/>
        <v>-0.91051084204920441</v>
      </c>
      <c r="AD822" s="467">
        <f t="shared" si="1873"/>
        <v>-0.10417051473146584</v>
      </c>
      <c r="AE822" s="469">
        <f t="shared" si="1873"/>
        <v>-4.0602276030012242E-2</v>
      </c>
      <c r="AF822" s="470">
        <f t="shared" si="1873"/>
        <v>-0.34413747968788372</v>
      </c>
      <c r="AG822" s="467">
        <f t="shared" ref="AG822:AV822" si="1874">(AG821-AB821)/AB821</f>
        <v>8.4651162790697704E-2</v>
      </c>
      <c r="AH822" s="467" t="s">
        <v>553</v>
      </c>
      <c r="AI822" s="467">
        <f t="shared" si="1874"/>
        <v>-0.26396307839846567</v>
      </c>
      <c r="AJ822" s="469">
        <f t="shared" si="1874"/>
        <v>-0.14471176470588235</v>
      </c>
      <c r="AK822" s="470">
        <f t="shared" si="1874"/>
        <v>0.1337325331422429</v>
      </c>
      <c r="AL822" s="467">
        <f t="shared" si="1874"/>
        <v>9.7861635220125864E-2</v>
      </c>
      <c r="AM822" s="467">
        <f t="shared" si="1874"/>
        <v>0.23479094624331956</v>
      </c>
      <c r="AN822" s="467">
        <f t="shared" si="1874"/>
        <v>8.9993192204585792E-2</v>
      </c>
      <c r="AO822" s="469">
        <f t="shared" si="1874"/>
        <v>3.1434191431852908E-2</v>
      </c>
      <c r="AP822" s="471">
        <f t="shared" si="1874"/>
        <v>0.11510477609605414</v>
      </c>
      <c r="AQ822" s="471">
        <f t="shared" si="1874"/>
        <v>-0.16522060661611543</v>
      </c>
      <c r="AR822" s="469">
        <f t="shared" si="1874"/>
        <v>-0.106716871994236</v>
      </c>
      <c r="AS822" s="469">
        <f t="shared" si="1874"/>
        <v>5.9597345119520369E-2</v>
      </c>
      <c r="AT822" s="469">
        <f t="shared" si="1874"/>
        <v>6.7140318531434845E-2</v>
      </c>
      <c r="AU822" s="1689">
        <f t="shared" si="1874"/>
        <v>-4.6256625574700519E-2</v>
      </c>
      <c r="AV822" s="469">
        <f t="shared" si="1874"/>
        <v>1.4445602061251011E-2</v>
      </c>
      <c r="AW822" s="469">
        <f t="shared" ref="AW822:BU822" si="1875">(AW821-AR821)/AR821</f>
        <v>-6.8837461167954E-2</v>
      </c>
      <c r="AX822" s="469">
        <f t="shared" si="1875"/>
        <v>-0.1220118903917963</v>
      </c>
      <c r="AY822" s="469">
        <f t="shared" si="1875"/>
        <v>-0.14335612993123528</v>
      </c>
      <c r="AZ822" s="1689">
        <f t="shared" si="1875"/>
        <v>-8.0728712035723821E-2</v>
      </c>
      <c r="BA822" s="469">
        <f t="shared" si="1875"/>
        <v>-0.19727378671824297</v>
      </c>
      <c r="BB822" s="469">
        <f t="shared" si="1875"/>
        <v>-8.9924919731755606E-2</v>
      </c>
      <c r="BC822" s="469">
        <f t="shared" si="1875"/>
        <v>-9.694837942886507E-2</v>
      </c>
      <c r="BD822" s="1463">
        <f t="shared" si="1875"/>
        <v>-5.8112563459181775E-2</v>
      </c>
      <c r="BE822" s="1868">
        <f>(BE821-AZ821)/AZ821</f>
        <v>-0.11285549428170603</v>
      </c>
      <c r="BF822" s="469">
        <f t="shared" si="1875"/>
        <v>-6.7609755723845224E-3</v>
      </c>
      <c r="BG822" s="469">
        <f t="shared" si="1875"/>
        <v>-3.977641531326407E-2</v>
      </c>
      <c r="BH822" s="469">
        <f t="shared" si="1875"/>
        <v>3.0028919108309734E-2</v>
      </c>
      <c r="BI822" s="1463">
        <f t="shared" si="1875"/>
        <v>7.3376236166933125E-3</v>
      </c>
      <c r="BJ822" s="1868">
        <f>(BJ821-BE821)/BE821</f>
        <v>-2.9650722685124645E-3</v>
      </c>
      <c r="BK822" s="469">
        <f t="shared" si="1875"/>
        <v>4.3275534918161551E-2</v>
      </c>
      <c r="BL822" s="469">
        <f t="shared" si="1875"/>
        <v>-3.9963573955377987E-2</v>
      </c>
      <c r="BM822" s="469">
        <f t="shared" si="1875"/>
        <v>-5.6103684415911938E-2</v>
      </c>
      <c r="BN822" s="1463">
        <f t="shared" si="1875"/>
        <v>-8.2489919393587643E-2</v>
      </c>
      <c r="BO822" s="1868">
        <f>(BO821-BJ821)/BJ821</f>
        <v>-3.4622293120492323E-2</v>
      </c>
      <c r="BP822" s="469">
        <f t="shared" si="1875"/>
        <v>-1.9640460902063814E-2</v>
      </c>
      <c r="BQ822" s="469">
        <f t="shared" si="1875"/>
        <v>-1.251003283473196E-2</v>
      </c>
      <c r="BR822" s="469">
        <f t="shared" si="1875"/>
        <v>3.9999999999999973E-2</v>
      </c>
      <c r="BS822" s="469">
        <f t="shared" si="1875"/>
        <v>2.2970929185187564E-2</v>
      </c>
      <c r="BT822" s="470">
        <f>(BT821-BO821)/BO821</f>
        <v>7.2627057127793429E-3</v>
      </c>
      <c r="BU822" s="469">
        <f t="shared" si="1875"/>
        <v>-0.14837858220211159</v>
      </c>
      <c r="BV822" s="2488">
        <f>+BV825</f>
        <v>0</v>
      </c>
      <c r="BW822" s="2488">
        <f>+BW825</f>
        <v>0.01</v>
      </c>
      <c r="BX822" s="2488">
        <f>+BX825</f>
        <v>0.01</v>
      </c>
      <c r="BY822" s="470">
        <f>(BY821-BT821)/BT821</f>
        <v>-3.2007422684286704E-2</v>
      </c>
      <c r="BZ822" s="2489">
        <f t="shared" ref="BZ822:CF822" si="1876">+BZ825</f>
        <v>0</v>
      </c>
      <c r="CA822" s="2489">
        <f t="shared" si="1876"/>
        <v>-0.02</v>
      </c>
      <c r="CB822" s="2489">
        <f t="shared" si="1876"/>
        <v>-0.05</v>
      </c>
      <c r="CC822" s="2489">
        <f t="shared" si="1876"/>
        <v>-0.05</v>
      </c>
      <c r="CD822" s="2489">
        <f t="shared" si="1876"/>
        <v>0.02</v>
      </c>
      <c r="CE822" s="2489">
        <f t="shared" si="1876"/>
        <v>0.02</v>
      </c>
      <c r="CF822" s="2489">
        <f t="shared" si="1876"/>
        <v>0.02</v>
      </c>
      <c r="CG822" s="492"/>
      <c r="CH822" s="492"/>
      <c r="CI822" s="492"/>
      <c r="CJ822" s="492"/>
      <c r="CK822" s="492"/>
      <c r="CL822" s="1310" t="str">
        <f>A822</f>
        <v>% growth (y-o-y)</v>
      </c>
      <c r="CM822" s="469" t="str">
        <f>G822</f>
        <v xml:space="preserve">n/a </v>
      </c>
      <c r="CN822" s="469">
        <f>L822</f>
        <v>7.701389168782663E-2</v>
      </c>
      <c r="CO822" s="469">
        <f>Q822</f>
        <v>0.113096416834159</v>
      </c>
      <c r="CP822" s="469">
        <f>V822</f>
        <v>-1.4950762597224563E-2</v>
      </c>
      <c r="CQ822" s="469">
        <f>AA822</f>
        <v>-0.19310277808721782</v>
      </c>
      <c r="CR822" s="469">
        <f>AF822</f>
        <v>-0.34413747968788372</v>
      </c>
      <c r="CS822" s="469">
        <f>AK822</f>
        <v>0.1337325331422429</v>
      </c>
      <c r="CT822" s="469">
        <f>AP822</f>
        <v>0.11510477609605414</v>
      </c>
      <c r="CU822" s="469">
        <f>AU822</f>
        <v>-4.6256625574700519E-2</v>
      </c>
      <c r="CV822" s="469">
        <f>AZ822</f>
        <v>-8.0728712035723821E-2</v>
      </c>
      <c r="CW822" s="469">
        <f>BE822</f>
        <v>-0.11285549428170603</v>
      </c>
      <c r="CX822" s="469">
        <f>BJ822</f>
        <v>-2.9650722685124645E-3</v>
      </c>
      <c r="CY822" s="469">
        <f>BO822</f>
        <v>-3.4622293120492323E-2</v>
      </c>
      <c r="CZ822" s="469">
        <f>BT822</f>
        <v>7.2627057127793429E-3</v>
      </c>
      <c r="DA822" s="469">
        <f t="shared" si="1872"/>
        <v>-3.2007422684286704E-2</v>
      </c>
      <c r="DB822" s="469">
        <f t="shared" si="1872"/>
        <v>0</v>
      </c>
      <c r="DC822" s="1463">
        <f t="shared" si="1872"/>
        <v>-0.02</v>
      </c>
      <c r="DD822" s="492"/>
      <c r="DE822" s="492"/>
      <c r="DF822" s="962"/>
      <c r="DG822" s="962"/>
      <c r="DH822" s="469"/>
      <c r="DI822" s="3213"/>
      <c r="DJ822" s="962"/>
      <c r="DK822" s="962"/>
      <c r="DL822" s="962"/>
      <c r="DM822" s="962"/>
      <c r="DN822" s="962"/>
      <c r="DO822" s="962"/>
      <c r="DP822" s="962"/>
      <c r="DQ822" s="962"/>
      <c r="DR822" s="963"/>
      <c r="DS822" s="963"/>
      <c r="DT822" s="963"/>
    </row>
    <row r="823" spans="1:124" ht="5.0999999999999996" customHeight="1" x14ac:dyDescent="0.25">
      <c r="A823" s="281"/>
      <c r="B823" s="281"/>
      <c r="C823" s="305"/>
      <c r="D823" s="305"/>
      <c r="E823" s="305"/>
      <c r="F823" s="305"/>
      <c r="G823" s="440"/>
      <c r="H823" s="305"/>
      <c r="I823" s="305"/>
      <c r="J823" s="305"/>
      <c r="K823" s="305"/>
      <c r="L823" s="440"/>
      <c r="M823" s="305"/>
      <c r="N823" s="305"/>
      <c r="O823" s="305"/>
      <c r="P823" s="305"/>
      <c r="Q823" s="440"/>
      <c r="R823" s="305"/>
      <c r="S823" s="305"/>
      <c r="T823" s="305"/>
      <c r="U823" s="305"/>
      <c r="V823" s="440"/>
      <c r="W823" s="305"/>
      <c r="X823" s="305"/>
      <c r="Y823" s="305"/>
      <c r="Z823" s="305"/>
      <c r="AA823" s="440"/>
      <c r="AB823" s="305"/>
      <c r="AC823" s="305"/>
      <c r="AD823" s="305"/>
      <c r="AE823" s="331"/>
      <c r="AF823" s="441"/>
      <c r="AG823" s="305"/>
      <c r="AH823" s="305"/>
      <c r="AI823" s="305"/>
      <c r="AJ823" s="331"/>
      <c r="AK823" s="441"/>
      <c r="AL823" s="305"/>
      <c r="AM823" s="305"/>
      <c r="AN823" s="305"/>
      <c r="AO823" s="331"/>
      <c r="AP823" s="569"/>
      <c r="AQ823" s="569"/>
      <c r="AR823" s="442"/>
      <c r="AS823" s="442"/>
      <c r="AT823" s="442"/>
      <c r="AU823" s="1690"/>
      <c r="AV823" s="1902"/>
      <c r="AW823" s="1837"/>
      <c r="AX823" s="1837"/>
      <c r="AY823" s="1903"/>
      <c r="AZ823" s="1690"/>
      <c r="BA823" s="569"/>
      <c r="BB823" s="442"/>
      <c r="BC823" s="442"/>
      <c r="BD823" s="1312"/>
      <c r="BE823" s="1903"/>
      <c r="BF823" s="442"/>
      <c r="BG823" s="442"/>
      <c r="BH823" s="442"/>
      <c r="BI823" s="1312"/>
      <c r="BJ823" s="1903"/>
      <c r="BK823" s="442"/>
      <c r="BL823" s="442"/>
      <c r="BM823" s="442"/>
      <c r="BN823" s="1312"/>
      <c r="BO823" s="1903"/>
      <c r="BP823" s="442"/>
      <c r="BQ823" s="442"/>
      <c r="BR823" s="442"/>
      <c r="BS823" s="1312"/>
      <c r="BT823" s="3016"/>
      <c r="BU823" s="3298"/>
      <c r="BV823" s="3298"/>
      <c r="BW823" s="3298"/>
      <c r="BX823" s="3298"/>
      <c r="BY823" s="3236"/>
      <c r="BZ823" s="441"/>
      <c r="CA823" s="441"/>
      <c r="CB823" s="441"/>
      <c r="CC823" s="441"/>
      <c r="CD823" s="441"/>
      <c r="CE823" s="441"/>
      <c r="CF823" s="441"/>
      <c r="CG823" s="331"/>
      <c r="CH823" s="331"/>
      <c r="CI823" s="331"/>
      <c r="CJ823" s="331"/>
      <c r="CK823" s="331"/>
      <c r="CL823" s="520"/>
      <c r="CM823" s="442"/>
      <c r="CN823" s="442"/>
      <c r="CO823" s="442"/>
      <c r="CP823" s="442"/>
      <c r="CQ823" s="442"/>
      <c r="CR823" s="442"/>
      <c r="CS823" s="442"/>
      <c r="CT823" s="442"/>
      <c r="CU823" s="442"/>
      <c r="CV823" s="442"/>
      <c r="CW823" s="442"/>
      <c r="CX823" s="442"/>
      <c r="CY823" s="442"/>
      <c r="CZ823" s="442"/>
      <c r="DA823" s="442"/>
      <c r="DB823" s="442"/>
      <c r="DC823" s="1312"/>
      <c r="DD823" s="331"/>
      <c r="DE823" s="331"/>
      <c r="DF823" s="502"/>
      <c r="DG823" s="503"/>
      <c r="DH823" s="3298"/>
      <c r="DI823" s="3213"/>
      <c r="DJ823" s="502"/>
      <c r="DK823" s="503"/>
      <c r="DL823" s="502"/>
      <c r="DM823" s="502"/>
      <c r="DN823" s="502"/>
      <c r="DO823" s="502"/>
      <c r="DP823" s="503"/>
      <c r="DQ823" s="503"/>
      <c r="DR823" s="296"/>
      <c r="DS823" s="296"/>
      <c r="DT823" s="296"/>
    </row>
    <row r="824" spans="1:124" ht="12" customHeight="1" x14ac:dyDescent="0.25">
      <c r="A824" s="281" t="s">
        <v>730</v>
      </c>
      <c r="B824" s="281"/>
      <c r="C824" s="570">
        <v>55.2</v>
      </c>
      <c r="D824" s="570">
        <v>55.341999999999999</v>
      </c>
      <c r="E824" s="570">
        <v>59.069000000000003</v>
      </c>
      <c r="F824" s="570">
        <v>58.540999999999997</v>
      </c>
      <c r="G824" s="475">
        <f>SUM(C824:F824)</f>
        <v>228.15199999999999</v>
      </c>
      <c r="H824" s="570">
        <v>56.252000000000002</v>
      </c>
      <c r="I824" s="570">
        <v>58.194000000000003</v>
      </c>
      <c r="J824" s="570">
        <v>63.445</v>
      </c>
      <c r="K824" s="570">
        <v>61.095999999999997</v>
      </c>
      <c r="L824" s="475">
        <f>SUM(H824:K824)</f>
        <v>238.98699999999999</v>
      </c>
      <c r="M824" s="570">
        <v>63.196999999999996</v>
      </c>
      <c r="N824" s="570">
        <v>63.3</v>
      </c>
      <c r="O824" s="570">
        <v>64.959000000000003</v>
      </c>
      <c r="P824" s="570">
        <v>62.332999999999998</v>
      </c>
      <c r="Q824" s="475">
        <f>SUM(M824:P824)</f>
        <v>253.78899999999999</v>
      </c>
      <c r="R824" s="570">
        <v>63.585000000000001</v>
      </c>
      <c r="S824" s="570">
        <v>61.692</v>
      </c>
      <c r="T824" s="570">
        <v>59.531000000000006</v>
      </c>
      <c r="U824" s="570">
        <v>55.332999999999998</v>
      </c>
      <c r="V824" s="475">
        <f>SUM(R824:U824)</f>
        <v>240.14099999999999</v>
      </c>
      <c r="W824" s="570">
        <v>48.442999999999998</v>
      </c>
      <c r="X824" s="570">
        <v>47.465000000000003</v>
      </c>
      <c r="Y824" s="570">
        <v>49.763000000000005</v>
      </c>
      <c r="Z824" s="570">
        <v>39.775999999999996</v>
      </c>
      <c r="AA824" s="475">
        <f>SUM(W824:Z824)</f>
        <v>185.447</v>
      </c>
      <c r="AB824" s="572">
        <v>36.1</v>
      </c>
      <c r="AC824" s="572">
        <v>3.7</v>
      </c>
      <c r="AD824" s="572">
        <v>43.4</v>
      </c>
      <c r="AE824" s="572">
        <v>36.700000000000003</v>
      </c>
      <c r="AF824" s="477">
        <f>SUM(AB824:AE824)</f>
        <v>119.9</v>
      </c>
      <c r="AG824" s="572">
        <v>39.700000000000003</v>
      </c>
      <c r="AH824" s="572">
        <v>36.799999999999997</v>
      </c>
      <c r="AI824" s="572">
        <v>33.934000000000005</v>
      </c>
      <c r="AJ824" s="572">
        <v>32.926000000000002</v>
      </c>
      <c r="AK824" s="477">
        <f>SUM(AG824:AJ824)</f>
        <v>143.36000000000001</v>
      </c>
      <c r="AL824" s="572">
        <v>40.466000000000001</v>
      </c>
      <c r="AM824" s="572">
        <v>40.688000000000002</v>
      </c>
      <c r="AN824" s="572">
        <v>34.548999999999999</v>
      </c>
      <c r="AO824" s="572">
        <v>30.807000000000002</v>
      </c>
      <c r="AP824" s="478">
        <f>SUM(AL824:AO824)</f>
        <v>146.51</v>
      </c>
      <c r="AQ824" s="592">
        <v>35.182000000000002</v>
      </c>
      <c r="AR824" s="572">
        <v>35.375999999999998</v>
      </c>
      <c r="AS824" s="572">
        <v>37.649000000000001</v>
      </c>
      <c r="AT824" s="572">
        <v>33.588999999999999</v>
      </c>
      <c r="AU824" s="1464">
        <f>SUM(AQ824:AT824)</f>
        <v>141.79599999999999</v>
      </c>
      <c r="AV824" s="592">
        <v>34.635998000000001</v>
      </c>
      <c r="AW824" s="572">
        <v>35.205632000000001</v>
      </c>
      <c r="AX824" s="572">
        <v>31.955390999999995</v>
      </c>
      <c r="AY824" s="572">
        <v>29.464942999999998</v>
      </c>
      <c r="AZ824" s="1464">
        <f>SUM(AV824:AY824)</f>
        <v>131.26196400000001</v>
      </c>
      <c r="BA824" s="2652">
        <v>29.131957999999997</v>
      </c>
      <c r="BB824" s="2654">
        <v>33.087440000000001</v>
      </c>
      <c r="BC824" s="2654">
        <v>31.074675999999997</v>
      </c>
      <c r="BD824" s="2944">
        <v>29.315315999999996</v>
      </c>
      <c r="BE824" s="1866">
        <f>SUM(BA824:BD824)</f>
        <v>122.60938999999999</v>
      </c>
      <c r="BF824" s="2941">
        <v>29.705186999999999</v>
      </c>
      <c r="BG824" s="2941">
        <v>33.815408999999995</v>
      </c>
      <c r="BH824" s="2941">
        <v>32.656564000000003</v>
      </c>
      <c r="BI824" s="2944">
        <v>29.125692999999998</v>
      </c>
      <c r="BJ824" s="1866">
        <f>SUM(BF824:BI824)</f>
        <v>125.302853</v>
      </c>
      <c r="BK824" s="2941">
        <v>30.901687999999996</v>
      </c>
      <c r="BL824" s="2941">
        <v>30.6</v>
      </c>
      <c r="BM824" s="2941">
        <v>29.988585</v>
      </c>
      <c r="BN824" s="2944">
        <v>27.869340000000001</v>
      </c>
      <c r="BO824" s="1866">
        <f>SUM(BK824:BN824)</f>
        <v>119.359613</v>
      </c>
      <c r="BP824" s="2941">
        <v>30.681711</v>
      </c>
      <c r="BQ824" s="2941">
        <v>31.423943000000001</v>
      </c>
      <c r="BR824" s="2941">
        <v>32.264961</v>
      </c>
      <c r="BS824" s="3539">
        <v>28.870128000000001</v>
      </c>
      <c r="BT824" s="2911">
        <f>SUM(BP824:BS824)</f>
        <v>123.24074300000001</v>
      </c>
      <c r="BU824" s="2941">
        <v>29.019148999999999</v>
      </c>
      <c r="BV824" s="1771">
        <f>+BQ824*(1+BV825)</f>
        <v>31.423943000000001</v>
      </c>
      <c r="BW824" s="1771">
        <f>+BR824*(1+BW825)</f>
        <v>32.587610609999999</v>
      </c>
      <c r="BX824" s="1771">
        <f>+BS824*(1+BX825)</f>
        <v>29.158829280000003</v>
      </c>
      <c r="BY824" s="2604">
        <f>SUM(BU824:BX824)</f>
        <v>122.18953189</v>
      </c>
      <c r="BZ824" s="477">
        <f t="shared" ref="BZ824:CF824" si="1877">BY824*(1+BZ825)</f>
        <v>122.18953189</v>
      </c>
      <c r="CA824" s="477">
        <f t="shared" si="1877"/>
        <v>119.74574125219999</v>
      </c>
      <c r="CB824" s="477">
        <f t="shared" si="1877"/>
        <v>113.75845418958998</v>
      </c>
      <c r="CC824" s="477">
        <f t="shared" si="1877"/>
        <v>108.07053148011047</v>
      </c>
      <c r="CD824" s="477">
        <f t="shared" si="1877"/>
        <v>110.23194210971269</v>
      </c>
      <c r="CE824" s="477">
        <f t="shared" si="1877"/>
        <v>112.43658095190695</v>
      </c>
      <c r="CF824" s="477">
        <f t="shared" si="1877"/>
        <v>114.68531257094509</v>
      </c>
      <c r="CG824" s="331"/>
      <c r="CH824" s="331"/>
      <c r="CI824" s="331"/>
      <c r="CJ824" s="331"/>
      <c r="CK824" s="331"/>
      <c r="CL824" s="520" t="str">
        <f>A824</f>
        <v>Casino revenue</v>
      </c>
      <c r="CM824" s="476">
        <f>G824</f>
        <v>228.15199999999999</v>
      </c>
      <c r="CN824" s="476">
        <f>L824</f>
        <v>238.98699999999999</v>
      </c>
      <c r="CO824" s="476">
        <f>Q824</f>
        <v>253.78899999999999</v>
      </c>
      <c r="CP824" s="476">
        <f>V824</f>
        <v>240.14099999999999</v>
      </c>
      <c r="CQ824" s="476">
        <f>AA824</f>
        <v>185.447</v>
      </c>
      <c r="CR824" s="476">
        <f>AF824</f>
        <v>119.9</v>
      </c>
      <c r="CS824" s="476">
        <f>AK824</f>
        <v>143.36000000000001</v>
      </c>
      <c r="CT824" s="476">
        <f>AP824</f>
        <v>146.51</v>
      </c>
      <c r="CU824" s="476">
        <f>AU824</f>
        <v>141.79599999999999</v>
      </c>
      <c r="CV824" s="476">
        <f>AZ824</f>
        <v>131.26196400000001</v>
      </c>
      <c r="CW824" s="476">
        <f>BE824</f>
        <v>122.60938999999999</v>
      </c>
      <c r="CX824" s="476">
        <f>BJ824</f>
        <v>125.302853</v>
      </c>
      <c r="CY824" s="476">
        <f>BO824</f>
        <v>119.359613</v>
      </c>
      <c r="CZ824" s="476">
        <f>BT824</f>
        <v>123.24074300000001</v>
      </c>
      <c r="DA824" s="476">
        <f t="shared" ref="DA824:DC828" si="1878">BY824</f>
        <v>122.18953189</v>
      </c>
      <c r="DB824" s="476">
        <f t="shared" si="1878"/>
        <v>122.18953189</v>
      </c>
      <c r="DC824" s="682">
        <f t="shared" si="1878"/>
        <v>119.74574125219999</v>
      </c>
      <c r="DD824" s="331"/>
      <c r="DE824" s="331"/>
      <c r="DF824" s="502"/>
      <c r="DG824" s="503"/>
      <c r="DH824" s="2577"/>
      <c r="DI824" s="3213"/>
      <c r="DJ824" s="502"/>
      <c r="DK824" s="503"/>
      <c r="DL824" s="502"/>
      <c r="DM824" s="502"/>
      <c r="DN824" s="502"/>
      <c r="DO824" s="502"/>
      <c r="DP824" s="503"/>
      <c r="DQ824" s="503"/>
      <c r="DR824" s="296"/>
      <c r="DS824" s="296"/>
      <c r="DT824" s="296"/>
    </row>
    <row r="825" spans="1:124" ht="12" customHeight="1" x14ac:dyDescent="0.25">
      <c r="A825" s="465" t="s">
        <v>1491</v>
      </c>
      <c r="B825" s="466"/>
      <c r="C825" s="467" t="s">
        <v>553</v>
      </c>
      <c r="D825" s="467" t="s">
        <v>553</v>
      </c>
      <c r="E825" s="467" t="s">
        <v>553</v>
      </c>
      <c r="F825" s="467" t="s">
        <v>553</v>
      </c>
      <c r="G825" s="468" t="s">
        <v>553</v>
      </c>
      <c r="H825" s="467">
        <f t="shared" ref="H825:AF825" si="1879">(H824-C824)/C824</f>
        <v>1.9057971014492744E-2</v>
      </c>
      <c r="I825" s="467">
        <f t="shared" si="1879"/>
        <v>5.1534097069133825E-2</v>
      </c>
      <c r="J825" s="467">
        <f t="shared" si="1879"/>
        <v>7.4082852257529294E-2</v>
      </c>
      <c r="K825" s="467">
        <f t="shared" si="1879"/>
        <v>4.3644625134521102E-2</v>
      </c>
      <c r="L825" s="468">
        <f t="shared" si="1879"/>
        <v>4.7490269644798244E-2</v>
      </c>
      <c r="M825" s="467">
        <f t="shared" si="1879"/>
        <v>0.12346227689682132</v>
      </c>
      <c r="N825" s="467">
        <f t="shared" si="1879"/>
        <v>8.7741004227239822E-2</v>
      </c>
      <c r="O825" s="467">
        <f t="shared" si="1879"/>
        <v>2.3863188588541303E-2</v>
      </c>
      <c r="P825" s="467">
        <f t="shared" si="1879"/>
        <v>2.0246824669372821E-2</v>
      </c>
      <c r="Q825" s="468">
        <f t="shared" si="1879"/>
        <v>6.1936423320096877E-2</v>
      </c>
      <c r="R825" s="467">
        <f t="shared" si="1879"/>
        <v>6.1395319398073528E-3</v>
      </c>
      <c r="S825" s="467">
        <f t="shared" si="1879"/>
        <v>-2.5402843601895687E-2</v>
      </c>
      <c r="T825" s="467">
        <f t="shared" si="1879"/>
        <v>-8.3560399636693872E-2</v>
      </c>
      <c r="U825" s="467">
        <f t="shared" si="1879"/>
        <v>-0.11230006577575281</v>
      </c>
      <c r="V825" s="468">
        <f t="shared" si="1879"/>
        <v>-5.3776956448072996E-2</v>
      </c>
      <c r="W825" s="467">
        <f t="shared" si="1879"/>
        <v>-0.23813792561138639</v>
      </c>
      <c r="X825" s="467">
        <f t="shared" si="1879"/>
        <v>-0.23061336964274132</v>
      </c>
      <c r="Y825" s="467">
        <f t="shared" si="1879"/>
        <v>-0.16408257882447799</v>
      </c>
      <c r="Z825" s="467">
        <f t="shared" si="1879"/>
        <v>-0.28115229609816933</v>
      </c>
      <c r="AA825" s="468">
        <f t="shared" si="1879"/>
        <v>-0.22775785892454845</v>
      </c>
      <c r="AB825" s="467">
        <f t="shared" si="1879"/>
        <v>-0.25479429432528944</v>
      </c>
      <c r="AC825" s="467">
        <f t="shared" si="1879"/>
        <v>-0.92204782471294633</v>
      </c>
      <c r="AD825" s="467">
        <f t="shared" si="1879"/>
        <v>-0.12786608524405696</v>
      </c>
      <c r="AE825" s="469">
        <f t="shared" si="1879"/>
        <v>-7.7333065164923415E-2</v>
      </c>
      <c r="AF825" s="470">
        <f t="shared" si="1879"/>
        <v>-0.35345408661234745</v>
      </c>
      <c r="AG825" s="467">
        <f>(AG824-AB824)/AB824</f>
        <v>9.9722991689750726E-2</v>
      </c>
      <c r="AH825" s="467" t="s">
        <v>553</v>
      </c>
      <c r="AI825" s="467">
        <f t="shared" ref="AI825:BU825" si="1880">(AI824-AD824)/AD824</f>
        <v>-0.21811059907834088</v>
      </c>
      <c r="AJ825" s="467">
        <f t="shared" si="1880"/>
        <v>-0.10283378746594007</v>
      </c>
      <c r="AK825" s="470">
        <f t="shared" si="1880"/>
        <v>0.19566305254378655</v>
      </c>
      <c r="AL825" s="467">
        <f t="shared" si="1880"/>
        <v>1.9294710327455875E-2</v>
      </c>
      <c r="AM825" s="467">
        <f t="shared" si="1880"/>
        <v>0.10565217391304363</v>
      </c>
      <c r="AN825" s="467">
        <f t="shared" si="1880"/>
        <v>1.8123416042906668E-2</v>
      </c>
      <c r="AO825" s="467">
        <f t="shared" si="1880"/>
        <v>-6.4356435643564344E-2</v>
      </c>
      <c r="AP825" s="471">
        <f>(AP824-AK824)/AK824</f>
        <v>2.197265624999984E-2</v>
      </c>
      <c r="AQ825" s="471">
        <f t="shared" si="1880"/>
        <v>-0.13057875747541142</v>
      </c>
      <c r="AR825" s="469">
        <f t="shared" si="1880"/>
        <v>-0.13055446323240277</v>
      </c>
      <c r="AS825" s="469">
        <f t="shared" si="1880"/>
        <v>8.9727633216590968E-2</v>
      </c>
      <c r="AT825" s="469">
        <f t="shared" si="1880"/>
        <v>9.0304151653844783E-2</v>
      </c>
      <c r="AU825" s="1689">
        <f>(AU824-AP824)/AP824</f>
        <v>-3.2175278138011049E-2</v>
      </c>
      <c r="AV825" s="469">
        <f t="shared" si="1880"/>
        <v>-1.5519356489113791E-2</v>
      </c>
      <c r="AW825" s="469">
        <f t="shared" si="1880"/>
        <v>-4.815920398009846E-3</v>
      </c>
      <c r="AX825" s="469">
        <f t="shared" si="1880"/>
        <v>-0.15122869133310329</v>
      </c>
      <c r="AY825" s="469">
        <f t="shared" si="1880"/>
        <v>-0.12277998749590642</v>
      </c>
      <c r="AZ825" s="1689">
        <f>(AZ824-AU824)/AU824</f>
        <v>-7.4290078704617804E-2</v>
      </c>
      <c r="BA825" s="471">
        <f t="shared" si="1880"/>
        <v>-0.15891096887117279</v>
      </c>
      <c r="BB825" s="469">
        <f t="shared" si="1880"/>
        <v>-6.0166282485711389E-2</v>
      </c>
      <c r="BC825" s="469">
        <f t="shared" si="1880"/>
        <v>-2.7560764316731368E-2</v>
      </c>
      <c r="BD825" s="1463">
        <f t="shared" si="1880"/>
        <v>-5.0781364145181754E-3</v>
      </c>
      <c r="BE825" s="1868">
        <f>(BE824-AZ824)/AZ824</f>
        <v>-6.5918364591893625E-2</v>
      </c>
      <c r="BF825" s="469">
        <f t="shared" si="1880"/>
        <v>1.9676981547206727E-2</v>
      </c>
      <c r="BG825" s="469">
        <f t="shared" si="1880"/>
        <v>2.2001369704032544E-2</v>
      </c>
      <c r="BH825" s="469">
        <f t="shared" si="1880"/>
        <v>5.0906017491542201E-2</v>
      </c>
      <c r="BI825" s="1463">
        <f t="shared" si="1880"/>
        <v>-6.4683935182550129E-3</v>
      </c>
      <c r="BJ825" s="1868">
        <f>(BJ824-BE824)/BE824</f>
        <v>2.1967836231792756E-2</v>
      </c>
      <c r="BK825" s="469">
        <f t="shared" si="1880"/>
        <v>4.0279194337339064E-2</v>
      </c>
      <c r="BL825" s="469">
        <f t="shared" si="1880"/>
        <v>-9.5087094762035682E-2</v>
      </c>
      <c r="BM825" s="469">
        <f t="shared" si="1880"/>
        <v>-8.1698092916327708E-2</v>
      </c>
      <c r="BN825" s="1463">
        <f t="shared" si="1880"/>
        <v>-4.313555732390633E-2</v>
      </c>
      <c r="BO825" s="1868">
        <f>(BO824-BJ824)/BJ824</f>
        <v>-4.7431003027520874E-2</v>
      </c>
      <c r="BP825" s="469">
        <f t="shared" si="1880"/>
        <v>-7.1186078896400924E-3</v>
      </c>
      <c r="BQ825" s="469">
        <f t="shared" si="1880"/>
        <v>2.6926241830065353E-2</v>
      </c>
      <c r="BR825" s="469">
        <f t="shared" si="1880"/>
        <v>7.5908083025591211E-2</v>
      </c>
      <c r="BS825" s="1463">
        <f t="shared" si="1880"/>
        <v>3.5910000021529033E-2</v>
      </c>
      <c r="BT825" s="1463">
        <f>(BT824-BO824)/BO824</f>
        <v>3.2516274998311306E-2</v>
      </c>
      <c r="BU825" s="469">
        <f t="shared" si="1880"/>
        <v>-5.4187395220559938E-2</v>
      </c>
      <c r="BV825" s="540">
        <v>0</v>
      </c>
      <c r="BW825" s="540">
        <v>0.01</v>
      </c>
      <c r="BX825" s="540">
        <v>0.01</v>
      </c>
      <c r="BY825" s="470">
        <f>(BY824-BT824)/BT824</f>
        <v>-8.5297368744361689E-3</v>
      </c>
      <c r="BZ825" s="539">
        <v>0</v>
      </c>
      <c r="CA825" s="539">
        <v>-0.02</v>
      </c>
      <c r="CB825" s="566">
        <v>-0.05</v>
      </c>
      <c r="CC825" s="566">
        <v>-0.05</v>
      </c>
      <c r="CD825" s="566">
        <v>0.02</v>
      </c>
      <c r="CE825" s="566">
        <v>0.02</v>
      </c>
      <c r="CF825" s="566">
        <v>0.02</v>
      </c>
      <c r="CG825" s="492"/>
      <c r="CH825" s="492"/>
      <c r="CI825" s="492"/>
      <c r="CJ825" s="492"/>
      <c r="CK825" s="492"/>
      <c r="CL825" s="1310" t="str">
        <f>A825</f>
        <v>% growth (y-o-y)</v>
      </c>
      <c r="CM825" s="469" t="str">
        <f>G825</f>
        <v xml:space="preserve">n/a </v>
      </c>
      <c r="CN825" s="469">
        <f>L825</f>
        <v>4.7490269644798244E-2</v>
      </c>
      <c r="CO825" s="469">
        <f>Q825</f>
        <v>6.1936423320096877E-2</v>
      </c>
      <c r="CP825" s="469">
        <f>V825</f>
        <v>-5.3776956448072996E-2</v>
      </c>
      <c r="CQ825" s="469">
        <f>AA825</f>
        <v>-0.22775785892454845</v>
      </c>
      <c r="CR825" s="469">
        <f>AF825</f>
        <v>-0.35345408661234745</v>
      </c>
      <c r="CS825" s="469">
        <f>AK825</f>
        <v>0.19566305254378655</v>
      </c>
      <c r="CT825" s="469">
        <f>AP825</f>
        <v>2.197265624999984E-2</v>
      </c>
      <c r="CU825" s="469">
        <f>AU825</f>
        <v>-3.2175278138011049E-2</v>
      </c>
      <c r="CV825" s="469">
        <f>AZ825</f>
        <v>-7.4290078704617804E-2</v>
      </c>
      <c r="CW825" s="469">
        <f>BE825</f>
        <v>-6.5918364591893625E-2</v>
      </c>
      <c r="CX825" s="469">
        <f>BJ825</f>
        <v>2.1967836231792756E-2</v>
      </c>
      <c r="CY825" s="469">
        <f>BO825</f>
        <v>-4.7431003027520874E-2</v>
      </c>
      <c r="CZ825" s="469">
        <f>BT825</f>
        <v>3.2516274998311306E-2</v>
      </c>
      <c r="DA825" s="469">
        <f t="shared" si="1878"/>
        <v>-8.5297368744361689E-3</v>
      </c>
      <c r="DB825" s="469">
        <f t="shared" si="1878"/>
        <v>0</v>
      </c>
      <c r="DC825" s="1463">
        <f t="shared" si="1878"/>
        <v>-0.02</v>
      </c>
      <c r="DD825" s="492"/>
      <c r="DE825" s="492"/>
      <c r="DF825" s="962"/>
      <c r="DG825" s="962"/>
      <c r="DH825" s="469"/>
      <c r="DI825" s="3213"/>
      <c r="DJ825" s="962"/>
      <c r="DK825" s="962"/>
      <c r="DL825" s="962"/>
      <c r="DM825" s="962"/>
      <c r="DN825" s="962"/>
      <c r="DO825" s="962"/>
      <c r="DP825" s="962"/>
      <c r="DQ825" s="962"/>
      <c r="DR825" s="963"/>
      <c r="DS825" s="963"/>
      <c r="DT825" s="963"/>
    </row>
    <row r="826" spans="1:124" ht="12" customHeight="1" x14ac:dyDescent="0.25">
      <c r="A826" s="281" t="s">
        <v>645</v>
      </c>
      <c r="B826" s="281"/>
      <c r="C826" s="452">
        <f t="shared" ref="C826:AM826" si="1881">C827-C824</f>
        <v>-1.7150000000000034</v>
      </c>
      <c r="D826" s="452">
        <f t="shared" si="1881"/>
        <v>-1.7830000000000013</v>
      </c>
      <c r="E826" s="452">
        <f t="shared" si="1881"/>
        <v>-2.3950000000000031</v>
      </c>
      <c r="F826" s="452">
        <f t="shared" si="1881"/>
        <v>-2.0039999999999978</v>
      </c>
      <c r="G826" s="475">
        <f t="shared" si="1881"/>
        <v>-7.8969999999999914</v>
      </c>
      <c r="H826" s="452">
        <f t="shared" si="1881"/>
        <v>-1.8320000000000007</v>
      </c>
      <c r="I826" s="452">
        <f t="shared" si="1881"/>
        <v>-1.2860000000000014</v>
      </c>
      <c r="J826" s="452">
        <f t="shared" si="1881"/>
        <v>-2.6749999999999972</v>
      </c>
      <c r="K826" s="452">
        <f t="shared" si="1881"/>
        <v>1.2260000000000062</v>
      </c>
      <c r="L826" s="475">
        <f t="shared" si="1881"/>
        <v>-4.5669999999999789</v>
      </c>
      <c r="M826" s="452">
        <f t="shared" si="1881"/>
        <v>-2.8799999999999955</v>
      </c>
      <c r="N826" s="452">
        <f t="shared" si="1881"/>
        <v>-3.5640000000000001</v>
      </c>
      <c r="O826" s="452">
        <f t="shared" si="1881"/>
        <v>-5.1070000000000064</v>
      </c>
      <c r="P826" s="452">
        <f t="shared" si="1881"/>
        <v>-3.3939999999999984</v>
      </c>
      <c r="Q826" s="475">
        <f t="shared" si="1881"/>
        <v>-14.944999999999993</v>
      </c>
      <c r="R826" s="452">
        <f t="shared" si="1881"/>
        <v>-3.9720000000000013</v>
      </c>
      <c r="S826" s="452">
        <f t="shared" si="1881"/>
        <v>-3.1989999999999981</v>
      </c>
      <c r="T826" s="452">
        <f t="shared" si="1881"/>
        <v>-3.605000000000004</v>
      </c>
      <c r="U826" s="452">
        <f t="shared" si="1881"/>
        <v>-3.570999999999998</v>
      </c>
      <c r="V826" s="475">
        <f t="shared" si="1881"/>
        <v>-14.347000000000008</v>
      </c>
      <c r="W826" s="452">
        <f t="shared" si="1881"/>
        <v>-3.7989999999999995</v>
      </c>
      <c r="X826" s="452">
        <f t="shared" si="1881"/>
        <v>-2.8060000000000045</v>
      </c>
      <c r="Y826" s="452">
        <f t="shared" si="1881"/>
        <v>-6.8470000000000084</v>
      </c>
      <c r="Z826" s="452">
        <f t="shared" si="1881"/>
        <v>-3.3319999999999936</v>
      </c>
      <c r="AA826" s="475">
        <f t="shared" si="1881"/>
        <v>-16.783999999999992</v>
      </c>
      <c r="AB826" s="452">
        <f t="shared" si="1881"/>
        <v>-3.2310000000000016</v>
      </c>
      <c r="AC826" s="452">
        <f t="shared" si="1881"/>
        <v>-6.0000000000000053E-2</v>
      </c>
      <c r="AD826" s="452">
        <f t="shared" si="1881"/>
        <v>-4.786999999999999</v>
      </c>
      <c r="AE826" s="452">
        <f t="shared" si="1881"/>
        <v>-4.7640000000000029</v>
      </c>
      <c r="AF826" s="477">
        <f>SUM(AB826:AE826)</f>
        <v>-12.842000000000004</v>
      </c>
      <c r="AG826" s="452">
        <f t="shared" si="1881"/>
        <v>-3.6560000000000059</v>
      </c>
      <c r="AH826" s="452">
        <f t="shared" si="1881"/>
        <v>-2.3919999999999959</v>
      </c>
      <c r="AI826" s="452">
        <f t="shared" si="1881"/>
        <v>-1.6780000000000044</v>
      </c>
      <c r="AJ826" s="452">
        <f t="shared" si="1881"/>
        <v>-1.8130000000000024</v>
      </c>
      <c r="AK826" s="477">
        <f>SUM(AG826:AJ826)</f>
        <v>-9.5390000000000086</v>
      </c>
      <c r="AL826" s="2875">
        <f t="shared" si="1881"/>
        <v>-1.4639999999999986</v>
      </c>
      <c r="AM826" s="2875">
        <f t="shared" si="1881"/>
        <v>-1.7640000000000029</v>
      </c>
      <c r="AN826" s="452">
        <f>+AI826</f>
        <v>-1.6780000000000044</v>
      </c>
      <c r="AO826" s="476">
        <f>+AJ826</f>
        <v>-1.8130000000000024</v>
      </c>
      <c r="AP826" s="478">
        <f>SUM(AL826:AO826)</f>
        <v>-6.7190000000000083</v>
      </c>
      <c r="AQ826" s="592">
        <v>-1.5</v>
      </c>
      <c r="AR826" s="572">
        <v>-1.5</v>
      </c>
      <c r="AS826" s="572">
        <v>-1.5</v>
      </c>
      <c r="AT826" s="572">
        <v>-1.5</v>
      </c>
      <c r="AU826" s="1464">
        <f>SUM(AQ826:AT826)</f>
        <v>-6</v>
      </c>
      <c r="AV826" s="592">
        <v>-1.5</v>
      </c>
      <c r="AW826" s="572">
        <v>-1.5</v>
      </c>
      <c r="AX826" s="572">
        <v>-1.5</v>
      </c>
      <c r="AY826" s="572">
        <v>-1.5</v>
      </c>
      <c r="AZ826" s="1464">
        <f>SUM(AV826:AY826)</f>
        <v>-6</v>
      </c>
      <c r="BA826" s="592">
        <v>-2</v>
      </c>
      <c r="BB826" s="572">
        <v>-2</v>
      </c>
      <c r="BC826" s="572">
        <v>-2</v>
      </c>
      <c r="BD826" s="1313">
        <v>-2</v>
      </c>
      <c r="BE826" s="1866">
        <f>SUM(BA826:BD826)</f>
        <v>-8</v>
      </c>
      <c r="BF826" s="572">
        <v>-1.5</v>
      </c>
      <c r="BG826" s="572">
        <v>-1.5</v>
      </c>
      <c r="BH826" s="572">
        <f>BG826</f>
        <v>-1.5</v>
      </c>
      <c r="BI826" s="1313">
        <v>-1.5</v>
      </c>
      <c r="BJ826" s="1866">
        <f>SUM(BF826:BI826)</f>
        <v>-6</v>
      </c>
      <c r="BK826" s="572">
        <f>+BI826</f>
        <v>-1.5</v>
      </c>
      <c r="BL826" s="2941">
        <v>-1.5</v>
      </c>
      <c r="BM826" s="2941">
        <v>-2</v>
      </c>
      <c r="BN826" s="2992">
        <f>BM826</f>
        <v>-2</v>
      </c>
      <c r="BO826" s="1866">
        <f>SUM(BK826:BN826)</f>
        <v>-7</v>
      </c>
      <c r="BP826" s="3387">
        <f>+BN826</f>
        <v>-2</v>
      </c>
      <c r="BQ826" s="3388">
        <f>+BP826</f>
        <v>-2</v>
      </c>
      <c r="BR826" s="3388">
        <f>+BP826</f>
        <v>-2</v>
      </c>
      <c r="BS826" s="3388">
        <f>+BQ826</f>
        <v>-2</v>
      </c>
      <c r="BT826" s="3457">
        <f>SUM(BP826:BS826)</f>
        <v>-8</v>
      </c>
      <c r="BU826" s="3387">
        <f>+BS826</f>
        <v>-2</v>
      </c>
      <c r="BV826" s="3446">
        <f>+BU826</f>
        <v>-2</v>
      </c>
      <c r="BW826" s="3446">
        <f>+BV826</f>
        <v>-2</v>
      </c>
      <c r="BX826" s="3446">
        <f>+BW826</f>
        <v>-2</v>
      </c>
      <c r="BY826" s="2604">
        <f>SUM(BU826:BX826)</f>
        <v>-8</v>
      </c>
      <c r="BZ826" s="2966">
        <f>+BY826</f>
        <v>-8</v>
      </c>
      <c r="CA826" s="2966">
        <f>+BZ826</f>
        <v>-8</v>
      </c>
      <c r="CB826" s="573">
        <v>-4</v>
      </c>
      <c r="CC826" s="573">
        <v>-4</v>
      </c>
      <c r="CD826" s="573">
        <v>-4</v>
      </c>
      <c r="CE826" s="573">
        <v>-4</v>
      </c>
      <c r="CF826" s="573">
        <v>-4</v>
      </c>
      <c r="CG826" s="331"/>
      <c r="CH826" s="331"/>
      <c r="CI826" s="331"/>
      <c r="CJ826" s="331"/>
      <c r="CK826" s="331"/>
      <c r="CL826" s="520" t="str">
        <f>A826</f>
        <v>Other revenue</v>
      </c>
      <c r="CM826" s="476">
        <f>G826</f>
        <v>-7.8969999999999914</v>
      </c>
      <c r="CN826" s="476">
        <f>L826</f>
        <v>-4.5669999999999789</v>
      </c>
      <c r="CO826" s="476">
        <f>Q826</f>
        <v>-14.944999999999993</v>
      </c>
      <c r="CP826" s="476">
        <f>V826</f>
        <v>-14.347000000000008</v>
      </c>
      <c r="CQ826" s="476">
        <f>AA826</f>
        <v>-16.783999999999992</v>
      </c>
      <c r="CR826" s="476">
        <f>AF826</f>
        <v>-12.842000000000004</v>
      </c>
      <c r="CS826" s="476">
        <f>AK826</f>
        <v>-9.5390000000000086</v>
      </c>
      <c r="CT826" s="476">
        <f>AP826</f>
        <v>-6.7190000000000083</v>
      </c>
      <c r="CU826" s="476">
        <f>AU826</f>
        <v>-6</v>
      </c>
      <c r="CV826" s="476">
        <f>AZ826</f>
        <v>-6</v>
      </c>
      <c r="CW826" s="476">
        <f>BE826</f>
        <v>-8</v>
      </c>
      <c r="CX826" s="476">
        <f>BJ826</f>
        <v>-6</v>
      </c>
      <c r="CY826" s="476">
        <f>BO826</f>
        <v>-7</v>
      </c>
      <c r="CZ826" s="476">
        <f>BT826</f>
        <v>-8</v>
      </c>
      <c r="DA826" s="476">
        <f t="shared" si="1878"/>
        <v>-8</v>
      </c>
      <c r="DB826" s="476">
        <f t="shared" si="1878"/>
        <v>-8</v>
      </c>
      <c r="DC826" s="682">
        <f t="shared" si="1878"/>
        <v>-8</v>
      </c>
      <c r="DD826" s="331"/>
      <c r="DE826" s="331"/>
      <c r="DF826" s="502"/>
      <c r="DG826" s="503"/>
      <c r="DH826" s="2577"/>
      <c r="DI826" s="3213"/>
      <c r="DJ826" s="502"/>
      <c r="DK826" s="503"/>
      <c r="DL826" s="502"/>
      <c r="DM826" s="502"/>
      <c r="DN826" s="502"/>
      <c r="DO826" s="502"/>
      <c r="DP826" s="503"/>
      <c r="DQ826" s="503"/>
      <c r="DR826" s="296"/>
      <c r="DS826" s="296"/>
      <c r="DT826" s="296"/>
    </row>
    <row r="827" spans="1:124" ht="12" customHeight="1" x14ac:dyDescent="0.25">
      <c r="A827" s="496" t="s">
        <v>1418</v>
      </c>
      <c r="B827" s="1007"/>
      <c r="C827" s="1008">
        <v>53.484999999999999</v>
      </c>
      <c r="D827" s="1008">
        <v>53.558999999999997</v>
      </c>
      <c r="E827" s="1008">
        <v>56.673999999999999</v>
      </c>
      <c r="F827" s="1008">
        <v>56.536999999999999</v>
      </c>
      <c r="G827" s="1009">
        <f>SUM(C827:F827)</f>
        <v>220.255</v>
      </c>
      <c r="H827" s="1008">
        <v>54.42</v>
      </c>
      <c r="I827" s="1008">
        <v>56.908000000000001</v>
      </c>
      <c r="J827" s="1008">
        <v>60.77</v>
      </c>
      <c r="K827" s="1008">
        <v>62.322000000000003</v>
      </c>
      <c r="L827" s="1009">
        <f>SUM(H827:K827)</f>
        <v>234.42000000000002</v>
      </c>
      <c r="M827" s="1008">
        <v>60.317</v>
      </c>
      <c r="N827" s="1008">
        <v>59.735999999999997</v>
      </c>
      <c r="O827" s="1008">
        <v>59.851999999999997</v>
      </c>
      <c r="P827" s="1008">
        <v>58.939</v>
      </c>
      <c r="Q827" s="1009">
        <f>SUM(M827:P827)</f>
        <v>238.84399999999999</v>
      </c>
      <c r="R827" s="1008">
        <v>59.613</v>
      </c>
      <c r="S827" s="1008">
        <v>58.493000000000002</v>
      </c>
      <c r="T827" s="1008">
        <v>55.926000000000002</v>
      </c>
      <c r="U827" s="1008">
        <v>51.762</v>
      </c>
      <c r="V827" s="1009">
        <f>SUM(R827:U827)</f>
        <v>225.79399999999998</v>
      </c>
      <c r="W827" s="1008">
        <v>44.643999999999998</v>
      </c>
      <c r="X827" s="1008">
        <v>44.658999999999999</v>
      </c>
      <c r="Y827" s="1008">
        <v>42.915999999999997</v>
      </c>
      <c r="Z827" s="1008">
        <v>36.444000000000003</v>
      </c>
      <c r="AA827" s="1009">
        <f>SUM(W827:Z827)</f>
        <v>168.66300000000001</v>
      </c>
      <c r="AB827" s="1008">
        <v>32.869</v>
      </c>
      <c r="AC827" s="1008">
        <v>3.64</v>
      </c>
      <c r="AD827" s="1008">
        <v>38.613</v>
      </c>
      <c r="AE827" s="1010">
        <v>31.936</v>
      </c>
      <c r="AF827" s="1011">
        <f>SUM(AB827:AE827)</f>
        <v>107.05799999999999</v>
      </c>
      <c r="AG827" s="1010">
        <v>36.043999999999997</v>
      </c>
      <c r="AH827" s="1010">
        <v>34.408000000000001</v>
      </c>
      <c r="AI827" s="1010">
        <v>32.256</v>
      </c>
      <c r="AJ827" s="1010">
        <v>31.113</v>
      </c>
      <c r="AK827" s="1011">
        <f>SUM(AG827:AJ827)</f>
        <v>133.821</v>
      </c>
      <c r="AL827" s="1010">
        <v>39.002000000000002</v>
      </c>
      <c r="AM827" s="1010">
        <v>38.923999999999999</v>
      </c>
      <c r="AN827" s="1593">
        <f>AN824+AN826</f>
        <v>32.870999999999995</v>
      </c>
      <c r="AO827" s="1012">
        <f>AO824+AO826</f>
        <v>28.994</v>
      </c>
      <c r="AP827" s="1013">
        <f>SUM(AL827:AO827)</f>
        <v>139.791</v>
      </c>
      <c r="AQ827" s="1013">
        <f>AQ824+AQ826</f>
        <v>33.682000000000002</v>
      </c>
      <c r="AR827" s="1012">
        <f>AR824+AR826</f>
        <v>33.875999999999998</v>
      </c>
      <c r="AS827" s="1012">
        <f>AS824+AS826</f>
        <v>36.149000000000001</v>
      </c>
      <c r="AT827" s="1012">
        <f>AT824+AT826</f>
        <v>32.088999999999999</v>
      </c>
      <c r="AU827" s="1691">
        <f>SUM(AQ827:AT827)</f>
        <v>135.79599999999999</v>
      </c>
      <c r="AV827" s="1904">
        <f>AV824+AV826</f>
        <v>33.135998000000001</v>
      </c>
      <c r="AW827" s="1838">
        <f>AW824+AW826</f>
        <v>33.705632000000001</v>
      </c>
      <c r="AX827" s="1838">
        <f>AX824+AX826</f>
        <v>30.455390999999995</v>
      </c>
      <c r="AY827" s="1905">
        <f>AY824+AY826</f>
        <v>27.964942999999998</v>
      </c>
      <c r="AZ827" s="1691">
        <f>SUM(AV827:AY827)</f>
        <v>125.26196400000001</v>
      </c>
      <c r="BA827" s="1013">
        <f>BA824+BA826</f>
        <v>27.131957999999997</v>
      </c>
      <c r="BB827" s="1012">
        <f>BB824+BB826</f>
        <v>31.087440000000001</v>
      </c>
      <c r="BC827" s="1012">
        <f>BC824+BC826</f>
        <v>29.074675999999997</v>
      </c>
      <c r="BD827" s="1877">
        <f>BD824+BD826</f>
        <v>27.315315999999996</v>
      </c>
      <c r="BE827" s="1905">
        <f>SUM(BA827:BD827)</f>
        <v>114.60938999999999</v>
      </c>
      <c r="BF827" s="1012">
        <f>BF824+BF826</f>
        <v>28.205186999999999</v>
      </c>
      <c r="BG827" s="1012">
        <f>BG824+BG826</f>
        <v>32.315408999999995</v>
      </c>
      <c r="BH827" s="1012">
        <f>BH824+BH826</f>
        <v>31.156564000000003</v>
      </c>
      <c r="BI827" s="1877">
        <f>BI824+BI826</f>
        <v>27.625692999999998</v>
      </c>
      <c r="BJ827" s="1905">
        <f>SUM(BF827:BI827)</f>
        <v>119.302853</v>
      </c>
      <c r="BK827" s="1012">
        <f>BK824+BK826</f>
        <v>29.401687999999996</v>
      </c>
      <c r="BL827" s="1012">
        <f>BL824+BL826</f>
        <v>29.1</v>
      </c>
      <c r="BM827" s="1012">
        <f>BM824+BM826</f>
        <v>27.988585</v>
      </c>
      <c r="BN827" s="1877">
        <f>BN824+BN826</f>
        <v>25.869340000000001</v>
      </c>
      <c r="BO827" s="1905">
        <f>SUM(BK827:BN827)</f>
        <v>112.359613</v>
      </c>
      <c r="BP827" s="1012">
        <f>BP824+BP826</f>
        <v>28.681711</v>
      </c>
      <c r="BQ827" s="3564">
        <f>BQ824+BQ826</f>
        <v>29.423943000000001</v>
      </c>
      <c r="BR827" s="3564">
        <f>BR824+BR826</f>
        <v>30.264961</v>
      </c>
      <c r="BS827" s="1012">
        <f>BS824+BS826</f>
        <v>26.870128000000001</v>
      </c>
      <c r="BT827" s="1877">
        <f>SUM(BP827:BS827)</f>
        <v>115.24074300000001</v>
      </c>
      <c r="BU827" s="1012">
        <f>BU824+BU826</f>
        <v>27.019148999999999</v>
      </c>
      <c r="BV827" s="1012">
        <f>BV824+BV826</f>
        <v>29.423943000000001</v>
      </c>
      <c r="BW827" s="1012">
        <f>BW824+BW826</f>
        <v>30.587610609999999</v>
      </c>
      <c r="BX827" s="1012">
        <f>BX824+BX826</f>
        <v>27.158829280000003</v>
      </c>
      <c r="BY827" s="1011">
        <f>SUM(BU827:BX827)</f>
        <v>114.18953189</v>
      </c>
      <c r="BZ827" s="1011">
        <f t="shared" ref="BZ827:CF827" si="1882">BZ824+BZ826</f>
        <v>114.18953189</v>
      </c>
      <c r="CA827" s="1011">
        <f t="shared" si="1882"/>
        <v>111.74574125219999</v>
      </c>
      <c r="CB827" s="1011">
        <f t="shared" si="1882"/>
        <v>109.75845418958998</v>
      </c>
      <c r="CC827" s="1011">
        <f t="shared" si="1882"/>
        <v>104.07053148011047</v>
      </c>
      <c r="CD827" s="1011">
        <f t="shared" si="1882"/>
        <v>106.23194210971269</v>
      </c>
      <c r="CE827" s="1011">
        <f t="shared" si="1882"/>
        <v>108.43658095190695</v>
      </c>
      <c r="CF827" s="1011">
        <f t="shared" si="1882"/>
        <v>110.68531257094509</v>
      </c>
      <c r="CG827" s="502"/>
      <c r="CH827" s="502"/>
      <c r="CI827" s="502"/>
      <c r="CJ827" s="502"/>
      <c r="CK827" s="502"/>
      <c r="CL827" s="2102" t="str">
        <f>A827</f>
        <v>Net revenue</v>
      </c>
      <c r="CM827" s="1012">
        <f>G827</f>
        <v>220.255</v>
      </c>
      <c r="CN827" s="1012">
        <f>L827</f>
        <v>234.42000000000002</v>
      </c>
      <c r="CO827" s="1012">
        <f>Q827</f>
        <v>238.84399999999999</v>
      </c>
      <c r="CP827" s="1012">
        <f>V827</f>
        <v>225.79399999999998</v>
      </c>
      <c r="CQ827" s="1012">
        <f>AA827</f>
        <v>168.66300000000001</v>
      </c>
      <c r="CR827" s="1012">
        <f>AF827</f>
        <v>107.05799999999999</v>
      </c>
      <c r="CS827" s="1012">
        <f>AK827</f>
        <v>133.821</v>
      </c>
      <c r="CT827" s="1012">
        <f>AP827</f>
        <v>139.791</v>
      </c>
      <c r="CU827" s="1012">
        <f>AU827</f>
        <v>135.79599999999999</v>
      </c>
      <c r="CV827" s="1012">
        <f>AZ827</f>
        <v>125.26196400000001</v>
      </c>
      <c r="CW827" s="1012">
        <f>BE827</f>
        <v>114.60938999999999</v>
      </c>
      <c r="CX827" s="1012">
        <f>BJ827</f>
        <v>119.302853</v>
      </c>
      <c r="CY827" s="1012">
        <f>BO827</f>
        <v>112.359613</v>
      </c>
      <c r="CZ827" s="1012">
        <f>BT827</f>
        <v>115.24074300000001</v>
      </c>
      <c r="DA827" s="1012">
        <f t="shared" si="1878"/>
        <v>114.18953189</v>
      </c>
      <c r="DB827" s="1012">
        <f t="shared" si="1878"/>
        <v>114.18953189</v>
      </c>
      <c r="DC827" s="1877">
        <f t="shared" si="1878"/>
        <v>111.74574125219999</v>
      </c>
      <c r="DD827" s="502"/>
      <c r="DE827" s="502"/>
      <c r="DF827" s="502"/>
      <c r="DG827" s="503"/>
      <c r="DH827" s="598"/>
      <c r="DI827" s="3213"/>
      <c r="DJ827" s="502"/>
      <c r="DK827" s="503"/>
      <c r="DL827" s="502"/>
      <c r="DM827" s="502"/>
      <c r="DN827" s="502"/>
      <c r="DO827" s="502"/>
      <c r="DP827" s="503"/>
      <c r="DQ827" s="503"/>
      <c r="DR827" s="719"/>
      <c r="DS827" s="719"/>
      <c r="DT827" s="719"/>
    </row>
    <row r="828" spans="1:124" ht="12" customHeight="1" x14ac:dyDescent="0.25">
      <c r="A828" s="465" t="s">
        <v>1491</v>
      </c>
      <c r="B828" s="466"/>
      <c r="C828" s="467" t="s">
        <v>553</v>
      </c>
      <c r="D828" s="467" t="s">
        <v>553</v>
      </c>
      <c r="E828" s="467" t="s">
        <v>553</v>
      </c>
      <c r="F828" s="467" t="s">
        <v>553</v>
      </c>
      <c r="G828" s="468" t="s">
        <v>553</v>
      </c>
      <c r="H828" s="467">
        <f t="shared" ref="H828:AF828" si="1883">(H827-C827)/C827</f>
        <v>1.7481536879498969E-2</v>
      </c>
      <c r="I828" s="467">
        <f t="shared" si="1883"/>
        <v>6.2529173434903634E-2</v>
      </c>
      <c r="J828" s="467">
        <f t="shared" si="1883"/>
        <v>7.227299996471051E-2</v>
      </c>
      <c r="K828" s="467">
        <f t="shared" si="1883"/>
        <v>0.10232237295930105</v>
      </c>
      <c r="L828" s="468">
        <f t="shared" si="1883"/>
        <v>6.4311820390002591E-2</v>
      </c>
      <c r="M828" s="467">
        <f t="shared" si="1883"/>
        <v>0.10836089672914366</v>
      </c>
      <c r="N828" s="467">
        <f t="shared" si="1883"/>
        <v>4.9694243340127849E-2</v>
      </c>
      <c r="O828" s="467">
        <f t="shared" si="1883"/>
        <v>-1.5106137896988749E-2</v>
      </c>
      <c r="P828" s="467">
        <f t="shared" si="1883"/>
        <v>-5.4282596835788365E-2</v>
      </c>
      <c r="Q828" s="468">
        <f t="shared" si="1883"/>
        <v>1.8872109888234699E-2</v>
      </c>
      <c r="R828" s="467">
        <f t="shared" si="1883"/>
        <v>-1.1671668020624379E-2</v>
      </c>
      <c r="S828" s="467">
        <f t="shared" si="1883"/>
        <v>-2.080822284719424E-2</v>
      </c>
      <c r="T828" s="467">
        <f t="shared" si="1883"/>
        <v>-6.5595134665508176E-2</v>
      </c>
      <c r="U828" s="467">
        <f t="shared" si="1883"/>
        <v>-0.12176996555761041</v>
      </c>
      <c r="V828" s="468">
        <f t="shared" si="1883"/>
        <v>-5.4638173870811123E-2</v>
      </c>
      <c r="W828" s="467">
        <f t="shared" si="1883"/>
        <v>-0.2511029473437002</v>
      </c>
      <c r="X828" s="467">
        <f t="shared" si="1883"/>
        <v>-0.23650693245345603</v>
      </c>
      <c r="Y828" s="467">
        <f t="shared" si="1883"/>
        <v>-0.23262883095519088</v>
      </c>
      <c r="Z828" s="467">
        <f t="shared" si="1883"/>
        <v>-0.29593137823113475</v>
      </c>
      <c r="AA828" s="468">
        <f t="shared" si="1883"/>
        <v>-0.25302266667847673</v>
      </c>
      <c r="AB828" s="467">
        <f t="shared" si="1883"/>
        <v>-0.26375324791685328</v>
      </c>
      <c r="AC828" s="467">
        <f t="shared" si="1883"/>
        <v>-0.91849347276024984</v>
      </c>
      <c r="AD828" s="467">
        <f t="shared" si="1883"/>
        <v>-0.10026563519433306</v>
      </c>
      <c r="AE828" s="469">
        <f t="shared" si="1883"/>
        <v>-0.12369663044671284</v>
      </c>
      <c r="AF828" s="470">
        <f t="shared" si="1883"/>
        <v>-0.36525497589868561</v>
      </c>
      <c r="AG828" s="467">
        <f t="shared" ref="AG828:AU828" si="1884">(AG827-AB827)/AB827</f>
        <v>9.6595576378958811E-2</v>
      </c>
      <c r="AH828" s="467" t="s">
        <v>553</v>
      </c>
      <c r="AI828" s="467">
        <f t="shared" si="1884"/>
        <v>-0.16463367259731176</v>
      </c>
      <c r="AJ828" s="469">
        <f t="shared" si="1884"/>
        <v>-2.5770290581162338E-2</v>
      </c>
      <c r="AK828" s="470">
        <f t="shared" si="1884"/>
        <v>0.24998598890321141</v>
      </c>
      <c r="AL828" s="467">
        <f t="shared" si="1884"/>
        <v>8.2066363333703415E-2</v>
      </c>
      <c r="AM828" s="467">
        <f t="shared" si="1884"/>
        <v>0.13124854684956982</v>
      </c>
      <c r="AN828" s="467">
        <f t="shared" si="1884"/>
        <v>1.906622023809508E-2</v>
      </c>
      <c r="AO828" s="469">
        <f t="shared" si="1884"/>
        <v>-6.8106579243403076E-2</v>
      </c>
      <c r="AP828" s="471">
        <f t="shared" si="1884"/>
        <v>4.4611832223642019E-2</v>
      </c>
      <c r="AQ828" s="471">
        <f t="shared" si="1884"/>
        <v>-0.13640326137121173</v>
      </c>
      <c r="AR828" s="469">
        <f t="shared" si="1884"/>
        <v>-0.12968862398520198</v>
      </c>
      <c r="AS828" s="469">
        <f t="shared" si="1884"/>
        <v>9.9723160232423905E-2</v>
      </c>
      <c r="AT828" s="469">
        <f t="shared" si="1884"/>
        <v>0.10674622335655649</v>
      </c>
      <c r="AU828" s="1689">
        <f t="shared" si="1884"/>
        <v>-2.8578377721026421E-2</v>
      </c>
      <c r="AV828" s="1730">
        <f t="shared" ref="AV828:BA828" si="1885">(AV827-AQ827)/AQ827</f>
        <v>-1.6210498188943691E-2</v>
      </c>
      <c r="AW828" s="1465">
        <f t="shared" si="1885"/>
        <v>-5.0291651906953687E-3</v>
      </c>
      <c r="AX828" s="1465">
        <f t="shared" si="1885"/>
        <v>-0.15750391435447744</v>
      </c>
      <c r="AY828" s="1868">
        <f t="shared" si="1885"/>
        <v>-0.12851933684440153</v>
      </c>
      <c r="AZ828" s="1689">
        <f t="shared" si="1885"/>
        <v>-7.757250581754975E-2</v>
      </c>
      <c r="BA828" s="471">
        <f t="shared" si="1885"/>
        <v>-0.18119387863314101</v>
      </c>
      <c r="BB828" s="469">
        <f t="shared" ref="BB828:BJ828" si="1886">(BB827-AW827)/AW827</f>
        <v>-7.7678175564249927E-2</v>
      </c>
      <c r="BC828" s="469">
        <f t="shared" si="1886"/>
        <v>-4.5335651740606407E-2</v>
      </c>
      <c r="BD828" s="1463">
        <f t="shared" si="1886"/>
        <v>-2.3230049136878355E-2</v>
      </c>
      <c r="BE828" s="1868">
        <f t="shared" si="1886"/>
        <v>-8.5042367689524764E-2</v>
      </c>
      <c r="BF828" s="469">
        <f t="shared" si="1886"/>
        <v>3.9555899356765976E-2</v>
      </c>
      <c r="BG828" s="469">
        <f t="shared" si="1886"/>
        <v>3.9500486370057958E-2</v>
      </c>
      <c r="BH828" s="469">
        <f t="shared" si="1886"/>
        <v>7.1604856404934886E-2</v>
      </c>
      <c r="BI828" s="1463">
        <f t="shared" si="1886"/>
        <v>1.1362746087213584E-2</v>
      </c>
      <c r="BJ828" s="1868">
        <f t="shared" si="1886"/>
        <v>4.0951819043797445E-2</v>
      </c>
      <c r="BK828" s="469">
        <f t="shared" ref="BK828:BT828" si="1887">(BK827-BF827)/BF827</f>
        <v>4.24213106617587E-2</v>
      </c>
      <c r="BL828" s="469">
        <f t="shared" si="1887"/>
        <v>-9.950079851998761E-2</v>
      </c>
      <c r="BM828" s="469">
        <f t="shared" si="1887"/>
        <v>-0.10167934435902502</v>
      </c>
      <c r="BN828" s="1463">
        <f t="shared" si="1887"/>
        <v>-6.3576794254536786E-2</v>
      </c>
      <c r="BO828" s="1868">
        <f t="shared" si="1887"/>
        <v>-5.819844056872641E-2</v>
      </c>
      <c r="BP828" s="469">
        <f t="shared" si="1887"/>
        <v>-2.4487607650281733E-2</v>
      </c>
      <c r="BQ828" s="469">
        <f t="shared" si="1887"/>
        <v>1.1132061855670098E-2</v>
      </c>
      <c r="BR828" s="469">
        <f t="shared" si="1887"/>
        <v>8.133230029313733E-2</v>
      </c>
      <c r="BS828" s="1463">
        <f t="shared" si="1887"/>
        <v>3.8686259487099396E-2</v>
      </c>
      <c r="BT828" s="1463">
        <f t="shared" si="1887"/>
        <v>2.5642042750716961E-2</v>
      </c>
      <c r="BU828" s="469">
        <f>(BU827-BP827)/BP827</f>
        <v>-5.7965928183294269E-2</v>
      </c>
      <c r="BV828" s="469">
        <f>(BV827-BQ827)/BQ827</f>
        <v>0</v>
      </c>
      <c r="BW828" s="469">
        <f>(BW827-BR827)/BR827</f>
        <v>1.0660830192379867E-2</v>
      </c>
      <c r="BX828" s="469">
        <f>(BX827-BS827)/BS827</f>
        <v>1.0744320979788466E-2</v>
      </c>
      <c r="BY828" s="470">
        <f>(BY827-BT827)/BT827</f>
        <v>-9.1218702920026398E-3</v>
      </c>
      <c r="BZ828" s="470">
        <f t="shared" ref="BZ828:CF828" si="1888">(BZ827-BY827)/BY827</f>
        <v>0</v>
      </c>
      <c r="CA828" s="470">
        <f t="shared" si="1888"/>
        <v>-2.1401179226780056E-2</v>
      </c>
      <c r="CB828" s="470">
        <f t="shared" si="1888"/>
        <v>-1.7784007160728227E-2</v>
      </c>
      <c r="CC828" s="470">
        <f t="shared" si="1888"/>
        <v>-5.1822183097208548E-2</v>
      </c>
      <c r="CD828" s="470">
        <f t="shared" si="1888"/>
        <v>2.0768709440244337E-2</v>
      </c>
      <c r="CE828" s="470">
        <f t="shared" si="1888"/>
        <v>2.0753069165556453E-2</v>
      </c>
      <c r="CF828" s="470">
        <f t="shared" si="1888"/>
        <v>2.0737758414159899E-2</v>
      </c>
      <c r="CG828" s="492"/>
      <c r="CH828" s="492"/>
      <c r="CI828" s="492"/>
      <c r="CJ828" s="492"/>
      <c r="CK828" s="492"/>
      <c r="CL828" s="1310" t="str">
        <f>A828</f>
        <v>% growth (y-o-y)</v>
      </c>
      <c r="CM828" s="469" t="str">
        <f>G828</f>
        <v xml:space="preserve">n/a </v>
      </c>
      <c r="CN828" s="469">
        <f>L828</f>
        <v>6.4311820390002591E-2</v>
      </c>
      <c r="CO828" s="469">
        <f>Q828</f>
        <v>1.8872109888234699E-2</v>
      </c>
      <c r="CP828" s="469">
        <f>V828</f>
        <v>-5.4638173870811123E-2</v>
      </c>
      <c r="CQ828" s="469">
        <f>AA828</f>
        <v>-0.25302266667847673</v>
      </c>
      <c r="CR828" s="469">
        <f>AF828</f>
        <v>-0.36525497589868561</v>
      </c>
      <c r="CS828" s="469">
        <f>AK828</f>
        <v>0.24998598890321141</v>
      </c>
      <c r="CT828" s="469">
        <f>AP828</f>
        <v>4.4611832223642019E-2</v>
      </c>
      <c r="CU828" s="469">
        <f>AU828</f>
        <v>-2.8578377721026421E-2</v>
      </c>
      <c r="CV828" s="469">
        <f>AZ828</f>
        <v>-7.757250581754975E-2</v>
      </c>
      <c r="CW828" s="469">
        <f>BE828</f>
        <v>-8.5042367689524764E-2</v>
      </c>
      <c r="CX828" s="469">
        <f>BJ828</f>
        <v>4.0951819043797445E-2</v>
      </c>
      <c r="CY828" s="469">
        <f>BO828</f>
        <v>-5.819844056872641E-2</v>
      </c>
      <c r="CZ828" s="469">
        <f>BT828</f>
        <v>2.5642042750716961E-2</v>
      </c>
      <c r="DA828" s="469">
        <f t="shared" si="1878"/>
        <v>-9.1218702920026398E-3</v>
      </c>
      <c r="DB828" s="469">
        <f t="shared" si="1878"/>
        <v>0</v>
      </c>
      <c r="DC828" s="1463">
        <f t="shared" si="1878"/>
        <v>-2.1401179226780056E-2</v>
      </c>
      <c r="DD828" s="492"/>
      <c r="DE828" s="492"/>
      <c r="DF828" s="962"/>
      <c r="DG828" s="962"/>
      <c r="DH828" s="469"/>
      <c r="DI828" s="3213"/>
      <c r="DJ828" s="962"/>
      <c r="DK828" s="962"/>
      <c r="DL828" s="962"/>
      <c r="DM828" s="962"/>
      <c r="DN828" s="962"/>
      <c r="DO828" s="962"/>
      <c r="DP828" s="962"/>
      <c r="DQ828" s="962"/>
      <c r="DR828" s="963"/>
      <c r="DS828" s="963"/>
      <c r="DT828" s="963"/>
    </row>
    <row r="829" spans="1:124" ht="5.0999999999999996" customHeight="1" x14ac:dyDescent="0.25">
      <c r="A829" s="281"/>
      <c r="B829" s="281"/>
      <c r="C829" s="305"/>
      <c r="D829" s="305"/>
      <c r="E829" s="305"/>
      <c r="F829" s="305"/>
      <c r="G829" s="440"/>
      <c r="H829" s="305"/>
      <c r="I829" s="305"/>
      <c r="J829" s="305"/>
      <c r="K829" s="305"/>
      <c r="L829" s="440"/>
      <c r="M829" s="305"/>
      <c r="N829" s="305"/>
      <c r="O829" s="305"/>
      <c r="P829" s="305"/>
      <c r="Q829" s="440"/>
      <c r="R829" s="305"/>
      <c r="S829" s="305"/>
      <c r="T829" s="305"/>
      <c r="U829" s="305"/>
      <c r="V829" s="440"/>
      <c r="W829" s="305"/>
      <c r="X829" s="305"/>
      <c r="Y829" s="305"/>
      <c r="Z829" s="305"/>
      <c r="AA829" s="440"/>
      <c r="AB829" s="305"/>
      <c r="AC829" s="305"/>
      <c r="AD829" s="305"/>
      <c r="AE829" s="331"/>
      <c r="AF829" s="441"/>
      <c r="AG829" s="305"/>
      <c r="AH829" s="305"/>
      <c r="AI829" s="305"/>
      <c r="AJ829" s="331"/>
      <c r="AK829" s="441"/>
      <c r="AL829" s="305"/>
      <c r="AM829" s="305"/>
      <c r="AN829" s="305"/>
      <c r="AO829" s="331"/>
      <c r="AP829" s="569"/>
      <c r="AQ829" s="569"/>
      <c r="AR829" s="442"/>
      <c r="AS829" s="442"/>
      <c r="AT829" s="442"/>
      <c r="AU829" s="1690"/>
      <c r="AV829" s="1902"/>
      <c r="AW829" s="1837"/>
      <c r="AX829" s="1837"/>
      <c r="AY829" s="1903"/>
      <c r="AZ829" s="1690"/>
      <c r="BA829" s="569"/>
      <c r="BB829" s="442"/>
      <c r="BC829" s="442"/>
      <c r="BD829" s="1312"/>
      <c r="BE829" s="1903"/>
      <c r="BF829" s="442"/>
      <c r="BG829" s="442"/>
      <c r="BH829" s="442"/>
      <c r="BI829" s="1312"/>
      <c r="BJ829" s="1903"/>
      <c r="BK829" s="442"/>
      <c r="BL829" s="442"/>
      <c r="BM829" s="442"/>
      <c r="BN829" s="1312"/>
      <c r="BO829" s="1903"/>
      <c r="BP829" s="442"/>
      <c r="BQ829" s="442"/>
      <c r="BR829" s="442"/>
      <c r="BS829" s="1312"/>
      <c r="BT829" s="3016"/>
      <c r="BU829" s="3298"/>
      <c r="BV829" s="3298"/>
      <c r="BW829" s="3298"/>
      <c r="BX829" s="3298"/>
      <c r="BY829" s="3236"/>
      <c r="BZ829" s="441"/>
      <c r="CA829" s="441"/>
      <c r="CB829" s="441"/>
      <c r="CC829" s="441"/>
      <c r="CD829" s="441"/>
      <c r="CE829" s="441"/>
      <c r="CF829" s="441"/>
      <c r="CG829" s="331"/>
      <c r="CH829" s="331"/>
      <c r="CI829" s="331"/>
      <c r="CJ829" s="331"/>
      <c r="CK829" s="331"/>
      <c r="CL829" s="520"/>
      <c r="CM829" s="442"/>
      <c r="CN829" s="442"/>
      <c r="CO829" s="442"/>
      <c r="CP829" s="442"/>
      <c r="CQ829" s="442"/>
      <c r="CR829" s="442"/>
      <c r="CS829" s="442"/>
      <c r="CT829" s="442"/>
      <c r="CU829" s="442"/>
      <c r="CV829" s="442"/>
      <c r="CW829" s="442"/>
      <c r="CX829" s="442"/>
      <c r="CY829" s="442"/>
      <c r="CZ829" s="442"/>
      <c r="DA829" s="442"/>
      <c r="DB829" s="442"/>
      <c r="DC829" s="1312"/>
      <c r="DD829" s="331"/>
      <c r="DE829" s="331"/>
      <c r="DF829" s="502"/>
      <c r="DG829" s="503"/>
      <c r="DH829" s="3298"/>
      <c r="DI829" s="3213"/>
      <c r="DJ829" s="502"/>
      <c r="DK829" s="503"/>
      <c r="DL829" s="502"/>
      <c r="DM829" s="502"/>
      <c r="DN829" s="502"/>
      <c r="DO829" s="502"/>
      <c r="DP829" s="503"/>
      <c r="DQ829" s="503"/>
      <c r="DR829" s="296"/>
      <c r="DS829" s="296"/>
      <c r="DT829" s="296"/>
    </row>
    <row r="830" spans="1:124" ht="12" customHeight="1" x14ac:dyDescent="0.25">
      <c r="A830" s="311" t="s">
        <v>601</v>
      </c>
      <c r="B830" s="281"/>
      <c r="C830" s="452">
        <f>C835-C833</f>
        <v>14.665309999999998</v>
      </c>
      <c r="D830" s="452">
        <f>D835-D833</f>
        <v>15.248390000000004</v>
      </c>
      <c r="E830" s="452">
        <f>E835-E833</f>
        <v>16.431785999999999</v>
      </c>
      <c r="F830" s="452">
        <f>F835-F833</f>
        <v>16.549946000000002</v>
      </c>
      <c r="G830" s="475">
        <f>SUM(C830:F830)</f>
        <v>62.895432</v>
      </c>
      <c r="H830" s="452">
        <f>H835-H833</f>
        <v>16.178642000000004</v>
      </c>
      <c r="I830" s="452">
        <f>I835-I833</f>
        <v>16.418622000000003</v>
      </c>
      <c r="J830" s="452">
        <f>J835-J833</f>
        <v>20.304733000000002</v>
      </c>
      <c r="K830" s="452">
        <f>K835-K833</f>
        <v>23.380037000000002</v>
      </c>
      <c r="L830" s="475">
        <f>SUM(H830:K830)</f>
        <v>76.28203400000001</v>
      </c>
      <c r="M830" s="452">
        <f>M835-M833</f>
        <v>16.186917000000001</v>
      </c>
      <c r="N830" s="452">
        <f>N835-N833</f>
        <v>15.884125000000001</v>
      </c>
      <c r="O830" s="452">
        <f>O835-O833</f>
        <v>19.316765</v>
      </c>
      <c r="P830" s="452">
        <f>P835-P833</f>
        <v>20.154333999999999</v>
      </c>
      <c r="Q830" s="475">
        <f>SUM(M830:P830)</f>
        <v>71.542141000000015</v>
      </c>
      <c r="R830" s="452">
        <f>R835-R833</f>
        <v>21.316157999999998</v>
      </c>
      <c r="S830" s="452">
        <f>S835-S833</f>
        <v>19.441165000000005</v>
      </c>
      <c r="T830" s="452">
        <f>T835-T833</f>
        <v>20.013150000000003</v>
      </c>
      <c r="U830" s="452">
        <f>U835-U833</f>
        <v>14.967912000000005</v>
      </c>
      <c r="V830" s="475">
        <f>SUM(R830:U830)</f>
        <v>75.738385000000008</v>
      </c>
      <c r="W830" s="452">
        <f>W835-W833</f>
        <v>16.798751775267323</v>
      </c>
      <c r="X830" s="452">
        <f>X835-X833</f>
        <v>15.014866265736305</v>
      </c>
      <c r="Y830" s="452">
        <f>Y835-Y833</f>
        <v>15.206651481382814</v>
      </c>
      <c r="Z830" s="452">
        <f>Z835-Z833</f>
        <v>13.007477477613554</v>
      </c>
      <c r="AA830" s="475">
        <f>SUM(W830:Z830)</f>
        <v>60.027746999999998</v>
      </c>
      <c r="AB830" s="452">
        <f>AB835-AB833</f>
        <v>15.521124999999998</v>
      </c>
      <c r="AC830" s="452">
        <f>AC835-AC833</f>
        <v>-3.9217750000000002</v>
      </c>
      <c r="AD830" s="452">
        <f>AD835-AD833</f>
        <v>17.350324999999998</v>
      </c>
      <c r="AE830" s="452">
        <f>AE835-AE833</f>
        <v>15.607624999999999</v>
      </c>
      <c r="AF830" s="477">
        <f>SUM(AB830:AE830)</f>
        <v>44.557299999999998</v>
      </c>
      <c r="AG830" s="452">
        <f>AG835-AG833</f>
        <v>15.090849999999993</v>
      </c>
      <c r="AH830" s="452">
        <f>AH835-AH833</f>
        <v>12.179950000000002</v>
      </c>
      <c r="AI830" s="452">
        <f>AI835-AI833</f>
        <v>12.148227</v>
      </c>
      <c r="AJ830" s="452">
        <f>AJ835-AJ833</f>
        <v>12.550075999999997</v>
      </c>
      <c r="AK830" s="477">
        <f>SUM(AG830:AJ830)</f>
        <v>51.96910299999999</v>
      </c>
      <c r="AL830" s="452">
        <f>AL835-AL833</f>
        <v>18.137861500000003</v>
      </c>
      <c r="AM830" s="452">
        <f>AM835-AM833</f>
        <v>16.742936500000003</v>
      </c>
      <c r="AN830" s="452">
        <f>AI830*(1+AN832)</f>
        <v>13.970461049999999</v>
      </c>
      <c r="AO830" s="452">
        <f>AJ830*(1+AO832)</f>
        <v>12.550075999999997</v>
      </c>
      <c r="AP830" s="478">
        <f>SUM(AL830:AO830)</f>
        <v>61.40133505</v>
      </c>
      <c r="AQ830" s="478">
        <f>AL830*(1+AQ832)</f>
        <v>15.417182275000002</v>
      </c>
      <c r="AR830" s="476">
        <f>AM830*(1+AR832)</f>
        <v>14.231496025000002</v>
      </c>
      <c r="AS830" s="476">
        <f>AN830*(1+AS832)</f>
        <v>13.271937997499998</v>
      </c>
      <c r="AT830" s="476">
        <f>AO830*(1+AT832)</f>
        <v>11.295068399999998</v>
      </c>
      <c r="AU830" s="1464">
        <f>SUM(AQ830:AT830)</f>
        <v>54.215684697500002</v>
      </c>
      <c r="AV830" s="1865">
        <f>AQ830*(1+AV832)</f>
        <v>13.875464047500001</v>
      </c>
      <c r="AW830" s="1771">
        <f>AR830*(1+AW832)</f>
        <v>13.092976343000002</v>
      </c>
      <c r="AX830" s="1771">
        <f>AS830*(1+AX832)</f>
        <v>12.342902337674998</v>
      </c>
      <c r="AY830" s="1866">
        <f>AT830*(1+AY832)</f>
        <v>10.391462927999999</v>
      </c>
      <c r="AZ830" s="1464">
        <f>SUM(AV830:AY830)</f>
        <v>49.702805656175002</v>
      </c>
      <c r="BA830" s="478">
        <f>AV830*(1+BA832)</f>
        <v>12.487917642750002</v>
      </c>
      <c r="BB830" s="476">
        <f>AW830*(1+BB832)</f>
        <v>12.831116816140002</v>
      </c>
      <c r="BC830" s="476">
        <f>AX830*(1+BC832)</f>
        <v>12.096044290921498</v>
      </c>
      <c r="BD830" s="682">
        <f>AY830*(1+BD832)</f>
        <v>10.495377557279999</v>
      </c>
      <c r="BE830" s="1866">
        <f>SUM(BA830:BD830)</f>
        <v>47.910456307091501</v>
      </c>
      <c r="BF830" s="476">
        <f>BA830*(1+BF832)</f>
        <v>12.612796819177502</v>
      </c>
      <c r="BG830" s="476">
        <f>BB830*(1+BG832)</f>
        <v>13.216050320624202</v>
      </c>
      <c r="BH830" s="476">
        <f>BC830*(1+BH832)</f>
        <v>12.942767391286003</v>
      </c>
      <c r="BI830" s="682">
        <f>BD830*(1+BI832)</f>
        <v>10.915192659571201</v>
      </c>
      <c r="BJ830" s="1866">
        <f>SUM(BF830:BI830)</f>
        <v>49.686807190658911</v>
      </c>
      <c r="BK830" s="476">
        <f>BF830*(1+BK832)</f>
        <v>13.117308691944602</v>
      </c>
      <c r="BL830" s="476">
        <f>BG830*(1+BL832)</f>
        <v>13.08388981741796</v>
      </c>
      <c r="BM830" s="476">
        <f>BH830*(1+BM832)</f>
        <v>13.007481228242431</v>
      </c>
      <c r="BN830" s="682">
        <f>BI830*(1+BN832)</f>
        <v>10.969768622869056</v>
      </c>
      <c r="BO830" s="1866">
        <f>SUM(BK830:BN830)</f>
        <v>50.17844836047405</v>
      </c>
      <c r="BP830" s="476">
        <f>BK830*(1+BP832)</f>
        <v>12.461443257347371</v>
      </c>
      <c r="BQ830" s="476">
        <f>BL830*(1+BQ832)</f>
        <v>13.214728715592139</v>
      </c>
      <c r="BR830" s="476">
        <f>BM830*(1+BR832)</f>
        <v>13.462743071230916</v>
      </c>
      <c r="BS830" s="682">
        <f>BN830*(1+BS832)</f>
        <v>11.408559367783818</v>
      </c>
      <c r="BT830" s="2911">
        <f>SUM(BP830:BS830)</f>
        <v>50.547474411954241</v>
      </c>
      <c r="BU830" s="2577">
        <f>BP830*(1+BU832)</f>
        <v>11.713756661906528</v>
      </c>
      <c r="BV830" s="2577">
        <f>BQ830*(1+BV832)</f>
        <v>13.214728715592139</v>
      </c>
      <c r="BW830" s="2577">
        <f>BR830*(1+BW832)</f>
        <v>13.328115640518607</v>
      </c>
      <c r="BX830" s="2577">
        <f>BS830*(1+BX832)</f>
        <v>11.408559367783818</v>
      </c>
      <c r="BY830" s="2604">
        <f>SUM(BU830:BX830)</f>
        <v>49.665160385801094</v>
      </c>
      <c r="BZ830" s="477">
        <f t="shared" ref="BZ830:CF830" si="1889">BY830*(1+BZ832)</f>
        <v>49.168508781943082</v>
      </c>
      <c r="CA830" s="477">
        <f t="shared" si="1889"/>
        <v>49.168508781943082</v>
      </c>
      <c r="CB830" s="477">
        <f t="shared" si="1889"/>
        <v>47.693453518484787</v>
      </c>
      <c r="CC830" s="477">
        <f t="shared" si="1889"/>
        <v>46.262649912930243</v>
      </c>
      <c r="CD830" s="477">
        <f t="shared" si="1889"/>
        <v>46.725276412059543</v>
      </c>
      <c r="CE830" s="477">
        <f t="shared" si="1889"/>
        <v>47.192529176180138</v>
      </c>
      <c r="CF830" s="477">
        <f t="shared" si="1889"/>
        <v>47.664454467941937</v>
      </c>
      <c r="CG830" s="331"/>
      <c r="CH830" s="331"/>
      <c r="CI830" s="331"/>
      <c r="CJ830" s="331"/>
      <c r="CK830" s="331"/>
      <c r="CL830" s="528" t="str">
        <f t="shared" ref="CL830:CL835" si="1890">A830</f>
        <v>Operating expenses</v>
      </c>
      <c r="CM830" s="476">
        <f t="shared" ref="CM830:CM835" si="1891">G830</f>
        <v>62.895432</v>
      </c>
      <c r="CN830" s="476">
        <f t="shared" ref="CN830:CN835" si="1892">L830</f>
        <v>76.28203400000001</v>
      </c>
      <c r="CO830" s="476">
        <f t="shared" ref="CO830:CO835" si="1893">Q830</f>
        <v>71.542141000000015</v>
      </c>
      <c r="CP830" s="476">
        <f t="shared" ref="CP830:CP835" si="1894">V830</f>
        <v>75.738385000000008</v>
      </c>
      <c r="CQ830" s="476">
        <f t="shared" ref="CQ830:CQ835" si="1895">AA830</f>
        <v>60.027746999999998</v>
      </c>
      <c r="CR830" s="476">
        <f t="shared" ref="CR830:CR835" si="1896">AF830</f>
        <v>44.557299999999998</v>
      </c>
      <c r="CS830" s="476">
        <f t="shared" ref="CS830:CS835" si="1897">AK830</f>
        <v>51.96910299999999</v>
      </c>
      <c r="CT830" s="476">
        <f t="shared" ref="CT830:CT835" si="1898">AP830</f>
        <v>61.40133505</v>
      </c>
      <c r="CU830" s="476">
        <f t="shared" ref="CU830:CU835" si="1899">AU830</f>
        <v>54.215684697500002</v>
      </c>
      <c r="CV830" s="476">
        <f t="shared" ref="CV830:CV835" si="1900">AZ830</f>
        <v>49.702805656175002</v>
      </c>
      <c r="CW830" s="476">
        <f t="shared" ref="CW830:CW835" si="1901">BE830</f>
        <v>47.910456307091501</v>
      </c>
      <c r="CX830" s="476">
        <f t="shared" ref="CX830:CX835" si="1902">BJ830</f>
        <v>49.686807190658911</v>
      </c>
      <c r="CY830" s="476">
        <f t="shared" ref="CY830:CY835" si="1903">BO830</f>
        <v>50.17844836047405</v>
      </c>
      <c r="CZ830" s="476">
        <f t="shared" ref="CZ830:CZ835" si="1904">BT830</f>
        <v>50.547474411954241</v>
      </c>
      <c r="DA830" s="476">
        <f t="shared" ref="DA830:DC835" si="1905">BY830</f>
        <v>49.665160385801094</v>
      </c>
      <c r="DB830" s="476">
        <f t="shared" si="1905"/>
        <v>49.168508781943082</v>
      </c>
      <c r="DC830" s="682">
        <f t="shared" si="1905"/>
        <v>49.168508781943082</v>
      </c>
      <c r="DD830" s="331"/>
      <c r="DE830" s="331"/>
      <c r="DF830" s="502"/>
      <c r="DG830" s="503"/>
      <c r="DH830" s="2577"/>
      <c r="DI830" s="3213"/>
      <c r="DJ830" s="502"/>
      <c r="DK830" s="503"/>
      <c r="DL830" s="502"/>
      <c r="DM830" s="502"/>
      <c r="DN830" s="502"/>
      <c r="DO830" s="502"/>
      <c r="DP830" s="503"/>
      <c r="DQ830" s="503"/>
      <c r="DR830" s="296"/>
      <c r="DS830" s="296"/>
      <c r="DT830" s="296"/>
    </row>
    <row r="831" spans="1:124" ht="12" customHeight="1" x14ac:dyDescent="0.25">
      <c r="A831" s="465" t="s">
        <v>646</v>
      </c>
      <c r="B831" s="466"/>
      <c r="C831" s="467">
        <f t="shared" ref="C831:AF831" si="1906">C830/C827</f>
        <v>0.2741948209778442</v>
      </c>
      <c r="D831" s="467">
        <f t="shared" si="1906"/>
        <v>0.28470266435146296</v>
      </c>
      <c r="E831" s="467">
        <f t="shared" si="1906"/>
        <v>0.28993517309524647</v>
      </c>
      <c r="F831" s="467">
        <f t="shared" si="1906"/>
        <v>0.29272770044395707</v>
      </c>
      <c r="G831" s="468">
        <f t="shared" si="1906"/>
        <v>0.28555734035549707</v>
      </c>
      <c r="H831" s="467">
        <f t="shared" si="1906"/>
        <v>0.2972922087467843</v>
      </c>
      <c r="I831" s="467">
        <f t="shared" si="1906"/>
        <v>0.28851166795529631</v>
      </c>
      <c r="J831" s="467">
        <f t="shared" si="1906"/>
        <v>0.33412428830014812</v>
      </c>
      <c r="K831" s="467">
        <f t="shared" si="1906"/>
        <v>0.37514901639870352</v>
      </c>
      <c r="L831" s="468">
        <f t="shared" si="1906"/>
        <v>0.32540753348690388</v>
      </c>
      <c r="M831" s="467">
        <f t="shared" si="1906"/>
        <v>0.26836409304176273</v>
      </c>
      <c r="N831" s="467">
        <f t="shared" si="1906"/>
        <v>0.26590540042855232</v>
      </c>
      <c r="O831" s="467">
        <f t="shared" si="1906"/>
        <v>0.322742180712424</v>
      </c>
      <c r="P831" s="467">
        <f t="shared" si="1906"/>
        <v>0.34195242538896142</v>
      </c>
      <c r="Q831" s="468">
        <f t="shared" si="1906"/>
        <v>0.2995350144864431</v>
      </c>
      <c r="R831" s="467">
        <f t="shared" si="1906"/>
        <v>0.35757566302652105</v>
      </c>
      <c r="S831" s="467">
        <f t="shared" si="1906"/>
        <v>0.33236737729300947</v>
      </c>
      <c r="T831" s="467">
        <f t="shared" si="1906"/>
        <v>0.35785055251582454</v>
      </c>
      <c r="U831" s="467">
        <f t="shared" si="1906"/>
        <v>0.28916796105250969</v>
      </c>
      <c r="V831" s="468">
        <f t="shared" si="1906"/>
        <v>0.3354313444998539</v>
      </c>
      <c r="W831" s="467">
        <f t="shared" si="1906"/>
        <v>0.37628240693637049</v>
      </c>
      <c r="X831" s="467">
        <f t="shared" si="1906"/>
        <v>0.33621143029929701</v>
      </c>
      <c r="Y831" s="467">
        <f t="shared" si="1906"/>
        <v>0.35433524749237616</v>
      </c>
      <c r="Z831" s="467">
        <f t="shared" si="1906"/>
        <v>0.35691684440823052</v>
      </c>
      <c r="AA831" s="468">
        <f t="shared" si="1906"/>
        <v>0.35590347023354257</v>
      </c>
      <c r="AB831" s="467">
        <f t="shared" si="1906"/>
        <v>0.47221165840153329</v>
      </c>
      <c r="AC831" s="467">
        <f t="shared" si="1906"/>
        <v>-1.0774107142857143</v>
      </c>
      <c r="AD831" s="467">
        <f t="shared" si="1906"/>
        <v>0.44933895320228934</v>
      </c>
      <c r="AE831" s="469">
        <f t="shared" si="1906"/>
        <v>0.48871571267535069</v>
      </c>
      <c r="AF831" s="470">
        <f t="shared" si="1906"/>
        <v>0.41619776196080632</v>
      </c>
      <c r="AG831" s="467">
        <f t="shared" ref="AG831:AU831" si="1907">AG830/AG827</f>
        <v>0.41867855953834188</v>
      </c>
      <c r="AH831" s="467">
        <f t="shared" si="1907"/>
        <v>0.35398599162985356</v>
      </c>
      <c r="AI831" s="467">
        <f t="shared" si="1907"/>
        <v>0.37661914062500002</v>
      </c>
      <c r="AJ831" s="469">
        <f t="shared" si="1907"/>
        <v>0.40337080962941529</v>
      </c>
      <c r="AK831" s="470">
        <f t="shared" si="1907"/>
        <v>0.3883478900919885</v>
      </c>
      <c r="AL831" s="467">
        <f t="shared" si="1907"/>
        <v>0.46504952310137948</v>
      </c>
      <c r="AM831" s="467">
        <f t="shared" si="1907"/>
        <v>0.4301442940088378</v>
      </c>
      <c r="AN831" s="467">
        <f t="shared" si="1907"/>
        <v>0.4250087021995072</v>
      </c>
      <c r="AO831" s="469">
        <f t="shared" si="1907"/>
        <v>0.43285079671656196</v>
      </c>
      <c r="AP831" s="471">
        <f t="shared" si="1907"/>
        <v>0.43923668226137591</v>
      </c>
      <c r="AQ831" s="471">
        <f t="shared" si="1907"/>
        <v>0.4577276371652515</v>
      </c>
      <c r="AR831" s="469">
        <f t="shared" si="1907"/>
        <v>0.42010556219742601</v>
      </c>
      <c r="AS831" s="469">
        <f t="shared" si="1907"/>
        <v>0.36714537048051116</v>
      </c>
      <c r="AT831" s="469">
        <f t="shared" si="1907"/>
        <v>0.3519919100003116</v>
      </c>
      <c r="AU831" s="1689">
        <f t="shared" si="1907"/>
        <v>0.39924360583154145</v>
      </c>
      <c r="AV831" s="1730">
        <f t="shared" ref="AV831:BJ831" si="1908">AV830/AV827</f>
        <v>0.4187429045444776</v>
      </c>
      <c r="AW831" s="1465">
        <f t="shared" si="1908"/>
        <v>0.3884506999601729</v>
      </c>
      <c r="AX831" s="1465">
        <f t="shared" si="1908"/>
        <v>0.40527807827766849</v>
      </c>
      <c r="AY831" s="1868">
        <f t="shared" si="1908"/>
        <v>0.3715889185971164</v>
      </c>
      <c r="AZ831" s="1689">
        <f t="shared" si="1908"/>
        <v>0.3967908858284786</v>
      </c>
      <c r="BA831" s="471">
        <f t="shared" si="1908"/>
        <v>0.46026599491087239</v>
      </c>
      <c r="BB831" s="469">
        <f t="shared" si="1908"/>
        <v>0.41274279310679818</v>
      </c>
      <c r="BC831" s="469">
        <f t="shared" si="1908"/>
        <v>0.41603367449121353</v>
      </c>
      <c r="BD831" s="1463">
        <f t="shared" si="1908"/>
        <v>0.38423050120599012</v>
      </c>
      <c r="BE831" s="1868">
        <f t="shared" si="1908"/>
        <v>0.41803255655659194</v>
      </c>
      <c r="BF831" s="469">
        <f t="shared" si="1908"/>
        <v>0.4471800459673429</v>
      </c>
      <c r="BG831" s="469">
        <f t="shared" si="1908"/>
        <v>0.4089705415959366</v>
      </c>
      <c r="BH831" s="469">
        <f t="shared" si="1908"/>
        <v>0.41541061431825416</v>
      </c>
      <c r="BI831" s="1463">
        <f t="shared" si="1908"/>
        <v>0.39511018455070795</v>
      </c>
      <c r="BJ831" s="1868">
        <f t="shared" si="1908"/>
        <v>0.41647626977251678</v>
      </c>
      <c r="BK831" s="469">
        <f t="shared" ref="BK831:BU831" si="1909">BK830/BK827</f>
        <v>0.44614134712077091</v>
      </c>
      <c r="BL831" s="469">
        <f t="shared" si="1909"/>
        <v>0.44961820678412234</v>
      </c>
      <c r="BM831" s="469">
        <f t="shared" si="1909"/>
        <v>0.4647423665127205</v>
      </c>
      <c r="BN831" s="1463">
        <f t="shared" si="1909"/>
        <v>0.42404516786547536</v>
      </c>
      <c r="BO831" s="1868">
        <f t="shared" si="1909"/>
        <v>0.44658794223929954</v>
      </c>
      <c r="BP831" s="469">
        <f t="shared" si="1909"/>
        <v>0.43447349627598475</v>
      </c>
      <c r="BQ831" s="469">
        <f t="shared" si="1909"/>
        <v>0.4491148149516242</v>
      </c>
      <c r="BR831" s="469">
        <f t="shared" si="1909"/>
        <v>0.44482935468613083</v>
      </c>
      <c r="BS831" s="1463">
        <f t="shared" si="1909"/>
        <v>0.42458150433015496</v>
      </c>
      <c r="BT831" s="1463">
        <f t="shared" si="1909"/>
        <v>0.43862503048903667</v>
      </c>
      <c r="BU831" s="469">
        <f t="shared" si="1909"/>
        <v>0.43353536641389145</v>
      </c>
      <c r="BV831" s="469">
        <f t="shared" ref="BV831:CF831" si="1910">BV830/BV827</f>
        <v>0.4491148149516242</v>
      </c>
      <c r="BW831" s="469">
        <f t="shared" si="1910"/>
        <v>0.43573575623331789</v>
      </c>
      <c r="BX831" s="469">
        <f t="shared" si="1910"/>
        <v>0.42006815721564184</v>
      </c>
      <c r="BY831" s="470">
        <f t="shared" si="1910"/>
        <v>0.4349361939205082</v>
      </c>
      <c r="BZ831" s="470">
        <f t="shared" si="1910"/>
        <v>0.4305868319813031</v>
      </c>
      <c r="CA831" s="470">
        <f t="shared" si="1910"/>
        <v>0.44000342412132037</v>
      </c>
      <c r="CB831" s="470">
        <f t="shared" si="1910"/>
        <v>0.43453102424440176</v>
      </c>
      <c r="CC831" s="470">
        <f t="shared" si="1910"/>
        <v>0.44453169648481872</v>
      </c>
      <c r="CD831" s="470">
        <f t="shared" si="1910"/>
        <v>0.43984206147528854</v>
      </c>
      <c r="CE831" s="470">
        <f t="shared" si="1910"/>
        <v>0.43520856856516571</v>
      </c>
      <c r="CF831" s="470">
        <f t="shared" si="1910"/>
        <v>0.43063034616621632</v>
      </c>
      <c r="CG831" s="492"/>
      <c r="CH831" s="492"/>
      <c r="CI831" s="492"/>
      <c r="CJ831" s="492"/>
      <c r="CK831" s="492"/>
      <c r="CL831" s="1310" t="str">
        <f t="shared" si="1890"/>
        <v>% of Net revenue</v>
      </c>
      <c r="CM831" s="469">
        <f t="shared" si="1891"/>
        <v>0.28555734035549707</v>
      </c>
      <c r="CN831" s="469">
        <f t="shared" si="1892"/>
        <v>0.32540753348690388</v>
      </c>
      <c r="CO831" s="469">
        <f t="shared" si="1893"/>
        <v>0.2995350144864431</v>
      </c>
      <c r="CP831" s="469">
        <f t="shared" si="1894"/>
        <v>0.3354313444998539</v>
      </c>
      <c r="CQ831" s="469">
        <f t="shared" si="1895"/>
        <v>0.35590347023354257</v>
      </c>
      <c r="CR831" s="469">
        <f t="shared" si="1896"/>
        <v>0.41619776196080632</v>
      </c>
      <c r="CS831" s="469">
        <f t="shared" si="1897"/>
        <v>0.3883478900919885</v>
      </c>
      <c r="CT831" s="469">
        <f t="shared" si="1898"/>
        <v>0.43923668226137591</v>
      </c>
      <c r="CU831" s="469">
        <f t="shared" si="1899"/>
        <v>0.39924360583154145</v>
      </c>
      <c r="CV831" s="469">
        <f t="shared" si="1900"/>
        <v>0.3967908858284786</v>
      </c>
      <c r="CW831" s="469">
        <f t="shared" si="1901"/>
        <v>0.41803255655659194</v>
      </c>
      <c r="CX831" s="469">
        <f t="shared" si="1902"/>
        <v>0.41647626977251678</v>
      </c>
      <c r="CY831" s="469">
        <f t="shared" si="1903"/>
        <v>0.44658794223929954</v>
      </c>
      <c r="CZ831" s="469">
        <f t="shared" si="1904"/>
        <v>0.43862503048903667</v>
      </c>
      <c r="DA831" s="469">
        <f t="shared" si="1905"/>
        <v>0.4349361939205082</v>
      </c>
      <c r="DB831" s="469">
        <f t="shared" si="1905"/>
        <v>0.4305868319813031</v>
      </c>
      <c r="DC831" s="1463">
        <f t="shared" si="1905"/>
        <v>0.44000342412132037</v>
      </c>
      <c r="DD831" s="492"/>
      <c r="DE831" s="492"/>
      <c r="DF831" s="962"/>
      <c r="DG831" s="962"/>
      <c r="DH831" s="469"/>
      <c r="DI831" s="3213"/>
      <c r="DJ831" s="962"/>
      <c r="DK831" s="962"/>
      <c r="DL831" s="962"/>
      <c r="DM831" s="962"/>
      <c r="DN831" s="962"/>
      <c r="DO831" s="962"/>
      <c r="DP831" s="962"/>
      <c r="DQ831" s="962"/>
      <c r="DR831" s="963"/>
      <c r="DS831" s="963"/>
      <c r="DT831" s="963"/>
    </row>
    <row r="832" spans="1:124" ht="12" customHeight="1" x14ac:dyDescent="0.25">
      <c r="A832" s="465" t="s">
        <v>1491</v>
      </c>
      <c r="B832" s="466"/>
      <c r="C832" s="467" t="s">
        <v>553</v>
      </c>
      <c r="D832" s="467" t="s">
        <v>553</v>
      </c>
      <c r="E832" s="467" t="s">
        <v>553</v>
      </c>
      <c r="F832" s="467" t="s">
        <v>553</v>
      </c>
      <c r="G832" s="468" t="s">
        <v>553</v>
      </c>
      <c r="H832" s="467">
        <f t="shared" ref="H832:AF832" si="1911">(H830-C830)/C830</f>
        <v>0.10319127246543071</v>
      </c>
      <c r="I832" s="467">
        <f t="shared" si="1911"/>
        <v>7.6744626809781114E-2</v>
      </c>
      <c r="J832" s="467">
        <f t="shared" si="1911"/>
        <v>0.23569848098070434</v>
      </c>
      <c r="K832" s="467">
        <f t="shared" si="1911"/>
        <v>0.41269566680157138</v>
      </c>
      <c r="L832" s="468">
        <f t="shared" si="1911"/>
        <v>0.21283901826129456</v>
      </c>
      <c r="M832" s="467">
        <f t="shared" si="1911"/>
        <v>5.1147679761982421E-4</v>
      </c>
      <c r="N832" s="467">
        <f t="shared" si="1911"/>
        <v>-3.2554315459604445E-2</v>
      </c>
      <c r="O832" s="467">
        <f t="shared" si="1911"/>
        <v>-4.865702986589393E-2</v>
      </c>
      <c r="P832" s="467">
        <f t="shared" si="1911"/>
        <v>-0.13796825898949616</v>
      </c>
      <c r="Q832" s="468">
        <f t="shared" si="1911"/>
        <v>-6.213642651426933E-2</v>
      </c>
      <c r="R832" s="467">
        <f t="shared" si="1911"/>
        <v>0.31687572130010899</v>
      </c>
      <c r="S832" s="467">
        <f t="shared" si="1911"/>
        <v>0.22393679223753302</v>
      </c>
      <c r="T832" s="467">
        <f t="shared" si="1911"/>
        <v>3.605080871460635E-2</v>
      </c>
      <c r="U832" s="467">
        <f t="shared" si="1911"/>
        <v>-0.25733532053204999</v>
      </c>
      <c r="V832" s="468">
        <f t="shared" si="1911"/>
        <v>5.8654157414718577E-2</v>
      </c>
      <c r="W832" s="467">
        <f t="shared" si="1911"/>
        <v>-0.21192403550080061</v>
      </c>
      <c r="X832" s="467">
        <f t="shared" si="1911"/>
        <v>-0.22767661990748489</v>
      </c>
      <c r="Y832" s="467">
        <f t="shared" si="1911"/>
        <v>-0.24016701611776201</v>
      </c>
      <c r="Z832" s="467">
        <f t="shared" si="1911"/>
        <v>-0.13097581829626276</v>
      </c>
      <c r="AA832" s="468">
        <f t="shared" si="1911"/>
        <v>-0.20743296810461442</v>
      </c>
      <c r="AB832" s="467">
        <f t="shared" si="1911"/>
        <v>-7.6054863620781982E-2</v>
      </c>
      <c r="AC832" s="467">
        <f t="shared" si="1911"/>
        <v>-1.2611928025592496</v>
      </c>
      <c r="AD832" s="467">
        <f t="shared" si="1911"/>
        <v>0.14096946466101623</v>
      </c>
      <c r="AE832" s="469">
        <f>(AE830-Z830)/Z830</f>
        <v>0.1998963693661138</v>
      </c>
      <c r="AF832" s="470">
        <f t="shared" si="1911"/>
        <v>-0.25772159997942284</v>
      </c>
      <c r="AG832" s="467">
        <f>(AG830-AB830)/AB830</f>
        <v>-2.772189515901749E-2</v>
      </c>
      <c r="AH832" s="467" t="s">
        <v>553</v>
      </c>
      <c r="AI832" s="467">
        <f>(AI830-AD830)/AD830</f>
        <v>-0.29982712139397955</v>
      </c>
      <c r="AJ832" s="469">
        <f>(AJ830-AE830)/AE830</f>
        <v>-0.19590097788741093</v>
      </c>
      <c r="AK832" s="470">
        <f>(AK830-AF830)/AF830</f>
        <v>0.16634318057871533</v>
      </c>
      <c r="AL832" s="467">
        <f>(AL830-AG830)/AG830</f>
        <v>0.20191119121852064</v>
      </c>
      <c r="AM832" s="467">
        <f>(AM830-AH830)/AH830</f>
        <v>0.37463097139150819</v>
      </c>
      <c r="AN832" s="538">
        <v>0.15</v>
      </c>
      <c r="AO832" s="1465">
        <v>0</v>
      </c>
      <c r="AP832" s="471">
        <f>(AP830-AK830)/AK830</f>
        <v>0.18149691846711327</v>
      </c>
      <c r="AQ832" s="1667">
        <v>-0.15</v>
      </c>
      <c r="AR832" s="540">
        <v>-0.15</v>
      </c>
      <c r="AS832" s="540">
        <v>-0.05</v>
      </c>
      <c r="AT832" s="540">
        <v>-0.1</v>
      </c>
      <c r="AU832" s="1689">
        <f>(AU830-AP830)/AP830</f>
        <v>-0.1170275914464827</v>
      </c>
      <c r="AV832" s="1667">
        <v>-0.1</v>
      </c>
      <c r="AW832" s="540">
        <v>-0.08</v>
      </c>
      <c r="AX832" s="540">
        <v>-7.0000000000000007E-2</v>
      </c>
      <c r="AY832" s="1668">
        <v>-0.08</v>
      </c>
      <c r="AZ832" s="1689">
        <f>(AZ830-AU830)/AU830</f>
        <v>-8.3239362677146059E-2</v>
      </c>
      <c r="BA832" s="1667">
        <v>-0.1</v>
      </c>
      <c r="BB832" s="540">
        <v>-0.02</v>
      </c>
      <c r="BC832" s="540">
        <v>-0.02</v>
      </c>
      <c r="BD832" s="1668">
        <v>0.01</v>
      </c>
      <c r="BE832" s="1868">
        <f>(BE830-AZ830)/AZ830</f>
        <v>-3.6061331456463216E-2</v>
      </c>
      <c r="BF832" s="540">
        <v>0.01</v>
      </c>
      <c r="BG832" s="540">
        <v>0.03</v>
      </c>
      <c r="BH832" s="540">
        <v>7.0000000000000007E-2</v>
      </c>
      <c r="BI832" s="540">
        <v>0.04</v>
      </c>
      <c r="BJ832" s="1689">
        <f>(BJ830-BE830)/BE830</f>
        <v>3.7076476003099192E-2</v>
      </c>
      <c r="BK832" s="540">
        <v>0.04</v>
      </c>
      <c r="BL832" s="540">
        <v>-0.01</v>
      </c>
      <c r="BM832" s="540">
        <v>5.0000000000000001E-3</v>
      </c>
      <c r="BN832" s="540">
        <v>5.0000000000000001E-3</v>
      </c>
      <c r="BO832" s="1689">
        <f>(BO830-BJ830)/BJ830</f>
        <v>9.8948030194133205E-3</v>
      </c>
      <c r="BP832" s="540">
        <v>-0.05</v>
      </c>
      <c r="BQ832" s="540">
        <v>0.01</v>
      </c>
      <c r="BR832" s="540">
        <v>3.5000000000000003E-2</v>
      </c>
      <c r="BS832" s="1668">
        <v>0.04</v>
      </c>
      <c r="BT832" s="2950">
        <f>(BT830-BO830)/BO830</f>
        <v>7.3542738673217983E-3</v>
      </c>
      <c r="BU832" s="540">
        <v>-0.06</v>
      </c>
      <c r="BV832" s="540">
        <v>0</v>
      </c>
      <c r="BW832" s="540">
        <v>-0.01</v>
      </c>
      <c r="BX832" s="540">
        <v>0</v>
      </c>
      <c r="BY832" s="2693">
        <f>(BY830-BT830)/BT830</f>
        <v>-1.7455155503169575E-2</v>
      </c>
      <c r="BZ832" s="539">
        <v>-0.01</v>
      </c>
      <c r="CA832" s="578">
        <v>0</v>
      </c>
      <c r="CB832" s="539">
        <v>-0.03</v>
      </c>
      <c r="CC832" s="539">
        <v>-0.03</v>
      </c>
      <c r="CD832" s="539">
        <v>0.01</v>
      </c>
      <c r="CE832" s="539">
        <v>0.01</v>
      </c>
      <c r="CF832" s="539">
        <v>0.01</v>
      </c>
      <c r="CG832" s="492"/>
      <c r="CH832" s="492"/>
      <c r="CI832" s="492"/>
      <c r="CJ832" s="492"/>
      <c r="CK832" s="492"/>
      <c r="CL832" s="1310" t="str">
        <f t="shared" si="1890"/>
        <v>% growth (y-o-y)</v>
      </c>
      <c r="CM832" s="469" t="str">
        <f t="shared" si="1891"/>
        <v xml:space="preserve">n/a </v>
      </c>
      <c r="CN832" s="469">
        <f t="shared" si="1892"/>
        <v>0.21283901826129456</v>
      </c>
      <c r="CO832" s="469">
        <f t="shared" si="1893"/>
        <v>-6.213642651426933E-2</v>
      </c>
      <c r="CP832" s="469">
        <f t="shared" si="1894"/>
        <v>5.8654157414718577E-2</v>
      </c>
      <c r="CQ832" s="469">
        <f t="shared" si="1895"/>
        <v>-0.20743296810461442</v>
      </c>
      <c r="CR832" s="469">
        <f t="shared" si="1896"/>
        <v>-0.25772159997942284</v>
      </c>
      <c r="CS832" s="469">
        <f t="shared" si="1897"/>
        <v>0.16634318057871533</v>
      </c>
      <c r="CT832" s="469">
        <f t="shared" si="1898"/>
        <v>0.18149691846711327</v>
      </c>
      <c r="CU832" s="469">
        <f t="shared" si="1899"/>
        <v>-0.1170275914464827</v>
      </c>
      <c r="CV832" s="469">
        <f t="shared" si="1900"/>
        <v>-8.3239362677146059E-2</v>
      </c>
      <c r="CW832" s="469">
        <f t="shared" si="1901"/>
        <v>-3.6061331456463216E-2</v>
      </c>
      <c r="CX832" s="469">
        <f t="shared" si="1902"/>
        <v>3.7076476003099192E-2</v>
      </c>
      <c r="CY832" s="469">
        <f t="shared" si="1903"/>
        <v>9.8948030194133205E-3</v>
      </c>
      <c r="CZ832" s="469">
        <f t="shared" si="1904"/>
        <v>7.3542738673217983E-3</v>
      </c>
      <c r="DA832" s="469">
        <f t="shared" si="1905"/>
        <v>-1.7455155503169575E-2</v>
      </c>
      <c r="DB832" s="469">
        <f t="shared" si="1905"/>
        <v>-0.01</v>
      </c>
      <c r="DC832" s="1463">
        <f t="shared" si="1905"/>
        <v>0</v>
      </c>
      <c r="DD832" s="492"/>
      <c r="DE832" s="492"/>
      <c r="DF832" s="962"/>
      <c r="DG832" s="962"/>
      <c r="DH832" s="2653"/>
      <c r="DI832" s="3213"/>
      <c r="DJ832" s="962"/>
      <c r="DK832" s="962"/>
      <c r="DL832" s="962"/>
      <c r="DM832" s="962"/>
      <c r="DN832" s="962"/>
      <c r="DO832" s="962"/>
      <c r="DP832" s="962"/>
      <c r="DQ832" s="962"/>
      <c r="DR832" s="963"/>
      <c r="DS832" s="963"/>
      <c r="DT832" s="963"/>
    </row>
    <row r="833" spans="1:124" ht="12" customHeight="1" x14ac:dyDescent="0.25">
      <c r="A833" s="311" t="s">
        <v>2161</v>
      </c>
      <c r="B833" s="281"/>
      <c r="C833" s="476">
        <f>Taxes!C101</f>
        <v>25.66469</v>
      </c>
      <c r="D833" s="476">
        <f>Taxes!D101</f>
        <v>25.665609999999997</v>
      </c>
      <c r="E833" s="476">
        <f>Taxes!E101</f>
        <v>25.926213999999998</v>
      </c>
      <c r="F833" s="476">
        <f>Taxes!F101</f>
        <v>25.840053999999999</v>
      </c>
      <c r="G833" s="477">
        <f>Taxes!G101</f>
        <v>103.09656799999999</v>
      </c>
      <c r="H833" s="476">
        <f>Taxes!H101</f>
        <v>25.371358000000001</v>
      </c>
      <c r="I833" s="476">
        <f>Taxes!I101</f>
        <v>26.347378000000003</v>
      </c>
      <c r="J833" s="476">
        <f>Taxes!J101</f>
        <v>23.078267</v>
      </c>
      <c r="K833" s="476">
        <f>Taxes!K101</f>
        <v>23.024963</v>
      </c>
      <c r="L833" s="477">
        <f>Taxes!L101</f>
        <v>96.932406999999998</v>
      </c>
      <c r="M833" s="476">
        <f>Taxes!M101</f>
        <v>26.609082999999998</v>
      </c>
      <c r="N833" s="476">
        <f>Taxes!N101</f>
        <v>26.588874999999998</v>
      </c>
      <c r="O833" s="476">
        <f>Taxes!O101</f>
        <v>26.751234999999998</v>
      </c>
      <c r="P833" s="476">
        <f>Taxes!P101</f>
        <v>26.608665999999999</v>
      </c>
      <c r="Q833" s="477">
        <f>Taxes!Q101</f>
        <v>106.55785899999999</v>
      </c>
      <c r="R833" s="476">
        <f>Taxes!R101</f>
        <v>25.050841999999999</v>
      </c>
      <c r="S833" s="476">
        <f>Taxes!S101</f>
        <v>24.919834999999999</v>
      </c>
      <c r="T833" s="476">
        <f>Taxes!T101</f>
        <v>24.757849999999998</v>
      </c>
      <c r="U833" s="476">
        <f>Taxes!U101</f>
        <v>24.652087999999999</v>
      </c>
      <c r="V833" s="477">
        <f>Taxes!V101</f>
        <v>99.228364999999997</v>
      </c>
      <c r="W833" s="476">
        <f>Taxes!W101</f>
        <v>18.298248224732671</v>
      </c>
      <c r="X833" s="476">
        <f>Taxes!X101</f>
        <v>17.066133734263698</v>
      </c>
      <c r="Y833" s="476">
        <f>Taxes!Y101</f>
        <v>17.249348518617182</v>
      </c>
      <c r="Z833" s="476">
        <f>Taxes!Z101</f>
        <v>14.927522522386449</v>
      </c>
      <c r="AA833" s="477">
        <f>Taxes!AA101</f>
        <v>67.541253000000012</v>
      </c>
      <c r="AB833" s="476">
        <f>Taxes!AB101</f>
        <v>10.009875000000001</v>
      </c>
      <c r="AC833" s="476">
        <f>Taxes!AC101</f>
        <v>8.1807750000000006</v>
      </c>
      <c r="AD833" s="476">
        <f>Taxes!AD101</f>
        <v>10.512675</v>
      </c>
      <c r="AE833" s="476">
        <f>Taxes!AE101</f>
        <v>10.080375</v>
      </c>
      <c r="AF833" s="477">
        <f>Taxes!AF101</f>
        <v>38.783700000000003</v>
      </c>
      <c r="AG833" s="476">
        <f>Taxes!AG101</f>
        <v>12.399150000000002</v>
      </c>
      <c r="AH833" s="476">
        <f>Taxes!AH101</f>
        <v>12.21705</v>
      </c>
      <c r="AI833" s="476">
        <f>Taxes!AI101</f>
        <v>12.097773000000002</v>
      </c>
      <c r="AJ833" s="476">
        <f>Taxes!AJ101</f>
        <v>12.018924000000002</v>
      </c>
      <c r="AK833" s="477">
        <f>Taxes!AK101</f>
        <v>48.732897000000008</v>
      </c>
      <c r="AL833" s="476">
        <f>Taxes!AL101</f>
        <v>12.820138499999999</v>
      </c>
      <c r="AM833" s="476">
        <f>Taxes!AM101</f>
        <v>12.853063499999998</v>
      </c>
      <c r="AN833" s="476">
        <f>Taxes!AN101</f>
        <v>12.494419499999999</v>
      </c>
      <c r="AO833" s="476">
        <f>Taxes!AO101</f>
        <v>12.2780895</v>
      </c>
      <c r="AP833" s="478">
        <f>Taxes!AP101</f>
        <v>50.445710999999996</v>
      </c>
      <c r="AQ833" s="478">
        <f>Taxes!AQ101</f>
        <v>12.029330999999999</v>
      </c>
      <c r="AR833" s="476">
        <f>Taxes!AR101</f>
        <v>12.126014999999999</v>
      </c>
      <c r="AS833" s="476">
        <f>Taxes!AS101</f>
        <v>12.205310999999998</v>
      </c>
      <c r="AT833" s="476">
        <f>Taxes!AT101</f>
        <v>11.980025999999999</v>
      </c>
      <c r="AU833" s="1464">
        <f>Taxes!AU101</f>
        <v>48.340682999999999</v>
      </c>
      <c r="AV833" s="1865">
        <f>Taxes!AV101</f>
        <v>11.039278065</v>
      </c>
      <c r="AW833" s="1771">
        <f>Taxes!AW101</f>
        <v>11.060879085</v>
      </c>
      <c r="AX833" s="1771">
        <f>Taxes!AX101</f>
        <v>10.917150854999999</v>
      </c>
      <c r="AY833" s="1866">
        <f>Taxes!AY101</f>
        <v>10.731083414999999</v>
      </c>
      <c r="AZ833" s="1464">
        <f>Taxes!AZ101</f>
        <v>43.748391420000004</v>
      </c>
      <c r="BA833" s="478">
        <f>Taxes!BA101</f>
        <v>9.8705100524999985</v>
      </c>
      <c r="BB833" s="476">
        <f>Taxes!BB101</f>
        <v>10.098014512500001</v>
      </c>
      <c r="BC833" s="476">
        <f>Taxes!BC101</f>
        <v>9.9890075925000001</v>
      </c>
      <c r="BD833" s="682">
        <f>Taxes!BD101</f>
        <v>9.8676137925000003</v>
      </c>
      <c r="BE833" s="1866">
        <f>Taxes!BE101</f>
        <v>39.82514595</v>
      </c>
      <c r="BF833" s="476">
        <f>Taxes!BF101</f>
        <v>10.13492407875</v>
      </c>
      <c r="BG833" s="476">
        <f>Taxes!BG101</f>
        <v>10.336884738749998</v>
      </c>
      <c r="BH833" s="476">
        <f>Taxes!BH101</f>
        <v>10.314302388749999</v>
      </c>
      <c r="BI833" s="682">
        <f>Taxes!BI101</f>
        <v>10.120122258749999</v>
      </c>
      <c r="BJ833" s="1866">
        <f>Taxes!BJ101</f>
        <v>40.906233464999993</v>
      </c>
      <c r="BK833" s="476">
        <f>Taxes!BK101</f>
        <v>9.6473033587499994</v>
      </c>
      <c r="BL833" s="476">
        <f>Taxes!BL101</f>
        <v>9.6490137187499982</v>
      </c>
      <c r="BM833" s="476">
        <f>Taxes!BM101</f>
        <v>9.6283462687500005</v>
      </c>
      <c r="BN833" s="682">
        <f>Taxes!BN101</f>
        <v>9.4608729187499989</v>
      </c>
      <c r="BO833" s="1866">
        <f>Taxes!BO101</f>
        <v>38.385536264999999</v>
      </c>
      <c r="BP833" s="476">
        <f>Taxes!BP101</f>
        <v>9.9886209862500017</v>
      </c>
      <c r="BQ833" s="476">
        <f>Taxes!BQ101</f>
        <v>10.027300946250001</v>
      </c>
      <c r="BR833" s="476">
        <f>Taxes!BR101</f>
        <v>10.09329248625</v>
      </c>
      <c r="BS833" s="682">
        <f>Taxes!BS101</f>
        <v>9.8712014962500003</v>
      </c>
      <c r="BT833" s="2604">
        <f>Taxes!BT101</f>
        <v>39.980415915000002</v>
      </c>
      <c r="BU833" s="476">
        <f>Taxes!BU101</f>
        <v>9.7221430846874988</v>
      </c>
      <c r="BV833" s="476">
        <f>Taxes!BV101</f>
        <v>9.9287499046874998</v>
      </c>
      <c r="BW833" s="476">
        <f>Taxes!BW101</f>
        <v>10.0129486729875</v>
      </c>
      <c r="BX833" s="682">
        <f>Taxes!BX101</f>
        <v>9.7886367730875001</v>
      </c>
      <c r="BY833" s="2604">
        <f>Taxes!BY101</f>
        <v>39.452478435449997</v>
      </c>
      <c r="BZ833" s="477">
        <f>Taxes!BZ101</f>
        <v>39.452478435449997</v>
      </c>
      <c r="CA833" s="477">
        <f>Taxes!CA101</f>
        <v>38.40092886674099</v>
      </c>
      <c r="CB833" s="477">
        <f>Taxes!CB101</f>
        <v>35.824632423403941</v>
      </c>
      <c r="CC833" s="477">
        <f>Taxes!CC101</f>
        <v>33.377150802233743</v>
      </c>
      <c r="CD833" s="477">
        <f>Taxes!CD101</f>
        <v>34.307193818278421</v>
      </c>
      <c r="CE833" s="477">
        <f>Taxes!CE101</f>
        <v>35.255837694643986</v>
      </c>
      <c r="CF833" s="477">
        <f>Taxes!CF101</f>
        <v>36.22345444853687</v>
      </c>
      <c r="CG833" s="331"/>
      <c r="CH833" s="331"/>
      <c r="CI833" s="331"/>
      <c r="CJ833" s="331"/>
      <c r="CK833" s="331"/>
      <c r="CL833" s="528" t="str">
        <f t="shared" si="1890"/>
        <v>Tax expense</v>
      </c>
      <c r="CM833" s="476">
        <f t="shared" si="1891"/>
        <v>103.09656799999999</v>
      </c>
      <c r="CN833" s="476">
        <f t="shared" si="1892"/>
        <v>96.932406999999998</v>
      </c>
      <c r="CO833" s="476">
        <f t="shared" si="1893"/>
        <v>106.55785899999999</v>
      </c>
      <c r="CP833" s="476">
        <f t="shared" si="1894"/>
        <v>99.228364999999997</v>
      </c>
      <c r="CQ833" s="476">
        <f t="shared" si="1895"/>
        <v>67.541253000000012</v>
      </c>
      <c r="CR833" s="476">
        <f t="shared" si="1896"/>
        <v>38.783700000000003</v>
      </c>
      <c r="CS833" s="476">
        <f t="shared" si="1897"/>
        <v>48.732897000000008</v>
      </c>
      <c r="CT833" s="476">
        <f t="shared" si="1898"/>
        <v>50.445710999999996</v>
      </c>
      <c r="CU833" s="476">
        <f t="shared" si="1899"/>
        <v>48.340682999999999</v>
      </c>
      <c r="CV833" s="476">
        <f t="shared" si="1900"/>
        <v>43.748391420000004</v>
      </c>
      <c r="CW833" s="476">
        <f t="shared" si="1901"/>
        <v>39.82514595</v>
      </c>
      <c r="CX833" s="476">
        <f t="shared" si="1902"/>
        <v>40.906233464999993</v>
      </c>
      <c r="CY833" s="476">
        <f t="shared" si="1903"/>
        <v>38.385536264999999</v>
      </c>
      <c r="CZ833" s="476">
        <f t="shared" si="1904"/>
        <v>39.980415915000002</v>
      </c>
      <c r="DA833" s="476">
        <f t="shared" si="1905"/>
        <v>39.452478435449997</v>
      </c>
      <c r="DB833" s="476">
        <f t="shared" si="1905"/>
        <v>39.452478435449997</v>
      </c>
      <c r="DC833" s="682">
        <f t="shared" si="1905"/>
        <v>38.40092886674099</v>
      </c>
      <c r="DD833" s="331"/>
      <c r="DE833" s="331"/>
      <c r="DF833" s="502"/>
      <c r="DG833" s="503"/>
      <c r="DH833" s="2577"/>
      <c r="DI833" s="3213"/>
      <c r="DJ833" s="502"/>
      <c r="DK833" s="503"/>
      <c r="DL833" s="502"/>
      <c r="DM833" s="502"/>
      <c r="DN833" s="502"/>
      <c r="DO833" s="502"/>
      <c r="DP833" s="503"/>
      <c r="DQ833" s="503"/>
      <c r="DR833" s="296"/>
      <c r="DS833" s="296"/>
      <c r="DT833" s="296"/>
    </row>
    <row r="834" spans="1:124" ht="12" customHeight="1" x14ac:dyDescent="0.25">
      <c r="A834" s="465" t="s">
        <v>1810</v>
      </c>
      <c r="B834" s="466"/>
      <c r="C834" s="467">
        <f t="shared" ref="C834:AU834" si="1912">C833/C824</f>
        <v>0.46494003623188401</v>
      </c>
      <c r="D834" s="467">
        <f t="shared" si="1912"/>
        <v>0.46376368761519277</v>
      </c>
      <c r="E834" s="467">
        <f t="shared" si="1912"/>
        <v>0.438914049670724</v>
      </c>
      <c r="F834" s="467">
        <f t="shared" si="1912"/>
        <v>0.44140096684375052</v>
      </c>
      <c r="G834" s="468">
        <f t="shared" si="1912"/>
        <v>0.45187667870542442</v>
      </c>
      <c r="H834" s="467">
        <f t="shared" si="1912"/>
        <v>0.45103032781056673</v>
      </c>
      <c r="I834" s="467">
        <f t="shared" si="1912"/>
        <v>0.45275076468364439</v>
      </c>
      <c r="J834" s="467">
        <f t="shared" si="1912"/>
        <v>0.36375233666955631</v>
      </c>
      <c r="K834" s="467">
        <f t="shared" si="1912"/>
        <v>0.37686531033128196</v>
      </c>
      <c r="L834" s="468">
        <f t="shared" si="1912"/>
        <v>0.40559698644696157</v>
      </c>
      <c r="M834" s="467">
        <f t="shared" si="1912"/>
        <v>0.42104978084402739</v>
      </c>
      <c r="N834" s="467">
        <f t="shared" si="1912"/>
        <v>0.42004541864139017</v>
      </c>
      <c r="O834" s="467">
        <f t="shared" si="1912"/>
        <v>0.4118172231715389</v>
      </c>
      <c r="P834" s="467">
        <f t="shared" si="1912"/>
        <v>0.42687927742929105</v>
      </c>
      <c r="Q834" s="468">
        <f t="shared" si="1912"/>
        <v>0.41986791783725852</v>
      </c>
      <c r="R834" s="467">
        <f t="shared" si="1912"/>
        <v>0.39397408193756389</v>
      </c>
      <c r="S834" s="467">
        <f t="shared" si="1912"/>
        <v>0.40393948972314075</v>
      </c>
      <c r="T834" s="467">
        <f t="shared" si="1912"/>
        <v>0.41588164149770701</v>
      </c>
      <c r="U834" s="467">
        <f t="shared" si="1912"/>
        <v>0.44552234652015976</v>
      </c>
      <c r="V834" s="468">
        <f t="shared" si="1912"/>
        <v>0.41320876068643003</v>
      </c>
      <c r="W834" s="467">
        <f t="shared" si="1912"/>
        <v>0.37772739559343294</v>
      </c>
      <c r="X834" s="467">
        <f t="shared" si="1912"/>
        <v>0.35955195900692505</v>
      </c>
      <c r="Y834" s="467">
        <f t="shared" si="1912"/>
        <v>0.34662999655601917</v>
      </c>
      <c r="Z834" s="467">
        <f t="shared" si="1912"/>
        <v>0.37528968529732626</v>
      </c>
      <c r="AA834" s="468">
        <f t="shared" si="1912"/>
        <v>0.36420784914288185</v>
      </c>
      <c r="AB834" s="467">
        <f t="shared" si="1912"/>
        <v>0.27728185595567867</v>
      </c>
      <c r="AC834" s="467">
        <f t="shared" si="1912"/>
        <v>2.2110202702702701</v>
      </c>
      <c r="AD834" s="467">
        <f t="shared" si="1912"/>
        <v>0.24222753456221199</v>
      </c>
      <c r="AE834" s="469">
        <f t="shared" si="1912"/>
        <v>0.27466961852861033</v>
      </c>
      <c r="AF834" s="470">
        <f t="shared" si="1912"/>
        <v>0.32346705587989993</v>
      </c>
      <c r="AG834" s="467">
        <f t="shared" si="1912"/>
        <v>0.31232115869017635</v>
      </c>
      <c r="AH834" s="467">
        <f t="shared" si="1912"/>
        <v>0.3319850543478261</v>
      </c>
      <c r="AI834" s="467">
        <f>AI833/AI824</f>
        <v>0.35650889962869098</v>
      </c>
      <c r="AJ834" s="469">
        <f t="shared" si="1912"/>
        <v>0.36502836664034505</v>
      </c>
      <c r="AK834" s="470">
        <f t="shared" si="1912"/>
        <v>0.33993371233258929</v>
      </c>
      <c r="AL834" s="467">
        <f t="shared" si="1912"/>
        <v>0.3168125957594029</v>
      </c>
      <c r="AM834" s="467">
        <f t="shared" si="1912"/>
        <v>0.3158932240464018</v>
      </c>
      <c r="AN834" s="467">
        <f t="shared" si="1912"/>
        <v>0.36164344843555529</v>
      </c>
      <c r="AO834" s="469">
        <f t="shared" si="1912"/>
        <v>0.39854869023273931</v>
      </c>
      <c r="AP834" s="471">
        <f t="shared" si="1912"/>
        <v>0.34431582144563511</v>
      </c>
      <c r="AQ834" s="471">
        <f t="shared" si="1912"/>
        <v>0.34191720197828429</v>
      </c>
      <c r="AR834" s="469">
        <f t="shared" si="1912"/>
        <v>0.34277518656716416</v>
      </c>
      <c r="AS834" s="469">
        <f t="shared" si="1912"/>
        <v>0.32418685755265736</v>
      </c>
      <c r="AT834" s="469">
        <f t="shared" si="1912"/>
        <v>0.35666515823632733</v>
      </c>
      <c r="AU834" s="1689">
        <f t="shared" si="1912"/>
        <v>0.34091711331772406</v>
      </c>
      <c r="AV834" s="1730">
        <f t="shared" ref="AV834:BJ834" si="1913">AV833/AV824</f>
        <v>0.31872267878638866</v>
      </c>
      <c r="AW834" s="1465">
        <f t="shared" si="1913"/>
        <v>0.31417925078010245</v>
      </c>
      <c r="AX834" s="1465">
        <f t="shared" si="1913"/>
        <v>0.34163721717565593</v>
      </c>
      <c r="AY834" s="1868">
        <f t="shared" si="1913"/>
        <v>0.36419834292569309</v>
      </c>
      <c r="AZ834" s="1689">
        <f t="shared" si="1913"/>
        <v>0.33329069661032956</v>
      </c>
      <c r="BA834" s="471">
        <f t="shared" si="1913"/>
        <v>0.33882068800524839</v>
      </c>
      <c r="BB834" s="469">
        <f t="shared" si="1913"/>
        <v>0.3051917740538404</v>
      </c>
      <c r="BC834" s="469">
        <f t="shared" si="1913"/>
        <v>0.32145170532107886</v>
      </c>
      <c r="BD834" s="1463">
        <f t="shared" si="1913"/>
        <v>0.33660267528755283</v>
      </c>
      <c r="BE834" s="1868">
        <f t="shared" si="1913"/>
        <v>0.32481318070337029</v>
      </c>
      <c r="BF834" s="469">
        <f t="shared" si="1913"/>
        <v>0.34118364845674937</v>
      </c>
      <c r="BG834" s="469">
        <f t="shared" si="1913"/>
        <v>0.30568563398863513</v>
      </c>
      <c r="BH834" s="469">
        <f t="shared" si="1913"/>
        <v>0.31584162953426448</v>
      </c>
      <c r="BI834" s="1463">
        <f t="shared" si="1913"/>
        <v>0.34746374133484137</v>
      </c>
      <c r="BJ834" s="1868">
        <f t="shared" si="1913"/>
        <v>0.32645891522517839</v>
      </c>
      <c r="BK834" s="469">
        <f t="shared" ref="BK834:BU834" si="1914">BK833/BK824</f>
        <v>0.3121934102353891</v>
      </c>
      <c r="BL834" s="469">
        <f t="shared" si="1914"/>
        <v>0.31532724571078424</v>
      </c>
      <c r="BM834" s="469">
        <f t="shared" si="1914"/>
        <v>0.32106704163434185</v>
      </c>
      <c r="BN834" s="1463">
        <f t="shared" si="1914"/>
        <v>0.33947244243135999</v>
      </c>
      <c r="BO834" s="1868">
        <f t="shared" si="1914"/>
        <v>0.32159568299706198</v>
      </c>
      <c r="BP834" s="469">
        <f t="shared" si="1914"/>
        <v>0.32555619164296284</v>
      </c>
      <c r="BQ834" s="469">
        <f t="shared" si="1914"/>
        <v>0.31909747755875195</v>
      </c>
      <c r="BR834" s="469">
        <f t="shared" si="1914"/>
        <v>0.31282518786401137</v>
      </c>
      <c r="BS834" s="469">
        <f t="shared" si="1914"/>
        <v>0.34191748288230656</v>
      </c>
      <c r="BT834" s="470">
        <f t="shared" si="1914"/>
        <v>0.32440907886282377</v>
      </c>
      <c r="BU834" s="469">
        <f t="shared" si="1914"/>
        <v>0.33502509273057934</v>
      </c>
      <c r="BV834" s="469">
        <f t="shared" ref="BV834:CF834" si="1915">BV833/BV824</f>
        <v>0.3159613007408873</v>
      </c>
      <c r="BW834" s="469">
        <f t="shared" si="1915"/>
        <v>0.30726243764293892</v>
      </c>
      <c r="BX834" s="469">
        <f t="shared" si="1915"/>
        <v>0.33570060989387907</v>
      </c>
      <c r="BY834" s="470">
        <f t="shared" si="1915"/>
        <v>0.32287936474760154</v>
      </c>
      <c r="BZ834" s="470">
        <f t="shared" si="1915"/>
        <v>0.32287936474760154</v>
      </c>
      <c r="CA834" s="470">
        <f t="shared" si="1915"/>
        <v>0.32068721998107369</v>
      </c>
      <c r="CB834" s="470">
        <f t="shared" si="1915"/>
        <v>0.31491841796389536</v>
      </c>
      <c r="CC834" s="470">
        <f t="shared" si="1915"/>
        <v>0.30884599478791813</v>
      </c>
      <c r="CD834" s="470">
        <f t="shared" si="1915"/>
        <v>0.31122733720987</v>
      </c>
      <c r="CE834" s="470">
        <f t="shared" si="1915"/>
        <v>0.3135619866431561</v>
      </c>
      <c r="CF834" s="470">
        <f t="shared" si="1915"/>
        <v>0.31585085863657392</v>
      </c>
      <c r="CG834" s="492"/>
      <c r="CH834" s="492"/>
      <c r="CI834" s="492"/>
      <c r="CJ834" s="492"/>
      <c r="CK834" s="492"/>
      <c r="CL834" s="1310" t="str">
        <f t="shared" si="1890"/>
        <v>% of Gaming revenue</v>
      </c>
      <c r="CM834" s="469">
        <f t="shared" si="1891"/>
        <v>0.45187667870542442</v>
      </c>
      <c r="CN834" s="469">
        <f t="shared" si="1892"/>
        <v>0.40559698644696157</v>
      </c>
      <c r="CO834" s="469">
        <f t="shared" si="1893"/>
        <v>0.41986791783725852</v>
      </c>
      <c r="CP834" s="469">
        <f t="shared" si="1894"/>
        <v>0.41320876068643003</v>
      </c>
      <c r="CQ834" s="469">
        <f t="shared" si="1895"/>
        <v>0.36420784914288185</v>
      </c>
      <c r="CR834" s="469">
        <f t="shared" si="1896"/>
        <v>0.32346705587989993</v>
      </c>
      <c r="CS834" s="469">
        <f t="shared" si="1897"/>
        <v>0.33993371233258929</v>
      </c>
      <c r="CT834" s="469">
        <f t="shared" si="1898"/>
        <v>0.34431582144563511</v>
      </c>
      <c r="CU834" s="469">
        <f t="shared" si="1899"/>
        <v>0.34091711331772406</v>
      </c>
      <c r="CV834" s="469">
        <f t="shared" si="1900"/>
        <v>0.33329069661032956</v>
      </c>
      <c r="CW834" s="469">
        <f t="shared" si="1901"/>
        <v>0.32481318070337029</v>
      </c>
      <c r="CX834" s="469">
        <f t="shared" si="1902"/>
        <v>0.32645891522517839</v>
      </c>
      <c r="CY834" s="469">
        <f t="shared" si="1903"/>
        <v>0.32159568299706198</v>
      </c>
      <c r="CZ834" s="469">
        <f t="shared" si="1904"/>
        <v>0.32440907886282377</v>
      </c>
      <c r="DA834" s="469">
        <f t="shared" si="1905"/>
        <v>0.32287936474760154</v>
      </c>
      <c r="DB834" s="469">
        <f t="shared" si="1905"/>
        <v>0.32287936474760154</v>
      </c>
      <c r="DC834" s="1463">
        <f t="shared" si="1905"/>
        <v>0.32068721998107369</v>
      </c>
      <c r="DD834" s="492"/>
      <c r="DE834" s="492"/>
      <c r="DF834" s="962"/>
      <c r="DG834" s="962"/>
      <c r="DH834" s="469"/>
      <c r="DI834" s="3213"/>
      <c r="DJ834" s="962"/>
      <c r="DK834" s="962"/>
      <c r="DL834" s="962"/>
      <c r="DM834" s="962"/>
      <c r="DN834" s="962"/>
      <c r="DO834" s="962"/>
      <c r="DP834" s="962"/>
      <c r="DQ834" s="962"/>
      <c r="DR834" s="963"/>
      <c r="DS834" s="963"/>
      <c r="DT834" s="963"/>
    </row>
    <row r="835" spans="1:124" ht="12" customHeight="1" x14ac:dyDescent="0.25">
      <c r="A835" s="311" t="s">
        <v>2162</v>
      </c>
      <c r="B835" s="281"/>
      <c r="C835" s="452">
        <f>C827-C837</f>
        <v>40.33</v>
      </c>
      <c r="D835" s="452">
        <f>D827-D837</f>
        <v>40.914000000000001</v>
      </c>
      <c r="E835" s="452">
        <f>E827-E837</f>
        <v>42.357999999999997</v>
      </c>
      <c r="F835" s="452">
        <f>F827-F837</f>
        <v>42.39</v>
      </c>
      <c r="G835" s="475">
        <f>SUM(C835:F835)</f>
        <v>165.99200000000002</v>
      </c>
      <c r="H835" s="452">
        <f>H827-H837</f>
        <v>41.550000000000004</v>
      </c>
      <c r="I835" s="452">
        <f>I827-I837</f>
        <v>42.766000000000005</v>
      </c>
      <c r="J835" s="452">
        <f>J827-J837</f>
        <v>43.383000000000003</v>
      </c>
      <c r="K835" s="452">
        <f>K827-K837</f>
        <v>46.405000000000001</v>
      </c>
      <c r="L835" s="475">
        <f>SUM(H835:K835)</f>
        <v>174.10400000000001</v>
      </c>
      <c r="M835" s="452">
        <f>M827-M837</f>
        <v>42.795999999999999</v>
      </c>
      <c r="N835" s="452">
        <f>N827-N837</f>
        <v>42.472999999999999</v>
      </c>
      <c r="O835" s="452">
        <f>O827-O837</f>
        <v>46.067999999999998</v>
      </c>
      <c r="P835" s="452">
        <f>P827-P837</f>
        <v>46.762999999999998</v>
      </c>
      <c r="Q835" s="475">
        <f>SUM(M835:P835)</f>
        <v>178.1</v>
      </c>
      <c r="R835" s="452">
        <f>R827-R837</f>
        <v>46.366999999999997</v>
      </c>
      <c r="S835" s="452">
        <f>S827-S837</f>
        <v>44.361000000000004</v>
      </c>
      <c r="T835" s="452">
        <f>T827-T837</f>
        <v>44.771000000000001</v>
      </c>
      <c r="U835" s="452">
        <f>U827-U837</f>
        <v>39.620000000000005</v>
      </c>
      <c r="V835" s="475">
        <f>SUM(R835:U835)</f>
        <v>175.11900000000003</v>
      </c>
      <c r="W835" s="452">
        <f>W827-W837</f>
        <v>35.096999999999994</v>
      </c>
      <c r="X835" s="452">
        <f>X827-X837</f>
        <v>32.081000000000003</v>
      </c>
      <c r="Y835" s="452">
        <f>Y827-Y837</f>
        <v>32.455999999999996</v>
      </c>
      <c r="Z835" s="452">
        <f>Z827-Z837</f>
        <v>27.935000000000002</v>
      </c>
      <c r="AA835" s="475">
        <f>SUM(W835:Z835)</f>
        <v>127.56899999999999</v>
      </c>
      <c r="AB835" s="452">
        <f>AB827-AB837</f>
        <v>25.530999999999999</v>
      </c>
      <c r="AC835" s="452">
        <f>AC827-AC837</f>
        <v>4.2590000000000003</v>
      </c>
      <c r="AD835" s="452">
        <f>AD827-AD837</f>
        <v>27.863</v>
      </c>
      <c r="AE835" s="452">
        <f>AE827-AE837</f>
        <v>25.687999999999999</v>
      </c>
      <c r="AF835" s="477">
        <f>SUM(AB835:AE835)</f>
        <v>83.340999999999994</v>
      </c>
      <c r="AG835" s="452">
        <f>AG827-AG837</f>
        <v>27.489999999999995</v>
      </c>
      <c r="AH835" s="452">
        <f>AH827-AH837</f>
        <v>24.397000000000002</v>
      </c>
      <c r="AI835" s="452">
        <f>AI827-AI837</f>
        <v>24.246000000000002</v>
      </c>
      <c r="AJ835" s="452">
        <f>AJ827-AJ837</f>
        <v>24.568999999999999</v>
      </c>
      <c r="AK835" s="477">
        <f>SUM(AG835:AJ835)</f>
        <v>100.70200000000001</v>
      </c>
      <c r="AL835" s="452">
        <f>AL827-AL837</f>
        <v>30.958000000000002</v>
      </c>
      <c r="AM835" s="452">
        <f>AM827-AM837</f>
        <v>29.596</v>
      </c>
      <c r="AN835" s="476">
        <f>AN830+AN833</f>
        <v>26.464880549999997</v>
      </c>
      <c r="AO835" s="476">
        <f>AO830+AO833</f>
        <v>24.828165499999997</v>
      </c>
      <c r="AP835" s="478">
        <f>SUM(AL835:AO835)</f>
        <v>111.84704605</v>
      </c>
      <c r="AQ835" s="478">
        <f>AQ830+AQ833</f>
        <v>27.446513275000001</v>
      </c>
      <c r="AR835" s="476">
        <f>AR830+AR833</f>
        <v>26.357511025000001</v>
      </c>
      <c r="AS835" s="476">
        <f>AS830+AS833</f>
        <v>25.477248997499998</v>
      </c>
      <c r="AT835" s="476">
        <f>AT830+AT833</f>
        <v>23.275094399999997</v>
      </c>
      <c r="AU835" s="1464">
        <f>SUM(AQ835:AT835)</f>
        <v>102.55636769750001</v>
      </c>
      <c r="AV835" s="1865">
        <f>AV830+AV833</f>
        <v>24.914742112500001</v>
      </c>
      <c r="AW835" s="1771">
        <f>AW830+AW833</f>
        <v>24.153855428</v>
      </c>
      <c r="AX835" s="1771">
        <f>AX830+AX833</f>
        <v>23.260053192674995</v>
      </c>
      <c r="AY835" s="1866">
        <f>AY830+AY833</f>
        <v>21.122546342999996</v>
      </c>
      <c r="AZ835" s="1464">
        <f>SUM(AV835:AY835)</f>
        <v>93.451197076174992</v>
      </c>
      <c r="BA835" s="478">
        <f>BA830+BA833</f>
        <v>22.358427695250001</v>
      </c>
      <c r="BB835" s="476">
        <f>BB830+BB833</f>
        <v>22.929131328640004</v>
      </c>
      <c r="BC835" s="476">
        <f>BC830+BC833</f>
        <v>22.085051883421499</v>
      </c>
      <c r="BD835" s="682">
        <f>BD830+BD833</f>
        <v>20.36299134978</v>
      </c>
      <c r="BE835" s="1866">
        <f>SUM(BA835:BD835)</f>
        <v>87.7356022570915</v>
      </c>
      <c r="BF835" s="476">
        <f>BF830+BF833</f>
        <v>22.747720897927501</v>
      </c>
      <c r="BG835" s="476">
        <f>BG830+BG833</f>
        <v>23.5529350593742</v>
      </c>
      <c r="BH835" s="476">
        <f>BH830+BH833</f>
        <v>23.257069780036002</v>
      </c>
      <c r="BI835" s="682">
        <f>BI830+BI833</f>
        <v>21.035314918321198</v>
      </c>
      <c r="BJ835" s="1866">
        <f>SUM(BF835:BI835)</f>
        <v>90.593040655658911</v>
      </c>
      <c r="BK835" s="476">
        <f>BK830+BK833</f>
        <v>22.764612050694602</v>
      </c>
      <c r="BL835" s="476">
        <f>BL830+BL833</f>
        <v>22.73290353616796</v>
      </c>
      <c r="BM835" s="476">
        <f>BM830+BM833</f>
        <v>22.635827496992434</v>
      </c>
      <c r="BN835" s="682">
        <f>BN830+BN833</f>
        <v>20.430641541619053</v>
      </c>
      <c r="BO835" s="1866">
        <f>SUM(BK835:BN835)</f>
        <v>88.563984625474049</v>
      </c>
      <c r="BP835" s="476">
        <f>BP830+BP833</f>
        <v>22.450064243597375</v>
      </c>
      <c r="BQ835" s="476">
        <f>BQ830+BQ833</f>
        <v>23.242029661842139</v>
      </c>
      <c r="BR835" s="476">
        <f>BR830+BR833</f>
        <v>23.556035557480918</v>
      </c>
      <c r="BS835" s="476">
        <f>BS830+BS833</f>
        <v>21.279760864033818</v>
      </c>
      <c r="BT835" s="2604">
        <f>SUM(BP835:BS835)</f>
        <v>90.52789032695425</v>
      </c>
      <c r="BU835" s="2577">
        <f>BU830+BU833</f>
        <v>21.435899746594025</v>
      </c>
      <c r="BV835" s="2577">
        <f>BV830+BV833</f>
        <v>23.143478620279637</v>
      </c>
      <c r="BW835" s="2577">
        <f>BW830+BW833</f>
        <v>23.341064313506109</v>
      </c>
      <c r="BX835" s="2577">
        <f>BX830+BX833</f>
        <v>21.19719614087132</v>
      </c>
      <c r="BY835" s="2604">
        <f>SUM(BU835:BX835)</f>
        <v>89.117638821251091</v>
      </c>
      <c r="BZ835" s="477">
        <f t="shared" ref="BZ835:CF835" si="1916">BZ830+BZ833</f>
        <v>88.620987217393079</v>
      </c>
      <c r="CA835" s="477">
        <f t="shared" si="1916"/>
        <v>87.569437648684072</v>
      </c>
      <c r="CB835" s="477">
        <f t="shared" si="1916"/>
        <v>83.518085941888728</v>
      </c>
      <c r="CC835" s="477">
        <f t="shared" si="1916"/>
        <v>79.639800715163986</v>
      </c>
      <c r="CD835" s="477">
        <f t="shared" si="1916"/>
        <v>81.032470230337964</v>
      </c>
      <c r="CE835" s="477">
        <f t="shared" si="1916"/>
        <v>82.448366870824117</v>
      </c>
      <c r="CF835" s="477">
        <f t="shared" si="1916"/>
        <v>83.887908916478807</v>
      </c>
      <c r="CG835" s="331"/>
      <c r="CH835" s="331"/>
      <c r="CI835" s="331"/>
      <c r="CJ835" s="331"/>
      <c r="CK835" s="331"/>
      <c r="CL835" s="528" t="str">
        <f t="shared" si="1890"/>
        <v>Total expenses</v>
      </c>
      <c r="CM835" s="476">
        <f t="shared" si="1891"/>
        <v>165.99200000000002</v>
      </c>
      <c r="CN835" s="476">
        <f t="shared" si="1892"/>
        <v>174.10400000000001</v>
      </c>
      <c r="CO835" s="476">
        <f t="shared" si="1893"/>
        <v>178.1</v>
      </c>
      <c r="CP835" s="476">
        <f t="shared" si="1894"/>
        <v>175.11900000000003</v>
      </c>
      <c r="CQ835" s="476">
        <f t="shared" si="1895"/>
        <v>127.56899999999999</v>
      </c>
      <c r="CR835" s="476">
        <f t="shared" si="1896"/>
        <v>83.340999999999994</v>
      </c>
      <c r="CS835" s="476">
        <f t="shared" si="1897"/>
        <v>100.70200000000001</v>
      </c>
      <c r="CT835" s="476">
        <f t="shared" si="1898"/>
        <v>111.84704605</v>
      </c>
      <c r="CU835" s="476">
        <f t="shared" si="1899"/>
        <v>102.55636769750001</v>
      </c>
      <c r="CV835" s="476">
        <f t="shared" si="1900"/>
        <v>93.451197076174992</v>
      </c>
      <c r="CW835" s="476">
        <f t="shared" si="1901"/>
        <v>87.7356022570915</v>
      </c>
      <c r="CX835" s="476">
        <f t="shared" si="1902"/>
        <v>90.593040655658911</v>
      </c>
      <c r="CY835" s="476">
        <f t="shared" si="1903"/>
        <v>88.563984625474049</v>
      </c>
      <c r="CZ835" s="476">
        <f t="shared" si="1904"/>
        <v>90.52789032695425</v>
      </c>
      <c r="DA835" s="476">
        <f t="shared" si="1905"/>
        <v>89.117638821251091</v>
      </c>
      <c r="DB835" s="476">
        <f t="shared" si="1905"/>
        <v>88.620987217393079</v>
      </c>
      <c r="DC835" s="682">
        <f t="shared" si="1905"/>
        <v>87.569437648684072</v>
      </c>
      <c r="DD835" s="331"/>
      <c r="DE835" s="331"/>
      <c r="DF835" s="502"/>
      <c r="DG835" s="503"/>
      <c r="DH835" s="2577"/>
      <c r="DI835" s="3213"/>
      <c r="DJ835" s="502"/>
      <c r="DK835" s="503"/>
      <c r="DL835" s="502"/>
      <c r="DM835" s="502"/>
      <c r="DN835" s="502"/>
      <c r="DO835" s="502"/>
      <c r="DP835" s="503"/>
      <c r="DQ835" s="503"/>
      <c r="DR835" s="296"/>
      <c r="DS835" s="296"/>
      <c r="DT835" s="296"/>
    </row>
    <row r="836" spans="1:124" ht="5.0999999999999996" customHeight="1" x14ac:dyDescent="0.25">
      <c r="A836" s="281"/>
      <c r="B836" s="281"/>
      <c r="C836" s="305"/>
      <c r="D836" s="305"/>
      <c r="E836" s="305"/>
      <c r="F836" s="305"/>
      <c r="G836" s="440"/>
      <c r="H836" s="305"/>
      <c r="I836" s="305"/>
      <c r="J836" s="305"/>
      <c r="K836" s="305"/>
      <c r="L836" s="440"/>
      <c r="M836" s="305"/>
      <c r="N836" s="305"/>
      <c r="O836" s="305"/>
      <c r="P836" s="305"/>
      <c r="Q836" s="440"/>
      <c r="R836" s="305"/>
      <c r="S836" s="305"/>
      <c r="T836" s="305"/>
      <c r="U836" s="305"/>
      <c r="V836" s="440"/>
      <c r="W836" s="305"/>
      <c r="X836" s="305"/>
      <c r="Y836" s="305"/>
      <c r="Z836" s="305"/>
      <c r="AA836" s="440"/>
      <c r="AB836" s="305"/>
      <c r="AC836" s="305"/>
      <c r="AD836" s="305"/>
      <c r="AE836" s="331"/>
      <c r="AF836" s="441"/>
      <c r="AG836" s="305"/>
      <c r="AH836" s="305"/>
      <c r="AI836" s="305"/>
      <c r="AJ836" s="331"/>
      <c r="AK836" s="441"/>
      <c r="AL836" s="305"/>
      <c r="AM836" s="305"/>
      <c r="AN836" s="305"/>
      <c r="AO836" s="331"/>
      <c r="AP836" s="569"/>
      <c r="AQ836" s="569"/>
      <c r="AR836" s="442"/>
      <c r="AS836" s="442"/>
      <c r="AT836" s="442"/>
      <c r="AU836" s="1690"/>
      <c r="AV836" s="1902"/>
      <c r="AW836" s="1837"/>
      <c r="AX836" s="1837"/>
      <c r="AY836" s="1903"/>
      <c r="AZ836" s="1690"/>
      <c r="BA836" s="569"/>
      <c r="BB836" s="442"/>
      <c r="BC836" s="442"/>
      <c r="BD836" s="1312"/>
      <c r="BE836" s="1903"/>
      <c r="BF836" s="442"/>
      <c r="BG836" s="442"/>
      <c r="BH836" s="442"/>
      <c r="BI836" s="1312"/>
      <c r="BJ836" s="1903"/>
      <c r="BK836" s="442"/>
      <c r="BL836" s="442"/>
      <c r="BM836" s="442"/>
      <c r="BN836" s="1312"/>
      <c r="BO836" s="1903"/>
      <c r="BP836" s="442"/>
      <c r="BQ836" s="442"/>
      <c r="BR836" s="442"/>
      <c r="BS836" s="442"/>
      <c r="BT836" s="3236"/>
      <c r="BU836" s="3298"/>
      <c r="BV836" s="3298"/>
      <c r="BW836" s="3298"/>
      <c r="BX836" s="3298"/>
      <c r="BY836" s="3236"/>
      <c r="BZ836" s="441"/>
      <c r="CA836" s="441"/>
      <c r="CB836" s="441"/>
      <c r="CC836" s="441"/>
      <c r="CD836" s="441"/>
      <c r="CE836" s="441"/>
      <c r="CF836" s="441"/>
      <c r="CG836" s="331"/>
      <c r="CH836" s="331"/>
      <c r="CI836" s="331"/>
      <c r="CJ836" s="331"/>
      <c r="CK836" s="331"/>
      <c r="CL836" s="520"/>
      <c r="CM836" s="442"/>
      <c r="CN836" s="442"/>
      <c r="CO836" s="442"/>
      <c r="CP836" s="442"/>
      <c r="CQ836" s="442"/>
      <c r="CR836" s="442"/>
      <c r="CS836" s="442"/>
      <c r="CT836" s="442"/>
      <c r="CU836" s="442"/>
      <c r="CV836" s="442"/>
      <c r="CW836" s="442"/>
      <c r="CX836" s="442"/>
      <c r="CY836" s="442"/>
      <c r="CZ836" s="442"/>
      <c r="DA836" s="442"/>
      <c r="DB836" s="442"/>
      <c r="DC836" s="1312"/>
      <c r="DD836" s="331"/>
      <c r="DE836" s="331"/>
      <c r="DF836" s="502"/>
      <c r="DG836" s="503"/>
      <c r="DH836" s="3298"/>
      <c r="DI836" s="3213"/>
      <c r="DJ836" s="502"/>
      <c r="DK836" s="503"/>
      <c r="DL836" s="502"/>
      <c r="DM836" s="502"/>
      <c r="DN836" s="502"/>
      <c r="DO836" s="502"/>
      <c r="DP836" s="503"/>
      <c r="DQ836" s="503"/>
      <c r="DR836" s="296"/>
      <c r="DS836" s="296"/>
      <c r="DT836" s="296"/>
    </row>
    <row r="837" spans="1:124" ht="12" customHeight="1" x14ac:dyDescent="0.25">
      <c r="A837" s="999" t="s">
        <v>2010</v>
      </c>
      <c r="B837" s="1007"/>
      <c r="C837" s="1008">
        <v>13.154999999999999</v>
      </c>
      <c r="D837" s="1008">
        <v>12.645</v>
      </c>
      <c r="E837" s="1008">
        <v>14.316000000000001</v>
      </c>
      <c r="F837" s="1008">
        <v>14.147</v>
      </c>
      <c r="G837" s="1009">
        <f>SUM(C837:F837)</f>
        <v>54.262999999999998</v>
      </c>
      <c r="H837" s="1008">
        <v>12.87</v>
      </c>
      <c r="I837" s="1008">
        <v>14.141999999999999</v>
      </c>
      <c r="J837" s="1008">
        <v>17.387</v>
      </c>
      <c r="K837" s="1008">
        <v>15.917</v>
      </c>
      <c r="L837" s="1009">
        <f>SUM(H837:K837)</f>
        <v>60.316000000000003</v>
      </c>
      <c r="M837" s="1008">
        <v>17.521000000000001</v>
      </c>
      <c r="N837" s="1008">
        <v>17.263000000000002</v>
      </c>
      <c r="O837" s="1008">
        <v>13.784000000000001</v>
      </c>
      <c r="P837" s="1008">
        <v>12.176</v>
      </c>
      <c r="Q837" s="1009">
        <f>SUM(M837:P837)</f>
        <v>60.744000000000007</v>
      </c>
      <c r="R837" s="1008">
        <v>13.246</v>
      </c>
      <c r="S837" s="1008">
        <v>14.132</v>
      </c>
      <c r="T837" s="1008">
        <v>11.154999999999999</v>
      </c>
      <c r="U837" s="1008">
        <v>12.141999999999999</v>
      </c>
      <c r="V837" s="1009">
        <f>SUM(R837:U837)</f>
        <v>50.674999999999997</v>
      </c>
      <c r="W837" s="1008">
        <v>9.5470000000000006</v>
      </c>
      <c r="X837" s="1008">
        <v>12.577999999999999</v>
      </c>
      <c r="Y837" s="1008">
        <v>10.46</v>
      </c>
      <c r="Z837" s="1008">
        <v>8.5090000000000003</v>
      </c>
      <c r="AA837" s="1009">
        <f>SUM(W837:Z837)</f>
        <v>41.094000000000001</v>
      </c>
      <c r="AB837" s="1008">
        <v>7.3380000000000001</v>
      </c>
      <c r="AC837" s="1008">
        <v>-0.61899999999999999</v>
      </c>
      <c r="AD837" s="1008">
        <v>10.75</v>
      </c>
      <c r="AE837" s="1010">
        <v>6.2480000000000002</v>
      </c>
      <c r="AF837" s="1011">
        <f>SUM(AB837:AE837)</f>
        <v>23.717000000000002</v>
      </c>
      <c r="AG837" s="1010">
        <v>8.5540000000000003</v>
      </c>
      <c r="AH837" s="1010">
        <v>10.010999999999999</v>
      </c>
      <c r="AI837" s="1010">
        <v>8.01</v>
      </c>
      <c r="AJ837" s="1010">
        <v>6.5439999999999996</v>
      </c>
      <c r="AK837" s="1011">
        <f>SUM(AG837:AJ837)</f>
        <v>33.118999999999993</v>
      </c>
      <c r="AL837" s="1010">
        <v>8.0440000000000005</v>
      </c>
      <c r="AM837" s="1010">
        <v>9.3279999999999994</v>
      </c>
      <c r="AN837" s="1593">
        <f>AN827-AN835</f>
        <v>6.4061194499999985</v>
      </c>
      <c r="AO837" s="1012">
        <f>AO827-AO835</f>
        <v>4.1658345000000025</v>
      </c>
      <c r="AP837" s="1013">
        <f>SUM(AL837:AO837)</f>
        <v>27.943953950000001</v>
      </c>
      <c r="AQ837" s="1013">
        <f>AQ827-AQ835</f>
        <v>6.2354867250000012</v>
      </c>
      <c r="AR837" s="1012">
        <f>AR827-AR835</f>
        <v>7.5184889749999968</v>
      </c>
      <c r="AS837" s="1012">
        <f>AS827-AS835</f>
        <v>10.671751002500002</v>
      </c>
      <c r="AT837" s="1012">
        <f>AT827-AT835</f>
        <v>8.8139056000000018</v>
      </c>
      <c r="AU837" s="1691">
        <f>SUM(AQ837:AT837)</f>
        <v>33.239632302499999</v>
      </c>
      <c r="AV837" s="1904">
        <f>AV827-AV835</f>
        <v>8.2212558874999999</v>
      </c>
      <c r="AW837" s="1838">
        <f>AW827-AW835</f>
        <v>9.5517765720000014</v>
      </c>
      <c r="AX837" s="1838">
        <f>AX827-AX835</f>
        <v>7.1953378073250001</v>
      </c>
      <c r="AY837" s="1905">
        <f>AY827-AY835</f>
        <v>6.8423966570000019</v>
      </c>
      <c r="AZ837" s="1691">
        <f>SUM(AV837:AY837)</f>
        <v>31.810766923825003</v>
      </c>
      <c r="BA837" s="1013">
        <f>BA827-BA835</f>
        <v>4.7735303047499968</v>
      </c>
      <c r="BB837" s="1012">
        <f>BB827-BB835</f>
        <v>8.1583086713599968</v>
      </c>
      <c r="BC837" s="1012">
        <f>BC827-BC835</f>
        <v>6.9896241165784971</v>
      </c>
      <c r="BD837" s="1877">
        <f>BD827-BD835</f>
        <v>6.952324650219996</v>
      </c>
      <c r="BE837" s="1905">
        <f>SUM(BA837:BD837)</f>
        <v>26.873787742908487</v>
      </c>
      <c r="BF837" s="1012">
        <f>BF827-BF835</f>
        <v>5.4574661020724982</v>
      </c>
      <c r="BG837" s="1012">
        <f>BG827-BG835</f>
        <v>8.7624739406257959</v>
      </c>
      <c r="BH837" s="1012">
        <f>BH827-BH835</f>
        <v>7.8994942199640015</v>
      </c>
      <c r="BI837" s="1877">
        <f>BI827-BI835</f>
        <v>6.5903780816788</v>
      </c>
      <c r="BJ837" s="1905">
        <f>SUM(BF837:BI837)</f>
        <v>28.709812344341096</v>
      </c>
      <c r="BK837" s="1012">
        <f>BK827-BK835</f>
        <v>6.6370759493053946</v>
      </c>
      <c r="BL837" s="1012">
        <f>BL827-BL835</f>
        <v>6.3670964638320413</v>
      </c>
      <c r="BM837" s="1012">
        <f>BM827-BM835</f>
        <v>5.3527575030075667</v>
      </c>
      <c r="BN837" s="1877">
        <f>BN827-BN835</f>
        <v>5.4386984583809479</v>
      </c>
      <c r="BO837" s="1905">
        <f>SUM(BK837:BN837)</f>
        <v>23.79562837452595</v>
      </c>
      <c r="BP837" s="1012">
        <f>BP827-BP835</f>
        <v>6.2316467564026254</v>
      </c>
      <c r="BQ837" s="1012">
        <f>BQ827-BQ835</f>
        <v>6.1819133381578624</v>
      </c>
      <c r="BR837" s="1012">
        <f>BR827-BR835</f>
        <v>6.7089254425190816</v>
      </c>
      <c r="BS837" s="1012">
        <f>BS827-BS835</f>
        <v>5.5903671359661828</v>
      </c>
      <c r="BT837" s="1011">
        <f>SUM(BP837:BS837)</f>
        <v>24.712852673045752</v>
      </c>
      <c r="BU837" s="1012">
        <f>BU827-BU835</f>
        <v>5.5832492534059739</v>
      </c>
      <c r="BV837" s="1012">
        <f>BV827-BV835</f>
        <v>6.2804643797203639</v>
      </c>
      <c r="BW837" s="1012">
        <f>BW827-BW835</f>
        <v>7.2465462964938894</v>
      </c>
      <c r="BX837" s="1012">
        <f>BX827-BX835</f>
        <v>5.9616331391286828</v>
      </c>
      <c r="BY837" s="1011">
        <f>SUM(BU837:BX837)</f>
        <v>25.07189306874891</v>
      </c>
      <c r="BZ837" s="1011">
        <f t="shared" ref="BZ837:CF837" si="1917">BZ827-BZ835</f>
        <v>25.568544672606919</v>
      </c>
      <c r="CA837" s="1011">
        <f t="shared" si="1917"/>
        <v>24.176303603515919</v>
      </c>
      <c r="CB837" s="1011">
        <f t="shared" si="1917"/>
        <v>26.240368247701255</v>
      </c>
      <c r="CC837" s="1011">
        <f t="shared" si="1917"/>
        <v>24.430730764946489</v>
      </c>
      <c r="CD837" s="1011">
        <f t="shared" si="1917"/>
        <v>25.199471879374727</v>
      </c>
      <c r="CE837" s="1011">
        <f t="shared" si="1917"/>
        <v>25.98821408108283</v>
      </c>
      <c r="CF837" s="1011">
        <f t="shared" si="1917"/>
        <v>26.797403654466279</v>
      </c>
      <c r="CG837" s="502"/>
      <c r="CH837" s="502"/>
      <c r="CI837" s="502"/>
      <c r="CJ837" s="502"/>
      <c r="CK837" s="502"/>
      <c r="CL837" s="2221" t="str">
        <f t="shared" ref="CL837:CL842" si="1918">A837</f>
        <v>Property EBITDA</v>
      </c>
      <c r="CM837" s="1012">
        <f t="shared" ref="CM837:CM842" si="1919">G837</f>
        <v>54.262999999999998</v>
      </c>
      <c r="CN837" s="1012">
        <f t="shared" ref="CN837:CN842" si="1920">L837</f>
        <v>60.316000000000003</v>
      </c>
      <c r="CO837" s="1012">
        <f t="shared" ref="CO837:CO842" si="1921">Q837</f>
        <v>60.744000000000007</v>
      </c>
      <c r="CP837" s="1012">
        <f t="shared" ref="CP837:CP842" si="1922">V837</f>
        <v>50.674999999999997</v>
      </c>
      <c r="CQ837" s="1012">
        <f t="shared" ref="CQ837:CQ842" si="1923">AA837</f>
        <v>41.094000000000001</v>
      </c>
      <c r="CR837" s="1012">
        <f t="shared" ref="CR837:CR842" si="1924">AF837</f>
        <v>23.717000000000002</v>
      </c>
      <c r="CS837" s="1012">
        <f t="shared" ref="CS837:CS842" si="1925">AK837</f>
        <v>33.118999999999993</v>
      </c>
      <c r="CT837" s="1012">
        <f t="shared" ref="CT837:CT842" si="1926">AP837</f>
        <v>27.943953950000001</v>
      </c>
      <c r="CU837" s="1012">
        <f t="shared" ref="CU837:CU842" si="1927">AU837</f>
        <v>33.239632302499999</v>
      </c>
      <c r="CV837" s="1012">
        <f t="shared" ref="CV837:CV842" si="1928">AZ837</f>
        <v>31.810766923825003</v>
      </c>
      <c r="CW837" s="1012">
        <f t="shared" ref="CW837:CW842" si="1929">BE837</f>
        <v>26.873787742908487</v>
      </c>
      <c r="CX837" s="1012">
        <f t="shared" ref="CX837:CX842" si="1930">BJ837</f>
        <v>28.709812344341096</v>
      </c>
      <c r="CY837" s="1012">
        <f t="shared" ref="CY837:CY842" si="1931">BO837</f>
        <v>23.79562837452595</v>
      </c>
      <c r="CZ837" s="1012">
        <f t="shared" ref="CZ837:CZ842" si="1932">BT837</f>
        <v>24.712852673045752</v>
      </c>
      <c r="DA837" s="1012">
        <f t="shared" ref="DA837:DC842" si="1933">BY837</f>
        <v>25.07189306874891</v>
      </c>
      <c r="DB837" s="1012">
        <f t="shared" si="1933"/>
        <v>25.568544672606919</v>
      </c>
      <c r="DC837" s="1877">
        <f t="shared" si="1933"/>
        <v>24.176303603515919</v>
      </c>
      <c r="DD837" s="502"/>
      <c r="DE837" s="502"/>
      <c r="DF837" s="502"/>
      <c r="DG837" s="503"/>
      <c r="DH837" s="598"/>
      <c r="DI837" s="3213"/>
      <c r="DJ837" s="502"/>
      <c r="DK837" s="503"/>
      <c r="DL837" s="502"/>
      <c r="DM837" s="502"/>
      <c r="DN837" s="502"/>
      <c r="DO837" s="502"/>
      <c r="DP837" s="503"/>
      <c r="DQ837" s="503"/>
      <c r="DR837" s="719"/>
      <c r="DS837" s="719"/>
      <c r="DT837" s="719"/>
    </row>
    <row r="838" spans="1:124" ht="12" customHeight="1" x14ac:dyDescent="0.25">
      <c r="A838" s="465" t="s">
        <v>1892</v>
      </c>
      <c r="B838" s="466"/>
      <c r="C838" s="467">
        <f t="shared" ref="C838:AF838" si="1934">C837/C827</f>
        <v>0.24595681032065064</v>
      </c>
      <c r="D838" s="467">
        <f t="shared" si="1934"/>
        <v>0.23609477398756512</v>
      </c>
      <c r="E838" s="467">
        <f t="shared" si="1934"/>
        <v>0.25260260436884641</v>
      </c>
      <c r="F838" s="467">
        <f t="shared" si="1934"/>
        <v>0.25022551603374782</v>
      </c>
      <c r="G838" s="468">
        <f t="shared" si="1934"/>
        <v>0.24636444121586343</v>
      </c>
      <c r="H838" s="467">
        <f t="shared" si="1934"/>
        <v>0.23649393605292171</v>
      </c>
      <c r="I838" s="467">
        <f t="shared" si="1934"/>
        <v>0.24850636114430308</v>
      </c>
      <c r="J838" s="467">
        <f t="shared" si="1934"/>
        <v>0.28611156820799738</v>
      </c>
      <c r="K838" s="467">
        <f t="shared" si="1934"/>
        <v>0.25539937742691182</v>
      </c>
      <c r="L838" s="468">
        <f t="shared" si="1934"/>
        <v>0.25729886528453205</v>
      </c>
      <c r="M838" s="467">
        <f t="shared" si="1934"/>
        <v>0.29048195367806756</v>
      </c>
      <c r="N838" s="467">
        <f t="shared" si="1934"/>
        <v>0.28898821481183878</v>
      </c>
      <c r="O838" s="467">
        <f t="shared" si="1934"/>
        <v>0.23030141014502442</v>
      </c>
      <c r="P838" s="467">
        <f t="shared" si="1934"/>
        <v>0.20658647075790224</v>
      </c>
      <c r="Q838" s="468">
        <f t="shared" si="1934"/>
        <v>0.25432499874395004</v>
      </c>
      <c r="R838" s="467">
        <f t="shared" si="1934"/>
        <v>0.22219985573616494</v>
      </c>
      <c r="S838" s="467">
        <f t="shared" si="1934"/>
        <v>0.24160155916092521</v>
      </c>
      <c r="T838" s="467">
        <f t="shared" si="1934"/>
        <v>0.19946000071523082</v>
      </c>
      <c r="U838" s="467">
        <f t="shared" si="1934"/>
        <v>0.2345736254395116</v>
      </c>
      <c r="V838" s="468">
        <f t="shared" si="1934"/>
        <v>0.22443023286712668</v>
      </c>
      <c r="W838" s="467">
        <f t="shared" si="1934"/>
        <v>0.213847325508467</v>
      </c>
      <c r="X838" s="467">
        <f t="shared" si="1934"/>
        <v>0.28164535703889471</v>
      </c>
      <c r="Y838" s="467">
        <f t="shared" si="1934"/>
        <v>0.24373194146705196</v>
      </c>
      <c r="Z838" s="467">
        <f t="shared" si="1934"/>
        <v>0.23348150587202282</v>
      </c>
      <c r="AA838" s="468">
        <f t="shared" si="1934"/>
        <v>0.24364561284929118</v>
      </c>
      <c r="AB838" s="467">
        <f t="shared" si="1934"/>
        <v>0.22324987069883478</v>
      </c>
      <c r="AC838" s="467" t="s">
        <v>553</v>
      </c>
      <c r="AD838" s="467">
        <f t="shared" si="1934"/>
        <v>0.27840364644031801</v>
      </c>
      <c r="AE838" s="469">
        <f t="shared" si="1934"/>
        <v>0.19564128256513028</v>
      </c>
      <c r="AF838" s="470">
        <f t="shared" si="1934"/>
        <v>0.221534121691046</v>
      </c>
      <c r="AG838" s="467">
        <f t="shared" ref="AG838:AU838" si="1935">AG837/AG827</f>
        <v>0.23732105204749754</v>
      </c>
      <c r="AH838" s="467">
        <f t="shared" si="1935"/>
        <v>0.29094977912113457</v>
      </c>
      <c r="AI838" s="467">
        <f t="shared" si="1935"/>
        <v>0.24832589285714285</v>
      </c>
      <c r="AJ838" s="469">
        <f t="shared" si="1935"/>
        <v>0.21033008710185452</v>
      </c>
      <c r="AK838" s="470">
        <f t="shared" si="1935"/>
        <v>0.24748731514485764</v>
      </c>
      <c r="AL838" s="467">
        <f t="shared" si="1935"/>
        <v>0.20624583354699758</v>
      </c>
      <c r="AM838" s="467">
        <f t="shared" si="1935"/>
        <v>0.23964649059706092</v>
      </c>
      <c r="AN838" s="467">
        <f t="shared" si="1935"/>
        <v>0.19488666149493472</v>
      </c>
      <c r="AO838" s="469">
        <f t="shared" si="1935"/>
        <v>0.14367919224667181</v>
      </c>
      <c r="AP838" s="471">
        <f t="shared" si="1935"/>
        <v>0.1998980903634712</v>
      </c>
      <c r="AQ838" s="471">
        <f t="shared" si="1935"/>
        <v>0.18512816118401523</v>
      </c>
      <c r="AR838" s="469">
        <f t="shared" si="1935"/>
        <v>0.22194146224465691</v>
      </c>
      <c r="AS838" s="469">
        <f t="shared" si="1935"/>
        <v>0.29521566301972396</v>
      </c>
      <c r="AT838" s="469">
        <f t="shared" si="1935"/>
        <v>0.27467062233164019</v>
      </c>
      <c r="AU838" s="1689">
        <f t="shared" si="1935"/>
        <v>0.24477622538587293</v>
      </c>
      <c r="AV838" s="1730">
        <f t="shared" ref="AV838:BJ838" si="1936">AV837/AV827</f>
        <v>0.24810648188414303</v>
      </c>
      <c r="AW838" s="1465">
        <f t="shared" si="1936"/>
        <v>0.28338814628961717</v>
      </c>
      <c r="AX838" s="1465">
        <f t="shared" si="1936"/>
        <v>0.2362582640073477</v>
      </c>
      <c r="AY838" s="1868">
        <f t="shared" si="1936"/>
        <v>0.2446776543402932</v>
      </c>
      <c r="AZ838" s="1689">
        <f t="shared" si="1936"/>
        <v>0.25395392111068132</v>
      </c>
      <c r="BA838" s="471">
        <f t="shared" si="1936"/>
        <v>0.17593755322597793</v>
      </c>
      <c r="BB838" s="469">
        <f t="shared" si="1936"/>
        <v>0.26243102266896201</v>
      </c>
      <c r="BC838" s="469">
        <f t="shared" si="1936"/>
        <v>0.24040247659435648</v>
      </c>
      <c r="BD838" s="1463">
        <f t="shared" si="1936"/>
        <v>0.25452111373047992</v>
      </c>
      <c r="BE838" s="1868">
        <f t="shared" si="1936"/>
        <v>0.23448155288941411</v>
      </c>
      <c r="BF838" s="469">
        <f t="shared" si="1936"/>
        <v>0.19349157664058381</v>
      </c>
      <c r="BG838" s="469">
        <f t="shared" si="1936"/>
        <v>0.27115466620353768</v>
      </c>
      <c r="BH838" s="469">
        <f t="shared" si="1936"/>
        <v>0.25354189312929376</v>
      </c>
      <c r="BI838" s="1463">
        <f t="shared" si="1936"/>
        <v>0.23855973791060375</v>
      </c>
      <c r="BJ838" s="1868">
        <f t="shared" si="1936"/>
        <v>0.24064648600097682</v>
      </c>
      <c r="BK838" s="469">
        <f t="shared" ref="BK838:BU838" si="1937">BK837/BK827</f>
        <v>0.22573792189432781</v>
      </c>
      <c r="BL838" s="469">
        <f t="shared" si="1937"/>
        <v>0.2188005657674241</v>
      </c>
      <c r="BM838" s="469">
        <f t="shared" si="1937"/>
        <v>0.19124787848358774</v>
      </c>
      <c r="BN838" s="1463">
        <f t="shared" si="1937"/>
        <v>0.21023723289349275</v>
      </c>
      <c r="BO838" s="1868">
        <f t="shared" si="1937"/>
        <v>0.21178097484659325</v>
      </c>
      <c r="BP838" s="469">
        <f t="shared" si="1937"/>
        <v>0.21726900310803024</v>
      </c>
      <c r="BQ838" s="469">
        <f t="shared" si="1937"/>
        <v>0.21009805987449956</v>
      </c>
      <c r="BR838" s="469">
        <f t="shared" si="1937"/>
        <v>0.22167302454211263</v>
      </c>
      <c r="BS838" s="469">
        <f t="shared" si="1937"/>
        <v>0.20805137720096392</v>
      </c>
      <c r="BT838" s="470">
        <f t="shared" si="1937"/>
        <v>0.21444544724122222</v>
      </c>
      <c r="BU838" s="469">
        <f t="shared" si="1937"/>
        <v>0.20664045538243911</v>
      </c>
      <c r="BV838" s="469">
        <f t="shared" ref="BV838:CF838" si="1938">BV837/BV827</f>
        <v>0.21344740844965487</v>
      </c>
      <c r="BW838" s="469">
        <f t="shared" si="1938"/>
        <v>0.23691115951779437</v>
      </c>
      <c r="BX838" s="469">
        <f t="shared" si="1938"/>
        <v>0.21950994564846288</v>
      </c>
      <c r="BY838" s="470">
        <f t="shared" si="1938"/>
        <v>0.21956384839987728</v>
      </c>
      <c r="BZ838" s="470">
        <f t="shared" si="1938"/>
        <v>0.22391321033908232</v>
      </c>
      <c r="CA838" s="470">
        <f t="shared" si="1938"/>
        <v>0.21635100660303641</v>
      </c>
      <c r="CB838" s="470">
        <f t="shared" si="1938"/>
        <v>0.23907377742743408</v>
      </c>
      <c r="CC838" s="470">
        <f t="shared" si="1938"/>
        <v>0.23475166713850779</v>
      </c>
      <c r="CD838" s="470">
        <f t="shared" si="1938"/>
        <v>0.23721181575829217</v>
      </c>
      <c r="CE838" s="470">
        <f t="shared" si="1938"/>
        <v>0.23966279509134419</v>
      </c>
      <c r="CF838" s="470">
        <f t="shared" si="1938"/>
        <v>0.24210442227635362</v>
      </c>
      <c r="CG838" s="492"/>
      <c r="CH838" s="492"/>
      <c r="CI838" s="492"/>
      <c r="CJ838" s="492"/>
      <c r="CK838" s="492"/>
      <c r="CL838" s="1310" t="str">
        <f t="shared" si="1918"/>
        <v>Margin</v>
      </c>
      <c r="CM838" s="469">
        <f t="shared" si="1919"/>
        <v>0.24636444121586343</v>
      </c>
      <c r="CN838" s="469">
        <f t="shared" si="1920"/>
        <v>0.25729886528453205</v>
      </c>
      <c r="CO838" s="469">
        <f t="shared" si="1921"/>
        <v>0.25432499874395004</v>
      </c>
      <c r="CP838" s="469">
        <f t="shared" si="1922"/>
        <v>0.22443023286712668</v>
      </c>
      <c r="CQ838" s="469">
        <f t="shared" si="1923"/>
        <v>0.24364561284929118</v>
      </c>
      <c r="CR838" s="469">
        <f t="shared" si="1924"/>
        <v>0.221534121691046</v>
      </c>
      <c r="CS838" s="469">
        <f t="shared" si="1925"/>
        <v>0.24748731514485764</v>
      </c>
      <c r="CT838" s="469">
        <f t="shared" si="1926"/>
        <v>0.1998980903634712</v>
      </c>
      <c r="CU838" s="469">
        <f t="shared" si="1927"/>
        <v>0.24477622538587293</v>
      </c>
      <c r="CV838" s="469">
        <f t="shared" si="1928"/>
        <v>0.25395392111068132</v>
      </c>
      <c r="CW838" s="469">
        <f t="shared" si="1929"/>
        <v>0.23448155288941411</v>
      </c>
      <c r="CX838" s="469">
        <f t="shared" si="1930"/>
        <v>0.24064648600097682</v>
      </c>
      <c r="CY838" s="469">
        <f t="shared" si="1931"/>
        <v>0.21178097484659325</v>
      </c>
      <c r="CZ838" s="469">
        <f t="shared" si="1932"/>
        <v>0.21444544724122222</v>
      </c>
      <c r="DA838" s="469">
        <f t="shared" si="1933"/>
        <v>0.21956384839987728</v>
      </c>
      <c r="DB838" s="469">
        <f t="shared" si="1933"/>
        <v>0.22391321033908232</v>
      </c>
      <c r="DC838" s="1463">
        <f t="shared" si="1933"/>
        <v>0.21635100660303641</v>
      </c>
      <c r="DD838" s="492"/>
      <c r="DE838" s="492"/>
      <c r="DF838" s="962"/>
      <c r="DG838" s="962"/>
      <c r="DH838" s="469"/>
      <c r="DI838" s="3213"/>
      <c r="DJ838" s="962"/>
      <c r="DK838" s="962"/>
      <c r="DL838" s="962"/>
      <c r="DM838" s="962"/>
      <c r="DN838" s="962"/>
      <c r="DO838" s="962"/>
      <c r="DP838" s="962"/>
      <c r="DQ838" s="962"/>
      <c r="DR838" s="963"/>
      <c r="DS838" s="963"/>
      <c r="DT838" s="963"/>
    </row>
    <row r="839" spans="1:124" ht="12" customHeight="1" x14ac:dyDescent="0.25">
      <c r="A839" s="465" t="s">
        <v>1812</v>
      </c>
      <c r="B839" s="466"/>
      <c r="C839" s="467">
        <f>(C837+C833)/C827</f>
        <v>0.7258051790221558</v>
      </c>
      <c r="D839" s="467">
        <f t="shared" ref="D839:BD839" si="1939">(D837+D833)/D827</f>
        <v>0.71529733564853715</v>
      </c>
      <c r="E839" s="467">
        <f t="shared" si="1939"/>
        <v>0.71006482690475348</v>
      </c>
      <c r="F839" s="467">
        <f t="shared" si="1939"/>
        <v>0.70727229955604298</v>
      </c>
      <c r="G839" s="468">
        <f t="shared" si="1939"/>
        <v>0.71444265964450293</v>
      </c>
      <c r="H839" s="467">
        <f>(H837+H833)/H827</f>
        <v>0.7027077912532157</v>
      </c>
      <c r="I839" s="467">
        <f t="shared" si="1939"/>
        <v>0.71148833204470374</v>
      </c>
      <c r="J839" s="467">
        <f t="shared" si="1939"/>
        <v>0.66587571169985182</v>
      </c>
      <c r="K839" s="467">
        <f t="shared" si="1939"/>
        <v>0.62485098360129654</v>
      </c>
      <c r="L839" s="468">
        <f t="shared" si="1939"/>
        <v>0.6707977433666068</v>
      </c>
      <c r="M839" s="467">
        <f>(M837+M833)/M827</f>
        <v>0.73163590695823733</v>
      </c>
      <c r="N839" s="467">
        <f t="shared" si="1939"/>
        <v>0.73409459957144774</v>
      </c>
      <c r="O839" s="467">
        <f t="shared" si="1939"/>
        <v>0.67725781928757611</v>
      </c>
      <c r="P839" s="467">
        <f t="shared" si="1939"/>
        <v>0.65804757461103858</v>
      </c>
      <c r="Q839" s="468">
        <f t="shared" si="1939"/>
        <v>0.70046498551355696</v>
      </c>
      <c r="R839" s="467">
        <f>(R837+R833)/R827</f>
        <v>0.64242433697347889</v>
      </c>
      <c r="S839" s="467">
        <f t="shared" si="1939"/>
        <v>0.66763262270699053</v>
      </c>
      <c r="T839" s="467">
        <f t="shared" si="1939"/>
        <v>0.64214944748417546</v>
      </c>
      <c r="U839" s="467">
        <f t="shared" si="1939"/>
        <v>0.71083203894749047</v>
      </c>
      <c r="V839" s="468">
        <f t="shared" si="1939"/>
        <v>0.66389436831802451</v>
      </c>
      <c r="W839" s="467">
        <f>(W837+W833)/W827</f>
        <v>0.62371759306362939</v>
      </c>
      <c r="X839" s="467">
        <f t="shared" si="1939"/>
        <v>0.6637885697007031</v>
      </c>
      <c r="Y839" s="467">
        <f t="shared" si="1939"/>
        <v>0.6456647525076239</v>
      </c>
      <c r="Z839" s="467">
        <f t="shared" si="1939"/>
        <v>0.64308315559176943</v>
      </c>
      <c r="AA839" s="468">
        <f t="shared" si="1939"/>
        <v>0.64409652976645737</v>
      </c>
      <c r="AB839" s="467">
        <f>(AB837+AB833)/AB827</f>
        <v>0.52778834159846666</v>
      </c>
      <c r="AC839" s="467" t="s">
        <v>553</v>
      </c>
      <c r="AD839" s="467">
        <f t="shared" si="1939"/>
        <v>0.55066104679771066</v>
      </c>
      <c r="AE839" s="467">
        <f t="shared" si="1939"/>
        <v>0.51128428732464937</v>
      </c>
      <c r="AF839" s="468">
        <f t="shared" si="1939"/>
        <v>0.58380223803919384</v>
      </c>
      <c r="AG839" s="467">
        <f>(AG837+AG833)/AG827</f>
        <v>0.58132144046165801</v>
      </c>
      <c r="AH839" s="467">
        <f t="shared" si="1939"/>
        <v>0.64601400837014644</v>
      </c>
      <c r="AI839" s="467">
        <f t="shared" si="1939"/>
        <v>0.6233808593750001</v>
      </c>
      <c r="AJ839" s="467">
        <f t="shared" si="1939"/>
        <v>0.59662919037058471</v>
      </c>
      <c r="AK839" s="468">
        <f t="shared" si="1939"/>
        <v>0.61165210990801155</v>
      </c>
      <c r="AL839" s="467">
        <f>(AL837+AL833)/AL827</f>
        <v>0.53495047689862052</v>
      </c>
      <c r="AM839" s="467">
        <f t="shared" si="1939"/>
        <v>0.5698557059911622</v>
      </c>
      <c r="AN839" s="467">
        <f t="shared" si="1939"/>
        <v>0.57499129780049285</v>
      </c>
      <c r="AO839" s="467">
        <f t="shared" si="1939"/>
        <v>0.5671492032834381</v>
      </c>
      <c r="AP839" s="468">
        <f t="shared" si="1939"/>
        <v>0.56076331773862409</v>
      </c>
      <c r="AQ839" s="581">
        <f t="shared" ref="AQ839:AZ839" si="1940">(AQ837+AQ833)/AQ827</f>
        <v>0.54227236283474856</v>
      </c>
      <c r="AR839" s="467">
        <f t="shared" si="1940"/>
        <v>0.57989443780257399</v>
      </c>
      <c r="AS839" s="467">
        <f t="shared" si="1940"/>
        <v>0.63285462951948879</v>
      </c>
      <c r="AT839" s="1669">
        <f t="shared" si="1940"/>
        <v>0.6480080899996884</v>
      </c>
      <c r="AU839" s="1468">
        <f t="shared" si="1940"/>
        <v>0.60075639416845861</v>
      </c>
      <c r="AV839" s="1862">
        <f t="shared" si="1940"/>
        <v>0.58125709545552229</v>
      </c>
      <c r="AW839" s="1846">
        <f t="shared" si="1940"/>
        <v>0.61154930003982721</v>
      </c>
      <c r="AX839" s="1846">
        <f t="shared" si="1940"/>
        <v>0.59472192172233163</v>
      </c>
      <c r="AY839" s="1765">
        <f t="shared" si="1940"/>
        <v>0.62841108140288371</v>
      </c>
      <c r="AZ839" s="1468">
        <f t="shared" si="1940"/>
        <v>0.60320911417152134</v>
      </c>
      <c r="BA839" s="581">
        <f t="shared" si="1939"/>
        <v>0.53973400508912761</v>
      </c>
      <c r="BB839" s="467">
        <f t="shared" si="1939"/>
        <v>0.58725720689320182</v>
      </c>
      <c r="BC839" s="467">
        <f t="shared" si="1939"/>
        <v>0.58396632550878647</v>
      </c>
      <c r="BD839" s="1669">
        <f t="shared" si="1939"/>
        <v>0.61576949879400977</v>
      </c>
      <c r="BE839" s="1765">
        <f t="shared" ref="BE839:CF839" si="1941">(BE837+BE833)/BE827</f>
        <v>0.58196744344340801</v>
      </c>
      <c r="BF839" s="467">
        <f t="shared" si="1941"/>
        <v>0.55281995403265716</v>
      </c>
      <c r="BG839" s="467">
        <f t="shared" si="1941"/>
        <v>0.5910294584040634</v>
      </c>
      <c r="BH839" s="467">
        <f t="shared" si="1941"/>
        <v>0.58458938568174579</v>
      </c>
      <c r="BI839" s="1669">
        <f t="shared" si="1941"/>
        <v>0.60488981544929221</v>
      </c>
      <c r="BJ839" s="1765">
        <f t="shared" si="1941"/>
        <v>0.58352373022748327</v>
      </c>
      <c r="BK839" s="467">
        <f t="shared" si="1941"/>
        <v>0.55385865287922909</v>
      </c>
      <c r="BL839" s="467">
        <f t="shared" si="1941"/>
        <v>0.55038179321587766</v>
      </c>
      <c r="BM839" s="467">
        <f t="shared" si="1941"/>
        <v>0.53525763348727939</v>
      </c>
      <c r="BN839" s="1669">
        <f t="shared" si="1941"/>
        <v>0.5759548321345247</v>
      </c>
      <c r="BO839" s="1765">
        <f t="shared" si="1941"/>
        <v>0.55341205776070046</v>
      </c>
      <c r="BP839" s="467">
        <f t="shared" si="1941"/>
        <v>0.56552650372401514</v>
      </c>
      <c r="BQ839" s="467">
        <f t="shared" si="1941"/>
        <v>0.5508851850483758</v>
      </c>
      <c r="BR839" s="467">
        <f t="shared" si="1941"/>
        <v>0.55517064531386917</v>
      </c>
      <c r="BS839" s="467">
        <f t="shared" si="1941"/>
        <v>0.57541849566984504</v>
      </c>
      <c r="BT839" s="468">
        <f t="shared" si="1941"/>
        <v>0.56137496951096322</v>
      </c>
      <c r="BU839" s="467">
        <f t="shared" si="1941"/>
        <v>0.56646463358610866</v>
      </c>
      <c r="BV839" s="467">
        <f>(BV837+BV833)/BV827</f>
        <v>0.5508851850483758</v>
      </c>
      <c r="BW839" s="467">
        <f>(BW837+BW833)/BW827</f>
        <v>0.56426424376668194</v>
      </c>
      <c r="BX839" s="467">
        <f>(BX837+BX833)/BX827</f>
        <v>0.57993184278435805</v>
      </c>
      <c r="BY839" s="468">
        <f>(BY837+BY833)/BY827</f>
        <v>0.56506380607949191</v>
      </c>
      <c r="BZ839" s="468">
        <f t="shared" si="1941"/>
        <v>0.56941316801869679</v>
      </c>
      <c r="CA839" s="468">
        <f t="shared" si="1941"/>
        <v>0.55999657587867957</v>
      </c>
      <c r="CB839" s="468">
        <f t="shared" si="1941"/>
        <v>0.56546897575559818</v>
      </c>
      <c r="CC839" s="468">
        <f t="shared" si="1941"/>
        <v>0.55546830351518128</v>
      </c>
      <c r="CD839" s="468">
        <f t="shared" si="1941"/>
        <v>0.56015793852471141</v>
      </c>
      <c r="CE839" s="468">
        <f t="shared" si="1941"/>
        <v>0.56479143143483435</v>
      </c>
      <c r="CF839" s="468">
        <f t="shared" si="1941"/>
        <v>0.56936965383378368</v>
      </c>
      <c r="CG839" s="492"/>
      <c r="CH839" s="492"/>
      <c r="CI839" s="492"/>
      <c r="CJ839" s="492"/>
      <c r="CK839" s="492"/>
      <c r="CL839" s="1310" t="str">
        <f t="shared" si="1918"/>
        <v>Margin bef. tax</v>
      </c>
      <c r="CM839" s="469">
        <f t="shared" si="1919"/>
        <v>0.71444265964450293</v>
      </c>
      <c r="CN839" s="469">
        <f t="shared" si="1920"/>
        <v>0.6707977433666068</v>
      </c>
      <c r="CO839" s="469">
        <f t="shared" si="1921"/>
        <v>0.70046498551355696</v>
      </c>
      <c r="CP839" s="469">
        <f t="shared" si="1922"/>
        <v>0.66389436831802451</v>
      </c>
      <c r="CQ839" s="469">
        <f t="shared" si="1923"/>
        <v>0.64409652976645737</v>
      </c>
      <c r="CR839" s="469">
        <f t="shared" si="1924"/>
        <v>0.58380223803919384</v>
      </c>
      <c r="CS839" s="469">
        <f t="shared" si="1925"/>
        <v>0.61165210990801155</v>
      </c>
      <c r="CT839" s="469">
        <f t="shared" si="1926"/>
        <v>0.56076331773862409</v>
      </c>
      <c r="CU839" s="469">
        <f t="shared" si="1927"/>
        <v>0.60075639416845861</v>
      </c>
      <c r="CV839" s="469">
        <f t="shared" si="1928"/>
        <v>0.60320911417152134</v>
      </c>
      <c r="CW839" s="469">
        <f t="shared" si="1929"/>
        <v>0.58196744344340801</v>
      </c>
      <c r="CX839" s="469">
        <f t="shared" si="1930"/>
        <v>0.58352373022748327</v>
      </c>
      <c r="CY839" s="469">
        <f t="shared" si="1931"/>
        <v>0.55341205776070046</v>
      </c>
      <c r="CZ839" s="469">
        <f t="shared" si="1932"/>
        <v>0.56137496951096322</v>
      </c>
      <c r="DA839" s="469">
        <f t="shared" si="1933"/>
        <v>0.56506380607949191</v>
      </c>
      <c r="DB839" s="469">
        <f t="shared" si="1933"/>
        <v>0.56941316801869679</v>
      </c>
      <c r="DC839" s="1463">
        <f t="shared" si="1933"/>
        <v>0.55999657587867957</v>
      </c>
      <c r="DD839" s="492"/>
      <c r="DE839" s="492"/>
      <c r="DF839" s="962"/>
      <c r="DG839" s="962"/>
      <c r="DH839" s="469"/>
      <c r="DI839" s="3213"/>
      <c r="DJ839" s="962"/>
      <c r="DK839" s="962"/>
      <c r="DL839" s="962"/>
      <c r="DM839" s="962"/>
      <c r="DN839" s="962"/>
      <c r="DO839" s="962"/>
      <c r="DP839" s="962"/>
      <c r="DQ839" s="962"/>
      <c r="DR839" s="963"/>
      <c r="DS839" s="963"/>
      <c r="DT839" s="963"/>
    </row>
    <row r="840" spans="1:124" ht="12" customHeight="1" x14ac:dyDescent="0.25">
      <c r="A840" s="465" t="s">
        <v>1491</v>
      </c>
      <c r="B840" s="466"/>
      <c r="C840" s="467" t="s">
        <v>553</v>
      </c>
      <c r="D840" s="467" t="s">
        <v>553</v>
      </c>
      <c r="E840" s="467" t="s">
        <v>553</v>
      </c>
      <c r="F840" s="467" t="s">
        <v>553</v>
      </c>
      <c r="G840" s="468" t="s">
        <v>553</v>
      </c>
      <c r="H840" s="467">
        <f t="shared" ref="H840:AF840" si="1942">(H837-C837)/C837</f>
        <v>-2.1664766248574698E-2</v>
      </c>
      <c r="I840" s="467">
        <f t="shared" si="1942"/>
        <v>0.11838671411625148</v>
      </c>
      <c r="J840" s="467">
        <f t="shared" si="1942"/>
        <v>0.21451522771723941</v>
      </c>
      <c r="K840" s="467">
        <f t="shared" si="1942"/>
        <v>0.1251148653424754</v>
      </c>
      <c r="L840" s="468">
        <f t="shared" si="1942"/>
        <v>0.11154930615705001</v>
      </c>
      <c r="M840" s="467">
        <f t="shared" si="1942"/>
        <v>0.36138306138306153</v>
      </c>
      <c r="N840" s="467">
        <f t="shared" si="1942"/>
        <v>0.22069014283693977</v>
      </c>
      <c r="O840" s="467">
        <f t="shared" si="1942"/>
        <v>-0.20722378788750215</v>
      </c>
      <c r="P840" s="467">
        <f t="shared" si="1942"/>
        <v>-0.23503172708424952</v>
      </c>
      <c r="Q840" s="468">
        <f t="shared" si="1942"/>
        <v>7.0959612706413613E-3</v>
      </c>
      <c r="R840" s="467">
        <f t="shared" si="1942"/>
        <v>-0.24399292277838025</v>
      </c>
      <c r="S840" s="467">
        <f t="shared" si="1942"/>
        <v>-0.18137056131610971</v>
      </c>
      <c r="T840" s="467">
        <f t="shared" si="1942"/>
        <v>-0.19072838073128273</v>
      </c>
      <c r="U840" s="467">
        <f t="shared" si="1942"/>
        <v>-2.7923784494087302E-3</v>
      </c>
      <c r="V840" s="468">
        <f t="shared" si="1942"/>
        <v>-0.16576122744633229</v>
      </c>
      <c r="W840" s="467">
        <f t="shared" si="1942"/>
        <v>-0.27925411444964515</v>
      </c>
      <c r="X840" s="467">
        <f t="shared" si="1942"/>
        <v>-0.10996320407585623</v>
      </c>
      <c r="Y840" s="467">
        <f t="shared" si="1942"/>
        <v>-6.2303899596593326E-2</v>
      </c>
      <c r="Z840" s="467">
        <f t="shared" si="1942"/>
        <v>-0.2992093559545379</v>
      </c>
      <c r="AA840" s="468">
        <f t="shared" si="1942"/>
        <v>-0.18906758756783418</v>
      </c>
      <c r="AB840" s="467">
        <f t="shared" si="1942"/>
        <v>-0.23138158583848334</v>
      </c>
      <c r="AC840" s="467">
        <f t="shared" si="1942"/>
        <v>-1.0492129114326603</v>
      </c>
      <c r="AD840" s="467">
        <f t="shared" si="1942"/>
        <v>2.7724665391969324E-2</v>
      </c>
      <c r="AE840" s="469">
        <f t="shared" si="1942"/>
        <v>-0.26571865084028679</v>
      </c>
      <c r="AF840" s="470">
        <f t="shared" si="1942"/>
        <v>-0.42285978488343795</v>
      </c>
      <c r="AG840" s="467">
        <f t="shared" ref="AG840:AU840" si="1943">(AG837-AB837)/AB837</f>
        <v>0.16571272826383213</v>
      </c>
      <c r="AH840" s="538" t="s">
        <v>553</v>
      </c>
      <c r="AI840" s="467">
        <f t="shared" si="1943"/>
        <v>-0.25488372093023259</v>
      </c>
      <c r="AJ840" s="469">
        <f t="shared" si="1943"/>
        <v>4.7375160051216288E-2</v>
      </c>
      <c r="AK840" s="470">
        <f t="shared" si="1943"/>
        <v>0.39642450562887338</v>
      </c>
      <c r="AL840" s="467">
        <f t="shared" si="1943"/>
        <v>-5.9621229833995766E-2</v>
      </c>
      <c r="AM840" s="467">
        <f t="shared" si="1943"/>
        <v>-6.8224952552192575E-2</v>
      </c>
      <c r="AN840" s="467">
        <f t="shared" si="1943"/>
        <v>-0.20023477528089903</v>
      </c>
      <c r="AO840" s="469">
        <f t="shared" si="1943"/>
        <v>-0.36341159841075754</v>
      </c>
      <c r="AP840" s="471">
        <f t="shared" si="1943"/>
        <v>-0.15625610827621586</v>
      </c>
      <c r="AQ840" s="471">
        <f t="shared" si="1943"/>
        <v>-0.22482760753356529</v>
      </c>
      <c r="AR840" s="469">
        <f t="shared" si="1943"/>
        <v>-0.19398703098198999</v>
      </c>
      <c r="AS840" s="469">
        <f t="shared" si="1943"/>
        <v>0.66586825078636414</v>
      </c>
      <c r="AT840" s="469">
        <f t="shared" si="1943"/>
        <v>1.1157599035679397</v>
      </c>
      <c r="AU840" s="1689">
        <f t="shared" si="1943"/>
        <v>0.18951070281519691</v>
      </c>
      <c r="AV840" s="1730">
        <f t="shared" ref="AV840:BA840" si="1944">(AV837-AQ837)/AQ837</f>
        <v>0.31846257558987878</v>
      </c>
      <c r="AW840" s="1465">
        <f t="shared" si="1944"/>
        <v>0.27043832926548989</v>
      </c>
      <c r="AX840" s="1465">
        <f t="shared" si="1944"/>
        <v>-0.32575846216432575</v>
      </c>
      <c r="AY840" s="1868">
        <f t="shared" si="1944"/>
        <v>-0.22368164948351607</v>
      </c>
      <c r="AZ840" s="1689">
        <f t="shared" si="1944"/>
        <v>-4.2986798580426186E-2</v>
      </c>
      <c r="BA840" s="471">
        <f t="shared" si="1944"/>
        <v>-0.41936726333893753</v>
      </c>
      <c r="BB840" s="469">
        <f t="shared" ref="BB840:BJ840" si="1945">(BB837-AW837)/AW837</f>
        <v>-0.14588573027606244</v>
      </c>
      <c r="BC840" s="469">
        <f t="shared" si="1945"/>
        <v>-2.8589858635557346E-2</v>
      </c>
      <c r="BD840" s="1463">
        <f t="shared" si="1945"/>
        <v>1.6065714797100238E-2</v>
      </c>
      <c r="BE840" s="1868">
        <f t="shared" si="1945"/>
        <v>-0.15519837018512481</v>
      </c>
      <c r="BF840" s="469">
        <f t="shared" si="1945"/>
        <v>0.14327672679524781</v>
      </c>
      <c r="BG840" s="469">
        <f t="shared" si="1945"/>
        <v>7.4055210902566185E-2</v>
      </c>
      <c r="BH840" s="469">
        <f t="shared" si="1945"/>
        <v>0.13017439682162715</v>
      </c>
      <c r="BI840" s="1463">
        <f t="shared" si="1945"/>
        <v>-5.2061229409035542E-2</v>
      </c>
      <c r="BJ840" s="1868">
        <f t="shared" si="1945"/>
        <v>6.8320276211048914E-2</v>
      </c>
      <c r="BK840" s="469">
        <f t="shared" ref="BK840:BT840" si="1946">(BK837-BF837)/BF837</f>
        <v>0.21614606947076301</v>
      </c>
      <c r="BL840" s="469">
        <f t="shared" si="1946"/>
        <v>-0.27336771476009458</v>
      </c>
      <c r="BM840" s="469">
        <f t="shared" si="1946"/>
        <v>-0.32239237678283161</v>
      </c>
      <c r="BN840" s="1463">
        <f t="shared" si="1946"/>
        <v>-0.17475167722160168</v>
      </c>
      <c r="BO840" s="1868">
        <f t="shared" si="1946"/>
        <v>-0.17116740126599139</v>
      </c>
      <c r="BP840" s="469">
        <f t="shared" si="1946"/>
        <v>-6.1085513560410511E-2</v>
      </c>
      <c r="BQ840" s="469">
        <f t="shared" si="1946"/>
        <v>-2.9084391406051725E-2</v>
      </c>
      <c r="BR840" s="469">
        <f t="shared" si="1946"/>
        <v>0.25335874803772107</v>
      </c>
      <c r="BS840" s="469">
        <f t="shared" si="1946"/>
        <v>2.7886943677032861E-2</v>
      </c>
      <c r="BT840" s="470">
        <f t="shared" si="1946"/>
        <v>3.8545916253328379E-2</v>
      </c>
      <c r="BU840" s="469">
        <f>(BU837-BP837)/BP837</f>
        <v>-0.10404914276157644</v>
      </c>
      <c r="BV840" s="469">
        <f>(BV837-BQ837)/BQ837</f>
        <v>1.5941834861093112E-2</v>
      </c>
      <c r="BW840" s="469">
        <f>(BW837-BR837)/BR837</f>
        <v>8.0135165993578353E-2</v>
      </c>
      <c r="BX840" s="469">
        <f>(BX837-BS837)/BS837</f>
        <v>6.6411739002600237E-2</v>
      </c>
      <c r="BY840" s="470">
        <f>(BY837-BT837)/BT837</f>
        <v>1.4528488493550649E-2</v>
      </c>
      <c r="BZ840" s="470">
        <f t="shared" ref="BZ840:CF840" si="1947">(BZ837-BY837)/BY837</f>
        <v>1.9809098678594192E-2</v>
      </c>
      <c r="CA840" s="470">
        <f t="shared" si="1947"/>
        <v>-5.4451322393119596E-2</v>
      </c>
      <c r="CB840" s="470">
        <f t="shared" si="1947"/>
        <v>8.5375526301926602E-2</v>
      </c>
      <c r="CC840" s="470">
        <f t="shared" si="1947"/>
        <v>-6.8963875265481339E-2</v>
      </c>
      <c r="CD840" s="470">
        <f t="shared" si="1947"/>
        <v>3.146615309318692E-2</v>
      </c>
      <c r="CE840" s="470">
        <f t="shared" si="1947"/>
        <v>3.1299949676868964E-2</v>
      </c>
      <c r="CF840" s="470">
        <f t="shared" si="1947"/>
        <v>3.1136790348840055E-2</v>
      </c>
      <c r="CG840" s="492"/>
      <c r="CH840" s="492"/>
      <c r="CI840" s="492"/>
      <c r="CJ840" s="492"/>
      <c r="CK840" s="492"/>
      <c r="CL840" s="1310" t="str">
        <f t="shared" si="1918"/>
        <v>% growth (y-o-y)</v>
      </c>
      <c r="CM840" s="469" t="str">
        <f t="shared" si="1919"/>
        <v xml:space="preserve">n/a </v>
      </c>
      <c r="CN840" s="469">
        <f t="shared" si="1920"/>
        <v>0.11154930615705001</v>
      </c>
      <c r="CO840" s="469">
        <f t="shared" si="1921"/>
        <v>7.0959612706413613E-3</v>
      </c>
      <c r="CP840" s="469">
        <f t="shared" si="1922"/>
        <v>-0.16576122744633229</v>
      </c>
      <c r="CQ840" s="469">
        <f t="shared" si="1923"/>
        <v>-0.18906758756783418</v>
      </c>
      <c r="CR840" s="469">
        <f t="shared" si="1924"/>
        <v>-0.42285978488343795</v>
      </c>
      <c r="CS840" s="469">
        <f t="shared" si="1925"/>
        <v>0.39642450562887338</v>
      </c>
      <c r="CT840" s="469">
        <f t="shared" si="1926"/>
        <v>-0.15625610827621586</v>
      </c>
      <c r="CU840" s="469">
        <f t="shared" si="1927"/>
        <v>0.18951070281519691</v>
      </c>
      <c r="CV840" s="469">
        <f t="shared" si="1928"/>
        <v>-4.2986798580426186E-2</v>
      </c>
      <c r="CW840" s="469">
        <f t="shared" si="1929"/>
        <v>-0.15519837018512481</v>
      </c>
      <c r="CX840" s="469">
        <f t="shared" si="1930"/>
        <v>6.8320276211048914E-2</v>
      </c>
      <c r="CY840" s="469">
        <f t="shared" si="1931"/>
        <v>-0.17116740126599139</v>
      </c>
      <c r="CZ840" s="469">
        <f t="shared" si="1932"/>
        <v>3.8545916253328379E-2</v>
      </c>
      <c r="DA840" s="469">
        <f t="shared" si="1933"/>
        <v>1.4528488493550649E-2</v>
      </c>
      <c r="DB840" s="469">
        <f t="shared" si="1933"/>
        <v>1.9809098678594192E-2</v>
      </c>
      <c r="DC840" s="1463">
        <f t="shared" si="1933"/>
        <v>-5.4451322393119596E-2</v>
      </c>
      <c r="DD840" s="492"/>
      <c r="DE840" s="492"/>
      <c r="DF840" s="962"/>
      <c r="DG840" s="962"/>
      <c r="DH840" s="469"/>
      <c r="DI840" s="3213"/>
      <c r="DJ840" s="962"/>
      <c r="DK840" s="962"/>
      <c r="DL840" s="962"/>
      <c r="DM840" s="962"/>
      <c r="DN840" s="962"/>
      <c r="DO840" s="962"/>
      <c r="DP840" s="962"/>
      <c r="DQ840" s="962"/>
      <c r="DR840" s="963"/>
      <c r="DS840" s="963"/>
      <c r="DT840" s="963"/>
    </row>
    <row r="841" spans="1:124" ht="12" customHeight="1" x14ac:dyDescent="0.25">
      <c r="A841" s="281" t="s">
        <v>2197</v>
      </c>
      <c r="B841" s="281"/>
      <c r="C841" s="570">
        <v>2.8</v>
      </c>
      <c r="D841" s="570">
        <v>3.5870000000000002</v>
      </c>
      <c r="E841" s="570">
        <v>3.2120000000000002</v>
      </c>
      <c r="F841" s="570">
        <v>2.3359999999999999</v>
      </c>
      <c r="G841" s="475">
        <f>SUM(C841:F841)</f>
        <v>11.935</v>
      </c>
      <c r="H841" s="570">
        <v>2.3460000000000001</v>
      </c>
      <c r="I841" s="570">
        <v>2.403</v>
      </c>
      <c r="J841" s="570">
        <v>2.3519999999999999</v>
      </c>
      <c r="K841" s="570">
        <v>1.95</v>
      </c>
      <c r="L841" s="475">
        <f>SUM(H841:K841)</f>
        <v>9.0510000000000002</v>
      </c>
      <c r="M841" s="570">
        <v>4.1130000000000004</v>
      </c>
      <c r="N841" s="570">
        <v>2.794</v>
      </c>
      <c r="O841" s="570">
        <v>3.016</v>
      </c>
      <c r="P841" s="570">
        <v>3.0270000000000001</v>
      </c>
      <c r="Q841" s="475">
        <f>SUM(M841:P841)</f>
        <v>12.95</v>
      </c>
      <c r="R841" s="570">
        <v>3.032</v>
      </c>
      <c r="S841" s="570">
        <v>3.0489999999999999</v>
      </c>
      <c r="T841" s="570">
        <v>3.0550000000000002</v>
      </c>
      <c r="U841" s="570">
        <v>3.1070000000000002</v>
      </c>
      <c r="V841" s="475">
        <f>SUM(R841:U841)</f>
        <v>12.242999999999999</v>
      </c>
      <c r="W841" s="570">
        <v>3.2109999999999999</v>
      </c>
      <c r="X841" s="570">
        <v>2.6659999999999999</v>
      </c>
      <c r="Y841" s="570">
        <v>2.4710000000000001</v>
      </c>
      <c r="Z841" s="570">
        <v>2.3319999999999999</v>
      </c>
      <c r="AA841" s="475">
        <f>SUM(W841:Z841)</f>
        <v>10.68</v>
      </c>
      <c r="AB841" s="570">
        <v>2.8050000000000002</v>
      </c>
      <c r="AC841" s="570">
        <v>0.253</v>
      </c>
      <c r="AD841" s="570">
        <v>2.29</v>
      </c>
      <c r="AE841" s="572">
        <v>2.5710000000000002</v>
      </c>
      <c r="AF841" s="477">
        <f>SUM(AB841:AE841)</f>
        <v>7.9190000000000005</v>
      </c>
      <c r="AG841" s="570">
        <v>2.4740000000000002</v>
      </c>
      <c r="AH841" s="570">
        <v>3.5089999999999999</v>
      </c>
      <c r="AI841" s="570">
        <v>4.1059999999999999</v>
      </c>
      <c r="AJ841" s="570">
        <v>3.6440000000000001</v>
      </c>
      <c r="AK841" s="477">
        <f>SUM(AG841:AJ841)</f>
        <v>13.733000000000001</v>
      </c>
      <c r="AL841" s="570">
        <v>3.5670000000000002</v>
      </c>
      <c r="AM841" s="570">
        <v>3.5379999999999998</v>
      </c>
      <c r="AN841" s="1594">
        <f>AM841</f>
        <v>3.5379999999999998</v>
      </c>
      <c r="AO841" s="452">
        <f>AN841</f>
        <v>3.5379999999999998</v>
      </c>
      <c r="AP841" s="478">
        <f>SUM(AL841:AO841)</f>
        <v>14.181000000000001</v>
      </c>
      <c r="AQ841" s="478">
        <f>+AO841</f>
        <v>3.5379999999999998</v>
      </c>
      <c r="AR841" s="476">
        <f>AQ841</f>
        <v>3.5379999999999998</v>
      </c>
      <c r="AS841" s="476">
        <f>AR841</f>
        <v>3.5379999999999998</v>
      </c>
      <c r="AT841" s="476">
        <f>AS841</f>
        <v>3.5379999999999998</v>
      </c>
      <c r="AU841" s="1464">
        <f>SUM(AQ841:AT841)</f>
        <v>14.151999999999999</v>
      </c>
      <c r="AV841" s="478">
        <f>+AT841</f>
        <v>3.5379999999999998</v>
      </c>
      <c r="AW841" s="476">
        <f>AV841</f>
        <v>3.5379999999999998</v>
      </c>
      <c r="AX841" s="476">
        <f>AW841</f>
        <v>3.5379999999999998</v>
      </c>
      <c r="AY841" s="682">
        <f>AX841</f>
        <v>3.5379999999999998</v>
      </c>
      <c r="AZ841" s="1464">
        <f>SUM(AV841:AY841)</f>
        <v>14.151999999999999</v>
      </c>
      <c r="BA841" s="478">
        <f>+AY841</f>
        <v>3.5379999999999998</v>
      </c>
      <c r="BB841" s="476">
        <f>BA841</f>
        <v>3.5379999999999998</v>
      </c>
      <c r="BC841" s="476">
        <f>BB841</f>
        <v>3.5379999999999998</v>
      </c>
      <c r="BD841" s="682">
        <f>BC841</f>
        <v>3.5379999999999998</v>
      </c>
      <c r="BE841" s="1866">
        <f>SUM(BA841:BD841)</f>
        <v>14.151999999999999</v>
      </c>
      <c r="BF841" s="476">
        <f>BD841</f>
        <v>3.5379999999999998</v>
      </c>
      <c r="BG841" s="476">
        <f>BF841</f>
        <v>3.5379999999999998</v>
      </c>
      <c r="BH841" s="476">
        <f>BG841</f>
        <v>3.5379999999999998</v>
      </c>
      <c r="BI841" s="682">
        <f>BH841</f>
        <v>3.5379999999999998</v>
      </c>
      <c r="BJ841" s="1866">
        <f>SUM(BF841:BI841)</f>
        <v>14.151999999999999</v>
      </c>
      <c r="BK841" s="476">
        <f>+BI841</f>
        <v>3.5379999999999998</v>
      </c>
      <c r="BL841" s="476">
        <f>BK841</f>
        <v>3.5379999999999998</v>
      </c>
      <c r="BM841" s="476">
        <f>BL841</f>
        <v>3.5379999999999998</v>
      </c>
      <c r="BN841" s="682">
        <f>BM841</f>
        <v>3.5379999999999998</v>
      </c>
      <c r="BO841" s="1866">
        <f>SUM(BK841:BN841)</f>
        <v>14.151999999999999</v>
      </c>
      <c r="BP841" s="476">
        <f>BN841</f>
        <v>3.5379999999999998</v>
      </c>
      <c r="BQ841" s="476">
        <f>BP841</f>
        <v>3.5379999999999998</v>
      </c>
      <c r="BR841" s="476">
        <f>BQ841</f>
        <v>3.5379999999999998</v>
      </c>
      <c r="BS841" s="476">
        <f>BR841</f>
        <v>3.5379999999999998</v>
      </c>
      <c r="BT841" s="2604">
        <f>SUM(BP841:BS841)</f>
        <v>14.151999999999999</v>
      </c>
      <c r="BU841" s="2577">
        <f>BS841</f>
        <v>3.5379999999999998</v>
      </c>
      <c r="BV841" s="2577">
        <f>BU841</f>
        <v>3.5379999999999998</v>
      </c>
      <c r="BW841" s="2577">
        <f>BV841</f>
        <v>3.5379999999999998</v>
      </c>
      <c r="BX841" s="2577">
        <f>BW841</f>
        <v>3.5379999999999998</v>
      </c>
      <c r="BY841" s="2604">
        <f>SUM(BU841:BX841)</f>
        <v>14.151999999999999</v>
      </c>
      <c r="BZ841" s="477">
        <f t="shared" ref="BZ841:CF841" si="1948">BY841</f>
        <v>14.151999999999999</v>
      </c>
      <c r="CA841" s="477">
        <f t="shared" si="1948"/>
        <v>14.151999999999999</v>
      </c>
      <c r="CB841" s="477">
        <f t="shared" si="1948"/>
        <v>14.151999999999999</v>
      </c>
      <c r="CC841" s="477">
        <f t="shared" si="1948"/>
        <v>14.151999999999999</v>
      </c>
      <c r="CD841" s="477">
        <f t="shared" si="1948"/>
        <v>14.151999999999999</v>
      </c>
      <c r="CE841" s="477">
        <f t="shared" si="1948"/>
        <v>14.151999999999999</v>
      </c>
      <c r="CF841" s="477">
        <f t="shared" si="1948"/>
        <v>14.151999999999999</v>
      </c>
      <c r="CG841" s="331"/>
      <c r="CH841" s="331"/>
      <c r="CI841" s="331"/>
      <c r="CJ841" s="331"/>
      <c r="CK841" s="331"/>
      <c r="CL841" s="520" t="str">
        <f t="shared" si="1918"/>
        <v>Depreciation and amortization</v>
      </c>
      <c r="CM841" s="476">
        <f t="shared" si="1919"/>
        <v>11.935</v>
      </c>
      <c r="CN841" s="476">
        <f t="shared" si="1920"/>
        <v>9.0510000000000002</v>
      </c>
      <c r="CO841" s="476">
        <f t="shared" si="1921"/>
        <v>12.95</v>
      </c>
      <c r="CP841" s="476">
        <f t="shared" si="1922"/>
        <v>12.242999999999999</v>
      </c>
      <c r="CQ841" s="476">
        <f t="shared" si="1923"/>
        <v>10.68</v>
      </c>
      <c r="CR841" s="476">
        <f t="shared" si="1924"/>
        <v>7.9190000000000005</v>
      </c>
      <c r="CS841" s="476">
        <f t="shared" si="1925"/>
        <v>13.733000000000001</v>
      </c>
      <c r="CT841" s="476">
        <f t="shared" si="1926"/>
        <v>14.181000000000001</v>
      </c>
      <c r="CU841" s="476">
        <f t="shared" si="1927"/>
        <v>14.151999999999999</v>
      </c>
      <c r="CV841" s="476">
        <f t="shared" si="1928"/>
        <v>14.151999999999999</v>
      </c>
      <c r="CW841" s="476">
        <f t="shared" si="1929"/>
        <v>14.151999999999999</v>
      </c>
      <c r="CX841" s="476">
        <f t="shared" si="1930"/>
        <v>14.151999999999999</v>
      </c>
      <c r="CY841" s="476">
        <f t="shared" si="1931"/>
        <v>14.151999999999999</v>
      </c>
      <c r="CZ841" s="476">
        <f t="shared" si="1932"/>
        <v>14.151999999999999</v>
      </c>
      <c r="DA841" s="476">
        <f t="shared" si="1933"/>
        <v>14.151999999999999</v>
      </c>
      <c r="DB841" s="476">
        <f t="shared" si="1933"/>
        <v>14.151999999999999</v>
      </c>
      <c r="DC841" s="682">
        <f t="shared" si="1933"/>
        <v>14.151999999999999</v>
      </c>
      <c r="DD841" s="331"/>
      <c r="DE841" s="331"/>
      <c r="DF841" s="502"/>
      <c r="DG841" s="503"/>
      <c r="DH841" s="2577"/>
      <c r="DI841" s="3213"/>
      <c r="DJ841" s="502"/>
      <c r="DK841" s="503"/>
      <c r="DL841" s="502"/>
      <c r="DM841" s="502"/>
      <c r="DN841" s="502"/>
      <c r="DO841" s="502"/>
      <c r="DP841" s="503"/>
      <c r="DQ841" s="503"/>
      <c r="DR841" s="296"/>
      <c r="DS841" s="296"/>
      <c r="DT841" s="296"/>
    </row>
    <row r="842" spans="1:124" ht="12" customHeight="1" x14ac:dyDescent="0.25">
      <c r="A842" s="465" t="s">
        <v>646</v>
      </c>
      <c r="B842" s="466"/>
      <c r="C842" s="467">
        <f t="shared" ref="C842:AF842" si="1949">C841/C827</f>
        <v>5.2351126484060949E-2</v>
      </c>
      <c r="D842" s="467">
        <f t="shared" si="1949"/>
        <v>6.6972871039414489E-2</v>
      </c>
      <c r="E842" s="467">
        <f t="shared" si="1949"/>
        <v>5.6675018527014155E-2</v>
      </c>
      <c r="F842" s="467">
        <f t="shared" si="1949"/>
        <v>4.1318074889010736E-2</v>
      </c>
      <c r="G842" s="468">
        <f t="shared" si="1949"/>
        <v>5.4187192118226604E-2</v>
      </c>
      <c r="H842" s="467">
        <f t="shared" si="1949"/>
        <v>4.310915104740904E-2</v>
      </c>
      <c r="I842" s="467">
        <f t="shared" si="1949"/>
        <v>4.2226049061643352E-2</v>
      </c>
      <c r="J842" s="467">
        <f t="shared" si="1949"/>
        <v>3.8703307553068944E-2</v>
      </c>
      <c r="K842" s="467">
        <f t="shared" si="1949"/>
        <v>3.128911138923654E-2</v>
      </c>
      <c r="L842" s="468">
        <f t="shared" si="1949"/>
        <v>3.8610186844125927E-2</v>
      </c>
      <c r="M842" s="467">
        <f t="shared" si="1949"/>
        <v>6.818973092163072E-2</v>
      </c>
      <c r="N842" s="467">
        <f t="shared" si="1949"/>
        <v>4.6772465514932374E-2</v>
      </c>
      <c r="O842" s="467">
        <f t="shared" si="1949"/>
        <v>5.0390964378801043E-2</v>
      </c>
      <c r="P842" s="467">
        <f t="shared" si="1949"/>
        <v>5.135818388503368E-2</v>
      </c>
      <c r="Q842" s="468">
        <f t="shared" si="1949"/>
        <v>5.4219490546130525E-2</v>
      </c>
      <c r="R842" s="467">
        <f t="shared" si="1949"/>
        <v>5.0861389294281446E-2</v>
      </c>
      <c r="S842" s="467">
        <f t="shared" si="1949"/>
        <v>5.2125895406287925E-2</v>
      </c>
      <c r="T842" s="467">
        <f t="shared" si="1949"/>
        <v>5.4625755462575545E-2</v>
      </c>
      <c r="U842" s="467">
        <f t="shared" si="1949"/>
        <v>6.002472856535683E-2</v>
      </c>
      <c r="V842" s="468">
        <f t="shared" si="1949"/>
        <v>5.4221989955446109E-2</v>
      </c>
      <c r="W842" s="467">
        <f t="shared" si="1949"/>
        <v>7.1924558731296481E-2</v>
      </c>
      <c r="X842" s="467">
        <f t="shared" si="1949"/>
        <v>5.96968136321906E-2</v>
      </c>
      <c r="Y842" s="467">
        <f t="shared" si="1949"/>
        <v>5.7577593438344676E-2</v>
      </c>
      <c r="Z842" s="467">
        <f t="shared" si="1949"/>
        <v>6.3988585226649103E-2</v>
      </c>
      <c r="AA842" s="468">
        <f t="shared" si="1949"/>
        <v>6.332153465786805E-2</v>
      </c>
      <c r="AB842" s="467">
        <f t="shared" si="1949"/>
        <v>8.5338769052906993E-2</v>
      </c>
      <c r="AC842" s="467">
        <f t="shared" si="1949"/>
        <v>6.9505494505494508E-2</v>
      </c>
      <c r="AD842" s="467">
        <f t="shared" si="1949"/>
        <v>5.930645119519333E-2</v>
      </c>
      <c r="AE842" s="469">
        <f t="shared" si="1949"/>
        <v>8.0504759519038085E-2</v>
      </c>
      <c r="AF842" s="470">
        <f t="shared" si="1949"/>
        <v>7.39692503129145E-2</v>
      </c>
      <c r="AG842" s="467">
        <f t="shared" ref="AG842:AU842" si="1950">AG841/AG827</f>
        <v>6.8638330928864733E-2</v>
      </c>
      <c r="AH842" s="467">
        <f t="shared" si="1950"/>
        <v>0.10198209718670076</v>
      </c>
      <c r="AI842" s="467">
        <f t="shared" si="1950"/>
        <v>0.12729414682539683</v>
      </c>
      <c r="AJ842" s="469">
        <f t="shared" si="1950"/>
        <v>0.11712146048275641</v>
      </c>
      <c r="AK842" s="470">
        <f t="shared" si="1950"/>
        <v>0.10262215945180503</v>
      </c>
      <c r="AL842" s="467">
        <f t="shared" si="1950"/>
        <v>9.1456848366750415E-2</v>
      </c>
      <c r="AM842" s="467">
        <f t="shared" si="1950"/>
        <v>9.0895077587092796E-2</v>
      </c>
      <c r="AN842" s="467">
        <f t="shared" si="1950"/>
        <v>0.10763286787746039</v>
      </c>
      <c r="AO842" s="469">
        <f t="shared" si="1950"/>
        <v>0.12202524660274539</v>
      </c>
      <c r="AP842" s="471">
        <f t="shared" si="1950"/>
        <v>0.10144429898920532</v>
      </c>
      <c r="AQ842" s="471">
        <f t="shared" si="1950"/>
        <v>0.10504126833323435</v>
      </c>
      <c r="AR842" s="469">
        <f t="shared" si="1950"/>
        <v>0.10443972133663951</v>
      </c>
      <c r="AS842" s="469">
        <f t="shared" si="1950"/>
        <v>9.7872693573819461E-2</v>
      </c>
      <c r="AT842" s="469">
        <f t="shared" si="1950"/>
        <v>0.11025585091464364</v>
      </c>
      <c r="AU842" s="1689">
        <f t="shared" si="1950"/>
        <v>0.10421514624878495</v>
      </c>
      <c r="AV842" s="1730">
        <f t="shared" ref="AV842:BJ842" si="1951">AV841/AV827</f>
        <v>0.10677209722187934</v>
      </c>
      <c r="AW842" s="1465">
        <f t="shared" si="1951"/>
        <v>0.10496762084152582</v>
      </c>
      <c r="AX842" s="1465">
        <f t="shared" si="1951"/>
        <v>0.11616990896619914</v>
      </c>
      <c r="AY842" s="1868">
        <f t="shared" si="1951"/>
        <v>0.12651554483769195</v>
      </c>
      <c r="AZ842" s="1689">
        <f t="shared" si="1951"/>
        <v>0.11297922807597044</v>
      </c>
      <c r="BA842" s="471">
        <f t="shared" si="1951"/>
        <v>0.13039973008951289</v>
      </c>
      <c r="BB842" s="469">
        <f t="shared" si="1951"/>
        <v>0.11380802021652474</v>
      </c>
      <c r="BC842" s="469">
        <f t="shared" si="1951"/>
        <v>0.12168665267327486</v>
      </c>
      <c r="BD842" s="1463">
        <f t="shared" si="1951"/>
        <v>0.12952440308579993</v>
      </c>
      <c r="BE842" s="1868">
        <f t="shared" si="1951"/>
        <v>0.12348028377081495</v>
      </c>
      <c r="BF842" s="469">
        <f t="shared" si="1951"/>
        <v>0.12543792033713516</v>
      </c>
      <c r="BG842" s="469">
        <f t="shared" si="1951"/>
        <v>0.1094833737057142</v>
      </c>
      <c r="BH842" s="469">
        <f t="shared" si="1951"/>
        <v>0.11355552557079142</v>
      </c>
      <c r="BI842" s="1463">
        <f t="shared" si="1951"/>
        <v>0.12806918544993603</v>
      </c>
      <c r="BJ842" s="1868">
        <f t="shared" si="1951"/>
        <v>0.11862247753622454</v>
      </c>
      <c r="BK842" s="469">
        <f t="shared" ref="BK842:BU842" si="1952">BK841/BK827</f>
        <v>0.12033322712627929</v>
      </c>
      <c r="BL842" s="469">
        <f t="shared" si="1952"/>
        <v>0.1215807560137457</v>
      </c>
      <c r="BM842" s="469">
        <f t="shared" si="1952"/>
        <v>0.12640867696598451</v>
      </c>
      <c r="BN842" s="1463">
        <f t="shared" si="1952"/>
        <v>0.1367642158632574</v>
      </c>
      <c r="BO842" s="1868">
        <f t="shared" si="1952"/>
        <v>0.12595273000806792</v>
      </c>
      <c r="BP842" s="469">
        <f t="shared" si="1952"/>
        <v>0.1233538682542335</v>
      </c>
      <c r="BQ842" s="469">
        <f t="shared" si="1952"/>
        <v>0.12024221226910342</v>
      </c>
      <c r="BR842" s="469">
        <f t="shared" si="1952"/>
        <v>0.11690086103200331</v>
      </c>
      <c r="BS842" s="469">
        <f t="shared" si="1952"/>
        <v>0.13167038132456979</v>
      </c>
      <c r="BT842" s="470">
        <f t="shared" si="1952"/>
        <v>0.12280378997556445</v>
      </c>
      <c r="BU842" s="469">
        <f t="shared" si="1952"/>
        <v>0.13094416852285021</v>
      </c>
      <c r="BV842" s="469">
        <f t="shared" ref="BV842:CF842" si="1953">BV841/BV827</f>
        <v>0.12024221226910342</v>
      </c>
      <c r="BW842" s="469">
        <f t="shared" si="1953"/>
        <v>0.11566774682437347</v>
      </c>
      <c r="BX842" s="469">
        <f t="shared" si="1953"/>
        <v>0.1302707109914128</v>
      </c>
      <c r="BY842" s="470">
        <f t="shared" si="1953"/>
        <v>0.12393430260869072</v>
      </c>
      <c r="BZ842" s="470">
        <f t="shared" si="1953"/>
        <v>0.12393430260869072</v>
      </c>
      <c r="CA842" s="470">
        <f t="shared" si="1953"/>
        <v>0.12664464740593756</v>
      </c>
      <c r="CB842" s="470">
        <f t="shared" si="1953"/>
        <v>0.12893767595847067</v>
      </c>
      <c r="CC842" s="470">
        <f t="shared" si="1953"/>
        <v>0.13598469997921236</v>
      </c>
      <c r="CD842" s="470">
        <f t="shared" si="1953"/>
        <v>0.13321793538693194</v>
      </c>
      <c r="CE842" s="470">
        <f t="shared" si="1953"/>
        <v>0.13050946346488551</v>
      </c>
      <c r="CF842" s="470">
        <f t="shared" si="1953"/>
        <v>0.12785797565444018</v>
      </c>
      <c r="CG842" s="492"/>
      <c r="CH842" s="492"/>
      <c r="CI842" s="492"/>
      <c r="CJ842" s="492"/>
      <c r="CK842" s="492"/>
      <c r="CL842" s="1310" t="str">
        <f t="shared" si="1918"/>
        <v>% of Net revenue</v>
      </c>
      <c r="CM842" s="469">
        <f t="shared" si="1919"/>
        <v>5.4187192118226604E-2</v>
      </c>
      <c r="CN842" s="469">
        <f t="shared" si="1920"/>
        <v>3.8610186844125927E-2</v>
      </c>
      <c r="CO842" s="469">
        <f t="shared" si="1921"/>
        <v>5.4219490546130525E-2</v>
      </c>
      <c r="CP842" s="469">
        <f t="shared" si="1922"/>
        <v>5.4221989955446109E-2</v>
      </c>
      <c r="CQ842" s="469">
        <f t="shared" si="1923"/>
        <v>6.332153465786805E-2</v>
      </c>
      <c r="CR842" s="469">
        <f t="shared" si="1924"/>
        <v>7.39692503129145E-2</v>
      </c>
      <c r="CS842" s="469">
        <f t="shared" si="1925"/>
        <v>0.10262215945180503</v>
      </c>
      <c r="CT842" s="469">
        <f t="shared" si="1926"/>
        <v>0.10144429898920532</v>
      </c>
      <c r="CU842" s="469">
        <f t="shared" si="1927"/>
        <v>0.10421514624878495</v>
      </c>
      <c r="CV842" s="469">
        <f t="shared" si="1928"/>
        <v>0.11297922807597044</v>
      </c>
      <c r="CW842" s="469">
        <f t="shared" si="1929"/>
        <v>0.12348028377081495</v>
      </c>
      <c r="CX842" s="469">
        <f t="shared" si="1930"/>
        <v>0.11862247753622454</v>
      </c>
      <c r="CY842" s="469">
        <f t="shared" si="1931"/>
        <v>0.12595273000806792</v>
      </c>
      <c r="CZ842" s="469">
        <f t="shared" si="1932"/>
        <v>0.12280378997556445</v>
      </c>
      <c r="DA842" s="469">
        <f t="shared" si="1933"/>
        <v>0.12393430260869072</v>
      </c>
      <c r="DB842" s="469">
        <f t="shared" si="1933"/>
        <v>0.12393430260869072</v>
      </c>
      <c r="DC842" s="1463">
        <f t="shared" si="1933"/>
        <v>0.12664464740593756</v>
      </c>
      <c r="DD842" s="492"/>
      <c r="DE842" s="492"/>
      <c r="DF842" s="962"/>
      <c r="DG842" s="962"/>
      <c r="DH842" s="469"/>
      <c r="DI842" s="3213"/>
      <c r="DJ842" s="962"/>
      <c r="DK842" s="962"/>
      <c r="DL842" s="962"/>
      <c r="DM842" s="962"/>
      <c r="DN842" s="962"/>
      <c r="DO842" s="962"/>
      <c r="DP842" s="962"/>
      <c r="DQ842" s="962"/>
      <c r="DR842" s="963"/>
      <c r="DS842" s="963"/>
      <c r="DT842" s="963"/>
    </row>
    <row r="843" spans="1:124" ht="12" customHeight="1" x14ac:dyDescent="0.25">
      <c r="A843" s="281"/>
      <c r="B843" s="281"/>
      <c r="C843" s="305"/>
      <c r="D843" s="305"/>
      <c r="E843" s="305"/>
      <c r="F843" s="305"/>
      <c r="G843" s="440"/>
      <c r="H843" s="305"/>
      <c r="I843" s="305"/>
      <c r="J843" s="305"/>
      <c r="K843" s="305"/>
      <c r="L843" s="440"/>
      <c r="M843" s="305"/>
      <c r="N843" s="305"/>
      <c r="O843" s="305"/>
      <c r="P843" s="305"/>
      <c r="Q843" s="440"/>
      <c r="R843" s="305"/>
      <c r="S843" s="305"/>
      <c r="T843" s="305"/>
      <c r="U843" s="305"/>
      <c r="V843" s="440"/>
      <c r="W843" s="305"/>
      <c r="X843" s="305"/>
      <c r="Y843" s="305"/>
      <c r="Z843" s="305"/>
      <c r="AA843" s="440"/>
      <c r="AB843" s="305"/>
      <c r="AC843" s="305"/>
      <c r="AD843" s="305"/>
      <c r="AE843" s="331"/>
      <c r="AF843" s="441"/>
      <c r="AG843" s="331"/>
      <c r="AH843" s="331"/>
      <c r="AI843" s="331"/>
      <c r="AJ843" s="331"/>
      <c r="AK843" s="441"/>
      <c r="AL843" s="442"/>
      <c r="AM843" s="442"/>
      <c r="AN843" s="442"/>
      <c r="AO843" s="442"/>
      <c r="AP843" s="443"/>
      <c r="AQ843" s="443"/>
      <c r="AR843" s="331"/>
      <c r="AS843" s="331"/>
      <c r="AT843" s="331"/>
      <c r="AU843" s="349"/>
      <c r="AV843" s="443"/>
      <c r="AW843" s="331"/>
      <c r="AX843" s="331"/>
      <c r="AY843" s="1306"/>
      <c r="AZ843" s="349"/>
      <c r="BA843" s="443"/>
      <c r="BB843" s="331"/>
      <c r="BC843" s="331"/>
      <c r="BD843" s="1306"/>
      <c r="BE843" s="1306"/>
      <c r="BF843" s="331"/>
      <c r="BG843" s="331"/>
      <c r="BH843" s="331"/>
      <c r="BI843" s="1306"/>
      <c r="BJ843" s="1306"/>
      <c r="BK843" s="331"/>
      <c r="BL843" s="331"/>
      <c r="BM843" s="331"/>
      <c r="BN843" s="1306"/>
      <c r="BO843" s="1306"/>
      <c r="BP843" s="331"/>
      <c r="BQ843" s="331"/>
      <c r="BR843" s="331"/>
      <c r="BS843" s="331"/>
      <c r="BT843" s="3222"/>
      <c r="BU843" s="2601"/>
      <c r="BV843" s="2601"/>
      <c r="BW843" s="2601"/>
      <c r="BX843" s="2601"/>
      <c r="BY843" s="3222"/>
      <c r="BZ843" s="349"/>
      <c r="CA843" s="349"/>
      <c r="CB843" s="349"/>
      <c r="CC843" s="349"/>
      <c r="CD843" s="349"/>
      <c r="CE843" s="349"/>
      <c r="CF843" s="349"/>
      <c r="CG843" s="331"/>
      <c r="CH843" s="331"/>
      <c r="CI843" s="331"/>
      <c r="CJ843" s="331"/>
      <c r="CK843" s="331"/>
      <c r="CL843" s="520"/>
      <c r="CM843" s="331"/>
      <c r="CN843" s="331"/>
      <c r="CO843" s="331"/>
      <c r="CP843" s="331"/>
      <c r="CQ843" s="331"/>
      <c r="CR843" s="331"/>
      <c r="CS843" s="331"/>
      <c r="CT843" s="331"/>
      <c r="CU843" s="331"/>
      <c r="CV843" s="331"/>
      <c r="CW843" s="331"/>
      <c r="CX843" s="331"/>
      <c r="CY843" s="331"/>
      <c r="CZ843" s="331"/>
      <c r="DA843" s="331"/>
      <c r="DB843" s="331"/>
      <c r="DC843" s="1306"/>
      <c r="DD843" s="331"/>
      <c r="DE843" s="331"/>
      <c r="DF843" s="502"/>
      <c r="DG843" s="503"/>
      <c r="DH843" s="2601"/>
      <c r="DI843" s="3213"/>
      <c r="DJ843" s="502"/>
      <c r="DK843" s="503"/>
      <c r="DL843" s="502"/>
      <c r="DM843" s="502"/>
      <c r="DN843" s="502"/>
      <c r="DO843" s="502"/>
      <c r="DP843" s="503"/>
      <c r="DQ843" s="503"/>
      <c r="DR843" s="296"/>
      <c r="DS843" s="296"/>
      <c r="DT843" s="296"/>
    </row>
    <row r="844" spans="1:124" ht="12" customHeight="1" x14ac:dyDescent="0.25">
      <c r="A844" s="2125" t="s">
        <v>1020</v>
      </c>
      <c r="B844" s="428"/>
      <c r="C844" s="502"/>
      <c r="D844" s="502"/>
      <c r="E844" s="502"/>
      <c r="F844" s="502"/>
      <c r="G844" s="534"/>
      <c r="H844" s="502"/>
      <c r="I844" s="502"/>
      <c r="J844" s="502"/>
      <c r="K844" s="502"/>
      <c r="L844" s="534"/>
      <c r="M844" s="502"/>
      <c r="N844" s="502"/>
      <c r="O844" s="502"/>
      <c r="P844" s="502"/>
      <c r="Q844" s="534"/>
      <c r="R844" s="502"/>
      <c r="S844" s="502"/>
      <c r="T844" s="502"/>
      <c r="U844" s="502"/>
      <c r="V844" s="534"/>
      <c r="W844" s="502"/>
      <c r="X844" s="502"/>
      <c r="Y844" s="502"/>
      <c r="Z844" s="502"/>
      <c r="AA844" s="534"/>
      <c r="AB844" s="502"/>
      <c r="AC844" s="502"/>
      <c r="AD844" s="502"/>
      <c r="AE844" s="502"/>
      <c r="AF844" s="534"/>
      <c r="AG844" s="502"/>
      <c r="AH844" s="502"/>
      <c r="AI844" s="502"/>
      <c r="AJ844" s="502"/>
      <c r="AK844" s="534"/>
      <c r="AL844" s="503"/>
      <c r="AM844" s="503"/>
      <c r="AN844" s="503"/>
      <c r="AO844" s="503"/>
      <c r="AP844" s="535"/>
      <c r="AQ844" s="535"/>
      <c r="AR844" s="537"/>
      <c r="AS844" s="537"/>
      <c r="AT844" s="537"/>
      <c r="AU844" s="536"/>
      <c r="AV844" s="535"/>
      <c r="AW844" s="537"/>
      <c r="AX844" s="537"/>
      <c r="AY844" s="1926"/>
      <c r="AZ844" s="536"/>
      <c r="BA844" s="535"/>
      <c r="BB844" s="537"/>
      <c r="BC844" s="537"/>
      <c r="BD844" s="1926"/>
      <c r="BE844" s="1926"/>
      <c r="BF844" s="537"/>
      <c r="BG844" s="537"/>
      <c r="BH844" s="537"/>
      <c r="BI844" s="1926"/>
      <c r="BJ844" s="1926"/>
      <c r="BK844" s="537"/>
      <c r="BL844" s="537"/>
      <c r="BM844" s="537"/>
      <c r="BN844" s="1926"/>
      <c r="BO844" s="1926"/>
      <c r="BP844" s="537"/>
      <c r="BQ844" s="537"/>
      <c r="BR844" s="537"/>
      <c r="BS844" s="537"/>
      <c r="BT844" s="536"/>
      <c r="BU844" s="537"/>
      <c r="BV844" s="537"/>
      <c r="BW844" s="537"/>
      <c r="BX844" s="537"/>
      <c r="BY844" s="536"/>
      <c r="BZ844" s="536"/>
      <c r="CA844" s="536"/>
      <c r="CB844" s="536"/>
      <c r="CC844" s="536"/>
      <c r="CD844" s="536"/>
      <c r="CE844" s="536"/>
      <c r="CF844" s="536"/>
      <c r="CG844" s="331"/>
      <c r="CH844" s="331"/>
      <c r="CI844" s="331"/>
      <c r="CJ844" s="331"/>
      <c r="CK844" s="331"/>
      <c r="CL844" s="2036" t="str">
        <f t="shared" ref="CL844:CL850" si="1954">A844</f>
        <v>Argosy Alton (IL)</v>
      </c>
      <c r="CM844" s="503">
        <f t="shared" ref="CM844:CM850" si="1955">G844</f>
        <v>0</v>
      </c>
      <c r="CN844" s="503">
        <f t="shared" ref="CN844:CN850" si="1956">L844</f>
        <v>0</v>
      </c>
      <c r="CO844" s="503">
        <f t="shared" ref="CO844:CO850" si="1957">Q844</f>
        <v>0</v>
      </c>
      <c r="CP844" s="503">
        <f t="shared" ref="CP844:CP850" si="1958">V844</f>
        <v>0</v>
      </c>
      <c r="CQ844" s="503">
        <f t="shared" ref="CQ844:CQ850" si="1959">AA844</f>
        <v>0</v>
      </c>
      <c r="CR844" s="503">
        <f t="shared" ref="CR844:CR850" si="1960">AF844</f>
        <v>0</v>
      </c>
      <c r="CS844" s="503">
        <f t="shared" ref="CS844:CS850" si="1961">AK844</f>
        <v>0</v>
      </c>
      <c r="CT844" s="503">
        <f t="shared" ref="CT844:CT850" si="1962">AP844</f>
        <v>0</v>
      </c>
      <c r="CU844" s="503">
        <f t="shared" ref="CU844:CU850" si="1963">AU844</f>
        <v>0</v>
      </c>
      <c r="CV844" s="503">
        <f t="shared" ref="CV844:CV850" si="1964">AZ844</f>
        <v>0</v>
      </c>
      <c r="CW844" s="503">
        <f t="shared" ref="CW844:CW850" si="1965">BE844</f>
        <v>0</v>
      </c>
      <c r="CX844" s="503">
        <f t="shared" ref="CX844:CX850" si="1966">BJ844</f>
        <v>0</v>
      </c>
      <c r="CY844" s="503">
        <f t="shared" ref="CY844:CY850" si="1967">BO844</f>
        <v>0</v>
      </c>
      <c r="CZ844" s="503">
        <f t="shared" ref="CZ844:CZ850" si="1968">BT844</f>
        <v>0</v>
      </c>
      <c r="DA844" s="503">
        <f t="shared" ref="DA844:DC850" si="1969">BY844</f>
        <v>0</v>
      </c>
      <c r="DB844" s="503">
        <f t="shared" si="1969"/>
        <v>0</v>
      </c>
      <c r="DC844" s="2124">
        <f t="shared" si="1969"/>
        <v>0</v>
      </c>
      <c r="DD844" s="331"/>
      <c r="DE844" s="331"/>
      <c r="DF844" s="502"/>
      <c r="DG844" s="503"/>
      <c r="DH844" s="537"/>
      <c r="DI844" s="3213"/>
      <c r="DJ844" s="502"/>
      <c r="DK844" s="503"/>
      <c r="DL844" s="502"/>
      <c r="DM844" s="502"/>
      <c r="DN844" s="502"/>
      <c r="DO844" s="502"/>
      <c r="DP844" s="503"/>
      <c r="DQ844" s="503"/>
      <c r="DR844" s="428"/>
      <c r="DS844" s="428"/>
      <c r="DT844" s="428"/>
    </row>
    <row r="845" spans="1:124" ht="12" customHeight="1" x14ac:dyDescent="0.25">
      <c r="A845" s="281" t="s">
        <v>894</v>
      </c>
      <c r="B845" s="281"/>
      <c r="C845" s="305">
        <f>C846+(C847*C$320)</f>
        <v>1187</v>
      </c>
      <c r="D845" s="305">
        <f>D846+(D847*D$320)</f>
        <v>1187</v>
      </c>
      <c r="E845" s="305">
        <f>E846+(E847*E$320)</f>
        <v>1190</v>
      </c>
      <c r="F845" s="305">
        <f>F846+(F847*F$320)</f>
        <v>1188</v>
      </c>
      <c r="G845" s="345">
        <f>F845</f>
        <v>1188</v>
      </c>
      <c r="H845" s="305">
        <f>H846+(H847*H$320)</f>
        <v>1198</v>
      </c>
      <c r="I845" s="305">
        <f>I846+(I847*I$320)</f>
        <v>1200</v>
      </c>
      <c r="J845" s="305">
        <f>J846+(J847*J$320)</f>
        <v>1200</v>
      </c>
      <c r="K845" s="305">
        <f>K846+(K847*K$320)</f>
        <v>1200</v>
      </c>
      <c r="L845" s="345">
        <f>K845</f>
        <v>1200</v>
      </c>
      <c r="M845" s="305">
        <f>M846+(M847*M$320)</f>
        <v>1200</v>
      </c>
      <c r="N845" s="305">
        <f>N846+(N847*N$320)</f>
        <v>1200</v>
      </c>
      <c r="O845" s="305">
        <f>O846+(O847*O$320)</f>
        <v>1200</v>
      </c>
      <c r="P845" s="305">
        <f>P846+(P847*P$320)</f>
        <v>1223</v>
      </c>
      <c r="Q845" s="345">
        <f>P845</f>
        <v>1223</v>
      </c>
      <c r="R845" s="305">
        <f>R846+(R847*R$320)</f>
        <v>1223</v>
      </c>
      <c r="S845" s="305">
        <f>S846+(S847*S$320)</f>
        <v>1223</v>
      </c>
      <c r="T845" s="305">
        <f>T846+(T847*T$320)</f>
        <v>1223</v>
      </c>
      <c r="U845" s="305">
        <f>U846+(U847*U$320)</f>
        <v>1223</v>
      </c>
      <c r="V845" s="345">
        <f>U845</f>
        <v>1223</v>
      </c>
      <c r="W845" s="305">
        <f>W846+(W847*W$320)</f>
        <v>1223</v>
      </c>
      <c r="X845" s="305">
        <f>X846+(X847*X$320)</f>
        <v>1223</v>
      </c>
      <c r="Y845" s="305">
        <f>Y846+(Y847*Y$320)</f>
        <v>1223</v>
      </c>
      <c r="Z845" s="305">
        <f>Z846+(Z847*Z$320)</f>
        <v>1208</v>
      </c>
      <c r="AA845" s="345">
        <f>Z845</f>
        <v>1208</v>
      </c>
      <c r="AB845" s="305">
        <f>AB846+(AB847*AB$320)</f>
        <v>1207</v>
      </c>
      <c r="AC845" s="305">
        <f>AC846+(AC847*AC$320)</f>
        <v>1200</v>
      </c>
      <c r="AD845" s="305">
        <f>AD846+(AD847*AD$320)</f>
        <v>1207</v>
      </c>
      <c r="AE845" s="331">
        <f>AE846+(AE847*AE$320)</f>
        <v>1210</v>
      </c>
      <c r="AF845" s="348">
        <f>AE845</f>
        <v>1210</v>
      </c>
      <c r="AG845" s="305">
        <f>AG846+(AG847*AG$320)</f>
        <v>1210</v>
      </c>
      <c r="AH845" s="305">
        <f>AH846+(AH847*AH$320)</f>
        <v>1210</v>
      </c>
      <c r="AI845" s="305">
        <f>AI846+(AI847*AI$320)</f>
        <v>1210</v>
      </c>
      <c r="AJ845" s="331">
        <f>AJ846+(AJ847*AJ$320)</f>
        <v>1210</v>
      </c>
      <c r="AK845" s="348">
        <f>AJ845</f>
        <v>1210</v>
      </c>
      <c r="AL845" s="305">
        <f>AL846+(AL847*AL$320)</f>
        <v>1182</v>
      </c>
      <c r="AM845" s="305">
        <f>AM846+(AM847*AM$320)</f>
        <v>1170</v>
      </c>
      <c r="AN845" s="305">
        <f>AN846+(AN847*AN$320)</f>
        <v>1153.3333333333333</v>
      </c>
      <c r="AO845" s="331">
        <f>AO846+(AO847*AO$320)</f>
        <v>1144.6666666666667</v>
      </c>
      <c r="AP845" s="568">
        <f>AO845</f>
        <v>1144.6666666666667</v>
      </c>
      <c r="AQ845" s="568">
        <f>AQ846+(AQ847*AQ$320)</f>
        <v>1138</v>
      </c>
      <c r="AR845" s="330">
        <f>AR846+(AR847*AR$320)</f>
        <v>1140</v>
      </c>
      <c r="AS845" s="330">
        <f>AS846+(AS847*AS$320)</f>
        <v>1140</v>
      </c>
      <c r="AT845" s="330">
        <f>AT846+(AT847*AT$320)</f>
        <v>1126.6666666666667</v>
      </c>
      <c r="AU845" s="1692">
        <f>AT845</f>
        <v>1126.6666666666667</v>
      </c>
      <c r="AV845" s="1912">
        <f>AV846+(AV847*AV$320)</f>
        <v>1108</v>
      </c>
      <c r="AW845" s="1839">
        <f>AW846+(AW847*AW$320)</f>
        <v>1100.3333333333335</v>
      </c>
      <c r="AX845" s="1839">
        <f>AX846+(AX847*AX$320)</f>
        <v>1096.3333333333335</v>
      </c>
      <c r="AY845" s="1906">
        <f>AY846+(AY847*AY$320)</f>
        <v>1069</v>
      </c>
      <c r="AZ845" s="1692">
        <f>AY845</f>
        <v>1069</v>
      </c>
      <c r="BA845" s="553">
        <f>BA846+(BA847*BA$320)</f>
        <v>1057</v>
      </c>
      <c r="BB845" s="551">
        <f>BB846+(BB847*BB$320)</f>
        <v>1043</v>
      </c>
      <c r="BC845" s="551">
        <f>BC846+(BC847*BC$320)</f>
        <v>1042</v>
      </c>
      <c r="BD845" s="1895">
        <f>BD846+(BD847*BD$320)</f>
        <v>942</v>
      </c>
      <c r="BE845" s="1906">
        <f>BD845</f>
        <v>942</v>
      </c>
      <c r="BF845" s="551">
        <f>BF846+(BF847*BF$320)</f>
        <v>973</v>
      </c>
      <c r="BG845" s="551">
        <f>BG846+(BG847*BG$320)</f>
        <v>971</v>
      </c>
      <c r="BH845" s="551">
        <f>BH846+(BH847*BH$320)</f>
        <v>955</v>
      </c>
      <c r="BI845" s="1895">
        <f>BI846+(BI847*BI$320)</f>
        <v>925</v>
      </c>
      <c r="BJ845" s="1906">
        <f>BI845</f>
        <v>925</v>
      </c>
      <c r="BK845" s="551">
        <f>BK846+(BK847*BK$320)</f>
        <v>904</v>
      </c>
      <c r="BL845" s="551">
        <f>BL846+(BL847*BL$320)</f>
        <v>891</v>
      </c>
      <c r="BM845" s="551">
        <f>BM846+(BM847*BM$320)</f>
        <v>893</v>
      </c>
      <c r="BN845" s="1895">
        <f>BN846+(BN847*BN$320)</f>
        <v>899</v>
      </c>
      <c r="BO845" s="1906">
        <f>BN845</f>
        <v>899</v>
      </c>
      <c r="BP845" s="551">
        <f>BP846+(BP847*BP$320)</f>
        <v>899</v>
      </c>
      <c r="BQ845" s="551">
        <f>BQ846+(BQ847*BQ$320)</f>
        <v>890</v>
      </c>
      <c r="BR845" s="551">
        <f>BR846+(BR847*BR$320)</f>
        <v>890</v>
      </c>
      <c r="BS845" s="551">
        <f>BS846+(BS847*BS$320)</f>
        <v>890</v>
      </c>
      <c r="BT845" s="3234">
        <f>BS845</f>
        <v>890</v>
      </c>
      <c r="BU845" s="3297">
        <f>BU846+(BU847*BU$320)</f>
        <v>890</v>
      </c>
      <c r="BV845" s="3297">
        <f>BV846+(BV847*BV$320)</f>
        <v>890</v>
      </c>
      <c r="BW845" s="3297">
        <f>BW846+(BW847*BW$320)</f>
        <v>890</v>
      </c>
      <c r="BX845" s="3297">
        <f>BX846+(BX847*BX$320)</f>
        <v>890</v>
      </c>
      <c r="BY845" s="3234">
        <f>BX845</f>
        <v>890</v>
      </c>
      <c r="BZ845" s="552">
        <f t="shared" ref="BZ845:CF845" si="1970">BZ846+(BZ847*BZ$320)</f>
        <v>890</v>
      </c>
      <c r="CA845" s="552">
        <f t="shared" si="1970"/>
        <v>890</v>
      </c>
      <c r="CB845" s="552">
        <f t="shared" si="1970"/>
        <v>890</v>
      </c>
      <c r="CC845" s="552">
        <f t="shared" si="1970"/>
        <v>890</v>
      </c>
      <c r="CD845" s="552">
        <f t="shared" si="1970"/>
        <v>890</v>
      </c>
      <c r="CE845" s="552">
        <f t="shared" si="1970"/>
        <v>890</v>
      </c>
      <c r="CF845" s="552">
        <f t="shared" si="1970"/>
        <v>890</v>
      </c>
      <c r="CG845" s="331"/>
      <c r="CH845" s="331"/>
      <c r="CI845" s="331"/>
      <c r="CJ845" s="331"/>
      <c r="CK845" s="331"/>
      <c r="CL845" s="520" t="str">
        <f t="shared" si="1954"/>
        <v>Positions</v>
      </c>
      <c r="CM845" s="330">
        <f t="shared" si="1955"/>
        <v>1188</v>
      </c>
      <c r="CN845" s="330">
        <f t="shared" si="1956"/>
        <v>1200</v>
      </c>
      <c r="CO845" s="330">
        <f t="shared" si="1957"/>
        <v>1223</v>
      </c>
      <c r="CP845" s="330">
        <f t="shared" si="1958"/>
        <v>1223</v>
      </c>
      <c r="CQ845" s="330">
        <f t="shared" si="1959"/>
        <v>1208</v>
      </c>
      <c r="CR845" s="330">
        <f t="shared" si="1960"/>
        <v>1210</v>
      </c>
      <c r="CS845" s="330">
        <f t="shared" si="1961"/>
        <v>1210</v>
      </c>
      <c r="CT845" s="330">
        <f t="shared" si="1962"/>
        <v>1144.6666666666667</v>
      </c>
      <c r="CU845" s="330">
        <f t="shared" si="1963"/>
        <v>1126.6666666666667</v>
      </c>
      <c r="CV845" s="330">
        <f t="shared" si="1964"/>
        <v>1069</v>
      </c>
      <c r="CW845" s="330">
        <f t="shared" si="1965"/>
        <v>942</v>
      </c>
      <c r="CX845" s="330">
        <f t="shared" si="1966"/>
        <v>925</v>
      </c>
      <c r="CY845" s="330">
        <f t="shared" si="1967"/>
        <v>899</v>
      </c>
      <c r="CZ845" s="330">
        <f t="shared" si="1968"/>
        <v>890</v>
      </c>
      <c r="DA845" s="330">
        <f t="shared" si="1969"/>
        <v>890</v>
      </c>
      <c r="DB845" s="330">
        <f t="shared" si="1969"/>
        <v>890</v>
      </c>
      <c r="DC845" s="1888">
        <f t="shared" si="1969"/>
        <v>890</v>
      </c>
      <c r="DD845" s="331"/>
      <c r="DE845" s="331"/>
      <c r="DF845" s="502"/>
      <c r="DG845" s="503"/>
      <c r="DH845" s="3297"/>
      <c r="DI845" s="3213"/>
      <c r="DJ845" s="502"/>
      <c r="DK845" s="503"/>
      <c r="DL845" s="502"/>
      <c r="DM845" s="502"/>
      <c r="DN845" s="502"/>
      <c r="DO845" s="502"/>
      <c r="DP845" s="503"/>
      <c r="DQ845" s="503"/>
      <c r="DR845" s="296"/>
      <c r="DS845" s="296"/>
      <c r="DT845" s="296"/>
    </row>
    <row r="846" spans="1:124" ht="12" customHeight="1" x14ac:dyDescent="0.25">
      <c r="A846" s="281" t="s">
        <v>585</v>
      </c>
      <c r="B846" s="281"/>
      <c r="C846" s="340">
        <v>1067</v>
      </c>
      <c r="D846" s="340">
        <v>1067</v>
      </c>
      <c r="E846" s="340">
        <v>1070</v>
      </c>
      <c r="F846" s="340">
        <v>1068</v>
      </c>
      <c r="G846" s="345">
        <v>1068</v>
      </c>
      <c r="H846" s="340">
        <v>1078</v>
      </c>
      <c r="I846" s="340">
        <v>1080</v>
      </c>
      <c r="J846" s="340">
        <v>1080</v>
      </c>
      <c r="K846" s="340">
        <v>1080</v>
      </c>
      <c r="L846" s="345">
        <v>1080</v>
      </c>
      <c r="M846" s="340">
        <v>1080</v>
      </c>
      <c r="N846" s="340">
        <v>1080</v>
      </c>
      <c r="O846" s="340">
        <v>1080</v>
      </c>
      <c r="P846" s="340">
        <v>1103</v>
      </c>
      <c r="Q846" s="345">
        <v>1103</v>
      </c>
      <c r="R846" s="340">
        <v>1103</v>
      </c>
      <c r="S846" s="340">
        <v>1103</v>
      </c>
      <c r="T846" s="340">
        <v>1103</v>
      </c>
      <c r="U846" s="340">
        <v>1103</v>
      </c>
      <c r="V846" s="345">
        <v>1103</v>
      </c>
      <c r="W846" s="340">
        <v>1103</v>
      </c>
      <c r="X846" s="340">
        <v>1103</v>
      </c>
      <c r="Y846" s="340">
        <v>1103</v>
      </c>
      <c r="Z846" s="340">
        <v>1100</v>
      </c>
      <c r="AA846" s="345">
        <v>1100</v>
      </c>
      <c r="AB846" s="339">
        <v>1099</v>
      </c>
      <c r="AC846" s="339">
        <v>1092</v>
      </c>
      <c r="AD846" s="339">
        <v>1099</v>
      </c>
      <c r="AE846" s="339">
        <v>1102</v>
      </c>
      <c r="AF846" s="348">
        <f>AE846</f>
        <v>1102</v>
      </c>
      <c r="AG846" s="331">
        <f>AE846</f>
        <v>1102</v>
      </c>
      <c r="AH846" s="331">
        <f t="shared" ref="AH846:AJ847" si="1971">AG846</f>
        <v>1102</v>
      </c>
      <c r="AI846" s="331">
        <f t="shared" si="1971"/>
        <v>1102</v>
      </c>
      <c r="AJ846" s="331">
        <f t="shared" si="1971"/>
        <v>1102</v>
      </c>
      <c r="AK846" s="348">
        <f>AJ846</f>
        <v>1102</v>
      </c>
      <c r="AL846" s="2858">
        <v>1074</v>
      </c>
      <c r="AM846" s="2858">
        <v>1068</v>
      </c>
      <c r="AN846" s="2858">
        <v>1063.3333333333333</v>
      </c>
      <c r="AO846" s="2858">
        <v>1054.6666666666667</v>
      </c>
      <c r="AP846" s="568">
        <f>AO846</f>
        <v>1054.6666666666667</v>
      </c>
      <c r="AQ846" s="2651">
        <v>1050</v>
      </c>
      <c r="AR846" s="2655">
        <v>1050</v>
      </c>
      <c r="AS846" s="2655">
        <v>1050</v>
      </c>
      <c r="AT846" s="2655">
        <v>1036.6666666666667</v>
      </c>
      <c r="AU846" s="1692">
        <f>AT846</f>
        <v>1036.6666666666667</v>
      </c>
      <c r="AV846" s="2660">
        <v>1018</v>
      </c>
      <c r="AW846" s="2661">
        <v>1010.3333333333334</v>
      </c>
      <c r="AX846" s="2661">
        <v>1006.3333333333334</v>
      </c>
      <c r="AY846" s="2662">
        <v>997</v>
      </c>
      <c r="AZ846" s="1692">
        <f>AY846</f>
        <v>997</v>
      </c>
      <c r="BA846" s="2660">
        <v>985</v>
      </c>
      <c r="BB846" s="2661">
        <v>971</v>
      </c>
      <c r="BC846" s="2661">
        <v>970</v>
      </c>
      <c r="BD846" s="2949">
        <v>870</v>
      </c>
      <c r="BE846" s="1906">
        <f>BD846</f>
        <v>870</v>
      </c>
      <c r="BF846" s="2971">
        <v>901</v>
      </c>
      <c r="BG846" s="2971">
        <v>899</v>
      </c>
      <c r="BH846" s="2971">
        <v>883</v>
      </c>
      <c r="BI846" s="2971">
        <v>853</v>
      </c>
      <c r="BJ846" s="1692">
        <f>BI846</f>
        <v>853</v>
      </c>
      <c r="BK846" s="2971">
        <v>832</v>
      </c>
      <c r="BL846" s="2971">
        <v>819</v>
      </c>
      <c r="BM846" s="2971">
        <v>821</v>
      </c>
      <c r="BN846" s="2949">
        <v>827</v>
      </c>
      <c r="BO846" s="1906">
        <f>BN846</f>
        <v>827</v>
      </c>
      <c r="BP846" s="2971">
        <v>827</v>
      </c>
      <c r="BQ846" s="2971">
        <v>818</v>
      </c>
      <c r="BR846" s="2855">
        <f>BQ846</f>
        <v>818</v>
      </c>
      <c r="BS846" s="2856">
        <f>BR846</f>
        <v>818</v>
      </c>
      <c r="BT846" s="3218">
        <f>BS846</f>
        <v>818</v>
      </c>
      <c r="BU846" s="3444">
        <f t="shared" ref="BU846:BX847" si="1972">BT846</f>
        <v>818</v>
      </c>
      <c r="BV846" s="3444">
        <f t="shared" si="1972"/>
        <v>818</v>
      </c>
      <c r="BW846" s="3444">
        <f t="shared" si="1972"/>
        <v>818</v>
      </c>
      <c r="BX846" s="3444">
        <f t="shared" si="1972"/>
        <v>818</v>
      </c>
      <c r="BY846" s="3234">
        <f>BX846</f>
        <v>818</v>
      </c>
      <c r="BZ846" s="2857">
        <f>BY846</f>
        <v>818</v>
      </c>
      <c r="CA846" s="2857">
        <f>BZ846</f>
        <v>818</v>
      </c>
      <c r="CB846" s="552">
        <f t="shared" ref="CB846:CF847" si="1973">CA846</f>
        <v>818</v>
      </c>
      <c r="CC846" s="552">
        <f t="shared" si="1973"/>
        <v>818</v>
      </c>
      <c r="CD846" s="552">
        <f t="shared" si="1973"/>
        <v>818</v>
      </c>
      <c r="CE846" s="552">
        <f t="shared" si="1973"/>
        <v>818</v>
      </c>
      <c r="CF846" s="552">
        <f t="shared" si="1973"/>
        <v>818</v>
      </c>
      <c r="CG846" s="331"/>
      <c r="CH846" s="331"/>
      <c r="CI846" s="331"/>
      <c r="CJ846" s="331"/>
      <c r="CK846" s="331"/>
      <c r="CL846" s="520" t="str">
        <f t="shared" si="1954"/>
        <v>Slots</v>
      </c>
      <c r="CM846" s="330">
        <f t="shared" si="1955"/>
        <v>1068</v>
      </c>
      <c r="CN846" s="330">
        <f t="shared" si="1956"/>
        <v>1080</v>
      </c>
      <c r="CO846" s="330">
        <f t="shared" si="1957"/>
        <v>1103</v>
      </c>
      <c r="CP846" s="330">
        <f t="shared" si="1958"/>
        <v>1103</v>
      </c>
      <c r="CQ846" s="330">
        <f t="shared" si="1959"/>
        <v>1100</v>
      </c>
      <c r="CR846" s="330">
        <f t="shared" si="1960"/>
        <v>1102</v>
      </c>
      <c r="CS846" s="330">
        <f t="shared" si="1961"/>
        <v>1102</v>
      </c>
      <c r="CT846" s="330">
        <f t="shared" si="1962"/>
        <v>1054.6666666666667</v>
      </c>
      <c r="CU846" s="330">
        <f t="shared" si="1963"/>
        <v>1036.6666666666667</v>
      </c>
      <c r="CV846" s="330">
        <f t="shared" si="1964"/>
        <v>997</v>
      </c>
      <c r="CW846" s="330">
        <f t="shared" si="1965"/>
        <v>870</v>
      </c>
      <c r="CX846" s="330">
        <f t="shared" si="1966"/>
        <v>853</v>
      </c>
      <c r="CY846" s="330">
        <f t="shared" si="1967"/>
        <v>827</v>
      </c>
      <c r="CZ846" s="330">
        <f t="shared" si="1968"/>
        <v>818</v>
      </c>
      <c r="DA846" s="330">
        <f t="shared" si="1969"/>
        <v>818</v>
      </c>
      <c r="DB846" s="330">
        <f t="shared" si="1969"/>
        <v>818</v>
      </c>
      <c r="DC846" s="1888">
        <f t="shared" si="1969"/>
        <v>818</v>
      </c>
      <c r="DD846" s="331"/>
      <c r="DE846" s="331"/>
      <c r="DF846" s="502"/>
      <c r="DG846" s="503"/>
      <c r="DH846" s="3297"/>
      <c r="DI846" s="3213"/>
      <c r="DJ846" s="502"/>
      <c r="DK846" s="503"/>
      <c r="DL846" s="502"/>
      <c r="DM846" s="502"/>
      <c r="DN846" s="502"/>
      <c r="DO846" s="502"/>
      <c r="DP846" s="503"/>
      <c r="DQ846" s="503"/>
      <c r="DR846" s="296"/>
      <c r="DS846" s="296"/>
      <c r="DT846" s="296"/>
    </row>
    <row r="847" spans="1:124" ht="12" customHeight="1" x14ac:dyDescent="0.25">
      <c r="A847" s="281" t="s">
        <v>584</v>
      </c>
      <c r="B847" s="281"/>
      <c r="C847" s="340">
        <v>20</v>
      </c>
      <c r="D847" s="340">
        <v>20</v>
      </c>
      <c r="E847" s="340">
        <v>20</v>
      </c>
      <c r="F847" s="340">
        <v>20</v>
      </c>
      <c r="G847" s="345">
        <v>20</v>
      </c>
      <c r="H847" s="340">
        <v>20</v>
      </c>
      <c r="I847" s="340">
        <v>20</v>
      </c>
      <c r="J847" s="340">
        <v>20</v>
      </c>
      <c r="K847" s="340">
        <v>20</v>
      </c>
      <c r="L847" s="345">
        <v>20</v>
      </c>
      <c r="M847" s="340">
        <v>20</v>
      </c>
      <c r="N847" s="340">
        <v>20</v>
      </c>
      <c r="O847" s="340">
        <v>20</v>
      </c>
      <c r="P847" s="340">
        <v>20</v>
      </c>
      <c r="Q847" s="345">
        <v>20</v>
      </c>
      <c r="R847" s="340">
        <v>20</v>
      </c>
      <c r="S847" s="340">
        <v>20</v>
      </c>
      <c r="T847" s="340">
        <v>20</v>
      </c>
      <c r="U847" s="340">
        <v>20</v>
      </c>
      <c r="V847" s="345">
        <v>20</v>
      </c>
      <c r="W847" s="340">
        <v>20</v>
      </c>
      <c r="X847" s="340">
        <v>20</v>
      </c>
      <c r="Y847" s="340">
        <v>20</v>
      </c>
      <c r="Z847" s="340">
        <v>18</v>
      </c>
      <c r="AA847" s="345">
        <v>18</v>
      </c>
      <c r="AB847" s="339">
        <v>18</v>
      </c>
      <c r="AC847" s="339">
        <v>18</v>
      </c>
      <c r="AD847" s="339">
        <v>18</v>
      </c>
      <c r="AE847" s="339">
        <v>18</v>
      </c>
      <c r="AF847" s="348">
        <f>AE847</f>
        <v>18</v>
      </c>
      <c r="AG847" s="331">
        <f>AE847</f>
        <v>18</v>
      </c>
      <c r="AH847" s="331">
        <f t="shared" si="1971"/>
        <v>18</v>
      </c>
      <c r="AI847" s="331">
        <f t="shared" si="1971"/>
        <v>18</v>
      </c>
      <c r="AJ847" s="331">
        <f t="shared" si="1971"/>
        <v>18</v>
      </c>
      <c r="AK847" s="348">
        <f>AJ847</f>
        <v>18</v>
      </c>
      <c r="AL847" s="2858">
        <v>18</v>
      </c>
      <c r="AM847" s="2858">
        <v>17</v>
      </c>
      <c r="AN847" s="2858">
        <v>15</v>
      </c>
      <c r="AO847" s="2858">
        <v>15</v>
      </c>
      <c r="AP847" s="568">
        <f>AO847</f>
        <v>15</v>
      </c>
      <c r="AQ847" s="2651">
        <v>14.666666666666666</v>
      </c>
      <c r="AR847" s="2655">
        <v>15</v>
      </c>
      <c r="AS847" s="2655">
        <v>15</v>
      </c>
      <c r="AT847" s="2655">
        <v>15</v>
      </c>
      <c r="AU847" s="1692">
        <f>AT847</f>
        <v>15</v>
      </c>
      <c r="AV847" s="2660">
        <v>15</v>
      </c>
      <c r="AW847" s="2661">
        <v>15</v>
      </c>
      <c r="AX847" s="2661">
        <v>15</v>
      </c>
      <c r="AY847" s="2662">
        <v>12</v>
      </c>
      <c r="AZ847" s="1692">
        <f>AY847</f>
        <v>12</v>
      </c>
      <c r="BA847" s="2660">
        <v>12</v>
      </c>
      <c r="BB847" s="2661">
        <v>12</v>
      </c>
      <c r="BC847" s="2661">
        <v>12</v>
      </c>
      <c r="BD847" s="2949">
        <v>12</v>
      </c>
      <c r="BE847" s="1906">
        <f>BD847</f>
        <v>12</v>
      </c>
      <c r="BF847" s="2971">
        <v>12</v>
      </c>
      <c r="BG847" s="2971">
        <v>12</v>
      </c>
      <c r="BH847" s="2971">
        <v>12</v>
      </c>
      <c r="BI847" s="2971">
        <v>12</v>
      </c>
      <c r="BJ847" s="1692">
        <f>BI847</f>
        <v>12</v>
      </c>
      <c r="BK847" s="2971">
        <v>12</v>
      </c>
      <c r="BL847" s="2971">
        <v>12</v>
      </c>
      <c r="BM847" s="2971">
        <v>12</v>
      </c>
      <c r="BN847" s="2949">
        <v>12</v>
      </c>
      <c r="BO847" s="1906">
        <f>BN847</f>
        <v>12</v>
      </c>
      <c r="BP847" s="2971">
        <v>12</v>
      </c>
      <c r="BQ847" s="2971">
        <v>12</v>
      </c>
      <c r="BR847" s="2855">
        <f>BQ847</f>
        <v>12</v>
      </c>
      <c r="BS847" s="2856">
        <f>BR847</f>
        <v>12</v>
      </c>
      <c r="BT847" s="3218">
        <f>BS847</f>
        <v>12</v>
      </c>
      <c r="BU847" s="3444">
        <f t="shared" si="1972"/>
        <v>12</v>
      </c>
      <c r="BV847" s="3444">
        <f t="shared" si="1972"/>
        <v>12</v>
      </c>
      <c r="BW847" s="3444">
        <f t="shared" si="1972"/>
        <v>12</v>
      </c>
      <c r="BX847" s="3444">
        <f t="shared" si="1972"/>
        <v>12</v>
      </c>
      <c r="BY847" s="3234">
        <f>BX847</f>
        <v>12</v>
      </c>
      <c r="BZ847" s="2857">
        <f>BY847</f>
        <v>12</v>
      </c>
      <c r="CA847" s="2857">
        <f>BZ847</f>
        <v>12</v>
      </c>
      <c r="CB847" s="552">
        <f t="shared" si="1973"/>
        <v>12</v>
      </c>
      <c r="CC847" s="552">
        <f t="shared" si="1973"/>
        <v>12</v>
      </c>
      <c r="CD847" s="552">
        <f t="shared" si="1973"/>
        <v>12</v>
      </c>
      <c r="CE847" s="552">
        <f t="shared" si="1973"/>
        <v>12</v>
      </c>
      <c r="CF847" s="552">
        <f t="shared" si="1973"/>
        <v>12</v>
      </c>
      <c r="CG847" s="331"/>
      <c r="CH847" s="331"/>
      <c r="CI847" s="331"/>
      <c r="CJ847" s="331"/>
      <c r="CK847" s="331"/>
      <c r="CL847" s="520" t="str">
        <f t="shared" si="1954"/>
        <v>Tables</v>
      </c>
      <c r="CM847" s="330">
        <f t="shared" si="1955"/>
        <v>20</v>
      </c>
      <c r="CN847" s="330">
        <f t="shared" si="1956"/>
        <v>20</v>
      </c>
      <c r="CO847" s="330">
        <f t="shared" si="1957"/>
        <v>20</v>
      </c>
      <c r="CP847" s="330">
        <f t="shared" si="1958"/>
        <v>20</v>
      </c>
      <c r="CQ847" s="330">
        <f t="shared" si="1959"/>
        <v>18</v>
      </c>
      <c r="CR847" s="330">
        <f t="shared" si="1960"/>
        <v>18</v>
      </c>
      <c r="CS847" s="330">
        <f t="shared" si="1961"/>
        <v>18</v>
      </c>
      <c r="CT847" s="330">
        <f t="shared" si="1962"/>
        <v>15</v>
      </c>
      <c r="CU847" s="330">
        <f t="shared" si="1963"/>
        <v>15</v>
      </c>
      <c r="CV847" s="330">
        <f t="shared" si="1964"/>
        <v>12</v>
      </c>
      <c r="CW847" s="330">
        <f t="shared" si="1965"/>
        <v>12</v>
      </c>
      <c r="CX847" s="330">
        <f t="shared" si="1966"/>
        <v>12</v>
      </c>
      <c r="CY847" s="330">
        <f t="shared" si="1967"/>
        <v>12</v>
      </c>
      <c r="CZ847" s="330">
        <f t="shared" si="1968"/>
        <v>12</v>
      </c>
      <c r="DA847" s="330">
        <f t="shared" si="1969"/>
        <v>12</v>
      </c>
      <c r="DB847" s="330">
        <f t="shared" si="1969"/>
        <v>12</v>
      </c>
      <c r="DC847" s="1888">
        <f t="shared" si="1969"/>
        <v>12</v>
      </c>
      <c r="DD847" s="331"/>
      <c r="DE847" s="331"/>
      <c r="DF847" s="502"/>
      <c r="DG847" s="503"/>
      <c r="DH847" s="3297"/>
      <c r="DI847" s="3213"/>
      <c r="DJ847" s="502"/>
      <c r="DK847" s="503"/>
      <c r="DL847" s="502"/>
      <c r="DM847" s="502"/>
      <c r="DN847" s="502"/>
      <c r="DO847" s="502"/>
      <c r="DP847" s="503"/>
      <c r="DQ847" s="503"/>
      <c r="DR847" s="296"/>
      <c r="DS847" s="296"/>
      <c r="DT847" s="296"/>
    </row>
    <row r="848" spans="1:124" ht="12" customHeight="1" x14ac:dyDescent="0.25">
      <c r="A848" s="511" t="s">
        <v>2111</v>
      </c>
      <c r="B848" s="281"/>
      <c r="C848" s="340">
        <v>1187.5</v>
      </c>
      <c r="D848" s="305">
        <f>AVERAGE(C845:D845)</f>
        <v>1187</v>
      </c>
      <c r="E848" s="305">
        <f>AVERAGE(D845:E845)</f>
        <v>1188.5</v>
      </c>
      <c r="F848" s="305">
        <f>AVERAGE(E845:F845)</f>
        <v>1189</v>
      </c>
      <c r="G848" s="345">
        <f>AVERAGE(C848:F848)</f>
        <v>1188</v>
      </c>
      <c r="H848" s="305">
        <f>AVERAGE(G845:H845)</f>
        <v>1193</v>
      </c>
      <c r="I848" s="305">
        <f>AVERAGE(H845:I845)</f>
        <v>1199</v>
      </c>
      <c r="J848" s="305">
        <f>AVERAGE(I845:J845)</f>
        <v>1200</v>
      </c>
      <c r="K848" s="305">
        <f>AVERAGE(J845:K845)</f>
        <v>1200</v>
      </c>
      <c r="L848" s="345">
        <f>AVERAGE(H848:K848)</f>
        <v>1198</v>
      </c>
      <c r="M848" s="305">
        <f>AVERAGE(L845:M845)</f>
        <v>1200</v>
      </c>
      <c r="N848" s="305">
        <f>AVERAGE(M845:N845)</f>
        <v>1200</v>
      </c>
      <c r="O848" s="305">
        <f>AVERAGE(N845:O845)</f>
        <v>1200</v>
      </c>
      <c r="P848" s="305">
        <f>AVERAGE(O845:P845)</f>
        <v>1211.5</v>
      </c>
      <c r="Q848" s="345">
        <f>AVERAGE(M848:P848)</f>
        <v>1202.875</v>
      </c>
      <c r="R848" s="305">
        <f>AVERAGE(Q845:R845)</f>
        <v>1223</v>
      </c>
      <c r="S848" s="305">
        <f>AVERAGE(R845:S845)</f>
        <v>1223</v>
      </c>
      <c r="T848" s="305">
        <f>AVERAGE(S845:T845)</f>
        <v>1223</v>
      </c>
      <c r="U848" s="305">
        <f>AVERAGE(T845:U845)</f>
        <v>1223</v>
      </c>
      <c r="V848" s="345">
        <f>AVERAGE(R848:U848)</f>
        <v>1223</v>
      </c>
      <c r="W848" s="305">
        <f>AVERAGE(V845:W845)</f>
        <v>1223</v>
      </c>
      <c r="X848" s="305">
        <f>AVERAGE(W845:X845)</f>
        <v>1223</v>
      </c>
      <c r="Y848" s="305">
        <f>AVERAGE(X845:Y845)</f>
        <v>1223</v>
      </c>
      <c r="Z848" s="305">
        <f>AVERAGE(Y845:Z845)</f>
        <v>1215.5</v>
      </c>
      <c r="AA848" s="345">
        <f>AVERAGE(W848:Z848)</f>
        <v>1221.125</v>
      </c>
      <c r="AB848" s="305">
        <f>AVERAGE(AA845:AB845)</f>
        <v>1207.5</v>
      </c>
      <c r="AC848" s="305">
        <f>AVERAGE(AB845:AC845)</f>
        <v>1203.5</v>
      </c>
      <c r="AD848" s="305">
        <f>AVERAGE(AC845:AD845)</f>
        <v>1203.5</v>
      </c>
      <c r="AE848" s="331">
        <f>AVERAGE(AD845:AE845)</f>
        <v>1208.5</v>
      </c>
      <c r="AF848" s="348">
        <f>AVERAGE(AB848:AE848)</f>
        <v>1205.75</v>
      </c>
      <c r="AG848" s="305">
        <f>AVERAGE(AF845:AG845)</f>
        <v>1210</v>
      </c>
      <c r="AH848" s="305">
        <f>AVERAGE(AG845:AH845)</f>
        <v>1210</v>
      </c>
      <c r="AI848" s="305">
        <f>AVERAGE(AH845:AI845)</f>
        <v>1210</v>
      </c>
      <c r="AJ848" s="331">
        <f>AVERAGE(AI845:AJ845)</f>
        <v>1210</v>
      </c>
      <c r="AK848" s="348">
        <f>AVERAGE(AG848:AJ848)</f>
        <v>1210</v>
      </c>
      <c r="AL848" s="305">
        <f>AVERAGE(AK845:AL845)</f>
        <v>1196</v>
      </c>
      <c r="AM848" s="305">
        <f>AVERAGE(AL845:AM845)</f>
        <v>1176</v>
      </c>
      <c r="AN848" s="305">
        <f>AVERAGE(AM845:AN845)</f>
        <v>1161.6666666666665</v>
      </c>
      <c r="AO848" s="331">
        <f>AVERAGE(AN845:AO845)</f>
        <v>1149</v>
      </c>
      <c r="AP848" s="568">
        <f>AVERAGE(AL848:AO848)</f>
        <v>1170.6666666666665</v>
      </c>
      <c r="AQ848" s="568">
        <f>AVERAGE(AP845:AQ845)</f>
        <v>1141.3333333333335</v>
      </c>
      <c r="AR848" s="330">
        <f>AVERAGE(AQ845:AR845)</f>
        <v>1139</v>
      </c>
      <c r="AS848" s="330">
        <f>AVERAGE(AR845:AS845)</f>
        <v>1140</v>
      </c>
      <c r="AT848" s="330">
        <f>AVERAGE(AS845:AT845)</f>
        <v>1133.3333333333335</v>
      </c>
      <c r="AU848" s="1692">
        <f>AVERAGE(AQ848:AT848)</f>
        <v>1138.4166666666667</v>
      </c>
      <c r="AV848" s="1912">
        <f>AVERAGE(AU845:AV845)</f>
        <v>1117.3333333333335</v>
      </c>
      <c r="AW848" s="1839">
        <f>AVERAGE(AV845:AW845)</f>
        <v>1104.1666666666667</v>
      </c>
      <c r="AX848" s="1839">
        <f>AVERAGE(AW845:AX845)</f>
        <v>1098.3333333333335</v>
      </c>
      <c r="AY848" s="1906">
        <f>AVERAGE(AX845:AY845)</f>
        <v>1082.6666666666667</v>
      </c>
      <c r="AZ848" s="1692">
        <f>AVERAGE(AV848:AY848)</f>
        <v>1100.625</v>
      </c>
      <c r="BA848" s="553">
        <f>AVERAGE(AZ845:BA845)</f>
        <v>1063</v>
      </c>
      <c r="BB848" s="551">
        <f>AVERAGE(BA845:BB845)</f>
        <v>1050</v>
      </c>
      <c r="BC848" s="551">
        <f>AVERAGE(BB845:BC845)</f>
        <v>1042.5</v>
      </c>
      <c r="BD848" s="1895">
        <f>AVERAGE(BC845:BD845)</f>
        <v>992</v>
      </c>
      <c r="BE848" s="1906">
        <f>AVERAGE(BA848:BD848)</f>
        <v>1036.875</v>
      </c>
      <c r="BF848" s="551">
        <f>AVERAGE(BE845:BF845)</f>
        <v>957.5</v>
      </c>
      <c r="BG848" s="551">
        <f>AVERAGE(BF845:BG845)</f>
        <v>972</v>
      </c>
      <c r="BH848" s="551">
        <f>AVERAGE(BG845:BH845)</f>
        <v>963</v>
      </c>
      <c r="BI848" s="1895">
        <f>AVERAGE(BH845:BI845)</f>
        <v>940</v>
      </c>
      <c r="BJ848" s="1906">
        <f>AVERAGE(BF848:BI848)</f>
        <v>958.125</v>
      </c>
      <c r="BK848" s="551">
        <f>AVERAGE(BJ845:BK845)</f>
        <v>914.5</v>
      </c>
      <c r="BL848" s="551">
        <f>AVERAGE(BK845:BL845)</f>
        <v>897.5</v>
      </c>
      <c r="BM848" s="551">
        <f>AVERAGE(BL845:BM845)</f>
        <v>892</v>
      </c>
      <c r="BN848" s="1895">
        <f>AVERAGE(BM845:BN845)</f>
        <v>896</v>
      </c>
      <c r="BO848" s="1906">
        <f>AVERAGE(BK848:BN848)</f>
        <v>900</v>
      </c>
      <c r="BP848" s="551">
        <f>AVERAGE(BO845:BP845)</f>
        <v>899</v>
      </c>
      <c r="BQ848" s="551">
        <f>AVERAGE(BP845:BQ845)</f>
        <v>894.5</v>
      </c>
      <c r="BR848" s="551">
        <f>AVERAGE(BQ845:BR845)</f>
        <v>890</v>
      </c>
      <c r="BS848" s="551">
        <f>AVERAGE(BR845:BS845)</f>
        <v>890</v>
      </c>
      <c r="BT848" s="3234">
        <f>AVERAGE(BP848:BS848)</f>
        <v>893.375</v>
      </c>
      <c r="BU848" s="3297">
        <f>AVERAGE(BT845:BU845)</f>
        <v>890</v>
      </c>
      <c r="BV848" s="3297">
        <f>AVERAGE(BU845:BV845)</f>
        <v>890</v>
      </c>
      <c r="BW848" s="3297">
        <f>AVERAGE(BV845:BW845)</f>
        <v>890</v>
      </c>
      <c r="BX848" s="3297">
        <f>AVERAGE(BW845:BX845)</f>
        <v>890</v>
      </c>
      <c r="BY848" s="3234">
        <f>AVERAGE(BU848:BX848)</f>
        <v>890</v>
      </c>
      <c r="BZ848" s="552">
        <f t="shared" ref="BZ848:CF848" si="1974">AVERAGE(BY845:BZ845)</f>
        <v>890</v>
      </c>
      <c r="CA848" s="552">
        <f t="shared" si="1974"/>
        <v>890</v>
      </c>
      <c r="CB848" s="552">
        <f t="shared" si="1974"/>
        <v>890</v>
      </c>
      <c r="CC848" s="552">
        <f t="shared" si="1974"/>
        <v>890</v>
      </c>
      <c r="CD848" s="552">
        <f t="shared" si="1974"/>
        <v>890</v>
      </c>
      <c r="CE848" s="552">
        <f t="shared" si="1974"/>
        <v>890</v>
      </c>
      <c r="CF848" s="552">
        <f t="shared" si="1974"/>
        <v>890</v>
      </c>
      <c r="CG848" s="331"/>
      <c r="CH848" s="331"/>
      <c r="CI848" s="331"/>
      <c r="CJ848" s="331"/>
      <c r="CK848" s="331"/>
      <c r="CL848" s="1118" t="str">
        <f t="shared" si="1954"/>
        <v>Average Positions</v>
      </c>
      <c r="CM848" s="330">
        <f t="shared" si="1955"/>
        <v>1188</v>
      </c>
      <c r="CN848" s="330">
        <f t="shared" si="1956"/>
        <v>1198</v>
      </c>
      <c r="CO848" s="330">
        <f t="shared" si="1957"/>
        <v>1202.875</v>
      </c>
      <c r="CP848" s="330">
        <f t="shared" si="1958"/>
        <v>1223</v>
      </c>
      <c r="CQ848" s="330">
        <f t="shared" si="1959"/>
        <v>1221.125</v>
      </c>
      <c r="CR848" s="330">
        <f t="shared" si="1960"/>
        <v>1205.75</v>
      </c>
      <c r="CS848" s="330">
        <f t="shared" si="1961"/>
        <v>1210</v>
      </c>
      <c r="CT848" s="330">
        <f t="shared" si="1962"/>
        <v>1170.6666666666665</v>
      </c>
      <c r="CU848" s="330">
        <f t="shared" si="1963"/>
        <v>1138.4166666666667</v>
      </c>
      <c r="CV848" s="330">
        <f t="shared" si="1964"/>
        <v>1100.625</v>
      </c>
      <c r="CW848" s="330">
        <f t="shared" si="1965"/>
        <v>1036.875</v>
      </c>
      <c r="CX848" s="330">
        <f t="shared" si="1966"/>
        <v>958.125</v>
      </c>
      <c r="CY848" s="330">
        <f t="shared" si="1967"/>
        <v>900</v>
      </c>
      <c r="CZ848" s="330">
        <f t="shared" si="1968"/>
        <v>893.375</v>
      </c>
      <c r="DA848" s="330">
        <f t="shared" si="1969"/>
        <v>890</v>
      </c>
      <c r="DB848" s="330">
        <f t="shared" si="1969"/>
        <v>890</v>
      </c>
      <c r="DC848" s="1888">
        <f t="shared" si="1969"/>
        <v>890</v>
      </c>
      <c r="DD848" s="331"/>
      <c r="DE848" s="331"/>
      <c r="DF848" s="502"/>
      <c r="DG848" s="503"/>
      <c r="DH848" s="3297"/>
      <c r="DI848" s="3213"/>
      <c r="DJ848" s="502"/>
      <c r="DK848" s="503"/>
      <c r="DL848" s="502"/>
      <c r="DM848" s="502"/>
      <c r="DN848" s="502"/>
      <c r="DO848" s="502"/>
      <c r="DP848" s="503"/>
      <c r="DQ848" s="503"/>
      <c r="DR848" s="296"/>
      <c r="DS848" s="296"/>
      <c r="DT848" s="296"/>
    </row>
    <row r="849" spans="1:124" ht="12" customHeight="1" x14ac:dyDescent="0.25">
      <c r="A849" s="557" t="s">
        <v>901</v>
      </c>
      <c r="B849" s="558"/>
      <c r="C849" s="318">
        <f t="shared" ref="C849:AH849" si="1975">C855*1000000/C848/C$5</f>
        <v>251.57663389242336</v>
      </c>
      <c r="D849" s="318">
        <f t="shared" si="1975"/>
        <v>239.78632992954815</v>
      </c>
      <c r="E849" s="318">
        <f t="shared" si="1975"/>
        <v>254.0103528378848</v>
      </c>
      <c r="F849" s="318">
        <f t="shared" si="1975"/>
        <v>240.49255859874941</v>
      </c>
      <c r="G849" s="559">
        <f t="shared" si="1975"/>
        <v>246.47200603484757</v>
      </c>
      <c r="H849" s="318">
        <f t="shared" si="1975"/>
        <v>263.63043680730186</v>
      </c>
      <c r="I849" s="318">
        <f t="shared" si="1975"/>
        <v>256.82574306427517</v>
      </c>
      <c r="J849" s="318">
        <f t="shared" si="1975"/>
        <v>269.54710144927537</v>
      </c>
      <c r="K849" s="318">
        <f t="shared" si="1975"/>
        <v>249.14855072463769</v>
      </c>
      <c r="L849" s="559">
        <f t="shared" si="1975"/>
        <v>259.77542479474926</v>
      </c>
      <c r="M849" s="318">
        <f t="shared" si="1975"/>
        <v>287.12037037037032</v>
      </c>
      <c r="N849" s="318">
        <f t="shared" si="1975"/>
        <v>272.8937728937729</v>
      </c>
      <c r="O849" s="318">
        <f t="shared" si="1975"/>
        <v>280.036231884058</v>
      </c>
      <c r="P849" s="318">
        <f t="shared" si="1975"/>
        <v>268.92641174253987</v>
      </c>
      <c r="Q849" s="559">
        <f t="shared" si="1975"/>
        <v>277.18750311397207</v>
      </c>
      <c r="R849" s="318">
        <f t="shared" si="1975"/>
        <v>294.12192241300988</v>
      </c>
      <c r="S849" s="318">
        <f t="shared" si="1975"/>
        <v>288.47277007538656</v>
      </c>
      <c r="T849" s="318">
        <f t="shared" si="1975"/>
        <v>282.99975114650363</v>
      </c>
      <c r="U849" s="318">
        <f t="shared" si="1975"/>
        <v>261.16285683813857</v>
      </c>
      <c r="V849" s="559">
        <f t="shared" si="1975"/>
        <v>281.602616516762</v>
      </c>
      <c r="W849" s="318">
        <f t="shared" si="1975"/>
        <v>217.63273521245719</v>
      </c>
      <c r="X849" s="318">
        <f t="shared" si="1975"/>
        <v>211.44186965936763</v>
      </c>
      <c r="Y849" s="318">
        <f t="shared" si="1975"/>
        <v>208.52145472643892</v>
      </c>
      <c r="Z849" s="318">
        <f t="shared" si="1975"/>
        <v>180.95970525638043</v>
      </c>
      <c r="AA849" s="559">
        <f t="shared" si="1975"/>
        <v>204.61960914613923</v>
      </c>
      <c r="AB849" s="318">
        <f t="shared" si="1975"/>
        <v>201.51828847481022</v>
      </c>
      <c r="AC849" s="318">
        <f t="shared" si="1975"/>
        <v>200.87930349666951</v>
      </c>
      <c r="AD849" s="318">
        <f t="shared" si="1975"/>
        <v>193.27685554812956</v>
      </c>
      <c r="AE849" s="560">
        <f t="shared" si="1975"/>
        <v>169.99154539403861</v>
      </c>
      <c r="AF849" s="561">
        <f t="shared" si="1975"/>
        <v>191.32069791154825</v>
      </c>
      <c r="AG849" s="318">
        <f t="shared" si="1975"/>
        <v>185.4912764003673</v>
      </c>
      <c r="AH849" s="318">
        <f t="shared" si="1975"/>
        <v>177.09563164108619</v>
      </c>
      <c r="AI849" s="318">
        <f t="shared" ref="AI849:CA849" si="1976">AI855*1000000/AI848/AI$5</f>
        <v>176.96730147323032</v>
      </c>
      <c r="AJ849" s="560">
        <f t="shared" si="1976"/>
        <v>160.85159899389149</v>
      </c>
      <c r="AK849" s="561">
        <f t="shared" si="1976"/>
        <v>175.03905807766333</v>
      </c>
      <c r="AL849" s="318">
        <f t="shared" si="1976"/>
        <v>176.50501672240804</v>
      </c>
      <c r="AM849" s="318">
        <f t="shared" si="1976"/>
        <v>179.34701353068695</v>
      </c>
      <c r="AN849" s="318">
        <f t="shared" si="1976"/>
        <v>168.20847108726844</v>
      </c>
      <c r="AO849" s="560">
        <f t="shared" si="1976"/>
        <v>160.07303136943278</v>
      </c>
      <c r="AP849" s="562">
        <f t="shared" si="1976"/>
        <v>171.05345274128624</v>
      </c>
      <c r="AQ849" s="562">
        <f t="shared" si="1976"/>
        <v>173.65461641162574</v>
      </c>
      <c r="AR849" s="560">
        <f t="shared" si="1976"/>
        <v>173.70162760856348</v>
      </c>
      <c r="AS849" s="560">
        <f t="shared" si="1976"/>
        <v>171.81540808543096</v>
      </c>
      <c r="AT849" s="560">
        <f t="shared" si="1976"/>
        <v>162.18989769820965</v>
      </c>
      <c r="AU849" s="1688">
        <f t="shared" si="1976"/>
        <v>170.33292092722971</v>
      </c>
      <c r="AV849" s="1732">
        <f t="shared" si="1976"/>
        <v>174.40260540970564</v>
      </c>
      <c r="AW849" s="1766">
        <f t="shared" si="1976"/>
        <v>159.81982666390212</v>
      </c>
      <c r="AX849" s="1766">
        <f t="shared" si="1976"/>
        <v>158.71145015504385</v>
      </c>
      <c r="AY849" s="1901">
        <f t="shared" si="1976"/>
        <v>146.87315940244164</v>
      </c>
      <c r="AZ849" s="1688">
        <f t="shared" si="1976"/>
        <v>159.96664908636905</v>
      </c>
      <c r="BA849" s="562">
        <f t="shared" si="1976"/>
        <v>153.33308247099404</v>
      </c>
      <c r="BB849" s="560">
        <f t="shared" si="1976"/>
        <v>151.53714285714284</v>
      </c>
      <c r="BC849" s="560">
        <f t="shared" si="1976"/>
        <v>148.22196851214682</v>
      </c>
      <c r="BD849" s="1878">
        <f t="shared" si="1976"/>
        <v>144.43243776297336</v>
      </c>
      <c r="BE849" s="1901">
        <f t="shared" si="1976"/>
        <v>149.41154780483376</v>
      </c>
      <c r="BF849" s="560">
        <f>BF855*1000000/BF848/BF$5</f>
        <v>167.63624020887727</v>
      </c>
      <c r="BG849" s="560">
        <f>BG855*1000000/BG848/BG$5</f>
        <v>167.0020689187356</v>
      </c>
      <c r="BH849" s="560">
        <f>BH855*1000000/BH848/BH$5</f>
        <v>153.55338841482688</v>
      </c>
      <c r="BI849" s="1878">
        <f>BI855*1000000/BI848/BI$5</f>
        <v>135.94198658649398</v>
      </c>
      <c r="BJ849" s="1901">
        <f t="shared" si="1976"/>
        <v>156.06451384607135</v>
      </c>
      <c r="BK849" s="560">
        <f t="shared" si="1976"/>
        <v>148.71607015182738</v>
      </c>
      <c r="BL849" s="560">
        <f>BL855*1000000/BL848/BL$5</f>
        <v>155.49909700327527</v>
      </c>
      <c r="BM849" s="560">
        <f t="shared" ref="BM849:BU849" si="1977">BM855*1000000/BM848/BM$5</f>
        <v>157.34894716318971</v>
      </c>
      <c r="BN849" s="1878">
        <f t="shared" si="1977"/>
        <v>136.14718798524845</v>
      </c>
      <c r="BO849" s="1901">
        <f t="shared" si="1977"/>
        <v>149.3978324225865</v>
      </c>
      <c r="BP849" s="560">
        <f t="shared" si="1977"/>
        <v>153.12808058336427</v>
      </c>
      <c r="BQ849" s="560">
        <f t="shared" si="1977"/>
        <v>144.13045534677732</v>
      </c>
      <c r="BR849" s="560">
        <f t="shared" si="1977"/>
        <v>152.3000854909624</v>
      </c>
      <c r="BS849" s="560">
        <f t="shared" si="1977"/>
        <v>138.94215925744993</v>
      </c>
      <c r="BT849" s="2589">
        <f t="shared" si="1977"/>
        <v>147.10616773778059</v>
      </c>
      <c r="BU849" s="2588">
        <f t="shared" si="1977"/>
        <v>144.21327091136081</v>
      </c>
      <c r="BV849" s="2588">
        <f>BV855*1000000/BV848/BV$5</f>
        <v>150.65357303370789</v>
      </c>
      <c r="BW849" s="2588">
        <f>BW855*1000000/BW848/BW$5</f>
        <v>153.82308634587199</v>
      </c>
      <c r="BX849" s="2588">
        <f>BX855*1000000/BX848/BX$5</f>
        <v>140.33158085002441</v>
      </c>
      <c r="BY849" s="2589">
        <f>BY855*1000000/BY848/BY$5</f>
        <v>147.26273674003389</v>
      </c>
      <c r="BZ849" s="561">
        <f t="shared" si="1976"/>
        <v>147.26273674003389</v>
      </c>
      <c r="CA849" s="561">
        <f t="shared" si="1976"/>
        <v>143.92317194510963</v>
      </c>
      <c r="CB849" s="561">
        <f>CB855*1000000/CB848/CB$5</f>
        <v>137.10160790497153</v>
      </c>
      <c r="CC849" s="561">
        <f>CC855*1000000/CC848/CC$5</f>
        <v>130.24652750972294</v>
      </c>
      <c r="CD849" s="561">
        <f>CD855*1000000/CD848/CD$5</f>
        <v>132.85145805991743</v>
      </c>
      <c r="CE849" s="561">
        <f>CE855*1000000/CE848/CE$5</f>
        <v>135.13824545275205</v>
      </c>
      <c r="CF849" s="561">
        <f>CF855*1000000/CF848/CF$5</f>
        <v>138.21865696553809</v>
      </c>
      <c r="CG849" s="560"/>
      <c r="CH849" s="560"/>
      <c r="CI849" s="560"/>
      <c r="CJ849" s="560"/>
      <c r="CK849" s="560"/>
      <c r="CL849" s="1307" t="str">
        <f t="shared" si="1954"/>
        <v>Daily Win / Position</v>
      </c>
      <c r="CM849" s="560">
        <f t="shared" si="1955"/>
        <v>246.47200603484757</v>
      </c>
      <c r="CN849" s="560">
        <f t="shared" si="1956"/>
        <v>259.77542479474926</v>
      </c>
      <c r="CO849" s="560">
        <f t="shared" si="1957"/>
        <v>277.18750311397207</v>
      </c>
      <c r="CP849" s="560">
        <f t="shared" si="1958"/>
        <v>281.602616516762</v>
      </c>
      <c r="CQ849" s="560">
        <f t="shared" si="1959"/>
        <v>204.61960914613923</v>
      </c>
      <c r="CR849" s="560">
        <f t="shared" si="1960"/>
        <v>191.32069791154825</v>
      </c>
      <c r="CS849" s="560">
        <f t="shared" si="1961"/>
        <v>175.03905807766333</v>
      </c>
      <c r="CT849" s="560">
        <f t="shared" si="1962"/>
        <v>171.05345274128624</v>
      </c>
      <c r="CU849" s="560">
        <f t="shared" si="1963"/>
        <v>170.33292092722971</v>
      </c>
      <c r="CV849" s="560">
        <f t="shared" si="1964"/>
        <v>159.96664908636905</v>
      </c>
      <c r="CW849" s="560">
        <f t="shared" si="1965"/>
        <v>149.41154780483376</v>
      </c>
      <c r="CX849" s="560">
        <f t="shared" si="1966"/>
        <v>156.06451384607135</v>
      </c>
      <c r="CY849" s="560">
        <f t="shared" si="1967"/>
        <v>149.3978324225865</v>
      </c>
      <c r="CZ849" s="560">
        <f t="shared" si="1968"/>
        <v>147.10616773778059</v>
      </c>
      <c r="DA849" s="560">
        <f t="shared" si="1969"/>
        <v>147.26273674003389</v>
      </c>
      <c r="DB849" s="560">
        <f t="shared" si="1969"/>
        <v>147.26273674003389</v>
      </c>
      <c r="DC849" s="1878">
        <f t="shared" si="1969"/>
        <v>143.92317194510963</v>
      </c>
      <c r="DD849" s="560"/>
      <c r="DE849" s="560"/>
      <c r="DF849" s="707"/>
      <c r="DG849" s="707"/>
      <c r="DH849" s="2588"/>
      <c r="DI849" s="3213"/>
      <c r="DJ849" s="707"/>
      <c r="DK849" s="707"/>
      <c r="DL849" s="707"/>
      <c r="DM849" s="707"/>
      <c r="DN849" s="707"/>
      <c r="DO849" s="707"/>
      <c r="DP849" s="707"/>
      <c r="DQ849" s="707"/>
      <c r="DR849" s="968"/>
      <c r="DS849" s="968"/>
      <c r="DT849" s="968"/>
    </row>
    <row r="850" spans="1:124" ht="12" customHeight="1" x14ac:dyDescent="0.25">
      <c r="A850" s="465" t="s">
        <v>1491</v>
      </c>
      <c r="B850" s="281"/>
      <c r="C850" s="472" t="s">
        <v>553</v>
      </c>
      <c r="D850" s="472" t="s">
        <v>553</v>
      </c>
      <c r="E850" s="472" t="s">
        <v>553</v>
      </c>
      <c r="F850" s="472" t="s">
        <v>553</v>
      </c>
      <c r="G850" s="491" t="s">
        <v>553</v>
      </c>
      <c r="H850" s="472">
        <f t="shared" ref="H850:AF850" si="1978">(H849-C849)/C849</f>
        <v>4.7913046328590385E-2</v>
      </c>
      <c r="I850" s="472">
        <f t="shared" si="1978"/>
        <v>7.106081960440945E-2</v>
      </c>
      <c r="J850" s="472">
        <f t="shared" si="1978"/>
        <v>6.1165808549962869E-2</v>
      </c>
      <c r="K850" s="472">
        <f t="shared" si="1978"/>
        <v>3.5992764916815551E-2</v>
      </c>
      <c r="L850" s="491">
        <f t="shared" si="1978"/>
        <v>5.3975374217633376E-2</v>
      </c>
      <c r="M850" s="472">
        <f t="shared" si="1978"/>
        <v>8.9101751101061985E-2</v>
      </c>
      <c r="N850" s="472">
        <f t="shared" si="1978"/>
        <v>6.2563937858349447E-2</v>
      </c>
      <c r="O850" s="472">
        <f t="shared" si="1978"/>
        <v>3.8913905504402234E-2</v>
      </c>
      <c r="P850" s="472">
        <f t="shared" si="1978"/>
        <v>7.938180238407623E-2</v>
      </c>
      <c r="Q850" s="491">
        <f t="shared" si="1978"/>
        <v>6.7027426989986622E-2</v>
      </c>
      <c r="R850" s="472">
        <f t="shared" si="1978"/>
        <v>2.438542425118748E-2</v>
      </c>
      <c r="S850" s="472">
        <f t="shared" si="1978"/>
        <v>5.7088137323228573E-2</v>
      </c>
      <c r="T850" s="472">
        <f t="shared" si="1978"/>
        <v>1.0582627978198908E-2</v>
      </c>
      <c r="U850" s="472">
        <f t="shared" si="1978"/>
        <v>-2.8868696287941555E-2</v>
      </c>
      <c r="V850" s="491">
        <f t="shared" si="1978"/>
        <v>1.5928255614664384E-2</v>
      </c>
      <c r="W850" s="472">
        <f t="shared" si="1978"/>
        <v>-0.26005945620451087</v>
      </c>
      <c r="X850" s="472">
        <f t="shared" si="1978"/>
        <v>-0.26703005762342302</v>
      </c>
      <c r="Y850" s="472">
        <f t="shared" si="1978"/>
        <v>-0.2631744237171032</v>
      </c>
      <c r="Z850" s="472">
        <f t="shared" si="1978"/>
        <v>-0.30710014644795297</v>
      </c>
      <c r="AA850" s="491">
        <f t="shared" si="1978"/>
        <v>-0.27337461676617791</v>
      </c>
      <c r="AB850" s="472">
        <f t="shared" si="1978"/>
        <v>-7.4044222813795663E-2</v>
      </c>
      <c r="AC850" s="472">
        <f t="shared" si="1978"/>
        <v>-4.9954941184139116E-2</v>
      </c>
      <c r="AD850" s="472">
        <f t="shared" si="1978"/>
        <v>-7.3108060742760869E-2</v>
      </c>
      <c r="AE850" s="492">
        <f t="shared" si="1978"/>
        <v>-6.0611061710132266E-2</v>
      </c>
      <c r="AF850" s="493">
        <f t="shared" si="1978"/>
        <v>-6.4993337100418852E-2</v>
      </c>
      <c r="AG850" s="472">
        <f t="shared" ref="AG850:AU850" si="1979">(AG849-AB849)/AB849</f>
        <v>-7.953130306804039E-2</v>
      </c>
      <c r="AH850" s="472">
        <f t="shared" si="1979"/>
        <v>-0.11839782118707737</v>
      </c>
      <c r="AI850" s="472">
        <f t="shared" si="1979"/>
        <v>-8.4384413377616513E-2</v>
      </c>
      <c r="AJ850" s="492">
        <f t="shared" si="1979"/>
        <v>-5.3767064585246431E-2</v>
      </c>
      <c r="AK850" s="493">
        <f t="shared" si="1979"/>
        <v>-8.5101298561080327E-2</v>
      </c>
      <c r="AL850" s="472">
        <f t="shared" si="1979"/>
        <v>-4.8445726679691228E-2</v>
      </c>
      <c r="AM850" s="472">
        <f t="shared" si="1979"/>
        <v>1.2712803069945653E-2</v>
      </c>
      <c r="AN850" s="472">
        <f t="shared" si="1979"/>
        <v>-4.9494060840877013E-2</v>
      </c>
      <c r="AO850" s="492">
        <f t="shared" si="1979"/>
        <v>-4.8402852649806066E-3</v>
      </c>
      <c r="AP850" s="494">
        <f t="shared" si="1979"/>
        <v>-2.2769805665937212E-2</v>
      </c>
      <c r="AQ850" s="494">
        <f t="shared" si="1979"/>
        <v>-1.6149117819496149E-2</v>
      </c>
      <c r="AR850" s="492">
        <f t="shared" si="1979"/>
        <v>-3.1477445935599702E-2</v>
      </c>
      <c r="AS850" s="492">
        <f t="shared" si="1979"/>
        <v>2.1443254164596772E-2</v>
      </c>
      <c r="AT850" s="492">
        <f t="shared" si="1979"/>
        <v>1.3224378339480224E-2</v>
      </c>
      <c r="AU850" s="1689">
        <f t="shared" si="1979"/>
        <v>-4.2123196141869946E-3</v>
      </c>
      <c r="AV850" s="1730">
        <f t="shared" ref="AV850:BA850" si="1980">(AV849-AQ849)/AQ849</f>
        <v>4.307337251011476E-3</v>
      </c>
      <c r="AW850" s="1465">
        <f t="shared" si="1980"/>
        <v>-7.9917506449300485E-2</v>
      </c>
      <c r="AX850" s="1465">
        <f t="shared" si="1980"/>
        <v>-7.6267653037680364E-2</v>
      </c>
      <c r="AY850" s="1868">
        <f t="shared" si="1980"/>
        <v>-9.4437067370670646E-2</v>
      </c>
      <c r="AZ850" s="1689">
        <f t="shared" si="1980"/>
        <v>-6.0858886141507439E-2</v>
      </c>
      <c r="BA850" s="471">
        <f t="shared" si="1980"/>
        <v>-0.12080967993118677</v>
      </c>
      <c r="BB850" s="469">
        <f t="shared" ref="BB850:BJ850" si="1981">(BB849-AW849)/AW849</f>
        <v>-5.1825133211898654E-2</v>
      </c>
      <c r="BC850" s="469">
        <f t="shared" si="1981"/>
        <v>-6.6091524163190168E-2</v>
      </c>
      <c r="BD850" s="1463">
        <f t="shared" si="1981"/>
        <v>-1.6617887498290611E-2</v>
      </c>
      <c r="BE850" s="1868">
        <f t="shared" si="1981"/>
        <v>-6.5983136746437604E-2</v>
      </c>
      <c r="BF850" s="469">
        <f t="shared" si="1981"/>
        <v>9.3281616122136909E-2</v>
      </c>
      <c r="BG850" s="469">
        <f t="shared" si="1981"/>
        <v>0.10205369964096436</v>
      </c>
      <c r="BH850" s="469">
        <f t="shared" si="1981"/>
        <v>3.5969161361145717E-2</v>
      </c>
      <c r="BI850" s="1463">
        <f t="shared" si="1981"/>
        <v>-5.8784932996928135E-2</v>
      </c>
      <c r="BJ850" s="1868">
        <f t="shared" si="1981"/>
        <v>4.4527790113839873E-2</v>
      </c>
      <c r="BK850" s="469">
        <f t="shared" ref="BK850:BT850" si="1982">(BK849-BF849)/BF849</f>
        <v>-0.11286443810404642</v>
      </c>
      <c r="BL850" s="469">
        <f t="shared" si="1982"/>
        <v>-6.887921802368667E-2</v>
      </c>
      <c r="BM850" s="469">
        <f t="shared" si="1982"/>
        <v>2.4718169931288399E-2</v>
      </c>
      <c r="BN850" s="1463">
        <f t="shared" si="1982"/>
        <v>1.5094777110963254E-3</v>
      </c>
      <c r="BO850" s="1868">
        <f t="shared" si="1982"/>
        <v>-4.2717471507073598E-2</v>
      </c>
      <c r="BP850" s="469">
        <f t="shared" si="1982"/>
        <v>2.9667341444892741E-2</v>
      </c>
      <c r="BQ850" s="469">
        <f t="shared" si="1982"/>
        <v>-7.3110660290577029E-2</v>
      </c>
      <c r="BR850" s="469">
        <f t="shared" si="1982"/>
        <v>-3.2087038161056326E-2</v>
      </c>
      <c r="BS850" s="469">
        <f t="shared" si="1982"/>
        <v>2.0529041499588774E-2</v>
      </c>
      <c r="BT850" s="470">
        <f t="shared" si="1982"/>
        <v>-1.5339343601209081E-2</v>
      </c>
      <c r="BU850" s="469">
        <f>(BU849-BP849)/BP849</f>
        <v>-5.8217993969761524E-2</v>
      </c>
      <c r="BV850" s="469">
        <f>(BV849-BQ849)/BQ849</f>
        <v>4.5258426966292203E-2</v>
      </c>
      <c r="BW850" s="469">
        <f>(BW849-BR849)/BR849</f>
        <v>9.9999999999997296E-3</v>
      </c>
      <c r="BX850" s="469">
        <f>(BX849-BS849)/BS849</f>
        <v>9.9999999999998528E-3</v>
      </c>
      <c r="BY850" s="470">
        <f>(BY849-BT849)/BT849</f>
        <v>1.0643265653713381E-3</v>
      </c>
      <c r="BZ850" s="470">
        <f t="shared" ref="BZ850:CF850" si="1983">(BZ849-BY849)/BY849</f>
        <v>0</v>
      </c>
      <c r="CA850" s="470">
        <f t="shared" si="1983"/>
        <v>-2.2677595628415242E-2</v>
      </c>
      <c r="CB850" s="470">
        <f t="shared" si="1983"/>
        <v>-4.7397260273972786E-2</v>
      </c>
      <c r="CC850" s="470">
        <f t="shared" si="1983"/>
        <v>-5.0000000000000114E-2</v>
      </c>
      <c r="CD850" s="470">
        <f t="shared" si="1983"/>
        <v>2.0000000000000285E-2</v>
      </c>
      <c r="CE850" s="470">
        <f t="shared" si="1983"/>
        <v>1.7213114754098112E-2</v>
      </c>
      <c r="CF850" s="470">
        <f t="shared" si="1983"/>
        <v>2.2794520547945379E-2</v>
      </c>
      <c r="CG850" s="331"/>
      <c r="CH850" s="331"/>
      <c r="CI850" s="331"/>
      <c r="CJ850" s="331"/>
      <c r="CK850" s="331"/>
      <c r="CL850" s="1310" t="str">
        <f t="shared" si="1954"/>
        <v>% growth (y-o-y)</v>
      </c>
      <c r="CM850" s="492" t="str">
        <f t="shared" si="1955"/>
        <v xml:space="preserve">n/a </v>
      </c>
      <c r="CN850" s="492">
        <f t="shared" si="1956"/>
        <v>5.3975374217633376E-2</v>
      </c>
      <c r="CO850" s="492">
        <f t="shared" si="1957"/>
        <v>6.7027426989986622E-2</v>
      </c>
      <c r="CP850" s="492">
        <f t="shared" si="1958"/>
        <v>1.5928255614664384E-2</v>
      </c>
      <c r="CQ850" s="492">
        <f t="shared" si="1959"/>
        <v>-0.27337461676617791</v>
      </c>
      <c r="CR850" s="492">
        <f t="shared" si="1960"/>
        <v>-6.4993337100418852E-2</v>
      </c>
      <c r="CS850" s="492">
        <f t="shared" si="1961"/>
        <v>-8.5101298561080327E-2</v>
      </c>
      <c r="CT850" s="492">
        <f t="shared" si="1962"/>
        <v>-2.2769805665937212E-2</v>
      </c>
      <c r="CU850" s="492">
        <f t="shared" si="1963"/>
        <v>-4.2123196141869946E-3</v>
      </c>
      <c r="CV850" s="492">
        <f t="shared" si="1964"/>
        <v>-6.0858886141507439E-2</v>
      </c>
      <c r="CW850" s="492">
        <f t="shared" si="1965"/>
        <v>-6.5983136746437604E-2</v>
      </c>
      <c r="CX850" s="492">
        <f t="shared" si="1966"/>
        <v>4.4527790113839873E-2</v>
      </c>
      <c r="CY850" s="492">
        <f t="shared" si="1967"/>
        <v>-4.2717471507073598E-2</v>
      </c>
      <c r="CZ850" s="492">
        <f t="shared" si="1968"/>
        <v>-1.5339343601209081E-2</v>
      </c>
      <c r="DA850" s="492">
        <f t="shared" si="1969"/>
        <v>1.0643265653713381E-3</v>
      </c>
      <c r="DB850" s="492">
        <f t="shared" si="1969"/>
        <v>0</v>
      </c>
      <c r="DC850" s="1311">
        <f t="shared" si="1969"/>
        <v>-2.2677595628415242E-2</v>
      </c>
      <c r="DD850" s="331"/>
      <c r="DE850" s="331"/>
      <c r="DF850" s="502"/>
      <c r="DG850" s="503"/>
      <c r="DH850" s="469"/>
      <c r="DI850" s="3213"/>
      <c r="DJ850" s="502"/>
      <c r="DK850" s="503"/>
      <c r="DL850" s="502"/>
      <c r="DM850" s="502"/>
      <c r="DN850" s="502"/>
      <c r="DO850" s="502"/>
      <c r="DP850" s="503"/>
      <c r="DQ850" s="503"/>
      <c r="DR850" s="296"/>
      <c r="DS850" s="296"/>
      <c r="DT850" s="296"/>
    </row>
    <row r="851" spans="1:124" ht="5.0999999999999996" customHeight="1" x14ac:dyDescent="0.25">
      <c r="A851" s="281"/>
      <c r="B851" s="281"/>
      <c r="C851" s="305"/>
      <c r="D851" s="305"/>
      <c r="E851" s="305"/>
      <c r="F851" s="305"/>
      <c r="G851" s="440"/>
      <c r="H851" s="305"/>
      <c r="I851" s="305"/>
      <c r="J851" s="305"/>
      <c r="K851" s="305"/>
      <c r="L851" s="440"/>
      <c r="M851" s="305"/>
      <c r="N851" s="305"/>
      <c r="O851" s="305"/>
      <c r="P851" s="305"/>
      <c r="Q851" s="440"/>
      <c r="R851" s="305"/>
      <c r="S851" s="305"/>
      <c r="T851" s="305"/>
      <c r="U851" s="305"/>
      <c r="V851" s="440"/>
      <c r="W851" s="305"/>
      <c r="X851" s="305"/>
      <c r="Y851" s="305"/>
      <c r="Z851" s="305"/>
      <c r="AA851" s="440"/>
      <c r="AB851" s="305"/>
      <c r="AC851" s="305"/>
      <c r="AD851" s="305"/>
      <c r="AE851" s="331"/>
      <c r="AF851" s="441"/>
      <c r="AG851" s="305"/>
      <c r="AH851" s="305"/>
      <c r="AI851" s="305"/>
      <c r="AJ851" s="331"/>
      <c r="AK851" s="441"/>
      <c r="AL851" s="305"/>
      <c r="AM851" s="305"/>
      <c r="AN851" s="305"/>
      <c r="AO851" s="331"/>
      <c r="AP851" s="569"/>
      <c r="AQ851" s="569"/>
      <c r="AR851" s="442"/>
      <c r="AS851" s="442"/>
      <c r="AT851" s="442"/>
      <c r="AU851" s="1690"/>
      <c r="AV851" s="1902"/>
      <c r="AW851" s="1837"/>
      <c r="AX851" s="1837"/>
      <c r="AY851" s="1903"/>
      <c r="AZ851" s="1690"/>
      <c r="BA851" s="569"/>
      <c r="BB851" s="442"/>
      <c r="BC851" s="442"/>
      <c r="BD851" s="1312"/>
      <c r="BE851" s="1903"/>
      <c r="BF851" s="442"/>
      <c r="BG851" s="442"/>
      <c r="BH851" s="442"/>
      <c r="BI851" s="1312"/>
      <c r="BJ851" s="1903"/>
      <c r="BK851" s="442"/>
      <c r="BL851" s="442"/>
      <c r="BM851" s="442"/>
      <c r="BN851" s="1312"/>
      <c r="BO851" s="1903"/>
      <c r="BP851" s="442"/>
      <c r="BQ851" s="442"/>
      <c r="BR851" s="442"/>
      <c r="BS851" s="442"/>
      <c r="BT851" s="3236"/>
      <c r="BU851" s="3298"/>
      <c r="BV851" s="3298"/>
      <c r="BW851" s="3298"/>
      <c r="BX851" s="3298"/>
      <c r="BY851" s="3236"/>
      <c r="BZ851" s="441"/>
      <c r="CA851" s="441"/>
      <c r="CB851" s="441"/>
      <c r="CC851" s="441"/>
      <c r="CD851" s="441"/>
      <c r="CE851" s="441"/>
      <c r="CF851" s="441"/>
      <c r="CG851" s="331"/>
      <c r="CH851" s="331"/>
      <c r="CI851" s="331"/>
      <c r="CJ851" s="331"/>
      <c r="CK851" s="331"/>
      <c r="CL851" s="520"/>
      <c r="CM851" s="442"/>
      <c r="CN851" s="442"/>
      <c r="CO851" s="442"/>
      <c r="CP851" s="442"/>
      <c r="CQ851" s="442"/>
      <c r="CR851" s="442"/>
      <c r="CS851" s="442"/>
      <c r="CT851" s="442"/>
      <c r="CU851" s="442"/>
      <c r="CV851" s="442"/>
      <c r="CW851" s="442"/>
      <c r="CX851" s="442"/>
      <c r="CY851" s="442"/>
      <c r="CZ851" s="442"/>
      <c r="DA851" s="442"/>
      <c r="DB851" s="442"/>
      <c r="DC851" s="1312"/>
      <c r="DD851" s="331"/>
      <c r="DE851" s="331"/>
      <c r="DF851" s="502"/>
      <c r="DG851" s="503"/>
      <c r="DH851" s="3298"/>
      <c r="DI851" s="3213"/>
      <c r="DJ851" s="502"/>
      <c r="DK851" s="503"/>
      <c r="DL851" s="502"/>
      <c r="DM851" s="502"/>
      <c r="DN851" s="502"/>
      <c r="DO851" s="502"/>
      <c r="DP851" s="503"/>
      <c r="DQ851" s="503"/>
      <c r="DR851" s="296"/>
      <c r="DS851" s="296"/>
      <c r="DT851" s="296"/>
    </row>
    <row r="852" spans="1:124" ht="12" customHeight="1" x14ac:dyDescent="0.25">
      <c r="A852" s="281" t="s">
        <v>1088</v>
      </c>
      <c r="B852" s="281"/>
      <c r="C852" s="340">
        <v>348.98599999999999</v>
      </c>
      <c r="D852" s="340">
        <v>347.90499999999997</v>
      </c>
      <c r="E852" s="340">
        <v>375.59899999999999</v>
      </c>
      <c r="F852" s="340">
        <v>338.089</v>
      </c>
      <c r="G852" s="345">
        <f>SUM(C852:F852)</f>
        <v>1410.579</v>
      </c>
      <c r="H852" s="340">
        <v>351.072</v>
      </c>
      <c r="I852" s="340">
        <v>359.8</v>
      </c>
      <c r="J852" s="340">
        <v>386.91099999999994</v>
      </c>
      <c r="K852" s="340">
        <v>350.21600000000001</v>
      </c>
      <c r="L852" s="345">
        <f>SUM(H852:K852)</f>
        <v>1447.9989999999998</v>
      </c>
      <c r="M852" s="340">
        <v>378.39799999999997</v>
      </c>
      <c r="N852" s="340">
        <v>361.4</v>
      </c>
      <c r="O852" s="340">
        <v>381.77099999999996</v>
      </c>
      <c r="P852" s="340">
        <v>347.68600000000004</v>
      </c>
      <c r="Q852" s="345">
        <f>SUM(M852:P852)</f>
        <v>1469.2550000000001</v>
      </c>
      <c r="R852" s="340">
        <v>357.32799999999997</v>
      </c>
      <c r="S852" s="340">
        <v>368.72899999999998</v>
      </c>
      <c r="T852" s="340">
        <v>380.54</v>
      </c>
      <c r="U852" s="340">
        <v>380.54</v>
      </c>
      <c r="V852" s="345">
        <f>SUM(R852:U852)</f>
        <v>1487.1369999999999</v>
      </c>
      <c r="W852" s="340">
        <v>312.46299999999997</v>
      </c>
      <c r="X852" s="340">
        <v>301.05099999999999</v>
      </c>
      <c r="Y852" s="340">
        <v>309.803</v>
      </c>
      <c r="Z852" s="340">
        <v>269.06100000000004</v>
      </c>
      <c r="AA852" s="345">
        <f>SUM(W852:Z852)</f>
        <v>1192.3779999999999</v>
      </c>
      <c r="AB852" s="339">
        <v>290.60000000000002</v>
      </c>
      <c r="AC852" s="339">
        <v>296</v>
      </c>
      <c r="AD852" s="339">
        <v>311.8</v>
      </c>
      <c r="AE852" s="339">
        <v>260.39999999999998</v>
      </c>
      <c r="AF852" s="348">
        <f>SUM(AB852:AE852)</f>
        <v>1158.8000000000002</v>
      </c>
      <c r="AG852" s="339">
        <v>269.89999999999998</v>
      </c>
      <c r="AH852" s="339">
        <v>264.89999999999998</v>
      </c>
      <c r="AI852" s="339">
        <v>265.03899999999999</v>
      </c>
      <c r="AJ852" s="339">
        <v>235.2</v>
      </c>
      <c r="AK852" s="348">
        <f>SUM(AG852:AJ852)</f>
        <v>1035.039</v>
      </c>
      <c r="AL852" s="339">
        <v>236.5</v>
      </c>
      <c r="AM852" s="339">
        <v>246.01799999999997</v>
      </c>
      <c r="AN852" s="339">
        <v>247.85099999999997</v>
      </c>
      <c r="AO852" s="339">
        <v>213.29300000000001</v>
      </c>
      <c r="AP852" s="568">
        <f>SUM(AL852:AO852)</f>
        <v>943.66199999999992</v>
      </c>
      <c r="AQ852" s="1677">
        <v>220.637</v>
      </c>
      <c r="AR852" s="338">
        <v>218.87699999999998</v>
      </c>
      <c r="AS852" s="338">
        <v>232.19100000000003</v>
      </c>
      <c r="AT852" s="338">
        <v>204.80100000000002</v>
      </c>
      <c r="AU852" s="1687">
        <f>SUM(AQ852:AT852)</f>
        <v>876.50600000000009</v>
      </c>
      <c r="AV852" s="1677">
        <v>199.94200000000001</v>
      </c>
      <c r="AW852" s="338">
        <v>181.92199999999997</v>
      </c>
      <c r="AX852" s="338">
        <v>197.14099999999999</v>
      </c>
      <c r="AY852" s="338">
        <v>174.291</v>
      </c>
      <c r="AZ852" s="1687">
        <f>SUM(AV852:AY852)</f>
        <v>753.29600000000005</v>
      </c>
      <c r="BA852" s="2651">
        <v>161.833</v>
      </c>
      <c r="BB852" s="2923">
        <v>168.196</v>
      </c>
      <c r="BC852" s="2923">
        <v>165.72400000000002</v>
      </c>
      <c r="BD852" s="2939">
        <v>153.13</v>
      </c>
      <c r="BE852" s="1867">
        <f>SUM(BA852:BD852)</f>
        <v>648.88300000000004</v>
      </c>
      <c r="BF852" s="2942">
        <v>155.44399999999999</v>
      </c>
      <c r="BG852" s="2942">
        <v>151.268</v>
      </c>
      <c r="BH852" s="2942">
        <v>146.059</v>
      </c>
      <c r="BI852" s="2939">
        <v>122.274</v>
      </c>
      <c r="BJ852" s="1867">
        <f>SUM(BF852:BI852)</f>
        <v>575.04499999999996</v>
      </c>
      <c r="BK852" s="2942">
        <v>126.099</v>
      </c>
      <c r="BL852" s="2942">
        <v>140.30000000000001</v>
      </c>
      <c r="BM852" s="2942">
        <v>142.22800000000001</v>
      </c>
      <c r="BN852" s="2939">
        <v>122.244</v>
      </c>
      <c r="BO852" s="1867">
        <f>SUM(BK852:BN852)</f>
        <v>530.87099999999998</v>
      </c>
      <c r="BP852" s="2942">
        <v>125.23499999999999</v>
      </c>
      <c r="BQ852" s="2942">
        <v>119.63200000000001</v>
      </c>
      <c r="BR852" s="2942">
        <v>132.86000000000001</v>
      </c>
      <c r="BS852" s="3541">
        <v>117.09399999999999</v>
      </c>
      <c r="BT852" s="3081">
        <f>SUM(BP852:BS852)</f>
        <v>494.82099999999997</v>
      </c>
      <c r="BU852" s="2909">
        <f>+BP852*(1+BU853)</f>
        <v>116.76331688256424</v>
      </c>
      <c r="BV852" s="2909">
        <f>+BQ852*(1+BV853)</f>
        <v>124.41728000000001</v>
      </c>
      <c r="BW852" s="2909">
        <f>+BR852*(1+BW853)</f>
        <v>134.18860000000001</v>
      </c>
      <c r="BX852" s="2909">
        <f>+BS852*(1+BX853)</f>
        <v>118.26494</v>
      </c>
      <c r="BY852" s="3081">
        <f>SUM(BU852:BX852)</f>
        <v>493.63413688256423</v>
      </c>
      <c r="BZ852" s="348">
        <f t="shared" ref="BZ852:CF852" si="1984">BY852*(1+BZ853)</f>
        <v>493.63413688256423</v>
      </c>
      <c r="CA852" s="348">
        <f t="shared" si="1984"/>
        <v>483.76145414491293</v>
      </c>
      <c r="CB852" s="348">
        <f t="shared" si="1984"/>
        <v>459.57338143766725</v>
      </c>
      <c r="CC852" s="348">
        <f t="shared" si="1984"/>
        <v>436.59471236578389</v>
      </c>
      <c r="CD852" s="348">
        <f t="shared" si="1984"/>
        <v>445.32660661309956</v>
      </c>
      <c r="CE852" s="348">
        <f t="shared" si="1984"/>
        <v>454.23313874536154</v>
      </c>
      <c r="CF852" s="348">
        <f t="shared" si="1984"/>
        <v>463.3178015202688</v>
      </c>
      <c r="CG852" s="331"/>
      <c r="CH852" s="331"/>
      <c r="CI852" s="331"/>
      <c r="CJ852" s="331"/>
      <c r="CK852" s="331"/>
      <c r="CL852" s="520" t="str">
        <f>A852</f>
        <v>Admissions (in thousands)</v>
      </c>
      <c r="CM852" s="330">
        <f>G852</f>
        <v>1410.579</v>
      </c>
      <c r="CN852" s="330">
        <f>L852</f>
        <v>1447.9989999999998</v>
      </c>
      <c r="CO852" s="330">
        <f>Q852</f>
        <v>1469.2550000000001</v>
      </c>
      <c r="CP852" s="330">
        <f>V852</f>
        <v>1487.1369999999999</v>
      </c>
      <c r="CQ852" s="330">
        <f>AA852</f>
        <v>1192.3779999999999</v>
      </c>
      <c r="CR852" s="330">
        <f>AF852</f>
        <v>1158.8000000000002</v>
      </c>
      <c r="CS852" s="330">
        <f>AK852</f>
        <v>1035.039</v>
      </c>
      <c r="CT852" s="330">
        <f>AP852</f>
        <v>943.66199999999992</v>
      </c>
      <c r="CU852" s="330">
        <f>AU852</f>
        <v>876.50600000000009</v>
      </c>
      <c r="CV852" s="330">
        <f>AZ852</f>
        <v>753.29600000000005</v>
      </c>
      <c r="CW852" s="330">
        <f>BE852</f>
        <v>648.88300000000004</v>
      </c>
      <c r="CX852" s="330">
        <f>BJ852</f>
        <v>575.04499999999996</v>
      </c>
      <c r="CY852" s="330">
        <f>BO852</f>
        <v>530.87099999999998</v>
      </c>
      <c r="CZ852" s="330">
        <f>BT852</f>
        <v>494.82099999999997</v>
      </c>
      <c r="DA852" s="330">
        <f t="shared" ref="DA852:DC853" si="1985">BY852</f>
        <v>493.63413688256423</v>
      </c>
      <c r="DB852" s="330">
        <f t="shared" si="1985"/>
        <v>493.63413688256423</v>
      </c>
      <c r="DC852" s="1888">
        <f t="shared" si="1985"/>
        <v>483.76145414491293</v>
      </c>
      <c r="DD852" s="331"/>
      <c r="DE852" s="331"/>
      <c r="DF852" s="502"/>
      <c r="DG852" s="503"/>
      <c r="DH852" s="2909"/>
      <c r="DI852" s="3213"/>
      <c r="DJ852" s="502"/>
      <c r="DK852" s="503"/>
      <c r="DL852" s="502"/>
      <c r="DM852" s="502"/>
      <c r="DN852" s="502"/>
      <c r="DO852" s="502"/>
      <c r="DP852" s="503"/>
      <c r="DQ852" s="503"/>
      <c r="DR852" s="296"/>
      <c r="DS852" s="296"/>
      <c r="DT852" s="296"/>
    </row>
    <row r="853" spans="1:124" ht="12" customHeight="1" x14ac:dyDescent="0.25">
      <c r="A853" s="465" t="s">
        <v>1491</v>
      </c>
      <c r="B853" s="281"/>
      <c r="C853" s="472" t="s">
        <v>553</v>
      </c>
      <c r="D853" s="472" t="s">
        <v>553</v>
      </c>
      <c r="E853" s="472" t="s">
        <v>553</v>
      </c>
      <c r="F853" s="472" t="s">
        <v>553</v>
      </c>
      <c r="G853" s="491" t="s">
        <v>553</v>
      </c>
      <c r="H853" s="472">
        <f t="shared" ref="H853:AF853" si="1986">(H852-C852)/C852</f>
        <v>5.9773171416618795E-3</v>
      </c>
      <c r="I853" s="472">
        <f t="shared" si="1986"/>
        <v>3.4190368060246445E-2</v>
      </c>
      <c r="J853" s="472">
        <f t="shared" si="1986"/>
        <v>3.0117226084201382E-2</v>
      </c>
      <c r="K853" s="472">
        <f t="shared" si="1986"/>
        <v>3.5869253362280376E-2</v>
      </c>
      <c r="L853" s="491">
        <f t="shared" si="1986"/>
        <v>2.6528113632770547E-2</v>
      </c>
      <c r="M853" s="472">
        <f t="shared" si="1986"/>
        <v>7.7835885516361211E-2</v>
      </c>
      <c r="N853" s="472">
        <f t="shared" si="1986"/>
        <v>4.4469149527514339E-3</v>
      </c>
      <c r="O853" s="472">
        <f t="shared" si="1986"/>
        <v>-1.3284708886539764E-2</v>
      </c>
      <c r="P853" s="472">
        <f t="shared" si="1986"/>
        <v>-7.2241131187609151E-3</v>
      </c>
      <c r="Q853" s="491">
        <f t="shared" si="1986"/>
        <v>1.4679568148873249E-2</v>
      </c>
      <c r="R853" s="472">
        <f t="shared" si="1986"/>
        <v>-5.5682112484738276E-2</v>
      </c>
      <c r="S853" s="472">
        <f t="shared" si="1986"/>
        <v>2.0279468732706165E-2</v>
      </c>
      <c r="T853" s="472">
        <f t="shared" si="1986"/>
        <v>-3.2244460684544866E-3</v>
      </c>
      <c r="U853" s="472">
        <f t="shared" si="1986"/>
        <v>9.4493307179466482E-2</v>
      </c>
      <c r="V853" s="491">
        <f t="shared" si="1986"/>
        <v>1.2170794041878253E-2</v>
      </c>
      <c r="W853" s="472">
        <f t="shared" si="1986"/>
        <v>-0.12555691129718358</v>
      </c>
      <c r="X853" s="472">
        <f t="shared" si="1986"/>
        <v>-0.18354401199797141</v>
      </c>
      <c r="Y853" s="472">
        <f t="shared" si="1986"/>
        <v>-0.18588584642875919</v>
      </c>
      <c r="Z853" s="472">
        <f t="shared" si="1986"/>
        <v>-0.29294949282598409</v>
      </c>
      <c r="AA853" s="491">
        <f t="shared" si="1986"/>
        <v>-0.19820567977261008</v>
      </c>
      <c r="AB853" s="472">
        <f t="shared" si="1986"/>
        <v>-6.9969884434316842E-2</v>
      </c>
      <c r="AC853" s="472">
        <f t="shared" si="1986"/>
        <v>-1.6777888131911164E-2</v>
      </c>
      <c r="AD853" s="472">
        <f t="shared" si="1986"/>
        <v>6.4460318331327135E-3</v>
      </c>
      <c r="AE853" s="492">
        <f>(AE852-Z852)/Z852</f>
        <v>-3.2189726493248957E-2</v>
      </c>
      <c r="AF853" s="493">
        <f t="shared" si="1986"/>
        <v>-2.816053298534504E-2</v>
      </c>
      <c r="AG853" s="472">
        <f t="shared" ref="AG853:AU853" si="1987">(AG852-AB852)/AB852</f>
        <v>-7.1231933929800567E-2</v>
      </c>
      <c r="AH853" s="472">
        <f t="shared" si="1987"/>
        <v>-0.10506756756756765</v>
      </c>
      <c r="AI853" s="472">
        <f t="shared" si="1987"/>
        <v>-0.14997113534316878</v>
      </c>
      <c r="AJ853" s="492">
        <f t="shared" si="1987"/>
        <v>-9.6774193548387066E-2</v>
      </c>
      <c r="AK853" s="493">
        <f t="shared" si="1987"/>
        <v>-0.10680100103555418</v>
      </c>
      <c r="AL853" s="472">
        <f t="shared" si="1987"/>
        <v>-0.12374953686550567</v>
      </c>
      <c r="AM853" s="472">
        <f t="shared" si="1987"/>
        <v>-7.1279728199320519E-2</v>
      </c>
      <c r="AN853" s="472">
        <f t="shared" si="1987"/>
        <v>-6.4850833273593769E-2</v>
      </c>
      <c r="AO853" s="492">
        <f t="shared" si="1987"/>
        <v>-9.3142006802721014E-2</v>
      </c>
      <c r="AP853" s="494">
        <f t="shared" si="1987"/>
        <v>-8.8283629892207019E-2</v>
      </c>
      <c r="AQ853" s="494">
        <f t="shared" si="1987"/>
        <v>-6.7073995771670183E-2</v>
      </c>
      <c r="AR853" s="492">
        <f t="shared" si="1987"/>
        <v>-0.11032119601004803</v>
      </c>
      <c r="AS853" s="492">
        <f t="shared" si="1987"/>
        <v>-6.3183122117723714E-2</v>
      </c>
      <c r="AT853" s="492">
        <f t="shared" si="1987"/>
        <v>-3.9813777292269273E-2</v>
      </c>
      <c r="AU853" s="1696">
        <f t="shared" si="1987"/>
        <v>-7.1165311308498E-2</v>
      </c>
      <c r="AV853" s="1734">
        <f t="shared" ref="AV853:BS853" si="1988">(AV852-AQ852)/AQ852</f>
        <v>-9.3796598032061682E-2</v>
      </c>
      <c r="AW853" s="1735">
        <f t="shared" si="1988"/>
        <v>-0.16883911968822679</v>
      </c>
      <c r="AX853" s="1735">
        <f t="shared" si="1988"/>
        <v>-0.15095330999048212</v>
      </c>
      <c r="AY853" s="492">
        <f t="shared" si="1988"/>
        <v>-0.14897388196346706</v>
      </c>
      <c r="AZ853" s="1696">
        <f t="shared" si="1988"/>
        <v>-0.14056948840053579</v>
      </c>
      <c r="BA853" s="2653">
        <f t="shared" si="1988"/>
        <v>-0.1906002740794831</v>
      </c>
      <c r="BB853" s="2653">
        <f t="shared" si="1988"/>
        <v>-7.5449918096766599E-2</v>
      </c>
      <c r="BC853" s="2653">
        <f t="shared" si="1988"/>
        <v>-0.15936309544944977</v>
      </c>
      <c r="BD853" s="2950">
        <f t="shared" si="1988"/>
        <v>-0.12141189160656604</v>
      </c>
      <c r="BE853" s="1909">
        <f>(BE852-AZ852)/AZ852</f>
        <v>-0.13860819651239353</v>
      </c>
      <c r="BF853" s="2653">
        <f t="shared" si="1988"/>
        <v>-3.9478969060698435E-2</v>
      </c>
      <c r="BG853" s="2653">
        <f t="shared" si="1988"/>
        <v>-0.10064448619467763</v>
      </c>
      <c r="BH853" s="2653">
        <f t="shared" si="1988"/>
        <v>-0.11866114744997718</v>
      </c>
      <c r="BI853" s="2950">
        <f t="shared" si="1988"/>
        <v>-0.20150199177169723</v>
      </c>
      <c r="BJ853" s="1909">
        <f>(BJ852-BE852)/BE852</f>
        <v>-0.11379247106180941</v>
      </c>
      <c r="BK853" s="2653">
        <f t="shared" si="1988"/>
        <v>-0.18878181209953415</v>
      </c>
      <c r="BL853" s="2653">
        <f t="shared" si="1988"/>
        <v>-7.2507073538355699E-2</v>
      </c>
      <c r="BM853" s="2653">
        <f t="shared" si="1988"/>
        <v>-2.6229126585831677E-2</v>
      </c>
      <c r="BN853" s="2950">
        <f t="shared" si="1988"/>
        <v>-2.4535060601600618E-4</v>
      </c>
      <c r="BO853" s="1909">
        <f>(BO852-BJ852)/BJ852</f>
        <v>-7.681833595631643E-2</v>
      </c>
      <c r="BP853" s="2653">
        <f t="shared" si="1988"/>
        <v>-6.851759331953612E-3</v>
      </c>
      <c r="BQ853" s="2653">
        <f t="shared" si="1988"/>
        <v>-0.14731290092658592</v>
      </c>
      <c r="BR853" s="2653">
        <f t="shared" si="1988"/>
        <v>-6.5866074190735965E-2</v>
      </c>
      <c r="BS853" s="2653">
        <f t="shared" si="1988"/>
        <v>-4.2128857040018369E-2</v>
      </c>
      <c r="BT853" s="2693">
        <f>(BT852-BO852)/BO852</f>
        <v>-6.7907269374292464E-2</v>
      </c>
      <c r="BU853" s="2451">
        <f>+BU856</f>
        <v>-6.7646289914446767E-2</v>
      </c>
      <c r="BV853" s="2451">
        <f>+BV856</f>
        <v>0.04</v>
      </c>
      <c r="BW853" s="2451">
        <f>+BW856</f>
        <v>0.01</v>
      </c>
      <c r="BX853" s="2451">
        <f>+BX856</f>
        <v>0.01</v>
      </c>
      <c r="BY853" s="2693">
        <f>(BY852-BT852)/BT852</f>
        <v>-2.3985706294513262E-3</v>
      </c>
      <c r="BZ853" s="2452">
        <f t="shared" ref="BZ853:CF853" si="1989">+BZ856</f>
        <v>0</v>
      </c>
      <c r="CA853" s="2452">
        <f t="shared" si="1989"/>
        <v>-0.02</v>
      </c>
      <c r="CB853" s="2452">
        <f t="shared" si="1989"/>
        <v>-0.05</v>
      </c>
      <c r="CC853" s="2452">
        <f t="shared" si="1989"/>
        <v>-0.05</v>
      </c>
      <c r="CD853" s="2452">
        <f t="shared" si="1989"/>
        <v>0.02</v>
      </c>
      <c r="CE853" s="2452">
        <f t="shared" si="1989"/>
        <v>0.02</v>
      </c>
      <c r="CF853" s="2452">
        <f t="shared" si="1989"/>
        <v>0.02</v>
      </c>
      <c r="CG853" s="331"/>
      <c r="CH853" s="331"/>
      <c r="CI853" s="331"/>
      <c r="CJ853" s="331"/>
      <c r="CK853" s="331"/>
      <c r="CL853" s="1310" t="str">
        <f>A853</f>
        <v>% growth (y-o-y)</v>
      </c>
      <c r="CM853" s="492" t="str">
        <f>G853</f>
        <v xml:space="preserve">n/a </v>
      </c>
      <c r="CN853" s="492">
        <f>L853</f>
        <v>2.6528113632770547E-2</v>
      </c>
      <c r="CO853" s="492">
        <f>Q853</f>
        <v>1.4679568148873249E-2</v>
      </c>
      <c r="CP853" s="492">
        <f>V853</f>
        <v>1.2170794041878253E-2</v>
      </c>
      <c r="CQ853" s="492">
        <f>AA853</f>
        <v>-0.19820567977261008</v>
      </c>
      <c r="CR853" s="492">
        <f>AF853</f>
        <v>-2.816053298534504E-2</v>
      </c>
      <c r="CS853" s="492">
        <f>AK853</f>
        <v>-0.10680100103555418</v>
      </c>
      <c r="CT853" s="492">
        <f>AP853</f>
        <v>-8.8283629892207019E-2</v>
      </c>
      <c r="CU853" s="492">
        <f>AU853</f>
        <v>-7.1165311308498E-2</v>
      </c>
      <c r="CV853" s="492">
        <f>AZ853</f>
        <v>-0.14056948840053579</v>
      </c>
      <c r="CW853" s="492">
        <f>BE853</f>
        <v>-0.13860819651239353</v>
      </c>
      <c r="CX853" s="492">
        <f>BJ853</f>
        <v>-0.11379247106180941</v>
      </c>
      <c r="CY853" s="492">
        <f>BO853</f>
        <v>-7.681833595631643E-2</v>
      </c>
      <c r="CZ853" s="492">
        <f>BT853</f>
        <v>-6.7907269374292464E-2</v>
      </c>
      <c r="DA853" s="492">
        <f t="shared" si="1985"/>
        <v>-2.3985706294513262E-3</v>
      </c>
      <c r="DB853" s="492">
        <f t="shared" si="1985"/>
        <v>0</v>
      </c>
      <c r="DC853" s="1311">
        <f t="shared" si="1985"/>
        <v>-0.02</v>
      </c>
      <c r="DD853" s="331"/>
      <c r="DE853" s="331"/>
      <c r="DF853" s="502"/>
      <c r="DG853" s="503"/>
      <c r="DH853" s="2653"/>
      <c r="DI853" s="3213"/>
      <c r="DJ853" s="502"/>
      <c r="DK853" s="503"/>
      <c r="DL853" s="502"/>
      <c r="DM853" s="502"/>
      <c r="DN853" s="502"/>
      <c r="DO853" s="502"/>
      <c r="DP853" s="503"/>
      <c r="DQ853" s="503"/>
      <c r="DR853" s="296"/>
      <c r="DS853" s="296"/>
      <c r="DT853" s="296"/>
    </row>
    <row r="854" spans="1:124" ht="5.0999999999999996" customHeight="1" x14ac:dyDescent="0.25">
      <c r="A854" s="281"/>
      <c r="B854" s="281"/>
      <c r="C854" s="305"/>
      <c r="D854" s="305"/>
      <c r="E854" s="305"/>
      <c r="F854" s="305"/>
      <c r="G854" s="440"/>
      <c r="H854" s="305"/>
      <c r="I854" s="305"/>
      <c r="J854" s="305"/>
      <c r="K854" s="305"/>
      <c r="L854" s="440"/>
      <c r="M854" s="305"/>
      <c r="N854" s="305"/>
      <c r="O854" s="305"/>
      <c r="P854" s="305"/>
      <c r="Q854" s="440"/>
      <c r="R854" s="305"/>
      <c r="S854" s="305"/>
      <c r="T854" s="305"/>
      <c r="U854" s="305"/>
      <c r="V854" s="440"/>
      <c r="W854" s="305"/>
      <c r="X854" s="305"/>
      <c r="Y854" s="305"/>
      <c r="Z854" s="305"/>
      <c r="AA854" s="440"/>
      <c r="AB854" s="305"/>
      <c r="AC854" s="305"/>
      <c r="AD854" s="305"/>
      <c r="AE854" s="331"/>
      <c r="AF854" s="441"/>
      <c r="AG854" s="305"/>
      <c r="AH854" s="305"/>
      <c r="AI854" s="305"/>
      <c r="AJ854" s="331"/>
      <c r="AK854" s="441"/>
      <c r="AL854" s="305"/>
      <c r="AM854" s="305"/>
      <c r="AN854" s="305"/>
      <c r="AO854" s="331"/>
      <c r="AP854" s="441"/>
      <c r="AQ854" s="569"/>
      <c r="AR854" s="442"/>
      <c r="AS854" s="442"/>
      <c r="AT854" s="442"/>
      <c r="AU854" s="1690"/>
      <c r="AV854" s="1902"/>
      <c r="AW854" s="1837"/>
      <c r="AX854" s="1837"/>
      <c r="AY854" s="1903"/>
      <c r="AZ854" s="1690"/>
      <c r="BA854" s="569"/>
      <c r="BB854" s="442"/>
      <c r="BC854" s="442"/>
      <c r="BD854" s="1312"/>
      <c r="BE854" s="1903"/>
      <c r="BF854" s="442"/>
      <c r="BG854" s="442"/>
      <c r="BH854" s="442"/>
      <c r="BI854" s="1312"/>
      <c r="BJ854" s="1903"/>
      <c r="BK854" s="442"/>
      <c r="BL854" s="442"/>
      <c r="BM854" s="442"/>
      <c r="BN854" s="1312"/>
      <c r="BO854" s="1903"/>
      <c r="BP854" s="442"/>
      <c r="BQ854" s="442"/>
      <c r="BR854" s="442"/>
      <c r="BS854" s="442"/>
      <c r="BT854" s="3236"/>
      <c r="BU854" s="3298"/>
      <c r="BV854" s="3298"/>
      <c r="BW854" s="3298"/>
      <c r="BX854" s="3298"/>
      <c r="BY854" s="3236"/>
      <c r="BZ854" s="441"/>
      <c r="CA854" s="441"/>
      <c r="CB854" s="441"/>
      <c r="CC854" s="441"/>
      <c r="CD854" s="441"/>
      <c r="CE854" s="441"/>
      <c r="CF854" s="441"/>
      <c r="CG854" s="331"/>
      <c r="CH854" s="331"/>
      <c r="CI854" s="331"/>
      <c r="CJ854" s="331"/>
      <c r="CK854" s="331"/>
      <c r="CL854" s="520"/>
      <c r="CM854" s="442"/>
      <c r="CN854" s="442"/>
      <c r="CO854" s="442"/>
      <c r="CP854" s="442"/>
      <c r="CQ854" s="442"/>
      <c r="CR854" s="442"/>
      <c r="CS854" s="442"/>
      <c r="CT854" s="442"/>
      <c r="CU854" s="442"/>
      <c r="CV854" s="442"/>
      <c r="CW854" s="442"/>
      <c r="CX854" s="442"/>
      <c r="CY854" s="442"/>
      <c r="CZ854" s="442"/>
      <c r="DA854" s="442"/>
      <c r="DB854" s="442"/>
      <c r="DC854" s="1312"/>
      <c r="DD854" s="331"/>
      <c r="DE854" s="331"/>
      <c r="DF854" s="502"/>
      <c r="DG854" s="503"/>
      <c r="DH854" s="3298"/>
      <c r="DI854" s="3213"/>
      <c r="DJ854" s="502"/>
      <c r="DK854" s="503"/>
      <c r="DL854" s="502"/>
      <c r="DM854" s="502"/>
      <c r="DN854" s="502"/>
      <c r="DO854" s="502"/>
      <c r="DP854" s="503"/>
      <c r="DQ854" s="503"/>
      <c r="DR854" s="296"/>
      <c r="DS854" s="296"/>
      <c r="DT854" s="296"/>
    </row>
    <row r="855" spans="1:124" ht="12" customHeight="1" x14ac:dyDescent="0.25">
      <c r="A855" s="281" t="s">
        <v>730</v>
      </c>
      <c r="B855" s="281"/>
      <c r="C855" s="570">
        <v>27.186</v>
      </c>
      <c r="D855" s="570">
        <v>25.901</v>
      </c>
      <c r="E855" s="570">
        <v>27.774000000000001</v>
      </c>
      <c r="F855" s="570">
        <v>26.306999999999999</v>
      </c>
      <c r="G855" s="475">
        <f>SUM(C855:F855)</f>
        <v>107.16800000000001</v>
      </c>
      <c r="H855" s="570">
        <v>28.306000000000001</v>
      </c>
      <c r="I855" s="570">
        <v>28.021999999999998</v>
      </c>
      <c r="J855" s="570">
        <v>29.758000000000003</v>
      </c>
      <c r="K855" s="570">
        <v>27.506</v>
      </c>
      <c r="L855" s="475">
        <f>SUM(H855:K855)</f>
        <v>113.59200000000001</v>
      </c>
      <c r="M855" s="570">
        <v>31.008999999999997</v>
      </c>
      <c r="N855" s="570">
        <v>29.8</v>
      </c>
      <c r="O855" s="570">
        <v>30.916000000000004</v>
      </c>
      <c r="P855" s="570">
        <v>29.974000000000004</v>
      </c>
      <c r="Q855" s="475">
        <f>SUM(M855:P855)</f>
        <v>121.699</v>
      </c>
      <c r="R855" s="570">
        <v>32.373999999999995</v>
      </c>
      <c r="S855" s="570">
        <v>32.104999999999997</v>
      </c>
      <c r="T855" s="570">
        <v>31.842000000000002</v>
      </c>
      <c r="U855" s="570">
        <v>29.385000000000002</v>
      </c>
      <c r="V855" s="475">
        <f>SUM(R855:U855)</f>
        <v>125.70599999999999</v>
      </c>
      <c r="W855" s="570">
        <v>24.220999999999997</v>
      </c>
      <c r="X855" s="570">
        <v>23.532</v>
      </c>
      <c r="Y855" s="570">
        <v>23.462</v>
      </c>
      <c r="Z855" s="570">
        <v>20.236000000000001</v>
      </c>
      <c r="AA855" s="475">
        <f>SUM(W855:Z855)</f>
        <v>91.451000000000008</v>
      </c>
      <c r="AB855" s="572">
        <v>21.9</v>
      </c>
      <c r="AC855" s="572">
        <v>22</v>
      </c>
      <c r="AD855" s="572">
        <v>21.4</v>
      </c>
      <c r="AE855" s="572">
        <v>18.899999999999999</v>
      </c>
      <c r="AF855" s="477">
        <f>SUM(AB855:AE855)</f>
        <v>84.199999999999989</v>
      </c>
      <c r="AG855" s="572">
        <v>20.2</v>
      </c>
      <c r="AH855" s="572">
        <v>19.5</v>
      </c>
      <c r="AI855" s="572">
        <v>19.7</v>
      </c>
      <c r="AJ855" s="572">
        <v>17.905999999999999</v>
      </c>
      <c r="AK855" s="477">
        <f>SUM(AG855:AJ855)</f>
        <v>77.306000000000012</v>
      </c>
      <c r="AL855" s="572">
        <v>18.998999999999999</v>
      </c>
      <c r="AM855" s="572">
        <v>19.192999999999998</v>
      </c>
      <c r="AN855" s="572">
        <v>17.977</v>
      </c>
      <c r="AO855" s="572">
        <v>16.920999999999999</v>
      </c>
      <c r="AP855" s="477">
        <f>SUM(AL855:AO855)</f>
        <v>73.09</v>
      </c>
      <c r="AQ855" s="592">
        <v>18.036000000000001</v>
      </c>
      <c r="AR855" s="572">
        <v>18.003999999999998</v>
      </c>
      <c r="AS855" s="572">
        <v>18.02</v>
      </c>
      <c r="AT855" s="572">
        <v>16.910999999999998</v>
      </c>
      <c r="AU855" s="1464">
        <f>SUM(AQ855:AT855)</f>
        <v>70.971000000000004</v>
      </c>
      <c r="AV855" s="592">
        <v>17.537926000000002</v>
      </c>
      <c r="AW855" s="572">
        <v>16.058562999999999</v>
      </c>
      <c r="AX855" s="572">
        <v>16.037262999999999</v>
      </c>
      <c r="AY855" s="572">
        <v>14.629350000000001</v>
      </c>
      <c r="AZ855" s="1464">
        <f>SUM(AV855:AY855)</f>
        <v>64.263102000000003</v>
      </c>
      <c r="BA855" s="2652">
        <v>14.669376</v>
      </c>
      <c r="BB855" s="2654">
        <v>14.479374</v>
      </c>
      <c r="BC855" s="2654">
        <v>14.215969000000001</v>
      </c>
      <c r="BD855" s="2944">
        <v>13.181482000000001</v>
      </c>
      <c r="BE855" s="1866">
        <f>SUM(BA855:BD855)</f>
        <v>56.546201000000003</v>
      </c>
      <c r="BF855" s="2941">
        <v>14.446052999999999</v>
      </c>
      <c r="BG855" s="2941">
        <v>14.771667000000001</v>
      </c>
      <c r="BH855" s="2941">
        <v>13.604216000000001</v>
      </c>
      <c r="BI855" s="2944">
        <v>11.756263000000001</v>
      </c>
      <c r="BJ855" s="1866">
        <f>SUM(BF855:BI855)</f>
        <v>54.578198999999998</v>
      </c>
      <c r="BK855" s="2941">
        <v>12.376076999999999</v>
      </c>
      <c r="BL855" s="2941">
        <v>12.7</v>
      </c>
      <c r="BM855" s="2941">
        <v>12.912684</v>
      </c>
      <c r="BN855" s="2944">
        <v>11.222885</v>
      </c>
      <c r="BO855" s="1866">
        <f>SUM(BK855:BN855)</f>
        <v>49.211645999999995</v>
      </c>
      <c r="BP855" s="2941">
        <v>12.389593000000001</v>
      </c>
      <c r="BQ855" s="2941">
        <v>11.732147000000001</v>
      </c>
      <c r="BR855" s="2941">
        <v>12.470331</v>
      </c>
      <c r="BS855" s="3540">
        <v>11.376583999999999</v>
      </c>
      <c r="BT855" s="2604">
        <f>SUM(BP855:BS855)</f>
        <v>47.968655000000005</v>
      </c>
      <c r="BU855" s="3540">
        <v>11.551483000000001</v>
      </c>
      <c r="BV855" s="2577">
        <f>+BQ855*(1+BV856)</f>
        <v>12.201432880000002</v>
      </c>
      <c r="BW855" s="2577">
        <f>+BR855*(1+BW856)</f>
        <v>12.595034309999999</v>
      </c>
      <c r="BX855" s="2577">
        <f>+BS855*(1+BX856)</f>
        <v>11.490349839999999</v>
      </c>
      <c r="BY855" s="2604">
        <f>SUM(BU855:BX855)</f>
        <v>47.838300030000006</v>
      </c>
      <c r="BZ855" s="477">
        <f t="shared" ref="BZ855:CF855" si="1990">BY855*(1+BZ856)</f>
        <v>47.838300030000006</v>
      </c>
      <c r="CA855" s="477">
        <f t="shared" si="1990"/>
        <v>46.881534029400008</v>
      </c>
      <c r="CB855" s="477">
        <f t="shared" si="1990"/>
        <v>44.537457327930007</v>
      </c>
      <c r="CC855" s="477">
        <f t="shared" si="1990"/>
        <v>42.310584461533502</v>
      </c>
      <c r="CD855" s="477">
        <f t="shared" si="1990"/>
        <v>43.156796150764173</v>
      </c>
      <c r="CE855" s="477">
        <f t="shared" si="1990"/>
        <v>44.019932073779458</v>
      </c>
      <c r="CF855" s="477">
        <f t="shared" si="1990"/>
        <v>44.900330715255045</v>
      </c>
      <c r="CG855" s="331"/>
      <c r="CH855" s="331"/>
      <c r="CI855" s="331"/>
      <c r="CJ855" s="331"/>
      <c r="CK855" s="331"/>
      <c r="CL855" s="520" t="str">
        <f>A855</f>
        <v>Casino revenue</v>
      </c>
      <c r="CM855" s="476">
        <f>G855</f>
        <v>107.16800000000001</v>
      </c>
      <c r="CN855" s="476">
        <f>L855</f>
        <v>113.59200000000001</v>
      </c>
      <c r="CO855" s="476">
        <f>Q855</f>
        <v>121.699</v>
      </c>
      <c r="CP855" s="476">
        <f>V855</f>
        <v>125.70599999999999</v>
      </c>
      <c r="CQ855" s="476">
        <f>AA855</f>
        <v>91.451000000000008</v>
      </c>
      <c r="CR855" s="476">
        <f>AF855</f>
        <v>84.199999999999989</v>
      </c>
      <c r="CS855" s="476">
        <f>AK855</f>
        <v>77.306000000000012</v>
      </c>
      <c r="CT855" s="476">
        <f>AP855</f>
        <v>73.09</v>
      </c>
      <c r="CU855" s="476">
        <f>AU855</f>
        <v>70.971000000000004</v>
      </c>
      <c r="CV855" s="476">
        <f>AZ855</f>
        <v>64.263102000000003</v>
      </c>
      <c r="CW855" s="476">
        <f>BE855</f>
        <v>56.546201000000003</v>
      </c>
      <c r="CX855" s="476">
        <f>BJ855</f>
        <v>54.578198999999998</v>
      </c>
      <c r="CY855" s="476">
        <f>BO855</f>
        <v>49.211645999999995</v>
      </c>
      <c r="CZ855" s="476">
        <f>BT855</f>
        <v>47.968655000000005</v>
      </c>
      <c r="DA855" s="476">
        <f t="shared" ref="DA855:DC859" si="1991">BY855</f>
        <v>47.838300030000006</v>
      </c>
      <c r="DB855" s="476">
        <f t="shared" si="1991"/>
        <v>47.838300030000006</v>
      </c>
      <c r="DC855" s="682">
        <f t="shared" si="1991"/>
        <v>46.881534029400008</v>
      </c>
      <c r="DD855" s="331"/>
      <c r="DE855" s="331"/>
      <c r="DF855" s="502"/>
      <c r="DG855" s="503"/>
      <c r="DH855" s="2577"/>
      <c r="DI855" s="3213"/>
      <c r="DJ855" s="502"/>
      <c r="DK855" s="503"/>
      <c r="DL855" s="502"/>
      <c r="DM855" s="502"/>
      <c r="DN855" s="502"/>
      <c r="DO855" s="502"/>
      <c r="DP855" s="503"/>
      <c r="DQ855" s="503"/>
      <c r="DR855" s="296"/>
      <c r="DS855" s="296"/>
      <c r="DT855" s="296"/>
    </row>
    <row r="856" spans="1:124" ht="12" customHeight="1" x14ac:dyDescent="0.25">
      <c r="A856" s="465" t="s">
        <v>1491</v>
      </c>
      <c r="B856" s="281"/>
      <c r="C856" s="472" t="s">
        <v>553</v>
      </c>
      <c r="D856" s="472" t="s">
        <v>553</v>
      </c>
      <c r="E856" s="472" t="s">
        <v>553</v>
      </c>
      <c r="F856" s="472" t="s">
        <v>553</v>
      </c>
      <c r="G856" s="491" t="s">
        <v>553</v>
      </c>
      <c r="H856" s="472">
        <f t="shared" ref="H856:BU856" si="1992">(H855-C855)/C855</f>
        <v>4.1197675274038142E-2</v>
      </c>
      <c r="I856" s="472">
        <f t="shared" si="1992"/>
        <v>8.1888730164858453E-2</v>
      </c>
      <c r="J856" s="472">
        <f t="shared" si="1992"/>
        <v>7.1433714985238053E-2</v>
      </c>
      <c r="K856" s="472">
        <f t="shared" si="1992"/>
        <v>4.5577222792412733E-2</v>
      </c>
      <c r="L856" s="491">
        <f t="shared" si="1992"/>
        <v>5.9943266646760286E-2</v>
      </c>
      <c r="M856" s="472">
        <f t="shared" si="1992"/>
        <v>9.5492121811629888E-2</v>
      </c>
      <c r="N856" s="472">
        <f t="shared" si="1992"/>
        <v>6.3450146313610817E-2</v>
      </c>
      <c r="O856" s="472">
        <f t="shared" si="1992"/>
        <v>3.8913905504402213E-2</v>
      </c>
      <c r="P856" s="472">
        <f t="shared" si="1992"/>
        <v>8.9725877990256803E-2</v>
      </c>
      <c r="Q856" s="491">
        <f t="shared" si="1992"/>
        <v>7.1369462638213824E-2</v>
      </c>
      <c r="R856" s="472">
        <f t="shared" si="1992"/>
        <v>4.4019478216001759E-2</v>
      </c>
      <c r="S856" s="472">
        <f t="shared" si="1992"/>
        <v>7.7348993288590476E-2</v>
      </c>
      <c r="T856" s="472">
        <f t="shared" si="1992"/>
        <v>2.9952128347781028E-2</v>
      </c>
      <c r="U856" s="472">
        <f t="shared" si="1992"/>
        <v>-1.9650363648495432E-2</v>
      </c>
      <c r="V856" s="491">
        <f t="shared" si="1992"/>
        <v>3.292549651188581E-2</v>
      </c>
      <c r="W856" s="472">
        <f t="shared" si="1992"/>
        <v>-0.25183789460678324</v>
      </c>
      <c r="X856" s="472">
        <f t="shared" si="1992"/>
        <v>-0.26703005762342308</v>
      </c>
      <c r="Y856" s="472">
        <f t="shared" si="1992"/>
        <v>-0.26317442371710326</v>
      </c>
      <c r="Z856" s="472">
        <f t="shared" si="1992"/>
        <v>-0.31134932788837844</v>
      </c>
      <c r="AA856" s="491">
        <f t="shared" si="1992"/>
        <v>-0.27250091483302297</v>
      </c>
      <c r="AB856" s="472">
        <f t="shared" si="1992"/>
        <v>-9.5825936171091128E-2</v>
      </c>
      <c r="AC856" s="472">
        <f t="shared" si="1992"/>
        <v>-6.5102838687744344E-2</v>
      </c>
      <c r="AD856" s="472">
        <f t="shared" si="1992"/>
        <v>-8.788679566959344E-2</v>
      </c>
      <c r="AE856" s="492">
        <f t="shared" si="1992"/>
        <v>-6.6020952757462045E-2</v>
      </c>
      <c r="AF856" s="493">
        <f t="shared" si="1992"/>
        <v>-7.9288362073679008E-2</v>
      </c>
      <c r="AG856" s="472">
        <f t="shared" si="1992"/>
        <v>-7.7625570776255676E-2</v>
      </c>
      <c r="AH856" s="472">
        <f t="shared" si="1992"/>
        <v>-0.11363636363636363</v>
      </c>
      <c r="AI856" s="472">
        <f t="shared" si="1992"/>
        <v>-7.9439252336448565E-2</v>
      </c>
      <c r="AJ856" s="472">
        <f t="shared" si="1992"/>
        <v>-5.2592592592592587E-2</v>
      </c>
      <c r="AK856" s="493">
        <f>(AK855-AF855)/AF855</f>
        <v>-8.1876484560569812E-2</v>
      </c>
      <c r="AL856" s="472">
        <f t="shared" si="1992"/>
        <v>-5.945544554455448E-2</v>
      </c>
      <c r="AM856" s="472">
        <f t="shared" si="1992"/>
        <v>-1.5743589743589855E-2</v>
      </c>
      <c r="AN856" s="472">
        <f t="shared" si="1992"/>
        <v>-8.74619289340101E-2</v>
      </c>
      <c r="AO856" s="472">
        <f t="shared" si="1992"/>
        <v>-5.5009494024349355E-2</v>
      </c>
      <c r="AP856" s="493">
        <f>(AP855-AK855)/AK855</f>
        <v>-5.453651721729242E-2</v>
      </c>
      <c r="AQ856" s="472">
        <f t="shared" si="1992"/>
        <v>-5.0686878256750223E-2</v>
      </c>
      <c r="AR856" s="472">
        <f t="shared" si="1992"/>
        <v>-6.1949669150211023E-2</v>
      </c>
      <c r="AS856" s="472">
        <f t="shared" si="1992"/>
        <v>2.3919452633920711E-3</v>
      </c>
      <c r="AT856" s="472">
        <f t="shared" si="1992"/>
        <v>-5.909816204716957E-4</v>
      </c>
      <c r="AU856" s="1696">
        <f>(AU855-AP855)/AP855</f>
        <v>-2.8991654125051301E-2</v>
      </c>
      <c r="AV856" s="472">
        <f t="shared" si="1992"/>
        <v>-2.7615546684408902E-2</v>
      </c>
      <c r="AW856" s="472">
        <f t="shared" si="1992"/>
        <v>-0.10805582092868243</v>
      </c>
      <c r="AX856" s="472">
        <f t="shared" si="1992"/>
        <v>-0.1100298002219756</v>
      </c>
      <c r="AY856" s="472">
        <f t="shared" si="1992"/>
        <v>-0.13492105729998211</v>
      </c>
      <c r="AZ856" s="1696">
        <f>(AZ855-AU855)/AU855</f>
        <v>-9.4516041763537215E-2</v>
      </c>
      <c r="BA856" s="471">
        <f t="shared" si="1992"/>
        <v>-0.16356266983906775</v>
      </c>
      <c r="BB856" s="2653">
        <f t="shared" si="1992"/>
        <v>-9.8339371959994148E-2</v>
      </c>
      <c r="BC856" s="2653">
        <f t="shared" si="1992"/>
        <v>-0.11356638598494009</v>
      </c>
      <c r="BD856" s="2950">
        <f t="shared" si="1992"/>
        <v>-9.8970084111734261E-2</v>
      </c>
      <c r="BE856" s="1909">
        <f>(BE855-AZ855)/AZ855</f>
        <v>-0.12008292098940383</v>
      </c>
      <c r="BF856" s="2653">
        <f t="shared" si="1992"/>
        <v>-1.5223755938902964E-2</v>
      </c>
      <c r="BG856" s="2653">
        <f t="shared" si="1992"/>
        <v>2.0186853381921124E-2</v>
      </c>
      <c r="BH856" s="2653">
        <f t="shared" si="1992"/>
        <v>-4.3032803462078467E-2</v>
      </c>
      <c r="BI856" s="2950">
        <f t="shared" si="1992"/>
        <v>-0.10812281957370197</v>
      </c>
      <c r="BJ856" s="1909">
        <f>(BJ855-BE855)/BE855</f>
        <v>-3.4803434451768131E-2</v>
      </c>
      <c r="BK856" s="2653">
        <f t="shared" si="1992"/>
        <v>-0.14329007376616995</v>
      </c>
      <c r="BL856" s="2653">
        <f t="shared" si="1992"/>
        <v>-0.14024598577804395</v>
      </c>
      <c r="BM856" s="2653">
        <f t="shared" si="1992"/>
        <v>-5.0832183199678721E-2</v>
      </c>
      <c r="BN856" s="2950">
        <f t="shared" si="1992"/>
        <v>-4.5369689330699799E-2</v>
      </c>
      <c r="BO856" s="1909">
        <f>(BO855-BJ855)/BJ855</f>
        <v>-9.832777736033399E-2</v>
      </c>
      <c r="BP856" s="2653">
        <f t="shared" si="1992"/>
        <v>1.0921069738013709E-3</v>
      </c>
      <c r="BQ856" s="2653">
        <f t="shared" si="1992"/>
        <v>-7.6208897637795134E-2</v>
      </c>
      <c r="BR856" s="2653">
        <f t="shared" si="1992"/>
        <v>-3.4257246595672954E-2</v>
      </c>
      <c r="BS856" s="2653">
        <f t="shared" si="1992"/>
        <v>1.3695141668118277E-2</v>
      </c>
      <c r="BT856" s="2693">
        <f>(BT855-BO855)/BO855</f>
        <v>-2.5258065946422305E-2</v>
      </c>
      <c r="BU856" s="2653">
        <f t="shared" si="1992"/>
        <v>-6.7646289914446767E-2</v>
      </c>
      <c r="BV856" s="936">
        <v>0.04</v>
      </c>
      <c r="BW856" s="936">
        <v>0.01</v>
      </c>
      <c r="BX856" s="936">
        <v>0.01</v>
      </c>
      <c r="BY856" s="2693">
        <f>(BY855-BT855)/BT855</f>
        <v>-2.7175031278237646E-3</v>
      </c>
      <c r="BZ856" s="2561">
        <v>0</v>
      </c>
      <c r="CA856" s="3128">
        <v>-0.02</v>
      </c>
      <c r="CB856" s="566">
        <v>-0.05</v>
      </c>
      <c r="CC856" s="566">
        <v>-0.05</v>
      </c>
      <c r="CD856" s="566">
        <v>0.02</v>
      </c>
      <c r="CE856" s="566">
        <v>0.02</v>
      </c>
      <c r="CF856" s="566">
        <v>0.02</v>
      </c>
      <c r="CG856" s="331"/>
      <c r="CH856" s="331"/>
      <c r="CI856" s="331"/>
      <c r="CJ856" s="331"/>
      <c r="CK856" s="331"/>
      <c r="CL856" s="1310" t="str">
        <f>A856</f>
        <v>% growth (y-o-y)</v>
      </c>
      <c r="CM856" s="492" t="str">
        <f>G856</f>
        <v xml:space="preserve">n/a </v>
      </c>
      <c r="CN856" s="492">
        <f>L856</f>
        <v>5.9943266646760286E-2</v>
      </c>
      <c r="CO856" s="492">
        <f>Q856</f>
        <v>7.1369462638213824E-2</v>
      </c>
      <c r="CP856" s="492">
        <f>V856</f>
        <v>3.292549651188581E-2</v>
      </c>
      <c r="CQ856" s="492">
        <f>AA856</f>
        <v>-0.27250091483302297</v>
      </c>
      <c r="CR856" s="492">
        <f>AF856</f>
        <v>-7.9288362073679008E-2</v>
      </c>
      <c r="CS856" s="492">
        <f>AK856</f>
        <v>-8.1876484560569812E-2</v>
      </c>
      <c r="CT856" s="492">
        <f>AP856</f>
        <v>-5.453651721729242E-2</v>
      </c>
      <c r="CU856" s="492">
        <f>AU856</f>
        <v>-2.8991654125051301E-2</v>
      </c>
      <c r="CV856" s="492">
        <f>AZ856</f>
        <v>-9.4516041763537215E-2</v>
      </c>
      <c r="CW856" s="492">
        <f>BE856</f>
        <v>-0.12008292098940383</v>
      </c>
      <c r="CX856" s="492">
        <f>BJ856</f>
        <v>-3.4803434451768131E-2</v>
      </c>
      <c r="CY856" s="492">
        <f>BO856</f>
        <v>-9.832777736033399E-2</v>
      </c>
      <c r="CZ856" s="492">
        <f>BT856</f>
        <v>-2.5258065946422305E-2</v>
      </c>
      <c r="DA856" s="492">
        <f t="shared" si="1991"/>
        <v>-2.7175031278237646E-3</v>
      </c>
      <c r="DB856" s="492">
        <f t="shared" si="1991"/>
        <v>0</v>
      </c>
      <c r="DC856" s="1311">
        <f t="shared" si="1991"/>
        <v>-0.02</v>
      </c>
      <c r="DD856" s="331"/>
      <c r="DE856" s="331"/>
      <c r="DF856" s="502"/>
      <c r="DG856" s="503"/>
      <c r="DH856" s="2653"/>
      <c r="DI856" s="3213"/>
      <c r="DJ856" s="502"/>
      <c r="DK856" s="503"/>
      <c r="DL856" s="502"/>
      <c r="DM856" s="502"/>
      <c r="DN856" s="502"/>
      <c r="DO856" s="502"/>
      <c r="DP856" s="503"/>
      <c r="DQ856" s="503"/>
      <c r="DR856" s="296"/>
      <c r="DS856" s="296"/>
      <c r="DT856" s="296"/>
    </row>
    <row r="857" spans="1:124" ht="12" customHeight="1" x14ac:dyDescent="0.25">
      <c r="A857" s="281" t="s">
        <v>645</v>
      </c>
      <c r="B857" s="281"/>
      <c r="C857" s="452">
        <f t="shared" ref="C857:AD857" si="1993">C858-C855</f>
        <v>-1.1419999999999995</v>
      </c>
      <c r="D857" s="452">
        <f t="shared" si="1993"/>
        <v>-1.3109999999999999</v>
      </c>
      <c r="E857" s="452">
        <f t="shared" si="1993"/>
        <v>-1.3410000000000011</v>
      </c>
      <c r="F857" s="452">
        <f t="shared" si="1993"/>
        <v>-1.0539999999999985</v>
      </c>
      <c r="G857" s="475">
        <f t="shared" si="1993"/>
        <v>-4.847999999999999</v>
      </c>
      <c r="H857" s="452">
        <f t="shared" si="1993"/>
        <v>-1.0970000000000013</v>
      </c>
      <c r="I857" s="452">
        <f t="shared" si="1993"/>
        <v>-1.4009999999999998</v>
      </c>
      <c r="J857" s="452">
        <f t="shared" si="1993"/>
        <v>-2.2420000000000044</v>
      </c>
      <c r="K857" s="452">
        <f t="shared" si="1993"/>
        <v>0.18900000000000006</v>
      </c>
      <c r="L857" s="475">
        <f t="shared" si="1993"/>
        <v>-4.5510000000000161</v>
      </c>
      <c r="M857" s="452">
        <f t="shared" si="1993"/>
        <v>-1.4899999999999984</v>
      </c>
      <c r="N857" s="452">
        <f t="shared" si="1993"/>
        <v>-1.5950000000000024</v>
      </c>
      <c r="O857" s="452">
        <f t="shared" si="1993"/>
        <v>-1.8260000000000041</v>
      </c>
      <c r="P857" s="452">
        <f t="shared" si="1993"/>
        <v>-1.5940000000000047</v>
      </c>
      <c r="Q857" s="475">
        <f t="shared" si="1993"/>
        <v>-6.5050000000000097</v>
      </c>
      <c r="R857" s="452">
        <f t="shared" si="1993"/>
        <v>-1.5109999999999957</v>
      </c>
      <c r="S857" s="452">
        <f t="shared" si="1993"/>
        <v>-1.7389999999999972</v>
      </c>
      <c r="T857" s="452">
        <f t="shared" si="1993"/>
        <v>-1.7920000000000016</v>
      </c>
      <c r="U857" s="452">
        <f t="shared" si="1993"/>
        <v>-1.4980000000000011</v>
      </c>
      <c r="V857" s="475">
        <f t="shared" si="1993"/>
        <v>-6.539999999999992</v>
      </c>
      <c r="W857" s="452">
        <f t="shared" si="1993"/>
        <v>-1.5239999999999974</v>
      </c>
      <c r="X857" s="452">
        <f t="shared" si="1993"/>
        <v>-1.8009999999999984</v>
      </c>
      <c r="Y857" s="452">
        <f t="shared" si="1993"/>
        <v>-2.7339999999999982</v>
      </c>
      <c r="Z857" s="452">
        <f t="shared" si="1993"/>
        <v>-1.3520000000000003</v>
      </c>
      <c r="AA857" s="475">
        <f>SUM(W857:Z857)</f>
        <v>-7.4109999999999943</v>
      </c>
      <c r="AB857" s="452">
        <f t="shared" si="1993"/>
        <v>-1.3009999999999984</v>
      </c>
      <c r="AC857" s="452">
        <f t="shared" si="1993"/>
        <v>-1.5</v>
      </c>
      <c r="AD857" s="452">
        <f t="shared" si="1993"/>
        <v>-1.6509999999999998</v>
      </c>
      <c r="AE857" s="452">
        <f>AE858-AE855</f>
        <v>-1.5179999999999971</v>
      </c>
      <c r="AF857" s="477">
        <f>SUM(AB857:AE857)</f>
        <v>-5.9699999999999953</v>
      </c>
      <c r="AG857" s="452">
        <f>AG858-AG855</f>
        <v>-1.5820000000000007</v>
      </c>
      <c r="AH857" s="452">
        <f>AG857</f>
        <v>-1.5820000000000007</v>
      </c>
      <c r="AI857" s="452">
        <f>AH857</f>
        <v>-1.5820000000000007</v>
      </c>
      <c r="AJ857" s="452">
        <f>AI857</f>
        <v>-1.5820000000000007</v>
      </c>
      <c r="AK857" s="477">
        <f>SUM(AG857:AJ857)</f>
        <v>-6.328000000000003</v>
      </c>
      <c r="AL857" s="452">
        <f>AL858-AL855</f>
        <v>-0.76899999999999835</v>
      </c>
      <c r="AM857" s="452">
        <f>AM858-AM855</f>
        <v>-1.0869999999999962</v>
      </c>
      <c r="AN857" s="452">
        <f>AM857</f>
        <v>-1.0869999999999962</v>
      </c>
      <c r="AO857" s="452">
        <f>AN857</f>
        <v>-1.0869999999999962</v>
      </c>
      <c r="AP857" s="477">
        <f>SUM(AL857:AO857)</f>
        <v>-4.0299999999999869</v>
      </c>
      <c r="AQ857" s="478">
        <f>+AL857</f>
        <v>-0.76899999999999835</v>
      </c>
      <c r="AR857" s="476">
        <f>+AM857</f>
        <v>-1.0869999999999962</v>
      </c>
      <c r="AS857" s="476">
        <f>+AN857</f>
        <v>-1.0869999999999962</v>
      </c>
      <c r="AT857" s="476">
        <f>+AO857</f>
        <v>-1.0869999999999962</v>
      </c>
      <c r="AU857" s="1464">
        <f>SUM(AQ857:AT857)</f>
        <v>-4.0299999999999869</v>
      </c>
      <c r="AV857" s="1865">
        <f>+AQ857</f>
        <v>-0.76899999999999835</v>
      </c>
      <c r="AW857" s="1771">
        <f>+AR857</f>
        <v>-1.0869999999999962</v>
      </c>
      <c r="AX857" s="1771">
        <f>+AS857</f>
        <v>-1.0869999999999962</v>
      </c>
      <c r="AY857" s="1866">
        <f>+AT857</f>
        <v>-1.0869999999999962</v>
      </c>
      <c r="AZ857" s="1464">
        <f>SUM(AV857:AY857)</f>
        <v>-4.0299999999999869</v>
      </c>
      <c r="BA857" s="2973">
        <v>-1.5</v>
      </c>
      <c r="BB857" s="3198">
        <v>-1.5</v>
      </c>
      <c r="BC857" s="3198">
        <v>-1.5</v>
      </c>
      <c r="BD857" s="2941">
        <v>-1.5</v>
      </c>
      <c r="BE857" s="2916">
        <f>SUM(BA857:BD857)</f>
        <v>-6</v>
      </c>
      <c r="BF857" s="1865">
        <f>+BA857</f>
        <v>-1.5</v>
      </c>
      <c r="BG857" s="1771">
        <f>+BB857</f>
        <v>-1.5</v>
      </c>
      <c r="BH857" s="1771">
        <f>+BC857</f>
        <v>-1.5</v>
      </c>
      <c r="BI857" s="2944">
        <v>-0.5</v>
      </c>
      <c r="BJ857" s="2916">
        <f>SUM(BF857:BI857)</f>
        <v>-5</v>
      </c>
      <c r="BK857" s="2941">
        <v>-0.5</v>
      </c>
      <c r="BL857" s="2941">
        <v>-0.5</v>
      </c>
      <c r="BM857" s="2941">
        <v>-1</v>
      </c>
      <c r="BN857" s="3030">
        <f>+BM857</f>
        <v>-1</v>
      </c>
      <c r="BO857" s="2916">
        <f>SUM(BK857:BN857)</f>
        <v>-3</v>
      </c>
      <c r="BP857" s="2941">
        <v>-1</v>
      </c>
      <c r="BQ857" s="2941">
        <v>-1</v>
      </c>
      <c r="BR857" s="2941">
        <v>-2</v>
      </c>
      <c r="BS857" s="2941">
        <v>-1.5</v>
      </c>
      <c r="BT857" s="3457">
        <f>SUM(BP857:BS857)</f>
        <v>-5.5</v>
      </c>
      <c r="BU857" s="3446">
        <f>BS857</f>
        <v>-1.5</v>
      </c>
      <c r="BV857" s="3446">
        <f>+BU857</f>
        <v>-1.5</v>
      </c>
      <c r="BW857" s="3446">
        <f>+BV857</f>
        <v>-1.5</v>
      </c>
      <c r="BX857" s="3446">
        <f>+BW857</f>
        <v>-1.5</v>
      </c>
      <c r="BY857" s="2604">
        <f>SUM(BU857:BX857)</f>
        <v>-6</v>
      </c>
      <c r="BZ857" s="2966">
        <f>+BY857</f>
        <v>-6</v>
      </c>
      <c r="CA857" s="2966">
        <f>+BZ857</f>
        <v>-6</v>
      </c>
      <c r="CB857" s="573">
        <f>CA857-0.2</f>
        <v>-6.2</v>
      </c>
      <c r="CC857" s="573">
        <f>CB857-0.2</f>
        <v>-6.4</v>
      </c>
      <c r="CD857" s="573">
        <f>CC857-0.2</f>
        <v>-6.6000000000000005</v>
      </c>
      <c r="CE857" s="573">
        <f>CD857-0.2</f>
        <v>-6.8000000000000007</v>
      </c>
      <c r="CF857" s="573">
        <f>CE857-0.2</f>
        <v>-7.0000000000000009</v>
      </c>
      <c r="CG857" s="331"/>
      <c r="CH857" s="331"/>
      <c r="CI857" s="331"/>
      <c r="CJ857" s="331"/>
      <c r="CK857" s="331"/>
      <c r="CL857" s="520" t="str">
        <f>A857</f>
        <v>Other revenue</v>
      </c>
      <c r="CM857" s="476">
        <f>G857</f>
        <v>-4.847999999999999</v>
      </c>
      <c r="CN857" s="476">
        <f>L857</f>
        <v>-4.5510000000000161</v>
      </c>
      <c r="CO857" s="476">
        <f>Q857</f>
        <v>-6.5050000000000097</v>
      </c>
      <c r="CP857" s="476">
        <f>V857</f>
        <v>-6.539999999999992</v>
      </c>
      <c r="CQ857" s="476">
        <f>AA857</f>
        <v>-7.4109999999999943</v>
      </c>
      <c r="CR857" s="476">
        <f>AF857</f>
        <v>-5.9699999999999953</v>
      </c>
      <c r="CS857" s="476">
        <f>AK857</f>
        <v>-6.328000000000003</v>
      </c>
      <c r="CT857" s="476">
        <f>AP857</f>
        <v>-4.0299999999999869</v>
      </c>
      <c r="CU857" s="476">
        <f>AU857</f>
        <v>-4.0299999999999869</v>
      </c>
      <c r="CV857" s="476">
        <f>AZ857</f>
        <v>-4.0299999999999869</v>
      </c>
      <c r="CW857" s="476">
        <f>BE857</f>
        <v>-6</v>
      </c>
      <c r="CX857" s="476">
        <f>BJ857</f>
        <v>-5</v>
      </c>
      <c r="CY857" s="476">
        <f>BO857</f>
        <v>-3</v>
      </c>
      <c r="CZ857" s="476">
        <f>BT857</f>
        <v>-5.5</v>
      </c>
      <c r="DA857" s="476">
        <f t="shared" si="1991"/>
        <v>-6</v>
      </c>
      <c r="DB857" s="476">
        <f t="shared" si="1991"/>
        <v>-6</v>
      </c>
      <c r="DC857" s="682">
        <f t="shared" si="1991"/>
        <v>-6</v>
      </c>
      <c r="DD857" s="331"/>
      <c r="DE857" s="331"/>
      <c r="DF857" s="502"/>
      <c r="DG857" s="503"/>
      <c r="DH857" s="2577"/>
      <c r="DI857" s="3213"/>
      <c r="DJ857" s="502"/>
      <c r="DK857" s="503"/>
      <c r="DL857" s="502"/>
      <c r="DM857" s="502"/>
      <c r="DN857" s="502"/>
      <c r="DO857" s="502"/>
      <c r="DP857" s="503"/>
      <c r="DQ857" s="503"/>
      <c r="DR857" s="296"/>
      <c r="DS857" s="296"/>
      <c r="DT857" s="296"/>
    </row>
    <row r="858" spans="1:124" ht="12" customHeight="1" x14ac:dyDescent="0.25">
      <c r="A858" s="496" t="s">
        <v>1418</v>
      </c>
      <c r="B858" s="1007"/>
      <c r="C858" s="1008">
        <v>26.044</v>
      </c>
      <c r="D858" s="1008">
        <v>24.59</v>
      </c>
      <c r="E858" s="1008">
        <v>26.433</v>
      </c>
      <c r="F858" s="1008">
        <v>25.253</v>
      </c>
      <c r="G858" s="1009">
        <f>SUM(C858:F858)</f>
        <v>102.32000000000001</v>
      </c>
      <c r="H858" s="1008">
        <v>27.209</v>
      </c>
      <c r="I858" s="1008">
        <v>26.620999999999999</v>
      </c>
      <c r="J858" s="1008">
        <v>27.515999999999998</v>
      </c>
      <c r="K858" s="1008">
        <v>27.695</v>
      </c>
      <c r="L858" s="1009">
        <f>SUM(H858:K858)</f>
        <v>109.041</v>
      </c>
      <c r="M858" s="1008">
        <v>29.518999999999998</v>
      </c>
      <c r="N858" s="1008">
        <v>28.204999999999998</v>
      </c>
      <c r="O858" s="1008">
        <v>29.09</v>
      </c>
      <c r="P858" s="1008">
        <v>28.38</v>
      </c>
      <c r="Q858" s="1009">
        <f>SUM(M858:P858)</f>
        <v>115.19399999999999</v>
      </c>
      <c r="R858" s="1008">
        <v>30.863</v>
      </c>
      <c r="S858" s="1008">
        <v>30.366</v>
      </c>
      <c r="T858" s="1008">
        <v>30.05</v>
      </c>
      <c r="U858" s="1008">
        <v>27.887</v>
      </c>
      <c r="V858" s="1009">
        <f>SUM(R858:U858)</f>
        <v>119.166</v>
      </c>
      <c r="W858" s="1008">
        <v>22.696999999999999</v>
      </c>
      <c r="X858" s="1008">
        <v>21.731000000000002</v>
      </c>
      <c r="Y858" s="1008">
        <v>20.728000000000002</v>
      </c>
      <c r="Z858" s="1008">
        <v>18.884</v>
      </c>
      <c r="AA858" s="1009">
        <f>SUM(W858:Z858)</f>
        <v>84.04</v>
      </c>
      <c r="AB858" s="1008">
        <v>20.599</v>
      </c>
      <c r="AC858" s="1008">
        <v>20.5</v>
      </c>
      <c r="AD858" s="1008">
        <v>19.748999999999999</v>
      </c>
      <c r="AE858" s="1010">
        <v>17.382000000000001</v>
      </c>
      <c r="AF858" s="1011">
        <f>SUM(AB858:AE858)</f>
        <v>78.23</v>
      </c>
      <c r="AG858" s="1010">
        <v>18.617999999999999</v>
      </c>
      <c r="AH858" s="1010">
        <v>18.138000000000002</v>
      </c>
      <c r="AI858" s="1010">
        <v>18.626000000000001</v>
      </c>
      <c r="AJ858" s="1010">
        <v>16.898</v>
      </c>
      <c r="AK858" s="1011">
        <f>SUM(AG858:AJ858)</f>
        <v>72.28</v>
      </c>
      <c r="AL858" s="1010">
        <v>18.23</v>
      </c>
      <c r="AM858" s="1010">
        <v>18.106000000000002</v>
      </c>
      <c r="AN858" s="1593">
        <f>AN855+AN857</f>
        <v>16.890000000000004</v>
      </c>
      <c r="AO858" s="1012">
        <f>AO855+AO857</f>
        <v>15.834000000000003</v>
      </c>
      <c r="AP858" s="1013">
        <f>SUM(AL858:AO858)</f>
        <v>69.06</v>
      </c>
      <c r="AQ858" s="1013">
        <f>AQ855+AQ857</f>
        <v>17.267000000000003</v>
      </c>
      <c r="AR858" s="1012">
        <f>AR855+AR857</f>
        <v>16.917000000000002</v>
      </c>
      <c r="AS858" s="1012">
        <f>AS855+AS857</f>
        <v>16.933000000000003</v>
      </c>
      <c r="AT858" s="1012">
        <f>AT855+AT857</f>
        <v>15.824000000000002</v>
      </c>
      <c r="AU858" s="1691">
        <f>SUM(AQ858:AT858)</f>
        <v>66.941000000000003</v>
      </c>
      <c r="AV858" s="1904">
        <f>AV855+AV857</f>
        <v>16.768926000000004</v>
      </c>
      <c r="AW858" s="1838">
        <f>AW855+AW857</f>
        <v>14.971563000000003</v>
      </c>
      <c r="AX858" s="1838">
        <f>AX855+AX857</f>
        <v>14.950263000000003</v>
      </c>
      <c r="AY858" s="1905">
        <f>AY855+AY857</f>
        <v>13.542350000000004</v>
      </c>
      <c r="AZ858" s="1691">
        <f>SUM(AV858:AY858)</f>
        <v>60.233102000000017</v>
      </c>
      <c r="BA858" s="1013">
        <f>BA855+BA857</f>
        <v>13.169376</v>
      </c>
      <c r="BB858" s="1012">
        <f>BB855+BB857</f>
        <v>12.979374</v>
      </c>
      <c r="BC858" s="1012">
        <f>BC855+BC857</f>
        <v>12.715969000000001</v>
      </c>
      <c r="BD858" s="1877">
        <f>BD855+BD857</f>
        <v>11.681482000000001</v>
      </c>
      <c r="BE858" s="1905">
        <f>SUM(BA858:BD858)</f>
        <v>50.546201000000003</v>
      </c>
      <c r="BF858" s="1012">
        <f>BF855+BF857</f>
        <v>12.946052999999999</v>
      </c>
      <c r="BG858" s="1012">
        <f>BG855+BG857</f>
        <v>13.271667000000001</v>
      </c>
      <c r="BH858" s="1012">
        <f>BH855+BH857</f>
        <v>12.104216000000001</v>
      </c>
      <c r="BI858" s="1877">
        <f>BI855+BI857</f>
        <v>11.256263000000001</v>
      </c>
      <c r="BJ858" s="1905">
        <f>SUM(BF858:BI858)</f>
        <v>49.578198999999998</v>
      </c>
      <c r="BK858" s="1012">
        <f>BK855+BK857</f>
        <v>11.876076999999999</v>
      </c>
      <c r="BL858" s="1012">
        <f>BL855+BL857</f>
        <v>12.2</v>
      </c>
      <c r="BM858" s="1012">
        <f>BM855+BM857</f>
        <v>11.912684</v>
      </c>
      <c r="BN858" s="1877">
        <f>BN855+BN857</f>
        <v>10.222885</v>
      </c>
      <c r="BO858" s="1905">
        <f>SUM(BK858:BN858)</f>
        <v>46.211645999999995</v>
      </c>
      <c r="BP858" s="1012">
        <f>BP855+BP857</f>
        <v>11.389593000000001</v>
      </c>
      <c r="BQ858" s="1012">
        <f>BQ855+BQ857</f>
        <v>10.732147000000001</v>
      </c>
      <c r="BR858" s="1012">
        <f>BR855+BR857</f>
        <v>10.470331</v>
      </c>
      <c r="BS858" s="1012">
        <f>BS855+BS857</f>
        <v>9.8765839999999994</v>
      </c>
      <c r="BT858" s="1011">
        <f>SUM(BP858:BS858)</f>
        <v>42.468655000000005</v>
      </c>
      <c r="BU858" s="1012">
        <f>BU855+BU857</f>
        <v>10.051483000000001</v>
      </c>
      <c r="BV858" s="1012">
        <f>BV855+BV857</f>
        <v>10.701432880000002</v>
      </c>
      <c r="BW858" s="1012">
        <f>BW855+BW857</f>
        <v>11.095034309999999</v>
      </c>
      <c r="BX858" s="1012">
        <f>BX855+BX857</f>
        <v>9.9903498399999986</v>
      </c>
      <c r="BY858" s="1011">
        <f>SUM(BU858:BX858)</f>
        <v>41.838300029999999</v>
      </c>
      <c r="BZ858" s="1011">
        <f t="shared" ref="BZ858:CF858" si="1994">BZ855+BZ857</f>
        <v>41.838300030000006</v>
      </c>
      <c r="CA858" s="1011">
        <f t="shared" si="1994"/>
        <v>40.881534029400008</v>
      </c>
      <c r="CB858" s="1011">
        <f t="shared" si="1994"/>
        <v>38.337457327930004</v>
      </c>
      <c r="CC858" s="1011">
        <f t="shared" si="1994"/>
        <v>35.910584461533503</v>
      </c>
      <c r="CD858" s="1011">
        <f t="shared" si="1994"/>
        <v>36.556796150764171</v>
      </c>
      <c r="CE858" s="1011">
        <f t="shared" si="1994"/>
        <v>37.219932073779461</v>
      </c>
      <c r="CF858" s="1011">
        <f t="shared" si="1994"/>
        <v>37.900330715255045</v>
      </c>
      <c r="CG858" s="502"/>
      <c r="CH858" s="502"/>
      <c r="CI858" s="502"/>
      <c r="CJ858" s="502"/>
      <c r="CK858" s="502"/>
      <c r="CL858" s="2102" t="str">
        <f>A858</f>
        <v>Net revenue</v>
      </c>
      <c r="CM858" s="1012">
        <f>G858</f>
        <v>102.32000000000001</v>
      </c>
      <c r="CN858" s="1012">
        <f>L858</f>
        <v>109.041</v>
      </c>
      <c r="CO858" s="1012">
        <f>Q858</f>
        <v>115.19399999999999</v>
      </c>
      <c r="CP858" s="1012">
        <f>V858</f>
        <v>119.166</v>
      </c>
      <c r="CQ858" s="1012">
        <f>AA858</f>
        <v>84.04</v>
      </c>
      <c r="CR858" s="1012">
        <f>AF858</f>
        <v>78.23</v>
      </c>
      <c r="CS858" s="1012">
        <f>AK858</f>
        <v>72.28</v>
      </c>
      <c r="CT858" s="1012">
        <f>AP858</f>
        <v>69.06</v>
      </c>
      <c r="CU858" s="1012">
        <f>AU858</f>
        <v>66.941000000000003</v>
      </c>
      <c r="CV858" s="1012">
        <f>AZ858</f>
        <v>60.233102000000017</v>
      </c>
      <c r="CW858" s="1012">
        <f>BE858</f>
        <v>50.546201000000003</v>
      </c>
      <c r="CX858" s="1012">
        <f>BJ858</f>
        <v>49.578198999999998</v>
      </c>
      <c r="CY858" s="1012">
        <f>BO858</f>
        <v>46.211645999999995</v>
      </c>
      <c r="CZ858" s="1012">
        <f>BT858</f>
        <v>42.468655000000005</v>
      </c>
      <c r="DA858" s="1012">
        <f t="shared" si="1991"/>
        <v>41.838300029999999</v>
      </c>
      <c r="DB858" s="1012">
        <f t="shared" si="1991"/>
        <v>41.838300030000006</v>
      </c>
      <c r="DC858" s="1877">
        <f t="shared" si="1991"/>
        <v>40.881534029400008</v>
      </c>
      <c r="DD858" s="502"/>
      <c r="DE858" s="502"/>
      <c r="DF858" s="502"/>
      <c r="DG858" s="503"/>
      <c r="DH858" s="598"/>
      <c r="DI858" s="3213"/>
      <c r="DJ858" s="502"/>
      <c r="DK858" s="503"/>
      <c r="DL858" s="502"/>
      <c r="DM858" s="502"/>
      <c r="DN858" s="502"/>
      <c r="DO858" s="502"/>
      <c r="DP858" s="503"/>
      <c r="DQ858" s="503"/>
      <c r="DR858" s="719"/>
      <c r="DS858" s="719"/>
      <c r="DT858" s="719"/>
    </row>
    <row r="859" spans="1:124" ht="12" customHeight="1" x14ac:dyDescent="0.25">
      <c r="A859" s="465" t="s">
        <v>1491</v>
      </c>
      <c r="B859" s="281"/>
      <c r="C859" s="472" t="s">
        <v>553</v>
      </c>
      <c r="D859" s="472" t="s">
        <v>553</v>
      </c>
      <c r="E859" s="472" t="s">
        <v>553</v>
      </c>
      <c r="F859" s="472" t="s">
        <v>553</v>
      </c>
      <c r="G859" s="491" t="s">
        <v>553</v>
      </c>
      <c r="H859" s="472">
        <f t="shared" ref="H859:AF859" si="1995">(H858-C858)/C858</f>
        <v>4.4731992013515555E-2</v>
      </c>
      <c r="I859" s="472">
        <f t="shared" si="1995"/>
        <v>8.2594550630337493E-2</v>
      </c>
      <c r="J859" s="472">
        <f t="shared" si="1995"/>
        <v>4.0971512881625184E-2</v>
      </c>
      <c r="K859" s="472">
        <f t="shared" si="1995"/>
        <v>9.6701382014018136E-2</v>
      </c>
      <c r="L859" s="491">
        <f t="shared" si="1995"/>
        <v>6.568608287724774E-2</v>
      </c>
      <c r="M859" s="472">
        <f t="shared" si="1995"/>
        <v>8.4898379212760444E-2</v>
      </c>
      <c r="N859" s="472">
        <f t="shared" si="1995"/>
        <v>5.950189699861011E-2</v>
      </c>
      <c r="O859" s="472">
        <f t="shared" si="1995"/>
        <v>5.7203081843291238E-2</v>
      </c>
      <c r="P859" s="472">
        <f t="shared" si="1995"/>
        <v>2.4733706445206671E-2</v>
      </c>
      <c r="Q859" s="491">
        <f t="shared" si="1995"/>
        <v>5.6428315954549134E-2</v>
      </c>
      <c r="R859" s="472">
        <f t="shared" si="1995"/>
        <v>4.5529997628645999E-2</v>
      </c>
      <c r="S859" s="472">
        <f t="shared" si="1995"/>
        <v>7.6617620989186369E-2</v>
      </c>
      <c r="T859" s="472">
        <f t="shared" si="1995"/>
        <v>3.3001031282227603E-2</v>
      </c>
      <c r="U859" s="472">
        <f t="shared" si="1995"/>
        <v>-1.737138830162081E-2</v>
      </c>
      <c r="V859" s="491">
        <f t="shared" si="1995"/>
        <v>3.4480962550132895E-2</v>
      </c>
      <c r="W859" s="472">
        <f t="shared" si="1995"/>
        <v>-0.26458866604024239</v>
      </c>
      <c r="X859" s="472">
        <f t="shared" si="1995"/>
        <v>-0.28436409141803326</v>
      </c>
      <c r="Y859" s="472">
        <f t="shared" si="1995"/>
        <v>-0.31021630615640594</v>
      </c>
      <c r="Z859" s="472">
        <f t="shared" si="1995"/>
        <v>-0.3228385986301861</v>
      </c>
      <c r="AA859" s="491">
        <f t="shared" si="1995"/>
        <v>-0.29476528540019797</v>
      </c>
      <c r="AB859" s="472">
        <f t="shared" si="1995"/>
        <v>-9.243512358461467E-2</v>
      </c>
      <c r="AC859" s="472">
        <f t="shared" si="1995"/>
        <v>-5.6647186047581864E-2</v>
      </c>
      <c r="AD859" s="472">
        <f t="shared" si="1995"/>
        <v>-4.7230798919336292E-2</v>
      </c>
      <c r="AE859" s="492">
        <f t="shared" si="1995"/>
        <v>-7.9538233425121729E-2</v>
      </c>
      <c r="AF859" s="493">
        <f t="shared" si="1995"/>
        <v>-6.9133745835316535E-2</v>
      </c>
      <c r="AG859" s="472">
        <f t="shared" ref="AG859:AU859" si="1996">(AG858-AB858)/AB858</f>
        <v>-9.6169716976552341E-2</v>
      </c>
      <c r="AH859" s="472">
        <f t="shared" si="1996"/>
        <v>-0.11521951219512187</v>
      </c>
      <c r="AI859" s="472">
        <f t="shared" si="1996"/>
        <v>-5.6863638665248753E-2</v>
      </c>
      <c r="AJ859" s="492">
        <f t="shared" si="1996"/>
        <v>-2.7844897019905748E-2</v>
      </c>
      <c r="AK859" s="493">
        <f t="shared" si="1996"/>
        <v>-7.6057778345903132E-2</v>
      </c>
      <c r="AL859" s="472">
        <f t="shared" si="1996"/>
        <v>-2.0840047266086483E-2</v>
      </c>
      <c r="AM859" s="472">
        <f t="shared" si="1996"/>
        <v>-1.7642518469511536E-3</v>
      </c>
      <c r="AN859" s="472">
        <f t="shared" si="1996"/>
        <v>-9.3203049500697785E-2</v>
      </c>
      <c r="AO859" s="492">
        <f t="shared" si="1996"/>
        <v>-6.2966031483015536E-2</v>
      </c>
      <c r="AP859" s="494">
        <f t="shared" si="1996"/>
        <v>-4.4548976203652446E-2</v>
      </c>
      <c r="AQ859" s="494">
        <f t="shared" si="1996"/>
        <v>-5.2825013713658664E-2</v>
      </c>
      <c r="AR859" s="492">
        <f t="shared" si="1996"/>
        <v>-6.5668839058875508E-2</v>
      </c>
      <c r="AS859" s="492">
        <f t="shared" si="1996"/>
        <v>2.5458851391355389E-3</v>
      </c>
      <c r="AT859" s="492">
        <f t="shared" si="1996"/>
        <v>-6.3155235569038531E-4</v>
      </c>
      <c r="AU859" s="1696">
        <f t="shared" si="1996"/>
        <v>-3.0683463654792929E-2</v>
      </c>
      <c r="AV859" s="1734">
        <f t="shared" ref="AV859:BA859" si="1997">(AV858-AQ858)/AQ858</f>
        <v>-2.884542769444599E-2</v>
      </c>
      <c r="AW859" s="1735">
        <f t="shared" si="1997"/>
        <v>-0.1149989359815569</v>
      </c>
      <c r="AX859" s="1735">
        <f t="shared" si="1997"/>
        <v>-0.11709307269828145</v>
      </c>
      <c r="AY859" s="1909">
        <f t="shared" si="1997"/>
        <v>-0.14418920626895837</v>
      </c>
      <c r="AZ859" s="1696">
        <f t="shared" si="1997"/>
        <v>-0.10020612180875675</v>
      </c>
      <c r="BA859" s="494">
        <f t="shared" si="1997"/>
        <v>-0.21465596544465659</v>
      </c>
      <c r="BB859" s="492">
        <f t="shared" ref="BB859:BJ859" si="1998">(BB858-AW858)/AW858</f>
        <v>-0.13306486436987261</v>
      </c>
      <c r="BC859" s="492">
        <f t="shared" si="1998"/>
        <v>-0.14944847458536359</v>
      </c>
      <c r="BD859" s="1311">
        <f t="shared" si="1998"/>
        <v>-0.13741101064438616</v>
      </c>
      <c r="BE859" s="1909">
        <f t="shared" si="1998"/>
        <v>-0.16082354516624447</v>
      </c>
      <c r="BF859" s="492">
        <f t="shared" si="1998"/>
        <v>-1.6957751073399422E-2</v>
      </c>
      <c r="BG859" s="492">
        <f t="shared" si="1998"/>
        <v>2.2519807195632149E-2</v>
      </c>
      <c r="BH859" s="492">
        <f t="shared" si="1998"/>
        <v>-4.8109035182454449E-2</v>
      </c>
      <c r="BI859" s="1311">
        <f t="shared" si="1998"/>
        <v>-3.6401117597921237E-2</v>
      </c>
      <c r="BJ859" s="1909">
        <f t="shared" si="1998"/>
        <v>-1.915083588576727E-2</v>
      </c>
      <c r="BK859" s="492">
        <f t="shared" ref="BK859:BT859" si="1999">(BK858-BF858)/BF858</f>
        <v>-8.2648819682724958E-2</v>
      </c>
      <c r="BL859" s="492">
        <f t="shared" si="1999"/>
        <v>-8.074848472313248E-2</v>
      </c>
      <c r="BM859" s="492">
        <f t="shared" si="1999"/>
        <v>-1.5823577503904462E-2</v>
      </c>
      <c r="BN859" s="1311">
        <f t="shared" si="1999"/>
        <v>-9.1804713518154363E-2</v>
      </c>
      <c r="BO859" s="1909">
        <f t="shared" si="1999"/>
        <v>-6.7903898647064684E-2</v>
      </c>
      <c r="BP859" s="492">
        <f t="shared" si="1999"/>
        <v>-4.0963358523188872E-2</v>
      </c>
      <c r="BQ859" s="492">
        <f t="shared" si="1999"/>
        <v>-0.12031581967213099</v>
      </c>
      <c r="BR859" s="492">
        <f t="shared" si="1999"/>
        <v>-0.12107708053029868</v>
      </c>
      <c r="BS859" s="492">
        <f t="shared" si="1999"/>
        <v>-3.387507538234074E-2</v>
      </c>
      <c r="BT859" s="2693">
        <f t="shared" si="1999"/>
        <v>-8.0996703731349234E-2</v>
      </c>
      <c r="BU859" s="2653">
        <f>(BU858-BP858)/BP858</f>
        <v>-0.11748532190746414</v>
      </c>
      <c r="BV859" s="2653">
        <f>(BV858-BQ858)/BQ858</f>
        <v>-2.8618802929179922E-3</v>
      </c>
      <c r="BW859" s="2653">
        <f>(BW858-BR858)/BR858</f>
        <v>5.9664141467924869E-2</v>
      </c>
      <c r="BX859" s="2653">
        <f>(BX858-BS858)/BS858</f>
        <v>1.1518743727588328E-2</v>
      </c>
      <c r="BY859" s="2693">
        <f>(BY858-BT858)/BT858</f>
        <v>-1.4842828669756697E-2</v>
      </c>
      <c r="BZ859" s="493">
        <f t="shared" ref="BZ859:CF859" si="2000">(BZ858-BY858)/BY858</f>
        <v>1.6983068988238243E-16</v>
      </c>
      <c r="CA859" s="493">
        <f t="shared" si="2000"/>
        <v>-2.2868185368763849E-2</v>
      </c>
      <c r="CB859" s="493">
        <f t="shared" si="2000"/>
        <v>-6.2230460814910425E-2</v>
      </c>
      <c r="CC859" s="493">
        <f t="shared" si="2000"/>
        <v>-6.3302916665483974E-2</v>
      </c>
      <c r="CD859" s="493">
        <f t="shared" si="2000"/>
        <v>1.7995020101186979E-2</v>
      </c>
      <c r="CE859" s="493">
        <f t="shared" si="2000"/>
        <v>1.8139880756520496E-2</v>
      </c>
      <c r="CF859" s="493">
        <f t="shared" si="2000"/>
        <v>1.8280491219781359E-2</v>
      </c>
      <c r="CG859" s="331"/>
      <c r="CH859" s="331"/>
      <c r="CI859" s="331"/>
      <c r="CJ859" s="331"/>
      <c r="CK859" s="331"/>
      <c r="CL859" s="1310" t="str">
        <f>A859</f>
        <v>% growth (y-o-y)</v>
      </c>
      <c r="CM859" s="492" t="str">
        <f>G859</f>
        <v xml:space="preserve">n/a </v>
      </c>
      <c r="CN859" s="492">
        <f>L859</f>
        <v>6.568608287724774E-2</v>
      </c>
      <c r="CO859" s="492">
        <f>Q859</f>
        <v>5.6428315954549134E-2</v>
      </c>
      <c r="CP859" s="492">
        <f>V859</f>
        <v>3.4480962550132895E-2</v>
      </c>
      <c r="CQ859" s="492">
        <f>AA859</f>
        <v>-0.29476528540019797</v>
      </c>
      <c r="CR859" s="492">
        <f>AF859</f>
        <v>-6.9133745835316535E-2</v>
      </c>
      <c r="CS859" s="492">
        <f>AK859</f>
        <v>-7.6057778345903132E-2</v>
      </c>
      <c r="CT859" s="492">
        <f>AP859</f>
        <v>-4.4548976203652446E-2</v>
      </c>
      <c r="CU859" s="492">
        <f>AU859</f>
        <v>-3.0683463654792929E-2</v>
      </c>
      <c r="CV859" s="492">
        <f>AZ859</f>
        <v>-0.10020612180875675</v>
      </c>
      <c r="CW859" s="492">
        <f>BE859</f>
        <v>-0.16082354516624447</v>
      </c>
      <c r="CX859" s="492">
        <f>BJ859</f>
        <v>-1.915083588576727E-2</v>
      </c>
      <c r="CY859" s="492">
        <f>BO859</f>
        <v>-6.7903898647064684E-2</v>
      </c>
      <c r="CZ859" s="492">
        <f>BT859</f>
        <v>-8.0996703731349234E-2</v>
      </c>
      <c r="DA859" s="492">
        <f t="shared" si="1991"/>
        <v>-1.4842828669756697E-2</v>
      </c>
      <c r="DB859" s="492">
        <f t="shared" si="1991"/>
        <v>1.6983068988238243E-16</v>
      </c>
      <c r="DC859" s="1311">
        <f t="shared" si="1991"/>
        <v>-2.2868185368763849E-2</v>
      </c>
      <c r="DD859" s="331"/>
      <c r="DE859" s="331"/>
      <c r="DF859" s="502"/>
      <c r="DG859" s="503"/>
      <c r="DH859" s="2653"/>
      <c r="DI859" s="3213"/>
      <c r="DJ859" s="502"/>
      <c r="DK859" s="503"/>
      <c r="DL859" s="502"/>
      <c r="DM859" s="502"/>
      <c r="DN859" s="502"/>
      <c r="DO859" s="502"/>
      <c r="DP859" s="503"/>
      <c r="DQ859" s="503"/>
      <c r="DR859" s="296"/>
      <c r="DS859" s="296"/>
      <c r="DT859" s="296"/>
    </row>
    <row r="860" spans="1:124" ht="5.0999999999999996" customHeight="1" x14ac:dyDescent="0.25">
      <c r="A860" s="281"/>
      <c r="B860" s="281"/>
      <c r="C860" s="305"/>
      <c r="D860" s="305"/>
      <c r="E860" s="305"/>
      <c r="F860" s="305"/>
      <c r="G860" s="440"/>
      <c r="H860" s="305"/>
      <c r="I860" s="305"/>
      <c r="J860" s="305"/>
      <c r="K860" s="305"/>
      <c r="L860" s="440"/>
      <c r="M860" s="305"/>
      <c r="N860" s="305"/>
      <c r="O860" s="305"/>
      <c r="P860" s="305"/>
      <c r="Q860" s="440"/>
      <c r="R860" s="305"/>
      <c r="S860" s="305"/>
      <c r="T860" s="305"/>
      <c r="U860" s="305"/>
      <c r="V860" s="440"/>
      <c r="W860" s="305"/>
      <c r="X860" s="305"/>
      <c r="Y860" s="305"/>
      <c r="Z860" s="305"/>
      <c r="AA860" s="440"/>
      <c r="AB860" s="305"/>
      <c r="AC860" s="305"/>
      <c r="AD860" s="305"/>
      <c r="AE860" s="331"/>
      <c r="AF860" s="441"/>
      <c r="AG860" s="305"/>
      <c r="AH860" s="305"/>
      <c r="AI860" s="305"/>
      <c r="AJ860" s="331"/>
      <c r="AK860" s="441"/>
      <c r="AL860" s="305"/>
      <c r="AM860" s="305"/>
      <c r="AN860" s="305"/>
      <c r="AO860" s="331"/>
      <c r="AP860" s="569"/>
      <c r="AQ860" s="569"/>
      <c r="AR860" s="442"/>
      <c r="AS860" s="442"/>
      <c r="AT860" s="442"/>
      <c r="AU860" s="1690"/>
      <c r="AV860" s="1902"/>
      <c r="AW860" s="1837"/>
      <c r="AX860" s="1837"/>
      <c r="AY860" s="1903"/>
      <c r="AZ860" s="1690"/>
      <c r="BA860" s="569"/>
      <c r="BB860" s="442"/>
      <c r="BC860" s="442"/>
      <c r="BD860" s="1312"/>
      <c r="BE860" s="1903"/>
      <c r="BF860" s="442"/>
      <c r="BG860" s="442"/>
      <c r="BH860" s="442"/>
      <c r="BI860" s="1312"/>
      <c r="BJ860" s="1903"/>
      <c r="BK860" s="442"/>
      <c r="BL860" s="442"/>
      <c r="BM860" s="442"/>
      <c r="BN860" s="1312"/>
      <c r="BO860" s="1903"/>
      <c r="BP860" s="442"/>
      <c r="BQ860" s="442"/>
      <c r="BR860" s="442"/>
      <c r="BS860" s="442"/>
      <c r="BT860" s="3236"/>
      <c r="BU860" s="3298"/>
      <c r="BV860" s="3298"/>
      <c r="BW860" s="3298"/>
      <c r="BX860" s="3298"/>
      <c r="BY860" s="3236"/>
      <c r="BZ860" s="441"/>
      <c r="CA860" s="441"/>
      <c r="CB860" s="441"/>
      <c r="CC860" s="441"/>
      <c r="CD860" s="441"/>
      <c r="CE860" s="441"/>
      <c r="CF860" s="441"/>
      <c r="CG860" s="331"/>
      <c r="CH860" s="331"/>
      <c r="CI860" s="331"/>
      <c r="CJ860" s="331"/>
      <c r="CK860" s="331"/>
      <c r="CL860" s="520"/>
      <c r="CM860" s="442"/>
      <c r="CN860" s="442"/>
      <c r="CO860" s="442"/>
      <c r="CP860" s="442"/>
      <c r="CQ860" s="442"/>
      <c r="CR860" s="442"/>
      <c r="CS860" s="442"/>
      <c r="CT860" s="442"/>
      <c r="CU860" s="442"/>
      <c r="CV860" s="442"/>
      <c r="CW860" s="442"/>
      <c r="CX860" s="442"/>
      <c r="CY860" s="442"/>
      <c r="CZ860" s="442"/>
      <c r="DA860" s="442"/>
      <c r="DB860" s="442"/>
      <c r="DC860" s="1312"/>
      <c r="DD860" s="331"/>
      <c r="DE860" s="331"/>
      <c r="DF860" s="502"/>
      <c r="DG860" s="503"/>
      <c r="DH860" s="3298"/>
      <c r="DI860" s="3213"/>
      <c r="DJ860" s="502"/>
      <c r="DK860" s="503"/>
      <c r="DL860" s="502"/>
      <c r="DM860" s="502"/>
      <c r="DN860" s="502"/>
      <c r="DO860" s="502"/>
      <c r="DP860" s="503"/>
      <c r="DQ860" s="503"/>
      <c r="DR860" s="296"/>
      <c r="DS860" s="296"/>
      <c r="DT860" s="296"/>
    </row>
    <row r="861" spans="1:124" ht="12" customHeight="1" x14ac:dyDescent="0.25">
      <c r="A861" s="311" t="s">
        <v>601</v>
      </c>
      <c r="B861" s="281"/>
      <c r="C861" s="452">
        <f>C866-C864</f>
        <v>10.968610199999999</v>
      </c>
      <c r="D861" s="452">
        <f>D866-D864</f>
        <v>10.1952585</v>
      </c>
      <c r="E861" s="452">
        <f>E866-E864</f>
        <v>11.1981743</v>
      </c>
      <c r="F861" s="452">
        <f>F866-F864</f>
        <v>9.4174673000000002</v>
      </c>
      <c r="G861" s="475">
        <f>SUM(C861:F861)</f>
        <v>41.779510299999998</v>
      </c>
      <c r="H861" s="452">
        <f>H866-H864</f>
        <v>9.869640399999998</v>
      </c>
      <c r="I861" s="452">
        <f>I866-I864</f>
        <v>10.46411</v>
      </c>
      <c r="J861" s="452">
        <f>J866-J864</f>
        <v>12.664266999999999</v>
      </c>
      <c r="K861" s="452">
        <f>K866-K864</f>
        <v>13.689352000000001</v>
      </c>
      <c r="L861" s="475">
        <f>SUM(H861:K861)</f>
        <v>46.687369399999994</v>
      </c>
      <c r="M861" s="452">
        <f>M866-M864</f>
        <v>12.072774749999999</v>
      </c>
      <c r="N861" s="452">
        <f>N866-N864</f>
        <v>11.30076875</v>
      </c>
      <c r="O861" s="452">
        <f>O866-O864</f>
        <v>12.178655749999999</v>
      </c>
      <c r="P861" s="452">
        <f>P866-P864</f>
        <v>12.256910749999998</v>
      </c>
      <c r="Q861" s="475">
        <f>SUM(M861:P861)</f>
        <v>47.80910999999999</v>
      </c>
      <c r="R861" s="452">
        <f>R866-R864</f>
        <v>12.497328500000002</v>
      </c>
      <c r="S861" s="452">
        <f>S866-S864</f>
        <v>12.129125499999999</v>
      </c>
      <c r="T861" s="452">
        <f>T866-T864</f>
        <v>8.8466925000000032</v>
      </c>
      <c r="U861" s="452">
        <f>U866-U864</f>
        <v>9.5916925000000042</v>
      </c>
      <c r="V861" s="475">
        <f>SUM(R861:U861)</f>
        <v>43.064839000000006</v>
      </c>
      <c r="W861" s="452">
        <f>W866-W864</f>
        <v>10.892710254518811</v>
      </c>
      <c r="X861" s="452">
        <f>X866-X864</f>
        <v>9.5576567790073383</v>
      </c>
      <c r="Y861" s="452">
        <f>Y866-Y864</f>
        <v>8.7699316015243163</v>
      </c>
      <c r="Z861" s="452">
        <f>Z866-Z864</f>
        <v>9.8169923649495345</v>
      </c>
      <c r="AA861" s="475">
        <f>SUM(W861:Z861)</f>
        <v>39.037290999999996</v>
      </c>
      <c r="AB861" s="452">
        <f>AB866-AB864</f>
        <v>10.039200000000001</v>
      </c>
      <c r="AC861" s="452">
        <f>AC866-AC864</f>
        <v>9.8820000000000014</v>
      </c>
      <c r="AD861" s="452">
        <f>AD866-AD864</f>
        <v>9.2245999999999988</v>
      </c>
      <c r="AE861" s="452">
        <f>AE866-AE864</f>
        <v>7.6058000000000039</v>
      </c>
      <c r="AF861" s="477">
        <f>SUM(AB861:AE861)</f>
        <v>36.751600000000003</v>
      </c>
      <c r="AG861" s="452">
        <f>AG866-AG864</f>
        <v>9.3514374999999959</v>
      </c>
      <c r="AH861" s="452">
        <f>AH866-AH864</f>
        <v>9.3354375000000012</v>
      </c>
      <c r="AI861" s="452">
        <f>AI866-AI864</f>
        <v>8.7860204999999993</v>
      </c>
      <c r="AJ861" s="452">
        <f>AJ866-AJ864</f>
        <v>8.2255374999999979</v>
      </c>
      <c r="AK861" s="477">
        <f>SUM(AG861:AJ861)</f>
        <v>35.698432999999994</v>
      </c>
      <c r="AL861" s="452">
        <f>AL866-AL864</f>
        <v>8.5783125000000009</v>
      </c>
      <c r="AM861" s="452">
        <f>AM866-AM864</f>
        <v>8.4647585000000003</v>
      </c>
      <c r="AN861" s="452">
        <f>AI861*(1+AN863)</f>
        <v>7.9952786549999999</v>
      </c>
      <c r="AO861" s="452">
        <f>AJ861*(1+AO863)</f>
        <v>7.4852391249999988</v>
      </c>
      <c r="AP861" s="478">
        <f>SUM(AL861:AO861)</f>
        <v>32.523588779999997</v>
      </c>
      <c r="AQ861" s="478">
        <f>AL861*(1+AQ863)</f>
        <v>7.9778306250000002</v>
      </c>
      <c r="AR861" s="476">
        <f>AM861*(1+AR863)</f>
        <v>7.872225405</v>
      </c>
      <c r="AS861" s="476">
        <f>AN861*(1+AS863)</f>
        <v>7.5955147222499999</v>
      </c>
      <c r="AT861" s="476">
        <f>AO861*(1+AT863)</f>
        <v>7.1109771687499981</v>
      </c>
      <c r="AU861" s="1464">
        <f>SUM(AQ861:AT861)</f>
        <v>30.556547920999996</v>
      </c>
      <c r="AV861" s="1865">
        <f>AQ861*(1+AV863)</f>
        <v>7.8182740124999999</v>
      </c>
      <c r="AW861" s="1771">
        <f>AR861*(1+AW863)</f>
        <v>7.4786141347499999</v>
      </c>
      <c r="AX861" s="1771">
        <f>AS861*(1+AX863)</f>
        <v>7.2916941333600001</v>
      </c>
      <c r="AY861" s="1866">
        <f>AT861*(1+AY863)</f>
        <v>6.5420989952499982</v>
      </c>
      <c r="AZ861" s="1464">
        <f>SUM(AV861:AY861)</f>
        <v>29.130681275859995</v>
      </c>
      <c r="BA861" s="478">
        <f>AV861*(1+BA863)</f>
        <v>7.0364466112499997</v>
      </c>
      <c r="BB861" s="476">
        <f>AW861*(1+BB863)</f>
        <v>6.9177180746437505</v>
      </c>
      <c r="BC861" s="476">
        <f>AX861*(1+BC863)</f>
        <v>6.744817073358</v>
      </c>
      <c r="BD861" s="682">
        <f>AY861*(1+BD863)</f>
        <v>6.051441570606249</v>
      </c>
      <c r="BE861" s="1866">
        <f>SUM(BA861:BD861)</f>
        <v>26.750423329858002</v>
      </c>
      <c r="BF861" s="476">
        <f>BA861*(1+BF863)</f>
        <v>6.8253532129124999</v>
      </c>
      <c r="BG861" s="476">
        <f>BB861*(1+BG863)</f>
        <v>7.0560724361366258</v>
      </c>
      <c r="BH861" s="476">
        <f>BC861*(1+BH863)</f>
        <v>6.6773689026244201</v>
      </c>
      <c r="BI861" s="682">
        <f>BD861*(1+BI863)</f>
        <v>6.1119559863123119</v>
      </c>
      <c r="BJ861" s="1866">
        <f>SUM(BF861:BI861)</f>
        <v>26.67075053798586</v>
      </c>
      <c r="BK861" s="476">
        <f>BF861*(1+BK863)</f>
        <v>6.4840855522668743</v>
      </c>
      <c r="BL861" s="476">
        <f>BG861*(1+BL863)</f>
        <v>7.0560724361366258</v>
      </c>
      <c r="BM861" s="476">
        <f>BH861*(1+BM863)</f>
        <v>6.6439820581112983</v>
      </c>
      <c r="BN861" s="682">
        <f>BI861*(1+BN863)</f>
        <v>6.1119559863123119</v>
      </c>
      <c r="BO861" s="1866">
        <f>SUM(BK861:BN861)</f>
        <v>26.296096032827109</v>
      </c>
      <c r="BP861" s="476">
        <f>BK861*(1+BP863)</f>
        <v>6.1598812746535305</v>
      </c>
      <c r="BQ861" s="476">
        <f>BL861*(1+BQ863)</f>
        <v>6.7032688143297943</v>
      </c>
      <c r="BR861" s="476">
        <f>BM861*(1+BR863)</f>
        <v>6.5111024169490719</v>
      </c>
      <c r="BS861" s="476">
        <f>BN861*(1+BS863)</f>
        <v>5.9897168665860656</v>
      </c>
      <c r="BT861" s="2604">
        <f>SUM(BP861:BS861)</f>
        <v>25.363969372518461</v>
      </c>
      <c r="BU861" s="2577">
        <f>BP861*(1+BU863)</f>
        <v>5.6978901790545162</v>
      </c>
      <c r="BV861" s="2577">
        <f>BQ861*(1+BV863)</f>
        <v>6.6362361261864962</v>
      </c>
      <c r="BW861" s="2577">
        <f>BR861*(1+BW863)</f>
        <v>6.3808803686100903</v>
      </c>
      <c r="BX861" s="2577">
        <f>BS861*(1+BX863)</f>
        <v>5.9298196979202045</v>
      </c>
      <c r="BY861" s="2604">
        <f>SUM(BU861:BX861)</f>
        <v>24.644826371771309</v>
      </c>
      <c r="BZ861" s="477">
        <f t="shared" ref="BZ861:CF861" si="2001">BY861*(1+BZ863)</f>
        <v>24.275153976194741</v>
      </c>
      <c r="CA861" s="477">
        <f t="shared" si="2001"/>
        <v>24.517905515956688</v>
      </c>
      <c r="CB861" s="477">
        <f t="shared" si="2001"/>
        <v>23.782368350477988</v>
      </c>
      <c r="CC861" s="477">
        <f t="shared" si="2001"/>
        <v>23.068897299963648</v>
      </c>
      <c r="CD861" s="477">
        <f t="shared" si="2001"/>
        <v>23.299586272963285</v>
      </c>
      <c r="CE861" s="477">
        <f t="shared" si="2001"/>
        <v>23.53258213569292</v>
      </c>
      <c r="CF861" s="477">
        <f t="shared" si="2001"/>
        <v>23.76790795704985</v>
      </c>
      <c r="CG861" s="331"/>
      <c r="CH861" s="331"/>
      <c r="CI861" s="331"/>
      <c r="CJ861" s="331"/>
      <c r="CK861" s="331"/>
      <c r="CL861" s="528" t="str">
        <f t="shared" ref="CL861:CL866" si="2002">A861</f>
        <v>Operating expenses</v>
      </c>
      <c r="CM861" s="476">
        <f t="shared" ref="CM861:CM866" si="2003">G861</f>
        <v>41.779510299999998</v>
      </c>
      <c r="CN861" s="476">
        <f t="shared" ref="CN861:CN866" si="2004">L861</f>
        <v>46.687369399999994</v>
      </c>
      <c r="CO861" s="476">
        <f t="shared" ref="CO861:CO866" si="2005">Q861</f>
        <v>47.80910999999999</v>
      </c>
      <c r="CP861" s="476">
        <f t="shared" ref="CP861:CP866" si="2006">V861</f>
        <v>43.064839000000006</v>
      </c>
      <c r="CQ861" s="476">
        <f t="shared" ref="CQ861:CQ866" si="2007">AA861</f>
        <v>39.037290999999996</v>
      </c>
      <c r="CR861" s="476">
        <f t="shared" ref="CR861:CR866" si="2008">AF861</f>
        <v>36.751600000000003</v>
      </c>
      <c r="CS861" s="476">
        <f t="shared" ref="CS861:CS866" si="2009">AK861</f>
        <v>35.698432999999994</v>
      </c>
      <c r="CT861" s="476">
        <f t="shared" ref="CT861:CT866" si="2010">AP861</f>
        <v>32.523588779999997</v>
      </c>
      <c r="CU861" s="476">
        <f t="shared" ref="CU861:CU866" si="2011">AU861</f>
        <v>30.556547920999996</v>
      </c>
      <c r="CV861" s="476">
        <f t="shared" ref="CV861:CV866" si="2012">AZ861</f>
        <v>29.130681275859995</v>
      </c>
      <c r="CW861" s="476">
        <f t="shared" ref="CW861:CW866" si="2013">BE861</f>
        <v>26.750423329858002</v>
      </c>
      <c r="CX861" s="476">
        <f t="shared" ref="CX861:CX866" si="2014">BJ861</f>
        <v>26.67075053798586</v>
      </c>
      <c r="CY861" s="476">
        <f t="shared" ref="CY861:CY866" si="2015">BO861</f>
        <v>26.296096032827109</v>
      </c>
      <c r="CZ861" s="476">
        <f t="shared" ref="CZ861:CZ866" si="2016">BT861</f>
        <v>25.363969372518461</v>
      </c>
      <c r="DA861" s="476">
        <f t="shared" ref="DA861:DC866" si="2017">BY861</f>
        <v>24.644826371771309</v>
      </c>
      <c r="DB861" s="476">
        <f t="shared" si="2017"/>
        <v>24.275153976194741</v>
      </c>
      <c r="DC861" s="682">
        <f t="shared" si="2017"/>
        <v>24.517905515956688</v>
      </c>
      <c r="DD861" s="331"/>
      <c r="DE861" s="331"/>
      <c r="DF861" s="502"/>
      <c r="DG861" s="503"/>
      <c r="DH861" s="2577"/>
      <c r="DI861" s="3213"/>
      <c r="DJ861" s="502"/>
      <c r="DK861" s="503"/>
      <c r="DL861" s="502"/>
      <c r="DM861" s="502"/>
      <c r="DN861" s="502"/>
      <c r="DO861" s="502"/>
      <c r="DP861" s="503"/>
      <c r="DQ861" s="503"/>
      <c r="DR861" s="296"/>
      <c r="DS861" s="296"/>
      <c r="DT861" s="296"/>
    </row>
    <row r="862" spans="1:124" ht="12" customHeight="1" x14ac:dyDescent="0.25">
      <c r="A862" s="465" t="s">
        <v>646</v>
      </c>
      <c r="B862" s="281"/>
      <c r="C862" s="472">
        <f t="shared" ref="C862:AF862" si="2018">C861/C858</f>
        <v>0.42115689602211637</v>
      </c>
      <c r="D862" s="472">
        <f t="shared" si="2018"/>
        <v>0.41460994306628707</v>
      </c>
      <c r="E862" s="472">
        <f t="shared" si="2018"/>
        <v>0.42364371429652325</v>
      </c>
      <c r="F862" s="472">
        <f t="shared" si="2018"/>
        <v>0.37292469409575102</v>
      </c>
      <c r="G862" s="491">
        <f t="shared" si="2018"/>
        <v>0.40832203186082872</v>
      </c>
      <c r="H862" s="472">
        <f t="shared" si="2018"/>
        <v>0.36273440405748092</v>
      </c>
      <c r="I862" s="472">
        <f t="shared" si="2018"/>
        <v>0.39307726982457458</v>
      </c>
      <c r="J862" s="472">
        <f t="shared" si="2018"/>
        <v>0.46025101758976594</v>
      </c>
      <c r="K862" s="472">
        <f t="shared" si="2018"/>
        <v>0.49428965517241386</v>
      </c>
      <c r="L862" s="491">
        <f t="shared" si="2018"/>
        <v>0.42816343760603803</v>
      </c>
      <c r="M862" s="472">
        <f t="shared" si="2018"/>
        <v>0.4089831887936583</v>
      </c>
      <c r="N862" s="472">
        <f t="shared" si="2018"/>
        <v>0.40066544052472969</v>
      </c>
      <c r="O862" s="472">
        <f t="shared" si="2018"/>
        <v>0.41865437435544856</v>
      </c>
      <c r="P862" s="472">
        <f t="shared" si="2018"/>
        <v>0.43188550916138119</v>
      </c>
      <c r="Q862" s="491">
        <f t="shared" si="2018"/>
        <v>0.41503125162768889</v>
      </c>
      <c r="R862" s="472">
        <f t="shared" si="2018"/>
        <v>0.40492915465120055</v>
      </c>
      <c r="S862" s="472">
        <f t="shared" si="2018"/>
        <v>0.39943112362510702</v>
      </c>
      <c r="T862" s="472">
        <f t="shared" si="2018"/>
        <v>0.29439908485856914</v>
      </c>
      <c r="U862" s="472">
        <f t="shared" si="2018"/>
        <v>0.34394852440205126</v>
      </c>
      <c r="V862" s="491">
        <f t="shared" si="2018"/>
        <v>0.36138528607153053</v>
      </c>
      <c r="W862" s="472">
        <f t="shared" si="2018"/>
        <v>0.47991850264434993</v>
      </c>
      <c r="X862" s="472">
        <f t="shared" si="2018"/>
        <v>0.43981670328136474</v>
      </c>
      <c r="Y862" s="472">
        <f t="shared" si="2018"/>
        <v>0.42309588969144712</v>
      </c>
      <c r="Z862" s="472">
        <f t="shared" si="2018"/>
        <v>0.51985767660186055</v>
      </c>
      <c r="AA862" s="491">
        <f t="shared" si="2018"/>
        <v>0.46450846025702036</v>
      </c>
      <c r="AB862" s="472">
        <f t="shared" si="2018"/>
        <v>0.48736346424583721</v>
      </c>
      <c r="AC862" s="472">
        <f t="shared" si="2018"/>
        <v>0.48204878048780497</v>
      </c>
      <c r="AD862" s="472">
        <f t="shared" si="2018"/>
        <v>0.46709200465846368</v>
      </c>
      <c r="AE862" s="492">
        <f t="shared" si="2018"/>
        <v>0.43756759866528611</v>
      </c>
      <c r="AF862" s="493">
        <f t="shared" si="2018"/>
        <v>0.46978908347181392</v>
      </c>
      <c r="AG862" s="472">
        <f t="shared" ref="AG862:AU862" si="2019">AG861/AG858</f>
        <v>0.50227938016972806</v>
      </c>
      <c r="AH862" s="472">
        <f t="shared" si="2019"/>
        <v>0.51468946410850147</v>
      </c>
      <c r="AI862" s="472">
        <f t="shared" si="2019"/>
        <v>0.47170731772790714</v>
      </c>
      <c r="AJ862" s="492">
        <f t="shared" si="2019"/>
        <v>0.48677580187004366</v>
      </c>
      <c r="AK862" s="493">
        <f t="shared" si="2019"/>
        <v>0.49389088267847253</v>
      </c>
      <c r="AL862" s="472">
        <f t="shared" si="2019"/>
        <v>0.47056020296215034</v>
      </c>
      <c r="AM862" s="472">
        <f t="shared" si="2019"/>
        <v>0.46751123936816524</v>
      </c>
      <c r="AN862" s="472">
        <f t="shared" si="2019"/>
        <v>0.47337351420959134</v>
      </c>
      <c r="AO862" s="492">
        <f t="shared" si="2019"/>
        <v>0.47273204022988491</v>
      </c>
      <c r="AP862" s="494">
        <f t="shared" si="2019"/>
        <v>0.4709468401390095</v>
      </c>
      <c r="AQ862" s="494">
        <f t="shared" si="2019"/>
        <v>0.46202760323159775</v>
      </c>
      <c r="AR862" s="492">
        <f t="shared" si="2019"/>
        <v>0.46534405657031386</v>
      </c>
      <c r="AS862" s="492">
        <f t="shared" si="2019"/>
        <v>0.44856284900785437</v>
      </c>
      <c r="AT862" s="492">
        <f t="shared" si="2019"/>
        <v>0.44937924473900387</v>
      </c>
      <c r="AU862" s="1696">
        <f t="shared" si="2019"/>
        <v>0.45646984540117408</v>
      </c>
      <c r="AV862" s="1734">
        <f t="shared" ref="AV862:BJ862" si="2020">AV861/AV858</f>
        <v>0.46623582288454241</v>
      </c>
      <c r="AW862" s="1735">
        <f t="shared" si="2020"/>
        <v>0.49952126807000702</v>
      </c>
      <c r="AX862" s="1735">
        <f t="shared" si="2020"/>
        <v>0.48773015788150337</v>
      </c>
      <c r="AY862" s="1909">
        <f t="shared" si="2020"/>
        <v>0.48308447169435115</v>
      </c>
      <c r="AZ862" s="1696">
        <f t="shared" si="2020"/>
        <v>0.4836324264996345</v>
      </c>
      <c r="BA862" s="494">
        <f t="shared" si="2020"/>
        <v>0.53430372185060249</v>
      </c>
      <c r="BB862" s="492">
        <f t="shared" si="2020"/>
        <v>0.53297779034980808</v>
      </c>
      <c r="BC862" s="492">
        <f t="shared" si="2020"/>
        <v>0.53042100632346612</v>
      </c>
      <c r="BD862" s="1311">
        <f t="shared" si="2020"/>
        <v>0.51803714379787158</v>
      </c>
      <c r="BE862" s="1909">
        <f t="shared" si="2020"/>
        <v>0.52922717831668498</v>
      </c>
      <c r="BF862" s="492">
        <f t="shared" si="2020"/>
        <v>0.52721499077073919</v>
      </c>
      <c r="BG862" s="492">
        <f t="shared" si="2020"/>
        <v>0.53166436711655174</v>
      </c>
      <c r="BH862" s="492">
        <f t="shared" si="2020"/>
        <v>0.55165645611615155</v>
      </c>
      <c r="BI862" s="1311">
        <f t="shared" si="2020"/>
        <v>0.54298269206328176</v>
      </c>
      <c r="BJ862" s="1909">
        <f t="shared" si="2020"/>
        <v>0.53795319466900893</v>
      </c>
      <c r="BK862" s="492">
        <f t="shared" ref="BK862:BU862" si="2021">BK861/BK858</f>
        <v>0.54597873963488741</v>
      </c>
      <c r="BL862" s="492">
        <f t="shared" si="2021"/>
        <v>0.57836659312595295</v>
      </c>
      <c r="BM862" s="492">
        <f t="shared" si="2021"/>
        <v>0.55772335253006777</v>
      </c>
      <c r="BN862" s="1311">
        <f t="shared" si="2021"/>
        <v>0.59786997372192996</v>
      </c>
      <c r="BO862" s="1909">
        <f t="shared" si="2021"/>
        <v>0.56903612636578904</v>
      </c>
      <c r="BP862" s="492">
        <f t="shared" si="2021"/>
        <v>0.54083418737206235</v>
      </c>
      <c r="BQ862" s="492">
        <f t="shared" si="2021"/>
        <v>0.6245971858501187</v>
      </c>
      <c r="BR862" s="492">
        <f t="shared" si="2021"/>
        <v>0.621862137591359</v>
      </c>
      <c r="BS862" s="492">
        <f t="shared" si="2021"/>
        <v>0.60645632807720418</v>
      </c>
      <c r="BT862" s="2693">
        <f t="shared" si="2021"/>
        <v>0.59723976124316769</v>
      </c>
      <c r="BU862" s="2653">
        <f t="shared" si="2021"/>
        <v>0.56687059800573858</v>
      </c>
      <c r="BV862" s="2653">
        <f t="shared" ref="BV862:CF862" si="2022">BV861/BV858</f>
        <v>0.62012594019900025</v>
      </c>
      <c r="BW862" s="2653">
        <f t="shared" si="2022"/>
        <v>0.57511136877323377</v>
      </c>
      <c r="BX862" s="2653">
        <f t="shared" si="2022"/>
        <v>0.59355475963194149</v>
      </c>
      <c r="BY862" s="2693">
        <f t="shared" si="2022"/>
        <v>0.58904942012700867</v>
      </c>
      <c r="BZ862" s="493">
        <f t="shared" si="2022"/>
        <v>0.58021367882510344</v>
      </c>
      <c r="CA862" s="493">
        <f t="shared" si="2022"/>
        <v>0.59973056535316416</v>
      </c>
      <c r="CB862" s="493">
        <f t="shared" si="2022"/>
        <v>0.62034287112598385</v>
      </c>
      <c r="CC862" s="493">
        <f t="shared" si="2022"/>
        <v>0.64239826908622055</v>
      </c>
      <c r="CD862" s="493">
        <f t="shared" si="2022"/>
        <v>0.63735307046255585</v>
      </c>
      <c r="CE862" s="493">
        <f t="shared" si="2022"/>
        <v>0.63225752505526611</v>
      </c>
      <c r="CF862" s="493">
        <f t="shared" si="2022"/>
        <v>0.62711610976743182</v>
      </c>
      <c r="CG862" s="331"/>
      <c r="CH862" s="331"/>
      <c r="CI862" s="331"/>
      <c r="CJ862" s="331"/>
      <c r="CK862" s="331"/>
      <c r="CL862" s="1310" t="str">
        <f t="shared" si="2002"/>
        <v>% of Net revenue</v>
      </c>
      <c r="CM862" s="492">
        <f t="shared" si="2003"/>
        <v>0.40832203186082872</v>
      </c>
      <c r="CN862" s="492">
        <f t="shared" si="2004"/>
        <v>0.42816343760603803</v>
      </c>
      <c r="CO862" s="492">
        <f t="shared" si="2005"/>
        <v>0.41503125162768889</v>
      </c>
      <c r="CP862" s="492">
        <f t="shared" si="2006"/>
        <v>0.36138528607153053</v>
      </c>
      <c r="CQ862" s="492">
        <f t="shared" si="2007"/>
        <v>0.46450846025702036</v>
      </c>
      <c r="CR862" s="492">
        <f t="shared" si="2008"/>
        <v>0.46978908347181392</v>
      </c>
      <c r="CS862" s="492">
        <f t="shared" si="2009"/>
        <v>0.49389088267847253</v>
      </c>
      <c r="CT862" s="492">
        <f t="shared" si="2010"/>
        <v>0.4709468401390095</v>
      </c>
      <c r="CU862" s="492">
        <f t="shared" si="2011"/>
        <v>0.45646984540117408</v>
      </c>
      <c r="CV862" s="492">
        <f t="shared" si="2012"/>
        <v>0.4836324264996345</v>
      </c>
      <c r="CW862" s="492">
        <f t="shared" si="2013"/>
        <v>0.52922717831668498</v>
      </c>
      <c r="CX862" s="492">
        <f t="shared" si="2014"/>
        <v>0.53795319466900893</v>
      </c>
      <c r="CY862" s="492">
        <f t="shared" si="2015"/>
        <v>0.56903612636578904</v>
      </c>
      <c r="CZ862" s="492">
        <f t="shared" si="2016"/>
        <v>0.59723976124316769</v>
      </c>
      <c r="DA862" s="492">
        <f t="shared" si="2017"/>
        <v>0.58904942012700867</v>
      </c>
      <c r="DB862" s="492">
        <f t="shared" si="2017"/>
        <v>0.58021367882510344</v>
      </c>
      <c r="DC862" s="1311">
        <f t="shared" si="2017"/>
        <v>0.59973056535316416</v>
      </c>
      <c r="DD862" s="331"/>
      <c r="DE862" s="331"/>
      <c r="DF862" s="502"/>
      <c r="DG862" s="503"/>
      <c r="DH862" s="2653"/>
      <c r="DI862" s="3213"/>
      <c r="DJ862" s="502"/>
      <c r="DK862" s="503"/>
      <c r="DL862" s="502"/>
      <c r="DM862" s="502"/>
      <c r="DN862" s="502"/>
      <c r="DO862" s="502"/>
      <c r="DP862" s="503"/>
      <c r="DQ862" s="503"/>
      <c r="DR862" s="296"/>
      <c r="DS862" s="296"/>
      <c r="DT862" s="296"/>
    </row>
    <row r="863" spans="1:124" ht="12" customHeight="1" x14ac:dyDescent="0.25">
      <c r="A863" s="465" t="s">
        <v>1491</v>
      </c>
      <c r="B863" s="281"/>
      <c r="C863" s="472" t="s">
        <v>553</v>
      </c>
      <c r="D863" s="472" t="s">
        <v>553</v>
      </c>
      <c r="E863" s="472" t="s">
        <v>553</v>
      </c>
      <c r="F863" s="472" t="s">
        <v>553</v>
      </c>
      <c r="G863" s="491" t="s">
        <v>553</v>
      </c>
      <c r="H863" s="472">
        <f t="shared" ref="H863:AF863" si="2023">(H861-C861)/C861</f>
        <v>-0.10019225589765246</v>
      </c>
      <c r="I863" s="472">
        <f t="shared" si="2023"/>
        <v>2.6370248483645633E-2</v>
      </c>
      <c r="J863" s="472">
        <f t="shared" si="2023"/>
        <v>0.13092247546102218</v>
      </c>
      <c r="K863" s="472">
        <f t="shared" si="2023"/>
        <v>0.45361290503233292</v>
      </c>
      <c r="L863" s="491">
        <f t="shared" si="2023"/>
        <v>0.11747047930334396</v>
      </c>
      <c r="M863" s="472">
        <f t="shared" si="2023"/>
        <v>0.22322336586852762</v>
      </c>
      <c r="N863" s="472">
        <f t="shared" si="2023"/>
        <v>7.9955079791783512E-2</v>
      </c>
      <c r="O863" s="472">
        <f t="shared" si="2023"/>
        <v>-3.8344994621481041E-2</v>
      </c>
      <c r="P863" s="472">
        <f t="shared" si="2023"/>
        <v>-0.10463908371996013</v>
      </c>
      <c r="Q863" s="491">
        <f t="shared" si="2023"/>
        <v>2.4026639633287959E-2</v>
      </c>
      <c r="R863" s="472">
        <f t="shared" si="2023"/>
        <v>3.5166211479262709E-2</v>
      </c>
      <c r="S863" s="472">
        <f t="shared" si="2023"/>
        <v>7.3300920346679899E-2</v>
      </c>
      <c r="T863" s="472">
        <f t="shared" si="2023"/>
        <v>-0.27359039605007279</v>
      </c>
      <c r="U863" s="472">
        <f t="shared" si="2023"/>
        <v>-0.2174461660333126</v>
      </c>
      <c r="V863" s="491">
        <f t="shared" si="2023"/>
        <v>-9.9233618864688858E-2</v>
      </c>
      <c r="W863" s="472">
        <f t="shared" si="2023"/>
        <v>-0.12839690062409667</v>
      </c>
      <c r="X863" s="472">
        <f t="shared" si="2023"/>
        <v>-0.21200775942112735</v>
      </c>
      <c r="Y863" s="472">
        <f t="shared" si="2023"/>
        <v>-8.6767906170229017E-3</v>
      </c>
      <c r="Z863" s="472">
        <f t="shared" si="2023"/>
        <v>2.3489062535056275E-2</v>
      </c>
      <c r="AA863" s="491">
        <f t="shared" si="2023"/>
        <v>-9.352288534040519E-2</v>
      </c>
      <c r="AB863" s="472">
        <f t="shared" si="2023"/>
        <v>-7.8356096377826007E-2</v>
      </c>
      <c r="AC863" s="472">
        <f t="shared" si="2023"/>
        <v>3.3935432971924473E-2</v>
      </c>
      <c r="AD863" s="472">
        <f t="shared" si="2023"/>
        <v>5.1844007357669225E-2</v>
      </c>
      <c r="AE863" s="492">
        <f t="shared" si="2023"/>
        <v>-0.2252413247100348</v>
      </c>
      <c r="AF863" s="493">
        <f t="shared" si="2023"/>
        <v>-5.8551475818339777E-2</v>
      </c>
      <c r="AG863" s="472">
        <f t="shared" ref="AG863:AM863" si="2024">(AG861-AB861)/AB861</f>
        <v>-6.8507699816718975E-2</v>
      </c>
      <c r="AH863" s="472">
        <f t="shared" si="2024"/>
        <v>-5.5308894960534323E-2</v>
      </c>
      <c r="AI863" s="472">
        <f t="shared" si="2024"/>
        <v>-4.754455477744287E-2</v>
      </c>
      <c r="AJ863" s="472">
        <f t="shared" si="2024"/>
        <v>8.1482224092139385E-2</v>
      </c>
      <c r="AK863" s="493">
        <f t="shared" si="2024"/>
        <v>-2.8656357818435362E-2</v>
      </c>
      <c r="AL863" s="472">
        <f t="shared" si="2024"/>
        <v>-8.2674455130560973E-2</v>
      </c>
      <c r="AM863" s="472">
        <f t="shared" si="2024"/>
        <v>-9.3266009225598773E-2</v>
      </c>
      <c r="AN863" s="577">
        <v>-0.09</v>
      </c>
      <c r="AO863" s="492">
        <f>AN863</f>
        <v>-0.09</v>
      </c>
      <c r="AP863" s="494">
        <f>(AP861-AK861)/AK861</f>
        <v>-8.8935114322805084E-2</v>
      </c>
      <c r="AQ863" s="1680">
        <v>-7.0000000000000007E-2</v>
      </c>
      <c r="AR863" s="936">
        <v>-7.0000000000000007E-2</v>
      </c>
      <c r="AS863" s="936">
        <v>-0.05</v>
      </c>
      <c r="AT863" s="936">
        <v>-0.05</v>
      </c>
      <c r="AU863" s="1696">
        <f>(AU861-AP861)/AP861</f>
        <v>-6.0480436900912045E-2</v>
      </c>
      <c r="AV863" s="1680">
        <v>-0.02</v>
      </c>
      <c r="AW863" s="936">
        <v>-0.05</v>
      </c>
      <c r="AX863" s="936">
        <v>-0.04</v>
      </c>
      <c r="AY863" s="1314">
        <v>-0.08</v>
      </c>
      <c r="AZ863" s="1696">
        <f>(AZ861-AU861)/AU861</f>
        <v>-4.666321106776835E-2</v>
      </c>
      <c r="BA863" s="1667">
        <v>-0.1</v>
      </c>
      <c r="BB863" s="936">
        <v>-7.4999999999999997E-2</v>
      </c>
      <c r="BC863" s="936">
        <v>-7.4999999999999997E-2</v>
      </c>
      <c r="BD863" s="1314">
        <v>-7.4999999999999997E-2</v>
      </c>
      <c r="BE863" s="1909">
        <f>(BE861-AZ861)/AZ861</f>
        <v>-8.1709655996767397E-2</v>
      </c>
      <c r="BF863" s="936">
        <v>-0.03</v>
      </c>
      <c r="BG863" s="936">
        <v>0.02</v>
      </c>
      <c r="BH863" s="936">
        <v>-0.01</v>
      </c>
      <c r="BI863" s="936">
        <v>0.01</v>
      </c>
      <c r="BJ863" s="1696">
        <f>(BJ861-BE861)/BE861</f>
        <v>-2.978374992040342E-3</v>
      </c>
      <c r="BK863" s="936">
        <v>-0.05</v>
      </c>
      <c r="BL863" s="936">
        <v>0</v>
      </c>
      <c r="BM863" s="936">
        <v>-5.0000000000000001E-3</v>
      </c>
      <c r="BN863" s="936">
        <v>0</v>
      </c>
      <c r="BO863" s="1696">
        <f>(BO861-BJ861)/BJ861</f>
        <v>-1.4047392653054493E-2</v>
      </c>
      <c r="BP863" s="936">
        <v>-0.05</v>
      </c>
      <c r="BQ863" s="936">
        <v>-0.05</v>
      </c>
      <c r="BR863" s="936">
        <v>-0.02</v>
      </c>
      <c r="BS863" s="936">
        <v>-0.02</v>
      </c>
      <c r="BT863" s="2693">
        <f>(BT861-BO861)/BO861</f>
        <v>-3.5447340135395515E-2</v>
      </c>
      <c r="BU863" s="936">
        <v>-7.4999999999999997E-2</v>
      </c>
      <c r="BV863" s="936">
        <v>-0.01</v>
      </c>
      <c r="BW863" s="936">
        <v>-0.02</v>
      </c>
      <c r="BX863" s="936">
        <v>-0.01</v>
      </c>
      <c r="BY863" s="2693">
        <f>(BY861-BT861)/BT861</f>
        <v>-2.8352936016644726E-2</v>
      </c>
      <c r="BZ863" s="539">
        <v>-1.4999999999999999E-2</v>
      </c>
      <c r="CA863" s="539">
        <v>0.01</v>
      </c>
      <c r="CB863" s="539">
        <v>-0.03</v>
      </c>
      <c r="CC863" s="539">
        <v>-0.03</v>
      </c>
      <c r="CD863" s="539">
        <v>0.01</v>
      </c>
      <c r="CE863" s="539">
        <v>0.01</v>
      </c>
      <c r="CF863" s="539">
        <v>0.01</v>
      </c>
      <c r="CG863" s="331"/>
      <c r="CH863" s="331"/>
      <c r="CI863" s="331"/>
      <c r="CJ863" s="331"/>
      <c r="CK863" s="331"/>
      <c r="CL863" s="1310" t="str">
        <f t="shared" si="2002"/>
        <v>% growth (y-o-y)</v>
      </c>
      <c r="CM863" s="492" t="str">
        <f t="shared" si="2003"/>
        <v xml:space="preserve">n/a </v>
      </c>
      <c r="CN863" s="492">
        <f t="shared" si="2004"/>
        <v>0.11747047930334396</v>
      </c>
      <c r="CO863" s="492">
        <f t="shared" si="2005"/>
        <v>2.4026639633287959E-2</v>
      </c>
      <c r="CP863" s="492">
        <f t="shared" si="2006"/>
        <v>-9.9233618864688858E-2</v>
      </c>
      <c r="CQ863" s="492">
        <f t="shared" si="2007"/>
        <v>-9.352288534040519E-2</v>
      </c>
      <c r="CR863" s="492">
        <f t="shared" si="2008"/>
        <v>-5.8551475818339777E-2</v>
      </c>
      <c r="CS863" s="492">
        <f t="shared" si="2009"/>
        <v>-2.8656357818435362E-2</v>
      </c>
      <c r="CT863" s="492">
        <f t="shared" si="2010"/>
        <v>-8.8935114322805084E-2</v>
      </c>
      <c r="CU863" s="492">
        <f t="shared" si="2011"/>
        <v>-6.0480436900912045E-2</v>
      </c>
      <c r="CV863" s="492">
        <f t="shared" si="2012"/>
        <v>-4.666321106776835E-2</v>
      </c>
      <c r="CW863" s="492">
        <f t="shared" si="2013"/>
        <v>-8.1709655996767397E-2</v>
      </c>
      <c r="CX863" s="492">
        <f t="shared" si="2014"/>
        <v>-2.978374992040342E-3</v>
      </c>
      <c r="CY863" s="492">
        <f t="shared" si="2015"/>
        <v>-1.4047392653054493E-2</v>
      </c>
      <c r="CZ863" s="492">
        <f t="shared" si="2016"/>
        <v>-3.5447340135395515E-2</v>
      </c>
      <c r="DA863" s="492">
        <f t="shared" si="2017"/>
        <v>-2.8352936016644726E-2</v>
      </c>
      <c r="DB863" s="492">
        <f t="shared" si="2017"/>
        <v>-1.4999999999999999E-2</v>
      </c>
      <c r="DC863" s="1311">
        <f t="shared" si="2017"/>
        <v>0.01</v>
      </c>
      <c r="DD863" s="331"/>
      <c r="DE863" s="331"/>
      <c r="DF863" s="502"/>
      <c r="DG863" s="503"/>
      <c r="DH863" s="2653"/>
      <c r="DI863" s="3213"/>
      <c r="DJ863" s="502"/>
      <c r="DK863" s="503"/>
      <c r="DL863" s="502"/>
      <c r="DM863" s="502"/>
      <c r="DN863" s="502"/>
      <c r="DO863" s="502"/>
      <c r="DP863" s="503"/>
      <c r="DQ863" s="503"/>
      <c r="DR863" s="296"/>
      <c r="DS863" s="296"/>
      <c r="DT863" s="296"/>
    </row>
    <row r="864" spans="1:124" ht="12" customHeight="1" x14ac:dyDescent="0.25">
      <c r="A864" s="311" t="s">
        <v>2161</v>
      </c>
      <c r="B864" s="281"/>
      <c r="C864" s="476">
        <f>Taxes!C75</f>
        <v>10.365389800000001</v>
      </c>
      <c r="D864" s="476">
        <f>Taxes!D75</f>
        <v>10.360741500000001</v>
      </c>
      <c r="E864" s="476">
        <f>Taxes!E75</f>
        <v>10.479825700000001</v>
      </c>
      <c r="F864" s="476">
        <f>Taxes!F75</f>
        <v>10.3185327</v>
      </c>
      <c r="G864" s="477">
        <f>Taxes!G75</f>
        <v>41.524489700000004</v>
      </c>
      <c r="H864" s="476">
        <f>Taxes!H75</f>
        <v>11.1313596</v>
      </c>
      <c r="I864" s="476">
        <f>Taxes!I75</f>
        <v>11.02689</v>
      </c>
      <c r="J864" s="476">
        <f>Taxes!J75</f>
        <v>8.9107330000000005</v>
      </c>
      <c r="K864" s="476">
        <f>Taxes!K75</f>
        <v>8.8006480000000007</v>
      </c>
      <c r="L864" s="477">
        <f>Taxes!L75</f>
        <v>38.945497000000003</v>
      </c>
      <c r="M864" s="476">
        <f>Taxes!M75</f>
        <v>9.2632252499999996</v>
      </c>
      <c r="N864" s="476">
        <f>Taxes!N75</f>
        <v>9.2122312499999985</v>
      </c>
      <c r="O864" s="476">
        <f>Taxes!O75</f>
        <v>9.2733442499999992</v>
      </c>
      <c r="P864" s="476">
        <f>Taxes!P75</f>
        <v>9.1710892499999996</v>
      </c>
      <c r="Q864" s="477">
        <f>Taxes!Q75</f>
        <v>36.919889999999995</v>
      </c>
      <c r="R864" s="476">
        <f>Taxes!R75</f>
        <v>9.5756714999999986</v>
      </c>
      <c r="S864" s="476">
        <f>Taxes!S75</f>
        <v>9.6098744999999983</v>
      </c>
      <c r="T864" s="476">
        <f>Taxes!T75</f>
        <v>9.6453074999999977</v>
      </c>
      <c r="U864" s="476">
        <f>Taxes!U75</f>
        <v>9.6453074999999977</v>
      </c>
      <c r="V864" s="477">
        <f>Taxes!V75</f>
        <v>38.476160999999991</v>
      </c>
      <c r="W864" s="476">
        <f>Taxes!W75</f>
        <v>6.6572897454811857</v>
      </c>
      <c r="X864" s="476">
        <f>Taxes!X75</f>
        <v>6.4603432209926623</v>
      </c>
      <c r="Y864" s="476">
        <f>Taxes!Y75</f>
        <v>6.4700683984756866</v>
      </c>
      <c r="Z864" s="476">
        <f>Taxes!Z75</f>
        <v>5.586007635050465</v>
      </c>
      <c r="AA864" s="477">
        <f>Taxes!AA75</f>
        <v>25.173709000000002</v>
      </c>
      <c r="AB864" s="476">
        <f>Taxes!AB75</f>
        <v>5.6817999999999991</v>
      </c>
      <c r="AC864" s="476">
        <f>Taxes!AC75</f>
        <v>5.6979999999999986</v>
      </c>
      <c r="AD864" s="476">
        <f>Taxes!AD75</f>
        <v>5.7453999999999992</v>
      </c>
      <c r="AE864" s="476">
        <f>Taxes!AE75</f>
        <v>5.5911999999999988</v>
      </c>
      <c r="AF864" s="477">
        <f>Taxes!AF75</f>
        <v>22.716399999999997</v>
      </c>
      <c r="AG864" s="476">
        <f>Taxes!AG75</f>
        <v>5.0595625000000011</v>
      </c>
      <c r="AH864" s="476">
        <f>Taxes!AH75</f>
        <v>5.0445625000000005</v>
      </c>
      <c r="AI864" s="476">
        <f>Taxes!AI75</f>
        <v>5.0449795000000011</v>
      </c>
      <c r="AJ864" s="476">
        <f>Taxes!AJ75</f>
        <v>4.9554625000000003</v>
      </c>
      <c r="AK864" s="477">
        <f>Taxes!AK75</f>
        <v>20.104567000000003</v>
      </c>
      <c r="AL864" s="476">
        <f>Taxes!AL75</f>
        <v>4.6406875000000003</v>
      </c>
      <c r="AM864" s="476">
        <f>Taxes!AM75</f>
        <v>4.6692415</v>
      </c>
      <c r="AN864" s="476">
        <f>Taxes!AN75</f>
        <v>4.6747405000000004</v>
      </c>
      <c r="AO864" s="476">
        <f>Taxes!AO75</f>
        <v>4.5710664999999997</v>
      </c>
      <c r="AP864" s="478">
        <f>Taxes!AP75</f>
        <v>18.555736</v>
      </c>
      <c r="AQ864" s="478">
        <f>Taxes!AQ75</f>
        <v>4.44741725</v>
      </c>
      <c r="AR864" s="476">
        <f>Taxes!AR75</f>
        <v>4.44213725</v>
      </c>
      <c r="AS864" s="476">
        <f>Taxes!AS75</f>
        <v>4.48207925</v>
      </c>
      <c r="AT864" s="476">
        <f>Taxes!AT75</f>
        <v>4.3999092500000003</v>
      </c>
      <c r="AU864" s="1464">
        <f>Taxes!AU75</f>
        <v>17.771543000000001</v>
      </c>
      <c r="AV864" s="1865">
        <f>Taxes!AV75</f>
        <v>3.9241642625000006</v>
      </c>
      <c r="AW864" s="1771">
        <f>Taxes!AW75</f>
        <v>3.8701042625000004</v>
      </c>
      <c r="AX864" s="1771">
        <f>Taxes!AX75</f>
        <v>3.9157612625000002</v>
      </c>
      <c r="AY864" s="1866">
        <f>Taxes!AY75</f>
        <v>3.8472112625000006</v>
      </c>
      <c r="AZ864" s="1464">
        <f>Taxes!AZ75</f>
        <v>15.557241050000002</v>
      </c>
      <c r="BA864" s="478">
        <f>Taxes!BA75</f>
        <v>3.2793003187500003</v>
      </c>
      <c r="BB864" s="476">
        <f>Taxes!BB75</f>
        <v>3.2983893187500004</v>
      </c>
      <c r="BC864" s="476">
        <f>Taxes!BC75</f>
        <v>3.2909733187500003</v>
      </c>
      <c r="BD864" s="682">
        <f>Taxes!BD75</f>
        <v>3.2531913187500003</v>
      </c>
      <c r="BE864" s="1866">
        <f>Taxes!BE75</f>
        <v>13.121854275000002</v>
      </c>
      <c r="BF864" s="476">
        <f>Taxes!BF75</f>
        <v>3.1248331812500001</v>
      </c>
      <c r="BG864" s="476">
        <f>Taxes!BG75</f>
        <v>3.11230518125</v>
      </c>
      <c r="BH864" s="476">
        <f>Taxes!BH75</f>
        <v>3.0966781812500002</v>
      </c>
      <c r="BI864" s="682">
        <f>Taxes!BI75</f>
        <v>3.0253231812500001</v>
      </c>
      <c r="BJ864" s="1866">
        <f>Taxes!BJ75</f>
        <v>12.359139725</v>
      </c>
      <c r="BK864" s="476">
        <f>Taxes!BK75</f>
        <v>2.6777020874999997</v>
      </c>
      <c r="BL864" s="476">
        <f>Taxes!BL75</f>
        <v>2.7203050874999999</v>
      </c>
      <c r="BM864" s="476">
        <f>Taxes!BM75</f>
        <v>2.7260890874999997</v>
      </c>
      <c r="BN864" s="682">
        <f>Taxes!BN75</f>
        <v>2.6661370874999997</v>
      </c>
      <c r="BO864" s="1866">
        <f>Taxes!BO75</f>
        <v>10.790233349999999</v>
      </c>
      <c r="BP864" s="476">
        <f>Taxes!BP75</f>
        <v>2.6051918437500001</v>
      </c>
      <c r="BQ864" s="476">
        <f>Taxes!BQ75</f>
        <v>2.5883828437500003</v>
      </c>
      <c r="BR864" s="476">
        <f>Taxes!BR75</f>
        <v>2.6280668437500001</v>
      </c>
      <c r="BS864" s="476">
        <f>Taxes!BS75</f>
        <v>2.58076884375</v>
      </c>
      <c r="BT864" s="2604">
        <f>Taxes!BT75</f>
        <v>10.402410375000001</v>
      </c>
      <c r="BU864" s="476">
        <f>Taxes!BU75</f>
        <v>2.5724443273351931</v>
      </c>
      <c r="BV864" s="476">
        <f>Taxes!BV75</f>
        <v>2.5954062166875005</v>
      </c>
      <c r="BW864" s="476">
        <f>Taxes!BW75</f>
        <v>2.6247201766875006</v>
      </c>
      <c r="BX864" s="476">
        <f>Taxes!BX75</f>
        <v>2.5769491966875004</v>
      </c>
      <c r="BY864" s="2604">
        <f>Taxes!BY75</f>
        <v>10.369519917397694</v>
      </c>
      <c r="BZ864" s="477">
        <f>Taxes!BZ75</f>
        <v>10.369519917397694</v>
      </c>
      <c r="CA864" s="477">
        <f>Taxes!CA75</f>
        <v>10.124629519049742</v>
      </c>
      <c r="CB864" s="477">
        <f>Taxes!CB75</f>
        <v>9.5246480430972529</v>
      </c>
      <c r="CC864" s="477">
        <f>Taxes!CC75</f>
        <v>8.954665640942391</v>
      </c>
      <c r="CD864" s="477">
        <f>Taxes!CD75</f>
        <v>9.1712589537612388</v>
      </c>
      <c r="CE864" s="477">
        <f>Taxes!CE75</f>
        <v>9.3921841328364639</v>
      </c>
      <c r="CF864" s="477">
        <f>Taxes!CF75</f>
        <v>9.617527815493192</v>
      </c>
      <c r="CG864" s="331"/>
      <c r="CH864" s="331"/>
      <c r="CI864" s="331"/>
      <c r="CJ864" s="331"/>
      <c r="CK864" s="331"/>
      <c r="CL864" s="528" t="str">
        <f t="shared" si="2002"/>
        <v>Tax expense</v>
      </c>
      <c r="CM864" s="476">
        <f t="shared" si="2003"/>
        <v>41.524489700000004</v>
      </c>
      <c r="CN864" s="476">
        <f t="shared" si="2004"/>
        <v>38.945497000000003</v>
      </c>
      <c r="CO864" s="476">
        <f t="shared" si="2005"/>
        <v>36.919889999999995</v>
      </c>
      <c r="CP864" s="476">
        <f t="shared" si="2006"/>
        <v>38.476160999999991</v>
      </c>
      <c r="CQ864" s="476">
        <f t="shared" si="2007"/>
        <v>25.173709000000002</v>
      </c>
      <c r="CR864" s="476">
        <f t="shared" si="2008"/>
        <v>22.716399999999997</v>
      </c>
      <c r="CS864" s="476">
        <f t="shared" si="2009"/>
        <v>20.104567000000003</v>
      </c>
      <c r="CT864" s="476">
        <f t="shared" si="2010"/>
        <v>18.555736</v>
      </c>
      <c r="CU864" s="476">
        <f t="shared" si="2011"/>
        <v>17.771543000000001</v>
      </c>
      <c r="CV864" s="476">
        <f t="shared" si="2012"/>
        <v>15.557241050000002</v>
      </c>
      <c r="CW864" s="476">
        <f t="shared" si="2013"/>
        <v>13.121854275000002</v>
      </c>
      <c r="CX864" s="476">
        <f t="shared" si="2014"/>
        <v>12.359139725</v>
      </c>
      <c r="CY864" s="476">
        <f t="shared" si="2015"/>
        <v>10.790233349999999</v>
      </c>
      <c r="CZ864" s="476">
        <f t="shared" si="2016"/>
        <v>10.402410375000001</v>
      </c>
      <c r="DA864" s="476">
        <f t="shared" si="2017"/>
        <v>10.369519917397694</v>
      </c>
      <c r="DB864" s="476">
        <f t="shared" si="2017"/>
        <v>10.369519917397694</v>
      </c>
      <c r="DC864" s="682">
        <f t="shared" si="2017"/>
        <v>10.124629519049742</v>
      </c>
      <c r="DD864" s="331"/>
      <c r="DE864" s="331"/>
      <c r="DF864" s="502"/>
      <c r="DG864" s="503"/>
      <c r="DH864" s="2577"/>
      <c r="DI864" s="3213"/>
      <c r="DJ864" s="502"/>
      <c r="DK864" s="503"/>
      <c r="DL864" s="502"/>
      <c r="DM864" s="502"/>
      <c r="DN864" s="502"/>
      <c r="DO864" s="502"/>
      <c r="DP864" s="503"/>
      <c r="DQ864" s="503"/>
      <c r="DR864" s="296"/>
      <c r="DS864" s="296"/>
      <c r="DT864" s="296"/>
    </row>
    <row r="865" spans="1:130" ht="12" customHeight="1" x14ac:dyDescent="0.25">
      <c r="A865" s="465" t="s">
        <v>1810</v>
      </c>
      <c r="B865" s="281"/>
      <c r="C865" s="472">
        <f t="shared" ref="C865:AU865" si="2025">C864/C855</f>
        <v>0.38127675274038109</v>
      </c>
      <c r="D865" s="472">
        <f t="shared" si="2025"/>
        <v>0.40001318481911902</v>
      </c>
      <c r="E865" s="472">
        <f t="shared" si="2025"/>
        <v>0.37732504140563117</v>
      </c>
      <c r="F865" s="472">
        <f t="shared" si="2025"/>
        <v>0.39223524917322389</v>
      </c>
      <c r="G865" s="491">
        <f t="shared" si="2025"/>
        <v>0.38747097734398328</v>
      </c>
      <c r="H865" s="472">
        <f t="shared" si="2025"/>
        <v>0.39325088673779407</v>
      </c>
      <c r="I865" s="472">
        <f t="shared" si="2025"/>
        <v>0.3935083148954393</v>
      </c>
      <c r="J865" s="472">
        <f t="shared" si="2025"/>
        <v>0.29943991531688957</v>
      </c>
      <c r="K865" s="472">
        <f t="shared" si="2025"/>
        <v>0.31995375554424493</v>
      </c>
      <c r="L865" s="491">
        <f t="shared" si="2025"/>
        <v>0.34285422388900627</v>
      </c>
      <c r="M865" s="472">
        <f t="shared" si="2025"/>
        <v>0.29872699055113033</v>
      </c>
      <c r="N865" s="472">
        <f t="shared" si="2025"/>
        <v>0.30913527684563752</v>
      </c>
      <c r="O865" s="472">
        <f t="shared" si="2025"/>
        <v>0.29995291273127178</v>
      </c>
      <c r="P865" s="472">
        <f t="shared" si="2025"/>
        <v>0.30596814739440842</v>
      </c>
      <c r="Q865" s="491">
        <f t="shared" si="2025"/>
        <v>0.30337052892792871</v>
      </c>
      <c r="R865" s="472">
        <f t="shared" si="2025"/>
        <v>0.29578277321307223</v>
      </c>
      <c r="S865" s="472">
        <f t="shared" si="2025"/>
        <v>0.29932641333125681</v>
      </c>
      <c r="T865" s="472">
        <f t="shared" si="2025"/>
        <v>0.30291148483135472</v>
      </c>
      <c r="U865" s="472">
        <f t="shared" si="2025"/>
        <v>0.32823915262889219</v>
      </c>
      <c r="V865" s="491">
        <f t="shared" si="2025"/>
        <v>0.30608054508138033</v>
      </c>
      <c r="W865" s="472">
        <f t="shared" si="2025"/>
        <v>0.27485610608485145</v>
      </c>
      <c r="X865" s="472">
        <f t="shared" si="2025"/>
        <v>0.2745343881094961</v>
      </c>
      <c r="Y865" s="472">
        <f t="shared" si="2025"/>
        <v>0.27576798220423182</v>
      </c>
      <c r="Z865" s="472">
        <f t="shared" si="2025"/>
        <v>0.27604307348539558</v>
      </c>
      <c r="AA865" s="491">
        <f t="shared" si="2025"/>
        <v>0.27526991503646764</v>
      </c>
      <c r="AB865" s="472">
        <f t="shared" si="2025"/>
        <v>0.25944292237442917</v>
      </c>
      <c r="AC865" s="472">
        <f t="shared" si="2025"/>
        <v>0.25899999999999995</v>
      </c>
      <c r="AD865" s="472">
        <f t="shared" si="2025"/>
        <v>0.26847663551401868</v>
      </c>
      <c r="AE865" s="492">
        <f t="shared" si="2025"/>
        <v>0.29583068783068778</v>
      </c>
      <c r="AF865" s="493">
        <f t="shared" si="2025"/>
        <v>0.26979097387173395</v>
      </c>
      <c r="AG865" s="472">
        <f t="shared" si="2025"/>
        <v>0.25047339108910899</v>
      </c>
      <c r="AH865" s="472">
        <f t="shared" si="2025"/>
        <v>0.25869551282051284</v>
      </c>
      <c r="AI865" s="472">
        <f t="shared" si="2025"/>
        <v>0.25609032994923864</v>
      </c>
      <c r="AJ865" s="492">
        <f t="shared" si="2025"/>
        <v>0.27674871551435276</v>
      </c>
      <c r="AK865" s="493">
        <f t="shared" si="2025"/>
        <v>0.26006476858199878</v>
      </c>
      <c r="AL865" s="472">
        <f t="shared" si="2025"/>
        <v>0.24425956629296283</v>
      </c>
      <c r="AM865" s="472">
        <f t="shared" si="2025"/>
        <v>0.24327835669254419</v>
      </c>
      <c r="AN865" s="472">
        <f t="shared" si="2025"/>
        <v>0.26004007898982034</v>
      </c>
      <c r="AO865" s="492">
        <f t="shared" si="2025"/>
        <v>0.27014162874534603</v>
      </c>
      <c r="AP865" s="494">
        <f t="shared" si="2025"/>
        <v>0.25387516760158707</v>
      </c>
      <c r="AQ865" s="494">
        <f t="shared" si="2025"/>
        <v>0.24658556498114878</v>
      </c>
      <c r="AR865" s="492">
        <f t="shared" si="2025"/>
        <v>0.24673057376138638</v>
      </c>
      <c r="AS865" s="492">
        <f t="shared" si="2025"/>
        <v>0.24872803829078802</v>
      </c>
      <c r="AT865" s="492">
        <f t="shared" si="2025"/>
        <v>0.26018031163148253</v>
      </c>
      <c r="AU865" s="1696">
        <f t="shared" si="2025"/>
        <v>0.25040570092009412</v>
      </c>
      <c r="AV865" s="1734">
        <f t="shared" ref="AV865:BJ865" si="2026">AV864/AV855</f>
        <v>0.22375304026827347</v>
      </c>
      <c r="AW865" s="1735">
        <f t="shared" si="2026"/>
        <v>0.24099941336594069</v>
      </c>
      <c r="AX865" s="1735">
        <f t="shared" si="2026"/>
        <v>0.24416643054990123</v>
      </c>
      <c r="AY865" s="1909">
        <f t="shared" si="2026"/>
        <v>0.26297896095862089</v>
      </c>
      <c r="AZ865" s="1696">
        <f t="shared" si="2026"/>
        <v>0.24208668062739955</v>
      </c>
      <c r="BA865" s="494">
        <f t="shared" si="2026"/>
        <v>0.22354736280193516</v>
      </c>
      <c r="BB865" s="492">
        <f t="shared" si="2026"/>
        <v>0.22779916581683715</v>
      </c>
      <c r="BC865" s="492">
        <f t="shared" si="2026"/>
        <v>0.23149834659529717</v>
      </c>
      <c r="BD865" s="1311">
        <f t="shared" si="2026"/>
        <v>0.24680011843508948</v>
      </c>
      <c r="BE865" s="1909">
        <f t="shared" si="2026"/>
        <v>0.23205545276153922</v>
      </c>
      <c r="BF865" s="492">
        <f t="shared" si="2026"/>
        <v>0.2163105161839016</v>
      </c>
      <c r="BG865" s="492">
        <f t="shared" si="2026"/>
        <v>0.21069424197350237</v>
      </c>
      <c r="BH865" s="492">
        <f t="shared" si="2026"/>
        <v>0.22762636092002655</v>
      </c>
      <c r="BI865" s="1311">
        <f t="shared" si="2026"/>
        <v>0.25733714712319722</v>
      </c>
      <c r="BJ865" s="1909">
        <f t="shared" si="2026"/>
        <v>0.22644828798766337</v>
      </c>
      <c r="BK865" s="492">
        <f t="shared" ref="BK865:BU865" si="2027">BK864/BK855</f>
        <v>0.21636113669137644</v>
      </c>
      <c r="BL865" s="492">
        <f t="shared" si="2027"/>
        <v>0.21419725098425196</v>
      </c>
      <c r="BM865" s="492">
        <f t="shared" si="2027"/>
        <v>0.21111715329671193</v>
      </c>
      <c r="BN865" s="1311">
        <f t="shared" si="2027"/>
        <v>0.23756254185086986</v>
      </c>
      <c r="BO865" s="1909">
        <f t="shared" si="2027"/>
        <v>0.21926178510672048</v>
      </c>
      <c r="BP865" s="492">
        <f t="shared" si="2027"/>
        <v>0.2102725927921926</v>
      </c>
      <c r="BQ865" s="492">
        <f t="shared" si="2027"/>
        <v>0.22062311729899053</v>
      </c>
      <c r="BR865" s="492">
        <f t="shared" si="2027"/>
        <v>0.21074555629277203</v>
      </c>
      <c r="BS865" s="492">
        <f t="shared" si="2027"/>
        <v>0.22684918809987253</v>
      </c>
      <c r="BT865" s="2693">
        <f t="shared" si="2027"/>
        <v>0.21685849592822645</v>
      </c>
      <c r="BU865" s="2653">
        <f t="shared" si="2027"/>
        <v>0.22269385907724515</v>
      </c>
      <c r="BV865" s="2653">
        <f t="shared" ref="BV865:CF865" si="2028">BV864/BV855</f>
        <v>0.21271323148789884</v>
      </c>
      <c r="BW865" s="2653">
        <f t="shared" si="2028"/>
        <v>0.20839325341127243</v>
      </c>
      <c r="BX865" s="2653">
        <f t="shared" si="2028"/>
        <v>0.22427073436151365</v>
      </c>
      <c r="BY865" s="2693">
        <f t="shared" si="2028"/>
        <v>0.21676188139826952</v>
      </c>
      <c r="BZ865" s="493">
        <f t="shared" si="2028"/>
        <v>0.21676188139826952</v>
      </c>
      <c r="CA865" s="493">
        <f t="shared" si="2028"/>
        <v>0.21596199289682924</v>
      </c>
      <c r="CB865" s="493">
        <f t="shared" si="2028"/>
        <v>0.21385702315619676</v>
      </c>
      <c r="CC865" s="493">
        <f t="shared" si="2028"/>
        <v>0.21164126553447848</v>
      </c>
      <c r="CD865" s="493">
        <f t="shared" si="2028"/>
        <v>0.21251019009201508</v>
      </c>
      <c r="CE865" s="493">
        <f t="shared" si="2028"/>
        <v>0.21336207691312939</v>
      </c>
      <c r="CF865" s="493">
        <f t="shared" si="2028"/>
        <v>0.21419726007108458</v>
      </c>
      <c r="CG865" s="331"/>
      <c r="CH865" s="331"/>
      <c r="CI865" s="331"/>
      <c r="CJ865" s="331"/>
      <c r="CK865" s="331"/>
      <c r="CL865" s="1310" t="str">
        <f t="shared" si="2002"/>
        <v>% of Gaming revenue</v>
      </c>
      <c r="CM865" s="492">
        <f t="shared" si="2003"/>
        <v>0.38747097734398328</v>
      </c>
      <c r="CN865" s="492">
        <f t="shared" si="2004"/>
        <v>0.34285422388900627</v>
      </c>
      <c r="CO865" s="492">
        <f t="shared" si="2005"/>
        <v>0.30337052892792871</v>
      </c>
      <c r="CP865" s="492">
        <f t="shared" si="2006"/>
        <v>0.30608054508138033</v>
      </c>
      <c r="CQ865" s="492">
        <f t="shared" si="2007"/>
        <v>0.27526991503646764</v>
      </c>
      <c r="CR865" s="492">
        <f t="shared" si="2008"/>
        <v>0.26979097387173395</v>
      </c>
      <c r="CS865" s="492">
        <f t="shared" si="2009"/>
        <v>0.26006476858199878</v>
      </c>
      <c r="CT865" s="492">
        <f t="shared" si="2010"/>
        <v>0.25387516760158707</v>
      </c>
      <c r="CU865" s="492">
        <f t="shared" si="2011"/>
        <v>0.25040570092009412</v>
      </c>
      <c r="CV865" s="492">
        <f t="shared" si="2012"/>
        <v>0.24208668062739955</v>
      </c>
      <c r="CW865" s="492">
        <f t="shared" si="2013"/>
        <v>0.23205545276153922</v>
      </c>
      <c r="CX865" s="492">
        <f t="shared" si="2014"/>
        <v>0.22644828798766337</v>
      </c>
      <c r="CY865" s="492">
        <f t="shared" si="2015"/>
        <v>0.21926178510672048</v>
      </c>
      <c r="CZ865" s="492">
        <f t="shared" si="2016"/>
        <v>0.21685849592822645</v>
      </c>
      <c r="DA865" s="492">
        <f t="shared" si="2017"/>
        <v>0.21676188139826952</v>
      </c>
      <c r="DB865" s="492">
        <f t="shared" si="2017"/>
        <v>0.21676188139826952</v>
      </c>
      <c r="DC865" s="1311">
        <f t="shared" si="2017"/>
        <v>0.21596199289682924</v>
      </c>
      <c r="DD865" s="331"/>
      <c r="DE865" s="331"/>
      <c r="DF865" s="502"/>
      <c r="DG865" s="503"/>
      <c r="DH865" s="2653"/>
      <c r="DI865" s="3213"/>
      <c r="DJ865" s="502"/>
      <c r="DK865" s="503"/>
      <c r="DL865" s="502"/>
      <c r="DM865" s="502"/>
      <c r="DN865" s="502"/>
      <c r="DO865" s="502"/>
      <c r="DP865" s="503"/>
      <c r="DQ865" s="503"/>
      <c r="DR865" s="296"/>
      <c r="DS865" s="296"/>
      <c r="DT865" s="296"/>
    </row>
    <row r="866" spans="1:130" ht="12" customHeight="1" x14ac:dyDescent="0.25">
      <c r="A866" s="311" t="s">
        <v>2162</v>
      </c>
      <c r="B866" s="281"/>
      <c r="C866" s="452">
        <f>C858-C868</f>
        <v>21.334</v>
      </c>
      <c r="D866" s="452">
        <f>D858-D868</f>
        <v>20.556000000000001</v>
      </c>
      <c r="E866" s="452">
        <f>E858-E868</f>
        <v>21.678000000000001</v>
      </c>
      <c r="F866" s="452">
        <f>F858-F868</f>
        <v>19.736000000000001</v>
      </c>
      <c r="G866" s="475">
        <f>SUM(C866:F866)</f>
        <v>83.304000000000002</v>
      </c>
      <c r="H866" s="452">
        <f>H858-H868</f>
        <v>21.000999999999998</v>
      </c>
      <c r="I866" s="452">
        <f>I858-I868</f>
        <v>21.491</v>
      </c>
      <c r="J866" s="452">
        <f>J858-J868</f>
        <v>21.574999999999999</v>
      </c>
      <c r="K866" s="452">
        <f>K858-K868</f>
        <v>22.490000000000002</v>
      </c>
      <c r="L866" s="475">
        <f>SUM(H866:K866)</f>
        <v>86.556999999999988</v>
      </c>
      <c r="M866" s="452">
        <f>M858-M868</f>
        <v>21.335999999999999</v>
      </c>
      <c r="N866" s="452">
        <f>N858-N868</f>
        <v>20.512999999999998</v>
      </c>
      <c r="O866" s="452">
        <f>O858-O868</f>
        <v>21.451999999999998</v>
      </c>
      <c r="P866" s="452">
        <f>P858-P868</f>
        <v>21.427999999999997</v>
      </c>
      <c r="Q866" s="475">
        <f>SUM(M866:P866)</f>
        <v>84.728999999999985</v>
      </c>
      <c r="R866" s="452">
        <f>R858-R868</f>
        <v>22.073</v>
      </c>
      <c r="S866" s="452">
        <f>S858-S868</f>
        <v>21.738999999999997</v>
      </c>
      <c r="T866" s="452">
        <f>T858-T868</f>
        <v>18.492000000000001</v>
      </c>
      <c r="U866" s="452">
        <f>U858-U868</f>
        <v>19.237000000000002</v>
      </c>
      <c r="V866" s="475">
        <f>SUM(R866:U866)</f>
        <v>81.540999999999997</v>
      </c>
      <c r="W866" s="452">
        <f>W858-W868</f>
        <v>17.549999999999997</v>
      </c>
      <c r="X866" s="452">
        <f>X858-X868</f>
        <v>16.018000000000001</v>
      </c>
      <c r="Y866" s="452">
        <f>Y858-Y868</f>
        <v>15.240000000000002</v>
      </c>
      <c r="Z866" s="452">
        <f>Z858-Z868</f>
        <v>15.403</v>
      </c>
      <c r="AA866" s="475">
        <f>SUM(W866:Z866)</f>
        <v>64.210999999999999</v>
      </c>
      <c r="AB866" s="452">
        <f>AB858-AB868</f>
        <v>15.721</v>
      </c>
      <c r="AC866" s="452">
        <f>AC858-AC868</f>
        <v>15.58</v>
      </c>
      <c r="AD866" s="452">
        <f>AD858-AD868</f>
        <v>14.969999999999999</v>
      </c>
      <c r="AE866" s="452">
        <f>AE858-AE868</f>
        <v>13.197000000000003</v>
      </c>
      <c r="AF866" s="477">
        <f>SUM(AB866:AE866)</f>
        <v>59.468000000000004</v>
      </c>
      <c r="AG866" s="452">
        <f>AG858-AG868</f>
        <v>14.410999999999998</v>
      </c>
      <c r="AH866" s="452">
        <f>AH858-AH868</f>
        <v>14.380000000000003</v>
      </c>
      <c r="AI866" s="452">
        <f>AI858-AI868</f>
        <v>13.831000000000001</v>
      </c>
      <c r="AJ866" s="452">
        <f>AJ858-AJ868</f>
        <v>13.180999999999999</v>
      </c>
      <c r="AK866" s="477">
        <f>SUM(AG866:AJ866)</f>
        <v>55.802999999999997</v>
      </c>
      <c r="AL866" s="452">
        <f>AL858-AL868</f>
        <v>13.219000000000001</v>
      </c>
      <c r="AM866" s="452">
        <f>AM858-AM868</f>
        <v>13.134</v>
      </c>
      <c r="AN866" s="476">
        <f>AN861+AN864</f>
        <v>12.670019155</v>
      </c>
      <c r="AO866" s="476">
        <f>AO861+AO864</f>
        <v>12.056305624999998</v>
      </c>
      <c r="AP866" s="478">
        <f>SUM(AL866:AO866)</f>
        <v>51.07932478</v>
      </c>
      <c r="AQ866" s="478">
        <f>AQ861+AQ864</f>
        <v>12.425247875</v>
      </c>
      <c r="AR866" s="476">
        <f>AR861+AR864</f>
        <v>12.314362655</v>
      </c>
      <c r="AS866" s="476">
        <f>AS861+AS864</f>
        <v>12.07759397225</v>
      </c>
      <c r="AT866" s="476">
        <f>AT861+AT864</f>
        <v>11.510886418749998</v>
      </c>
      <c r="AU866" s="1464">
        <f>SUM(AQ866:AT866)</f>
        <v>48.328090920999998</v>
      </c>
      <c r="AV866" s="1865">
        <f>AV861+AV864</f>
        <v>11.742438275000001</v>
      </c>
      <c r="AW866" s="1771">
        <f>AW861+AW864</f>
        <v>11.34871839725</v>
      </c>
      <c r="AX866" s="1771">
        <f>AX861+AX864</f>
        <v>11.20745539586</v>
      </c>
      <c r="AY866" s="1866">
        <f>AY861+AY864</f>
        <v>10.389310257749999</v>
      </c>
      <c r="AZ866" s="1464">
        <f>SUM(AV866:AY866)</f>
        <v>44.687922325860001</v>
      </c>
      <c r="BA866" s="478">
        <f>BA861+BA864</f>
        <v>10.31574693</v>
      </c>
      <c r="BB866" s="476">
        <f>BB861+BB864</f>
        <v>10.216107393393751</v>
      </c>
      <c r="BC866" s="476">
        <f>BC861+BC864</f>
        <v>10.035790392108</v>
      </c>
      <c r="BD866" s="682">
        <f>BD861+BD864</f>
        <v>9.3046328893562489</v>
      </c>
      <c r="BE866" s="1866">
        <f>SUM(BA866:BD866)</f>
        <v>39.872277604857999</v>
      </c>
      <c r="BF866" s="476">
        <f>BF861+BF864</f>
        <v>9.9501863941625004</v>
      </c>
      <c r="BG866" s="476">
        <f>BG861+BG864</f>
        <v>10.168377617386625</v>
      </c>
      <c r="BH866" s="476">
        <f>BH861+BH864</f>
        <v>9.7740470838744198</v>
      </c>
      <c r="BI866" s="682">
        <f>BI861+BI864</f>
        <v>9.137279167562312</v>
      </c>
      <c r="BJ866" s="1866">
        <f>SUM(BF866:BI866)</f>
        <v>39.029890262985859</v>
      </c>
      <c r="BK866" s="476">
        <f>BK861+BK864</f>
        <v>9.1617876397668745</v>
      </c>
      <c r="BL866" s="476">
        <f>BL861+BL864</f>
        <v>9.7763775236366257</v>
      </c>
      <c r="BM866" s="476">
        <f>BM861+BM864</f>
        <v>9.3700711456112984</v>
      </c>
      <c r="BN866" s="682">
        <f>BN861+BN864</f>
        <v>8.7780930738123111</v>
      </c>
      <c r="BO866" s="1866">
        <f>SUM(BK866:BN866)</f>
        <v>37.08632938282711</v>
      </c>
      <c r="BP866" s="476">
        <f>BP861+BP864</f>
        <v>8.7650731184035315</v>
      </c>
      <c r="BQ866" s="476">
        <f>BQ861+BQ864</f>
        <v>9.291651658079795</v>
      </c>
      <c r="BR866" s="476">
        <f>BR861+BR864</f>
        <v>9.139169260699072</v>
      </c>
      <c r="BS866" s="476">
        <f>BS861+BS864</f>
        <v>8.5704857103360652</v>
      </c>
      <c r="BT866" s="2604">
        <f>SUM(BP866:BS866)</f>
        <v>35.766379747518464</v>
      </c>
      <c r="BU866" s="2577">
        <f>BU861+BU864</f>
        <v>8.2703345063897089</v>
      </c>
      <c r="BV866" s="2577">
        <f>BV861+BV864</f>
        <v>9.2316423428739967</v>
      </c>
      <c r="BW866" s="2577">
        <f>BW861+BW864</f>
        <v>9.0056005452975914</v>
      </c>
      <c r="BX866" s="2577">
        <f>BX861+BX864</f>
        <v>8.5067688946077045</v>
      </c>
      <c r="BY866" s="2604">
        <f>SUM(BU866:BX866)</f>
        <v>35.014346289168998</v>
      </c>
      <c r="BZ866" s="477">
        <f t="shared" ref="BZ866:CF866" si="2029">BZ861+BZ864</f>
        <v>34.644673893592433</v>
      </c>
      <c r="CA866" s="477">
        <f t="shared" si="2029"/>
        <v>34.642535035006432</v>
      </c>
      <c r="CB866" s="477">
        <f t="shared" si="2029"/>
        <v>33.307016393575239</v>
      </c>
      <c r="CC866" s="477">
        <f t="shared" si="2029"/>
        <v>32.023562940906039</v>
      </c>
      <c r="CD866" s="477">
        <f t="shared" si="2029"/>
        <v>32.470845226724521</v>
      </c>
      <c r="CE866" s="477">
        <f t="shared" si="2029"/>
        <v>32.924766268529382</v>
      </c>
      <c r="CF866" s="477">
        <f t="shared" si="2029"/>
        <v>33.38543577254304</v>
      </c>
      <c r="CG866" s="331"/>
      <c r="CH866" s="331"/>
      <c r="CI866" s="331"/>
      <c r="CJ866" s="331"/>
      <c r="CK866" s="331"/>
      <c r="CL866" s="528" t="str">
        <f t="shared" si="2002"/>
        <v>Total expenses</v>
      </c>
      <c r="CM866" s="476">
        <f t="shared" si="2003"/>
        <v>83.304000000000002</v>
      </c>
      <c r="CN866" s="476">
        <f t="shared" si="2004"/>
        <v>86.556999999999988</v>
      </c>
      <c r="CO866" s="476">
        <f t="shared" si="2005"/>
        <v>84.728999999999985</v>
      </c>
      <c r="CP866" s="476">
        <f t="shared" si="2006"/>
        <v>81.540999999999997</v>
      </c>
      <c r="CQ866" s="476">
        <f t="shared" si="2007"/>
        <v>64.210999999999999</v>
      </c>
      <c r="CR866" s="476">
        <f t="shared" si="2008"/>
        <v>59.468000000000004</v>
      </c>
      <c r="CS866" s="476">
        <f t="shared" si="2009"/>
        <v>55.802999999999997</v>
      </c>
      <c r="CT866" s="476">
        <f t="shared" si="2010"/>
        <v>51.07932478</v>
      </c>
      <c r="CU866" s="476">
        <f t="shared" si="2011"/>
        <v>48.328090920999998</v>
      </c>
      <c r="CV866" s="476">
        <f t="shared" si="2012"/>
        <v>44.687922325860001</v>
      </c>
      <c r="CW866" s="476">
        <f t="shared" si="2013"/>
        <v>39.872277604857999</v>
      </c>
      <c r="CX866" s="476">
        <f t="shared" si="2014"/>
        <v>39.029890262985859</v>
      </c>
      <c r="CY866" s="476">
        <f t="shared" si="2015"/>
        <v>37.08632938282711</v>
      </c>
      <c r="CZ866" s="476">
        <f t="shared" si="2016"/>
        <v>35.766379747518464</v>
      </c>
      <c r="DA866" s="476">
        <f t="shared" si="2017"/>
        <v>35.014346289168998</v>
      </c>
      <c r="DB866" s="476">
        <f t="shared" si="2017"/>
        <v>34.644673893592433</v>
      </c>
      <c r="DC866" s="682">
        <f t="shared" si="2017"/>
        <v>34.642535035006432</v>
      </c>
      <c r="DD866" s="331"/>
      <c r="DE866" s="331"/>
      <c r="DF866" s="502"/>
      <c r="DG866" s="503"/>
      <c r="DH866" s="2577"/>
      <c r="DI866" s="3213"/>
      <c r="DJ866" s="502"/>
      <c r="DK866" s="503"/>
      <c r="DL866" s="502"/>
      <c r="DM866" s="502"/>
      <c r="DN866" s="502"/>
      <c r="DO866" s="502"/>
      <c r="DP866" s="503"/>
      <c r="DQ866" s="503"/>
      <c r="DR866" s="296"/>
      <c r="DS866" s="296"/>
      <c r="DT866" s="296"/>
    </row>
    <row r="867" spans="1:130" ht="5.0999999999999996" customHeight="1" x14ac:dyDescent="0.25">
      <c r="A867" s="281"/>
      <c r="B867" s="281"/>
      <c r="C867" s="305"/>
      <c r="D867" s="305"/>
      <c r="E867" s="305"/>
      <c r="F867" s="305"/>
      <c r="G867" s="440"/>
      <c r="H867" s="305"/>
      <c r="I867" s="305"/>
      <c r="J867" s="305"/>
      <c r="K867" s="305"/>
      <c r="L867" s="440"/>
      <c r="M867" s="305"/>
      <c r="N867" s="305"/>
      <c r="O867" s="305"/>
      <c r="P867" s="305"/>
      <c r="Q867" s="440"/>
      <c r="R867" s="305"/>
      <c r="S867" s="305"/>
      <c r="T867" s="305"/>
      <c r="U867" s="305"/>
      <c r="V867" s="440"/>
      <c r="W867" s="305"/>
      <c r="X867" s="305"/>
      <c r="Y867" s="305"/>
      <c r="Z867" s="305"/>
      <c r="AA867" s="440"/>
      <c r="AB867" s="305"/>
      <c r="AC867" s="305"/>
      <c r="AD867" s="305"/>
      <c r="AE867" s="331"/>
      <c r="AF867" s="441"/>
      <c r="AG867" s="305"/>
      <c r="AH867" s="305"/>
      <c r="AI867" s="305"/>
      <c r="AJ867" s="331"/>
      <c r="AK867" s="441"/>
      <c r="AL867" s="305"/>
      <c r="AM867" s="305"/>
      <c r="AN867" s="305"/>
      <c r="AO867" s="331"/>
      <c r="AP867" s="569"/>
      <c r="AQ867" s="569"/>
      <c r="AR867" s="442"/>
      <c r="AS867" s="442"/>
      <c r="AT867" s="442"/>
      <c r="AU867" s="1690"/>
      <c r="AV867" s="1902"/>
      <c r="AW867" s="1837"/>
      <c r="AX867" s="1837"/>
      <c r="AY867" s="1903"/>
      <c r="AZ867" s="1690"/>
      <c r="BA867" s="569"/>
      <c r="BB867" s="442"/>
      <c r="BC867" s="442"/>
      <c r="BD867" s="1312"/>
      <c r="BE867" s="1903"/>
      <c r="BF867" s="442"/>
      <c r="BG867" s="442"/>
      <c r="BH867" s="442"/>
      <c r="BI867" s="1312"/>
      <c r="BJ867" s="1903"/>
      <c r="BK867" s="442"/>
      <c r="BL867" s="442"/>
      <c r="BM867" s="442"/>
      <c r="BN867" s="1312"/>
      <c r="BO867" s="1903"/>
      <c r="BP867" s="442"/>
      <c r="BQ867" s="442"/>
      <c r="BR867" s="442"/>
      <c r="BS867" s="442"/>
      <c r="BT867" s="3236"/>
      <c r="BU867" s="3298"/>
      <c r="BV867" s="3298"/>
      <c r="BW867" s="3298"/>
      <c r="BX867" s="3298"/>
      <c r="BY867" s="3236"/>
      <c r="BZ867" s="441"/>
      <c r="CA867" s="441"/>
      <c r="CB867" s="441"/>
      <c r="CC867" s="441"/>
      <c r="CD867" s="441"/>
      <c r="CE867" s="441"/>
      <c r="CF867" s="441"/>
      <c r="CG867" s="331"/>
      <c r="CH867" s="331"/>
      <c r="CI867" s="331"/>
      <c r="CJ867" s="331"/>
      <c r="CK867" s="331"/>
      <c r="CL867" s="520"/>
      <c r="CM867" s="442"/>
      <c r="CN867" s="442"/>
      <c r="CO867" s="442"/>
      <c r="CP867" s="442"/>
      <c r="CQ867" s="442"/>
      <c r="CR867" s="442"/>
      <c r="CS867" s="442"/>
      <c r="CT867" s="442"/>
      <c r="CU867" s="442"/>
      <c r="CV867" s="442"/>
      <c r="CW867" s="442"/>
      <c r="CX867" s="442"/>
      <c r="CY867" s="442"/>
      <c r="CZ867" s="442"/>
      <c r="DA867" s="442"/>
      <c r="DB867" s="442"/>
      <c r="DC867" s="1312"/>
      <c r="DD867" s="331"/>
      <c r="DE867" s="331"/>
      <c r="DF867" s="502"/>
      <c r="DG867" s="503"/>
      <c r="DH867" s="3298"/>
      <c r="DI867" s="3213"/>
      <c r="DJ867" s="502"/>
      <c r="DK867" s="503"/>
      <c r="DL867" s="502"/>
      <c r="DM867" s="502"/>
      <c r="DN867" s="502"/>
      <c r="DO867" s="502"/>
      <c r="DP867" s="503"/>
      <c r="DQ867" s="503"/>
      <c r="DR867" s="296"/>
      <c r="DS867" s="296"/>
      <c r="DT867" s="296"/>
    </row>
    <row r="868" spans="1:130" ht="12" customHeight="1" x14ac:dyDescent="0.25">
      <c r="A868" s="999" t="s">
        <v>2010</v>
      </c>
      <c r="B868" s="1007"/>
      <c r="C868" s="1008">
        <v>4.71</v>
      </c>
      <c r="D868" s="1008">
        <v>4.0339999999999998</v>
      </c>
      <c r="E868" s="1008">
        <v>4.7549999999999999</v>
      </c>
      <c r="F868" s="1008">
        <v>5.5170000000000003</v>
      </c>
      <c r="G868" s="1009">
        <f>SUM(C868:F868)</f>
        <v>19.015999999999998</v>
      </c>
      <c r="H868" s="1008">
        <v>6.2080000000000002</v>
      </c>
      <c r="I868" s="1008">
        <v>5.13</v>
      </c>
      <c r="J868" s="1008">
        <v>5.9409999999999998</v>
      </c>
      <c r="K868" s="1008">
        <v>5.2050000000000001</v>
      </c>
      <c r="L868" s="1009">
        <f>SUM(H868:K868)</f>
        <v>22.484000000000002</v>
      </c>
      <c r="M868" s="1008">
        <v>8.1829999999999998</v>
      </c>
      <c r="N868" s="1008">
        <v>7.6920000000000002</v>
      </c>
      <c r="O868" s="1008">
        <v>7.6379999999999999</v>
      </c>
      <c r="P868" s="1008">
        <v>6.952</v>
      </c>
      <c r="Q868" s="1009">
        <f>SUM(M868:P868)</f>
        <v>30.464999999999996</v>
      </c>
      <c r="R868" s="1008">
        <v>8.7899999999999991</v>
      </c>
      <c r="S868" s="1008">
        <v>8.6270000000000007</v>
      </c>
      <c r="T868" s="1008">
        <v>11.558</v>
      </c>
      <c r="U868" s="1008">
        <v>8.65</v>
      </c>
      <c r="V868" s="1009">
        <f>SUM(R868:U868)</f>
        <v>37.625</v>
      </c>
      <c r="W868" s="1008">
        <v>5.1470000000000002</v>
      </c>
      <c r="X868" s="1008">
        <v>5.7130000000000001</v>
      </c>
      <c r="Y868" s="1008">
        <v>5.4880000000000004</v>
      </c>
      <c r="Z868" s="1008">
        <v>3.4809999999999999</v>
      </c>
      <c r="AA868" s="1009">
        <f>SUM(W868:Z868)</f>
        <v>19.829000000000001</v>
      </c>
      <c r="AB868" s="1008">
        <v>4.8780000000000001</v>
      </c>
      <c r="AC868" s="1008">
        <v>4.92</v>
      </c>
      <c r="AD868" s="1008">
        <v>4.7789999999999999</v>
      </c>
      <c r="AE868" s="1010">
        <v>4.1849999999999996</v>
      </c>
      <c r="AF868" s="1011">
        <f>SUM(AB868:AE868)</f>
        <v>18.762</v>
      </c>
      <c r="AG868" s="1010">
        <v>4.2069999999999999</v>
      </c>
      <c r="AH868" s="1010">
        <v>3.758</v>
      </c>
      <c r="AI868" s="1010">
        <v>4.7949999999999999</v>
      </c>
      <c r="AJ868" s="1010">
        <v>3.7170000000000001</v>
      </c>
      <c r="AK868" s="1011">
        <f>SUM(AG868:AJ868)</f>
        <v>16.477</v>
      </c>
      <c r="AL868" s="1010">
        <v>5.0110000000000001</v>
      </c>
      <c r="AM868" s="1010">
        <v>4.9720000000000004</v>
      </c>
      <c r="AN868" s="1593">
        <f>AN858-AN866</f>
        <v>4.2199808450000038</v>
      </c>
      <c r="AO868" s="1012">
        <f>AO858-AO866</f>
        <v>3.7776943750000047</v>
      </c>
      <c r="AP868" s="1013">
        <f>SUM(AL868:AO868)</f>
        <v>17.980675220000009</v>
      </c>
      <c r="AQ868" s="1013">
        <f>AQ858-AQ866</f>
        <v>4.8417521250000028</v>
      </c>
      <c r="AR868" s="1012">
        <f>AR858-AR866</f>
        <v>4.6026373450000015</v>
      </c>
      <c r="AS868" s="1012">
        <f>AS858-AS866</f>
        <v>4.8554060277500035</v>
      </c>
      <c r="AT868" s="1012">
        <f>AT858-AT866</f>
        <v>4.3131135812500041</v>
      </c>
      <c r="AU868" s="1691">
        <f>SUM(AQ868:AT868)</f>
        <v>18.612909079000012</v>
      </c>
      <c r="AV868" s="1904">
        <f>AV858-AV866</f>
        <v>5.0264877250000026</v>
      </c>
      <c r="AW868" s="1838">
        <f>AW858-AW866</f>
        <v>3.6228446027500034</v>
      </c>
      <c r="AX868" s="1838">
        <f>AX858-AX866</f>
        <v>3.7428076041400029</v>
      </c>
      <c r="AY868" s="1905">
        <f>AY858-AY866</f>
        <v>3.1530397422500052</v>
      </c>
      <c r="AZ868" s="1691">
        <f>SUM(AV868:AY868)</f>
        <v>15.545179674140014</v>
      </c>
      <c r="BA868" s="1013">
        <f>BA858-BA866</f>
        <v>2.8536290700000002</v>
      </c>
      <c r="BB868" s="1012">
        <f>BB858-BB866</f>
        <v>2.7632666066062495</v>
      </c>
      <c r="BC868" s="1012">
        <f>BC858-BC866</f>
        <v>2.6801786078920014</v>
      </c>
      <c r="BD868" s="1877">
        <f>BD858-BD866</f>
        <v>2.3768491106437519</v>
      </c>
      <c r="BE868" s="1905">
        <f>SUM(BA868:BD868)</f>
        <v>10.673923395142003</v>
      </c>
      <c r="BF868" s="1012">
        <f>BF858-BF866</f>
        <v>2.9958666058374988</v>
      </c>
      <c r="BG868" s="1012">
        <f>BG858-BG866</f>
        <v>3.1032893826133758</v>
      </c>
      <c r="BH868" s="1012">
        <f>BH858-BH866</f>
        <v>2.3301689161255812</v>
      </c>
      <c r="BI868" s="1877">
        <f>BI858-BI866</f>
        <v>2.1189838324376886</v>
      </c>
      <c r="BJ868" s="1905">
        <f>SUM(BF868:BI868)</f>
        <v>10.548308737014144</v>
      </c>
      <c r="BK868" s="1012">
        <f>BK858-BK866</f>
        <v>2.7142893602331242</v>
      </c>
      <c r="BL868" s="1012">
        <f>BL858-BL866</f>
        <v>2.4236224763633736</v>
      </c>
      <c r="BM868" s="1012">
        <f>BM858-BM866</f>
        <v>2.5426128543887021</v>
      </c>
      <c r="BN868" s="1877">
        <f>BN858-BN866</f>
        <v>1.4447919261876887</v>
      </c>
      <c r="BO868" s="1905">
        <f>SUM(BK868:BN868)</f>
        <v>9.1253166171728886</v>
      </c>
      <c r="BP868" s="1012">
        <f>BP858-BP866</f>
        <v>2.6245198815964699</v>
      </c>
      <c r="BQ868" s="1012">
        <f>BQ858-BQ866</f>
        <v>1.4404953419202062</v>
      </c>
      <c r="BR868" s="1012">
        <f>BR858-BR866</f>
        <v>1.3311617393009278</v>
      </c>
      <c r="BS868" s="1012">
        <f>BS858-BS866</f>
        <v>1.3060982896639342</v>
      </c>
      <c r="BT868" s="1011">
        <f>SUM(BP868:BS868)</f>
        <v>6.7022752524815381</v>
      </c>
      <c r="BU868" s="1012">
        <f>BU858-BU866</f>
        <v>1.7811484936102921</v>
      </c>
      <c r="BV868" s="1012">
        <f>BV858-BV866</f>
        <v>1.4697905371260056</v>
      </c>
      <c r="BW868" s="1012">
        <f>BW858-BW866</f>
        <v>2.0894337647024077</v>
      </c>
      <c r="BX868" s="1012">
        <f>BX858-BX866</f>
        <v>1.4835809453922941</v>
      </c>
      <c r="BY868" s="1011">
        <f>SUM(BU868:BX868)</f>
        <v>6.8239537408309996</v>
      </c>
      <c r="BZ868" s="1011">
        <f t="shared" ref="BZ868:CF868" si="2030">BZ858-BZ866</f>
        <v>7.1936261364075733</v>
      </c>
      <c r="CA868" s="1011">
        <f t="shared" si="2030"/>
        <v>6.238998994393576</v>
      </c>
      <c r="CB868" s="1011">
        <f t="shared" si="2030"/>
        <v>5.0304409343547647</v>
      </c>
      <c r="CC868" s="1011">
        <f t="shared" si="2030"/>
        <v>3.8870215206274636</v>
      </c>
      <c r="CD868" s="1011">
        <f t="shared" si="2030"/>
        <v>4.0859509240396505</v>
      </c>
      <c r="CE868" s="1011">
        <f t="shared" si="2030"/>
        <v>4.295165805250079</v>
      </c>
      <c r="CF868" s="1011">
        <f t="shared" si="2030"/>
        <v>4.5148949427120044</v>
      </c>
      <c r="CG868" s="502"/>
      <c r="CH868" s="502"/>
      <c r="CI868" s="502"/>
      <c r="CJ868" s="502"/>
      <c r="CK868" s="502"/>
      <c r="CL868" s="2221" t="str">
        <f t="shared" ref="CL868:CL873" si="2031">A868</f>
        <v>Property EBITDA</v>
      </c>
      <c r="CM868" s="1012">
        <f t="shared" ref="CM868:CM873" si="2032">G868</f>
        <v>19.015999999999998</v>
      </c>
      <c r="CN868" s="1012">
        <f t="shared" ref="CN868:CN873" si="2033">L868</f>
        <v>22.484000000000002</v>
      </c>
      <c r="CO868" s="1012">
        <f t="shared" ref="CO868:CO873" si="2034">Q868</f>
        <v>30.464999999999996</v>
      </c>
      <c r="CP868" s="1012">
        <f t="shared" ref="CP868:CP873" si="2035">V868</f>
        <v>37.625</v>
      </c>
      <c r="CQ868" s="1012">
        <f t="shared" ref="CQ868:CQ873" si="2036">AA868</f>
        <v>19.829000000000001</v>
      </c>
      <c r="CR868" s="1012">
        <f t="shared" ref="CR868:CR873" si="2037">AF868</f>
        <v>18.762</v>
      </c>
      <c r="CS868" s="1012">
        <f t="shared" ref="CS868:CS873" si="2038">AK868</f>
        <v>16.477</v>
      </c>
      <c r="CT868" s="1012">
        <f t="shared" ref="CT868:CT873" si="2039">AP868</f>
        <v>17.980675220000009</v>
      </c>
      <c r="CU868" s="1012">
        <f t="shared" ref="CU868:CU873" si="2040">AU868</f>
        <v>18.612909079000012</v>
      </c>
      <c r="CV868" s="1012">
        <f t="shared" ref="CV868:CV873" si="2041">AZ868</f>
        <v>15.545179674140014</v>
      </c>
      <c r="CW868" s="1012">
        <f t="shared" ref="CW868:CW873" si="2042">BE868</f>
        <v>10.673923395142003</v>
      </c>
      <c r="CX868" s="1012">
        <f t="shared" ref="CX868:CX873" si="2043">BJ868</f>
        <v>10.548308737014144</v>
      </c>
      <c r="CY868" s="1012">
        <f t="shared" ref="CY868:CY873" si="2044">BO868</f>
        <v>9.1253166171728886</v>
      </c>
      <c r="CZ868" s="1012">
        <f t="shared" ref="CZ868:CZ873" si="2045">BT868</f>
        <v>6.7022752524815381</v>
      </c>
      <c r="DA868" s="1012">
        <f t="shared" ref="DA868:DC873" si="2046">BY868</f>
        <v>6.8239537408309996</v>
      </c>
      <c r="DB868" s="1012">
        <f t="shared" si="2046"/>
        <v>7.1936261364075733</v>
      </c>
      <c r="DC868" s="1877">
        <f t="shared" si="2046"/>
        <v>6.238998994393576</v>
      </c>
      <c r="DD868" s="502"/>
      <c r="DE868" s="502"/>
      <c r="DF868" s="502"/>
      <c r="DG868" s="503"/>
      <c r="DH868" s="598"/>
      <c r="DI868" s="3213"/>
      <c r="DJ868" s="502"/>
      <c r="DK868" s="503"/>
      <c r="DL868" s="502"/>
      <c r="DM868" s="502"/>
      <c r="DN868" s="502"/>
      <c r="DO868" s="502"/>
      <c r="DP868" s="503"/>
      <c r="DQ868" s="503"/>
      <c r="DR868" s="719"/>
      <c r="DS868" s="719"/>
      <c r="DT868" s="719"/>
    </row>
    <row r="869" spans="1:130" ht="12" customHeight="1" x14ac:dyDescent="0.25">
      <c r="A869" s="465" t="s">
        <v>1892</v>
      </c>
      <c r="B869" s="281"/>
      <c r="C869" s="472">
        <f t="shared" ref="C869:AF869" si="2047">C868/C858</f>
        <v>0.18084779603747503</v>
      </c>
      <c r="D869" s="472">
        <f t="shared" si="2047"/>
        <v>0.16405042700284667</v>
      </c>
      <c r="E869" s="472">
        <f t="shared" si="2047"/>
        <v>0.17988877539439338</v>
      </c>
      <c r="F869" s="472">
        <f t="shared" si="2047"/>
        <v>0.21846909278105572</v>
      </c>
      <c r="G869" s="491">
        <f t="shared" si="2047"/>
        <v>0.18584831899921811</v>
      </c>
      <c r="H869" s="472">
        <f t="shared" si="2047"/>
        <v>0.22815980006615458</v>
      </c>
      <c r="I869" s="472">
        <f t="shared" si="2047"/>
        <v>0.19270500732504414</v>
      </c>
      <c r="J869" s="472">
        <f t="shared" si="2047"/>
        <v>0.21591074284052916</v>
      </c>
      <c r="K869" s="472">
        <f t="shared" si="2047"/>
        <v>0.1879400613829211</v>
      </c>
      <c r="L869" s="491">
        <f t="shared" si="2047"/>
        <v>0.20619766876679416</v>
      </c>
      <c r="M869" s="472">
        <f t="shared" si="2047"/>
        <v>0.27721128764524544</v>
      </c>
      <c r="N869" s="472">
        <f t="shared" si="2047"/>
        <v>0.27271760326183303</v>
      </c>
      <c r="O869" s="472">
        <f t="shared" si="2047"/>
        <v>0.26256445513922311</v>
      </c>
      <c r="P869" s="472">
        <f t="shared" si="2047"/>
        <v>0.24496124031007752</v>
      </c>
      <c r="Q869" s="491">
        <f t="shared" si="2047"/>
        <v>0.26446689931767281</v>
      </c>
      <c r="R869" s="472">
        <f t="shared" si="2047"/>
        <v>0.28480705051355992</v>
      </c>
      <c r="S869" s="472">
        <f t="shared" si="2047"/>
        <v>0.28410063887242315</v>
      </c>
      <c r="T869" s="472">
        <f t="shared" si="2047"/>
        <v>0.38462562396006655</v>
      </c>
      <c r="U869" s="472">
        <f t="shared" si="2047"/>
        <v>0.31018037078208482</v>
      </c>
      <c r="V869" s="491">
        <f t="shared" si="2047"/>
        <v>0.31573603208969003</v>
      </c>
      <c r="W869" s="472">
        <f t="shared" si="2047"/>
        <v>0.22677005771687891</v>
      </c>
      <c r="X869" s="472">
        <f t="shared" si="2047"/>
        <v>0.2628963232248861</v>
      </c>
      <c r="Y869" s="472">
        <f t="shared" si="2047"/>
        <v>0.2647626399073717</v>
      </c>
      <c r="Z869" s="472">
        <f t="shared" si="2047"/>
        <v>0.18433594577420037</v>
      </c>
      <c r="AA869" s="491">
        <f t="shared" si="2047"/>
        <v>0.23594716801523083</v>
      </c>
      <c r="AB869" s="472">
        <f t="shared" si="2047"/>
        <v>0.23680761202000097</v>
      </c>
      <c r="AC869" s="472">
        <f t="shared" si="2047"/>
        <v>0.24</v>
      </c>
      <c r="AD869" s="472">
        <f t="shared" si="2047"/>
        <v>0.24198693604739482</v>
      </c>
      <c r="AE869" s="492">
        <f t="shared" si="2047"/>
        <v>0.24076630997583703</v>
      </c>
      <c r="AF869" s="493">
        <f t="shared" si="2047"/>
        <v>0.23983126677745109</v>
      </c>
      <c r="AG869" s="472">
        <f t="shared" ref="AG869:AU869" si="2048">AG868/AG858</f>
        <v>0.22596412074336664</v>
      </c>
      <c r="AH869" s="472">
        <f t="shared" si="2048"/>
        <v>0.20718932627632591</v>
      </c>
      <c r="AI869" s="472">
        <f t="shared" si="2048"/>
        <v>0.25743584237087941</v>
      </c>
      <c r="AJ869" s="492">
        <f t="shared" si="2048"/>
        <v>0.21996685998342999</v>
      </c>
      <c r="AK869" s="493">
        <f t="shared" si="2048"/>
        <v>0.22796070835639182</v>
      </c>
      <c r="AL869" s="472">
        <f t="shared" si="2048"/>
        <v>0.27487657707076246</v>
      </c>
      <c r="AM869" s="472">
        <f t="shared" si="2048"/>
        <v>0.27460510328068044</v>
      </c>
      <c r="AN869" s="472">
        <f t="shared" si="2048"/>
        <v>0.24985084931912391</v>
      </c>
      <c r="AO869" s="492">
        <f t="shared" si="2048"/>
        <v>0.23858117816091978</v>
      </c>
      <c r="AP869" s="494">
        <f t="shared" si="2048"/>
        <v>0.26036309325224455</v>
      </c>
      <c r="AQ869" s="494">
        <f t="shared" si="2048"/>
        <v>0.28040494150692086</v>
      </c>
      <c r="AR869" s="492">
        <f t="shared" si="2048"/>
        <v>0.27207172341431701</v>
      </c>
      <c r="AS869" s="492">
        <f t="shared" si="2048"/>
        <v>0.28674222097383822</v>
      </c>
      <c r="AT869" s="492">
        <f t="shared" si="2048"/>
        <v>0.27256784512449467</v>
      </c>
      <c r="AU869" s="1696">
        <f t="shared" si="2048"/>
        <v>0.278049462646211</v>
      </c>
      <c r="AV869" s="1734">
        <f t="shared" ref="AV869:BJ869" si="2049">AV868/AV858</f>
        <v>0.29975012860096117</v>
      </c>
      <c r="AW869" s="1735">
        <f t="shared" si="2049"/>
        <v>0.2419817224661181</v>
      </c>
      <c r="AX869" s="1735">
        <f t="shared" si="2049"/>
        <v>0.25035061952689408</v>
      </c>
      <c r="AY869" s="1909">
        <f t="shared" si="2049"/>
        <v>0.23282810902465259</v>
      </c>
      <c r="AZ869" s="1696">
        <f t="shared" si="2049"/>
        <v>0.25808366426387952</v>
      </c>
      <c r="BA869" s="494">
        <f t="shared" si="2049"/>
        <v>0.21668673367667537</v>
      </c>
      <c r="BB869" s="492">
        <f t="shared" si="2049"/>
        <v>0.2128967550057691</v>
      </c>
      <c r="BC869" s="492">
        <f t="shared" si="2049"/>
        <v>0.21077265978644658</v>
      </c>
      <c r="BD869" s="1311">
        <f t="shared" si="2049"/>
        <v>0.20347153816987876</v>
      </c>
      <c r="BE869" s="1909">
        <f t="shared" si="2049"/>
        <v>0.21117162484955104</v>
      </c>
      <c r="BF869" s="492">
        <f t="shared" si="2049"/>
        <v>0.23141158203488732</v>
      </c>
      <c r="BG869" s="492">
        <f t="shared" si="2049"/>
        <v>0.23382815305819349</v>
      </c>
      <c r="BH869" s="492">
        <f t="shared" si="2049"/>
        <v>0.19250886766442213</v>
      </c>
      <c r="BI869" s="1311">
        <f t="shared" si="2049"/>
        <v>0.18824931795194272</v>
      </c>
      <c r="BJ869" s="1909">
        <f t="shared" si="2049"/>
        <v>0.21276103105347061</v>
      </c>
      <c r="BK869" s="492">
        <f t="shared" ref="BK869:BU869" si="2050">BK868/BK858</f>
        <v>0.22855100722512361</v>
      </c>
      <c r="BL869" s="492">
        <f t="shared" si="2050"/>
        <v>0.19865758002978473</v>
      </c>
      <c r="BM869" s="492">
        <f t="shared" si="2050"/>
        <v>0.21343744653922675</v>
      </c>
      <c r="BN869" s="1311">
        <f t="shared" si="2050"/>
        <v>0.14132917725159666</v>
      </c>
      <c r="BO869" s="1909">
        <f t="shared" si="2050"/>
        <v>0.19746789839887741</v>
      </c>
      <c r="BP869" s="492">
        <f t="shared" si="2050"/>
        <v>0.23043140185926481</v>
      </c>
      <c r="BQ869" s="492">
        <f t="shared" si="2050"/>
        <v>0.13422247588671737</v>
      </c>
      <c r="BR869" s="492">
        <f t="shared" si="2050"/>
        <v>0.12713654795640442</v>
      </c>
      <c r="BS869" s="492">
        <f t="shared" si="2050"/>
        <v>0.13224190566940291</v>
      </c>
      <c r="BT869" s="2693">
        <f t="shared" si="2050"/>
        <v>0.15781698884698697</v>
      </c>
      <c r="BU869" s="2653">
        <f t="shared" si="2050"/>
        <v>0.17720255743458871</v>
      </c>
      <c r="BV869" s="2653">
        <f t="shared" ref="BV869:CF869" si="2051">BV868/BV858</f>
        <v>0.13734520915165571</v>
      </c>
      <c r="BW869" s="2653">
        <f t="shared" si="2051"/>
        <v>0.18832152351427994</v>
      </c>
      <c r="BX869" s="2653">
        <f t="shared" si="2051"/>
        <v>0.148501400766992</v>
      </c>
      <c r="BY869" s="2693">
        <f t="shared" si="2051"/>
        <v>0.16310303563810929</v>
      </c>
      <c r="BZ869" s="493">
        <f t="shared" si="2051"/>
        <v>0.1719387769400145</v>
      </c>
      <c r="CA869" s="493">
        <f t="shared" si="2051"/>
        <v>0.15261166545039118</v>
      </c>
      <c r="CB869" s="493">
        <f t="shared" si="2051"/>
        <v>0.13121477753011898</v>
      </c>
      <c r="CC869" s="493">
        <f t="shared" si="2051"/>
        <v>0.10824166687654838</v>
      </c>
      <c r="CD869" s="493">
        <f t="shared" si="2051"/>
        <v>0.11176994031940732</v>
      </c>
      <c r="CE869" s="493">
        <f t="shared" si="2051"/>
        <v>0.11539961429096533</v>
      </c>
      <c r="CF869" s="493">
        <f t="shared" si="2051"/>
        <v>0.11912547615038989</v>
      </c>
      <c r="CG869" s="492"/>
      <c r="CH869" s="492"/>
      <c r="CI869" s="492"/>
      <c r="CJ869" s="492"/>
      <c r="CK869" s="331"/>
      <c r="CL869" s="1310" t="str">
        <f t="shared" si="2031"/>
        <v>Margin</v>
      </c>
      <c r="CM869" s="492">
        <f t="shared" si="2032"/>
        <v>0.18584831899921811</v>
      </c>
      <c r="CN869" s="492">
        <f t="shared" si="2033"/>
        <v>0.20619766876679416</v>
      </c>
      <c r="CO869" s="492">
        <f t="shared" si="2034"/>
        <v>0.26446689931767281</v>
      </c>
      <c r="CP869" s="492">
        <f t="shared" si="2035"/>
        <v>0.31573603208969003</v>
      </c>
      <c r="CQ869" s="492">
        <f t="shared" si="2036"/>
        <v>0.23594716801523083</v>
      </c>
      <c r="CR869" s="492">
        <f t="shared" si="2037"/>
        <v>0.23983126677745109</v>
      </c>
      <c r="CS869" s="492">
        <f t="shared" si="2038"/>
        <v>0.22796070835639182</v>
      </c>
      <c r="CT869" s="492">
        <f t="shared" si="2039"/>
        <v>0.26036309325224455</v>
      </c>
      <c r="CU869" s="492">
        <f t="shared" si="2040"/>
        <v>0.278049462646211</v>
      </c>
      <c r="CV869" s="492">
        <f t="shared" si="2041"/>
        <v>0.25808366426387952</v>
      </c>
      <c r="CW869" s="492">
        <f t="shared" si="2042"/>
        <v>0.21117162484955104</v>
      </c>
      <c r="CX869" s="492">
        <f t="shared" si="2043"/>
        <v>0.21276103105347061</v>
      </c>
      <c r="CY869" s="492">
        <f t="shared" si="2044"/>
        <v>0.19746789839887741</v>
      </c>
      <c r="CZ869" s="492">
        <f t="shared" si="2045"/>
        <v>0.15781698884698697</v>
      </c>
      <c r="DA869" s="492">
        <f t="shared" si="2046"/>
        <v>0.16310303563810929</v>
      </c>
      <c r="DB869" s="492">
        <f t="shared" si="2046"/>
        <v>0.1719387769400145</v>
      </c>
      <c r="DC869" s="1311">
        <f t="shared" si="2046"/>
        <v>0.15261166545039118</v>
      </c>
      <c r="DD869" s="331"/>
      <c r="DE869" s="331"/>
      <c r="DF869" s="502"/>
      <c r="DG869" s="503"/>
      <c r="DH869" s="2653"/>
      <c r="DI869" s="3213"/>
      <c r="DJ869" s="502"/>
      <c r="DK869" s="503"/>
      <c r="DL869" s="502"/>
      <c r="DM869" s="502"/>
      <c r="DN869" s="502"/>
      <c r="DO869" s="502"/>
      <c r="DP869" s="503"/>
      <c r="DQ869" s="503"/>
      <c r="DR869" s="296"/>
      <c r="DS869" s="296"/>
      <c r="DT869" s="296"/>
    </row>
    <row r="870" spans="1:130" ht="12" customHeight="1" x14ac:dyDescent="0.25">
      <c r="A870" s="465" t="s">
        <v>1812</v>
      </c>
      <c r="B870" s="281"/>
      <c r="C870" s="472">
        <f>(C868+C864)/C858</f>
        <v>0.57884310397788352</v>
      </c>
      <c r="D870" s="472">
        <f t="shared" ref="D870:BD870" si="2052">(D868+D864)/D858</f>
        <v>0.58539005693371293</v>
      </c>
      <c r="E870" s="472">
        <f t="shared" si="2052"/>
        <v>0.57635628570347675</v>
      </c>
      <c r="F870" s="472">
        <f t="shared" si="2052"/>
        <v>0.62707530590424909</v>
      </c>
      <c r="G870" s="491">
        <f t="shared" si="2052"/>
        <v>0.59167796813917117</v>
      </c>
      <c r="H870" s="472">
        <f>(H868+H864)/H858</f>
        <v>0.63726559594251908</v>
      </c>
      <c r="I870" s="472">
        <f t="shared" si="2052"/>
        <v>0.60692273017542542</v>
      </c>
      <c r="J870" s="472">
        <f t="shared" si="2052"/>
        <v>0.53974898241023406</v>
      </c>
      <c r="K870" s="472">
        <f t="shared" si="2052"/>
        <v>0.50571034482758626</v>
      </c>
      <c r="L870" s="491">
        <f t="shared" si="2052"/>
        <v>0.56336146036811852</v>
      </c>
      <c r="M870" s="472">
        <f>(M868+M864)/M858</f>
        <v>0.59101681120634164</v>
      </c>
      <c r="N870" s="472">
        <f t="shared" si="2052"/>
        <v>0.59933455947527037</v>
      </c>
      <c r="O870" s="472">
        <f t="shared" si="2052"/>
        <v>0.58134562564455139</v>
      </c>
      <c r="P870" s="472">
        <f t="shared" si="2052"/>
        <v>0.56811449083861876</v>
      </c>
      <c r="Q870" s="491">
        <f t="shared" si="2052"/>
        <v>0.58496874837231094</v>
      </c>
      <c r="R870" s="472">
        <f>(R868+R864)/R858</f>
        <v>0.5950708453487995</v>
      </c>
      <c r="S870" s="472">
        <f t="shared" si="2052"/>
        <v>0.60056887637489298</v>
      </c>
      <c r="T870" s="472">
        <f t="shared" si="2052"/>
        <v>0.70560091514143086</v>
      </c>
      <c r="U870" s="472">
        <f t="shared" si="2052"/>
        <v>0.65605147559794885</v>
      </c>
      <c r="V870" s="491">
        <f t="shared" si="2052"/>
        <v>0.63861471392846947</v>
      </c>
      <c r="W870" s="472">
        <f>(W868+W864)/W858</f>
        <v>0.5200814973556499</v>
      </c>
      <c r="X870" s="472">
        <f t="shared" si="2052"/>
        <v>0.5601832967186352</v>
      </c>
      <c r="Y870" s="472">
        <f t="shared" si="2052"/>
        <v>0.57690411030855293</v>
      </c>
      <c r="Z870" s="472">
        <f t="shared" si="2052"/>
        <v>0.48014232339813945</v>
      </c>
      <c r="AA870" s="491">
        <f t="shared" si="2052"/>
        <v>0.53549153974297958</v>
      </c>
      <c r="AB870" s="472">
        <f>(AB868+AB864)/AB858</f>
        <v>0.51263653575416279</v>
      </c>
      <c r="AC870" s="472">
        <f t="shared" si="2052"/>
        <v>0.51795121951219503</v>
      </c>
      <c r="AD870" s="472">
        <f t="shared" si="2052"/>
        <v>0.53290799534153632</v>
      </c>
      <c r="AE870" s="472">
        <f t="shared" si="2052"/>
        <v>0.56243240133471395</v>
      </c>
      <c r="AF870" s="491">
        <f t="shared" si="2052"/>
        <v>0.53021091652818597</v>
      </c>
      <c r="AG870" s="472">
        <f>(AG868+AG864)/AG858</f>
        <v>0.49772061983027188</v>
      </c>
      <c r="AH870" s="472">
        <f t="shared" si="2052"/>
        <v>0.48531053589149847</v>
      </c>
      <c r="AI870" s="472">
        <f t="shared" si="2052"/>
        <v>0.52829268227209281</v>
      </c>
      <c r="AJ870" s="472">
        <f t="shared" si="2052"/>
        <v>0.51322419812995623</v>
      </c>
      <c r="AK870" s="491">
        <f t="shared" si="2052"/>
        <v>0.50610911732152752</v>
      </c>
      <c r="AL870" s="472">
        <f>(AL868+AL864)/AL858</f>
        <v>0.52943979703784971</v>
      </c>
      <c r="AM870" s="472">
        <f t="shared" si="2052"/>
        <v>0.5324887606318347</v>
      </c>
      <c r="AN870" s="472">
        <f t="shared" si="2052"/>
        <v>0.5266264857904086</v>
      </c>
      <c r="AO870" s="472">
        <f t="shared" si="2052"/>
        <v>0.52726795977011509</v>
      </c>
      <c r="AP870" s="491">
        <f t="shared" si="2052"/>
        <v>0.52905315986099055</v>
      </c>
      <c r="AQ870" s="589">
        <f t="shared" ref="AQ870:AZ870" si="2053">(AQ868+AQ864)/AQ858</f>
        <v>0.53797239676840225</v>
      </c>
      <c r="AR870" s="472">
        <f t="shared" si="2053"/>
        <v>0.53465594342968614</v>
      </c>
      <c r="AS870" s="472">
        <f t="shared" si="2053"/>
        <v>0.55143715099214563</v>
      </c>
      <c r="AT870" s="1670">
        <f t="shared" si="2053"/>
        <v>0.55062075526099619</v>
      </c>
      <c r="AU870" s="1697">
        <f t="shared" si="2053"/>
        <v>0.54353015459882603</v>
      </c>
      <c r="AV870" s="1869">
        <f t="shared" si="2053"/>
        <v>0.53376417711545754</v>
      </c>
      <c r="AW870" s="1847">
        <f t="shared" si="2053"/>
        <v>0.50047873192999304</v>
      </c>
      <c r="AX870" s="1847">
        <f t="shared" si="2053"/>
        <v>0.51226984211849658</v>
      </c>
      <c r="AY870" s="1870">
        <f t="shared" si="2053"/>
        <v>0.5169155283056488</v>
      </c>
      <c r="AZ870" s="1697">
        <f t="shared" si="2053"/>
        <v>0.51636757350036544</v>
      </c>
      <c r="BA870" s="589">
        <f t="shared" si="2052"/>
        <v>0.46569627814939751</v>
      </c>
      <c r="BB870" s="472">
        <f t="shared" si="2052"/>
        <v>0.46702220965019192</v>
      </c>
      <c r="BC870" s="472">
        <f t="shared" si="2052"/>
        <v>0.46957899367653388</v>
      </c>
      <c r="BD870" s="1670">
        <f t="shared" si="2052"/>
        <v>0.48196285620212842</v>
      </c>
      <c r="BE870" s="1870">
        <f t="shared" ref="BE870:CF870" si="2054">(BE868+BE864)/BE858</f>
        <v>0.47077282168331508</v>
      </c>
      <c r="BF870" s="472">
        <f t="shared" si="2054"/>
        <v>0.47278500922926081</v>
      </c>
      <c r="BG870" s="472">
        <f t="shared" si="2054"/>
        <v>0.46833563288344826</v>
      </c>
      <c r="BH870" s="472">
        <f t="shared" si="2054"/>
        <v>0.44834354388384851</v>
      </c>
      <c r="BI870" s="1670">
        <f t="shared" si="2054"/>
        <v>0.4570173079367183</v>
      </c>
      <c r="BJ870" s="1870">
        <f t="shared" si="2054"/>
        <v>0.46204680533099124</v>
      </c>
      <c r="BK870" s="472">
        <f t="shared" si="2054"/>
        <v>0.45402126036511259</v>
      </c>
      <c r="BL870" s="472">
        <f t="shared" si="2054"/>
        <v>0.42163340687404705</v>
      </c>
      <c r="BM870" s="472">
        <f t="shared" si="2054"/>
        <v>0.44227664746993223</v>
      </c>
      <c r="BN870" s="1670">
        <f t="shared" si="2054"/>
        <v>0.40213002627807004</v>
      </c>
      <c r="BO870" s="1870">
        <f t="shared" si="2054"/>
        <v>0.4309638736342109</v>
      </c>
      <c r="BP870" s="472">
        <f t="shared" si="2054"/>
        <v>0.4591658126279376</v>
      </c>
      <c r="BQ870" s="472">
        <f t="shared" si="2054"/>
        <v>0.37540281414988136</v>
      </c>
      <c r="BR870" s="472">
        <f t="shared" si="2054"/>
        <v>0.37813786240864095</v>
      </c>
      <c r="BS870" s="472">
        <f t="shared" si="2054"/>
        <v>0.39354367192279582</v>
      </c>
      <c r="BT870" s="3240">
        <f t="shared" si="2054"/>
        <v>0.4027602387568322</v>
      </c>
      <c r="BU870" s="3415">
        <f t="shared" si="2054"/>
        <v>0.43312940199426136</v>
      </c>
      <c r="BV870" s="3415">
        <f>(BV868+BV864)/BV858</f>
        <v>0.37987405980099975</v>
      </c>
      <c r="BW870" s="3415">
        <f>(BW868+BW864)/BW858</f>
        <v>0.42488863122676618</v>
      </c>
      <c r="BX870" s="3415">
        <f>(BX868+BX864)/BX858</f>
        <v>0.40644524036805857</v>
      </c>
      <c r="BY870" s="3240">
        <f>(BY868+BY864)/BY858</f>
        <v>0.41095057987299144</v>
      </c>
      <c r="BZ870" s="491">
        <f t="shared" si="2054"/>
        <v>0.41978632117489662</v>
      </c>
      <c r="CA870" s="491">
        <f t="shared" si="2054"/>
        <v>0.40026943464683573</v>
      </c>
      <c r="CB870" s="491">
        <f t="shared" si="2054"/>
        <v>0.3796571288740162</v>
      </c>
      <c r="CC870" s="491">
        <f t="shared" si="2054"/>
        <v>0.3576017309137795</v>
      </c>
      <c r="CD870" s="491">
        <f t="shared" si="2054"/>
        <v>0.36264692953744432</v>
      </c>
      <c r="CE870" s="491">
        <f t="shared" si="2054"/>
        <v>0.36774247494473394</v>
      </c>
      <c r="CF870" s="491">
        <f t="shared" si="2054"/>
        <v>0.37288389023256824</v>
      </c>
      <c r="CG870" s="331"/>
      <c r="CH870" s="331"/>
      <c r="CI870" s="331"/>
      <c r="CJ870" s="331"/>
      <c r="CK870" s="331"/>
      <c r="CL870" s="1310" t="str">
        <f t="shared" si="2031"/>
        <v>Margin bef. tax</v>
      </c>
      <c r="CM870" s="492">
        <f t="shared" si="2032"/>
        <v>0.59167796813917117</v>
      </c>
      <c r="CN870" s="492">
        <f t="shared" si="2033"/>
        <v>0.56336146036811852</v>
      </c>
      <c r="CO870" s="492">
        <f t="shared" si="2034"/>
        <v>0.58496874837231094</v>
      </c>
      <c r="CP870" s="492">
        <f t="shared" si="2035"/>
        <v>0.63861471392846947</v>
      </c>
      <c r="CQ870" s="492">
        <f t="shared" si="2036"/>
        <v>0.53549153974297958</v>
      </c>
      <c r="CR870" s="492">
        <f t="shared" si="2037"/>
        <v>0.53021091652818597</v>
      </c>
      <c r="CS870" s="492">
        <f t="shared" si="2038"/>
        <v>0.50610911732152752</v>
      </c>
      <c r="CT870" s="492">
        <f t="shared" si="2039"/>
        <v>0.52905315986099055</v>
      </c>
      <c r="CU870" s="492">
        <f t="shared" si="2040"/>
        <v>0.54353015459882603</v>
      </c>
      <c r="CV870" s="492">
        <f t="shared" si="2041"/>
        <v>0.51636757350036544</v>
      </c>
      <c r="CW870" s="492">
        <f t="shared" si="2042"/>
        <v>0.47077282168331508</v>
      </c>
      <c r="CX870" s="492">
        <f t="shared" si="2043"/>
        <v>0.46204680533099124</v>
      </c>
      <c r="CY870" s="492">
        <f t="shared" si="2044"/>
        <v>0.4309638736342109</v>
      </c>
      <c r="CZ870" s="492">
        <f t="shared" si="2045"/>
        <v>0.4027602387568322</v>
      </c>
      <c r="DA870" s="492">
        <f t="shared" si="2046"/>
        <v>0.41095057987299144</v>
      </c>
      <c r="DB870" s="492">
        <f t="shared" si="2046"/>
        <v>0.41978632117489662</v>
      </c>
      <c r="DC870" s="1311">
        <f t="shared" si="2046"/>
        <v>0.40026943464683573</v>
      </c>
      <c r="DD870" s="331"/>
      <c r="DE870" s="331"/>
      <c r="DF870" s="502"/>
      <c r="DG870" s="503"/>
      <c r="DH870" s="2653"/>
      <c r="DI870" s="3213"/>
      <c r="DJ870" s="502"/>
      <c r="DK870" s="503"/>
      <c r="DL870" s="502"/>
      <c r="DM870" s="502"/>
      <c r="DN870" s="502"/>
      <c r="DO870" s="502"/>
      <c r="DP870" s="503"/>
      <c r="DQ870" s="503"/>
      <c r="DR870" s="296"/>
      <c r="DS870" s="296"/>
      <c r="DT870" s="296"/>
    </row>
    <row r="871" spans="1:130" ht="12" customHeight="1" x14ac:dyDescent="0.25">
      <c r="A871" s="465" t="s">
        <v>1491</v>
      </c>
      <c r="B871" s="281"/>
      <c r="C871" s="472" t="s">
        <v>553</v>
      </c>
      <c r="D871" s="472" t="s">
        <v>553</v>
      </c>
      <c r="E871" s="472" t="s">
        <v>553</v>
      </c>
      <c r="F871" s="472" t="s">
        <v>553</v>
      </c>
      <c r="G871" s="491" t="s">
        <v>553</v>
      </c>
      <c r="H871" s="472">
        <f t="shared" ref="H871:AF871" si="2055">(H868-C868)/C868</f>
        <v>0.31804670912951172</v>
      </c>
      <c r="I871" s="472">
        <f t="shared" si="2055"/>
        <v>0.27169062964799212</v>
      </c>
      <c r="J871" s="472">
        <f t="shared" si="2055"/>
        <v>0.24942166140904309</v>
      </c>
      <c r="K871" s="472">
        <f t="shared" si="2055"/>
        <v>-5.6552474170745014E-2</v>
      </c>
      <c r="L871" s="491">
        <f t="shared" si="2055"/>
        <v>0.1823727387463191</v>
      </c>
      <c r="M871" s="472">
        <f t="shared" si="2055"/>
        <v>0.31813788659793807</v>
      </c>
      <c r="N871" s="472">
        <f t="shared" si="2055"/>
        <v>0.49941520467836265</v>
      </c>
      <c r="O871" s="472">
        <f t="shared" si="2055"/>
        <v>0.28564214778656793</v>
      </c>
      <c r="P871" s="472">
        <f t="shared" si="2055"/>
        <v>0.33563880883765607</v>
      </c>
      <c r="Q871" s="491">
        <f t="shared" si="2055"/>
        <v>0.35496352962106359</v>
      </c>
      <c r="R871" s="472">
        <f t="shared" si="2055"/>
        <v>7.4178174263717381E-2</v>
      </c>
      <c r="S871" s="472">
        <f t="shared" si="2055"/>
        <v>0.12155486219448784</v>
      </c>
      <c r="T871" s="472">
        <f t="shared" si="2055"/>
        <v>0.51322335689971199</v>
      </c>
      <c r="U871" s="472">
        <f t="shared" si="2055"/>
        <v>0.24424626006904493</v>
      </c>
      <c r="V871" s="491">
        <f t="shared" si="2055"/>
        <v>0.23502379780075511</v>
      </c>
      <c r="W871" s="472">
        <f t="shared" si="2055"/>
        <v>-0.41444823663253688</v>
      </c>
      <c r="X871" s="472">
        <f t="shared" si="2055"/>
        <v>-0.33777674742088798</v>
      </c>
      <c r="Y871" s="472">
        <f t="shared" si="2055"/>
        <v>-0.52517736632635403</v>
      </c>
      <c r="Z871" s="472">
        <f t="shared" si="2055"/>
        <v>-0.59757225433526018</v>
      </c>
      <c r="AA871" s="491">
        <f t="shared" si="2055"/>
        <v>-0.47298338870431894</v>
      </c>
      <c r="AB871" s="472">
        <f t="shared" si="2055"/>
        <v>-5.2263454439479329E-2</v>
      </c>
      <c r="AC871" s="472">
        <f t="shared" si="2055"/>
        <v>-0.13880623140206549</v>
      </c>
      <c r="AD871" s="472">
        <f t="shared" si="2055"/>
        <v>-0.12919096209912545</v>
      </c>
      <c r="AE871" s="492">
        <f t="shared" si="2055"/>
        <v>0.20224073542085602</v>
      </c>
      <c r="AF871" s="493">
        <f t="shared" si="2055"/>
        <v>-5.3810076151091839E-2</v>
      </c>
      <c r="AG871" s="472">
        <f t="shared" ref="AG871:AU871" si="2056">(AG868-AB868)/AB868</f>
        <v>-0.13755637556375569</v>
      </c>
      <c r="AH871" s="472">
        <f t="shared" si="2056"/>
        <v>-0.23617886178861788</v>
      </c>
      <c r="AI871" s="472">
        <f t="shared" si="2056"/>
        <v>3.3479807491106958E-3</v>
      </c>
      <c r="AJ871" s="492">
        <f t="shared" si="2056"/>
        <v>-0.1118279569892472</v>
      </c>
      <c r="AK871" s="493">
        <f t="shared" si="2056"/>
        <v>-0.12178872188466049</v>
      </c>
      <c r="AL871" s="472">
        <f t="shared" si="2056"/>
        <v>0.19111005467078684</v>
      </c>
      <c r="AM871" s="472">
        <f t="shared" si="2056"/>
        <v>0.32304417243214489</v>
      </c>
      <c r="AN871" s="472">
        <f t="shared" si="2056"/>
        <v>-0.11992057455682922</v>
      </c>
      <c r="AO871" s="492">
        <f t="shared" si="2056"/>
        <v>1.6328860640302565E-2</v>
      </c>
      <c r="AP871" s="494">
        <f t="shared" si="2056"/>
        <v>9.1259041087577153E-2</v>
      </c>
      <c r="AQ871" s="494">
        <f t="shared" si="2056"/>
        <v>-3.3775269407303389E-2</v>
      </c>
      <c r="AR871" s="492">
        <f t="shared" si="2056"/>
        <v>-7.4288546862429375E-2</v>
      </c>
      <c r="AS871" s="492">
        <f t="shared" si="2056"/>
        <v>0.15057537133204668</v>
      </c>
      <c r="AT871" s="492">
        <f t="shared" si="2056"/>
        <v>0.14173174245997566</v>
      </c>
      <c r="AU871" s="1696">
        <f t="shared" si="2056"/>
        <v>3.5161853004094391E-2</v>
      </c>
      <c r="AV871" s="1734">
        <f t="shared" ref="AV871:BA871" si="2057">(AV868-AQ868)/AQ868</f>
        <v>3.815470004053536E-2</v>
      </c>
      <c r="AW871" s="1735">
        <f t="shared" si="2057"/>
        <v>-0.21287637256808417</v>
      </c>
      <c r="AX871" s="1735">
        <f t="shared" si="2057"/>
        <v>-0.22914632005051472</v>
      </c>
      <c r="AY871" s="1909">
        <f t="shared" si="2057"/>
        <v>-0.26896436116198741</v>
      </c>
      <c r="AZ871" s="1696">
        <f t="shared" si="2057"/>
        <v>-0.16481729921096316</v>
      </c>
      <c r="BA871" s="494">
        <f t="shared" si="2057"/>
        <v>-0.43228169924557036</v>
      </c>
      <c r="BB871" s="492">
        <f t="shared" ref="BB871:BJ871" si="2058">(BB868-AW868)/AW868</f>
        <v>-0.23726604102513024</v>
      </c>
      <c r="BC871" s="492">
        <f t="shared" si="2058"/>
        <v>-0.28391226817873405</v>
      </c>
      <c r="BD871" s="1311">
        <f t="shared" si="2058"/>
        <v>-0.24617216878223189</v>
      </c>
      <c r="BE871" s="1909">
        <f t="shared" si="2058"/>
        <v>-0.31336120785413163</v>
      </c>
      <c r="BF871" s="492">
        <f t="shared" si="2058"/>
        <v>4.9844437503399321E-2</v>
      </c>
      <c r="BG871" s="492">
        <f t="shared" si="2058"/>
        <v>0.12305102055452075</v>
      </c>
      <c r="BH871" s="492">
        <f t="shared" si="2058"/>
        <v>-0.13059192799158553</v>
      </c>
      <c r="BI871" s="1311">
        <f t="shared" si="2058"/>
        <v>-0.10849038630652597</v>
      </c>
      <c r="BJ871" s="1909">
        <f t="shared" si="2058"/>
        <v>-1.1768367963464048E-2</v>
      </c>
      <c r="BK871" s="492">
        <f t="shared" ref="BK871:BT871" si="2059">(BK868-BF868)/BF868</f>
        <v>-9.3988579149591092E-2</v>
      </c>
      <c r="BL871" s="492">
        <f t="shared" si="2059"/>
        <v>-0.2190149942373836</v>
      </c>
      <c r="BM871" s="492">
        <f t="shared" si="2059"/>
        <v>9.1171046353307181E-2</v>
      </c>
      <c r="BN871" s="1311">
        <f t="shared" si="2059"/>
        <v>-0.31816755556572912</v>
      </c>
      <c r="BO871" s="1909">
        <f t="shared" si="2059"/>
        <v>-0.13490239576018087</v>
      </c>
      <c r="BP871" s="492">
        <f t="shared" si="2059"/>
        <v>-3.3072921388508189E-2</v>
      </c>
      <c r="BQ871" s="492">
        <f t="shared" si="2059"/>
        <v>-0.40564367760705944</v>
      </c>
      <c r="BR871" s="492">
        <f t="shared" si="2059"/>
        <v>-0.47645913257959704</v>
      </c>
      <c r="BS871" s="492">
        <f t="shared" si="2059"/>
        <v>-9.5995578331974474E-2</v>
      </c>
      <c r="BT871" s="2693">
        <f t="shared" si="2059"/>
        <v>-0.26552956640774972</v>
      </c>
      <c r="BU871" s="2653">
        <f>(BU868-BP868)/BP868</f>
        <v>-0.32134311265844295</v>
      </c>
      <c r="BV871" s="2653">
        <f>(BV868-BQ868)/BQ868</f>
        <v>2.033688992478681E-2</v>
      </c>
      <c r="BW871" s="2653">
        <f>(BW868-BR868)/BR868</f>
        <v>0.56963177577481572</v>
      </c>
      <c r="BX871" s="2653">
        <f>(BX868-BS868)/BS868</f>
        <v>0.13588767180303649</v>
      </c>
      <c r="BY871" s="2693">
        <f>(BY868-BT868)/BT868</f>
        <v>1.8154803222146038E-2</v>
      </c>
      <c r="BZ871" s="493">
        <f t="shared" ref="BZ871:CF871" si="2060">(BZ868-BY868)/BY868</f>
        <v>5.4172758142342882E-2</v>
      </c>
      <c r="CA871" s="493">
        <f t="shared" si="2060"/>
        <v>-0.13270458095987858</v>
      </c>
      <c r="CB871" s="493">
        <f t="shared" si="2060"/>
        <v>-0.19371025081504792</v>
      </c>
      <c r="CC871" s="493">
        <f t="shared" si="2060"/>
        <v>-0.22730003764053003</v>
      </c>
      <c r="CD871" s="493">
        <f t="shared" si="2060"/>
        <v>5.1177849764020511E-2</v>
      </c>
      <c r="CE871" s="493">
        <f t="shared" si="2060"/>
        <v>5.1203473830171285E-2</v>
      </c>
      <c r="CF871" s="493">
        <f t="shared" si="2060"/>
        <v>5.1157312063097898E-2</v>
      </c>
      <c r="CG871" s="331"/>
      <c r="CH871" s="331"/>
      <c r="CI871" s="331"/>
      <c r="CJ871" s="331"/>
      <c r="CK871" s="331"/>
      <c r="CL871" s="1310" t="str">
        <f t="shared" si="2031"/>
        <v>% growth (y-o-y)</v>
      </c>
      <c r="CM871" s="492" t="str">
        <f t="shared" si="2032"/>
        <v xml:space="preserve">n/a </v>
      </c>
      <c r="CN871" s="492">
        <f t="shared" si="2033"/>
        <v>0.1823727387463191</v>
      </c>
      <c r="CO871" s="492">
        <f t="shared" si="2034"/>
        <v>0.35496352962106359</v>
      </c>
      <c r="CP871" s="492">
        <f t="shared" si="2035"/>
        <v>0.23502379780075511</v>
      </c>
      <c r="CQ871" s="492">
        <f t="shared" si="2036"/>
        <v>-0.47298338870431894</v>
      </c>
      <c r="CR871" s="492">
        <f t="shared" si="2037"/>
        <v>-5.3810076151091839E-2</v>
      </c>
      <c r="CS871" s="492">
        <f t="shared" si="2038"/>
        <v>-0.12178872188466049</v>
      </c>
      <c r="CT871" s="492">
        <f t="shared" si="2039"/>
        <v>9.1259041087577153E-2</v>
      </c>
      <c r="CU871" s="492">
        <f t="shared" si="2040"/>
        <v>3.5161853004094391E-2</v>
      </c>
      <c r="CV871" s="492">
        <f t="shared" si="2041"/>
        <v>-0.16481729921096316</v>
      </c>
      <c r="CW871" s="492">
        <f t="shared" si="2042"/>
        <v>-0.31336120785413163</v>
      </c>
      <c r="CX871" s="492">
        <f t="shared" si="2043"/>
        <v>-1.1768367963464048E-2</v>
      </c>
      <c r="CY871" s="492">
        <f t="shared" si="2044"/>
        <v>-0.13490239576018087</v>
      </c>
      <c r="CZ871" s="492">
        <f t="shared" si="2045"/>
        <v>-0.26552956640774972</v>
      </c>
      <c r="DA871" s="492">
        <f t="shared" si="2046"/>
        <v>1.8154803222146038E-2</v>
      </c>
      <c r="DB871" s="492">
        <f t="shared" si="2046"/>
        <v>5.4172758142342882E-2</v>
      </c>
      <c r="DC871" s="1311">
        <f t="shared" si="2046"/>
        <v>-0.13270458095987858</v>
      </c>
      <c r="DD871" s="331"/>
      <c r="DE871" s="331"/>
      <c r="DF871" s="502"/>
      <c r="DG871" s="503"/>
      <c r="DH871" s="2653"/>
      <c r="DI871" s="3213"/>
      <c r="DJ871" s="502"/>
      <c r="DK871" s="503"/>
      <c r="DL871" s="502"/>
      <c r="DM871" s="502"/>
      <c r="DN871" s="502"/>
      <c r="DO871" s="502"/>
      <c r="DP871" s="503"/>
      <c r="DQ871" s="503"/>
      <c r="DR871" s="296"/>
      <c r="DS871" s="296"/>
      <c r="DT871" s="296"/>
    </row>
    <row r="872" spans="1:130" ht="12" customHeight="1" x14ac:dyDescent="0.25">
      <c r="A872" s="281" t="s">
        <v>2197</v>
      </c>
      <c r="B872" s="281"/>
      <c r="C872" s="570">
        <v>1.552</v>
      </c>
      <c r="D872" s="570">
        <v>1.6080000000000001</v>
      </c>
      <c r="E872" s="570">
        <v>1.746</v>
      </c>
      <c r="F872" s="570">
        <v>1.65</v>
      </c>
      <c r="G872" s="475">
        <f>SUM(C872:F872)</f>
        <v>6.5560000000000009</v>
      </c>
      <c r="H872" s="570">
        <v>1.6339999999999999</v>
      </c>
      <c r="I872" s="570">
        <v>1.661</v>
      </c>
      <c r="J872" s="570">
        <v>1.5229999999999999</v>
      </c>
      <c r="K872" s="570">
        <v>1.59</v>
      </c>
      <c r="L872" s="475">
        <f>SUM(H872:K872)</f>
        <v>6.4079999999999995</v>
      </c>
      <c r="M872" s="570">
        <v>2.742</v>
      </c>
      <c r="N872" s="570">
        <v>2.2280000000000002</v>
      </c>
      <c r="O872" s="570">
        <v>2.0649999999999999</v>
      </c>
      <c r="P872" s="570">
        <v>2.04</v>
      </c>
      <c r="Q872" s="475">
        <f>SUM(M872:P872)</f>
        <v>9.0749999999999993</v>
      </c>
      <c r="R872" s="570">
        <v>2.0329999999999999</v>
      </c>
      <c r="S872" s="570">
        <v>2.089</v>
      </c>
      <c r="T872" s="570">
        <v>1.9990000000000001</v>
      </c>
      <c r="U872" s="570">
        <v>1.794</v>
      </c>
      <c r="V872" s="475">
        <f>SUM(R872:U872)</f>
        <v>7.9150000000000009</v>
      </c>
      <c r="W872" s="570">
        <v>1.52</v>
      </c>
      <c r="X872" s="570">
        <v>1.5660000000000001</v>
      </c>
      <c r="Y872" s="570">
        <v>1.4990000000000001</v>
      </c>
      <c r="Z872" s="570">
        <v>1.405</v>
      </c>
      <c r="AA872" s="475">
        <f>SUM(W872:Z872)</f>
        <v>5.9900000000000011</v>
      </c>
      <c r="AB872" s="570">
        <v>1.4950000000000001</v>
      </c>
      <c r="AC872" s="570">
        <v>1.577</v>
      </c>
      <c r="AD872" s="570">
        <v>1.4770000000000001</v>
      </c>
      <c r="AE872" s="572">
        <v>1.411</v>
      </c>
      <c r="AF872" s="477">
        <f>SUM(AB872:AE872)</f>
        <v>5.9600000000000009</v>
      </c>
      <c r="AG872" s="570">
        <v>1.421</v>
      </c>
      <c r="AH872" s="570">
        <v>1.44</v>
      </c>
      <c r="AI872" s="570">
        <v>1.415</v>
      </c>
      <c r="AJ872" s="570">
        <v>1.3460000000000001</v>
      </c>
      <c r="AK872" s="477">
        <f>SUM(AG872:AJ872)</f>
        <v>5.6219999999999999</v>
      </c>
      <c r="AL872" s="570">
        <v>1.35</v>
      </c>
      <c r="AM872" s="570">
        <v>1.337</v>
      </c>
      <c r="AN872" s="1594">
        <f>AM872</f>
        <v>1.337</v>
      </c>
      <c r="AO872" s="452">
        <f>AN872</f>
        <v>1.337</v>
      </c>
      <c r="AP872" s="478">
        <f>SUM(AL872:AO872)</f>
        <v>5.3609999999999998</v>
      </c>
      <c r="AQ872" s="478">
        <f>+AO872</f>
        <v>1.337</v>
      </c>
      <c r="AR872" s="476">
        <f>AQ872</f>
        <v>1.337</v>
      </c>
      <c r="AS872" s="476">
        <f>AR872</f>
        <v>1.337</v>
      </c>
      <c r="AT872" s="476">
        <f>AS872</f>
        <v>1.337</v>
      </c>
      <c r="AU872" s="1464">
        <f>SUM(AQ872:AT872)</f>
        <v>5.3479999999999999</v>
      </c>
      <c r="AV872" s="478">
        <f>+AT872</f>
        <v>1.337</v>
      </c>
      <c r="AW872" s="476">
        <f>AV872</f>
        <v>1.337</v>
      </c>
      <c r="AX872" s="476">
        <f>AW872</f>
        <v>1.337</v>
      </c>
      <c r="AY872" s="682">
        <f>AX872</f>
        <v>1.337</v>
      </c>
      <c r="AZ872" s="1464">
        <f>SUM(AV872:AY872)</f>
        <v>5.3479999999999999</v>
      </c>
      <c r="BA872" s="478">
        <f>+AY872</f>
        <v>1.337</v>
      </c>
      <c r="BB872" s="476">
        <f>BA872</f>
        <v>1.337</v>
      </c>
      <c r="BC872" s="476">
        <f>BB872</f>
        <v>1.337</v>
      </c>
      <c r="BD872" s="682">
        <f>BC872</f>
        <v>1.337</v>
      </c>
      <c r="BE872" s="1866">
        <f>SUM(BA872:BD872)</f>
        <v>5.3479999999999999</v>
      </c>
      <c r="BF872" s="476">
        <f>BD872</f>
        <v>1.337</v>
      </c>
      <c r="BG872" s="476">
        <f>BF872</f>
        <v>1.337</v>
      </c>
      <c r="BH872" s="476">
        <f>BG872</f>
        <v>1.337</v>
      </c>
      <c r="BI872" s="682">
        <f>BH872</f>
        <v>1.337</v>
      </c>
      <c r="BJ872" s="1866">
        <f>SUM(BF872:BI872)</f>
        <v>5.3479999999999999</v>
      </c>
      <c r="BK872" s="476">
        <f>BJ872/4</f>
        <v>1.337</v>
      </c>
      <c r="BL872" s="476">
        <f>BK872</f>
        <v>1.337</v>
      </c>
      <c r="BM872" s="476">
        <f>BL872</f>
        <v>1.337</v>
      </c>
      <c r="BN872" s="682">
        <f>BM872</f>
        <v>1.337</v>
      </c>
      <c r="BO872" s="1866">
        <f>SUM(BK872:BN872)</f>
        <v>5.3479999999999999</v>
      </c>
      <c r="BP872" s="476">
        <f>BN872</f>
        <v>1.337</v>
      </c>
      <c r="BQ872" s="476">
        <f>BP872</f>
        <v>1.337</v>
      </c>
      <c r="BR872" s="476">
        <f>BQ872</f>
        <v>1.337</v>
      </c>
      <c r="BS872" s="476">
        <f>BR872</f>
        <v>1.337</v>
      </c>
      <c r="BT872" s="2604">
        <f>SUM(BP872:BS872)</f>
        <v>5.3479999999999999</v>
      </c>
      <c r="BU872" s="2577">
        <f>BS872</f>
        <v>1.337</v>
      </c>
      <c r="BV872" s="2577">
        <f>BU872</f>
        <v>1.337</v>
      </c>
      <c r="BW872" s="2577">
        <f>BV872</f>
        <v>1.337</v>
      </c>
      <c r="BX872" s="2577">
        <f>BW872</f>
        <v>1.337</v>
      </c>
      <c r="BY872" s="2604">
        <f>SUM(BU872:BX872)</f>
        <v>5.3479999999999999</v>
      </c>
      <c r="BZ872" s="477">
        <f t="shared" ref="BZ872:CF872" si="2061">BY872</f>
        <v>5.3479999999999999</v>
      </c>
      <c r="CA872" s="477">
        <f t="shared" si="2061"/>
        <v>5.3479999999999999</v>
      </c>
      <c r="CB872" s="477">
        <f t="shared" si="2061"/>
        <v>5.3479999999999999</v>
      </c>
      <c r="CC872" s="477">
        <f t="shared" si="2061"/>
        <v>5.3479999999999999</v>
      </c>
      <c r="CD872" s="477">
        <f t="shared" si="2061"/>
        <v>5.3479999999999999</v>
      </c>
      <c r="CE872" s="477">
        <f t="shared" si="2061"/>
        <v>5.3479999999999999</v>
      </c>
      <c r="CF872" s="477">
        <f t="shared" si="2061"/>
        <v>5.3479999999999999</v>
      </c>
      <c r="CG872" s="331"/>
      <c r="CH872" s="331"/>
      <c r="CI872" s="331"/>
      <c r="CJ872" s="331"/>
      <c r="CK872" s="331"/>
      <c r="CL872" s="520" t="str">
        <f t="shared" si="2031"/>
        <v>Depreciation and amortization</v>
      </c>
      <c r="CM872" s="476">
        <f t="shared" si="2032"/>
        <v>6.5560000000000009</v>
      </c>
      <c r="CN872" s="476">
        <f t="shared" si="2033"/>
        <v>6.4079999999999995</v>
      </c>
      <c r="CO872" s="476">
        <f t="shared" si="2034"/>
        <v>9.0749999999999993</v>
      </c>
      <c r="CP872" s="476">
        <f t="shared" si="2035"/>
        <v>7.9150000000000009</v>
      </c>
      <c r="CQ872" s="476">
        <f t="shared" si="2036"/>
        <v>5.9900000000000011</v>
      </c>
      <c r="CR872" s="476">
        <f t="shared" si="2037"/>
        <v>5.9600000000000009</v>
      </c>
      <c r="CS872" s="476">
        <f t="shared" si="2038"/>
        <v>5.6219999999999999</v>
      </c>
      <c r="CT872" s="476">
        <f t="shared" si="2039"/>
        <v>5.3609999999999998</v>
      </c>
      <c r="CU872" s="476">
        <f t="shared" si="2040"/>
        <v>5.3479999999999999</v>
      </c>
      <c r="CV872" s="476">
        <f t="shared" si="2041"/>
        <v>5.3479999999999999</v>
      </c>
      <c r="CW872" s="476">
        <f t="shared" si="2042"/>
        <v>5.3479999999999999</v>
      </c>
      <c r="CX872" s="476">
        <f t="shared" si="2043"/>
        <v>5.3479999999999999</v>
      </c>
      <c r="CY872" s="476">
        <f t="shared" si="2044"/>
        <v>5.3479999999999999</v>
      </c>
      <c r="CZ872" s="476">
        <f t="shared" si="2045"/>
        <v>5.3479999999999999</v>
      </c>
      <c r="DA872" s="476">
        <f t="shared" si="2046"/>
        <v>5.3479999999999999</v>
      </c>
      <c r="DB872" s="476">
        <f t="shared" si="2046"/>
        <v>5.3479999999999999</v>
      </c>
      <c r="DC872" s="682">
        <f t="shared" si="2046"/>
        <v>5.3479999999999999</v>
      </c>
      <c r="DD872" s="331"/>
      <c r="DE872" s="331"/>
      <c r="DF872" s="502"/>
      <c r="DG872" s="503"/>
      <c r="DH872" s="2577"/>
      <c r="DI872" s="3213"/>
      <c r="DJ872" s="502"/>
      <c r="DK872" s="503"/>
      <c r="DL872" s="502"/>
      <c r="DM872" s="502"/>
      <c r="DN872" s="502"/>
      <c r="DO872" s="502"/>
      <c r="DP872" s="503"/>
      <c r="DQ872" s="503"/>
      <c r="DR872" s="296"/>
      <c r="DS872" s="296"/>
      <c r="DT872" s="296"/>
    </row>
    <row r="873" spans="1:130" ht="12" customHeight="1" x14ac:dyDescent="0.25">
      <c r="A873" s="465" t="s">
        <v>646</v>
      </c>
      <c r="B873" s="281"/>
      <c r="C873" s="472">
        <f t="shared" ref="C873:AF873" si="2062">C872/C858</f>
        <v>5.9591460605129778E-2</v>
      </c>
      <c r="D873" s="472">
        <f t="shared" si="2062"/>
        <v>6.5392435949573002E-2</v>
      </c>
      <c r="E873" s="472">
        <f t="shared" si="2062"/>
        <v>6.6053796390875039E-2</v>
      </c>
      <c r="F873" s="472">
        <f t="shared" si="2062"/>
        <v>6.5338771631093334E-2</v>
      </c>
      <c r="G873" s="491">
        <f t="shared" si="2062"/>
        <v>6.4073494917904622E-2</v>
      </c>
      <c r="H873" s="472">
        <f t="shared" si="2062"/>
        <v>6.0053658715866071E-2</v>
      </c>
      <c r="I873" s="472">
        <f t="shared" si="2062"/>
        <v>6.2394350324931451E-2</v>
      </c>
      <c r="J873" s="472">
        <f t="shared" si="2062"/>
        <v>5.5349614769588606E-2</v>
      </c>
      <c r="K873" s="472">
        <f t="shared" si="2062"/>
        <v>5.7411085033399534E-2</v>
      </c>
      <c r="L873" s="491">
        <f t="shared" si="2062"/>
        <v>5.87668858502765E-2</v>
      </c>
      <c r="M873" s="472">
        <f t="shared" si="2062"/>
        <v>9.2889325519157157E-2</v>
      </c>
      <c r="N873" s="472">
        <f t="shared" si="2062"/>
        <v>7.899308633221061E-2</v>
      </c>
      <c r="O873" s="472">
        <f t="shared" si="2062"/>
        <v>7.0986593331041598E-2</v>
      </c>
      <c r="P873" s="472">
        <f t="shared" si="2062"/>
        <v>7.1881606765327705E-2</v>
      </c>
      <c r="Q873" s="491">
        <f t="shared" si="2062"/>
        <v>7.8780144799208293E-2</v>
      </c>
      <c r="R873" s="472">
        <f t="shared" si="2062"/>
        <v>6.587175582412598E-2</v>
      </c>
      <c r="S873" s="472">
        <f t="shared" si="2062"/>
        <v>6.8794045972469214E-2</v>
      </c>
      <c r="T873" s="472">
        <f t="shared" si="2062"/>
        <v>6.6522462562396009E-2</v>
      </c>
      <c r="U873" s="472">
        <f t="shared" si="2062"/>
        <v>6.4331050310180368E-2</v>
      </c>
      <c r="V873" s="491">
        <f t="shared" si="2062"/>
        <v>6.6419951999731483E-2</v>
      </c>
      <c r="W873" s="472">
        <f t="shared" si="2062"/>
        <v>6.6969202978367184E-2</v>
      </c>
      <c r="X873" s="472">
        <f t="shared" si="2062"/>
        <v>7.2062951543877402E-2</v>
      </c>
      <c r="Y873" s="472">
        <f t="shared" si="2062"/>
        <v>7.2317637977614826E-2</v>
      </c>
      <c r="Z873" s="472">
        <f t="shared" si="2062"/>
        <v>7.4401609828426182E-2</v>
      </c>
      <c r="AA873" s="491">
        <f t="shared" si="2062"/>
        <v>7.1275583055687777E-2</v>
      </c>
      <c r="AB873" s="472">
        <f t="shared" si="2062"/>
        <v>7.2576338657216369E-2</v>
      </c>
      <c r="AC873" s="472">
        <f t="shared" si="2062"/>
        <v>7.6926829268292682E-2</v>
      </c>
      <c r="AD873" s="472">
        <f t="shared" si="2062"/>
        <v>7.4788596890981829E-2</v>
      </c>
      <c r="AE873" s="492">
        <f t="shared" si="2062"/>
        <v>8.1175929122080312E-2</v>
      </c>
      <c r="AF873" s="493">
        <f t="shared" si="2062"/>
        <v>7.6185606544803788E-2</v>
      </c>
      <c r="AG873" s="472">
        <f t="shared" ref="AG873:AU873" si="2063">AG872/AG858</f>
        <v>7.6323987538940818E-2</v>
      </c>
      <c r="AH873" s="472">
        <f t="shared" si="2063"/>
        <v>7.9391333112801846E-2</v>
      </c>
      <c r="AI873" s="472">
        <f t="shared" si="2063"/>
        <v>7.5969075485879944E-2</v>
      </c>
      <c r="AJ873" s="492">
        <f t="shared" si="2063"/>
        <v>7.9654396970055635E-2</v>
      </c>
      <c r="AK873" s="493">
        <f t="shared" si="2063"/>
        <v>7.7780852241283893E-2</v>
      </c>
      <c r="AL873" s="472">
        <f t="shared" si="2063"/>
        <v>7.4053757542512352E-2</v>
      </c>
      <c r="AM873" s="472">
        <f t="shared" si="2063"/>
        <v>7.3842924997238477E-2</v>
      </c>
      <c r="AN873" s="472">
        <f t="shared" si="2063"/>
        <v>7.9159265837773815E-2</v>
      </c>
      <c r="AO873" s="492">
        <f t="shared" si="2063"/>
        <v>8.4438549955791323E-2</v>
      </c>
      <c r="AP873" s="494">
        <f t="shared" si="2063"/>
        <v>7.7628149435273672E-2</v>
      </c>
      <c r="AQ873" s="494">
        <f t="shared" si="2063"/>
        <v>7.7430937626686722E-2</v>
      </c>
      <c r="AR873" s="492">
        <f t="shared" si="2063"/>
        <v>7.9032925459596851E-2</v>
      </c>
      <c r="AS873" s="492">
        <f t="shared" si="2063"/>
        <v>7.8958247209590729E-2</v>
      </c>
      <c r="AT873" s="492">
        <f t="shared" si="2063"/>
        <v>8.4491911021233559E-2</v>
      </c>
      <c r="AU873" s="1696">
        <f t="shared" si="2063"/>
        <v>7.9891247516469727E-2</v>
      </c>
      <c r="AV873" s="1734">
        <f t="shared" ref="AV873:BJ873" si="2064">AV872/AV858</f>
        <v>7.9730806850718983E-2</v>
      </c>
      <c r="AW873" s="1735">
        <f t="shared" si="2064"/>
        <v>8.9302633265478007E-2</v>
      </c>
      <c r="AX873" s="1735">
        <f t="shared" si="2064"/>
        <v>8.9429864879300089E-2</v>
      </c>
      <c r="AY873" s="1909">
        <f t="shared" si="2064"/>
        <v>9.872732575956164E-2</v>
      </c>
      <c r="AZ873" s="1696">
        <f t="shared" si="2064"/>
        <v>8.8788387488328235E-2</v>
      </c>
      <c r="BA873" s="494">
        <f t="shared" si="2064"/>
        <v>0.10152341310628538</v>
      </c>
      <c r="BB873" s="492">
        <f t="shared" si="2064"/>
        <v>0.10300959044712017</v>
      </c>
      <c r="BC873" s="492">
        <f t="shared" si="2064"/>
        <v>0.10514338309569643</v>
      </c>
      <c r="BD873" s="1311">
        <f t="shared" si="2064"/>
        <v>0.11445465566783392</v>
      </c>
      <c r="BE873" s="1909">
        <f t="shared" si="2064"/>
        <v>0.10580419288088534</v>
      </c>
      <c r="BF873" s="492">
        <f t="shared" si="2064"/>
        <v>0.10327472010194923</v>
      </c>
      <c r="BG873" s="492">
        <f t="shared" si="2064"/>
        <v>0.10074092425616163</v>
      </c>
      <c r="BH873" s="492">
        <f t="shared" si="2064"/>
        <v>0.1104573811306738</v>
      </c>
      <c r="BI873" s="1311">
        <f t="shared" si="2064"/>
        <v>0.11877831923436756</v>
      </c>
      <c r="BJ873" s="1909">
        <f t="shared" si="2064"/>
        <v>0.10786999342190708</v>
      </c>
      <c r="BK873" s="492">
        <f t="shared" ref="BK873:BU873" si="2065">BK872/BK858</f>
        <v>0.11257926333754827</v>
      </c>
      <c r="BL873" s="492">
        <f t="shared" si="2065"/>
        <v>0.10959016393442624</v>
      </c>
      <c r="BM873" s="492">
        <f t="shared" si="2065"/>
        <v>0.11223331366801972</v>
      </c>
      <c r="BN873" s="1311">
        <f t="shared" si="2065"/>
        <v>0.13078499855960427</v>
      </c>
      <c r="BO873" s="1909">
        <f t="shared" si="2065"/>
        <v>0.11572840318217621</v>
      </c>
      <c r="BP873" s="492">
        <f t="shared" si="2065"/>
        <v>0.11738786451807363</v>
      </c>
      <c r="BQ873" s="492">
        <f t="shared" si="2065"/>
        <v>0.12457898685137278</v>
      </c>
      <c r="BR873" s="492">
        <f t="shared" si="2065"/>
        <v>0.12769414835118392</v>
      </c>
      <c r="BS873" s="492">
        <f t="shared" si="2065"/>
        <v>0.13537069091904652</v>
      </c>
      <c r="BT873" s="2693">
        <f t="shared" si="2065"/>
        <v>0.12592816984667868</v>
      </c>
      <c r="BU873" s="2653">
        <f t="shared" si="2065"/>
        <v>0.13301519785687344</v>
      </c>
      <c r="BV873" s="2653">
        <f t="shared" ref="BV873:CF873" si="2066">BV872/BV858</f>
        <v>0.12493654027384786</v>
      </c>
      <c r="BW873" s="2653">
        <f t="shared" si="2066"/>
        <v>0.12050435921545159</v>
      </c>
      <c r="BX873" s="2653">
        <f t="shared" si="2066"/>
        <v>0.13382914726838036</v>
      </c>
      <c r="BY873" s="2693">
        <f t="shared" si="2066"/>
        <v>0.12782546126791089</v>
      </c>
      <c r="BZ873" s="493">
        <f t="shared" si="2066"/>
        <v>0.12782546126791086</v>
      </c>
      <c r="CA873" s="493">
        <f t="shared" si="2066"/>
        <v>0.13081700887628089</v>
      </c>
      <c r="CB873" s="493">
        <f t="shared" si="2066"/>
        <v>0.13949803593531018</v>
      </c>
      <c r="CC873" s="493">
        <f t="shared" si="2066"/>
        <v>0.14892545137294105</v>
      </c>
      <c r="CD873" s="493">
        <f t="shared" si="2066"/>
        <v>0.14629290756072472</v>
      </c>
      <c r="CE873" s="493">
        <f t="shared" si="2066"/>
        <v>0.14368645244700853</v>
      </c>
      <c r="CF873" s="493">
        <f t="shared" si="2066"/>
        <v>0.14110694812083543</v>
      </c>
      <c r="CG873" s="331"/>
      <c r="CH873" s="331"/>
      <c r="CI873" s="331"/>
      <c r="CJ873" s="331"/>
      <c r="CK873" s="331"/>
      <c r="CL873" s="1310" t="str">
        <f t="shared" si="2031"/>
        <v>% of Net revenue</v>
      </c>
      <c r="CM873" s="492">
        <f t="shared" si="2032"/>
        <v>6.4073494917904622E-2</v>
      </c>
      <c r="CN873" s="492">
        <f t="shared" si="2033"/>
        <v>5.87668858502765E-2</v>
      </c>
      <c r="CO873" s="492">
        <f t="shared" si="2034"/>
        <v>7.8780144799208293E-2</v>
      </c>
      <c r="CP873" s="492">
        <f t="shared" si="2035"/>
        <v>6.6419951999731483E-2</v>
      </c>
      <c r="CQ873" s="492">
        <f t="shared" si="2036"/>
        <v>7.1275583055687777E-2</v>
      </c>
      <c r="CR873" s="492">
        <f t="shared" si="2037"/>
        <v>7.6185606544803788E-2</v>
      </c>
      <c r="CS873" s="492">
        <f t="shared" si="2038"/>
        <v>7.7780852241283893E-2</v>
      </c>
      <c r="CT873" s="492">
        <f t="shared" si="2039"/>
        <v>7.7628149435273672E-2</v>
      </c>
      <c r="CU873" s="492">
        <f t="shared" si="2040"/>
        <v>7.9891247516469727E-2</v>
      </c>
      <c r="CV873" s="492">
        <f t="shared" si="2041"/>
        <v>8.8788387488328235E-2</v>
      </c>
      <c r="CW873" s="492">
        <f t="shared" si="2042"/>
        <v>0.10580419288088534</v>
      </c>
      <c r="CX873" s="492">
        <f t="shared" si="2043"/>
        <v>0.10786999342190708</v>
      </c>
      <c r="CY873" s="492">
        <f t="shared" si="2044"/>
        <v>0.11572840318217621</v>
      </c>
      <c r="CZ873" s="492">
        <f t="shared" si="2045"/>
        <v>0.12592816984667868</v>
      </c>
      <c r="DA873" s="492">
        <f t="shared" si="2046"/>
        <v>0.12782546126791089</v>
      </c>
      <c r="DB873" s="492">
        <f t="shared" si="2046"/>
        <v>0.12782546126791086</v>
      </c>
      <c r="DC873" s="1311">
        <f t="shared" si="2046"/>
        <v>0.13081700887628089</v>
      </c>
      <c r="DD873" s="331"/>
      <c r="DE873" s="331"/>
      <c r="DF873" s="502"/>
      <c r="DG873" s="503"/>
      <c r="DH873" s="2653"/>
      <c r="DI873" s="3213"/>
      <c r="DJ873" s="502"/>
      <c r="DK873" s="503"/>
      <c r="DL873" s="502"/>
      <c r="DM873" s="502"/>
      <c r="DN873" s="502"/>
      <c r="DO873" s="502"/>
      <c r="DP873" s="503"/>
      <c r="DQ873" s="503"/>
      <c r="DR873" s="296"/>
      <c r="DS873" s="296"/>
      <c r="DT873" s="296"/>
    </row>
    <row r="874" spans="1:130" ht="12" customHeight="1" x14ac:dyDescent="0.25">
      <c r="A874" s="281"/>
      <c r="B874" s="281"/>
      <c r="C874" s="305"/>
      <c r="D874" s="305"/>
      <c r="E874" s="305"/>
      <c r="F874" s="305"/>
      <c r="G874" s="440"/>
      <c r="H874" s="305"/>
      <c r="I874" s="305"/>
      <c r="J874" s="305"/>
      <c r="K874" s="305"/>
      <c r="L874" s="440"/>
      <c r="M874" s="305"/>
      <c r="N874" s="305"/>
      <c r="O874" s="305"/>
      <c r="P874" s="305"/>
      <c r="Q874" s="440"/>
      <c r="R874" s="305"/>
      <c r="S874" s="305"/>
      <c r="T874" s="305"/>
      <c r="U874" s="305"/>
      <c r="V874" s="440"/>
      <c r="W874" s="305"/>
      <c r="X874" s="305"/>
      <c r="Y874" s="305"/>
      <c r="Z874" s="305"/>
      <c r="AA874" s="440"/>
      <c r="AB874" s="305"/>
      <c r="AC874" s="305"/>
      <c r="AD874" s="305"/>
      <c r="AE874" s="331"/>
      <c r="AF874" s="441"/>
      <c r="AG874" s="331"/>
      <c r="AH874" s="331"/>
      <c r="AI874" s="331"/>
      <c r="AJ874" s="331"/>
      <c r="AK874" s="441"/>
      <c r="AL874" s="442"/>
      <c r="AM874" s="442"/>
      <c r="AN874" s="442"/>
      <c r="AO874" s="442"/>
      <c r="AP874" s="443"/>
      <c r="AQ874" s="443"/>
      <c r="AR874" s="331"/>
      <c r="AS874" s="331"/>
      <c r="AT874" s="331"/>
      <c r="AU874" s="1686"/>
      <c r="AV874" s="1899"/>
      <c r="AW874" s="1774"/>
      <c r="AX874" s="1774"/>
      <c r="AY874" s="1900"/>
      <c r="AZ874" s="349"/>
      <c r="BA874" s="443"/>
      <c r="BB874" s="331"/>
      <c r="BC874" s="331"/>
      <c r="BD874" s="1306"/>
      <c r="BE874" s="1306"/>
      <c r="BF874" s="331"/>
      <c r="BG874" s="331"/>
      <c r="BH874" s="331"/>
      <c r="BI874" s="1306"/>
      <c r="BJ874" s="1306"/>
      <c r="BK874" s="331"/>
      <c r="BL874" s="331"/>
      <c r="BM874" s="331"/>
      <c r="BN874" s="1306"/>
      <c r="BO874" s="1306"/>
      <c r="BP874" s="331"/>
      <c r="BQ874" s="331"/>
      <c r="BR874" s="331"/>
      <c r="BS874" s="331"/>
      <c r="BT874" s="3222"/>
      <c r="BU874" s="3393"/>
      <c r="BV874" s="2601"/>
      <c r="BW874" s="2601"/>
      <c r="BX874" s="2601"/>
      <c r="BY874" s="3222"/>
      <c r="BZ874" s="349"/>
      <c r="CA874" s="349"/>
      <c r="CB874" s="349"/>
      <c r="CC874" s="349"/>
      <c r="CD874" s="349"/>
      <c r="CE874" s="349"/>
      <c r="CF874" s="349"/>
      <c r="CG874" s="331"/>
      <c r="CH874" s="331"/>
      <c r="CI874" s="331"/>
      <c r="CJ874" s="331"/>
      <c r="CK874" s="331"/>
      <c r="CL874" s="520"/>
      <c r="CM874" s="331"/>
      <c r="CN874" s="331"/>
      <c r="CO874" s="331"/>
      <c r="CP874" s="331"/>
      <c r="CQ874" s="331"/>
      <c r="CR874" s="331"/>
      <c r="CS874" s="331"/>
      <c r="CT874" s="331"/>
      <c r="CU874" s="331"/>
      <c r="CV874" s="331"/>
      <c r="CW874" s="331"/>
      <c r="CX874" s="331"/>
      <c r="CY874" s="331"/>
      <c r="CZ874" s="331"/>
      <c r="DA874" s="331"/>
      <c r="DB874" s="331"/>
      <c r="DC874" s="1306"/>
      <c r="DD874" s="331"/>
      <c r="DE874" s="331"/>
      <c r="DF874" s="502"/>
      <c r="DG874" s="503"/>
      <c r="DH874" s="2601"/>
      <c r="DI874" s="3213"/>
      <c r="DJ874" s="502"/>
      <c r="DK874" s="503"/>
      <c r="DL874" s="502"/>
      <c r="DM874" s="502"/>
      <c r="DN874" s="502"/>
      <c r="DO874" s="502"/>
      <c r="DP874" s="503"/>
      <c r="DQ874" s="503"/>
      <c r="DR874" s="296"/>
      <c r="DS874" s="296"/>
      <c r="DT874" s="296"/>
    </row>
    <row r="875" spans="1:130" s="905" customFormat="1" ht="12" customHeight="1" x14ac:dyDescent="0.25">
      <c r="A875" s="2125" t="s">
        <v>1092</v>
      </c>
      <c r="B875" s="428"/>
      <c r="C875" s="502"/>
      <c r="D875" s="502"/>
      <c r="E875" s="502"/>
      <c r="F875" s="502"/>
      <c r="G875" s="534"/>
      <c r="H875" s="502"/>
      <c r="I875" s="502"/>
      <c r="J875" s="502"/>
      <c r="K875" s="502"/>
      <c r="L875" s="534"/>
      <c r="M875" s="502"/>
      <c r="N875" s="502"/>
      <c r="O875" s="502"/>
      <c r="P875" s="502"/>
      <c r="Q875" s="534"/>
      <c r="R875" s="502"/>
      <c r="S875" s="502"/>
      <c r="T875" s="502"/>
      <c r="U875" s="502"/>
      <c r="V875" s="534"/>
      <c r="W875" s="502"/>
      <c r="X875" s="502"/>
      <c r="Y875" s="502"/>
      <c r="Z875" s="502"/>
      <c r="AA875" s="534"/>
      <c r="AB875" s="502"/>
      <c r="AC875" s="502"/>
      <c r="AD875" s="502"/>
      <c r="AE875" s="502"/>
      <c r="AF875" s="534"/>
      <c r="AG875" s="502"/>
      <c r="AH875" s="502"/>
      <c r="AI875" s="502"/>
      <c r="AJ875" s="502"/>
      <c r="AK875" s="534"/>
      <c r="AL875" s="503"/>
      <c r="AM875" s="503"/>
      <c r="AN875" s="503"/>
      <c r="AO875" s="503"/>
      <c r="AP875" s="535"/>
      <c r="AQ875" s="535"/>
      <c r="AR875" s="537"/>
      <c r="AS875" s="537"/>
      <c r="AT875" s="537"/>
      <c r="AU875" s="536"/>
      <c r="AV875" s="535"/>
      <c r="AW875" s="537"/>
      <c r="AX875" s="537"/>
      <c r="AY875" s="1926"/>
      <c r="AZ875" s="536"/>
      <c r="BA875" s="535"/>
      <c r="BB875" s="537"/>
      <c r="BC875" s="537"/>
      <c r="BD875" s="1926"/>
      <c r="BE875" s="1926"/>
      <c r="BF875" s="537"/>
      <c r="BG875" s="537"/>
      <c r="BH875" s="537"/>
      <c r="BI875" s="1926"/>
      <c r="BJ875" s="1926"/>
      <c r="BK875" s="537"/>
      <c r="BL875" s="537"/>
      <c r="BM875" s="537"/>
      <c r="BN875" s="1926"/>
      <c r="BO875" s="1926"/>
      <c r="BP875" s="537"/>
      <c r="BQ875" s="537"/>
      <c r="BR875" s="537"/>
      <c r="BS875" s="537"/>
      <c r="BT875" s="536"/>
      <c r="BU875" s="535"/>
      <c r="BV875" s="537"/>
      <c r="BW875" s="537"/>
      <c r="BX875" s="537"/>
      <c r="BY875" s="536"/>
      <c r="BZ875" s="536"/>
      <c r="CA875" s="536"/>
      <c r="CB875" s="536"/>
      <c r="CC875" s="536"/>
      <c r="CD875" s="536"/>
      <c r="CE875" s="536"/>
      <c r="CF875" s="536"/>
      <c r="CG875" s="331"/>
      <c r="CH875" s="331"/>
      <c r="CI875" s="331"/>
      <c r="CJ875" s="331"/>
      <c r="CK875" s="331"/>
      <c r="CL875" s="2036" t="str">
        <f t="shared" ref="CL875:CL881" si="2067">A875</f>
        <v>Hollywood Lawrenceburg (IN)</v>
      </c>
      <c r="CM875" s="503">
        <f t="shared" ref="CM875:CM881" si="2068">G875</f>
        <v>0</v>
      </c>
      <c r="CN875" s="503">
        <f t="shared" ref="CN875:CN881" si="2069">L875</f>
        <v>0</v>
      </c>
      <c r="CO875" s="503">
        <f t="shared" ref="CO875:CO881" si="2070">Q875</f>
        <v>0</v>
      </c>
      <c r="CP875" s="503">
        <f t="shared" ref="CP875:CP881" si="2071">V875</f>
        <v>0</v>
      </c>
      <c r="CQ875" s="503">
        <f t="shared" ref="CQ875:CQ881" si="2072">AA875</f>
        <v>0</v>
      </c>
      <c r="CR875" s="503">
        <f t="shared" ref="CR875:CR881" si="2073">AF875</f>
        <v>0</v>
      </c>
      <c r="CS875" s="503">
        <f t="shared" ref="CS875:CS881" si="2074">AK875</f>
        <v>0</v>
      </c>
      <c r="CT875" s="503">
        <f t="shared" ref="CT875:CT881" si="2075">AP875</f>
        <v>0</v>
      </c>
      <c r="CU875" s="503">
        <f t="shared" ref="CU875:CU881" si="2076">AU875</f>
        <v>0</v>
      </c>
      <c r="CV875" s="503">
        <f t="shared" ref="CV875:CV881" si="2077">AZ875</f>
        <v>0</v>
      </c>
      <c r="CW875" s="503">
        <f t="shared" ref="CW875:CW881" si="2078">BE875</f>
        <v>0</v>
      </c>
      <c r="CX875" s="503">
        <f t="shared" ref="CX875:CX881" si="2079">BJ875</f>
        <v>0</v>
      </c>
      <c r="CY875" s="503">
        <f t="shared" ref="CY875:CY881" si="2080">BO875</f>
        <v>0</v>
      </c>
      <c r="CZ875" s="503">
        <f t="shared" ref="CZ875:CZ881" si="2081">BT875</f>
        <v>0</v>
      </c>
      <c r="DA875" s="503">
        <f t="shared" ref="DA875:DC881" si="2082">BY875</f>
        <v>0</v>
      </c>
      <c r="DB875" s="503">
        <f t="shared" si="2082"/>
        <v>0</v>
      </c>
      <c r="DC875" s="2124">
        <f t="shared" si="2082"/>
        <v>0</v>
      </c>
      <c r="DD875" s="331"/>
      <c r="DE875" s="331"/>
      <c r="DF875" s="502"/>
      <c r="DG875" s="503"/>
      <c r="DH875" s="537"/>
      <c r="DI875" s="3213"/>
      <c r="DJ875" s="502"/>
      <c r="DK875" s="503"/>
      <c r="DL875" s="502"/>
      <c r="DM875" s="502"/>
      <c r="DN875" s="502"/>
      <c r="DO875" s="502"/>
      <c r="DP875" s="503"/>
      <c r="DQ875" s="503"/>
      <c r="DR875" s="428"/>
      <c r="DS875" s="428"/>
      <c r="DT875" s="428"/>
      <c r="DU875"/>
      <c r="DV875"/>
      <c r="DW875"/>
      <c r="DX875"/>
      <c r="DY875"/>
      <c r="DZ875"/>
    </row>
    <row r="876" spans="1:130" ht="12" customHeight="1" x14ac:dyDescent="0.25">
      <c r="A876" s="281" t="s">
        <v>894</v>
      </c>
      <c r="B876" s="281"/>
      <c r="C876" s="305">
        <f>C877+(C878*C$320)</f>
        <v>2871</v>
      </c>
      <c r="D876" s="305">
        <f>D877+(D878*D$320)</f>
        <v>2869</v>
      </c>
      <c r="E876" s="305">
        <f>E877+(E878*E$320)</f>
        <v>2869</v>
      </c>
      <c r="F876" s="305">
        <f>F877+(F878*F$320)</f>
        <v>2875</v>
      </c>
      <c r="G876" s="345">
        <f>F876</f>
        <v>2875</v>
      </c>
      <c r="H876" s="305">
        <f>H877+(H878*H$320)</f>
        <v>2912</v>
      </c>
      <c r="I876" s="305">
        <f>I877+(I878*I$320)</f>
        <v>2918</v>
      </c>
      <c r="J876" s="305">
        <f>J877+(J878*J$320)</f>
        <v>2922</v>
      </c>
      <c r="K876" s="305">
        <f>K877+(K878*K$320)</f>
        <v>2935</v>
      </c>
      <c r="L876" s="345">
        <f>K876</f>
        <v>2935</v>
      </c>
      <c r="M876" s="305">
        <f>M877+(M878*M$320)</f>
        <v>2935</v>
      </c>
      <c r="N876" s="305">
        <f>N877+(N878*N$320)</f>
        <v>2935</v>
      </c>
      <c r="O876" s="305">
        <f>O877+(O878*O$320)</f>
        <v>2935</v>
      </c>
      <c r="P876" s="305">
        <f>P877+(P878*P$320)</f>
        <v>2861</v>
      </c>
      <c r="Q876" s="345">
        <f>P876</f>
        <v>2861</v>
      </c>
      <c r="R876" s="305">
        <f>R877+(R878*R$320)</f>
        <v>2861</v>
      </c>
      <c r="S876" s="305">
        <f>S877+(S878*S$320)</f>
        <v>2861</v>
      </c>
      <c r="T876" s="305">
        <f>T877+(T878*T$320)</f>
        <v>2861</v>
      </c>
      <c r="U876" s="305">
        <f>U877+(U878*U$320)</f>
        <v>2861</v>
      </c>
      <c r="V876" s="345">
        <f>U876</f>
        <v>2861</v>
      </c>
      <c r="W876" s="305">
        <f>W877+(W878*W$320)</f>
        <v>2861</v>
      </c>
      <c r="X876" s="305">
        <f>X877+(X878*X$320)</f>
        <v>2861</v>
      </c>
      <c r="Y876" s="305">
        <f>Y877+(Y878*Y$320)</f>
        <v>2861</v>
      </c>
      <c r="Z876" s="305">
        <f>Z877+(Z878*Z$320)</f>
        <v>2975</v>
      </c>
      <c r="AA876" s="345">
        <f>Z876</f>
        <v>2975</v>
      </c>
      <c r="AB876" s="305">
        <f>AB877+(AB878*AB$320)</f>
        <v>2964</v>
      </c>
      <c r="AC876" s="305">
        <f>AC877+(AC878*AC$320)</f>
        <v>3309</v>
      </c>
      <c r="AD876" s="305">
        <f>AD877+(AD878*AD$320)</f>
        <v>3991</v>
      </c>
      <c r="AE876" s="331">
        <f>AE877+(AE878*AE$320)</f>
        <v>4003</v>
      </c>
      <c r="AF876" s="348">
        <f>AE876</f>
        <v>4003</v>
      </c>
      <c r="AG876" s="305">
        <f>AG877+(AG878*AG$320)</f>
        <v>4003</v>
      </c>
      <c r="AH876" s="305">
        <f>AH877+(AH878*AH$320)</f>
        <v>4021</v>
      </c>
      <c r="AI876" s="305">
        <f>AI877+(AI878*AI$320)</f>
        <v>4021</v>
      </c>
      <c r="AJ876" s="331">
        <f>AJ877+(AJ878*AJ$320)</f>
        <v>4020</v>
      </c>
      <c r="AK876" s="348">
        <f>AJ876</f>
        <v>4020</v>
      </c>
      <c r="AL876" s="305">
        <f>AL877+(AL878*AL$320)</f>
        <v>4011</v>
      </c>
      <c r="AM876" s="305">
        <f>AM877+(AM878*AM$320)</f>
        <v>4011</v>
      </c>
      <c r="AN876" s="305">
        <f>AN877+(AN878*AN$320)</f>
        <v>4011</v>
      </c>
      <c r="AO876" s="331">
        <f>AO877+(AO878*AO$320)</f>
        <v>4011</v>
      </c>
      <c r="AP876" s="568">
        <f>AO876</f>
        <v>4011</v>
      </c>
      <c r="AQ876" s="568">
        <f>AQ877+(AQ878*AQ$320)</f>
        <v>3978</v>
      </c>
      <c r="AR876" s="330">
        <f>AR877+(AR878*AR$320)</f>
        <v>3944.6666666666665</v>
      </c>
      <c r="AS876" s="330">
        <f>AS877+(AS878*AS$320)</f>
        <v>3773.6666666666665</v>
      </c>
      <c r="AT876" s="330">
        <f>AT877+(AT878*AT$320)</f>
        <v>3500.3333333333335</v>
      </c>
      <c r="AU876" s="1686">
        <f>AT876</f>
        <v>3500.3333333333335</v>
      </c>
      <c r="AV876" s="1899">
        <f>AV877+(AV878*AV$320)</f>
        <v>3367.6666666666665</v>
      </c>
      <c r="AW876" s="1774">
        <f>AW877+(AW878*AW$320)</f>
        <v>3082.6666666666665</v>
      </c>
      <c r="AX876" s="1774">
        <f>AX877+(AX878*AX$320)</f>
        <v>2968.3333333333335</v>
      </c>
      <c r="AY876" s="1900">
        <f>AY877+(AY878*AY$320)</f>
        <v>2966.6666666666665</v>
      </c>
      <c r="AZ876" s="1686">
        <f>AY876</f>
        <v>2966.6666666666665</v>
      </c>
      <c r="BA876" s="1899">
        <f>BA877+(BA878*BA$320)</f>
        <v>2963.3333333333335</v>
      </c>
      <c r="BB876" s="1774">
        <f>BB877+(BB878*BB$320)</f>
        <v>2821.3333333333335</v>
      </c>
      <c r="BC876" s="1774">
        <f>BC877+(BC878*BC$320)</f>
        <v>2784</v>
      </c>
      <c r="BD876" s="1900">
        <f>BD877+(BD878*BD$320)</f>
        <v>2774</v>
      </c>
      <c r="BE876" s="1900">
        <f>BD876</f>
        <v>2774</v>
      </c>
      <c r="BF876" s="1774">
        <f>BF877+(BF878*BF$320)</f>
        <v>2633</v>
      </c>
      <c r="BG876" s="1774">
        <f>BG877+(BG878*BG$320)</f>
        <v>2500</v>
      </c>
      <c r="BH876" s="1774">
        <f>BH877+(BH878*BH$320)</f>
        <v>2348</v>
      </c>
      <c r="BI876" s="1900">
        <f>BI877+(BI878*BI$320)</f>
        <v>2279</v>
      </c>
      <c r="BJ876" s="1900">
        <f>BI876</f>
        <v>2279</v>
      </c>
      <c r="BK876" s="1774">
        <f>BK877+(BK878*BK$320)</f>
        <v>2256</v>
      </c>
      <c r="BL876" s="1774">
        <f>BL877+(BL878*BL$320)</f>
        <v>2228</v>
      </c>
      <c r="BM876" s="1774">
        <f>BM877+(BM878*BM$320)</f>
        <v>2237</v>
      </c>
      <c r="BN876" s="1900">
        <f>BN877+(BN878*BN$320)</f>
        <v>2239</v>
      </c>
      <c r="BO876" s="1900">
        <f>BN876</f>
        <v>2239</v>
      </c>
      <c r="BP876" s="1774">
        <f>BP877+(BP878*BP$320)</f>
        <v>2206</v>
      </c>
      <c r="BQ876" s="1774">
        <f>BQ877+(BQ878*BQ$320)</f>
        <v>2208</v>
      </c>
      <c r="BR876" s="1774">
        <f>BR877+(BR878*BR$320)</f>
        <v>2216</v>
      </c>
      <c r="BS876" s="1774">
        <f>BS877+(BS878*BS$320)</f>
        <v>2216</v>
      </c>
      <c r="BT876" s="3222">
        <f>BS876</f>
        <v>2216</v>
      </c>
      <c r="BU876" s="1774">
        <f>BU877+(BU878*BU$320)</f>
        <v>2216</v>
      </c>
      <c r="BV876" s="1774">
        <f>BV877+(BV878*BV$320)</f>
        <v>2216</v>
      </c>
      <c r="BW876" s="1774">
        <f>BW877+(BW878*BW$320)</f>
        <v>2216</v>
      </c>
      <c r="BX876" s="1774">
        <f>BX877+(BX878*BX$320)</f>
        <v>2216</v>
      </c>
      <c r="BY876" s="3222">
        <f>BX876</f>
        <v>2216</v>
      </c>
      <c r="BZ876" s="349">
        <f t="shared" ref="BZ876:CF876" si="2083">BZ877+(BZ878*BZ$320)</f>
        <v>2216</v>
      </c>
      <c r="CA876" s="349">
        <f t="shared" si="2083"/>
        <v>2216</v>
      </c>
      <c r="CB876" s="349">
        <f t="shared" si="2083"/>
        <v>2216</v>
      </c>
      <c r="CC876" s="349">
        <f t="shared" si="2083"/>
        <v>2216</v>
      </c>
      <c r="CD876" s="349">
        <f t="shared" si="2083"/>
        <v>2216</v>
      </c>
      <c r="CE876" s="349">
        <f t="shared" si="2083"/>
        <v>2216</v>
      </c>
      <c r="CF876" s="349">
        <f t="shared" si="2083"/>
        <v>2216</v>
      </c>
      <c r="CG876" s="331"/>
      <c r="CH876" s="331"/>
      <c r="CI876" s="331"/>
      <c r="CJ876" s="331"/>
      <c r="CK876" s="331"/>
      <c r="CL876" s="520" t="str">
        <f t="shared" si="2067"/>
        <v>Positions</v>
      </c>
      <c r="CM876" s="330">
        <f t="shared" si="2068"/>
        <v>2875</v>
      </c>
      <c r="CN876" s="330">
        <f t="shared" si="2069"/>
        <v>2935</v>
      </c>
      <c r="CO876" s="330">
        <f t="shared" si="2070"/>
        <v>2861</v>
      </c>
      <c r="CP876" s="330">
        <f t="shared" si="2071"/>
        <v>2861</v>
      </c>
      <c r="CQ876" s="330">
        <f t="shared" si="2072"/>
        <v>2975</v>
      </c>
      <c r="CR876" s="330">
        <f t="shared" si="2073"/>
        <v>4003</v>
      </c>
      <c r="CS876" s="330">
        <f t="shared" si="2074"/>
        <v>4020</v>
      </c>
      <c r="CT876" s="330">
        <f t="shared" si="2075"/>
        <v>4011</v>
      </c>
      <c r="CU876" s="330">
        <f t="shared" si="2076"/>
        <v>3500.3333333333335</v>
      </c>
      <c r="CV876" s="330">
        <f t="shared" si="2077"/>
        <v>2966.6666666666665</v>
      </c>
      <c r="CW876" s="330">
        <f t="shared" si="2078"/>
        <v>2774</v>
      </c>
      <c r="CX876" s="330">
        <f t="shared" si="2079"/>
        <v>2279</v>
      </c>
      <c r="CY876" s="330">
        <f t="shared" si="2080"/>
        <v>2239</v>
      </c>
      <c r="CZ876" s="330">
        <f t="shared" si="2081"/>
        <v>2216</v>
      </c>
      <c r="DA876" s="330">
        <f t="shared" si="2082"/>
        <v>2216</v>
      </c>
      <c r="DB876" s="330">
        <f t="shared" si="2082"/>
        <v>2216</v>
      </c>
      <c r="DC876" s="1888">
        <f t="shared" si="2082"/>
        <v>2216</v>
      </c>
      <c r="DD876" s="331"/>
      <c r="DE876" s="331"/>
      <c r="DF876" s="502"/>
      <c r="DG876" s="503"/>
      <c r="DH876" s="2601"/>
      <c r="DI876" s="3213"/>
      <c r="DJ876" s="502"/>
      <c r="DK876" s="503"/>
      <c r="DL876" s="502"/>
      <c r="DM876" s="502"/>
      <c r="DN876" s="502"/>
      <c r="DO876" s="502"/>
      <c r="DP876" s="503"/>
      <c r="DQ876" s="503"/>
      <c r="DR876" s="296"/>
      <c r="DS876" s="296"/>
      <c r="DT876" s="296"/>
    </row>
    <row r="877" spans="1:130" ht="12" customHeight="1" x14ac:dyDescent="0.25">
      <c r="A877" s="281" t="s">
        <v>585</v>
      </c>
      <c r="B877" s="281"/>
      <c r="C877" s="340">
        <v>2349</v>
      </c>
      <c r="D877" s="340">
        <v>2353</v>
      </c>
      <c r="E877" s="340">
        <v>2353</v>
      </c>
      <c r="F877" s="340">
        <v>2353</v>
      </c>
      <c r="G877" s="345">
        <f>F877</f>
        <v>2353</v>
      </c>
      <c r="H877" s="340">
        <v>2390</v>
      </c>
      <c r="I877" s="340">
        <v>2396</v>
      </c>
      <c r="J877" s="340">
        <v>2400</v>
      </c>
      <c r="K877" s="340">
        <v>2419</v>
      </c>
      <c r="L877" s="345">
        <f>K877</f>
        <v>2419</v>
      </c>
      <c r="M877" s="340">
        <f t="shared" ref="M877:O878" si="2084">L877</f>
        <v>2419</v>
      </c>
      <c r="N877" s="340">
        <f t="shared" si="2084"/>
        <v>2419</v>
      </c>
      <c r="O877" s="340">
        <f t="shared" si="2084"/>
        <v>2419</v>
      </c>
      <c r="P877" s="340">
        <v>2417</v>
      </c>
      <c r="Q877" s="345">
        <f>P877</f>
        <v>2417</v>
      </c>
      <c r="R877" s="340">
        <f t="shared" ref="R877:T878" si="2085">Q877</f>
        <v>2417</v>
      </c>
      <c r="S877" s="340">
        <f t="shared" si="2085"/>
        <v>2417</v>
      </c>
      <c r="T877" s="340">
        <f t="shared" si="2085"/>
        <v>2417</v>
      </c>
      <c r="U877" s="340">
        <v>2417</v>
      </c>
      <c r="V877" s="345">
        <f>U877</f>
        <v>2417</v>
      </c>
      <c r="W877" s="340">
        <f t="shared" ref="W877:Y878" si="2086">V877</f>
        <v>2417</v>
      </c>
      <c r="X877" s="340">
        <f t="shared" si="2086"/>
        <v>2417</v>
      </c>
      <c r="Y877" s="340">
        <f t="shared" si="2086"/>
        <v>2417</v>
      </c>
      <c r="Z877" s="340">
        <v>2525</v>
      </c>
      <c r="AA877" s="345">
        <f>Z877</f>
        <v>2525</v>
      </c>
      <c r="AB877" s="339">
        <v>2484</v>
      </c>
      <c r="AC877" s="339">
        <v>2733</v>
      </c>
      <c r="AD877" s="339">
        <v>3217</v>
      </c>
      <c r="AE877" s="339">
        <v>3229</v>
      </c>
      <c r="AF877" s="348">
        <f>AE877</f>
        <v>3229</v>
      </c>
      <c r="AG877" s="331">
        <f>AE877</f>
        <v>3229</v>
      </c>
      <c r="AH877" s="339">
        <v>3241</v>
      </c>
      <c r="AI877" s="331">
        <f>AH877</f>
        <v>3241</v>
      </c>
      <c r="AJ877" s="339">
        <v>3240</v>
      </c>
      <c r="AK877" s="348">
        <f>AJ877</f>
        <v>3240</v>
      </c>
      <c r="AL877" s="339">
        <v>3231</v>
      </c>
      <c r="AM877" s="331">
        <f t="shared" ref="AM877:AO878" si="2087">AL877</f>
        <v>3231</v>
      </c>
      <c r="AN877" s="331">
        <f t="shared" si="2087"/>
        <v>3231</v>
      </c>
      <c r="AO877" s="331">
        <f t="shared" si="2087"/>
        <v>3231</v>
      </c>
      <c r="AP877" s="568">
        <f>AO877</f>
        <v>3231</v>
      </c>
      <c r="AQ877" s="2651">
        <v>3210</v>
      </c>
      <c r="AR877" s="2655">
        <v>3182.6666666666665</v>
      </c>
      <c r="AS877" s="2655">
        <v>3057.6666666666665</v>
      </c>
      <c r="AT877" s="2655">
        <v>2906.3333333333335</v>
      </c>
      <c r="AU877" s="1687">
        <f>AT877</f>
        <v>2906.3333333333335</v>
      </c>
      <c r="AV877" s="2651">
        <v>2777.6666666666665</v>
      </c>
      <c r="AW877" s="2655">
        <v>2524.6666666666665</v>
      </c>
      <c r="AX877" s="2655">
        <v>2426.3333333333335</v>
      </c>
      <c r="AY877" s="2663">
        <v>2414.6666666666665</v>
      </c>
      <c r="AZ877" s="1687">
        <f>AY877</f>
        <v>2414.6666666666665</v>
      </c>
      <c r="BA877" s="2651">
        <v>2409.3333333333335</v>
      </c>
      <c r="BB877" s="2655">
        <v>2281.3333333333335</v>
      </c>
      <c r="BC877" s="2655">
        <v>2244</v>
      </c>
      <c r="BD877" s="2939">
        <v>2234</v>
      </c>
      <c r="BE877" s="1867">
        <f>BD877</f>
        <v>2234</v>
      </c>
      <c r="BF877" s="2972">
        <v>2177</v>
      </c>
      <c r="BG877" s="2942">
        <v>2050</v>
      </c>
      <c r="BH877" s="2942">
        <v>1892</v>
      </c>
      <c r="BI877" s="2939">
        <v>1805</v>
      </c>
      <c r="BJ877" s="1867">
        <f>BI877</f>
        <v>1805</v>
      </c>
      <c r="BK877" s="2942">
        <v>1782</v>
      </c>
      <c r="BL877" s="2942">
        <v>1754</v>
      </c>
      <c r="BM877" s="2942">
        <v>1751</v>
      </c>
      <c r="BN877" s="2939">
        <v>1753</v>
      </c>
      <c r="BO877" s="1867">
        <f>BN877</f>
        <v>1753</v>
      </c>
      <c r="BP877" s="2942">
        <v>1720</v>
      </c>
      <c r="BQ877" s="2942">
        <v>1722</v>
      </c>
      <c r="BR877" s="2942">
        <v>1730</v>
      </c>
      <c r="BS877" s="2853">
        <f>BR877</f>
        <v>1730</v>
      </c>
      <c r="BT877" s="3081">
        <f>BS877</f>
        <v>1730</v>
      </c>
      <c r="BU877" s="2079">
        <f t="shared" ref="BU877:BX878" si="2088">BT877</f>
        <v>1730</v>
      </c>
      <c r="BV877" s="2079">
        <f t="shared" si="2088"/>
        <v>1730</v>
      </c>
      <c r="BW877" s="2079">
        <f t="shared" si="2088"/>
        <v>1730</v>
      </c>
      <c r="BX877" s="2079">
        <f t="shared" si="2088"/>
        <v>1730</v>
      </c>
      <c r="BY877" s="3081">
        <f>BX877</f>
        <v>1730</v>
      </c>
      <c r="BZ877" s="2854">
        <f>BY877</f>
        <v>1730</v>
      </c>
      <c r="CA877" s="2854">
        <f>BZ877</f>
        <v>1730</v>
      </c>
      <c r="CB877" s="2854">
        <f t="shared" ref="CB877:CF878" si="2089">CA877</f>
        <v>1730</v>
      </c>
      <c r="CC877" s="2854">
        <f t="shared" si="2089"/>
        <v>1730</v>
      </c>
      <c r="CD877" s="2854">
        <f t="shared" si="2089"/>
        <v>1730</v>
      </c>
      <c r="CE877" s="2854">
        <f t="shared" si="2089"/>
        <v>1730</v>
      </c>
      <c r="CF877" s="2854">
        <f t="shared" si="2089"/>
        <v>1730</v>
      </c>
      <c r="CG877" s="331"/>
      <c r="CH877" s="331"/>
      <c r="CI877" s="331"/>
      <c r="CJ877" s="331"/>
      <c r="CK877" s="331"/>
      <c r="CL877" s="520" t="str">
        <f t="shared" si="2067"/>
        <v>Slots</v>
      </c>
      <c r="CM877" s="330">
        <f t="shared" si="2068"/>
        <v>2353</v>
      </c>
      <c r="CN877" s="330">
        <f t="shared" si="2069"/>
        <v>2419</v>
      </c>
      <c r="CO877" s="330">
        <f t="shared" si="2070"/>
        <v>2417</v>
      </c>
      <c r="CP877" s="330">
        <f t="shared" si="2071"/>
        <v>2417</v>
      </c>
      <c r="CQ877" s="330">
        <f t="shared" si="2072"/>
        <v>2525</v>
      </c>
      <c r="CR877" s="330">
        <f t="shared" si="2073"/>
        <v>3229</v>
      </c>
      <c r="CS877" s="330">
        <f t="shared" si="2074"/>
        <v>3240</v>
      </c>
      <c r="CT877" s="330">
        <f t="shared" si="2075"/>
        <v>3231</v>
      </c>
      <c r="CU877" s="330">
        <f t="shared" si="2076"/>
        <v>2906.3333333333335</v>
      </c>
      <c r="CV877" s="330">
        <f t="shared" si="2077"/>
        <v>2414.6666666666665</v>
      </c>
      <c r="CW877" s="330">
        <f t="shared" si="2078"/>
        <v>2234</v>
      </c>
      <c r="CX877" s="330">
        <f t="shared" si="2079"/>
        <v>1805</v>
      </c>
      <c r="CY877" s="330">
        <f t="shared" si="2080"/>
        <v>1753</v>
      </c>
      <c r="CZ877" s="330">
        <f t="shared" si="2081"/>
        <v>1730</v>
      </c>
      <c r="DA877" s="330">
        <f t="shared" si="2082"/>
        <v>1730</v>
      </c>
      <c r="DB877" s="330">
        <f t="shared" si="2082"/>
        <v>1730</v>
      </c>
      <c r="DC877" s="1888">
        <f t="shared" si="2082"/>
        <v>1730</v>
      </c>
      <c r="DD877" s="331"/>
      <c r="DE877" s="331"/>
      <c r="DF877" s="502"/>
      <c r="DG877" s="503"/>
      <c r="DH877" s="2909"/>
      <c r="DI877" s="3213"/>
      <c r="DJ877" s="502"/>
      <c r="DK877" s="503"/>
      <c r="DL877" s="502"/>
      <c r="DM877" s="502"/>
      <c r="DN877" s="502"/>
      <c r="DO877" s="502"/>
      <c r="DP877" s="503"/>
      <c r="DQ877" s="503"/>
      <c r="DR877" s="296"/>
      <c r="DS877" s="296"/>
      <c r="DT877" s="296"/>
    </row>
    <row r="878" spans="1:130" ht="12" customHeight="1" x14ac:dyDescent="0.25">
      <c r="A878" s="281" t="s">
        <v>584</v>
      </c>
      <c r="B878" s="281"/>
      <c r="C878" s="340">
        <v>87</v>
      </c>
      <c r="D878" s="340">
        <v>86</v>
      </c>
      <c r="E878" s="340">
        <v>86</v>
      </c>
      <c r="F878" s="340">
        <v>87</v>
      </c>
      <c r="G878" s="345">
        <f>F878</f>
        <v>87</v>
      </c>
      <c r="H878" s="340">
        <v>87</v>
      </c>
      <c r="I878" s="340">
        <v>87</v>
      </c>
      <c r="J878" s="340">
        <v>87</v>
      </c>
      <c r="K878" s="340">
        <v>86</v>
      </c>
      <c r="L878" s="345">
        <f>K878</f>
        <v>86</v>
      </c>
      <c r="M878" s="340">
        <f t="shared" si="2084"/>
        <v>86</v>
      </c>
      <c r="N878" s="340">
        <f t="shared" si="2084"/>
        <v>86</v>
      </c>
      <c r="O878" s="340">
        <f t="shared" si="2084"/>
        <v>86</v>
      </c>
      <c r="P878" s="340">
        <v>74</v>
      </c>
      <c r="Q878" s="345">
        <f>P878</f>
        <v>74</v>
      </c>
      <c r="R878" s="340">
        <f t="shared" si="2085"/>
        <v>74</v>
      </c>
      <c r="S878" s="340">
        <f t="shared" si="2085"/>
        <v>74</v>
      </c>
      <c r="T878" s="340">
        <f t="shared" si="2085"/>
        <v>74</v>
      </c>
      <c r="U878" s="340">
        <v>74</v>
      </c>
      <c r="V878" s="345">
        <f>U878</f>
        <v>74</v>
      </c>
      <c r="W878" s="340">
        <f t="shared" si="2086"/>
        <v>74</v>
      </c>
      <c r="X878" s="340">
        <f t="shared" si="2086"/>
        <v>74</v>
      </c>
      <c r="Y878" s="340">
        <f t="shared" si="2086"/>
        <v>74</v>
      </c>
      <c r="Z878" s="340">
        <v>75</v>
      </c>
      <c r="AA878" s="345">
        <f>Z878</f>
        <v>75</v>
      </c>
      <c r="AB878" s="339">
        <v>80</v>
      </c>
      <c r="AC878" s="339">
        <v>96</v>
      </c>
      <c r="AD878" s="339">
        <v>129</v>
      </c>
      <c r="AE878" s="339">
        <v>129</v>
      </c>
      <c r="AF878" s="348">
        <f>AE878</f>
        <v>129</v>
      </c>
      <c r="AG878" s="331">
        <f>AE878</f>
        <v>129</v>
      </c>
      <c r="AH878" s="339">
        <v>130</v>
      </c>
      <c r="AI878" s="331">
        <f>AH878</f>
        <v>130</v>
      </c>
      <c r="AJ878" s="339">
        <v>130</v>
      </c>
      <c r="AK878" s="348">
        <f>AJ878</f>
        <v>130</v>
      </c>
      <c r="AL878" s="339">
        <v>130</v>
      </c>
      <c r="AM878" s="331">
        <f t="shared" si="2087"/>
        <v>130</v>
      </c>
      <c r="AN878" s="331">
        <f t="shared" si="2087"/>
        <v>130</v>
      </c>
      <c r="AO878" s="331">
        <f t="shared" si="2087"/>
        <v>130</v>
      </c>
      <c r="AP878" s="568">
        <f>AO878</f>
        <v>130</v>
      </c>
      <c r="AQ878" s="2651">
        <v>128</v>
      </c>
      <c r="AR878" s="2655">
        <v>127</v>
      </c>
      <c r="AS878" s="2655">
        <v>119.33333333333333</v>
      </c>
      <c r="AT878" s="2655">
        <v>99</v>
      </c>
      <c r="AU878" s="1687">
        <f>AT878</f>
        <v>99</v>
      </c>
      <c r="AV878" s="2651">
        <v>98.333333333333329</v>
      </c>
      <c r="AW878" s="2655">
        <v>93</v>
      </c>
      <c r="AX878" s="2655">
        <v>90.333333333333329</v>
      </c>
      <c r="AY878" s="2663">
        <v>92</v>
      </c>
      <c r="AZ878" s="1687">
        <f>AY878</f>
        <v>92</v>
      </c>
      <c r="BA878" s="2651">
        <v>92.333333333333329</v>
      </c>
      <c r="BB878" s="2655">
        <v>90</v>
      </c>
      <c r="BC878" s="2655">
        <v>90</v>
      </c>
      <c r="BD878" s="2939">
        <v>90</v>
      </c>
      <c r="BE878" s="1867">
        <f>BD878</f>
        <v>90</v>
      </c>
      <c r="BF878" s="2972">
        <v>76</v>
      </c>
      <c r="BG878" s="2942">
        <v>75</v>
      </c>
      <c r="BH878" s="2942">
        <v>76</v>
      </c>
      <c r="BI878" s="2939">
        <v>79</v>
      </c>
      <c r="BJ878" s="1867">
        <f>BI878</f>
        <v>79</v>
      </c>
      <c r="BK878" s="2942">
        <v>79</v>
      </c>
      <c r="BL878" s="2942">
        <v>79</v>
      </c>
      <c r="BM878" s="2942">
        <v>81</v>
      </c>
      <c r="BN878" s="2939">
        <v>81</v>
      </c>
      <c r="BO878" s="1867">
        <f>BN878</f>
        <v>81</v>
      </c>
      <c r="BP878" s="2942">
        <v>81</v>
      </c>
      <c r="BQ878" s="2942">
        <v>81</v>
      </c>
      <c r="BR878" s="2942">
        <v>81</v>
      </c>
      <c r="BS878" s="2853">
        <f>BR878</f>
        <v>81</v>
      </c>
      <c r="BT878" s="3081">
        <f>BS878</f>
        <v>81</v>
      </c>
      <c r="BU878" s="2079">
        <f t="shared" si="2088"/>
        <v>81</v>
      </c>
      <c r="BV878" s="2079">
        <f t="shared" si="2088"/>
        <v>81</v>
      </c>
      <c r="BW878" s="2079">
        <f t="shared" si="2088"/>
        <v>81</v>
      </c>
      <c r="BX878" s="2079">
        <f t="shared" si="2088"/>
        <v>81</v>
      </c>
      <c r="BY878" s="3081">
        <f>BX878</f>
        <v>81</v>
      </c>
      <c r="BZ878" s="2854">
        <f>BY878</f>
        <v>81</v>
      </c>
      <c r="CA878" s="2854">
        <f>BZ878</f>
        <v>81</v>
      </c>
      <c r="CB878" s="2854">
        <f t="shared" si="2089"/>
        <v>81</v>
      </c>
      <c r="CC878" s="2854">
        <f t="shared" si="2089"/>
        <v>81</v>
      </c>
      <c r="CD878" s="2854">
        <f t="shared" si="2089"/>
        <v>81</v>
      </c>
      <c r="CE878" s="2854">
        <f t="shared" si="2089"/>
        <v>81</v>
      </c>
      <c r="CF878" s="2854">
        <f t="shared" si="2089"/>
        <v>81</v>
      </c>
      <c r="CG878" s="331"/>
      <c r="CH878" s="331"/>
      <c r="CI878" s="331"/>
      <c r="CJ878" s="331"/>
      <c r="CK878" s="331"/>
      <c r="CL878" s="520" t="str">
        <f t="shared" si="2067"/>
        <v>Tables</v>
      </c>
      <c r="CM878" s="330">
        <f t="shared" si="2068"/>
        <v>87</v>
      </c>
      <c r="CN878" s="330">
        <f t="shared" si="2069"/>
        <v>86</v>
      </c>
      <c r="CO878" s="330">
        <f t="shared" si="2070"/>
        <v>74</v>
      </c>
      <c r="CP878" s="330">
        <f t="shared" si="2071"/>
        <v>74</v>
      </c>
      <c r="CQ878" s="330">
        <f t="shared" si="2072"/>
        <v>75</v>
      </c>
      <c r="CR878" s="330">
        <f t="shared" si="2073"/>
        <v>129</v>
      </c>
      <c r="CS878" s="330">
        <f t="shared" si="2074"/>
        <v>130</v>
      </c>
      <c r="CT878" s="330">
        <f t="shared" si="2075"/>
        <v>130</v>
      </c>
      <c r="CU878" s="330">
        <f t="shared" si="2076"/>
        <v>99</v>
      </c>
      <c r="CV878" s="330">
        <f t="shared" si="2077"/>
        <v>92</v>
      </c>
      <c r="CW878" s="330">
        <f t="shared" si="2078"/>
        <v>90</v>
      </c>
      <c r="CX878" s="330">
        <f t="shared" si="2079"/>
        <v>79</v>
      </c>
      <c r="CY878" s="330">
        <f t="shared" si="2080"/>
        <v>81</v>
      </c>
      <c r="CZ878" s="330">
        <f t="shared" si="2081"/>
        <v>81</v>
      </c>
      <c r="DA878" s="330">
        <f t="shared" si="2082"/>
        <v>81</v>
      </c>
      <c r="DB878" s="330">
        <f t="shared" si="2082"/>
        <v>81</v>
      </c>
      <c r="DC878" s="1888">
        <f t="shared" si="2082"/>
        <v>81</v>
      </c>
      <c r="DD878" s="331"/>
      <c r="DE878" s="331"/>
      <c r="DF878" s="502"/>
      <c r="DG878" s="503"/>
      <c r="DH878" s="2909"/>
      <c r="DI878" s="3213"/>
      <c r="DJ878" s="502"/>
      <c r="DK878" s="503"/>
      <c r="DL878" s="502"/>
      <c r="DM878" s="502"/>
      <c r="DN878" s="502"/>
      <c r="DO878" s="502"/>
      <c r="DP878" s="503"/>
      <c r="DQ878" s="503"/>
      <c r="DR878" s="296"/>
      <c r="DS878" s="296"/>
      <c r="DT878" s="296"/>
    </row>
    <row r="879" spans="1:130" ht="12" customHeight="1" x14ac:dyDescent="0.25">
      <c r="A879" s="511" t="s">
        <v>2111</v>
      </c>
      <c r="B879" s="281"/>
      <c r="C879" s="340">
        <v>2848</v>
      </c>
      <c r="D879" s="305">
        <f>AVERAGE(C876:D876)</f>
        <v>2870</v>
      </c>
      <c r="E879" s="305">
        <f>AVERAGE(D876:E876)</f>
        <v>2869</v>
      </c>
      <c r="F879" s="305">
        <f>AVERAGE(E876:F876)</f>
        <v>2872</v>
      </c>
      <c r="G879" s="345">
        <f>AVERAGE(C879:F879)</f>
        <v>2864.75</v>
      </c>
      <c r="H879" s="305">
        <f>AVERAGE(G876:H876)</f>
        <v>2893.5</v>
      </c>
      <c r="I879" s="305">
        <f>AVERAGE(H876:I876)</f>
        <v>2915</v>
      </c>
      <c r="J879" s="305">
        <f>AVERAGE(I876:J876)</f>
        <v>2920</v>
      </c>
      <c r="K879" s="305">
        <f>AVERAGE(J876:K876)</f>
        <v>2928.5</v>
      </c>
      <c r="L879" s="345">
        <f>AVERAGE(H879:K879)</f>
        <v>2914.25</v>
      </c>
      <c r="M879" s="305">
        <f>AVERAGE(L876:M876)</f>
        <v>2935</v>
      </c>
      <c r="N879" s="305">
        <f>AVERAGE(M876:N876)</f>
        <v>2935</v>
      </c>
      <c r="O879" s="305">
        <f>AVERAGE(N876:O876)</f>
        <v>2935</v>
      </c>
      <c r="P879" s="305">
        <f>AVERAGE(O876:P876)</f>
        <v>2898</v>
      </c>
      <c r="Q879" s="345">
        <f>AVERAGE(M879:P879)</f>
        <v>2925.75</v>
      </c>
      <c r="R879" s="305">
        <f>AVERAGE(Q876:R876)</f>
        <v>2861</v>
      </c>
      <c r="S879" s="305">
        <f>AVERAGE(R876:S876)</f>
        <v>2861</v>
      </c>
      <c r="T879" s="305">
        <f>AVERAGE(S876:T876)</f>
        <v>2861</v>
      </c>
      <c r="U879" s="305">
        <f>AVERAGE(T876:U876)</f>
        <v>2861</v>
      </c>
      <c r="V879" s="345">
        <f>AVERAGE(R879:U879)</f>
        <v>2861</v>
      </c>
      <c r="W879" s="305">
        <f>AVERAGE(V876:W876)</f>
        <v>2861</v>
      </c>
      <c r="X879" s="305">
        <f>AVERAGE(W876:X876)</f>
        <v>2861</v>
      </c>
      <c r="Y879" s="305">
        <f>AVERAGE(X876:Y876)</f>
        <v>2861</v>
      </c>
      <c r="Z879" s="305">
        <f>AVERAGE(Y876:Z876)</f>
        <v>2918</v>
      </c>
      <c r="AA879" s="345">
        <f>AVERAGE(W879:Z879)</f>
        <v>2875.25</v>
      </c>
      <c r="AB879" s="305">
        <f>AVERAGE(AA876:AB876)</f>
        <v>2969.5</v>
      </c>
      <c r="AC879" s="305">
        <f>AVERAGE(AB876:AC876)</f>
        <v>3136.5</v>
      </c>
      <c r="AD879" s="305">
        <f>AVERAGE(AC876:AD876)</f>
        <v>3650</v>
      </c>
      <c r="AE879" s="331">
        <f>AVERAGE(AD876:AE876)</f>
        <v>3997</v>
      </c>
      <c r="AF879" s="348">
        <f>AVERAGE(AB879:AE879)</f>
        <v>3438.25</v>
      </c>
      <c r="AG879" s="305">
        <f>AVERAGE(AF876:AG876)</f>
        <v>4003</v>
      </c>
      <c r="AH879" s="305">
        <f>AVERAGE(AG876:AH876)</f>
        <v>4012</v>
      </c>
      <c r="AI879" s="305">
        <f>AVERAGE(AH876:AI876)</f>
        <v>4021</v>
      </c>
      <c r="AJ879" s="331">
        <f>AVERAGE(AI876:AJ876)</f>
        <v>4020.5</v>
      </c>
      <c r="AK879" s="348">
        <f>AVERAGE(AG879:AJ879)</f>
        <v>4014.125</v>
      </c>
      <c r="AL879" s="305">
        <f>AVERAGE(AK876:AL876)</f>
        <v>4015.5</v>
      </c>
      <c r="AM879" s="305">
        <f>AVERAGE(AL876:AM876)</f>
        <v>4011</v>
      </c>
      <c r="AN879" s="305">
        <f>AVERAGE(AM876:AN876)</f>
        <v>4011</v>
      </c>
      <c r="AO879" s="331">
        <f>AVERAGE(AN876:AO876)</f>
        <v>4011</v>
      </c>
      <c r="AP879" s="568">
        <f>AVERAGE(AL879:AO879)</f>
        <v>4012.125</v>
      </c>
      <c r="AQ879" s="568">
        <f>AVERAGE(AP876:AQ876)</f>
        <v>3994.5</v>
      </c>
      <c r="AR879" s="330">
        <f>AVERAGE(AQ876:AR876)</f>
        <v>3961.333333333333</v>
      </c>
      <c r="AS879" s="330">
        <f>AVERAGE(AR876:AS876)</f>
        <v>3859.1666666666665</v>
      </c>
      <c r="AT879" s="330">
        <f>AVERAGE(AS876:AT876)</f>
        <v>3637</v>
      </c>
      <c r="AU879" s="1686">
        <f>AVERAGE(AQ879:AT879)</f>
        <v>3863</v>
      </c>
      <c r="AV879" s="1899">
        <f>AVERAGE(AU876:AV876)</f>
        <v>3434</v>
      </c>
      <c r="AW879" s="1774">
        <f>AVERAGE(AV876:AW876)</f>
        <v>3225.1666666666665</v>
      </c>
      <c r="AX879" s="1774">
        <f>AVERAGE(AW876:AX876)</f>
        <v>3025.5</v>
      </c>
      <c r="AY879" s="1900">
        <f>AVERAGE(AX876:AY876)</f>
        <v>2967.5</v>
      </c>
      <c r="AZ879" s="1686">
        <f>AVERAGE(AV879:AY879)</f>
        <v>3163.0416666666665</v>
      </c>
      <c r="BA879" s="1899">
        <f>AVERAGE(AZ876:BA876)</f>
        <v>2965</v>
      </c>
      <c r="BB879" s="1774">
        <f>AVERAGE(BA876:BB876)</f>
        <v>2892.3333333333335</v>
      </c>
      <c r="BC879" s="1774">
        <f>AVERAGE(BB876:BC876)</f>
        <v>2802.666666666667</v>
      </c>
      <c r="BD879" s="1900">
        <f>AVERAGE(BC876:BD876)</f>
        <v>2779</v>
      </c>
      <c r="BE879" s="1900">
        <f>AVERAGE(BA879:BD879)</f>
        <v>2859.75</v>
      </c>
      <c r="BF879" s="1774">
        <f>AVERAGE(BE876:BF876)</f>
        <v>2703.5</v>
      </c>
      <c r="BG879" s="1774">
        <f>AVERAGE(BF876:BG876)</f>
        <v>2566.5</v>
      </c>
      <c r="BH879" s="1774">
        <f>AVERAGE(BG876:BH876)</f>
        <v>2424</v>
      </c>
      <c r="BI879" s="1900">
        <f>AVERAGE(BH876:BI876)</f>
        <v>2313.5</v>
      </c>
      <c r="BJ879" s="1900">
        <f>AVERAGE(BF879:BI879)</f>
        <v>2501.875</v>
      </c>
      <c r="BK879" s="1774">
        <f>AVERAGE(BJ876:BK876)</f>
        <v>2267.5</v>
      </c>
      <c r="BL879" s="1774">
        <f>AVERAGE(BK876:BL876)</f>
        <v>2242</v>
      </c>
      <c r="BM879" s="1774">
        <f>AVERAGE(BL876:BM876)</f>
        <v>2232.5</v>
      </c>
      <c r="BN879" s="1900">
        <f>AVERAGE(BM876:BN876)</f>
        <v>2238</v>
      </c>
      <c r="BO879" s="1900">
        <f>AVERAGE(BK879:BN879)</f>
        <v>2245</v>
      </c>
      <c r="BP879" s="1774">
        <f>AVERAGE(BO876:BP876)</f>
        <v>2222.5</v>
      </c>
      <c r="BQ879" s="1774">
        <f>AVERAGE(BP876:BQ876)</f>
        <v>2207</v>
      </c>
      <c r="BR879" s="1774">
        <f>AVERAGE(BQ876:BR876)</f>
        <v>2212</v>
      </c>
      <c r="BS879" s="1774">
        <f>AVERAGE(BR876:BS876)</f>
        <v>2216</v>
      </c>
      <c r="BT879" s="3222">
        <f>AVERAGE(BP879:BS879)</f>
        <v>2214.375</v>
      </c>
      <c r="BU879" s="1774">
        <f>AVERAGE(BT876:BU876)</f>
        <v>2216</v>
      </c>
      <c r="BV879" s="1774">
        <f>AVERAGE(BU876:BV876)</f>
        <v>2216</v>
      </c>
      <c r="BW879" s="1774">
        <f>AVERAGE(BV876:BW876)</f>
        <v>2216</v>
      </c>
      <c r="BX879" s="1774">
        <f>AVERAGE(BW876:BX876)</f>
        <v>2216</v>
      </c>
      <c r="BY879" s="3222">
        <f>AVERAGE(BU879:BX879)</f>
        <v>2216</v>
      </c>
      <c r="BZ879" s="349">
        <f t="shared" ref="BZ879:CF879" si="2090">AVERAGE(BY876:BZ876)</f>
        <v>2216</v>
      </c>
      <c r="CA879" s="349">
        <f t="shared" si="2090"/>
        <v>2216</v>
      </c>
      <c r="CB879" s="349">
        <f t="shared" si="2090"/>
        <v>2216</v>
      </c>
      <c r="CC879" s="349">
        <f t="shared" si="2090"/>
        <v>2216</v>
      </c>
      <c r="CD879" s="349">
        <f t="shared" si="2090"/>
        <v>2216</v>
      </c>
      <c r="CE879" s="349">
        <f t="shared" si="2090"/>
        <v>2216</v>
      </c>
      <c r="CF879" s="349">
        <f t="shared" si="2090"/>
        <v>2216</v>
      </c>
      <c r="CG879" s="331"/>
      <c r="CH879" s="331"/>
      <c r="CI879" s="331"/>
      <c r="CJ879" s="331"/>
      <c r="CK879" s="331"/>
      <c r="CL879" s="1118" t="str">
        <f t="shared" si="2067"/>
        <v>Average Positions</v>
      </c>
      <c r="CM879" s="330">
        <f t="shared" si="2068"/>
        <v>2864.75</v>
      </c>
      <c r="CN879" s="330">
        <f t="shared" si="2069"/>
        <v>2914.25</v>
      </c>
      <c r="CO879" s="330">
        <f t="shared" si="2070"/>
        <v>2925.75</v>
      </c>
      <c r="CP879" s="330">
        <f t="shared" si="2071"/>
        <v>2861</v>
      </c>
      <c r="CQ879" s="330">
        <f t="shared" si="2072"/>
        <v>2875.25</v>
      </c>
      <c r="CR879" s="330">
        <f t="shared" si="2073"/>
        <v>3438.25</v>
      </c>
      <c r="CS879" s="330">
        <f t="shared" si="2074"/>
        <v>4014.125</v>
      </c>
      <c r="CT879" s="330">
        <f t="shared" si="2075"/>
        <v>4012.125</v>
      </c>
      <c r="CU879" s="330">
        <f t="shared" si="2076"/>
        <v>3863</v>
      </c>
      <c r="CV879" s="330">
        <f t="shared" si="2077"/>
        <v>3163.0416666666665</v>
      </c>
      <c r="CW879" s="330">
        <f t="shared" si="2078"/>
        <v>2859.75</v>
      </c>
      <c r="CX879" s="330">
        <f t="shared" si="2079"/>
        <v>2501.875</v>
      </c>
      <c r="CY879" s="330">
        <f t="shared" si="2080"/>
        <v>2245</v>
      </c>
      <c r="CZ879" s="330">
        <f t="shared" si="2081"/>
        <v>2214.375</v>
      </c>
      <c r="DA879" s="330">
        <f t="shared" si="2082"/>
        <v>2216</v>
      </c>
      <c r="DB879" s="330">
        <f t="shared" si="2082"/>
        <v>2216</v>
      </c>
      <c r="DC879" s="1888">
        <f t="shared" si="2082"/>
        <v>2216</v>
      </c>
      <c r="DD879" s="331"/>
      <c r="DE879" s="331"/>
      <c r="DF879" s="502"/>
      <c r="DG879" s="503"/>
      <c r="DH879" s="2601"/>
      <c r="DI879" s="3213"/>
      <c r="DJ879" s="502"/>
      <c r="DK879" s="503"/>
      <c r="DL879" s="502"/>
      <c r="DM879" s="502"/>
      <c r="DN879" s="502"/>
      <c r="DO879" s="502"/>
      <c r="DP879" s="503"/>
      <c r="DQ879" s="503"/>
      <c r="DR879" s="296"/>
      <c r="DS879" s="296"/>
      <c r="DT879" s="296"/>
    </row>
    <row r="880" spans="1:130" ht="12" customHeight="1" x14ac:dyDescent="0.25">
      <c r="A880" s="557" t="s">
        <v>901</v>
      </c>
      <c r="B880" s="558"/>
      <c r="C880" s="318">
        <f t="shared" ref="C880:AH880" si="2091">C886*1000000/C879/C$5</f>
        <v>432.15983454747504</v>
      </c>
      <c r="D880" s="318">
        <f t="shared" si="2091"/>
        <v>412.26404257763141</v>
      </c>
      <c r="E880" s="318">
        <f t="shared" si="2091"/>
        <v>437.04820646490975</v>
      </c>
      <c r="F880" s="318">
        <f t="shared" si="2091"/>
        <v>394.91492067336804</v>
      </c>
      <c r="G880" s="559">
        <f t="shared" si="2091"/>
        <v>419.0535322654253</v>
      </c>
      <c r="H880" s="318">
        <f t="shared" si="2091"/>
        <v>432.75156961004546</v>
      </c>
      <c r="I880" s="318">
        <f t="shared" si="2091"/>
        <v>422.21929014381845</v>
      </c>
      <c r="J880" s="318">
        <f t="shared" si="2091"/>
        <v>427.73897781417514</v>
      </c>
      <c r="K880" s="318">
        <f t="shared" si="2091"/>
        <v>398.82103540171175</v>
      </c>
      <c r="L880" s="559">
        <f t="shared" si="2091"/>
        <v>420.28150291258936</v>
      </c>
      <c r="M880" s="318">
        <f t="shared" si="2091"/>
        <v>458.32766609880753</v>
      </c>
      <c r="N880" s="318">
        <f t="shared" si="2091"/>
        <v>437.31396371941514</v>
      </c>
      <c r="O880" s="318">
        <f t="shared" si="2091"/>
        <v>446.01019554107103</v>
      </c>
      <c r="P880" s="318">
        <f t="shared" si="2091"/>
        <v>444.76491658415097</v>
      </c>
      <c r="Q880" s="559">
        <f t="shared" si="2091"/>
        <v>446.55953478735694</v>
      </c>
      <c r="R880" s="318">
        <f t="shared" si="2091"/>
        <v>469.25306225484479</v>
      </c>
      <c r="S880" s="318">
        <f t="shared" si="2091"/>
        <v>463.36529147189754</v>
      </c>
      <c r="T880" s="318">
        <f t="shared" si="2091"/>
        <v>461.55025986657142</v>
      </c>
      <c r="U880" s="318">
        <f t="shared" si="2091"/>
        <v>429.69910946309437</v>
      </c>
      <c r="V880" s="559">
        <f t="shared" si="2091"/>
        <v>455.87386056221362</v>
      </c>
      <c r="W880" s="318">
        <f t="shared" si="2091"/>
        <v>454.33507841337268</v>
      </c>
      <c r="X880" s="318">
        <f t="shared" si="2091"/>
        <v>430.63628332520329</v>
      </c>
      <c r="Y880" s="318">
        <f t="shared" si="2091"/>
        <v>402.10097184018963</v>
      </c>
      <c r="Z880" s="318">
        <f t="shared" si="2091"/>
        <v>372.22856743749441</v>
      </c>
      <c r="AA880" s="559">
        <f t="shared" si="2091"/>
        <v>414.47379230031316</v>
      </c>
      <c r="AB880" s="318">
        <f t="shared" si="2091"/>
        <v>384.27718845297562</v>
      </c>
      <c r="AC880" s="318">
        <f t="shared" si="2091"/>
        <v>338.09646435184453</v>
      </c>
      <c r="AD880" s="318">
        <f t="shared" si="2091"/>
        <v>353.48421679571175</v>
      </c>
      <c r="AE880" s="560">
        <f t="shared" si="2091"/>
        <v>294.24242094614436</v>
      </c>
      <c r="AF880" s="561">
        <f t="shared" si="2091"/>
        <v>339.53239592059111</v>
      </c>
      <c r="AG880" s="318">
        <f t="shared" si="2091"/>
        <v>313.37607905182222</v>
      </c>
      <c r="AH880" s="318">
        <f t="shared" si="2091"/>
        <v>303.48514894875814</v>
      </c>
      <c r="AI880" s="318">
        <f t="shared" ref="AI880:BN880" si="2092">AI886*1000000/AI879/AI$5</f>
        <v>299.20598650562806</v>
      </c>
      <c r="AJ880" s="560">
        <f t="shared" si="2092"/>
        <v>281.11808232806868</v>
      </c>
      <c r="AK880" s="561">
        <f t="shared" si="2092"/>
        <v>299.19518754193774</v>
      </c>
      <c r="AL880" s="318">
        <f t="shared" si="2092"/>
        <v>304.97771136844727</v>
      </c>
      <c r="AM880" s="318">
        <f t="shared" si="2092"/>
        <v>301.38668935153606</v>
      </c>
      <c r="AN880" s="318">
        <f t="shared" si="2092"/>
        <v>298.75512991447431</v>
      </c>
      <c r="AO880" s="560">
        <f t="shared" si="2092"/>
        <v>287.22287351088852</v>
      </c>
      <c r="AP880" s="562">
        <f t="shared" si="2092"/>
        <v>298.03956619510808</v>
      </c>
      <c r="AQ880" s="562">
        <f t="shared" si="2092"/>
        <v>305.20370454429781</v>
      </c>
      <c r="AR880" s="318">
        <f t="shared" si="2092"/>
        <v>282.83420130862066</v>
      </c>
      <c r="AS880" s="560">
        <f t="shared" si="2092"/>
        <v>272.25611333827788</v>
      </c>
      <c r="AT880" s="560">
        <f t="shared" si="2092"/>
        <v>256.42624714587993</v>
      </c>
      <c r="AU880" s="1688">
        <f t="shared" si="2092"/>
        <v>279.63332244115031</v>
      </c>
      <c r="AV880" s="1732">
        <f t="shared" si="2092"/>
        <v>280.2290590823788</v>
      </c>
      <c r="AW880" s="1766">
        <f t="shared" si="2092"/>
        <v>229.20650720268313</v>
      </c>
      <c r="AX880" s="1766">
        <f t="shared" si="2092"/>
        <v>224.99206742687159</v>
      </c>
      <c r="AY880" s="1901">
        <f t="shared" si="2092"/>
        <v>202.52296619171457</v>
      </c>
      <c r="AZ880" s="561">
        <f t="shared" si="2092"/>
        <v>235.41921417253246</v>
      </c>
      <c r="BA880" s="1732">
        <f t="shared" si="2092"/>
        <v>193.67193554431333</v>
      </c>
      <c r="BB880" s="1766">
        <f t="shared" si="2092"/>
        <v>186.51824008652406</v>
      </c>
      <c r="BC880" s="1766">
        <f t="shared" si="2092"/>
        <v>185.71489885409341</v>
      </c>
      <c r="BD880" s="1901">
        <f t="shared" si="2092"/>
        <v>181.26230110925107</v>
      </c>
      <c r="BE880" s="1878">
        <f t="shared" si="2092"/>
        <v>186.81782654150004</v>
      </c>
      <c r="BF880" s="1766">
        <f t="shared" si="2092"/>
        <v>185.57419805601793</v>
      </c>
      <c r="BG880" s="1766">
        <f t="shared" si="2092"/>
        <v>191.75306945149146</v>
      </c>
      <c r="BH880" s="1766">
        <f t="shared" si="2092"/>
        <v>193.07575961400488</v>
      </c>
      <c r="BI880" s="1901">
        <f t="shared" si="2092"/>
        <v>201.18892417849867</v>
      </c>
      <c r="BJ880" s="1878">
        <f t="shared" si="2092"/>
        <v>192.5307745218484</v>
      </c>
      <c r="BK880" s="1766">
        <f t="shared" si="2092"/>
        <v>215.86878612016432</v>
      </c>
      <c r="BL880" s="1766">
        <f t="shared" si="2092"/>
        <v>212.23201419454767</v>
      </c>
      <c r="BM880" s="1766">
        <f t="shared" si="2092"/>
        <v>208.87092847753055</v>
      </c>
      <c r="BN880" s="1901">
        <f t="shared" si="2092"/>
        <v>201.72344290321325</v>
      </c>
      <c r="BO880" s="1878">
        <f t="shared" ref="BO880:CF880" si="2093">BO886*1000000/BO879/BO$5</f>
        <v>209.66684313653906</v>
      </c>
      <c r="BP880" s="1766">
        <f t="shared" si="2093"/>
        <v>212.89049368828896</v>
      </c>
      <c r="BQ880" s="1766">
        <f t="shared" si="2093"/>
        <v>213.06809502233156</v>
      </c>
      <c r="BR880" s="1766">
        <f t="shared" si="2093"/>
        <v>224.66500412768298</v>
      </c>
      <c r="BS880" s="1766">
        <f t="shared" si="2093"/>
        <v>209.98263125882909</v>
      </c>
      <c r="BT880" s="2589">
        <f t="shared" ref="BT880:BY880" si="2094">BT886*1000000/BT879/BT$5</f>
        <v>215.1634474305886</v>
      </c>
      <c r="BU880" s="1766">
        <f t="shared" si="2094"/>
        <v>218.63764540714001</v>
      </c>
      <c r="BV880" s="1766">
        <f t="shared" si="2094"/>
        <v>216.44680118617842</v>
      </c>
      <c r="BW880" s="1766">
        <f t="shared" si="2094"/>
        <v>227.62336370369638</v>
      </c>
      <c r="BX880" s="1766">
        <f t="shared" si="2094"/>
        <v>213.1323707277115</v>
      </c>
      <c r="BY880" s="2589">
        <f t="shared" si="2094"/>
        <v>218.96869743088865</v>
      </c>
      <c r="BZ880" s="561">
        <f t="shared" si="2093"/>
        <v>220.06354091804309</v>
      </c>
      <c r="CA880" s="561">
        <f t="shared" si="2093"/>
        <v>219.46227441280254</v>
      </c>
      <c r="CB880" s="561">
        <f t="shared" si="2093"/>
        <v>209.06036387214095</v>
      </c>
      <c r="CC880" s="561">
        <f t="shared" si="2093"/>
        <v>198.60734567853387</v>
      </c>
      <c r="CD880" s="561">
        <f t="shared" si="2093"/>
        <v>202.57949259210457</v>
      </c>
      <c r="CE880" s="561">
        <f t="shared" si="2093"/>
        <v>206.06651664491949</v>
      </c>
      <c r="CF880" s="561">
        <f t="shared" si="2093"/>
        <v>210.76370409282561</v>
      </c>
      <c r="CG880" s="560"/>
      <c r="CH880" s="560"/>
      <c r="CI880" s="560"/>
      <c r="CJ880" s="560"/>
      <c r="CK880" s="560"/>
      <c r="CL880" s="1307" t="str">
        <f t="shared" si="2067"/>
        <v>Daily Win / Position</v>
      </c>
      <c r="CM880" s="560">
        <f t="shared" si="2068"/>
        <v>419.0535322654253</v>
      </c>
      <c r="CN880" s="560">
        <f t="shared" si="2069"/>
        <v>420.28150291258936</v>
      </c>
      <c r="CO880" s="560">
        <f t="shared" si="2070"/>
        <v>446.55953478735694</v>
      </c>
      <c r="CP880" s="560">
        <f t="shared" si="2071"/>
        <v>455.87386056221362</v>
      </c>
      <c r="CQ880" s="560">
        <f t="shared" si="2072"/>
        <v>414.47379230031316</v>
      </c>
      <c r="CR880" s="560">
        <f t="shared" si="2073"/>
        <v>339.53239592059111</v>
      </c>
      <c r="CS880" s="560">
        <f t="shared" si="2074"/>
        <v>299.19518754193774</v>
      </c>
      <c r="CT880" s="560">
        <f t="shared" si="2075"/>
        <v>298.03956619510808</v>
      </c>
      <c r="CU880" s="560">
        <f t="shared" si="2076"/>
        <v>279.63332244115031</v>
      </c>
      <c r="CV880" s="560">
        <f t="shared" si="2077"/>
        <v>235.41921417253246</v>
      </c>
      <c r="CW880" s="560">
        <f t="shared" si="2078"/>
        <v>186.81782654150004</v>
      </c>
      <c r="CX880" s="560">
        <f t="shared" si="2079"/>
        <v>192.5307745218484</v>
      </c>
      <c r="CY880" s="560">
        <f t="shared" si="2080"/>
        <v>209.66684313653906</v>
      </c>
      <c r="CZ880" s="560">
        <f t="shared" si="2081"/>
        <v>215.1634474305886</v>
      </c>
      <c r="DA880" s="560">
        <f t="shared" si="2082"/>
        <v>218.96869743088865</v>
      </c>
      <c r="DB880" s="560">
        <f t="shared" si="2082"/>
        <v>220.06354091804309</v>
      </c>
      <c r="DC880" s="1878">
        <f t="shared" si="2082"/>
        <v>219.46227441280254</v>
      </c>
      <c r="DD880" s="560"/>
      <c r="DE880" s="560"/>
      <c r="DF880" s="707"/>
      <c r="DG880" s="707"/>
      <c r="DH880" s="2588"/>
      <c r="DI880" s="3213"/>
      <c r="DJ880" s="707"/>
      <c r="DK880" s="707"/>
      <c r="DL880" s="707"/>
      <c r="DM880" s="707"/>
      <c r="DN880" s="707"/>
      <c r="DO880" s="707"/>
      <c r="DP880" s="707"/>
      <c r="DQ880" s="707"/>
      <c r="DR880" s="968"/>
      <c r="DS880" s="968"/>
      <c r="DT880" s="968"/>
    </row>
    <row r="881" spans="1:124" ht="12" customHeight="1" x14ac:dyDescent="0.25">
      <c r="A881" s="465" t="s">
        <v>1491</v>
      </c>
      <c r="B881" s="466"/>
      <c r="C881" s="467" t="s">
        <v>553</v>
      </c>
      <c r="D881" s="467" t="s">
        <v>553</v>
      </c>
      <c r="E881" s="467" t="s">
        <v>553</v>
      </c>
      <c r="F881" s="467" t="s">
        <v>553</v>
      </c>
      <c r="G881" s="468" t="s">
        <v>553</v>
      </c>
      <c r="H881" s="467">
        <f t="shared" ref="H881:AF881" si="2095">(H880-C880)/C880</f>
        <v>1.3692504838864576E-3</v>
      </c>
      <c r="I881" s="467">
        <f t="shared" si="2095"/>
        <v>2.4147746439255411E-2</v>
      </c>
      <c r="J881" s="467">
        <f t="shared" si="2095"/>
        <v>-2.1300233047591835E-2</v>
      </c>
      <c r="K881" s="467">
        <f t="shared" si="2095"/>
        <v>9.8910284819915314E-3</v>
      </c>
      <c r="L881" s="468">
        <f t="shared" si="2095"/>
        <v>2.9303431485843421E-3</v>
      </c>
      <c r="M881" s="467">
        <f t="shared" si="2095"/>
        <v>5.9101106234712923E-2</v>
      </c>
      <c r="N881" s="467">
        <f t="shared" si="2095"/>
        <v>3.5750790946702277E-2</v>
      </c>
      <c r="O881" s="467">
        <f t="shared" si="2095"/>
        <v>4.271581191937468E-2</v>
      </c>
      <c r="P881" s="467">
        <f t="shared" si="2095"/>
        <v>0.11519924252782285</v>
      </c>
      <c r="Q881" s="468">
        <f t="shared" si="2095"/>
        <v>6.2524835598660441E-2</v>
      </c>
      <c r="R881" s="467">
        <f t="shared" si="2095"/>
        <v>2.3837522724805226E-2</v>
      </c>
      <c r="S881" s="467">
        <f t="shared" si="2095"/>
        <v>5.9571223225785619E-2</v>
      </c>
      <c r="T881" s="467">
        <f t="shared" si="2095"/>
        <v>3.4842397059215616E-2</v>
      </c>
      <c r="U881" s="467">
        <f t="shared" si="2095"/>
        <v>-3.3873641016390947E-2</v>
      </c>
      <c r="V881" s="468">
        <f t="shared" si="2095"/>
        <v>2.0857970884648084E-2</v>
      </c>
      <c r="W881" s="467">
        <f t="shared" si="2095"/>
        <v>-3.1790914202644793E-2</v>
      </c>
      <c r="X881" s="467">
        <f t="shared" si="2095"/>
        <v>-7.063327519143546E-2</v>
      </c>
      <c r="Y881" s="467">
        <f t="shared" si="2095"/>
        <v>-0.12880349811430691</v>
      </c>
      <c r="Z881" s="467">
        <f t="shared" si="2095"/>
        <v>-0.13374601147628384</v>
      </c>
      <c r="AA881" s="468">
        <f t="shared" si="2095"/>
        <v>-9.0814744698990132E-2</v>
      </c>
      <c r="AB881" s="467">
        <f t="shared" si="2095"/>
        <v>-0.15419872532196496</v>
      </c>
      <c r="AC881" s="467">
        <f t="shared" si="2095"/>
        <v>-0.2148909011075491</v>
      </c>
      <c r="AD881" s="467">
        <f t="shared" si="2095"/>
        <v>-0.12090683298273661</v>
      </c>
      <c r="AE881" s="469">
        <f t="shared" si="2095"/>
        <v>-0.20951144891490811</v>
      </c>
      <c r="AF881" s="470">
        <f t="shared" si="2095"/>
        <v>-0.18081094093742398</v>
      </c>
      <c r="AG881" s="467">
        <f t="shared" ref="AG881:AR881" si="2096">(AG880-AB880)/AB880</f>
        <v>-0.18450512164562077</v>
      </c>
      <c r="AH881" s="467">
        <f t="shared" si="2096"/>
        <v>-0.1023711249670676</v>
      </c>
      <c r="AI881" s="467">
        <f t="shared" si="2096"/>
        <v>-0.15355206176419631</v>
      </c>
      <c r="AJ881" s="469">
        <f t="shared" si="2096"/>
        <v>-4.4603828964817585E-2</v>
      </c>
      <c r="AK881" s="470">
        <f t="shared" si="2096"/>
        <v>-0.11880223761648749</v>
      </c>
      <c r="AL881" s="467">
        <f t="shared" si="2096"/>
        <v>-2.6799645042422417E-2</v>
      </c>
      <c r="AM881" s="467">
        <f t="shared" si="2096"/>
        <v>-6.914538007842975E-3</v>
      </c>
      <c r="AN881" s="467">
        <f t="shared" si="2096"/>
        <v>-1.5068434840466371E-3</v>
      </c>
      <c r="AO881" s="469">
        <f t="shared" si="2096"/>
        <v>2.1716109943064645E-2</v>
      </c>
      <c r="AP881" s="471">
        <f t="shared" si="2096"/>
        <v>-3.8624329365848512E-3</v>
      </c>
      <c r="AQ881" s="471">
        <f>(AQ880-AL880)/AL880</f>
        <v>7.410153838340928E-4</v>
      </c>
      <c r="AR881" s="467">
        <f t="shared" si="2096"/>
        <v>-6.1557091598281773E-2</v>
      </c>
      <c r="AS881" s="469">
        <f t="shared" ref="AS881:BA881" si="2097">(AS880-AN880)/AN880</f>
        <v>-8.8698114016594096E-2</v>
      </c>
      <c r="AT881" s="469">
        <f t="shared" si="2097"/>
        <v>-0.10722205369149022</v>
      </c>
      <c r="AU881" s="1689">
        <f t="shared" si="2097"/>
        <v>-6.1757718912757838E-2</v>
      </c>
      <c r="AV881" s="1730">
        <f t="shared" si="2097"/>
        <v>-8.1829430934361888E-2</v>
      </c>
      <c r="AW881" s="1465">
        <f t="shared" si="2097"/>
        <v>-0.18960823640780458</v>
      </c>
      <c r="AX881" s="1465">
        <f t="shared" si="2097"/>
        <v>-0.17360141277224794</v>
      </c>
      <c r="AY881" s="1868">
        <f t="shared" si="2097"/>
        <v>-0.21020968623192454</v>
      </c>
      <c r="AZ881" s="470">
        <f t="shared" si="2097"/>
        <v>-0.15811459050243501</v>
      </c>
      <c r="BA881" s="1730">
        <f t="shared" si="2097"/>
        <v>-0.30887989925634485</v>
      </c>
      <c r="BB881" s="1465">
        <f t="shared" ref="BB881:BJ881" si="2098">(BB880-AW880)/AW880</f>
        <v>-0.18624369629441023</v>
      </c>
      <c r="BC881" s="1465">
        <f t="shared" si="2098"/>
        <v>-0.17457134832339946</v>
      </c>
      <c r="BD881" s="1868">
        <f t="shared" si="2098"/>
        <v>-0.1049790326611032</v>
      </c>
      <c r="BE881" s="1463">
        <f t="shared" si="2098"/>
        <v>-0.20644613822988025</v>
      </c>
      <c r="BF881" s="1465">
        <f t="shared" si="2098"/>
        <v>-4.1811620591991151E-2</v>
      </c>
      <c r="BG881" s="1465">
        <f t="shared" si="2098"/>
        <v>2.8066045243290993E-2</v>
      </c>
      <c r="BH881" s="1465">
        <f t="shared" si="2098"/>
        <v>3.9635273235102818E-2</v>
      </c>
      <c r="BI881" s="1868">
        <f t="shared" si="2098"/>
        <v>0.10993252842595963</v>
      </c>
      <c r="BJ881" s="1463">
        <f t="shared" si="2098"/>
        <v>3.0580314984444357E-2</v>
      </c>
      <c r="BK881" s="1465">
        <f t="shared" ref="BK881:BT881" si="2099">(BK880-BF880)/BF880</f>
        <v>0.16324784577542173</v>
      </c>
      <c r="BL881" s="1465">
        <f t="shared" si="2099"/>
        <v>0.10679852375576632</v>
      </c>
      <c r="BM881" s="1465">
        <f t="shared" si="2099"/>
        <v>8.1808140468297097E-2</v>
      </c>
      <c r="BN881" s="1868">
        <f t="shared" si="2099"/>
        <v>2.6567999550529534E-3</v>
      </c>
      <c r="BO881" s="1463">
        <f t="shared" si="2099"/>
        <v>8.9004309348716906E-2</v>
      </c>
      <c r="BP881" s="1465">
        <f t="shared" si="2099"/>
        <v>-1.3796772036404932E-2</v>
      </c>
      <c r="BQ881" s="1465">
        <f t="shared" si="2099"/>
        <v>3.9394661119197339E-3</v>
      </c>
      <c r="BR881" s="1465">
        <f t="shared" si="2099"/>
        <v>7.5616438176801998E-2</v>
      </c>
      <c r="BS881" s="1465">
        <f t="shared" si="2099"/>
        <v>4.0943126077709203E-2</v>
      </c>
      <c r="BT881" s="470">
        <f t="shared" si="2099"/>
        <v>2.6215896666455997E-2</v>
      </c>
      <c r="BU881" s="1465">
        <f>(BU880-BP880)/BP880</f>
        <v>2.6995811880947348E-2</v>
      </c>
      <c r="BV881" s="1465">
        <f>(BV880-BQ880)/BQ880</f>
        <v>1.5857400722021457E-2</v>
      </c>
      <c r="BW881" s="1465">
        <f>(BW880-BR880)/BR880</f>
        <v>1.3167870036100926E-2</v>
      </c>
      <c r="BX881" s="1465">
        <f>(BX880-BS880)/BS880</f>
        <v>1.4999999999999902E-2</v>
      </c>
      <c r="BY881" s="470">
        <f>(BY880-BT880)/BT880</f>
        <v>1.7685392410937348E-2</v>
      </c>
      <c r="BZ881" s="470">
        <f t="shared" ref="BZ881:CF881" si="2100">(BZ880-BY880)/BY880</f>
        <v>4.9999999999999619E-3</v>
      </c>
      <c r="CA881" s="470">
        <f t="shared" si="2100"/>
        <v>-2.7322404371584261E-3</v>
      </c>
      <c r="CB881" s="470">
        <f t="shared" si="2100"/>
        <v>-4.7397260273972557E-2</v>
      </c>
      <c r="CC881" s="470">
        <f t="shared" si="2100"/>
        <v>-5.0000000000000148E-2</v>
      </c>
      <c r="CD881" s="470">
        <f t="shared" si="2100"/>
        <v>2.0000000000000098E-2</v>
      </c>
      <c r="CE881" s="470">
        <f t="shared" si="2100"/>
        <v>1.7213114754098372E-2</v>
      </c>
      <c r="CF881" s="470">
        <f t="shared" si="2100"/>
        <v>2.279452054794524E-2</v>
      </c>
      <c r="CG881" s="492"/>
      <c r="CH881" s="492"/>
      <c r="CI881" s="492"/>
      <c r="CJ881" s="492"/>
      <c r="CK881" s="492"/>
      <c r="CL881" s="1310" t="str">
        <f t="shared" si="2067"/>
        <v>% growth (y-o-y)</v>
      </c>
      <c r="CM881" s="469" t="str">
        <f t="shared" si="2068"/>
        <v xml:space="preserve">n/a </v>
      </c>
      <c r="CN881" s="469">
        <f t="shared" si="2069"/>
        <v>2.9303431485843421E-3</v>
      </c>
      <c r="CO881" s="469">
        <f t="shared" si="2070"/>
        <v>6.2524835598660441E-2</v>
      </c>
      <c r="CP881" s="469">
        <f t="shared" si="2071"/>
        <v>2.0857970884648084E-2</v>
      </c>
      <c r="CQ881" s="469">
        <f t="shared" si="2072"/>
        <v>-9.0814744698990132E-2</v>
      </c>
      <c r="CR881" s="469">
        <f t="shared" si="2073"/>
        <v>-0.18081094093742398</v>
      </c>
      <c r="CS881" s="469">
        <f t="shared" si="2074"/>
        <v>-0.11880223761648749</v>
      </c>
      <c r="CT881" s="469">
        <f t="shared" si="2075"/>
        <v>-3.8624329365848512E-3</v>
      </c>
      <c r="CU881" s="469">
        <f t="shared" si="2076"/>
        <v>-6.1757718912757838E-2</v>
      </c>
      <c r="CV881" s="469">
        <f t="shared" si="2077"/>
        <v>-0.15811459050243501</v>
      </c>
      <c r="CW881" s="469">
        <f t="shared" si="2078"/>
        <v>-0.20644613822988025</v>
      </c>
      <c r="CX881" s="469">
        <f t="shared" si="2079"/>
        <v>3.0580314984444357E-2</v>
      </c>
      <c r="CY881" s="469">
        <f t="shared" si="2080"/>
        <v>8.9004309348716906E-2</v>
      </c>
      <c r="CZ881" s="469">
        <f t="shared" si="2081"/>
        <v>2.6215896666455997E-2</v>
      </c>
      <c r="DA881" s="469">
        <f t="shared" si="2082"/>
        <v>1.7685392410937348E-2</v>
      </c>
      <c r="DB881" s="469">
        <f t="shared" si="2082"/>
        <v>4.9999999999999619E-3</v>
      </c>
      <c r="DC881" s="1463">
        <f t="shared" si="2082"/>
        <v>-2.7322404371584261E-3</v>
      </c>
      <c r="DD881" s="492"/>
      <c r="DE881" s="492"/>
      <c r="DF881" s="962"/>
      <c r="DG881" s="962"/>
      <c r="DH881" s="469"/>
      <c r="DI881" s="3213"/>
      <c r="DJ881" s="962"/>
      <c r="DK881" s="962"/>
      <c r="DL881" s="962"/>
      <c r="DM881" s="962"/>
      <c r="DN881" s="962"/>
      <c r="DO881" s="962"/>
      <c r="DP881" s="962"/>
      <c r="DQ881" s="962"/>
      <c r="DR881" s="963"/>
      <c r="DS881" s="963"/>
      <c r="DT881" s="963"/>
    </row>
    <row r="882" spans="1:124" ht="5.0999999999999996" customHeight="1" x14ac:dyDescent="0.25">
      <c r="A882" s="281"/>
      <c r="B882" s="281"/>
      <c r="C882" s="305"/>
      <c r="D882" s="305"/>
      <c r="E882" s="305"/>
      <c r="F882" s="305"/>
      <c r="G882" s="440"/>
      <c r="H882" s="305"/>
      <c r="I882" s="305"/>
      <c r="J882" s="305"/>
      <c r="K882" s="305"/>
      <c r="L882" s="440"/>
      <c r="M882" s="305"/>
      <c r="N882" s="305"/>
      <c r="O882" s="305"/>
      <c r="P882" s="305"/>
      <c r="Q882" s="440"/>
      <c r="R882" s="305"/>
      <c r="S882" s="305"/>
      <c r="T882" s="305"/>
      <c r="U882" s="305"/>
      <c r="V882" s="440"/>
      <c r="W882" s="305"/>
      <c r="X882" s="305"/>
      <c r="Y882" s="305"/>
      <c r="Z882" s="305"/>
      <c r="AA882" s="440"/>
      <c r="AB882" s="305"/>
      <c r="AC882" s="305"/>
      <c r="AD882" s="305"/>
      <c r="AE882" s="331"/>
      <c r="AF882" s="441"/>
      <c r="AG882" s="305"/>
      <c r="AH882" s="305"/>
      <c r="AI882" s="305"/>
      <c r="AJ882" s="331"/>
      <c r="AK882" s="441"/>
      <c r="AL882" s="305"/>
      <c r="AM882" s="305"/>
      <c r="AN882" s="305"/>
      <c r="AO882" s="331"/>
      <c r="AP882" s="441"/>
      <c r="AQ882" s="569"/>
      <c r="AR882" s="442"/>
      <c r="AS882" s="442"/>
      <c r="AT882" s="442"/>
      <c r="AU882" s="1690"/>
      <c r="AV882" s="1902"/>
      <c r="AW882" s="1837"/>
      <c r="AX882" s="1837"/>
      <c r="AY882" s="1903"/>
      <c r="AZ882" s="441"/>
      <c r="BA882" s="1902"/>
      <c r="BB882" s="1837"/>
      <c r="BC882" s="1837"/>
      <c r="BD882" s="1903"/>
      <c r="BE882" s="1312"/>
      <c r="BF882" s="1837"/>
      <c r="BG882" s="1837"/>
      <c r="BH882" s="1837"/>
      <c r="BI882" s="1903"/>
      <c r="BJ882" s="1312"/>
      <c r="BK882" s="1837"/>
      <c r="BL882" s="1837"/>
      <c r="BM882" s="1837"/>
      <c r="BN882" s="1903"/>
      <c r="BO882" s="1312"/>
      <c r="BP882" s="1837"/>
      <c r="BQ882" s="1837"/>
      <c r="BR882" s="1837"/>
      <c r="BS882" s="1837"/>
      <c r="BT882" s="3236"/>
      <c r="BU882" s="1837"/>
      <c r="BV882" s="1837"/>
      <c r="BW882" s="1837"/>
      <c r="BX882" s="1837"/>
      <c r="BY882" s="3236"/>
      <c r="BZ882" s="441"/>
      <c r="CA882" s="441"/>
      <c r="CB882" s="441"/>
      <c r="CC882" s="441"/>
      <c r="CD882" s="441"/>
      <c r="CE882" s="441"/>
      <c r="CF882" s="441"/>
      <c r="CG882" s="331"/>
      <c r="CH882" s="331"/>
      <c r="CI882" s="331"/>
      <c r="CJ882" s="331"/>
      <c r="CK882" s="331"/>
      <c r="CL882" s="520"/>
      <c r="CM882" s="442"/>
      <c r="CN882" s="442"/>
      <c r="CO882" s="442"/>
      <c r="CP882" s="442"/>
      <c r="CQ882" s="442"/>
      <c r="CR882" s="442"/>
      <c r="CS882" s="442"/>
      <c r="CT882" s="442"/>
      <c r="CU882" s="442"/>
      <c r="CV882" s="442"/>
      <c r="CW882" s="442"/>
      <c r="CX882" s="442"/>
      <c r="CY882" s="442"/>
      <c r="CZ882" s="442"/>
      <c r="DA882" s="442"/>
      <c r="DB882" s="442"/>
      <c r="DC882" s="1312"/>
      <c r="DD882" s="331"/>
      <c r="DE882" s="331"/>
      <c r="DF882" s="502"/>
      <c r="DG882" s="503"/>
      <c r="DH882" s="3298"/>
      <c r="DI882" s="3213"/>
      <c r="DJ882" s="502"/>
      <c r="DK882" s="503"/>
      <c r="DL882" s="502"/>
      <c r="DM882" s="502"/>
      <c r="DN882" s="502"/>
      <c r="DO882" s="502"/>
      <c r="DP882" s="503"/>
      <c r="DQ882" s="503"/>
      <c r="DR882" s="296"/>
      <c r="DS882" s="296"/>
      <c r="DT882" s="296"/>
    </row>
    <row r="883" spans="1:124" ht="12" customHeight="1" x14ac:dyDescent="0.25">
      <c r="A883" s="281" t="s">
        <v>1088</v>
      </c>
      <c r="B883" s="281"/>
      <c r="C883" s="340">
        <v>964.19899999999996</v>
      </c>
      <c r="D883" s="340">
        <v>939.34299999999996</v>
      </c>
      <c r="E883" s="340">
        <v>1006.177</v>
      </c>
      <c r="F883" s="340">
        <v>882.03499999999997</v>
      </c>
      <c r="G883" s="345">
        <f>SUM(C883:F883)</f>
        <v>3791.7539999999999</v>
      </c>
      <c r="H883" s="340">
        <v>952.577</v>
      </c>
      <c r="I883" s="340">
        <v>952.96699999999998</v>
      </c>
      <c r="J883" s="340">
        <v>988.50599999999997</v>
      </c>
      <c r="K883" s="340">
        <v>883.84</v>
      </c>
      <c r="L883" s="345">
        <f>SUM(H883:K883)</f>
        <v>3777.89</v>
      </c>
      <c r="M883" s="340">
        <v>1016.69</v>
      </c>
      <c r="N883" s="340">
        <v>989.5</v>
      </c>
      <c r="O883" s="340">
        <v>1031.655</v>
      </c>
      <c r="P883" s="340">
        <v>960.21799999999996</v>
      </c>
      <c r="Q883" s="345">
        <f>SUM(M883:P883)</f>
        <v>3998.0630000000001</v>
      </c>
      <c r="R883" s="340">
        <v>957.23800000000006</v>
      </c>
      <c r="S883" s="340">
        <v>954.48800000000006</v>
      </c>
      <c r="T883" s="340">
        <v>986.22199999999998</v>
      </c>
      <c r="U883" s="340">
        <v>868.35599999999999</v>
      </c>
      <c r="V883" s="345">
        <f>SUM(R883:U883)</f>
        <v>3766.3040000000001</v>
      </c>
      <c r="W883" s="340">
        <v>903.64599999999996</v>
      </c>
      <c r="X883" s="340">
        <v>912.82299999999998</v>
      </c>
      <c r="Y883" s="340">
        <v>891.79700000000003</v>
      </c>
      <c r="Z883" s="340">
        <v>827.58100000000002</v>
      </c>
      <c r="AA883" s="345">
        <f>SUM(W883:Z883)</f>
        <v>3535.8470000000002</v>
      </c>
      <c r="AB883" s="339">
        <v>865.5</v>
      </c>
      <c r="AC883" s="339">
        <v>857.7</v>
      </c>
      <c r="AD883" s="339">
        <v>1160.4000000000001</v>
      </c>
      <c r="AE883" s="339">
        <v>964.7</v>
      </c>
      <c r="AF883" s="348">
        <f>SUM(AB883:AE883)</f>
        <v>3848.3</v>
      </c>
      <c r="AG883" s="339">
        <v>997.91</v>
      </c>
      <c r="AH883" s="339">
        <v>972.60699999999997</v>
      </c>
      <c r="AI883" s="339">
        <v>1018.174</v>
      </c>
      <c r="AJ883" s="339">
        <v>909.18700000000001</v>
      </c>
      <c r="AK883" s="348">
        <f>SUM(AG883:AJ883)</f>
        <v>3897.8779999999997</v>
      </c>
      <c r="AL883" s="339">
        <v>985.11199999999997</v>
      </c>
      <c r="AM883" s="339">
        <v>934.53899999999999</v>
      </c>
      <c r="AN883" s="339">
        <v>964.52499999999998</v>
      </c>
      <c r="AO883" s="339">
        <v>894.00400000000002</v>
      </c>
      <c r="AP883" s="348">
        <f>SUM(AL883:AO883)</f>
        <v>3778.18</v>
      </c>
      <c r="AQ883" s="1677">
        <v>919.97199999999998</v>
      </c>
      <c r="AR883" s="338">
        <v>832.13599999999997</v>
      </c>
      <c r="AS883" s="338">
        <v>804.07299999999998</v>
      </c>
      <c r="AT883" s="338">
        <v>697.17399999999998</v>
      </c>
      <c r="AU883" s="1687">
        <f>SUM(AQ883:AT883)</f>
        <v>3253.355</v>
      </c>
      <c r="AV883" s="1677">
        <v>723.23900000000003</v>
      </c>
      <c r="AW883" s="338">
        <v>557.02700000000004</v>
      </c>
      <c r="AX883" s="338">
        <v>535.46100000000001</v>
      </c>
      <c r="AY883" s="338">
        <v>466.80099999999999</v>
      </c>
      <c r="AZ883" s="1687">
        <f>SUM(AV883:AY883)</f>
        <v>2282.5280000000002</v>
      </c>
      <c r="BA883" s="2651">
        <v>444.87400000000002</v>
      </c>
      <c r="BB883" s="2655">
        <v>415.43099999999998</v>
      </c>
      <c r="BC883" s="2655">
        <v>408.74700000000001</v>
      </c>
      <c r="BD883" s="2939">
        <v>381.76600000000002</v>
      </c>
      <c r="BE883" s="1867">
        <f>SUM(BA883:BD883)</f>
        <v>1650.8180000000002</v>
      </c>
      <c r="BF883" s="2942">
        <v>394.17700000000002</v>
      </c>
      <c r="BG883" s="2942">
        <v>377.85500000000002</v>
      </c>
      <c r="BH883" s="2942">
        <v>374.12599999999998</v>
      </c>
      <c r="BI883" s="2939">
        <v>375.06400000000002</v>
      </c>
      <c r="BJ883" s="1867">
        <f>SUM(BF883:BI883)</f>
        <v>1521.222</v>
      </c>
      <c r="BK883" s="2942">
        <v>402.233</v>
      </c>
      <c r="BL883" s="2942">
        <v>382.25200000000001</v>
      </c>
      <c r="BM883" s="2942">
        <v>373.09699999999998</v>
      </c>
      <c r="BN883" s="2939">
        <v>345.464</v>
      </c>
      <c r="BO883" s="1867">
        <f>SUM(BK883:BN883)</f>
        <v>1503.0459999999998</v>
      </c>
      <c r="BP883" s="2942">
        <v>359.48</v>
      </c>
      <c r="BQ883" s="2942">
        <v>351.62700000000001</v>
      </c>
      <c r="BR883" s="2942">
        <v>373.86399999999998</v>
      </c>
      <c r="BS883" s="2942">
        <v>342.54199999999997</v>
      </c>
      <c r="BT883" s="3081">
        <f>SUM(BP883:BS883)</f>
        <v>1427.5129999999999</v>
      </c>
      <c r="BU883" s="1836">
        <f>BP883*(1+BU887)</f>
        <v>368.10472489187754</v>
      </c>
      <c r="BV883" s="1836">
        <f>BQ883*(1+BV887)</f>
        <v>358.65953999999999</v>
      </c>
      <c r="BW883" s="1836">
        <f>BR883*(1+BW887)</f>
        <v>379.47195999999997</v>
      </c>
      <c r="BX883" s="1836">
        <f>BS883*(1+BX887)</f>
        <v>347.68012999999996</v>
      </c>
      <c r="BY883" s="3081">
        <f>SUM(BU883:BX883)</f>
        <v>1453.9163548918775</v>
      </c>
      <c r="BZ883" s="348">
        <f t="shared" ref="BZ883:CF883" si="2101">BY883*(1+BZ887)</f>
        <v>1461.1859366663368</v>
      </c>
      <c r="CA883" s="348">
        <f t="shared" si="2101"/>
        <v>1461.1859366663368</v>
      </c>
      <c r="CB883" s="348">
        <f t="shared" si="2101"/>
        <v>1388.1266398330199</v>
      </c>
      <c r="CC883" s="348">
        <f t="shared" si="2101"/>
        <v>1318.7203078413688</v>
      </c>
      <c r="CD883" s="348">
        <f t="shared" si="2101"/>
        <v>1345.0947139981963</v>
      </c>
      <c r="CE883" s="348">
        <f t="shared" si="2101"/>
        <v>1371.9966082781602</v>
      </c>
      <c r="CF883" s="348">
        <f t="shared" si="2101"/>
        <v>1399.4365404437235</v>
      </c>
      <c r="CG883" s="331"/>
      <c r="CH883" s="331"/>
      <c r="CI883" s="331"/>
      <c r="CJ883" s="331"/>
      <c r="CK883" s="331"/>
      <c r="CL883" s="520" t="str">
        <f>A883</f>
        <v>Admissions (in thousands)</v>
      </c>
      <c r="CM883" s="330">
        <f>G883</f>
        <v>3791.7539999999999</v>
      </c>
      <c r="CN883" s="330">
        <f>L883</f>
        <v>3777.89</v>
      </c>
      <c r="CO883" s="330">
        <f>Q883</f>
        <v>3998.0630000000001</v>
      </c>
      <c r="CP883" s="330">
        <f>V883</f>
        <v>3766.3040000000001</v>
      </c>
      <c r="CQ883" s="330">
        <f>AA883</f>
        <v>3535.8470000000002</v>
      </c>
      <c r="CR883" s="330">
        <f>AF883</f>
        <v>3848.3</v>
      </c>
      <c r="CS883" s="330">
        <f>AK883</f>
        <v>3897.8779999999997</v>
      </c>
      <c r="CT883" s="330">
        <f>AP883</f>
        <v>3778.18</v>
      </c>
      <c r="CU883" s="330">
        <f>AU883</f>
        <v>3253.355</v>
      </c>
      <c r="CV883" s="330">
        <f>AZ883</f>
        <v>2282.5280000000002</v>
      </c>
      <c r="CW883" s="330">
        <f>BE883</f>
        <v>1650.8180000000002</v>
      </c>
      <c r="CX883" s="330">
        <f>BJ883</f>
        <v>1521.222</v>
      </c>
      <c r="CY883" s="330">
        <f>BO883</f>
        <v>1503.0459999999998</v>
      </c>
      <c r="CZ883" s="330">
        <f>BT883</f>
        <v>1427.5129999999999</v>
      </c>
      <c r="DA883" s="330">
        <f t="shared" ref="DA883:DC884" si="2102">BY883</f>
        <v>1453.9163548918775</v>
      </c>
      <c r="DB883" s="330">
        <f t="shared" si="2102"/>
        <v>1461.1859366663368</v>
      </c>
      <c r="DC883" s="1888">
        <f t="shared" si="2102"/>
        <v>1461.1859366663368</v>
      </c>
      <c r="DD883" s="331"/>
      <c r="DE883" s="331"/>
      <c r="DF883" s="502"/>
      <c r="DG883" s="503"/>
      <c r="DH883" s="2909"/>
      <c r="DI883" s="3213"/>
      <c r="DJ883" s="502"/>
      <c r="DK883" s="503"/>
      <c r="DL883" s="502"/>
      <c r="DM883" s="502"/>
      <c r="DN883" s="502"/>
      <c r="DO883" s="502"/>
      <c r="DP883" s="503"/>
      <c r="DQ883" s="503"/>
      <c r="DR883" s="296"/>
      <c r="DS883" s="296"/>
      <c r="DT883" s="296"/>
    </row>
    <row r="884" spans="1:124" ht="12" customHeight="1" x14ac:dyDescent="0.25">
      <c r="A884" s="465" t="s">
        <v>1491</v>
      </c>
      <c r="B884" s="466"/>
      <c r="C884" s="467" t="s">
        <v>553</v>
      </c>
      <c r="D884" s="467" t="s">
        <v>553</v>
      </c>
      <c r="E884" s="467" t="s">
        <v>553</v>
      </c>
      <c r="F884" s="467" t="s">
        <v>553</v>
      </c>
      <c r="G884" s="468" t="s">
        <v>553</v>
      </c>
      <c r="H884" s="467">
        <f>(H883-C883)/C883</f>
        <v>-1.205352836914367E-2</v>
      </c>
      <c r="I884" s="467">
        <f t="shared" ref="I884:AF884" si="2103">(I883-D883)/D883</f>
        <v>1.4503754219704649E-2</v>
      </c>
      <c r="J884" s="467">
        <f t="shared" si="2103"/>
        <v>-1.7562516336588938E-2</v>
      </c>
      <c r="K884" s="467">
        <f t="shared" si="2103"/>
        <v>2.0464040542609576E-3</v>
      </c>
      <c r="L884" s="468">
        <f t="shared" si="2103"/>
        <v>-3.6563553437274762E-3</v>
      </c>
      <c r="M884" s="467">
        <f t="shared" si="2103"/>
        <v>6.7304795307885926E-2</v>
      </c>
      <c r="N884" s="467">
        <f t="shared" si="2103"/>
        <v>3.8336059905537144E-2</v>
      </c>
      <c r="O884" s="467">
        <f t="shared" si="2103"/>
        <v>4.3650721391675924E-2</v>
      </c>
      <c r="P884" s="467">
        <f t="shared" si="2103"/>
        <v>8.6416093410571965E-2</v>
      </c>
      <c r="Q884" s="468">
        <f t="shared" si="2103"/>
        <v>5.8279356995571664E-2</v>
      </c>
      <c r="R884" s="467">
        <f t="shared" si="2103"/>
        <v>-5.8476034976246441E-2</v>
      </c>
      <c r="S884" s="467">
        <f t="shared" si="2103"/>
        <v>-3.5383527033855423E-2</v>
      </c>
      <c r="T884" s="467">
        <f t="shared" si="2103"/>
        <v>-4.4038947128642807E-2</v>
      </c>
      <c r="U884" s="467">
        <f t="shared" si="2103"/>
        <v>-9.5667858757073884E-2</v>
      </c>
      <c r="V884" s="468">
        <f t="shared" si="2103"/>
        <v>-5.7967820917279193E-2</v>
      </c>
      <c r="W884" s="467">
        <f t="shared" si="2103"/>
        <v>-5.5986076607907435E-2</v>
      </c>
      <c r="X884" s="467">
        <f t="shared" si="2103"/>
        <v>-4.3651675034154513E-2</v>
      </c>
      <c r="Y884" s="467">
        <f t="shared" si="2103"/>
        <v>-9.5744163078901059E-2</v>
      </c>
      <c r="Z884" s="467">
        <f t="shared" si="2103"/>
        <v>-4.6956547775336359E-2</v>
      </c>
      <c r="AA884" s="468">
        <f t="shared" si="2103"/>
        <v>-6.1189165824107633E-2</v>
      </c>
      <c r="AB884" s="467">
        <f t="shared" si="2103"/>
        <v>-4.2213433136427274E-2</v>
      </c>
      <c r="AC884" s="467">
        <f t="shared" si="2103"/>
        <v>-6.0387391641095738E-2</v>
      </c>
      <c r="AD884" s="467">
        <f t="shared" si="2103"/>
        <v>0.30119298450207843</v>
      </c>
      <c r="AE884" s="469">
        <f t="shared" si="2103"/>
        <v>0.16568650077756741</v>
      </c>
      <c r="AF884" s="470">
        <f t="shared" si="2103"/>
        <v>8.836722855938052E-2</v>
      </c>
      <c r="AG884" s="467">
        <f t="shared" ref="AG884:AQ884" si="2104">(AG883-AB883)/AB883</f>
        <v>0.15298671288272672</v>
      </c>
      <c r="AH884" s="467">
        <f t="shared" si="2104"/>
        <v>0.13397108546111686</v>
      </c>
      <c r="AI884" s="467">
        <f t="shared" si="2104"/>
        <v>-0.12256635642881773</v>
      </c>
      <c r="AJ884" s="469">
        <f t="shared" si="2104"/>
        <v>-5.7544314294599393E-2</v>
      </c>
      <c r="AK884" s="470">
        <f t="shared" si="2104"/>
        <v>1.2883091235090694E-2</v>
      </c>
      <c r="AL884" s="2104">
        <f t="shared" si="2104"/>
        <v>-1.2824803840025656E-2</v>
      </c>
      <c r="AM884" s="2104">
        <f t="shared" si="2104"/>
        <v>-3.9140166583213967E-2</v>
      </c>
      <c r="AN884" s="2104">
        <f>(AN883-AI883)/AI883</f>
        <v>-5.2691386737433878E-2</v>
      </c>
      <c r="AO884" s="2104">
        <f>(AO883-AJ883)/AJ883</f>
        <v>-1.669953485916538E-2</v>
      </c>
      <c r="AP884" s="470">
        <f t="shared" si="2104"/>
        <v>-3.0708503447260248E-2</v>
      </c>
      <c r="AQ884" s="2104">
        <f t="shared" si="2104"/>
        <v>-6.6124460974995719E-2</v>
      </c>
      <c r="AR884" s="2104">
        <f t="shared" ref="AR884:BD884" si="2105">(AR883-AM883)/AM883</f>
        <v>-0.109575951351415</v>
      </c>
      <c r="AS884" s="2104">
        <f t="shared" si="2105"/>
        <v>-0.16635338638189784</v>
      </c>
      <c r="AT884" s="2104">
        <f t="shared" si="2105"/>
        <v>-0.22016680014854523</v>
      </c>
      <c r="AU884" s="1689">
        <f t="shared" si="2105"/>
        <v>-0.13890947493237479</v>
      </c>
      <c r="AV884" s="2104">
        <f t="shared" si="2105"/>
        <v>-0.21384672576991468</v>
      </c>
      <c r="AW884" s="2104">
        <f t="shared" si="2105"/>
        <v>-0.33060581443417897</v>
      </c>
      <c r="AX884" s="2104">
        <f t="shared" si="2105"/>
        <v>-0.3340641956638265</v>
      </c>
      <c r="AY884" s="2104">
        <f t="shared" si="2105"/>
        <v>-0.33043831238686466</v>
      </c>
      <c r="AZ884" s="470">
        <f>(AZ883-AU883)/AU883</f>
        <v>-0.29840795117655461</v>
      </c>
      <c r="BA884" s="2104">
        <f t="shared" si="2105"/>
        <v>-0.38488660041839556</v>
      </c>
      <c r="BB884" s="2104">
        <f t="shared" si="2105"/>
        <v>-0.2541995271324371</v>
      </c>
      <c r="BC884" s="2488">
        <f t="shared" si="2105"/>
        <v>-0.23664468560735516</v>
      </c>
      <c r="BD884" s="2940">
        <f t="shared" si="2105"/>
        <v>-0.18216541952566506</v>
      </c>
      <c r="BE884" s="1463">
        <f t="shared" ref="BE884:BS884" si="2106">(BE883-AZ883)/AZ883</f>
        <v>-0.27675892694416016</v>
      </c>
      <c r="BF884" s="3089">
        <f t="shared" si="2106"/>
        <v>-0.11395810948718064</v>
      </c>
      <c r="BG884" s="3089">
        <f t="shared" si="2106"/>
        <v>-9.045064041922718E-2</v>
      </c>
      <c r="BH884" s="3089">
        <f t="shared" si="2106"/>
        <v>-8.4700315843296792E-2</v>
      </c>
      <c r="BI884" s="2940">
        <f t="shared" si="2106"/>
        <v>-1.7555256361226505E-2</v>
      </c>
      <c r="BJ884" s="1463">
        <f t="shared" si="2106"/>
        <v>-7.8504111295127757E-2</v>
      </c>
      <c r="BK884" s="3089">
        <f t="shared" si="2106"/>
        <v>2.0437519185543505E-2</v>
      </c>
      <c r="BL884" s="3089">
        <f t="shared" si="2106"/>
        <v>1.163673896071242E-2</v>
      </c>
      <c r="BM884" s="3089">
        <f t="shared" si="2106"/>
        <v>-2.7504102895815753E-3</v>
      </c>
      <c r="BN884" s="3089">
        <f t="shared" si="2106"/>
        <v>-7.8919864343152152E-2</v>
      </c>
      <c r="BO884" s="470">
        <f>(BO883-BJ883)/BJ883</f>
        <v>-1.1948288941390644E-2</v>
      </c>
      <c r="BP884" s="3089">
        <f t="shared" si="2106"/>
        <v>-0.10628914087108712</v>
      </c>
      <c r="BQ884" s="3089">
        <f t="shared" si="2106"/>
        <v>-8.0117304814624909E-2</v>
      </c>
      <c r="BR884" s="3089">
        <f t="shared" si="2106"/>
        <v>2.055765658796495E-3</v>
      </c>
      <c r="BS884" s="3089">
        <f t="shared" si="2106"/>
        <v>-8.4581895653382862E-3</v>
      </c>
      <c r="BT884" s="470">
        <f>(BT883-BO883)/BO883</f>
        <v>-5.0253285661250494E-2</v>
      </c>
      <c r="BU884" s="1465">
        <f>BU887</f>
        <v>2.3992224579608052E-2</v>
      </c>
      <c r="BV884" s="1465">
        <f>BV887</f>
        <v>0.02</v>
      </c>
      <c r="BW884" s="1465">
        <f>BW887</f>
        <v>1.4999999999999999E-2</v>
      </c>
      <c r="BX884" s="1465">
        <f>BX887</f>
        <v>1.4999999999999999E-2</v>
      </c>
      <c r="BY884" s="470">
        <f>(BY883-BT883)/BT883</f>
        <v>1.8496052149351773E-2</v>
      </c>
      <c r="BZ884" s="470">
        <f t="shared" ref="BZ884:CF884" si="2107">(BZ883-BY883)/BY883</f>
        <v>4.9999999999999472E-3</v>
      </c>
      <c r="CA884" s="470">
        <f t="shared" si="2107"/>
        <v>0</v>
      </c>
      <c r="CB884" s="470">
        <f t="shared" si="2107"/>
        <v>-5.0000000000000051E-2</v>
      </c>
      <c r="CC884" s="470">
        <f t="shared" si="2107"/>
        <v>-5.0000000000000065E-2</v>
      </c>
      <c r="CD884" s="470">
        <f t="shared" si="2107"/>
        <v>2.0000000000000087E-2</v>
      </c>
      <c r="CE884" s="470">
        <f t="shared" si="2107"/>
        <v>0.02</v>
      </c>
      <c r="CF884" s="470">
        <f t="shared" si="2107"/>
        <v>2.0000000000000052E-2</v>
      </c>
      <c r="CG884" s="492"/>
      <c r="CH884" s="492"/>
      <c r="CI884" s="492"/>
      <c r="CJ884" s="492"/>
      <c r="CK884" s="492"/>
      <c r="CL884" s="1310" t="str">
        <f>A884</f>
        <v>% growth (y-o-y)</v>
      </c>
      <c r="CM884" s="469" t="str">
        <f>G884</f>
        <v xml:space="preserve">n/a </v>
      </c>
      <c r="CN884" s="469">
        <f>L884</f>
        <v>-3.6563553437274762E-3</v>
      </c>
      <c r="CO884" s="469">
        <f>Q884</f>
        <v>5.8279356995571664E-2</v>
      </c>
      <c r="CP884" s="469">
        <f>V884</f>
        <v>-5.7967820917279193E-2</v>
      </c>
      <c r="CQ884" s="469">
        <f>AA884</f>
        <v>-6.1189165824107633E-2</v>
      </c>
      <c r="CR884" s="469">
        <f>AF884</f>
        <v>8.836722855938052E-2</v>
      </c>
      <c r="CS884" s="469">
        <f>AK884</f>
        <v>1.2883091235090694E-2</v>
      </c>
      <c r="CT884" s="469">
        <f>AP884</f>
        <v>-3.0708503447260248E-2</v>
      </c>
      <c r="CU884" s="469">
        <f>AU884</f>
        <v>-0.13890947493237479</v>
      </c>
      <c r="CV884" s="469">
        <f>AZ884</f>
        <v>-0.29840795117655461</v>
      </c>
      <c r="CW884" s="469">
        <f>BE884</f>
        <v>-0.27675892694416016</v>
      </c>
      <c r="CX884" s="469">
        <f>BJ884</f>
        <v>-7.8504111295127757E-2</v>
      </c>
      <c r="CY884" s="469">
        <f>BO884</f>
        <v>-1.1948288941390644E-2</v>
      </c>
      <c r="CZ884" s="469">
        <f>BT884</f>
        <v>-5.0253285661250494E-2</v>
      </c>
      <c r="DA884" s="469">
        <f t="shared" si="2102"/>
        <v>1.8496052149351773E-2</v>
      </c>
      <c r="DB884" s="469">
        <f t="shared" si="2102"/>
        <v>4.9999999999999472E-3</v>
      </c>
      <c r="DC884" s="1463">
        <f t="shared" si="2102"/>
        <v>0</v>
      </c>
      <c r="DD884" s="492"/>
      <c r="DE884" s="492"/>
      <c r="DF884" s="962"/>
      <c r="DG884" s="962"/>
      <c r="DH884" s="469"/>
      <c r="DI884" s="3213"/>
      <c r="DJ884" s="962"/>
      <c r="DK884" s="962"/>
      <c r="DL884" s="962"/>
      <c r="DM884" s="962"/>
      <c r="DN884" s="962"/>
      <c r="DO884" s="962"/>
      <c r="DP884" s="962"/>
      <c r="DQ884" s="962"/>
      <c r="DR884" s="963"/>
      <c r="DS884" s="963"/>
      <c r="DT884" s="963"/>
    </row>
    <row r="885" spans="1:124" ht="5.0999999999999996" customHeight="1" x14ac:dyDescent="0.25">
      <c r="A885" s="281"/>
      <c r="B885" s="281"/>
      <c r="C885" s="305"/>
      <c r="D885" s="305"/>
      <c r="E885" s="305"/>
      <c r="F885" s="305"/>
      <c r="G885" s="440"/>
      <c r="H885" s="305"/>
      <c r="I885" s="305"/>
      <c r="J885" s="305"/>
      <c r="K885" s="305"/>
      <c r="L885" s="440"/>
      <c r="M885" s="305"/>
      <c r="N885" s="305"/>
      <c r="O885" s="305"/>
      <c r="P885" s="305"/>
      <c r="Q885" s="440"/>
      <c r="R885" s="305"/>
      <c r="S885" s="305"/>
      <c r="T885" s="305"/>
      <c r="U885" s="305"/>
      <c r="V885" s="440"/>
      <c r="W885" s="305"/>
      <c r="X885" s="305"/>
      <c r="Y885" s="305"/>
      <c r="Z885" s="305"/>
      <c r="AA885" s="440"/>
      <c r="AB885" s="305"/>
      <c r="AC885" s="305"/>
      <c r="AD885" s="305"/>
      <c r="AE885" s="331"/>
      <c r="AF885" s="441"/>
      <c r="AG885" s="305"/>
      <c r="AH885" s="305"/>
      <c r="AI885" s="305"/>
      <c r="AJ885" s="331"/>
      <c r="AK885" s="441"/>
      <c r="AL885" s="305"/>
      <c r="AM885" s="305"/>
      <c r="AN885" s="305"/>
      <c r="AO885" s="331"/>
      <c r="AP885" s="441"/>
      <c r="AQ885" s="569"/>
      <c r="AR885" s="442"/>
      <c r="AS885" s="442"/>
      <c r="AT885" s="442"/>
      <c r="AU885" s="1690"/>
      <c r="AV885" s="1902"/>
      <c r="AW885" s="1837"/>
      <c r="AX885" s="1837"/>
      <c r="AY885" s="1903"/>
      <c r="AZ885" s="441"/>
      <c r="BA885" s="1902"/>
      <c r="BB885" s="1837"/>
      <c r="BC885" s="1837"/>
      <c r="BD885" s="1903"/>
      <c r="BE885" s="1312"/>
      <c r="BF885" s="1837"/>
      <c r="BG885" s="1837"/>
      <c r="BH885" s="1837"/>
      <c r="BI885" s="1903"/>
      <c r="BJ885" s="1312"/>
      <c r="BK885" s="1837"/>
      <c r="BL885" s="1837"/>
      <c r="BM885" s="1837"/>
      <c r="BN885" s="1837"/>
      <c r="BO885" s="441"/>
      <c r="BP885" s="1837"/>
      <c r="BQ885" s="1837"/>
      <c r="BR885" s="1837"/>
      <c r="BS885" s="1837"/>
      <c r="BT885" s="3236"/>
      <c r="BU885" s="1837"/>
      <c r="BV885" s="1837"/>
      <c r="BW885" s="1837"/>
      <c r="BX885" s="1837"/>
      <c r="BY885" s="3236"/>
      <c r="BZ885" s="441"/>
      <c r="CA885" s="441"/>
      <c r="CB885" s="441"/>
      <c r="CC885" s="441"/>
      <c r="CD885" s="441"/>
      <c r="CE885" s="441"/>
      <c r="CF885" s="441"/>
      <c r="CG885" s="331"/>
      <c r="CH885" s="331"/>
      <c r="CI885" s="331"/>
      <c r="CJ885" s="331"/>
      <c r="CK885" s="331"/>
      <c r="CL885" s="520"/>
      <c r="CM885" s="442"/>
      <c r="CN885" s="442"/>
      <c r="CO885" s="442"/>
      <c r="CP885" s="442"/>
      <c r="CQ885" s="442"/>
      <c r="CR885" s="442"/>
      <c r="CS885" s="442"/>
      <c r="CT885" s="442"/>
      <c r="CU885" s="442"/>
      <c r="CV885" s="442"/>
      <c r="CW885" s="442"/>
      <c r="CX885" s="442"/>
      <c r="CY885" s="442"/>
      <c r="CZ885" s="442"/>
      <c r="DA885" s="442"/>
      <c r="DB885" s="442"/>
      <c r="DC885" s="1312"/>
      <c r="DD885" s="331"/>
      <c r="DE885" s="331"/>
      <c r="DF885" s="502"/>
      <c r="DG885" s="503"/>
      <c r="DH885" s="3298"/>
      <c r="DI885" s="3213"/>
      <c r="DJ885" s="502"/>
      <c r="DK885" s="503"/>
      <c r="DL885" s="502"/>
      <c r="DM885" s="502"/>
      <c r="DN885" s="502"/>
      <c r="DO885" s="502"/>
      <c r="DP885" s="503"/>
      <c r="DQ885" s="503"/>
      <c r="DR885" s="296"/>
      <c r="DS885" s="296"/>
      <c r="DT885" s="296"/>
    </row>
    <row r="886" spans="1:124" ht="12" customHeight="1" x14ac:dyDescent="0.25">
      <c r="A886" s="281" t="s">
        <v>730</v>
      </c>
      <c r="B886" s="570"/>
      <c r="C886" s="570">
        <v>112.002</v>
      </c>
      <c r="D886" s="570">
        <v>107.67100000000001</v>
      </c>
      <c r="E886" s="570">
        <v>115.358</v>
      </c>
      <c r="F886" s="452">
        <v>104.346</v>
      </c>
      <c r="G886" s="571">
        <f>SUM(C886:F886)</f>
        <v>439.37700000000001</v>
      </c>
      <c r="H886" s="570">
        <v>112.69499999999999</v>
      </c>
      <c r="I886" s="570">
        <v>112</v>
      </c>
      <c r="J886" s="570">
        <v>114.90779900000001</v>
      </c>
      <c r="K886" s="452">
        <v>107.45116099999998</v>
      </c>
      <c r="L886" s="571">
        <f>SUM(H886:K886)</f>
        <v>447.05395999999996</v>
      </c>
      <c r="M886" s="570">
        <v>121.06725299999999</v>
      </c>
      <c r="N886" s="570">
        <v>116.8</v>
      </c>
      <c r="O886" s="570">
        <v>120.431673</v>
      </c>
      <c r="P886" s="452">
        <v>118.58144300000001</v>
      </c>
      <c r="Q886" s="571">
        <f>SUM(M886:P886)</f>
        <v>476.88036899999997</v>
      </c>
      <c r="R886" s="570">
        <v>120.82797099999999</v>
      </c>
      <c r="S886" s="570">
        <v>120.63761700000001</v>
      </c>
      <c r="T886" s="570">
        <v>121.485567</v>
      </c>
      <c r="U886" s="452">
        <v>113.101962</v>
      </c>
      <c r="V886" s="571">
        <f>SUM(R886:U886)</f>
        <v>476.05311699999999</v>
      </c>
      <c r="W886" s="570">
        <v>118.286592</v>
      </c>
      <c r="X886" s="570">
        <v>112.116587</v>
      </c>
      <c r="Y886" s="570">
        <v>105.83780099999998</v>
      </c>
      <c r="Z886" s="452">
        <v>99.926992299999995</v>
      </c>
      <c r="AA886" s="571">
        <f>SUM(W886:Z886)</f>
        <v>436.16797229999997</v>
      </c>
      <c r="AB886" s="572">
        <v>102.7</v>
      </c>
      <c r="AC886" s="572">
        <v>96.5</v>
      </c>
      <c r="AD886" s="572">
        <v>118.7</v>
      </c>
      <c r="AE886" s="572">
        <v>108.2</v>
      </c>
      <c r="AF886" s="573">
        <f>SUM(AB886:AE886)</f>
        <v>426.09999999999997</v>
      </c>
      <c r="AG886" s="572">
        <v>112.9</v>
      </c>
      <c r="AH886" s="572">
        <v>110.8</v>
      </c>
      <c r="AI886" s="572">
        <v>110.685869</v>
      </c>
      <c r="AJ886" s="572">
        <v>103.98164300000001</v>
      </c>
      <c r="AK886" s="477">
        <f>SUM(AG886:AJ886)</f>
        <v>438.36751199999998</v>
      </c>
      <c r="AL886" s="572">
        <v>110.21742</v>
      </c>
      <c r="AM886" s="572">
        <v>110.006443</v>
      </c>
      <c r="AN886" s="572">
        <v>110.24422800000001</v>
      </c>
      <c r="AO886" s="572">
        <v>105.988687</v>
      </c>
      <c r="AP886" s="477">
        <f>SUM(AL886:AO886)</f>
        <v>436.45677799999999</v>
      </c>
      <c r="AQ886" s="572">
        <v>110.94139399999999</v>
      </c>
      <c r="AR886" s="572">
        <v>101.95644999999999</v>
      </c>
      <c r="AS886" s="572">
        <v>96.662717999999984</v>
      </c>
      <c r="AT886" s="572">
        <v>85.801248000000001</v>
      </c>
      <c r="AU886" s="1464">
        <f>SUM(AQ886:AT886)</f>
        <v>395.36180999999993</v>
      </c>
      <c r="AV886" s="592">
        <v>86.607592999999994</v>
      </c>
      <c r="AW886" s="572">
        <v>67.269856000000004</v>
      </c>
      <c r="AX886" s="572">
        <v>62.625641999999999</v>
      </c>
      <c r="AY886" s="572">
        <v>55.290795000000003</v>
      </c>
      <c r="AZ886" s="1464">
        <f>SUM(AV886:AY886)</f>
        <v>271.79388600000004</v>
      </c>
      <c r="BA886" s="572">
        <v>51.681356000000008</v>
      </c>
      <c r="BB886" s="2654">
        <v>49.092036</v>
      </c>
      <c r="BC886" s="2654">
        <v>47.885720000000006</v>
      </c>
      <c r="BD886" s="2654">
        <v>46.342970000000001</v>
      </c>
      <c r="BE886" s="1464">
        <f>SUM(BA886:BD886)</f>
        <v>195.002082</v>
      </c>
      <c r="BF886" s="2941">
        <v>45.152985999999999</v>
      </c>
      <c r="BG886" s="2941">
        <v>44.784217000000005</v>
      </c>
      <c r="BH886" s="2941">
        <v>43.057439000000002</v>
      </c>
      <c r="BI886" s="2944">
        <v>42.821453000000005</v>
      </c>
      <c r="BJ886" s="1866">
        <f>SUM(BF886:BI886)</f>
        <v>175.81609500000002</v>
      </c>
      <c r="BK886" s="2941">
        <v>44.542905000000005</v>
      </c>
      <c r="BL886" s="2941">
        <v>43.3</v>
      </c>
      <c r="BM886" s="2941">
        <v>42.9</v>
      </c>
      <c r="BN886" s="2941">
        <v>41.534050000000001</v>
      </c>
      <c r="BO886" s="1464">
        <f>SUM(BK886:BN886)</f>
        <v>172.27695500000002</v>
      </c>
      <c r="BP886" s="2941">
        <v>42.583421000000001</v>
      </c>
      <c r="BQ886" s="2941">
        <v>42.791956999999996</v>
      </c>
      <c r="BR886" s="2941">
        <v>45.720227000000001</v>
      </c>
      <c r="BS886" s="2941">
        <v>42.809578999999999</v>
      </c>
      <c r="BT886" s="2604">
        <f>SUM(BP886:BS886)</f>
        <v>173.90518400000002</v>
      </c>
      <c r="BU886" s="2941">
        <v>43.605091999999999</v>
      </c>
      <c r="BV886" s="1771">
        <f>+BQ886*(1+BV887)</f>
        <v>43.647796139999997</v>
      </c>
      <c r="BW886" s="1771">
        <f>+BR886*(1+BW887)</f>
        <v>46.406030404999996</v>
      </c>
      <c r="BX886" s="1771">
        <f>+BS886*(1+BX887)</f>
        <v>43.451722684999993</v>
      </c>
      <c r="BY886" s="2604">
        <f>SUM(BU886:BX886)</f>
        <v>177.11064123</v>
      </c>
      <c r="BZ886" s="477">
        <f t="shared" ref="BZ886:CF886" si="2108">BY886*(1+BZ887)</f>
        <v>177.99619443614998</v>
      </c>
      <c r="CA886" s="477">
        <f t="shared" si="2108"/>
        <v>177.99619443614998</v>
      </c>
      <c r="CB886" s="477">
        <f t="shared" si="2108"/>
        <v>169.09638471434246</v>
      </c>
      <c r="CC886" s="477">
        <f t="shared" si="2108"/>
        <v>160.64156547862532</v>
      </c>
      <c r="CD886" s="477">
        <f t="shared" si="2108"/>
        <v>163.85439678819785</v>
      </c>
      <c r="CE886" s="477">
        <f t="shared" si="2108"/>
        <v>167.13148472396182</v>
      </c>
      <c r="CF886" s="477">
        <f t="shared" si="2108"/>
        <v>170.47411441844105</v>
      </c>
      <c r="CG886" s="331"/>
      <c r="CH886" s="331"/>
      <c r="CI886" s="331"/>
      <c r="CJ886" s="331"/>
      <c r="CK886" s="331"/>
      <c r="CL886" s="520" t="str">
        <f>A886</f>
        <v>Casino revenue</v>
      </c>
      <c r="CM886" s="476">
        <f>G886</f>
        <v>439.37700000000001</v>
      </c>
      <c r="CN886" s="476">
        <f>L886</f>
        <v>447.05395999999996</v>
      </c>
      <c r="CO886" s="476">
        <f>Q886</f>
        <v>476.88036899999997</v>
      </c>
      <c r="CP886" s="476">
        <f>V886</f>
        <v>476.05311699999999</v>
      </c>
      <c r="CQ886" s="476">
        <f>AA886</f>
        <v>436.16797229999997</v>
      </c>
      <c r="CR886" s="476">
        <f>AF886</f>
        <v>426.09999999999997</v>
      </c>
      <c r="CS886" s="476">
        <f>AK886</f>
        <v>438.36751199999998</v>
      </c>
      <c r="CT886" s="476">
        <f>AP886</f>
        <v>436.45677799999999</v>
      </c>
      <c r="CU886" s="476">
        <f>AU886</f>
        <v>395.36180999999993</v>
      </c>
      <c r="CV886" s="476">
        <f>AZ886</f>
        <v>271.79388600000004</v>
      </c>
      <c r="CW886" s="476">
        <f>BE886</f>
        <v>195.002082</v>
      </c>
      <c r="CX886" s="476">
        <f>BJ886</f>
        <v>175.81609500000002</v>
      </c>
      <c r="CY886" s="476">
        <f>BO886</f>
        <v>172.27695500000002</v>
      </c>
      <c r="CZ886" s="476">
        <f>BT886</f>
        <v>173.90518400000002</v>
      </c>
      <c r="DA886" s="476">
        <f t="shared" ref="DA886:DC890" si="2109">BY886</f>
        <v>177.11064123</v>
      </c>
      <c r="DB886" s="476">
        <f t="shared" si="2109"/>
        <v>177.99619443614998</v>
      </c>
      <c r="DC886" s="682">
        <f t="shared" si="2109"/>
        <v>177.99619443614998</v>
      </c>
      <c r="DD886" s="331"/>
      <c r="DE886" s="331"/>
      <c r="DF886" s="502"/>
      <c r="DG886" s="503"/>
      <c r="DH886" s="2577"/>
      <c r="DI886" s="3213"/>
      <c r="DJ886" s="502"/>
      <c r="DK886" s="503"/>
      <c r="DL886" s="502"/>
      <c r="DM886" s="502"/>
      <c r="DN886" s="502"/>
      <c r="DO886" s="502"/>
      <c r="DP886" s="503"/>
      <c r="DQ886" s="503"/>
      <c r="DR886" s="296"/>
      <c r="DS886" s="296"/>
      <c r="DT886" s="296"/>
    </row>
    <row r="887" spans="1:124" ht="12" customHeight="1" x14ac:dyDescent="0.25">
      <c r="A887" s="465" t="s">
        <v>1491</v>
      </c>
      <c r="B887" s="466"/>
      <c r="C887" s="467" t="s">
        <v>553</v>
      </c>
      <c r="D887" s="467" t="s">
        <v>553</v>
      </c>
      <c r="E887" s="467" t="s">
        <v>553</v>
      </c>
      <c r="F887" s="467" t="s">
        <v>553</v>
      </c>
      <c r="G887" s="468" t="s">
        <v>553</v>
      </c>
      <c r="H887" s="467">
        <f t="shared" ref="H887:AM887" si="2110">(H886-C886)/C886</f>
        <v>6.1873895109015717E-3</v>
      </c>
      <c r="I887" s="467">
        <f t="shared" si="2110"/>
        <v>4.0205812149975324E-2</v>
      </c>
      <c r="J887" s="467">
        <f t="shared" si="2110"/>
        <v>-3.9026422094695879E-3</v>
      </c>
      <c r="K887" s="467">
        <f t="shared" si="2110"/>
        <v>2.9758313687156011E-2</v>
      </c>
      <c r="L887" s="468">
        <f t="shared" si="2110"/>
        <v>1.7472375659171854E-2</v>
      </c>
      <c r="M887" s="467">
        <f t="shared" si="2110"/>
        <v>7.4291255157726624E-2</v>
      </c>
      <c r="N887" s="467">
        <f t="shared" si="2110"/>
        <v>4.285714285714283E-2</v>
      </c>
      <c r="O887" s="467">
        <f t="shared" si="2110"/>
        <v>4.8072228761426292E-2</v>
      </c>
      <c r="P887" s="467">
        <f t="shared" si="2110"/>
        <v>0.10358456713185281</v>
      </c>
      <c r="Q887" s="468">
        <f t="shared" si="2110"/>
        <v>6.6717693318274179E-2</v>
      </c>
      <c r="R887" s="467">
        <f t="shared" si="2110"/>
        <v>-1.9764386658711326E-3</v>
      </c>
      <c r="S887" s="467">
        <f t="shared" si="2110"/>
        <v>3.2856309931506927E-2</v>
      </c>
      <c r="T887" s="467">
        <f t="shared" si="2110"/>
        <v>8.7509703531229669E-3</v>
      </c>
      <c r="U887" s="467">
        <f t="shared" si="2110"/>
        <v>-4.6208587628673116E-2</v>
      </c>
      <c r="V887" s="468">
        <f t="shared" si="2110"/>
        <v>-1.734715987019351E-3</v>
      </c>
      <c r="W887" s="467">
        <f t="shared" si="2110"/>
        <v>-2.1033035471563055E-2</v>
      </c>
      <c r="X887" s="467">
        <f t="shared" si="2110"/>
        <v>-7.0633275191435599E-2</v>
      </c>
      <c r="Y887" s="467">
        <f t="shared" si="2110"/>
        <v>-0.12880349811430702</v>
      </c>
      <c r="Z887" s="467">
        <f t="shared" si="2110"/>
        <v>-0.1164875433372235</v>
      </c>
      <c r="AA887" s="468">
        <f t="shared" si="2110"/>
        <v>-8.3782971428375319E-2</v>
      </c>
      <c r="AB887" s="467">
        <f t="shared" si="2110"/>
        <v>-0.13176972754443714</v>
      </c>
      <c r="AC887" s="467">
        <f t="shared" si="2110"/>
        <v>-0.13928881905761184</v>
      </c>
      <c r="AD887" s="467">
        <f t="shared" si="2110"/>
        <v>0.12152745879518057</v>
      </c>
      <c r="AE887" s="469">
        <f t="shared" si="2110"/>
        <v>8.2790520454802161E-2</v>
      </c>
      <c r="AF887" s="470">
        <f t="shared" si="2110"/>
        <v>-2.3082786768844121E-2</v>
      </c>
      <c r="AG887" s="467">
        <f t="shared" si="2110"/>
        <v>9.9318403115871493E-2</v>
      </c>
      <c r="AH887" s="467">
        <f t="shared" si="2110"/>
        <v>0.14818652849740929</v>
      </c>
      <c r="AI887" s="467">
        <f t="shared" si="2110"/>
        <v>-6.7515846672283122E-2</v>
      </c>
      <c r="AJ887" s="467">
        <f t="shared" si="2110"/>
        <v>-3.8986663585951917E-2</v>
      </c>
      <c r="AK887" s="470">
        <f>(AK886-AF886)/AF886</f>
        <v>2.8790218258624763E-2</v>
      </c>
      <c r="AL887" s="467">
        <f t="shared" si="2110"/>
        <v>-2.3760673162090358E-2</v>
      </c>
      <c r="AM887" s="467">
        <f t="shared" si="2110"/>
        <v>-7.1620667870035447E-3</v>
      </c>
      <c r="AN887" s="467">
        <f t="shared" ref="AN887:BU887" si="2111">(AN886-AI886)/AI886</f>
        <v>-3.9900395957499328E-3</v>
      </c>
      <c r="AO887" s="467">
        <f t="shared" si="2111"/>
        <v>1.9301906972175785E-2</v>
      </c>
      <c r="AP887" s="470">
        <f t="shared" si="2111"/>
        <v>-4.3587491036516206E-3</v>
      </c>
      <c r="AQ887" s="467">
        <f t="shared" si="2111"/>
        <v>6.5685986843094686E-3</v>
      </c>
      <c r="AR887" s="467">
        <f t="shared" si="2111"/>
        <v>-7.3177468341558999E-2</v>
      </c>
      <c r="AS887" s="467">
        <f t="shared" si="2111"/>
        <v>-0.12319474902577232</v>
      </c>
      <c r="AT887" s="467">
        <f t="shared" si="2111"/>
        <v>-0.19046786568834462</v>
      </c>
      <c r="AU887" s="1689">
        <f>(AU886-AP886)/AP886</f>
        <v>-9.415587080194239E-2</v>
      </c>
      <c r="AV887" s="471">
        <f t="shared" si="2111"/>
        <v>-0.21933923959888224</v>
      </c>
      <c r="AW887" s="467">
        <f t="shared" si="2111"/>
        <v>-0.34020990334598733</v>
      </c>
      <c r="AX887" s="467">
        <f t="shared" si="2111"/>
        <v>-0.35212206633792348</v>
      </c>
      <c r="AY887" s="467">
        <f t="shared" si="2111"/>
        <v>-0.35559451303085937</v>
      </c>
      <c r="AZ887" s="1689">
        <f>(AZ886-AU886)/AU886</f>
        <v>-0.3125439050372617</v>
      </c>
      <c r="BA887" s="471">
        <f t="shared" si="2111"/>
        <v>-0.40326991883956398</v>
      </c>
      <c r="BB887" s="469">
        <f t="shared" si="2111"/>
        <v>-0.27022237122077386</v>
      </c>
      <c r="BC887" s="469">
        <f t="shared" si="2111"/>
        <v>-0.23536560311828808</v>
      </c>
      <c r="BD887" s="1463">
        <f t="shared" si="2111"/>
        <v>-0.16183209158052442</v>
      </c>
      <c r="BE887" s="1868">
        <f>(BE886-AZ886)/AZ886</f>
        <v>-0.28253690739754178</v>
      </c>
      <c r="BF887" s="469">
        <f t="shared" si="2111"/>
        <v>-0.12631963449256262</v>
      </c>
      <c r="BG887" s="469">
        <f t="shared" si="2111"/>
        <v>-8.7749854171865982E-2</v>
      </c>
      <c r="BH887" s="469">
        <f t="shared" si="2111"/>
        <v>-0.10082924512777512</v>
      </c>
      <c r="BI887" s="1463">
        <f t="shared" si="2111"/>
        <v>-7.5988159584938028E-2</v>
      </c>
      <c r="BJ887" s="1868">
        <f>(BJ886-BE886)/BE886</f>
        <v>-9.8388626435280735E-2</v>
      </c>
      <c r="BK887" s="469">
        <f t="shared" si="2111"/>
        <v>-1.3511420927953556E-2</v>
      </c>
      <c r="BL887" s="469">
        <f t="shared" si="2111"/>
        <v>-3.3141519477721537E-2</v>
      </c>
      <c r="BM887" s="469">
        <f t="shared" si="2111"/>
        <v>-3.656487790646435E-3</v>
      </c>
      <c r="BN887" s="469">
        <f t="shared" si="2111"/>
        <v>-3.0064439896516464E-2</v>
      </c>
      <c r="BO887" s="1689">
        <f>(BO886-BJ886)/BJ886</f>
        <v>-2.0129783908577899E-2</v>
      </c>
      <c r="BP887" s="469">
        <f t="shared" si="2111"/>
        <v>-4.399093413417924E-2</v>
      </c>
      <c r="BQ887" s="469">
        <f t="shared" si="2111"/>
        <v>-1.1733094688221726E-2</v>
      </c>
      <c r="BR887" s="469">
        <f t="shared" si="2111"/>
        <v>6.5739557109557173E-2</v>
      </c>
      <c r="BS887" s="469">
        <f t="shared" si="2111"/>
        <v>3.071044119222659E-2</v>
      </c>
      <c r="BT887" s="470">
        <f>(BT886-BO886)/BO886</f>
        <v>9.4512292720753295E-3</v>
      </c>
      <c r="BU887" s="469">
        <f t="shared" si="2111"/>
        <v>2.3992224579608052E-2</v>
      </c>
      <c r="BV887" s="540">
        <v>0.02</v>
      </c>
      <c r="BW887" s="540">
        <v>1.4999999999999999E-2</v>
      </c>
      <c r="BX887" s="540">
        <v>1.4999999999999999E-2</v>
      </c>
      <c r="BY887" s="470">
        <f>(BY886-BT886)/BT886</f>
        <v>1.8432212061027339E-2</v>
      </c>
      <c r="BZ887" s="566">
        <v>5.0000000000000001E-3</v>
      </c>
      <c r="CA887" s="566">
        <v>0</v>
      </c>
      <c r="CB887" s="566">
        <v>-0.05</v>
      </c>
      <c r="CC887" s="566">
        <v>-0.05</v>
      </c>
      <c r="CD887" s="566">
        <v>0.02</v>
      </c>
      <c r="CE887" s="566">
        <v>0.02</v>
      </c>
      <c r="CF887" s="566">
        <v>0.02</v>
      </c>
      <c r="CG887" s="492"/>
      <c r="CH887" s="492"/>
      <c r="CI887" s="492"/>
      <c r="CJ887" s="492"/>
      <c r="CK887" s="492"/>
      <c r="CL887" s="1310" t="str">
        <f>A887</f>
        <v>% growth (y-o-y)</v>
      </c>
      <c r="CM887" s="469" t="str">
        <f>G887</f>
        <v xml:space="preserve">n/a </v>
      </c>
      <c r="CN887" s="469">
        <f>L887</f>
        <v>1.7472375659171854E-2</v>
      </c>
      <c r="CO887" s="469">
        <f>Q887</f>
        <v>6.6717693318274179E-2</v>
      </c>
      <c r="CP887" s="469">
        <f>V887</f>
        <v>-1.734715987019351E-3</v>
      </c>
      <c r="CQ887" s="469">
        <f>AA887</f>
        <v>-8.3782971428375319E-2</v>
      </c>
      <c r="CR887" s="469">
        <f>AF887</f>
        <v>-2.3082786768844121E-2</v>
      </c>
      <c r="CS887" s="469">
        <f>AK887</f>
        <v>2.8790218258624763E-2</v>
      </c>
      <c r="CT887" s="469">
        <f>AP887</f>
        <v>-4.3587491036516206E-3</v>
      </c>
      <c r="CU887" s="469">
        <f>AU887</f>
        <v>-9.415587080194239E-2</v>
      </c>
      <c r="CV887" s="469">
        <f>AZ887</f>
        <v>-0.3125439050372617</v>
      </c>
      <c r="CW887" s="469">
        <f>BE887</f>
        <v>-0.28253690739754178</v>
      </c>
      <c r="CX887" s="469">
        <f>BJ887</f>
        <v>-9.8388626435280735E-2</v>
      </c>
      <c r="CY887" s="469">
        <f>BO887</f>
        <v>-2.0129783908577899E-2</v>
      </c>
      <c r="CZ887" s="469">
        <f>BT887</f>
        <v>9.4512292720753295E-3</v>
      </c>
      <c r="DA887" s="469">
        <f t="shared" si="2109"/>
        <v>1.8432212061027339E-2</v>
      </c>
      <c r="DB887" s="469">
        <f t="shared" si="2109"/>
        <v>5.0000000000000001E-3</v>
      </c>
      <c r="DC887" s="1463">
        <f t="shared" si="2109"/>
        <v>0</v>
      </c>
      <c r="DD887" s="492"/>
      <c r="DE887" s="492"/>
      <c r="DF887" s="962"/>
      <c r="DG887" s="962"/>
      <c r="DH887" s="469"/>
      <c r="DI887" s="3213"/>
      <c r="DJ887" s="962"/>
      <c r="DK887" s="962"/>
      <c r="DL887" s="962"/>
      <c r="DM887" s="962"/>
      <c r="DN887" s="962"/>
      <c r="DO887" s="962"/>
      <c r="DP887" s="962"/>
      <c r="DQ887" s="962"/>
      <c r="DR887" s="963"/>
      <c r="DS887" s="963"/>
      <c r="DT887" s="963"/>
    </row>
    <row r="888" spans="1:124" ht="12" customHeight="1" x14ac:dyDescent="0.25">
      <c r="A888" s="281" t="s">
        <v>645</v>
      </c>
      <c r="B888" s="281"/>
      <c r="C888" s="452">
        <f t="shared" ref="C888:AP888" si="2112">C889-C886</f>
        <v>0.9310000000000116</v>
      </c>
      <c r="D888" s="452">
        <f t="shared" si="2112"/>
        <v>0.37800000000000011</v>
      </c>
      <c r="E888" s="452">
        <f t="shared" si="2112"/>
        <v>0.1460000000000008</v>
      </c>
      <c r="F888" s="452">
        <f t="shared" si="2112"/>
        <v>0.44700000000000273</v>
      </c>
      <c r="G888" s="475">
        <f t="shared" si="2112"/>
        <v>1.9020000000000437</v>
      </c>
      <c r="H888" s="452">
        <f t="shared" si="2112"/>
        <v>0</v>
      </c>
      <c r="I888" s="452">
        <f t="shared" si="2112"/>
        <v>-6.799999999999784E-2</v>
      </c>
      <c r="J888" s="452">
        <f t="shared" si="2112"/>
        <v>-0.46679900000000885</v>
      </c>
      <c r="K888" s="452">
        <f t="shared" si="2112"/>
        <v>2.089839000000012</v>
      </c>
      <c r="L888" s="475">
        <f t="shared" si="2112"/>
        <v>1.5550400000000195</v>
      </c>
      <c r="M888" s="452">
        <f t="shared" si="2112"/>
        <v>-0.90425299999999709</v>
      </c>
      <c r="N888" s="452">
        <f t="shared" si="2112"/>
        <v>-1.8059999999999974</v>
      </c>
      <c r="O888" s="452">
        <f t="shared" si="2112"/>
        <v>-0.22567300000000046</v>
      </c>
      <c r="P888" s="452">
        <f t="shared" si="2112"/>
        <v>0.10155699999999968</v>
      </c>
      <c r="Q888" s="475">
        <f t="shared" si="2112"/>
        <v>-2.834368999999981</v>
      </c>
      <c r="R888" s="452">
        <f t="shared" si="2112"/>
        <v>1.0300290000000132</v>
      </c>
      <c r="S888" s="452">
        <f t="shared" si="2112"/>
        <v>0.59838299999999833</v>
      </c>
      <c r="T888" s="452">
        <f t="shared" si="2112"/>
        <v>0.29143299999999783</v>
      </c>
      <c r="U888" s="452">
        <f t="shared" si="2112"/>
        <v>0.74603799999999865</v>
      </c>
      <c r="V888" s="475">
        <f t="shared" si="2112"/>
        <v>2.665883000000008</v>
      </c>
      <c r="W888" s="452">
        <f t="shared" si="2112"/>
        <v>-4.2591999999999075E-2</v>
      </c>
      <c r="X888" s="452">
        <f t="shared" si="2112"/>
        <v>-0.71258699999999919</v>
      </c>
      <c r="Y888" s="452">
        <f t="shared" si="2112"/>
        <v>-0.91280099999998754</v>
      </c>
      <c r="Z888" s="452">
        <f t="shared" si="2112"/>
        <v>-2.4179922999999945</v>
      </c>
      <c r="AA888" s="475">
        <f t="shared" si="2112"/>
        <v>-4.0859722999999804</v>
      </c>
      <c r="AB888" s="452">
        <f t="shared" si="2112"/>
        <v>-1.1989999999999981</v>
      </c>
      <c r="AC888" s="452">
        <f t="shared" si="2112"/>
        <v>-1.1299999999999955</v>
      </c>
      <c r="AD888" s="452">
        <f t="shared" si="2112"/>
        <v>0.58599999999999852</v>
      </c>
      <c r="AE888" s="452">
        <f t="shared" si="2112"/>
        <v>-2.3419999999999987</v>
      </c>
      <c r="AF888" s="477">
        <f t="shared" si="2112"/>
        <v>-4.0849999999999227</v>
      </c>
      <c r="AG888" s="452">
        <f t="shared" si="2112"/>
        <v>-1.8539999999999992</v>
      </c>
      <c r="AH888" s="452">
        <f t="shared" si="2112"/>
        <v>-0.63499999999999091</v>
      </c>
      <c r="AI888" s="452">
        <f t="shared" si="2112"/>
        <v>0.26313100000000134</v>
      </c>
      <c r="AJ888" s="452">
        <f t="shared" si="2112"/>
        <v>0.15635699999999986</v>
      </c>
      <c r="AK888" s="477">
        <f t="shared" si="2112"/>
        <v>-2.0695119999999747</v>
      </c>
      <c r="AL888" s="452">
        <f t="shared" si="2112"/>
        <v>0.75857999999999493</v>
      </c>
      <c r="AM888" s="452">
        <f t="shared" si="2112"/>
        <v>-3.1443000000010102E-2</v>
      </c>
      <c r="AN888" s="452">
        <f>+AI888</f>
        <v>0.26313100000000134</v>
      </c>
      <c r="AO888" s="452">
        <f>+AJ888</f>
        <v>0.15635699999999986</v>
      </c>
      <c r="AP888" s="478">
        <f t="shared" si="2112"/>
        <v>1.1466249999999718</v>
      </c>
      <c r="AQ888" s="592">
        <f>+AL888</f>
        <v>0.75857999999999493</v>
      </c>
      <c r="AR888" s="572">
        <f>+AM888</f>
        <v>-3.1443000000010102E-2</v>
      </c>
      <c r="AS888" s="572">
        <f>+AN888</f>
        <v>0.26313100000000134</v>
      </c>
      <c r="AT888" s="572">
        <f>+AO888</f>
        <v>0.15635699999999986</v>
      </c>
      <c r="AU888" s="1464">
        <f>AU889-AU886</f>
        <v>1.1466250000000286</v>
      </c>
      <c r="AV888" s="2652">
        <f>+AV886*0.005</f>
        <v>0.43303796499999997</v>
      </c>
      <c r="AW888" s="2874">
        <f>+AW886*0.005</f>
        <v>0.33634928000000003</v>
      </c>
      <c r="AX888" s="2874">
        <f>+AX886*0.005</f>
        <v>0.31312821000000002</v>
      </c>
      <c r="AY888" s="2654">
        <f>+AY886*0.005</f>
        <v>0.27645397500000002</v>
      </c>
      <c r="AZ888" s="1464">
        <f>AZ889-AZ886</f>
        <v>1.3589694299999451</v>
      </c>
      <c r="BA888" s="2652">
        <f>+BA886*0.01</f>
        <v>0.51681356000000012</v>
      </c>
      <c r="BB888" s="2874">
        <f>+BB886*0.01</f>
        <v>0.49092036</v>
      </c>
      <c r="BC888" s="2874">
        <f>+BC886*0.01</f>
        <v>0.47885720000000009</v>
      </c>
      <c r="BD888" s="2944">
        <f>+BD886*0.01</f>
        <v>0.4634297</v>
      </c>
      <c r="BE888" s="1866">
        <f>BE889-BE886</f>
        <v>1.9500208199999918</v>
      </c>
      <c r="BF888" s="2941">
        <f>+BF886*0.03</f>
        <v>1.3545895799999998</v>
      </c>
      <c r="BG888" s="2941">
        <f>+BG886*0.03</f>
        <v>1.34352651</v>
      </c>
      <c r="BH888" s="2941">
        <f>+BH886*0.03</f>
        <v>1.29172317</v>
      </c>
      <c r="BI888" s="2944">
        <f>+BI886*0.03</f>
        <v>1.2846435900000002</v>
      </c>
      <c r="BJ888" s="1866">
        <f>BJ889-BJ886</f>
        <v>5.2744828499999699</v>
      </c>
      <c r="BK888" s="2941">
        <f>+BK886*0.03</f>
        <v>1.33628715</v>
      </c>
      <c r="BL888" s="2941">
        <f>+BL886*0.02</f>
        <v>0.86599999999999999</v>
      </c>
      <c r="BM888" s="1771">
        <f>+BM886*0.03</f>
        <v>1.2869999999999999</v>
      </c>
      <c r="BN888" s="1771">
        <f>+BN886*0.03</f>
        <v>1.2460214999999999</v>
      </c>
      <c r="BO888" s="1464">
        <f>BO889-BO886</f>
        <v>4.735308649999979</v>
      </c>
      <c r="BP888" s="1771">
        <f>+BP886*0.03</f>
        <v>1.2775026300000001</v>
      </c>
      <c r="BQ888" s="1771">
        <f>+BQ886*0.03</f>
        <v>1.2837587099999999</v>
      </c>
      <c r="BR888" s="1771">
        <f>+BR886*0.03</f>
        <v>1.3716068100000001</v>
      </c>
      <c r="BS888" s="1771">
        <f>+BS886*0.03</f>
        <v>1.2842873699999999</v>
      </c>
      <c r="BT888" s="2604">
        <f>BT889-BT886</f>
        <v>5.2171555199999773</v>
      </c>
      <c r="BU888" s="1771">
        <f t="shared" ref="BU888:CA888" si="2113">+BU886*0.03</f>
        <v>1.30815276</v>
      </c>
      <c r="BV888" s="1771">
        <f t="shared" si="2113"/>
        <v>1.3094338842</v>
      </c>
      <c r="BW888" s="1771">
        <f t="shared" si="2113"/>
        <v>1.3921809121499997</v>
      </c>
      <c r="BX888" s="1771">
        <f t="shared" si="2113"/>
        <v>1.3035516805499998</v>
      </c>
      <c r="BY888" s="2604">
        <f>BY889-BY886</f>
        <v>5.3133192368999858</v>
      </c>
      <c r="BZ888" s="573">
        <f t="shared" si="2113"/>
        <v>5.3398858330844989</v>
      </c>
      <c r="CA888" s="573">
        <f t="shared" si="2113"/>
        <v>5.3398858330844989</v>
      </c>
      <c r="CB888" s="573">
        <f>+CB886*0.05</f>
        <v>8.4548192357171228</v>
      </c>
      <c r="CC888" s="573">
        <f>+CC886*0.05</f>
        <v>8.0320782739312673</v>
      </c>
      <c r="CD888" s="573">
        <f>+CD886*0.05</f>
        <v>8.192719839409893</v>
      </c>
      <c r="CE888" s="573">
        <f>+CE886*0.05</f>
        <v>8.3565742361980906</v>
      </c>
      <c r="CF888" s="573">
        <f>+CF886*0.05</f>
        <v>8.5237057209220524</v>
      </c>
      <c r="CG888" s="331"/>
      <c r="CH888" s="331"/>
      <c r="CI888" s="331"/>
      <c r="CJ888" s="331"/>
      <c r="CK888" s="331"/>
      <c r="CL888" s="520" t="str">
        <f>A888</f>
        <v>Other revenue</v>
      </c>
      <c r="CM888" s="476">
        <f>G888</f>
        <v>1.9020000000000437</v>
      </c>
      <c r="CN888" s="476">
        <f>L888</f>
        <v>1.5550400000000195</v>
      </c>
      <c r="CO888" s="476">
        <f>Q888</f>
        <v>-2.834368999999981</v>
      </c>
      <c r="CP888" s="476">
        <f>V888</f>
        <v>2.665883000000008</v>
      </c>
      <c r="CQ888" s="476">
        <f>AA888</f>
        <v>-4.0859722999999804</v>
      </c>
      <c r="CR888" s="476">
        <f>AF888</f>
        <v>-4.0849999999999227</v>
      </c>
      <c r="CS888" s="476">
        <f>AK888</f>
        <v>-2.0695119999999747</v>
      </c>
      <c r="CT888" s="476">
        <f>AP888</f>
        <v>1.1466249999999718</v>
      </c>
      <c r="CU888" s="476">
        <f>AU888</f>
        <v>1.1466250000000286</v>
      </c>
      <c r="CV888" s="476">
        <f>AZ888</f>
        <v>1.3589694299999451</v>
      </c>
      <c r="CW888" s="476">
        <f>BE888</f>
        <v>1.9500208199999918</v>
      </c>
      <c r="CX888" s="476">
        <f>BJ888</f>
        <v>5.2744828499999699</v>
      </c>
      <c r="CY888" s="476">
        <f>BO888</f>
        <v>4.735308649999979</v>
      </c>
      <c r="CZ888" s="476">
        <f>BT888</f>
        <v>5.2171555199999773</v>
      </c>
      <c r="DA888" s="476">
        <f t="shared" si="2109"/>
        <v>5.3133192368999858</v>
      </c>
      <c r="DB888" s="476">
        <f t="shared" si="2109"/>
        <v>5.3398858330844989</v>
      </c>
      <c r="DC888" s="682">
        <f t="shared" si="2109"/>
        <v>5.3398858330844989</v>
      </c>
      <c r="DD888" s="331"/>
      <c r="DE888" s="331"/>
      <c r="DF888" s="502"/>
      <c r="DG888" s="503"/>
      <c r="DH888" s="2577"/>
      <c r="DI888" s="3213"/>
      <c r="DJ888" s="502"/>
      <c r="DK888" s="503"/>
      <c r="DL888" s="502"/>
      <c r="DM888" s="502"/>
      <c r="DN888" s="502"/>
      <c r="DO888" s="502"/>
      <c r="DP888" s="503"/>
      <c r="DQ888" s="503"/>
      <c r="DR888" s="296"/>
      <c r="DS888" s="296"/>
      <c r="DT888" s="296"/>
    </row>
    <row r="889" spans="1:124" ht="12" customHeight="1" x14ac:dyDescent="0.25">
      <c r="A889" s="496" t="s">
        <v>1418</v>
      </c>
      <c r="B889" s="1007"/>
      <c r="C889" s="1008">
        <v>112.93300000000001</v>
      </c>
      <c r="D889" s="1008">
        <v>108.04900000000001</v>
      </c>
      <c r="E889" s="1008">
        <v>115.504</v>
      </c>
      <c r="F889" s="1008">
        <v>104.79300000000001</v>
      </c>
      <c r="G889" s="1009">
        <f>SUM(C889:F889)</f>
        <v>441.27900000000005</v>
      </c>
      <c r="H889" s="1008">
        <v>112.69499999999999</v>
      </c>
      <c r="I889" s="1008">
        <v>111.932</v>
      </c>
      <c r="J889" s="1008">
        <v>114.441</v>
      </c>
      <c r="K889" s="1008">
        <v>109.541</v>
      </c>
      <c r="L889" s="1009">
        <f>SUM(H889:K889)</f>
        <v>448.60899999999998</v>
      </c>
      <c r="M889" s="1008">
        <v>120.163</v>
      </c>
      <c r="N889" s="1008">
        <v>114.994</v>
      </c>
      <c r="O889" s="1008">
        <v>120.206</v>
      </c>
      <c r="P889" s="1008">
        <v>118.68300000000001</v>
      </c>
      <c r="Q889" s="1009">
        <f>SUM(M889:P889)</f>
        <v>474.04599999999999</v>
      </c>
      <c r="R889" s="1008">
        <v>121.858</v>
      </c>
      <c r="S889" s="1008">
        <v>121.236</v>
      </c>
      <c r="T889" s="1008">
        <v>121.777</v>
      </c>
      <c r="U889" s="1008">
        <v>113.848</v>
      </c>
      <c r="V889" s="1009">
        <f>SUM(R889:U889)</f>
        <v>478.71899999999999</v>
      </c>
      <c r="W889" s="1008">
        <v>118.244</v>
      </c>
      <c r="X889" s="1008">
        <v>111.404</v>
      </c>
      <c r="Y889" s="1008">
        <v>104.925</v>
      </c>
      <c r="Z889" s="1008">
        <v>97.509</v>
      </c>
      <c r="AA889" s="1009">
        <f>SUM(W889:Z889)</f>
        <v>432.08199999999999</v>
      </c>
      <c r="AB889" s="1008">
        <v>101.501</v>
      </c>
      <c r="AC889" s="1008">
        <v>95.37</v>
      </c>
      <c r="AD889" s="1008">
        <v>119.286</v>
      </c>
      <c r="AE889" s="1010">
        <v>105.858</v>
      </c>
      <c r="AF889" s="1011">
        <f>SUM(AB889:AE889)</f>
        <v>422.01500000000004</v>
      </c>
      <c r="AG889" s="1010">
        <v>111.04600000000001</v>
      </c>
      <c r="AH889" s="1010">
        <v>110.16500000000001</v>
      </c>
      <c r="AI889" s="1010">
        <v>110.949</v>
      </c>
      <c r="AJ889" s="1010">
        <v>104.13800000000001</v>
      </c>
      <c r="AK889" s="1011">
        <f>SUM(AG889:AJ889)</f>
        <v>436.298</v>
      </c>
      <c r="AL889" s="1010">
        <v>110.976</v>
      </c>
      <c r="AM889" s="1010">
        <v>109.97499999999999</v>
      </c>
      <c r="AN889" s="1593">
        <f>AN886+AN888</f>
        <v>110.50735900000001</v>
      </c>
      <c r="AO889" s="1012">
        <f>AO886+AO888</f>
        <v>106.145044</v>
      </c>
      <c r="AP889" s="1013">
        <f>SUM(AL889:AO889)</f>
        <v>437.60340299999996</v>
      </c>
      <c r="AQ889" s="1013">
        <f>AQ886+AQ888</f>
        <v>111.69997399999998</v>
      </c>
      <c r="AR889" s="1012">
        <f>AR886+AR888</f>
        <v>101.92500699999998</v>
      </c>
      <c r="AS889" s="1012">
        <f>AS886+AS888</f>
        <v>96.925848999999985</v>
      </c>
      <c r="AT889" s="1012">
        <f>AT886+AT888</f>
        <v>85.957605000000001</v>
      </c>
      <c r="AU889" s="1691">
        <f>SUM(AQ889:AT889)</f>
        <v>396.50843499999996</v>
      </c>
      <c r="AV889" s="1904">
        <f>AV886+AV888</f>
        <v>87.040630964999991</v>
      </c>
      <c r="AW889" s="1838">
        <f>AW886+AW888</f>
        <v>67.606205279999998</v>
      </c>
      <c r="AX889" s="1838">
        <f>AX886+AX888</f>
        <v>62.938770210000001</v>
      </c>
      <c r="AY889" s="1905">
        <f>AY886+AY888</f>
        <v>55.567248975000005</v>
      </c>
      <c r="AZ889" s="1691">
        <f>SUM(AV889:AY889)</f>
        <v>273.15285542999999</v>
      </c>
      <c r="BA889" s="1904">
        <f>BA886+BA888</f>
        <v>52.198169560000011</v>
      </c>
      <c r="BB889" s="1838">
        <f>BB886+BB888</f>
        <v>49.582956359999997</v>
      </c>
      <c r="BC889" s="1838">
        <f>BC886+BC888</f>
        <v>48.364577200000006</v>
      </c>
      <c r="BD889" s="1905">
        <f>BD886+BD888</f>
        <v>46.8063997</v>
      </c>
      <c r="BE889" s="1905">
        <f>SUM(BA889:BD889)</f>
        <v>196.95210281999999</v>
      </c>
      <c r="BF889" s="1838">
        <f>BF886+BF888</f>
        <v>46.507575580000001</v>
      </c>
      <c r="BG889" s="1838">
        <f>BG886+BG888</f>
        <v>46.127743510000002</v>
      </c>
      <c r="BH889" s="1838">
        <f>BH886+BH888</f>
        <v>44.34916217</v>
      </c>
      <c r="BI889" s="1905">
        <f>BI886+BI888</f>
        <v>44.106096590000007</v>
      </c>
      <c r="BJ889" s="1905">
        <f>SUM(BF889:BI889)</f>
        <v>181.09057784999999</v>
      </c>
      <c r="BK889" s="1838">
        <f>BK886+BK888</f>
        <v>45.879192150000002</v>
      </c>
      <c r="BL889" s="1838">
        <f>BL886+BL888</f>
        <v>44.165999999999997</v>
      </c>
      <c r="BM889" s="1838">
        <f>BM886+BM888</f>
        <v>44.186999999999998</v>
      </c>
      <c r="BN889" s="1838">
        <f>BN886+BN888</f>
        <v>42.780071499999998</v>
      </c>
      <c r="BO889" s="1691">
        <f>SUM(BK889:BN889)</f>
        <v>177.01226364999999</v>
      </c>
      <c r="BP889" s="1838">
        <f>BP886+BP888</f>
        <v>43.860923630000002</v>
      </c>
      <c r="BQ889" s="1838">
        <f>BQ886+BQ888</f>
        <v>44.075715709999997</v>
      </c>
      <c r="BR889" s="1838">
        <f>BR886+BR888</f>
        <v>47.091833810000004</v>
      </c>
      <c r="BS889" s="1838">
        <f>BS886+BS888</f>
        <v>44.093866370000001</v>
      </c>
      <c r="BT889" s="1011">
        <f>SUM(BP889:BS889)</f>
        <v>179.12233952</v>
      </c>
      <c r="BU889" s="1838">
        <f>BU886+BU888</f>
        <v>44.913244759999998</v>
      </c>
      <c r="BV889" s="1838">
        <f>BV886+BV888</f>
        <v>44.957230024199994</v>
      </c>
      <c r="BW889" s="1838">
        <f>BW886+BW888</f>
        <v>47.798211317149992</v>
      </c>
      <c r="BX889" s="1838">
        <f>BX886+BX888</f>
        <v>44.755274365549994</v>
      </c>
      <c r="BY889" s="1011">
        <f>SUM(BU889:BX889)</f>
        <v>182.42396046689998</v>
      </c>
      <c r="BZ889" s="1011">
        <f t="shared" ref="BZ889:CF889" si="2114">BZ886+BZ888</f>
        <v>183.33608026923449</v>
      </c>
      <c r="CA889" s="1011">
        <f t="shared" si="2114"/>
        <v>183.33608026923449</v>
      </c>
      <c r="CB889" s="1011">
        <f t="shared" si="2114"/>
        <v>177.55120395005957</v>
      </c>
      <c r="CC889" s="1011">
        <f t="shared" si="2114"/>
        <v>168.67364375255659</v>
      </c>
      <c r="CD889" s="1011">
        <f t="shared" si="2114"/>
        <v>172.04711662760775</v>
      </c>
      <c r="CE889" s="1011">
        <f t="shared" si="2114"/>
        <v>175.48805896015992</v>
      </c>
      <c r="CF889" s="1011">
        <f t="shared" si="2114"/>
        <v>178.99782013936311</v>
      </c>
      <c r="CG889" s="502"/>
      <c r="CH889" s="502"/>
      <c r="CI889" s="502"/>
      <c r="CJ889" s="502"/>
      <c r="CK889" s="502"/>
      <c r="CL889" s="2102" t="str">
        <f>A889</f>
        <v>Net revenue</v>
      </c>
      <c r="CM889" s="1012">
        <f>G889</f>
        <v>441.27900000000005</v>
      </c>
      <c r="CN889" s="1012">
        <f>L889</f>
        <v>448.60899999999998</v>
      </c>
      <c r="CO889" s="1012">
        <f>Q889</f>
        <v>474.04599999999999</v>
      </c>
      <c r="CP889" s="1012">
        <f>V889</f>
        <v>478.71899999999999</v>
      </c>
      <c r="CQ889" s="1012">
        <f>AA889</f>
        <v>432.08199999999999</v>
      </c>
      <c r="CR889" s="1012">
        <f>AF889</f>
        <v>422.01500000000004</v>
      </c>
      <c r="CS889" s="1012">
        <f>AK889</f>
        <v>436.298</v>
      </c>
      <c r="CT889" s="1012">
        <f>AP889</f>
        <v>437.60340299999996</v>
      </c>
      <c r="CU889" s="1012">
        <f>AU889</f>
        <v>396.50843499999996</v>
      </c>
      <c r="CV889" s="1012">
        <f>AZ889</f>
        <v>273.15285542999999</v>
      </c>
      <c r="CW889" s="1012">
        <f>BE889</f>
        <v>196.95210281999999</v>
      </c>
      <c r="CX889" s="1012">
        <f>BJ889</f>
        <v>181.09057784999999</v>
      </c>
      <c r="CY889" s="1012">
        <f>BO889</f>
        <v>177.01226364999999</v>
      </c>
      <c r="CZ889" s="1012">
        <f>BT889</f>
        <v>179.12233952</v>
      </c>
      <c r="DA889" s="1012">
        <f t="shared" si="2109"/>
        <v>182.42396046689998</v>
      </c>
      <c r="DB889" s="1012">
        <f t="shared" si="2109"/>
        <v>183.33608026923449</v>
      </c>
      <c r="DC889" s="1877">
        <f t="shared" si="2109"/>
        <v>183.33608026923449</v>
      </c>
      <c r="DD889" s="502"/>
      <c r="DE889" s="502"/>
      <c r="DF889" s="502"/>
      <c r="DG889" s="503"/>
      <c r="DH889" s="598"/>
      <c r="DI889" s="3213"/>
      <c r="DJ889" s="502"/>
      <c r="DK889" s="503"/>
      <c r="DL889" s="502"/>
      <c r="DM889" s="502"/>
      <c r="DN889" s="502"/>
      <c r="DO889" s="502"/>
      <c r="DP889" s="503"/>
      <c r="DQ889" s="503"/>
      <c r="DR889" s="719"/>
      <c r="DS889" s="719"/>
      <c r="DT889" s="719"/>
    </row>
    <row r="890" spans="1:124" ht="12" customHeight="1" x14ac:dyDescent="0.25">
      <c r="A890" s="465" t="s">
        <v>1491</v>
      </c>
      <c r="B890" s="466"/>
      <c r="C890" s="467" t="s">
        <v>553</v>
      </c>
      <c r="D890" s="467" t="s">
        <v>553</v>
      </c>
      <c r="E890" s="467" t="s">
        <v>553</v>
      </c>
      <c r="F890" s="467" t="s">
        <v>553</v>
      </c>
      <c r="G890" s="468" t="s">
        <v>553</v>
      </c>
      <c r="H890" s="467">
        <f t="shared" ref="H890:AF890" si="2115">(H889-C889)/C889</f>
        <v>-2.1074442368485186E-3</v>
      </c>
      <c r="I890" s="467">
        <f t="shared" si="2115"/>
        <v>3.5937398772778975E-2</v>
      </c>
      <c r="J890" s="467">
        <f t="shared" si="2115"/>
        <v>-9.2031444798448738E-3</v>
      </c>
      <c r="K890" s="467">
        <f t="shared" si="2115"/>
        <v>4.5308369833862855E-2</v>
      </c>
      <c r="L890" s="468">
        <f t="shared" si="2115"/>
        <v>1.661080631527883E-2</v>
      </c>
      <c r="M890" s="467">
        <f t="shared" si="2115"/>
        <v>6.626735880030174E-2</v>
      </c>
      <c r="N890" s="467">
        <f t="shared" si="2115"/>
        <v>2.7355894650323388E-2</v>
      </c>
      <c r="O890" s="467">
        <f t="shared" si="2115"/>
        <v>5.0375302557649798E-2</v>
      </c>
      <c r="P890" s="467">
        <f t="shared" si="2115"/>
        <v>8.3457335609497904E-2</v>
      </c>
      <c r="Q890" s="468">
        <f t="shared" si="2115"/>
        <v>5.6701938659277931E-2</v>
      </c>
      <c r="R890" s="467">
        <f t="shared" si="2115"/>
        <v>1.4105839567920303E-2</v>
      </c>
      <c r="S890" s="467">
        <f t="shared" si="2115"/>
        <v>5.4281092926587511E-2</v>
      </c>
      <c r="T890" s="467">
        <f t="shared" si="2115"/>
        <v>1.3069231153187012E-2</v>
      </c>
      <c r="U890" s="467">
        <f t="shared" si="2115"/>
        <v>-4.0738774719210058E-2</v>
      </c>
      <c r="V890" s="468">
        <f t="shared" si="2115"/>
        <v>9.8576931352653586E-3</v>
      </c>
      <c r="W890" s="467">
        <f t="shared" si="2115"/>
        <v>-2.9657470170198135E-2</v>
      </c>
      <c r="X890" s="467">
        <f t="shared" si="2115"/>
        <v>-8.1098023689333262E-2</v>
      </c>
      <c r="Y890" s="467">
        <f t="shared" si="2115"/>
        <v>-0.13838409551885827</v>
      </c>
      <c r="Z890" s="467">
        <f t="shared" si="2115"/>
        <v>-0.14351591595811958</v>
      </c>
      <c r="AA890" s="468">
        <f t="shared" si="2115"/>
        <v>-9.7420407378859E-2</v>
      </c>
      <c r="AB890" s="467">
        <f t="shared" si="2115"/>
        <v>-0.14159703663610834</v>
      </c>
      <c r="AC890" s="467">
        <f t="shared" si="2115"/>
        <v>-0.14392660945747004</v>
      </c>
      <c r="AD890" s="467">
        <f t="shared" si="2115"/>
        <v>0.1368691922802002</v>
      </c>
      <c r="AE890" s="469">
        <f t="shared" si="2115"/>
        <v>8.562286558163866E-2</v>
      </c>
      <c r="AF890" s="470">
        <f t="shared" si="2115"/>
        <v>-2.329881827986343E-2</v>
      </c>
      <c r="AG890" s="467">
        <f t="shared" ref="AG890:AP890" si="2116">(AG889-AB889)/AB889</f>
        <v>9.4038482379483965E-2</v>
      </c>
      <c r="AH890" s="467">
        <f t="shared" si="2116"/>
        <v>0.15513264129181084</v>
      </c>
      <c r="AI890" s="467">
        <f t="shared" si="2116"/>
        <v>-6.9890850560837006E-2</v>
      </c>
      <c r="AJ890" s="469">
        <f t="shared" si="2116"/>
        <v>-1.6248181526195459E-2</v>
      </c>
      <c r="AK890" s="470">
        <f t="shared" si="2116"/>
        <v>3.384476855088079E-2</v>
      </c>
      <c r="AL890" s="467">
        <f t="shared" si="2116"/>
        <v>-6.3036939646639583E-4</v>
      </c>
      <c r="AM890" s="467">
        <f t="shared" si="2116"/>
        <v>-1.7246856987247485E-3</v>
      </c>
      <c r="AN890" s="467">
        <f t="shared" si="2116"/>
        <v>-3.9805766613488173E-3</v>
      </c>
      <c r="AO890" s="469">
        <f t="shared" si="2116"/>
        <v>1.927292630932026E-2</v>
      </c>
      <c r="AP890" s="471">
        <f t="shared" si="2116"/>
        <v>2.9919985881208615E-3</v>
      </c>
      <c r="AQ890" s="471">
        <f t="shared" ref="AQ890:BA890" si="2117">(AQ889-AL889)/AL889</f>
        <v>6.523698817762256E-3</v>
      </c>
      <c r="AR890" s="469">
        <f t="shared" si="2117"/>
        <v>-7.319839054330543E-2</v>
      </c>
      <c r="AS890" s="469">
        <f t="shared" si="2117"/>
        <v>-0.12290140786008669</v>
      </c>
      <c r="AT890" s="469">
        <f t="shared" si="2117"/>
        <v>-0.19018729692174793</v>
      </c>
      <c r="AU890" s="1689">
        <f t="shared" si="2117"/>
        <v>-9.3909160025430607E-2</v>
      </c>
      <c r="AV890" s="1730">
        <f t="shared" si="2117"/>
        <v>-0.22076408930050417</v>
      </c>
      <c r="AW890" s="1465">
        <f t="shared" si="2117"/>
        <v>-0.33670639551685277</v>
      </c>
      <c r="AX890" s="1465">
        <f t="shared" si="2117"/>
        <v>-0.35065030784512385</v>
      </c>
      <c r="AY890" s="1868">
        <f t="shared" si="2117"/>
        <v>-0.35355052092249423</v>
      </c>
      <c r="AZ890" s="470">
        <f t="shared" si="2117"/>
        <v>-0.31110455334953968</v>
      </c>
      <c r="BA890" s="1730">
        <f t="shared" si="2117"/>
        <v>-0.40030111246563138</v>
      </c>
      <c r="BB890" s="1465">
        <f t="shared" ref="BB890:BJ890" si="2118">(BB889-AW889)/AW889</f>
        <v>-0.26659163674923542</v>
      </c>
      <c r="BC890" s="1465">
        <f t="shared" si="2118"/>
        <v>-0.23156145189002089</v>
      </c>
      <c r="BD890" s="1868">
        <f t="shared" si="2118"/>
        <v>-0.15766210198639771</v>
      </c>
      <c r="BE890" s="1463">
        <f t="shared" si="2118"/>
        <v>-0.27896743927514139</v>
      </c>
      <c r="BF890" s="1465">
        <f t="shared" si="2118"/>
        <v>-0.10901903319538565</v>
      </c>
      <c r="BG890" s="1465">
        <f t="shared" si="2118"/>
        <v>-6.9685494848536603E-2</v>
      </c>
      <c r="BH890" s="1465">
        <f t="shared" si="2118"/>
        <v>-8.3023883645156865E-2</v>
      </c>
      <c r="BI890" s="1868">
        <f t="shared" si="2118"/>
        <v>-5.7690895418303086E-2</v>
      </c>
      <c r="BJ890" s="1463">
        <f t="shared" si="2118"/>
        <v>-8.053493586964286E-2</v>
      </c>
      <c r="BK890" s="1465">
        <f t="shared" ref="BK890:BT890" si="2119">(BK889-BF889)/BF889</f>
        <v>-1.3511420927953681E-2</v>
      </c>
      <c r="BL890" s="1465">
        <f t="shared" si="2119"/>
        <v>-4.2528495016772715E-2</v>
      </c>
      <c r="BM890" s="1465">
        <f t="shared" si="2119"/>
        <v>-3.6564877906463955E-3</v>
      </c>
      <c r="BN890" s="1465">
        <f t="shared" si="2119"/>
        <v>-3.006443989651655E-2</v>
      </c>
      <c r="BO890" s="470">
        <f t="shared" si="2119"/>
        <v>-2.2520852539208984E-2</v>
      </c>
      <c r="BP890" s="1465">
        <f t="shared" si="2119"/>
        <v>-4.3990934134179156E-2</v>
      </c>
      <c r="BQ890" s="1465">
        <f t="shared" si="2119"/>
        <v>-2.0442034596748542E-3</v>
      </c>
      <c r="BR890" s="1465">
        <f t="shared" si="2119"/>
        <v>6.5739557109557256E-2</v>
      </c>
      <c r="BS890" s="1465">
        <f t="shared" si="2119"/>
        <v>3.0710441192226677E-2</v>
      </c>
      <c r="BT890" s="470">
        <f t="shared" si="2119"/>
        <v>1.1920506672759014E-2</v>
      </c>
      <c r="BU890" s="1465">
        <f>(BU889-BP889)/BP889</f>
        <v>2.3992224579608007E-2</v>
      </c>
      <c r="BV890" s="1465">
        <f>(BV889-BQ889)/BQ889</f>
        <v>1.9999999999999928E-2</v>
      </c>
      <c r="BW890" s="1465">
        <f>(BW889-BR889)/BR889</f>
        <v>1.4999999999999736E-2</v>
      </c>
      <c r="BX890" s="1465">
        <f>(BX889-BS889)/BS889</f>
        <v>1.4999999999999845E-2</v>
      </c>
      <c r="BY890" s="470">
        <f>(BY889-BT889)/BT889</f>
        <v>1.8432212061027391E-2</v>
      </c>
      <c r="BZ890" s="470">
        <f t="shared" ref="BZ890:CF890" si="2120">(BZ889-BY889)/BY889</f>
        <v>5.0000000000000096E-3</v>
      </c>
      <c r="CA890" s="470">
        <f t="shared" si="2120"/>
        <v>0</v>
      </c>
      <c r="CB890" s="470">
        <f t="shared" si="2120"/>
        <v>-3.1553398058252635E-2</v>
      </c>
      <c r="CC890" s="470">
        <f t="shared" si="2120"/>
        <v>-5.0000000000000051E-2</v>
      </c>
      <c r="CD890" s="470">
        <f t="shared" si="2120"/>
        <v>2.0000000000000188E-2</v>
      </c>
      <c r="CE890" s="470">
        <f t="shared" si="2120"/>
        <v>2.000000000000008E-2</v>
      </c>
      <c r="CF890" s="470">
        <f t="shared" si="2120"/>
        <v>1.9999999999999983E-2</v>
      </c>
      <c r="CG890" s="492"/>
      <c r="CH890" s="492"/>
      <c r="CI890" s="492"/>
      <c r="CJ890" s="492"/>
      <c r="CK890" s="492"/>
      <c r="CL890" s="1310" t="str">
        <f>A890</f>
        <v>% growth (y-o-y)</v>
      </c>
      <c r="CM890" s="469" t="str">
        <f>G890</f>
        <v xml:space="preserve">n/a </v>
      </c>
      <c r="CN890" s="469">
        <f>L890</f>
        <v>1.661080631527883E-2</v>
      </c>
      <c r="CO890" s="469">
        <f>Q890</f>
        <v>5.6701938659277931E-2</v>
      </c>
      <c r="CP890" s="469">
        <f>V890</f>
        <v>9.8576931352653586E-3</v>
      </c>
      <c r="CQ890" s="469">
        <f>AA890</f>
        <v>-9.7420407378859E-2</v>
      </c>
      <c r="CR890" s="469">
        <f>AF890</f>
        <v>-2.329881827986343E-2</v>
      </c>
      <c r="CS890" s="469">
        <f>AK890</f>
        <v>3.384476855088079E-2</v>
      </c>
      <c r="CT890" s="469">
        <f>AP890</f>
        <v>2.9919985881208615E-3</v>
      </c>
      <c r="CU890" s="469">
        <f>AU890</f>
        <v>-9.3909160025430607E-2</v>
      </c>
      <c r="CV890" s="469">
        <f>AZ890</f>
        <v>-0.31110455334953968</v>
      </c>
      <c r="CW890" s="469">
        <f>BE890</f>
        <v>-0.27896743927514139</v>
      </c>
      <c r="CX890" s="469">
        <f>BJ890</f>
        <v>-8.053493586964286E-2</v>
      </c>
      <c r="CY890" s="469">
        <f>BO890</f>
        <v>-2.2520852539208984E-2</v>
      </c>
      <c r="CZ890" s="469">
        <f>BT890</f>
        <v>1.1920506672759014E-2</v>
      </c>
      <c r="DA890" s="469">
        <f t="shared" si="2109"/>
        <v>1.8432212061027391E-2</v>
      </c>
      <c r="DB890" s="469">
        <f t="shared" si="2109"/>
        <v>5.0000000000000096E-3</v>
      </c>
      <c r="DC890" s="1463">
        <f t="shared" si="2109"/>
        <v>0</v>
      </c>
      <c r="DD890" s="492"/>
      <c r="DE890" s="492"/>
      <c r="DF890" s="962"/>
      <c r="DG890" s="962"/>
      <c r="DH890" s="469"/>
      <c r="DI890" s="3213"/>
      <c r="DJ890" s="962"/>
      <c r="DK890" s="962"/>
      <c r="DL890" s="962"/>
      <c r="DM890" s="962"/>
      <c r="DN890" s="962"/>
      <c r="DO890" s="962"/>
      <c r="DP890" s="962"/>
      <c r="DQ890" s="962"/>
      <c r="DR890" s="963"/>
      <c r="DS890" s="963"/>
      <c r="DT890" s="963"/>
    </row>
    <row r="891" spans="1:124" ht="5.0999999999999996" customHeight="1" x14ac:dyDescent="0.25">
      <c r="A891" s="281"/>
      <c r="B891" s="281"/>
      <c r="C891" s="305"/>
      <c r="D891" s="305"/>
      <c r="E891" s="305"/>
      <c r="F891" s="305"/>
      <c r="G891" s="440"/>
      <c r="H891" s="305"/>
      <c r="I891" s="305"/>
      <c r="J891" s="305"/>
      <c r="K891" s="305"/>
      <c r="L891" s="440"/>
      <c r="M891" s="305"/>
      <c r="N891" s="305"/>
      <c r="O891" s="305"/>
      <c r="P891" s="305"/>
      <c r="Q891" s="440"/>
      <c r="R891" s="305"/>
      <c r="S891" s="305"/>
      <c r="T891" s="305"/>
      <c r="U891" s="305"/>
      <c r="V891" s="440"/>
      <c r="W891" s="305"/>
      <c r="X891" s="305"/>
      <c r="Y891" s="305"/>
      <c r="Z891" s="305"/>
      <c r="AA891" s="440"/>
      <c r="AB891" s="305"/>
      <c r="AC891" s="305"/>
      <c r="AD891" s="305"/>
      <c r="AE891" s="331"/>
      <c r="AF891" s="441"/>
      <c r="AG891" s="305"/>
      <c r="AH891" s="305"/>
      <c r="AI891" s="305"/>
      <c r="AJ891" s="331"/>
      <c r="AK891" s="441"/>
      <c r="AL891" s="305"/>
      <c r="AM891" s="305"/>
      <c r="AN891" s="305"/>
      <c r="AO891" s="331"/>
      <c r="AP891" s="569"/>
      <c r="AQ891" s="569"/>
      <c r="AR891" s="442"/>
      <c r="AS891" s="442"/>
      <c r="AT891" s="442"/>
      <c r="AU891" s="1690"/>
      <c r="AV891" s="1902"/>
      <c r="AW891" s="1837"/>
      <c r="AX891" s="1837"/>
      <c r="AY891" s="1903"/>
      <c r="AZ891" s="441"/>
      <c r="BA891" s="1902"/>
      <c r="BB891" s="1837"/>
      <c r="BC891" s="1837"/>
      <c r="BD891" s="1903"/>
      <c r="BE891" s="441"/>
      <c r="BF891" s="1837"/>
      <c r="BG891" s="1837"/>
      <c r="BH891" s="1837"/>
      <c r="BI891" s="1903"/>
      <c r="BJ891" s="442"/>
      <c r="BK891" s="1902"/>
      <c r="BL891" s="1837"/>
      <c r="BM891" s="1837"/>
      <c r="BN891" s="1837"/>
      <c r="BO891" s="441"/>
      <c r="BP891" s="1837"/>
      <c r="BQ891" s="1837"/>
      <c r="BR891" s="1837"/>
      <c r="BS891" s="1837"/>
      <c r="BT891" s="3236"/>
      <c r="BU891" s="1837"/>
      <c r="BV891" s="1837"/>
      <c r="BW891" s="1837"/>
      <c r="BX891" s="1837"/>
      <c r="BY891" s="3236"/>
      <c r="BZ891" s="441"/>
      <c r="CA891" s="441"/>
      <c r="CB891" s="441"/>
      <c r="CC891" s="441"/>
      <c r="CD891" s="441"/>
      <c r="CE891" s="441"/>
      <c r="CF891" s="441"/>
      <c r="CG891" s="331"/>
      <c r="CH891" s="331"/>
      <c r="CI891" s="331"/>
      <c r="CJ891" s="331"/>
      <c r="CK891" s="331"/>
      <c r="CL891" s="520"/>
      <c r="CM891" s="442"/>
      <c r="CN891" s="442"/>
      <c r="CO891" s="442"/>
      <c r="CP891" s="442"/>
      <c r="CQ891" s="442"/>
      <c r="CR891" s="442"/>
      <c r="CS891" s="442"/>
      <c r="CT891" s="442"/>
      <c r="CU891" s="442"/>
      <c r="CV891" s="442"/>
      <c r="CW891" s="442"/>
      <c r="CX891" s="442"/>
      <c r="CY891" s="442"/>
      <c r="CZ891" s="442"/>
      <c r="DA891" s="442"/>
      <c r="DB891" s="442"/>
      <c r="DC891" s="1312"/>
      <c r="DD891" s="331"/>
      <c r="DE891" s="331"/>
      <c r="DF891" s="502"/>
      <c r="DG891" s="503"/>
      <c r="DH891" s="3298"/>
      <c r="DI891" s="3213"/>
      <c r="DJ891" s="502"/>
      <c r="DK891" s="503"/>
      <c r="DL891" s="502"/>
      <c r="DM891" s="502"/>
      <c r="DN891" s="502"/>
      <c r="DO891" s="502"/>
      <c r="DP891" s="503"/>
      <c r="DQ891" s="503"/>
      <c r="DR891" s="296"/>
      <c r="DS891" s="296"/>
      <c r="DT891" s="296"/>
    </row>
    <row r="892" spans="1:124" ht="12" customHeight="1" x14ac:dyDescent="0.25">
      <c r="A892" s="311" t="s">
        <v>601</v>
      </c>
      <c r="B892" s="281"/>
      <c r="C892" s="452">
        <f>C897-C895</f>
        <v>29.938720499999995</v>
      </c>
      <c r="D892" s="452">
        <f>D897-D895</f>
        <v>25.602288499999993</v>
      </c>
      <c r="E892" s="452">
        <f>E897-E895</f>
        <v>30.796786500000003</v>
      </c>
      <c r="F892" s="452">
        <f>F897-F895</f>
        <v>25.675212500000008</v>
      </c>
      <c r="G892" s="475">
        <f>SUM(C892:F892)</f>
        <v>112.01300800000001</v>
      </c>
      <c r="H892" s="452">
        <f>H897-H895</f>
        <v>28.410158899999999</v>
      </c>
      <c r="I892" s="452">
        <f>I897-I895</f>
        <v>27.695988900000003</v>
      </c>
      <c r="J892" s="452">
        <f>J897-J895</f>
        <v>29.185371899999993</v>
      </c>
      <c r="K892" s="452">
        <f>K897-K895</f>
        <v>26.839369900000001</v>
      </c>
      <c r="L892" s="475">
        <f>SUM(H892:K892)</f>
        <v>112.13088959999999</v>
      </c>
      <c r="M892" s="452">
        <f>M897-M895</f>
        <v>28.186084797500008</v>
      </c>
      <c r="N892" s="452">
        <f>N897-N895</f>
        <v>25.875654797500012</v>
      </c>
      <c r="O892" s="452">
        <f>O897-O895</f>
        <v>29.091189797500022</v>
      </c>
      <c r="P892" s="452">
        <f>P897-P895</f>
        <v>29.601500797500016</v>
      </c>
      <c r="Q892" s="475">
        <f>SUM(M892:P892)</f>
        <v>112.75443019000005</v>
      </c>
      <c r="R892" s="452">
        <f>R897-R895</f>
        <v>29.213779167500007</v>
      </c>
      <c r="S892" s="452">
        <f>S897-S895</f>
        <v>29.4860291675</v>
      </c>
      <c r="T892" s="452">
        <f>T897-T895</f>
        <v>29.369827167500013</v>
      </c>
      <c r="U892" s="452">
        <f>U897-U895</f>
        <v>27.281425167500004</v>
      </c>
      <c r="V892" s="475">
        <f>SUM(R892:U892)</f>
        <v>115.35106067000002</v>
      </c>
      <c r="W892" s="452">
        <f>W897-W895</f>
        <v>33.080485393250015</v>
      </c>
      <c r="X892" s="452">
        <f>X897-X895</f>
        <v>29.898954393250001</v>
      </c>
      <c r="Y892" s="452">
        <f>Y897-Y895</f>
        <v>25.028032393250008</v>
      </c>
      <c r="Z892" s="452">
        <f>Z897-Z895</f>
        <v>24.68268039325001</v>
      </c>
      <c r="AA892" s="475">
        <f>SUM(W892:Z892)</f>
        <v>112.69015257300003</v>
      </c>
      <c r="AB892" s="452">
        <f>AB897-AB895</f>
        <v>26.096250000000005</v>
      </c>
      <c r="AC892" s="452">
        <f>AC897-AC895</f>
        <v>23.738650000000007</v>
      </c>
      <c r="AD892" s="452">
        <f>AD897-AD895</f>
        <v>36.248549999999994</v>
      </c>
      <c r="AE892" s="452">
        <f>AE897-AE895</f>
        <v>28.12265</v>
      </c>
      <c r="AF892" s="477">
        <f>SUM(AB892:AE892)</f>
        <v>114.20609999999999</v>
      </c>
      <c r="AG892" s="452">
        <f>AG897-AG895</f>
        <v>30.77024978</v>
      </c>
      <c r="AH892" s="452">
        <f>AH897-AH895</f>
        <v>30.315158780000004</v>
      </c>
      <c r="AI892" s="452">
        <f>AI897-AI895</f>
        <v>30.881457779999998</v>
      </c>
      <c r="AJ892" s="452">
        <f>AJ897-AJ895</f>
        <v>25.820418780000004</v>
      </c>
      <c r="AK892" s="477">
        <f>SUM(AG892:AJ892)</f>
        <v>117.78728512000001</v>
      </c>
      <c r="AL892" s="452">
        <f>AL897-AL895</f>
        <v>28.686708695000007</v>
      </c>
      <c r="AM892" s="452">
        <f>AM897-AM895</f>
        <v>27.822427694999988</v>
      </c>
      <c r="AN892" s="452">
        <f>AI892*(1+AN894)</f>
        <v>28.5653484465</v>
      </c>
      <c r="AO892" s="452">
        <f>AJ892*(1+AO894)</f>
        <v>25.045806216600003</v>
      </c>
      <c r="AP892" s="478">
        <f>SUM(AL892:AO892)</f>
        <v>110.12029105309999</v>
      </c>
      <c r="AQ892" s="478">
        <f>AL892*(1+AQ894)</f>
        <v>28.112974521100007</v>
      </c>
      <c r="AR892" s="476">
        <f>AM892*(1+AR894)</f>
        <v>25.04018492549999</v>
      </c>
      <c r="AS892" s="476">
        <f>AN892*(1+AS894)</f>
        <v>22.852278757200001</v>
      </c>
      <c r="AT892" s="476">
        <f>AO892*(1+AT894)</f>
        <v>21.28893528411</v>
      </c>
      <c r="AU892" s="1464">
        <f>SUM(AQ892:AT892)</f>
        <v>97.294373487909994</v>
      </c>
      <c r="AV892" s="1865">
        <f>AQ892*(1+AV894)</f>
        <v>25.863936559412007</v>
      </c>
      <c r="AW892" s="1771">
        <f>AR892*(1+AW894)</f>
        <v>18.780138694124993</v>
      </c>
      <c r="AX892" s="1771">
        <f>AS892*(1+AX894)</f>
        <v>17.139209067900001</v>
      </c>
      <c r="AY892" s="1866">
        <f>AT892*(1+AY894)</f>
        <v>14.902254698876998</v>
      </c>
      <c r="AZ892" s="1464">
        <f>SUM(AV892:AY892)</f>
        <v>76.685539020313996</v>
      </c>
      <c r="BA892" s="1865">
        <f>AV892*(1+BA894)</f>
        <v>23.277542903470806</v>
      </c>
      <c r="BB892" s="1771">
        <f>AW892*(1+BB894)</f>
        <v>17.841131759418744</v>
      </c>
      <c r="BC892" s="1771">
        <f>AX892*(1+BC894)</f>
        <v>16.282248614505001</v>
      </c>
      <c r="BD892" s="1866">
        <f>AY892*(1+BD894)</f>
        <v>14.157141963933148</v>
      </c>
      <c r="BE892" s="1464">
        <f>SUM(BA892:BD892)</f>
        <v>71.558065241327697</v>
      </c>
      <c r="BF892" s="1771">
        <f>BA892*(1+BF894)</f>
        <v>20.367850040536954</v>
      </c>
      <c r="BG892" s="1771">
        <f>BB892*(1+BG894)</f>
        <v>16.949075171447806</v>
      </c>
      <c r="BH892" s="1771">
        <f>BC892*(1+BH894)</f>
        <v>15.46813618377975</v>
      </c>
      <c r="BI892" s="1866">
        <f>BD892*(1+BI894)</f>
        <v>13.873999124654485</v>
      </c>
      <c r="BJ892" s="1771">
        <f>SUM(BF892:BI892)</f>
        <v>66.65906052041899</v>
      </c>
      <c r="BK892" s="1865">
        <f>BF892*(1+BK894)</f>
        <v>19.85865378952353</v>
      </c>
      <c r="BL892" s="1771">
        <f>BG892*(1+BL894)</f>
        <v>16.271112164589894</v>
      </c>
      <c r="BM892" s="1771">
        <f>BH892*(1+BM894)</f>
        <v>15.46813618377975</v>
      </c>
      <c r="BN892" s="1771">
        <f>BI892*(1+BN894)</f>
        <v>14.012739115901031</v>
      </c>
      <c r="BO892" s="1464">
        <f>SUM(BK892:BN892)</f>
        <v>65.610641253794199</v>
      </c>
      <c r="BP892" s="1771">
        <f>BK892*(1+BP894)</f>
        <v>18.468548024256883</v>
      </c>
      <c r="BQ892" s="1771">
        <f>BL892*(1+BQ894)</f>
        <v>16.271112164589894</v>
      </c>
      <c r="BR892" s="1771">
        <f>BM892*(1+BR894)</f>
        <v>16.241542992968739</v>
      </c>
      <c r="BS892" s="1771">
        <f>BN892*(1+BS894)</f>
        <v>14.503184984957565</v>
      </c>
      <c r="BT892" s="2604">
        <f>SUM(BP892:BS892)</f>
        <v>65.484388166773087</v>
      </c>
      <c r="BU892" s="1771">
        <f>BP892*(1+BU894)</f>
        <v>19.391975425469727</v>
      </c>
      <c r="BV892" s="1771">
        <f>BQ892*(1+BV894)</f>
        <v>16.271112164589894</v>
      </c>
      <c r="BW892" s="1771">
        <f>BR892*(1+BW894)</f>
        <v>16.079127563039052</v>
      </c>
      <c r="BX892" s="1771">
        <f>BS892*(1+BX894)</f>
        <v>14.503184984957565</v>
      </c>
      <c r="BY892" s="2604">
        <f>SUM(BU892:BX892)</f>
        <v>66.24540013805624</v>
      </c>
      <c r="BZ892" s="477">
        <f t="shared" ref="BZ892:CF892" si="2121">BY892*(1+BZ894)</f>
        <v>65.251719135985397</v>
      </c>
      <c r="CA892" s="477">
        <f t="shared" si="2121"/>
        <v>65.904236327345245</v>
      </c>
      <c r="CB892" s="477">
        <f t="shared" si="2121"/>
        <v>63.927109237524888</v>
      </c>
      <c r="CC892" s="477">
        <f t="shared" si="2121"/>
        <v>62.009295960399143</v>
      </c>
      <c r="CD892" s="477">
        <f t="shared" si="2121"/>
        <v>62.629388920003137</v>
      </c>
      <c r="CE892" s="477">
        <f t="shared" si="2121"/>
        <v>63.255682809203172</v>
      </c>
      <c r="CF892" s="477">
        <f t="shared" si="2121"/>
        <v>63.888239637295207</v>
      </c>
      <c r="CG892" s="331"/>
      <c r="CH892" s="331"/>
      <c r="CI892" s="331"/>
      <c r="CJ892" s="331"/>
      <c r="CK892" s="331"/>
      <c r="CL892" s="528" t="str">
        <f t="shared" ref="CL892:CL897" si="2122">A892</f>
        <v>Operating expenses</v>
      </c>
      <c r="CM892" s="476">
        <f t="shared" ref="CM892:CM897" si="2123">G892</f>
        <v>112.01300800000001</v>
      </c>
      <c r="CN892" s="476">
        <f t="shared" ref="CN892:CN897" si="2124">L892</f>
        <v>112.13088959999999</v>
      </c>
      <c r="CO892" s="476">
        <f t="shared" ref="CO892:CO897" si="2125">Q892</f>
        <v>112.75443019000005</v>
      </c>
      <c r="CP892" s="476">
        <f t="shared" ref="CP892:CP897" si="2126">V892</f>
        <v>115.35106067000002</v>
      </c>
      <c r="CQ892" s="476">
        <f t="shared" ref="CQ892:CQ897" si="2127">AA892</f>
        <v>112.69015257300003</v>
      </c>
      <c r="CR892" s="476">
        <f t="shared" ref="CR892:CR897" si="2128">AF892</f>
        <v>114.20609999999999</v>
      </c>
      <c r="CS892" s="476">
        <f t="shared" ref="CS892:CS897" si="2129">AK892</f>
        <v>117.78728512000001</v>
      </c>
      <c r="CT892" s="476">
        <f t="shared" ref="CT892:CT897" si="2130">AP892</f>
        <v>110.12029105309999</v>
      </c>
      <c r="CU892" s="476">
        <f t="shared" ref="CU892:CU897" si="2131">AU892</f>
        <v>97.294373487909994</v>
      </c>
      <c r="CV892" s="476">
        <f t="shared" ref="CV892:CV897" si="2132">AZ892</f>
        <v>76.685539020313996</v>
      </c>
      <c r="CW892" s="476">
        <f t="shared" ref="CW892:CW897" si="2133">BE892</f>
        <v>71.558065241327697</v>
      </c>
      <c r="CX892" s="476">
        <f t="shared" ref="CX892:CX897" si="2134">BJ892</f>
        <v>66.65906052041899</v>
      </c>
      <c r="CY892" s="476">
        <f t="shared" ref="CY892:CY897" si="2135">BO892</f>
        <v>65.610641253794199</v>
      </c>
      <c r="CZ892" s="476">
        <f t="shared" ref="CZ892:CZ897" si="2136">BT892</f>
        <v>65.484388166773087</v>
      </c>
      <c r="DA892" s="476">
        <f t="shared" ref="DA892:DC897" si="2137">BY892</f>
        <v>66.24540013805624</v>
      </c>
      <c r="DB892" s="476">
        <f t="shared" si="2137"/>
        <v>65.251719135985397</v>
      </c>
      <c r="DC892" s="682">
        <f t="shared" si="2137"/>
        <v>65.904236327345245</v>
      </c>
      <c r="DD892" s="331"/>
      <c r="DE892" s="331"/>
      <c r="DF892" s="502"/>
      <c r="DG892" s="503"/>
      <c r="DH892" s="2577"/>
      <c r="DI892" s="3213"/>
      <c r="DJ892" s="502"/>
      <c r="DK892" s="503"/>
      <c r="DL892" s="502"/>
      <c r="DM892" s="502"/>
      <c r="DN892" s="502"/>
      <c r="DO892" s="502"/>
      <c r="DP892" s="503"/>
      <c r="DQ892" s="503"/>
      <c r="DR892" s="296"/>
      <c r="DS892" s="296"/>
      <c r="DT892" s="296"/>
    </row>
    <row r="893" spans="1:124" ht="12" customHeight="1" x14ac:dyDescent="0.25">
      <c r="A893" s="465" t="s">
        <v>646</v>
      </c>
      <c r="B893" s="466"/>
      <c r="C893" s="467">
        <f t="shared" ref="C893:AF893" si="2138">C892/C889</f>
        <v>0.26510161334596616</v>
      </c>
      <c r="D893" s="467">
        <f t="shared" si="2138"/>
        <v>0.23695072143194285</v>
      </c>
      <c r="E893" s="467">
        <f t="shared" si="2138"/>
        <v>0.26662961022994874</v>
      </c>
      <c r="F893" s="467">
        <f t="shared" si="2138"/>
        <v>0.24500885078201795</v>
      </c>
      <c r="G893" s="468">
        <f t="shared" si="2138"/>
        <v>0.25383715971074988</v>
      </c>
      <c r="H893" s="467">
        <f t="shared" si="2138"/>
        <v>0.25209777629885977</v>
      </c>
      <c r="I893" s="467">
        <f t="shared" si="2138"/>
        <v>0.24743584408390812</v>
      </c>
      <c r="J893" s="467">
        <f t="shared" si="2138"/>
        <v>0.25502548824284998</v>
      </c>
      <c r="K893" s="467">
        <f t="shared" si="2138"/>
        <v>0.24501665951561519</v>
      </c>
      <c r="L893" s="468">
        <f t="shared" si="2138"/>
        <v>0.24995238526199876</v>
      </c>
      <c r="M893" s="467">
        <f t="shared" si="2138"/>
        <v>0.23456542194768781</v>
      </c>
      <c r="N893" s="467">
        <f t="shared" si="2138"/>
        <v>0.22501743393133566</v>
      </c>
      <c r="O893" s="467">
        <f t="shared" si="2138"/>
        <v>0.24201112920736087</v>
      </c>
      <c r="P893" s="467">
        <f t="shared" si="2138"/>
        <v>0.2494165196152778</v>
      </c>
      <c r="Q893" s="468">
        <f t="shared" si="2138"/>
        <v>0.23785546168515304</v>
      </c>
      <c r="R893" s="467">
        <f t="shared" si="2138"/>
        <v>0.23973624355807585</v>
      </c>
      <c r="S893" s="467">
        <f t="shared" si="2138"/>
        <v>0.24321182790177834</v>
      </c>
      <c r="T893" s="467">
        <f t="shared" si="2138"/>
        <v>0.24117712841915973</v>
      </c>
      <c r="U893" s="467">
        <f t="shared" si="2138"/>
        <v>0.23963025408878508</v>
      </c>
      <c r="V893" s="468">
        <f t="shared" si="2138"/>
        <v>0.24095776576655623</v>
      </c>
      <c r="W893" s="467">
        <f t="shared" si="2138"/>
        <v>0.27976460026090133</v>
      </c>
      <c r="X893" s="467">
        <f t="shared" si="2138"/>
        <v>0.26838313160434096</v>
      </c>
      <c r="Y893" s="467">
        <f t="shared" si="2138"/>
        <v>0.23853259369311422</v>
      </c>
      <c r="Z893" s="467">
        <f t="shared" si="2138"/>
        <v>0.25313233027976917</v>
      </c>
      <c r="AA893" s="468">
        <f t="shared" si="2138"/>
        <v>0.26080732956475861</v>
      </c>
      <c r="AB893" s="467">
        <f t="shared" si="2138"/>
        <v>0.25710337829183955</v>
      </c>
      <c r="AC893" s="467">
        <f t="shared" si="2138"/>
        <v>0.24891108314983754</v>
      </c>
      <c r="AD893" s="467">
        <f t="shared" si="2138"/>
        <v>0.30387933202555201</v>
      </c>
      <c r="AE893" s="469">
        <f t="shared" si="2138"/>
        <v>0.26566390825445407</v>
      </c>
      <c r="AF893" s="470">
        <f t="shared" si="2138"/>
        <v>0.27062094949231658</v>
      </c>
      <c r="AG893" s="467">
        <f t="shared" ref="AG893:AP893" si="2139">AG892/AG889</f>
        <v>0.27709462547052571</v>
      </c>
      <c r="AH893" s="467">
        <f t="shared" si="2139"/>
        <v>0.27517958317069852</v>
      </c>
      <c r="AI893" s="467">
        <f t="shared" si="2139"/>
        <v>0.27833921693751179</v>
      </c>
      <c r="AJ893" s="469">
        <f t="shared" si="2139"/>
        <v>0.24794425454685132</v>
      </c>
      <c r="AK893" s="470">
        <f t="shared" si="2139"/>
        <v>0.26996980302453827</v>
      </c>
      <c r="AL893" s="467">
        <f t="shared" si="2139"/>
        <v>0.25849470781970885</v>
      </c>
      <c r="AM893" s="467">
        <f t="shared" si="2139"/>
        <v>0.252988658285974</v>
      </c>
      <c r="AN893" s="467">
        <f t="shared" si="2139"/>
        <v>0.25849272577856103</v>
      </c>
      <c r="AO893" s="469">
        <f t="shared" si="2139"/>
        <v>0.23595831960463462</v>
      </c>
      <c r="AP893" s="471">
        <f t="shared" si="2139"/>
        <v>0.25164404640861532</v>
      </c>
      <c r="AQ893" s="471">
        <f t="shared" ref="AQ893:BK893" si="2140">AQ892/AQ889</f>
        <v>0.25168291015985383</v>
      </c>
      <c r="AR893" s="469">
        <f t="shared" si="2140"/>
        <v>0.24567263385618404</v>
      </c>
      <c r="AS893" s="469">
        <f t="shared" si="2140"/>
        <v>0.23577073601078288</v>
      </c>
      <c r="AT893" s="469">
        <f t="shared" si="2140"/>
        <v>0.24766785072839104</v>
      </c>
      <c r="AU893" s="1689">
        <f t="shared" si="2140"/>
        <v>0.24537781519808022</v>
      </c>
      <c r="AV893" s="1730">
        <f>AV892/AV889</f>
        <v>0.29714785236118274</v>
      </c>
      <c r="AW893" s="1465">
        <f>AW892/AW889</f>
        <v>0.27778720335425688</v>
      </c>
      <c r="AX893" s="1465">
        <f>AX892/AX889</f>
        <v>0.27231560150784206</v>
      </c>
      <c r="AY893" s="1868">
        <f>AY892/AY889</f>
        <v>0.26818413676699382</v>
      </c>
      <c r="AZ893" s="470">
        <f t="shared" si="2140"/>
        <v>0.28074221995444582</v>
      </c>
      <c r="BA893" s="1730">
        <f>BA892/BA889</f>
        <v>0.44594557816273744</v>
      </c>
      <c r="BB893" s="1465">
        <f>BB892/BB889</f>
        <v>0.35982388040523738</v>
      </c>
      <c r="BC893" s="1465">
        <f>BC892/BC889</f>
        <v>0.33665648615460242</v>
      </c>
      <c r="BD893" s="1868">
        <f>BD892/BD889</f>
        <v>0.30246167307615301</v>
      </c>
      <c r="BE893" s="470">
        <f t="shared" si="2140"/>
        <v>0.36332724665918698</v>
      </c>
      <c r="BF893" s="1465">
        <f t="shared" si="2140"/>
        <v>0.43794693201113438</v>
      </c>
      <c r="BG893" s="1465">
        <f t="shared" si="2140"/>
        <v>0.3674377691545529</v>
      </c>
      <c r="BH893" s="1465">
        <f t="shared" si="2140"/>
        <v>0.34878079825920982</v>
      </c>
      <c r="BI893" s="1868">
        <f t="shared" si="2140"/>
        <v>0.314559668556117</v>
      </c>
      <c r="BJ893" s="469">
        <f t="shared" si="2140"/>
        <v>0.36809789505246199</v>
      </c>
      <c r="BK893" s="1730">
        <f t="shared" si="2140"/>
        <v>0.43284663174967281</v>
      </c>
      <c r="BL893" s="1465">
        <f t="shared" ref="BL893:CF893" si="2141">BL892/BL889</f>
        <v>0.36840810045260824</v>
      </c>
      <c r="BM893" s="1465">
        <f t="shared" si="2141"/>
        <v>0.35006079126846701</v>
      </c>
      <c r="BN893" s="1465">
        <f t="shared" si="2141"/>
        <v>0.32755296156765495</v>
      </c>
      <c r="BO893" s="470">
        <f t="shared" si="2141"/>
        <v>0.37065590768063261</v>
      </c>
      <c r="BP893" s="1465">
        <f t="shared" si="2141"/>
        <v>0.42107065916014508</v>
      </c>
      <c r="BQ893" s="1465">
        <f t="shared" si="2141"/>
        <v>0.36916274421150846</v>
      </c>
      <c r="BR893" s="1465">
        <f t="shared" si="2141"/>
        <v>0.34489085854031509</v>
      </c>
      <c r="BS893" s="1465">
        <f t="shared" si="2141"/>
        <v>0.32891615498760274</v>
      </c>
      <c r="BT893" s="470">
        <f t="shared" si="2141"/>
        <v>0.36558470787202618</v>
      </c>
      <c r="BU893" s="1465">
        <f t="shared" si="2141"/>
        <v>0.43176518483786624</v>
      </c>
      <c r="BV893" s="1465">
        <f t="shared" si="2141"/>
        <v>0.36192425903089065</v>
      </c>
      <c r="BW893" s="1465">
        <f t="shared" si="2141"/>
        <v>0.3363960098077951</v>
      </c>
      <c r="BX893" s="1465">
        <f t="shared" si="2141"/>
        <v>0.32405532511093871</v>
      </c>
      <c r="BY893" s="470">
        <f t="shared" si="2141"/>
        <v>0.36313979791090095</v>
      </c>
      <c r="BZ893" s="470">
        <f t="shared" si="2141"/>
        <v>0.35591313526590784</v>
      </c>
      <c r="CA893" s="470">
        <f t="shared" si="2141"/>
        <v>0.3594722666185669</v>
      </c>
      <c r="CB893" s="470">
        <f t="shared" si="2141"/>
        <v>0.36004886373795519</v>
      </c>
      <c r="CC893" s="470">
        <f t="shared" si="2141"/>
        <v>0.36762883981664901</v>
      </c>
      <c r="CD893" s="470">
        <f t="shared" si="2141"/>
        <v>0.36402463550472103</v>
      </c>
      <c r="CE893" s="470">
        <f t="shared" si="2141"/>
        <v>0.36045576652918454</v>
      </c>
      <c r="CF893" s="470">
        <f t="shared" si="2141"/>
        <v>0.35692188646517292</v>
      </c>
      <c r="CG893" s="492"/>
      <c r="CH893" s="492"/>
      <c r="CI893" s="492"/>
      <c r="CJ893" s="492"/>
      <c r="CK893" s="492"/>
      <c r="CL893" s="1310" t="str">
        <f t="shared" si="2122"/>
        <v>% of Net revenue</v>
      </c>
      <c r="CM893" s="469">
        <f t="shared" si="2123"/>
        <v>0.25383715971074988</v>
      </c>
      <c r="CN893" s="469">
        <f t="shared" si="2124"/>
        <v>0.24995238526199876</v>
      </c>
      <c r="CO893" s="469">
        <f t="shared" si="2125"/>
        <v>0.23785546168515304</v>
      </c>
      <c r="CP893" s="469">
        <f t="shared" si="2126"/>
        <v>0.24095776576655623</v>
      </c>
      <c r="CQ893" s="469">
        <f t="shared" si="2127"/>
        <v>0.26080732956475861</v>
      </c>
      <c r="CR893" s="469">
        <f t="shared" si="2128"/>
        <v>0.27062094949231658</v>
      </c>
      <c r="CS893" s="469">
        <f t="shared" si="2129"/>
        <v>0.26996980302453827</v>
      </c>
      <c r="CT893" s="469">
        <f t="shared" si="2130"/>
        <v>0.25164404640861532</v>
      </c>
      <c r="CU893" s="469">
        <f t="shared" si="2131"/>
        <v>0.24537781519808022</v>
      </c>
      <c r="CV893" s="469">
        <f t="shared" si="2132"/>
        <v>0.28074221995444582</v>
      </c>
      <c r="CW893" s="469">
        <f t="shared" si="2133"/>
        <v>0.36332724665918698</v>
      </c>
      <c r="CX893" s="469">
        <f t="shared" si="2134"/>
        <v>0.36809789505246199</v>
      </c>
      <c r="CY893" s="469">
        <f t="shared" si="2135"/>
        <v>0.37065590768063261</v>
      </c>
      <c r="CZ893" s="469">
        <f t="shared" si="2136"/>
        <v>0.36558470787202618</v>
      </c>
      <c r="DA893" s="469">
        <f t="shared" si="2137"/>
        <v>0.36313979791090095</v>
      </c>
      <c r="DB893" s="469">
        <f t="shared" si="2137"/>
        <v>0.35591313526590784</v>
      </c>
      <c r="DC893" s="1463">
        <f t="shared" si="2137"/>
        <v>0.3594722666185669</v>
      </c>
      <c r="DD893" s="492"/>
      <c r="DE893" s="492"/>
      <c r="DF893" s="962"/>
      <c r="DG893" s="962"/>
      <c r="DH893" s="469"/>
      <c r="DI893" s="3213"/>
      <c r="DJ893" s="962"/>
      <c r="DK893" s="962"/>
      <c r="DL893" s="962"/>
      <c r="DM893" s="962"/>
      <c r="DN893" s="962"/>
      <c r="DO893" s="962"/>
      <c r="DP893" s="962"/>
      <c r="DQ893" s="962"/>
      <c r="DR893" s="963"/>
      <c r="DS893" s="963"/>
      <c r="DT893" s="963"/>
    </row>
    <row r="894" spans="1:124" ht="12" customHeight="1" x14ac:dyDescent="0.25">
      <c r="A894" s="465" t="s">
        <v>1491</v>
      </c>
      <c r="B894" s="466"/>
      <c r="C894" s="467" t="s">
        <v>553</v>
      </c>
      <c r="D894" s="467" t="s">
        <v>553</v>
      </c>
      <c r="E894" s="467" t="s">
        <v>553</v>
      </c>
      <c r="F894" s="467" t="s">
        <v>553</v>
      </c>
      <c r="G894" s="468" t="s">
        <v>553</v>
      </c>
      <c r="H894" s="467">
        <f t="shared" ref="H894:AF894" si="2142">(H892-C892)/C892</f>
        <v>-5.105634357353369E-2</v>
      </c>
      <c r="I894" s="467">
        <f t="shared" si="2142"/>
        <v>8.1777861381415601E-2</v>
      </c>
      <c r="J894" s="467">
        <f t="shared" si="2142"/>
        <v>-5.2324115050120905E-2</v>
      </c>
      <c r="K894" s="467">
        <f t="shared" si="2142"/>
        <v>4.5341685098029591E-2</v>
      </c>
      <c r="L894" s="468">
        <f t="shared" si="2142"/>
        <v>1.0523920578936296E-3</v>
      </c>
      <c r="M894" s="467">
        <f t="shared" si="2142"/>
        <v>-7.8871119055934115E-3</v>
      </c>
      <c r="N894" s="467">
        <f t="shared" si="2142"/>
        <v>-6.5725549973050121E-2</v>
      </c>
      <c r="O894" s="467">
        <f t="shared" si="2142"/>
        <v>-3.2270310901870397E-3</v>
      </c>
      <c r="P894" s="467">
        <f t="shared" si="2142"/>
        <v>0.10291340325020129</v>
      </c>
      <c r="Q894" s="468">
        <f t="shared" si="2142"/>
        <v>5.5608279950724792E-3</v>
      </c>
      <c r="R894" s="467">
        <f t="shared" si="2142"/>
        <v>3.6461054360098687E-2</v>
      </c>
      <c r="S894" s="467">
        <f t="shared" si="2142"/>
        <v>0.13952784570107984</v>
      </c>
      <c r="T894" s="467">
        <f t="shared" si="2142"/>
        <v>9.5780671722108905E-3</v>
      </c>
      <c r="U894" s="467">
        <f t="shared" si="2142"/>
        <v>-7.8376959528888263E-2</v>
      </c>
      <c r="V894" s="468">
        <f t="shared" si="2142"/>
        <v>2.3029077222282507E-2</v>
      </c>
      <c r="W894" s="467">
        <f t="shared" si="2142"/>
        <v>0.13235898729773632</v>
      </c>
      <c r="X894" s="467">
        <f t="shared" si="2142"/>
        <v>1.4004097445753547E-2</v>
      </c>
      <c r="Y894" s="467">
        <f t="shared" si="2142"/>
        <v>-0.14783181220264505</v>
      </c>
      <c r="Z894" s="467">
        <f t="shared" si="2142"/>
        <v>-9.5256928781926084E-2</v>
      </c>
      <c r="AA894" s="468">
        <f t="shared" si="2142"/>
        <v>-2.3067911829717801E-2</v>
      </c>
      <c r="AB894" s="467">
        <f t="shared" si="2142"/>
        <v>-0.21112856447611633</v>
      </c>
      <c r="AC894" s="467">
        <f t="shared" si="2142"/>
        <v>-0.20603745242143809</v>
      </c>
      <c r="AD894" s="467">
        <f t="shared" si="2142"/>
        <v>0.44831800720284065</v>
      </c>
      <c r="AE894" s="469">
        <f t="shared" si="2142"/>
        <v>0.13936774904279525</v>
      </c>
      <c r="AF894" s="470">
        <f t="shared" si="2142"/>
        <v>1.345235047062285E-2</v>
      </c>
      <c r="AG894" s="467">
        <f t="shared" ref="AG894:AM894" si="2143">(AG892-AB892)/AB892</f>
        <v>0.17910618498826439</v>
      </c>
      <c r="AH894" s="467">
        <f t="shared" si="2143"/>
        <v>0.27703802785752329</v>
      </c>
      <c r="AI894" s="467">
        <f t="shared" si="2143"/>
        <v>-0.1480636389593514</v>
      </c>
      <c r="AJ894" s="467">
        <f t="shared" si="2143"/>
        <v>-8.1863950232285931E-2</v>
      </c>
      <c r="AK894" s="470">
        <f t="shared" si="2143"/>
        <v>3.1357214019216269E-2</v>
      </c>
      <c r="AL894" s="467">
        <f t="shared" si="2143"/>
        <v>-6.7712842758730213E-2</v>
      </c>
      <c r="AM894" s="467">
        <f t="shared" si="2143"/>
        <v>-8.2227215205765661E-2</v>
      </c>
      <c r="AN894" s="538">
        <v>-7.4999999999999997E-2</v>
      </c>
      <c r="AO894" s="538">
        <v>-0.03</v>
      </c>
      <c r="AP894" s="471">
        <f>(AP892-AK892)/AK892</f>
        <v>-6.5091865043743841E-2</v>
      </c>
      <c r="AQ894" s="1667">
        <v>-0.02</v>
      </c>
      <c r="AR894" s="540">
        <v>-0.1</v>
      </c>
      <c r="AS894" s="540">
        <v>-0.2</v>
      </c>
      <c r="AT894" s="540">
        <v>-0.15</v>
      </c>
      <c r="AU894" s="1689">
        <f>(AU892-AP892)/AP892</f>
        <v>-0.11647188218023634</v>
      </c>
      <c r="AV894" s="1667">
        <v>-0.08</v>
      </c>
      <c r="AW894" s="540">
        <v>-0.25</v>
      </c>
      <c r="AX894" s="540">
        <v>-0.25</v>
      </c>
      <c r="AY894" s="1668">
        <v>-0.3</v>
      </c>
      <c r="AZ894" s="1689">
        <f>(AZ892-AU892)/AU892</f>
        <v>-0.21181938614525223</v>
      </c>
      <c r="BA894" s="1667">
        <v>-0.1</v>
      </c>
      <c r="BB894" s="540">
        <v>-0.05</v>
      </c>
      <c r="BC894" s="540">
        <v>-0.05</v>
      </c>
      <c r="BD894" s="1668">
        <v>-0.05</v>
      </c>
      <c r="BE894" s="1689">
        <f>(BE892-AZ892)/AZ892</f>
        <v>-6.6863633541495118E-2</v>
      </c>
      <c r="BF894" s="540">
        <v>-0.125</v>
      </c>
      <c r="BG894" s="540">
        <v>-0.05</v>
      </c>
      <c r="BH894" s="540">
        <v>-0.05</v>
      </c>
      <c r="BI894" s="540">
        <v>-0.02</v>
      </c>
      <c r="BJ894" s="1730">
        <f>(BJ892-BE892)/BE892</f>
        <v>-6.8461950506724045E-2</v>
      </c>
      <c r="BK894" s="1667">
        <v>-2.5000000000000001E-2</v>
      </c>
      <c r="BL894" s="540">
        <v>-0.04</v>
      </c>
      <c r="BM894" s="540">
        <v>0</v>
      </c>
      <c r="BN894" s="540">
        <v>0.01</v>
      </c>
      <c r="BO894" s="1689">
        <f>(BO892-BJ892)/BJ892</f>
        <v>-1.5728083450915711E-2</v>
      </c>
      <c r="BP894" s="540">
        <v>-7.0000000000000007E-2</v>
      </c>
      <c r="BQ894" s="540">
        <v>0</v>
      </c>
      <c r="BR894" s="540">
        <v>0.05</v>
      </c>
      <c r="BS894" s="540">
        <v>3.5000000000000003E-2</v>
      </c>
      <c r="BT894" s="470">
        <f>(BT892-BO892)/BO892</f>
        <v>-1.9242775959579753E-3</v>
      </c>
      <c r="BU894" s="540">
        <v>0.05</v>
      </c>
      <c r="BV894" s="540">
        <v>0</v>
      </c>
      <c r="BW894" s="540">
        <v>-0.01</v>
      </c>
      <c r="BX894" s="540">
        <v>0</v>
      </c>
      <c r="BY894" s="470">
        <f>(BY892-BT892)/BT892</f>
        <v>1.1621273292575288E-2</v>
      </c>
      <c r="BZ894" s="539">
        <v>-1.4999999999999999E-2</v>
      </c>
      <c r="CA894" s="539">
        <v>0.01</v>
      </c>
      <c r="CB894" s="539">
        <v>-0.03</v>
      </c>
      <c r="CC894" s="539">
        <v>-0.03</v>
      </c>
      <c r="CD894" s="539">
        <v>0.01</v>
      </c>
      <c r="CE894" s="539">
        <v>0.01</v>
      </c>
      <c r="CF894" s="539">
        <v>0.01</v>
      </c>
      <c r="CG894" s="492"/>
      <c r="CH894" s="492"/>
      <c r="CI894" s="492"/>
      <c r="CJ894" s="492"/>
      <c r="CK894" s="492"/>
      <c r="CL894" s="1310" t="str">
        <f t="shared" si="2122"/>
        <v>% growth (y-o-y)</v>
      </c>
      <c r="CM894" s="469" t="str">
        <f t="shared" si="2123"/>
        <v xml:space="preserve">n/a </v>
      </c>
      <c r="CN894" s="469">
        <f t="shared" si="2124"/>
        <v>1.0523920578936296E-3</v>
      </c>
      <c r="CO894" s="469">
        <f t="shared" si="2125"/>
        <v>5.5608279950724792E-3</v>
      </c>
      <c r="CP894" s="469">
        <f t="shared" si="2126"/>
        <v>2.3029077222282507E-2</v>
      </c>
      <c r="CQ894" s="469">
        <f t="shared" si="2127"/>
        <v>-2.3067911829717801E-2</v>
      </c>
      <c r="CR894" s="469">
        <f t="shared" si="2128"/>
        <v>1.345235047062285E-2</v>
      </c>
      <c r="CS894" s="469">
        <f t="shared" si="2129"/>
        <v>3.1357214019216269E-2</v>
      </c>
      <c r="CT894" s="469">
        <f t="shared" si="2130"/>
        <v>-6.5091865043743841E-2</v>
      </c>
      <c r="CU894" s="469">
        <f t="shared" si="2131"/>
        <v>-0.11647188218023634</v>
      </c>
      <c r="CV894" s="469">
        <f t="shared" si="2132"/>
        <v>-0.21181938614525223</v>
      </c>
      <c r="CW894" s="469">
        <f t="shared" si="2133"/>
        <v>-6.6863633541495118E-2</v>
      </c>
      <c r="CX894" s="469">
        <f t="shared" si="2134"/>
        <v>-6.8461950506724045E-2</v>
      </c>
      <c r="CY894" s="469">
        <f t="shared" si="2135"/>
        <v>-1.5728083450915711E-2</v>
      </c>
      <c r="CZ894" s="469">
        <f t="shared" si="2136"/>
        <v>-1.9242775959579753E-3</v>
      </c>
      <c r="DA894" s="469">
        <f t="shared" si="2137"/>
        <v>1.1621273292575288E-2</v>
      </c>
      <c r="DB894" s="469">
        <f t="shared" si="2137"/>
        <v>-1.4999999999999999E-2</v>
      </c>
      <c r="DC894" s="1463">
        <f t="shared" si="2137"/>
        <v>0.01</v>
      </c>
      <c r="DD894" s="492"/>
      <c r="DE894" s="492"/>
      <c r="DF894" s="962"/>
      <c r="DG894" s="962"/>
      <c r="DH894" s="469"/>
      <c r="DI894" s="3213"/>
      <c r="DJ894" s="962"/>
      <c r="DK894" s="962"/>
      <c r="DL894" s="962"/>
      <c r="DM894" s="962"/>
      <c r="DN894" s="962"/>
      <c r="DO894" s="962"/>
      <c r="DP894" s="962"/>
      <c r="DQ894" s="962"/>
      <c r="DR894" s="963"/>
      <c r="DS894" s="963"/>
      <c r="DT894" s="963"/>
    </row>
    <row r="895" spans="1:124" ht="12" customHeight="1" x14ac:dyDescent="0.25">
      <c r="A895" s="311" t="s">
        <v>2161</v>
      </c>
      <c r="B895" s="281"/>
      <c r="C895" s="476">
        <f>Taxes!C298</f>
        <v>46.466279500000006</v>
      </c>
      <c r="D895" s="476">
        <f>Taxes!D298</f>
        <v>46.391711500000007</v>
      </c>
      <c r="E895" s="476">
        <f>Taxes!E298</f>
        <v>46.592213500000007</v>
      </c>
      <c r="F895" s="476">
        <f>Taxes!F298</f>
        <v>46.219787500000002</v>
      </c>
      <c r="G895" s="477">
        <f>Taxes!G298</f>
        <v>185.66999200000001</v>
      </c>
      <c r="H895" s="476">
        <f>Taxes!H298</f>
        <v>47.371841099999997</v>
      </c>
      <c r="I895" s="476">
        <f>Taxes!I298</f>
        <v>47.373011099999999</v>
      </c>
      <c r="J895" s="476">
        <f>Taxes!J298</f>
        <v>47.479628099999999</v>
      </c>
      <c r="K895" s="476">
        <f>Taxes!K298</f>
        <v>47.165630099999994</v>
      </c>
      <c r="L895" s="477">
        <f>Taxes!L298</f>
        <v>189.3901104</v>
      </c>
      <c r="M895" s="476">
        <f>Taxes!M298</f>
        <v>51.217915202499988</v>
      </c>
      <c r="N895" s="476">
        <f>Taxes!N298</f>
        <v>51.136345202499989</v>
      </c>
      <c r="O895" s="476">
        <f>Taxes!O298</f>
        <v>51.262810202499992</v>
      </c>
      <c r="P895" s="476">
        <f>Taxes!P298</f>
        <v>51.04849920249999</v>
      </c>
      <c r="Q895" s="477">
        <f>Taxes!Q298</f>
        <v>204.66556980999997</v>
      </c>
      <c r="R895" s="476">
        <f>Taxes!R298</f>
        <v>50.938220832499994</v>
      </c>
      <c r="S895" s="476">
        <f>Taxes!S298</f>
        <v>50.929970832499997</v>
      </c>
      <c r="T895" s="476">
        <f>Taxes!T298</f>
        <v>51.025172832499997</v>
      </c>
      <c r="U895" s="476">
        <f>Taxes!U298</f>
        <v>50.671574832499999</v>
      </c>
      <c r="V895" s="477">
        <f>Taxes!V298</f>
        <v>203.56493932999999</v>
      </c>
      <c r="W895" s="476">
        <f>Taxes!W298</f>
        <v>45.891514606749993</v>
      </c>
      <c r="X895" s="476">
        <f>Taxes!X298</f>
        <v>45.919045606749997</v>
      </c>
      <c r="Y895" s="476">
        <f>Taxes!Y298</f>
        <v>45.855967606749992</v>
      </c>
      <c r="Z895" s="476">
        <f>Taxes!Z298</f>
        <v>45.663319606749994</v>
      </c>
      <c r="AA895" s="477">
        <f>Taxes!AA298</f>
        <v>183.32984742699998</v>
      </c>
      <c r="AB895" s="476">
        <f>Taxes!AB298</f>
        <v>44.543749999999996</v>
      </c>
      <c r="AC895" s="476">
        <f>Taxes!AC298</f>
        <v>44.520349999999993</v>
      </c>
      <c r="AD895" s="476">
        <f>Taxes!AD298</f>
        <v>45.428449999999998</v>
      </c>
      <c r="AE895" s="476">
        <f>Taxes!AE298</f>
        <v>44.841349999999998</v>
      </c>
      <c r="AF895" s="477">
        <f>Taxes!AF298</f>
        <v>179.3339</v>
      </c>
      <c r="AG895" s="476">
        <f>Taxes!AG298</f>
        <v>46.443750219999998</v>
      </c>
      <c r="AH895" s="476">
        <f>Taxes!AH298</f>
        <v>46.367841220000003</v>
      </c>
      <c r="AI895" s="476">
        <f>Taxes!AI298</f>
        <v>46.504542219999998</v>
      </c>
      <c r="AJ895" s="476">
        <f>Taxes!AJ298</f>
        <v>46.17758122</v>
      </c>
      <c r="AK895" s="477">
        <f>Taxes!AK298</f>
        <v>185.49371488</v>
      </c>
      <c r="AL895" s="476">
        <f>Taxes!AL298</f>
        <v>46.171291304999997</v>
      </c>
      <c r="AM895" s="476">
        <f>Taxes!AM298</f>
        <v>46.019572304999997</v>
      </c>
      <c r="AN895" s="476">
        <f>Taxes!AN298</f>
        <v>46.109530304999993</v>
      </c>
      <c r="AO895" s="476">
        <f>Taxes!AO298</f>
        <v>45.897967304999995</v>
      </c>
      <c r="AP895" s="478">
        <f>Taxes!AP298</f>
        <v>184.19836121999998</v>
      </c>
      <c r="AQ895" s="478">
        <f>Taxes!AQ298</f>
        <v>40.941737724999989</v>
      </c>
      <c r="AR895" s="476">
        <f>Taxes!AR298</f>
        <v>40.678229724999994</v>
      </c>
      <c r="AS895" s="476">
        <f>Taxes!AS298</f>
        <v>40.594040724999992</v>
      </c>
      <c r="AT895" s="476">
        <f>Taxes!AT298</f>
        <v>40.273343724999989</v>
      </c>
      <c r="AU895" s="1464">
        <f>Taxes!AU298</f>
        <v>162.48735189999996</v>
      </c>
      <c r="AV895" s="1865">
        <f>Taxes!AV298</f>
        <v>25.355498605000005</v>
      </c>
      <c r="AW895" s="1771">
        <f>Taxes!AW298</f>
        <v>24.856862605000007</v>
      </c>
      <c r="AX895" s="1771">
        <f>Taxes!AX298</f>
        <v>24.792164605000007</v>
      </c>
      <c r="AY895" s="1866">
        <f>Taxes!AY298</f>
        <v>24.586184605000007</v>
      </c>
      <c r="AZ895" s="477">
        <f>Taxes!AZ298</f>
        <v>99.590710420000022</v>
      </c>
      <c r="BA895" s="1865">
        <f>Taxes!BA298</f>
        <v>15.947335405</v>
      </c>
      <c r="BB895" s="1771">
        <f>Taxes!BB298</f>
        <v>15.859006404999999</v>
      </c>
      <c r="BC895" s="1771">
        <f>Taxes!BC298</f>
        <v>15.838954404999999</v>
      </c>
      <c r="BD895" s="1866">
        <f>Taxes!BD298</f>
        <v>15.758011404999998</v>
      </c>
      <c r="BE895" s="477">
        <f>Taxes!BE298</f>
        <v>63.403307619999993</v>
      </c>
      <c r="BF895" s="1771">
        <f>Taxes!BF298</f>
        <v>13.828680737500001</v>
      </c>
      <c r="BG895" s="1771">
        <f>Taxes!BG298</f>
        <v>13.779714737500001</v>
      </c>
      <c r="BH895" s="1771">
        <f>Taxes!BH298</f>
        <v>13.768527737499999</v>
      </c>
      <c r="BI895" s="1866">
        <f>Taxes!BI298</f>
        <v>13.7713417375</v>
      </c>
      <c r="BJ895" s="476">
        <f>Taxes!BJ298</f>
        <v>55.148264949999998</v>
      </c>
      <c r="BK895" s="1865">
        <f>Taxes!BK298</f>
        <v>13.490086887500002</v>
      </c>
      <c r="BL895" s="1771">
        <f>Taxes!BL298</f>
        <v>13.430143887500002</v>
      </c>
      <c r="BM895" s="1771">
        <f>Taxes!BM298</f>
        <v>13.402678887500002</v>
      </c>
      <c r="BN895" s="1866">
        <f>Taxes!BN298</f>
        <v>13.319779887500001</v>
      </c>
      <c r="BO895" s="477">
        <f>Taxes!BO298</f>
        <v>53.642689550000007</v>
      </c>
      <c r="BP895" s="1771">
        <f>Taxes!BP298</f>
        <v>13.528721360000002</v>
      </c>
      <c r="BQ895" s="1771">
        <f>Taxes!BQ298</f>
        <v>13.505162360000002</v>
      </c>
      <c r="BR895" s="1771">
        <f>Taxes!BR298</f>
        <v>13.571873360000001</v>
      </c>
      <c r="BS895" s="1771">
        <f>Taxes!BS298</f>
        <v>13.477907360000001</v>
      </c>
      <c r="BT895" s="2604">
        <f>Taxes!BT298</f>
        <v>54.083664440000007</v>
      </c>
      <c r="BU895" s="1771">
        <f>Taxes!BU298</f>
        <v>13.883154900750633</v>
      </c>
      <c r="BV895" s="1771">
        <f>Taxes!BV298</f>
        <v>13.854819346075001</v>
      </c>
      <c r="BW895" s="1771">
        <f>Taxes!BW298</f>
        <v>13.917256606075</v>
      </c>
      <c r="BX895" s="1771">
        <f>Taxes!BX298</f>
        <v>13.821881116075</v>
      </c>
      <c r="BY895" s="2604">
        <f>Taxes!BY298</f>
        <v>55.477111968975635</v>
      </c>
      <c r="BZ895" s="477">
        <f>Taxes!BZ298</f>
        <v>55.861997528820496</v>
      </c>
      <c r="CA895" s="477">
        <f>Taxes!CA298</f>
        <v>55.861997528820496</v>
      </c>
      <c r="CB895" s="477">
        <f>Taxes!CB298</f>
        <v>51.993897652379466</v>
      </c>
      <c r="CC895" s="477">
        <f>Taxes!CC298</f>
        <v>48.319202769760494</v>
      </c>
      <c r="CD895" s="477">
        <f>Taxes!CD298</f>
        <v>49.715586825155704</v>
      </c>
      <c r="CE895" s="477">
        <f>Taxes!CE298</f>
        <v>51.139898561658825</v>
      </c>
      <c r="CF895" s="477">
        <f>Taxes!CF298</f>
        <v>52.592696532891999</v>
      </c>
      <c r="CG895" s="331"/>
      <c r="CH895" s="331"/>
      <c r="CI895" s="331"/>
      <c r="CJ895" s="331"/>
      <c r="CK895" s="331"/>
      <c r="CL895" s="528" t="str">
        <f t="shared" si="2122"/>
        <v>Tax expense</v>
      </c>
      <c r="CM895" s="476">
        <f t="shared" si="2123"/>
        <v>185.66999200000001</v>
      </c>
      <c r="CN895" s="476">
        <f t="shared" si="2124"/>
        <v>189.3901104</v>
      </c>
      <c r="CO895" s="476">
        <f t="shared" si="2125"/>
        <v>204.66556980999997</v>
      </c>
      <c r="CP895" s="476">
        <f t="shared" si="2126"/>
        <v>203.56493932999999</v>
      </c>
      <c r="CQ895" s="476">
        <f t="shared" si="2127"/>
        <v>183.32984742699998</v>
      </c>
      <c r="CR895" s="476">
        <f t="shared" si="2128"/>
        <v>179.3339</v>
      </c>
      <c r="CS895" s="476">
        <f t="shared" si="2129"/>
        <v>185.49371488</v>
      </c>
      <c r="CT895" s="476">
        <f t="shared" si="2130"/>
        <v>184.19836121999998</v>
      </c>
      <c r="CU895" s="476">
        <f t="shared" si="2131"/>
        <v>162.48735189999996</v>
      </c>
      <c r="CV895" s="476">
        <f t="shared" si="2132"/>
        <v>99.590710420000022</v>
      </c>
      <c r="CW895" s="476">
        <f t="shared" si="2133"/>
        <v>63.403307619999993</v>
      </c>
      <c r="CX895" s="476">
        <f t="shared" si="2134"/>
        <v>55.148264949999998</v>
      </c>
      <c r="CY895" s="476">
        <f t="shared" si="2135"/>
        <v>53.642689550000007</v>
      </c>
      <c r="CZ895" s="476">
        <f t="shared" si="2136"/>
        <v>54.083664440000007</v>
      </c>
      <c r="DA895" s="476">
        <f t="shared" si="2137"/>
        <v>55.477111968975635</v>
      </c>
      <c r="DB895" s="476">
        <f t="shared" si="2137"/>
        <v>55.861997528820496</v>
      </c>
      <c r="DC895" s="682">
        <f t="shared" si="2137"/>
        <v>55.861997528820496</v>
      </c>
      <c r="DD895" s="331"/>
      <c r="DE895" s="331"/>
      <c r="DF895" s="502"/>
      <c r="DG895" s="503"/>
      <c r="DH895" s="2577"/>
      <c r="DI895" s="3213"/>
      <c r="DJ895" s="502"/>
      <c r="DK895" s="503"/>
      <c r="DL895" s="502"/>
      <c r="DM895" s="502"/>
      <c r="DN895" s="502"/>
      <c r="DO895" s="502"/>
      <c r="DP895" s="503"/>
      <c r="DQ895" s="503"/>
      <c r="DR895" s="296"/>
      <c r="DS895" s="296"/>
      <c r="DT895" s="296"/>
    </row>
    <row r="896" spans="1:124" ht="12" customHeight="1" x14ac:dyDescent="0.25">
      <c r="A896" s="465" t="s">
        <v>1810</v>
      </c>
      <c r="B896" s="466"/>
      <c r="C896" s="467">
        <f t="shared" ref="C896:AP896" si="2144">C895/C886</f>
        <v>0.41487008714130114</v>
      </c>
      <c r="D896" s="467">
        <f t="shared" si="2144"/>
        <v>0.43086542801682909</v>
      </c>
      <c r="E896" s="467">
        <f t="shared" si="2144"/>
        <v>0.40389234816831088</v>
      </c>
      <c r="F896" s="467">
        <f t="shared" si="2144"/>
        <v>0.44294738178751464</v>
      </c>
      <c r="G896" s="468">
        <f t="shared" si="2144"/>
        <v>0.42257558315524024</v>
      </c>
      <c r="H896" s="467">
        <f t="shared" si="2144"/>
        <v>0.42035441767602821</v>
      </c>
      <c r="I896" s="467">
        <f t="shared" si="2144"/>
        <v>0.42297331339285715</v>
      </c>
      <c r="J896" s="467">
        <f t="shared" si="2144"/>
        <v>0.41319761159118534</v>
      </c>
      <c r="K896" s="467">
        <f t="shared" si="2144"/>
        <v>0.43894946933146678</v>
      </c>
      <c r="L896" s="468">
        <f t="shared" si="2144"/>
        <v>0.4236403820245771</v>
      </c>
      <c r="M896" s="467">
        <f t="shared" si="2144"/>
        <v>0.42305341810720681</v>
      </c>
      <c r="N896" s="467">
        <f t="shared" si="2144"/>
        <v>0.43781117467893826</v>
      </c>
      <c r="O896" s="467">
        <f t="shared" si="2144"/>
        <v>0.42565887299846766</v>
      </c>
      <c r="P896" s="467">
        <f t="shared" si="2144"/>
        <v>0.4304931523096745</v>
      </c>
      <c r="Q896" s="468">
        <f t="shared" si="2144"/>
        <v>0.42917591730432497</v>
      </c>
      <c r="R896" s="467">
        <f t="shared" si="2144"/>
        <v>0.42157639833660698</v>
      </c>
      <c r="S896" s="467">
        <f t="shared" si="2144"/>
        <v>0.42217321677118336</v>
      </c>
      <c r="T896" s="467">
        <f t="shared" si="2144"/>
        <v>0.42001016328548718</v>
      </c>
      <c r="U896" s="467">
        <f t="shared" si="2144"/>
        <v>0.44801676236615595</v>
      </c>
      <c r="V896" s="468">
        <f t="shared" si="2144"/>
        <v>0.42760971845501011</v>
      </c>
      <c r="W896" s="467">
        <f t="shared" si="2144"/>
        <v>0.38796886300308653</v>
      </c>
      <c r="X896" s="467">
        <f t="shared" si="2144"/>
        <v>0.4095651396055251</v>
      </c>
      <c r="Y896" s="467">
        <f t="shared" si="2144"/>
        <v>0.43326644330743419</v>
      </c>
      <c r="Z896" s="467">
        <f t="shared" si="2144"/>
        <v>0.45696681703037706</v>
      </c>
      <c r="AA896" s="468">
        <f t="shared" si="2144"/>
        <v>0.42031937021938004</v>
      </c>
      <c r="AB896" s="467">
        <f t="shared" si="2144"/>
        <v>0.43372687439143132</v>
      </c>
      <c r="AC896" s="467">
        <f t="shared" si="2144"/>
        <v>0.46135077720207246</v>
      </c>
      <c r="AD896" s="467">
        <f t="shared" si="2144"/>
        <v>0.38271651221566971</v>
      </c>
      <c r="AE896" s="469">
        <f t="shared" si="2144"/>
        <v>0.41443022181146022</v>
      </c>
      <c r="AF896" s="470">
        <f t="shared" si="2144"/>
        <v>0.42087279981225068</v>
      </c>
      <c r="AG896" s="467">
        <f t="shared" si="2144"/>
        <v>0.41137068396811333</v>
      </c>
      <c r="AH896" s="467">
        <f t="shared" si="2144"/>
        <v>0.41848232148014441</v>
      </c>
      <c r="AI896" s="467">
        <f t="shared" si="2144"/>
        <v>0.42014886489259073</v>
      </c>
      <c r="AJ896" s="469">
        <f t="shared" si="2144"/>
        <v>0.44409359082737321</v>
      </c>
      <c r="AK896" s="470">
        <f t="shared" si="2144"/>
        <v>0.42314658318018789</v>
      </c>
      <c r="AL896" s="467">
        <f t="shared" si="2144"/>
        <v>0.41891101520068241</v>
      </c>
      <c r="AM896" s="467">
        <f t="shared" si="2144"/>
        <v>0.41833524519104753</v>
      </c>
      <c r="AN896" s="467">
        <f t="shared" si="2144"/>
        <v>0.41824892914121536</v>
      </c>
      <c r="AO896" s="469">
        <f t="shared" si="2144"/>
        <v>0.43304590899404194</v>
      </c>
      <c r="AP896" s="471">
        <f t="shared" si="2144"/>
        <v>0.42203116208679886</v>
      </c>
      <c r="AQ896" s="471">
        <f t="shared" ref="AQ896:BK896" si="2145">AQ895/AQ886</f>
        <v>0.36903933012595813</v>
      </c>
      <c r="AR896" s="469">
        <f t="shared" si="2145"/>
        <v>0.39897652110288262</v>
      </c>
      <c r="AS896" s="469">
        <f t="shared" si="2145"/>
        <v>0.41995550678597721</v>
      </c>
      <c r="AT896" s="469">
        <f t="shared" si="2145"/>
        <v>0.46937946316351936</v>
      </c>
      <c r="AU896" s="1689">
        <f t="shared" si="2145"/>
        <v>0.41098393367836916</v>
      </c>
      <c r="AV896" s="1730">
        <f>AV895/AV886</f>
        <v>0.29276299833202851</v>
      </c>
      <c r="AW896" s="1465">
        <f>AW895/AW886</f>
        <v>0.36950967466022233</v>
      </c>
      <c r="AX896" s="1465">
        <f>AX895/AX886</f>
        <v>0.3958788095936806</v>
      </c>
      <c r="AY896" s="1868">
        <f>AY895/AY886</f>
        <v>0.44467048457161823</v>
      </c>
      <c r="AZ896" s="470">
        <f t="shared" si="2145"/>
        <v>0.36641998054363889</v>
      </c>
      <c r="BA896" s="1730">
        <f>BA895/BA886</f>
        <v>0.30857037506910612</v>
      </c>
      <c r="BB896" s="1465">
        <f>BB895/BB886</f>
        <v>0.3230464184659198</v>
      </c>
      <c r="BC896" s="1465">
        <f>BC895/BC886</f>
        <v>0.33076571481017719</v>
      </c>
      <c r="BD896" s="1868">
        <f>BD895/BD886</f>
        <v>0.34003024417727212</v>
      </c>
      <c r="BE896" s="470">
        <f t="shared" si="2145"/>
        <v>0.3251416957691764</v>
      </c>
      <c r="BF896" s="1465">
        <f t="shared" si="2145"/>
        <v>0.30626281808915146</v>
      </c>
      <c r="BG896" s="1465">
        <f t="shared" si="2145"/>
        <v>0.30769131762424246</v>
      </c>
      <c r="BH896" s="1465">
        <f t="shared" si="2145"/>
        <v>0.31977117211964229</v>
      </c>
      <c r="BI896" s="1868">
        <f t="shared" si="2145"/>
        <v>0.3215991231661382</v>
      </c>
      <c r="BJ896" s="469">
        <f t="shared" si="2145"/>
        <v>0.31367017308625805</v>
      </c>
      <c r="BK896" s="1730">
        <f t="shared" si="2145"/>
        <v>0.30285601910113408</v>
      </c>
      <c r="BL896" s="1465">
        <f t="shared" ref="BL896:CF896" si="2146">BL895/BL886</f>
        <v>0.31016498585450353</v>
      </c>
      <c r="BM896" s="1465">
        <f t="shared" si="2146"/>
        <v>0.31241675728438234</v>
      </c>
      <c r="BN896" s="1868">
        <f t="shared" si="2146"/>
        <v>0.32069542670411388</v>
      </c>
      <c r="BO896" s="470">
        <f t="shared" si="2146"/>
        <v>0.31137472536590866</v>
      </c>
      <c r="BP896" s="1465">
        <f t="shared" si="2146"/>
        <v>0.31769926047040709</v>
      </c>
      <c r="BQ896" s="1465">
        <f t="shared" si="2146"/>
        <v>0.31560048445552519</v>
      </c>
      <c r="BR896" s="1465">
        <f t="shared" si="2146"/>
        <v>0.29684614995459235</v>
      </c>
      <c r="BS896" s="1465">
        <f t="shared" si="2146"/>
        <v>0.31483391509176023</v>
      </c>
      <c r="BT896" s="470">
        <f t="shared" si="2146"/>
        <v>0.31099512502168997</v>
      </c>
      <c r="BU896" s="1465">
        <f t="shared" si="2146"/>
        <v>0.31838380023944529</v>
      </c>
      <c r="BV896" s="1465">
        <f t="shared" si="2146"/>
        <v>0.31742311345195451</v>
      </c>
      <c r="BW896" s="1465">
        <f t="shared" si="2146"/>
        <v>0.29990189819328938</v>
      </c>
      <c r="BX896" s="1465">
        <f t="shared" si="2146"/>
        <v>0.31809742541799069</v>
      </c>
      <c r="BY896" s="470">
        <f t="shared" si="2146"/>
        <v>0.31323421102028404</v>
      </c>
      <c r="BZ896" s="470">
        <f t="shared" si="2146"/>
        <v>0.31383815651664998</v>
      </c>
      <c r="CA896" s="470">
        <f t="shared" si="2146"/>
        <v>0.31383815651664998</v>
      </c>
      <c r="CB896" s="470">
        <f t="shared" si="2146"/>
        <v>0.30748083550227101</v>
      </c>
      <c r="CC896" s="470">
        <f t="shared" si="2146"/>
        <v>0.30078891864502999</v>
      </c>
      <c r="CD896" s="470">
        <f t="shared" si="2146"/>
        <v>0.30341319976551667</v>
      </c>
      <c r="CE896" s="470">
        <f t="shared" si="2146"/>
        <v>0.3059860243934448</v>
      </c>
      <c r="CF896" s="470">
        <f t="shared" si="2146"/>
        <v>0.30850840147964881</v>
      </c>
      <c r="CG896" s="492"/>
      <c r="CH896" s="492"/>
      <c r="CI896" s="492"/>
      <c r="CJ896" s="492"/>
      <c r="CK896" s="492"/>
      <c r="CL896" s="1310" t="str">
        <f t="shared" si="2122"/>
        <v>% of Gaming revenue</v>
      </c>
      <c r="CM896" s="469">
        <f t="shared" si="2123"/>
        <v>0.42257558315524024</v>
      </c>
      <c r="CN896" s="469">
        <f t="shared" si="2124"/>
        <v>0.4236403820245771</v>
      </c>
      <c r="CO896" s="469">
        <f t="shared" si="2125"/>
        <v>0.42917591730432497</v>
      </c>
      <c r="CP896" s="469">
        <f t="shared" si="2126"/>
        <v>0.42760971845501011</v>
      </c>
      <c r="CQ896" s="469">
        <f t="shared" si="2127"/>
        <v>0.42031937021938004</v>
      </c>
      <c r="CR896" s="469">
        <f t="shared" si="2128"/>
        <v>0.42087279981225068</v>
      </c>
      <c r="CS896" s="469">
        <f t="shared" si="2129"/>
        <v>0.42314658318018789</v>
      </c>
      <c r="CT896" s="469">
        <f t="shared" si="2130"/>
        <v>0.42203116208679886</v>
      </c>
      <c r="CU896" s="469">
        <f t="shared" si="2131"/>
        <v>0.41098393367836916</v>
      </c>
      <c r="CV896" s="469">
        <f t="shared" si="2132"/>
        <v>0.36641998054363889</v>
      </c>
      <c r="CW896" s="469">
        <f t="shared" si="2133"/>
        <v>0.3251416957691764</v>
      </c>
      <c r="CX896" s="469">
        <f t="shared" si="2134"/>
        <v>0.31367017308625805</v>
      </c>
      <c r="CY896" s="469">
        <f t="shared" si="2135"/>
        <v>0.31137472536590866</v>
      </c>
      <c r="CZ896" s="469">
        <f t="shared" si="2136"/>
        <v>0.31099512502168997</v>
      </c>
      <c r="DA896" s="469">
        <f t="shared" si="2137"/>
        <v>0.31323421102028404</v>
      </c>
      <c r="DB896" s="469">
        <f t="shared" si="2137"/>
        <v>0.31383815651664998</v>
      </c>
      <c r="DC896" s="1463">
        <f t="shared" si="2137"/>
        <v>0.31383815651664998</v>
      </c>
      <c r="DD896" s="492"/>
      <c r="DE896" s="492"/>
      <c r="DF896" s="962"/>
      <c r="DG896" s="962"/>
      <c r="DH896" s="469"/>
      <c r="DI896" s="3213"/>
      <c r="DJ896" s="962"/>
      <c r="DK896" s="962"/>
      <c r="DL896" s="962"/>
      <c r="DM896" s="962"/>
      <c r="DN896" s="962"/>
      <c r="DO896" s="962"/>
      <c r="DP896" s="962"/>
      <c r="DQ896" s="962"/>
      <c r="DR896" s="963"/>
      <c r="DS896" s="963"/>
      <c r="DT896" s="963"/>
    </row>
    <row r="897" spans="1:124" ht="12" customHeight="1" x14ac:dyDescent="0.25">
      <c r="A897" s="311" t="s">
        <v>2162</v>
      </c>
      <c r="B897" s="281"/>
      <c r="C897" s="452">
        <f>C889-C899</f>
        <v>76.405000000000001</v>
      </c>
      <c r="D897" s="452">
        <f>D889-D899</f>
        <v>71.994</v>
      </c>
      <c r="E897" s="452">
        <f>E889-E899</f>
        <v>77.38900000000001</v>
      </c>
      <c r="F897" s="452">
        <f>F889-F899</f>
        <v>71.89500000000001</v>
      </c>
      <c r="G897" s="475">
        <f>SUM(C897:F897)</f>
        <v>297.68299999999999</v>
      </c>
      <c r="H897" s="452">
        <f>H889-H899</f>
        <v>75.781999999999996</v>
      </c>
      <c r="I897" s="452">
        <f>I889-I899</f>
        <v>75.069000000000003</v>
      </c>
      <c r="J897" s="452">
        <f>J889-J899</f>
        <v>76.664999999999992</v>
      </c>
      <c r="K897" s="452">
        <f>K889-K899</f>
        <v>74.004999999999995</v>
      </c>
      <c r="L897" s="475">
        <f>SUM(H897:K897)</f>
        <v>301.52099999999996</v>
      </c>
      <c r="M897" s="452">
        <f>M889-M899</f>
        <v>79.403999999999996</v>
      </c>
      <c r="N897" s="452">
        <f>N889-N899</f>
        <v>77.012</v>
      </c>
      <c r="O897" s="452">
        <f>O889-O899</f>
        <v>80.354000000000013</v>
      </c>
      <c r="P897" s="452">
        <f>P889-P899</f>
        <v>80.650000000000006</v>
      </c>
      <c r="Q897" s="475">
        <f>SUM(M897:P897)</f>
        <v>317.42</v>
      </c>
      <c r="R897" s="452">
        <f>R889-R899</f>
        <v>80.152000000000001</v>
      </c>
      <c r="S897" s="452">
        <f>S889-S899</f>
        <v>80.415999999999997</v>
      </c>
      <c r="T897" s="452">
        <f>T889-T899</f>
        <v>80.39500000000001</v>
      </c>
      <c r="U897" s="452">
        <f>U889-U899</f>
        <v>77.953000000000003</v>
      </c>
      <c r="V897" s="475">
        <f>SUM(R897:U897)</f>
        <v>318.916</v>
      </c>
      <c r="W897" s="452">
        <f>W889-W899</f>
        <v>78.972000000000008</v>
      </c>
      <c r="X897" s="452">
        <f>X889-X899</f>
        <v>75.817999999999998</v>
      </c>
      <c r="Y897" s="452">
        <f>Y889-Y899</f>
        <v>70.884</v>
      </c>
      <c r="Z897" s="452">
        <f>Z889-Z899</f>
        <v>70.346000000000004</v>
      </c>
      <c r="AA897" s="475">
        <f>SUM(W897:Z897)</f>
        <v>296.02000000000004</v>
      </c>
      <c r="AB897" s="452">
        <f>AB889-AB899</f>
        <v>70.64</v>
      </c>
      <c r="AC897" s="452">
        <f>AC889-AC899</f>
        <v>68.259</v>
      </c>
      <c r="AD897" s="452">
        <f>AD889-AD899</f>
        <v>81.676999999999992</v>
      </c>
      <c r="AE897" s="452">
        <f>AE889-AE899</f>
        <v>72.963999999999999</v>
      </c>
      <c r="AF897" s="477">
        <f>SUM(AB897:AE897)</f>
        <v>293.53999999999996</v>
      </c>
      <c r="AG897" s="452">
        <f>AG889-AG899</f>
        <v>77.213999999999999</v>
      </c>
      <c r="AH897" s="452">
        <f>AH889-AH899</f>
        <v>76.683000000000007</v>
      </c>
      <c r="AI897" s="452">
        <f>AI889-AI899</f>
        <v>77.385999999999996</v>
      </c>
      <c r="AJ897" s="452">
        <f>AJ889-AJ899</f>
        <v>71.998000000000005</v>
      </c>
      <c r="AK897" s="477">
        <f>SUM(AG897:AJ897)</f>
        <v>303.28100000000001</v>
      </c>
      <c r="AL897" s="452">
        <f>AL889-AL899</f>
        <v>74.858000000000004</v>
      </c>
      <c r="AM897" s="452">
        <f>AM889-AM899</f>
        <v>73.841999999999985</v>
      </c>
      <c r="AN897" s="476">
        <f>AN892+AN895</f>
        <v>74.674878751499989</v>
      </c>
      <c r="AO897" s="476">
        <f>AO892+AO895</f>
        <v>70.943773521599994</v>
      </c>
      <c r="AP897" s="478">
        <f>SUM(AL897:AO897)</f>
        <v>294.31865227309999</v>
      </c>
      <c r="AQ897" s="478">
        <f>AQ892+AQ895</f>
        <v>69.054712246099996</v>
      </c>
      <c r="AR897" s="476">
        <f>AR892+AR895</f>
        <v>65.71841465049998</v>
      </c>
      <c r="AS897" s="476">
        <f>AS892+AS895</f>
        <v>63.446319482199996</v>
      </c>
      <c r="AT897" s="476">
        <f>AT892+AT895</f>
        <v>61.562279009109986</v>
      </c>
      <c r="AU897" s="1464">
        <f>SUM(AQ897:AT897)</f>
        <v>259.78172538791</v>
      </c>
      <c r="AV897" s="1865">
        <f>AV892+AV895</f>
        <v>51.219435164412012</v>
      </c>
      <c r="AW897" s="1771">
        <f>AW892+AW895</f>
        <v>43.637001299125004</v>
      </c>
      <c r="AX897" s="1771">
        <f>AX892+AX895</f>
        <v>41.931373672900008</v>
      </c>
      <c r="AY897" s="1866">
        <f>AY892+AY895</f>
        <v>39.488439303877001</v>
      </c>
      <c r="AZ897" s="477">
        <f>SUM(AV897:AY897)</f>
        <v>176.27624944031402</v>
      </c>
      <c r="BA897" s="1865">
        <f>BA892+BA895</f>
        <v>39.224878308470807</v>
      </c>
      <c r="BB897" s="1771">
        <f>BB892+BB895</f>
        <v>33.700138164418746</v>
      </c>
      <c r="BC897" s="1771">
        <f>BC892+BC895</f>
        <v>32.121203019505003</v>
      </c>
      <c r="BD897" s="1866">
        <f>BD892+BD895</f>
        <v>29.915153368933147</v>
      </c>
      <c r="BE897" s="682">
        <f>SUM(BA897:BD897)</f>
        <v>134.9613728613277</v>
      </c>
      <c r="BF897" s="1771">
        <f>BF892+BF895</f>
        <v>34.196530778036959</v>
      </c>
      <c r="BG897" s="1771">
        <f>BG892+BG895</f>
        <v>30.728789908947807</v>
      </c>
      <c r="BH897" s="1771">
        <f>BH892+BH895</f>
        <v>29.236663921279749</v>
      </c>
      <c r="BI897" s="1866">
        <f>BI892+BI895</f>
        <v>27.645340862154484</v>
      </c>
      <c r="BJ897" s="682">
        <f>SUM(BF897:BI897)</f>
        <v>121.80732547041899</v>
      </c>
      <c r="BK897" s="1771">
        <f>BK892+BK895</f>
        <v>33.348740677023528</v>
      </c>
      <c r="BL897" s="1771">
        <f>BL892+BL895</f>
        <v>29.701256052089896</v>
      </c>
      <c r="BM897" s="1771">
        <f>BM892+BM895</f>
        <v>28.87081507127975</v>
      </c>
      <c r="BN897" s="1866">
        <f>BN892+BN895</f>
        <v>27.332519003401032</v>
      </c>
      <c r="BO897" s="1464">
        <f>BO892+BO895</f>
        <v>119.2533308037942</v>
      </c>
      <c r="BP897" s="1771">
        <f t="shared" ref="BP897:BX897" si="2147">BP892+BP895</f>
        <v>31.997269384256885</v>
      </c>
      <c r="BQ897" s="1771">
        <f t="shared" si="2147"/>
        <v>29.776274524589894</v>
      </c>
      <c r="BR897" s="1771">
        <f t="shared" si="2147"/>
        <v>29.813416352968741</v>
      </c>
      <c r="BS897" s="1771">
        <f t="shared" si="2147"/>
        <v>27.981092344957567</v>
      </c>
      <c r="BT897" s="2604">
        <f t="shared" si="2147"/>
        <v>119.56805260677309</v>
      </c>
      <c r="BU897" s="1771">
        <f t="shared" si="2147"/>
        <v>33.275130326220363</v>
      </c>
      <c r="BV897" s="1771">
        <f t="shared" si="2147"/>
        <v>30.125931510664895</v>
      </c>
      <c r="BW897" s="1771">
        <f t="shared" si="2147"/>
        <v>29.996384169114052</v>
      </c>
      <c r="BX897" s="1771">
        <f t="shared" si="2147"/>
        <v>28.325066101032565</v>
      </c>
      <c r="BY897" s="2604">
        <f t="shared" ref="BY897:CF897" si="2148">BY892+BY895</f>
        <v>121.72251210703187</v>
      </c>
      <c r="BZ897" s="477">
        <f t="shared" si="2148"/>
        <v>121.11371666480589</v>
      </c>
      <c r="CA897" s="477">
        <f t="shared" si="2148"/>
        <v>121.76623385616574</v>
      </c>
      <c r="CB897" s="477">
        <f t="shared" si="2148"/>
        <v>115.92100688990436</v>
      </c>
      <c r="CC897" s="477">
        <f t="shared" si="2148"/>
        <v>110.32849873015964</v>
      </c>
      <c r="CD897" s="477">
        <f t="shared" si="2148"/>
        <v>112.34497574515885</v>
      </c>
      <c r="CE897" s="477">
        <f t="shared" si="2148"/>
        <v>114.395581370862</v>
      </c>
      <c r="CF897" s="477">
        <f t="shared" si="2148"/>
        <v>116.48093617018721</v>
      </c>
      <c r="CG897" s="331"/>
      <c r="CH897" s="331"/>
      <c r="CI897" s="331"/>
      <c r="CJ897" s="331"/>
      <c r="CK897" s="331"/>
      <c r="CL897" s="528" t="str">
        <f t="shared" si="2122"/>
        <v>Total expenses</v>
      </c>
      <c r="CM897" s="476">
        <f t="shared" si="2123"/>
        <v>297.68299999999999</v>
      </c>
      <c r="CN897" s="476">
        <f t="shared" si="2124"/>
        <v>301.52099999999996</v>
      </c>
      <c r="CO897" s="476">
        <f t="shared" si="2125"/>
        <v>317.42</v>
      </c>
      <c r="CP897" s="476">
        <f t="shared" si="2126"/>
        <v>318.916</v>
      </c>
      <c r="CQ897" s="476">
        <f t="shared" si="2127"/>
        <v>296.02000000000004</v>
      </c>
      <c r="CR897" s="476">
        <f t="shared" si="2128"/>
        <v>293.53999999999996</v>
      </c>
      <c r="CS897" s="476">
        <f t="shared" si="2129"/>
        <v>303.28100000000001</v>
      </c>
      <c r="CT897" s="476">
        <f t="shared" si="2130"/>
        <v>294.31865227309999</v>
      </c>
      <c r="CU897" s="476">
        <f t="shared" si="2131"/>
        <v>259.78172538791</v>
      </c>
      <c r="CV897" s="476">
        <f t="shared" si="2132"/>
        <v>176.27624944031402</v>
      </c>
      <c r="CW897" s="476">
        <f t="shared" si="2133"/>
        <v>134.9613728613277</v>
      </c>
      <c r="CX897" s="476">
        <f t="shared" si="2134"/>
        <v>121.80732547041899</v>
      </c>
      <c r="CY897" s="476">
        <f t="shared" si="2135"/>
        <v>119.2533308037942</v>
      </c>
      <c r="CZ897" s="476">
        <f t="shared" si="2136"/>
        <v>119.56805260677309</v>
      </c>
      <c r="DA897" s="476">
        <f t="shared" si="2137"/>
        <v>121.72251210703187</v>
      </c>
      <c r="DB897" s="476">
        <f t="shared" si="2137"/>
        <v>121.11371666480589</v>
      </c>
      <c r="DC897" s="682">
        <f t="shared" si="2137"/>
        <v>121.76623385616574</v>
      </c>
      <c r="DD897" s="331"/>
      <c r="DE897" s="331"/>
      <c r="DF897" s="502"/>
      <c r="DG897" s="503"/>
      <c r="DH897" s="2577"/>
      <c r="DI897" s="3213"/>
      <c r="DJ897" s="502"/>
      <c r="DK897" s="503"/>
      <c r="DL897" s="502"/>
      <c r="DM897" s="502"/>
      <c r="DN897" s="502"/>
      <c r="DO897" s="502"/>
      <c r="DP897" s="503"/>
      <c r="DQ897" s="503"/>
      <c r="DR897" s="296"/>
      <c r="DS897" s="296"/>
      <c r="DT897" s="296"/>
    </row>
    <row r="898" spans="1:124" ht="5.0999999999999996" customHeight="1" x14ac:dyDescent="0.25">
      <c r="A898" s="281"/>
      <c r="B898" s="281"/>
      <c r="C898" s="305"/>
      <c r="D898" s="305"/>
      <c r="E898" s="305"/>
      <c r="F898" s="305"/>
      <c r="G898" s="440"/>
      <c r="H898" s="305"/>
      <c r="I898" s="305"/>
      <c r="J898" s="305"/>
      <c r="K898" s="305"/>
      <c r="L898" s="440"/>
      <c r="M898" s="305"/>
      <c r="N898" s="305"/>
      <c r="O898" s="305"/>
      <c r="P898" s="305"/>
      <c r="Q898" s="440"/>
      <c r="R898" s="305"/>
      <c r="S898" s="305"/>
      <c r="T898" s="305"/>
      <c r="U898" s="305"/>
      <c r="V898" s="440"/>
      <c r="W898" s="305"/>
      <c r="X898" s="305"/>
      <c r="Y898" s="305"/>
      <c r="Z898" s="305"/>
      <c r="AA898" s="440"/>
      <c r="AB898" s="305"/>
      <c r="AC898" s="305"/>
      <c r="AD898" s="305"/>
      <c r="AE898" s="331"/>
      <c r="AF898" s="441"/>
      <c r="AG898" s="305"/>
      <c r="AH898" s="305"/>
      <c r="AI898" s="305"/>
      <c r="AJ898" s="331"/>
      <c r="AK898" s="441"/>
      <c r="AL898" s="305"/>
      <c r="AM898" s="305"/>
      <c r="AN898" s="305"/>
      <c r="AO898" s="331"/>
      <c r="AP898" s="569"/>
      <c r="AQ898" s="569"/>
      <c r="AR898" s="442"/>
      <c r="AS898" s="442"/>
      <c r="AT898" s="442"/>
      <c r="AU898" s="1690"/>
      <c r="AV898" s="1902"/>
      <c r="AW898" s="1837"/>
      <c r="AX898" s="1837"/>
      <c r="AY898" s="1903"/>
      <c r="AZ898" s="441"/>
      <c r="BA898" s="1902"/>
      <c r="BB898" s="1837"/>
      <c r="BC898" s="1837"/>
      <c r="BD898" s="1903"/>
      <c r="BE898" s="1312"/>
      <c r="BF898" s="1837"/>
      <c r="BG898" s="1837"/>
      <c r="BH898" s="1837"/>
      <c r="BI898" s="1903"/>
      <c r="BJ898" s="1312"/>
      <c r="BK898" s="1837"/>
      <c r="BL898" s="1837"/>
      <c r="BM898" s="1837"/>
      <c r="BN898" s="1903"/>
      <c r="BO898" s="1312"/>
      <c r="BP898" s="1837"/>
      <c r="BQ898" s="1837"/>
      <c r="BR898" s="1837"/>
      <c r="BS898" s="1837"/>
      <c r="BT898" s="3236"/>
      <c r="BU898" s="1837"/>
      <c r="BV898" s="1837"/>
      <c r="BW898" s="1837"/>
      <c r="BX898" s="1837"/>
      <c r="BY898" s="3236"/>
      <c r="BZ898" s="441"/>
      <c r="CA898" s="441"/>
      <c r="CB898" s="441"/>
      <c r="CC898" s="441"/>
      <c r="CD898" s="441"/>
      <c r="CE898" s="441"/>
      <c r="CF898" s="441"/>
      <c r="CG898" s="331"/>
      <c r="CH898" s="331"/>
      <c r="CI898" s="331"/>
      <c r="CJ898" s="331"/>
      <c r="CK898" s="331"/>
      <c r="CL898" s="520"/>
      <c r="CM898" s="442"/>
      <c r="CN898" s="442"/>
      <c r="CO898" s="442"/>
      <c r="CP898" s="442"/>
      <c r="CQ898" s="442"/>
      <c r="CR898" s="442"/>
      <c r="CS898" s="442"/>
      <c r="CT898" s="442"/>
      <c r="CU898" s="442"/>
      <c r="CV898" s="442"/>
      <c r="CW898" s="442"/>
      <c r="CX898" s="442"/>
      <c r="CY898" s="442"/>
      <c r="CZ898" s="442"/>
      <c r="DA898" s="442"/>
      <c r="DB898" s="442"/>
      <c r="DC898" s="1312"/>
      <c r="DD898" s="331"/>
      <c r="DE898" s="331"/>
      <c r="DF898" s="502"/>
      <c r="DG898" s="503"/>
      <c r="DH898" s="3298"/>
      <c r="DI898" s="3213"/>
      <c r="DJ898" s="502"/>
      <c r="DK898" s="503"/>
      <c r="DL898" s="502"/>
      <c r="DM898" s="502"/>
      <c r="DN898" s="502"/>
      <c r="DO898" s="502"/>
      <c r="DP898" s="503"/>
      <c r="DQ898" s="503"/>
      <c r="DR898" s="296"/>
      <c r="DS898" s="296"/>
      <c r="DT898" s="296"/>
    </row>
    <row r="899" spans="1:124" ht="12" customHeight="1" x14ac:dyDescent="0.25">
      <c r="A899" s="999" t="s">
        <v>2010</v>
      </c>
      <c r="B899" s="1007"/>
      <c r="C899" s="1008">
        <v>36.527999999999999</v>
      </c>
      <c r="D899" s="1008">
        <f>37.305-1.25</f>
        <v>36.055</v>
      </c>
      <c r="E899" s="1008">
        <v>38.115000000000002</v>
      </c>
      <c r="F899" s="1008">
        <f>33.798-0.9</f>
        <v>32.898000000000003</v>
      </c>
      <c r="G899" s="1009">
        <f>SUM(C899:F899)</f>
        <v>143.596</v>
      </c>
      <c r="H899" s="1008">
        <v>36.912999999999997</v>
      </c>
      <c r="I899" s="1008">
        <v>36.863</v>
      </c>
      <c r="J899" s="1008">
        <v>37.776000000000003</v>
      </c>
      <c r="K899" s="1008">
        <v>35.536000000000001</v>
      </c>
      <c r="L899" s="1009">
        <f>SUM(H899:K899)</f>
        <v>147.08799999999999</v>
      </c>
      <c r="M899" s="1008">
        <v>40.759</v>
      </c>
      <c r="N899" s="1008">
        <v>37.981999999999999</v>
      </c>
      <c r="O899" s="1008">
        <v>39.851999999999997</v>
      </c>
      <c r="P899" s="1008">
        <v>38.033000000000001</v>
      </c>
      <c r="Q899" s="1009">
        <f>SUM(M899:P899)</f>
        <v>156.62599999999998</v>
      </c>
      <c r="R899" s="1008">
        <v>41.706000000000003</v>
      </c>
      <c r="S899" s="1008">
        <v>40.82</v>
      </c>
      <c r="T899" s="1008">
        <v>41.381999999999998</v>
      </c>
      <c r="U899" s="1008">
        <v>35.895000000000003</v>
      </c>
      <c r="V899" s="1009">
        <f>SUM(R899:U899)</f>
        <v>159.80300000000003</v>
      </c>
      <c r="W899" s="1008">
        <v>39.271999999999998</v>
      </c>
      <c r="X899" s="1008">
        <v>35.585999999999999</v>
      </c>
      <c r="Y899" s="1008">
        <v>34.040999999999997</v>
      </c>
      <c r="Z899" s="1008">
        <v>27.163</v>
      </c>
      <c r="AA899" s="1009">
        <f>SUM(W899:Z899)</f>
        <v>136.06200000000001</v>
      </c>
      <c r="AB899" s="1008">
        <v>30.861000000000001</v>
      </c>
      <c r="AC899" s="1008">
        <v>27.111000000000001</v>
      </c>
      <c r="AD899" s="1008">
        <v>37.609000000000002</v>
      </c>
      <c r="AE899" s="1010">
        <v>32.893999999999998</v>
      </c>
      <c r="AF899" s="1011">
        <f>SUM(AB899:AE899)</f>
        <v>128.47499999999999</v>
      </c>
      <c r="AG899" s="1010">
        <v>33.832000000000001</v>
      </c>
      <c r="AH899" s="1010">
        <v>33.481999999999999</v>
      </c>
      <c r="AI899" s="1010">
        <v>33.563000000000002</v>
      </c>
      <c r="AJ899" s="1010">
        <v>32.14</v>
      </c>
      <c r="AK899" s="1011">
        <f>SUM(AG899:AJ899)</f>
        <v>133.017</v>
      </c>
      <c r="AL899" s="1010">
        <v>36.118000000000002</v>
      </c>
      <c r="AM899" s="1010">
        <v>36.133000000000003</v>
      </c>
      <c r="AN899" s="1593">
        <f>AN889-AN897</f>
        <v>35.832480248500019</v>
      </c>
      <c r="AO899" s="1012">
        <f>AO889-AO897</f>
        <v>35.201270478400005</v>
      </c>
      <c r="AP899" s="1013">
        <f>SUM(AL899:AO899)</f>
        <v>143.28475072690003</v>
      </c>
      <c r="AQ899" s="1013">
        <f>AQ889-AQ897</f>
        <v>42.645261753899987</v>
      </c>
      <c r="AR899" s="1012">
        <f>AR889-AR897</f>
        <v>36.206592349499999</v>
      </c>
      <c r="AS899" s="1012">
        <f>AS889-AS897</f>
        <v>33.479529517799989</v>
      </c>
      <c r="AT899" s="1012">
        <f>AT889-AT897</f>
        <v>24.395325990890015</v>
      </c>
      <c r="AU899" s="1691">
        <f>SUM(AQ899:AT899)</f>
        <v>136.72670961208999</v>
      </c>
      <c r="AV899" s="1904">
        <f>AV889-AV897</f>
        <v>35.821195800587979</v>
      </c>
      <c r="AW899" s="1838">
        <f>AW889-AW897</f>
        <v>23.969203980874994</v>
      </c>
      <c r="AX899" s="1838">
        <f>AX889-AX897</f>
        <v>21.007396537099993</v>
      </c>
      <c r="AY899" s="1905">
        <f>AY889-AY897</f>
        <v>16.078809671123004</v>
      </c>
      <c r="AZ899" s="1011">
        <f>SUM(AV899:AY899)</f>
        <v>96.87660598968597</v>
      </c>
      <c r="BA899" s="1904">
        <f>BA889-BA897</f>
        <v>12.973291251529204</v>
      </c>
      <c r="BB899" s="1838">
        <f>BB889-BB897</f>
        <v>15.882818195581251</v>
      </c>
      <c r="BC899" s="1838">
        <f>BC889-BC897</f>
        <v>16.243374180495003</v>
      </c>
      <c r="BD899" s="1905">
        <f>BD889-BD897</f>
        <v>16.891246331066853</v>
      </c>
      <c r="BE899" s="1877">
        <f>SUM(BA899:BD899)</f>
        <v>61.990729958672311</v>
      </c>
      <c r="BF899" s="1838">
        <f>BF889-BF897</f>
        <v>12.311044801963043</v>
      </c>
      <c r="BG899" s="1838">
        <f>BG889-BG897</f>
        <v>15.398953601052195</v>
      </c>
      <c r="BH899" s="1838">
        <f>BH889-BH897</f>
        <v>15.11249824872025</v>
      </c>
      <c r="BI899" s="1905">
        <f>BI889-BI897</f>
        <v>16.460755727845523</v>
      </c>
      <c r="BJ899" s="1877">
        <f>SUM(BF899:BI899)</f>
        <v>59.283252379581015</v>
      </c>
      <c r="BK899" s="1838">
        <f>BK889-BK897</f>
        <v>12.530451472976473</v>
      </c>
      <c r="BL899" s="1838">
        <f>BL889-BL897</f>
        <v>14.464743947910101</v>
      </c>
      <c r="BM899" s="1838">
        <f>BM889-BM897</f>
        <v>15.316184928720247</v>
      </c>
      <c r="BN899" s="1905">
        <f>BN889-BN897</f>
        <v>15.447552496598966</v>
      </c>
      <c r="BO899" s="1877">
        <f>SUM(BK899:BN899)</f>
        <v>57.758932846205788</v>
      </c>
      <c r="BP899" s="1838">
        <f>BP889-BP897</f>
        <v>11.863654245743117</v>
      </c>
      <c r="BQ899" s="1838">
        <f>BQ889-BQ897</f>
        <v>14.299441185410103</v>
      </c>
      <c r="BR899" s="1838">
        <f>BR889-BR897</f>
        <v>17.278417457031264</v>
      </c>
      <c r="BS899" s="1838">
        <f>BS889-BS897</f>
        <v>16.112774025042434</v>
      </c>
      <c r="BT899" s="1011">
        <f>SUM(BP899:BS899)</f>
        <v>59.554286913226917</v>
      </c>
      <c r="BU899" s="1838">
        <f>BU889-BU897</f>
        <v>11.638114433779634</v>
      </c>
      <c r="BV899" s="1838">
        <f>BV889-BV897</f>
        <v>14.831298513535099</v>
      </c>
      <c r="BW899" s="1838">
        <f>BW889-BW897</f>
        <v>17.80182714803594</v>
      </c>
      <c r="BX899" s="1838">
        <f>BX889-BX897</f>
        <v>16.430208264517429</v>
      </c>
      <c r="BY899" s="1011">
        <f>SUM(BU899:BX899)</f>
        <v>60.70144835986811</v>
      </c>
      <c r="BZ899" s="1011">
        <f t="shared" ref="BZ899:CF899" si="2149">BZ889-BZ897</f>
        <v>62.222363604428594</v>
      </c>
      <c r="CA899" s="1011">
        <f t="shared" si="2149"/>
        <v>61.569846413068746</v>
      </c>
      <c r="CB899" s="1011">
        <f t="shared" si="2149"/>
        <v>61.630197060155211</v>
      </c>
      <c r="CC899" s="1011">
        <f t="shared" si="2149"/>
        <v>58.345145022396949</v>
      </c>
      <c r="CD899" s="1011">
        <f t="shared" si="2149"/>
        <v>59.702140882448901</v>
      </c>
      <c r="CE899" s="1011">
        <f t="shared" si="2149"/>
        <v>61.092477589297914</v>
      </c>
      <c r="CF899" s="1011">
        <f t="shared" si="2149"/>
        <v>62.516883969175908</v>
      </c>
      <c r="CG899" s="502"/>
      <c r="CH899" s="502"/>
      <c r="CI899" s="502"/>
      <c r="CJ899" s="502"/>
      <c r="CK899" s="502"/>
      <c r="CL899" s="2221" t="str">
        <f t="shared" ref="CL899:CL904" si="2150">A899</f>
        <v>Property EBITDA</v>
      </c>
      <c r="CM899" s="1012">
        <f t="shared" ref="CM899:CM904" si="2151">G899</f>
        <v>143.596</v>
      </c>
      <c r="CN899" s="1012">
        <f t="shared" ref="CN899:CN904" si="2152">L899</f>
        <v>147.08799999999999</v>
      </c>
      <c r="CO899" s="1012">
        <f t="shared" ref="CO899:CO904" si="2153">Q899</f>
        <v>156.62599999999998</v>
      </c>
      <c r="CP899" s="1012">
        <f t="shared" ref="CP899:CP904" si="2154">V899</f>
        <v>159.80300000000003</v>
      </c>
      <c r="CQ899" s="1012">
        <f t="shared" ref="CQ899:CQ904" si="2155">AA899</f>
        <v>136.06200000000001</v>
      </c>
      <c r="CR899" s="1012">
        <f t="shared" ref="CR899:CR904" si="2156">AF899</f>
        <v>128.47499999999999</v>
      </c>
      <c r="CS899" s="1012">
        <f t="shared" ref="CS899:CS904" si="2157">AK899</f>
        <v>133.017</v>
      </c>
      <c r="CT899" s="1012">
        <f t="shared" ref="CT899:CT904" si="2158">AP899</f>
        <v>143.28475072690003</v>
      </c>
      <c r="CU899" s="1012">
        <f t="shared" ref="CU899:CU904" si="2159">AU899</f>
        <v>136.72670961208999</v>
      </c>
      <c r="CV899" s="1012">
        <f t="shared" ref="CV899:CV904" si="2160">AZ899</f>
        <v>96.87660598968597</v>
      </c>
      <c r="CW899" s="1012">
        <f t="shared" ref="CW899:CW904" si="2161">BE899</f>
        <v>61.990729958672311</v>
      </c>
      <c r="CX899" s="1012">
        <f t="shared" ref="CX899:CX904" si="2162">BJ899</f>
        <v>59.283252379581015</v>
      </c>
      <c r="CY899" s="1012">
        <f t="shared" ref="CY899:CY904" si="2163">BO899</f>
        <v>57.758932846205788</v>
      </c>
      <c r="CZ899" s="1012">
        <f t="shared" ref="CZ899:CZ904" si="2164">BT899</f>
        <v>59.554286913226917</v>
      </c>
      <c r="DA899" s="1012">
        <f t="shared" ref="DA899:DC904" si="2165">BY899</f>
        <v>60.70144835986811</v>
      </c>
      <c r="DB899" s="1012">
        <f t="shared" si="2165"/>
        <v>62.222363604428594</v>
      </c>
      <c r="DC899" s="1877">
        <f t="shared" si="2165"/>
        <v>61.569846413068746</v>
      </c>
      <c r="DD899" s="502"/>
      <c r="DE899" s="502"/>
      <c r="DF899" s="502"/>
      <c r="DG899" s="503"/>
      <c r="DH899" s="598"/>
      <c r="DI899" s="3213"/>
      <c r="DJ899" s="502"/>
      <c r="DK899" s="503"/>
      <c r="DL899" s="502"/>
      <c r="DM899" s="502"/>
      <c r="DN899" s="502"/>
      <c r="DO899" s="502"/>
      <c r="DP899" s="503"/>
      <c r="DQ899" s="503"/>
      <c r="DR899" s="719"/>
      <c r="DS899" s="719"/>
      <c r="DT899" s="719"/>
    </row>
    <row r="900" spans="1:124" ht="12" customHeight="1" x14ac:dyDescent="0.25">
      <c r="A900" s="465" t="s">
        <v>1892</v>
      </c>
      <c r="B900" s="466"/>
      <c r="C900" s="467">
        <f t="shared" ref="C900:AF900" si="2166">C899/C889</f>
        <v>0.32344841631763965</v>
      </c>
      <c r="D900" s="467">
        <f t="shared" si="2166"/>
        <v>0.33369119566122774</v>
      </c>
      <c r="E900" s="467">
        <f t="shared" si="2166"/>
        <v>0.32998857182435243</v>
      </c>
      <c r="F900" s="467">
        <f t="shared" si="2166"/>
        <v>0.31393318255990382</v>
      </c>
      <c r="G900" s="468">
        <f t="shared" si="2166"/>
        <v>0.32540864169833594</v>
      </c>
      <c r="H900" s="467">
        <f t="shared" si="2166"/>
        <v>0.32754780602511202</v>
      </c>
      <c r="I900" s="467">
        <f t="shared" si="2166"/>
        <v>0.32933388128506591</v>
      </c>
      <c r="J900" s="467">
        <f t="shared" si="2166"/>
        <v>0.33009148819042128</v>
      </c>
      <c r="K900" s="467">
        <f t="shared" si="2166"/>
        <v>0.32440821245013285</v>
      </c>
      <c r="L900" s="468">
        <f t="shared" si="2166"/>
        <v>0.32787572251114</v>
      </c>
      <c r="M900" s="467">
        <f t="shared" si="2166"/>
        <v>0.33919758994033106</v>
      </c>
      <c r="N900" s="467">
        <f t="shared" si="2166"/>
        <v>0.33029549367793104</v>
      </c>
      <c r="O900" s="467">
        <f t="shared" si="2166"/>
        <v>0.33153087200306136</v>
      </c>
      <c r="P900" s="467">
        <f t="shared" si="2166"/>
        <v>0.32045870090914452</v>
      </c>
      <c r="Q900" s="468">
        <f t="shared" si="2166"/>
        <v>0.33040253477510617</v>
      </c>
      <c r="R900" s="467">
        <f t="shared" si="2166"/>
        <v>0.34225081652415107</v>
      </c>
      <c r="S900" s="467">
        <f t="shared" si="2166"/>
        <v>0.33669867036193868</v>
      </c>
      <c r="T900" s="467">
        <f t="shared" si="2166"/>
        <v>0.339817863800225</v>
      </c>
      <c r="U900" s="467">
        <f t="shared" si="2166"/>
        <v>0.31528880612746824</v>
      </c>
      <c r="V900" s="468">
        <f t="shared" si="2166"/>
        <v>0.33381378219790742</v>
      </c>
      <c r="W900" s="467">
        <f t="shared" si="2166"/>
        <v>0.33212678867426676</v>
      </c>
      <c r="X900" s="467">
        <f t="shared" si="2166"/>
        <v>0.31943197730781658</v>
      </c>
      <c r="Y900" s="467">
        <f t="shared" si="2166"/>
        <v>0.3244317369549678</v>
      </c>
      <c r="Z900" s="467">
        <f t="shared" si="2166"/>
        <v>0.27856915771877466</v>
      </c>
      <c r="AA900" s="468">
        <f t="shared" si="2166"/>
        <v>0.31489856092130664</v>
      </c>
      <c r="AB900" s="467">
        <f t="shared" si="2166"/>
        <v>0.30404626555403397</v>
      </c>
      <c r="AC900" s="467">
        <f t="shared" si="2166"/>
        <v>0.28427178357974203</v>
      </c>
      <c r="AD900" s="467">
        <f t="shared" si="2166"/>
        <v>0.31528427476820414</v>
      </c>
      <c r="AE900" s="469">
        <f t="shared" si="2166"/>
        <v>0.31073702507132195</v>
      </c>
      <c r="AF900" s="470">
        <f t="shared" si="2166"/>
        <v>0.30443230690852219</v>
      </c>
      <c r="AG900" s="467">
        <f t="shared" ref="AG900:AP900" si="2167">AG899/AG889</f>
        <v>0.30466653458926929</v>
      </c>
      <c r="AH900" s="467">
        <f t="shared" si="2167"/>
        <v>0.30392592928788631</v>
      </c>
      <c r="AI900" s="467">
        <f t="shared" si="2167"/>
        <v>0.30250835969679768</v>
      </c>
      <c r="AJ900" s="469">
        <f t="shared" si="2167"/>
        <v>0.30862893468282471</v>
      </c>
      <c r="AK900" s="470">
        <f t="shared" si="2167"/>
        <v>0.30487648350439378</v>
      </c>
      <c r="AL900" s="467">
        <f t="shared" si="2167"/>
        <v>0.32545775663206461</v>
      </c>
      <c r="AM900" s="467">
        <f t="shared" si="2167"/>
        <v>0.32855649011138899</v>
      </c>
      <c r="AN900" s="467">
        <f t="shared" si="2167"/>
        <v>0.32425424490055921</v>
      </c>
      <c r="AO900" s="469">
        <f t="shared" si="2167"/>
        <v>0.33163366985273479</v>
      </c>
      <c r="AP900" s="471">
        <f t="shared" si="2167"/>
        <v>0.32743061352952973</v>
      </c>
      <c r="AQ900" s="471">
        <f t="shared" ref="AQ900:BK900" si="2168">AQ899/AQ889</f>
        <v>0.38178398997568247</v>
      </c>
      <c r="AR900" s="469">
        <f t="shared" si="2168"/>
        <v>0.35522776416880703</v>
      </c>
      <c r="AS900" s="469">
        <f t="shared" si="2168"/>
        <v>0.34541383813723409</v>
      </c>
      <c r="AT900" s="469">
        <f t="shared" si="2168"/>
        <v>0.28380648798777042</v>
      </c>
      <c r="AU900" s="1689">
        <f t="shared" si="2168"/>
        <v>0.34482673644027273</v>
      </c>
      <c r="AV900" s="1730">
        <f>AV899/AV889</f>
        <v>0.41154568163679883</v>
      </c>
      <c r="AW900" s="1465">
        <f>AW899/AW889</f>
        <v>0.35454147857587009</v>
      </c>
      <c r="AX900" s="1465">
        <f>AX899/AX889</f>
        <v>0.33377513521486379</v>
      </c>
      <c r="AY900" s="1868">
        <f>AY899/AY889</f>
        <v>0.28935766962940607</v>
      </c>
      <c r="AZ900" s="470">
        <f t="shared" si="2168"/>
        <v>0.35466078447974425</v>
      </c>
      <c r="BA900" s="1730">
        <f>BA899/BA889</f>
        <v>0.24853919899656346</v>
      </c>
      <c r="BB900" s="1465">
        <f>BB899/BB889</f>
        <v>0.32032818051959444</v>
      </c>
      <c r="BC900" s="1465">
        <f>BC899/BC889</f>
        <v>0.33585270710264786</v>
      </c>
      <c r="BD900" s="1868">
        <f>BD899/BD889</f>
        <v>0.36087471882753785</v>
      </c>
      <c r="BE900" s="1463">
        <f t="shared" si="2168"/>
        <v>0.31475028228222252</v>
      </c>
      <c r="BF900" s="1465">
        <f t="shared" si="2168"/>
        <v>0.26471052615473795</v>
      </c>
      <c r="BG900" s="1465">
        <f t="shared" si="2168"/>
        <v>0.33383279625880391</v>
      </c>
      <c r="BH900" s="1465">
        <f t="shared" si="2168"/>
        <v>0.34076175308094325</v>
      </c>
      <c r="BI900" s="1868">
        <f t="shared" si="2168"/>
        <v>0.37320817303015663</v>
      </c>
      <c r="BJ900" s="1463">
        <f t="shared" si="2168"/>
        <v>0.32736795632010302</v>
      </c>
      <c r="BK900" s="1465">
        <f t="shared" si="2168"/>
        <v>0.27311839824922624</v>
      </c>
      <c r="BL900" s="1465">
        <f t="shared" ref="BL900:CF900" si="2169">BL899/BL889</f>
        <v>0.32750858008219225</v>
      </c>
      <c r="BM900" s="1465">
        <f t="shared" si="2169"/>
        <v>0.34662196864960843</v>
      </c>
      <c r="BN900" s="1868">
        <f t="shared" si="2169"/>
        <v>0.36109225522446747</v>
      </c>
      <c r="BO900" s="1463">
        <f t="shared" si="2169"/>
        <v>0.32629904649098468</v>
      </c>
      <c r="BP900" s="1465">
        <f t="shared" si="2169"/>
        <v>0.27048345688800346</v>
      </c>
      <c r="BQ900" s="1465">
        <f t="shared" si="2169"/>
        <v>0.32442901845303024</v>
      </c>
      <c r="BR900" s="1465">
        <f t="shared" si="2169"/>
        <v>0.36690899587270209</v>
      </c>
      <c r="BS900" s="1465">
        <f t="shared" si="2169"/>
        <v>0.36541984977767861</v>
      </c>
      <c r="BT900" s="470">
        <f t="shared" si="2169"/>
        <v>0.33247827754380882</v>
      </c>
      <c r="BU900" s="1465">
        <f t="shared" si="2169"/>
        <v>0.25912432949276931</v>
      </c>
      <c r="BV900" s="1465">
        <f t="shared" si="2169"/>
        <v>0.32989796091866802</v>
      </c>
      <c r="BW900" s="1465">
        <f t="shared" si="2169"/>
        <v>0.37243709874240938</v>
      </c>
      <c r="BX900" s="1465">
        <f t="shared" si="2169"/>
        <v>0.36711222302693441</v>
      </c>
      <c r="BY900" s="470">
        <f t="shared" si="2169"/>
        <v>0.33274931760338639</v>
      </c>
      <c r="BZ900" s="470">
        <f t="shared" si="2169"/>
        <v>0.33938962539753881</v>
      </c>
      <c r="CA900" s="470">
        <f t="shared" si="2169"/>
        <v>0.33583049404487975</v>
      </c>
      <c r="CB900" s="470">
        <f t="shared" si="2169"/>
        <v>0.34711224530750096</v>
      </c>
      <c r="CC900" s="470">
        <f t="shared" si="2169"/>
        <v>0.34590552337856051</v>
      </c>
      <c r="CD900" s="470">
        <f t="shared" si="2169"/>
        <v>0.34701041233764407</v>
      </c>
      <c r="CE900" s="470">
        <f t="shared" si="2169"/>
        <v>0.34812897214372518</v>
      </c>
      <c r="CF900" s="470">
        <f t="shared" si="2169"/>
        <v>0.34926058831611395</v>
      </c>
      <c r="CG900" s="492"/>
      <c r="CH900" s="492"/>
      <c r="CI900" s="492"/>
      <c r="CJ900" s="492"/>
      <c r="CK900" s="492"/>
      <c r="CL900" s="1310" t="str">
        <f t="shared" si="2150"/>
        <v>Margin</v>
      </c>
      <c r="CM900" s="469">
        <f t="shared" si="2151"/>
        <v>0.32540864169833594</v>
      </c>
      <c r="CN900" s="469">
        <f t="shared" si="2152"/>
        <v>0.32787572251114</v>
      </c>
      <c r="CO900" s="469">
        <f t="shared" si="2153"/>
        <v>0.33040253477510617</v>
      </c>
      <c r="CP900" s="469">
        <f t="shared" si="2154"/>
        <v>0.33381378219790742</v>
      </c>
      <c r="CQ900" s="469">
        <f t="shared" si="2155"/>
        <v>0.31489856092130664</v>
      </c>
      <c r="CR900" s="469">
        <f t="shared" si="2156"/>
        <v>0.30443230690852219</v>
      </c>
      <c r="CS900" s="469">
        <f t="shared" si="2157"/>
        <v>0.30487648350439378</v>
      </c>
      <c r="CT900" s="469">
        <f t="shared" si="2158"/>
        <v>0.32743061352952973</v>
      </c>
      <c r="CU900" s="469">
        <f t="shared" si="2159"/>
        <v>0.34482673644027273</v>
      </c>
      <c r="CV900" s="469">
        <f t="shared" si="2160"/>
        <v>0.35466078447974425</v>
      </c>
      <c r="CW900" s="469">
        <f t="shared" si="2161"/>
        <v>0.31475028228222252</v>
      </c>
      <c r="CX900" s="469">
        <f t="shared" si="2162"/>
        <v>0.32736795632010302</v>
      </c>
      <c r="CY900" s="469">
        <f t="shared" si="2163"/>
        <v>0.32629904649098468</v>
      </c>
      <c r="CZ900" s="469">
        <f t="shared" si="2164"/>
        <v>0.33247827754380882</v>
      </c>
      <c r="DA900" s="469">
        <f t="shared" si="2165"/>
        <v>0.33274931760338639</v>
      </c>
      <c r="DB900" s="469">
        <f t="shared" si="2165"/>
        <v>0.33938962539753881</v>
      </c>
      <c r="DC900" s="1463">
        <f t="shared" si="2165"/>
        <v>0.33583049404487975</v>
      </c>
      <c r="DD900" s="492"/>
      <c r="DE900" s="492"/>
      <c r="DF900" s="962"/>
      <c r="DG900" s="962"/>
      <c r="DH900" s="469"/>
      <c r="DI900" s="3213"/>
      <c r="DJ900" s="962"/>
      <c r="DK900" s="962"/>
      <c r="DL900" s="962"/>
      <c r="DM900" s="962"/>
      <c r="DN900" s="962"/>
      <c r="DO900" s="962"/>
      <c r="DP900" s="962"/>
      <c r="DQ900" s="962"/>
      <c r="DR900" s="963"/>
      <c r="DS900" s="963"/>
      <c r="DT900" s="963"/>
    </row>
    <row r="901" spans="1:124" ht="12" customHeight="1" x14ac:dyDescent="0.25">
      <c r="A901" s="465" t="s">
        <v>1812</v>
      </c>
      <c r="B901" s="466"/>
      <c r="C901" s="467">
        <f>(C899+C895)/C889</f>
        <v>0.73489838665403384</v>
      </c>
      <c r="D901" s="467">
        <f t="shared" ref="D901:BD901" si="2170">(D899+D895)/D889</f>
        <v>0.76304927856805704</v>
      </c>
      <c r="E901" s="467">
        <f t="shared" si="2170"/>
        <v>0.73337038977005131</v>
      </c>
      <c r="F901" s="467">
        <f t="shared" si="2170"/>
        <v>0.75499114921798216</v>
      </c>
      <c r="G901" s="468">
        <f t="shared" si="2170"/>
        <v>0.74616284028924995</v>
      </c>
      <c r="H901" s="467">
        <f>(H899+H895)/H889</f>
        <v>0.74790222370114023</v>
      </c>
      <c r="I901" s="467">
        <f t="shared" si="2170"/>
        <v>0.75256415591609194</v>
      </c>
      <c r="J901" s="467">
        <f t="shared" si="2170"/>
        <v>0.7449745117571499</v>
      </c>
      <c r="K901" s="467">
        <f t="shared" si="2170"/>
        <v>0.75498334048438476</v>
      </c>
      <c r="L901" s="468">
        <f t="shared" si="2170"/>
        <v>0.7500476147380013</v>
      </c>
      <c r="M901" s="467">
        <f>(M899+M895)/M889</f>
        <v>0.76543457805231219</v>
      </c>
      <c r="N901" s="467">
        <f t="shared" si="2170"/>
        <v>0.77498256606866445</v>
      </c>
      <c r="O901" s="467">
        <f t="shared" si="2170"/>
        <v>0.75798887079263921</v>
      </c>
      <c r="P901" s="467">
        <f t="shared" si="2170"/>
        <v>0.75058348038472222</v>
      </c>
      <c r="Q901" s="468">
        <f t="shared" si="2170"/>
        <v>0.76214453831484696</v>
      </c>
      <c r="R901" s="467">
        <f>(R899+R895)/R889</f>
        <v>0.76026375644192412</v>
      </c>
      <c r="S901" s="467">
        <f t="shared" si="2170"/>
        <v>0.75678817209822158</v>
      </c>
      <c r="T901" s="467">
        <f t="shared" si="2170"/>
        <v>0.75882287158084039</v>
      </c>
      <c r="U901" s="467">
        <f t="shared" si="2170"/>
        <v>0.76036974591121509</v>
      </c>
      <c r="V901" s="468">
        <f t="shared" si="2170"/>
        <v>0.75904223423344386</v>
      </c>
      <c r="W901" s="467">
        <f>(W899+W895)/W889</f>
        <v>0.72023539973909878</v>
      </c>
      <c r="X901" s="467">
        <f t="shared" si="2170"/>
        <v>0.73161686839565909</v>
      </c>
      <c r="Y901" s="467">
        <f t="shared" si="2170"/>
        <v>0.76146740630688581</v>
      </c>
      <c r="Z901" s="467">
        <f t="shared" si="2170"/>
        <v>0.74686766972023089</v>
      </c>
      <c r="AA901" s="468">
        <f t="shared" si="2170"/>
        <v>0.73919267043524151</v>
      </c>
      <c r="AB901" s="467">
        <f>(AB899+AB895)/AB889</f>
        <v>0.7428966217081604</v>
      </c>
      <c r="AC901" s="467">
        <f t="shared" si="2170"/>
        <v>0.75108891685016244</v>
      </c>
      <c r="AD901" s="467">
        <f t="shared" si="2170"/>
        <v>0.69612066797444805</v>
      </c>
      <c r="AE901" s="467">
        <f t="shared" si="2170"/>
        <v>0.73433609174554582</v>
      </c>
      <c r="AF901" s="468">
        <f t="shared" si="2170"/>
        <v>0.72937905050768326</v>
      </c>
      <c r="AG901" s="467">
        <f>(AG899+AG895)/AG889</f>
        <v>0.72290537452947412</v>
      </c>
      <c r="AH901" s="467">
        <f t="shared" si="2170"/>
        <v>0.72482041682930143</v>
      </c>
      <c r="AI901" s="467">
        <f t="shared" si="2170"/>
        <v>0.72166078306248826</v>
      </c>
      <c r="AJ901" s="467">
        <f t="shared" si="2170"/>
        <v>0.75205574545314857</v>
      </c>
      <c r="AK901" s="468">
        <f t="shared" si="2170"/>
        <v>0.73003019697546179</v>
      </c>
      <c r="AL901" s="467">
        <f>(AL899+AL895)/AL889</f>
        <v>0.74150529218029126</v>
      </c>
      <c r="AM901" s="467">
        <f t="shared" si="2170"/>
        <v>0.74701134171402606</v>
      </c>
      <c r="AN901" s="467">
        <f t="shared" si="2170"/>
        <v>0.74150727422143903</v>
      </c>
      <c r="AO901" s="467">
        <f t="shared" si="2170"/>
        <v>0.76404168039536546</v>
      </c>
      <c r="AP901" s="468">
        <f t="shared" si="2170"/>
        <v>0.74835595359138474</v>
      </c>
      <c r="AQ901" s="581">
        <f t="shared" ref="AQ901:AZ901" si="2171">(AQ899+AQ895)/AQ889</f>
        <v>0.74831708984014611</v>
      </c>
      <c r="AR901" s="467">
        <f t="shared" si="2171"/>
        <v>0.75432736614381601</v>
      </c>
      <c r="AS901" s="467">
        <f t="shared" si="2171"/>
        <v>0.76422926398921698</v>
      </c>
      <c r="AT901" s="1669">
        <f t="shared" si="2171"/>
        <v>0.75233214927160896</v>
      </c>
      <c r="AU901" s="1468">
        <f t="shared" si="2171"/>
        <v>0.75462218480191978</v>
      </c>
      <c r="AV901" s="1862">
        <f t="shared" si="2171"/>
        <v>0.7028521476388172</v>
      </c>
      <c r="AW901" s="1846">
        <f t="shared" si="2171"/>
        <v>0.722212796645743</v>
      </c>
      <c r="AX901" s="1846">
        <f t="shared" si="2171"/>
        <v>0.72768439849215805</v>
      </c>
      <c r="AY901" s="1765">
        <f t="shared" si="2171"/>
        <v>0.73181586323300629</v>
      </c>
      <c r="AZ901" s="468">
        <f t="shared" si="2171"/>
        <v>0.71925778004555418</v>
      </c>
      <c r="BA901" s="1862">
        <f t="shared" si="2170"/>
        <v>0.55405442183726261</v>
      </c>
      <c r="BB901" s="1846">
        <f t="shared" si="2170"/>
        <v>0.6401761195947625</v>
      </c>
      <c r="BC901" s="1846">
        <f t="shared" si="2170"/>
        <v>0.66334351384539758</v>
      </c>
      <c r="BD901" s="1765">
        <f t="shared" si="2170"/>
        <v>0.69753832692384687</v>
      </c>
      <c r="BE901" s="1669">
        <f t="shared" ref="BE901:CF901" si="2172">(BE899+BE895)/BE889</f>
        <v>0.63667275334081308</v>
      </c>
      <c r="BF901" s="1846">
        <f t="shared" si="2172"/>
        <v>0.56205306798886556</v>
      </c>
      <c r="BG901" s="1846">
        <f t="shared" si="2172"/>
        <v>0.63256223084544716</v>
      </c>
      <c r="BH901" s="1846">
        <f t="shared" si="2172"/>
        <v>0.65121920174079018</v>
      </c>
      <c r="BI901" s="1765">
        <f t="shared" si="2172"/>
        <v>0.68544033144388306</v>
      </c>
      <c r="BJ901" s="1669">
        <f t="shared" si="2172"/>
        <v>0.63190210494753807</v>
      </c>
      <c r="BK901" s="1846">
        <f t="shared" si="2172"/>
        <v>0.56715336825032725</v>
      </c>
      <c r="BL901" s="1846">
        <f t="shared" si="2172"/>
        <v>0.63159189954739181</v>
      </c>
      <c r="BM901" s="1846">
        <f t="shared" si="2172"/>
        <v>0.6499392087315331</v>
      </c>
      <c r="BN901" s="1765">
        <f t="shared" si="2172"/>
        <v>0.67244703843234499</v>
      </c>
      <c r="BO901" s="1669">
        <f t="shared" si="2172"/>
        <v>0.62934409231936739</v>
      </c>
      <c r="BP901" s="1846">
        <f t="shared" si="2172"/>
        <v>0.57892934083985492</v>
      </c>
      <c r="BQ901" s="1846">
        <f t="shared" si="2172"/>
        <v>0.63083725578849148</v>
      </c>
      <c r="BR901" s="1846">
        <f t="shared" si="2172"/>
        <v>0.65510914145968491</v>
      </c>
      <c r="BS901" s="1846">
        <f t="shared" si="2172"/>
        <v>0.67108384501239726</v>
      </c>
      <c r="BT901" s="468">
        <f t="shared" si="2172"/>
        <v>0.63441529212797387</v>
      </c>
      <c r="BU901" s="1846">
        <f t="shared" si="2172"/>
        <v>0.5682348151621337</v>
      </c>
      <c r="BV901" s="1846">
        <f>(BV899+BV895)/BV889</f>
        <v>0.63807574096910935</v>
      </c>
      <c r="BW901" s="1846">
        <f>(BW899+BW895)/BW889</f>
        <v>0.66360399019220495</v>
      </c>
      <c r="BX901" s="1846">
        <f>(BX899+BX895)/BX889</f>
        <v>0.67594467488906129</v>
      </c>
      <c r="BY901" s="468">
        <f>(BY899+BY895)/BY889</f>
        <v>0.6368602020890991</v>
      </c>
      <c r="BZ901" s="468">
        <f t="shared" si="2172"/>
        <v>0.64408686473409216</v>
      </c>
      <c r="CA901" s="468">
        <f t="shared" si="2172"/>
        <v>0.6405277333814331</v>
      </c>
      <c r="CB901" s="468">
        <f t="shared" si="2172"/>
        <v>0.63995113626204481</v>
      </c>
      <c r="CC901" s="468">
        <f t="shared" si="2172"/>
        <v>0.63237116018335104</v>
      </c>
      <c r="CD901" s="468">
        <f t="shared" si="2172"/>
        <v>0.63597536449527892</v>
      </c>
      <c r="CE901" s="468">
        <f t="shared" si="2172"/>
        <v>0.63954423347081546</v>
      </c>
      <c r="CF901" s="468">
        <f t="shared" si="2172"/>
        <v>0.64307811353482702</v>
      </c>
      <c r="CG901" s="492"/>
      <c r="CH901" s="492"/>
      <c r="CI901" s="492"/>
      <c r="CJ901" s="492"/>
      <c r="CK901" s="492"/>
      <c r="CL901" s="1310" t="str">
        <f t="shared" si="2150"/>
        <v>Margin bef. tax</v>
      </c>
      <c r="CM901" s="469">
        <f t="shared" si="2151"/>
        <v>0.74616284028924995</v>
      </c>
      <c r="CN901" s="469">
        <f t="shared" si="2152"/>
        <v>0.7500476147380013</v>
      </c>
      <c r="CO901" s="469">
        <f t="shared" si="2153"/>
        <v>0.76214453831484696</v>
      </c>
      <c r="CP901" s="469">
        <f t="shared" si="2154"/>
        <v>0.75904223423344386</v>
      </c>
      <c r="CQ901" s="469">
        <f t="shared" si="2155"/>
        <v>0.73919267043524151</v>
      </c>
      <c r="CR901" s="469">
        <f t="shared" si="2156"/>
        <v>0.72937905050768326</v>
      </c>
      <c r="CS901" s="469">
        <f t="shared" si="2157"/>
        <v>0.73003019697546179</v>
      </c>
      <c r="CT901" s="469">
        <f t="shared" si="2158"/>
        <v>0.74835595359138474</v>
      </c>
      <c r="CU901" s="469">
        <f t="shared" si="2159"/>
        <v>0.75462218480191978</v>
      </c>
      <c r="CV901" s="469">
        <f t="shared" si="2160"/>
        <v>0.71925778004555418</v>
      </c>
      <c r="CW901" s="469">
        <f t="shared" si="2161"/>
        <v>0.63667275334081308</v>
      </c>
      <c r="CX901" s="469">
        <f t="shared" si="2162"/>
        <v>0.63190210494753807</v>
      </c>
      <c r="CY901" s="469">
        <f t="shared" si="2163"/>
        <v>0.62934409231936739</v>
      </c>
      <c r="CZ901" s="469">
        <f t="shared" si="2164"/>
        <v>0.63441529212797387</v>
      </c>
      <c r="DA901" s="469">
        <f t="shared" si="2165"/>
        <v>0.6368602020890991</v>
      </c>
      <c r="DB901" s="469">
        <f t="shared" si="2165"/>
        <v>0.64408686473409216</v>
      </c>
      <c r="DC901" s="1463">
        <f t="shared" si="2165"/>
        <v>0.6405277333814331</v>
      </c>
      <c r="DD901" s="492"/>
      <c r="DE901" s="492"/>
      <c r="DF901" s="962"/>
      <c r="DG901" s="962"/>
      <c r="DH901" s="469"/>
      <c r="DI901" s="3213"/>
      <c r="DJ901" s="962"/>
      <c r="DK901" s="962"/>
      <c r="DL901" s="962"/>
      <c r="DM901" s="962"/>
      <c r="DN901" s="962"/>
      <c r="DO901" s="962"/>
      <c r="DP901" s="962"/>
      <c r="DQ901" s="962"/>
      <c r="DR901" s="963"/>
      <c r="DS901" s="963"/>
      <c r="DT901" s="963"/>
    </row>
    <row r="902" spans="1:124" ht="12" customHeight="1" x14ac:dyDescent="0.25">
      <c r="A902" s="465" t="s">
        <v>1491</v>
      </c>
      <c r="B902" s="466"/>
      <c r="C902" s="467" t="s">
        <v>553</v>
      </c>
      <c r="D902" s="467" t="s">
        <v>553</v>
      </c>
      <c r="E902" s="467" t="s">
        <v>553</v>
      </c>
      <c r="F902" s="467" t="s">
        <v>553</v>
      </c>
      <c r="G902" s="468" t="s">
        <v>553</v>
      </c>
      <c r="H902" s="467">
        <f t="shared" ref="H902:AF902" si="2173">(H899-C899)/C899</f>
        <v>1.053985983355229E-2</v>
      </c>
      <c r="I902" s="467">
        <f t="shared" si="2173"/>
        <v>2.2410206628761611E-2</v>
      </c>
      <c r="J902" s="467">
        <f t="shared" si="2173"/>
        <v>-8.8941361668634037E-3</v>
      </c>
      <c r="K902" s="467">
        <f t="shared" si="2173"/>
        <v>8.0187245425253753E-2</v>
      </c>
      <c r="L902" s="468">
        <f t="shared" si="2173"/>
        <v>2.4318226134432644E-2</v>
      </c>
      <c r="M902" s="467">
        <f t="shared" si="2173"/>
        <v>0.10419093544279803</v>
      </c>
      <c r="N902" s="467">
        <f t="shared" si="2173"/>
        <v>3.0355641157800498E-2</v>
      </c>
      <c r="O902" s="467">
        <f t="shared" si="2173"/>
        <v>5.4955527318932475E-2</v>
      </c>
      <c r="P902" s="467">
        <f t="shared" si="2173"/>
        <v>7.0266771724448437E-2</v>
      </c>
      <c r="Q902" s="468">
        <f t="shared" si="2173"/>
        <v>6.4845534645926128E-2</v>
      </c>
      <c r="R902" s="467">
        <f t="shared" si="2173"/>
        <v>2.323413233887001E-2</v>
      </c>
      <c r="S902" s="467">
        <f t="shared" si="2173"/>
        <v>7.4719604022958269E-2</v>
      </c>
      <c r="T902" s="467">
        <f t="shared" si="2173"/>
        <v>3.8392050587172571E-2</v>
      </c>
      <c r="U902" s="467">
        <f t="shared" si="2173"/>
        <v>-5.6214340178266188E-2</v>
      </c>
      <c r="V902" s="468">
        <f t="shared" si="2173"/>
        <v>2.0283988609809674E-2</v>
      </c>
      <c r="W902" s="467">
        <f t="shared" si="2173"/>
        <v>-5.8360907303505599E-2</v>
      </c>
      <c r="X902" s="467">
        <f t="shared" si="2173"/>
        <v>-0.12822146006859386</v>
      </c>
      <c r="Y902" s="467">
        <f t="shared" si="2173"/>
        <v>-0.17739596926199799</v>
      </c>
      <c r="Z902" s="467">
        <f t="shared" si="2173"/>
        <v>-0.24326507870176911</v>
      </c>
      <c r="AA902" s="468">
        <f t="shared" si="2173"/>
        <v>-0.14856416963386176</v>
      </c>
      <c r="AB902" s="467">
        <f t="shared" si="2173"/>
        <v>-0.21417294764717859</v>
      </c>
      <c r="AC902" s="467">
        <f t="shared" si="2173"/>
        <v>-0.23815545439217664</v>
      </c>
      <c r="AD902" s="467">
        <f t="shared" si="2173"/>
        <v>0.10481478217443686</v>
      </c>
      <c r="AE902" s="469">
        <f t="shared" si="2173"/>
        <v>0.21098553178956661</v>
      </c>
      <c r="AF902" s="470">
        <f t="shared" si="2173"/>
        <v>-5.5761344093134137E-2</v>
      </c>
      <c r="AG902" s="467">
        <f t="shared" ref="AG902:AP902" si="2174">(AG899-AB899)/AB899</f>
        <v>9.6270373610706075E-2</v>
      </c>
      <c r="AH902" s="467">
        <f t="shared" si="2174"/>
        <v>0.2349968647412489</v>
      </c>
      <c r="AI902" s="467">
        <f t="shared" si="2174"/>
        <v>-0.10758063229546116</v>
      </c>
      <c r="AJ902" s="469">
        <f t="shared" si="2174"/>
        <v>-2.2922113455341335E-2</v>
      </c>
      <c r="AK902" s="470">
        <f t="shared" si="2174"/>
        <v>3.5353181552831306E-2</v>
      </c>
      <c r="AL902" s="467">
        <f t="shared" si="2174"/>
        <v>6.7569165287302002E-2</v>
      </c>
      <c r="AM902" s="467">
        <f t="shared" si="2174"/>
        <v>7.9176871154650358E-2</v>
      </c>
      <c r="AN902" s="467">
        <f t="shared" si="2174"/>
        <v>6.7618515880583277E-2</v>
      </c>
      <c r="AO902" s="469">
        <f t="shared" si="2174"/>
        <v>9.5247992482887497E-2</v>
      </c>
      <c r="AP902" s="471">
        <f t="shared" si="2174"/>
        <v>7.7191266732072092E-2</v>
      </c>
      <c r="AQ902" s="471">
        <f t="shared" ref="AQ902:BA902" si="2175">(AQ899-AL899)/AL899</f>
        <v>0.18072046497314317</v>
      </c>
      <c r="AR902" s="469">
        <f t="shared" si="2175"/>
        <v>2.0367074281127111E-3</v>
      </c>
      <c r="AS902" s="469">
        <f t="shared" si="2175"/>
        <v>-6.5665304616989967E-2</v>
      </c>
      <c r="AT902" s="469">
        <f t="shared" si="2175"/>
        <v>-0.30697597957836975</v>
      </c>
      <c r="AU902" s="1689">
        <f t="shared" si="2175"/>
        <v>-4.5769288647538139E-2</v>
      </c>
      <c r="AV902" s="1730">
        <f t="shared" si="2175"/>
        <v>-0.16001932389799284</v>
      </c>
      <c r="AW902" s="1465">
        <f t="shared" si="2175"/>
        <v>-0.33798785178395835</v>
      </c>
      <c r="AX902" s="1465">
        <f t="shared" si="2175"/>
        <v>-0.37253011497873539</v>
      </c>
      <c r="AY902" s="1868">
        <f t="shared" si="2175"/>
        <v>-0.34090613598984743</v>
      </c>
      <c r="AZ902" s="470">
        <f t="shared" si="2175"/>
        <v>-0.29145807527631962</v>
      </c>
      <c r="BA902" s="1730">
        <f t="shared" si="2175"/>
        <v>-0.63783198853131928</v>
      </c>
      <c r="BB902" s="1465">
        <f t="shared" ref="BB902:BJ902" si="2176">(BB899-AW899)/AW899</f>
        <v>-0.33736563766347277</v>
      </c>
      <c r="BC902" s="1465">
        <f t="shared" si="2176"/>
        <v>-0.22677833248834597</v>
      </c>
      <c r="BD902" s="1868">
        <f t="shared" si="2176"/>
        <v>5.052840829398942E-2</v>
      </c>
      <c r="BE902" s="1463">
        <f t="shared" si="2176"/>
        <v>-0.36010629888012186</v>
      </c>
      <c r="BF902" s="1465">
        <f t="shared" si="2176"/>
        <v>-5.1046911437226894E-2</v>
      </c>
      <c r="BG902" s="1465">
        <f t="shared" si="2176"/>
        <v>-3.0464656119004844E-2</v>
      </c>
      <c r="BH902" s="1465">
        <f t="shared" si="2176"/>
        <v>-6.9620752388546564E-2</v>
      </c>
      <c r="BI902" s="1868">
        <f t="shared" si="2176"/>
        <v>-2.5486017714960396E-2</v>
      </c>
      <c r="BJ902" s="1463">
        <f t="shared" si="2176"/>
        <v>-4.3675523435460516E-2</v>
      </c>
      <c r="BK902" s="1465">
        <f t="shared" ref="BK902:BT902" si="2177">(BK899-BF899)/BF899</f>
        <v>1.7821937499443229E-2</v>
      </c>
      <c r="BL902" s="1465">
        <f t="shared" si="2177"/>
        <v>-6.0667086695959695E-2</v>
      </c>
      <c r="BM902" s="1465">
        <f t="shared" si="2177"/>
        <v>1.3478028360879746E-2</v>
      </c>
      <c r="BN902" s="1868">
        <f t="shared" si="2177"/>
        <v>-6.1552655783147975E-2</v>
      </c>
      <c r="BO902" s="1463">
        <f t="shared" si="2177"/>
        <v>-2.571248155575637E-2</v>
      </c>
      <c r="BP902" s="1465">
        <f t="shared" si="2177"/>
        <v>-5.3214142257474936E-2</v>
      </c>
      <c r="BQ902" s="1465">
        <f t="shared" si="2177"/>
        <v>-1.1427977093495746E-2</v>
      </c>
      <c r="BR902" s="1465">
        <f t="shared" si="2177"/>
        <v>0.12811496710460338</v>
      </c>
      <c r="BS902" s="1465">
        <f t="shared" si="2177"/>
        <v>4.3063231446530251E-2</v>
      </c>
      <c r="BT902" s="470">
        <f t="shared" si="2177"/>
        <v>3.1083574064666386E-2</v>
      </c>
      <c r="BU902" s="1465">
        <f>(BU899-BP899)/BP899</f>
        <v>-1.901098997759566E-2</v>
      </c>
      <c r="BV902" s="1465">
        <f>(BV899-BQ899)/BQ899</f>
        <v>3.7194273624318742E-2</v>
      </c>
      <c r="BW902" s="1465">
        <f>(BW899-BR899)/BR899</f>
        <v>3.0292686949271546E-2</v>
      </c>
      <c r="BX902" s="1465">
        <f>(BX899-BS899)/BS899</f>
        <v>1.9700781440963513E-2</v>
      </c>
      <c r="BY902" s="470">
        <f>(BY899-BT899)/BT899</f>
        <v>1.9262449541418473E-2</v>
      </c>
      <c r="BZ902" s="470">
        <f t="shared" ref="BZ902:CF902" si="2178">(BZ899-BY899)/BY899</f>
        <v>2.505566647345462E-2</v>
      </c>
      <c r="CA902" s="470">
        <f t="shared" si="2178"/>
        <v>-1.0486859604179459E-2</v>
      </c>
      <c r="CB902" s="470">
        <f t="shared" si="2178"/>
        <v>9.8019810999002126E-4</v>
      </c>
      <c r="CC902" s="470">
        <f t="shared" si="2178"/>
        <v>-5.3302637253485191E-2</v>
      </c>
      <c r="CD902" s="470">
        <f t="shared" si="2178"/>
        <v>2.3258076735108685E-2</v>
      </c>
      <c r="CE902" s="470">
        <f t="shared" si="2178"/>
        <v>2.3287886938368415E-2</v>
      </c>
      <c r="CF902" s="470">
        <f t="shared" si="2178"/>
        <v>2.3315577237737018E-2</v>
      </c>
      <c r="CG902" s="492"/>
      <c r="CH902" s="492"/>
      <c r="CI902" s="492"/>
      <c r="CJ902" s="492"/>
      <c r="CK902" s="492"/>
      <c r="CL902" s="1310" t="str">
        <f t="shared" si="2150"/>
        <v>% growth (y-o-y)</v>
      </c>
      <c r="CM902" s="469" t="str">
        <f t="shared" si="2151"/>
        <v xml:space="preserve">n/a </v>
      </c>
      <c r="CN902" s="469">
        <f t="shared" si="2152"/>
        <v>2.4318226134432644E-2</v>
      </c>
      <c r="CO902" s="469">
        <f t="shared" si="2153"/>
        <v>6.4845534645926128E-2</v>
      </c>
      <c r="CP902" s="469">
        <f t="shared" si="2154"/>
        <v>2.0283988609809674E-2</v>
      </c>
      <c r="CQ902" s="469">
        <f t="shared" si="2155"/>
        <v>-0.14856416963386176</v>
      </c>
      <c r="CR902" s="469">
        <f t="shared" si="2156"/>
        <v>-5.5761344093134137E-2</v>
      </c>
      <c r="CS902" s="469">
        <f t="shared" si="2157"/>
        <v>3.5353181552831306E-2</v>
      </c>
      <c r="CT902" s="469">
        <f t="shared" si="2158"/>
        <v>7.7191266732072092E-2</v>
      </c>
      <c r="CU902" s="469">
        <f t="shared" si="2159"/>
        <v>-4.5769288647538139E-2</v>
      </c>
      <c r="CV902" s="469">
        <f t="shared" si="2160"/>
        <v>-0.29145807527631962</v>
      </c>
      <c r="CW902" s="469">
        <f t="shared" si="2161"/>
        <v>-0.36010629888012186</v>
      </c>
      <c r="CX902" s="469">
        <f t="shared" si="2162"/>
        <v>-4.3675523435460516E-2</v>
      </c>
      <c r="CY902" s="469">
        <f t="shared" si="2163"/>
        <v>-2.571248155575637E-2</v>
      </c>
      <c r="CZ902" s="469">
        <f t="shared" si="2164"/>
        <v>3.1083574064666386E-2</v>
      </c>
      <c r="DA902" s="469">
        <f t="shared" si="2165"/>
        <v>1.9262449541418473E-2</v>
      </c>
      <c r="DB902" s="469">
        <f t="shared" si="2165"/>
        <v>2.505566647345462E-2</v>
      </c>
      <c r="DC902" s="1463">
        <f t="shared" si="2165"/>
        <v>-1.0486859604179459E-2</v>
      </c>
      <c r="DD902" s="492"/>
      <c r="DE902" s="492"/>
      <c r="DF902" s="962"/>
      <c r="DG902" s="962"/>
      <c r="DH902" s="469"/>
      <c r="DI902" s="3213"/>
      <c r="DJ902" s="962"/>
      <c r="DK902" s="962"/>
      <c r="DL902" s="962"/>
      <c r="DM902" s="962"/>
      <c r="DN902" s="962"/>
      <c r="DO902" s="962"/>
      <c r="DP902" s="962"/>
      <c r="DQ902" s="962"/>
      <c r="DR902" s="963"/>
      <c r="DS902" s="963"/>
      <c r="DT902" s="963"/>
    </row>
    <row r="903" spans="1:124" ht="12" customHeight="1" x14ac:dyDescent="0.25">
      <c r="A903" s="281" t="s">
        <v>2197</v>
      </c>
      <c r="B903" s="281"/>
      <c r="C903" s="570">
        <v>3.4119999999999999</v>
      </c>
      <c r="D903" s="570">
        <v>3.5830000000000002</v>
      </c>
      <c r="E903" s="570">
        <v>3.585</v>
      </c>
      <c r="F903" s="570">
        <v>3.9860000000000002</v>
      </c>
      <c r="G903" s="475">
        <f>SUM(C903:F903)</f>
        <v>14.566000000000001</v>
      </c>
      <c r="H903" s="570">
        <v>3.7010000000000001</v>
      </c>
      <c r="I903" s="570">
        <v>3.68</v>
      </c>
      <c r="J903" s="570">
        <v>3.8620000000000001</v>
      </c>
      <c r="K903" s="570">
        <v>3.8180000000000001</v>
      </c>
      <c r="L903" s="475">
        <f>SUM(H903:K903)</f>
        <v>15.061</v>
      </c>
      <c r="M903" s="570">
        <v>4.6349999999999998</v>
      </c>
      <c r="N903" s="570">
        <v>4.2560000000000002</v>
      </c>
      <c r="O903" s="570">
        <v>4.2729999999999997</v>
      </c>
      <c r="P903" s="570">
        <v>4.3099999999999996</v>
      </c>
      <c r="Q903" s="475">
        <f>SUM(M903:P903)</f>
        <v>17.474</v>
      </c>
      <c r="R903" s="570">
        <v>4.2919999999999998</v>
      </c>
      <c r="S903" s="570">
        <v>4.2919999999999998</v>
      </c>
      <c r="T903" s="570">
        <v>4.3120000000000003</v>
      </c>
      <c r="U903" s="570">
        <v>4.306</v>
      </c>
      <c r="V903" s="475">
        <f>SUM(R903:U903)</f>
        <v>17.202000000000002</v>
      </c>
      <c r="W903" s="570">
        <v>4.3540000000000001</v>
      </c>
      <c r="X903" s="570">
        <v>4.3209999999999997</v>
      </c>
      <c r="Y903" s="570">
        <v>4.67</v>
      </c>
      <c r="Z903" s="570">
        <v>4.6059999999999999</v>
      </c>
      <c r="AA903" s="475">
        <f>SUM(W903:Z903)</f>
        <v>17.951000000000001</v>
      </c>
      <c r="AB903" s="570">
        <v>4.407</v>
      </c>
      <c r="AC903" s="570">
        <v>4.0709999999999997</v>
      </c>
      <c r="AD903" s="570">
        <v>9.8740000000000006</v>
      </c>
      <c r="AE903" s="572">
        <v>9.4939999999999998</v>
      </c>
      <c r="AF903" s="477">
        <f>SUM(AB903:AE903)</f>
        <v>27.846</v>
      </c>
      <c r="AG903" s="570">
        <v>9.41</v>
      </c>
      <c r="AH903" s="570">
        <v>9.5939999999999994</v>
      </c>
      <c r="AI903" s="570">
        <v>9.4920000000000009</v>
      </c>
      <c r="AJ903" s="570">
        <v>9.2170000000000005</v>
      </c>
      <c r="AK903" s="477">
        <f>SUM(AG903:AJ903)</f>
        <v>37.713000000000001</v>
      </c>
      <c r="AL903" s="570">
        <v>8.859</v>
      </c>
      <c r="AM903" s="570">
        <v>8.8849999999999998</v>
      </c>
      <c r="AN903" s="1594">
        <f>AM903</f>
        <v>8.8849999999999998</v>
      </c>
      <c r="AO903" s="452">
        <f>AN903</f>
        <v>8.8849999999999998</v>
      </c>
      <c r="AP903" s="478">
        <f>SUM(AL903:AO903)</f>
        <v>35.513999999999996</v>
      </c>
      <c r="AQ903" s="478">
        <f>+AO903</f>
        <v>8.8849999999999998</v>
      </c>
      <c r="AR903" s="476">
        <f>AQ903</f>
        <v>8.8849999999999998</v>
      </c>
      <c r="AS903" s="476">
        <f>AR903</f>
        <v>8.8849999999999998</v>
      </c>
      <c r="AT903" s="476">
        <f>AS903</f>
        <v>8.8849999999999998</v>
      </c>
      <c r="AU903" s="1464">
        <f>SUM(AQ903:AT903)</f>
        <v>35.54</v>
      </c>
      <c r="AV903" s="478">
        <f>+AT903</f>
        <v>8.8849999999999998</v>
      </c>
      <c r="AW903" s="476">
        <f>AV903</f>
        <v>8.8849999999999998</v>
      </c>
      <c r="AX903" s="476">
        <f>AW903</f>
        <v>8.8849999999999998</v>
      </c>
      <c r="AY903" s="682">
        <f>AX903</f>
        <v>8.8849999999999998</v>
      </c>
      <c r="AZ903" s="1464">
        <f>SUM(AV903:AY903)</f>
        <v>35.54</v>
      </c>
      <c r="BA903" s="478">
        <f>+AY903</f>
        <v>8.8849999999999998</v>
      </c>
      <c r="BB903" s="476">
        <f>BA903</f>
        <v>8.8849999999999998</v>
      </c>
      <c r="BC903" s="476">
        <f>BB903</f>
        <v>8.8849999999999998</v>
      </c>
      <c r="BD903" s="682">
        <f>BC903</f>
        <v>8.8849999999999998</v>
      </c>
      <c r="BE903" s="1866">
        <f>SUM(BA903:BD903)</f>
        <v>35.54</v>
      </c>
      <c r="BF903" s="476">
        <f>BD903</f>
        <v>8.8849999999999998</v>
      </c>
      <c r="BG903" s="476">
        <f>BF903</f>
        <v>8.8849999999999998</v>
      </c>
      <c r="BH903" s="476">
        <f>BG903</f>
        <v>8.8849999999999998</v>
      </c>
      <c r="BI903" s="682">
        <f>BH903</f>
        <v>8.8849999999999998</v>
      </c>
      <c r="BJ903" s="1866">
        <f>SUM(BF903:BI903)</f>
        <v>35.54</v>
      </c>
      <c r="BK903" s="476">
        <f>BJ903/4</f>
        <v>8.8849999999999998</v>
      </c>
      <c r="BL903" s="476">
        <f>BK903</f>
        <v>8.8849999999999998</v>
      </c>
      <c r="BM903" s="476">
        <f>BL903</f>
        <v>8.8849999999999998</v>
      </c>
      <c r="BN903" s="682">
        <f>BM903</f>
        <v>8.8849999999999998</v>
      </c>
      <c r="BO903" s="1866">
        <f>SUM(BK903:BN903)</f>
        <v>35.54</v>
      </c>
      <c r="BP903" s="476">
        <f>+BN903</f>
        <v>8.8849999999999998</v>
      </c>
      <c r="BQ903" s="476">
        <f>BP903</f>
        <v>8.8849999999999998</v>
      </c>
      <c r="BR903" s="476">
        <f>BQ903</f>
        <v>8.8849999999999998</v>
      </c>
      <c r="BS903" s="476">
        <f>BR903</f>
        <v>8.8849999999999998</v>
      </c>
      <c r="BT903" s="2604">
        <f>SUM(BP903:BS903)</f>
        <v>35.54</v>
      </c>
      <c r="BU903" s="2577">
        <f>BS903</f>
        <v>8.8849999999999998</v>
      </c>
      <c r="BV903" s="2577">
        <f>BU903</f>
        <v>8.8849999999999998</v>
      </c>
      <c r="BW903" s="2577">
        <f>BV903</f>
        <v>8.8849999999999998</v>
      </c>
      <c r="BX903" s="2577">
        <f>BW903</f>
        <v>8.8849999999999998</v>
      </c>
      <c r="BY903" s="2604">
        <f>SUM(BU903:BX903)</f>
        <v>35.54</v>
      </c>
      <c r="BZ903" s="477">
        <f t="shared" ref="BZ903:CF903" si="2179">BY903</f>
        <v>35.54</v>
      </c>
      <c r="CA903" s="477">
        <f t="shared" si="2179"/>
        <v>35.54</v>
      </c>
      <c r="CB903" s="477">
        <f t="shared" si="2179"/>
        <v>35.54</v>
      </c>
      <c r="CC903" s="477">
        <f t="shared" si="2179"/>
        <v>35.54</v>
      </c>
      <c r="CD903" s="477">
        <f t="shared" si="2179"/>
        <v>35.54</v>
      </c>
      <c r="CE903" s="477">
        <f t="shared" si="2179"/>
        <v>35.54</v>
      </c>
      <c r="CF903" s="477">
        <f t="shared" si="2179"/>
        <v>35.54</v>
      </c>
      <c r="CG903" s="331"/>
      <c r="CH903" s="331"/>
      <c r="CI903" s="331"/>
      <c r="CJ903" s="331"/>
      <c r="CK903" s="331"/>
      <c r="CL903" s="520" t="str">
        <f t="shared" si="2150"/>
        <v>Depreciation and amortization</v>
      </c>
      <c r="CM903" s="476">
        <f t="shared" si="2151"/>
        <v>14.566000000000001</v>
      </c>
      <c r="CN903" s="476">
        <f t="shared" si="2152"/>
        <v>15.061</v>
      </c>
      <c r="CO903" s="476">
        <f t="shared" si="2153"/>
        <v>17.474</v>
      </c>
      <c r="CP903" s="476">
        <f t="shared" si="2154"/>
        <v>17.202000000000002</v>
      </c>
      <c r="CQ903" s="476">
        <f t="shared" si="2155"/>
        <v>17.951000000000001</v>
      </c>
      <c r="CR903" s="476">
        <f t="shared" si="2156"/>
        <v>27.846</v>
      </c>
      <c r="CS903" s="476">
        <f t="shared" si="2157"/>
        <v>37.713000000000001</v>
      </c>
      <c r="CT903" s="476">
        <f t="shared" si="2158"/>
        <v>35.513999999999996</v>
      </c>
      <c r="CU903" s="476">
        <f t="shared" si="2159"/>
        <v>35.54</v>
      </c>
      <c r="CV903" s="476">
        <f t="shared" si="2160"/>
        <v>35.54</v>
      </c>
      <c r="CW903" s="476">
        <f t="shared" si="2161"/>
        <v>35.54</v>
      </c>
      <c r="CX903" s="476">
        <f t="shared" si="2162"/>
        <v>35.54</v>
      </c>
      <c r="CY903" s="476">
        <f t="shared" si="2163"/>
        <v>35.54</v>
      </c>
      <c r="CZ903" s="476">
        <f t="shared" si="2164"/>
        <v>35.54</v>
      </c>
      <c r="DA903" s="476">
        <f t="shared" si="2165"/>
        <v>35.54</v>
      </c>
      <c r="DB903" s="476">
        <f t="shared" si="2165"/>
        <v>35.54</v>
      </c>
      <c r="DC903" s="682">
        <f t="shared" si="2165"/>
        <v>35.54</v>
      </c>
      <c r="DD903" s="331"/>
      <c r="DE903" s="331"/>
      <c r="DF903" s="502"/>
      <c r="DG903" s="503"/>
      <c r="DH903" s="2577"/>
      <c r="DI903" s="3213"/>
      <c r="DJ903" s="502"/>
      <c r="DK903" s="503"/>
      <c r="DL903" s="502"/>
      <c r="DM903" s="502"/>
      <c r="DN903" s="502"/>
      <c r="DO903" s="502"/>
      <c r="DP903" s="503"/>
      <c r="DQ903" s="503"/>
      <c r="DR903" s="296"/>
      <c r="DS903" s="296"/>
      <c r="DT903" s="296"/>
    </row>
    <row r="904" spans="1:124" ht="12" customHeight="1" x14ac:dyDescent="0.25">
      <c r="A904" s="465" t="s">
        <v>646</v>
      </c>
      <c r="B904" s="466"/>
      <c r="C904" s="467">
        <f t="shared" ref="C904:AF904" si="2180">C903/C889</f>
        <v>3.0212603933305587E-2</v>
      </c>
      <c r="D904" s="467">
        <f t="shared" si="2180"/>
        <v>3.3160880711529027E-2</v>
      </c>
      <c r="E904" s="467">
        <f t="shared" si="2180"/>
        <v>3.1037886133813548E-2</v>
      </c>
      <c r="F904" s="467">
        <f t="shared" si="2180"/>
        <v>3.8036891777122515E-2</v>
      </c>
      <c r="G904" s="468">
        <f t="shared" si="2180"/>
        <v>3.3008595469079652E-2</v>
      </c>
      <c r="H904" s="467">
        <f t="shared" si="2180"/>
        <v>3.2840853631483209E-2</v>
      </c>
      <c r="I904" s="467">
        <f t="shared" si="2180"/>
        <v>3.2877103955973271E-2</v>
      </c>
      <c r="J904" s="467">
        <f t="shared" si="2180"/>
        <v>3.3746646743736945E-2</v>
      </c>
      <c r="K904" s="467">
        <f t="shared" si="2180"/>
        <v>3.4854529354305698E-2</v>
      </c>
      <c r="L904" s="468">
        <f t="shared" si="2180"/>
        <v>3.3572665728953274E-2</v>
      </c>
      <c r="M904" s="467">
        <f t="shared" si="2180"/>
        <v>3.8572605544135878E-2</v>
      </c>
      <c r="N904" s="467">
        <f t="shared" si="2180"/>
        <v>3.7010626641389988E-2</v>
      </c>
      <c r="O904" s="467">
        <f t="shared" si="2180"/>
        <v>3.5547310450393485E-2</v>
      </c>
      <c r="P904" s="467">
        <f t="shared" si="2180"/>
        <v>3.6315226275035174E-2</v>
      </c>
      <c r="Q904" s="468">
        <f t="shared" si="2180"/>
        <v>3.6861401636128138E-2</v>
      </c>
      <c r="R904" s="467">
        <f t="shared" si="2180"/>
        <v>3.5221323179438359E-2</v>
      </c>
      <c r="S904" s="467">
        <f t="shared" si="2180"/>
        <v>3.5402025800917218E-2</v>
      </c>
      <c r="T904" s="467">
        <f t="shared" si="2180"/>
        <v>3.5408985276365816E-2</v>
      </c>
      <c r="U904" s="467">
        <f t="shared" si="2180"/>
        <v>3.7822359637411283E-2</v>
      </c>
      <c r="V904" s="468">
        <f t="shared" si="2180"/>
        <v>3.5933397253921404E-2</v>
      </c>
      <c r="W904" s="467">
        <f t="shared" si="2180"/>
        <v>3.6822164338148236E-2</v>
      </c>
      <c r="X904" s="467">
        <f t="shared" si="2180"/>
        <v>3.8786758105633548E-2</v>
      </c>
      <c r="Y904" s="467">
        <f t="shared" si="2180"/>
        <v>4.4507981891827496E-2</v>
      </c>
      <c r="Z904" s="467">
        <f t="shared" si="2180"/>
        <v>4.7236665333456399E-2</v>
      </c>
      <c r="AA904" s="468">
        <f t="shared" si="2180"/>
        <v>4.1545354816909755E-2</v>
      </c>
      <c r="AB904" s="467">
        <f t="shared" si="2180"/>
        <v>4.3418291445404475E-2</v>
      </c>
      <c r="AC904" s="467">
        <f t="shared" si="2180"/>
        <v>4.268637936458005E-2</v>
      </c>
      <c r="AD904" s="467">
        <f t="shared" si="2180"/>
        <v>8.2775849638683507E-2</v>
      </c>
      <c r="AE904" s="469">
        <f t="shared" si="2180"/>
        <v>8.9686183377732431E-2</v>
      </c>
      <c r="AF904" s="470">
        <f t="shared" si="2180"/>
        <v>6.5983436607703505E-2</v>
      </c>
      <c r="AG904" s="467">
        <f t="shared" ref="AG904:AP904" si="2181">AG903/AG889</f>
        <v>8.4739657439259403E-2</v>
      </c>
      <c r="AH904" s="467">
        <f t="shared" si="2181"/>
        <v>8.7087550492443142E-2</v>
      </c>
      <c r="AI904" s="467">
        <f t="shared" si="2181"/>
        <v>8.5552821566665771E-2</v>
      </c>
      <c r="AJ904" s="469">
        <f t="shared" si="2181"/>
        <v>8.8507557279763394E-2</v>
      </c>
      <c r="AK904" s="470">
        <f t="shared" si="2181"/>
        <v>8.643862681011602E-2</v>
      </c>
      <c r="AL904" s="467">
        <f t="shared" si="2181"/>
        <v>7.9828070934256062E-2</v>
      </c>
      <c r="AM904" s="467">
        <f t="shared" si="2181"/>
        <v>8.0791088883837237E-2</v>
      </c>
      <c r="AN904" s="467">
        <f t="shared" si="2181"/>
        <v>8.0401885271731074E-2</v>
      </c>
      <c r="AO904" s="469">
        <f t="shared" si="2181"/>
        <v>8.3706216184714188E-2</v>
      </c>
      <c r="AP904" s="471">
        <f t="shared" si="2181"/>
        <v>8.1155676022016676E-2</v>
      </c>
      <c r="AQ904" s="471">
        <f t="shared" ref="AQ904:BK904" si="2182">AQ903/AQ889</f>
        <v>7.9543438389699184E-2</v>
      </c>
      <c r="AR904" s="469">
        <f t="shared" si="2182"/>
        <v>8.7171934165282933E-2</v>
      </c>
      <c r="AS904" s="469">
        <f t="shared" si="2182"/>
        <v>9.1668013142706659E-2</v>
      </c>
      <c r="AT904" s="469">
        <f t="shared" si="2182"/>
        <v>0.1033649087826493</v>
      </c>
      <c r="AU904" s="1689">
        <f t="shared" si="2182"/>
        <v>8.9632393318442277E-2</v>
      </c>
      <c r="AV904" s="1730">
        <f>AV903/AV889</f>
        <v>0.10207876369339232</v>
      </c>
      <c r="AW904" s="1465">
        <f>AW903/AW889</f>
        <v>0.13142284740286195</v>
      </c>
      <c r="AX904" s="1465">
        <f>AX903/AX889</f>
        <v>0.14116894833430205</v>
      </c>
      <c r="AY904" s="1868">
        <f>AY903/AY889</f>
        <v>0.15989634476951356</v>
      </c>
      <c r="AZ904" s="470">
        <f t="shared" si="2182"/>
        <v>0.13011030012500718</v>
      </c>
      <c r="BA904" s="1730">
        <f>BA903/BA889</f>
        <v>0.17021669677108114</v>
      </c>
      <c r="BB904" s="1465">
        <f>BB903/BB889</f>
        <v>0.17919463969614741</v>
      </c>
      <c r="BC904" s="1465">
        <f>BC903/BC889</f>
        <v>0.18370883225667894</v>
      </c>
      <c r="BD904" s="1868">
        <f>BD903/BD889</f>
        <v>0.18982446966541627</v>
      </c>
      <c r="BE904" s="1463">
        <f t="shared" si="2182"/>
        <v>0.1804499646925882</v>
      </c>
      <c r="BF904" s="1465">
        <f t="shared" si="2182"/>
        <v>0.19104414472684064</v>
      </c>
      <c r="BG904" s="1465">
        <f t="shared" si="2182"/>
        <v>0.1926172694329569</v>
      </c>
      <c r="BH904" s="1465">
        <f t="shared" si="2182"/>
        <v>0.20034200343947556</v>
      </c>
      <c r="BI904" s="1868">
        <f t="shared" si="2182"/>
        <v>0.2014460740562215</v>
      </c>
      <c r="BJ904" s="1463">
        <f t="shared" si="2182"/>
        <v>0.19625537905919274</v>
      </c>
      <c r="BK904" s="1465">
        <f t="shared" si="2182"/>
        <v>0.19366077700215129</v>
      </c>
      <c r="BL904" s="1465">
        <f t="shared" ref="BL904:CF904" si="2183">BL903/BL889</f>
        <v>0.20117284789204368</v>
      </c>
      <c r="BM904" s="1465">
        <f t="shared" si="2183"/>
        <v>0.20107723991219137</v>
      </c>
      <c r="BN904" s="1868">
        <f t="shared" si="2183"/>
        <v>0.20769016246267846</v>
      </c>
      <c r="BO904" s="1463">
        <f t="shared" si="2183"/>
        <v>0.20077704938157262</v>
      </c>
      <c r="BP904" s="1465">
        <f t="shared" si="2183"/>
        <v>0.20257211350476068</v>
      </c>
      <c r="BQ904" s="1465">
        <f t="shared" si="2183"/>
        <v>0.2015849285003023</v>
      </c>
      <c r="BR904" s="1465">
        <f t="shared" si="2183"/>
        <v>0.1886739012086053</v>
      </c>
      <c r="BS904" s="1465">
        <f t="shared" si="2183"/>
        <v>0.20150194871650126</v>
      </c>
      <c r="BT904" s="470">
        <f t="shared" si="2183"/>
        <v>0.19841187925100634</v>
      </c>
      <c r="BU904" s="1465">
        <f t="shared" si="2183"/>
        <v>0.19782583172242843</v>
      </c>
      <c r="BV904" s="1465">
        <f t="shared" si="2183"/>
        <v>0.19763228284343362</v>
      </c>
      <c r="BW904" s="1465">
        <f t="shared" si="2183"/>
        <v>0.18588561695429098</v>
      </c>
      <c r="BX904" s="1465">
        <f t="shared" si="2183"/>
        <v>0.19852408740541999</v>
      </c>
      <c r="BY904" s="470">
        <f t="shared" si="2183"/>
        <v>0.19482089912442491</v>
      </c>
      <c r="BZ904" s="470">
        <f t="shared" si="2183"/>
        <v>0.19385164091982579</v>
      </c>
      <c r="CA904" s="470">
        <f t="shared" si="2183"/>
        <v>0.19385164091982579</v>
      </c>
      <c r="CB904" s="470">
        <f t="shared" si="2183"/>
        <v>0.20016760917034646</v>
      </c>
      <c r="CC904" s="470">
        <f t="shared" si="2183"/>
        <v>0.21070274649510154</v>
      </c>
      <c r="CD904" s="470">
        <f t="shared" si="2183"/>
        <v>0.20657132009323678</v>
      </c>
      <c r="CE904" s="470">
        <f t="shared" si="2183"/>
        <v>0.20252090205219289</v>
      </c>
      <c r="CF904" s="470">
        <f t="shared" si="2183"/>
        <v>0.19854990397273814</v>
      </c>
      <c r="CG904" s="492"/>
      <c r="CH904" s="492"/>
      <c r="CI904" s="492"/>
      <c r="CJ904" s="492"/>
      <c r="CK904" s="492"/>
      <c r="CL904" s="1310" t="str">
        <f t="shared" si="2150"/>
        <v>% of Net revenue</v>
      </c>
      <c r="CM904" s="469">
        <f t="shared" si="2151"/>
        <v>3.3008595469079652E-2</v>
      </c>
      <c r="CN904" s="469">
        <f t="shared" si="2152"/>
        <v>3.3572665728953274E-2</v>
      </c>
      <c r="CO904" s="469">
        <f t="shared" si="2153"/>
        <v>3.6861401636128138E-2</v>
      </c>
      <c r="CP904" s="469">
        <f t="shared" si="2154"/>
        <v>3.5933397253921404E-2</v>
      </c>
      <c r="CQ904" s="469">
        <f t="shared" si="2155"/>
        <v>4.1545354816909755E-2</v>
      </c>
      <c r="CR904" s="469">
        <f t="shared" si="2156"/>
        <v>6.5983436607703505E-2</v>
      </c>
      <c r="CS904" s="469">
        <f t="shared" si="2157"/>
        <v>8.643862681011602E-2</v>
      </c>
      <c r="CT904" s="469">
        <f t="shared" si="2158"/>
        <v>8.1155676022016676E-2</v>
      </c>
      <c r="CU904" s="469">
        <f t="shared" si="2159"/>
        <v>8.9632393318442277E-2</v>
      </c>
      <c r="CV904" s="469">
        <f t="shared" si="2160"/>
        <v>0.13011030012500718</v>
      </c>
      <c r="CW904" s="469">
        <f t="shared" si="2161"/>
        <v>0.1804499646925882</v>
      </c>
      <c r="CX904" s="469">
        <f t="shared" si="2162"/>
        <v>0.19625537905919274</v>
      </c>
      <c r="CY904" s="469">
        <f t="shared" si="2163"/>
        <v>0.20077704938157262</v>
      </c>
      <c r="CZ904" s="469">
        <f t="shared" si="2164"/>
        <v>0.19841187925100634</v>
      </c>
      <c r="DA904" s="469">
        <f t="shared" si="2165"/>
        <v>0.19482089912442491</v>
      </c>
      <c r="DB904" s="469">
        <f t="shared" si="2165"/>
        <v>0.19385164091982579</v>
      </c>
      <c r="DC904" s="1463">
        <f t="shared" si="2165"/>
        <v>0.19385164091982579</v>
      </c>
      <c r="DD904" s="492"/>
      <c r="DE904" s="492"/>
      <c r="DF904" s="962"/>
      <c r="DG904" s="962"/>
      <c r="DH904" s="469"/>
      <c r="DI904" s="3213"/>
      <c r="DJ904" s="962"/>
      <c r="DK904" s="962"/>
      <c r="DL904" s="962"/>
      <c r="DM904" s="962"/>
      <c r="DN904" s="962"/>
      <c r="DO904" s="962"/>
      <c r="DP904" s="962"/>
      <c r="DQ904" s="962"/>
      <c r="DR904" s="963"/>
      <c r="DS904" s="963"/>
      <c r="DT904" s="963"/>
    </row>
    <row r="905" spans="1:124" ht="12" customHeight="1" x14ac:dyDescent="0.25">
      <c r="A905" s="465"/>
      <c r="B905" s="281"/>
      <c r="C905" s="472"/>
      <c r="D905" s="472"/>
      <c r="E905" s="472"/>
      <c r="F905" s="472"/>
      <c r="G905" s="491"/>
      <c r="H905" s="472"/>
      <c r="I905" s="472"/>
      <c r="J905" s="472"/>
      <c r="K905" s="472"/>
      <c r="L905" s="491"/>
      <c r="M905" s="472"/>
      <c r="N905" s="472"/>
      <c r="O905" s="472"/>
      <c r="P905" s="472"/>
      <c r="Q905" s="491"/>
      <c r="R905" s="472"/>
      <c r="S905" s="472"/>
      <c r="T905" s="472"/>
      <c r="U905" s="472"/>
      <c r="V905" s="491"/>
      <c r="W905" s="472"/>
      <c r="X905" s="472"/>
      <c r="Y905" s="472"/>
      <c r="Z905" s="472"/>
      <c r="AA905" s="491"/>
      <c r="AB905" s="472"/>
      <c r="AC905" s="472"/>
      <c r="AD905" s="472"/>
      <c r="AE905" s="492"/>
      <c r="AF905" s="493"/>
      <c r="AG905" s="472"/>
      <c r="AH905" s="472"/>
      <c r="AI905" s="472"/>
      <c r="AJ905" s="492"/>
      <c r="AK905" s="493"/>
      <c r="AL905" s="472"/>
      <c r="AM905" s="472"/>
      <c r="AN905" s="472"/>
      <c r="AO905" s="492"/>
      <c r="AP905" s="494"/>
      <c r="AQ905" s="494"/>
      <c r="AR905" s="492"/>
      <c r="AS905" s="492"/>
      <c r="AT905" s="492"/>
      <c r="AU905" s="1696"/>
      <c r="AV905" s="1734"/>
      <c r="AW905" s="1735"/>
      <c r="AX905" s="1735"/>
      <c r="AY905" s="1909"/>
      <c r="AZ905" s="1696"/>
      <c r="BA905" s="494"/>
      <c r="BB905" s="492"/>
      <c r="BC905" s="492"/>
      <c r="BD905" s="1311"/>
      <c r="BE905" s="1909"/>
      <c r="BF905" s="492"/>
      <c r="BG905" s="492"/>
      <c r="BH905" s="492"/>
      <c r="BI905" s="1311"/>
      <c r="BJ905" s="1909"/>
      <c r="BK905" s="492"/>
      <c r="BL905" s="492"/>
      <c r="BM905" s="492"/>
      <c r="BN905" s="1311"/>
      <c r="BO905" s="1909"/>
      <c r="BP905" s="492"/>
      <c r="BQ905" s="492"/>
      <c r="BR905" s="492"/>
      <c r="BS905" s="492"/>
      <c r="BT905" s="2693"/>
      <c r="BU905" s="2653"/>
      <c r="BV905" s="2653"/>
      <c r="BW905" s="2653"/>
      <c r="BX905" s="2653"/>
      <c r="BY905" s="2693"/>
      <c r="BZ905" s="493"/>
      <c r="CA905" s="493"/>
      <c r="CB905" s="493"/>
      <c r="CC905" s="493"/>
      <c r="CD905" s="493"/>
      <c r="CE905" s="493"/>
      <c r="CF905" s="493"/>
      <c r="CG905" s="331"/>
      <c r="CH905" s="331"/>
      <c r="CI905" s="331"/>
      <c r="CJ905" s="331"/>
      <c r="CK905" s="331"/>
      <c r="CL905" s="1310"/>
      <c r="CM905" s="492"/>
      <c r="CN905" s="492"/>
      <c r="CO905" s="492"/>
      <c r="CP905" s="492"/>
      <c r="CQ905" s="492"/>
      <c r="CR905" s="492"/>
      <c r="CS905" s="492"/>
      <c r="CT905" s="492"/>
      <c r="CU905" s="492"/>
      <c r="CV905" s="492"/>
      <c r="CW905" s="492"/>
      <c r="CX905" s="492"/>
      <c r="CY905" s="492"/>
      <c r="CZ905" s="492"/>
      <c r="DA905" s="492"/>
      <c r="DB905" s="492"/>
      <c r="DC905" s="1311"/>
      <c r="DD905" s="331"/>
      <c r="DE905" s="331"/>
      <c r="DF905" s="502"/>
      <c r="DG905" s="503"/>
      <c r="DH905" s="2653"/>
      <c r="DI905" s="3213"/>
      <c r="DJ905" s="502"/>
      <c r="DK905" s="503"/>
      <c r="DL905" s="502"/>
      <c r="DM905" s="502"/>
      <c r="DN905" s="502"/>
      <c r="DO905" s="502"/>
      <c r="DP905" s="503"/>
      <c r="DQ905" s="503"/>
      <c r="DR905" s="296"/>
      <c r="DS905" s="296"/>
      <c r="DT905" s="296"/>
    </row>
    <row r="906" spans="1:124" ht="12" customHeight="1" x14ac:dyDescent="0.25">
      <c r="A906" s="2126" t="s">
        <v>1093</v>
      </c>
      <c r="B906" s="428"/>
      <c r="C906" s="502"/>
      <c r="D906" s="502"/>
      <c r="E906" s="502"/>
      <c r="F906" s="502"/>
      <c r="G906" s="534"/>
      <c r="H906" s="502"/>
      <c r="I906" s="502"/>
      <c r="J906" s="502"/>
      <c r="K906" s="502"/>
      <c r="L906" s="534"/>
      <c r="M906" s="502"/>
      <c r="N906" s="502"/>
      <c r="O906" s="502"/>
      <c r="P906" s="502"/>
      <c r="Q906" s="534"/>
      <c r="R906" s="502"/>
      <c r="S906" s="502"/>
      <c r="T906" s="502"/>
      <c r="U906" s="502"/>
      <c r="V906" s="534"/>
      <c r="W906" s="502"/>
      <c r="X906" s="502"/>
      <c r="Y906" s="502"/>
      <c r="Z906" s="502"/>
      <c r="AA906" s="534"/>
      <c r="AB906" s="502"/>
      <c r="AC906" s="502"/>
      <c r="AD906" s="502"/>
      <c r="AE906" s="502"/>
      <c r="AF906" s="534"/>
      <c r="AG906" s="502"/>
      <c r="AH906" s="502"/>
      <c r="AI906" s="502"/>
      <c r="AJ906" s="502"/>
      <c r="AK906" s="534"/>
      <c r="AL906" s="503"/>
      <c r="AM906" s="503"/>
      <c r="AN906" s="503"/>
      <c r="AO906" s="503"/>
      <c r="AP906" s="535"/>
      <c r="AQ906" s="535"/>
      <c r="AR906" s="537"/>
      <c r="AS906" s="537"/>
      <c r="AT906" s="537"/>
      <c r="AU906" s="536"/>
      <c r="AV906" s="535"/>
      <c r="AW906" s="537"/>
      <c r="AX906" s="537"/>
      <c r="AY906" s="1926"/>
      <c r="AZ906" s="536"/>
      <c r="BA906" s="535"/>
      <c r="BB906" s="537"/>
      <c r="BC906" s="537"/>
      <c r="BD906" s="1926"/>
      <c r="BE906" s="1926"/>
      <c r="BF906" s="537"/>
      <c r="BG906" s="537"/>
      <c r="BH906" s="537"/>
      <c r="BI906" s="1926"/>
      <c r="BJ906" s="1926"/>
      <c r="BK906" s="537"/>
      <c r="BL906" s="537"/>
      <c r="BM906" s="537"/>
      <c r="BN906" s="1926"/>
      <c r="BO906" s="1926"/>
      <c r="BP906" s="537"/>
      <c r="BQ906" s="537"/>
      <c r="BR906" s="537"/>
      <c r="BS906" s="537"/>
      <c r="BT906" s="536"/>
      <c r="BU906" s="537"/>
      <c r="BV906" s="537"/>
      <c r="BW906" s="537"/>
      <c r="BX906" s="537"/>
      <c r="BY906" s="536"/>
      <c r="BZ906" s="536"/>
      <c r="CA906" s="536"/>
      <c r="CB906" s="536"/>
      <c r="CC906" s="536"/>
      <c r="CD906" s="536"/>
      <c r="CE906" s="536"/>
      <c r="CF906" s="536"/>
      <c r="CG906" s="331"/>
      <c r="CH906" s="331"/>
      <c r="CI906" s="331"/>
      <c r="CJ906" s="331"/>
      <c r="CK906" s="331"/>
      <c r="CL906" s="2036"/>
      <c r="CM906" s="503"/>
      <c r="CN906" s="503"/>
      <c r="CO906" s="503"/>
      <c r="CP906" s="503"/>
      <c r="CQ906" s="503"/>
      <c r="CR906" s="503"/>
      <c r="CS906" s="503"/>
      <c r="CT906" s="503"/>
      <c r="CU906" s="503"/>
      <c r="CV906" s="503"/>
      <c r="CW906" s="503"/>
      <c r="CX906" s="503"/>
      <c r="CY906" s="503"/>
      <c r="CZ906" s="503"/>
      <c r="DA906" s="503"/>
      <c r="DB906" s="503"/>
      <c r="DC906" s="2124"/>
      <c r="DD906" s="331"/>
      <c r="DE906" s="331"/>
      <c r="DF906" s="502"/>
      <c r="DG906" s="503"/>
      <c r="DH906" s="537"/>
      <c r="DI906" s="3213"/>
      <c r="DJ906" s="502"/>
      <c r="DK906" s="503"/>
      <c r="DL906" s="502"/>
      <c r="DM906" s="502"/>
      <c r="DN906" s="502"/>
      <c r="DO906" s="502"/>
      <c r="DP906" s="503"/>
      <c r="DQ906" s="503"/>
      <c r="DR906" s="296"/>
      <c r="DS906" s="296"/>
      <c r="DT906" s="296"/>
    </row>
    <row r="907" spans="1:124" ht="12" customHeight="1" x14ac:dyDescent="0.25">
      <c r="A907" s="281" t="s">
        <v>894</v>
      </c>
      <c r="B907" s="281"/>
      <c r="C907" s="305">
        <f>C908+(C909*C$320)</f>
        <v>2026</v>
      </c>
      <c r="D907" s="305">
        <f>D908+(D909*D$320)</f>
        <v>2026</v>
      </c>
      <c r="E907" s="305">
        <f>E908+(E909*E$320)</f>
        <v>2026</v>
      </c>
      <c r="F907" s="305">
        <f>F908+(F909*F$320)</f>
        <v>2026</v>
      </c>
      <c r="G907" s="345">
        <f>F907</f>
        <v>2026</v>
      </c>
      <c r="H907" s="305">
        <f>H908+(H909*H$320)</f>
        <v>1998</v>
      </c>
      <c r="I907" s="305">
        <f>I908+(I909*I$320)</f>
        <v>1988</v>
      </c>
      <c r="J907" s="305">
        <f>J908+(J909*J$320)</f>
        <v>2016</v>
      </c>
      <c r="K907" s="305">
        <f>K908+(K909*K$320)</f>
        <v>2028</v>
      </c>
      <c r="L907" s="345">
        <f>K907</f>
        <v>2028</v>
      </c>
      <c r="M907" s="305">
        <f>M908+(M909*M$320)</f>
        <v>2028</v>
      </c>
      <c r="N907" s="305">
        <f>N908+(N909*N$320)</f>
        <v>2028</v>
      </c>
      <c r="O907" s="305">
        <f>O908+(O909*O$320)</f>
        <v>2028</v>
      </c>
      <c r="P907" s="305">
        <f>P908+(P909*P$320)</f>
        <v>2082</v>
      </c>
      <c r="Q907" s="345">
        <f>P907</f>
        <v>2082</v>
      </c>
      <c r="R907" s="305">
        <f>R908+(R909*R$320)</f>
        <v>2082</v>
      </c>
      <c r="S907" s="305">
        <f>S908+(S909*S$320)</f>
        <v>2082</v>
      </c>
      <c r="T907" s="305">
        <f>T908+(T909*T$320)</f>
        <v>2082</v>
      </c>
      <c r="U907" s="305">
        <f>U908+(U909*U$320)</f>
        <v>2232</v>
      </c>
      <c r="V907" s="345">
        <f>U907</f>
        <v>2232</v>
      </c>
      <c r="W907" s="305">
        <f>W908+(W909*W$320)</f>
        <v>2232</v>
      </c>
      <c r="X907" s="305">
        <f>X908+(X909*X$320)</f>
        <v>2232</v>
      </c>
      <c r="Y907" s="305">
        <f>Y908+(Y909*Y$320)</f>
        <v>2256</v>
      </c>
      <c r="Z907" s="305">
        <f>Z908+(Z909*Z$320)</f>
        <v>2257</v>
      </c>
      <c r="AA907" s="345">
        <f>Z907</f>
        <v>2257</v>
      </c>
      <c r="AB907" s="305">
        <f>AB908+(AB909*AB$320)</f>
        <v>2248</v>
      </c>
      <c r="AC907" s="305">
        <f>AC908+(AC909*AC$320)</f>
        <v>2244</v>
      </c>
      <c r="AD907" s="305">
        <f>AD908+(AD909*AD$320)</f>
        <v>2252</v>
      </c>
      <c r="AE907" s="331">
        <f>AE908+(AE909*AE$320)</f>
        <v>2200</v>
      </c>
      <c r="AF907" s="348">
        <f>AE907</f>
        <v>2200</v>
      </c>
      <c r="AG907" s="305">
        <f>AG908+(AG909*AG$320)</f>
        <v>2200</v>
      </c>
      <c r="AH907" s="305">
        <f>AH908+(AH909*AH$320)</f>
        <v>2200</v>
      </c>
      <c r="AI907" s="305">
        <f>AI908+(AI909*AI$320)</f>
        <v>2200</v>
      </c>
      <c r="AJ907" s="331">
        <f>AJ908+(AJ909*AJ$320)</f>
        <v>2200</v>
      </c>
      <c r="AK907" s="348">
        <f>AJ907</f>
        <v>2200</v>
      </c>
      <c r="AL907" s="305">
        <f>AL908+(AL909*AL$320)</f>
        <v>2164.666666666667</v>
      </c>
      <c r="AM907" s="305">
        <f>AM908+(AM909*AM$320)</f>
        <v>2145</v>
      </c>
      <c r="AN907" s="305">
        <f>AN908+(AN909*AN$320)</f>
        <v>2049.333333333333</v>
      </c>
      <c r="AO907" s="331">
        <f>AO908+(AO909*AO$320)</f>
        <v>1912.6666666666667</v>
      </c>
      <c r="AP907" s="568">
        <f>AO907</f>
        <v>1912.6666666666667</v>
      </c>
      <c r="AQ907" s="568">
        <f>AQ908+(AQ909*AQ$320)</f>
        <v>1917.3333333333333</v>
      </c>
      <c r="AR907" s="330">
        <f>AR908+(AR909*AR$320)</f>
        <v>1877</v>
      </c>
      <c r="AS907" s="330">
        <f>AS908+(AS909*AS$320)</f>
        <v>1850</v>
      </c>
      <c r="AT907" s="330">
        <f>AT908+(AT909*AT$320)</f>
        <v>1831.3333333333333</v>
      </c>
      <c r="AU907" s="1692">
        <f>AT907</f>
        <v>1831.3333333333333</v>
      </c>
      <c r="AV907" s="1912">
        <f>AV908+(AV909*AV$320)</f>
        <v>1814</v>
      </c>
      <c r="AW907" s="1839">
        <f>AW908+(AW909*AW$320)</f>
        <v>1731.6666666666667</v>
      </c>
      <c r="AX907" s="1839">
        <f>AX908+(AX909*AX$320)</f>
        <v>1712.6666666666667</v>
      </c>
      <c r="AY907" s="1906">
        <f>AY908+(AY909*AY$320)</f>
        <v>1714.6666666666667</v>
      </c>
      <c r="AZ907" s="1692">
        <f>AY907</f>
        <v>1714.6666666666667</v>
      </c>
      <c r="BA907" s="1912">
        <f>BA908+(BA909*BA$320)</f>
        <v>1712</v>
      </c>
      <c r="BB907" s="1839">
        <f>BB908+(BB909*BB$320)</f>
        <v>1705</v>
      </c>
      <c r="BC907" s="1839">
        <f>BC908+(BC909*BC$320)</f>
        <v>1651</v>
      </c>
      <c r="BD907" s="1906">
        <f>BD908+(BD909*BD$320)</f>
        <v>1649</v>
      </c>
      <c r="BE907" s="1906">
        <f>BD907</f>
        <v>1649</v>
      </c>
      <c r="BF907" s="1839">
        <f>BF908+(BF909*BF$320)</f>
        <v>1646</v>
      </c>
      <c r="BG907" s="1839">
        <f>BG908+(BG909*BG$320)</f>
        <v>1677</v>
      </c>
      <c r="BH907" s="1839">
        <f>BH908+(BH909*BH$320)</f>
        <v>1698</v>
      </c>
      <c r="BI907" s="1906">
        <f>BI908+(BI909*BI$320)</f>
        <v>1715</v>
      </c>
      <c r="BJ907" s="1906">
        <f>BI907</f>
        <v>1715</v>
      </c>
      <c r="BK907" s="1839">
        <f>BK908+(BK909*BK$320)</f>
        <v>1737</v>
      </c>
      <c r="BL907" s="1839">
        <f>BL908+(BL909*BL$320)</f>
        <v>1734</v>
      </c>
      <c r="BM907" s="1839">
        <f>BM908+(BM909*BM$320)</f>
        <v>1734</v>
      </c>
      <c r="BN907" s="1906">
        <f>BN908+(BN909*BN$320)</f>
        <v>1742</v>
      </c>
      <c r="BO907" s="1906">
        <f>BN907</f>
        <v>1742</v>
      </c>
      <c r="BP907" s="1839">
        <f>BP908+(BP909*BP$320)</f>
        <v>1749</v>
      </c>
      <c r="BQ907" s="1839">
        <f>BQ908+(BQ909*BQ$320)</f>
        <v>1752</v>
      </c>
      <c r="BR907" s="1839">
        <f>BR908+(BR909*BR$320)</f>
        <v>1752</v>
      </c>
      <c r="BS907" s="1839">
        <f>BS908+(BS909*BS$320)</f>
        <v>1752</v>
      </c>
      <c r="BT907" s="3234">
        <f>BS907</f>
        <v>1752</v>
      </c>
      <c r="BU907" s="1839">
        <f>BU908+(BU909*BU$320)</f>
        <v>1752</v>
      </c>
      <c r="BV907" s="1839">
        <f>BV908+(BV909*BV$320)</f>
        <v>1752</v>
      </c>
      <c r="BW907" s="1839">
        <f>BW908+(BW909*BW$320)</f>
        <v>1752</v>
      </c>
      <c r="BX907" s="1839">
        <f>BX908+(BX909*BX$320)</f>
        <v>1752</v>
      </c>
      <c r="BY907" s="3234">
        <f>BX907</f>
        <v>1752</v>
      </c>
      <c r="BZ907" s="552">
        <f t="shared" ref="BZ907:CF907" si="2184">BZ908+(BZ909*BZ$320)</f>
        <v>1752</v>
      </c>
      <c r="CA907" s="552">
        <f t="shared" si="2184"/>
        <v>1752</v>
      </c>
      <c r="CB907" s="552">
        <f t="shared" si="2184"/>
        <v>1752</v>
      </c>
      <c r="CC907" s="552">
        <f t="shared" si="2184"/>
        <v>1752</v>
      </c>
      <c r="CD907" s="552">
        <f t="shared" si="2184"/>
        <v>1752</v>
      </c>
      <c r="CE907" s="552">
        <f t="shared" si="2184"/>
        <v>1752</v>
      </c>
      <c r="CF907" s="552">
        <f t="shared" si="2184"/>
        <v>1752</v>
      </c>
      <c r="CG907" s="331"/>
      <c r="CH907" s="331"/>
      <c r="CI907" s="331"/>
      <c r="CJ907" s="331"/>
      <c r="CK907" s="331"/>
      <c r="CL907" s="520" t="str">
        <f t="shared" ref="CL907:CL912" si="2185">A907</f>
        <v>Positions</v>
      </c>
      <c r="CM907" s="330">
        <f t="shared" ref="CM907:CM912" si="2186">G907</f>
        <v>2026</v>
      </c>
      <c r="CN907" s="330">
        <f t="shared" ref="CN907:CN912" si="2187">L907</f>
        <v>2028</v>
      </c>
      <c r="CO907" s="330">
        <f t="shared" ref="CO907:CO912" si="2188">Q907</f>
        <v>2082</v>
      </c>
      <c r="CP907" s="330">
        <f t="shared" ref="CP907:CP912" si="2189">V907</f>
        <v>2232</v>
      </c>
      <c r="CQ907" s="330">
        <f t="shared" ref="CQ907:CQ912" si="2190">AA907</f>
        <v>2257</v>
      </c>
      <c r="CR907" s="330">
        <f t="shared" ref="CR907:CR912" si="2191">AF907</f>
        <v>2200</v>
      </c>
      <c r="CS907" s="330">
        <f t="shared" ref="CS907:CS912" si="2192">AK907</f>
        <v>2200</v>
      </c>
      <c r="CT907" s="330">
        <f t="shared" ref="CT907:CT912" si="2193">AP907</f>
        <v>1912.6666666666667</v>
      </c>
      <c r="CU907" s="330">
        <f t="shared" ref="CU907:CU912" si="2194">AU907</f>
        <v>1831.3333333333333</v>
      </c>
      <c r="CV907" s="330">
        <f t="shared" ref="CV907:CV912" si="2195">AZ907</f>
        <v>1714.6666666666667</v>
      </c>
      <c r="CW907" s="330">
        <f t="shared" ref="CW907:CW912" si="2196">BE907</f>
        <v>1649</v>
      </c>
      <c r="CX907" s="330">
        <f t="shared" ref="CX907:CX912" si="2197">BJ907</f>
        <v>1715</v>
      </c>
      <c r="CY907" s="330">
        <f t="shared" ref="CY907:CY912" si="2198">BO907</f>
        <v>1742</v>
      </c>
      <c r="CZ907" s="330">
        <f t="shared" ref="CZ907:CZ912" si="2199">BT907</f>
        <v>1752</v>
      </c>
      <c r="DA907" s="330">
        <f t="shared" ref="DA907:DC912" si="2200">BY907</f>
        <v>1752</v>
      </c>
      <c r="DB907" s="330">
        <f t="shared" si="2200"/>
        <v>1752</v>
      </c>
      <c r="DC907" s="1888">
        <f t="shared" si="2200"/>
        <v>1752</v>
      </c>
      <c r="DD907" s="331"/>
      <c r="DE907" s="331"/>
      <c r="DF907" s="502"/>
      <c r="DG907" s="503"/>
      <c r="DH907" s="3297"/>
      <c r="DI907" s="3213"/>
      <c r="DJ907" s="502"/>
      <c r="DK907" s="503"/>
      <c r="DL907" s="502"/>
      <c r="DM907" s="502"/>
      <c r="DN907" s="502"/>
      <c r="DO907" s="502"/>
      <c r="DP907" s="503"/>
      <c r="DQ907" s="503"/>
      <c r="DR907" s="296"/>
      <c r="DS907" s="296"/>
      <c r="DT907" s="296"/>
    </row>
    <row r="908" spans="1:124" ht="12" customHeight="1" x14ac:dyDescent="0.25">
      <c r="A908" s="281" t="s">
        <v>585</v>
      </c>
      <c r="B908" s="281"/>
      <c r="C908" s="340">
        <v>1750</v>
      </c>
      <c r="D908" s="340">
        <v>1750</v>
      </c>
      <c r="E908" s="340">
        <v>1750</v>
      </c>
      <c r="F908" s="340">
        <v>1762</v>
      </c>
      <c r="G908" s="345">
        <f>F908</f>
        <v>1762</v>
      </c>
      <c r="H908" s="340">
        <v>1758</v>
      </c>
      <c r="I908" s="340">
        <v>1748</v>
      </c>
      <c r="J908" s="340">
        <v>1776</v>
      </c>
      <c r="K908" s="340">
        <v>1788</v>
      </c>
      <c r="L908" s="345">
        <f>K908</f>
        <v>1788</v>
      </c>
      <c r="M908" s="340">
        <v>1788</v>
      </c>
      <c r="N908" s="340">
        <v>1788</v>
      </c>
      <c r="O908" s="340">
        <v>1788</v>
      </c>
      <c r="P908" s="340">
        <v>1800</v>
      </c>
      <c r="Q908" s="345">
        <f>P908</f>
        <v>1800</v>
      </c>
      <c r="R908" s="340">
        <v>1800</v>
      </c>
      <c r="S908" s="340">
        <v>1800</v>
      </c>
      <c r="T908" s="340">
        <v>1800</v>
      </c>
      <c r="U908" s="340">
        <v>1950</v>
      </c>
      <c r="V908" s="345">
        <f>U908</f>
        <v>1950</v>
      </c>
      <c r="W908" s="340">
        <v>1950</v>
      </c>
      <c r="X908" s="340">
        <v>1950</v>
      </c>
      <c r="Y908" s="340">
        <v>1974</v>
      </c>
      <c r="Z908" s="340">
        <v>1975</v>
      </c>
      <c r="AA908" s="345">
        <f>Z908</f>
        <v>1975</v>
      </c>
      <c r="AB908" s="339">
        <v>1966</v>
      </c>
      <c r="AC908" s="339">
        <v>1962</v>
      </c>
      <c r="AD908" s="339">
        <v>1970</v>
      </c>
      <c r="AE908" s="339">
        <v>1966</v>
      </c>
      <c r="AF908" s="348">
        <f>AE908</f>
        <v>1966</v>
      </c>
      <c r="AG908" s="331">
        <f>AE908</f>
        <v>1966</v>
      </c>
      <c r="AH908" s="331">
        <f t="shared" ref="AH908:AJ909" si="2201">AG908</f>
        <v>1966</v>
      </c>
      <c r="AI908" s="331">
        <f t="shared" si="2201"/>
        <v>1966</v>
      </c>
      <c r="AJ908" s="331">
        <f t="shared" si="2201"/>
        <v>1966</v>
      </c>
      <c r="AK908" s="348">
        <f>AJ908</f>
        <v>1966</v>
      </c>
      <c r="AL908" s="2858">
        <v>1930.6666666666667</v>
      </c>
      <c r="AM908" s="2858">
        <v>1911</v>
      </c>
      <c r="AN908" s="2858">
        <v>1815.3333333333333</v>
      </c>
      <c r="AO908" s="2858">
        <v>1714.6666666666667</v>
      </c>
      <c r="AP908" s="568">
        <f>AO908</f>
        <v>1714.6666666666667</v>
      </c>
      <c r="AQ908" s="2651">
        <v>1719.3333333333333</v>
      </c>
      <c r="AR908" s="2655">
        <v>1679</v>
      </c>
      <c r="AS908" s="2655">
        <v>1660</v>
      </c>
      <c r="AT908" s="2655">
        <v>1645.3333333333333</v>
      </c>
      <c r="AU908" s="1692">
        <f>AT908</f>
        <v>1645.3333333333333</v>
      </c>
      <c r="AV908" s="2660">
        <v>1628</v>
      </c>
      <c r="AW908" s="2661">
        <v>1545.6666666666667</v>
      </c>
      <c r="AX908" s="2661">
        <v>1526.6666666666667</v>
      </c>
      <c r="AY908" s="2662">
        <v>1528.6666666666667</v>
      </c>
      <c r="AZ908" s="1692">
        <f>AY908</f>
        <v>1528.6666666666667</v>
      </c>
      <c r="BA908" s="2660">
        <v>1526</v>
      </c>
      <c r="BB908" s="2661">
        <v>1519</v>
      </c>
      <c r="BC908" s="2661">
        <v>1477</v>
      </c>
      <c r="BD908" s="2661">
        <v>1475</v>
      </c>
      <c r="BE908" s="1692">
        <f>BD908</f>
        <v>1475</v>
      </c>
      <c r="BF908" s="2971">
        <v>1472</v>
      </c>
      <c r="BG908" s="2971">
        <v>1491</v>
      </c>
      <c r="BH908" s="2971">
        <v>1500</v>
      </c>
      <c r="BI908" s="2971">
        <v>1493</v>
      </c>
      <c r="BJ908" s="1692">
        <f>BI908</f>
        <v>1493</v>
      </c>
      <c r="BK908" s="2971">
        <v>1515</v>
      </c>
      <c r="BL908" s="2971">
        <v>1506</v>
      </c>
      <c r="BM908" s="2971">
        <v>1512</v>
      </c>
      <c r="BN908" s="2949">
        <v>1514</v>
      </c>
      <c r="BO908" s="1906">
        <f>BN908</f>
        <v>1514</v>
      </c>
      <c r="BP908" s="2971">
        <v>1515</v>
      </c>
      <c r="BQ908" s="2971">
        <v>1518</v>
      </c>
      <c r="BR908" s="2855">
        <f>BQ908</f>
        <v>1518</v>
      </c>
      <c r="BS908" s="2856">
        <f>BR908</f>
        <v>1518</v>
      </c>
      <c r="BT908" s="3218">
        <f>BS908</f>
        <v>1518</v>
      </c>
      <c r="BU908" s="3444">
        <f t="shared" ref="BU908:BX909" si="2202">BT908</f>
        <v>1518</v>
      </c>
      <c r="BV908" s="3444">
        <f t="shared" si="2202"/>
        <v>1518</v>
      </c>
      <c r="BW908" s="3444">
        <f t="shared" si="2202"/>
        <v>1518</v>
      </c>
      <c r="BX908" s="3444">
        <f t="shared" si="2202"/>
        <v>1518</v>
      </c>
      <c r="BY908" s="3234">
        <f>BX908</f>
        <v>1518</v>
      </c>
      <c r="BZ908" s="2857">
        <f>BY908</f>
        <v>1518</v>
      </c>
      <c r="CA908" s="2857">
        <f>BZ908</f>
        <v>1518</v>
      </c>
      <c r="CB908" s="552">
        <f t="shared" ref="CB908:CF909" si="2203">CA908</f>
        <v>1518</v>
      </c>
      <c r="CC908" s="552">
        <f t="shared" si="2203"/>
        <v>1518</v>
      </c>
      <c r="CD908" s="552">
        <f t="shared" si="2203"/>
        <v>1518</v>
      </c>
      <c r="CE908" s="552">
        <f t="shared" si="2203"/>
        <v>1518</v>
      </c>
      <c r="CF908" s="552">
        <f t="shared" si="2203"/>
        <v>1518</v>
      </c>
      <c r="CG908" s="331"/>
      <c r="CH908" s="331"/>
      <c r="CI908" s="331"/>
      <c r="CJ908" s="331"/>
      <c r="CK908" s="331"/>
      <c r="CL908" s="520" t="str">
        <f t="shared" si="2185"/>
        <v>Slots</v>
      </c>
      <c r="CM908" s="330">
        <f t="shared" si="2186"/>
        <v>1762</v>
      </c>
      <c r="CN908" s="330">
        <f t="shared" si="2187"/>
        <v>1788</v>
      </c>
      <c r="CO908" s="330">
        <f t="shared" si="2188"/>
        <v>1800</v>
      </c>
      <c r="CP908" s="330">
        <f t="shared" si="2189"/>
        <v>1950</v>
      </c>
      <c r="CQ908" s="330">
        <f t="shared" si="2190"/>
        <v>1975</v>
      </c>
      <c r="CR908" s="330">
        <f t="shared" si="2191"/>
        <v>1966</v>
      </c>
      <c r="CS908" s="330">
        <f t="shared" si="2192"/>
        <v>1966</v>
      </c>
      <c r="CT908" s="330">
        <f t="shared" si="2193"/>
        <v>1714.6666666666667</v>
      </c>
      <c r="CU908" s="330">
        <f t="shared" si="2194"/>
        <v>1645.3333333333333</v>
      </c>
      <c r="CV908" s="330">
        <f t="shared" si="2195"/>
        <v>1528.6666666666667</v>
      </c>
      <c r="CW908" s="330">
        <f t="shared" si="2196"/>
        <v>1475</v>
      </c>
      <c r="CX908" s="330">
        <f t="shared" si="2197"/>
        <v>1493</v>
      </c>
      <c r="CY908" s="330">
        <f t="shared" si="2198"/>
        <v>1514</v>
      </c>
      <c r="CZ908" s="330">
        <f t="shared" si="2199"/>
        <v>1518</v>
      </c>
      <c r="DA908" s="330">
        <f t="shared" si="2200"/>
        <v>1518</v>
      </c>
      <c r="DB908" s="330">
        <f t="shared" si="2200"/>
        <v>1518</v>
      </c>
      <c r="DC908" s="1888">
        <f t="shared" si="2200"/>
        <v>1518</v>
      </c>
      <c r="DD908" s="331"/>
      <c r="DE908" s="331"/>
      <c r="DF908" s="502"/>
      <c r="DG908" s="503"/>
      <c r="DH908" s="3297"/>
      <c r="DI908" s="3213"/>
      <c r="DJ908" s="502"/>
      <c r="DK908" s="503"/>
      <c r="DL908" s="502"/>
      <c r="DM908" s="502"/>
      <c r="DN908" s="502"/>
      <c r="DO908" s="502"/>
      <c r="DP908" s="503"/>
      <c r="DQ908" s="503"/>
      <c r="DR908" s="296"/>
      <c r="DS908" s="296"/>
      <c r="DT908" s="296"/>
    </row>
    <row r="909" spans="1:124" ht="12" customHeight="1" x14ac:dyDescent="0.25">
      <c r="A909" s="281" t="s">
        <v>584</v>
      </c>
      <c r="B909" s="281"/>
      <c r="C909" s="340">
        <v>46</v>
      </c>
      <c r="D909" s="340">
        <v>46</v>
      </c>
      <c r="E909" s="340">
        <v>46</v>
      </c>
      <c r="F909" s="340">
        <v>44</v>
      </c>
      <c r="G909" s="345">
        <f>F909</f>
        <v>44</v>
      </c>
      <c r="H909" s="340">
        <v>40</v>
      </c>
      <c r="I909" s="340">
        <v>40</v>
      </c>
      <c r="J909" s="340">
        <v>40</v>
      </c>
      <c r="K909" s="340">
        <v>40</v>
      </c>
      <c r="L909" s="345">
        <f>K909</f>
        <v>40</v>
      </c>
      <c r="M909" s="340">
        <v>40</v>
      </c>
      <c r="N909" s="340">
        <v>40</v>
      </c>
      <c r="O909" s="340">
        <v>40</v>
      </c>
      <c r="P909" s="340">
        <v>47</v>
      </c>
      <c r="Q909" s="345">
        <f>P909</f>
        <v>47</v>
      </c>
      <c r="R909" s="340">
        <v>47</v>
      </c>
      <c r="S909" s="340">
        <v>47</v>
      </c>
      <c r="T909" s="340">
        <v>47</v>
      </c>
      <c r="U909" s="340">
        <v>47</v>
      </c>
      <c r="V909" s="345">
        <f>U909</f>
        <v>47</v>
      </c>
      <c r="W909" s="340">
        <v>47</v>
      </c>
      <c r="X909" s="340">
        <v>47</v>
      </c>
      <c r="Y909" s="340">
        <v>47</v>
      </c>
      <c r="Z909" s="340">
        <v>47</v>
      </c>
      <c r="AA909" s="345">
        <f>Z909</f>
        <v>47</v>
      </c>
      <c r="AB909" s="339">
        <v>47</v>
      </c>
      <c r="AC909" s="339">
        <v>47</v>
      </c>
      <c r="AD909" s="339">
        <v>47</v>
      </c>
      <c r="AE909" s="339">
        <v>39</v>
      </c>
      <c r="AF909" s="348">
        <f>AE909</f>
        <v>39</v>
      </c>
      <c r="AG909" s="331">
        <f>AE909</f>
        <v>39</v>
      </c>
      <c r="AH909" s="331">
        <f t="shared" si="2201"/>
        <v>39</v>
      </c>
      <c r="AI909" s="331">
        <f t="shared" si="2201"/>
        <v>39</v>
      </c>
      <c r="AJ909" s="331">
        <f t="shared" si="2201"/>
        <v>39</v>
      </c>
      <c r="AK909" s="348">
        <f>AJ909</f>
        <v>39</v>
      </c>
      <c r="AL909" s="2858">
        <v>39</v>
      </c>
      <c r="AM909" s="2858">
        <v>39</v>
      </c>
      <c r="AN909" s="2858">
        <v>39</v>
      </c>
      <c r="AO909" s="2858">
        <v>33</v>
      </c>
      <c r="AP909" s="568">
        <f>AO909</f>
        <v>33</v>
      </c>
      <c r="AQ909" s="2651">
        <v>33</v>
      </c>
      <c r="AR909" s="2655">
        <v>33</v>
      </c>
      <c r="AS909" s="2655">
        <v>31.666666666666668</v>
      </c>
      <c r="AT909" s="2655">
        <v>31</v>
      </c>
      <c r="AU909" s="1692">
        <f>AT909</f>
        <v>31</v>
      </c>
      <c r="AV909" s="2660">
        <v>31</v>
      </c>
      <c r="AW909" s="2661">
        <v>31</v>
      </c>
      <c r="AX909" s="2661">
        <v>31</v>
      </c>
      <c r="AY909" s="2662">
        <v>31</v>
      </c>
      <c r="AZ909" s="1692">
        <f>AY909</f>
        <v>31</v>
      </c>
      <c r="BA909" s="2660">
        <v>31</v>
      </c>
      <c r="BB909" s="2661">
        <v>31</v>
      </c>
      <c r="BC909" s="2661">
        <v>29</v>
      </c>
      <c r="BD909" s="2661">
        <v>29</v>
      </c>
      <c r="BE909" s="1692">
        <f>BD909</f>
        <v>29</v>
      </c>
      <c r="BF909" s="2971">
        <v>29</v>
      </c>
      <c r="BG909" s="2971">
        <v>31</v>
      </c>
      <c r="BH909" s="2971">
        <v>33</v>
      </c>
      <c r="BI909" s="2971">
        <v>37</v>
      </c>
      <c r="BJ909" s="1692">
        <f>BI909</f>
        <v>37</v>
      </c>
      <c r="BK909" s="2971">
        <v>37</v>
      </c>
      <c r="BL909" s="2971">
        <v>38</v>
      </c>
      <c r="BM909" s="2971">
        <v>37</v>
      </c>
      <c r="BN909" s="2949">
        <v>38</v>
      </c>
      <c r="BO909" s="1906">
        <f>BN909</f>
        <v>38</v>
      </c>
      <c r="BP909" s="2971">
        <v>39</v>
      </c>
      <c r="BQ909" s="2971">
        <v>39</v>
      </c>
      <c r="BR909" s="2855">
        <f>BQ909</f>
        <v>39</v>
      </c>
      <c r="BS909" s="2856">
        <f>BR909</f>
        <v>39</v>
      </c>
      <c r="BT909" s="3218">
        <f>BS909</f>
        <v>39</v>
      </c>
      <c r="BU909" s="3444">
        <f t="shared" si="2202"/>
        <v>39</v>
      </c>
      <c r="BV909" s="3444">
        <f t="shared" si="2202"/>
        <v>39</v>
      </c>
      <c r="BW909" s="3444">
        <f t="shared" si="2202"/>
        <v>39</v>
      </c>
      <c r="BX909" s="3444">
        <f t="shared" si="2202"/>
        <v>39</v>
      </c>
      <c r="BY909" s="3234">
        <f>BX909</f>
        <v>39</v>
      </c>
      <c r="BZ909" s="2857">
        <f>BY909</f>
        <v>39</v>
      </c>
      <c r="CA909" s="2857">
        <f>BZ909</f>
        <v>39</v>
      </c>
      <c r="CB909" s="552">
        <f t="shared" si="2203"/>
        <v>39</v>
      </c>
      <c r="CC909" s="552">
        <f t="shared" si="2203"/>
        <v>39</v>
      </c>
      <c r="CD909" s="552">
        <f t="shared" si="2203"/>
        <v>39</v>
      </c>
      <c r="CE909" s="552">
        <f t="shared" si="2203"/>
        <v>39</v>
      </c>
      <c r="CF909" s="552">
        <f t="shared" si="2203"/>
        <v>39</v>
      </c>
      <c r="CG909" s="331"/>
      <c r="CH909" s="331"/>
      <c r="CI909" s="331"/>
      <c r="CJ909" s="331"/>
      <c r="CK909" s="331"/>
      <c r="CL909" s="520" t="str">
        <f t="shared" si="2185"/>
        <v>Tables</v>
      </c>
      <c r="CM909" s="330">
        <f t="shared" si="2186"/>
        <v>44</v>
      </c>
      <c r="CN909" s="330">
        <f t="shared" si="2187"/>
        <v>40</v>
      </c>
      <c r="CO909" s="330">
        <f t="shared" si="2188"/>
        <v>47</v>
      </c>
      <c r="CP909" s="330">
        <f t="shared" si="2189"/>
        <v>47</v>
      </c>
      <c r="CQ909" s="330">
        <f t="shared" si="2190"/>
        <v>47</v>
      </c>
      <c r="CR909" s="330">
        <f t="shared" si="2191"/>
        <v>39</v>
      </c>
      <c r="CS909" s="330">
        <f t="shared" si="2192"/>
        <v>39</v>
      </c>
      <c r="CT909" s="330">
        <f t="shared" si="2193"/>
        <v>33</v>
      </c>
      <c r="CU909" s="330">
        <f t="shared" si="2194"/>
        <v>31</v>
      </c>
      <c r="CV909" s="330">
        <f t="shared" si="2195"/>
        <v>31</v>
      </c>
      <c r="CW909" s="330">
        <f t="shared" si="2196"/>
        <v>29</v>
      </c>
      <c r="CX909" s="330">
        <f t="shared" si="2197"/>
        <v>37</v>
      </c>
      <c r="CY909" s="330">
        <f t="shared" si="2198"/>
        <v>38</v>
      </c>
      <c r="CZ909" s="330">
        <f t="shared" si="2199"/>
        <v>39</v>
      </c>
      <c r="DA909" s="330">
        <f t="shared" si="2200"/>
        <v>39</v>
      </c>
      <c r="DB909" s="330">
        <f t="shared" si="2200"/>
        <v>39</v>
      </c>
      <c r="DC909" s="1888">
        <f t="shared" si="2200"/>
        <v>39</v>
      </c>
      <c r="DD909" s="331"/>
      <c r="DE909" s="331"/>
      <c r="DF909" s="502"/>
      <c r="DG909" s="503"/>
      <c r="DH909" s="3297"/>
      <c r="DI909" s="3213"/>
      <c r="DJ909" s="502"/>
      <c r="DK909" s="503"/>
      <c r="DL909" s="502"/>
      <c r="DM909" s="502"/>
      <c r="DN909" s="502"/>
      <c r="DO909" s="502"/>
      <c r="DP909" s="503"/>
      <c r="DQ909" s="503"/>
      <c r="DR909" s="296"/>
      <c r="DS909" s="296"/>
      <c r="DT909" s="296"/>
    </row>
    <row r="910" spans="1:124" ht="12" customHeight="1" x14ac:dyDescent="0.25">
      <c r="A910" s="511" t="s">
        <v>2111</v>
      </c>
      <c r="B910" s="281"/>
      <c r="C910" s="340">
        <v>2014</v>
      </c>
      <c r="D910" s="305">
        <f>AVERAGE(C907:D907)</f>
        <v>2026</v>
      </c>
      <c r="E910" s="305">
        <f>AVERAGE(D907:E907)</f>
        <v>2026</v>
      </c>
      <c r="F910" s="305">
        <f>AVERAGE(E907:F907)</f>
        <v>2026</v>
      </c>
      <c r="G910" s="345">
        <f>AVERAGE(C910:F910)</f>
        <v>2023</v>
      </c>
      <c r="H910" s="305">
        <f>AVERAGE(G907:H907)</f>
        <v>2012</v>
      </c>
      <c r="I910" s="305">
        <f>AVERAGE(H907:I907)</f>
        <v>1993</v>
      </c>
      <c r="J910" s="305">
        <f>AVERAGE(I907:J907)</f>
        <v>2002</v>
      </c>
      <c r="K910" s="305">
        <f>AVERAGE(J907:K907)</f>
        <v>2022</v>
      </c>
      <c r="L910" s="345">
        <f>AVERAGE(H910:K910)</f>
        <v>2007.25</v>
      </c>
      <c r="M910" s="305">
        <f>AVERAGE(L907:M907)</f>
        <v>2028</v>
      </c>
      <c r="N910" s="305">
        <f>AVERAGE(M907:N907)</f>
        <v>2028</v>
      </c>
      <c r="O910" s="305">
        <f>AVERAGE(N907:O907)</f>
        <v>2028</v>
      </c>
      <c r="P910" s="305">
        <f>AVERAGE(O907:P907)</f>
        <v>2055</v>
      </c>
      <c r="Q910" s="345">
        <f>AVERAGE(M910:P910)</f>
        <v>2034.75</v>
      </c>
      <c r="R910" s="305">
        <f>AVERAGE(Q907:R907)</f>
        <v>2082</v>
      </c>
      <c r="S910" s="305">
        <f>AVERAGE(R907:S907)</f>
        <v>2082</v>
      </c>
      <c r="T910" s="305">
        <f>AVERAGE(S907:T907)</f>
        <v>2082</v>
      </c>
      <c r="U910" s="305">
        <f>AVERAGE(T907:U907)</f>
        <v>2157</v>
      </c>
      <c r="V910" s="345">
        <f>AVERAGE(R910:U910)</f>
        <v>2100.75</v>
      </c>
      <c r="W910" s="305">
        <f>AVERAGE(V907:W907)</f>
        <v>2232</v>
      </c>
      <c r="X910" s="305">
        <f>AVERAGE(W907:X907)</f>
        <v>2232</v>
      </c>
      <c r="Y910" s="305">
        <f>AVERAGE(X907:Y907)</f>
        <v>2244</v>
      </c>
      <c r="Z910" s="305">
        <f>AVERAGE(Y907:Z907)</f>
        <v>2256.5</v>
      </c>
      <c r="AA910" s="345">
        <f>AVERAGE(W910:Z910)</f>
        <v>2241.125</v>
      </c>
      <c r="AB910" s="305">
        <f>AVERAGE(AA907:AB907)</f>
        <v>2252.5</v>
      </c>
      <c r="AC910" s="305">
        <f>AVERAGE(AB907:AC907)</f>
        <v>2246</v>
      </c>
      <c r="AD910" s="305">
        <f>AVERAGE(AC907:AD907)</f>
        <v>2248</v>
      </c>
      <c r="AE910" s="331">
        <f>AVERAGE(AD907:AE907)</f>
        <v>2226</v>
      </c>
      <c r="AF910" s="348">
        <f>AVERAGE(AB910:AE910)</f>
        <v>2243.125</v>
      </c>
      <c r="AG910" s="305">
        <f>AVERAGE(AF907:AG907)</f>
        <v>2200</v>
      </c>
      <c r="AH910" s="305">
        <f>AVERAGE(AG907:AH907)</f>
        <v>2200</v>
      </c>
      <c r="AI910" s="305">
        <f>AVERAGE(AH907:AI907)</f>
        <v>2200</v>
      </c>
      <c r="AJ910" s="331">
        <f>AVERAGE(AI907:AJ907)</f>
        <v>2200</v>
      </c>
      <c r="AK910" s="348">
        <f>AVERAGE(AG910:AJ910)</f>
        <v>2200</v>
      </c>
      <c r="AL910" s="305">
        <f>AVERAGE(AK907:AL907)</f>
        <v>2182.3333333333335</v>
      </c>
      <c r="AM910" s="305">
        <f>AVERAGE(AL907:AM907)</f>
        <v>2154.8333333333335</v>
      </c>
      <c r="AN910" s="305">
        <f>AVERAGE(AM907:AN907)</f>
        <v>2097.1666666666665</v>
      </c>
      <c r="AO910" s="331">
        <f>AVERAGE(AN907:AO907)</f>
        <v>1981</v>
      </c>
      <c r="AP910" s="568">
        <f>AVERAGE(AL910:AO910)</f>
        <v>2103.8333333333335</v>
      </c>
      <c r="AQ910" s="568">
        <f>AVERAGE(AP907:AQ907)</f>
        <v>1915</v>
      </c>
      <c r="AR910" s="330">
        <f>AVERAGE(AQ907:AR907)</f>
        <v>1897.1666666666665</v>
      </c>
      <c r="AS910" s="330">
        <f>AVERAGE(AR907:AS907)</f>
        <v>1863.5</v>
      </c>
      <c r="AT910" s="330">
        <f>AVERAGE(AS907:AT907)</f>
        <v>1840.6666666666665</v>
      </c>
      <c r="AU910" s="1692">
        <f>AVERAGE(AQ910:AT910)</f>
        <v>1879.083333333333</v>
      </c>
      <c r="AV910" s="1912">
        <f>AVERAGE(AU907:AV907)</f>
        <v>1822.6666666666665</v>
      </c>
      <c r="AW910" s="1839">
        <f>AVERAGE(AV907:AW907)</f>
        <v>1772.8333333333335</v>
      </c>
      <c r="AX910" s="1839">
        <f>AVERAGE(AW907:AX907)</f>
        <v>1722.1666666666667</v>
      </c>
      <c r="AY910" s="1906">
        <f>AVERAGE(AX907:AY907)</f>
        <v>1713.6666666666667</v>
      </c>
      <c r="AZ910" s="1692">
        <f>AVERAGE(AV910:AY910)</f>
        <v>1757.8333333333335</v>
      </c>
      <c r="BA910" s="1912">
        <f>AVERAGE(AZ907:BA907)</f>
        <v>1713.3333333333335</v>
      </c>
      <c r="BB910" s="1839">
        <f>AVERAGE(BA907:BB907)</f>
        <v>1708.5</v>
      </c>
      <c r="BC910" s="1839">
        <f>AVERAGE(BB907:BC907)</f>
        <v>1678</v>
      </c>
      <c r="BD910" s="1906">
        <f>AVERAGE(BC907:BD907)</f>
        <v>1650</v>
      </c>
      <c r="BE910" s="1906">
        <f>AVERAGE(BA910:BD910)</f>
        <v>1687.4583333333335</v>
      </c>
      <c r="BF910" s="1839">
        <f>AVERAGE(BE907:BF907)</f>
        <v>1647.5</v>
      </c>
      <c r="BG910" s="1839">
        <f>AVERAGE(BF907:BG907)</f>
        <v>1661.5</v>
      </c>
      <c r="BH910" s="1839">
        <f>AVERAGE(BG907:BH907)</f>
        <v>1687.5</v>
      </c>
      <c r="BI910" s="1906">
        <f>AVERAGE(BH907:BI907)</f>
        <v>1706.5</v>
      </c>
      <c r="BJ910" s="1906">
        <f>AVERAGE(BF910:BI910)</f>
        <v>1675.75</v>
      </c>
      <c r="BK910" s="1839">
        <f>AVERAGE(BJ907:BK907)</f>
        <v>1726</v>
      </c>
      <c r="BL910" s="1839">
        <f>AVERAGE(BK907:BL907)</f>
        <v>1735.5</v>
      </c>
      <c r="BM910" s="1839">
        <f>AVERAGE(BL907:BM907)</f>
        <v>1734</v>
      </c>
      <c r="BN910" s="1906">
        <f>AVERAGE(BM907:BN907)</f>
        <v>1738</v>
      </c>
      <c r="BO910" s="1906">
        <f>AVERAGE(BK910:BN910)</f>
        <v>1733.375</v>
      </c>
      <c r="BP910" s="1839">
        <f>AVERAGE(BO907:BP907)</f>
        <v>1745.5</v>
      </c>
      <c r="BQ910" s="1839">
        <f>AVERAGE(BP907:BQ907)</f>
        <v>1750.5</v>
      </c>
      <c r="BR910" s="1839">
        <f>AVERAGE(BQ907:BR907)</f>
        <v>1752</v>
      </c>
      <c r="BS910" s="1839">
        <f>AVERAGE(BR907:BS907)</f>
        <v>1752</v>
      </c>
      <c r="BT910" s="3234">
        <f>AVERAGE(BP910:BS910)</f>
        <v>1750</v>
      </c>
      <c r="BU910" s="1839">
        <f>AVERAGE(BT907:BU907)</f>
        <v>1752</v>
      </c>
      <c r="BV910" s="1839">
        <f>AVERAGE(BU907:BV907)</f>
        <v>1752</v>
      </c>
      <c r="BW910" s="1839">
        <f>AVERAGE(BV907:BW907)</f>
        <v>1752</v>
      </c>
      <c r="BX910" s="1839">
        <f>AVERAGE(BW907:BX907)</f>
        <v>1752</v>
      </c>
      <c r="BY910" s="3234">
        <f>AVERAGE(BU910:BX910)</f>
        <v>1752</v>
      </c>
      <c r="BZ910" s="552">
        <f t="shared" ref="BZ910:CF910" si="2204">AVERAGE(BY907:BZ907)</f>
        <v>1752</v>
      </c>
      <c r="CA910" s="552">
        <f t="shared" si="2204"/>
        <v>1752</v>
      </c>
      <c r="CB910" s="552">
        <f t="shared" si="2204"/>
        <v>1752</v>
      </c>
      <c r="CC910" s="552">
        <f t="shared" si="2204"/>
        <v>1752</v>
      </c>
      <c r="CD910" s="552">
        <f t="shared" si="2204"/>
        <v>1752</v>
      </c>
      <c r="CE910" s="552">
        <f t="shared" si="2204"/>
        <v>1752</v>
      </c>
      <c r="CF910" s="552">
        <f t="shared" si="2204"/>
        <v>1752</v>
      </c>
      <c r="CG910" s="331"/>
      <c r="CH910" s="331"/>
      <c r="CI910" s="331"/>
      <c r="CJ910" s="331"/>
      <c r="CK910" s="331"/>
      <c r="CL910" s="1118" t="str">
        <f t="shared" si="2185"/>
        <v>Average Positions</v>
      </c>
      <c r="CM910" s="330">
        <f t="shared" si="2186"/>
        <v>2023</v>
      </c>
      <c r="CN910" s="330">
        <f t="shared" si="2187"/>
        <v>2007.25</v>
      </c>
      <c r="CO910" s="330">
        <f t="shared" si="2188"/>
        <v>2034.75</v>
      </c>
      <c r="CP910" s="330">
        <f t="shared" si="2189"/>
        <v>2100.75</v>
      </c>
      <c r="CQ910" s="330">
        <f t="shared" si="2190"/>
        <v>2241.125</v>
      </c>
      <c r="CR910" s="330">
        <f t="shared" si="2191"/>
        <v>2243.125</v>
      </c>
      <c r="CS910" s="330">
        <f t="shared" si="2192"/>
        <v>2200</v>
      </c>
      <c r="CT910" s="330">
        <f t="shared" si="2193"/>
        <v>2103.8333333333335</v>
      </c>
      <c r="CU910" s="330">
        <f t="shared" si="2194"/>
        <v>1879.083333333333</v>
      </c>
      <c r="CV910" s="330">
        <f t="shared" si="2195"/>
        <v>1757.8333333333335</v>
      </c>
      <c r="CW910" s="330">
        <f t="shared" si="2196"/>
        <v>1687.4583333333335</v>
      </c>
      <c r="CX910" s="330">
        <f t="shared" si="2197"/>
        <v>1675.75</v>
      </c>
      <c r="CY910" s="330">
        <f t="shared" si="2198"/>
        <v>1733.375</v>
      </c>
      <c r="CZ910" s="330">
        <f t="shared" si="2199"/>
        <v>1750</v>
      </c>
      <c r="DA910" s="330">
        <f t="shared" si="2200"/>
        <v>1752</v>
      </c>
      <c r="DB910" s="330">
        <f t="shared" si="2200"/>
        <v>1752</v>
      </c>
      <c r="DC910" s="1888">
        <f t="shared" si="2200"/>
        <v>1752</v>
      </c>
      <c r="DD910" s="331"/>
      <c r="DE910" s="331"/>
      <c r="DF910" s="502"/>
      <c r="DG910" s="503"/>
      <c r="DH910" s="3297"/>
      <c r="DI910" s="3213"/>
      <c r="DJ910" s="502"/>
      <c r="DK910" s="503"/>
      <c r="DL910" s="502"/>
      <c r="DM910" s="502"/>
      <c r="DN910" s="502"/>
      <c r="DO910" s="502"/>
      <c r="DP910" s="503"/>
      <c r="DQ910" s="503"/>
      <c r="DR910" s="296"/>
      <c r="DS910" s="296"/>
      <c r="DT910" s="296"/>
    </row>
    <row r="911" spans="1:124" ht="12" customHeight="1" x14ac:dyDescent="0.25">
      <c r="A911" s="557" t="s">
        <v>901</v>
      </c>
      <c r="B911" s="558"/>
      <c r="C911" s="318">
        <f t="shared" ref="C911:AH911" si="2205">C917*1000000/C910/C$5</f>
        <v>209.1295000927573</v>
      </c>
      <c r="D911" s="318">
        <f t="shared" si="2205"/>
        <v>200.48707462330364</v>
      </c>
      <c r="E911" s="318">
        <f t="shared" si="2205"/>
        <v>193.0340357955277</v>
      </c>
      <c r="F911" s="318">
        <f t="shared" si="2205"/>
        <v>189.33752521567448</v>
      </c>
      <c r="G911" s="559">
        <f t="shared" si="2205"/>
        <v>197.94494461236758</v>
      </c>
      <c r="H911" s="318">
        <f t="shared" si="2205"/>
        <v>219.72056549591341</v>
      </c>
      <c r="I911" s="318">
        <f t="shared" si="2205"/>
        <v>210.78720576964429</v>
      </c>
      <c r="J911" s="318">
        <f t="shared" si="2205"/>
        <v>190.56536067193679</v>
      </c>
      <c r="K911" s="318">
        <f t="shared" si="2205"/>
        <v>194.33180111168451</v>
      </c>
      <c r="L911" s="559">
        <f t="shared" si="2205"/>
        <v>203.73470738436183</v>
      </c>
      <c r="M911" s="318">
        <f t="shared" si="2205"/>
        <v>221.13088346482579</v>
      </c>
      <c r="N911" s="318">
        <f t="shared" si="2205"/>
        <v>215.66204998157659</v>
      </c>
      <c r="O911" s="318">
        <f t="shared" si="2205"/>
        <v>220.32394536274762</v>
      </c>
      <c r="P911" s="318">
        <f t="shared" si="2205"/>
        <v>216.55352602348464</v>
      </c>
      <c r="Q911" s="559">
        <f t="shared" si="2205"/>
        <v>218.41002837344968</v>
      </c>
      <c r="R911" s="318">
        <f t="shared" si="2205"/>
        <v>237.93932314014302</v>
      </c>
      <c r="S911" s="318">
        <f t="shared" si="2205"/>
        <v>236.69737029061238</v>
      </c>
      <c r="T911" s="318">
        <f t="shared" si="2205"/>
        <v>243.23068193208874</v>
      </c>
      <c r="U911" s="318">
        <f t="shared" si="2205"/>
        <v>231.79374493559899</v>
      </c>
      <c r="V911" s="559">
        <f t="shared" si="2205"/>
        <v>237.38121342834182</v>
      </c>
      <c r="W911" s="318">
        <f t="shared" si="2205"/>
        <v>238.22127806333455</v>
      </c>
      <c r="X911" s="318">
        <f t="shared" si="2205"/>
        <v>234.18548623419591</v>
      </c>
      <c r="Y911" s="318">
        <f t="shared" si="2205"/>
        <v>232.6538854336201</v>
      </c>
      <c r="Z911" s="318">
        <f t="shared" si="2205"/>
        <v>232.85691393944066</v>
      </c>
      <c r="AA911" s="559">
        <f t="shared" si="2205"/>
        <v>234.46831008894526</v>
      </c>
      <c r="AB911" s="318">
        <f t="shared" si="2205"/>
        <v>256.01183869774326</v>
      </c>
      <c r="AC911" s="318">
        <f t="shared" si="2205"/>
        <v>244.63515113559637</v>
      </c>
      <c r="AD911" s="318">
        <f t="shared" si="2205"/>
        <v>240.31022744855332</v>
      </c>
      <c r="AE911" s="560">
        <f t="shared" si="2205"/>
        <v>231.45435368569085</v>
      </c>
      <c r="AF911" s="561">
        <f t="shared" si="2205"/>
        <v>243.05621820097181</v>
      </c>
      <c r="AG911" s="318">
        <f t="shared" si="2205"/>
        <v>245.95959595959596</v>
      </c>
      <c r="AH911" s="318">
        <f t="shared" si="2205"/>
        <v>240.75924075924075</v>
      </c>
      <c r="AI911" s="318">
        <f t="shared" ref="AI911:CA911" si="2206">AI917*1000000/AI910/AI$5</f>
        <v>235.23851284584978</v>
      </c>
      <c r="AJ911" s="560">
        <f t="shared" si="2206"/>
        <v>235.48355731225297</v>
      </c>
      <c r="AK911" s="561">
        <f t="shared" si="2206"/>
        <v>239.32023287671231</v>
      </c>
      <c r="AL911" s="318">
        <f t="shared" si="2206"/>
        <v>246.21341581385875</v>
      </c>
      <c r="AM911" s="318">
        <f t="shared" si="2206"/>
        <v>252.69216745046276</v>
      </c>
      <c r="AN911" s="318">
        <f t="shared" si="2206"/>
        <v>251.91561596218506</v>
      </c>
      <c r="AO911" s="560">
        <f t="shared" si="2206"/>
        <v>263.9194686478063</v>
      </c>
      <c r="AP911" s="562">
        <f t="shared" si="2206"/>
        <v>253.43617033052297</v>
      </c>
      <c r="AQ911" s="562">
        <f t="shared" si="2206"/>
        <v>255.78974854388431</v>
      </c>
      <c r="AR911" s="560">
        <f t="shared" si="2206"/>
        <v>217.51819410669273</v>
      </c>
      <c r="AS911" s="560">
        <f t="shared" si="2206"/>
        <v>223.0855323666313</v>
      </c>
      <c r="AT911" s="560">
        <f t="shared" si="2206"/>
        <v>218.70769067996793</v>
      </c>
      <c r="AU911" s="1688">
        <f t="shared" si="2206"/>
        <v>228.87932166669458</v>
      </c>
      <c r="AV911" s="1732">
        <f t="shared" si="2206"/>
        <v>239.62582595708363</v>
      </c>
      <c r="AW911" s="1766">
        <f t="shared" si="2206"/>
        <v>237.11958872564867</v>
      </c>
      <c r="AX911" s="1766">
        <f t="shared" si="2206"/>
        <v>230.41621649085451</v>
      </c>
      <c r="AY911" s="1901">
        <f t="shared" si="2206"/>
        <v>215.21837210236544</v>
      </c>
      <c r="AZ911" s="1688">
        <f t="shared" si="2206"/>
        <v>230.66995303215478</v>
      </c>
      <c r="BA911" s="1732">
        <f t="shared" si="2206"/>
        <v>235.55956569390398</v>
      </c>
      <c r="BB911" s="1766">
        <f t="shared" si="2206"/>
        <v>232.68640366364684</v>
      </c>
      <c r="BC911" s="1766">
        <f t="shared" si="2206"/>
        <v>219.82286579520132</v>
      </c>
      <c r="BD911" s="1901">
        <f t="shared" si="2206"/>
        <v>229.17742160737808</v>
      </c>
      <c r="BE911" s="1901">
        <f t="shared" si="2206"/>
        <v>229.28925263908087</v>
      </c>
      <c r="BF911" s="1766">
        <f>BF917*1000000/BF910/BF$5</f>
        <v>244.1363049064239</v>
      </c>
      <c r="BG911" s="1766">
        <f>BG917*1000000/BG910/BG$5</f>
        <v>243.84486049610936</v>
      </c>
      <c r="BH911" s="1766">
        <f>BH917*1000000/BH910/BH$5</f>
        <v>235.50948669887273</v>
      </c>
      <c r="BI911" s="1901">
        <f>BI917*1000000/BI910/BI$5</f>
        <v>233.94811258742146</v>
      </c>
      <c r="BJ911" s="1901">
        <f t="shared" si="2206"/>
        <v>239.28771807348582</v>
      </c>
      <c r="BK911" s="1766">
        <f t="shared" ref="BK911:BU911" si="2207">BK917*1000000/BK910/BK$5</f>
        <v>247.80979690066599</v>
      </c>
      <c r="BL911" s="1766">
        <f t="shared" si="2207"/>
        <v>241.24535792642968</v>
      </c>
      <c r="BM911" s="1766">
        <f t="shared" si="2207"/>
        <v>243.21749160022065</v>
      </c>
      <c r="BN911" s="1901">
        <f t="shared" si="2207"/>
        <v>235.30529844398862</v>
      </c>
      <c r="BO911" s="1901">
        <f t="shared" si="2207"/>
        <v>241.8713446122236</v>
      </c>
      <c r="BP911" s="1766">
        <f t="shared" si="2207"/>
        <v>251.52500429676314</v>
      </c>
      <c r="BQ911" s="1766">
        <f t="shared" si="2207"/>
        <v>249.09905665885103</v>
      </c>
      <c r="BR911" s="1766">
        <f t="shared" si="2207"/>
        <v>252.63748368324406</v>
      </c>
      <c r="BS911" s="1766">
        <f t="shared" si="2207"/>
        <v>259.24598297597777</v>
      </c>
      <c r="BT911" s="2589">
        <f t="shared" si="2207"/>
        <v>253.15241333855187</v>
      </c>
      <c r="BU911" s="1766">
        <f t="shared" si="2207"/>
        <v>265.39046740233385</v>
      </c>
      <c r="BV911" s="1766">
        <f>BV917*1000000/BV910/BV$5</f>
        <v>256.35236052611776</v>
      </c>
      <c r="BW911" s="1766">
        <f>BW917*1000000/BW910/BW$5</f>
        <v>257.69023335690889</v>
      </c>
      <c r="BX911" s="1766">
        <f>BX917*1000000/BX910/BX$5</f>
        <v>264.43090263549732</v>
      </c>
      <c r="BY911" s="2589">
        <f>BY917*1000000/BY910/BY$5</f>
        <v>260.95438735722774</v>
      </c>
      <c r="BZ911" s="561">
        <f t="shared" si="2206"/>
        <v>263.56393123080005</v>
      </c>
      <c r="CA911" s="561">
        <f t="shared" si="2206"/>
        <v>262.84381120011483</v>
      </c>
      <c r="CB911" s="561">
        <f>CB917*1000000/CB910/CB$5</f>
        <v>250.38573466926002</v>
      </c>
      <c r="CC911" s="561">
        <f>CC917*1000000/CC910/CC$5</f>
        <v>237.86644793579703</v>
      </c>
      <c r="CD911" s="561">
        <f>CD917*1000000/CD910/CD$5</f>
        <v>242.62377689451296</v>
      </c>
      <c r="CE911" s="561">
        <f>CE917*1000000/CE910/CE$5</f>
        <v>246.80008780827094</v>
      </c>
      <c r="CF911" s="561">
        <f>CF917*1000000/CF910/CF$5</f>
        <v>252.42577748105128</v>
      </c>
      <c r="CG911" s="560"/>
      <c r="CH911" s="560"/>
      <c r="CI911" s="560"/>
      <c r="CJ911" s="560"/>
      <c r="CK911" s="560"/>
      <c r="CL911" s="1307" t="str">
        <f t="shared" si="2185"/>
        <v>Daily Win / Position</v>
      </c>
      <c r="CM911" s="560">
        <f t="shared" si="2186"/>
        <v>197.94494461236758</v>
      </c>
      <c r="CN911" s="560">
        <f t="shared" si="2187"/>
        <v>203.73470738436183</v>
      </c>
      <c r="CO911" s="560">
        <f t="shared" si="2188"/>
        <v>218.41002837344968</v>
      </c>
      <c r="CP911" s="560">
        <f t="shared" si="2189"/>
        <v>237.38121342834182</v>
      </c>
      <c r="CQ911" s="560">
        <f t="shared" si="2190"/>
        <v>234.46831008894526</v>
      </c>
      <c r="CR911" s="560">
        <f t="shared" si="2191"/>
        <v>243.05621820097181</v>
      </c>
      <c r="CS911" s="560">
        <f t="shared" si="2192"/>
        <v>239.32023287671231</v>
      </c>
      <c r="CT911" s="560">
        <f t="shared" si="2193"/>
        <v>253.43617033052297</v>
      </c>
      <c r="CU911" s="560">
        <f t="shared" si="2194"/>
        <v>228.87932166669458</v>
      </c>
      <c r="CV911" s="560">
        <f t="shared" si="2195"/>
        <v>230.66995303215478</v>
      </c>
      <c r="CW911" s="560">
        <f t="shared" si="2196"/>
        <v>229.28925263908087</v>
      </c>
      <c r="CX911" s="560">
        <f t="shared" si="2197"/>
        <v>239.28771807348582</v>
      </c>
      <c r="CY911" s="560">
        <f t="shared" si="2198"/>
        <v>241.8713446122236</v>
      </c>
      <c r="CZ911" s="560">
        <f t="shared" si="2199"/>
        <v>253.15241333855187</v>
      </c>
      <c r="DA911" s="560">
        <f t="shared" si="2200"/>
        <v>260.95438735722774</v>
      </c>
      <c r="DB911" s="560">
        <f t="shared" si="2200"/>
        <v>263.56393123080005</v>
      </c>
      <c r="DC911" s="1878">
        <f t="shared" si="2200"/>
        <v>262.84381120011483</v>
      </c>
      <c r="DD911" s="560"/>
      <c r="DE911" s="560"/>
      <c r="DF911" s="707"/>
      <c r="DG911" s="707"/>
      <c r="DH911" s="2588"/>
      <c r="DI911" s="3213"/>
      <c r="DJ911" s="707"/>
      <c r="DK911" s="707"/>
      <c r="DL911" s="707"/>
      <c r="DM911" s="707"/>
      <c r="DN911" s="707"/>
      <c r="DO911" s="707"/>
      <c r="DP911" s="707"/>
      <c r="DQ911" s="707"/>
      <c r="DR911" s="968"/>
      <c r="DS911" s="968"/>
      <c r="DT911" s="968"/>
    </row>
    <row r="912" spans="1:124" ht="12" customHeight="1" x14ac:dyDescent="0.25">
      <c r="A912" s="465" t="s">
        <v>1491</v>
      </c>
      <c r="B912" s="466"/>
      <c r="C912" s="467" t="s">
        <v>553</v>
      </c>
      <c r="D912" s="467" t="s">
        <v>553</v>
      </c>
      <c r="E912" s="467" t="s">
        <v>553</v>
      </c>
      <c r="F912" s="467" t="s">
        <v>553</v>
      </c>
      <c r="G912" s="468" t="s">
        <v>553</v>
      </c>
      <c r="H912" s="467">
        <f t="shared" ref="H912:AF912" si="2208">(H911-C911)/C911</f>
        <v>5.0643574428564819E-2</v>
      </c>
      <c r="I912" s="467">
        <f t="shared" si="2208"/>
        <v>5.1375537129730801E-2</v>
      </c>
      <c r="J912" s="467">
        <f t="shared" si="2208"/>
        <v>-1.2788807494062185E-2</v>
      </c>
      <c r="K912" s="467">
        <f t="shared" si="2208"/>
        <v>2.6377633753906182E-2</v>
      </c>
      <c r="L912" s="468">
        <f t="shared" si="2208"/>
        <v>2.9249359125246909E-2</v>
      </c>
      <c r="M912" s="467">
        <f t="shared" si="2208"/>
        <v>6.4186889639996454E-3</v>
      </c>
      <c r="N912" s="467">
        <f t="shared" si="2208"/>
        <v>2.312685057963006E-2</v>
      </c>
      <c r="O912" s="467">
        <f t="shared" si="2208"/>
        <v>0.15615946458412772</v>
      </c>
      <c r="P912" s="467">
        <f t="shared" si="2208"/>
        <v>0.11434940027663855</v>
      </c>
      <c r="Q912" s="468">
        <f t="shared" si="2208"/>
        <v>7.2031521666073739E-2</v>
      </c>
      <c r="R912" s="467">
        <f t="shared" si="2208"/>
        <v>7.6011271749795495E-2</v>
      </c>
      <c r="S912" s="467">
        <f t="shared" si="2208"/>
        <v>9.7538349055073831E-2</v>
      </c>
      <c r="T912" s="467">
        <f t="shared" si="2208"/>
        <v>0.10396843852640174</v>
      </c>
      <c r="U912" s="467">
        <f t="shared" si="2208"/>
        <v>7.0376221491131929E-2</v>
      </c>
      <c r="V912" s="468">
        <f t="shared" si="2208"/>
        <v>8.6860412024919259E-2</v>
      </c>
      <c r="W912" s="467">
        <f t="shared" si="2208"/>
        <v>1.1849866573986469E-3</v>
      </c>
      <c r="X912" s="467">
        <f t="shared" si="2208"/>
        <v>-1.0612217843115177E-2</v>
      </c>
      <c r="Y912" s="467">
        <f t="shared" si="2208"/>
        <v>-4.3484631192300546E-2</v>
      </c>
      <c r="Z912" s="467">
        <f t="shared" si="2208"/>
        <v>4.5867027349553941E-3</v>
      </c>
      <c r="AA912" s="468">
        <f t="shared" si="2208"/>
        <v>-1.2270993552216723E-2</v>
      </c>
      <c r="AB912" s="467">
        <f t="shared" si="2208"/>
        <v>7.4680821037652348E-2</v>
      </c>
      <c r="AC912" s="467">
        <f t="shared" si="2208"/>
        <v>4.462131735589428E-2</v>
      </c>
      <c r="AD912" s="467">
        <f t="shared" si="2208"/>
        <v>3.2908721901047697E-2</v>
      </c>
      <c r="AE912" s="469">
        <f t="shared" si="2208"/>
        <v>-6.023270814774162E-3</v>
      </c>
      <c r="AF912" s="470">
        <f t="shared" si="2208"/>
        <v>3.6627159161802043E-2</v>
      </c>
      <c r="AG912" s="467">
        <f t="shared" ref="AG912:AU912" si="2209">(AG911-AB911)/AB911</f>
        <v>-3.9264757400595589E-2</v>
      </c>
      <c r="AH912" s="467">
        <f t="shared" si="2209"/>
        <v>-1.5843636363636393E-2</v>
      </c>
      <c r="AI912" s="467">
        <f t="shared" si="2209"/>
        <v>-2.110486372782162E-2</v>
      </c>
      <c r="AJ912" s="469">
        <f t="shared" si="2209"/>
        <v>1.7408199769850426E-2</v>
      </c>
      <c r="AK912" s="470">
        <f t="shared" si="2209"/>
        <v>-1.53708691425882E-2</v>
      </c>
      <c r="AL912" s="467">
        <f t="shared" si="2209"/>
        <v>1.0319575183579421E-3</v>
      </c>
      <c r="AM912" s="467">
        <f t="shared" si="2209"/>
        <v>4.9563732854411742E-2</v>
      </c>
      <c r="AN912" s="467">
        <f t="shared" si="2209"/>
        <v>7.0894442047691686E-2</v>
      </c>
      <c r="AO912" s="469">
        <f t="shared" si="2209"/>
        <v>0.12075540075966788</v>
      </c>
      <c r="AP912" s="471">
        <f t="shared" si="2209"/>
        <v>5.8983468652575623E-2</v>
      </c>
      <c r="AQ912" s="471">
        <f t="shared" si="2209"/>
        <v>3.8894439193619852E-2</v>
      </c>
      <c r="AR912" s="469">
        <f t="shared" si="2209"/>
        <v>-0.13919692762406441</v>
      </c>
      <c r="AS912" s="469">
        <f t="shared" si="2209"/>
        <v>-0.11444341584557199</v>
      </c>
      <c r="AT912" s="469">
        <f t="shared" si="2209"/>
        <v>-0.17130899133543012</v>
      </c>
      <c r="AU912" s="1689">
        <f t="shared" si="2209"/>
        <v>-9.6895595572653148E-2</v>
      </c>
      <c r="AV912" s="1730">
        <f t="shared" ref="AV912:BA912" si="2210">(AV911-AQ911)/AQ911</f>
        <v>-6.3192222044925042E-2</v>
      </c>
      <c r="AW912" s="1465">
        <f t="shared" si="2210"/>
        <v>9.0113816453171944E-2</v>
      </c>
      <c r="AX912" s="1465">
        <f t="shared" si="2210"/>
        <v>3.2860419259172546E-2</v>
      </c>
      <c r="AY912" s="1868">
        <f t="shared" si="2210"/>
        <v>-1.5954256417568612E-2</v>
      </c>
      <c r="AZ912" s="1689">
        <f t="shared" si="2210"/>
        <v>7.8234737521103211E-3</v>
      </c>
      <c r="BA912" s="1730">
        <f t="shared" si="2210"/>
        <v>-1.6969207083329631E-2</v>
      </c>
      <c r="BB912" s="1465">
        <f t="shared" ref="BB912:BJ912" si="2211">(BB911-AW911)/AW911</f>
        <v>-1.8695988323137212E-2</v>
      </c>
      <c r="BC912" s="1465">
        <f t="shared" si="2211"/>
        <v>-4.5974848719354998E-2</v>
      </c>
      <c r="BD912" s="1868">
        <f t="shared" si="2211"/>
        <v>6.4859934440788483E-2</v>
      </c>
      <c r="BE912" s="1868">
        <f t="shared" si="2211"/>
        <v>-5.9856100672177389E-3</v>
      </c>
      <c r="BF912" s="1465">
        <f t="shared" si="2211"/>
        <v>3.6410065484943632E-2</v>
      </c>
      <c r="BG912" s="1465">
        <f t="shared" si="2211"/>
        <v>4.7954915529109757E-2</v>
      </c>
      <c r="BH912" s="1465">
        <f t="shared" si="2211"/>
        <v>7.1360278408370406E-2</v>
      </c>
      <c r="BI912" s="1868">
        <f t="shared" si="2211"/>
        <v>2.0816583704377434E-2</v>
      </c>
      <c r="BJ912" s="1868">
        <f t="shared" si="2211"/>
        <v>4.3606341419513944E-2</v>
      </c>
      <c r="BK912" s="1465">
        <f t="shared" ref="BK912:BT912" si="2212">(BK911-BF911)/BF911</f>
        <v>1.5046889464678814E-2</v>
      </c>
      <c r="BL912" s="1465">
        <f t="shared" si="2212"/>
        <v>-1.0660477175491512E-2</v>
      </c>
      <c r="BM912" s="1465">
        <f t="shared" si="2212"/>
        <v>3.2729063314564197E-2</v>
      </c>
      <c r="BN912" s="1868">
        <f t="shared" si="2212"/>
        <v>5.8012259280784085E-3</v>
      </c>
      <c r="BO912" s="1868">
        <f t="shared" si="2212"/>
        <v>1.0797154820726474E-2</v>
      </c>
      <c r="BP912" s="1465">
        <f t="shared" si="2212"/>
        <v>1.4992173201232997E-2</v>
      </c>
      <c r="BQ912" s="1465">
        <f t="shared" si="2212"/>
        <v>3.2554818048836483E-2</v>
      </c>
      <c r="BR912" s="1465">
        <f t="shared" si="2212"/>
        <v>3.8730734459292711E-2</v>
      </c>
      <c r="BS912" s="1465">
        <f t="shared" si="2212"/>
        <v>0.10174307459416566</v>
      </c>
      <c r="BT912" s="470">
        <f t="shared" si="2212"/>
        <v>4.6640782290330696E-2</v>
      </c>
      <c r="BU912" s="1465">
        <f>(BU911-BP911)/BP911</f>
        <v>5.5125585403872884E-2</v>
      </c>
      <c r="BV912" s="1465">
        <f>(BV911-BQ911)/BQ911</f>
        <v>2.9118150684931596E-2</v>
      </c>
      <c r="BW912" s="1465">
        <f>(BW911-BR911)/BR911</f>
        <v>1.9999999999999817E-2</v>
      </c>
      <c r="BX912" s="1465">
        <f>(BX911-BS911)/BS911</f>
        <v>1.9999999999999983E-2</v>
      </c>
      <c r="BY912" s="470">
        <f>(BY911-BT911)/BT911</f>
        <v>3.0819275691604624E-2</v>
      </c>
      <c r="BZ912" s="470">
        <f t="shared" ref="BZ912:CF912" si="2213">(BZ911-BY911)/BY911</f>
        <v>1.0000000000000111E-2</v>
      </c>
      <c r="CA912" s="470">
        <f t="shared" si="2213"/>
        <v>-2.7322404371583823E-3</v>
      </c>
      <c r="CB912" s="470">
        <f t="shared" si="2213"/>
        <v>-4.7397260273972806E-2</v>
      </c>
      <c r="CC912" s="470">
        <f t="shared" si="2213"/>
        <v>-4.9999999999999961E-2</v>
      </c>
      <c r="CD912" s="470">
        <f t="shared" si="2213"/>
        <v>1.9999999999999959E-2</v>
      </c>
      <c r="CE912" s="470">
        <f t="shared" si="2213"/>
        <v>1.7213114754098268E-2</v>
      </c>
      <c r="CF912" s="470">
        <f t="shared" si="2213"/>
        <v>2.2794520547945313E-2</v>
      </c>
      <c r="CG912" s="492"/>
      <c r="CH912" s="492"/>
      <c r="CI912" s="492"/>
      <c r="CJ912" s="492"/>
      <c r="CK912" s="492"/>
      <c r="CL912" s="1310" t="str">
        <f t="shared" si="2185"/>
        <v>% growth (y-o-y)</v>
      </c>
      <c r="CM912" s="469" t="str">
        <f t="shared" si="2186"/>
        <v xml:space="preserve">n/a </v>
      </c>
      <c r="CN912" s="469">
        <f t="shared" si="2187"/>
        <v>2.9249359125246909E-2</v>
      </c>
      <c r="CO912" s="469">
        <f t="shared" si="2188"/>
        <v>7.2031521666073739E-2</v>
      </c>
      <c r="CP912" s="469">
        <f t="shared" si="2189"/>
        <v>8.6860412024919259E-2</v>
      </c>
      <c r="CQ912" s="469">
        <f t="shared" si="2190"/>
        <v>-1.2270993552216723E-2</v>
      </c>
      <c r="CR912" s="469">
        <f t="shared" si="2191"/>
        <v>3.6627159161802043E-2</v>
      </c>
      <c r="CS912" s="469">
        <f t="shared" si="2192"/>
        <v>-1.53708691425882E-2</v>
      </c>
      <c r="CT912" s="469">
        <f t="shared" si="2193"/>
        <v>5.8983468652575623E-2</v>
      </c>
      <c r="CU912" s="469">
        <f t="shared" si="2194"/>
        <v>-9.6895595572653148E-2</v>
      </c>
      <c r="CV912" s="469">
        <f t="shared" si="2195"/>
        <v>7.8234737521103211E-3</v>
      </c>
      <c r="CW912" s="469">
        <f t="shared" si="2196"/>
        <v>-5.9856100672177389E-3</v>
      </c>
      <c r="CX912" s="469">
        <f t="shared" si="2197"/>
        <v>4.3606341419513944E-2</v>
      </c>
      <c r="CY912" s="469">
        <f t="shared" si="2198"/>
        <v>1.0797154820726474E-2</v>
      </c>
      <c r="CZ912" s="469">
        <f t="shared" si="2199"/>
        <v>4.6640782290330696E-2</v>
      </c>
      <c r="DA912" s="469">
        <f t="shared" si="2200"/>
        <v>3.0819275691604624E-2</v>
      </c>
      <c r="DB912" s="469">
        <f t="shared" si="2200"/>
        <v>1.0000000000000111E-2</v>
      </c>
      <c r="DC912" s="1463">
        <f t="shared" si="2200"/>
        <v>-2.7322404371583823E-3</v>
      </c>
      <c r="DD912" s="492"/>
      <c r="DE912" s="492"/>
      <c r="DF912" s="962"/>
      <c r="DG912" s="962"/>
      <c r="DH912" s="469"/>
      <c r="DI912" s="3213"/>
      <c r="DJ912" s="962"/>
      <c r="DK912" s="962"/>
      <c r="DL912" s="962"/>
      <c r="DM912" s="962"/>
      <c r="DN912" s="962"/>
      <c r="DO912" s="962"/>
      <c r="DP912" s="962"/>
      <c r="DQ912" s="962"/>
      <c r="DR912" s="963"/>
      <c r="DS912" s="963"/>
      <c r="DT912" s="963"/>
    </row>
    <row r="913" spans="1:124" ht="5.0999999999999996" customHeight="1" x14ac:dyDescent="0.25">
      <c r="A913" s="281"/>
      <c r="B913" s="281"/>
      <c r="C913" s="305"/>
      <c r="D913" s="305"/>
      <c r="E913" s="305"/>
      <c r="F913" s="305"/>
      <c r="G913" s="440"/>
      <c r="H913" s="305"/>
      <c r="I913" s="305"/>
      <c r="J913" s="305"/>
      <c r="K913" s="305"/>
      <c r="L913" s="440"/>
      <c r="M913" s="305"/>
      <c r="N913" s="305"/>
      <c r="O913" s="305"/>
      <c r="P913" s="305"/>
      <c r="Q913" s="440"/>
      <c r="R913" s="305"/>
      <c r="S913" s="305"/>
      <c r="T913" s="305"/>
      <c r="U913" s="305"/>
      <c r="V913" s="440"/>
      <c r="W913" s="305"/>
      <c r="X913" s="305"/>
      <c r="Y913" s="305"/>
      <c r="Z913" s="305"/>
      <c r="AA913" s="440"/>
      <c r="AB913" s="305"/>
      <c r="AC913" s="305"/>
      <c r="AD913" s="305"/>
      <c r="AE913" s="331"/>
      <c r="AF913" s="441"/>
      <c r="AG913" s="305"/>
      <c r="AH913" s="305"/>
      <c r="AI913" s="305"/>
      <c r="AJ913" s="331"/>
      <c r="AK913" s="441"/>
      <c r="AL913" s="305"/>
      <c r="AM913" s="305"/>
      <c r="AN913" s="305"/>
      <c r="AO913" s="331"/>
      <c r="AP913" s="569"/>
      <c r="AQ913" s="569"/>
      <c r="AR913" s="442"/>
      <c r="AS913" s="442"/>
      <c r="AT913" s="442"/>
      <c r="AU913" s="1690"/>
      <c r="AV913" s="1902"/>
      <c r="AW913" s="1837"/>
      <c r="AX913" s="1837"/>
      <c r="AY913" s="1903"/>
      <c r="AZ913" s="1690"/>
      <c r="BA913" s="1902"/>
      <c r="BB913" s="1837"/>
      <c r="BC913" s="1837"/>
      <c r="BD913" s="1903"/>
      <c r="BE913" s="1903"/>
      <c r="BF913" s="1837"/>
      <c r="BG913" s="1837"/>
      <c r="BH913" s="1837"/>
      <c r="BI913" s="1903"/>
      <c r="BJ913" s="1903"/>
      <c r="BK913" s="1837"/>
      <c r="BL913" s="1837"/>
      <c r="BM913" s="1837"/>
      <c r="BN913" s="1903"/>
      <c r="BO913" s="1903"/>
      <c r="BP913" s="1837"/>
      <c r="BQ913" s="1837"/>
      <c r="BR913" s="1837"/>
      <c r="BS913" s="1837"/>
      <c r="BT913" s="3236"/>
      <c r="BU913" s="1837"/>
      <c r="BV913" s="1837"/>
      <c r="BW913" s="1837"/>
      <c r="BX913" s="1837"/>
      <c r="BY913" s="3236"/>
      <c r="BZ913" s="441"/>
      <c r="CA913" s="441"/>
      <c r="CB913" s="441"/>
      <c r="CC913" s="441"/>
      <c r="CD913" s="441"/>
      <c r="CE913" s="441"/>
      <c r="CF913" s="441"/>
      <c r="CG913" s="331"/>
      <c r="CH913" s="331"/>
      <c r="CI913" s="331"/>
      <c r="CJ913" s="331"/>
      <c r="CK913" s="331"/>
      <c r="CL913" s="520"/>
      <c r="CM913" s="442"/>
      <c r="CN913" s="442"/>
      <c r="CO913" s="442"/>
      <c r="CP913" s="442"/>
      <c r="CQ913" s="442"/>
      <c r="CR913" s="442"/>
      <c r="CS913" s="442"/>
      <c r="CT913" s="442"/>
      <c r="CU913" s="442"/>
      <c r="CV913" s="442"/>
      <c r="CW913" s="442"/>
      <c r="CX913" s="442"/>
      <c r="CY913" s="442"/>
      <c r="CZ913" s="442"/>
      <c r="DA913" s="442"/>
      <c r="DB913" s="442"/>
      <c r="DC913" s="1312"/>
      <c r="DD913" s="331"/>
      <c r="DE913" s="331"/>
      <c r="DF913" s="502"/>
      <c r="DG913" s="503"/>
      <c r="DH913" s="3298"/>
      <c r="DI913" s="3213"/>
      <c r="DJ913" s="502"/>
      <c r="DK913" s="503"/>
      <c r="DL913" s="502"/>
      <c r="DM913" s="502"/>
      <c r="DN913" s="502"/>
      <c r="DO913" s="502"/>
      <c r="DP913" s="503"/>
      <c r="DQ913" s="503"/>
      <c r="DR913" s="296"/>
      <c r="DS913" s="296"/>
      <c r="DT913" s="296"/>
    </row>
    <row r="914" spans="1:124" ht="12" customHeight="1" x14ac:dyDescent="0.25">
      <c r="A914" s="281" t="s">
        <v>1088</v>
      </c>
      <c r="B914" s="281"/>
      <c r="C914" s="340">
        <v>1287.6859999999999</v>
      </c>
      <c r="D914" s="340">
        <v>1197.4490000000001</v>
      </c>
      <c r="E914" s="340">
        <v>1163.221</v>
      </c>
      <c r="F914" s="340">
        <v>1117.0119999999999</v>
      </c>
      <c r="G914" s="345">
        <f>SUM(C914:F914)</f>
        <v>4765.3680000000004</v>
      </c>
      <c r="H914" s="340">
        <v>1283.229</v>
      </c>
      <c r="I914" s="340">
        <v>1245.9570000000001</v>
      </c>
      <c r="J914" s="340">
        <v>1202.4280000000001</v>
      </c>
      <c r="K914" s="340">
        <v>1154.527</v>
      </c>
      <c r="L914" s="345">
        <f>SUM(H914:K914)</f>
        <v>4886.1410000000005</v>
      </c>
      <c r="M914" s="340">
        <v>1181.8989999999999</v>
      </c>
      <c r="N914" s="340">
        <v>1203.4000000000001</v>
      </c>
      <c r="O914" s="340">
        <v>1272.7819999999999</v>
      </c>
      <c r="P914" s="340">
        <v>1269.9960000000001</v>
      </c>
      <c r="Q914" s="345">
        <f>SUM(M914:P914)</f>
        <v>4928.0770000000002</v>
      </c>
      <c r="R914" s="340">
        <v>1295.2560000000001</v>
      </c>
      <c r="S914" s="340">
        <v>1325.5409999999999</v>
      </c>
      <c r="T914" s="340">
        <v>1380.914</v>
      </c>
      <c r="U914" s="340">
        <v>1333.431</v>
      </c>
      <c r="V914" s="345">
        <f>SUM(R914:U914)</f>
        <v>5335.1419999999998</v>
      </c>
      <c r="W914" s="340">
        <v>1370.8689999999999</v>
      </c>
      <c r="X914" s="340">
        <v>1338.232</v>
      </c>
      <c r="Y914" s="340">
        <v>1369.173</v>
      </c>
      <c r="Z914" s="340">
        <v>1398.787</v>
      </c>
      <c r="AA914" s="345">
        <f>SUM(W914:Z914)</f>
        <v>5477.0609999999997</v>
      </c>
      <c r="AB914" s="339">
        <v>1457</v>
      </c>
      <c r="AC914" s="339">
        <v>1383</v>
      </c>
      <c r="AD914" s="339">
        <v>1381</v>
      </c>
      <c r="AE914" s="339">
        <v>1341</v>
      </c>
      <c r="AF914" s="348">
        <f>SUM(AB914:AE914)</f>
        <v>5562</v>
      </c>
      <c r="AG914" s="339">
        <v>1336.327</v>
      </c>
      <c r="AH914" s="339">
        <v>1292.5</v>
      </c>
      <c r="AI914" s="339">
        <v>1361.9770000000001</v>
      </c>
      <c r="AJ914" s="339">
        <v>1319.5530000000001</v>
      </c>
      <c r="AK914" s="348">
        <f>SUM(AG914:AJ914)</f>
        <v>5310.357</v>
      </c>
      <c r="AL914" s="339">
        <v>1307.7750000000001</v>
      </c>
      <c r="AM914" s="339">
        <f>1301131/1000</f>
        <v>1301.1310000000001</v>
      </c>
      <c r="AN914" s="339">
        <v>1338.8810000000001</v>
      </c>
      <c r="AO914" s="339">
        <v>1300.1690000000001</v>
      </c>
      <c r="AP914" s="568">
        <f>SUM(AL914:AO914)</f>
        <v>5247.9560000000001</v>
      </c>
      <c r="AQ914" s="1677">
        <v>1171.2159999999999</v>
      </c>
      <c r="AR914" s="338">
        <v>984.29300000000001</v>
      </c>
      <c r="AS914" s="338">
        <v>1014.501</v>
      </c>
      <c r="AT914" s="338">
        <v>988.16899999999998</v>
      </c>
      <c r="AU914" s="1687">
        <f>SUM(AQ914:AT914)</f>
        <v>4158.1790000000001</v>
      </c>
      <c r="AV914" s="1677">
        <v>987.04300000000001</v>
      </c>
      <c r="AW914" s="338">
        <v>944.85</v>
      </c>
      <c r="AX914" s="338">
        <v>918.48800000000006</v>
      </c>
      <c r="AY914" s="338">
        <v>790.84900000000005</v>
      </c>
      <c r="AZ914" s="1687">
        <f>SUM(AV914:AY914)</f>
        <v>3641.2300000000005</v>
      </c>
      <c r="BA914" s="2651">
        <v>842.68</v>
      </c>
      <c r="BB914" s="2655">
        <v>827.00300000000004</v>
      </c>
      <c r="BC914" s="2655">
        <v>792.98699999999997</v>
      </c>
      <c r="BD914" s="2939">
        <v>815.79</v>
      </c>
      <c r="BE914" s="1867">
        <f>SUM(BA914:BD914)</f>
        <v>3278.46</v>
      </c>
      <c r="BF914" s="2942">
        <v>840.23199999999997</v>
      </c>
      <c r="BG914" s="2942">
        <v>819.39599999999996</v>
      </c>
      <c r="BH914" s="2942">
        <v>824.08</v>
      </c>
      <c r="BI914" s="2939">
        <v>818.72500000000002</v>
      </c>
      <c r="BJ914" s="1867">
        <f>SUM(BF914:BI914)</f>
        <v>3302.433</v>
      </c>
      <c r="BK914" s="2942">
        <v>896.76700000000005</v>
      </c>
      <c r="BL914" s="2942">
        <v>852.49099999999999</v>
      </c>
      <c r="BM914" s="2942">
        <v>860.89700000000005</v>
      </c>
      <c r="BN914" s="2939">
        <v>818.3</v>
      </c>
      <c r="BO914" s="1867">
        <f>SUM(BK914:BN914)</f>
        <v>3428.4549999999999</v>
      </c>
      <c r="BP914" s="2942">
        <v>826.14499999999998</v>
      </c>
      <c r="BQ914" s="2942">
        <v>830.01199999999994</v>
      </c>
      <c r="BR914" s="2942">
        <v>844.49599999999998</v>
      </c>
      <c r="BS914" s="2942">
        <v>823.87599999999998</v>
      </c>
      <c r="BT914" s="3081">
        <f>SUM(BP914:BS914)</f>
        <v>3324.5289999999995</v>
      </c>
      <c r="BU914" s="1836">
        <f>+BP914*(1+BU918)</f>
        <v>874.93276727132707</v>
      </c>
      <c r="BV914" s="1836">
        <f>+BQ914*(1+BV918)</f>
        <v>854.91235999999992</v>
      </c>
      <c r="BW914" s="1836">
        <f>+BR914*(1+BW918)</f>
        <v>861.38591999999994</v>
      </c>
      <c r="BX914" s="1836">
        <f>+BS914*(1+BX918)</f>
        <v>840.35352</v>
      </c>
      <c r="BY914" s="3081">
        <f>SUM(BU914:BX914)</f>
        <v>3431.5845672713272</v>
      </c>
      <c r="BZ914" s="348">
        <f t="shared" ref="BZ914:CF914" si="2214">BY914*(1+BZ918)</f>
        <v>3465.9004129440405</v>
      </c>
      <c r="CA914" s="348">
        <f t="shared" si="2214"/>
        <v>3465.9004129440405</v>
      </c>
      <c r="CB914" s="348">
        <f t="shared" si="2214"/>
        <v>3292.6053922968381</v>
      </c>
      <c r="CC914" s="348">
        <f t="shared" si="2214"/>
        <v>3127.9751226819963</v>
      </c>
      <c r="CD914" s="348">
        <f t="shared" si="2214"/>
        <v>3190.5346251356364</v>
      </c>
      <c r="CE914" s="348">
        <f t="shared" si="2214"/>
        <v>3254.3453176383491</v>
      </c>
      <c r="CF914" s="348">
        <f t="shared" si="2214"/>
        <v>3319.4322239911162</v>
      </c>
      <c r="CG914" s="331"/>
      <c r="CH914" s="331"/>
      <c r="CI914" s="331"/>
      <c r="CJ914" s="331"/>
      <c r="CK914" s="331"/>
      <c r="CL914" s="520" t="str">
        <f>A914</f>
        <v>Admissions (in thousands)</v>
      </c>
      <c r="CM914" s="330">
        <f>G914</f>
        <v>4765.3680000000004</v>
      </c>
      <c r="CN914" s="330">
        <f>L914</f>
        <v>4886.1410000000005</v>
      </c>
      <c r="CO914" s="330">
        <f>Q914</f>
        <v>4928.0770000000002</v>
      </c>
      <c r="CP914" s="330">
        <f>V914</f>
        <v>5335.1419999999998</v>
      </c>
      <c r="CQ914" s="330">
        <f>AA914</f>
        <v>5477.0609999999997</v>
      </c>
      <c r="CR914" s="330">
        <f>AF914</f>
        <v>5562</v>
      </c>
      <c r="CS914" s="330">
        <f>AK914</f>
        <v>5310.357</v>
      </c>
      <c r="CT914" s="330">
        <f>AP914</f>
        <v>5247.9560000000001</v>
      </c>
      <c r="CU914" s="330">
        <f>AU914</f>
        <v>4158.1790000000001</v>
      </c>
      <c r="CV914" s="330">
        <f>AZ914</f>
        <v>3641.2300000000005</v>
      </c>
      <c r="CW914" s="330">
        <f>BE914</f>
        <v>3278.46</v>
      </c>
      <c r="CX914" s="330">
        <f>BJ914</f>
        <v>3302.433</v>
      </c>
      <c r="CY914" s="330">
        <f>BO914</f>
        <v>3428.4549999999999</v>
      </c>
      <c r="CZ914" s="330">
        <f>BT914</f>
        <v>3324.5289999999995</v>
      </c>
      <c r="DA914" s="330">
        <f t="shared" ref="DA914:DC915" si="2215">BY914</f>
        <v>3431.5845672713272</v>
      </c>
      <c r="DB914" s="330">
        <f t="shared" si="2215"/>
        <v>3465.9004129440405</v>
      </c>
      <c r="DC914" s="1888">
        <f t="shared" si="2215"/>
        <v>3465.9004129440405</v>
      </c>
      <c r="DD914" s="331"/>
      <c r="DE914" s="331"/>
      <c r="DF914" s="502"/>
      <c r="DG914" s="503"/>
      <c r="DH914" s="2909"/>
      <c r="DI914" s="3213"/>
      <c r="DJ914" s="502"/>
      <c r="DK914" s="503"/>
      <c r="DL914" s="502"/>
      <c r="DM914" s="502"/>
      <c r="DN914" s="502"/>
      <c r="DO914" s="502"/>
      <c r="DP914" s="503"/>
      <c r="DQ914" s="503"/>
      <c r="DR914" s="296"/>
      <c r="DS914" s="296"/>
      <c r="DT914" s="296"/>
    </row>
    <row r="915" spans="1:124" ht="12" customHeight="1" x14ac:dyDescent="0.25">
      <c r="A915" s="465" t="s">
        <v>1491</v>
      </c>
      <c r="B915" s="466"/>
      <c r="C915" s="467" t="s">
        <v>553</v>
      </c>
      <c r="D915" s="467" t="s">
        <v>553</v>
      </c>
      <c r="E915" s="467" t="s">
        <v>553</v>
      </c>
      <c r="F915" s="467" t="s">
        <v>553</v>
      </c>
      <c r="G915" s="468" t="s">
        <v>553</v>
      </c>
      <c r="H915" s="467">
        <f t="shared" ref="H915:AF915" si="2216">(H914-C914)/C914</f>
        <v>-3.4612475401610953E-3</v>
      </c>
      <c r="I915" s="467">
        <f t="shared" si="2216"/>
        <v>4.0509449671760581E-2</v>
      </c>
      <c r="J915" s="467">
        <f t="shared" si="2216"/>
        <v>3.3705546925304912E-2</v>
      </c>
      <c r="K915" s="467">
        <f t="shared" si="2216"/>
        <v>3.3585136059415745E-2</v>
      </c>
      <c r="L915" s="468">
        <f t="shared" si="2216"/>
        <v>2.5343897889942631E-2</v>
      </c>
      <c r="M915" s="467">
        <f t="shared" si="2216"/>
        <v>-7.8964861299113523E-2</v>
      </c>
      <c r="N915" s="467">
        <f t="shared" si="2216"/>
        <v>-3.4156074407062212E-2</v>
      </c>
      <c r="O915" s="467">
        <f t="shared" si="2216"/>
        <v>5.8509948204798795E-2</v>
      </c>
      <c r="P915" s="467">
        <f t="shared" si="2216"/>
        <v>0.1000141183359073</v>
      </c>
      <c r="Q915" s="468">
        <f t="shared" si="2216"/>
        <v>8.582642211921369E-3</v>
      </c>
      <c r="R915" s="467">
        <f t="shared" si="2216"/>
        <v>9.5910902708268825E-2</v>
      </c>
      <c r="S915" s="467">
        <f t="shared" si="2216"/>
        <v>0.10149659298653801</v>
      </c>
      <c r="T915" s="467">
        <f t="shared" si="2216"/>
        <v>8.4957203983085927E-2</v>
      </c>
      <c r="U915" s="467">
        <f t="shared" si="2216"/>
        <v>4.9948976217247879E-2</v>
      </c>
      <c r="V915" s="468">
        <f t="shared" si="2216"/>
        <v>8.2601185005834854E-2</v>
      </c>
      <c r="W915" s="467">
        <f t="shared" si="2216"/>
        <v>5.8376876849055188E-2</v>
      </c>
      <c r="X915" s="467">
        <f t="shared" si="2216"/>
        <v>9.5742040419723208E-3</v>
      </c>
      <c r="Y915" s="467">
        <f t="shared" si="2216"/>
        <v>-8.5023397546842051E-3</v>
      </c>
      <c r="Z915" s="467">
        <f t="shared" si="2216"/>
        <v>4.9013409767734509E-2</v>
      </c>
      <c r="AA915" s="468">
        <f t="shared" si="2216"/>
        <v>2.6600791506580308E-2</v>
      </c>
      <c r="AB915" s="467">
        <f t="shared" si="2216"/>
        <v>6.2829489907496691E-2</v>
      </c>
      <c r="AC915" s="467">
        <f t="shared" si="2216"/>
        <v>3.3453093335086913E-2</v>
      </c>
      <c r="AD915" s="467">
        <f t="shared" si="2216"/>
        <v>8.6380610777454705E-3</v>
      </c>
      <c r="AE915" s="469">
        <f t="shared" si="2216"/>
        <v>-4.1312222661491732E-2</v>
      </c>
      <c r="AF915" s="470">
        <f t="shared" si="2216"/>
        <v>1.5508134745988826E-2</v>
      </c>
      <c r="AG915" s="467">
        <f t="shared" ref="AG915:AU915" si="2217">(AG914-AB914)/AB914</f>
        <v>-8.2822923816060393E-2</v>
      </c>
      <c r="AH915" s="467">
        <f t="shared" si="2217"/>
        <v>-6.5437454808387557E-2</v>
      </c>
      <c r="AI915" s="467">
        <f t="shared" si="2217"/>
        <v>-1.377480086893549E-2</v>
      </c>
      <c r="AJ915" s="469">
        <f t="shared" si="2217"/>
        <v>-1.5993288590603946E-2</v>
      </c>
      <c r="AK915" s="470">
        <f t="shared" si="2217"/>
        <v>-4.5243257820927731E-2</v>
      </c>
      <c r="AL915" s="467">
        <f t="shared" si="2217"/>
        <v>-2.136602792579953E-2</v>
      </c>
      <c r="AM915" s="467">
        <f t="shared" si="2217"/>
        <v>6.677756286266991E-3</v>
      </c>
      <c r="AN915" s="467">
        <f t="shared" si="2217"/>
        <v>-1.6957701928887198E-2</v>
      </c>
      <c r="AO915" s="467">
        <f t="shared" si="2217"/>
        <v>-1.4689822993089336E-2</v>
      </c>
      <c r="AP915" s="471">
        <f t="shared" si="2217"/>
        <v>-1.1750810727037719E-2</v>
      </c>
      <c r="AQ915" s="471">
        <f t="shared" si="2217"/>
        <v>-0.1044208675039668</v>
      </c>
      <c r="AR915" s="469">
        <f t="shared" si="2217"/>
        <v>-0.24350968503555756</v>
      </c>
      <c r="AS915" s="469">
        <f t="shared" si="2217"/>
        <v>-0.24227694619611459</v>
      </c>
      <c r="AT915" s="469">
        <f t="shared" si="2217"/>
        <v>-0.23996880405547286</v>
      </c>
      <c r="AU915" s="1689">
        <f t="shared" si="2217"/>
        <v>-0.20765741938385154</v>
      </c>
      <c r="AV915" s="1730">
        <f t="shared" ref="AV915:BA915" si="2218">(AV914-AQ914)/AQ914</f>
        <v>-0.15724938866955362</v>
      </c>
      <c r="AW915" s="1465">
        <f t="shared" si="2218"/>
        <v>-4.0072417461060869E-2</v>
      </c>
      <c r="AX915" s="1465">
        <f t="shared" si="2218"/>
        <v>-9.4640616421275012E-2</v>
      </c>
      <c r="AY915" s="1868">
        <f t="shared" si="2218"/>
        <v>-0.199682442982931</v>
      </c>
      <c r="AZ915" s="1689">
        <f t="shared" si="2218"/>
        <v>-0.12432100686382179</v>
      </c>
      <c r="BA915" s="1730">
        <f t="shared" si="2218"/>
        <v>-0.1462580657580268</v>
      </c>
      <c r="BB915" s="1465">
        <f t="shared" ref="BB915:BJ915" si="2219">(BB914-AW914)/AW914</f>
        <v>-0.12472561782293483</v>
      </c>
      <c r="BC915" s="1465">
        <f t="shared" si="2219"/>
        <v>-0.13663869315657917</v>
      </c>
      <c r="BD915" s="1868">
        <f t="shared" si="2219"/>
        <v>3.1536993787688823E-2</v>
      </c>
      <c r="BE915" s="1868">
        <f t="shared" si="2219"/>
        <v>-9.9628422263905433E-2</v>
      </c>
      <c r="BF915" s="1465">
        <f t="shared" si="2219"/>
        <v>-2.9050173256752018E-3</v>
      </c>
      <c r="BG915" s="1465">
        <f t="shared" si="2219"/>
        <v>-9.1982737668425442E-3</v>
      </c>
      <c r="BH915" s="1465">
        <f t="shared" si="2219"/>
        <v>3.9209974438420905E-2</v>
      </c>
      <c r="BI915" s="1868">
        <f t="shared" si="2219"/>
        <v>3.5977396143616119E-3</v>
      </c>
      <c r="BJ915" s="1868">
        <f t="shared" si="2219"/>
        <v>7.312274665544175E-3</v>
      </c>
      <c r="BK915" s="1465">
        <f t="shared" ref="BK915:BT915" si="2220">(BK914-BF914)/BF914</f>
        <v>6.7284987955707573E-2</v>
      </c>
      <c r="BL915" s="1465">
        <f t="shared" si="2220"/>
        <v>4.0389506416921767E-2</v>
      </c>
      <c r="BM915" s="1465">
        <f t="shared" si="2220"/>
        <v>4.4676487719638877E-2</v>
      </c>
      <c r="BN915" s="1868">
        <f t="shared" si="2220"/>
        <v>-5.1909981984191059E-4</v>
      </c>
      <c r="BO915" s="1868">
        <f t="shared" si="2220"/>
        <v>3.8160350262972764E-2</v>
      </c>
      <c r="BP915" s="1465">
        <f t="shared" si="2220"/>
        <v>-7.8751782793077874E-2</v>
      </c>
      <c r="BQ915" s="1465">
        <f t="shared" si="2220"/>
        <v>-2.636860682400171E-2</v>
      </c>
      <c r="BR915" s="1465">
        <f t="shared" si="2220"/>
        <v>-1.9051059534415923E-2</v>
      </c>
      <c r="BS915" s="1465">
        <f t="shared" si="2220"/>
        <v>6.8141268483441556E-3</v>
      </c>
      <c r="BT915" s="470">
        <f t="shared" si="2220"/>
        <v>-3.0312779371466269E-2</v>
      </c>
      <c r="BU915" s="1465">
        <f>(BU914-BP914)/BP914</f>
        <v>5.9054726798960337E-2</v>
      </c>
      <c r="BV915" s="1465">
        <f>(BV914-BQ914)/BQ914</f>
        <v>2.9999999999999975E-2</v>
      </c>
      <c r="BW915" s="1465">
        <f>(BW914-BR914)/BR914</f>
        <v>1.9999999999999955E-2</v>
      </c>
      <c r="BX915" s="1465">
        <f>(BX914-BS914)/BS914</f>
        <v>2.0000000000000032E-2</v>
      </c>
      <c r="BY915" s="470">
        <f>(BY914-BT914)/BT914</f>
        <v>3.2201724596575221E-2</v>
      </c>
      <c r="BZ915" s="470">
        <f t="shared" ref="BZ915:CF915" si="2221">(BZ914-BY914)/BY914</f>
        <v>1.0000000000000007E-2</v>
      </c>
      <c r="CA915" s="470">
        <f t="shared" si="2221"/>
        <v>0</v>
      </c>
      <c r="CB915" s="470">
        <f t="shared" si="2221"/>
        <v>-5.00000000000001E-2</v>
      </c>
      <c r="CC915" s="470">
        <f t="shared" si="2221"/>
        <v>-4.9999999999999982E-2</v>
      </c>
      <c r="CD915" s="470">
        <f t="shared" si="2221"/>
        <v>2.0000000000000059E-2</v>
      </c>
      <c r="CE915" s="470">
        <f t="shared" si="2221"/>
        <v>2.0000000000000007E-2</v>
      </c>
      <c r="CF915" s="470">
        <f t="shared" si="2221"/>
        <v>2.0000000000000028E-2</v>
      </c>
      <c r="CG915" s="492"/>
      <c r="CH915" s="492"/>
      <c r="CI915" s="492"/>
      <c r="CJ915" s="492"/>
      <c r="CK915" s="492"/>
      <c r="CL915" s="1310" t="str">
        <f>A915</f>
        <v>% growth (y-o-y)</v>
      </c>
      <c r="CM915" s="469" t="str">
        <f>G915</f>
        <v xml:space="preserve">n/a </v>
      </c>
      <c r="CN915" s="469">
        <f>L915</f>
        <v>2.5343897889942631E-2</v>
      </c>
      <c r="CO915" s="469">
        <f>Q915</f>
        <v>8.582642211921369E-3</v>
      </c>
      <c r="CP915" s="469">
        <f>V915</f>
        <v>8.2601185005834854E-2</v>
      </c>
      <c r="CQ915" s="469">
        <f>AA915</f>
        <v>2.6600791506580308E-2</v>
      </c>
      <c r="CR915" s="469">
        <f>AF915</f>
        <v>1.5508134745988826E-2</v>
      </c>
      <c r="CS915" s="469">
        <f>AK915</f>
        <v>-4.5243257820927731E-2</v>
      </c>
      <c r="CT915" s="469">
        <f>AP915</f>
        <v>-1.1750810727037719E-2</v>
      </c>
      <c r="CU915" s="469">
        <f>AU915</f>
        <v>-0.20765741938385154</v>
      </c>
      <c r="CV915" s="469">
        <f>AZ915</f>
        <v>-0.12432100686382179</v>
      </c>
      <c r="CW915" s="469">
        <f>BE915</f>
        <v>-9.9628422263905433E-2</v>
      </c>
      <c r="CX915" s="469">
        <f>BJ915</f>
        <v>7.312274665544175E-3</v>
      </c>
      <c r="CY915" s="469">
        <f>BO915</f>
        <v>3.8160350262972764E-2</v>
      </c>
      <c r="CZ915" s="469">
        <f>BT915</f>
        <v>-3.0312779371466269E-2</v>
      </c>
      <c r="DA915" s="469">
        <f t="shared" si="2215"/>
        <v>3.2201724596575221E-2</v>
      </c>
      <c r="DB915" s="469">
        <f t="shared" si="2215"/>
        <v>1.0000000000000007E-2</v>
      </c>
      <c r="DC915" s="1463">
        <f t="shared" si="2215"/>
        <v>0</v>
      </c>
      <c r="DD915" s="492"/>
      <c r="DE915" s="492"/>
      <c r="DF915" s="962"/>
      <c r="DG915" s="962"/>
      <c r="DH915" s="469"/>
      <c r="DI915" s="3213"/>
      <c r="DJ915" s="962"/>
      <c r="DK915" s="962"/>
      <c r="DL915" s="962"/>
      <c r="DM915" s="962"/>
      <c r="DN915" s="962"/>
      <c r="DO915" s="962"/>
      <c r="DP915" s="962"/>
      <c r="DQ915" s="962"/>
      <c r="DR915" s="963"/>
      <c r="DS915" s="963"/>
      <c r="DT915" s="963"/>
    </row>
    <row r="916" spans="1:124" ht="5.0999999999999996" customHeight="1" x14ac:dyDescent="0.25">
      <c r="A916" s="281"/>
      <c r="B916" s="281"/>
      <c r="C916" s="305"/>
      <c r="D916" s="305"/>
      <c r="E916" s="305"/>
      <c r="F916" s="305"/>
      <c r="G916" s="440"/>
      <c r="H916" s="305"/>
      <c r="I916" s="305"/>
      <c r="J916" s="305"/>
      <c r="K916" s="305"/>
      <c r="L916" s="440"/>
      <c r="M916" s="305"/>
      <c r="N916" s="305"/>
      <c r="O916" s="305"/>
      <c r="P916" s="305"/>
      <c r="Q916" s="440"/>
      <c r="R916" s="305"/>
      <c r="S916" s="305"/>
      <c r="T916" s="305"/>
      <c r="U916" s="305"/>
      <c r="V916" s="440"/>
      <c r="W916" s="305"/>
      <c r="X916" s="305"/>
      <c r="Y916" s="305"/>
      <c r="Z916" s="305"/>
      <c r="AA916" s="440"/>
      <c r="AB916" s="305"/>
      <c r="AC916" s="305"/>
      <c r="AD916" s="305"/>
      <c r="AE916" s="331"/>
      <c r="AF916" s="441"/>
      <c r="AG916" s="305"/>
      <c r="AH916" s="305"/>
      <c r="AI916" s="305"/>
      <c r="AJ916" s="331"/>
      <c r="AK916" s="441"/>
      <c r="AL916" s="305"/>
      <c r="AM916" s="305"/>
      <c r="AN916" s="305"/>
      <c r="AO916" s="331"/>
      <c r="AP916" s="569"/>
      <c r="AQ916" s="569"/>
      <c r="AR916" s="442"/>
      <c r="AS916" s="442"/>
      <c r="AT916" s="442"/>
      <c r="AU916" s="1690"/>
      <c r="AV916" s="1902"/>
      <c r="AW916" s="1837"/>
      <c r="AX916" s="1837"/>
      <c r="AY916" s="1903"/>
      <c r="AZ916" s="1690"/>
      <c r="BA916" s="1902"/>
      <c r="BB916" s="1837"/>
      <c r="BC916" s="1837"/>
      <c r="BD916" s="1903"/>
      <c r="BE916" s="1903"/>
      <c r="BF916" s="1837"/>
      <c r="BG916" s="1837"/>
      <c r="BH916" s="1837"/>
      <c r="BI916" s="1903"/>
      <c r="BJ916" s="1903"/>
      <c r="BK916" s="1837"/>
      <c r="BL916" s="1837"/>
      <c r="BM916" s="1837"/>
      <c r="BN916" s="1903"/>
      <c r="BO916" s="1903"/>
      <c r="BP916" s="1837"/>
      <c r="BQ916" s="1837"/>
      <c r="BR916" s="1837"/>
      <c r="BS916" s="1837"/>
      <c r="BT916" s="3236"/>
      <c r="BU916" s="1837"/>
      <c r="BV916" s="1837"/>
      <c r="BW916" s="1837"/>
      <c r="BX916" s="1837"/>
      <c r="BY916" s="3236"/>
      <c r="BZ916" s="441"/>
      <c r="CA916" s="441"/>
      <c r="CB916" s="441"/>
      <c r="CC916" s="441"/>
      <c r="CD916" s="441"/>
      <c r="CE916" s="441"/>
      <c r="CF916" s="441"/>
      <c r="CG916" s="331"/>
      <c r="CH916" s="331"/>
      <c r="CI916" s="331"/>
      <c r="CJ916" s="331"/>
      <c r="CK916" s="331"/>
      <c r="CL916" s="520"/>
      <c r="CM916" s="442"/>
      <c r="CN916" s="442"/>
      <c r="CO916" s="442"/>
      <c r="CP916" s="442"/>
      <c r="CQ916" s="442"/>
      <c r="CR916" s="442"/>
      <c r="CS916" s="442"/>
      <c r="CT916" s="442"/>
      <c r="CU916" s="442"/>
      <c r="CV916" s="442"/>
      <c r="CW916" s="442"/>
      <c r="CX916" s="442"/>
      <c r="CY916" s="442"/>
      <c r="CZ916" s="442"/>
      <c r="DA916" s="442"/>
      <c r="DB916" s="442"/>
      <c r="DC916" s="1312"/>
      <c r="DD916" s="331"/>
      <c r="DE916" s="331"/>
      <c r="DF916" s="502"/>
      <c r="DG916" s="503"/>
      <c r="DH916" s="3298"/>
      <c r="DI916" s="3213"/>
      <c r="DJ916" s="502"/>
      <c r="DK916" s="503"/>
      <c r="DL916" s="502"/>
      <c r="DM916" s="502"/>
      <c r="DN916" s="502"/>
      <c r="DO916" s="502"/>
      <c r="DP916" s="503"/>
      <c r="DQ916" s="503"/>
      <c r="DR916" s="296"/>
      <c r="DS916" s="296"/>
      <c r="DT916" s="296"/>
    </row>
    <row r="917" spans="1:124" ht="12" customHeight="1" x14ac:dyDescent="0.25">
      <c r="A917" s="281" t="s">
        <v>730</v>
      </c>
      <c r="B917" s="281"/>
      <c r="C917" s="570">
        <v>38.328000000000003</v>
      </c>
      <c r="D917" s="570">
        <v>36.963000000000001</v>
      </c>
      <c r="E917" s="570">
        <v>35.979999999999997</v>
      </c>
      <c r="F917" s="570">
        <v>35.290999999999997</v>
      </c>
      <c r="G917" s="475">
        <f>SUM(C917:F917)</f>
        <v>146.56199999999998</v>
      </c>
      <c r="H917" s="570">
        <v>39.786999999999999</v>
      </c>
      <c r="I917" s="570">
        <v>38.228999999999999</v>
      </c>
      <c r="J917" s="570">
        <v>35.099090390000001</v>
      </c>
      <c r="K917" s="570">
        <v>36.150378969999998</v>
      </c>
      <c r="L917" s="475">
        <f>SUM(H917:K917)</f>
        <v>149.26546936</v>
      </c>
      <c r="M917" s="570">
        <v>40.360808849999998</v>
      </c>
      <c r="N917" s="570">
        <v>39.799999999999997</v>
      </c>
      <c r="O917" s="570">
        <v>41.10716043</v>
      </c>
      <c r="P917" s="452">
        <v>40.941609630000002</v>
      </c>
      <c r="Q917" s="475">
        <f>SUM(M917:P917)</f>
        <v>162.20957891</v>
      </c>
      <c r="R917" s="570">
        <v>44.585070369999997</v>
      </c>
      <c r="S917" s="570">
        <v>44.84515717</v>
      </c>
      <c r="T917" s="570">
        <v>46.589377740000003</v>
      </c>
      <c r="U917" s="452">
        <v>45.99807792</v>
      </c>
      <c r="V917" s="475">
        <f>SUM(R917:U917)</f>
        <v>182.01768320000002</v>
      </c>
      <c r="W917" s="570">
        <v>48.385600230000001</v>
      </c>
      <c r="X917" s="570">
        <v>47.565882479999999</v>
      </c>
      <c r="Y917" s="570">
        <v>48.03092934</v>
      </c>
      <c r="Z917" s="570">
        <v>48.340629620000001</v>
      </c>
      <c r="AA917" s="475">
        <f>SUM(W917:Z917)</f>
        <v>192.32304167000001</v>
      </c>
      <c r="AB917" s="572">
        <v>51.9</v>
      </c>
      <c r="AC917" s="572">
        <v>50</v>
      </c>
      <c r="AD917" s="572">
        <v>49.7</v>
      </c>
      <c r="AE917" s="572">
        <v>47.4</v>
      </c>
      <c r="AF917" s="477">
        <f>SUM(AB917:AE917)</f>
        <v>199.00000000000003</v>
      </c>
      <c r="AG917" s="572">
        <v>48.7</v>
      </c>
      <c r="AH917" s="572">
        <v>48.2</v>
      </c>
      <c r="AI917" s="572">
        <v>47.612274999999997</v>
      </c>
      <c r="AJ917" s="572">
        <v>47.661872000000002</v>
      </c>
      <c r="AK917" s="477">
        <f>SUM(AG917:AJ917)</f>
        <v>192.174147</v>
      </c>
      <c r="AL917" s="572">
        <v>48.358777000000003</v>
      </c>
      <c r="AM917" s="572">
        <v>49.550364999999999</v>
      </c>
      <c r="AN917" s="572">
        <v>48.604431000000005</v>
      </c>
      <c r="AO917" s="572">
        <v>48.099851000000001</v>
      </c>
      <c r="AP917" s="478">
        <f>SUM(AL917:AO917)</f>
        <v>194.61342400000001</v>
      </c>
      <c r="AQ917" s="592">
        <v>44.575200530000004</v>
      </c>
      <c r="AR917" s="572">
        <v>37.552812320000001</v>
      </c>
      <c r="AS917" s="572">
        <v>38.246229840000005</v>
      </c>
      <c r="AT917" s="572">
        <v>37.03625195</v>
      </c>
      <c r="AU917" s="1464">
        <f>SUM(AQ917:AT917)</f>
        <v>157.41049464000002</v>
      </c>
      <c r="AV917" s="592">
        <v>39.308220489999997</v>
      </c>
      <c r="AW917" s="572">
        <v>38.253989489999995</v>
      </c>
      <c r="AX917" s="572">
        <v>36.506991729999996</v>
      </c>
      <c r="AY917" s="572">
        <v>33.930754629999996</v>
      </c>
      <c r="AZ917" s="1464">
        <f>SUM(AV917:AY917)</f>
        <v>147.99995633999998</v>
      </c>
      <c r="BA917" s="2652">
        <v>36.323285029999994</v>
      </c>
      <c r="BB917" s="2654">
        <v>36.176569579999999</v>
      </c>
      <c r="BC917" s="2654">
        <v>33.935374729999999</v>
      </c>
      <c r="BD917" s="2944">
        <v>34.789132599999995</v>
      </c>
      <c r="BE917" s="1866">
        <f>SUM(BA917:BD917)</f>
        <v>141.22436193999999</v>
      </c>
      <c r="BF917" s="2941">
        <v>36.199310610000005</v>
      </c>
      <c r="BG917" s="2941">
        <v>36.868489449999998</v>
      </c>
      <c r="BH917" s="2941">
        <v>36.562847809999994</v>
      </c>
      <c r="BI917" s="2944">
        <v>36.729385779999994</v>
      </c>
      <c r="BJ917" s="1866">
        <f>SUM(BF917:BI917)</f>
        <v>146.36003364999999</v>
      </c>
      <c r="BK917" s="2941">
        <v>38.922493559999999</v>
      </c>
      <c r="BL917" s="2941">
        <v>38.1</v>
      </c>
      <c r="BM917" s="2941">
        <v>38.799999999999997</v>
      </c>
      <c r="BN917" s="2944">
        <v>37.624375999999998</v>
      </c>
      <c r="BO917" s="1866">
        <f>SUM(BK917:BN917)</f>
        <v>153.44686955999998</v>
      </c>
      <c r="BP917" s="2941">
        <v>39.513320550000003</v>
      </c>
      <c r="BQ917" s="2941">
        <v>39.680358779999999</v>
      </c>
      <c r="BR917" s="2941">
        <v>40.721120170000006</v>
      </c>
      <c r="BS917" s="2941">
        <v>41.786304520000002</v>
      </c>
      <c r="BT917" s="2604">
        <f>SUM(BP917:BS917)</f>
        <v>161.70110402</v>
      </c>
      <c r="BU917" s="2941">
        <v>41.846768900000001</v>
      </c>
      <c r="BV917" s="1771">
        <f>+BQ917*(1+BV918)</f>
        <v>40.870769543400002</v>
      </c>
      <c r="BW917" s="1771">
        <f>+BR917*(1+BW918)</f>
        <v>41.535542573400008</v>
      </c>
      <c r="BX917" s="1771">
        <f>+BS917*(1+BX918)</f>
        <v>42.622030610400003</v>
      </c>
      <c r="BY917" s="2604">
        <f>SUM(BU917:BX917)</f>
        <v>166.8751116272</v>
      </c>
      <c r="BZ917" s="477">
        <f t="shared" ref="BZ917:CF917" si="2222">BY917*(1+BZ918)</f>
        <v>168.543862743472</v>
      </c>
      <c r="CA917" s="477">
        <f t="shared" si="2222"/>
        <v>168.543862743472</v>
      </c>
      <c r="CB917" s="477">
        <f t="shared" si="2222"/>
        <v>160.11666960629839</v>
      </c>
      <c r="CC917" s="477">
        <f t="shared" si="2222"/>
        <v>152.11083612598347</v>
      </c>
      <c r="CD917" s="477">
        <f t="shared" si="2222"/>
        <v>155.15305284850314</v>
      </c>
      <c r="CE917" s="477">
        <f t="shared" si="2222"/>
        <v>158.2561139054732</v>
      </c>
      <c r="CF917" s="477">
        <f t="shared" si="2222"/>
        <v>161.42123618358266</v>
      </c>
      <c r="CG917" s="331"/>
      <c r="CH917" s="331"/>
      <c r="CI917" s="331"/>
      <c r="CJ917" s="331"/>
      <c r="CK917" s="331"/>
      <c r="CL917" s="520" t="str">
        <f>A917</f>
        <v>Casino revenue</v>
      </c>
      <c r="CM917" s="476">
        <f>G917</f>
        <v>146.56199999999998</v>
      </c>
      <c r="CN917" s="476">
        <f>L917</f>
        <v>149.26546936</v>
      </c>
      <c r="CO917" s="476">
        <f>Q917</f>
        <v>162.20957891</v>
      </c>
      <c r="CP917" s="476">
        <f>V917</f>
        <v>182.01768320000002</v>
      </c>
      <c r="CQ917" s="476">
        <f>AA917</f>
        <v>192.32304167000001</v>
      </c>
      <c r="CR917" s="476">
        <f>AF917</f>
        <v>199.00000000000003</v>
      </c>
      <c r="CS917" s="476">
        <f>AK917</f>
        <v>192.174147</v>
      </c>
      <c r="CT917" s="476">
        <f>AP917</f>
        <v>194.61342400000001</v>
      </c>
      <c r="CU917" s="476">
        <f>AU917</f>
        <v>157.41049464000002</v>
      </c>
      <c r="CV917" s="476">
        <f>AZ917</f>
        <v>147.99995633999998</v>
      </c>
      <c r="CW917" s="476">
        <f>BE917</f>
        <v>141.22436193999999</v>
      </c>
      <c r="CX917" s="476">
        <f>BJ917</f>
        <v>146.36003364999999</v>
      </c>
      <c r="CY917" s="476">
        <f>BO917</f>
        <v>153.44686955999998</v>
      </c>
      <c r="CZ917" s="476">
        <f>BT917</f>
        <v>161.70110402</v>
      </c>
      <c r="DA917" s="476">
        <f t="shared" ref="DA917:DC921" si="2223">BY917</f>
        <v>166.8751116272</v>
      </c>
      <c r="DB917" s="476">
        <f t="shared" si="2223"/>
        <v>168.543862743472</v>
      </c>
      <c r="DC917" s="682">
        <f t="shared" si="2223"/>
        <v>168.543862743472</v>
      </c>
      <c r="DD917" s="331"/>
      <c r="DE917" s="331"/>
      <c r="DF917" s="502"/>
      <c r="DG917" s="503"/>
      <c r="DH917" s="2577"/>
      <c r="DI917" s="3213"/>
      <c r="DJ917" s="502"/>
      <c r="DK917" s="503"/>
      <c r="DL917" s="502"/>
      <c r="DM917" s="502"/>
      <c r="DN917" s="502"/>
      <c r="DO917" s="502"/>
      <c r="DP917" s="503"/>
      <c r="DQ917" s="503"/>
      <c r="DR917" s="296"/>
      <c r="DS917" s="296"/>
      <c r="DT917" s="296"/>
    </row>
    <row r="918" spans="1:124" ht="12" customHeight="1" x14ac:dyDescent="0.25">
      <c r="A918" s="465" t="s">
        <v>1491</v>
      </c>
      <c r="B918" s="466"/>
      <c r="C918" s="467" t="s">
        <v>553</v>
      </c>
      <c r="D918" s="467" t="s">
        <v>553</v>
      </c>
      <c r="E918" s="467" t="s">
        <v>553</v>
      </c>
      <c r="F918" s="467" t="s">
        <v>553</v>
      </c>
      <c r="G918" s="468" t="s">
        <v>553</v>
      </c>
      <c r="H918" s="467">
        <f t="shared" ref="H918:BU918" si="2224">(H917-C917)/C917</f>
        <v>3.8066165727405447E-2</v>
      </c>
      <c r="I918" s="467">
        <f t="shared" si="2224"/>
        <v>3.4250466682899064E-2</v>
      </c>
      <c r="J918" s="467">
        <f t="shared" si="2224"/>
        <v>-2.4483313229571882E-2</v>
      </c>
      <c r="K918" s="467">
        <f t="shared" si="2224"/>
        <v>2.4351221841262694E-2</v>
      </c>
      <c r="L918" s="468">
        <f t="shared" si="2224"/>
        <v>1.8445909308006266E-2</v>
      </c>
      <c r="M918" s="467">
        <f t="shared" si="2224"/>
        <v>1.442201849850451E-2</v>
      </c>
      <c r="N918" s="467">
        <f t="shared" si="2224"/>
        <v>4.109445708755128E-2</v>
      </c>
      <c r="O918" s="467">
        <f t="shared" si="2224"/>
        <v>0.17117452256573989</v>
      </c>
      <c r="P918" s="467">
        <f t="shared" si="2224"/>
        <v>0.13253611155711775</v>
      </c>
      <c r="Q918" s="468">
        <f t="shared" si="2224"/>
        <v>8.671871401671119E-2</v>
      </c>
      <c r="R918" s="467">
        <f t="shared" si="2224"/>
        <v>0.10466245945910965</v>
      </c>
      <c r="S918" s="467">
        <f t="shared" si="2224"/>
        <v>0.1267627429648242</v>
      </c>
      <c r="T918" s="467">
        <f t="shared" si="2224"/>
        <v>0.13336404783627626</v>
      </c>
      <c r="U918" s="467">
        <f t="shared" si="2224"/>
        <v>0.1235043843096698</v>
      </c>
      <c r="V918" s="468">
        <f t="shared" si="2224"/>
        <v>0.12211426984216697</v>
      </c>
      <c r="W918" s="467">
        <f t="shared" si="2224"/>
        <v>8.5242208399816083E-2</v>
      </c>
      <c r="X918" s="467">
        <f t="shared" si="2224"/>
        <v>6.0669322658101384E-2</v>
      </c>
      <c r="Y918" s="467">
        <f t="shared" si="2224"/>
        <v>3.0941636697635722E-2</v>
      </c>
      <c r="Z918" s="467">
        <f t="shared" si="2224"/>
        <v>5.0927164914894366E-2</v>
      </c>
      <c r="AA918" s="468">
        <f t="shared" si="2224"/>
        <v>5.6617347769867592E-2</v>
      </c>
      <c r="AB918" s="467">
        <f t="shared" si="2224"/>
        <v>7.2633175020964225E-2</v>
      </c>
      <c r="AC918" s="467">
        <f t="shared" si="2224"/>
        <v>5.1173601604542353E-2</v>
      </c>
      <c r="AD918" s="467">
        <f t="shared" si="2224"/>
        <v>3.4749913918696682E-2</v>
      </c>
      <c r="AE918" s="469">
        <f t="shared" si="2224"/>
        <v>-1.9458365093590661E-2</v>
      </c>
      <c r="AF918" s="470">
        <f t="shared" si="2224"/>
        <v>3.471741228727427E-2</v>
      </c>
      <c r="AG918" s="467">
        <f t="shared" si="2224"/>
        <v>-6.1657032755298574E-2</v>
      </c>
      <c r="AH918" s="467">
        <f t="shared" si="2224"/>
        <v>-3.5999999999999942E-2</v>
      </c>
      <c r="AI918" s="467">
        <f t="shared" si="2224"/>
        <v>-4.2006539235412595E-2</v>
      </c>
      <c r="AJ918" s="467">
        <f t="shared" si="2224"/>
        <v>5.5247257383967061E-3</v>
      </c>
      <c r="AK918" s="470">
        <f>(AK917-AF917)/AF917</f>
        <v>-3.4300768844221216E-2</v>
      </c>
      <c r="AL918" s="467">
        <f t="shared" si="2224"/>
        <v>-7.0066324435318142E-3</v>
      </c>
      <c r="AM918" s="467">
        <f t="shared" si="2224"/>
        <v>2.801587136929453E-2</v>
      </c>
      <c r="AN918" s="467">
        <f t="shared" si="2224"/>
        <v>2.0838239718644163E-2</v>
      </c>
      <c r="AO918" s="467">
        <f t="shared" si="2224"/>
        <v>9.1892949567738032E-3</v>
      </c>
      <c r="AP918" s="471">
        <f>(AP917-AK917)/AK917</f>
        <v>1.2693054909201725E-2</v>
      </c>
      <c r="AQ918" s="1730">
        <f t="shared" si="2224"/>
        <v>-7.8239705483039809E-2</v>
      </c>
      <c r="AR918" s="467">
        <f t="shared" si="2224"/>
        <v>-0.24212844204073972</v>
      </c>
      <c r="AS918" s="467">
        <f t="shared" si="2224"/>
        <v>-0.21311228105931326</v>
      </c>
      <c r="AT918" s="467">
        <f t="shared" si="2224"/>
        <v>-0.23001316677675365</v>
      </c>
      <c r="AU918" s="1689">
        <f>(AU917-AP917)/AP917</f>
        <v>-0.1911632229439629</v>
      </c>
      <c r="AV918" s="467">
        <f t="shared" si="2224"/>
        <v>-0.11815942446417541</v>
      </c>
      <c r="AW918" s="467">
        <f t="shared" si="2224"/>
        <v>1.8671761891626924E-2</v>
      </c>
      <c r="AX918" s="467">
        <f t="shared" si="2224"/>
        <v>-4.5474759663265391E-2</v>
      </c>
      <c r="AY918" s="467">
        <f t="shared" si="2224"/>
        <v>-8.385020504214398E-2</v>
      </c>
      <c r="AZ918" s="1689">
        <f>(AZ917-AU917)/AU917</f>
        <v>-5.9783423726112242E-2</v>
      </c>
      <c r="BA918" s="471">
        <f t="shared" si="2224"/>
        <v>-7.5936672349728215E-2</v>
      </c>
      <c r="BB918" s="469">
        <f t="shared" si="2224"/>
        <v>-5.4305967500280099E-2</v>
      </c>
      <c r="BC918" s="469">
        <f t="shared" si="2224"/>
        <v>-7.044176685439528E-2</v>
      </c>
      <c r="BD918" s="1463">
        <f t="shared" si="2224"/>
        <v>2.5297933375200015E-2</v>
      </c>
      <c r="BE918" s="1868">
        <f>(BE917-AZ917)/AZ917</f>
        <v>-4.5781056748654909E-2</v>
      </c>
      <c r="BF918" s="469">
        <f t="shared" si="2224"/>
        <v>-3.413083918417526E-3</v>
      </c>
      <c r="BG918" s="469">
        <f t="shared" si="2224"/>
        <v>1.9126187972850896E-2</v>
      </c>
      <c r="BH918" s="469">
        <f t="shared" si="2224"/>
        <v>7.7425786540003066E-2</v>
      </c>
      <c r="BI918" s="1463">
        <f t="shared" si="2224"/>
        <v>5.5771818237284804E-2</v>
      </c>
      <c r="BJ918" s="1868">
        <f>(BJ917-BE917)/BE917</f>
        <v>3.6365338383910824E-2</v>
      </c>
      <c r="BK918" s="469">
        <f t="shared" si="2224"/>
        <v>7.522748096887015E-2</v>
      </c>
      <c r="BL918" s="469">
        <f t="shared" si="2224"/>
        <v>3.3402793777872093E-2</v>
      </c>
      <c r="BM918" s="469">
        <f t="shared" si="2224"/>
        <v>6.1186486392565374E-2</v>
      </c>
      <c r="BN918" s="1463">
        <f t="shared" si="2224"/>
        <v>2.4367143664225033E-2</v>
      </c>
      <c r="BO918" s="1868">
        <f>(BO917-BJ917)/BJ917</f>
        <v>4.8420567645858774E-2</v>
      </c>
      <c r="BP918" s="469">
        <f t="shared" si="2224"/>
        <v>1.5179577050715648E-2</v>
      </c>
      <c r="BQ918" s="469">
        <f t="shared" si="2224"/>
        <v>4.1479233070866074E-2</v>
      </c>
      <c r="BR918" s="469">
        <f t="shared" si="2224"/>
        <v>4.9513406443299199E-2</v>
      </c>
      <c r="BS918" s="469">
        <f t="shared" si="2224"/>
        <v>0.11061787496488988</v>
      </c>
      <c r="BT918" s="470">
        <f>(BT917-BO917)/BO917</f>
        <v>5.3792133288014021E-2</v>
      </c>
      <c r="BU918" s="469">
        <f t="shared" si="2224"/>
        <v>5.9054726798960393E-2</v>
      </c>
      <c r="BV918" s="540">
        <v>0.03</v>
      </c>
      <c r="BW918" s="540">
        <v>0.02</v>
      </c>
      <c r="BX918" s="540">
        <v>0.02</v>
      </c>
      <c r="BY918" s="470">
        <f>(BY917-BT917)/BT917</f>
        <v>3.1997354863823622E-2</v>
      </c>
      <c r="BZ918" s="2561">
        <v>0.01</v>
      </c>
      <c r="CA918" s="566">
        <v>0</v>
      </c>
      <c r="CB918" s="566">
        <v>-0.05</v>
      </c>
      <c r="CC918" s="566">
        <v>-0.05</v>
      </c>
      <c r="CD918" s="566">
        <v>0.02</v>
      </c>
      <c r="CE918" s="566">
        <v>0.02</v>
      </c>
      <c r="CF918" s="566">
        <v>0.02</v>
      </c>
      <c r="CG918" s="492"/>
      <c r="CH918" s="492"/>
      <c r="CI918" s="492"/>
      <c r="CJ918" s="492"/>
      <c r="CK918" s="492"/>
      <c r="CL918" s="1310" t="str">
        <f>A918</f>
        <v>% growth (y-o-y)</v>
      </c>
      <c r="CM918" s="469" t="str">
        <f>G918</f>
        <v xml:space="preserve">n/a </v>
      </c>
      <c r="CN918" s="469">
        <f>L918</f>
        <v>1.8445909308006266E-2</v>
      </c>
      <c r="CO918" s="469">
        <f>Q918</f>
        <v>8.671871401671119E-2</v>
      </c>
      <c r="CP918" s="469">
        <f>V918</f>
        <v>0.12211426984216697</v>
      </c>
      <c r="CQ918" s="469">
        <f>AA918</f>
        <v>5.6617347769867592E-2</v>
      </c>
      <c r="CR918" s="469">
        <f>AF918</f>
        <v>3.471741228727427E-2</v>
      </c>
      <c r="CS918" s="469">
        <f>AK918</f>
        <v>-3.4300768844221216E-2</v>
      </c>
      <c r="CT918" s="469">
        <f>AP918</f>
        <v>1.2693054909201725E-2</v>
      </c>
      <c r="CU918" s="469">
        <f>AU918</f>
        <v>-0.1911632229439629</v>
      </c>
      <c r="CV918" s="469">
        <f>AZ918</f>
        <v>-5.9783423726112242E-2</v>
      </c>
      <c r="CW918" s="469">
        <f>BE918</f>
        <v>-4.5781056748654909E-2</v>
      </c>
      <c r="CX918" s="469">
        <f>BJ918</f>
        <v>3.6365338383910824E-2</v>
      </c>
      <c r="CY918" s="469">
        <f>BO918</f>
        <v>4.8420567645858774E-2</v>
      </c>
      <c r="CZ918" s="469">
        <f>BT918</f>
        <v>5.3792133288014021E-2</v>
      </c>
      <c r="DA918" s="469">
        <f t="shared" si="2223"/>
        <v>3.1997354863823622E-2</v>
      </c>
      <c r="DB918" s="469">
        <f t="shared" si="2223"/>
        <v>0.01</v>
      </c>
      <c r="DC918" s="1463">
        <f t="shared" si="2223"/>
        <v>0</v>
      </c>
      <c r="DD918" s="492"/>
      <c r="DE918" s="492"/>
      <c r="DF918" s="962"/>
      <c r="DG918" s="962"/>
      <c r="DH918" s="469"/>
      <c r="DI918" s="3213"/>
      <c r="DJ918" s="962"/>
      <c r="DK918" s="962"/>
      <c r="DL918" s="962"/>
      <c r="DM918" s="962"/>
      <c r="DN918" s="962"/>
      <c r="DO918" s="962"/>
      <c r="DP918" s="962"/>
      <c r="DQ918" s="962"/>
      <c r="DR918" s="963"/>
      <c r="DS918" s="963"/>
      <c r="DT918" s="963"/>
    </row>
    <row r="919" spans="1:124" ht="12" customHeight="1" x14ac:dyDescent="0.25">
      <c r="A919" s="281" t="s">
        <v>645</v>
      </c>
      <c r="B919" s="281"/>
      <c r="C919" s="452">
        <f t="shared" ref="C919:AP919" si="2225">C920-C917</f>
        <v>-0.39800000000000324</v>
      </c>
      <c r="D919" s="452">
        <f t="shared" si="2225"/>
        <v>-1.1370000000000005</v>
      </c>
      <c r="E919" s="452">
        <f t="shared" si="2225"/>
        <v>-1.1329999999999956</v>
      </c>
      <c r="F919" s="452">
        <f t="shared" si="2225"/>
        <v>-0.48799999999999955</v>
      </c>
      <c r="G919" s="475">
        <f t="shared" si="2225"/>
        <v>-3.1559999999999775</v>
      </c>
      <c r="H919" s="452">
        <f t="shared" si="2225"/>
        <v>-2.695999999999998</v>
      </c>
      <c r="I919" s="452">
        <f t="shared" si="2225"/>
        <v>-2.5679999999999978</v>
      </c>
      <c r="J919" s="452">
        <f t="shared" si="2225"/>
        <v>-1.500090390000004</v>
      </c>
      <c r="K919" s="452">
        <f t="shared" si="2225"/>
        <v>1.2226210299999991</v>
      </c>
      <c r="L919" s="475">
        <f t="shared" si="2225"/>
        <v>-5.5414693600000078</v>
      </c>
      <c r="M919" s="452">
        <f t="shared" si="2225"/>
        <v>-1.3658088500000005</v>
      </c>
      <c r="N919" s="452">
        <f t="shared" si="2225"/>
        <v>-2.1929999999999978</v>
      </c>
      <c r="O919" s="452">
        <f t="shared" si="2225"/>
        <v>-3.1081604299999981</v>
      </c>
      <c r="P919" s="452">
        <f t="shared" si="2225"/>
        <v>-2.1016096299999987</v>
      </c>
      <c r="Q919" s="475">
        <f t="shared" si="2225"/>
        <v>-8.7685789100000022</v>
      </c>
      <c r="R919" s="452">
        <f t="shared" si="2225"/>
        <v>-2.8700703699999934</v>
      </c>
      <c r="S919" s="452">
        <f t="shared" si="2225"/>
        <v>-1.7281571700000029</v>
      </c>
      <c r="T919" s="452">
        <f t="shared" si="2225"/>
        <v>-1.590377740000001</v>
      </c>
      <c r="U919" s="452">
        <f t="shared" si="2225"/>
        <v>-1.4030779200000012</v>
      </c>
      <c r="V919" s="475">
        <f t="shared" si="2225"/>
        <v>-7.591683200000034</v>
      </c>
      <c r="W919" s="452">
        <f t="shared" si="2225"/>
        <v>-1.5846002299999995</v>
      </c>
      <c r="X919" s="452">
        <f t="shared" si="2225"/>
        <v>-1.4198824799999983</v>
      </c>
      <c r="Y919" s="452">
        <f t="shared" si="2225"/>
        <v>-1.5659293399999967</v>
      </c>
      <c r="Z919" s="452">
        <f t="shared" si="2225"/>
        <v>-1.6206296200000025</v>
      </c>
      <c r="AA919" s="475">
        <f t="shared" si="2225"/>
        <v>-6.1910416700000042</v>
      </c>
      <c r="AB919" s="452">
        <f t="shared" si="2225"/>
        <v>-1.6049999999999969</v>
      </c>
      <c r="AC919" s="452">
        <f t="shared" si="2225"/>
        <v>-1.5300000000000011</v>
      </c>
      <c r="AD919" s="452">
        <f>AD920-AD917</f>
        <v>-1.1610000000000014</v>
      </c>
      <c r="AE919" s="452">
        <f>AE920-AE917</f>
        <v>-0.91899999999999693</v>
      </c>
      <c r="AF919" s="477">
        <f>SUM(AB919:AE919)</f>
        <v>-5.2149999999999963</v>
      </c>
      <c r="AG919" s="452">
        <f>AG920-AG917</f>
        <v>1.8999999999998352E-2</v>
      </c>
      <c r="AH919" s="452">
        <f>AH920-AH917</f>
        <v>-0.71700000000000585</v>
      </c>
      <c r="AI919" s="452">
        <f>AI920-AI917</f>
        <v>-1.4202749999999966</v>
      </c>
      <c r="AJ919" s="452">
        <f>AJ920-AJ917</f>
        <v>-0.35387200000000263</v>
      </c>
      <c r="AK919" s="477">
        <f t="shared" si="2225"/>
        <v>-2.4721470000000068</v>
      </c>
      <c r="AL919" s="452">
        <f>AL920-AL917</f>
        <v>-0.16877700000000573</v>
      </c>
      <c r="AM919" s="452">
        <f>AM920-AM917</f>
        <v>0.11963500000000238</v>
      </c>
      <c r="AN919" s="452">
        <f>AM919</f>
        <v>0.11963500000000238</v>
      </c>
      <c r="AO919" s="476">
        <f>AN919</f>
        <v>0.11963500000000238</v>
      </c>
      <c r="AP919" s="478">
        <f t="shared" si="2225"/>
        <v>0.19012800000001562</v>
      </c>
      <c r="AQ919" s="478">
        <f>+AL919</f>
        <v>-0.16877700000000573</v>
      </c>
      <c r="AR919" s="476">
        <f>+AM919</f>
        <v>0.11963500000000238</v>
      </c>
      <c r="AS919" s="476">
        <f>+AN919</f>
        <v>0.11963500000000238</v>
      </c>
      <c r="AT919" s="476">
        <f>+AO919</f>
        <v>0.11963500000000238</v>
      </c>
      <c r="AU919" s="1464">
        <f>AU920-AU917</f>
        <v>0.1901279999999872</v>
      </c>
      <c r="AV919" s="592">
        <v>-1</v>
      </c>
      <c r="AW919" s="1771">
        <f>AV919</f>
        <v>-1</v>
      </c>
      <c r="AX919" s="1771">
        <f>AW919</f>
        <v>-1</v>
      </c>
      <c r="AY919" s="1866">
        <f>AX919</f>
        <v>-1</v>
      </c>
      <c r="AZ919" s="1464">
        <f>AZ920-AZ917</f>
        <v>-4</v>
      </c>
      <c r="BA919" s="2973">
        <v>-1.5</v>
      </c>
      <c r="BB919" s="2941">
        <v>-1.5</v>
      </c>
      <c r="BC919" s="2941">
        <v>-1.5</v>
      </c>
      <c r="BD919" s="2944">
        <v>-1.5</v>
      </c>
      <c r="BE919" s="1866">
        <f>BE920-BE917</f>
        <v>-6</v>
      </c>
      <c r="BF919" s="1771">
        <f>+BA919</f>
        <v>-1.5</v>
      </c>
      <c r="BG919" s="1771">
        <f>+BB919</f>
        <v>-1.5</v>
      </c>
      <c r="BH919" s="1771">
        <f>+BC919</f>
        <v>-1.5</v>
      </c>
      <c r="BI919" s="2944">
        <v>-0.5</v>
      </c>
      <c r="BJ919" s="1866">
        <f>BJ920-BJ917</f>
        <v>-5</v>
      </c>
      <c r="BK919" s="2941">
        <v>-0.5</v>
      </c>
      <c r="BL919" s="2941">
        <v>-1.5</v>
      </c>
      <c r="BM919" s="2941">
        <v>-1.5</v>
      </c>
      <c r="BN919" s="2941">
        <v>-0.5</v>
      </c>
      <c r="BO919" s="2916">
        <f>BO920-BO917</f>
        <v>-4</v>
      </c>
      <c r="BP919" s="2941">
        <v>-1</v>
      </c>
      <c r="BQ919" s="2941">
        <v>-1.5</v>
      </c>
      <c r="BR919" s="2941">
        <v>-2</v>
      </c>
      <c r="BS919" s="2941">
        <v>-1</v>
      </c>
      <c r="BT919" s="3457">
        <f>SUM(BP919:BS919)</f>
        <v>-5.5</v>
      </c>
      <c r="BU919" s="3446">
        <f>BS919</f>
        <v>-1</v>
      </c>
      <c r="BV919" s="3446">
        <f>+BU919</f>
        <v>-1</v>
      </c>
      <c r="BW919" s="3446">
        <f>+BV919</f>
        <v>-1</v>
      </c>
      <c r="BX919" s="3446">
        <f>+BW919</f>
        <v>-1</v>
      </c>
      <c r="BY919" s="2604">
        <f>SUM(BU919:BX919)</f>
        <v>-4</v>
      </c>
      <c r="BZ919" s="2966">
        <f>+BY919</f>
        <v>-4</v>
      </c>
      <c r="CA919" s="2966">
        <f>+BZ919</f>
        <v>-4</v>
      </c>
      <c r="CB919" s="573">
        <f>CA919+0.1</f>
        <v>-3.9</v>
      </c>
      <c r="CC919" s="573">
        <f>CB919+0.1</f>
        <v>-3.8</v>
      </c>
      <c r="CD919" s="573">
        <f>CC919+0.1</f>
        <v>-3.6999999999999997</v>
      </c>
      <c r="CE919" s="573">
        <f>CD919+0.1</f>
        <v>-3.5999999999999996</v>
      </c>
      <c r="CF919" s="573">
        <f>CE919+0.1</f>
        <v>-3.4999999999999996</v>
      </c>
      <c r="CG919" s="331"/>
      <c r="CH919" s="331"/>
      <c r="CI919" s="331"/>
      <c r="CJ919" s="331"/>
      <c r="CK919" s="331"/>
      <c r="CL919" s="520" t="str">
        <f>A919</f>
        <v>Other revenue</v>
      </c>
      <c r="CM919" s="476">
        <f>G919</f>
        <v>-3.1559999999999775</v>
      </c>
      <c r="CN919" s="476">
        <f>L919</f>
        <v>-5.5414693600000078</v>
      </c>
      <c r="CO919" s="476">
        <f>Q919</f>
        <v>-8.7685789100000022</v>
      </c>
      <c r="CP919" s="476">
        <f>V919</f>
        <v>-7.591683200000034</v>
      </c>
      <c r="CQ919" s="476">
        <f>AA919</f>
        <v>-6.1910416700000042</v>
      </c>
      <c r="CR919" s="476">
        <f>AF919</f>
        <v>-5.2149999999999963</v>
      </c>
      <c r="CS919" s="476">
        <f>AK919</f>
        <v>-2.4721470000000068</v>
      </c>
      <c r="CT919" s="476">
        <f>AP919</f>
        <v>0.19012800000001562</v>
      </c>
      <c r="CU919" s="476">
        <f>AU919</f>
        <v>0.1901279999999872</v>
      </c>
      <c r="CV919" s="476">
        <f>AZ919</f>
        <v>-4</v>
      </c>
      <c r="CW919" s="476">
        <f>BE919</f>
        <v>-6</v>
      </c>
      <c r="CX919" s="476">
        <f>BJ919</f>
        <v>-5</v>
      </c>
      <c r="CY919" s="476">
        <f>BO919</f>
        <v>-4</v>
      </c>
      <c r="CZ919" s="476">
        <f>BT919</f>
        <v>-5.5</v>
      </c>
      <c r="DA919" s="476">
        <f t="shared" si="2223"/>
        <v>-4</v>
      </c>
      <c r="DB919" s="476">
        <f t="shared" si="2223"/>
        <v>-4</v>
      </c>
      <c r="DC919" s="682">
        <f t="shared" si="2223"/>
        <v>-4</v>
      </c>
      <c r="DD919" s="331"/>
      <c r="DE919" s="331"/>
      <c r="DF919" s="502"/>
      <c r="DG919" s="503"/>
      <c r="DH919" s="2577"/>
      <c r="DI919" s="3213"/>
      <c r="DJ919" s="502"/>
      <c r="DK919" s="503"/>
      <c r="DL919" s="502"/>
      <c r="DM919" s="502"/>
      <c r="DN919" s="502"/>
      <c r="DO919" s="502"/>
      <c r="DP919" s="503"/>
      <c r="DQ919" s="503"/>
      <c r="DR919" s="296"/>
      <c r="DS919" s="296"/>
      <c r="DT919" s="296"/>
    </row>
    <row r="920" spans="1:124" ht="12" customHeight="1" x14ac:dyDescent="0.25">
      <c r="A920" s="496" t="s">
        <v>1418</v>
      </c>
      <c r="B920" s="1007"/>
      <c r="C920" s="1008">
        <v>37.93</v>
      </c>
      <c r="D920" s="1008">
        <v>35.826000000000001</v>
      </c>
      <c r="E920" s="1008">
        <v>34.847000000000001</v>
      </c>
      <c r="F920" s="1008">
        <v>34.802999999999997</v>
      </c>
      <c r="G920" s="1009">
        <f>SUM(C920:F920)</f>
        <v>143.40600000000001</v>
      </c>
      <c r="H920" s="1008">
        <v>37.091000000000001</v>
      </c>
      <c r="I920" s="1008">
        <v>35.661000000000001</v>
      </c>
      <c r="J920" s="1008">
        <v>33.598999999999997</v>
      </c>
      <c r="K920" s="1008">
        <v>37.372999999999998</v>
      </c>
      <c r="L920" s="1009">
        <f>SUM(H920:K920)</f>
        <v>143.72399999999999</v>
      </c>
      <c r="M920" s="1008">
        <v>38.994999999999997</v>
      </c>
      <c r="N920" s="1008">
        <v>37.606999999999999</v>
      </c>
      <c r="O920" s="1008">
        <v>37.999000000000002</v>
      </c>
      <c r="P920" s="1008">
        <v>38.840000000000003</v>
      </c>
      <c r="Q920" s="1009">
        <f>SUM(M920:P920)</f>
        <v>153.441</v>
      </c>
      <c r="R920" s="1008">
        <v>41.715000000000003</v>
      </c>
      <c r="S920" s="1008">
        <v>43.116999999999997</v>
      </c>
      <c r="T920" s="1008">
        <v>44.999000000000002</v>
      </c>
      <c r="U920" s="1008">
        <v>44.594999999999999</v>
      </c>
      <c r="V920" s="1009">
        <f>SUM(R920:U920)</f>
        <v>174.42599999999999</v>
      </c>
      <c r="W920" s="1008">
        <v>46.801000000000002</v>
      </c>
      <c r="X920" s="1008">
        <v>46.146000000000001</v>
      </c>
      <c r="Y920" s="1008">
        <v>46.465000000000003</v>
      </c>
      <c r="Z920" s="1008">
        <v>46.72</v>
      </c>
      <c r="AA920" s="1009">
        <f>SUM(W920:Z920)</f>
        <v>186.13200000000001</v>
      </c>
      <c r="AB920" s="1008">
        <v>50.295000000000002</v>
      </c>
      <c r="AC920" s="1008">
        <v>48.47</v>
      </c>
      <c r="AD920" s="1008">
        <v>48.539000000000001</v>
      </c>
      <c r="AE920" s="1010">
        <v>46.481000000000002</v>
      </c>
      <c r="AF920" s="1011">
        <f>SUM(AB920:AE920)</f>
        <v>193.785</v>
      </c>
      <c r="AG920" s="1010">
        <v>48.719000000000001</v>
      </c>
      <c r="AH920" s="1010">
        <v>47.482999999999997</v>
      </c>
      <c r="AI920" s="1010">
        <v>46.192</v>
      </c>
      <c r="AJ920" s="1010">
        <v>47.308</v>
      </c>
      <c r="AK920" s="1011">
        <f>SUM(AG920:AJ920)</f>
        <v>189.702</v>
      </c>
      <c r="AL920" s="1010">
        <v>48.19</v>
      </c>
      <c r="AM920" s="1010">
        <v>49.67</v>
      </c>
      <c r="AN920" s="1593">
        <f>AN917+AN919</f>
        <v>48.724066000000008</v>
      </c>
      <c r="AO920" s="1012">
        <f>AO917+AO919</f>
        <v>48.219486000000003</v>
      </c>
      <c r="AP920" s="1013">
        <f>SUM(AL920:AO920)</f>
        <v>194.80355200000002</v>
      </c>
      <c r="AQ920" s="1013">
        <f>AQ917+AQ919</f>
        <v>44.406423529999998</v>
      </c>
      <c r="AR920" s="1012">
        <f>AR917+AR919</f>
        <v>37.672447320000003</v>
      </c>
      <c r="AS920" s="1012">
        <f>AS917+AS919</f>
        <v>38.365864840000008</v>
      </c>
      <c r="AT920" s="1012">
        <f>AT917+AT919</f>
        <v>37.155886950000003</v>
      </c>
      <c r="AU920" s="1691">
        <f>SUM(AQ920:AT920)</f>
        <v>157.60062264000001</v>
      </c>
      <c r="AV920" s="1904">
        <f>AV917+AV919</f>
        <v>38.308220489999997</v>
      </c>
      <c r="AW920" s="1838">
        <f>AW917+AW919</f>
        <v>37.253989489999995</v>
      </c>
      <c r="AX920" s="1838">
        <f>AX917+AX919</f>
        <v>35.506991729999996</v>
      </c>
      <c r="AY920" s="1905">
        <f>AY917+AY919</f>
        <v>32.930754629999996</v>
      </c>
      <c r="AZ920" s="1691">
        <f>SUM(AV920:AY920)</f>
        <v>143.99995633999998</v>
      </c>
      <c r="BA920" s="1904">
        <f>BA917+BA919</f>
        <v>34.823285029999994</v>
      </c>
      <c r="BB920" s="1838">
        <f>BB917+BB919</f>
        <v>34.676569579999999</v>
      </c>
      <c r="BC920" s="1838">
        <f>BC917+BC919</f>
        <v>32.435374729999999</v>
      </c>
      <c r="BD920" s="1905">
        <f>BD917+BD919</f>
        <v>33.289132599999995</v>
      </c>
      <c r="BE920" s="1905">
        <f>SUM(BA920:BD920)</f>
        <v>135.22436193999999</v>
      </c>
      <c r="BF920" s="1838">
        <f>BF917+BF919</f>
        <v>34.699310610000005</v>
      </c>
      <c r="BG920" s="1838">
        <f>BG917+BG919</f>
        <v>35.368489449999998</v>
      </c>
      <c r="BH920" s="1838">
        <f>BH917+BH919</f>
        <v>35.062847809999994</v>
      </c>
      <c r="BI920" s="1905">
        <f>BI917+BI919</f>
        <v>36.229385779999994</v>
      </c>
      <c r="BJ920" s="1905">
        <f>SUM(BF920:BI920)</f>
        <v>141.36003364999999</v>
      </c>
      <c r="BK920" s="1838">
        <f>BK917+BK919</f>
        <v>38.422493559999999</v>
      </c>
      <c r="BL920" s="1838">
        <f>BL917+BL919</f>
        <v>36.6</v>
      </c>
      <c r="BM920" s="1838">
        <f>BM917+BM919</f>
        <v>37.299999999999997</v>
      </c>
      <c r="BN920" s="1905">
        <f>BN917+BN919</f>
        <v>37.124375999999998</v>
      </c>
      <c r="BO920" s="1905">
        <f>SUM(BK920:BN920)</f>
        <v>149.44686955999998</v>
      </c>
      <c r="BP920" s="1838">
        <f>BP917+BP919</f>
        <v>38.513320550000003</v>
      </c>
      <c r="BQ920" s="1838">
        <f>BQ917+BQ919</f>
        <v>38.180358779999999</v>
      </c>
      <c r="BR920" s="1838">
        <f>BR917+BR919</f>
        <v>38.721120170000006</v>
      </c>
      <c r="BS920" s="1838">
        <f>BS917+BS919</f>
        <v>40.786304520000002</v>
      </c>
      <c r="BT920" s="1011">
        <f>SUM(BP920:BS920)</f>
        <v>156.20110402</v>
      </c>
      <c r="BU920" s="1838">
        <f>BU917+BU919</f>
        <v>40.846768900000001</v>
      </c>
      <c r="BV920" s="1838">
        <f>BV917+BV919</f>
        <v>39.870769543400002</v>
      </c>
      <c r="BW920" s="1838">
        <f>BW917+BW919</f>
        <v>40.535542573400008</v>
      </c>
      <c r="BX920" s="1838">
        <f>BX917+BX919</f>
        <v>41.622030610400003</v>
      </c>
      <c r="BY920" s="1011">
        <f>SUM(BU920:BX920)</f>
        <v>162.8751116272</v>
      </c>
      <c r="BZ920" s="1011">
        <f t="shared" ref="BZ920:CF920" si="2226">BZ917+BZ919</f>
        <v>164.543862743472</v>
      </c>
      <c r="CA920" s="1011">
        <f t="shared" si="2226"/>
        <v>164.543862743472</v>
      </c>
      <c r="CB920" s="1011">
        <f t="shared" si="2226"/>
        <v>156.21666960629838</v>
      </c>
      <c r="CC920" s="1011">
        <f t="shared" si="2226"/>
        <v>148.31083612598346</v>
      </c>
      <c r="CD920" s="1011">
        <f t="shared" si="2226"/>
        <v>151.45305284850315</v>
      </c>
      <c r="CE920" s="1011">
        <f t="shared" si="2226"/>
        <v>154.65611390547321</v>
      </c>
      <c r="CF920" s="1011">
        <f t="shared" si="2226"/>
        <v>157.92123618358266</v>
      </c>
      <c r="CG920" s="502"/>
      <c r="CH920" s="502"/>
      <c r="CI920" s="502"/>
      <c r="CJ920" s="502"/>
      <c r="CK920" s="502"/>
      <c r="CL920" s="2102" t="str">
        <f>A920</f>
        <v>Net revenue</v>
      </c>
      <c r="CM920" s="1012">
        <f>G920</f>
        <v>143.40600000000001</v>
      </c>
      <c r="CN920" s="1012">
        <f>L920</f>
        <v>143.72399999999999</v>
      </c>
      <c r="CO920" s="1012">
        <f>Q920</f>
        <v>153.441</v>
      </c>
      <c r="CP920" s="1012">
        <f>V920</f>
        <v>174.42599999999999</v>
      </c>
      <c r="CQ920" s="1012">
        <f>AA920</f>
        <v>186.13200000000001</v>
      </c>
      <c r="CR920" s="1012">
        <f>AF920</f>
        <v>193.785</v>
      </c>
      <c r="CS920" s="1012">
        <f>AK920</f>
        <v>189.702</v>
      </c>
      <c r="CT920" s="1012">
        <f>AP920</f>
        <v>194.80355200000002</v>
      </c>
      <c r="CU920" s="1012">
        <f>AU920</f>
        <v>157.60062264000001</v>
      </c>
      <c r="CV920" s="1012">
        <f>AZ920</f>
        <v>143.99995633999998</v>
      </c>
      <c r="CW920" s="1012">
        <f>BE920</f>
        <v>135.22436193999999</v>
      </c>
      <c r="CX920" s="1012">
        <f>BJ920</f>
        <v>141.36003364999999</v>
      </c>
      <c r="CY920" s="1012">
        <f>BO920</f>
        <v>149.44686955999998</v>
      </c>
      <c r="CZ920" s="1012">
        <f>BT920</f>
        <v>156.20110402</v>
      </c>
      <c r="DA920" s="1012">
        <f t="shared" si="2223"/>
        <v>162.8751116272</v>
      </c>
      <c r="DB920" s="1012">
        <f t="shared" si="2223"/>
        <v>164.543862743472</v>
      </c>
      <c r="DC920" s="1877">
        <f t="shared" si="2223"/>
        <v>164.543862743472</v>
      </c>
      <c r="DD920" s="502"/>
      <c r="DE920" s="502"/>
      <c r="DF920" s="502"/>
      <c r="DG920" s="503"/>
      <c r="DH920" s="598"/>
      <c r="DI920" s="3213"/>
      <c r="DJ920" s="502"/>
      <c r="DK920" s="503"/>
      <c r="DL920" s="502"/>
      <c r="DM920" s="502"/>
      <c r="DN920" s="502"/>
      <c r="DO920" s="502"/>
      <c r="DP920" s="503"/>
      <c r="DQ920" s="503"/>
      <c r="DR920" s="719"/>
      <c r="DS920" s="719"/>
      <c r="DT920" s="719"/>
    </row>
    <row r="921" spans="1:124" ht="12" customHeight="1" x14ac:dyDescent="0.25">
      <c r="A921" s="465" t="s">
        <v>1491</v>
      </c>
      <c r="B921" s="466"/>
      <c r="C921" s="467" t="s">
        <v>553</v>
      </c>
      <c r="D921" s="467" t="s">
        <v>553</v>
      </c>
      <c r="E921" s="467" t="s">
        <v>553</v>
      </c>
      <c r="F921" s="467" t="s">
        <v>553</v>
      </c>
      <c r="G921" s="468" t="s">
        <v>553</v>
      </c>
      <c r="H921" s="467">
        <f t="shared" ref="H921:AF921" si="2227">(H920-C920)/C920</f>
        <v>-2.2119694173477422E-2</v>
      </c>
      <c r="I921" s="467">
        <f t="shared" si="2227"/>
        <v>-4.6055937028973131E-3</v>
      </c>
      <c r="J921" s="467">
        <f t="shared" si="2227"/>
        <v>-3.581369988808232E-2</v>
      </c>
      <c r="K921" s="467">
        <f t="shared" si="2227"/>
        <v>7.3844208832571923E-2</v>
      </c>
      <c r="L921" s="468">
        <f t="shared" si="2227"/>
        <v>2.2174804401488336E-3</v>
      </c>
      <c r="M921" s="467">
        <f t="shared" si="2227"/>
        <v>5.1333207516648147E-2</v>
      </c>
      <c r="N921" s="467">
        <f t="shared" si="2227"/>
        <v>5.4569417571015896E-2</v>
      </c>
      <c r="O921" s="467">
        <f t="shared" si="2227"/>
        <v>0.13095627846066865</v>
      </c>
      <c r="P921" s="467">
        <f t="shared" si="2227"/>
        <v>3.9252936611992771E-2</v>
      </c>
      <c r="Q921" s="468">
        <f t="shared" si="2227"/>
        <v>6.7608750104366802E-2</v>
      </c>
      <c r="R921" s="467">
        <f t="shared" si="2227"/>
        <v>6.9752532375945794E-2</v>
      </c>
      <c r="S921" s="467">
        <f t="shared" si="2227"/>
        <v>0.14651527641130635</v>
      </c>
      <c r="T921" s="467">
        <f t="shared" si="2227"/>
        <v>0.18421537408879179</v>
      </c>
      <c r="U921" s="467">
        <f t="shared" si="2227"/>
        <v>0.14817198764160647</v>
      </c>
      <c r="V921" s="468">
        <f t="shared" si="2227"/>
        <v>0.13676266447689983</v>
      </c>
      <c r="W921" s="467">
        <f t="shared" si="2227"/>
        <v>0.12192256981900991</v>
      </c>
      <c r="X921" s="467">
        <f t="shared" si="2227"/>
        <v>7.0250713175777621E-2</v>
      </c>
      <c r="Y921" s="467">
        <f t="shared" si="2227"/>
        <v>3.2578501744483235E-2</v>
      </c>
      <c r="Z921" s="467">
        <f t="shared" si="2227"/>
        <v>4.7651081959860973E-2</v>
      </c>
      <c r="AA921" s="468">
        <f t="shared" si="2227"/>
        <v>6.7111554470090568E-2</v>
      </c>
      <c r="AB921" s="467">
        <f t="shared" si="2227"/>
        <v>7.46565244332386E-2</v>
      </c>
      <c r="AC921" s="467">
        <f t="shared" si="2227"/>
        <v>5.0361894855458722E-2</v>
      </c>
      <c r="AD921" s="467">
        <f t="shared" si="2227"/>
        <v>4.4635747336705001E-2</v>
      </c>
      <c r="AE921" s="469">
        <f t="shared" si="2227"/>
        <v>-5.1155821917807627E-3</v>
      </c>
      <c r="AF921" s="470">
        <f t="shared" si="2227"/>
        <v>4.1115982206176217E-2</v>
      </c>
      <c r="AG921" s="467">
        <f t="shared" ref="AG921:AU921" si="2228">(AG920-AB920)/AB920</f>
        <v>-3.1335122775623829E-2</v>
      </c>
      <c r="AH921" s="467">
        <f t="shared" si="2228"/>
        <v>-2.0363111202805897E-2</v>
      </c>
      <c r="AI921" s="467">
        <f t="shared" si="2228"/>
        <v>-4.8352870887327738E-2</v>
      </c>
      <c r="AJ921" s="469">
        <f t="shared" si="2228"/>
        <v>1.779221617435077E-2</v>
      </c>
      <c r="AK921" s="470">
        <f t="shared" si="2228"/>
        <v>-2.1069742240111457E-2</v>
      </c>
      <c r="AL921" s="467">
        <f t="shared" si="2228"/>
        <v>-1.0858186744391376E-2</v>
      </c>
      <c r="AM921" s="467">
        <f t="shared" si="2228"/>
        <v>4.6058589389887009E-2</v>
      </c>
      <c r="AN921" s="467">
        <f t="shared" si="2228"/>
        <v>5.4816115344648586E-2</v>
      </c>
      <c r="AO921" s="469">
        <f t="shared" si="2228"/>
        <v>1.9267058425636332E-2</v>
      </c>
      <c r="AP921" s="471">
        <f t="shared" si="2228"/>
        <v>2.6892452372668851E-2</v>
      </c>
      <c r="AQ921" s="471">
        <f t="shared" si="2228"/>
        <v>-7.8513726291761773E-2</v>
      </c>
      <c r="AR921" s="469">
        <f t="shared" si="2228"/>
        <v>-0.24154525226494861</v>
      </c>
      <c r="AS921" s="469">
        <f t="shared" si="2228"/>
        <v>-0.21258901422553689</v>
      </c>
      <c r="AT921" s="469">
        <f t="shared" si="2228"/>
        <v>-0.22944249239819769</v>
      </c>
      <c r="AU921" s="1689">
        <f t="shared" si="2228"/>
        <v>-0.19097664790013688</v>
      </c>
      <c r="AV921" s="1730">
        <f t="shared" ref="AV921:BA921" si="2229">(AV920-AQ920)/AQ920</f>
        <v>-0.13732704764841488</v>
      </c>
      <c r="AW921" s="1465">
        <f t="shared" si="2229"/>
        <v>-1.110779521291818E-2</v>
      </c>
      <c r="AX921" s="1465">
        <f t="shared" si="2229"/>
        <v>-7.451606061592983E-2</v>
      </c>
      <c r="AY921" s="1868">
        <f t="shared" si="2229"/>
        <v>-0.11371367142131987</v>
      </c>
      <c r="AZ921" s="1689">
        <f t="shared" si="2229"/>
        <v>-8.6298303091526585E-2</v>
      </c>
      <c r="BA921" s="1730">
        <f t="shared" si="2229"/>
        <v>-9.0970956505528958E-2</v>
      </c>
      <c r="BB921" s="1465">
        <f t="shared" ref="BB921:BJ921" si="2230">(BB920-AW920)/AW920</f>
        <v>-6.9185071056399136E-2</v>
      </c>
      <c r="BC921" s="1465">
        <f t="shared" si="2230"/>
        <v>-8.6507384893572251E-2</v>
      </c>
      <c r="BD921" s="1868">
        <f t="shared" si="2230"/>
        <v>1.0882774294929646E-2</v>
      </c>
      <c r="BE921" s="1868">
        <f t="shared" si="2230"/>
        <v>-6.0941646254946288E-2</v>
      </c>
      <c r="BF921" s="1465">
        <f t="shared" si="2230"/>
        <v>-3.560101233791873E-3</v>
      </c>
      <c r="BG921" s="1465">
        <f t="shared" si="2230"/>
        <v>1.9953527075500285E-2</v>
      </c>
      <c r="BH921" s="1465">
        <f t="shared" si="2230"/>
        <v>8.1006404330818543E-2</v>
      </c>
      <c r="BI921" s="1868">
        <f t="shared" si="2230"/>
        <v>8.8324715916448943E-2</v>
      </c>
      <c r="BJ921" s="1868">
        <f t="shared" si="2230"/>
        <v>4.5374011176495234E-2</v>
      </c>
      <c r="BK921" s="1465">
        <f t="shared" ref="BK921:BT921" si="2231">(BK920-BF920)/BF920</f>
        <v>0.10729847033119469</v>
      </c>
      <c r="BL921" s="1465">
        <f t="shared" si="2231"/>
        <v>3.4819427381567271E-2</v>
      </c>
      <c r="BM921" s="1465">
        <f t="shared" si="2231"/>
        <v>6.3804064122879464E-2</v>
      </c>
      <c r="BN921" s="1868">
        <f t="shared" si="2231"/>
        <v>2.470343343480233E-2</v>
      </c>
      <c r="BO921" s="1868">
        <f t="shared" si="2231"/>
        <v>5.7207371144396946E-2</v>
      </c>
      <c r="BP921" s="1465">
        <f t="shared" si="2231"/>
        <v>2.3639014958300275E-3</v>
      </c>
      <c r="BQ921" s="1465">
        <f t="shared" si="2231"/>
        <v>4.3179201639344189E-2</v>
      </c>
      <c r="BR921" s="1465">
        <f t="shared" si="2231"/>
        <v>3.8099736461126243E-2</v>
      </c>
      <c r="BS921" s="1465">
        <f t="shared" si="2231"/>
        <v>9.8639463192593563E-2</v>
      </c>
      <c r="BT921" s="470">
        <f t="shared" si="2231"/>
        <v>4.5194887520131885E-2</v>
      </c>
      <c r="BU921" s="1465">
        <f>(BU920-BP920)/BP920</f>
        <v>6.0588085282612628E-2</v>
      </c>
      <c r="BV921" s="1465">
        <f>(BV920-BQ920)/BQ920</f>
        <v>4.4274355124328743E-2</v>
      </c>
      <c r="BW921" s="1465">
        <f>(BW920-BR920)/BR920</f>
        <v>4.6858727108978718E-2</v>
      </c>
      <c r="BX921" s="1465">
        <f>(BX920-BS920)/BS920</f>
        <v>2.0490360679531392E-2</v>
      </c>
      <c r="BY921" s="470">
        <f>(BY920-BT920)/BT920</f>
        <v>4.272701943480154E-2</v>
      </c>
      <c r="BZ921" s="470">
        <f t="shared" ref="BZ921:CF921" si="2232">(BZ920-BY920)/BY920</f>
        <v>1.0245586938362692E-2</v>
      </c>
      <c r="CA921" s="470">
        <f t="shared" si="2232"/>
        <v>0</v>
      </c>
      <c r="CB921" s="470">
        <f t="shared" si="2232"/>
        <v>-5.0607740685873683E-2</v>
      </c>
      <c r="CC921" s="470">
        <f t="shared" si="2232"/>
        <v>-5.060812972289979E-2</v>
      </c>
      <c r="CD921" s="470">
        <f t="shared" si="2232"/>
        <v>2.1186696836167238E-2</v>
      </c>
      <c r="CE921" s="470">
        <f t="shared" si="2232"/>
        <v>2.114887086610294E-2</v>
      </c>
      <c r="CF921" s="470">
        <f t="shared" si="2232"/>
        <v>2.1112144846114018E-2</v>
      </c>
      <c r="CG921" s="492"/>
      <c r="CH921" s="492"/>
      <c r="CI921" s="492"/>
      <c r="CJ921" s="492"/>
      <c r="CK921" s="492"/>
      <c r="CL921" s="1310" t="str">
        <f>A921</f>
        <v>% growth (y-o-y)</v>
      </c>
      <c r="CM921" s="469" t="str">
        <f>G921</f>
        <v xml:space="preserve">n/a </v>
      </c>
      <c r="CN921" s="469">
        <f>L921</f>
        <v>2.2174804401488336E-3</v>
      </c>
      <c r="CO921" s="469">
        <f>Q921</f>
        <v>6.7608750104366802E-2</v>
      </c>
      <c r="CP921" s="469">
        <f>V921</f>
        <v>0.13676266447689983</v>
      </c>
      <c r="CQ921" s="469">
        <f>AA921</f>
        <v>6.7111554470090568E-2</v>
      </c>
      <c r="CR921" s="469">
        <f>AF921</f>
        <v>4.1115982206176217E-2</v>
      </c>
      <c r="CS921" s="469">
        <f>AK921</f>
        <v>-2.1069742240111457E-2</v>
      </c>
      <c r="CT921" s="469">
        <f>AP921</f>
        <v>2.6892452372668851E-2</v>
      </c>
      <c r="CU921" s="469">
        <f>AU921</f>
        <v>-0.19097664790013688</v>
      </c>
      <c r="CV921" s="469">
        <f>AZ921</f>
        <v>-8.6298303091526585E-2</v>
      </c>
      <c r="CW921" s="469">
        <f>BE921</f>
        <v>-6.0941646254946288E-2</v>
      </c>
      <c r="CX921" s="469">
        <f>BJ921</f>
        <v>4.5374011176495234E-2</v>
      </c>
      <c r="CY921" s="469">
        <f>BO921</f>
        <v>5.7207371144396946E-2</v>
      </c>
      <c r="CZ921" s="469">
        <f>BT921</f>
        <v>4.5194887520131885E-2</v>
      </c>
      <c r="DA921" s="469">
        <f t="shared" si="2223"/>
        <v>4.272701943480154E-2</v>
      </c>
      <c r="DB921" s="469">
        <f t="shared" si="2223"/>
        <v>1.0245586938362692E-2</v>
      </c>
      <c r="DC921" s="1463">
        <f t="shared" si="2223"/>
        <v>0</v>
      </c>
      <c r="DD921" s="492"/>
      <c r="DE921" s="492"/>
      <c r="DF921" s="962"/>
      <c r="DG921" s="962"/>
      <c r="DH921" s="469"/>
      <c r="DI921" s="3213"/>
      <c r="DJ921" s="962"/>
      <c r="DK921" s="962"/>
      <c r="DL921" s="962"/>
      <c r="DM921" s="962"/>
      <c r="DN921" s="962"/>
      <c r="DO921" s="962"/>
      <c r="DP921" s="962"/>
      <c r="DQ921" s="962"/>
      <c r="DR921" s="963"/>
      <c r="DS921" s="963"/>
      <c r="DT921" s="963"/>
    </row>
    <row r="922" spans="1:124" ht="5.0999999999999996" customHeight="1" x14ac:dyDescent="0.25">
      <c r="A922" s="281"/>
      <c r="B922" s="281"/>
      <c r="C922" s="305"/>
      <c r="D922" s="305"/>
      <c r="E922" s="305"/>
      <c r="F922" s="305"/>
      <c r="G922" s="440"/>
      <c r="H922" s="305"/>
      <c r="I922" s="305"/>
      <c r="J922" s="305"/>
      <c r="K922" s="305"/>
      <c r="L922" s="440"/>
      <c r="M922" s="305"/>
      <c r="N922" s="305"/>
      <c r="O922" s="305"/>
      <c r="P922" s="305"/>
      <c r="Q922" s="440"/>
      <c r="R922" s="305"/>
      <c r="S922" s="305"/>
      <c r="T922" s="305"/>
      <c r="U922" s="305"/>
      <c r="V922" s="440"/>
      <c r="W922" s="305"/>
      <c r="X922" s="305"/>
      <c r="Y922" s="305"/>
      <c r="Z922" s="305"/>
      <c r="AA922" s="440"/>
      <c r="AB922" s="305"/>
      <c r="AC922" s="305"/>
      <c r="AD922" s="305"/>
      <c r="AE922" s="331"/>
      <c r="AF922" s="441"/>
      <c r="AG922" s="305"/>
      <c r="AH922" s="305"/>
      <c r="AI922" s="305"/>
      <c r="AJ922" s="331"/>
      <c r="AK922" s="441"/>
      <c r="AL922" s="305"/>
      <c r="AM922" s="305"/>
      <c r="AN922" s="305"/>
      <c r="AO922" s="331"/>
      <c r="AP922" s="569"/>
      <c r="AQ922" s="569"/>
      <c r="AR922" s="442"/>
      <c r="AS922" s="442"/>
      <c r="AT922" s="442"/>
      <c r="AU922" s="1690"/>
      <c r="AV922" s="1902"/>
      <c r="AW922" s="1837"/>
      <c r="AX922" s="1837"/>
      <c r="AY922" s="1903"/>
      <c r="AZ922" s="1690"/>
      <c r="BA922" s="1902"/>
      <c r="BB922" s="1837"/>
      <c r="BC922" s="1837"/>
      <c r="BD922" s="1903"/>
      <c r="BE922" s="1903"/>
      <c r="BF922" s="1837"/>
      <c r="BG922" s="1837"/>
      <c r="BH922" s="1837"/>
      <c r="BI922" s="1903"/>
      <c r="BJ922" s="1903"/>
      <c r="BK922" s="1837"/>
      <c r="BL922" s="1837"/>
      <c r="BM922" s="1837"/>
      <c r="BN922" s="1903"/>
      <c r="BO922" s="1903"/>
      <c r="BP922" s="1837"/>
      <c r="BQ922" s="1837"/>
      <c r="BR922" s="1837"/>
      <c r="BS922" s="1837"/>
      <c r="BT922" s="3236"/>
      <c r="BU922" s="1837"/>
      <c r="BV922" s="1837"/>
      <c r="BW922" s="1837"/>
      <c r="BX922" s="1837"/>
      <c r="BY922" s="3236"/>
      <c r="BZ922" s="441"/>
      <c r="CA922" s="441"/>
      <c r="CB922" s="441"/>
      <c r="CC922" s="441"/>
      <c r="CD922" s="441"/>
      <c r="CE922" s="441"/>
      <c r="CF922" s="441"/>
      <c r="CG922" s="331"/>
      <c r="CH922" s="331"/>
      <c r="CI922" s="331"/>
      <c r="CJ922" s="331"/>
      <c r="CK922" s="331"/>
      <c r="CL922" s="520"/>
      <c r="CM922" s="442"/>
      <c r="CN922" s="442"/>
      <c r="CO922" s="442"/>
      <c r="CP922" s="442"/>
      <c r="CQ922" s="442"/>
      <c r="CR922" s="442"/>
      <c r="CS922" s="442"/>
      <c r="CT922" s="442"/>
      <c r="CU922" s="442"/>
      <c r="CV922" s="442"/>
      <c r="CW922" s="442"/>
      <c r="CX922" s="442"/>
      <c r="CY922" s="442"/>
      <c r="CZ922" s="442"/>
      <c r="DA922" s="442"/>
      <c r="DB922" s="442"/>
      <c r="DC922" s="1312"/>
      <c r="DD922" s="331"/>
      <c r="DE922" s="331"/>
      <c r="DF922" s="502"/>
      <c r="DG922" s="503"/>
      <c r="DH922" s="3298"/>
      <c r="DI922" s="3213"/>
      <c r="DJ922" s="502"/>
      <c r="DK922" s="503"/>
      <c r="DL922" s="502"/>
      <c r="DM922" s="502"/>
      <c r="DN922" s="502"/>
      <c r="DO922" s="502"/>
      <c r="DP922" s="503"/>
      <c r="DQ922" s="503"/>
      <c r="DR922" s="296"/>
      <c r="DS922" s="296"/>
      <c r="DT922" s="296"/>
    </row>
    <row r="923" spans="1:124" ht="12" customHeight="1" x14ac:dyDescent="0.25">
      <c r="A923" s="311" t="s">
        <v>601</v>
      </c>
      <c r="B923" s="281"/>
      <c r="C923" s="452">
        <f>C928-C926</f>
        <v>14.724503000000002</v>
      </c>
      <c r="D923" s="452">
        <f>D928-D926</f>
        <v>13.936977000000002</v>
      </c>
      <c r="E923" s="452">
        <f>E928-E926</f>
        <v>13.172433</v>
      </c>
      <c r="F923" s="452">
        <f>F928-F926</f>
        <v>12.690850999999999</v>
      </c>
      <c r="G923" s="475">
        <f>SUM(C923:F923)</f>
        <v>54.524764000000005</v>
      </c>
      <c r="H923" s="452">
        <f>H928-H926</f>
        <v>13.730450165000001</v>
      </c>
      <c r="I923" s="452">
        <f>I928-I926</f>
        <v>14.182994165</v>
      </c>
      <c r="J923" s="452">
        <f>J928-J926</f>
        <v>12.877052164999997</v>
      </c>
      <c r="K923" s="452">
        <f>K928-K926</f>
        <v>15.397854164999998</v>
      </c>
      <c r="L923" s="475">
        <f>SUM(H923:K923)</f>
        <v>56.188350659999998</v>
      </c>
      <c r="M923" s="452">
        <f>M928-M926</f>
        <v>13.710103318124997</v>
      </c>
      <c r="N923" s="452">
        <f>N928-N926</f>
        <v>12.994101318125001</v>
      </c>
      <c r="O923" s="452">
        <f>O928-O926</f>
        <v>14.191337318125001</v>
      </c>
      <c r="P923" s="452">
        <f>P928-P926</f>
        <v>14.124909318125004</v>
      </c>
      <c r="Q923" s="475">
        <f>SUM(M923:P923)</f>
        <v>55.020451272500004</v>
      </c>
      <c r="R923" s="452">
        <f>R928-R926</f>
        <v>15.057382799999999</v>
      </c>
      <c r="S923" s="452">
        <f>S928-S926</f>
        <v>15.392812799999998</v>
      </c>
      <c r="T923" s="452">
        <f>T928-T926</f>
        <v>16.426066800000001</v>
      </c>
      <c r="U923" s="452">
        <f>U928-U926</f>
        <v>16.162032799999999</v>
      </c>
      <c r="V923" s="475">
        <f>SUM(R923:U923)</f>
        <v>63.0382952</v>
      </c>
      <c r="W923" s="452">
        <f>W928-W926</f>
        <v>16.251071895625003</v>
      </c>
      <c r="X923" s="452">
        <f>X928-X926</f>
        <v>16.182345895625001</v>
      </c>
      <c r="Y923" s="452">
        <f>Y928-Y926</f>
        <v>16.408463895625001</v>
      </c>
      <c r="Z923" s="452">
        <f>Z928-Z926</f>
        <v>16.222235895624998</v>
      </c>
      <c r="AA923" s="475">
        <f>SUM(W923:Z923)</f>
        <v>65.064117582500018</v>
      </c>
      <c r="AB923" s="452">
        <f>AB928-AB926</f>
        <v>17.425000000000001</v>
      </c>
      <c r="AC923" s="452">
        <f>AC928-AC926</f>
        <v>16.575999999999997</v>
      </c>
      <c r="AD923" s="452">
        <f>AD928-AD926</f>
        <v>16.350999999999999</v>
      </c>
      <c r="AE923" s="452">
        <f>AE928-AE926</f>
        <v>16.062999999999999</v>
      </c>
      <c r="AF923" s="477">
        <f>SUM(AB923:AE923)</f>
        <v>66.414999999999992</v>
      </c>
      <c r="AG923" s="452">
        <f>AG928-AG926</f>
        <v>16.449026445000001</v>
      </c>
      <c r="AH923" s="452">
        <f>AH928-AH926</f>
        <v>16.364680444999994</v>
      </c>
      <c r="AI923" s="452">
        <f>AI928-AI926</f>
        <v>15.223726445</v>
      </c>
      <c r="AJ923" s="452">
        <f>AJ928-AJ926</f>
        <v>15.790574444999999</v>
      </c>
      <c r="AK923" s="477">
        <f>SUM(AG923:AJ923)</f>
        <v>63.828007779999986</v>
      </c>
      <c r="AL923" s="452">
        <f>AL928-AL926</f>
        <v>15.727577439999999</v>
      </c>
      <c r="AM923" s="452">
        <f>AM928-AM926</f>
        <v>16.580865440000004</v>
      </c>
      <c r="AN923" s="452">
        <f>AI923*(1+AN925)</f>
        <v>15.452082341674998</v>
      </c>
      <c r="AO923" s="452">
        <f>AJ923*(1+AO925)</f>
        <v>16.027433061674998</v>
      </c>
      <c r="AP923" s="478">
        <f>SUM(AL923:AO923)</f>
        <v>63.787958283349994</v>
      </c>
      <c r="AQ923" s="478">
        <f>AL923*(1+AQ925)</f>
        <v>14.941198567999999</v>
      </c>
      <c r="AR923" s="476">
        <f>AM923*(1+AR925)</f>
        <v>13.264692352000004</v>
      </c>
      <c r="AS923" s="476">
        <f>AN923*(1+AS925)</f>
        <v>13.134269990423748</v>
      </c>
      <c r="AT923" s="476">
        <f>AO923*(1+AT925)</f>
        <v>14.424689755507499</v>
      </c>
      <c r="AU923" s="1464">
        <f>SUM(AQ923:AT923)</f>
        <v>55.764850665931249</v>
      </c>
      <c r="AV923" s="1865">
        <f>AQ923*(1+AV925)</f>
        <v>14.194138639599998</v>
      </c>
      <c r="AW923" s="1771">
        <f>AR923*(1+AW925)</f>
        <v>13.065721966720004</v>
      </c>
      <c r="AX923" s="1771">
        <f>AS923*(1+AX925)</f>
        <v>13.528298090136461</v>
      </c>
      <c r="AY923" s="1866">
        <f>AT923*(1+AY925)</f>
        <v>12.260986292181373</v>
      </c>
      <c r="AZ923" s="1464">
        <f>SUM(AV923:AY923)</f>
        <v>53.049144988637835</v>
      </c>
      <c r="BA923" s="1865">
        <f>AV923*(1+BA925)</f>
        <v>13.484431707619997</v>
      </c>
      <c r="BB923" s="1771">
        <f>AW923*(1+BB925)</f>
        <v>12.673750307718404</v>
      </c>
      <c r="BC923" s="1771">
        <f>AX923*(1+BC925)</f>
        <v>12.987166166531003</v>
      </c>
      <c r="BD923" s="1866">
        <f>AY923*(1+BD925)</f>
        <v>12.506206018025001</v>
      </c>
      <c r="BE923" s="1866">
        <f>SUM(BA923:BD923)</f>
        <v>51.651554199894406</v>
      </c>
      <c r="BF923" s="1771">
        <f>BA923*(1+BF925)</f>
        <v>13.214743073467597</v>
      </c>
      <c r="BG923" s="1771">
        <f>BB923*(1+BG925)</f>
        <v>12.927225313872771</v>
      </c>
      <c r="BH923" s="1771">
        <f>BC923*(1+BH925)</f>
        <v>13.961203629020828</v>
      </c>
      <c r="BI923" s="1866">
        <f>BD923*(1+BI925)</f>
        <v>13.444171469376876</v>
      </c>
      <c r="BJ923" s="1866">
        <f>SUM(BF923:BI923)</f>
        <v>53.547343485738075</v>
      </c>
      <c r="BK923" s="1771">
        <f>BF923*(1+BK925)</f>
        <v>14.205848803977666</v>
      </c>
      <c r="BL923" s="1771">
        <f>BG923*(1+BL925)</f>
        <v>12.927225313872771</v>
      </c>
      <c r="BM923" s="1771">
        <f>BH923*(1+BM925)</f>
        <v>14.519651774181661</v>
      </c>
      <c r="BN923" s="1866">
        <f>BI923*(1+BN925)</f>
        <v>14.250821757539489</v>
      </c>
      <c r="BO923" s="1866">
        <f>SUM(BK923:BN923)</f>
        <v>55.903547649571586</v>
      </c>
      <c r="BP923" s="1771">
        <f>BK923*(1+BP925)</f>
        <v>13.921731827898112</v>
      </c>
      <c r="BQ923" s="1771">
        <f>BL923*(1+BQ925)</f>
        <v>13.056497567011499</v>
      </c>
      <c r="BR923" s="1771">
        <f>BM923*(1+BR925)</f>
        <v>15.027839586278018</v>
      </c>
      <c r="BS923" s="1771">
        <f>BN923*(1+BS925)</f>
        <v>15.675903933293439</v>
      </c>
      <c r="BT923" s="2604">
        <f>SUM(BP923:BS923)</f>
        <v>57.681972914481072</v>
      </c>
      <c r="BU923" s="1771">
        <f>BP923*(1+BU925)</f>
        <v>15.313905010687925</v>
      </c>
      <c r="BV923" s="1771">
        <f>BQ923*(1+BV925)</f>
        <v>13.121780054846555</v>
      </c>
      <c r="BW923" s="1771">
        <f>BR923*(1+BW925)</f>
        <v>15.027839586278018</v>
      </c>
      <c r="BX923" s="1771">
        <f>BS923*(1+BX925)</f>
        <v>15.754283452959905</v>
      </c>
      <c r="BY923" s="2604">
        <f>SUM(BU923:BX923)</f>
        <v>59.217808104772402</v>
      </c>
      <c r="BZ923" s="477">
        <f t="shared" ref="BZ923:CF923" si="2233">BY923*(1+BZ925)</f>
        <v>58.329540983200815</v>
      </c>
      <c r="CA923" s="477">
        <f t="shared" si="2233"/>
        <v>58.912836393032826</v>
      </c>
      <c r="CB923" s="477">
        <f t="shared" si="2233"/>
        <v>57.145451301241842</v>
      </c>
      <c r="CC923" s="477">
        <f t="shared" si="2233"/>
        <v>55.431087762204584</v>
      </c>
      <c r="CD923" s="477">
        <f t="shared" si="2233"/>
        <v>55.985398639826627</v>
      </c>
      <c r="CE923" s="477">
        <f t="shared" si="2233"/>
        <v>56.545252626224894</v>
      </c>
      <c r="CF923" s="477">
        <f t="shared" si="2233"/>
        <v>57.110705152487142</v>
      </c>
      <c r="CG923" s="331"/>
      <c r="CH923" s="331"/>
      <c r="CI923" s="331"/>
      <c r="CJ923" s="331"/>
      <c r="CK923" s="331"/>
      <c r="CL923" s="528" t="str">
        <f t="shared" ref="CL923:CL928" si="2234">A923</f>
        <v>Operating expenses</v>
      </c>
      <c r="CM923" s="476">
        <f t="shared" ref="CM923:CM928" si="2235">G923</f>
        <v>54.524764000000005</v>
      </c>
      <c r="CN923" s="476">
        <f t="shared" ref="CN923:CN928" si="2236">L923</f>
        <v>56.188350659999998</v>
      </c>
      <c r="CO923" s="476">
        <f t="shared" ref="CO923:CO928" si="2237">Q923</f>
        <v>55.020451272500004</v>
      </c>
      <c r="CP923" s="476">
        <f t="shared" ref="CP923:CP928" si="2238">V923</f>
        <v>63.0382952</v>
      </c>
      <c r="CQ923" s="476">
        <f t="shared" ref="CQ923:CQ928" si="2239">AA923</f>
        <v>65.064117582500018</v>
      </c>
      <c r="CR923" s="476">
        <f t="shared" ref="CR923:CR928" si="2240">AF923</f>
        <v>66.414999999999992</v>
      </c>
      <c r="CS923" s="476">
        <f t="shared" ref="CS923:CS928" si="2241">AK923</f>
        <v>63.828007779999986</v>
      </c>
      <c r="CT923" s="476">
        <f t="shared" ref="CT923:CT928" si="2242">AP923</f>
        <v>63.787958283349994</v>
      </c>
      <c r="CU923" s="476">
        <f t="shared" ref="CU923:CU928" si="2243">AU923</f>
        <v>55.764850665931249</v>
      </c>
      <c r="CV923" s="476">
        <f t="shared" ref="CV923:CV928" si="2244">AZ923</f>
        <v>53.049144988637835</v>
      </c>
      <c r="CW923" s="476">
        <f t="shared" ref="CW923:CW928" si="2245">BE923</f>
        <v>51.651554199894406</v>
      </c>
      <c r="CX923" s="476">
        <f t="shared" ref="CX923:CX928" si="2246">BJ923</f>
        <v>53.547343485738075</v>
      </c>
      <c r="CY923" s="476">
        <f t="shared" ref="CY923:CY928" si="2247">BO923</f>
        <v>55.903547649571586</v>
      </c>
      <c r="CZ923" s="476">
        <f t="shared" ref="CZ923:CZ928" si="2248">BT923</f>
        <v>57.681972914481072</v>
      </c>
      <c r="DA923" s="476">
        <f t="shared" ref="DA923:DC928" si="2249">BY923</f>
        <v>59.217808104772402</v>
      </c>
      <c r="DB923" s="476">
        <f t="shared" si="2249"/>
        <v>58.329540983200815</v>
      </c>
      <c r="DC923" s="682">
        <f t="shared" si="2249"/>
        <v>58.912836393032826</v>
      </c>
      <c r="DD923" s="331"/>
      <c r="DE923" s="331"/>
      <c r="DF923" s="502"/>
      <c r="DG923" s="503"/>
      <c r="DH923" s="2577"/>
      <c r="DI923" s="3213"/>
      <c r="DJ923" s="502"/>
      <c r="DK923" s="503"/>
      <c r="DL923" s="502"/>
      <c r="DM923" s="502"/>
      <c r="DN923" s="502"/>
      <c r="DO923" s="502"/>
      <c r="DP923" s="503"/>
      <c r="DQ923" s="503"/>
      <c r="DR923" s="296"/>
      <c r="DS923" s="296"/>
      <c r="DT923" s="296"/>
    </row>
    <row r="924" spans="1:124" ht="12" customHeight="1" x14ac:dyDescent="0.25">
      <c r="A924" s="465" t="s">
        <v>646</v>
      </c>
      <c r="B924" s="466"/>
      <c r="C924" s="467">
        <f t="shared" ref="C924:AF924" si="2250">C923/C920</f>
        <v>0.38820203005536519</v>
      </c>
      <c r="D924" s="467">
        <f t="shared" si="2250"/>
        <v>0.38901850611287897</v>
      </c>
      <c r="E924" s="467">
        <f t="shared" si="2250"/>
        <v>0.37800766206560105</v>
      </c>
      <c r="F924" s="467">
        <f t="shared" si="2250"/>
        <v>0.36464819124788089</v>
      </c>
      <c r="G924" s="468">
        <f t="shared" si="2250"/>
        <v>0.38021257130106134</v>
      </c>
      <c r="H924" s="467">
        <f t="shared" si="2250"/>
        <v>0.37018279811814186</v>
      </c>
      <c r="I924" s="467">
        <f t="shared" si="2250"/>
        <v>0.39771723072824655</v>
      </c>
      <c r="J924" s="467">
        <f t="shared" si="2250"/>
        <v>0.38325700660733947</v>
      </c>
      <c r="K924" s="467">
        <f t="shared" si="2250"/>
        <v>0.41200476721162332</v>
      </c>
      <c r="L924" s="468">
        <f t="shared" si="2250"/>
        <v>0.39094619312014695</v>
      </c>
      <c r="M924" s="467">
        <f t="shared" si="2250"/>
        <v>0.35158618587318879</v>
      </c>
      <c r="N924" s="467">
        <f t="shared" si="2250"/>
        <v>0.34552347483513712</v>
      </c>
      <c r="O924" s="467">
        <f t="shared" si="2250"/>
        <v>0.3734660732683755</v>
      </c>
      <c r="P924" s="467">
        <f t="shared" si="2250"/>
        <v>0.36366913795378486</v>
      </c>
      <c r="Q924" s="468">
        <f t="shared" si="2250"/>
        <v>0.35857724644977551</v>
      </c>
      <c r="R924" s="467">
        <f t="shared" si="2250"/>
        <v>0.3609584753685724</v>
      </c>
      <c r="S924" s="467">
        <f t="shared" si="2250"/>
        <v>0.35700101584061966</v>
      </c>
      <c r="T924" s="467">
        <f t="shared" si="2250"/>
        <v>0.36503181848485522</v>
      </c>
      <c r="U924" s="467">
        <f t="shared" si="2250"/>
        <v>0.36241804686624057</v>
      </c>
      <c r="V924" s="468">
        <f t="shared" si="2250"/>
        <v>0.36140423560707696</v>
      </c>
      <c r="W924" s="467">
        <f t="shared" si="2250"/>
        <v>0.34723770636578283</v>
      </c>
      <c r="X924" s="467">
        <f t="shared" si="2250"/>
        <v>0.35067710951382569</v>
      </c>
      <c r="Y924" s="467">
        <f t="shared" si="2250"/>
        <v>0.35313599258850747</v>
      </c>
      <c r="Z924" s="467">
        <f t="shared" si="2250"/>
        <v>0.34722251488923367</v>
      </c>
      <c r="AA924" s="468">
        <f t="shared" si="2250"/>
        <v>0.34955900964100756</v>
      </c>
      <c r="AB924" s="467">
        <f t="shared" si="2250"/>
        <v>0.34645591013023164</v>
      </c>
      <c r="AC924" s="467">
        <f t="shared" si="2250"/>
        <v>0.34198473282442743</v>
      </c>
      <c r="AD924" s="467">
        <f t="shared" si="2250"/>
        <v>0.33686314097941861</v>
      </c>
      <c r="AE924" s="469">
        <f t="shared" si="2250"/>
        <v>0.34558206579032291</v>
      </c>
      <c r="AF924" s="470">
        <f t="shared" si="2250"/>
        <v>0.34272518512784783</v>
      </c>
      <c r="AG924" s="467">
        <f t="shared" ref="AG924:AU924" si="2251">AG923/AG920</f>
        <v>0.3376306255259755</v>
      </c>
      <c r="AH924" s="467">
        <f t="shared" si="2251"/>
        <v>0.34464293420803227</v>
      </c>
      <c r="AI924" s="467">
        <f t="shared" si="2251"/>
        <v>0.32957495767665396</v>
      </c>
      <c r="AJ924" s="469">
        <f t="shared" si="2251"/>
        <v>0.333782329521434</v>
      </c>
      <c r="AK924" s="470">
        <f t="shared" si="2251"/>
        <v>0.33646460121664501</v>
      </c>
      <c r="AL924" s="467">
        <f t="shared" si="2251"/>
        <v>0.32636599792488069</v>
      </c>
      <c r="AM924" s="467">
        <f t="shared" si="2251"/>
        <v>0.33382052426011682</v>
      </c>
      <c r="AN924" s="467">
        <f t="shared" si="2251"/>
        <v>0.31713450067313748</v>
      </c>
      <c r="AO924" s="469">
        <f t="shared" si="2251"/>
        <v>0.33238498356608359</v>
      </c>
      <c r="AP924" s="471">
        <f t="shared" si="2251"/>
        <v>0.32744761390875454</v>
      </c>
      <c r="AQ924" s="471">
        <f t="shared" si="2251"/>
        <v>0.3364648035189336</v>
      </c>
      <c r="AR924" s="469">
        <f t="shared" si="2251"/>
        <v>0.35210593671619217</v>
      </c>
      <c r="AS924" s="469">
        <f t="shared" si="2251"/>
        <v>0.34234260182061743</v>
      </c>
      <c r="AT924" s="469">
        <f t="shared" si="2251"/>
        <v>0.38822084303675863</v>
      </c>
      <c r="AU924" s="1689">
        <f t="shared" si="2251"/>
        <v>0.35383648701256959</v>
      </c>
      <c r="AV924" s="1730">
        <f t="shared" ref="AV924:BJ924" si="2252">AV923/AV920</f>
        <v>0.37052461477048371</v>
      </c>
      <c r="AW924" s="1465">
        <f t="shared" si="2252"/>
        <v>0.350720074429269</v>
      </c>
      <c r="AX924" s="1465">
        <f t="shared" si="2252"/>
        <v>0.38100378069219393</v>
      </c>
      <c r="AY924" s="1868">
        <f t="shared" si="2252"/>
        <v>0.37232630803460498</v>
      </c>
      <c r="AZ924" s="1689">
        <f t="shared" si="2252"/>
        <v>0.36839695189478305</v>
      </c>
      <c r="BA924" s="1730">
        <f t="shared" si="2252"/>
        <v>0.38722457390229731</v>
      </c>
      <c r="BB924" s="1465">
        <f t="shared" si="2252"/>
        <v>0.36548454651719919</v>
      </c>
      <c r="BC924" s="1465">
        <f t="shared" si="2252"/>
        <v>0.40040129872521446</v>
      </c>
      <c r="BD924" s="1868">
        <f t="shared" si="2252"/>
        <v>0.37568434624893177</v>
      </c>
      <c r="BE924" s="1868">
        <f t="shared" si="2252"/>
        <v>0.38196929502105964</v>
      </c>
      <c r="BF924" s="1465">
        <f t="shared" si="2252"/>
        <v>0.38083589677021523</v>
      </c>
      <c r="BG924" s="1465">
        <f t="shared" si="2252"/>
        <v>0.3655011993697902</v>
      </c>
      <c r="BH924" s="1465">
        <f t="shared" si="2252"/>
        <v>0.3981765458605751</v>
      </c>
      <c r="BI924" s="1868">
        <f t="shared" si="2252"/>
        <v>0.37108471976355095</v>
      </c>
      <c r="BJ924" s="1868">
        <f t="shared" si="2252"/>
        <v>0.37880115123853525</v>
      </c>
      <c r="BK924" s="1465">
        <f t="shared" ref="BK924:BU924" si="2253">BK923/BK920</f>
        <v>0.36972740412576355</v>
      </c>
      <c r="BL924" s="1465">
        <f t="shared" si="2253"/>
        <v>0.35320287742821777</v>
      </c>
      <c r="BM924" s="1465">
        <f t="shared" si="2253"/>
        <v>0.3892668035973636</v>
      </c>
      <c r="BN924" s="1868">
        <f t="shared" si="2253"/>
        <v>0.38386697078866699</v>
      </c>
      <c r="BO924" s="1868">
        <f t="shared" si="2253"/>
        <v>0.37406971329785804</v>
      </c>
      <c r="BP924" s="1465">
        <f t="shared" si="2253"/>
        <v>0.3614783568148634</v>
      </c>
      <c r="BQ924" s="1465">
        <f t="shared" si="2253"/>
        <v>0.34196895954395479</v>
      </c>
      <c r="BR924" s="1465">
        <f t="shared" si="2253"/>
        <v>0.38810446392821946</v>
      </c>
      <c r="BS924" s="1465">
        <f t="shared" si="2253"/>
        <v>0.38434234524990102</v>
      </c>
      <c r="BT924" s="470">
        <f t="shared" si="2253"/>
        <v>0.36928018707918653</v>
      </c>
      <c r="BU924" s="1465">
        <f t="shared" si="2253"/>
        <v>0.37491104983552137</v>
      </c>
      <c r="BV924" s="1465">
        <f t="shared" ref="BV924:CF924" si="2254">BV923/BV920</f>
        <v>0.32910777005603759</v>
      </c>
      <c r="BW924" s="1465">
        <f t="shared" si="2254"/>
        <v>0.37073241486940151</v>
      </c>
      <c r="BX924" s="1465">
        <f t="shared" si="2254"/>
        <v>0.37850828568232847</v>
      </c>
      <c r="BY924" s="470">
        <f t="shared" si="2254"/>
        <v>0.36357800472495932</v>
      </c>
      <c r="BZ924" s="470">
        <f t="shared" si="2254"/>
        <v>0.35449235243819471</v>
      </c>
      <c r="CA924" s="470">
        <f t="shared" si="2254"/>
        <v>0.35803727596257667</v>
      </c>
      <c r="CB924" s="470">
        <f t="shared" si="2254"/>
        <v>0.36580892068216153</v>
      </c>
      <c r="CC924" s="470">
        <f t="shared" si="2254"/>
        <v>0.37374941177675203</v>
      </c>
      <c r="CD924" s="470">
        <f t="shared" si="2254"/>
        <v>0.36965513462332261</v>
      </c>
      <c r="CE924" s="470">
        <f t="shared" si="2254"/>
        <v>0.36561925163065789</v>
      </c>
      <c r="CF924" s="470">
        <f t="shared" si="2254"/>
        <v>0.36164043882037644</v>
      </c>
      <c r="CG924" s="492"/>
      <c r="CH924" s="492"/>
      <c r="CI924" s="492"/>
      <c r="CJ924" s="492"/>
      <c r="CK924" s="492"/>
      <c r="CL924" s="1310" t="str">
        <f t="shared" si="2234"/>
        <v>% of Net revenue</v>
      </c>
      <c r="CM924" s="469">
        <f t="shared" si="2235"/>
        <v>0.38021257130106134</v>
      </c>
      <c r="CN924" s="469">
        <f t="shared" si="2236"/>
        <v>0.39094619312014695</v>
      </c>
      <c r="CO924" s="469">
        <f t="shared" si="2237"/>
        <v>0.35857724644977551</v>
      </c>
      <c r="CP924" s="469">
        <f t="shared" si="2238"/>
        <v>0.36140423560707696</v>
      </c>
      <c r="CQ924" s="469">
        <f t="shared" si="2239"/>
        <v>0.34955900964100756</v>
      </c>
      <c r="CR924" s="469">
        <f t="shared" si="2240"/>
        <v>0.34272518512784783</v>
      </c>
      <c r="CS924" s="469">
        <f t="shared" si="2241"/>
        <v>0.33646460121664501</v>
      </c>
      <c r="CT924" s="469">
        <f t="shared" si="2242"/>
        <v>0.32744761390875454</v>
      </c>
      <c r="CU924" s="469">
        <f t="shared" si="2243"/>
        <v>0.35383648701256959</v>
      </c>
      <c r="CV924" s="469">
        <f t="shared" si="2244"/>
        <v>0.36839695189478305</v>
      </c>
      <c r="CW924" s="469">
        <f t="shared" si="2245"/>
        <v>0.38196929502105964</v>
      </c>
      <c r="CX924" s="469">
        <f t="shared" si="2246"/>
        <v>0.37880115123853525</v>
      </c>
      <c r="CY924" s="469">
        <f t="shared" si="2247"/>
        <v>0.37406971329785804</v>
      </c>
      <c r="CZ924" s="469">
        <f t="shared" si="2248"/>
        <v>0.36928018707918653</v>
      </c>
      <c r="DA924" s="469">
        <f t="shared" si="2249"/>
        <v>0.36357800472495932</v>
      </c>
      <c r="DB924" s="469">
        <f t="shared" si="2249"/>
        <v>0.35449235243819471</v>
      </c>
      <c r="DC924" s="1463">
        <f t="shared" si="2249"/>
        <v>0.35803727596257667</v>
      </c>
      <c r="DD924" s="492"/>
      <c r="DE924" s="492"/>
      <c r="DF924" s="962"/>
      <c r="DG924" s="962"/>
      <c r="DH924" s="469"/>
      <c r="DI924" s="3213"/>
      <c r="DJ924" s="962"/>
      <c r="DK924" s="962"/>
      <c r="DL924" s="962"/>
      <c r="DM924" s="962"/>
      <c r="DN924" s="962"/>
      <c r="DO924" s="962"/>
      <c r="DP924" s="962"/>
      <c r="DQ924" s="962"/>
      <c r="DR924" s="963"/>
      <c r="DS924" s="963"/>
      <c r="DT924" s="963"/>
    </row>
    <row r="925" spans="1:124" ht="12" customHeight="1" x14ac:dyDescent="0.25">
      <c r="A925" s="465" t="s">
        <v>1491</v>
      </c>
      <c r="B925" s="466"/>
      <c r="C925" s="467" t="s">
        <v>553</v>
      </c>
      <c r="D925" s="467" t="s">
        <v>553</v>
      </c>
      <c r="E925" s="467" t="s">
        <v>553</v>
      </c>
      <c r="F925" s="467" t="s">
        <v>553</v>
      </c>
      <c r="G925" s="468" t="s">
        <v>553</v>
      </c>
      <c r="H925" s="467">
        <f t="shared" ref="H925:AF925" si="2255">(H923-C923)/C923</f>
        <v>-6.7510111207149157E-2</v>
      </c>
      <c r="I925" s="467">
        <f t="shared" si="2255"/>
        <v>1.7652118174550892E-2</v>
      </c>
      <c r="J925" s="467">
        <f t="shared" si="2255"/>
        <v>-2.2424166818688935E-2</v>
      </c>
      <c r="K925" s="467">
        <f t="shared" si="2255"/>
        <v>0.21330351802255026</v>
      </c>
      <c r="L925" s="468">
        <f t="shared" si="2255"/>
        <v>3.0510662274484908E-2</v>
      </c>
      <c r="M925" s="467">
        <f t="shared" si="2255"/>
        <v>-1.4818776245857977E-3</v>
      </c>
      <c r="N925" s="467">
        <f t="shared" si="2255"/>
        <v>-8.3825236973507522E-2</v>
      </c>
      <c r="O925" s="467">
        <f t="shared" si="2255"/>
        <v>0.10206413209206755</v>
      </c>
      <c r="P925" s="467">
        <f t="shared" si="2255"/>
        <v>-8.2670275561412557E-2</v>
      </c>
      <c r="Q925" s="468">
        <f t="shared" si="2255"/>
        <v>-2.0785436372159093E-2</v>
      </c>
      <c r="R925" s="467">
        <f t="shared" si="2255"/>
        <v>9.8269097658357937E-2</v>
      </c>
      <c r="S925" s="467">
        <f t="shared" si="2255"/>
        <v>0.18460002913238191</v>
      </c>
      <c r="T925" s="467">
        <f t="shared" si="2255"/>
        <v>0.15747138072892053</v>
      </c>
      <c r="U925" s="467">
        <f t="shared" si="2255"/>
        <v>0.1442220573594033</v>
      </c>
      <c r="V925" s="468">
        <f t="shared" si="2255"/>
        <v>0.145724794000507</v>
      </c>
      <c r="W925" s="467">
        <f t="shared" si="2255"/>
        <v>7.9276001113885747E-2</v>
      </c>
      <c r="X925" s="467">
        <f t="shared" si="2255"/>
        <v>5.1292321025628508E-2</v>
      </c>
      <c r="Y925" s="467">
        <f t="shared" si="2255"/>
        <v>-1.0716445141328594E-3</v>
      </c>
      <c r="Z925" s="467">
        <f t="shared" si="2255"/>
        <v>3.7249705139194523E-3</v>
      </c>
      <c r="AA925" s="468">
        <f t="shared" si="2255"/>
        <v>3.2136376405369815E-2</v>
      </c>
      <c r="AB925" s="467">
        <f t="shared" si="2255"/>
        <v>7.2236964546999155E-2</v>
      </c>
      <c r="AC925" s="467">
        <f t="shared" si="2255"/>
        <v>2.4326145721642396E-2</v>
      </c>
      <c r="AD925" s="467">
        <f t="shared" si="2255"/>
        <v>-3.5020886775588797E-3</v>
      </c>
      <c r="AE925" s="469">
        <f t="shared" si="2255"/>
        <v>-9.8159031005056116E-3</v>
      </c>
      <c r="AF925" s="470">
        <f t="shared" si="2255"/>
        <v>2.0762325959267521E-2</v>
      </c>
      <c r="AG925" s="467">
        <f t="shared" ref="AG925:AM925" si="2256">(AG923-AB923)/AB923</f>
        <v>-5.6009960114777588E-2</v>
      </c>
      <c r="AH925" s="467">
        <f t="shared" si="2256"/>
        <v>-1.2748525277509828E-2</v>
      </c>
      <c r="AI925" s="467">
        <f t="shared" si="2256"/>
        <v>-6.8942178154241252E-2</v>
      </c>
      <c r="AJ925" s="467">
        <f t="shared" si="2256"/>
        <v>-1.6959817904501021E-2</v>
      </c>
      <c r="AK925" s="470">
        <f t="shared" si="2256"/>
        <v>-3.8951926823759787E-2</v>
      </c>
      <c r="AL925" s="467">
        <f t="shared" si="2256"/>
        <v>-4.3859678103885615E-2</v>
      </c>
      <c r="AM925" s="467">
        <f t="shared" si="2256"/>
        <v>1.3210462356816876E-2</v>
      </c>
      <c r="AN925" s="540">
        <v>1.4999999999999999E-2</v>
      </c>
      <c r="AO925" s="469">
        <f>AN925</f>
        <v>1.4999999999999999E-2</v>
      </c>
      <c r="AP925" s="470">
        <f>(AP923-AK923)/AK923</f>
        <v>-6.2745960657323264E-4</v>
      </c>
      <c r="AQ925" s="1667">
        <v>-0.05</v>
      </c>
      <c r="AR925" s="540">
        <v>-0.2</v>
      </c>
      <c r="AS925" s="540">
        <v>-0.15</v>
      </c>
      <c r="AT925" s="1668">
        <v>-0.1</v>
      </c>
      <c r="AU925" s="1689">
        <f>(AU923-AP923)/AP923</f>
        <v>-0.12577777739459245</v>
      </c>
      <c r="AV925" s="1667">
        <v>-0.05</v>
      </c>
      <c r="AW925" s="540">
        <v>-1.4999999999999999E-2</v>
      </c>
      <c r="AX925" s="540">
        <v>0.03</v>
      </c>
      <c r="AY925" s="1668">
        <v>-0.15</v>
      </c>
      <c r="AZ925" s="1689">
        <f>(AZ923-AU923)/AU923</f>
        <v>-4.8699236972090311E-2</v>
      </c>
      <c r="BA925" s="1667">
        <v>-0.05</v>
      </c>
      <c r="BB925" s="540">
        <v>-0.03</v>
      </c>
      <c r="BC925" s="540">
        <v>-0.04</v>
      </c>
      <c r="BD925" s="1668">
        <v>0.02</v>
      </c>
      <c r="BE925" s="1868">
        <f>(BE923-AZ923)/AZ923</f>
        <v>-2.6345208561660467E-2</v>
      </c>
      <c r="BF925" s="540">
        <v>-0.02</v>
      </c>
      <c r="BG925" s="540">
        <v>0.02</v>
      </c>
      <c r="BH925" s="540">
        <v>7.4999999999999997E-2</v>
      </c>
      <c r="BI925" s="540">
        <v>7.4999999999999997E-2</v>
      </c>
      <c r="BJ925" s="1689">
        <f>(BJ923-BE923)/BE923</f>
        <v>3.6703431585172808E-2</v>
      </c>
      <c r="BK925" s="540">
        <v>7.4999999999999997E-2</v>
      </c>
      <c r="BL925" s="540">
        <v>0</v>
      </c>
      <c r="BM925" s="540">
        <v>0.04</v>
      </c>
      <c r="BN925" s="540">
        <v>0.06</v>
      </c>
      <c r="BO925" s="1689">
        <f>(BO923-BJ923)/BJ923</f>
        <v>4.4002260624956442E-2</v>
      </c>
      <c r="BP925" s="540">
        <v>-0.02</v>
      </c>
      <c r="BQ925" s="540">
        <v>0.01</v>
      </c>
      <c r="BR925" s="540">
        <v>3.5000000000000003E-2</v>
      </c>
      <c r="BS925" s="540">
        <v>0.1</v>
      </c>
      <c r="BT925" s="470">
        <f>(BT923-BO923)/BO923</f>
        <v>3.1812386506442324E-2</v>
      </c>
      <c r="BU925" s="540">
        <v>0.1</v>
      </c>
      <c r="BV925" s="540">
        <v>5.0000000000000001E-3</v>
      </c>
      <c r="BW925" s="540">
        <v>0</v>
      </c>
      <c r="BX925" s="540">
        <v>5.0000000000000001E-3</v>
      </c>
      <c r="BY925" s="470">
        <f>(BY923-BT923)/BT923</f>
        <v>2.6625912961894514E-2</v>
      </c>
      <c r="BZ925" s="539">
        <v>-1.4999999999999999E-2</v>
      </c>
      <c r="CA925" s="539">
        <v>0.01</v>
      </c>
      <c r="CB925" s="539">
        <v>-0.03</v>
      </c>
      <c r="CC925" s="539">
        <v>-0.03</v>
      </c>
      <c r="CD925" s="539">
        <v>0.01</v>
      </c>
      <c r="CE925" s="539">
        <v>0.01</v>
      </c>
      <c r="CF925" s="539">
        <v>0.01</v>
      </c>
      <c r="CG925" s="492"/>
      <c r="CH925" s="492"/>
      <c r="CI925" s="492"/>
      <c r="CJ925" s="492"/>
      <c r="CK925" s="492"/>
      <c r="CL925" s="1310" t="str">
        <f t="shared" si="2234"/>
        <v>% growth (y-o-y)</v>
      </c>
      <c r="CM925" s="469" t="str">
        <f t="shared" si="2235"/>
        <v xml:space="preserve">n/a </v>
      </c>
      <c r="CN925" s="469">
        <f t="shared" si="2236"/>
        <v>3.0510662274484908E-2</v>
      </c>
      <c r="CO925" s="469">
        <f t="shared" si="2237"/>
        <v>-2.0785436372159093E-2</v>
      </c>
      <c r="CP925" s="469">
        <f t="shared" si="2238"/>
        <v>0.145724794000507</v>
      </c>
      <c r="CQ925" s="469">
        <f t="shared" si="2239"/>
        <v>3.2136376405369815E-2</v>
      </c>
      <c r="CR925" s="469">
        <f t="shared" si="2240"/>
        <v>2.0762325959267521E-2</v>
      </c>
      <c r="CS925" s="469">
        <f t="shared" si="2241"/>
        <v>-3.8951926823759787E-2</v>
      </c>
      <c r="CT925" s="469">
        <f t="shared" si="2242"/>
        <v>-6.2745960657323264E-4</v>
      </c>
      <c r="CU925" s="469">
        <f t="shared" si="2243"/>
        <v>-0.12577777739459245</v>
      </c>
      <c r="CV925" s="469">
        <f t="shared" si="2244"/>
        <v>-4.8699236972090311E-2</v>
      </c>
      <c r="CW925" s="469">
        <f t="shared" si="2245"/>
        <v>-2.6345208561660467E-2</v>
      </c>
      <c r="CX925" s="469">
        <f t="shared" si="2246"/>
        <v>3.6703431585172808E-2</v>
      </c>
      <c r="CY925" s="469">
        <f t="shared" si="2247"/>
        <v>4.4002260624956442E-2</v>
      </c>
      <c r="CZ925" s="469">
        <f t="shared" si="2248"/>
        <v>3.1812386506442324E-2</v>
      </c>
      <c r="DA925" s="469">
        <f t="shared" si="2249"/>
        <v>2.6625912961894514E-2</v>
      </c>
      <c r="DB925" s="469">
        <f t="shared" si="2249"/>
        <v>-1.4999999999999999E-2</v>
      </c>
      <c r="DC925" s="1463">
        <f t="shared" si="2249"/>
        <v>0.01</v>
      </c>
      <c r="DD925" s="492"/>
      <c r="DE925" s="492"/>
      <c r="DF925" s="962"/>
      <c r="DG925" s="962"/>
      <c r="DH925" s="469"/>
      <c r="DI925" s="3213"/>
      <c r="DJ925" s="962"/>
      <c r="DK925" s="962"/>
      <c r="DL925" s="962"/>
      <c r="DM925" s="962"/>
      <c r="DN925" s="962"/>
      <c r="DO925" s="962"/>
      <c r="DP925" s="962"/>
      <c r="DQ925" s="962"/>
      <c r="DR925" s="963"/>
      <c r="DS925" s="963"/>
      <c r="DT925" s="963"/>
    </row>
    <row r="926" spans="1:124" ht="12" customHeight="1" x14ac:dyDescent="0.25">
      <c r="A926" s="311" t="s">
        <v>2161</v>
      </c>
      <c r="B926" s="281"/>
      <c r="C926" s="476">
        <f>Taxes!C148</f>
        <v>11.360496999999999</v>
      </c>
      <c r="D926" s="476">
        <f>Taxes!D148</f>
        <v>11.180022999999998</v>
      </c>
      <c r="E926" s="476">
        <f>Taxes!E148</f>
        <v>11.111566999999999</v>
      </c>
      <c r="F926" s="476">
        <f>Taxes!F148</f>
        <v>11.019148999999999</v>
      </c>
      <c r="G926" s="477">
        <f>Taxes!G148</f>
        <v>44.671235999999993</v>
      </c>
      <c r="H926" s="476">
        <f>Taxes!H148</f>
        <v>11.520549835000001</v>
      </c>
      <c r="I926" s="476">
        <f>Taxes!I148</f>
        <v>11.446005835000001</v>
      </c>
      <c r="J926" s="476">
        <f>Taxes!J148</f>
        <v>11.358947835</v>
      </c>
      <c r="K926" s="476">
        <f>Taxes!K148</f>
        <v>11.263145835</v>
      </c>
      <c r="L926" s="477">
        <f>Taxes!L148</f>
        <v>45.588649340000003</v>
      </c>
      <c r="M926" s="476">
        <f>Taxes!M148</f>
        <v>12.126896681874999</v>
      </c>
      <c r="N926" s="476">
        <f>Taxes!N148</f>
        <v>12.169898681875001</v>
      </c>
      <c r="O926" s="476">
        <f>Taxes!O148</f>
        <v>12.308662681874999</v>
      </c>
      <c r="P926" s="476">
        <f>Taxes!P148</f>
        <v>12.303090681875</v>
      </c>
      <c r="Q926" s="477">
        <f>Taxes!Q148</f>
        <v>48.908548727500005</v>
      </c>
      <c r="R926" s="476">
        <f>Taxes!R148</f>
        <v>13.591617200000002</v>
      </c>
      <c r="S926" s="476">
        <f>Taxes!S148</f>
        <v>13.6521872</v>
      </c>
      <c r="T926" s="476">
        <f>Taxes!T148</f>
        <v>13.762933200000001</v>
      </c>
      <c r="U926" s="476">
        <f>Taxes!U148</f>
        <v>13.667967200000001</v>
      </c>
      <c r="V926" s="477">
        <f>Taxes!V148</f>
        <v>54.674704800000001</v>
      </c>
      <c r="W926" s="476">
        <f>Taxes!W148</f>
        <v>14.386928104375</v>
      </c>
      <c r="X926" s="476">
        <f>Taxes!X148</f>
        <v>14.321654104375</v>
      </c>
      <c r="Y926" s="476">
        <f>Taxes!Y148</f>
        <v>14.383536104375001</v>
      </c>
      <c r="Z926" s="476">
        <f>Taxes!Z148</f>
        <v>14.442764104375001</v>
      </c>
      <c r="AA926" s="477">
        <f>Taxes!AA148</f>
        <v>57.5348824175</v>
      </c>
      <c r="AB926" s="476">
        <f>Taxes!AB148</f>
        <v>15.474</v>
      </c>
      <c r="AC926" s="476">
        <f>Taxes!AC148</f>
        <v>15.326000000000001</v>
      </c>
      <c r="AD926" s="476">
        <f>Taxes!AD148</f>
        <v>15.322000000000001</v>
      </c>
      <c r="AE926" s="476">
        <f>Taxes!AE148</f>
        <v>15.242000000000001</v>
      </c>
      <c r="AF926" s="477">
        <f>Taxes!AF148</f>
        <v>61.364000000000004</v>
      </c>
      <c r="AG926" s="476">
        <f>Taxes!AG148</f>
        <v>14.788973555</v>
      </c>
      <c r="AH926" s="476">
        <f>Taxes!AH148</f>
        <v>14.701319555000001</v>
      </c>
      <c r="AI926" s="476">
        <f>Taxes!AI148</f>
        <v>14.840273555</v>
      </c>
      <c r="AJ926" s="476">
        <f>Taxes!AJ148</f>
        <v>14.755425555</v>
      </c>
      <c r="AK926" s="477">
        <f>Taxes!AK148</f>
        <v>59.085992220000001</v>
      </c>
      <c r="AL926" s="476">
        <f>Taxes!AL148</f>
        <v>14.890422559999999</v>
      </c>
      <c r="AM926" s="476">
        <f>Taxes!AM148</f>
        <v>14.877134559999998</v>
      </c>
      <c r="AN926" s="476">
        <f>Taxes!AN148</f>
        <v>14.952634559999998</v>
      </c>
      <c r="AO926" s="476">
        <f>Taxes!AO148</f>
        <v>14.875210559999999</v>
      </c>
      <c r="AP926" s="478">
        <f>Taxes!AP148</f>
        <v>59.595402239999999</v>
      </c>
      <c r="AQ926" s="478">
        <f>Taxes!AQ148</f>
        <v>12.1991141516</v>
      </c>
      <c r="AR926" s="476">
        <f>Taxes!AR148</f>
        <v>11.825268151600001</v>
      </c>
      <c r="AS926" s="476">
        <f>Taxes!AS148</f>
        <v>11.885684151600001</v>
      </c>
      <c r="AT926" s="476">
        <f>Taxes!AT148</f>
        <v>11.833020151600001</v>
      </c>
      <c r="AU926" s="1464">
        <f>Taxes!AU148</f>
        <v>47.743086606400006</v>
      </c>
      <c r="AV926" s="1865">
        <f>Taxes!AV148</f>
        <v>11.219083162099999</v>
      </c>
      <c r="AW926" s="1771">
        <f>Taxes!AW148</f>
        <v>11.134697162099998</v>
      </c>
      <c r="AX926" s="1771">
        <f>Taxes!AX148</f>
        <v>11.081973162099999</v>
      </c>
      <c r="AY926" s="1866">
        <f>Taxes!AY148</f>
        <v>10.826695162099998</v>
      </c>
      <c r="AZ926" s="1464">
        <f>Taxes!AZ148</f>
        <v>44.262448648399996</v>
      </c>
      <c r="BA926" s="1865">
        <f>Taxes!BA148</f>
        <v>10.489943526099999</v>
      </c>
      <c r="BB926" s="1771">
        <f>Taxes!BB148</f>
        <v>10.458589526100001</v>
      </c>
      <c r="BC926" s="1771">
        <f>Taxes!BC148</f>
        <v>10.3905575261</v>
      </c>
      <c r="BD926" s="1866">
        <f>Taxes!BD148</f>
        <v>10.4361635261</v>
      </c>
      <c r="BE926" s="1866">
        <f>Taxes!BE148</f>
        <v>41.775254104399998</v>
      </c>
      <c r="BF926" s="1771">
        <f>Taxes!BF148</f>
        <v>10.81886618725</v>
      </c>
      <c r="BG926" s="1771">
        <f>Taxes!BG148</f>
        <v>10.77719418725</v>
      </c>
      <c r="BH926" s="1771">
        <f>Taxes!BH148</f>
        <v>10.78656218725</v>
      </c>
      <c r="BI926" s="1866">
        <f>Taxes!BI148</f>
        <v>10.775852187249999</v>
      </c>
      <c r="BJ926" s="1866">
        <f>Taxes!BJ148</f>
        <v>43.158474749</v>
      </c>
      <c r="BK926" s="1771">
        <f>Taxes!BK148</f>
        <v>11.392580521399999</v>
      </c>
      <c r="BL926" s="1771">
        <f>Taxes!BL148</f>
        <v>11.304028521399998</v>
      </c>
      <c r="BM926" s="1771">
        <f>Taxes!BM148</f>
        <v>11.320840521399997</v>
      </c>
      <c r="BN926" s="1866">
        <f>Taxes!BN148</f>
        <v>11.235646521399998</v>
      </c>
      <c r="BO926" s="1866">
        <f>Taxes!BO148</f>
        <v>45.253096085599992</v>
      </c>
      <c r="BP926" s="1771">
        <f>Taxes!BP148</f>
        <v>11.7878617613</v>
      </c>
      <c r="BQ926" s="1771">
        <f>Taxes!BQ148</f>
        <v>11.7955957613</v>
      </c>
      <c r="BR926" s="1771">
        <f>Taxes!BR148</f>
        <v>11.8245637613</v>
      </c>
      <c r="BS926" s="1771">
        <f>Taxes!BS148</f>
        <v>11.7833237613</v>
      </c>
      <c r="BT926" s="2604">
        <f>Taxes!BT148</f>
        <v>47.191345045199995</v>
      </c>
      <c r="BU926" s="1771">
        <f>Taxes!BU148</f>
        <v>12.221747790310653</v>
      </c>
      <c r="BV926" s="1771">
        <f>Taxes!BV148</f>
        <v>12.181706975768</v>
      </c>
      <c r="BW926" s="1771">
        <f>Taxes!BW148</f>
        <v>12.194654095768</v>
      </c>
      <c r="BX926" s="1771">
        <f>Taxes!BX148</f>
        <v>12.152589295767999</v>
      </c>
      <c r="BY926" s="2604">
        <f>Taxes!BY148</f>
        <v>48.75069815761465</v>
      </c>
      <c r="BZ926" s="477">
        <f>Taxes!BZ148</f>
        <v>49.253205139190804</v>
      </c>
      <c r="CA926" s="477">
        <f>Taxes!CA148</f>
        <v>49.253205139190804</v>
      </c>
      <c r="CB926" s="477">
        <f>Taxes!CB148</f>
        <v>46.715544882231256</v>
      </c>
      <c r="CC926" s="477">
        <f>Taxes!CC148</f>
        <v>44.304767638119692</v>
      </c>
      <c r="CD926" s="477">
        <f>Taxes!CD148</f>
        <v>45.22086299088209</v>
      </c>
      <c r="CE926" s="477">
        <f>Taxes!CE148</f>
        <v>46.155280250699732</v>
      </c>
      <c r="CF926" s="477">
        <f>Taxes!CF148</f>
        <v>47.108385855713721</v>
      </c>
      <c r="CG926" s="331"/>
      <c r="CH926" s="331"/>
      <c r="CI926" s="331"/>
      <c r="CJ926" s="331"/>
      <c r="CK926" s="331"/>
      <c r="CL926" s="528" t="str">
        <f t="shared" si="2234"/>
        <v>Tax expense</v>
      </c>
      <c r="CM926" s="476">
        <f t="shared" si="2235"/>
        <v>44.671235999999993</v>
      </c>
      <c r="CN926" s="476">
        <f t="shared" si="2236"/>
        <v>45.588649340000003</v>
      </c>
      <c r="CO926" s="476">
        <f t="shared" si="2237"/>
        <v>48.908548727500005</v>
      </c>
      <c r="CP926" s="476">
        <f t="shared" si="2238"/>
        <v>54.674704800000001</v>
      </c>
      <c r="CQ926" s="476">
        <f t="shared" si="2239"/>
        <v>57.5348824175</v>
      </c>
      <c r="CR926" s="476">
        <f t="shared" si="2240"/>
        <v>61.364000000000004</v>
      </c>
      <c r="CS926" s="476">
        <f t="shared" si="2241"/>
        <v>59.085992220000001</v>
      </c>
      <c r="CT926" s="476">
        <f t="shared" si="2242"/>
        <v>59.595402239999999</v>
      </c>
      <c r="CU926" s="476">
        <f t="shared" si="2243"/>
        <v>47.743086606400006</v>
      </c>
      <c r="CV926" s="476">
        <f t="shared" si="2244"/>
        <v>44.262448648399996</v>
      </c>
      <c r="CW926" s="476">
        <f t="shared" si="2245"/>
        <v>41.775254104399998</v>
      </c>
      <c r="CX926" s="476">
        <f t="shared" si="2246"/>
        <v>43.158474749</v>
      </c>
      <c r="CY926" s="476">
        <f t="shared" si="2247"/>
        <v>45.253096085599992</v>
      </c>
      <c r="CZ926" s="476">
        <f t="shared" si="2248"/>
        <v>47.191345045199995</v>
      </c>
      <c r="DA926" s="476">
        <f t="shared" si="2249"/>
        <v>48.75069815761465</v>
      </c>
      <c r="DB926" s="476">
        <f t="shared" si="2249"/>
        <v>49.253205139190804</v>
      </c>
      <c r="DC926" s="682">
        <f t="shared" si="2249"/>
        <v>49.253205139190804</v>
      </c>
      <c r="DD926" s="331"/>
      <c r="DE926" s="331"/>
      <c r="DF926" s="502"/>
      <c r="DG926" s="503"/>
      <c r="DH926" s="2577"/>
      <c r="DI926" s="3213"/>
      <c r="DJ926" s="502"/>
      <c r="DK926" s="503"/>
      <c r="DL926" s="502"/>
      <c r="DM926" s="502"/>
      <c r="DN926" s="502"/>
      <c r="DO926" s="502"/>
      <c r="DP926" s="503"/>
      <c r="DQ926" s="503"/>
      <c r="DR926" s="296"/>
      <c r="DS926" s="296"/>
      <c r="DT926" s="296"/>
    </row>
    <row r="927" spans="1:124" ht="12" customHeight="1" x14ac:dyDescent="0.25">
      <c r="A927" s="465" t="s">
        <v>1810</v>
      </c>
      <c r="B927" s="466"/>
      <c r="C927" s="467">
        <f t="shared" ref="C927:AU927" si="2257">C926/C917</f>
        <v>0.29640202984763092</v>
      </c>
      <c r="D927" s="467">
        <f t="shared" si="2257"/>
        <v>0.30246524903281657</v>
      </c>
      <c r="E927" s="467">
        <f t="shared" si="2257"/>
        <v>0.30882620900500279</v>
      </c>
      <c r="F927" s="467">
        <f t="shared" si="2257"/>
        <v>0.31223680258422826</v>
      </c>
      <c r="G927" s="468">
        <f t="shared" si="2257"/>
        <v>0.30479412125926231</v>
      </c>
      <c r="H927" s="467">
        <f t="shared" si="2257"/>
        <v>0.28955562960263403</v>
      </c>
      <c r="I927" s="467">
        <f t="shared" si="2257"/>
        <v>0.29940636257814751</v>
      </c>
      <c r="J927" s="467">
        <f t="shared" si="2257"/>
        <v>0.3236251341213176</v>
      </c>
      <c r="K927" s="467">
        <f t="shared" si="2257"/>
        <v>0.31156370018546448</v>
      </c>
      <c r="L927" s="468">
        <f t="shared" si="2257"/>
        <v>0.30541993091549413</v>
      </c>
      <c r="M927" s="467">
        <f t="shared" si="2257"/>
        <v>0.30046218169076661</v>
      </c>
      <c r="N927" s="467">
        <f t="shared" si="2257"/>
        <v>0.30577634879082921</v>
      </c>
      <c r="O927" s="467">
        <f t="shared" si="2257"/>
        <v>0.29942867746447743</v>
      </c>
      <c r="P927" s="467">
        <f t="shared" si="2257"/>
        <v>0.30050334593732969</v>
      </c>
      <c r="Q927" s="468">
        <f t="shared" si="2257"/>
        <v>0.3015145533090639</v>
      </c>
      <c r="R927" s="467">
        <f t="shared" si="2257"/>
        <v>0.30484682624041359</v>
      </c>
      <c r="S927" s="467">
        <f t="shared" si="2257"/>
        <v>0.30442946488618583</v>
      </c>
      <c r="T927" s="467">
        <f t="shared" si="2257"/>
        <v>0.29540925137069668</v>
      </c>
      <c r="U927" s="467">
        <f t="shared" si="2257"/>
        <v>0.29714213762956299</v>
      </c>
      <c r="V927" s="468">
        <f t="shared" si="2257"/>
        <v>0.30038128075679182</v>
      </c>
      <c r="W927" s="467">
        <f t="shared" si="2257"/>
        <v>0.29733904376481884</v>
      </c>
      <c r="X927" s="467">
        <f t="shared" si="2257"/>
        <v>0.30109089451660692</v>
      </c>
      <c r="Y927" s="467">
        <f t="shared" si="2257"/>
        <v>0.29946403915188125</v>
      </c>
      <c r="Z927" s="467">
        <f t="shared" si="2257"/>
        <v>0.29877070733062167</v>
      </c>
      <c r="AA927" s="468">
        <f t="shared" si="2257"/>
        <v>0.29915751081049341</v>
      </c>
      <c r="AB927" s="467">
        <f t="shared" si="2257"/>
        <v>0.29815028901734103</v>
      </c>
      <c r="AC927" s="467">
        <f t="shared" si="2257"/>
        <v>0.30652000000000001</v>
      </c>
      <c r="AD927" s="467">
        <f t="shared" si="2257"/>
        <v>0.30828973843058349</v>
      </c>
      <c r="AE927" s="469">
        <f t="shared" si="2257"/>
        <v>0.32156118143459916</v>
      </c>
      <c r="AF927" s="470">
        <f t="shared" si="2257"/>
        <v>0.30836180904522609</v>
      </c>
      <c r="AG927" s="467">
        <f t="shared" si="2257"/>
        <v>0.30367502166324434</v>
      </c>
      <c r="AH927" s="467">
        <f t="shared" si="2257"/>
        <v>0.30500662977178422</v>
      </c>
      <c r="AI927" s="467">
        <f t="shared" si="2257"/>
        <v>0.31169007477588501</v>
      </c>
      <c r="AJ927" s="469">
        <f t="shared" si="2257"/>
        <v>0.30958552267942813</v>
      </c>
      <c r="AK927" s="470">
        <f t="shared" si="2257"/>
        <v>0.30746067117966708</v>
      </c>
      <c r="AL927" s="467">
        <f t="shared" si="2257"/>
        <v>0.30791561498753367</v>
      </c>
      <c r="AM927" s="467">
        <f t="shared" si="2257"/>
        <v>0.30024268358063555</v>
      </c>
      <c r="AN927" s="467">
        <f t="shared" si="2257"/>
        <v>0.30763932942657013</v>
      </c>
      <c r="AO927" s="469">
        <f t="shared" si="2257"/>
        <v>0.30925689478747032</v>
      </c>
      <c r="AP927" s="471">
        <f t="shared" si="2257"/>
        <v>0.30622451943500051</v>
      </c>
      <c r="AQ927" s="471">
        <f t="shared" si="2257"/>
        <v>0.27367491355175738</v>
      </c>
      <c r="AR927" s="469">
        <f t="shared" si="2257"/>
        <v>0.31489700560461248</v>
      </c>
      <c r="AS927" s="469">
        <f t="shared" si="2257"/>
        <v>0.31076747175663577</v>
      </c>
      <c r="AT927" s="469">
        <f t="shared" si="2257"/>
        <v>0.31949831661084166</v>
      </c>
      <c r="AU927" s="1689">
        <f t="shared" si="2257"/>
        <v>0.30330307210830576</v>
      </c>
      <c r="AV927" s="1730">
        <f t="shared" ref="AV927:BJ927" si="2258">AV926/AV917</f>
        <v>0.28541315333656814</v>
      </c>
      <c r="AW927" s="1465">
        <f t="shared" si="2258"/>
        <v>0.29107283476957946</v>
      </c>
      <c r="AX927" s="1465">
        <f t="shared" si="2258"/>
        <v>0.3035575553324289</v>
      </c>
      <c r="AY927" s="1868">
        <f t="shared" si="2258"/>
        <v>0.31908206228126557</v>
      </c>
      <c r="AZ927" s="1689">
        <f t="shared" si="2258"/>
        <v>0.29907068720152841</v>
      </c>
      <c r="BA927" s="1730">
        <f t="shared" si="2258"/>
        <v>0.28879391050220771</v>
      </c>
      <c r="BB927" s="1465">
        <f t="shared" si="2258"/>
        <v>0.28909843159595677</v>
      </c>
      <c r="BC927" s="1465">
        <f t="shared" si="2258"/>
        <v>0.30618661525827801</v>
      </c>
      <c r="BD927" s="1868">
        <f t="shared" si="2258"/>
        <v>0.29998343580719228</v>
      </c>
      <c r="BE927" s="1868">
        <f t="shared" si="2258"/>
        <v>0.29580770293831077</v>
      </c>
      <c r="BF927" s="1465">
        <f t="shared" si="2258"/>
        <v>0.29886939847581806</v>
      </c>
      <c r="BG927" s="1465">
        <f t="shared" si="2258"/>
        <v>0.2923145034695746</v>
      </c>
      <c r="BH927" s="1465">
        <f t="shared" si="2258"/>
        <v>0.29501427906553435</v>
      </c>
      <c r="BI927" s="1868">
        <f t="shared" si="2258"/>
        <v>0.29338503648807823</v>
      </c>
      <c r="BJ927" s="1868">
        <f t="shared" si="2258"/>
        <v>0.29487882499540546</v>
      </c>
      <c r="BK927" s="1465">
        <f t="shared" ref="BK927:BU927" si="2259">BK926/BK917</f>
        <v>0.29269914333309738</v>
      </c>
      <c r="BL927" s="1465">
        <f t="shared" si="2259"/>
        <v>0.29669366197900254</v>
      </c>
      <c r="BM927" s="1465">
        <f t="shared" si="2259"/>
        <v>0.291774240242268</v>
      </c>
      <c r="BN927" s="1868">
        <f t="shared" si="2259"/>
        <v>0.29862678709674811</v>
      </c>
      <c r="BO927" s="1868">
        <f t="shared" si="2259"/>
        <v>0.29491051994322615</v>
      </c>
      <c r="BP927" s="1465">
        <f t="shared" si="2259"/>
        <v>0.29832627572728759</v>
      </c>
      <c r="BQ927" s="1465">
        <f t="shared" si="2259"/>
        <v>0.29726535051505903</v>
      </c>
      <c r="BR927" s="1465">
        <f t="shared" si="2259"/>
        <v>0.29037913770386337</v>
      </c>
      <c r="BS927" s="1465">
        <f t="shared" si="2259"/>
        <v>0.28199008973526718</v>
      </c>
      <c r="BT927" s="470">
        <f t="shared" si="2259"/>
        <v>0.29184306026360296</v>
      </c>
      <c r="BU927" s="1465">
        <f t="shared" si="2259"/>
        <v>0.29205953318681799</v>
      </c>
      <c r="BV927" s="1465">
        <f t="shared" ref="BV927:CF927" si="2260">BV926/BV917</f>
        <v>0.29805426009491809</v>
      </c>
      <c r="BW927" s="1465">
        <f t="shared" si="2260"/>
        <v>0.29359563738015648</v>
      </c>
      <c r="BX927" s="1465">
        <f t="shared" si="2260"/>
        <v>0.28512459687461966</v>
      </c>
      <c r="BY927" s="470">
        <f t="shared" si="2260"/>
        <v>0.29213881975716066</v>
      </c>
      <c r="BZ927" s="470">
        <f t="shared" si="2260"/>
        <v>0.29222781736143916</v>
      </c>
      <c r="CA927" s="470">
        <f t="shared" si="2260"/>
        <v>0.29222781736143916</v>
      </c>
      <c r="CB927" s="470">
        <f t="shared" si="2260"/>
        <v>0.2917594089178685</v>
      </c>
      <c r="CC927" s="470">
        <f t="shared" si="2260"/>
        <v>0.29126634739832047</v>
      </c>
      <c r="CD927" s="470">
        <f t="shared" si="2260"/>
        <v>0.29145970485696676</v>
      </c>
      <c r="CE927" s="470">
        <f t="shared" si="2260"/>
        <v>0.2916492709928945</v>
      </c>
      <c r="CF927" s="470">
        <f t="shared" si="2260"/>
        <v>0.29183512014576479</v>
      </c>
      <c r="CG927" s="492"/>
      <c r="CH927" s="492"/>
      <c r="CI927" s="492"/>
      <c r="CJ927" s="492"/>
      <c r="CK927" s="492"/>
      <c r="CL927" s="1310" t="str">
        <f t="shared" si="2234"/>
        <v>% of Gaming revenue</v>
      </c>
      <c r="CM927" s="469">
        <f t="shared" si="2235"/>
        <v>0.30479412125926231</v>
      </c>
      <c r="CN927" s="469">
        <f t="shared" si="2236"/>
        <v>0.30541993091549413</v>
      </c>
      <c r="CO927" s="469">
        <f t="shared" si="2237"/>
        <v>0.3015145533090639</v>
      </c>
      <c r="CP927" s="469">
        <f t="shared" si="2238"/>
        <v>0.30038128075679182</v>
      </c>
      <c r="CQ927" s="469">
        <f t="shared" si="2239"/>
        <v>0.29915751081049341</v>
      </c>
      <c r="CR927" s="469">
        <f t="shared" si="2240"/>
        <v>0.30836180904522609</v>
      </c>
      <c r="CS927" s="469">
        <f t="shared" si="2241"/>
        <v>0.30746067117966708</v>
      </c>
      <c r="CT927" s="469">
        <f t="shared" si="2242"/>
        <v>0.30622451943500051</v>
      </c>
      <c r="CU927" s="469">
        <f t="shared" si="2243"/>
        <v>0.30330307210830576</v>
      </c>
      <c r="CV927" s="469">
        <f t="shared" si="2244"/>
        <v>0.29907068720152841</v>
      </c>
      <c r="CW927" s="469">
        <f t="shared" si="2245"/>
        <v>0.29580770293831077</v>
      </c>
      <c r="CX927" s="469">
        <f t="shared" si="2246"/>
        <v>0.29487882499540546</v>
      </c>
      <c r="CY927" s="469">
        <f t="shared" si="2247"/>
        <v>0.29491051994322615</v>
      </c>
      <c r="CZ927" s="469">
        <f t="shared" si="2248"/>
        <v>0.29184306026360296</v>
      </c>
      <c r="DA927" s="469">
        <f t="shared" si="2249"/>
        <v>0.29213881975716066</v>
      </c>
      <c r="DB927" s="469">
        <f t="shared" si="2249"/>
        <v>0.29222781736143916</v>
      </c>
      <c r="DC927" s="1463">
        <f t="shared" si="2249"/>
        <v>0.29222781736143916</v>
      </c>
      <c r="DD927" s="492"/>
      <c r="DE927" s="492"/>
      <c r="DF927" s="962"/>
      <c r="DG927" s="962"/>
      <c r="DH927" s="469"/>
      <c r="DI927" s="3213"/>
      <c r="DJ927" s="962"/>
      <c r="DK927" s="962"/>
      <c r="DL927" s="962"/>
      <c r="DM927" s="962"/>
      <c r="DN927" s="962"/>
      <c r="DO927" s="962"/>
      <c r="DP927" s="962"/>
      <c r="DQ927" s="962"/>
      <c r="DR927" s="963"/>
      <c r="DS927" s="963"/>
      <c r="DT927" s="963"/>
    </row>
    <row r="928" spans="1:124" ht="12" customHeight="1" x14ac:dyDescent="0.25">
      <c r="A928" s="311" t="s">
        <v>2162</v>
      </c>
      <c r="B928" s="281"/>
      <c r="C928" s="452">
        <f>C920-C930</f>
        <v>26.085000000000001</v>
      </c>
      <c r="D928" s="452">
        <f>D920-D930</f>
        <v>25.117000000000001</v>
      </c>
      <c r="E928" s="452">
        <f>E920-E930</f>
        <v>24.283999999999999</v>
      </c>
      <c r="F928" s="452">
        <f>F920-F930</f>
        <v>23.709999999999997</v>
      </c>
      <c r="G928" s="475">
        <f>SUM(C928:F928)</f>
        <v>99.195999999999984</v>
      </c>
      <c r="H928" s="452">
        <f>H920-H930</f>
        <v>25.251000000000001</v>
      </c>
      <c r="I928" s="452">
        <f>I920-I930</f>
        <v>25.629000000000001</v>
      </c>
      <c r="J928" s="452">
        <f>J920-J930</f>
        <v>24.235999999999997</v>
      </c>
      <c r="K928" s="452">
        <f>K920-K930</f>
        <v>26.660999999999998</v>
      </c>
      <c r="L928" s="475">
        <f>SUM(H928:K928)</f>
        <v>101.777</v>
      </c>
      <c r="M928" s="452">
        <f>M920-M930</f>
        <v>25.836999999999996</v>
      </c>
      <c r="N928" s="452">
        <f>N920-N930</f>
        <v>25.164000000000001</v>
      </c>
      <c r="O928" s="452">
        <f>O920-O930</f>
        <v>26.5</v>
      </c>
      <c r="P928" s="452">
        <f>P920-P930</f>
        <v>26.428000000000004</v>
      </c>
      <c r="Q928" s="475">
        <f>SUM(M928:P928)</f>
        <v>103.929</v>
      </c>
      <c r="R928" s="452">
        <f>R920-R930</f>
        <v>28.649000000000001</v>
      </c>
      <c r="S928" s="452">
        <f>S920-S930</f>
        <v>29.044999999999998</v>
      </c>
      <c r="T928" s="452">
        <f>T920-T930</f>
        <v>30.189</v>
      </c>
      <c r="U928" s="452">
        <f>U920-U930</f>
        <v>29.83</v>
      </c>
      <c r="V928" s="475">
        <f>SUM(R928:U928)</f>
        <v>117.71300000000001</v>
      </c>
      <c r="W928" s="452">
        <f>W920-W930</f>
        <v>30.638000000000002</v>
      </c>
      <c r="X928" s="452">
        <f>X920-X930</f>
        <v>30.504000000000001</v>
      </c>
      <c r="Y928" s="452">
        <f>Y920-Y930</f>
        <v>30.792000000000002</v>
      </c>
      <c r="Z928" s="452">
        <f>Z920-Z930</f>
        <v>30.664999999999999</v>
      </c>
      <c r="AA928" s="475">
        <f>SUM(W928:Z928)</f>
        <v>122.59899999999999</v>
      </c>
      <c r="AB928" s="452">
        <f>AB920-AB930</f>
        <v>32.899000000000001</v>
      </c>
      <c r="AC928" s="452">
        <f>AC920-AC930</f>
        <v>31.901999999999997</v>
      </c>
      <c r="AD928" s="452">
        <f>AD920-AD930</f>
        <v>31.673000000000002</v>
      </c>
      <c r="AE928" s="452">
        <f>AE920-AE930</f>
        <v>31.305</v>
      </c>
      <c r="AF928" s="477">
        <f>SUM(AB928:AE928)</f>
        <v>127.779</v>
      </c>
      <c r="AG928" s="452">
        <f>AG920-AG930</f>
        <v>31.238</v>
      </c>
      <c r="AH928" s="452">
        <f>AH920-AH930</f>
        <v>31.065999999999995</v>
      </c>
      <c r="AI928" s="452">
        <f>AI920-AI930</f>
        <v>30.064</v>
      </c>
      <c r="AJ928" s="452">
        <f>AJ920-AJ930</f>
        <v>30.545999999999999</v>
      </c>
      <c r="AK928" s="477">
        <f>SUM(AG928:AJ928)</f>
        <v>122.91399999999999</v>
      </c>
      <c r="AL928" s="452">
        <f>AL920-AL930</f>
        <v>30.617999999999999</v>
      </c>
      <c r="AM928" s="452">
        <f>AM920-AM930</f>
        <v>31.458000000000002</v>
      </c>
      <c r="AN928" s="452">
        <f>AN923+AN926</f>
        <v>30.404716901674995</v>
      </c>
      <c r="AO928" s="452">
        <f>AO923+AO926</f>
        <v>30.902643621674997</v>
      </c>
      <c r="AP928" s="478">
        <f>SUM(AL928:AO928)</f>
        <v>123.38336052334999</v>
      </c>
      <c r="AQ928" s="478">
        <f>AQ923+AQ926</f>
        <v>27.140312719599997</v>
      </c>
      <c r="AR928" s="476">
        <f>AR923+AR926</f>
        <v>25.089960503600004</v>
      </c>
      <c r="AS928" s="476">
        <f>AS923+AS926</f>
        <v>25.019954142023749</v>
      </c>
      <c r="AT928" s="476">
        <f>AT923+AT926</f>
        <v>26.2577099071075</v>
      </c>
      <c r="AU928" s="1695">
        <f>SUM(AQ928:AT928)</f>
        <v>103.50793727233125</v>
      </c>
      <c r="AV928" s="1914">
        <f>AV923+AV926</f>
        <v>25.413221801699997</v>
      </c>
      <c r="AW928" s="1842">
        <f>AW923+AW926</f>
        <v>24.200419128820002</v>
      </c>
      <c r="AX928" s="1842">
        <f>AX923+AX926</f>
        <v>24.610271252236458</v>
      </c>
      <c r="AY928" s="1908">
        <f>AY923+AY926</f>
        <v>23.087681454281373</v>
      </c>
      <c r="AZ928" s="1695">
        <f>SUM(AV928:AY928)</f>
        <v>97.311593637037845</v>
      </c>
      <c r="BA928" s="1914">
        <f>BA923+BA926</f>
        <v>23.974375233719996</v>
      </c>
      <c r="BB928" s="1842">
        <f>BB923+BB926</f>
        <v>23.132339833818406</v>
      </c>
      <c r="BC928" s="1842">
        <f>BC923+BC926</f>
        <v>23.377723692631001</v>
      </c>
      <c r="BD928" s="1908">
        <f>BD923+BD926</f>
        <v>22.942369544125</v>
      </c>
      <c r="BE928" s="1908">
        <f>SUM(BA928:BD928)</f>
        <v>93.426808304294411</v>
      </c>
      <c r="BF928" s="1842">
        <f>BF923+BF926</f>
        <v>24.033609260717597</v>
      </c>
      <c r="BG928" s="1842">
        <f>BG923+BG926</f>
        <v>23.704419501122771</v>
      </c>
      <c r="BH928" s="1842">
        <f>BH923+BH926</f>
        <v>24.747765816270828</v>
      </c>
      <c r="BI928" s="1908">
        <f>BI923+BI926</f>
        <v>24.220023656626875</v>
      </c>
      <c r="BJ928" s="1908">
        <f>SUM(BF928:BI928)</f>
        <v>96.705818234738075</v>
      </c>
      <c r="BK928" s="1842">
        <f>BK923+BK926</f>
        <v>25.598429325377666</v>
      </c>
      <c r="BL928" s="1842">
        <f>BL923+BL926</f>
        <v>24.231253835272767</v>
      </c>
      <c r="BM928" s="1842">
        <f>BM923+BM926</f>
        <v>25.840492295581658</v>
      </c>
      <c r="BN928" s="1908">
        <f>BN923+BN926</f>
        <v>25.486468278939487</v>
      </c>
      <c r="BO928" s="1908">
        <f>SUM(BK928:BN928)</f>
        <v>101.15664373517157</v>
      </c>
      <c r="BP928" s="1842">
        <f>BP923+BP926</f>
        <v>25.709593589198114</v>
      </c>
      <c r="BQ928" s="1842">
        <f>BQ923+BQ926</f>
        <v>24.852093328311497</v>
      </c>
      <c r="BR928" s="1842">
        <f>BR923+BR926</f>
        <v>26.852403347578019</v>
      </c>
      <c r="BS928" s="1842">
        <f>BS923+BS926</f>
        <v>27.459227694593437</v>
      </c>
      <c r="BT928" s="3239">
        <f>SUM(BP928:BS928)</f>
        <v>104.87331795968106</v>
      </c>
      <c r="BU928" s="1842">
        <f>BU923+BU926</f>
        <v>27.535652800998577</v>
      </c>
      <c r="BV928" s="1842">
        <f>BV923+BV926</f>
        <v>25.303487030614555</v>
      </c>
      <c r="BW928" s="1842">
        <f>BW923+BW926</f>
        <v>27.222493682046018</v>
      </c>
      <c r="BX928" s="1842">
        <f>BX923+BX926</f>
        <v>27.906872748727906</v>
      </c>
      <c r="BY928" s="3239">
        <f>SUM(BU928:BX928)</f>
        <v>107.96850626238705</v>
      </c>
      <c r="BZ928" s="475">
        <f t="shared" ref="BZ928:CF928" si="2261">BZ923+BZ926</f>
        <v>107.58274612239163</v>
      </c>
      <c r="CA928" s="475">
        <f t="shared" si="2261"/>
        <v>108.16604153222363</v>
      </c>
      <c r="CB928" s="475">
        <f t="shared" si="2261"/>
        <v>103.86099618347311</v>
      </c>
      <c r="CC928" s="475">
        <f t="shared" si="2261"/>
        <v>99.735855400324283</v>
      </c>
      <c r="CD928" s="475">
        <f t="shared" si="2261"/>
        <v>101.20626163070872</v>
      </c>
      <c r="CE928" s="475">
        <f t="shared" si="2261"/>
        <v>102.70053287692463</v>
      </c>
      <c r="CF928" s="475">
        <f t="shared" si="2261"/>
        <v>104.21909100820086</v>
      </c>
      <c r="CG928" s="331"/>
      <c r="CH928" s="331"/>
      <c r="CI928" s="331"/>
      <c r="CJ928" s="331"/>
      <c r="CK928" s="331"/>
      <c r="CL928" s="528" t="str">
        <f t="shared" si="2234"/>
        <v>Total expenses</v>
      </c>
      <c r="CM928" s="476">
        <f t="shared" si="2235"/>
        <v>99.195999999999984</v>
      </c>
      <c r="CN928" s="476">
        <f t="shared" si="2236"/>
        <v>101.777</v>
      </c>
      <c r="CO928" s="476">
        <f t="shared" si="2237"/>
        <v>103.929</v>
      </c>
      <c r="CP928" s="476">
        <f t="shared" si="2238"/>
        <v>117.71300000000001</v>
      </c>
      <c r="CQ928" s="476">
        <f t="shared" si="2239"/>
        <v>122.59899999999999</v>
      </c>
      <c r="CR928" s="476">
        <f t="shared" si="2240"/>
        <v>127.779</v>
      </c>
      <c r="CS928" s="476">
        <f t="shared" si="2241"/>
        <v>122.91399999999999</v>
      </c>
      <c r="CT928" s="476">
        <f t="shared" si="2242"/>
        <v>123.38336052334999</v>
      </c>
      <c r="CU928" s="476">
        <f t="shared" si="2243"/>
        <v>103.50793727233125</v>
      </c>
      <c r="CV928" s="476">
        <f t="shared" si="2244"/>
        <v>97.311593637037845</v>
      </c>
      <c r="CW928" s="476">
        <f t="shared" si="2245"/>
        <v>93.426808304294411</v>
      </c>
      <c r="CX928" s="476">
        <f t="shared" si="2246"/>
        <v>96.705818234738075</v>
      </c>
      <c r="CY928" s="476">
        <f t="shared" si="2247"/>
        <v>101.15664373517157</v>
      </c>
      <c r="CZ928" s="476">
        <f t="shared" si="2248"/>
        <v>104.87331795968106</v>
      </c>
      <c r="DA928" s="476">
        <f t="shared" si="2249"/>
        <v>107.96850626238705</v>
      </c>
      <c r="DB928" s="476">
        <f t="shared" si="2249"/>
        <v>107.58274612239163</v>
      </c>
      <c r="DC928" s="682">
        <f t="shared" si="2249"/>
        <v>108.16604153222363</v>
      </c>
      <c r="DD928" s="331"/>
      <c r="DE928" s="331"/>
      <c r="DF928" s="502"/>
      <c r="DG928" s="503"/>
      <c r="DH928" s="2577"/>
      <c r="DI928" s="3213"/>
      <c r="DJ928" s="502"/>
      <c r="DK928" s="503"/>
      <c r="DL928" s="502"/>
      <c r="DM928" s="502"/>
      <c r="DN928" s="502"/>
      <c r="DO928" s="502"/>
      <c r="DP928" s="503"/>
      <c r="DQ928" s="503"/>
      <c r="DR928" s="296"/>
      <c r="DS928" s="296"/>
      <c r="DT928" s="296"/>
    </row>
    <row r="929" spans="1:124" ht="5.0999999999999996" customHeight="1" x14ac:dyDescent="0.25">
      <c r="A929" s="281"/>
      <c r="B929" s="281"/>
      <c r="C929" s="305"/>
      <c r="D929" s="305"/>
      <c r="E929" s="305"/>
      <c r="F929" s="305"/>
      <c r="G929" s="440"/>
      <c r="H929" s="305"/>
      <c r="I929" s="305"/>
      <c r="J929" s="305"/>
      <c r="K929" s="305"/>
      <c r="L929" s="440"/>
      <c r="M929" s="305"/>
      <c r="N929" s="305"/>
      <c r="O929" s="305"/>
      <c r="P929" s="305"/>
      <c r="Q929" s="440"/>
      <c r="R929" s="305"/>
      <c r="S929" s="305"/>
      <c r="T929" s="305"/>
      <c r="U929" s="305"/>
      <c r="V929" s="440"/>
      <c r="W929" s="305"/>
      <c r="X929" s="305"/>
      <c r="Y929" s="305"/>
      <c r="Z929" s="305"/>
      <c r="AA929" s="440"/>
      <c r="AB929" s="305"/>
      <c r="AC929" s="305"/>
      <c r="AD929" s="305"/>
      <c r="AE929" s="331"/>
      <c r="AF929" s="441"/>
      <c r="AG929" s="305"/>
      <c r="AH929" s="305"/>
      <c r="AI929" s="305"/>
      <c r="AJ929" s="331"/>
      <c r="AK929" s="441"/>
      <c r="AL929" s="305"/>
      <c r="AM929" s="305"/>
      <c r="AN929" s="305"/>
      <c r="AO929" s="331"/>
      <c r="AP929" s="569"/>
      <c r="AQ929" s="569"/>
      <c r="AR929" s="442"/>
      <c r="AS929" s="442"/>
      <c r="AT929" s="442"/>
      <c r="AU929" s="1690"/>
      <c r="AV929" s="1902"/>
      <c r="AW929" s="1837"/>
      <c r="AX929" s="1837"/>
      <c r="AY929" s="1903"/>
      <c r="AZ929" s="1690"/>
      <c r="BA929" s="1902"/>
      <c r="BB929" s="1837"/>
      <c r="BC929" s="1837"/>
      <c r="BD929" s="1903"/>
      <c r="BE929" s="1903"/>
      <c r="BF929" s="1837"/>
      <c r="BG929" s="1837"/>
      <c r="BH929" s="1837"/>
      <c r="BI929" s="1903"/>
      <c r="BJ929" s="1903"/>
      <c r="BK929" s="1837"/>
      <c r="BL929" s="1837"/>
      <c r="BM929" s="1837"/>
      <c r="BN929" s="1903"/>
      <c r="BO929" s="1903"/>
      <c r="BP929" s="1837"/>
      <c r="BQ929" s="1837"/>
      <c r="BR929" s="1837"/>
      <c r="BS929" s="1837"/>
      <c r="BT929" s="3236"/>
      <c r="BU929" s="1837"/>
      <c r="BV929" s="1837"/>
      <c r="BW929" s="1837"/>
      <c r="BX929" s="1837"/>
      <c r="BY929" s="3236"/>
      <c r="BZ929" s="441"/>
      <c r="CA929" s="441"/>
      <c r="CB929" s="441"/>
      <c r="CC929" s="441"/>
      <c r="CD929" s="441"/>
      <c r="CE929" s="441"/>
      <c r="CF929" s="441"/>
      <c r="CG929" s="331"/>
      <c r="CH929" s="331"/>
      <c r="CI929" s="331"/>
      <c r="CJ929" s="331"/>
      <c r="CK929" s="331"/>
      <c r="CL929" s="520"/>
      <c r="CM929" s="442"/>
      <c r="CN929" s="442"/>
      <c r="CO929" s="442"/>
      <c r="CP929" s="442"/>
      <c r="CQ929" s="442"/>
      <c r="CR929" s="442"/>
      <c r="CS929" s="442"/>
      <c r="CT929" s="442"/>
      <c r="CU929" s="442"/>
      <c r="CV929" s="442"/>
      <c r="CW929" s="442"/>
      <c r="CX929" s="442"/>
      <c r="CY929" s="442"/>
      <c r="CZ929" s="442"/>
      <c r="DA929" s="442"/>
      <c r="DB929" s="442"/>
      <c r="DC929" s="1312"/>
      <c r="DD929" s="331"/>
      <c r="DE929" s="331"/>
      <c r="DF929" s="502"/>
      <c r="DG929" s="503"/>
      <c r="DH929" s="3298"/>
      <c r="DI929" s="3213"/>
      <c r="DJ929" s="502"/>
      <c r="DK929" s="503"/>
      <c r="DL929" s="502"/>
      <c r="DM929" s="502"/>
      <c r="DN929" s="502"/>
      <c r="DO929" s="502"/>
      <c r="DP929" s="503"/>
      <c r="DQ929" s="503"/>
      <c r="DR929" s="296"/>
      <c r="DS929" s="296"/>
      <c r="DT929" s="296"/>
    </row>
    <row r="930" spans="1:124" ht="12" customHeight="1" x14ac:dyDescent="0.25">
      <c r="A930" s="999" t="s">
        <v>2010</v>
      </c>
      <c r="B930" s="1007"/>
      <c r="C930" s="1008">
        <v>11.845000000000001</v>
      </c>
      <c r="D930" s="1008">
        <v>10.709</v>
      </c>
      <c r="E930" s="1008">
        <v>10.563000000000001</v>
      </c>
      <c r="F930" s="1008">
        <v>11.093</v>
      </c>
      <c r="G930" s="1009">
        <f>SUM(C930:F930)</f>
        <v>44.210000000000008</v>
      </c>
      <c r="H930" s="1008">
        <v>11.84</v>
      </c>
      <c r="I930" s="1008">
        <v>10.032</v>
      </c>
      <c r="J930" s="1008">
        <v>9.3629999999999995</v>
      </c>
      <c r="K930" s="1008">
        <v>10.712</v>
      </c>
      <c r="L930" s="1009">
        <f>SUM(H930:K930)</f>
        <v>41.947000000000003</v>
      </c>
      <c r="M930" s="1008">
        <v>13.157999999999999</v>
      </c>
      <c r="N930" s="1008">
        <v>12.443</v>
      </c>
      <c r="O930" s="1008">
        <v>11.499000000000001</v>
      </c>
      <c r="P930" s="1008">
        <v>12.412000000000001</v>
      </c>
      <c r="Q930" s="1009">
        <f>SUM(M930:P930)</f>
        <v>49.512</v>
      </c>
      <c r="R930" s="1008">
        <v>13.066000000000001</v>
      </c>
      <c r="S930" s="1008">
        <v>14.071999999999999</v>
      </c>
      <c r="T930" s="1008">
        <v>14.81</v>
      </c>
      <c r="U930" s="1008">
        <v>14.765000000000001</v>
      </c>
      <c r="V930" s="1009">
        <f>SUM(R930:U930)</f>
        <v>56.713000000000001</v>
      </c>
      <c r="W930" s="1008">
        <v>16.163</v>
      </c>
      <c r="X930" s="1008">
        <v>15.641999999999999</v>
      </c>
      <c r="Y930" s="1008">
        <v>15.673</v>
      </c>
      <c r="Z930" s="1008">
        <v>16.055</v>
      </c>
      <c r="AA930" s="1009">
        <f>SUM(W930:Z930)</f>
        <v>63.533000000000001</v>
      </c>
      <c r="AB930" s="1008">
        <v>17.396000000000001</v>
      </c>
      <c r="AC930" s="1008">
        <v>16.568000000000001</v>
      </c>
      <c r="AD930" s="1008">
        <v>16.866</v>
      </c>
      <c r="AE930" s="1010">
        <v>15.176</v>
      </c>
      <c r="AF930" s="1011">
        <f>SUM(AB930:AE930)</f>
        <v>66.006</v>
      </c>
      <c r="AG930" s="1010">
        <v>17.481000000000002</v>
      </c>
      <c r="AH930" s="1010">
        <v>16.417000000000002</v>
      </c>
      <c r="AI930" s="1010">
        <v>16.128</v>
      </c>
      <c r="AJ930" s="1010">
        <v>16.762</v>
      </c>
      <c r="AK930" s="1011">
        <f>SUM(AG930:AJ930)</f>
        <v>66.788000000000011</v>
      </c>
      <c r="AL930" s="1010">
        <v>17.571999999999999</v>
      </c>
      <c r="AM930" s="1010">
        <v>18.212</v>
      </c>
      <c r="AN930" s="1593">
        <f>AN920-AN928</f>
        <v>18.319349098325013</v>
      </c>
      <c r="AO930" s="1012">
        <f>AO920-AO928</f>
        <v>17.316842378325006</v>
      </c>
      <c r="AP930" s="1013">
        <f>SUM(AL930:AO930)</f>
        <v>71.420191476650018</v>
      </c>
      <c r="AQ930" s="1013">
        <f>AQ920-AQ928</f>
        <v>17.266110810400001</v>
      </c>
      <c r="AR930" s="1012">
        <f>AR920-AR928</f>
        <v>12.582486816399999</v>
      </c>
      <c r="AS930" s="1012">
        <f>AS920-AS928</f>
        <v>13.345910697976258</v>
      </c>
      <c r="AT930" s="1012">
        <f>AT920-AT928</f>
        <v>10.898177042892502</v>
      </c>
      <c r="AU930" s="1691">
        <f>SUM(AQ930:AT930)</f>
        <v>54.092685367668764</v>
      </c>
      <c r="AV930" s="1904">
        <f>AV920-AV928</f>
        <v>12.894998688299999</v>
      </c>
      <c r="AW930" s="1838">
        <f>AW920-AW928</f>
        <v>13.053570361179993</v>
      </c>
      <c r="AX930" s="1838">
        <f>AX920-AX928</f>
        <v>10.896720477763537</v>
      </c>
      <c r="AY930" s="1905">
        <f>AY920-AY928</f>
        <v>9.8430731757186223</v>
      </c>
      <c r="AZ930" s="1691">
        <f>SUM(AV930:AY930)</f>
        <v>46.688362702962152</v>
      </c>
      <c r="BA930" s="1904">
        <f>BA920-BA928</f>
        <v>10.848909796279997</v>
      </c>
      <c r="BB930" s="1838">
        <f>BB920-BB928</f>
        <v>11.544229746181593</v>
      </c>
      <c r="BC930" s="1838">
        <f>BC920-BC928</f>
        <v>9.0576510373689985</v>
      </c>
      <c r="BD930" s="1905">
        <f>BD920-BD928</f>
        <v>10.346763055874995</v>
      </c>
      <c r="BE930" s="1905">
        <f>SUM(BA930:BD930)</f>
        <v>41.797553635705583</v>
      </c>
      <c r="BF930" s="1838">
        <f>BF920-BF928</f>
        <v>10.665701349282408</v>
      </c>
      <c r="BG930" s="1838">
        <f>BG920-BG928</f>
        <v>11.664069948877227</v>
      </c>
      <c r="BH930" s="1838">
        <f>BH920-BH928</f>
        <v>10.315081993729166</v>
      </c>
      <c r="BI930" s="1905">
        <f>BI920-BI928</f>
        <v>12.009362123373119</v>
      </c>
      <c r="BJ930" s="1905">
        <f>SUM(BF930:BI930)</f>
        <v>44.654215415261916</v>
      </c>
      <c r="BK930" s="1838">
        <f>BK920-BK928</f>
        <v>12.824064234622334</v>
      </c>
      <c r="BL930" s="1838">
        <f>BL920-BL928</f>
        <v>12.368746164727234</v>
      </c>
      <c r="BM930" s="1838">
        <f>BM920-BM928</f>
        <v>11.459507704418339</v>
      </c>
      <c r="BN930" s="1905">
        <f>BN920-BN928</f>
        <v>11.637907721060511</v>
      </c>
      <c r="BO930" s="1905">
        <f>SUM(BK930:BN930)</f>
        <v>48.290225824828426</v>
      </c>
      <c r="BP930" s="1838">
        <f>BP920-BP928</f>
        <v>12.803726960801889</v>
      </c>
      <c r="BQ930" s="1838">
        <f>BQ920-BQ928</f>
        <v>13.328265451688502</v>
      </c>
      <c r="BR930" s="1838">
        <f>BR920-BR928</f>
        <v>11.868716822421987</v>
      </c>
      <c r="BS930" s="1838">
        <f>BS920-BS928</f>
        <v>13.327076825406564</v>
      </c>
      <c r="BT930" s="1011">
        <f>SUM(BP930:BS930)</f>
        <v>51.327786060318942</v>
      </c>
      <c r="BU930" s="1838">
        <f>BU920-BU928</f>
        <v>13.311116099001424</v>
      </c>
      <c r="BV930" s="1838">
        <f>BV920-BV928</f>
        <v>14.567282512785447</v>
      </c>
      <c r="BW930" s="1838">
        <f>BW920-BW928</f>
        <v>13.31304889135399</v>
      </c>
      <c r="BX930" s="1838">
        <f>BX920-BX928</f>
        <v>13.715157861672097</v>
      </c>
      <c r="BY930" s="1011">
        <f>SUM(BU930:BX930)</f>
        <v>54.906605364812961</v>
      </c>
      <c r="BZ930" s="1011">
        <f t="shared" ref="BZ930:CF930" si="2262">BZ920-BZ928</f>
        <v>56.961116621080379</v>
      </c>
      <c r="CA930" s="1011">
        <f t="shared" si="2262"/>
        <v>56.377821211248374</v>
      </c>
      <c r="CB930" s="1011">
        <f t="shared" si="2262"/>
        <v>52.355673422825276</v>
      </c>
      <c r="CC930" s="1011">
        <f t="shared" si="2262"/>
        <v>48.574980725659174</v>
      </c>
      <c r="CD930" s="1011">
        <f t="shared" si="2262"/>
        <v>50.246791217794424</v>
      </c>
      <c r="CE930" s="1011">
        <f t="shared" si="2262"/>
        <v>51.955581028548579</v>
      </c>
      <c r="CF930" s="1011">
        <f t="shared" si="2262"/>
        <v>53.702145175381801</v>
      </c>
      <c r="CG930" s="502"/>
      <c r="CH930" s="502"/>
      <c r="CI930" s="502"/>
      <c r="CJ930" s="502"/>
      <c r="CK930" s="502"/>
      <c r="CL930" s="2221" t="str">
        <f t="shared" ref="CL930:CL935" si="2263">A930</f>
        <v>Property EBITDA</v>
      </c>
      <c r="CM930" s="1012">
        <f t="shared" ref="CM930:CM935" si="2264">G930</f>
        <v>44.210000000000008</v>
      </c>
      <c r="CN930" s="1012">
        <f t="shared" ref="CN930:CN935" si="2265">L930</f>
        <v>41.947000000000003</v>
      </c>
      <c r="CO930" s="1012">
        <f t="shared" ref="CO930:CO935" si="2266">Q930</f>
        <v>49.512</v>
      </c>
      <c r="CP930" s="1012">
        <f t="shared" ref="CP930:CP935" si="2267">V930</f>
        <v>56.713000000000001</v>
      </c>
      <c r="CQ930" s="1012">
        <f t="shared" ref="CQ930:CQ935" si="2268">AA930</f>
        <v>63.533000000000001</v>
      </c>
      <c r="CR930" s="1012">
        <f t="shared" ref="CR930:CR935" si="2269">AF930</f>
        <v>66.006</v>
      </c>
      <c r="CS930" s="1012">
        <f t="shared" ref="CS930:CS935" si="2270">AK930</f>
        <v>66.788000000000011</v>
      </c>
      <c r="CT930" s="1012">
        <f t="shared" ref="CT930:CT935" si="2271">AP930</f>
        <v>71.420191476650018</v>
      </c>
      <c r="CU930" s="1012">
        <f t="shared" ref="CU930:CU935" si="2272">AU930</f>
        <v>54.092685367668764</v>
      </c>
      <c r="CV930" s="1012">
        <f t="shared" ref="CV930:CV935" si="2273">AZ930</f>
        <v>46.688362702962152</v>
      </c>
      <c r="CW930" s="1012">
        <f t="shared" ref="CW930:CW935" si="2274">BE930</f>
        <v>41.797553635705583</v>
      </c>
      <c r="CX930" s="1012">
        <f t="shared" ref="CX930:CX935" si="2275">BJ930</f>
        <v>44.654215415261916</v>
      </c>
      <c r="CY930" s="1012">
        <f t="shared" ref="CY930:CY935" si="2276">BO930</f>
        <v>48.290225824828426</v>
      </c>
      <c r="CZ930" s="1012">
        <f t="shared" ref="CZ930:CZ935" si="2277">BT930</f>
        <v>51.327786060318942</v>
      </c>
      <c r="DA930" s="1012">
        <f t="shared" ref="DA930:DC935" si="2278">BY930</f>
        <v>54.906605364812961</v>
      </c>
      <c r="DB930" s="1012">
        <f t="shared" si="2278"/>
        <v>56.961116621080379</v>
      </c>
      <c r="DC930" s="1877">
        <f t="shared" si="2278"/>
        <v>56.377821211248374</v>
      </c>
      <c r="DD930" s="502"/>
      <c r="DE930" s="502"/>
      <c r="DF930" s="502"/>
      <c r="DG930" s="503"/>
      <c r="DH930" s="598"/>
      <c r="DI930" s="3213"/>
      <c r="DJ930" s="502"/>
      <c r="DK930" s="503"/>
      <c r="DL930" s="502"/>
      <c r="DM930" s="502"/>
      <c r="DN930" s="502"/>
      <c r="DO930" s="502"/>
      <c r="DP930" s="503"/>
      <c r="DQ930" s="503"/>
      <c r="DR930" s="719"/>
      <c r="DS930" s="719"/>
      <c r="DT930" s="719"/>
    </row>
    <row r="931" spans="1:124" ht="12" customHeight="1" x14ac:dyDescent="0.25">
      <c r="A931" s="465" t="s">
        <v>1892</v>
      </c>
      <c r="B931" s="466"/>
      <c r="C931" s="467">
        <f t="shared" ref="C931:AF931" si="2279">C930/C920</f>
        <v>0.31228578961244402</v>
      </c>
      <c r="D931" s="467">
        <f t="shared" si="2279"/>
        <v>0.29891698766259139</v>
      </c>
      <c r="E931" s="467">
        <f t="shared" si="2279"/>
        <v>0.30312508967773411</v>
      </c>
      <c r="F931" s="467">
        <f t="shared" si="2279"/>
        <v>0.31873689049794562</v>
      </c>
      <c r="G931" s="468">
        <f t="shared" si="2279"/>
        <v>0.30828556685215408</v>
      </c>
      <c r="H931" s="467">
        <f t="shared" si="2279"/>
        <v>0.31921490388503948</v>
      </c>
      <c r="I931" s="467">
        <f t="shared" si="2279"/>
        <v>0.2813157230588037</v>
      </c>
      <c r="J931" s="467">
        <f t="shared" si="2279"/>
        <v>0.27866900800619065</v>
      </c>
      <c r="K931" s="467">
        <f t="shared" si="2279"/>
        <v>0.28662403339309128</v>
      </c>
      <c r="L931" s="468">
        <f t="shared" si="2279"/>
        <v>0.29185800562188641</v>
      </c>
      <c r="M931" s="467">
        <f t="shared" si="2279"/>
        <v>0.337427875368637</v>
      </c>
      <c r="N931" s="467">
        <f t="shared" si="2279"/>
        <v>0.33086925306458903</v>
      </c>
      <c r="O931" s="467">
        <f t="shared" si="2279"/>
        <v>0.30261322666385959</v>
      </c>
      <c r="P931" s="467">
        <f t="shared" si="2279"/>
        <v>0.31956745623068999</v>
      </c>
      <c r="Q931" s="468">
        <f t="shared" si="2279"/>
        <v>0.3226777719123311</v>
      </c>
      <c r="R931" s="467">
        <f t="shared" si="2279"/>
        <v>0.31322066402972554</v>
      </c>
      <c r="S931" s="467">
        <f t="shared" si="2279"/>
        <v>0.32636778996683441</v>
      </c>
      <c r="T931" s="467">
        <f t="shared" si="2279"/>
        <v>0.32911842485388565</v>
      </c>
      <c r="U931" s="467">
        <f t="shared" si="2279"/>
        <v>0.33109092947639873</v>
      </c>
      <c r="V931" s="468">
        <f t="shared" si="2279"/>
        <v>0.32514074736564508</v>
      </c>
      <c r="W931" s="467">
        <f t="shared" si="2279"/>
        <v>0.34535586846434907</v>
      </c>
      <c r="X931" s="467">
        <f t="shared" si="2279"/>
        <v>0.33896762449616435</v>
      </c>
      <c r="Y931" s="467">
        <f t="shared" si="2279"/>
        <v>0.33730765092004733</v>
      </c>
      <c r="Z931" s="467">
        <f t="shared" si="2279"/>
        <v>0.3436429794520548</v>
      </c>
      <c r="AA931" s="468">
        <f t="shared" si="2279"/>
        <v>0.34133303247157931</v>
      </c>
      <c r="AB931" s="467">
        <f t="shared" si="2279"/>
        <v>0.34587931205885275</v>
      </c>
      <c r="AC931" s="467">
        <f t="shared" si="2279"/>
        <v>0.3418196822776976</v>
      </c>
      <c r="AD931" s="467">
        <f t="shared" si="2279"/>
        <v>0.34747316590782668</v>
      </c>
      <c r="AE931" s="469">
        <f t="shared" si="2279"/>
        <v>0.3264989995912308</v>
      </c>
      <c r="AF931" s="470">
        <f t="shared" si="2279"/>
        <v>0.34061459865314653</v>
      </c>
      <c r="AG931" s="467">
        <f t="shared" ref="AG931:AU931" si="2280">AG930/AG920</f>
        <v>0.35881278351361895</v>
      </c>
      <c r="AH931" s="467">
        <f t="shared" si="2280"/>
        <v>0.34574479287323889</v>
      </c>
      <c r="AI931" s="467">
        <f t="shared" si="2280"/>
        <v>0.34915136820228609</v>
      </c>
      <c r="AJ931" s="469">
        <f t="shared" si="2280"/>
        <v>0.35431639469011583</v>
      </c>
      <c r="AK931" s="470">
        <f t="shared" si="2280"/>
        <v>0.3520679803059536</v>
      </c>
      <c r="AL931" s="467">
        <f t="shared" si="2280"/>
        <v>0.36463996679809091</v>
      </c>
      <c r="AM931" s="467">
        <f t="shared" si="2280"/>
        <v>0.36665995570767063</v>
      </c>
      <c r="AN931" s="467">
        <f t="shared" si="2280"/>
        <v>0.37598153442951598</v>
      </c>
      <c r="AO931" s="469">
        <f t="shared" si="2280"/>
        <v>0.35912540374911928</v>
      </c>
      <c r="AP931" s="471">
        <f t="shared" si="2280"/>
        <v>0.36662674136788848</v>
      </c>
      <c r="AQ931" s="471">
        <f t="shared" si="2280"/>
        <v>0.38882011740340672</v>
      </c>
      <c r="AR931" s="469">
        <f t="shared" si="2280"/>
        <v>0.33399706447316624</v>
      </c>
      <c r="AS931" s="469">
        <f t="shared" si="2280"/>
        <v>0.34785898229151596</v>
      </c>
      <c r="AT931" s="469">
        <f t="shared" si="2280"/>
        <v>0.29330956511838835</v>
      </c>
      <c r="AU931" s="1689">
        <f t="shared" si="2280"/>
        <v>0.3432263430280364</v>
      </c>
      <c r="AV931" s="1730">
        <f t="shared" ref="AV931:BJ931" si="2281">AV930/AV920</f>
        <v>0.33661179045542244</v>
      </c>
      <c r="AW931" s="1465">
        <f t="shared" si="2281"/>
        <v>0.35039389176517416</v>
      </c>
      <c r="AX931" s="1465">
        <f t="shared" si="2281"/>
        <v>0.30688943069645791</v>
      </c>
      <c r="AY931" s="1868">
        <f t="shared" si="2281"/>
        <v>0.29890214440307905</v>
      </c>
      <c r="AZ931" s="1689">
        <f t="shared" si="2281"/>
        <v>0.3242248392959628</v>
      </c>
      <c r="BA931" s="1730">
        <f t="shared" si="2281"/>
        <v>0.31154182573337769</v>
      </c>
      <c r="BB931" s="1465">
        <f t="shared" si="2281"/>
        <v>0.33291152746665642</v>
      </c>
      <c r="BC931" s="1465">
        <f t="shared" si="2281"/>
        <v>0.2792522396539921</v>
      </c>
      <c r="BD931" s="1868">
        <f t="shared" si="2281"/>
        <v>0.31081503925623449</v>
      </c>
      <c r="BE931" s="1868">
        <f t="shared" si="2281"/>
        <v>0.30909780631282591</v>
      </c>
      <c r="BF931" s="1465">
        <f t="shared" si="2281"/>
        <v>0.3073750216296417</v>
      </c>
      <c r="BG931" s="1465">
        <f t="shared" si="2281"/>
        <v>0.32978705424687643</v>
      </c>
      <c r="BH931" s="1465">
        <f t="shared" si="2281"/>
        <v>0.29418836854396302</v>
      </c>
      <c r="BI931" s="1868">
        <f t="shared" si="2281"/>
        <v>0.33148125105678017</v>
      </c>
      <c r="BJ931" s="1868">
        <f t="shared" si="2281"/>
        <v>0.31588996028271615</v>
      </c>
      <c r="BK931" s="1465">
        <f t="shared" ref="BK931:BU931" si="2282">BK930/BK920</f>
        <v>0.3337644969501124</v>
      </c>
      <c r="BL931" s="1465">
        <f t="shared" si="2282"/>
        <v>0.33794388428216487</v>
      </c>
      <c r="BM931" s="1465">
        <f t="shared" si="2282"/>
        <v>0.30722540762515654</v>
      </c>
      <c r="BN931" s="1868">
        <f t="shared" si="2282"/>
        <v>0.31348426492233866</v>
      </c>
      <c r="BO931" s="1868">
        <f t="shared" si="2282"/>
        <v>0.32312637907374064</v>
      </c>
      <c r="BP931" s="1465">
        <f t="shared" si="2282"/>
        <v>0.33244931306765468</v>
      </c>
      <c r="BQ931" s="1465">
        <f t="shared" si="2282"/>
        <v>0.34908696192426147</v>
      </c>
      <c r="BR931" s="1465">
        <f t="shared" si="2282"/>
        <v>0.30651790987228522</v>
      </c>
      <c r="BS931" s="1465">
        <f t="shared" si="2282"/>
        <v>0.3267537224136472</v>
      </c>
      <c r="BT931" s="470">
        <f t="shared" si="2282"/>
        <v>0.32860066119473091</v>
      </c>
      <c r="BU931" s="1465">
        <f t="shared" si="2282"/>
        <v>0.32587929125041332</v>
      </c>
      <c r="BV931" s="1465">
        <f t="shared" ref="BV931:CF931" si="2283">BV930/BV920</f>
        <v>0.36536246176359138</v>
      </c>
      <c r="BW931" s="1465">
        <f t="shared" si="2283"/>
        <v>0.3284290290982857</v>
      </c>
      <c r="BX931" s="1465">
        <f t="shared" si="2283"/>
        <v>0.32951678859813055</v>
      </c>
      <c r="BY931" s="470">
        <f t="shared" si="2283"/>
        <v>0.33710862768577593</v>
      </c>
      <c r="BZ931" s="470">
        <f t="shared" si="2283"/>
        <v>0.34617588083418332</v>
      </c>
      <c r="CA931" s="470">
        <f t="shared" si="2283"/>
        <v>0.34263095730980136</v>
      </c>
      <c r="CB931" s="470">
        <f t="shared" si="2283"/>
        <v>0.33514780179844766</v>
      </c>
      <c r="CC931" s="470">
        <f t="shared" si="2283"/>
        <v>0.32752145422736939</v>
      </c>
      <c r="CD931" s="470">
        <f t="shared" si="2283"/>
        <v>0.33176479623725874</v>
      </c>
      <c r="CE931" s="470">
        <f t="shared" si="2283"/>
        <v>0.3359426259753569</v>
      </c>
      <c r="CF931" s="470">
        <f t="shared" si="2283"/>
        <v>0.34005651471062015</v>
      </c>
      <c r="CG931" s="492"/>
      <c r="CH931" s="492"/>
      <c r="CI931" s="492"/>
      <c r="CJ931" s="492"/>
      <c r="CK931" s="492"/>
      <c r="CL931" s="1310" t="str">
        <f t="shared" si="2263"/>
        <v>Margin</v>
      </c>
      <c r="CM931" s="469">
        <f t="shared" si="2264"/>
        <v>0.30828556685215408</v>
      </c>
      <c r="CN931" s="469">
        <f t="shared" si="2265"/>
        <v>0.29185800562188641</v>
      </c>
      <c r="CO931" s="469">
        <f t="shared" si="2266"/>
        <v>0.3226777719123311</v>
      </c>
      <c r="CP931" s="469">
        <f t="shared" si="2267"/>
        <v>0.32514074736564508</v>
      </c>
      <c r="CQ931" s="469">
        <f t="shared" si="2268"/>
        <v>0.34133303247157931</v>
      </c>
      <c r="CR931" s="469">
        <f t="shared" si="2269"/>
        <v>0.34061459865314653</v>
      </c>
      <c r="CS931" s="469">
        <f t="shared" si="2270"/>
        <v>0.3520679803059536</v>
      </c>
      <c r="CT931" s="469">
        <f t="shared" si="2271"/>
        <v>0.36662674136788848</v>
      </c>
      <c r="CU931" s="469">
        <f t="shared" si="2272"/>
        <v>0.3432263430280364</v>
      </c>
      <c r="CV931" s="469">
        <f t="shared" si="2273"/>
        <v>0.3242248392959628</v>
      </c>
      <c r="CW931" s="469">
        <f t="shared" si="2274"/>
        <v>0.30909780631282591</v>
      </c>
      <c r="CX931" s="469">
        <f t="shared" si="2275"/>
        <v>0.31588996028271615</v>
      </c>
      <c r="CY931" s="469">
        <f t="shared" si="2276"/>
        <v>0.32312637907374064</v>
      </c>
      <c r="CZ931" s="469">
        <f t="shared" si="2277"/>
        <v>0.32860066119473091</v>
      </c>
      <c r="DA931" s="469">
        <f t="shared" si="2278"/>
        <v>0.33710862768577593</v>
      </c>
      <c r="DB931" s="469">
        <f t="shared" si="2278"/>
        <v>0.34617588083418332</v>
      </c>
      <c r="DC931" s="1463">
        <f t="shared" si="2278"/>
        <v>0.34263095730980136</v>
      </c>
      <c r="DD931" s="492"/>
      <c r="DE931" s="492"/>
      <c r="DF931" s="962"/>
      <c r="DG931" s="962"/>
      <c r="DH931" s="469"/>
      <c r="DI931" s="3213"/>
      <c r="DJ931" s="962"/>
      <c r="DK931" s="962"/>
      <c r="DL931" s="962"/>
      <c r="DM931" s="962"/>
      <c r="DN931" s="962"/>
      <c r="DO931" s="962"/>
      <c r="DP931" s="962"/>
      <c r="DQ931" s="962"/>
      <c r="DR931" s="963"/>
      <c r="DS931" s="963"/>
      <c r="DT931" s="963"/>
    </row>
    <row r="932" spans="1:124" ht="12" customHeight="1" x14ac:dyDescent="0.25">
      <c r="A932" s="465" t="s">
        <v>1812</v>
      </c>
      <c r="B932" s="466"/>
      <c r="C932" s="467">
        <f>(C930+C926)/C920</f>
        <v>0.61179796994463487</v>
      </c>
      <c r="D932" s="467">
        <f t="shared" ref="D932:BD932" si="2284">(D930+D926)/D920</f>
        <v>0.61098149388712097</v>
      </c>
      <c r="E932" s="467">
        <f t="shared" si="2284"/>
        <v>0.6219923379343989</v>
      </c>
      <c r="F932" s="467">
        <f t="shared" si="2284"/>
        <v>0.63535180875211905</v>
      </c>
      <c r="G932" s="468">
        <f t="shared" si="2284"/>
        <v>0.61978742869893866</v>
      </c>
      <c r="H932" s="467">
        <f>(H930+H926)/H920</f>
        <v>0.62981720188185808</v>
      </c>
      <c r="I932" s="467">
        <f t="shared" si="2284"/>
        <v>0.6022827692717535</v>
      </c>
      <c r="J932" s="467">
        <f t="shared" si="2284"/>
        <v>0.61674299339266059</v>
      </c>
      <c r="K932" s="467">
        <f t="shared" si="2284"/>
        <v>0.58799523278837662</v>
      </c>
      <c r="L932" s="468">
        <f t="shared" si="2284"/>
        <v>0.60905380687985311</v>
      </c>
      <c r="M932" s="467">
        <f>(M930+M926)/M920</f>
        <v>0.64841381412681109</v>
      </c>
      <c r="N932" s="467">
        <f t="shared" si="2284"/>
        <v>0.65447652516486299</v>
      </c>
      <c r="O932" s="467">
        <f t="shared" si="2284"/>
        <v>0.62653392673162456</v>
      </c>
      <c r="P932" s="467">
        <f t="shared" si="2284"/>
        <v>0.63633086204621525</v>
      </c>
      <c r="Q932" s="468">
        <f t="shared" si="2284"/>
        <v>0.64142275355022449</v>
      </c>
      <c r="R932" s="467">
        <f>(R930+R926)/R920</f>
        <v>0.6390415246314276</v>
      </c>
      <c r="S932" s="467">
        <f t="shared" si="2284"/>
        <v>0.64299898415938028</v>
      </c>
      <c r="T932" s="467">
        <f t="shared" si="2284"/>
        <v>0.63496818151514478</v>
      </c>
      <c r="U932" s="467">
        <f t="shared" si="2284"/>
        <v>0.63758195313375943</v>
      </c>
      <c r="V932" s="468">
        <f t="shared" si="2284"/>
        <v>0.63859576439292309</v>
      </c>
      <c r="W932" s="467">
        <f>(W930+W926)/W920</f>
        <v>0.65276229363421712</v>
      </c>
      <c r="X932" s="467">
        <f t="shared" si="2284"/>
        <v>0.64932289048617431</v>
      </c>
      <c r="Y932" s="467">
        <f t="shared" si="2284"/>
        <v>0.64686400741149241</v>
      </c>
      <c r="Z932" s="467">
        <f t="shared" si="2284"/>
        <v>0.65277748511076628</v>
      </c>
      <c r="AA932" s="468">
        <f t="shared" si="2284"/>
        <v>0.6504409903589925</v>
      </c>
      <c r="AB932" s="467">
        <f>(AB930+AB926)/AB920</f>
        <v>0.65354408986976842</v>
      </c>
      <c r="AC932" s="467">
        <f t="shared" si="2284"/>
        <v>0.65801526717557257</v>
      </c>
      <c r="AD932" s="467">
        <f t="shared" si="2284"/>
        <v>0.66313685902058139</v>
      </c>
      <c r="AE932" s="467">
        <f t="shared" si="2284"/>
        <v>0.65441793420967709</v>
      </c>
      <c r="AF932" s="468">
        <f t="shared" si="2284"/>
        <v>0.65727481487215211</v>
      </c>
      <c r="AG932" s="467">
        <f>(AG930+AG926)/AG920</f>
        <v>0.66236937447402444</v>
      </c>
      <c r="AH932" s="467">
        <f t="shared" si="2284"/>
        <v>0.65535706579196773</v>
      </c>
      <c r="AI932" s="467">
        <f t="shared" si="2284"/>
        <v>0.67042504232334599</v>
      </c>
      <c r="AJ932" s="467">
        <f t="shared" si="2284"/>
        <v>0.66621767047856606</v>
      </c>
      <c r="AK932" s="468">
        <f t="shared" si="2284"/>
        <v>0.6635353987833551</v>
      </c>
      <c r="AL932" s="467">
        <f>(AL930+AL926)/AL920</f>
        <v>0.67363400207511936</v>
      </c>
      <c r="AM932" s="467">
        <f t="shared" si="2284"/>
        <v>0.66617947573988312</v>
      </c>
      <c r="AN932" s="467">
        <f t="shared" si="2284"/>
        <v>0.68286549932686258</v>
      </c>
      <c r="AO932" s="467">
        <f t="shared" si="2284"/>
        <v>0.66761501643391641</v>
      </c>
      <c r="AP932" s="468">
        <f t="shared" si="2284"/>
        <v>0.67255238609124535</v>
      </c>
      <c r="AQ932" s="581">
        <f t="shared" ref="AQ932:AZ932" si="2285">(AQ930+AQ926)/AQ920</f>
        <v>0.6635351964810664</v>
      </c>
      <c r="AR932" s="467">
        <f t="shared" si="2285"/>
        <v>0.64789406328380783</v>
      </c>
      <c r="AS932" s="467">
        <f t="shared" si="2285"/>
        <v>0.65765739817938262</v>
      </c>
      <c r="AT932" s="1669">
        <f t="shared" si="2285"/>
        <v>0.61177915696324137</v>
      </c>
      <c r="AU932" s="1468">
        <f t="shared" si="2285"/>
        <v>0.64616351298743036</v>
      </c>
      <c r="AV932" s="1862">
        <f t="shared" si="2285"/>
        <v>0.62947538522951629</v>
      </c>
      <c r="AW932" s="1846">
        <f t="shared" si="2285"/>
        <v>0.649279925570731</v>
      </c>
      <c r="AX932" s="1846">
        <f t="shared" si="2285"/>
        <v>0.61899621930780613</v>
      </c>
      <c r="AY932" s="1765">
        <f t="shared" si="2285"/>
        <v>0.62767369196539491</v>
      </c>
      <c r="AZ932" s="1468">
        <f t="shared" si="2285"/>
        <v>0.63160304810521695</v>
      </c>
      <c r="BA932" s="1862">
        <f t="shared" si="2284"/>
        <v>0.61277542609770264</v>
      </c>
      <c r="BB932" s="1846">
        <f t="shared" si="2284"/>
        <v>0.6345154534828007</v>
      </c>
      <c r="BC932" s="1846">
        <f t="shared" si="2284"/>
        <v>0.59959870127478554</v>
      </c>
      <c r="BD932" s="1765">
        <f t="shared" si="2284"/>
        <v>0.62431565375106823</v>
      </c>
      <c r="BE932" s="1765">
        <f t="shared" ref="BE932:CF932" si="2286">(BE930+BE926)/BE920</f>
        <v>0.61803070497894042</v>
      </c>
      <c r="BF932" s="1846">
        <f t="shared" si="2286"/>
        <v>0.61916410322978477</v>
      </c>
      <c r="BG932" s="1846">
        <f t="shared" si="2286"/>
        <v>0.6344988006302098</v>
      </c>
      <c r="BH932" s="1846">
        <f t="shared" si="2286"/>
        <v>0.60182345413942484</v>
      </c>
      <c r="BI932" s="1765">
        <f t="shared" si="2286"/>
        <v>0.62891528023644905</v>
      </c>
      <c r="BJ932" s="1765">
        <f t="shared" si="2286"/>
        <v>0.62119884876146469</v>
      </c>
      <c r="BK932" s="1846">
        <f t="shared" si="2286"/>
        <v>0.63027259587423645</v>
      </c>
      <c r="BL932" s="1846">
        <f t="shared" si="2286"/>
        <v>0.64679712257178235</v>
      </c>
      <c r="BM932" s="1846">
        <f t="shared" si="2286"/>
        <v>0.61073319640263646</v>
      </c>
      <c r="BN932" s="1765">
        <f t="shared" si="2286"/>
        <v>0.61613302921133295</v>
      </c>
      <c r="BO932" s="1765">
        <f t="shared" si="2286"/>
        <v>0.62593028670214212</v>
      </c>
      <c r="BP932" s="1846">
        <f t="shared" si="2286"/>
        <v>0.6385216431851366</v>
      </c>
      <c r="BQ932" s="1846">
        <f t="shared" si="2286"/>
        <v>0.65803104045604521</v>
      </c>
      <c r="BR932" s="1846">
        <f t="shared" si="2286"/>
        <v>0.61189553607178049</v>
      </c>
      <c r="BS932" s="1846">
        <f t="shared" si="2286"/>
        <v>0.61565765475009904</v>
      </c>
      <c r="BT932" s="468">
        <f t="shared" si="2286"/>
        <v>0.63071981292081358</v>
      </c>
      <c r="BU932" s="1846">
        <f t="shared" si="2286"/>
        <v>0.62508895016447863</v>
      </c>
      <c r="BV932" s="1846">
        <f>(BV930+BV926)/BV920</f>
        <v>0.67089222994396247</v>
      </c>
      <c r="BW932" s="1846">
        <f>(BW930+BW926)/BW920</f>
        <v>0.62926758513059844</v>
      </c>
      <c r="BX932" s="1846">
        <f>(BX930+BX926)/BX920</f>
        <v>0.62149171431767147</v>
      </c>
      <c r="BY932" s="468">
        <f>(BY930+BY926)/BY920</f>
        <v>0.63642199527504073</v>
      </c>
      <c r="BZ932" s="468">
        <f t="shared" si="2286"/>
        <v>0.64550764756180523</v>
      </c>
      <c r="CA932" s="468">
        <f t="shared" si="2286"/>
        <v>0.64196272403742338</v>
      </c>
      <c r="CB932" s="468">
        <f t="shared" si="2286"/>
        <v>0.63419107931783836</v>
      </c>
      <c r="CC932" s="468">
        <f t="shared" si="2286"/>
        <v>0.62625058822324797</v>
      </c>
      <c r="CD932" s="468">
        <f t="shared" si="2286"/>
        <v>0.63034486537667733</v>
      </c>
      <c r="CE932" s="468">
        <f t="shared" si="2286"/>
        <v>0.63438074836934211</v>
      </c>
      <c r="CF932" s="468">
        <f t="shared" si="2286"/>
        <v>0.63835956117962356</v>
      </c>
      <c r="CG932" s="492"/>
      <c r="CH932" s="492"/>
      <c r="CI932" s="492"/>
      <c r="CJ932" s="492"/>
      <c r="CK932" s="492"/>
      <c r="CL932" s="1310" t="str">
        <f t="shared" si="2263"/>
        <v>Margin bef. tax</v>
      </c>
      <c r="CM932" s="469">
        <f t="shared" si="2264"/>
        <v>0.61978742869893866</v>
      </c>
      <c r="CN932" s="469">
        <f t="shared" si="2265"/>
        <v>0.60905380687985311</v>
      </c>
      <c r="CO932" s="469">
        <f t="shared" si="2266"/>
        <v>0.64142275355022449</v>
      </c>
      <c r="CP932" s="469">
        <f t="shared" si="2267"/>
        <v>0.63859576439292309</v>
      </c>
      <c r="CQ932" s="469">
        <f t="shared" si="2268"/>
        <v>0.6504409903589925</v>
      </c>
      <c r="CR932" s="469">
        <f t="shared" si="2269"/>
        <v>0.65727481487215211</v>
      </c>
      <c r="CS932" s="469">
        <f t="shared" si="2270"/>
        <v>0.6635353987833551</v>
      </c>
      <c r="CT932" s="469">
        <f t="shared" si="2271"/>
        <v>0.67255238609124535</v>
      </c>
      <c r="CU932" s="469">
        <f t="shared" si="2272"/>
        <v>0.64616351298743036</v>
      </c>
      <c r="CV932" s="469">
        <f t="shared" si="2273"/>
        <v>0.63160304810521695</v>
      </c>
      <c r="CW932" s="469">
        <f t="shared" si="2274"/>
        <v>0.61803070497894042</v>
      </c>
      <c r="CX932" s="469">
        <f t="shared" si="2275"/>
        <v>0.62119884876146469</v>
      </c>
      <c r="CY932" s="469">
        <f t="shared" si="2276"/>
        <v>0.62593028670214212</v>
      </c>
      <c r="CZ932" s="469">
        <f t="shared" si="2277"/>
        <v>0.63071981292081358</v>
      </c>
      <c r="DA932" s="469">
        <f t="shared" si="2278"/>
        <v>0.63642199527504073</v>
      </c>
      <c r="DB932" s="469">
        <f t="shared" si="2278"/>
        <v>0.64550764756180523</v>
      </c>
      <c r="DC932" s="1463">
        <f t="shared" si="2278"/>
        <v>0.64196272403742338</v>
      </c>
      <c r="DD932" s="492"/>
      <c r="DE932" s="492"/>
      <c r="DF932" s="962"/>
      <c r="DG932" s="962"/>
      <c r="DH932" s="469"/>
      <c r="DI932" s="3213"/>
      <c r="DJ932" s="962"/>
      <c r="DK932" s="962"/>
      <c r="DL932" s="962"/>
      <c r="DM932" s="962"/>
      <c r="DN932" s="962"/>
      <c r="DO932" s="962"/>
      <c r="DP932" s="962"/>
      <c r="DQ932" s="962"/>
      <c r="DR932" s="963"/>
      <c r="DS932" s="963"/>
      <c r="DT932" s="963"/>
    </row>
    <row r="933" spans="1:124" ht="12" customHeight="1" x14ac:dyDescent="0.25">
      <c r="A933" s="465" t="s">
        <v>1491</v>
      </c>
      <c r="B933" s="466"/>
      <c r="C933" s="467" t="s">
        <v>553</v>
      </c>
      <c r="D933" s="467" t="s">
        <v>553</v>
      </c>
      <c r="E933" s="467" t="s">
        <v>553</v>
      </c>
      <c r="F933" s="467" t="s">
        <v>553</v>
      </c>
      <c r="G933" s="468" t="s">
        <v>553</v>
      </c>
      <c r="H933" s="467">
        <f t="shared" ref="H933:AF933" si="2287">(H930-C930)/C930</f>
        <v>-4.221190375686603E-4</v>
      </c>
      <c r="I933" s="467">
        <f t="shared" si="2287"/>
        <v>-6.3217854141376373E-2</v>
      </c>
      <c r="J933" s="467">
        <f t="shared" si="2287"/>
        <v>-0.11360408974723099</v>
      </c>
      <c r="K933" s="467">
        <f t="shared" si="2287"/>
        <v>-3.4345983953844784E-2</v>
      </c>
      <c r="L933" s="468">
        <f t="shared" si="2287"/>
        <v>-5.1187514137073169E-2</v>
      </c>
      <c r="M933" s="467">
        <f t="shared" si="2287"/>
        <v>0.11131756756756754</v>
      </c>
      <c r="N933" s="467">
        <f t="shared" si="2287"/>
        <v>0.24033094098883567</v>
      </c>
      <c r="O933" s="467">
        <f t="shared" si="2287"/>
        <v>0.22813200897148361</v>
      </c>
      <c r="P933" s="467">
        <f t="shared" si="2287"/>
        <v>0.15870052277819277</v>
      </c>
      <c r="Q933" s="468">
        <f t="shared" si="2287"/>
        <v>0.18034662788757236</v>
      </c>
      <c r="R933" s="467">
        <f t="shared" si="2287"/>
        <v>-6.9919440644473901E-3</v>
      </c>
      <c r="S933" s="467">
        <f t="shared" si="2287"/>
        <v>0.13091698143534514</v>
      </c>
      <c r="T933" s="467">
        <f t="shared" si="2287"/>
        <v>0.2879380815723106</v>
      </c>
      <c r="U933" s="467">
        <f t="shared" si="2287"/>
        <v>0.18957460522075409</v>
      </c>
      <c r="V933" s="468">
        <f t="shared" si="2287"/>
        <v>0.14543948941670706</v>
      </c>
      <c r="W933" s="467">
        <f t="shared" si="2287"/>
        <v>0.23702739935711001</v>
      </c>
      <c r="X933" s="467">
        <f t="shared" si="2287"/>
        <v>0.11156907333712339</v>
      </c>
      <c r="Y933" s="467">
        <f t="shared" si="2287"/>
        <v>5.8271438217420632E-2</v>
      </c>
      <c r="Z933" s="467">
        <f t="shared" si="2287"/>
        <v>8.7368777514392079E-2</v>
      </c>
      <c r="AA933" s="468">
        <f t="shared" si="2287"/>
        <v>0.12025461534392468</v>
      </c>
      <c r="AB933" s="467">
        <f t="shared" si="2287"/>
        <v>7.6285343067499872E-2</v>
      </c>
      <c r="AC933" s="467">
        <f t="shared" si="2287"/>
        <v>5.9199590845160591E-2</v>
      </c>
      <c r="AD933" s="467">
        <f t="shared" si="2287"/>
        <v>7.6118164997128798E-2</v>
      </c>
      <c r="AE933" s="469">
        <f t="shared" si="2287"/>
        <v>-5.4749299283712215E-2</v>
      </c>
      <c r="AF933" s="470">
        <f t="shared" si="2287"/>
        <v>3.8924653329765614E-2</v>
      </c>
      <c r="AG933" s="467">
        <f t="shared" ref="AG933:AU933" si="2288">(AG930-AB930)/AB930</f>
        <v>4.886180731202624E-3</v>
      </c>
      <c r="AH933" s="467">
        <f t="shared" si="2288"/>
        <v>-9.1139546112988766E-3</v>
      </c>
      <c r="AI933" s="467">
        <f t="shared" si="2288"/>
        <v>-4.3756670224119505E-2</v>
      </c>
      <c r="AJ933" s="469">
        <f t="shared" si="2288"/>
        <v>0.10450711649973644</v>
      </c>
      <c r="AK933" s="470">
        <f t="shared" si="2288"/>
        <v>1.1847407811411246E-2</v>
      </c>
      <c r="AL933" s="467">
        <f t="shared" si="2288"/>
        <v>5.2056518505804884E-3</v>
      </c>
      <c r="AM933" s="467">
        <f t="shared" si="2288"/>
        <v>0.10933788146433562</v>
      </c>
      <c r="AN933" s="467">
        <f t="shared" si="2288"/>
        <v>0.13587233992590605</v>
      </c>
      <c r="AO933" s="469">
        <f t="shared" si="2288"/>
        <v>3.3101203813686066E-2</v>
      </c>
      <c r="AP933" s="471">
        <f t="shared" si="2288"/>
        <v>6.9356643059382023E-2</v>
      </c>
      <c r="AQ933" s="471">
        <f t="shared" si="2288"/>
        <v>-1.7407761757341138E-2</v>
      </c>
      <c r="AR933" s="469">
        <f t="shared" si="2288"/>
        <v>-0.30911010232813529</v>
      </c>
      <c r="AS933" s="469">
        <f t="shared" si="2288"/>
        <v>-0.271485540979373</v>
      </c>
      <c r="AT933" s="469">
        <f t="shared" si="2288"/>
        <v>-0.37066026214262726</v>
      </c>
      <c r="AU933" s="1689">
        <f t="shared" si="2288"/>
        <v>-0.24261354878397765</v>
      </c>
      <c r="AV933" s="1730">
        <f t="shared" ref="AV933:BA933" si="2289">(AV930-AQ930)/AQ930</f>
        <v>-0.25316136158857055</v>
      </c>
      <c r="AW933" s="1465">
        <f t="shared" si="2289"/>
        <v>3.7439621567175729E-2</v>
      </c>
      <c r="AX933" s="1465">
        <f t="shared" si="2289"/>
        <v>-0.1835161552957274</v>
      </c>
      <c r="AY933" s="1868">
        <f t="shared" si="2289"/>
        <v>-9.6814711581694343E-2</v>
      </c>
      <c r="AZ933" s="1689">
        <f t="shared" si="2289"/>
        <v>-0.13688214246305805</v>
      </c>
      <c r="BA933" s="1730">
        <f t="shared" si="2289"/>
        <v>-0.15867305933706508</v>
      </c>
      <c r="BB933" s="1465">
        <f t="shared" ref="BB933:BJ933" si="2290">(BB930-AW930)/AW930</f>
        <v>-0.11562665027547006</v>
      </c>
      <c r="BC933" s="1465">
        <f t="shared" si="2290"/>
        <v>-0.16877274627237138</v>
      </c>
      <c r="BD933" s="1868">
        <f t="shared" si="2290"/>
        <v>5.1172014183425894E-2</v>
      </c>
      <c r="BE933" s="1868">
        <f t="shared" si="2290"/>
        <v>-0.10475434956613441</v>
      </c>
      <c r="BF933" s="1465">
        <f t="shared" si="2290"/>
        <v>-1.6887267977876479E-2</v>
      </c>
      <c r="BG933" s="1465">
        <f t="shared" si="2290"/>
        <v>1.0380961340038575E-2</v>
      </c>
      <c r="BH933" s="1465">
        <f t="shared" si="2290"/>
        <v>0.13882528165110419</v>
      </c>
      <c r="BI933" s="1868">
        <f t="shared" si="2290"/>
        <v>0.16068784590114726</v>
      </c>
      <c r="BJ933" s="1868">
        <f t="shared" si="2290"/>
        <v>6.8345190832317715E-2</v>
      </c>
      <c r="BK933" s="1465">
        <f t="shared" ref="BK933:BT933" si="2291">(BK930-BF930)/BF930</f>
        <v>0.20236483421553347</v>
      </c>
      <c r="BL933" s="1465">
        <f t="shared" si="2291"/>
        <v>6.0414265255485614E-2</v>
      </c>
      <c r="BM933" s="1465">
        <f t="shared" si="2291"/>
        <v>0.11094683603919993</v>
      </c>
      <c r="BN933" s="1868">
        <f t="shared" si="2291"/>
        <v>-3.093040233916072E-2</v>
      </c>
      <c r="BO933" s="1868">
        <f t="shared" si="2291"/>
        <v>8.142591636093989E-2</v>
      </c>
      <c r="BP933" s="1465">
        <f t="shared" si="2291"/>
        <v>-1.5858680562078425E-3</v>
      </c>
      <c r="BQ933" s="1465">
        <f t="shared" si="2291"/>
        <v>7.7576115976701956E-2</v>
      </c>
      <c r="BR933" s="1465">
        <f t="shared" si="2291"/>
        <v>3.5709135903444898E-2</v>
      </c>
      <c r="BS933" s="1465">
        <f t="shared" si="2291"/>
        <v>0.1451437100922576</v>
      </c>
      <c r="BT933" s="470">
        <f t="shared" si="2291"/>
        <v>6.2902174997259072E-2</v>
      </c>
      <c r="BU933" s="1465">
        <f>(BU930-BP930)/BP930</f>
        <v>3.9628237914857707E-2</v>
      </c>
      <c r="BV933" s="1465">
        <f>(BV930-BQ930)/BQ930</f>
        <v>9.2961613466362877E-2</v>
      </c>
      <c r="BW933" s="1465">
        <f>(BW930-BR930)/BR930</f>
        <v>0.12169235230243408</v>
      </c>
      <c r="BX933" s="1465">
        <f>(BX930-BS930)/BS930</f>
        <v>2.9119741812075391E-2</v>
      </c>
      <c r="BY933" s="470">
        <f>(BY930-BT930)/BT930</f>
        <v>6.9724793901850601E-2</v>
      </c>
      <c r="BZ933" s="470">
        <f t="shared" ref="BZ933:CF933" si="2292">(BZ930-BY930)/BY930</f>
        <v>3.7418289523031716E-2</v>
      </c>
      <c r="CA933" s="470">
        <f t="shared" si="2292"/>
        <v>-1.024023833156628E-2</v>
      </c>
      <c r="CB933" s="470">
        <f t="shared" si="2292"/>
        <v>-7.1342731982352803E-2</v>
      </c>
      <c r="CC933" s="470">
        <f t="shared" si="2292"/>
        <v>-7.2211709830053497E-2</v>
      </c>
      <c r="CD933" s="470">
        <f t="shared" si="2292"/>
        <v>3.4417110766904249E-2</v>
      </c>
      <c r="CE933" s="470">
        <f t="shared" si="2292"/>
        <v>3.4007939001466092E-2</v>
      </c>
      <c r="CF933" s="470">
        <f t="shared" si="2292"/>
        <v>3.3616487627643299E-2</v>
      </c>
      <c r="CG933" s="492"/>
      <c r="CH933" s="492"/>
      <c r="CI933" s="492"/>
      <c r="CJ933" s="492"/>
      <c r="CK933" s="492"/>
      <c r="CL933" s="1310" t="str">
        <f t="shared" si="2263"/>
        <v>% growth (y-o-y)</v>
      </c>
      <c r="CM933" s="469" t="str">
        <f t="shared" si="2264"/>
        <v xml:space="preserve">n/a </v>
      </c>
      <c r="CN933" s="469">
        <f t="shared" si="2265"/>
        <v>-5.1187514137073169E-2</v>
      </c>
      <c r="CO933" s="469">
        <f t="shared" si="2266"/>
        <v>0.18034662788757236</v>
      </c>
      <c r="CP933" s="469">
        <f t="shared" si="2267"/>
        <v>0.14543948941670706</v>
      </c>
      <c r="CQ933" s="469">
        <f t="shared" si="2268"/>
        <v>0.12025461534392468</v>
      </c>
      <c r="CR933" s="469">
        <f t="shared" si="2269"/>
        <v>3.8924653329765614E-2</v>
      </c>
      <c r="CS933" s="469">
        <f t="shared" si="2270"/>
        <v>1.1847407811411246E-2</v>
      </c>
      <c r="CT933" s="469">
        <f t="shared" si="2271"/>
        <v>6.9356643059382023E-2</v>
      </c>
      <c r="CU933" s="469">
        <f t="shared" si="2272"/>
        <v>-0.24261354878397765</v>
      </c>
      <c r="CV933" s="469">
        <f t="shared" si="2273"/>
        <v>-0.13688214246305805</v>
      </c>
      <c r="CW933" s="469">
        <f t="shared" si="2274"/>
        <v>-0.10475434956613441</v>
      </c>
      <c r="CX933" s="469">
        <f t="shared" si="2275"/>
        <v>6.8345190832317715E-2</v>
      </c>
      <c r="CY933" s="469">
        <f t="shared" si="2276"/>
        <v>8.142591636093989E-2</v>
      </c>
      <c r="CZ933" s="469">
        <f t="shared" si="2277"/>
        <v>6.2902174997259072E-2</v>
      </c>
      <c r="DA933" s="469">
        <f t="shared" si="2278"/>
        <v>6.9724793901850601E-2</v>
      </c>
      <c r="DB933" s="469">
        <f t="shared" si="2278"/>
        <v>3.7418289523031716E-2</v>
      </c>
      <c r="DC933" s="1463">
        <f t="shared" si="2278"/>
        <v>-1.024023833156628E-2</v>
      </c>
      <c r="DD933" s="492"/>
      <c r="DE933" s="492"/>
      <c r="DF933" s="962"/>
      <c r="DG933" s="962"/>
      <c r="DH933" s="469"/>
      <c r="DI933" s="3213"/>
      <c r="DJ933" s="962"/>
      <c r="DK933" s="962"/>
      <c r="DL933" s="962"/>
      <c r="DM933" s="962"/>
      <c r="DN933" s="962"/>
      <c r="DO933" s="962"/>
      <c r="DP933" s="962"/>
      <c r="DQ933" s="962"/>
      <c r="DR933" s="963"/>
      <c r="DS933" s="963"/>
      <c r="DT933" s="963"/>
    </row>
    <row r="934" spans="1:124" ht="12" customHeight="1" x14ac:dyDescent="0.25">
      <c r="A934" s="281" t="s">
        <v>2197</v>
      </c>
      <c r="B934" s="281"/>
      <c r="C934" s="570">
        <v>2.4609999999999999</v>
      </c>
      <c r="D934" s="570">
        <v>2.5880000000000001</v>
      </c>
      <c r="E934" s="570">
        <v>4.3550000000000004</v>
      </c>
      <c r="F934" s="570">
        <v>4.4770000000000003</v>
      </c>
      <c r="G934" s="475">
        <f>SUM(C934:F934)</f>
        <v>13.881</v>
      </c>
      <c r="H934" s="570">
        <v>3.915</v>
      </c>
      <c r="I934" s="570">
        <v>2.8879999999999999</v>
      </c>
      <c r="J934" s="570">
        <v>3.0950000000000002</v>
      </c>
      <c r="K934" s="570">
        <v>3.0259999999999998</v>
      </c>
      <c r="L934" s="475">
        <f>SUM(H934:K934)</f>
        <v>12.923999999999999</v>
      </c>
      <c r="M934" s="570">
        <v>2.887</v>
      </c>
      <c r="N934" s="570">
        <v>2.7589999999999999</v>
      </c>
      <c r="O934" s="570">
        <v>2.8919999999999999</v>
      </c>
      <c r="P934" s="570">
        <v>2.9039999999999999</v>
      </c>
      <c r="Q934" s="475">
        <f>SUM(M934:P934)</f>
        <v>11.442</v>
      </c>
      <c r="R934" s="570">
        <v>3.133</v>
      </c>
      <c r="S934" s="570">
        <v>3.6840000000000002</v>
      </c>
      <c r="T934" s="570">
        <v>3.758</v>
      </c>
      <c r="U934" s="570">
        <v>3.7919999999999998</v>
      </c>
      <c r="V934" s="475">
        <f>SUM(R934:U934)</f>
        <v>14.366999999999999</v>
      </c>
      <c r="W934" s="570">
        <v>3.82</v>
      </c>
      <c r="X934" s="570">
        <v>3.8250000000000002</v>
      </c>
      <c r="Y934" s="570">
        <v>3.8090000000000002</v>
      </c>
      <c r="Z934" s="570">
        <v>3.4969999999999999</v>
      </c>
      <c r="AA934" s="475">
        <f>SUM(W934:Z934)</f>
        <v>14.951000000000001</v>
      </c>
      <c r="AB934" s="570">
        <v>2.8639999999999999</v>
      </c>
      <c r="AC934" s="570">
        <v>2.9079999999999999</v>
      </c>
      <c r="AD934" s="570">
        <v>2.9529999999999998</v>
      </c>
      <c r="AE934" s="572">
        <v>3.04</v>
      </c>
      <c r="AF934" s="477">
        <f>SUM(AB934:AE934)</f>
        <v>11.765000000000001</v>
      </c>
      <c r="AG934" s="570">
        <v>3.1440000000000001</v>
      </c>
      <c r="AH934" s="570">
        <v>3.2149999999999999</v>
      </c>
      <c r="AI934" s="570">
        <v>3.2170000000000001</v>
      </c>
      <c r="AJ934" s="572">
        <v>3.206</v>
      </c>
      <c r="AK934" s="477">
        <f>SUM(AG934:AJ934)</f>
        <v>12.782</v>
      </c>
      <c r="AL934" s="570">
        <v>3.177</v>
      </c>
      <c r="AM934" s="572">
        <v>3.2240000000000002</v>
      </c>
      <c r="AN934" s="1594">
        <f>AM934</f>
        <v>3.2240000000000002</v>
      </c>
      <c r="AO934" s="476">
        <f>AN934</f>
        <v>3.2240000000000002</v>
      </c>
      <c r="AP934" s="478">
        <f>SUM(AL934:AO934)</f>
        <v>12.849</v>
      </c>
      <c r="AQ934" s="478">
        <f>+AO934</f>
        <v>3.2240000000000002</v>
      </c>
      <c r="AR934" s="476">
        <f>AQ934</f>
        <v>3.2240000000000002</v>
      </c>
      <c r="AS934" s="476">
        <f>AR934</f>
        <v>3.2240000000000002</v>
      </c>
      <c r="AT934" s="476">
        <f>AS934</f>
        <v>3.2240000000000002</v>
      </c>
      <c r="AU934" s="1464">
        <f>SUM(AQ934:AT934)</f>
        <v>12.896000000000001</v>
      </c>
      <c r="AV934" s="478">
        <f>+AT934</f>
        <v>3.2240000000000002</v>
      </c>
      <c r="AW934" s="476">
        <f>AV934</f>
        <v>3.2240000000000002</v>
      </c>
      <c r="AX934" s="476">
        <f>AW934</f>
        <v>3.2240000000000002</v>
      </c>
      <c r="AY934" s="682">
        <f>AX934</f>
        <v>3.2240000000000002</v>
      </c>
      <c r="AZ934" s="1464">
        <f>SUM(AV934:AY934)</f>
        <v>12.896000000000001</v>
      </c>
      <c r="BA934" s="478">
        <f>+AY934</f>
        <v>3.2240000000000002</v>
      </c>
      <c r="BB934" s="476">
        <f>BA934</f>
        <v>3.2240000000000002</v>
      </c>
      <c r="BC934" s="476">
        <f>BB934</f>
        <v>3.2240000000000002</v>
      </c>
      <c r="BD934" s="682">
        <f>BC934</f>
        <v>3.2240000000000002</v>
      </c>
      <c r="BE934" s="1866">
        <f>SUM(BA934:BD934)</f>
        <v>12.896000000000001</v>
      </c>
      <c r="BF934" s="476">
        <f>BD934</f>
        <v>3.2240000000000002</v>
      </c>
      <c r="BG934" s="476">
        <f>BF934</f>
        <v>3.2240000000000002</v>
      </c>
      <c r="BH934" s="476">
        <f>BG934</f>
        <v>3.2240000000000002</v>
      </c>
      <c r="BI934" s="682">
        <f>BH934</f>
        <v>3.2240000000000002</v>
      </c>
      <c r="BJ934" s="1866">
        <f>SUM(BF934:BI934)</f>
        <v>12.896000000000001</v>
      </c>
      <c r="BK934" s="476">
        <f>BJ934/4</f>
        <v>3.2240000000000002</v>
      </c>
      <c r="BL934" s="476">
        <f>BK934</f>
        <v>3.2240000000000002</v>
      </c>
      <c r="BM934" s="476">
        <f>BL934</f>
        <v>3.2240000000000002</v>
      </c>
      <c r="BN934" s="682">
        <f>BM934</f>
        <v>3.2240000000000002</v>
      </c>
      <c r="BO934" s="1866">
        <f>SUM(BK934:BN934)</f>
        <v>12.896000000000001</v>
      </c>
      <c r="BP934" s="476">
        <f>BN934</f>
        <v>3.2240000000000002</v>
      </c>
      <c r="BQ934" s="476">
        <f>BP934</f>
        <v>3.2240000000000002</v>
      </c>
      <c r="BR934" s="476">
        <f>BQ934</f>
        <v>3.2240000000000002</v>
      </c>
      <c r="BS934" s="476">
        <f>BR934</f>
        <v>3.2240000000000002</v>
      </c>
      <c r="BT934" s="2604">
        <f>SUM(BP934:BS934)</f>
        <v>12.896000000000001</v>
      </c>
      <c r="BU934" s="2577">
        <f>BS934</f>
        <v>3.2240000000000002</v>
      </c>
      <c r="BV934" s="2577">
        <f>BU934</f>
        <v>3.2240000000000002</v>
      </c>
      <c r="BW934" s="2577">
        <f>BV934</f>
        <v>3.2240000000000002</v>
      </c>
      <c r="BX934" s="2577">
        <f>BW934</f>
        <v>3.2240000000000002</v>
      </c>
      <c r="BY934" s="2604">
        <f>SUM(BU934:BX934)</f>
        <v>12.896000000000001</v>
      </c>
      <c r="BZ934" s="477">
        <f t="shared" ref="BZ934:CF934" si="2293">BY934</f>
        <v>12.896000000000001</v>
      </c>
      <c r="CA934" s="477">
        <f t="shared" si="2293"/>
        <v>12.896000000000001</v>
      </c>
      <c r="CB934" s="477">
        <f t="shared" si="2293"/>
        <v>12.896000000000001</v>
      </c>
      <c r="CC934" s="477">
        <f t="shared" si="2293"/>
        <v>12.896000000000001</v>
      </c>
      <c r="CD934" s="477">
        <f t="shared" si="2293"/>
        <v>12.896000000000001</v>
      </c>
      <c r="CE934" s="477">
        <f t="shared" si="2293"/>
        <v>12.896000000000001</v>
      </c>
      <c r="CF934" s="477">
        <f t="shared" si="2293"/>
        <v>12.896000000000001</v>
      </c>
      <c r="CG934" s="331"/>
      <c r="CH934" s="331"/>
      <c r="CI934" s="331"/>
      <c r="CJ934" s="331"/>
      <c r="CK934" s="331"/>
      <c r="CL934" s="520" t="str">
        <f t="shared" si="2263"/>
        <v>Depreciation and amortization</v>
      </c>
      <c r="CM934" s="476">
        <f t="shared" si="2264"/>
        <v>13.881</v>
      </c>
      <c r="CN934" s="476">
        <f t="shared" si="2265"/>
        <v>12.923999999999999</v>
      </c>
      <c r="CO934" s="476">
        <f t="shared" si="2266"/>
        <v>11.442</v>
      </c>
      <c r="CP934" s="476">
        <f t="shared" si="2267"/>
        <v>14.366999999999999</v>
      </c>
      <c r="CQ934" s="476">
        <f t="shared" si="2268"/>
        <v>14.951000000000001</v>
      </c>
      <c r="CR934" s="476">
        <f t="shared" si="2269"/>
        <v>11.765000000000001</v>
      </c>
      <c r="CS934" s="476">
        <f t="shared" si="2270"/>
        <v>12.782</v>
      </c>
      <c r="CT934" s="476">
        <f t="shared" si="2271"/>
        <v>12.849</v>
      </c>
      <c r="CU934" s="476">
        <f t="shared" si="2272"/>
        <v>12.896000000000001</v>
      </c>
      <c r="CV934" s="476">
        <f t="shared" si="2273"/>
        <v>12.896000000000001</v>
      </c>
      <c r="CW934" s="476">
        <f t="shared" si="2274"/>
        <v>12.896000000000001</v>
      </c>
      <c r="CX934" s="476">
        <f t="shared" si="2275"/>
        <v>12.896000000000001</v>
      </c>
      <c r="CY934" s="476">
        <f t="shared" si="2276"/>
        <v>12.896000000000001</v>
      </c>
      <c r="CZ934" s="476">
        <f t="shared" si="2277"/>
        <v>12.896000000000001</v>
      </c>
      <c r="DA934" s="476">
        <f t="shared" si="2278"/>
        <v>12.896000000000001</v>
      </c>
      <c r="DB934" s="476">
        <f t="shared" si="2278"/>
        <v>12.896000000000001</v>
      </c>
      <c r="DC934" s="682">
        <f t="shared" si="2278"/>
        <v>12.896000000000001</v>
      </c>
      <c r="DD934" s="331"/>
      <c r="DE934" s="331"/>
      <c r="DF934" s="502"/>
      <c r="DG934" s="503"/>
      <c r="DH934" s="2577"/>
      <c r="DI934" s="3213"/>
      <c r="DJ934" s="502"/>
      <c r="DK934" s="503"/>
      <c r="DL934" s="502"/>
      <c r="DM934" s="502"/>
      <c r="DN934" s="502"/>
      <c r="DO934" s="502"/>
      <c r="DP934" s="503"/>
      <c r="DQ934" s="503"/>
      <c r="DR934" s="296"/>
      <c r="DS934" s="296"/>
      <c r="DT934" s="296"/>
    </row>
    <row r="935" spans="1:124" ht="12" customHeight="1" x14ac:dyDescent="0.25">
      <c r="A935" s="465" t="s">
        <v>646</v>
      </c>
      <c r="B935" s="466"/>
      <c r="C935" s="467">
        <f t="shared" ref="C935:AF935" si="2294">C934/C920</f>
        <v>6.4882678618507772E-2</v>
      </c>
      <c r="D935" s="467">
        <f t="shared" si="2294"/>
        <v>7.2238039412717017E-2</v>
      </c>
      <c r="E935" s="467">
        <f t="shared" si="2294"/>
        <v>0.12497489023445348</v>
      </c>
      <c r="F935" s="467">
        <f t="shared" si="2294"/>
        <v>0.12863833577565154</v>
      </c>
      <c r="G935" s="468">
        <f t="shared" si="2294"/>
        <v>9.6795113175180955E-2</v>
      </c>
      <c r="H935" s="467">
        <f t="shared" si="2294"/>
        <v>0.1055512118842846</v>
      </c>
      <c r="I935" s="467">
        <f t="shared" si="2294"/>
        <v>8.0984829365413194E-2</v>
      </c>
      <c r="J935" s="467">
        <f t="shared" si="2294"/>
        <v>9.2115836780856594E-2</v>
      </c>
      <c r="K935" s="467">
        <f t="shared" si="2294"/>
        <v>8.0967543413694373E-2</v>
      </c>
      <c r="L935" s="468">
        <f t="shared" si="2294"/>
        <v>8.9922351173081741E-2</v>
      </c>
      <c r="M935" s="467">
        <f t="shared" si="2294"/>
        <v>7.4035132709321716E-2</v>
      </c>
      <c r="N935" s="467">
        <f t="shared" si="2294"/>
        <v>7.3364001382721297E-2</v>
      </c>
      <c r="O935" s="467">
        <f t="shared" si="2294"/>
        <v>7.6107265980683694E-2</v>
      </c>
      <c r="P935" s="467">
        <f t="shared" si="2294"/>
        <v>7.4768280123583927E-2</v>
      </c>
      <c r="Q935" s="468">
        <f t="shared" si="2294"/>
        <v>7.4569378458169591E-2</v>
      </c>
      <c r="R935" s="467">
        <f t="shared" si="2294"/>
        <v>7.5104878341124295E-2</v>
      </c>
      <c r="S935" s="467">
        <f t="shared" si="2294"/>
        <v>8.5441937054989925E-2</v>
      </c>
      <c r="T935" s="467">
        <f t="shared" si="2294"/>
        <v>8.3512966954821216E-2</v>
      </c>
      <c r="U935" s="467">
        <f t="shared" si="2294"/>
        <v>8.5031954254961323E-2</v>
      </c>
      <c r="V935" s="468">
        <f t="shared" si="2294"/>
        <v>8.2367307626156655E-2</v>
      </c>
      <c r="W935" s="467">
        <f t="shared" si="2294"/>
        <v>8.1622187560094858E-2</v>
      </c>
      <c r="X935" s="467">
        <f t="shared" si="2294"/>
        <v>8.2889091145494739E-2</v>
      </c>
      <c r="Y935" s="467">
        <f t="shared" si="2294"/>
        <v>8.197568061982137E-2</v>
      </c>
      <c r="Z935" s="467">
        <f t="shared" si="2294"/>
        <v>7.4850171232876711E-2</v>
      </c>
      <c r="AA935" s="468">
        <f t="shared" si="2294"/>
        <v>8.0324715793093068E-2</v>
      </c>
      <c r="AB935" s="467">
        <f t="shared" si="2294"/>
        <v>5.6944030221692012E-2</v>
      </c>
      <c r="AC935" s="467">
        <f t="shared" si="2294"/>
        <v>5.9995873736331751E-2</v>
      </c>
      <c r="AD935" s="467">
        <f t="shared" si="2294"/>
        <v>6.0837676919590425E-2</v>
      </c>
      <c r="AE935" s="469">
        <f t="shared" si="2294"/>
        <v>6.5403067920225461E-2</v>
      </c>
      <c r="AF935" s="470">
        <f t="shared" si="2294"/>
        <v>6.071161338596899E-2</v>
      </c>
      <c r="AG935" s="467">
        <f t="shared" ref="AG935:AU935" si="2295">AG934/AG920</f>
        <v>6.4533344280465532E-2</v>
      </c>
      <c r="AH935" s="467">
        <f t="shared" si="2295"/>
        <v>6.7708443021713041E-2</v>
      </c>
      <c r="AI935" s="467">
        <f t="shared" si="2295"/>
        <v>6.9644094215448565E-2</v>
      </c>
      <c r="AJ935" s="469">
        <f t="shared" si="2295"/>
        <v>6.7768664919252555E-2</v>
      </c>
      <c r="AK935" s="470">
        <f t="shared" si="2295"/>
        <v>6.7379363422631289E-2</v>
      </c>
      <c r="AL935" s="467">
        <f t="shared" si="2295"/>
        <v>6.5926540776094625E-2</v>
      </c>
      <c r="AM935" s="467">
        <f t="shared" si="2295"/>
        <v>6.4908395409704042E-2</v>
      </c>
      <c r="AN935" s="467">
        <f t="shared" si="2295"/>
        <v>6.6168533635924384E-2</v>
      </c>
      <c r="AO935" s="469">
        <f t="shared" si="2295"/>
        <v>6.6860936676098118E-2</v>
      </c>
      <c r="AP935" s="471">
        <f t="shared" si="2295"/>
        <v>6.5958756234588564E-2</v>
      </c>
      <c r="AQ935" s="471">
        <f t="shared" si="2295"/>
        <v>7.2602108967904991E-2</v>
      </c>
      <c r="AR935" s="469">
        <f t="shared" si="2295"/>
        <v>8.557978653774384E-2</v>
      </c>
      <c r="AS935" s="469">
        <f t="shared" si="2295"/>
        <v>8.403303336039171E-2</v>
      </c>
      <c r="AT935" s="469">
        <f t="shared" si="2295"/>
        <v>8.6769561021069905E-2</v>
      </c>
      <c r="AU935" s="1689">
        <f t="shared" si="2295"/>
        <v>8.1827087888210637E-2</v>
      </c>
      <c r="AV935" s="1730">
        <f t="shared" ref="AV935:BJ935" si="2296">AV934/AV920</f>
        <v>8.4159482188466445E-2</v>
      </c>
      <c r="AW935" s="1465">
        <f t="shared" si="2296"/>
        <v>8.6541066987346718E-2</v>
      </c>
      <c r="AX935" s="1465">
        <f t="shared" si="2296"/>
        <v>9.0799018528962841E-2</v>
      </c>
      <c r="AY935" s="1868">
        <f t="shared" si="2296"/>
        <v>9.7902402669598362E-2</v>
      </c>
      <c r="AZ935" s="1689">
        <f t="shared" si="2296"/>
        <v>8.9555582708310724E-2</v>
      </c>
      <c r="BA935" s="1730">
        <f t="shared" si="2296"/>
        <v>9.2581730793707392E-2</v>
      </c>
      <c r="BB935" s="1465">
        <f t="shared" si="2296"/>
        <v>9.2973441117412875E-2</v>
      </c>
      <c r="BC935" s="1465">
        <f t="shared" si="2296"/>
        <v>9.9397649228268992E-2</v>
      </c>
      <c r="BD935" s="1868">
        <f t="shared" si="2296"/>
        <v>9.6848423139748632E-2</v>
      </c>
      <c r="BE935" s="1868">
        <f t="shared" si="2296"/>
        <v>9.536743094947675E-2</v>
      </c>
      <c r="BF935" s="1465">
        <f t="shared" si="2296"/>
        <v>9.2912508730674165E-2</v>
      </c>
      <c r="BG935" s="1465">
        <f t="shared" si="2296"/>
        <v>9.1154585625086687E-2</v>
      </c>
      <c r="BH935" s="1465">
        <f t="shared" si="2296"/>
        <v>9.1949177016948089E-2</v>
      </c>
      <c r="BI935" s="1868">
        <f t="shared" si="2296"/>
        <v>8.8988535979535474E-2</v>
      </c>
      <c r="BJ935" s="1868">
        <f t="shared" si="2296"/>
        <v>9.1228048459084402E-2</v>
      </c>
      <c r="BK935" s="1465">
        <f t="shared" ref="BK935:BU935" si="2297">BK934/BK920</f>
        <v>8.3909181869350813E-2</v>
      </c>
      <c r="BL935" s="1465">
        <f t="shared" si="2297"/>
        <v>8.8087431693989068E-2</v>
      </c>
      <c r="BM935" s="1465">
        <f t="shared" si="2297"/>
        <v>8.6434316353887417E-2</v>
      </c>
      <c r="BN935" s="1868">
        <f t="shared" si="2297"/>
        <v>8.6843210509450722E-2</v>
      </c>
      <c r="BO935" s="1868">
        <f t="shared" si="2297"/>
        <v>8.6291536503697128E-2</v>
      </c>
      <c r="BP935" s="1465">
        <f t="shared" si="2297"/>
        <v>8.3711296610076383E-2</v>
      </c>
      <c r="BQ935" s="1465">
        <f t="shared" si="2297"/>
        <v>8.444132279052409E-2</v>
      </c>
      <c r="BR935" s="1465">
        <f t="shared" si="2297"/>
        <v>8.3262054037833891E-2</v>
      </c>
      <c r="BS935" s="1465">
        <f t="shared" si="2297"/>
        <v>7.9046141540454529E-2</v>
      </c>
      <c r="BT935" s="470">
        <f t="shared" si="2297"/>
        <v>8.2560235927326073E-2</v>
      </c>
      <c r="BU935" s="1465">
        <f t="shared" si="2297"/>
        <v>7.8929131650361709E-2</v>
      </c>
      <c r="BV935" s="1465">
        <f t="shared" ref="BV935:CF935" si="2298">BV934/BV920</f>
        <v>8.0861243385097495E-2</v>
      </c>
      <c r="BW935" s="1465">
        <f t="shared" si="2298"/>
        <v>7.9535138678904327E-2</v>
      </c>
      <c r="BX935" s="1465">
        <f t="shared" si="2298"/>
        <v>7.7458979120409055E-2</v>
      </c>
      <c r="BY935" s="470">
        <f t="shared" si="2298"/>
        <v>7.9177228928120527E-2</v>
      </c>
      <c r="BZ935" s="470">
        <f t="shared" si="2298"/>
        <v>7.837423885025227E-2</v>
      </c>
      <c r="CA935" s="470">
        <f t="shared" si="2298"/>
        <v>7.837423885025227E-2</v>
      </c>
      <c r="CB935" s="470">
        <f t="shared" si="2298"/>
        <v>8.2552009542264992E-2</v>
      </c>
      <c r="CC935" s="470">
        <f t="shared" si="2298"/>
        <v>8.695251363187935E-2</v>
      </c>
      <c r="CD935" s="470">
        <f t="shared" si="2298"/>
        <v>8.5148498214160998E-2</v>
      </c>
      <c r="CE935" s="470">
        <f t="shared" si="2298"/>
        <v>8.3384999624923448E-2</v>
      </c>
      <c r="CF935" s="470">
        <f t="shared" si="2298"/>
        <v>8.1660961575860919E-2</v>
      </c>
      <c r="CG935" s="492"/>
      <c r="CH935" s="492"/>
      <c r="CI935" s="492"/>
      <c r="CJ935" s="492"/>
      <c r="CK935" s="492"/>
      <c r="CL935" s="1310" t="str">
        <f t="shared" si="2263"/>
        <v>% of Net revenue</v>
      </c>
      <c r="CM935" s="469">
        <f t="shared" si="2264"/>
        <v>9.6795113175180955E-2</v>
      </c>
      <c r="CN935" s="469">
        <f t="shared" si="2265"/>
        <v>8.9922351173081741E-2</v>
      </c>
      <c r="CO935" s="469">
        <f t="shared" si="2266"/>
        <v>7.4569378458169591E-2</v>
      </c>
      <c r="CP935" s="469">
        <f t="shared" si="2267"/>
        <v>8.2367307626156655E-2</v>
      </c>
      <c r="CQ935" s="469">
        <f t="shared" si="2268"/>
        <v>8.0324715793093068E-2</v>
      </c>
      <c r="CR935" s="469">
        <f t="shared" si="2269"/>
        <v>6.071161338596899E-2</v>
      </c>
      <c r="CS935" s="469">
        <f t="shared" si="2270"/>
        <v>6.7379363422631289E-2</v>
      </c>
      <c r="CT935" s="469">
        <f t="shared" si="2271"/>
        <v>6.5958756234588564E-2</v>
      </c>
      <c r="CU935" s="469">
        <f t="shared" si="2272"/>
        <v>8.1827087888210637E-2</v>
      </c>
      <c r="CV935" s="469">
        <f t="shared" si="2273"/>
        <v>8.9555582708310724E-2</v>
      </c>
      <c r="CW935" s="469">
        <f t="shared" si="2274"/>
        <v>9.536743094947675E-2</v>
      </c>
      <c r="CX935" s="469">
        <f t="shared" si="2275"/>
        <v>9.1228048459084402E-2</v>
      </c>
      <c r="CY935" s="469">
        <f t="shared" si="2276"/>
        <v>8.6291536503697128E-2</v>
      </c>
      <c r="CZ935" s="469">
        <f t="shared" si="2277"/>
        <v>8.2560235927326073E-2</v>
      </c>
      <c r="DA935" s="469">
        <f t="shared" si="2278"/>
        <v>7.9177228928120527E-2</v>
      </c>
      <c r="DB935" s="469">
        <f t="shared" si="2278"/>
        <v>7.837423885025227E-2</v>
      </c>
      <c r="DC935" s="1463">
        <f t="shared" si="2278"/>
        <v>7.837423885025227E-2</v>
      </c>
      <c r="DD935" s="492"/>
      <c r="DE935" s="492"/>
      <c r="DF935" s="962"/>
      <c r="DG935" s="962"/>
      <c r="DH935" s="469"/>
      <c r="DI935" s="3213"/>
      <c r="DJ935" s="962"/>
      <c r="DK935" s="962"/>
      <c r="DL935" s="962"/>
      <c r="DM935" s="962"/>
      <c r="DN935" s="962"/>
      <c r="DO935" s="962"/>
      <c r="DP935" s="962"/>
      <c r="DQ935" s="962"/>
      <c r="DR935" s="963"/>
      <c r="DS935" s="963"/>
      <c r="DT935" s="963"/>
    </row>
    <row r="936" spans="1:124" ht="12" customHeight="1" x14ac:dyDescent="0.25">
      <c r="A936" s="281"/>
      <c r="B936" s="281"/>
      <c r="C936" s="305"/>
      <c r="D936" s="305"/>
      <c r="E936" s="305"/>
      <c r="F936" s="305"/>
      <c r="G936" s="440"/>
      <c r="H936" s="305"/>
      <c r="I936" s="305"/>
      <c r="J936" s="305"/>
      <c r="K936" s="305"/>
      <c r="L936" s="440"/>
      <c r="M936" s="305"/>
      <c r="N936" s="305"/>
      <c r="O936" s="305"/>
      <c r="P936" s="305"/>
      <c r="Q936" s="440"/>
      <c r="R936" s="305"/>
      <c r="S936" s="305"/>
      <c r="T936" s="305"/>
      <c r="U936" s="305"/>
      <c r="V936" s="440"/>
      <c r="W936" s="305"/>
      <c r="X936" s="305"/>
      <c r="Y936" s="305"/>
      <c r="Z936" s="305"/>
      <c r="AA936" s="440"/>
      <c r="AB936" s="305"/>
      <c r="AC936" s="305"/>
      <c r="AD936" s="305"/>
      <c r="AE936" s="331"/>
      <c r="AF936" s="441"/>
      <c r="AG936" s="331"/>
      <c r="AH936" s="331"/>
      <c r="AI936" s="331"/>
      <c r="AJ936" s="331"/>
      <c r="AK936" s="441"/>
      <c r="AL936" s="442"/>
      <c r="AM936" s="442"/>
      <c r="AN936" s="442"/>
      <c r="AO936" s="442"/>
      <c r="AP936" s="443"/>
      <c r="AQ936" s="443"/>
      <c r="AR936" s="331"/>
      <c r="AS936" s="331"/>
      <c r="AT936" s="331"/>
      <c r="AU936" s="349"/>
      <c r="AV936" s="443"/>
      <c r="AW936" s="331"/>
      <c r="AX936" s="331"/>
      <c r="AY936" s="1306"/>
      <c r="AZ936" s="349"/>
      <c r="BA936" s="443"/>
      <c r="BB936" s="331"/>
      <c r="BC936" s="331"/>
      <c r="BD936" s="1306"/>
      <c r="BE936" s="1306"/>
      <c r="BF936" s="331"/>
      <c r="BG936" s="331"/>
      <c r="BH936" s="331"/>
      <c r="BI936" s="1306"/>
      <c r="BJ936" s="1306"/>
      <c r="BK936" s="331"/>
      <c r="BL936" s="331"/>
      <c r="BM936" s="331"/>
      <c r="BN936" s="1306"/>
      <c r="BO936" s="1306"/>
      <c r="BP936" s="331"/>
      <c r="BQ936" s="331"/>
      <c r="BR936" s="331"/>
      <c r="BS936" s="331"/>
      <c r="BT936" s="3222"/>
      <c r="BU936" s="3393"/>
      <c r="BV936" s="2601"/>
      <c r="BW936" s="2601"/>
      <c r="BX936" s="2601"/>
      <c r="BY936" s="3222"/>
      <c r="BZ936" s="349"/>
      <c r="CA936" s="349"/>
      <c r="CB936" s="349"/>
      <c r="CC936" s="349"/>
      <c r="CD936" s="349"/>
      <c r="CE936" s="349"/>
      <c r="CF936" s="349"/>
      <c r="CG936" s="331"/>
      <c r="CH936" s="331"/>
      <c r="CI936" s="331"/>
      <c r="CJ936" s="331"/>
      <c r="CK936" s="331"/>
      <c r="CL936" s="520"/>
      <c r="CM936" s="331"/>
      <c r="CN936" s="331"/>
      <c r="CO936" s="331"/>
      <c r="CP936" s="331"/>
      <c r="CQ936" s="331"/>
      <c r="CR936" s="331"/>
      <c r="CS936" s="331"/>
      <c r="CT936" s="331"/>
      <c r="CU936" s="331"/>
      <c r="CV936" s="331"/>
      <c r="CW936" s="331"/>
      <c r="CX936" s="331"/>
      <c r="CY936" s="331"/>
      <c r="CZ936" s="331"/>
      <c r="DA936" s="331"/>
      <c r="DB936" s="331"/>
      <c r="DC936" s="1306"/>
      <c r="DD936" s="331"/>
      <c r="DE936" s="331"/>
      <c r="DF936" s="502"/>
      <c r="DG936" s="503"/>
      <c r="DH936" s="2601"/>
      <c r="DI936" s="3213"/>
      <c r="DJ936" s="502"/>
      <c r="DK936" s="503"/>
      <c r="DL936" s="502"/>
      <c r="DM936" s="502"/>
      <c r="DN936" s="502"/>
      <c r="DO936" s="502"/>
      <c r="DP936" s="503"/>
      <c r="DQ936" s="503"/>
      <c r="DR936" s="296"/>
      <c r="DS936" s="296"/>
      <c r="DT936" s="296"/>
    </row>
    <row r="937" spans="1:124" ht="12" customHeight="1" x14ac:dyDescent="0.25">
      <c r="A937" s="2125" t="s">
        <v>1019</v>
      </c>
      <c r="B937" s="428"/>
      <c r="C937" s="502"/>
      <c r="D937" s="502"/>
      <c r="E937" s="502"/>
      <c r="F937" s="502"/>
      <c r="G937" s="534"/>
      <c r="H937" s="502"/>
      <c r="I937" s="502"/>
      <c r="J937" s="502"/>
      <c r="K937" s="502"/>
      <c r="L937" s="534"/>
      <c r="M937" s="502"/>
      <c r="N937" s="502"/>
      <c r="O937" s="502"/>
      <c r="P937" s="502"/>
      <c r="Q937" s="534"/>
      <c r="R937" s="502"/>
      <c r="S937" s="502"/>
      <c r="T937" s="502"/>
      <c r="U937" s="502"/>
      <c r="V937" s="534"/>
      <c r="W937" s="502"/>
      <c r="X937" s="502"/>
      <c r="Y937" s="502"/>
      <c r="Z937" s="502"/>
      <c r="AA937" s="534"/>
      <c r="AB937" s="502"/>
      <c r="AC937" s="502"/>
      <c r="AD937" s="502"/>
      <c r="AE937" s="502"/>
      <c r="AF937" s="534"/>
      <c r="AG937" s="502"/>
      <c r="AH937" s="502"/>
      <c r="AI937" s="502"/>
      <c r="AJ937" s="502"/>
      <c r="AK937" s="534"/>
      <c r="AL937" s="503"/>
      <c r="AM937" s="503"/>
      <c r="AN937" s="503"/>
      <c r="AO937" s="503"/>
      <c r="AP937" s="535"/>
      <c r="AQ937" s="535"/>
      <c r="AR937" s="537"/>
      <c r="AS937" s="537"/>
      <c r="AT937" s="537"/>
      <c r="AU937" s="536"/>
      <c r="AV937" s="535"/>
      <c r="AW937" s="537"/>
      <c r="AX937" s="537"/>
      <c r="AY937" s="1926"/>
      <c r="AZ937" s="536"/>
      <c r="BA937" s="535"/>
      <c r="BB937" s="537"/>
      <c r="BC937" s="537"/>
      <c r="BD937" s="1926"/>
      <c r="BE937" s="1926"/>
      <c r="BF937" s="537"/>
      <c r="BG937" s="537"/>
      <c r="BH937" s="537"/>
      <c r="BI937" s="1926"/>
      <c r="BJ937" s="1926"/>
      <c r="BK937" s="537"/>
      <c r="BL937" s="537"/>
      <c r="BM937" s="537"/>
      <c r="BN937" s="1926"/>
      <c r="BO937" s="1926"/>
      <c r="BP937" s="537"/>
      <c r="BQ937" s="537"/>
      <c r="BR937" s="537"/>
      <c r="BS937" s="537"/>
      <c r="BT937" s="536"/>
      <c r="BU937" s="535"/>
      <c r="BV937" s="537"/>
      <c r="BW937" s="537"/>
      <c r="BX937" s="537"/>
      <c r="BY937" s="536"/>
      <c r="BZ937" s="536"/>
      <c r="CA937" s="536"/>
      <c r="CB937" s="536"/>
      <c r="CC937" s="536"/>
      <c r="CD937" s="536"/>
      <c r="CE937" s="536"/>
      <c r="CF937" s="536"/>
      <c r="CG937" s="331"/>
      <c r="CH937" s="331"/>
      <c r="CI937" s="331"/>
      <c r="CJ937" s="331"/>
      <c r="CK937" s="331"/>
      <c r="CL937" s="2036" t="str">
        <f t="shared" ref="CL937:CL943" si="2299">A937</f>
        <v>Argosy Sioux City (IA)</v>
      </c>
      <c r="CM937" s="503">
        <f t="shared" ref="CM937:CM943" si="2300">G937</f>
        <v>0</v>
      </c>
      <c r="CN937" s="503">
        <f t="shared" ref="CN937:CN943" si="2301">L937</f>
        <v>0</v>
      </c>
      <c r="CO937" s="503">
        <f t="shared" ref="CO937:CO943" si="2302">Q937</f>
        <v>0</v>
      </c>
      <c r="CP937" s="503">
        <f t="shared" ref="CP937:CP943" si="2303">V937</f>
        <v>0</v>
      </c>
      <c r="CQ937" s="503">
        <f t="shared" ref="CQ937:CQ943" si="2304">AA937</f>
        <v>0</v>
      </c>
      <c r="CR937" s="503">
        <f t="shared" ref="CR937:CR943" si="2305">AF937</f>
        <v>0</v>
      </c>
      <c r="CS937" s="503">
        <f t="shared" ref="CS937:CS943" si="2306">AK937</f>
        <v>0</v>
      </c>
      <c r="CT937" s="503">
        <f t="shared" ref="CT937:CT943" si="2307">AP937</f>
        <v>0</v>
      </c>
      <c r="CU937" s="503">
        <f t="shared" ref="CU937:CU943" si="2308">AU937</f>
        <v>0</v>
      </c>
      <c r="CV937" s="503">
        <f t="shared" ref="CV937:CV943" si="2309">AZ937</f>
        <v>0</v>
      </c>
      <c r="CW937" s="503">
        <f t="shared" ref="CW937:CW943" si="2310">BE937</f>
        <v>0</v>
      </c>
      <c r="CX937" s="503">
        <f t="shared" ref="CX937:CX943" si="2311">BJ937</f>
        <v>0</v>
      </c>
      <c r="CY937" s="503">
        <f t="shared" ref="CY937:CY943" si="2312">BO937</f>
        <v>0</v>
      </c>
      <c r="CZ937" s="503">
        <f t="shared" ref="CZ937:CZ943" si="2313">BT937</f>
        <v>0</v>
      </c>
      <c r="DA937" s="503">
        <f t="shared" ref="DA937:DC943" si="2314">BY937</f>
        <v>0</v>
      </c>
      <c r="DB937" s="503">
        <f t="shared" si="2314"/>
        <v>0</v>
      </c>
      <c r="DC937" s="2124">
        <f t="shared" si="2314"/>
        <v>0</v>
      </c>
      <c r="DD937" s="331"/>
      <c r="DE937" s="331"/>
      <c r="DF937" s="502"/>
      <c r="DG937" s="503"/>
      <c r="DH937" s="537"/>
      <c r="DI937" s="3213"/>
      <c r="DJ937" s="502"/>
      <c r="DK937" s="503"/>
      <c r="DL937" s="502"/>
      <c r="DM937" s="502"/>
      <c r="DN937" s="502"/>
      <c r="DO937" s="502"/>
      <c r="DP937" s="503"/>
      <c r="DQ937" s="503"/>
      <c r="DR937" s="428"/>
      <c r="DS937" s="428"/>
      <c r="DT937" s="428"/>
    </row>
    <row r="938" spans="1:124" ht="12" customHeight="1" x14ac:dyDescent="0.25">
      <c r="A938" s="281" t="s">
        <v>894</v>
      </c>
      <c r="B938" s="281"/>
      <c r="C938" s="305">
        <f>C939+(C940*C$320)</f>
        <v>566</v>
      </c>
      <c r="D938" s="305">
        <f>D939+(D940*D$320)</f>
        <v>566</v>
      </c>
      <c r="E938" s="305">
        <f>E939+(E940*E$320)</f>
        <v>724</v>
      </c>
      <c r="F938" s="305">
        <f>F939+(F940*F$320)</f>
        <v>739</v>
      </c>
      <c r="G938" s="345">
        <f>F938</f>
        <v>739</v>
      </c>
      <c r="H938" s="305">
        <f>H939+(H940*H$320)</f>
        <v>751</v>
      </c>
      <c r="I938" s="305">
        <f>I939+(I940*I$320)</f>
        <v>755</v>
      </c>
      <c r="J938" s="305">
        <f>J939+(J940*J$320)</f>
        <v>757</v>
      </c>
      <c r="K938" s="305">
        <f>K939+(K940*K$320)</f>
        <v>757</v>
      </c>
      <c r="L938" s="345">
        <f>K938</f>
        <v>757</v>
      </c>
      <c r="M938" s="305">
        <f>M939+(M940*M$320)</f>
        <v>757</v>
      </c>
      <c r="N938" s="305">
        <f>N939+(N940*N$320)</f>
        <v>757</v>
      </c>
      <c r="O938" s="305">
        <f>O939+(O940*O$320)</f>
        <v>757</v>
      </c>
      <c r="P938" s="305">
        <f>P939+(P940*P$320)</f>
        <v>785</v>
      </c>
      <c r="Q938" s="345">
        <f>P938</f>
        <v>785</v>
      </c>
      <c r="R938" s="305">
        <f>R939+(R940*R$320)</f>
        <v>785</v>
      </c>
      <c r="S938" s="305">
        <f>S939+(S940*S$320)</f>
        <v>785</v>
      </c>
      <c r="T938" s="305">
        <f>T939+(T940*T$320)</f>
        <v>785</v>
      </c>
      <c r="U938" s="305">
        <f>U939+(U940*U$320)</f>
        <v>829</v>
      </c>
      <c r="V938" s="345">
        <f>U938</f>
        <v>829</v>
      </c>
      <c r="W938" s="305">
        <f>W939+(W940*W$320)</f>
        <v>829</v>
      </c>
      <c r="X938" s="305">
        <f>X939+(X940*X$320)</f>
        <v>829</v>
      </c>
      <c r="Y938" s="305">
        <f>Y939+(Y940*Y$320)</f>
        <v>829</v>
      </c>
      <c r="Z938" s="305">
        <f>Z939+(Z940*Z$320)</f>
        <v>840</v>
      </c>
      <c r="AA938" s="345">
        <f>Z938</f>
        <v>840</v>
      </c>
      <c r="AB938" s="305">
        <f>AB939+(AB940*AB$320)</f>
        <v>840</v>
      </c>
      <c r="AC938" s="305">
        <f>AC939+(AC940*AC$320)</f>
        <v>841</v>
      </c>
      <c r="AD938" s="305">
        <f>AD939+(AD940*AD$320)</f>
        <v>840</v>
      </c>
      <c r="AE938" s="331">
        <f>AE939+(AE940*AE$320)</f>
        <v>816</v>
      </c>
      <c r="AF938" s="348">
        <f>AE938</f>
        <v>816</v>
      </c>
      <c r="AG938" s="305">
        <f>AG939+(AG940*AG$320)</f>
        <v>816</v>
      </c>
      <c r="AH938" s="305">
        <f>AH939+(AH940*AH$320)</f>
        <v>816</v>
      </c>
      <c r="AI938" s="305">
        <f>AI939+(AI940*AI$320)</f>
        <v>816</v>
      </c>
      <c r="AJ938" s="331">
        <f>AJ939+(AJ940*AJ$320)</f>
        <v>816</v>
      </c>
      <c r="AK938" s="348">
        <f>AJ938</f>
        <v>816</v>
      </c>
      <c r="AL938" s="305">
        <f>AL939+(AL940*AL$320)</f>
        <v>845.33333333333337</v>
      </c>
      <c r="AM938" s="305">
        <f>AM939+(AM940*AM$320)</f>
        <v>849.66666666666663</v>
      </c>
      <c r="AN938" s="305">
        <f>AN939+(AN940*AN$320)</f>
        <v>853.66666666666663</v>
      </c>
      <c r="AO938" s="331">
        <f>AO939+(AO940*AO$320)</f>
        <v>851</v>
      </c>
      <c r="AP938" s="568">
        <f>AO938</f>
        <v>851</v>
      </c>
      <c r="AQ938" s="568">
        <f>AQ939+(AQ940*AQ$320)</f>
        <v>838</v>
      </c>
      <c r="AR938" s="330">
        <f>AR939+(AR940*AR$320)</f>
        <v>836.66666666666663</v>
      </c>
      <c r="AS938" s="330">
        <f>AS939+(AS940*AS$320)</f>
        <v>831</v>
      </c>
      <c r="AT938" s="330">
        <f>AT939+(AT940*AT$320)</f>
        <v>835</v>
      </c>
      <c r="AU938" s="1692">
        <f>AT938</f>
        <v>835</v>
      </c>
      <c r="AV938" s="1912">
        <f>AV939+(AV940*AV$320)</f>
        <v>834</v>
      </c>
      <c r="AW938" s="1839">
        <f>AW939+(AW940*AW$320)</f>
        <v>831</v>
      </c>
      <c r="AX938" s="1839">
        <f>AX939+(AX940*AX$320)</f>
        <v>828.66666666666663</v>
      </c>
      <c r="AY938" s="1906">
        <f>AY939+(AY940*AY$320)</f>
        <v>828</v>
      </c>
      <c r="AZ938" s="1692">
        <f>AY938</f>
        <v>828</v>
      </c>
      <c r="BA938" s="553">
        <f>BA939+(BA940*BA$320)</f>
        <v>825</v>
      </c>
      <c r="BB938" s="551">
        <f>BB939+(BB940*BB$320)</f>
        <v>823.33333333333337</v>
      </c>
      <c r="BC938" s="551">
        <f>BC939+(BC940*BC$320)</f>
        <v>823.33333333333337</v>
      </c>
      <c r="BD938" s="1895"/>
      <c r="BE938" s="1692">
        <f>BD938</f>
        <v>0</v>
      </c>
      <c r="BF938" s="551"/>
      <c r="BG938" s="551"/>
      <c r="BH938" s="551"/>
      <c r="BI938" s="1895"/>
      <c r="BJ938" s="1692"/>
      <c r="BK938" s="551"/>
      <c r="BL938" s="551"/>
      <c r="BM938" s="551"/>
      <c r="BN938" s="1895"/>
      <c r="BO938" s="1692"/>
      <c r="BP938" s="551"/>
      <c r="BQ938" s="551"/>
      <c r="BR938" s="551"/>
      <c r="BS938" s="551"/>
      <c r="BT938" s="3234"/>
      <c r="BU938" s="3404"/>
      <c r="BV938" s="3297"/>
      <c r="BW938" s="3297"/>
      <c r="BX938" s="3297"/>
      <c r="BY938" s="3234"/>
      <c r="BZ938" s="552"/>
      <c r="CA938" s="552"/>
      <c r="CB938" s="552"/>
      <c r="CC938" s="552"/>
      <c r="CD938" s="552"/>
      <c r="CE938" s="552"/>
      <c r="CF938" s="552"/>
      <c r="CG938" s="331"/>
      <c r="CH938" s="331"/>
      <c r="CI938" s="331"/>
      <c r="CJ938" s="331"/>
      <c r="CK938" s="331"/>
      <c r="CL938" s="520" t="str">
        <f t="shared" si="2299"/>
        <v>Positions</v>
      </c>
      <c r="CM938" s="330">
        <f t="shared" si="2300"/>
        <v>739</v>
      </c>
      <c r="CN938" s="330">
        <f t="shared" si="2301"/>
        <v>757</v>
      </c>
      <c r="CO938" s="330">
        <f t="shared" si="2302"/>
        <v>785</v>
      </c>
      <c r="CP938" s="330">
        <f t="shared" si="2303"/>
        <v>829</v>
      </c>
      <c r="CQ938" s="330">
        <f t="shared" si="2304"/>
        <v>840</v>
      </c>
      <c r="CR938" s="330">
        <f t="shared" si="2305"/>
        <v>816</v>
      </c>
      <c r="CS938" s="330">
        <f t="shared" si="2306"/>
        <v>816</v>
      </c>
      <c r="CT938" s="330">
        <f t="shared" si="2307"/>
        <v>851</v>
      </c>
      <c r="CU938" s="330">
        <f t="shared" si="2308"/>
        <v>835</v>
      </c>
      <c r="CV938" s="330">
        <f t="shared" si="2309"/>
        <v>828</v>
      </c>
      <c r="CW938" s="330">
        <f t="shared" si="2310"/>
        <v>0</v>
      </c>
      <c r="CX938" s="330">
        <f t="shared" si="2311"/>
        <v>0</v>
      </c>
      <c r="CY938" s="330">
        <f t="shared" si="2312"/>
        <v>0</v>
      </c>
      <c r="CZ938" s="330">
        <f t="shared" si="2313"/>
        <v>0</v>
      </c>
      <c r="DA938" s="330">
        <f t="shared" si="2314"/>
        <v>0</v>
      </c>
      <c r="DB938" s="330">
        <f t="shared" si="2314"/>
        <v>0</v>
      </c>
      <c r="DC938" s="1888">
        <f t="shared" si="2314"/>
        <v>0</v>
      </c>
      <c r="DD938" s="331"/>
      <c r="DE938" s="331"/>
      <c r="DF938" s="502"/>
      <c r="DG938" s="503"/>
      <c r="DH938" s="3297"/>
      <c r="DI938" s="3213"/>
      <c r="DJ938" s="502"/>
      <c r="DK938" s="503"/>
      <c r="DL938" s="502"/>
      <c r="DM938" s="502"/>
      <c r="DN938" s="502"/>
      <c r="DO938" s="502"/>
      <c r="DP938" s="503"/>
      <c r="DQ938" s="503"/>
      <c r="DR938" s="296"/>
      <c r="DS938" s="296"/>
      <c r="DT938" s="296"/>
    </row>
    <row r="939" spans="1:124" ht="12" customHeight="1" x14ac:dyDescent="0.25">
      <c r="A939" s="281" t="s">
        <v>585</v>
      </c>
      <c r="B939" s="281"/>
      <c r="C939" s="340">
        <v>482</v>
      </c>
      <c r="D939" s="340">
        <v>482</v>
      </c>
      <c r="E939" s="340">
        <v>616</v>
      </c>
      <c r="F939" s="340">
        <v>625</v>
      </c>
      <c r="G939" s="345">
        <f>F939</f>
        <v>625</v>
      </c>
      <c r="H939" s="340">
        <v>625</v>
      </c>
      <c r="I939" s="340">
        <v>629</v>
      </c>
      <c r="J939" s="340">
        <v>631</v>
      </c>
      <c r="K939" s="340">
        <v>631</v>
      </c>
      <c r="L939" s="345">
        <f>K939</f>
        <v>631</v>
      </c>
      <c r="M939" s="340">
        <v>631</v>
      </c>
      <c r="N939" s="340">
        <v>631</v>
      </c>
      <c r="O939" s="340">
        <v>631</v>
      </c>
      <c r="P939" s="340">
        <v>659</v>
      </c>
      <c r="Q939" s="345">
        <f>P939</f>
        <v>659</v>
      </c>
      <c r="R939" s="340">
        <v>659</v>
      </c>
      <c r="S939" s="340">
        <v>659</v>
      </c>
      <c r="T939" s="340">
        <v>659</v>
      </c>
      <c r="U939" s="340">
        <v>703</v>
      </c>
      <c r="V939" s="345">
        <f>U939</f>
        <v>703</v>
      </c>
      <c r="W939" s="340">
        <v>703</v>
      </c>
      <c r="X939" s="340">
        <v>703</v>
      </c>
      <c r="Y939" s="340">
        <v>703</v>
      </c>
      <c r="Z939" s="340">
        <v>702</v>
      </c>
      <c r="AA939" s="345">
        <f>Z939</f>
        <v>702</v>
      </c>
      <c r="AB939" s="339">
        <v>702</v>
      </c>
      <c r="AC939" s="339">
        <v>709</v>
      </c>
      <c r="AD939" s="339">
        <v>702</v>
      </c>
      <c r="AE939" s="339">
        <v>702</v>
      </c>
      <c r="AF939" s="348">
        <f>AE939</f>
        <v>702</v>
      </c>
      <c r="AG939" s="331">
        <f>AE939</f>
        <v>702</v>
      </c>
      <c r="AH939" s="331">
        <f t="shared" ref="AH939:AJ940" si="2315">AG939</f>
        <v>702</v>
      </c>
      <c r="AI939" s="331">
        <f t="shared" si="2315"/>
        <v>702</v>
      </c>
      <c r="AJ939" s="331">
        <f t="shared" si="2315"/>
        <v>702</v>
      </c>
      <c r="AK939" s="348">
        <f>AJ939</f>
        <v>702</v>
      </c>
      <c r="AL939" s="2858">
        <v>713.33333333333337</v>
      </c>
      <c r="AM939" s="2858">
        <v>717.66666666666663</v>
      </c>
      <c r="AN939" s="2858">
        <v>715.66666666666663</v>
      </c>
      <c r="AO939" s="2858">
        <v>717</v>
      </c>
      <c r="AP939" s="568">
        <f>AO939</f>
        <v>717</v>
      </c>
      <c r="AQ939" s="2651">
        <v>718</v>
      </c>
      <c r="AR939" s="2655">
        <v>716.66666666666663</v>
      </c>
      <c r="AS939" s="2655">
        <v>715</v>
      </c>
      <c r="AT939" s="2655">
        <v>715</v>
      </c>
      <c r="AU939" s="1692">
        <f>AT939</f>
        <v>715</v>
      </c>
      <c r="AV939" s="2660">
        <v>714</v>
      </c>
      <c r="AW939" s="2661">
        <v>711</v>
      </c>
      <c r="AX939" s="2661">
        <v>708.66666666666663</v>
      </c>
      <c r="AY939" s="2662">
        <v>708</v>
      </c>
      <c r="AZ939" s="1692">
        <f>AY939</f>
        <v>708</v>
      </c>
      <c r="BA939" s="2660">
        <v>705</v>
      </c>
      <c r="BB939" s="2661">
        <v>703.33333333333337</v>
      </c>
      <c r="BC939" s="2661">
        <v>703.33333333333337</v>
      </c>
      <c r="BD939" s="1895"/>
      <c r="BE939" s="1692">
        <f>BD939</f>
        <v>0</v>
      </c>
      <c r="BF939" s="551"/>
      <c r="BG939" s="551"/>
      <c r="BH939" s="551"/>
      <c r="BI939" s="1895"/>
      <c r="BJ939" s="1692"/>
      <c r="BK939" s="551"/>
      <c r="BL939" s="551"/>
      <c r="BM939" s="551"/>
      <c r="BN939" s="1895"/>
      <c r="BO939" s="1692"/>
      <c r="BP939" s="551"/>
      <c r="BQ939" s="551"/>
      <c r="BR939" s="551"/>
      <c r="BS939" s="551"/>
      <c r="BT939" s="3234"/>
      <c r="BU939" s="3404"/>
      <c r="BV939" s="3297"/>
      <c r="BW939" s="3297"/>
      <c r="BX939" s="3297"/>
      <c r="BY939" s="3234"/>
      <c r="BZ939" s="552"/>
      <c r="CA939" s="552"/>
      <c r="CB939" s="552"/>
      <c r="CC939" s="552"/>
      <c r="CD939" s="552"/>
      <c r="CE939" s="552"/>
      <c r="CF939" s="552"/>
      <c r="CG939" s="331"/>
      <c r="CH939" s="331"/>
      <c r="CI939" s="331"/>
      <c r="CJ939" s="331"/>
      <c r="CK939" s="331"/>
      <c r="CL939" s="520" t="str">
        <f t="shared" si="2299"/>
        <v>Slots</v>
      </c>
      <c r="CM939" s="330">
        <f t="shared" si="2300"/>
        <v>625</v>
      </c>
      <c r="CN939" s="330">
        <f t="shared" si="2301"/>
        <v>631</v>
      </c>
      <c r="CO939" s="330">
        <f t="shared" si="2302"/>
        <v>659</v>
      </c>
      <c r="CP939" s="330">
        <f t="shared" si="2303"/>
        <v>703</v>
      </c>
      <c r="CQ939" s="330">
        <f t="shared" si="2304"/>
        <v>702</v>
      </c>
      <c r="CR939" s="330">
        <f t="shared" si="2305"/>
        <v>702</v>
      </c>
      <c r="CS939" s="330">
        <f t="shared" si="2306"/>
        <v>702</v>
      </c>
      <c r="CT939" s="330">
        <f t="shared" si="2307"/>
        <v>717</v>
      </c>
      <c r="CU939" s="330">
        <f t="shared" si="2308"/>
        <v>715</v>
      </c>
      <c r="CV939" s="330">
        <f t="shared" si="2309"/>
        <v>708</v>
      </c>
      <c r="CW939" s="330">
        <f t="shared" si="2310"/>
        <v>0</v>
      </c>
      <c r="CX939" s="330">
        <f t="shared" si="2311"/>
        <v>0</v>
      </c>
      <c r="CY939" s="330">
        <f t="shared" si="2312"/>
        <v>0</v>
      </c>
      <c r="CZ939" s="330">
        <f t="shared" si="2313"/>
        <v>0</v>
      </c>
      <c r="DA939" s="330">
        <f t="shared" si="2314"/>
        <v>0</v>
      </c>
      <c r="DB939" s="330">
        <f t="shared" si="2314"/>
        <v>0</v>
      </c>
      <c r="DC939" s="1888">
        <f t="shared" si="2314"/>
        <v>0</v>
      </c>
      <c r="DD939" s="331"/>
      <c r="DE939" s="331"/>
      <c r="DF939" s="502"/>
      <c r="DG939" s="503"/>
      <c r="DH939" s="3297"/>
      <c r="DI939" s="3213"/>
      <c r="DJ939" s="502"/>
      <c r="DK939" s="503"/>
      <c r="DL939" s="502"/>
      <c r="DM939" s="502"/>
      <c r="DN939" s="502"/>
      <c r="DO939" s="502"/>
      <c r="DP939" s="503"/>
      <c r="DQ939" s="503"/>
      <c r="DR939" s="296"/>
      <c r="DS939" s="296"/>
      <c r="DT939" s="296"/>
    </row>
    <row r="940" spans="1:124" ht="12" customHeight="1" x14ac:dyDescent="0.25">
      <c r="A940" s="281" t="s">
        <v>584</v>
      </c>
      <c r="B940" s="281"/>
      <c r="C940" s="340">
        <v>14</v>
      </c>
      <c r="D940" s="340">
        <v>14</v>
      </c>
      <c r="E940" s="340">
        <v>18</v>
      </c>
      <c r="F940" s="340">
        <v>19</v>
      </c>
      <c r="G940" s="345">
        <f>F940</f>
        <v>19</v>
      </c>
      <c r="H940" s="340">
        <v>21</v>
      </c>
      <c r="I940" s="340">
        <v>21</v>
      </c>
      <c r="J940" s="340">
        <v>21</v>
      </c>
      <c r="K940" s="340">
        <v>21</v>
      </c>
      <c r="L940" s="345">
        <f>K940</f>
        <v>21</v>
      </c>
      <c r="M940" s="340">
        <v>21</v>
      </c>
      <c r="N940" s="340">
        <v>21</v>
      </c>
      <c r="O940" s="340">
        <v>21</v>
      </c>
      <c r="P940" s="340">
        <v>21</v>
      </c>
      <c r="Q940" s="345">
        <f>P940</f>
        <v>21</v>
      </c>
      <c r="R940" s="340">
        <v>21</v>
      </c>
      <c r="S940" s="340">
        <v>21</v>
      </c>
      <c r="T940" s="340">
        <v>21</v>
      </c>
      <c r="U940" s="340">
        <v>21</v>
      </c>
      <c r="V940" s="345">
        <f>U940</f>
        <v>21</v>
      </c>
      <c r="W940" s="340">
        <v>21</v>
      </c>
      <c r="X940" s="340">
        <v>21</v>
      </c>
      <c r="Y940" s="340">
        <v>21</v>
      </c>
      <c r="Z940" s="340">
        <v>23</v>
      </c>
      <c r="AA940" s="345">
        <f>Z940</f>
        <v>23</v>
      </c>
      <c r="AB940" s="339">
        <v>23</v>
      </c>
      <c r="AC940" s="339">
        <v>22</v>
      </c>
      <c r="AD940" s="339">
        <v>23</v>
      </c>
      <c r="AE940" s="339">
        <v>19</v>
      </c>
      <c r="AF940" s="348">
        <f>AE940</f>
        <v>19</v>
      </c>
      <c r="AG940" s="331">
        <f>AE940</f>
        <v>19</v>
      </c>
      <c r="AH940" s="331">
        <f t="shared" si="2315"/>
        <v>19</v>
      </c>
      <c r="AI940" s="331">
        <f t="shared" si="2315"/>
        <v>19</v>
      </c>
      <c r="AJ940" s="331">
        <f t="shared" si="2315"/>
        <v>19</v>
      </c>
      <c r="AK940" s="348">
        <f>AJ940</f>
        <v>19</v>
      </c>
      <c r="AL940" s="2858">
        <v>22</v>
      </c>
      <c r="AM940" s="2858">
        <v>22</v>
      </c>
      <c r="AN940" s="2858">
        <v>23</v>
      </c>
      <c r="AO940" s="2858">
        <v>22.333333333333332</v>
      </c>
      <c r="AP940" s="568">
        <f>AO940</f>
        <v>22.333333333333332</v>
      </c>
      <c r="AQ940" s="2651">
        <v>20</v>
      </c>
      <c r="AR940" s="2655">
        <v>20</v>
      </c>
      <c r="AS940" s="2655">
        <v>19.333333333333332</v>
      </c>
      <c r="AT940" s="2655">
        <v>20</v>
      </c>
      <c r="AU940" s="1692">
        <f>AT940</f>
        <v>20</v>
      </c>
      <c r="AV940" s="2660">
        <v>20</v>
      </c>
      <c r="AW940" s="2661">
        <v>20</v>
      </c>
      <c r="AX940" s="2661">
        <v>20</v>
      </c>
      <c r="AY940" s="2661">
        <v>20</v>
      </c>
      <c r="AZ940" s="1692">
        <f>AY940</f>
        <v>20</v>
      </c>
      <c r="BA940" s="2661">
        <v>20</v>
      </c>
      <c r="BB940" s="2661">
        <v>20</v>
      </c>
      <c r="BC940" s="2661">
        <v>20</v>
      </c>
      <c r="BD940" s="1895"/>
      <c r="BE940" s="1692">
        <f>BD940</f>
        <v>0</v>
      </c>
      <c r="BF940" s="551"/>
      <c r="BG940" s="551"/>
      <c r="BH940" s="551"/>
      <c r="BI940" s="1895"/>
      <c r="BJ940" s="1692"/>
      <c r="BK940" s="551"/>
      <c r="BL940" s="551"/>
      <c r="BM940" s="551"/>
      <c r="BN940" s="1895"/>
      <c r="BO940" s="1692"/>
      <c r="BP940" s="551"/>
      <c r="BQ940" s="551"/>
      <c r="BR940" s="551"/>
      <c r="BS940" s="551"/>
      <c r="BT940" s="3234"/>
      <c r="BU940" s="3404"/>
      <c r="BV940" s="3297"/>
      <c r="BW940" s="3297"/>
      <c r="BX940" s="3297"/>
      <c r="BY940" s="3234"/>
      <c r="BZ940" s="552"/>
      <c r="CA940" s="552"/>
      <c r="CB940" s="552"/>
      <c r="CC940" s="552"/>
      <c r="CD940" s="552"/>
      <c r="CE940" s="552"/>
      <c r="CF940" s="552"/>
      <c r="CG940" s="331"/>
      <c r="CH940" s="331"/>
      <c r="CI940" s="331"/>
      <c r="CJ940" s="331"/>
      <c r="CK940" s="331"/>
      <c r="CL940" s="520" t="str">
        <f t="shared" si="2299"/>
        <v>Tables</v>
      </c>
      <c r="CM940" s="330">
        <f t="shared" si="2300"/>
        <v>19</v>
      </c>
      <c r="CN940" s="330">
        <f t="shared" si="2301"/>
        <v>21</v>
      </c>
      <c r="CO940" s="330">
        <f t="shared" si="2302"/>
        <v>21</v>
      </c>
      <c r="CP940" s="330">
        <f t="shared" si="2303"/>
        <v>21</v>
      </c>
      <c r="CQ940" s="330">
        <f t="shared" si="2304"/>
        <v>23</v>
      </c>
      <c r="CR940" s="330">
        <f t="shared" si="2305"/>
        <v>19</v>
      </c>
      <c r="CS940" s="330">
        <f t="shared" si="2306"/>
        <v>19</v>
      </c>
      <c r="CT940" s="330">
        <f t="shared" si="2307"/>
        <v>22.333333333333332</v>
      </c>
      <c r="CU940" s="330">
        <f t="shared" si="2308"/>
        <v>20</v>
      </c>
      <c r="CV940" s="330">
        <f t="shared" si="2309"/>
        <v>20</v>
      </c>
      <c r="CW940" s="330">
        <f t="shared" si="2310"/>
        <v>0</v>
      </c>
      <c r="CX940" s="330">
        <f t="shared" si="2311"/>
        <v>0</v>
      </c>
      <c r="CY940" s="330">
        <f t="shared" si="2312"/>
        <v>0</v>
      </c>
      <c r="CZ940" s="330">
        <f t="shared" si="2313"/>
        <v>0</v>
      </c>
      <c r="DA940" s="330">
        <f t="shared" si="2314"/>
        <v>0</v>
      </c>
      <c r="DB940" s="330">
        <f t="shared" si="2314"/>
        <v>0</v>
      </c>
      <c r="DC940" s="1888">
        <f t="shared" si="2314"/>
        <v>0</v>
      </c>
      <c r="DD940" s="331"/>
      <c r="DE940" s="331"/>
      <c r="DF940" s="502"/>
      <c r="DG940" s="503"/>
      <c r="DH940" s="3297"/>
      <c r="DI940" s="3213"/>
      <c r="DJ940" s="502"/>
      <c r="DK940" s="503"/>
      <c r="DL940" s="502"/>
      <c r="DM940" s="502"/>
      <c r="DN940" s="502"/>
      <c r="DO940" s="502"/>
      <c r="DP940" s="503"/>
      <c r="DQ940" s="503"/>
      <c r="DR940" s="296"/>
      <c r="DS940" s="296"/>
      <c r="DT940" s="296"/>
    </row>
    <row r="941" spans="1:124" ht="12" customHeight="1" x14ac:dyDescent="0.25">
      <c r="A941" s="511" t="s">
        <v>2111</v>
      </c>
      <c r="B941" s="281"/>
      <c r="C941" s="340">
        <v>566</v>
      </c>
      <c r="D941" s="305">
        <f>AVERAGE(C938:D938)</f>
        <v>566</v>
      </c>
      <c r="E941" s="305">
        <f>AVERAGE(D938:E938)</f>
        <v>645</v>
      </c>
      <c r="F941" s="305">
        <f>AVERAGE(E938:F938)</f>
        <v>731.5</v>
      </c>
      <c r="G941" s="345">
        <f>AVERAGE(C941:F941)</f>
        <v>627.125</v>
      </c>
      <c r="H941" s="305">
        <f>AVERAGE(G938:H938)</f>
        <v>745</v>
      </c>
      <c r="I941" s="305">
        <f>AVERAGE(H938:I938)</f>
        <v>753</v>
      </c>
      <c r="J941" s="305">
        <f>AVERAGE(I938:J938)</f>
        <v>756</v>
      </c>
      <c r="K941" s="305">
        <f>AVERAGE(J938:K938)</f>
        <v>757</v>
      </c>
      <c r="L941" s="345">
        <f>AVERAGE(H941:K941)</f>
        <v>752.75</v>
      </c>
      <c r="M941" s="305">
        <f>AVERAGE(L938:M938)</f>
        <v>757</v>
      </c>
      <c r="N941" s="305">
        <f>AVERAGE(M938:N938)</f>
        <v>757</v>
      </c>
      <c r="O941" s="305">
        <f>AVERAGE(N938:O938)</f>
        <v>757</v>
      </c>
      <c r="P941" s="305">
        <f>AVERAGE(O938:P938)</f>
        <v>771</v>
      </c>
      <c r="Q941" s="345">
        <f>AVERAGE(M941:P941)</f>
        <v>760.5</v>
      </c>
      <c r="R941" s="305">
        <f>AVERAGE(Q938:R938)</f>
        <v>785</v>
      </c>
      <c r="S941" s="305">
        <f>AVERAGE(R938:S938)</f>
        <v>785</v>
      </c>
      <c r="T941" s="305">
        <f>AVERAGE(S938:T938)</f>
        <v>785</v>
      </c>
      <c r="U941" s="305">
        <f>AVERAGE(T938:U938)</f>
        <v>807</v>
      </c>
      <c r="V941" s="345">
        <f>AVERAGE(R941:U941)</f>
        <v>790.5</v>
      </c>
      <c r="W941" s="305">
        <f>AVERAGE(V938:W938)</f>
        <v>829</v>
      </c>
      <c r="X941" s="305">
        <f>AVERAGE(W938:X938)</f>
        <v>829</v>
      </c>
      <c r="Y941" s="305">
        <f>AVERAGE(X938:Y938)</f>
        <v>829</v>
      </c>
      <c r="Z941" s="305">
        <f>AVERAGE(Y938:Z938)</f>
        <v>834.5</v>
      </c>
      <c r="AA941" s="345">
        <f>AVERAGE(W941:Z941)</f>
        <v>830.375</v>
      </c>
      <c r="AB941" s="305">
        <f>AVERAGE(AA938:AB938)</f>
        <v>840</v>
      </c>
      <c r="AC941" s="305">
        <f>AVERAGE(AB938:AC938)</f>
        <v>840.5</v>
      </c>
      <c r="AD941" s="305">
        <f>AVERAGE(AC938:AD938)</f>
        <v>840.5</v>
      </c>
      <c r="AE941" s="331">
        <f>AVERAGE(AD938:AE938)</f>
        <v>828</v>
      </c>
      <c r="AF941" s="348">
        <f>AVERAGE(AB941:AE941)</f>
        <v>837.25</v>
      </c>
      <c r="AG941" s="305">
        <f>AVERAGE(AF938:AG938)</f>
        <v>816</v>
      </c>
      <c r="AH941" s="305">
        <f>AVERAGE(AG938:AH938)</f>
        <v>816</v>
      </c>
      <c r="AI941" s="305">
        <f>AVERAGE(AH938:AI938)</f>
        <v>816</v>
      </c>
      <c r="AJ941" s="331">
        <f>AVERAGE(AI938:AJ938)</f>
        <v>816</v>
      </c>
      <c r="AK941" s="348">
        <f>AVERAGE(AG941:AJ941)</f>
        <v>816</v>
      </c>
      <c r="AL941" s="305">
        <f>AVERAGE(AK938:AL938)</f>
        <v>830.66666666666674</v>
      </c>
      <c r="AM941" s="305">
        <f>AVERAGE(AL938:AM938)</f>
        <v>847.5</v>
      </c>
      <c r="AN941" s="305">
        <f>AVERAGE(AM938:AN938)</f>
        <v>851.66666666666663</v>
      </c>
      <c r="AO941" s="331">
        <f>AVERAGE(AN938:AO938)</f>
        <v>852.33333333333326</v>
      </c>
      <c r="AP941" s="568">
        <f>AVERAGE(AL941:AO941)</f>
        <v>845.54166666666674</v>
      </c>
      <c r="AQ941" s="568">
        <f>AVERAGE(AP938:AQ938)</f>
        <v>844.5</v>
      </c>
      <c r="AR941" s="330">
        <f>AVERAGE(AQ938:AR938)</f>
        <v>837.33333333333326</v>
      </c>
      <c r="AS941" s="330">
        <f>AVERAGE(AR938:AS938)</f>
        <v>833.83333333333326</v>
      </c>
      <c r="AT941" s="330">
        <f>AVERAGE(AS938:AT938)</f>
        <v>833</v>
      </c>
      <c r="AU941" s="1692">
        <f>AVERAGE(AQ941:AT941)</f>
        <v>837.16666666666663</v>
      </c>
      <c r="AV941" s="1912">
        <f>AVERAGE(AU938:AV938)</f>
        <v>834.5</v>
      </c>
      <c r="AW941" s="1839">
        <f>AVERAGE(AV938:AW938)</f>
        <v>832.5</v>
      </c>
      <c r="AX941" s="1839">
        <f>AVERAGE(AW938:AX938)</f>
        <v>829.83333333333326</v>
      </c>
      <c r="AY941" s="1906">
        <f>AVERAGE(AX938:AY938)</f>
        <v>828.33333333333326</v>
      </c>
      <c r="AZ941" s="1692">
        <f>AVERAGE(AV941:AY941)</f>
        <v>831.29166666666652</v>
      </c>
      <c r="BA941" s="553">
        <f>AVERAGE(AZ938:BA938)</f>
        <v>826.5</v>
      </c>
      <c r="BB941" s="551">
        <f>AVERAGE(BA938:BB938)</f>
        <v>824.16666666666674</v>
      </c>
      <c r="BC941" s="1452">
        <f>AVERAGE(BB938:BC938)/3</f>
        <v>274.44444444444446</v>
      </c>
      <c r="BD941" s="1895"/>
      <c r="BE941" s="1692">
        <f>AVERAGE(BA941:BD941)</f>
        <v>641.70370370370381</v>
      </c>
      <c r="BF941" s="551"/>
      <c r="BG941" s="551"/>
      <c r="BH941" s="551"/>
      <c r="BI941" s="1895"/>
      <c r="BJ941" s="1692"/>
      <c r="BK941" s="551"/>
      <c r="BL941" s="551"/>
      <c r="BM941" s="551"/>
      <c r="BN941" s="1895"/>
      <c r="BO941" s="1692"/>
      <c r="BP941" s="551"/>
      <c r="BQ941" s="551"/>
      <c r="BR941" s="551"/>
      <c r="BS941" s="551"/>
      <c r="BT941" s="3234"/>
      <c r="BU941" s="3404"/>
      <c r="BV941" s="3297"/>
      <c r="BW941" s="3297"/>
      <c r="BX941" s="3297"/>
      <c r="BY941" s="3234"/>
      <c r="BZ941" s="552"/>
      <c r="CA941" s="552"/>
      <c r="CB941" s="552"/>
      <c r="CC941" s="552"/>
      <c r="CD941" s="552"/>
      <c r="CE941" s="552"/>
      <c r="CF941" s="552"/>
      <c r="CG941" s="331"/>
      <c r="CH941" s="331"/>
      <c r="CI941" s="331"/>
      <c r="CJ941" s="331"/>
      <c r="CK941" s="331"/>
      <c r="CL941" s="1118" t="str">
        <f t="shared" si="2299"/>
        <v>Average Positions</v>
      </c>
      <c r="CM941" s="330">
        <f t="shared" si="2300"/>
        <v>627.125</v>
      </c>
      <c r="CN941" s="330">
        <f t="shared" si="2301"/>
        <v>752.75</v>
      </c>
      <c r="CO941" s="330">
        <f t="shared" si="2302"/>
        <v>760.5</v>
      </c>
      <c r="CP941" s="330">
        <f t="shared" si="2303"/>
        <v>790.5</v>
      </c>
      <c r="CQ941" s="330">
        <f t="shared" si="2304"/>
        <v>830.375</v>
      </c>
      <c r="CR941" s="330">
        <f t="shared" si="2305"/>
        <v>837.25</v>
      </c>
      <c r="CS941" s="330">
        <f t="shared" si="2306"/>
        <v>816</v>
      </c>
      <c r="CT941" s="330">
        <f t="shared" si="2307"/>
        <v>845.54166666666674</v>
      </c>
      <c r="CU941" s="330">
        <f t="shared" si="2308"/>
        <v>837.16666666666663</v>
      </c>
      <c r="CV941" s="330">
        <f t="shared" si="2309"/>
        <v>831.29166666666652</v>
      </c>
      <c r="CW941" s="330">
        <f t="shared" si="2310"/>
        <v>641.70370370370381</v>
      </c>
      <c r="CX941" s="330">
        <f t="shared" si="2311"/>
        <v>0</v>
      </c>
      <c r="CY941" s="330">
        <f t="shared" si="2312"/>
        <v>0</v>
      </c>
      <c r="CZ941" s="330">
        <f t="shared" si="2313"/>
        <v>0</v>
      </c>
      <c r="DA941" s="330">
        <f t="shared" si="2314"/>
        <v>0</v>
      </c>
      <c r="DB941" s="330">
        <f t="shared" si="2314"/>
        <v>0</v>
      </c>
      <c r="DC941" s="1888">
        <f t="shared" si="2314"/>
        <v>0</v>
      </c>
      <c r="DD941" s="331"/>
      <c r="DE941" s="331"/>
      <c r="DF941" s="502"/>
      <c r="DG941" s="503"/>
      <c r="DH941" s="3297"/>
      <c r="DI941" s="3213"/>
      <c r="DJ941" s="502"/>
      <c r="DK941" s="503"/>
      <c r="DL941" s="502"/>
      <c r="DM941" s="502"/>
      <c r="DN941" s="502"/>
      <c r="DO941" s="502"/>
      <c r="DP941" s="503"/>
      <c r="DQ941" s="503"/>
      <c r="DR941" s="296"/>
      <c r="DS941" s="296"/>
      <c r="DT941" s="296"/>
    </row>
    <row r="942" spans="1:124" ht="12" customHeight="1" x14ac:dyDescent="0.25">
      <c r="A942" s="557" t="s">
        <v>901</v>
      </c>
      <c r="B942" s="558"/>
      <c r="C942" s="318">
        <f t="shared" ref="C942:AH942" si="2316">C948*1000000/C941/C$5</f>
        <v>226.88618801693008</v>
      </c>
      <c r="D942" s="318">
        <f t="shared" si="2316"/>
        <v>221.27519123985553</v>
      </c>
      <c r="E942" s="318">
        <f t="shared" si="2316"/>
        <v>217.6272328951803</v>
      </c>
      <c r="F942" s="318">
        <f t="shared" si="2316"/>
        <v>206.45487235876254</v>
      </c>
      <c r="G942" s="559">
        <f t="shared" si="2316"/>
        <v>217.36369567514168</v>
      </c>
      <c r="H942" s="318">
        <f t="shared" si="2316"/>
        <v>205.01118568232661</v>
      </c>
      <c r="I942" s="318">
        <f t="shared" si="2316"/>
        <v>207.82802854516001</v>
      </c>
      <c r="J942" s="318">
        <f t="shared" si="2316"/>
        <v>197.98520531400968</v>
      </c>
      <c r="K942" s="318">
        <f t="shared" si="2316"/>
        <v>194.24381138360809</v>
      </c>
      <c r="L942" s="559">
        <f t="shared" si="2316"/>
        <v>201.21720995618801</v>
      </c>
      <c r="M942" s="318">
        <f t="shared" si="2316"/>
        <v>212.66820783795686</v>
      </c>
      <c r="N942" s="318">
        <f t="shared" si="2316"/>
        <v>201.77972621829954</v>
      </c>
      <c r="O942" s="318">
        <f t="shared" si="2316"/>
        <v>203.2349233243352</v>
      </c>
      <c r="P942" s="318">
        <f t="shared" si="2316"/>
        <v>200.2241301528224</v>
      </c>
      <c r="Q942" s="559">
        <f t="shared" si="2316"/>
        <v>204.42742608053462</v>
      </c>
      <c r="R942" s="318">
        <f t="shared" si="2316"/>
        <v>210.28563340410474</v>
      </c>
      <c r="S942" s="318">
        <f t="shared" si="2316"/>
        <v>203.65838874501296</v>
      </c>
      <c r="T942" s="318">
        <f t="shared" si="2316"/>
        <v>197.63769039047355</v>
      </c>
      <c r="U942" s="318">
        <f t="shared" si="2316"/>
        <v>185.79652227789452</v>
      </c>
      <c r="V942" s="559">
        <f t="shared" si="2316"/>
        <v>199.18965107916785</v>
      </c>
      <c r="W942" s="318">
        <f t="shared" si="2316"/>
        <v>197.2255332122642</v>
      </c>
      <c r="X942" s="318">
        <f t="shared" si="2316"/>
        <v>193.41189570381371</v>
      </c>
      <c r="Y942" s="318">
        <f t="shared" si="2316"/>
        <v>189.75108826768763</v>
      </c>
      <c r="Z942" s="318">
        <f t="shared" si="2316"/>
        <v>173.90891447625501</v>
      </c>
      <c r="AA942" s="559">
        <f t="shared" si="2316"/>
        <v>188.51485396106997</v>
      </c>
      <c r="AB942" s="318">
        <f t="shared" si="2316"/>
        <v>193.12169312169314</v>
      </c>
      <c r="AC942" s="318">
        <f t="shared" si="2316"/>
        <v>185.65610475188109</v>
      </c>
      <c r="AD942" s="318">
        <f t="shared" si="2316"/>
        <v>184.93132969505729</v>
      </c>
      <c r="AE942" s="560">
        <f t="shared" si="2316"/>
        <v>179.84667086746481</v>
      </c>
      <c r="AF942" s="561">
        <f t="shared" si="2316"/>
        <v>185.86615509843463</v>
      </c>
      <c r="AG942" s="318">
        <f t="shared" si="2316"/>
        <v>209.69498910675381</v>
      </c>
      <c r="AH942" s="318">
        <f t="shared" si="2316"/>
        <v>195.27041585865115</v>
      </c>
      <c r="AI942" s="318">
        <f t="shared" ref="AI942:BE942" si="2317">AI948*1000000/AI941/AI$5</f>
        <v>193.45456361892582</v>
      </c>
      <c r="AJ942" s="560">
        <f t="shared" si="2317"/>
        <v>190.77264492753622</v>
      </c>
      <c r="AK942" s="561">
        <f t="shared" si="2317"/>
        <v>197.23578095621806</v>
      </c>
      <c r="AL942" s="318">
        <f t="shared" si="2317"/>
        <v>208.02723381487425</v>
      </c>
      <c r="AM942" s="318">
        <f t="shared" si="2317"/>
        <v>199.97191481085287</v>
      </c>
      <c r="AN942" s="318">
        <f t="shared" si="2317"/>
        <v>197.7048243001787</v>
      </c>
      <c r="AO942" s="560">
        <f t="shared" si="2317"/>
        <v>187.2477385183044</v>
      </c>
      <c r="AP942" s="562">
        <f t="shared" si="2317"/>
        <v>198.13270167390198</v>
      </c>
      <c r="AQ942" s="562">
        <f t="shared" si="2317"/>
        <v>208.38161601571906</v>
      </c>
      <c r="AR942" s="560">
        <f t="shared" si="2317"/>
        <v>194.37526685098342</v>
      </c>
      <c r="AS942" s="560">
        <f t="shared" si="2317"/>
        <v>184.71889475010647</v>
      </c>
      <c r="AT942" s="560">
        <f t="shared" si="2317"/>
        <v>184.71654313899472</v>
      </c>
      <c r="AU942" s="1688">
        <f t="shared" si="2317"/>
        <v>193.05005499293415</v>
      </c>
      <c r="AV942" s="1732">
        <f t="shared" si="2317"/>
        <v>192.18269089940753</v>
      </c>
      <c r="AW942" s="1766">
        <f t="shared" si="2317"/>
        <v>175.42962742962743</v>
      </c>
      <c r="AX942" s="1766">
        <f t="shared" si="2317"/>
        <v>159.45045713736826</v>
      </c>
      <c r="AY942" s="1901">
        <f t="shared" si="2317"/>
        <v>158.93617356311788</v>
      </c>
      <c r="AZ942" s="1688">
        <f t="shared" si="2317"/>
        <v>171.4090337765883</v>
      </c>
      <c r="BA942" s="562">
        <f t="shared" si="2317"/>
        <v>166.07855078308799</v>
      </c>
      <c r="BB942" s="560">
        <f t="shared" si="2317"/>
        <v>151.58865765175167</v>
      </c>
      <c r="BC942" s="560">
        <f t="shared" si="2317"/>
        <v>124.65344569618023</v>
      </c>
      <c r="BD942" s="1878"/>
      <c r="BE942" s="1688">
        <f t="shared" si="2317"/>
        <v>114.72088017216977</v>
      </c>
      <c r="BF942" s="560"/>
      <c r="BG942" s="560"/>
      <c r="BH942" s="560"/>
      <c r="BI942" s="1878"/>
      <c r="BJ942" s="1688"/>
      <c r="BK942" s="560"/>
      <c r="BL942" s="560"/>
      <c r="BM942" s="560"/>
      <c r="BN942" s="1878"/>
      <c r="BO942" s="1688"/>
      <c r="BP942" s="560"/>
      <c r="BQ942" s="560"/>
      <c r="BR942" s="560"/>
      <c r="BS942" s="560"/>
      <c r="BT942" s="2589"/>
      <c r="BU942" s="3405"/>
      <c r="BV942" s="2588"/>
      <c r="BW942" s="2588"/>
      <c r="BX942" s="2588"/>
      <c r="BY942" s="2589"/>
      <c r="BZ942" s="561"/>
      <c r="CA942" s="561"/>
      <c r="CB942" s="561"/>
      <c r="CC942" s="561"/>
      <c r="CD942" s="561"/>
      <c r="CE942" s="561"/>
      <c r="CF942" s="561"/>
      <c r="CG942" s="560"/>
      <c r="CH942" s="560"/>
      <c r="CI942" s="560"/>
      <c r="CJ942" s="560"/>
      <c r="CK942" s="560"/>
      <c r="CL942" s="1307" t="str">
        <f t="shared" si="2299"/>
        <v>Daily Win / Position</v>
      </c>
      <c r="CM942" s="560">
        <f t="shared" si="2300"/>
        <v>217.36369567514168</v>
      </c>
      <c r="CN942" s="560">
        <f t="shared" si="2301"/>
        <v>201.21720995618801</v>
      </c>
      <c r="CO942" s="560">
        <f t="shared" si="2302"/>
        <v>204.42742608053462</v>
      </c>
      <c r="CP942" s="560">
        <f t="shared" si="2303"/>
        <v>199.18965107916785</v>
      </c>
      <c r="CQ942" s="560">
        <f t="shared" si="2304"/>
        <v>188.51485396106997</v>
      </c>
      <c r="CR942" s="560">
        <f t="shared" si="2305"/>
        <v>185.86615509843463</v>
      </c>
      <c r="CS942" s="560">
        <f t="shared" si="2306"/>
        <v>197.23578095621806</v>
      </c>
      <c r="CT942" s="560">
        <f t="shared" si="2307"/>
        <v>198.13270167390198</v>
      </c>
      <c r="CU942" s="560">
        <f t="shared" si="2308"/>
        <v>193.05005499293415</v>
      </c>
      <c r="CV942" s="560">
        <f t="shared" si="2309"/>
        <v>171.4090337765883</v>
      </c>
      <c r="CW942" s="560">
        <f t="shared" si="2310"/>
        <v>114.72088017216977</v>
      </c>
      <c r="CX942" s="560">
        <f t="shared" si="2311"/>
        <v>0</v>
      </c>
      <c r="CY942" s="560">
        <f t="shared" si="2312"/>
        <v>0</v>
      </c>
      <c r="CZ942" s="560">
        <f t="shared" si="2313"/>
        <v>0</v>
      </c>
      <c r="DA942" s="560">
        <f t="shared" si="2314"/>
        <v>0</v>
      </c>
      <c r="DB942" s="560">
        <f t="shared" si="2314"/>
        <v>0</v>
      </c>
      <c r="DC942" s="1878">
        <f t="shared" si="2314"/>
        <v>0</v>
      </c>
      <c r="DD942" s="560"/>
      <c r="DE942" s="560"/>
      <c r="DF942" s="707"/>
      <c r="DG942" s="707"/>
      <c r="DH942" s="2588"/>
      <c r="DI942" s="3213"/>
      <c r="DJ942" s="707"/>
      <c r="DK942" s="707"/>
      <c r="DL942" s="707"/>
      <c r="DM942" s="707"/>
      <c r="DN942" s="707"/>
      <c r="DO942" s="707"/>
      <c r="DP942" s="707"/>
      <c r="DQ942" s="707"/>
      <c r="DR942" s="968"/>
      <c r="DS942" s="968"/>
      <c r="DT942" s="968"/>
    </row>
    <row r="943" spans="1:124" ht="12" customHeight="1" x14ac:dyDescent="0.25">
      <c r="A943" s="465" t="s">
        <v>1491</v>
      </c>
      <c r="B943" s="579"/>
      <c r="C943" s="467" t="s">
        <v>553</v>
      </c>
      <c r="D943" s="467" t="s">
        <v>553</v>
      </c>
      <c r="E943" s="467" t="s">
        <v>553</v>
      </c>
      <c r="F943" s="467" t="s">
        <v>553</v>
      </c>
      <c r="G943" s="468" t="s">
        <v>553</v>
      </c>
      <c r="H943" s="467">
        <f t="shared" ref="H943:AF943" si="2318">(H942-C942)/C942</f>
        <v>-9.6413988554345881E-2</v>
      </c>
      <c r="I943" s="467">
        <f t="shared" si="2318"/>
        <v>-6.0771217140737702E-2</v>
      </c>
      <c r="J943" s="467">
        <f t="shared" si="2318"/>
        <v>-9.0255375303288282E-2</v>
      </c>
      <c r="K943" s="467">
        <f t="shared" si="2318"/>
        <v>-5.9146392795879105E-2</v>
      </c>
      <c r="L943" s="468">
        <f t="shared" si="2318"/>
        <v>-7.4283268274409578E-2</v>
      </c>
      <c r="M943" s="467">
        <f t="shared" si="2318"/>
        <v>3.7349289650444338E-2</v>
      </c>
      <c r="N943" s="467">
        <f t="shared" si="2318"/>
        <v>-2.9102438055154813E-2</v>
      </c>
      <c r="O943" s="467">
        <f t="shared" si="2318"/>
        <v>2.6515708595494972E-2</v>
      </c>
      <c r="P943" s="467">
        <f t="shared" si="2318"/>
        <v>3.0787692676622264E-2</v>
      </c>
      <c r="Q943" s="468">
        <f t="shared" si="2318"/>
        <v>1.5953983881625122E-2</v>
      </c>
      <c r="R943" s="467">
        <f t="shared" si="2318"/>
        <v>-1.1203246870202258E-2</v>
      </c>
      <c r="S943" s="467">
        <f t="shared" si="2318"/>
        <v>9.3104622645832271E-3</v>
      </c>
      <c r="T943" s="467">
        <f t="shared" si="2318"/>
        <v>-2.754070433519552E-2</v>
      </c>
      <c r="U943" s="467">
        <f t="shared" si="2318"/>
        <v>-7.2057288319424359E-2</v>
      </c>
      <c r="V943" s="468">
        <f t="shared" si="2318"/>
        <v>-2.5621684437309004E-2</v>
      </c>
      <c r="W943" s="467">
        <f t="shared" si="2318"/>
        <v>-6.2106478604475206E-2</v>
      </c>
      <c r="X943" s="467">
        <f t="shared" si="2318"/>
        <v>-5.0312158042398109E-2</v>
      </c>
      <c r="Y943" s="467">
        <f t="shared" si="2318"/>
        <v>-3.9904342674741473E-2</v>
      </c>
      <c r="Z943" s="467">
        <f t="shared" si="2318"/>
        <v>-6.3981863900871669E-2</v>
      </c>
      <c r="AA943" s="468">
        <f t="shared" si="2318"/>
        <v>-5.3591123134480403E-2</v>
      </c>
      <c r="AB943" s="467">
        <f t="shared" si="2318"/>
        <v>-2.0807853951416586E-2</v>
      </c>
      <c r="AC943" s="467">
        <f t="shared" si="2318"/>
        <v>-4.0099865231710746E-2</v>
      </c>
      <c r="AD943" s="467">
        <f t="shared" si="2318"/>
        <v>-2.5400426509443616E-2</v>
      </c>
      <c r="AE943" s="469">
        <f t="shared" si="2318"/>
        <v>3.4142909862280385E-2</v>
      </c>
      <c r="AF943" s="470">
        <f t="shared" si="2318"/>
        <v>-1.4050345672932079E-2</v>
      </c>
      <c r="AG943" s="467">
        <f t="shared" ref="AG943:AU943" si="2319">(AG942-AB942)/AB942</f>
        <v>8.581788879935523E-2</v>
      </c>
      <c r="AH943" s="467">
        <f t="shared" si="2319"/>
        <v>5.1785590996962068E-2</v>
      </c>
      <c r="AI943" s="467">
        <f t="shared" si="2319"/>
        <v>4.6088642405388673E-2</v>
      </c>
      <c r="AJ943" s="469">
        <f t="shared" si="2319"/>
        <v>6.0751605839416051E-2</v>
      </c>
      <c r="AK943" s="470">
        <f t="shared" si="2319"/>
        <v>6.1171039190874119E-2</v>
      </c>
      <c r="AL943" s="467">
        <f t="shared" si="2319"/>
        <v>-7.9532434178983622E-3</v>
      </c>
      <c r="AM943" s="467">
        <f t="shared" si="2319"/>
        <v>2.4076862496185569E-2</v>
      </c>
      <c r="AN943" s="467">
        <f t="shared" si="2319"/>
        <v>2.1970330405982091E-2</v>
      </c>
      <c r="AO943" s="469">
        <f t="shared" si="2319"/>
        <v>-1.8477001304724433E-2</v>
      </c>
      <c r="AP943" s="471">
        <f t="shared" si="2319"/>
        <v>4.5474543885270407E-3</v>
      </c>
      <c r="AQ943" s="471">
        <f t="shared" si="2319"/>
        <v>1.7035375337451199E-3</v>
      </c>
      <c r="AR943" s="469">
        <f t="shared" si="2319"/>
        <v>-2.7987169924152282E-2</v>
      </c>
      <c r="AS943" s="469">
        <f t="shared" si="2319"/>
        <v>-6.5683422729004654E-2</v>
      </c>
      <c r="AT943" s="469">
        <f t="shared" si="2319"/>
        <v>-1.3517895592967294E-2</v>
      </c>
      <c r="AU943" s="1689">
        <f t="shared" si="2319"/>
        <v>-2.5652739997121397E-2</v>
      </c>
      <c r="AV943" s="1730">
        <f t="shared" ref="AV943:BA943" si="2320">(AV942-AQ942)/AQ942</f>
        <v>-7.7736824514738276E-2</v>
      </c>
      <c r="AW943" s="1465">
        <f t="shared" si="2320"/>
        <v>-9.7469393757182832E-2</v>
      </c>
      <c r="AX943" s="1465">
        <f t="shared" si="2320"/>
        <v>-0.13679400608650322</v>
      </c>
      <c r="AY943" s="1868">
        <f t="shared" si="2320"/>
        <v>-0.1395671938082868</v>
      </c>
      <c r="AZ943" s="1689">
        <f t="shared" si="2320"/>
        <v>-0.11210057006789215</v>
      </c>
      <c r="BA943" s="471">
        <f t="shared" si="2320"/>
        <v>-0.13582981898189259</v>
      </c>
      <c r="BB943" s="469">
        <f>(BB942-AW942)/AW942</f>
        <v>-0.1359004754623869</v>
      </c>
      <c r="BC943" s="469">
        <f>(BC942-AX942)/AX942</f>
        <v>-0.2182308666020947</v>
      </c>
      <c r="BD943" s="469"/>
      <c r="BE943" s="1689"/>
      <c r="BF943" s="469"/>
      <c r="BG943" s="469"/>
      <c r="BH943" s="469"/>
      <c r="BI943" s="469"/>
      <c r="BJ943" s="1689"/>
      <c r="BK943" s="469"/>
      <c r="BL943" s="469"/>
      <c r="BM943" s="469"/>
      <c r="BN943" s="469"/>
      <c r="BO943" s="1689"/>
      <c r="BP943" s="469"/>
      <c r="BQ943" s="469"/>
      <c r="BR943" s="469"/>
      <c r="BS943" s="469"/>
      <c r="BT943" s="470"/>
      <c r="BU943" s="471"/>
      <c r="BV943" s="469"/>
      <c r="BW943" s="469"/>
      <c r="BX943" s="469"/>
      <c r="BY943" s="470"/>
      <c r="BZ943" s="470"/>
      <c r="CA943" s="470"/>
      <c r="CB943" s="470"/>
      <c r="CC943" s="470"/>
      <c r="CD943" s="470"/>
      <c r="CE943" s="470"/>
      <c r="CF943" s="470"/>
      <c r="CG943" s="972"/>
      <c r="CH943" s="972"/>
      <c r="CI943" s="972"/>
      <c r="CJ943" s="972"/>
      <c r="CK943" s="972"/>
      <c r="CL943" s="1310" t="str">
        <f t="shared" si="2299"/>
        <v>% growth (y-o-y)</v>
      </c>
      <c r="CM943" s="469" t="str">
        <f t="shared" si="2300"/>
        <v xml:space="preserve">n/a </v>
      </c>
      <c r="CN943" s="469">
        <f t="shared" si="2301"/>
        <v>-7.4283268274409578E-2</v>
      </c>
      <c r="CO943" s="469">
        <f t="shared" si="2302"/>
        <v>1.5953983881625122E-2</v>
      </c>
      <c r="CP943" s="469">
        <f t="shared" si="2303"/>
        <v>-2.5621684437309004E-2</v>
      </c>
      <c r="CQ943" s="469">
        <f t="shared" si="2304"/>
        <v>-5.3591123134480403E-2</v>
      </c>
      <c r="CR943" s="469">
        <f t="shared" si="2305"/>
        <v>-1.4050345672932079E-2</v>
      </c>
      <c r="CS943" s="469">
        <f t="shared" si="2306"/>
        <v>6.1171039190874119E-2</v>
      </c>
      <c r="CT943" s="469">
        <f t="shared" si="2307"/>
        <v>4.5474543885270407E-3</v>
      </c>
      <c r="CU943" s="469">
        <f t="shared" si="2308"/>
        <v>-2.5652739997121397E-2</v>
      </c>
      <c r="CV943" s="469">
        <f t="shared" si="2309"/>
        <v>-0.11210057006789215</v>
      </c>
      <c r="CW943" s="469">
        <f t="shared" si="2310"/>
        <v>0</v>
      </c>
      <c r="CX943" s="469">
        <f t="shared" si="2311"/>
        <v>0</v>
      </c>
      <c r="CY943" s="469">
        <f t="shared" si="2312"/>
        <v>0</v>
      </c>
      <c r="CZ943" s="469">
        <f t="shared" si="2313"/>
        <v>0</v>
      </c>
      <c r="DA943" s="469">
        <f t="shared" si="2314"/>
        <v>0</v>
      </c>
      <c r="DB943" s="469">
        <f t="shared" si="2314"/>
        <v>0</v>
      </c>
      <c r="DC943" s="1463">
        <f t="shared" si="2314"/>
        <v>0</v>
      </c>
      <c r="DD943" s="972"/>
      <c r="DE943" s="972"/>
      <c r="DF943" s="974"/>
      <c r="DG943" s="975"/>
      <c r="DH943" s="469"/>
      <c r="DI943" s="3210"/>
      <c r="DJ943" s="974"/>
      <c r="DK943" s="975"/>
      <c r="DL943" s="974"/>
      <c r="DM943" s="974"/>
      <c r="DN943" s="974"/>
      <c r="DO943" s="974"/>
      <c r="DP943" s="975"/>
      <c r="DQ943" s="975"/>
      <c r="DR943" s="976"/>
      <c r="DS943" s="976"/>
      <c r="DT943" s="976"/>
    </row>
    <row r="944" spans="1:124" ht="5.0999999999999996" customHeight="1" x14ac:dyDescent="0.25">
      <c r="A944" s="281"/>
      <c r="B944" s="281"/>
      <c r="C944" s="305"/>
      <c r="D944" s="305"/>
      <c r="E944" s="305"/>
      <c r="F944" s="305"/>
      <c r="G944" s="440"/>
      <c r="H944" s="305"/>
      <c r="I944" s="305"/>
      <c r="J944" s="305"/>
      <c r="K944" s="305"/>
      <c r="L944" s="440"/>
      <c r="M944" s="305"/>
      <c r="N944" s="305"/>
      <c r="O944" s="305"/>
      <c r="P944" s="305"/>
      <c r="Q944" s="440"/>
      <c r="R944" s="305"/>
      <c r="S944" s="305"/>
      <c r="T944" s="305"/>
      <c r="U944" s="305"/>
      <c r="V944" s="440"/>
      <c r="W944" s="305"/>
      <c r="X944" s="305"/>
      <c r="Y944" s="305"/>
      <c r="Z944" s="305"/>
      <c r="AA944" s="440"/>
      <c r="AB944" s="305"/>
      <c r="AC944" s="305"/>
      <c r="AD944" s="305"/>
      <c r="AE944" s="331"/>
      <c r="AF944" s="441"/>
      <c r="AG944" s="305"/>
      <c r="AH944" s="305"/>
      <c r="AI944" s="305"/>
      <c r="AJ944" s="331"/>
      <c r="AK944" s="441"/>
      <c r="AL944" s="305"/>
      <c r="AM944" s="305"/>
      <c r="AN944" s="305"/>
      <c r="AO944" s="331"/>
      <c r="AP944" s="569"/>
      <c r="AQ944" s="569"/>
      <c r="AR944" s="442"/>
      <c r="AS944" s="442"/>
      <c r="AT944" s="442"/>
      <c r="AU944" s="1690"/>
      <c r="AV944" s="1902"/>
      <c r="AW944" s="1837"/>
      <c r="AX944" s="1837"/>
      <c r="AY944" s="1903"/>
      <c r="AZ944" s="1690"/>
      <c r="BA944" s="569"/>
      <c r="BB944" s="442"/>
      <c r="BC944" s="442"/>
      <c r="BD944" s="1312"/>
      <c r="BE944" s="1690"/>
      <c r="BF944" s="442"/>
      <c r="BG944" s="442"/>
      <c r="BH944" s="442"/>
      <c r="BI944" s="1312"/>
      <c r="BJ944" s="1690"/>
      <c r="BK944" s="442"/>
      <c r="BL944" s="442"/>
      <c r="BM944" s="442"/>
      <c r="BN944" s="1312"/>
      <c r="BO944" s="1690"/>
      <c r="BP944" s="442"/>
      <c r="BQ944" s="442"/>
      <c r="BR944" s="442"/>
      <c r="BS944" s="442"/>
      <c r="BT944" s="3236"/>
      <c r="BU944" s="3409"/>
      <c r="BV944" s="3298"/>
      <c r="BW944" s="3298"/>
      <c r="BX944" s="3298"/>
      <c r="BY944" s="3236"/>
      <c r="BZ944" s="441"/>
      <c r="CA944" s="441"/>
      <c r="CB944" s="441"/>
      <c r="CC944" s="441"/>
      <c r="CD944" s="441"/>
      <c r="CE944" s="441"/>
      <c r="CF944" s="441"/>
      <c r="CG944" s="331"/>
      <c r="CH944" s="331"/>
      <c r="CI944" s="331"/>
      <c r="CJ944" s="331"/>
      <c r="CK944" s="331"/>
      <c r="CL944" s="520"/>
      <c r="CM944" s="442"/>
      <c r="CN944" s="442"/>
      <c r="CO944" s="442"/>
      <c r="CP944" s="442"/>
      <c r="CQ944" s="442"/>
      <c r="CR944" s="442"/>
      <c r="CS944" s="442"/>
      <c r="CT944" s="442"/>
      <c r="CU944" s="442"/>
      <c r="CV944" s="442"/>
      <c r="CW944" s="442"/>
      <c r="CX944" s="442"/>
      <c r="CY944" s="442"/>
      <c r="CZ944" s="442"/>
      <c r="DA944" s="442"/>
      <c r="DB944" s="442"/>
      <c r="DC944" s="1312"/>
      <c r="DD944" s="331"/>
      <c r="DE944" s="331"/>
      <c r="DF944" s="502"/>
      <c r="DG944" s="503"/>
      <c r="DH944" s="3298"/>
      <c r="DI944" s="3213"/>
      <c r="DJ944" s="502"/>
      <c r="DK944" s="503"/>
      <c r="DL944" s="502"/>
      <c r="DM944" s="502"/>
      <c r="DN944" s="502"/>
      <c r="DO944" s="502"/>
      <c r="DP944" s="503"/>
      <c r="DQ944" s="503"/>
      <c r="DR944" s="296"/>
      <c r="DS944" s="296"/>
      <c r="DT944" s="296"/>
    </row>
    <row r="945" spans="1:124" ht="12" customHeight="1" x14ac:dyDescent="0.25">
      <c r="A945" s="281" t="s">
        <v>1088</v>
      </c>
      <c r="B945" s="281"/>
      <c r="C945" s="340">
        <v>214.45500000000001</v>
      </c>
      <c r="D945" s="340">
        <v>219.13200000000001</v>
      </c>
      <c r="E945" s="340">
        <v>268.928</v>
      </c>
      <c r="F945" s="340">
        <v>268.928</v>
      </c>
      <c r="G945" s="345">
        <f>SUM(C945:F945)</f>
        <v>971.44299999999998</v>
      </c>
      <c r="H945" s="340">
        <v>268.928</v>
      </c>
      <c r="I945" s="340">
        <v>268.928</v>
      </c>
      <c r="J945" s="340">
        <v>302.65100000000001</v>
      </c>
      <c r="K945" s="340">
        <v>281.33699999999999</v>
      </c>
      <c r="L945" s="345">
        <f>SUM(H945:K945)</f>
        <v>1121.8440000000001</v>
      </c>
      <c r="M945" s="340">
        <v>284.19099999999997</v>
      </c>
      <c r="N945" s="340">
        <v>297.39999999999998</v>
      </c>
      <c r="O945" s="340">
        <v>334.88400000000001</v>
      </c>
      <c r="P945" s="340">
        <v>304.108</v>
      </c>
      <c r="Q945" s="345">
        <f>SUM(M945:P945)</f>
        <v>1220.5829999999999</v>
      </c>
      <c r="R945" s="340">
        <v>310.22699999999998</v>
      </c>
      <c r="S945" s="340">
        <v>297.83100000000002</v>
      </c>
      <c r="T945" s="340">
        <v>303.46300000000002</v>
      </c>
      <c r="U945" s="340">
        <v>274.37700000000001</v>
      </c>
      <c r="V945" s="345">
        <f>SUM(R945:U945)</f>
        <v>1185.8979999999999</v>
      </c>
      <c r="W945" s="340">
        <v>268.18599999999998</v>
      </c>
      <c r="X945" s="340">
        <v>277.23500000000001</v>
      </c>
      <c r="Y945" s="340">
        <v>279.45699999999999</v>
      </c>
      <c r="Z945" s="340">
        <v>254.10300000000001</v>
      </c>
      <c r="AA945" s="345">
        <f>SUM(W945:Z945)</f>
        <v>1078.981</v>
      </c>
      <c r="AB945" s="339">
        <v>283.2</v>
      </c>
      <c r="AC945" s="339">
        <v>275.60000000000002</v>
      </c>
      <c r="AD945" s="339">
        <v>273.8</v>
      </c>
      <c r="AE945" s="339">
        <v>240.66200000000001</v>
      </c>
      <c r="AF945" s="348">
        <f>SUM(AB945:AE945)</f>
        <v>1073.2619999999999</v>
      </c>
      <c r="AG945" s="339">
        <v>250.26300000000001</v>
      </c>
      <c r="AH945" s="339">
        <v>256.8</v>
      </c>
      <c r="AI945" s="339">
        <v>258.35000000000002</v>
      </c>
      <c r="AJ945" s="339">
        <v>236.51</v>
      </c>
      <c r="AK945" s="348">
        <f>SUM(AG945:AJ945)</f>
        <v>1001.923</v>
      </c>
      <c r="AL945" s="339">
        <v>241.06399999999999</v>
      </c>
      <c r="AM945" s="339">
        <v>248.048</v>
      </c>
      <c r="AN945" s="339">
        <v>238.38800000000001</v>
      </c>
      <c r="AO945" s="339">
        <v>226.14599999999999</v>
      </c>
      <c r="AP945" s="568">
        <f>SUM(AL945:AO945)</f>
        <v>953.64599999999996</v>
      </c>
      <c r="AQ945" s="1677">
        <v>229.66300000000001</v>
      </c>
      <c r="AR945" s="338">
        <v>219.137</v>
      </c>
      <c r="AS945" s="338">
        <v>215.82900000000001</v>
      </c>
      <c r="AT945" s="338">
        <v>204.40799999999999</v>
      </c>
      <c r="AU945" s="1687">
        <f>SUM(AQ945:AT945)</f>
        <v>869.03700000000003</v>
      </c>
      <c r="AV945" s="1677">
        <v>200.66399999999999</v>
      </c>
      <c r="AW945" s="338">
        <v>194.886</v>
      </c>
      <c r="AX945" s="338">
        <v>187.745</v>
      </c>
      <c r="AY945" s="338">
        <v>173.203</v>
      </c>
      <c r="AZ945" s="1687">
        <f>SUM(AV945:AY945)</f>
        <v>756.49799999999993</v>
      </c>
      <c r="BA945" s="2651">
        <v>173.124</v>
      </c>
      <c r="BB945" s="2655">
        <v>167.80099999999999</v>
      </c>
      <c r="BC945" s="2655">
        <v>49.395000000000003</v>
      </c>
      <c r="BD945" s="1888"/>
      <c r="BE945" s="1687">
        <f>SUM(BA945:BD945)</f>
        <v>390.31999999999994</v>
      </c>
      <c r="BF945" s="330"/>
      <c r="BG945" s="330"/>
      <c r="BH945" s="330"/>
      <c r="BI945" s="1888"/>
      <c r="BJ945" s="1687"/>
      <c r="BK945" s="330"/>
      <c r="BL945" s="330"/>
      <c r="BM945" s="330"/>
      <c r="BN945" s="1888"/>
      <c r="BO945" s="1687"/>
      <c r="BP945" s="330"/>
      <c r="BQ945" s="330"/>
      <c r="BR945" s="330"/>
      <c r="BS945" s="330"/>
      <c r="BT945" s="3081"/>
      <c r="BU945" s="3410"/>
      <c r="BV945" s="2909"/>
      <c r="BW945" s="2909"/>
      <c r="BX945" s="2909"/>
      <c r="BY945" s="3081"/>
      <c r="BZ945" s="348"/>
      <c r="CA945" s="348"/>
      <c r="CB945" s="348"/>
      <c r="CC945" s="348"/>
      <c r="CD945" s="348"/>
      <c r="CE945" s="348"/>
      <c r="CF945" s="348"/>
      <c r="CG945" s="331"/>
      <c r="CH945" s="331"/>
      <c r="CI945" s="331"/>
      <c r="CJ945" s="331"/>
      <c r="CK945" s="331"/>
      <c r="CL945" s="520" t="str">
        <f>A945</f>
        <v>Admissions (in thousands)</v>
      </c>
      <c r="CM945" s="330">
        <f>G945</f>
        <v>971.44299999999998</v>
      </c>
      <c r="CN945" s="330">
        <f>L945</f>
        <v>1121.8440000000001</v>
      </c>
      <c r="CO945" s="330">
        <f>Q945</f>
        <v>1220.5829999999999</v>
      </c>
      <c r="CP945" s="330">
        <f>V945</f>
        <v>1185.8979999999999</v>
      </c>
      <c r="CQ945" s="330">
        <f>AA945</f>
        <v>1078.981</v>
      </c>
      <c r="CR945" s="330">
        <f>AF945</f>
        <v>1073.2619999999999</v>
      </c>
      <c r="CS945" s="330">
        <f>AK945</f>
        <v>1001.923</v>
      </c>
      <c r="CT945" s="330">
        <f>AP945</f>
        <v>953.64599999999996</v>
      </c>
      <c r="CU945" s="330">
        <f>AU945</f>
        <v>869.03700000000003</v>
      </c>
      <c r="CV945" s="330">
        <f>AZ945</f>
        <v>756.49799999999993</v>
      </c>
      <c r="CW945" s="330">
        <f>BE945</f>
        <v>390.31999999999994</v>
      </c>
      <c r="CX945" s="330">
        <f>BJ945</f>
        <v>0</v>
      </c>
      <c r="CY945" s="330">
        <f>BO945</f>
        <v>0</v>
      </c>
      <c r="CZ945" s="330">
        <f>BT945</f>
        <v>0</v>
      </c>
      <c r="DA945" s="330">
        <f t="shared" ref="DA945:DC946" si="2321">BY945</f>
        <v>0</v>
      </c>
      <c r="DB945" s="330">
        <f t="shared" si="2321"/>
        <v>0</v>
      </c>
      <c r="DC945" s="1888">
        <f t="shared" si="2321"/>
        <v>0</v>
      </c>
      <c r="DD945" s="331"/>
      <c r="DE945" s="331"/>
      <c r="DF945" s="502"/>
      <c r="DG945" s="503"/>
      <c r="DH945" s="2909"/>
      <c r="DI945" s="3213"/>
      <c r="DJ945" s="502"/>
      <c r="DK945" s="503"/>
      <c r="DL945" s="502"/>
      <c r="DM945" s="502"/>
      <c r="DN945" s="502"/>
      <c r="DO945" s="502"/>
      <c r="DP945" s="503"/>
      <c r="DQ945" s="503"/>
      <c r="DR945" s="296"/>
      <c r="DS945" s="296"/>
      <c r="DT945" s="296"/>
    </row>
    <row r="946" spans="1:124" ht="12" customHeight="1" x14ac:dyDescent="0.25">
      <c r="A946" s="465" t="s">
        <v>1491</v>
      </c>
      <c r="B946" s="579"/>
      <c r="C946" s="467" t="s">
        <v>553</v>
      </c>
      <c r="D946" s="467" t="s">
        <v>553</v>
      </c>
      <c r="E946" s="467" t="s">
        <v>553</v>
      </c>
      <c r="F946" s="467" t="s">
        <v>553</v>
      </c>
      <c r="G946" s="468" t="s">
        <v>553</v>
      </c>
      <c r="H946" s="467">
        <f t="shared" ref="H946:AF946" si="2322">(H945-C945)/C945</f>
        <v>0.25400666806556144</v>
      </c>
      <c r="I946" s="467">
        <f t="shared" si="2322"/>
        <v>0.22724202763631049</v>
      </c>
      <c r="J946" s="467">
        <f t="shared" si="2322"/>
        <v>0.12539787601142319</v>
      </c>
      <c r="K946" s="467">
        <f t="shared" si="2322"/>
        <v>4.6142461922893833E-2</v>
      </c>
      <c r="L946" s="468">
        <f t="shared" si="2322"/>
        <v>0.15482225925761992</v>
      </c>
      <c r="M946" s="467">
        <f t="shared" si="2322"/>
        <v>5.6754967872441608E-2</v>
      </c>
      <c r="N946" s="467">
        <f t="shared" si="2322"/>
        <v>0.10587220371251778</v>
      </c>
      <c r="O946" s="467">
        <f t="shared" si="2322"/>
        <v>0.10650220881477346</v>
      </c>
      <c r="P946" s="467">
        <f t="shared" si="2322"/>
        <v>8.0938518573810112E-2</v>
      </c>
      <c r="Q946" s="468">
        <f t="shared" si="2322"/>
        <v>8.80149111641189E-2</v>
      </c>
      <c r="R946" s="467">
        <f t="shared" si="2322"/>
        <v>9.1614442399653773E-2</v>
      </c>
      <c r="S946" s="467">
        <f t="shared" si="2322"/>
        <v>1.4492266308004037E-3</v>
      </c>
      <c r="T946" s="467">
        <f t="shared" si="2322"/>
        <v>-9.3826519033456332E-2</v>
      </c>
      <c r="U946" s="467">
        <f t="shared" si="2322"/>
        <v>-9.7764609941205075E-2</v>
      </c>
      <c r="V946" s="468">
        <f t="shared" si="2322"/>
        <v>-2.8416748389908715E-2</v>
      </c>
      <c r="W946" s="467">
        <f t="shared" si="2322"/>
        <v>-0.13551689569250902</v>
      </c>
      <c r="X946" s="467">
        <f t="shared" si="2322"/>
        <v>-6.9153311777484558E-2</v>
      </c>
      <c r="Y946" s="467">
        <f t="shared" si="2322"/>
        <v>-7.9106843338397195E-2</v>
      </c>
      <c r="Z946" s="467">
        <f t="shared" si="2322"/>
        <v>-7.3891033140532913E-2</v>
      </c>
      <c r="AA946" s="468">
        <f t="shared" si="2322"/>
        <v>-9.0156994952348288E-2</v>
      </c>
      <c r="AB946" s="467">
        <f t="shared" si="2322"/>
        <v>5.5983533816082912E-2</v>
      </c>
      <c r="AC946" s="467">
        <f t="shared" si="2322"/>
        <v>-5.8975237614298012E-3</v>
      </c>
      <c r="AD946" s="467">
        <f t="shared" si="2322"/>
        <v>-2.0242828055836791E-2</v>
      </c>
      <c r="AE946" s="469">
        <f t="shared" si="2322"/>
        <v>-5.2895872933416771E-2</v>
      </c>
      <c r="AF946" s="470">
        <f t="shared" si="2322"/>
        <v>-5.3003713689120111E-3</v>
      </c>
      <c r="AG946" s="467">
        <f t="shared" ref="AG946:AU946" si="2323">(AG945-AB945)/AB945</f>
        <v>-0.11630296610169485</v>
      </c>
      <c r="AH946" s="467">
        <f t="shared" si="2323"/>
        <v>-6.8214804063860698E-2</v>
      </c>
      <c r="AI946" s="467">
        <f t="shared" si="2323"/>
        <v>-5.6428049671292869E-2</v>
      </c>
      <c r="AJ946" s="469">
        <f t="shared" si="2323"/>
        <v>-1.7252412096633515E-2</v>
      </c>
      <c r="AK946" s="470">
        <f t="shared" si="2323"/>
        <v>-6.64693243588238E-2</v>
      </c>
      <c r="AL946" s="467">
        <f t="shared" si="2323"/>
        <v>-3.6757331287485616E-2</v>
      </c>
      <c r="AM946" s="467">
        <f t="shared" si="2323"/>
        <v>-3.4080996884735239E-2</v>
      </c>
      <c r="AN946" s="467">
        <f t="shared" si="2323"/>
        <v>-7.7267273079156248E-2</v>
      </c>
      <c r="AO946" s="469">
        <f t="shared" si="2323"/>
        <v>-4.3820557270305718E-2</v>
      </c>
      <c r="AP946" s="471">
        <f t="shared" si="2323"/>
        <v>-4.8184341511273862E-2</v>
      </c>
      <c r="AQ946" s="471">
        <f t="shared" si="2323"/>
        <v>-4.7294494408123909E-2</v>
      </c>
      <c r="AR946" s="469">
        <f t="shared" si="2323"/>
        <v>-0.11655405405405406</v>
      </c>
      <c r="AS946" s="469">
        <f t="shared" si="2323"/>
        <v>-9.4631441179925155E-2</v>
      </c>
      <c r="AT946" s="469">
        <f t="shared" si="2323"/>
        <v>-9.612374306863708E-2</v>
      </c>
      <c r="AU946" s="1689">
        <f t="shared" si="2323"/>
        <v>-8.8721601097262431E-2</v>
      </c>
      <c r="AV946" s="1730">
        <f t="shared" ref="AV946:BA946" si="2324">(AV945-AQ945)/AQ945</f>
        <v>-0.12626761820580598</v>
      </c>
      <c r="AW946" s="1465">
        <f t="shared" si="2324"/>
        <v>-0.11066593044533787</v>
      </c>
      <c r="AX946" s="1465">
        <f t="shared" si="2324"/>
        <v>-0.1301215313975416</v>
      </c>
      <c r="AY946" s="1868">
        <f t="shared" si="2324"/>
        <v>-0.15266036554342288</v>
      </c>
      <c r="AZ946" s="1689">
        <f t="shared" si="2324"/>
        <v>-0.12949851387225181</v>
      </c>
      <c r="BA946" s="471">
        <f t="shared" si="2324"/>
        <v>-0.13724434876210975</v>
      </c>
      <c r="BB946" s="469">
        <f>(BB945-AW945)/AW945</f>
        <v>-0.13897868497480584</v>
      </c>
      <c r="BC946" s="469"/>
      <c r="BD946" s="469"/>
      <c r="BE946" s="1689"/>
      <c r="BF946" s="469"/>
      <c r="BG946" s="469"/>
      <c r="BH946" s="469"/>
      <c r="BI946" s="469"/>
      <c r="BJ946" s="1689"/>
      <c r="BK946" s="469"/>
      <c r="BL946" s="469"/>
      <c r="BM946" s="469"/>
      <c r="BN946" s="469"/>
      <c r="BO946" s="1689"/>
      <c r="BP946" s="469"/>
      <c r="BQ946" s="469"/>
      <c r="BR946" s="469"/>
      <c r="BS946" s="469"/>
      <c r="BT946" s="470"/>
      <c r="BU946" s="471"/>
      <c r="BV946" s="469"/>
      <c r="BW946" s="469"/>
      <c r="BX946" s="469"/>
      <c r="BY946" s="470"/>
      <c r="BZ946" s="470"/>
      <c r="CA946" s="470"/>
      <c r="CB946" s="470"/>
      <c r="CC946" s="470"/>
      <c r="CD946" s="470"/>
      <c r="CE946" s="470"/>
      <c r="CF946" s="470"/>
      <c r="CG946" s="972"/>
      <c r="CH946" s="972"/>
      <c r="CI946" s="972"/>
      <c r="CJ946" s="972"/>
      <c r="CK946" s="972"/>
      <c r="CL946" s="1310" t="str">
        <f>A946</f>
        <v>% growth (y-o-y)</v>
      </c>
      <c r="CM946" s="469" t="str">
        <f>G946</f>
        <v xml:space="preserve">n/a </v>
      </c>
      <c r="CN946" s="469">
        <f>L946</f>
        <v>0.15482225925761992</v>
      </c>
      <c r="CO946" s="469">
        <f>Q946</f>
        <v>8.80149111641189E-2</v>
      </c>
      <c r="CP946" s="469">
        <f>V946</f>
        <v>-2.8416748389908715E-2</v>
      </c>
      <c r="CQ946" s="469">
        <f>AA946</f>
        <v>-9.0156994952348288E-2</v>
      </c>
      <c r="CR946" s="469">
        <f>AF946</f>
        <v>-5.3003713689120111E-3</v>
      </c>
      <c r="CS946" s="469">
        <f>AK946</f>
        <v>-6.64693243588238E-2</v>
      </c>
      <c r="CT946" s="469">
        <f>AP946</f>
        <v>-4.8184341511273862E-2</v>
      </c>
      <c r="CU946" s="469">
        <f>AU946</f>
        <v>-8.8721601097262431E-2</v>
      </c>
      <c r="CV946" s="469">
        <f>AZ946</f>
        <v>-0.12949851387225181</v>
      </c>
      <c r="CW946" s="469">
        <f>BE946</f>
        <v>0</v>
      </c>
      <c r="CX946" s="469">
        <f>BJ946</f>
        <v>0</v>
      </c>
      <c r="CY946" s="469">
        <f>BO946</f>
        <v>0</v>
      </c>
      <c r="CZ946" s="469">
        <f>BT946</f>
        <v>0</v>
      </c>
      <c r="DA946" s="469">
        <f t="shared" si="2321"/>
        <v>0</v>
      </c>
      <c r="DB946" s="469">
        <f t="shared" si="2321"/>
        <v>0</v>
      </c>
      <c r="DC946" s="1463">
        <f t="shared" si="2321"/>
        <v>0</v>
      </c>
      <c r="DD946" s="972"/>
      <c r="DE946" s="972"/>
      <c r="DF946" s="974"/>
      <c r="DG946" s="975"/>
      <c r="DH946" s="469"/>
      <c r="DI946" s="3210"/>
      <c r="DJ946" s="974"/>
      <c r="DK946" s="975"/>
      <c r="DL946" s="974"/>
      <c r="DM946" s="974"/>
      <c r="DN946" s="974"/>
      <c r="DO946" s="974"/>
      <c r="DP946" s="975"/>
      <c r="DQ946" s="975"/>
      <c r="DR946" s="976"/>
      <c r="DS946" s="976"/>
      <c r="DT946" s="976"/>
    </row>
    <row r="947" spans="1:124" ht="5.0999999999999996" customHeight="1" x14ac:dyDescent="0.25">
      <c r="A947" s="281"/>
      <c r="B947" s="281"/>
      <c r="C947" s="305"/>
      <c r="D947" s="305"/>
      <c r="E947" s="305"/>
      <c r="F947" s="305"/>
      <c r="G947" s="440"/>
      <c r="H947" s="305"/>
      <c r="I947" s="305"/>
      <c r="J947" s="305"/>
      <c r="K947" s="305"/>
      <c r="L947" s="440"/>
      <c r="M947" s="305"/>
      <c r="N947" s="305"/>
      <c r="O947" s="305"/>
      <c r="P947" s="305"/>
      <c r="Q947" s="440"/>
      <c r="R947" s="305"/>
      <c r="S947" s="305"/>
      <c r="T947" s="305"/>
      <c r="U947" s="305"/>
      <c r="V947" s="440"/>
      <c r="W947" s="305"/>
      <c r="X947" s="305"/>
      <c r="Y947" s="305"/>
      <c r="Z947" s="305"/>
      <c r="AA947" s="440"/>
      <c r="AB947" s="305"/>
      <c r="AC947" s="305"/>
      <c r="AD947" s="305"/>
      <c r="AE947" s="331"/>
      <c r="AF947" s="441"/>
      <c r="AG947" s="305"/>
      <c r="AH947" s="305"/>
      <c r="AI947" s="305"/>
      <c r="AJ947" s="331"/>
      <c r="AK947" s="441"/>
      <c r="AL947" s="305"/>
      <c r="AM947" s="305"/>
      <c r="AN947" s="305"/>
      <c r="AO947" s="331"/>
      <c r="AP947" s="569"/>
      <c r="AQ947" s="569"/>
      <c r="AR947" s="442"/>
      <c r="AS947" s="442"/>
      <c r="AT947" s="442"/>
      <c r="AU947" s="1690"/>
      <c r="AV947" s="1902"/>
      <c r="AW947" s="1837"/>
      <c r="AX947" s="1837"/>
      <c r="AY947" s="1903"/>
      <c r="AZ947" s="1690"/>
      <c r="BA947" s="569"/>
      <c r="BB947" s="442"/>
      <c r="BC947" s="442"/>
      <c r="BD947" s="1312"/>
      <c r="BE947" s="1690"/>
      <c r="BF947" s="442"/>
      <c r="BG947" s="442"/>
      <c r="BH947" s="442"/>
      <c r="BI947" s="1312"/>
      <c r="BJ947" s="1690"/>
      <c r="BK947" s="442"/>
      <c r="BL947" s="442"/>
      <c r="BM947" s="442"/>
      <c r="BN947" s="1312"/>
      <c r="BO947" s="1690"/>
      <c r="BP947" s="442"/>
      <c r="BQ947" s="442"/>
      <c r="BR947" s="442"/>
      <c r="BS947" s="442"/>
      <c r="BT947" s="3236"/>
      <c r="BU947" s="3409"/>
      <c r="BV947" s="3298"/>
      <c r="BW947" s="3298"/>
      <c r="BX947" s="3298"/>
      <c r="BY947" s="3236"/>
      <c r="BZ947" s="441"/>
      <c r="CA947" s="441"/>
      <c r="CB947" s="441"/>
      <c r="CC947" s="441"/>
      <c r="CD947" s="441"/>
      <c r="CE947" s="441"/>
      <c r="CF947" s="441"/>
      <c r="CG947" s="331"/>
      <c r="CH947" s="331"/>
      <c r="CI947" s="331"/>
      <c r="CJ947" s="331"/>
      <c r="CK947" s="331"/>
      <c r="CL947" s="520"/>
      <c r="CM947" s="442"/>
      <c r="CN947" s="442"/>
      <c r="CO947" s="442"/>
      <c r="CP947" s="442"/>
      <c r="CQ947" s="442"/>
      <c r="CR947" s="442"/>
      <c r="CS947" s="442"/>
      <c r="CT947" s="442"/>
      <c r="CU947" s="442"/>
      <c r="CV947" s="442"/>
      <c r="CW947" s="442"/>
      <c r="CX947" s="442"/>
      <c r="CY947" s="442"/>
      <c r="CZ947" s="442"/>
      <c r="DA947" s="442"/>
      <c r="DB947" s="442"/>
      <c r="DC947" s="1312"/>
      <c r="DD947" s="331"/>
      <c r="DE947" s="331"/>
      <c r="DF947" s="502"/>
      <c r="DG947" s="503"/>
      <c r="DH947" s="3298"/>
      <c r="DI947" s="3213"/>
      <c r="DJ947" s="502"/>
      <c r="DK947" s="503"/>
      <c r="DL947" s="502"/>
      <c r="DM947" s="502"/>
      <c r="DN947" s="502"/>
      <c r="DO947" s="502"/>
      <c r="DP947" s="503"/>
      <c r="DQ947" s="503"/>
      <c r="DR947" s="296"/>
      <c r="DS947" s="296"/>
      <c r="DT947" s="296"/>
    </row>
    <row r="948" spans="1:124" ht="12" customHeight="1" x14ac:dyDescent="0.25">
      <c r="A948" s="281" t="s">
        <v>730</v>
      </c>
      <c r="B948" s="281"/>
      <c r="C948" s="570">
        <v>11.686</v>
      </c>
      <c r="D948" s="570">
        <v>11.397</v>
      </c>
      <c r="E948" s="570">
        <v>12.914</v>
      </c>
      <c r="F948" s="570">
        <v>13.894</v>
      </c>
      <c r="G948" s="475">
        <f>SUM(C948:F948)</f>
        <v>49.890999999999998</v>
      </c>
      <c r="H948" s="570">
        <v>13.746</v>
      </c>
      <c r="I948" s="570">
        <v>14.241</v>
      </c>
      <c r="J948" s="570">
        <v>13.770267</v>
      </c>
      <c r="K948" s="570">
        <v>13.527916000000001</v>
      </c>
      <c r="L948" s="475">
        <f>SUM(H948:K948)</f>
        <v>55.285183000000004</v>
      </c>
      <c r="M948" s="570">
        <v>14.489084999999999</v>
      </c>
      <c r="N948" s="570">
        <v>13.9</v>
      </c>
      <c r="O948" s="570">
        <v>14.154093</v>
      </c>
      <c r="P948" s="570">
        <v>14.202297999999999</v>
      </c>
      <c r="Q948" s="475">
        <f>SUM(M948:P948)</f>
        <v>56.745475999999996</v>
      </c>
      <c r="R948" s="570">
        <v>14.856680000000001</v>
      </c>
      <c r="S948" s="570">
        <v>14.548337</v>
      </c>
      <c r="T948" s="570">
        <v>14.273394</v>
      </c>
      <c r="U948" s="570">
        <v>13.794276999999999</v>
      </c>
      <c r="V948" s="475">
        <f>SUM(R948:U948)</f>
        <v>57.472687999999998</v>
      </c>
      <c r="W948" s="570">
        <v>14.878496999999999</v>
      </c>
      <c r="X948" s="570">
        <v>14.590800000000002</v>
      </c>
      <c r="Y948" s="570">
        <v>14.471935999999999</v>
      </c>
      <c r="Z948" s="570">
        <v>13.351683000000001</v>
      </c>
      <c r="AA948" s="475">
        <f>SUM(W948:Z948)</f>
        <v>57.292915999999998</v>
      </c>
      <c r="AB948" s="572">
        <v>14.6</v>
      </c>
      <c r="AC948" s="572">
        <v>14.2</v>
      </c>
      <c r="AD948" s="572">
        <v>14.3</v>
      </c>
      <c r="AE948" s="572">
        <v>13.7</v>
      </c>
      <c r="AF948" s="477">
        <f>SUM(AB948:AE948)</f>
        <v>56.8</v>
      </c>
      <c r="AG948" s="572">
        <v>15.4</v>
      </c>
      <c r="AH948" s="572">
        <v>14.5</v>
      </c>
      <c r="AI948" s="572">
        <v>14.523021</v>
      </c>
      <c r="AJ948" s="572">
        <v>14.321683999999998</v>
      </c>
      <c r="AK948" s="477">
        <f>SUM(AG948:AJ948)</f>
        <v>58.744704999999996</v>
      </c>
      <c r="AL948" s="572">
        <v>15.552116</v>
      </c>
      <c r="AM948" s="572">
        <v>15.422333999999999</v>
      </c>
      <c r="AN948" s="572">
        <v>15.490831999999999</v>
      </c>
      <c r="AO948" s="572">
        <v>14.682969</v>
      </c>
      <c r="AP948" s="478">
        <f>SUM(AL948:AO948)</f>
        <v>61.148250999999995</v>
      </c>
      <c r="AQ948" s="592">
        <v>16.014023000000002</v>
      </c>
      <c r="AR948" s="572">
        <v>14.810877</v>
      </c>
      <c r="AS948" s="572">
        <v>14.170278999999999</v>
      </c>
      <c r="AT948" s="572">
        <v>14.155937</v>
      </c>
      <c r="AU948" s="1464">
        <f>SUM(AQ948:AT948)</f>
        <v>59.151116000000002</v>
      </c>
      <c r="AV948" s="592">
        <v>14.433881000000001</v>
      </c>
      <c r="AW948" s="572">
        <v>13.29011</v>
      </c>
      <c r="AX948" s="572">
        <v>12.173192</v>
      </c>
      <c r="AY948" s="572">
        <v>12.111996000000001</v>
      </c>
      <c r="AZ948" s="1464">
        <f>SUM(AV948:AY948)</f>
        <v>52.009179000000003</v>
      </c>
      <c r="BA948" s="2652">
        <v>12.353752999999999</v>
      </c>
      <c r="BB948" s="2654">
        <v>11.369023</v>
      </c>
      <c r="BC948" s="2654">
        <v>3.1473609999999996</v>
      </c>
      <c r="BD948" s="682"/>
      <c r="BE948" s="1464">
        <f>SUM(BA948:BD948)</f>
        <v>26.870137</v>
      </c>
      <c r="BF948" s="2577"/>
      <c r="BG948" s="2577"/>
      <c r="BH948" s="2577"/>
      <c r="BI948" s="2911"/>
      <c r="BJ948" s="1464"/>
      <c r="BK948" s="2577"/>
      <c r="BL948" s="2577"/>
      <c r="BM948" s="2577"/>
      <c r="BN948" s="2911"/>
      <c r="BO948" s="1464"/>
      <c r="BP948" s="2577"/>
      <c r="BQ948" s="2577"/>
      <c r="BR948" s="2577"/>
      <c r="BS948" s="2577"/>
      <c r="BT948" s="2604"/>
      <c r="BU948" s="2673"/>
      <c r="BV948" s="2577"/>
      <c r="BW948" s="2577"/>
      <c r="BX948" s="2577"/>
      <c r="BY948" s="2604"/>
      <c r="BZ948" s="477"/>
      <c r="CA948" s="477"/>
      <c r="CB948" s="477"/>
      <c r="CC948" s="477"/>
      <c r="CD948" s="477"/>
      <c r="CE948" s="477"/>
      <c r="CF948" s="477"/>
      <c r="CG948" s="331"/>
      <c r="CH948" s="331"/>
      <c r="CI948" s="331"/>
      <c r="CJ948" s="331"/>
      <c r="CK948" s="331"/>
      <c r="CL948" s="520" t="str">
        <f>A948</f>
        <v>Casino revenue</v>
      </c>
      <c r="CM948" s="476">
        <f>G948</f>
        <v>49.890999999999998</v>
      </c>
      <c r="CN948" s="476">
        <f>L948</f>
        <v>55.285183000000004</v>
      </c>
      <c r="CO948" s="476">
        <f>Q948</f>
        <v>56.745475999999996</v>
      </c>
      <c r="CP948" s="476">
        <f>V948</f>
        <v>57.472687999999998</v>
      </c>
      <c r="CQ948" s="476">
        <f>AA948</f>
        <v>57.292915999999998</v>
      </c>
      <c r="CR948" s="476">
        <f>AF948</f>
        <v>56.8</v>
      </c>
      <c r="CS948" s="476">
        <f>AK948</f>
        <v>58.744704999999996</v>
      </c>
      <c r="CT948" s="476">
        <f>AP948</f>
        <v>61.148250999999995</v>
      </c>
      <c r="CU948" s="476">
        <f>AU948</f>
        <v>59.151116000000002</v>
      </c>
      <c r="CV948" s="476">
        <f>AZ948</f>
        <v>52.009179000000003</v>
      </c>
      <c r="CW948" s="476">
        <f>BE948</f>
        <v>26.870137</v>
      </c>
      <c r="CX948" s="476">
        <f>BJ948</f>
        <v>0</v>
      </c>
      <c r="CY948" s="476">
        <f>BO948</f>
        <v>0</v>
      </c>
      <c r="CZ948" s="476">
        <f>BT948</f>
        <v>0</v>
      </c>
      <c r="DA948" s="476">
        <f t="shared" ref="DA948:DC952" si="2325">BY948</f>
        <v>0</v>
      </c>
      <c r="DB948" s="476">
        <f t="shared" si="2325"/>
        <v>0</v>
      </c>
      <c r="DC948" s="682">
        <f t="shared" si="2325"/>
        <v>0</v>
      </c>
      <c r="DD948" s="331"/>
      <c r="DE948" s="331"/>
      <c r="DF948" s="502"/>
      <c r="DG948" s="503"/>
      <c r="DH948" s="2577"/>
      <c r="DI948" s="3213"/>
      <c r="DJ948" s="502"/>
      <c r="DK948" s="503"/>
      <c r="DL948" s="502"/>
      <c r="DM948" s="502"/>
      <c r="DN948" s="502"/>
      <c r="DO948" s="502"/>
      <c r="DP948" s="503"/>
      <c r="DQ948" s="503"/>
      <c r="DR948" s="296"/>
      <c r="DS948" s="296"/>
      <c r="DT948" s="296"/>
    </row>
    <row r="949" spans="1:124" ht="12" customHeight="1" x14ac:dyDescent="0.25">
      <c r="A949" s="465" t="s">
        <v>1491</v>
      </c>
      <c r="B949" s="579"/>
      <c r="C949" s="467" t="s">
        <v>553</v>
      </c>
      <c r="D949" s="467" t="s">
        <v>553</v>
      </c>
      <c r="E949" s="467" t="s">
        <v>553</v>
      </c>
      <c r="F949" s="467" t="s">
        <v>553</v>
      </c>
      <c r="G949" s="468" t="s">
        <v>553</v>
      </c>
      <c r="H949" s="467">
        <f t="shared" ref="H949:BB949" si="2326">(H948-C948)/C948</f>
        <v>0.17627930857436253</v>
      </c>
      <c r="I949" s="467">
        <f t="shared" si="2326"/>
        <v>0.24953935246117392</v>
      </c>
      <c r="J949" s="467">
        <f t="shared" si="2326"/>
        <v>6.6305327551494569E-2</v>
      </c>
      <c r="K949" s="467">
        <f t="shared" si="2326"/>
        <v>-2.6348351806535119E-2</v>
      </c>
      <c r="L949" s="468">
        <f t="shared" si="2326"/>
        <v>0.10811936020524755</v>
      </c>
      <c r="M949" s="467">
        <f t="shared" si="2326"/>
        <v>5.4058271497162726E-2</v>
      </c>
      <c r="N949" s="467">
        <f t="shared" si="2326"/>
        <v>-2.3944947686257941E-2</v>
      </c>
      <c r="O949" s="467">
        <f t="shared" si="2326"/>
        <v>2.7873533606864637E-2</v>
      </c>
      <c r="P949" s="467">
        <f t="shared" si="2326"/>
        <v>4.9851137455318155E-2</v>
      </c>
      <c r="Q949" s="468">
        <f t="shared" si="2326"/>
        <v>2.6413822307506749E-2</v>
      </c>
      <c r="R949" s="467">
        <f t="shared" si="2326"/>
        <v>2.5370477155734917E-2</v>
      </c>
      <c r="S949" s="467">
        <f t="shared" si="2326"/>
        <v>4.6642949640287749E-2</v>
      </c>
      <c r="T949" s="467">
        <f t="shared" si="2326"/>
        <v>8.4287280011513359E-3</v>
      </c>
      <c r="U949" s="467">
        <f t="shared" si="2326"/>
        <v>-2.8729223960798442E-2</v>
      </c>
      <c r="V949" s="468">
        <f t="shared" si="2326"/>
        <v>1.2815329983310062E-2</v>
      </c>
      <c r="W949" s="467">
        <f t="shared" si="2326"/>
        <v>1.4684976724273957E-3</v>
      </c>
      <c r="X949" s="467">
        <f t="shared" si="2326"/>
        <v>2.9187528443973682E-3</v>
      </c>
      <c r="Y949" s="467">
        <f t="shared" si="2326"/>
        <v>1.3909936207183783E-2</v>
      </c>
      <c r="Z949" s="467">
        <f t="shared" si="2326"/>
        <v>-3.2085335099476253E-2</v>
      </c>
      <c r="AA949" s="468">
        <f t="shared" si="2326"/>
        <v>-3.1279553167932535E-3</v>
      </c>
      <c r="AB949" s="467">
        <f t="shared" si="2326"/>
        <v>-1.8718086914289781E-2</v>
      </c>
      <c r="AC949" s="467">
        <f t="shared" si="2326"/>
        <v>-2.6784000877265277E-2</v>
      </c>
      <c r="AD949" s="467">
        <f t="shared" si="2326"/>
        <v>-1.188064955511127E-2</v>
      </c>
      <c r="AE949" s="469">
        <f t="shared" si="2326"/>
        <v>2.608787221805655E-2</v>
      </c>
      <c r="AF949" s="470">
        <f t="shared" si="2326"/>
        <v>-8.60343711603021E-3</v>
      </c>
      <c r="AG949" s="467">
        <f t="shared" si="2326"/>
        <v>5.4794520547945258E-2</v>
      </c>
      <c r="AH949" s="467">
        <f t="shared" si="2326"/>
        <v>2.1126760563380333E-2</v>
      </c>
      <c r="AI949" s="467">
        <f t="shared" si="2326"/>
        <v>1.5595874125874072E-2</v>
      </c>
      <c r="AJ949" s="467">
        <f t="shared" si="2326"/>
        <v>4.5378394160583826E-2</v>
      </c>
      <c r="AK949" s="470">
        <f>(AK948-AF948)/AF948</f>
        <v>3.4237764084507023E-2</v>
      </c>
      <c r="AL949" s="467">
        <f t="shared" si="2326"/>
        <v>9.8776623376623032E-3</v>
      </c>
      <c r="AM949" s="467">
        <f t="shared" si="2326"/>
        <v>6.3609241379310302E-2</v>
      </c>
      <c r="AN949" s="467">
        <f t="shared" si="2326"/>
        <v>6.6639785207223717E-2</v>
      </c>
      <c r="AO949" s="467">
        <f t="shared" si="2326"/>
        <v>2.5226432869207446E-2</v>
      </c>
      <c r="AP949" s="471">
        <f>(AP948-AK948)/AK948</f>
        <v>4.0915108859598474E-2</v>
      </c>
      <c r="AQ949" s="1730">
        <f t="shared" si="2326"/>
        <v>2.9700588653016852E-2</v>
      </c>
      <c r="AR949" s="467">
        <f t="shared" si="2326"/>
        <v>-3.9647500825750484E-2</v>
      </c>
      <c r="AS949" s="467">
        <f t="shared" si="2326"/>
        <v>-8.5247390198279885E-2</v>
      </c>
      <c r="AT949" s="467">
        <f t="shared" si="2326"/>
        <v>-3.5894102888863973E-2</v>
      </c>
      <c r="AU949" s="1689">
        <f>(AU948-AP948)/AP948</f>
        <v>-3.2660541672729006E-2</v>
      </c>
      <c r="AV949" s="467">
        <f t="shared" si="2326"/>
        <v>-9.8672394812971118E-2</v>
      </c>
      <c r="AW949" s="467">
        <f t="shared" si="2326"/>
        <v>-0.10267906485213532</v>
      </c>
      <c r="AX949" s="469">
        <f t="shared" si="2326"/>
        <v>-0.14093491031475094</v>
      </c>
      <c r="AY949" s="467">
        <f t="shared" si="2326"/>
        <v>-0.14438754566370268</v>
      </c>
      <c r="AZ949" s="1689">
        <f>(AZ948-AU948)/AU948</f>
        <v>-0.12074052837819658</v>
      </c>
      <c r="BA949" s="467">
        <f t="shared" si="2326"/>
        <v>-0.14411425450992715</v>
      </c>
      <c r="BB949" s="467">
        <f t="shared" si="2326"/>
        <v>-0.14455012035265322</v>
      </c>
      <c r="BC949" s="540"/>
      <c r="BD949" s="1668"/>
      <c r="BE949" s="1689">
        <f>(BE948-AZ948)/AZ948</f>
        <v>-0.48335779343873131</v>
      </c>
      <c r="BF949" s="540"/>
      <c r="BG949" s="540"/>
      <c r="BH949" s="540"/>
      <c r="BI949" s="1668"/>
      <c r="BJ949" s="1689"/>
      <c r="BK949" s="540"/>
      <c r="BL949" s="540"/>
      <c r="BM949" s="540"/>
      <c r="BN949" s="1668"/>
      <c r="BO949" s="1689"/>
      <c r="BP949" s="540"/>
      <c r="BQ949" s="540"/>
      <c r="BR949" s="540"/>
      <c r="BS949" s="540"/>
      <c r="BT949" s="470"/>
      <c r="BU949" s="471"/>
      <c r="BV949" s="469"/>
      <c r="BW949" s="469"/>
      <c r="BX949" s="469"/>
      <c r="BY949" s="470"/>
      <c r="BZ949" s="470"/>
      <c r="CA949" s="470"/>
      <c r="CB949" s="470"/>
      <c r="CC949" s="470"/>
      <c r="CD949" s="470"/>
      <c r="CE949" s="470"/>
      <c r="CF949" s="470"/>
      <c r="CG949" s="972"/>
      <c r="CH949" s="972"/>
      <c r="CI949" s="972"/>
      <c r="CJ949" s="972"/>
      <c r="CK949" s="972"/>
      <c r="CL949" s="1310" t="str">
        <f>A949</f>
        <v>% growth (y-o-y)</v>
      </c>
      <c r="CM949" s="469" t="str">
        <f>G949</f>
        <v xml:space="preserve">n/a </v>
      </c>
      <c r="CN949" s="469">
        <f>L949</f>
        <v>0.10811936020524755</v>
      </c>
      <c r="CO949" s="469">
        <f>Q949</f>
        <v>2.6413822307506749E-2</v>
      </c>
      <c r="CP949" s="469">
        <f>V949</f>
        <v>1.2815329983310062E-2</v>
      </c>
      <c r="CQ949" s="469">
        <f>AA949</f>
        <v>-3.1279553167932535E-3</v>
      </c>
      <c r="CR949" s="469">
        <f>AF949</f>
        <v>-8.60343711603021E-3</v>
      </c>
      <c r="CS949" s="469">
        <f>AK949</f>
        <v>3.4237764084507023E-2</v>
      </c>
      <c r="CT949" s="469">
        <f>AP949</f>
        <v>4.0915108859598474E-2</v>
      </c>
      <c r="CU949" s="469">
        <f>AU949</f>
        <v>-3.2660541672729006E-2</v>
      </c>
      <c r="CV949" s="469">
        <f>AZ949</f>
        <v>-0.12074052837819658</v>
      </c>
      <c r="CW949" s="469">
        <f>BE949</f>
        <v>-0.48335779343873131</v>
      </c>
      <c r="CX949" s="469">
        <f>BJ949</f>
        <v>0</v>
      </c>
      <c r="CY949" s="469">
        <f>BO949</f>
        <v>0</v>
      </c>
      <c r="CZ949" s="469">
        <f>BT949</f>
        <v>0</v>
      </c>
      <c r="DA949" s="469">
        <f t="shared" si="2325"/>
        <v>0</v>
      </c>
      <c r="DB949" s="469">
        <f t="shared" si="2325"/>
        <v>0</v>
      </c>
      <c r="DC949" s="1463">
        <f t="shared" si="2325"/>
        <v>0</v>
      </c>
      <c r="DD949" s="972"/>
      <c r="DE949" s="972"/>
      <c r="DF949" s="974"/>
      <c r="DG949" s="975"/>
      <c r="DH949" s="469"/>
      <c r="DI949" s="3210"/>
      <c r="DJ949" s="974"/>
      <c r="DK949" s="975"/>
      <c r="DL949" s="974"/>
      <c r="DM949" s="974"/>
      <c r="DN949" s="974"/>
      <c r="DO949" s="974"/>
      <c r="DP949" s="975"/>
      <c r="DQ949" s="975"/>
      <c r="DR949" s="976"/>
      <c r="DS949" s="976"/>
      <c r="DT949" s="976"/>
    </row>
    <row r="950" spans="1:124" ht="12" customHeight="1" x14ac:dyDescent="0.25">
      <c r="A950" s="281" t="s">
        <v>645</v>
      </c>
      <c r="B950" s="281"/>
      <c r="C950" s="452">
        <f t="shared" ref="C950:AD950" si="2327">C951-C948</f>
        <v>-0.33999999999999986</v>
      </c>
      <c r="D950" s="452">
        <f t="shared" si="2327"/>
        <v>-0.3620000000000001</v>
      </c>
      <c r="E950" s="452">
        <f t="shared" si="2327"/>
        <v>-0.41699999999999982</v>
      </c>
      <c r="F950" s="452">
        <f t="shared" si="2327"/>
        <v>-0.4139999999999997</v>
      </c>
      <c r="G950" s="475">
        <f t="shared" si="2327"/>
        <v>-1.5329999999999941</v>
      </c>
      <c r="H950" s="452">
        <f t="shared" si="2327"/>
        <v>-0.5080000000000009</v>
      </c>
      <c r="I950" s="452">
        <f t="shared" si="2327"/>
        <v>-0.54100000000000037</v>
      </c>
      <c r="J950" s="452">
        <f t="shared" si="2327"/>
        <v>-0.5282669999999996</v>
      </c>
      <c r="K950" s="452">
        <f t="shared" si="2327"/>
        <v>0.31008399999999803</v>
      </c>
      <c r="L950" s="475">
        <f t="shared" si="2327"/>
        <v>-1.2671830000000028</v>
      </c>
      <c r="M950" s="452">
        <f t="shared" si="2327"/>
        <v>-0.43808499999999917</v>
      </c>
      <c r="N950" s="452">
        <f t="shared" si="2327"/>
        <v>-0.70400000000000063</v>
      </c>
      <c r="O950" s="452">
        <f t="shared" si="2327"/>
        <v>-0.83509299999999875</v>
      </c>
      <c r="P950" s="452">
        <f t="shared" si="2327"/>
        <v>-0.85929799999999901</v>
      </c>
      <c r="Q950" s="475">
        <f t="shared" si="2327"/>
        <v>-2.8364759999999904</v>
      </c>
      <c r="R950" s="452">
        <f t="shared" si="2327"/>
        <v>-0.73967999999999989</v>
      </c>
      <c r="S950" s="452">
        <f t="shared" si="2327"/>
        <v>-0.71333699999999922</v>
      </c>
      <c r="T950" s="452">
        <f t="shared" si="2327"/>
        <v>-0.76939400000000013</v>
      </c>
      <c r="U950" s="452">
        <f t="shared" si="2327"/>
        <v>-0.83327699999999894</v>
      </c>
      <c r="V950" s="475">
        <f t="shared" si="2327"/>
        <v>-3.0556879999999964</v>
      </c>
      <c r="W950" s="452">
        <f t="shared" si="2327"/>
        <v>-0.60749699999999862</v>
      </c>
      <c r="X950" s="452">
        <f t="shared" si="2327"/>
        <v>-0.54080000000000084</v>
      </c>
      <c r="Y950" s="452">
        <f t="shared" si="2327"/>
        <v>-0.72493599999999958</v>
      </c>
      <c r="Z950" s="452">
        <f t="shared" si="2327"/>
        <v>-0.64568300000000178</v>
      </c>
      <c r="AA950" s="475">
        <f>SUM(W950:Z950)</f>
        <v>-2.5189160000000008</v>
      </c>
      <c r="AB950" s="452">
        <f t="shared" si="2327"/>
        <v>-0.68299999999999983</v>
      </c>
      <c r="AC950" s="452">
        <f t="shared" si="2327"/>
        <v>-0.87800000000000011</v>
      </c>
      <c r="AD950" s="452">
        <f t="shared" si="2327"/>
        <v>-0.7110000000000003</v>
      </c>
      <c r="AE950" s="452">
        <f>AE951-AE948</f>
        <v>-0.60099999999999909</v>
      </c>
      <c r="AF950" s="477">
        <f>SUM(AB950:AE950)</f>
        <v>-2.8729999999999993</v>
      </c>
      <c r="AG950" s="452">
        <f>AG951-AG948</f>
        <v>-0.72600000000000087</v>
      </c>
      <c r="AH950" s="452">
        <f>AH951-AH948</f>
        <v>-0.67600000000000016</v>
      </c>
      <c r="AI950" s="452">
        <f>AI951-AI948</f>
        <v>-0.70702099999999923</v>
      </c>
      <c r="AJ950" s="452">
        <f>AJ951-AJ948</f>
        <v>-0.49068399999999812</v>
      </c>
      <c r="AK950" s="477">
        <f>SUM(AG950:AJ950)</f>
        <v>-2.5997049999999984</v>
      </c>
      <c r="AL950" s="452">
        <f>AL951-AL948</f>
        <v>-0.48211599999999954</v>
      </c>
      <c r="AM950" s="452">
        <f>AM951-AM948</f>
        <v>-0.62733399999999939</v>
      </c>
      <c r="AN950" s="452">
        <f>AM950</f>
        <v>-0.62733399999999939</v>
      </c>
      <c r="AO950" s="476">
        <f>AN950</f>
        <v>-0.62733399999999939</v>
      </c>
      <c r="AP950" s="478">
        <f>SUM(AL950:AO950)</f>
        <v>-2.3641179999999977</v>
      </c>
      <c r="AQ950" s="478">
        <f>+AL950</f>
        <v>-0.48211599999999954</v>
      </c>
      <c r="AR950" s="476">
        <f>+AM950</f>
        <v>-0.62733399999999939</v>
      </c>
      <c r="AS950" s="476">
        <f>+AN950</f>
        <v>-0.62733399999999939</v>
      </c>
      <c r="AT950" s="476">
        <f>+AO950</f>
        <v>-0.62733399999999939</v>
      </c>
      <c r="AU950" s="1464">
        <f>SUM(AQ950:AT950)</f>
        <v>-2.3641179999999977</v>
      </c>
      <c r="AV950" s="1865">
        <f>+AQ950-(0.1/4)</f>
        <v>-0.50711599999999957</v>
      </c>
      <c r="AW950" s="1771">
        <f>+AR950-(0.1/4)</f>
        <v>-0.65233399999999941</v>
      </c>
      <c r="AX950" s="1771">
        <f>+AS950-(0.1/4)</f>
        <v>-0.65233399999999941</v>
      </c>
      <c r="AY950" s="1866">
        <f>+AT950-(0.1/4)</f>
        <v>-0.65233399999999941</v>
      </c>
      <c r="AZ950" s="1464">
        <f>SUM(AV950:AY950)</f>
        <v>-2.4641179999999978</v>
      </c>
      <c r="BA950" s="1865">
        <f>+AV950-(0.1/4)</f>
        <v>-0.53211599999999959</v>
      </c>
      <c r="BB950" s="1771">
        <f>+AW950-(0.1/4)</f>
        <v>-0.67733399999999944</v>
      </c>
      <c r="BC950" s="1771">
        <f>+AX950-(0.1/4)</f>
        <v>-0.67733399999999944</v>
      </c>
      <c r="BD950" s="2654"/>
      <c r="BE950" s="1464">
        <f>SUM(BA950:BD950)</f>
        <v>-1.8867839999999985</v>
      </c>
      <c r="BF950" s="572"/>
      <c r="BG950" s="572"/>
      <c r="BH950" s="572"/>
      <c r="BI950" s="572"/>
      <c r="BJ950" s="1464"/>
      <c r="BK950" s="572"/>
      <c r="BL950" s="572"/>
      <c r="BM950" s="572"/>
      <c r="BN950" s="572"/>
      <c r="BO950" s="1464"/>
      <c r="BP950" s="572"/>
      <c r="BQ950" s="572"/>
      <c r="BR950" s="572"/>
      <c r="BS950" s="572"/>
      <c r="BT950" s="2604"/>
      <c r="BU950" s="2673"/>
      <c r="BV950" s="2577"/>
      <c r="BW950" s="2577"/>
      <c r="BX950" s="2577"/>
      <c r="BY950" s="573"/>
      <c r="BZ950" s="573"/>
      <c r="CA950" s="573"/>
      <c r="CB950" s="573"/>
      <c r="CC950" s="573"/>
      <c r="CD950" s="573"/>
      <c r="CE950" s="573"/>
      <c r="CF950" s="573"/>
      <c r="CG950" s="331"/>
      <c r="CH950" s="331"/>
      <c r="CI950" s="331"/>
      <c r="CJ950" s="331"/>
      <c r="CK950" s="331"/>
      <c r="CL950" s="520" t="str">
        <f>A950</f>
        <v>Other revenue</v>
      </c>
      <c r="CM950" s="476">
        <f>G950</f>
        <v>-1.5329999999999941</v>
      </c>
      <c r="CN950" s="476">
        <f>L950</f>
        <v>-1.2671830000000028</v>
      </c>
      <c r="CO950" s="476">
        <f>Q950</f>
        <v>-2.8364759999999904</v>
      </c>
      <c r="CP950" s="476">
        <f>V950</f>
        <v>-3.0556879999999964</v>
      </c>
      <c r="CQ950" s="476">
        <f>AA950</f>
        <v>-2.5189160000000008</v>
      </c>
      <c r="CR950" s="476">
        <f>AF950</f>
        <v>-2.8729999999999993</v>
      </c>
      <c r="CS950" s="476">
        <f>AK950</f>
        <v>-2.5997049999999984</v>
      </c>
      <c r="CT950" s="476">
        <f>AP950</f>
        <v>-2.3641179999999977</v>
      </c>
      <c r="CU950" s="476">
        <f>AU950</f>
        <v>-2.3641179999999977</v>
      </c>
      <c r="CV950" s="476">
        <f>AZ950</f>
        <v>-2.4641179999999978</v>
      </c>
      <c r="CW950" s="476">
        <f>BE950</f>
        <v>-1.8867839999999985</v>
      </c>
      <c r="CX950" s="476">
        <f>BJ950</f>
        <v>0</v>
      </c>
      <c r="CY950" s="476">
        <f>BO950</f>
        <v>0</v>
      </c>
      <c r="CZ950" s="476">
        <f>BT950</f>
        <v>0</v>
      </c>
      <c r="DA950" s="476">
        <f t="shared" si="2325"/>
        <v>0</v>
      </c>
      <c r="DB950" s="476">
        <f t="shared" si="2325"/>
        <v>0</v>
      </c>
      <c r="DC950" s="682">
        <f t="shared" si="2325"/>
        <v>0</v>
      </c>
      <c r="DD950" s="331"/>
      <c r="DE950" s="331"/>
      <c r="DF950" s="502"/>
      <c r="DG950" s="503"/>
      <c r="DH950" s="2577"/>
      <c r="DI950" s="3213"/>
      <c r="DJ950" s="502"/>
      <c r="DK950" s="503"/>
      <c r="DL950" s="502"/>
      <c r="DM950" s="502"/>
      <c r="DN950" s="502"/>
      <c r="DO950" s="502"/>
      <c r="DP950" s="503"/>
      <c r="DQ950" s="503"/>
      <c r="DR950" s="296"/>
      <c r="DS950" s="296"/>
      <c r="DT950" s="296"/>
    </row>
    <row r="951" spans="1:124" ht="12" customHeight="1" x14ac:dyDescent="0.25">
      <c r="A951" s="496" t="s">
        <v>1418</v>
      </c>
      <c r="B951" s="1007"/>
      <c r="C951" s="1008">
        <v>11.346</v>
      </c>
      <c r="D951" s="1008">
        <v>11.035</v>
      </c>
      <c r="E951" s="1008">
        <v>12.497</v>
      </c>
      <c r="F951" s="1008">
        <v>13.48</v>
      </c>
      <c r="G951" s="1009">
        <f>SUM(C951:F951)</f>
        <v>48.358000000000004</v>
      </c>
      <c r="H951" s="1008">
        <v>13.238</v>
      </c>
      <c r="I951" s="1008">
        <v>13.7</v>
      </c>
      <c r="J951" s="1008">
        <v>13.242000000000001</v>
      </c>
      <c r="K951" s="1008">
        <v>13.837999999999999</v>
      </c>
      <c r="L951" s="1009">
        <f>SUM(H951:K951)</f>
        <v>54.018000000000001</v>
      </c>
      <c r="M951" s="1008">
        <v>14.051</v>
      </c>
      <c r="N951" s="1008">
        <v>13.196</v>
      </c>
      <c r="O951" s="1008">
        <v>13.319000000000001</v>
      </c>
      <c r="P951" s="1008">
        <v>13.343</v>
      </c>
      <c r="Q951" s="1009">
        <f>SUM(M951:P951)</f>
        <v>53.909000000000006</v>
      </c>
      <c r="R951" s="1008">
        <v>14.117000000000001</v>
      </c>
      <c r="S951" s="1008">
        <v>13.835000000000001</v>
      </c>
      <c r="T951" s="1008">
        <v>13.504</v>
      </c>
      <c r="U951" s="1008">
        <v>12.961</v>
      </c>
      <c r="V951" s="1009">
        <f>SUM(R951:U951)</f>
        <v>54.417000000000002</v>
      </c>
      <c r="W951" s="1008">
        <v>14.271000000000001</v>
      </c>
      <c r="X951" s="1008">
        <v>14.05</v>
      </c>
      <c r="Y951" s="1008">
        <v>13.747</v>
      </c>
      <c r="Z951" s="1008">
        <v>12.706</v>
      </c>
      <c r="AA951" s="1009">
        <f>SUM(W951:Z951)</f>
        <v>54.774000000000001</v>
      </c>
      <c r="AB951" s="1008">
        <v>13.917</v>
      </c>
      <c r="AC951" s="1008">
        <v>13.321999999999999</v>
      </c>
      <c r="AD951" s="1008">
        <v>13.589</v>
      </c>
      <c r="AE951" s="1010">
        <v>13.099</v>
      </c>
      <c r="AF951" s="1011">
        <f>SUM(AB951:AE951)</f>
        <v>53.926999999999992</v>
      </c>
      <c r="AG951" s="1010">
        <v>14.673999999999999</v>
      </c>
      <c r="AH951" s="1010">
        <v>13.824</v>
      </c>
      <c r="AI951" s="1010">
        <v>13.816000000000001</v>
      </c>
      <c r="AJ951" s="1010">
        <v>13.831</v>
      </c>
      <c r="AK951" s="1011">
        <f>SUM(AG951:AJ951)</f>
        <v>56.144999999999996</v>
      </c>
      <c r="AL951" s="1010">
        <v>15.07</v>
      </c>
      <c r="AM951" s="1010">
        <v>14.795</v>
      </c>
      <c r="AN951" s="1593">
        <f>AN948+AN950</f>
        <v>14.863498</v>
      </c>
      <c r="AO951" s="1012">
        <f>AO948+AO950</f>
        <v>14.055635000000001</v>
      </c>
      <c r="AP951" s="1013">
        <f>SUM(AL951:AO951)</f>
        <v>58.784133000000004</v>
      </c>
      <c r="AQ951" s="1013">
        <f>AQ948+AQ950</f>
        <v>15.531907000000002</v>
      </c>
      <c r="AR951" s="1012">
        <f>AR948+AR950</f>
        <v>14.183543</v>
      </c>
      <c r="AS951" s="1012">
        <f>AS948+AS950</f>
        <v>13.542945</v>
      </c>
      <c r="AT951" s="1012">
        <f>AT948+AT950</f>
        <v>13.528603</v>
      </c>
      <c r="AU951" s="1691">
        <f>SUM(AQ951:AT951)</f>
        <v>56.786998000000011</v>
      </c>
      <c r="AV951" s="1904">
        <f>AV948+AV950</f>
        <v>13.926765000000001</v>
      </c>
      <c r="AW951" s="1838">
        <f>AW948+AW950</f>
        <v>12.637776000000001</v>
      </c>
      <c r="AX951" s="1838">
        <f>AX948+AX950</f>
        <v>11.520858</v>
      </c>
      <c r="AY951" s="1905">
        <f>AY948+AY950</f>
        <v>11.459662000000002</v>
      </c>
      <c r="AZ951" s="1691">
        <f>SUM(AV951:AY951)</f>
        <v>49.545061000000004</v>
      </c>
      <c r="BA951" s="1013">
        <f>BA948+BA950</f>
        <v>11.821636999999999</v>
      </c>
      <c r="BB951" s="1012">
        <f>BB948+BB950</f>
        <v>10.691689</v>
      </c>
      <c r="BC951" s="1012">
        <f>BC948+BC950</f>
        <v>2.470027</v>
      </c>
      <c r="BD951" s="1877"/>
      <c r="BE951" s="1691">
        <f>SUM(BA951:BD951)</f>
        <v>24.983353000000001</v>
      </c>
      <c r="BF951" s="1012"/>
      <c r="BG951" s="1012"/>
      <c r="BH951" s="1012"/>
      <c r="BI951" s="1877"/>
      <c r="BJ951" s="1691"/>
      <c r="BK951" s="1012"/>
      <c r="BL951" s="1012"/>
      <c r="BM951" s="1012"/>
      <c r="BN951" s="1877"/>
      <c r="BO951" s="1691"/>
      <c r="BP951" s="1012"/>
      <c r="BQ951" s="1012"/>
      <c r="BR951" s="1012"/>
      <c r="BS951" s="1012"/>
      <c r="BT951" s="1011"/>
      <c r="BU951" s="1013"/>
      <c r="BV951" s="1012"/>
      <c r="BW951" s="1012"/>
      <c r="BX951" s="1012"/>
      <c r="BY951" s="1011"/>
      <c r="BZ951" s="1011"/>
      <c r="CA951" s="1011"/>
      <c r="CB951" s="1011"/>
      <c r="CC951" s="1011"/>
      <c r="CD951" s="1011"/>
      <c r="CE951" s="1011"/>
      <c r="CF951" s="1011"/>
      <c r="CG951" s="502"/>
      <c r="CH951" s="502"/>
      <c r="CI951" s="502"/>
      <c r="CJ951" s="502"/>
      <c r="CK951" s="502"/>
      <c r="CL951" s="2102" t="str">
        <f>A951</f>
        <v>Net revenue</v>
      </c>
      <c r="CM951" s="1012">
        <f>G951</f>
        <v>48.358000000000004</v>
      </c>
      <c r="CN951" s="1012">
        <f>L951</f>
        <v>54.018000000000001</v>
      </c>
      <c r="CO951" s="1012">
        <f>Q951</f>
        <v>53.909000000000006</v>
      </c>
      <c r="CP951" s="1012">
        <f>V951</f>
        <v>54.417000000000002</v>
      </c>
      <c r="CQ951" s="1012">
        <f>AA951</f>
        <v>54.774000000000001</v>
      </c>
      <c r="CR951" s="1012">
        <f>AF951</f>
        <v>53.926999999999992</v>
      </c>
      <c r="CS951" s="1012">
        <f>AK951</f>
        <v>56.144999999999996</v>
      </c>
      <c r="CT951" s="1012">
        <f>AP951</f>
        <v>58.784133000000004</v>
      </c>
      <c r="CU951" s="1012">
        <f>AU951</f>
        <v>56.786998000000011</v>
      </c>
      <c r="CV951" s="1012">
        <f>AZ951</f>
        <v>49.545061000000004</v>
      </c>
      <c r="CW951" s="1012">
        <f>BE951</f>
        <v>24.983353000000001</v>
      </c>
      <c r="CX951" s="1012">
        <f>BJ951</f>
        <v>0</v>
      </c>
      <c r="CY951" s="1012">
        <f>BO951</f>
        <v>0</v>
      </c>
      <c r="CZ951" s="1012">
        <f>BT951</f>
        <v>0</v>
      </c>
      <c r="DA951" s="1012">
        <f t="shared" si="2325"/>
        <v>0</v>
      </c>
      <c r="DB951" s="1012">
        <f t="shared" si="2325"/>
        <v>0</v>
      </c>
      <c r="DC951" s="1877">
        <f t="shared" si="2325"/>
        <v>0</v>
      </c>
      <c r="DD951" s="502"/>
      <c r="DE951" s="502"/>
      <c r="DF951" s="502"/>
      <c r="DG951" s="503"/>
      <c r="DH951" s="598"/>
      <c r="DI951" s="3213"/>
      <c r="DJ951" s="502"/>
      <c r="DK951" s="503"/>
      <c r="DL951" s="502"/>
      <c r="DM951" s="502"/>
      <c r="DN951" s="502"/>
      <c r="DO951" s="502"/>
      <c r="DP951" s="503"/>
      <c r="DQ951" s="503"/>
      <c r="DR951" s="719"/>
      <c r="DS951" s="719"/>
      <c r="DT951" s="719"/>
    </row>
    <row r="952" spans="1:124" ht="12" customHeight="1" x14ac:dyDescent="0.25">
      <c r="A952" s="465" t="s">
        <v>1491</v>
      </c>
      <c r="B952" s="579"/>
      <c r="C952" s="467" t="s">
        <v>553</v>
      </c>
      <c r="D952" s="467" t="s">
        <v>553</v>
      </c>
      <c r="E952" s="467" t="s">
        <v>553</v>
      </c>
      <c r="F952" s="467" t="s">
        <v>553</v>
      </c>
      <c r="G952" s="468" t="s">
        <v>553</v>
      </c>
      <c r="H952" s="467">
        <f t="shared" ref="H952:AF952" si="2328">(H951-C951)/C951</f>
        <v>0.16675480345496205</v>
      </c>
      <c r="I952" s="467">
        <f t="shared" si="2328"/>
        <v>0.24150430448572716</v>
      </c>
      <c r="J952" s="467">
        <f t="shared" si="2328"/>
        <v>5.9614307433784187E-2</v>
      </c>
      <c r="K952" s="467">
        <f t="shared" si="2328"/>
        <v>2.6557863501483588E-2</v>
      </c>
      <c r="L952" s="468">
        <f t="shared" si="2328"/>
        <v>0.11704371562099335</v>
      </c>
      <c r="M952" s="467">
        <f t="shared" si="2328"/>
        <v>6.141411089288417E-2</v>
      </c>
      <c r="N952" s="467">
        <f t="shared" si="2328"/>
        <v>-3.6788321167883178E-2</v>
      </c>
      <c r="O952" s="467">
        <f t="shared" si="2328"/>
        <v>5.8148315964355801E-3</v>
      </c>
      <c r="P952" s="467">
        <f t="shared" si="2328"/>
        <v>-3.5771065182829832E-2</v>
      </c>
      <c r="Q952" s="468">
        <f t="shared" si="2328"/>
        <v>-2.0178459032173472E-3</v>
      </c>
      <c r="R952" s="467">
        <f t="shared" si="2328"/>
        <v>4.6971745783218792E-3</v>
      </c>
      <c r="S952" s="467">
        <f t="shared" si="2328"/>
        <v>4.8423764777205301E-2</v>
      </c>
      <c r="T952" s="467">
        <f t="shared" si="2328"/>
        <v>1.3889931676552197E-2</v>
      </c>
      <c r="U952" s="467">
        <f t="shared" si="2328"/>
        <v>-2.8629243798246246E-2</v>
      </c>
      <c r="V952" s="468">
        <f t="shared" si="2328"/>
        <v>9.423287391715586E-3</v>
      </c>
      <c r="W952" s="467">
        <f t="shared" si="2328"/>
        <v>1.090883332152723E-2</v>
      </c>
      <c r="X952" s="467">
        <f t="shared" si="2328"/>
        <v>1.5540296349837357E-2</v>
      </c>
      <c r="Y952" s="467">
        <f t="shared" si="2328"/>
        <v>1.7994668246445522E-2</v>
      </c>
      <c r="Z952" s="467">
        <f t="shared" si="2328"/>
        <v>-1.967440783890138E-2</v>
      </c>
      <c r="AA952" s="468">
        <f t="shared" si="2328"/>
        <v>6.5604498594189192E-3</v>
      </c>
      <c r="AB952" s="467">
        <f t="shared" si="2328"/>
        <v>-2.4805549716207763E-2</v>
      </c>
      <c r="AC952" s="467">
        <f t="shared" si="2328"/>
        <v>-5.1814946619217185E-2</v>
      </c>
      <c r="AD952" s="467">
        <f t="shared" si="2328"/>
        <v>-1.1493416745471701E-2</v>
      </c>
      <c r="AE952" s="469">
        <f t="shared" si="2328"/>
        <v>3.0930269164174462E-2</v>
      </c>
      <c r="AF952" s="470">
        <f t="shared" si="2328"/>
        <v>-1.5463541096140659E-2</v>
      </c>
      <c r="AG952" s="467">
        <f>(AG951-AB951)/AB951</f>
        <v>5.4393906732772848E-2</v>
      </c>
      <c r="AH952" s="467">
        <f t="shared" ref="AH952:AU952" si="2329">(AH951-AC951)/AC951</f>
        <v>3.7682029725266526E-2</v>
      </c>
      <c r="AI952" s="467">
        <f t="shared" si="2329"/>
        <v>1.6704687614982731E-2</v>
      </c>
      <c r="AJ952" s="469">
        <f t="shared" si="2329"/>
        <v>5.5882128406748555E-2</v>
      </c>
      <c r="AK952" s="470">
        <f t="shared" si="2329"/>
        <v>4.1129675301796946E-2</v>
      </c>
      <c r="AL952" s="467">
        <f>(AL951-AG951)/AG951</f>
        <v>2.6986506746626743E-2</v>
      </c>
      <c r="AM952" s="467">
        <f>(AM951-AH951)/AH951</f>
        <v>7.0240162037037049E-2</v>
      </c>
      <c r="AN952" s="467">
        <f t="shared" si="2329"/>
        <v>7.5817747539085059E-2</v>
      </c>
      <c r="AO952" s="469">
        <f t="shared" si="2329"/>
        <v>1.6241414214445884E-2</v>
      </c>
      <c r="AP952" s="471">
        <f t="shared" si="2329"/>
        <v>4.7005663905957937E-2</v>
      </c>
      <c r="AQ952" s="471">
        <f t="shared" si="2329"/>
        <v>3.0650763105507753E-2</v>
      </c>
      <c r="AR952" s="469">
        <f t="shared" si="2329"/>
        <v>-4.1328624535315966E-2</v>
      </c>
      <c r="AS952" s="469">
        <f t="shared" si="2329"/>
        <v>-8.8845371392386935E-2</v>
      </c>
      <c r="AT952" s="469">
        <f t="shared" si="2329"/>
        <v>-3.7496135891405845E-2</v>
      </c>
      <c r="AU952" s="1689">
        <f t="shared" si="2329"/>
        <v>-3.3974048745432597E-2</v>
      </c>
      <c r="AV952" s="1730">
        <f t="shared" ref="AV952:BA952" si="2330">(AV951-AQ951)/AQ951</f>
        <v>-0.10334481142592475</v>
      </c>
      <c r="AW952" s="1465">
        <f t="shared" si="2330"/>
        <v>-0.10898313630099332</v>
      </c>
      <c r="AX952" s="1465">
        <f t="shared" si="2330"/>
        <v>-0.14930925289883398</v>
      </c>
      <c r="AY952" s="1868">
        <f t="shared" si="2330"/>
        <v>-0.15293086802828043</v>
      </c>
      <c r="AZ952" s="1689">
        <f t="shared" si="2330"/>
        <v>-0.12752808310099445</v>
      </c>
      <c r="BA952" s="471">
        <f t="shared" si="2330"/>
        <v>-0.15115699877178959</v>
      </c>
      <c r="BB952" s="469">
        <f>(BB951-AW951)/AW951</f>
        <v>-0.15398967349951448</v>
      </c>
      <c r="BC952" s="469">
        <f>(BC951-AX951)/AX951</f>
        <v>-0.78560390207048814</v>
      </c>
      <c r="BD952" s="1463"/>
      <c r="BE952" s="1689">
        <f>(BE951-AZ951)/AZ951</f>
        <v>-0.49574483317317947</v>
      </c>
      <c r="BF952" s="469"/>
      <c r="BG952" s="469"/>
      <c r="BH952" s="469"/>
      <c r="BI952" s="1463"/>
      <c r="BJ952" s="1689"/>
      <c r="BK952" s="469"/>
      <c r="BL952" s="469"/>
      <c r="BM952" s="469"/>
      <c r="BN952" s="1463"/>
      <c r="BO952" s="1689"/>
      <c r="BP952" s="469"/>
      <c r="BQ952" s="469"/>
      <c r="BR952" s="469"/>
      <c r="BS952" s="469"/>
      <c r="BT952" s="470"/>
      <c r="BU952" s="471"/>
      <c r="BV952" s="469"/>
      <c r="BW952" s="469"/>
      <c r="BX952" s="469"/>
      <c r="BY952" s="470"/>
      <c r="BZ952" s="470"/>
      <c r="CA952" s="470"/>
      <c r="CB952" s="470"/>
      <c r="CC952" s="470"/>
      <c r="CD952" s="470"/>
      <c r="CE952" s="470"/>
      <c r="CF952" s="470"/>
      <c r="CG952" s="972"/>
      <c r="CH952" s="972"/>
      <c r="CI952" s="972"/>
      <c r="CJ952" s="972"/>
      <c r="CK952" s="972"/>
      <c r="CL952" s="1310" t="str">
        <f>A952</f>
        <v>% growth (y-o-y)</v>
      </c>
      <c r="CM952" s="469" t="str">
        <f>G952</f>
        <v xml:space="preserve">n/a </v>
      </c>
      <c r="CN952" s="469">
        <f>L952</f>
        <v>0.11704371562099335</v>
      </c>
      <c r="CO952" s="469">
        <f>Q952</f>
        <v>-2.0178459032173472E-3</v>
      </c>
      <c r="CP952" s="469">
        <f>V952</f>
        <v>9.423287391715586E-3</v>
      </c>
      <c r="CQ952" s="469">
        <f>AA952</f>
        <v>6.5604498594189192E-3</v>
      </c>
      <c r="CR952" s="469">
        <f>AF952</f>
        <v>-1.5463541096140659E-2</v>
      </c>
      <c r="CS952" s="469">
        <f>AK952</f>
        <v>4.1129675301796946E-2</v>
      </c>
      <c r="CT952" s="469">
        <f>AP952</f>
        <v>4.7005663905957937E-2</v>
      </c>
      <c r="CU952" s="469">
        <f>AU952</f>
        <v>-3.3974048745432597E-2</v>
      </c>
      <c r="CV952" s="469">
        <f>AZ952</f>
        <v>-0.12752808310099445</v>
      </c>
      <c r="CW952" s="469">
        <f>BE952</f>
        <v>-0.49574483317317947</v>
      </c>
      <c r="CX952" s="469">
        <f>BJ952</f>
        <v>0</v>
      </c>
      <c r="CY952" s="469">
        <f>BO952</f>
        <v>0</v>
      </c>
      <c r="CZ952" s="469">
        <f>BT952</f>
        <v>0</v>
      </c>
      <c r="DA952" s="469">
        <f t="shared" si="2325"/>
        <v>0</v>
      </c>
      <c r="DB952" s="469">
        <f t="shared" si="2325"/>
        <v>0</v>
      </c>
      <c r="DC952" s="1463">
        <f t="shared" si="2325"/>
        <v>0</v>
      </c>
      <c r="DD952" s="972"/>
      <c r="DE952" s="972"/>
      <c r="DF952" s="974"/>
      <c r="DG952" s="975"/>
      <c r="DH952" s="469"/>
      <c r="DI952" s="3210"/>
      <c r="DJ952" s="974"/>
      <c r="DK952" s="975"/>
      <c r="DL952" s="974"/>
      <c r="DM952" s="974"/>
      <c r="DN952" s="974"/>
      <c r="DO952" s="974"/>
      <c r="DP952" s="975"/>
      <c r="DQ952" s="975"/>
      <c r="DR952" s="976"/>
      <c r="DS952" s="976"/>
      <c r="DT952" s="976"/>
    </row>
    <row r="953" spans="1:124" ht="5.0999999999999996" customHeight="1" x14ac:dyDescent="0.25">
      <c r="A953" s="281"/>
      <c r="B953" s="281"/>
      <c r="C953" s="305"/>
      <c r="D953" s="305"/>
      <c r="E953" s="305"/>
      <c r="F953" s="305"/>
      <c r="G953" s="440"/>
      <c r="H953" s="305"/>
      <c r="I953" s="305"/>
      <c r="J953" s="305"/>
      <c r="K953" s="305"/>
      <c r="L953" s="440"/>
      <c r="M953" s="305"/>
      <c r="N953" s="305"/>
      <c r="O953" s="305"/>
      <c r="P953" s="305"/>
      <c r="Q953" s="440"/>
      <c r="R953" s="305"/>
      <c r="S953" s="305"/>
      <c r="T953" s="305"/>
      <c r="U953" s="305"/>
      <c r="V953" s="440"/>
      <c r="W953" s="305"/>
      <c r="X953" s="305"/>
      <c r="Y953" s="305"/>
      <c r="Z953" s="305"/>
      <c r="AA953" s="440"/>
      <c r="AB953" s="305"/>
      <c r="AC953" s="305"/>
      <c r="AD953" s="305"/>
      <c r="AE953" s="331"/>
      <c r="AF953" s="441"/>
      <c r="AG953" s="305"/>
      <c r="AH953" s="305"/>
      <c r="AI953" s="305"/>
      <c r="AJ953" s="331"/>
      <c r="AK953" s="441"/>
      <c r="AL953" s="305"/>
      <c r="AM953" s="305"/>
      <c r="AN953" s="305"/>
      <c r="AO953" s="331"/>
      <c r="AP953" s="569"/>
      <c r="AQ953" s="569"/>
      <c r="AR953" s="442"/>
      <c r="AS953" s="442"/>
      <c r="AT953" s="442"/>
      <c r="AU953" s="1690"/>
      <c r="AV953" s="1902"/>
      <c r="AW953" s="1837"/>
      <c r="AX953" s="1837"/>
      <c r="AY953" s="1903"/>
      <c r="AZ953" s="1690"/>
      <c r="BA953" s="569"/>
      <c r="BB953" s="442"/>
      <c r="BC953" s="442"/>
      <c r="BD953" s="1312"/>
      <c r="BE953" s="1690"/>
      <c r="BF953" s="442"/>
      <c r="BG953" s="442"/>
      <c r="BH953" s="442"/>
      <c r="BI953" s="1312"/>
      <c r="BJ953" s="1690"/>
      <c r="BK953" s="442"/>
      <c r="BL953" s="442"/>
      <c r="BM953" s="442"/>
      <c r="BN953" s="1312"/>
      <c r="BO953" s="1690"/>
      <c r="BP953" s="442"/>
      <c r="BQ953" s="442"/>
      <c r="BR953" s="442"/>
      <c r="BS953" s="442"/>
      <c r="BT953" s="3236"/>
      <c r="BU953" s="3409"/>
      <c r="BV953" s="3298"/>
      <c r="BW953" s="3298"/>
      <c r="BX953" s="3298"/>
      <c r="BY953" s="3236"/>
      <c r="BZ953" s="441"/>
      <c r="CA953" s="441"/>
      <c r="CB953" s="441"/>
      <c r="CC953" s="441"/>
      <c r="CD953" s="441"/>
      <c r="CE953" s="441"/>
      <c r="CF953" s="441"/>
      <c r="CG953" s="331"/>
      <c r="CH953" s="331"/>
      <c r="CI953" s="331"/>
      <c r="CJ953" s="331"/>
      <c r="CK953" s="331"/>
      <c r="CL953" s="520"/>
      <c r="CM953" s="442"/>
      <c r="CN953" s="442"/>
      <c r="CO953" s="442"/>
      <c r="CP953" s="442"/>
      <c r="CQ953" s="442"/>
      <c r="CR953" s="442"/>
      <c r="CS953" s="442"/>
      <c r="CT953" s="442"/>
      <c r="CU953" s="442"/>
      <c r="CV953" s="442"/>
      <c r="CW953" s="442"/>
      <c r="CX953" s="442"/>
      <c r="CY953" s="442"/>
      <c r="CZ953" s="442"/>
      <c r="DA953" s="442"/>
      <c r="DB953" s="442"/>
      <c r="DC953" s="1312"/>
      <c r="DD953" s="331"/>
      <c r="DE953" s="331"/>
      <c r="DF953" s="502"/>
      <c r="DG953" s="503"/>
      <c r="DH953" s="3298"/>
      <c r="DI953" s="3213"/>
      <c r="DJ953" s="502"/>
      <c r="DK953" s="503"/>
      <c r="DL953" s="502"/>
      <c r="DM953" s="502"/>
      <c r="DN953" s="502"/>
      <c r="DO953" s="502"/>
      <c r="DP953" s="503"/>
      <c r="DQ953" s="503"/>
      <c r="DR953" s="296"/>
      <c r="DS953" s="296"/>
      <c r="DT953" s="296"/>
    </row>
    <row r="954" spans="1:124" ht="12" customHeight="1" x14ac:dyDescent="0.25">
      <c r="A954" s="311" t="s">
        <v>601</v>
      </c>
      <c r="B954" s="281"/>
      <c r="C954" s="452">
        <f>C959-C957</f>
        <v>4.8495548872180461</v>
      </c>
      <c r="D954" s="452">
        <f>D959-D957</f>
        <v>4.6905548872180454</v>
      </c>
      <c r="E954" s="452">
        <f>E959-E957</f>
        <v>5.283232374999999</v>
      </c>
      <c r="F954" s="452">
        <f>F959-F957</f>
        <v>5.2982323749999995</v>
      </c>
      <c r="G954" s="475">
        <f>SUM(C954:F954)</f>
        <v>20.121574524436092</v>
      </c>
      <c r="H954" s="452">
        <f>H959-H957</f>
        <v>5.2039514349999987</v>
      </c>
      <c r="I954" s="452">
        <f>I959-I957</f>
        <v>5.5959514349999981</v>
      </c>
      <c r="J954" s="452">
        <f>J959-J957</f>
        <v>5.513951435000001</v>
      </c>
      <c r="K954" s="452">
        <f>K959-K957</f>
        <v>5.8789514349999994</v>
      </c>
      <c r="L954" s="475">
        <f>SUM(H954:K954)</f>
        <v>22.192805739999997</v>
      </c>
      <c r="M954" s="452">
        <f>M959-M957</f>
        <v>5.3652386950000004</v>
      </c>
      <c r="N954" s="452">
        <f>N959-N957</f>
        <v>4.9772386950000005</v>
      </c>
      <c r="O954" s="452">
        <f>O959-O957</f>
        <v>5.1362386950000012</v>
      </c>
      <c r="P954" s="452">
        <f>P959-P957</f>
        <v>4.9902386950000004</v>
      </c>
      <c r="Q954" s="475">
        <f>SUM(M954:P954)</f>
        <v>20.468954780000004</v>
      </c>
      <c r="R954" s="452">
        <f>R959-R957</f>
        <v>5.5105914100000017</v>
      </c>
      <c r="S954" s="452">
        <f>S959-S957</f>
        <v>5.1865914100000019</v>
      </c>
      <c r="T954" s="452">
        <f>T959-T957</f>
        <v>5.1205914099999994</v>
      </c>
      <c r="U954" s="452">
        <f>U959-U957</f>
        <v>4.9275914100000016</v>
      </c>
      <c r="V954" s="475">
        <f>SUM(R954:U954)</f>
        <v>20.745365640000003</v>
      </c>
      <c r="W954" s="452">
        <f>W959-W957</f>
        <v>5.5450312450000006</v>
      </c>
      <c r="X954" s="452">
        <f>X959-X957</f>
        <v>5.134031245000001</v>
      </c>
      <c r="Y954" s="452">
        <f>Y959-Y957</f>
        <v>5.1690312449999993</v>
      </c>
      <c r="Z954" s="452">
        <f>Z959-Z957</f>
        <v>4.3520312449999992</v>
      </c>
      <c r="AA954" s="475">
        <f>SUM(W954:Z954)</f>
        <v>20.200124979999998</v>
      </c>
      <c r="AB954" s="452">
        <f>AB959-AB957</f>
        <v>5.0801457500000007</v>
      </c>
      <c r="AC954" s="452">
        <f>AC959-AC957</f>
        <v>4.78014575</v>
      </c>
      <c r="AD954" s="452">
        <f>AD959-AD957</f>
        <v>4.6071457500000017</v>
      </c>
      <c r="AE954" s="452">
        <f>AE959-AE957</f>
        <v>4.6481457500000003</v>
      </c>
      <c r="AF954" s="477">
        <f>SUM(AB954:AE954)</f>
        <v>19.115583000000004</v>
      </c>
      <c r="AG954" s="452">
        <f>AG959-AG957</f>
        <v>5.2876085999999995</v>
      </c>
      <c r="AH954" s="452">
        <f>AH959-AH957</f>
        <v>4.8946085999999989</v>
      </c>
      <c r="AI954" s="452">
        <f>AI959-AI957</f>
        <v>4.8786086000000006</v>
      </c>
      <c r="AJ954" s="452">
        <f>AJ959-AJ957</f>
        <v>5.0956085999999994</v>
      </c>
      <c r="AK954" s="477">
        <f>SUM(AG954:AJ954)</f>
        <v>20.156434399999998</v>
      </c>
      <c r="AL954" s="452">
        <f>AL959-AL957</f>
        <v>4.9866559450000016</v>
      </c>
      <c r="AM954" s="452">
        <f>AM959-AM957</f>
        <v>4.7646559450000003</v>
      </c>
      <c r="AN954" s="452">
        <f>AI954*(1+AN956)</f>
        <v>4.7490807476042383</v>
      </c>
      <c r="AO954" s="452">
        <f>AJ954*(1+AO956)</f>
        <v>4.9603193622842756</v>
      </c>
      <c r="AP954" s="478">
        <f>SUM(AL954:AO954)</f>
        <v>19.460711999888517</v>
      </c>
      <c r="AQ954" s="478">
        <f>AL954*(1+AQ956)</f>
        <v>4.9367893855500018</v>
      </c>
      <c r="AR954" s="476">
        <f>AM954*(1+AR956)</f>
        <v>4.6693628261000004</v>
      </c>
      <c r="AS954" s="476">
        <f>AN954*(1+AS956)</f>
        <v>4.3928996915339207</v>
      </c>
      <c r="AT954" s="476">
        <f>AO954*(1+AT956)</f>
        <v>4.7123033941700614</v>
      </c>
      <c r="AU954" s="1464">
        <f>SUM(AQ954:AT954)</f>
        <v>18.711355297353983</v>
      </c>
      <c r="AV954" s="1865">
        <f>AQ954*(1+AV956)</f>
        <v>4.8380535978390018</v>
      </c>
      <c r="AW954" s="1771">
        <f>AR954*(1+AW956)</f>
        <v>4.4358946847950005</v>
      </c>
      <c r="AX954" s="1771">
        <f>AS954*(1+AX956)</f>
        <v>4.3928996915339207</v>
      </c>
      <c r="AY954" s="1866">
        <f>AT954*(1+AY956)</f>
        <v>4.7123033941700614</v>
      </c>
      <c r="AZ954" s="1464">
        <f>SUM(AV954:AY954)</f>
        <v>18.379151368337983</v>
      </c>
      <c r="BA954" s="478">
        <f>AV954*(1+BA956)</f>
        <v>4.8380535978390018</v>
      </c>
      <c r="BB954" s="476">
        <f>AW954*(1+BB956)</f>
        <v>4.4358946847950005</v>
      </c>
      <c r="BC954" s="2777">
        <f>(AX954*(1+BC956))/3</f>
        <v>1.3178699074601763</v>
      </c>
      <c r="BD954" s="682"/>
      <c r="BE954" s="1464">
        <f>SUM(BA954:BD954)</f>
        <v>10.591818190094179</v>
      </c>
      <c r="BF954" s="2577"/>
      <c r="BG954" s="2577"/>
      <c r="BH954" s="2577"/>
      <c r="BI954" s="2911"/>
      <c r="BJ954" s="1464"/>
      <c r="BK954" s="2577"/>
      <c r="BL954" s="2577"/>
      <c r="BM954" s="2577"/>
      <c r="BN954" s="2911"/>
      <c r="BO954" s="1464"/>
      <c r="BP954" s="2577"/>
      <c r="BQ954" s="2577"/>
      <c r="BR954" s="2577"/>
      <c r="BS954" s="2577"/>
      <c r="BT954" s="2604"/>
      <c r="BU954" s="2673"/>
      <c r="BV954" s="2577"/>
      <c r="BW954" s="2577"/>
      <c r="BX954" s="2577"/>
      <c r="BY954" s="2604"/>
      <c r="BZ954" s="477"/>
      <c r="CA954" s="477"/>
      <c r="CB954" s="477"/>
      <c r="CC954" s="477"/>
      <c r="CD954" s="477"/>
      <c r="CE954" s="477"/>
      <c r="CF954" s="477"/>
      <c r="CG954" s="331"/>
      <c r="CH954" s="331"/>
      <c r="CI954" s="331"/>
      <c r="CJ954" s="331"/>
      <c r="CK954" s="331"/>
      <c r="CL954" s="528" t="str">
        <f t="shared" ref="CL954:CL959" si="2331">A954</f>
        <v>Operating expenses</v>
      </c>
      <c r="CM954" s="476">
        <f t="shared" ref="CM954:CM959" si="2332">G954</f>
        <v>20.121574524436092</v>
      </c>
      <c r="CN954" s="476">
        <f t="shared" ref="CN954:CN959" si="2333">L954</f>
        <v>22.192805739999997</v>
      </c>
      <c r="CO954" s="476">
        <f t="shared" ref="CO954:CO959" si="2334">Q954</f>
        <v>20.468954780000004</v>
      </c>
      <c r="CP954" s="476">
        <f t="shared" ref="CP954:CP959" si="2335">V954</f>
        <v>20.745365640000003</v>
      </c>
      <c r="CQ954" s="476">
        <f t="shared" ref="CQ954:CQ959" si="2336">AA954</f>
        <v>20.200124979999998</v>
      </c>
      <c r="CR954" s="476">
        <f t="shared" ref="CR954:CR959" si="2337">AF954</f>
        <v>19.115583000000004</v>
      </c>
      <c r="CS954" s="476">
        <f t="shared" ref="CS954:CS959" si="2338">AK954</f>
        <v>20.156434399999998</v>
      </c>
      <c r="CT954" s="476">
        <f t="shared" ref="CT954:CT959" si="2339">AP954</f>
        <v>19.460711999888517</v>
      </c>
      <c r="CU954" s="476">
        <f t="shared" ref="CU954:CU959" si="2340">AU954</f>
        <v>18.711355297353983</v>
      </c>
      <c r="CV954" s="476">
        <f t="shared" ref="CV954:CV959" si="2341">AZ954</f>
        <v>18.379151368337983</v>
      </c>
      <c r="CW954" s="476">
        <f t="shared" ref="CW954:CW959" si="2342">BE954</f>
        <v>10.591818190094179</v>
      </c>
      <c r="CX954" s="476">
        <f t="shared" ref="CX954:CX959" si="2343">BJ954</f>
        <v>0</v>
      </c>
      <c r="CY954" s="476">
        <f t="shared" ref="CY954:CY959" si="2344">BO954</f>
        <v>0</v>
      </c>
      <c r="CZ954" s="476">
        <f t="shared" ref="CZ954:CZ959" si="2345">BT954</f>
        <v>0</v>
      </c>
      <c r="DA954" s="476">
        <f t="shared" ref="DA954:DC959" si="2346">BY954</f>
        <v>0</v>
      </c>
      <c r="DB954" s="476">
        <f t="shared" si="2346"/>
        <v>0</v>
      </c>
      <c r="DC954" s="682">
        <f t="shared" si="2346"/>
        <v>0</v>
      </c>
      <c r="DD954" s="331"/>
      <c r="DE954" s="331"/>
      <c r="DF954" s="502"/>
      <c r="DG954" s="503"/>
      <c r="DH954" s="2577"/>
      <c r="DI954" s="3213"/>
      <c r="DJ954" s="502"/>
      <c r="DK954" s="503"/>
      <c r="DL954" s="502"/>
      <c r="DM954" s="502"/>
      <c r="DN954" s="502"/>
      <c r="DO954" s="502"/>
      <c r="DP954" s="503"/>
      <c r="DQ954" s="503"/>
      <c r="DR954" s="296"/>
      <c r="DS954" s="296"/>
      <c r="DT954" s="296"/>
    </row>
    <row r="955" spans="1:124" ht="12" customHeight="1" x14ac:dyDescent="0.25">
      <c r="A955" s="465" t="s">
        <v>646</v>
      </c>
      <c r="B955" s="579"/>
      <c r="C955" s="467">
        <f t="shared" ref="C955:AF955" si="2347">C954/C951</f>
        <v>0.42742419242182672</v>
      </c>
      <c r="D955" s="467">
        <f t="shared" si="2347"/>
        <v>0.42506161189107794</v>
      </c>
      <c r="E955" s="467">
        <f t="shared" si="2347"/>
        <v>0.42276005241257897</v>
      </c>
      <c r="F955" s="467">
        <f t="shared" si="2347"/>
        <v>0.39304394473293763</v>
      </c>
      <c r="G955" s="468">
        <f t="shared" si="2347"/>
        <v>0.4160960859513646</v>
      </c>
      <c r="H955" s="467">
        <f t="shared" si="2347"/>
        <v>0.39310707319836824</v>
      </c>
      <c r="I955" s="467">
        <f t="shared" si="2347"/>
        <v>0.40846360839416046</v>
      </c>
      <c r="J955" s="467">
        <f t="shared" si="2347"/>
        <v>0.41639868864219909</v>
      </c>
      <c r="K955" s="467">
        <f t="shared" si="2347"/>
        <v>0.42484112118803291</v>
      </c>
      <c r="L955" s="468">
        <f t="shared" si="2347"/>
        <v>0.41084093709504232</v>
      </c>
      <c r="M955" s="467">
        <f t="shared" si="2347"/>
        <v>0.3818403455270088</v>
      </c>
      <c r="N955" s="467">
        <f t="shared" si="2347"/>
        <v>0.3771778338132768</v>
      </c>
      <c r="O955" s="467">
        <f t="shared" si="2347"/>
        <v>0.38563245701629256</v>
      </c>
      <c r="P955" s="467">
        <f t="shared" si="2347"/>
        <v>0.37399675447800346</v>
      </c>
      <c r="Q955" s="468">
        <f t="shared" si="2347"/>
        <v>0.37969457381884292</v>
      </c>
      <c r="R955" s="467">
        <f t="shared" si="2347"/>
        <v>0.39035144931642712</v>
      </c>
      <c r="S955" s="467">
        <f t="shared" si="2347"/>
        <v>0.37488915142753898</v>
      </c>
      <c r="T955" s="467">
        <f t="shared" si="2347"/>
        <v>0.37919071460308051</v>
      </c>
      <c r="U955" s="467">
        <f t="shared" si="2347"/>
        <v>0.38018605123061505</v>
      </c>
      <c r="V955" s="468">
        <f t="shared" si="2347"/>
        <v>0.38122949886983853</v>
      </c>
      <c r="W955" s="467">
        <f t="shared" si="2347"/>
        <v>0.38855239611800158</v>
      </c>
      <c r="X955" s="467">
        <f t="shared" si="2347"/>
        <v>0.36541147651245559</v>
      </c>
      <c r="Y955" s="467">
        <f t="shared" si="2347"/>
        <v>0.37601158398195966</v>
      </c>
      <c r="Z955" s="467">
        <f t="shared" si="2347"/>
        <v>0.34251780615457261</v>
      </c>
      <c r="AA955" s="468">
        <f t="shared" si="2347"/>
        <v>0.36879039288713622</v>
      </c>
      <c r="AB955" s="467">
        <f t="shared" si="2347"/>
        <v>0.3650316699001222</v>
      </c>
      <c r="AC955" s="467">
        <f t="shared" si="2347"/>
        <v>0.35881592478606816</v>
      </c>
      <c r="AD955" s="467">
        <f t="shared" si="2347"/>
        <v>0.33903493634557375</v>
      </c>
      <c r="AE955" s="469">
        <f t="shared" si="2347"/>
        <v>0.35484737384533172</v>
      </c>
      <c r="AF955" s="470">
        <f t="shared" si="2347"/>
        <v>0.35447147069186136</v>
      </c>
      <c r="AG955" s="467">
        <f t="shared" ref="AG955:AU955" si="2348">AG954/AG951</f>
        <v>0.36033859888237696</v>
      </c>
      <c r="AH955" s="467">
        <f t="shared" si="2348"/>
        <v>0.3540660156249999</v>
      </c>
      <c r="AI955" s="467">
        <f t="shared" si="2348"/>
        <v>0.35311295599305154</v>
      </c>
      <c r="AJ955" s="469">
        <f t="shared" si="2348"/>
        <v>0.36841939122261586</v>
      </c>
      <c r="AK955" s="470">
        <f t="shared" si="2348"/>
        <v>0.35900675750289429</v>
      </c>
      <c r="AL955" s="467">
        <f t="shared" si="2348"/>
        <v>0.3308995318513604</v>
      </c>
      <c r="AM955" s="467">
        <f t="shared" si="2348"/>
        <v>0.3220450114903684</v>
      </c>
      <c r="AN955" s="467">
        <f t="shared" si="2348"/>
        <v>0.31951299402093897</v>
      </c>
      <c r="AO955" s="469">
        <f t="shared" si="2348"/>
        <v>0.35290610223474611</v>
      </c>
      <c r="AP955" s="471">
        <f t="shared" si="2348"/>
        <v>0.3310538236549056</v>
      </c>
      <c r="AQ955" s="471">
        <f t="shared" si="2348"/>
        <v>0.31784824526376582</v>
      </c>
      <c r="AR955" s="469">
        <f t="shared" si="2348"/>
        <v>0.32920990376664</v>
      </c>
      <c r="AS955" s="469">
        <f t="shared" si="2348"/>
        <v>0.32436812610063182</v>
      </c>
      <c r="AT955" s="469">
        <f t="shared" si="2348"/>
        <v>0.34832150771000236</v>
      </c>
      <c r="AU955" s="1689">
        <f t="shared" si="2348"/>
        <v>0.32950069481316796</v>
      </c>
      <c r="AV955" s="1730">
        <f t="shared" ref="AV955:BC955" si="2349">AV954/AV951</f>
        <v>0.34739249192752236</v>
      </c>
      <c r="AW955" s="1465">
        <f t="shared" si="2349"/>
        <v>0.35100279390891248</v>
      </c>
      <c r="AX955" s="1465">
        <f t="shared" si="2349"/>
        <v>0.38129969933957353</v>
      </c>
      <c r="AY955" s="1868">
        <f t="shared" si="2349"/>
        <v>0.41120788677450182</v>
      </c>
      <c r="AZ955" s="1689">
        <f t="shared" si="2349"/>
        <v>0.3709582952847304</v>
      </c>
      <c r="BA955" s="471">
        <f t="shared" si="2349"/>
        <v>0.40925411580807314</v>
      </c>
      <c r="BB955" s="469">
        <f t="shared" si="2349"/>
        <v>0.41489185523400468</v>
      </c>
      <c r="BC955" s="469">
        <f t="shared" si="2349"/>
        <v>0.53354473755152321</v>
      </c>
      <c r="BD955" s="1463"/>
      <c r="BE955" s="1689">
        <f>BE954/BE951</f>
        <v>0.42395503077966268</v>
      </c>
      <c r="BF955" s="469"/>
      <c r="BG955" s="469"/>
      <c r="BH955" s="469"/>
      <c r="BI955" s="1463"/>
      <c r="BJ955" s="1689"/>
      <c r="BK955" s="469"/>
      <c r="BL955" s="469"/>
      <c r="BM955" s="469"/>
      <c r="BN955" s="1463"/>
      <c r="BO955" s="1689"/>
      <c r="BP955" s="469"/>
      <c r="BQ955" s="469"/>
      <c r="BR955" s="469"/>
      <c r="BS955" s="469"/>
      <c r="BT955" s="470"/>
      <c r="BU955" s="471"/>
      <c r="BV955" s="469"/>
      <c r="BW955" s="469"/>
      <c r="BX955" s="469"/>
      <c r="BY955" s="470"/>
      <c r="BZ955" s="470"/>
      <c r="CA955" s="470"/>
      <c r="CB955" s="470"/>
      <c r="CC955" s="470"/>
      <c r="CD955" s="470"/>
      <c r="CE955" s="470"/>
      <c r="CF955" s="470"/>
      <c r="CG955" s="972"/>
      <c r="CH955" s="972"/>
      <c r="CI955" s="972"/>
      <c r="CJ955" s="972"/>
      <c r="CK955" s="972"/>
      <c r="CL955" s="1310" t="str">
        <f t="shared" si="2331"/>
        <v>% of Net revenue</v>
      </c>
      <c r="CM955" s="469">
        <f t="shared" si="2332"/>
        <v>0.4160960859513646</v>
      </c>
      <c r="CN955" s="469">
        <f t="shared" si="2333"/>
        <v>0.41084093709504232</v>
      </c>
      <c r="CO955" s="469">
        <f t="shared" si="2334"/>
        <v>0.37969457381884292</v>
      </c>
      <c r="CP955" s="469">
        <f t="shared" si="2335"/>
        <v>0.38122949886983853</v>
      </c>
      <c r="CQ955" s="469">
        <f t="shared" si="2336"/>
        <v>0.36879039288713622</v>
      </c>
      <c r="CR955" s="469">
        <f t="shared" si="2337"/>
        <v>0.35447147069186136</v>
      </c>
      <c r="CS955" s="469">
        <f t="shared" si="2338"/>
        <v>0.35900675750289429</v>
      </c>
      <c r="CT955" s="469">
        <f t="shared" si="2339"/>
        <v>0.3310538236549056</v>
      </c>
      <c r="CU955" s="469">
        <f t="shared" si="2340"/>
        <v>0.32950069481316796</v>
      </c>
      <c r="CV955" s="469">
        <f t="shared" si="2341"/>
        <v>0.3709582952847304</v>
      </c>
      <c r="CW955" s="469">
        <f t="shared" si="2342"/>
        <v>0.42395503077966268</v>
      </c>
      <c r="CX955" s="469">
        <f t="shared" si="2343"/>
        <v>0</v>
      </c>
      <c r="CY955" s="469">
        <f t="shared" si="2344"/>
        <v>0</v>
      </c>
      <c r="CZ955" s="469">
        <f t="shared" si="2345"/>
        <v>0</v>
      </c>
      <c r="DA955" s="469">
        <f t="shared" si="2346"/>
        <v>0</v>
      </c>
      <c r="DB955" s="469">
        <f t="shared" si="2346"/>
        <v>0</v>
      </c>
      <c r="DC955" s="1463">
        <f t="shared" si="2346"/>
        <v>0</v>
      </c>
      <c r="DD955" s="972"/>
      <c r="DE955" s="972"/>
      <c r="DF955" s="974"/>
      <c r="DG955" s="975"/>
      <c r="DH955" s="469"/>
      <c r="DI955" s="3210"/>
      <c r="DJ955" s="974"/>
      <c r="DK955" s="975"/>
      <c r="DL955" s="974"/>
      <c r="DM955" s="974"/>
      <c r="DN955" s="974"/>
      <c r="DO955" s="974"/>
      <c r="DP955" s="975"/>
      <c r="DQ955" s="975"/>
      <c r="DR955" s="976"/>
      <c r="DS955" s="976"/>
      <c r="DT955" s="976"/>
    </row>
    <row r="956" spans="1:124" ht="12" customHeight="1" x14ac:dyDescent="0.25">
      <c r="A956" s="465" t="s">
        <v>1491</v>
      </c>
      <c r="B956" s="579"/>
      <c r="C956" s="467" t="s">
        <v>553</v>
      </c>
      <c r="D956" s="467" t="s">
        <v>553</v>
      </c>
      <c r="E956" s="467" t="s">
        <v>553</v>
      </c>
      <c r="F956" s="467" t="s">
        <v>553</v>
      </c>
      <c r="G956" s="468" t="s">
        <v>553</v>
      </c>
      <c r="H956" s="467">
        <f t="shared" ref="H956:AF956" si="2350">(H954-C954)/C954</f>
        <v>7.3078159959800493E-2</v>
      </c>
      <c r="I956" s="467">
        <f t="shared" si="2350"/>
        <v>0.19302546703998616</v>
      </c>
      <c r="J956" s="467">
        <f t="shared" si="2350"/>
        <v>4.3670057196755804E-2</v>
      </c>
      <c r="K956" s="467">
        <f t="shared" si="2350"/>
        <v>0.10960618917738577</v>
      </c>
      <c r="L956" s="468">
        <f t="shared" si="2350"/>
        <v>0.10293584197640973</v>
      </c>
      <c r="M956" s="467">
        <f t="shared" si="2350"/>
        <v>3.0993229282509964E-2</v>
      </c>
      <c r="N956" s="467">
        <f t="shared" si="2350"/>
        <v>-0.11056435124333738</v>
      </c>
      <c r="O956" s="467">
        <f t="shared" si="2350"/>
        <v>-6.8501281604051653E-2</v>
      </c>
      <c r="P956" s="467">
        <f t="shared" si="2350"/>
        <v>-0.15116857994592348</v>
      </c>
      <c r="Q956" s="468">
        <f t="shared" si="2350"/>
        <v>-7.7676116314258928E-2</v>
      </c>
      <c r="R956" s="467">
        <f t="shared" si="2350"/>
        <v>2.7091565401453466E-2</v>
      </c>
      <c r="S956" s="467">
        <f t="shared" si="2350"/>
        <v>4.2062020294568452E-2</v>
      </c>
      <c r="T956" s="467">
        <f t="shared" si="2350"/>
        <v>-3.0464481752442746E-3</v>
      </c>
      <c r="U956" s="467">
        <f t="shared" si="2350"/>
        <v>-1.2553965617470093E-2</v>
      </c>
      <c r="V956" s="468">
        <f t="shared" si="2350"/>
        <v>1.3503906915172663E-2</v>
      </c>
      <c r="W956" s="467">
        <f t="shared" si="2350"/>
        <v>6.2497529643553811E-3</v>
      </c>
      <c r="X956" s="467">
        <f t="shared" si="2350"/>
        <v>-1.0133854943472579E-2</v>
      </c>
      <c r="Y956" s="467">
        <f t="shared" si="2350"/>
        <v>9.4598125727043576E-3</v>
      </c>
      <c r="Z956" s="467">
        <f t="shared" si="2350"/>
        <v>-0.11680354905887017</v>
      </c>
      <c r="AA956" s="468">
        <f t="shared" si="2350"/>
        <v>-2.6282528322793375E-2</v>
      </c>
      <c r="AB956" s="467">
        <f t="shared" si="2350"/>
        <v>-8.3838210184873321E-2</v>
      </c>
      <c r="AC956" s="467">
        <f t="shared" si="2350"/>
        <v>-6.8929361375556053E-2</v>
      </c>
      <c r="AD956" s="467">
        <f t="shared" si="2350"/>
        <v>-0.10870228256861653</v>
      </c>
      <c r="AE956" s="469">
        <f t="shared" si="2350"/>
        <v>6.8040528279801268E-2</v>
      </c>
      <c r="AF956" s="470">
        <f t="shared" si="2350"/>
        <v>-5.3689864843598306E-2</v>
      </c>
      <c r="AG956" s="467">
        <f t="shared" ref="AG956:AM956" si="2351">(AG954-AB954)/AB954</f>
        <v>4.0837972020782834E-2</v>
      </c>
      <c r="AH956" s="467">
        <f t="shared" si="2351"/>
        <v>2.3945472792330422E-2</v>
      </c>
      <c r="AI956" s="467">
        <f t="shared" si="2351"/>
        <v>5.8922131994630041E-2</v>
      </c>
      <c r="AJ956" s="467">
        <f t="shared" si="2351"/>
        <v>9.6266957635740891E-2</v>
      </c>
      <c r="AK956" s="470">
        <f t="shared" si="2351"/>
        <v>5.4450413570959033E-2</v>
      </c>
      <c r="AL956" s="467">
        <f t="shared" si="2351"/>
        <v>-5.6916590800612198E-2</v>
      </c>
      <c r="AM956" s="467">
        <f t="shared" si="2351"/>
        <v>-2.655016276480178E-2</v>
      </c>
      <c r="AN956" s="467">
        <f>AM956</f>
        <v>-2.655016276480178E-2</v>
      </c>
      <c r="AO956" s="469">
        <f>AN956</f>
        <v>-2.655016276480178E-2</v>
      </c>
      <c r="AP956" s="471">
        <f>(AP954-AK954)/AK954</f>
        <v>-3.4516144388686214E-2</v>
      </c>
      <c r="AQ956" s="1667">
        <v>-0.01</v>
      </c>
      <c r="AR956" s="540">
        <v>-0.02</v>
      </c>
      <c r="AS956" s="540">
        <v>-7.4999999999999997E-2</v>
      </c>
      <c r="AT956" s="540">
        <v>-0.05</v>
      </c>
      <c r="AU956" s="1689">
        <f>(AU954-AP954)/AP954</f>
        <v>-3.8506129813689602E-2</v>
      </c>
      <c r="AV956" s="1667">
        <v>-0.02</v>
      </c>
      <c r="AW956" s="540">
        <v>-0.05</v>
      </c>
      <c r="AX956" s="540">
        <v>0</v>
      </c>
      <c r="AY956" s="1668">
        <v>0</v>
      </c>
      <c r="AZ956" s="1689">
        <f>(AZ954-AU954)/AU954</f>
        <v>-1.7754135055250524E-2</v>
      </c>
      <c r="BA956" s="1667">
        <v>0</v>
      </c>
      <c r="BB956" s="540">
        <v>0</v>
      </c>
      <c r="BC956" s="540">
        <v>-0.1</v>
      </c>
      <c r="BD956" s="1668"/>
      <c r="BE956" s="1689">
        <f>(BE954-AZ954)/AZ954</f>
        <v>-0.42370471966726114</v>
      </c>
      <c r="BF956" s="540"/>
      <c r="BG956" s="540"/>
      <c r="BH956" s="540"/>
      <c r="BI956" s="1668"/>
      <c r="BJ956" s="1689"/>
      <c r="BK956" s="540"/>
      <c r="BL956" s="540"/>
      <c r="BM956" s="540"/>
      <c r="BN956" s="1668"/>
      <c r="BO956" s="1689"/>
      <c r="BP956" s="540"/>
      <c r="BQ956" s="540"/>
      <c r="BR956" s="540"/>
      <c r="BS956" s="540"/>
      <c r="BT956" s="470"/>
      <c r="BU956" s="471"/>
      <c r="BV956" s="469"/>
      <c r="BW956" s="469"/>
      <c r="BX956" s="469"/>
      <c r="BY956" s="470"/>
      <c r="BZ956" s="470"/>
      <c r="CA956" s="470"/>
      <c r="CB956" s="470"/>
      <c r="CC956" s="470"/>
      <c r="CD956" s="470"/>
      <c r="CE956" s="470"/>
      <c r="CF956" s="470"/>
      <c r="CG956" s="972"/>
      <c r="CH956" s="972"/>
      <c r="CI956" s="972"/>
      <c r="CJ956" s="972"/>
      <c r="CK956" s="972"/>
      <c r="CL956" s="1310" t="str">
        <f t="shared" si="2331"/>
        <v>% growth (y-o-y)</v>
      </c>
      <c r="CM956" s="469" t="str">
        <f t="shared" si="2332"/>
        <v xml:space="preserve">n/a </v>
      </c>
      <c r="CN956" s="469">
        <f t="shared" si="2333"/>
        <v>0.10293584197640973</v>
      </c>
      <c r="CO956" s="469">
        <f t="shared" si="2334"/>
        <v>-7.7676116314258928E-2</v>
      </c>
      <c r="CP956" s="469">
        <f t="shared" si="2335"/>
        <v>1.3503906915172663E-2</v>
      </c>
      <c r="CQ956" s="469">
        <f t="shared" si="2336"/>
        <v>-2.6282528322793375E-2</v>
      </c>
      <c r="CR956" s="469">
        <f t="shared" si="2337"/>
        <v>-5.3689864843598306E-2</v>
      </c>
      <c r="CS956" s="469">
        <f t="shared" si="2338"/>
        <v>5.4450413570959033E-2</v>
      </c>
      <c r="CT956" s="469">
        <f t="shared" si="2339"/>
        <v>-3.4516144388686214E-2</v>
      </c>
      <c r="CU956" s="469">
        <f t="shared" si="2340"/>
        <v>-3.8506129813689602E-2</v>
      </c>
      <c r="CV956" s="469">
        <f t="shared" si="2341"/>
        <v>-1.7754135055250524E-2</v>
      </c>
      <c r="CW956" s="469">
        <f t="shared" si="2342"/>
        <v>-0.42370471966726114</v>
      </c>
      <c r="CX956" s="469">
        <f t="shared" si="2343"/>
        <v>0</v>
      </c>
      <c r="CY956" s="469">
        <f t="shared" si="2344"/>
        <v>0</v>
      </c>
      <c r="CZ956" s="469">
        <f t="shared" si="2345"/>
        <v>0</v>
      </c>
      <c r="DA956" s="469">
        <f t="shared" si="2346"/>
        <v>0</v>
      </c>
      <c r="DB956" s="469">
        <f t="shared" si="2346"/>
        <v>0</v>
      </c>
      <c r="DC956" s="1463">
        <f t="shared" si="2346"/>
        <v>0</v>
      </c>
      <c r="DD956" s="972"/>
      <c r="DE956" s="972"/>
      <c r="DF956" s="974"/>
      <c r="DG956" s="975"/>
      <c r="DH956" s="469"/>
      <c r="DI956" s="3210"/>
      <c r="DJ956" s="974"/>
      <c r="DK956" s="975"/>
      <c r="DL956" s="974"/>
      <c r="DM956" s="974"/>
      <c r="DN956" s="974"/>
      <c r="DO956" s="974"/>
      <c r="DP956" s="975"/>
      <c r="DQ956" s="975"/>
      <c r="DR956" s="976"/>
      <c r="DS956" s="976"/>
      <c r="DT956" s="976"/>
    </row>
    <row r="957" spans="1:124" ht="12" customHeight="1" x14ac:dyDescent="0.25">
      <c r="A957" s="311" t="s">
        <v>2161</v>
      </c>
      <c r="B957" s="281"/>
      <c r="C957" s="476">
        <f>Taxes!C235</f>
        <v>2.9544451127819547</v>
      </c>
      <c r="D957" s="476">
        <f>Taxes!D235</f>
        <v>2.9544451127819547</v>
      </c>
      <c r="E957" s="476">
        <f>Taxes!E235</f>
        <v>3.3727676249999998</v>
      </c>
      <c r="F957" s="476">
        <f>Taxes!F235</f>
        <v>3.3727676249999998</v>
      </c>
      <c r="G957" s="477">
        <f>Taxes!G235</f>
        <v>13.491070499999999</v>
      </c>
      <c r="H957" s="476">
        <f>Taxes!H235</f>
        <v>3.8010485650000003</v>
      </c>
      <c r="I957" s="476">
        <f>Taxes!I235</f>
        <v>3.8010485650000003</v>
      </c>
      <c r="J957" s="476">
        <f>Taxes!J235</f>
        <v>3.8010485650000003</v>
      </c>
      <c r="K957" s="476">
        <f>Taxes!K235</f>
        <v>3.8010485650000003</v>
      </c>
      <c r="L957" s="477">
        <f>Taxes!L235</f>
        <v>15.204194260000001</v>
      </c>
      <c r="M957" s="476">
        <f>Taxes!M235</f>
        <v>3.9677613049999998</v>
      </c>
      <c r="N957" s="476">
        <f>Taxes!N235</f>
        <v>3.9677613049999998</v>
      </c>
      <c r="O957" s="476">
        <f>Taxes!O235</f>
        <v>3.9677613049999998</v>
      </c>
      <c r="P957" s="476">
        <f>Taxes!P235</f>
        <v>3.9677613049999998</v>
      </c>
      <c r="Q957" s="477">
        <f>Taxes!Q235</f>
        <v>15.871045219999999</v>
      </c>
      <c r="R957" s="476">
        <f>Taxes!R235</f>
        <v>3.9774085899999996</v>
      </c>
      <c r="S957" s="476">
        <f>Taxes!S235</f>
        <v>3.9774085899999996</v>
      </c>
      <c r="T957" s="476">
        <f>Taxes!T235</f>
        <v>3.9774085899999996</v>
      </c>
      <c r="U957" s="476">
        <f>Taxes!U235</f>
        <v>3.9774085899999996</v>
      </c>
      <c r="V957" s="477">
        <f>Taxes!V235</f>
        <v>15.909634359999998</v>
      </c>
      <c r="W957" s="476">
        <f>Taxes!W235</f>
        <v>3.8739687549999999</v>
      </c>
      <c r="X957" s="476">
        <f>Taxes!X235</f>
        <v>3.8739687549999999</v>
      </c>
      <c r="Y957" s="476">
        <f>Taxes!Y235</f>
        <v>3.8739687549999999</v>
      </c>
      <c r="Z957" s="476">
        <f>Taxes!Z235</f>
        <v>3.8739687549999999</v>
      </c>
      <c r="AA957" s="477">
        <f>Taxes!AA235</f>
        <v>15.49587502</v>
      </c>
      <c r="AB957" s="476">
        <f>Taxes!AB235</f>
        <v>3.8418542499999999</v>
      </c>
      <c r="AC957" s="476">
        <f>Taxes!AC235</f>
        <v>3.8418542499999999</v>
      </c>
      <c r="AD957" s="476">
        <f>Taxes!AD235</f>
        <v>3.8418542499999999</v>
      </c>
      <c r="AE957" s="476">
        <f>Taxes!AE235</f>
        <v>3.8418542499999999</v>
      </c>
      <c r="AF957" s="477">
        <f>SUM(AB957:AE957)</f>
        <v>15.367417</v>
      </c>
      <c r="AG957" s="476">
        <f>Taxes!AG235</f>
        <v>3.8863913999999999</v>
      </c>
      <c r="AH957" s="476">
        <f>Taxes!AH235</f>
        <v>3.8863913999999999</v>
      </c>
      <c r="AI957" s="476">
        <f>Taxes!AI235</f>
        <v>3.8863913999999999</v>
      </c>
      <c r="AJ957" s="476">
        <f>Taxes!AJ235</f>
        <v>3.8863913999999999</v>
      </c>
      <c r="AK957" s="477">
        <f>SUM(AG957:AJ957)</f>
        <v>15.5455656</v>
      </c>
      <c r="AL957" s="476">
        <f>Taxes!AL235</f>
        <v>3.9763440549999993</v>
      </c>
      <c r="AM957" s="476">
        <f>Taxes!AM235</f>
        <v>3.9763440549999993</v>
      </c>
      <c r="AN957" s="476">
        <f>Taxes!AN235</f>
        <v>3.9763440549999993</v>
      </c>
      <c r="AO957" s="476">
        <f>Taxes!AO235</f>
        <v>3.9763440549999993</v>
      </c>
      <c r="AP957" s="478">
        <f>SUM(AL957:AO957)</f>
        <v>15.905376219999997</v>
      </c>
      <c r="AQ957" s="478">
        <f>Taxes!AQ235</f>
        <v>3.7924687549999998</v>
      </c>
      <c r="AR957" s="476">
        <f>Taxes!AR235</f>
        <v>3.7924687549999998</v>
      </c>
      <c r="AS957" s="476">
        <f>Taxes!AS235</f>
        <v>3.7924687549999998</v>
      </c>
      <c r="AT957" s="476">
        <f>Taxes!AT235</f>
        <v>3.7924687549999998</v>
      </c>
      <c r="AU957" s="1464">
        <f>SUM(AQ957:AT957)</f>
        <v>15.169875019999999</v>
      </c>
      <c r="AV957" s="1865">
        <f>Taxes!AV235</f>
        <v>3.3011905950000004</v>
      </c>
      <c r="AW957" s="1771">
        <f>Taxes!AW235</f>
        <v>3.3011905950000004</v>
      </c>
      <c r="AX957" s="1771">
        <f>Taxes!AX235</f>
        <v>3.3011905950000004</v>
      </c>
      <c r="AY957" s="1866">
        <f>Taxes!AY235</f>
        <v>3.3011905950000004</v>
      </c>
      <c r="AZ957" s="1464">
        <f>SUM(AV957:AY957)</f>
        <v>13.204762380000002</v>
      </c>
      <c r="BA957" s="478">
        <f>Taxes!BA235</f>
        <v>1.6118475349999999</v>
      </c>
      <c r="BB957" s="2577">
        <f>Taxes!BB235</f>
        <v>1.6118475349999999</v>
      </c>
      <c r="BC957" s="2777">
        <f>Taxes!BC235/3</f>
        <v>0.53728251166666663</v>
      </c>
      <c r="BD957" s="2695"/>
      <c r="BE957" s="1464">
        <f>SUM(BA957:BD957)</f>
        <v>3.7609775816666664</v>
      </c>
      <c r="BF957" s="572"/>
      <c r="BG957" s="572"/>
      <c r="BH957" s="572"/>
      <c r="BI957" s="1313"/>
      <c r="BJ957" s="1464"/>
      <c r="BK957" s="572"/>
      <c r="BL957" s="572"/>
      <c r="BM957" s="572"/>
      <c r="BN957" s="1313"/>
      <c r="BO957" s="1464"/>
      <c r="BP957" s="572"/>
      <c r="BQ957" s="572"/>
      <c r="BR957" s="572"/>
      <c r="BS957" s="572"/>
      <c r="BT957" s="2604"/>
      <c r="BU957" s="2673"/>
      <c r="BV957" s="2577"/>
      <c r="BW957" s="2577"/>
      <c r="BX957" s="2577"/>
      <c r="BY957" s="2604"/>
      <c r="BZ957" s="477"/>
      <c r="CA957" s="477"/>
      <c r="CB957" s="477"/>
      <c r="CC957" s="477"/>
      <c r="CD957" s="477"/>
      <c r="CE957" s="477"/>
      <c r="CF957" s="477"/>
      <c r="CG957" s="331"/>
      <c r="CH957" s="331"/>
      <c r="CI957" s="331"/>
      <c r="CJ957" s="331"/>
      <c r="CK957" s="331"/>
      <c r="CL957" s="528" t="str">
        <f t="shared" si="2331"/>
        <v>Tax expense</v>
      </c>
      <c r="CM957" s="476">
        <f t="shared" si="2332"/>
        <v>13.491070499999999</v>
      </c>
      <c r="CN957" s="476">
        <f t="shared" si="2333"/>
        <v>15.204194260000001</v>
      </c>
      <c r="CO957" s="476">
        <f t="shared" si="2334"/>
        <v>15.871045219999999</v>
      </c>
      <c r="CP957" s="476">
        <f t="shared" si="2335"/>
        <v>15.909634359999998</v>
      </c>
      <c r="CQ957" s="476">
        <f t="shared" si="2336"/>
        <v>15.49587502</v>
      </c>
      <c r="CR957" s="476">
        <f t="shared" si="2337"/>
        <v>15.367417</v>
      </c>
      <c r="CS957" s="476">
        <f t="shared" si="2338"/>
        <v>15.5455656</v>
      </c>
      <c r="CT957" s="476">
        <f t="shared" si="2339"/>
        <v>15.905376219999997</v>
      </c>
      <c r="CU957" s="476">
        <f t="shared" si="2340"/>
        <v>15.169875019999999</v>
      </c>
      <c r="CV957" s="476">
        <f t="shared" si="2341"/>
        <v>13.204762380000002</v>
      </c>
      <c r="CW957" s="476">
        <f t="shared" si="2342"/>
        <v>3.7609775816666664</v>
      </c>
      <c r="CX957" s="476">
        <f t="shared" si="2343"/>
        <v>0</v>
      </c>
      <c r="CY957" s="476">
        <f t="shared" si="2344"/>
        <v>0</v>
      </c>
      <c r="CZ957" s="476">
        <f t="shared" si="2345"/>
        <v>0</v>
      </c>
      <c r="DA957" s="476">
        <f t="shared" si="2346"/>
        <v>0</v>
      </c>
      <c r="DB957" s="476">
        <f t="shared" si="2346"/>
        <v>0</v>
      </c>
      <c r="DC957" s="682">
        <f t="shared" si="2346"/>
        <v>0</v>
      </c>
      <c r="DD957" s="331"/>
      <c r="DE957" s="331"/>
      <c r="DF957" s="502"/>
      <c r="DG957" s="503"/>
      <c r="DH957" s="2577"/>
      <c r="DI957" s="3213"/>
      <c r="DJ957" s="502"/>
      <c r="DK957" s="503"/>
      <c r="DL957" s="502"/>
      <c r="DM957" s="502"/>
      <c r="DN957" s="502"/>
      <c r="DO957" s="502"/>
      <c r="DP957" s="503"/>
      <c r="DQ957" s="503"/>
      <c r="DR957" s="296"/>
      <c r="DS957" s="296"/>
      <c r="DT957" s="296"/>
    </row>
    <row r="958" spans="1:124" ht="12" customHeight="1" x14ac:dyDescent="0.25">
      <c r="A958" s="465" t="s">
        <v>1810</v>
      </c>
      <c r="B958" s="579"/>
      <c r="C958" s="467">
        <f t="shared" ref="C958:AU958" si="2352">C957/C948</f>
        <v>0.25281919500102301</v>
      </c>
      <c r="D958" s="467">
        <f t="shared" si="2352"/>
        <v>0.259230070438006</v>
      </c>
      <c r="E958" s="467">
        <f t="shared" si="2352"/>
        <v>0.26117141280780548</v>
      </c>
      <c r="F958" s="467">
        <f t="shared" si="2352"/>
        <v>0.24274993702317546</v>
      </c>
      <c r="G958" s="468">
        <f t="shared" si="2352"/>
        <v>0.27041090577458859</v>
      </c>
      <c r="H958" s="467">
        <f t="shared" si="2352"/>
        <v>0.27652033791648484</v>
      </c>
      <c r="I958" s="467">
        <f t="shared" si="2352"/>
        <v>0.26690882416965106</v>
      </c>
      <c r="J958" s="467">
        <f t="shared" si="2352"/>
        <v>0.27603303298331111</v>
      </c>
      <c r="K958" s="467">
        <f t="shared" si="2352"/>
        <v>0.28097813181276404</v>
      </c>
      <c r="L958" s="468">
        <f t="shared" si="2352"/>
        <v>0.2750139085186713</v>
      </c>
      <c r="M958" s="467">
        <f t="shared" si="2352"/>
        <v>0.27384484976104428</v>
      </c>
      <c r="N958" s="467">
        <f t="shared" si="2352"/>
        <v>0.28545045359712229</v>
      </c>
      <c r="O958" s="467">
        <f t="shared" si="2352"/>
        <v>0.28032607281865396</v>
      </c>
      <c r="P958" s="467">
        <f t="shared" si="2352"/>
        <v>0.27937459874451304</v>
      </c>
      <c r="Q958" s="468">
        <f t="shared" si="2352"/>
        <v>0.2796882912745326</v>
      </c>
      <c r="R958" s="467">
        <f t="shared" si="2352"/>
        <v>0.26771853401971363</v>
      </c>
      <c r="S958" s="467">
        <f t="shared" si="2352"/>
        <v>0.27339266268027745</v>
      </c>
      <c r="T958" s="467">
        <f t="shared" si="2352"/>
        <v>0.27865892232779393</v>
      </c>
      <c r="U958" s="467">
        <f t="shared" si="2352"/>
        <v>0.28833759029197398</v>
      </c>
      <c r="V958" s="468">
        <f t="shared" si="2352"/>
        <v>0.27682078068107757</v>
      </c>
      <c r="W958" s="467">
        <f t="shared" si="2352"/>
        <v>0.26037366240689502</v>
      </c>
      <c r="X958" s="467">
        <f t="shared" si="2352"/>
        <v>0.26550763186391424</v>
      </c>
      <c r="Y958" s="467">
        <f t="shared" si="2352"/>
        <v>0.26768835593247509</v>
      </c>
      <c r="Z958" s="467">
        <f t="shared" si="2352"/>
        <v>0.29014834721585281</v>
      </c>
      <c r="AA958" s="468">
        <f t="shared" si="2352"/>
        <v>0.27046755693147123</v>
      </c>
      <c r="AB958" s="467">
        <f t="shared" si="2352"/>
        <v>0.26314070205479451</v>
      </c>
      <c r="AC958" s="467">
        <f t="shared" si="2352"/>
        <v>0.27055311619718309</v>
      </c>
      <c r="AD958" s="467">
        <f t="shared" si="2352"/>
        <v>0.26866113636363637</v>
      </c>
      <c r="AE958" s="469">
        <f t="shared" si="2352"/>
        <v>0.28042731751824818</v>
      </c>
      <c r="AF958" s="470">
        <f t="shared" si="2352"/>
        <v>0.27055311619718309</v>
      </c>
      <c r="AG958" s="467">
        <f t="shared" si="2352"/>
        <v>0.25236307792207791</v>
      </c>
      <c r="AH958" s="467">
        <f t="shared" si="2352"/>
        <v>0.2680269931034483</v>
      </c>
      <c r="AI958" s="467">
        <f t="shared" si="2352"/>
        <v>0.26760213319253617</v>
      </c>
      <c r="AJ958" s="469">
        <f t="shared" si="2352"/>
        <v>0.27136413567007905</v>
      </c>
      <c r="AK958" s="470">
        <f t="shared" si="2352"/>
        <v>0.26462922232735703</v>
      </c>
      <c r="AL958" s="467">
        <f t="shared" si="2352"/>
        <v>0.25567865202394319</v>
      </c>
      <c r="AM958" s="467">
        <f t="shared" si="2352"/>
        <v>0.25783023860072019</v>
      </c>
      <c r="AN958" s="467">
        <f t="shared" si="2352"/>
        <v>0.25669015421508667</v>
      </c>
      <c r="AO958" s="469">
        <f t="shared" si="2352"/>
        <v>0.27081335219055486</v>
      </c>
      <c r="AP958" s="471">
        <f t="shared" si="2352"/>
        <v>0.26011171145352951</v>
      </c>
      <c r="AQ958" s="471">
        <f t="shared" si="2352"/>
        <v>0.2368217377357332</v>
      </c>
      <c r="AR958" s="469">
        <f t="shared" si="2352"/>
        <v>0.25605970227151303</v>
      </c>
      <c r="AS958" s="469">
        <f t="shared" si="2352"/>
        <v>0.26763543293678271</v>
      </c>
      <c r="AT958" s="469">
        <f t="shared" si="2352"/>
        <v>0.2679065861200145</v>
      </c>
      <c r="AU958" s="1689">
        <f t="shared" si="2352"/>
        <v>0.2564596586816722</v>
      </c>
      <c r="AV958" s="1730">
        <f t="shared" ref="AV958:BC958" si="2353">AV957/AV948</f>
        <v>0.22871122430620011</v>
      </c>
      <c r="AW958" s="1465">
        <f t="shared" si="2353"/>
        <v>0.24839452758479805</v>
      </c>
      <c r="AX958" s="1465">
        <f t="shared" si="2353"/>
        <v>0.27118528936371006</v>
      </c>
      <c r="AY958" s="1868">
        <f t="shared" si="2353"/>
        <v>0.27255545617749544</v>
      </c>
      <c r="AZ958" s="1689">
        <f t="shared" si="2353"/>
        <v>0.25389292109379386</v>
      </c>
      <c r="BA958" s="471">
        <f t="shared" si="2353"/>
        <v>0.13047432104235854</v>
      </c>
      <c r="BB958" s="469">
        <f t="shared" si="2353"/>
        <v>0.1417753781481487</v>
      </c>
      <c r="BC958" s="469">
        <f t="shared" si="2353"/>
        <v>0.17070889283646418</v>
      </c>
      <c r="BD958" s="1463"/>
      <c r="BE958" s="1689">
        <f>BE957/BE948</f>
        <v>0.13996867904568802</v>
      </c>
      <c r="BF958" s="469"/>
      <c r="BG958" s="469"/>
      <c r="BH958" s="469"/>
      <c r="BI958" s="1463"/>
      <c r="BJ958" s="1689"/>
      <c r="BK958" s="469"/>
      <c r="BL958" s="469"/>
      <c r="BM958" s="469"/>
      <c r="BN958" s="1463"/>
      <c r="BO958" s="1689"/>
      <c r="BP958" s="469"/>
      <c r="BQ958" s="469"/>
      <c r="BR958" s="469"/>
      <c r="BS958" s="469"/>
      <c r="BT958" s="470"/>
      <c r="BU958" s="471"/>
      <c r="BV958" s="469"/>
      <c r="BW958" s="469"/>
      <c r="BX958" s="469"/>
      <c r="BY958" s="470"/>
      <c r="BZ958" s="470"/>
      <c r="CA958" s="470"/>
      <c r="CB958" s="470"/>
      <c r="CC958" s="470"/>
      <c r="CD958" s="470"/>
      <c r="CE958" s="470"/>
      <c r="CF958" s="470"/>
      <c r="CG958" s="972"/>
      <c r="CH958" s="972"/>
      <c r="CI958" s="972"/>
      <c r="CJ958" s="972"/>
      <c r="CK958" s="972"/>
      <c r="CL958" s="1310" t="str">
        <f t="shared" si="2331"/>
        <v>% of Gaming revenue</v>
      </c>
      <c r="CM958" s="469">
        <f t="shared" si="2332"/>
        <v>0.27041090577458859</v>
      </c>
      <c r="CN958" s="469">
        <f t="shared" si="2333"/>
        <v>0.2750139085186713</v>
      </c>
      <c r="CO958" s="469">
        <f t="shared" si="2334"/>
        <v>0.2796882912745326</v>
      </c>
      <c r="CP958" s="469">
        <f t="shared" si="2335"/>
        <v>0.27682078068107757</v>
      </c>
      <c r="CQ958" s="469">
        <f t="shared" si="2336"/>
        <v>0.27046755693147123</v>
      </c>
      <c r="CR958" s="469">
        <f t="shared" si="2337"/>
        <v>0.27055311619718309</v>
      </c>
      <c r="CS958" s="469">
        <f t="shared" si="2338"/>
        <v>0.26462922232735703</v>
      </c>
      <c r="CT958" s="469">
        <f t="shared" si="2339"/>
        <v>0.26011171145352951</v>
      </c>
      <c r="CU958" s="469">
        <f t="shared" si="2340"/>
        <v>0.2564596586816722</v>
      </c>
      <c r="CV958" s="469">
        <f t="shared" si="2341"/>
        <v>0.25389292109379386</v>
      </c>
      <c r="CW958" s="469">
        <f t="shared" si="2342"/>
        <v>0.13996867904568802</v>
      </c>
      <c r="CX958" s="469">
        <f t="shared" si="2343"/>
        <v>0</v>
      </c>
      <c r="CY958" s="469">
        <f t="shared" si="2344"/>
        <v>0</v>
      </c>
      <c r="CZ958" s="469">
        <f t="shared" si="2345"/>
        <v>0</v>
      </c>
      <c r="DA958" s="469">
        <f t="shared" si="2346"/>
        <v>0</v>
      </c>
      <c r="DB958" s="469">
        <f t="shared" si="2346"/>
        <v>0</v>
      </c>
      <c r="DC958" s="1463">
        <f t="shared" si="2346"/>
        <v>0</v>
      </c>
      <c r="DD958" s="972"/>
      <c r="DE958" s="972"/>
      <c r="DF958" s="974"/>
      <c r="DG958" s="975"/>
      <c r="DH958" s="469"/>
      <c r="DI958" s="3210"/>
      <c r="DJ958" s="974"/>
      <c r="DK958" s="975"/>
      <c r="DL958" s="974"/>
      <c r="DM958" s="974"/>
      <c r="DN958" s="974"/>
      <c r="DO958" s="974"/>
      <c r="DP958" s="975"/>
      <c r="DQ958" s="975"/>
      <c r="DR958" s="976"/>
      <c r="DS958" s="976"/>
      <c r="DT958" s="976"/>
    </row>
    <row r="959" spans="1:124" ht="12" customHeight="1" x14ac:dyDescent="0.25">
      <c r="A959" s="281" t="s">
        <v>2162</v>
      </c>
      <c r="B959" s="281"/>
      <c r="C959" s="452">
        <f>C951-C961</f>
        <v>7.8040000000000003</v>
      </c>
      <c r="D959" s="452">
        <f>D951-D961</f>
        <v>7.6449999999999996</v>
      </c>
      <c r="E959" s="452">
        <f>E951-E961</f>
        <v>8.6559999999999988</v>
      </c>
      <c r="F959" s="452">
        <f>F951-F961</f>
        <v>8.6709999999999994</v>
      </c>
      <c r="G959" s="475">
        <f>SUM(C959:F959)</f>
        <v>32.775999999999996</v>
      </c>
      <c r="H959" s="452">
        <f>H951-H961</f>
        <v>9.004999999999999</v>
      </c>
      <c r="I959" s="452">
        <f>I951-I961</f>
        <v>9.3969999999999985</v>
      </c>
      <c r="J959" s="452">
        <f>J951-J961</f>
        <v>9.3150000000000013</v>
      </c>
      <c r="K959" s="452">
        <f>K951-K961</f>
        <v>9.68</v>
      </c>
      <c r="L959" s="475">
        <f>SUM(H959:K959)</f>
        <v>37.396999999999998</v>
      </c>
      <c r="M959" s="452">
        <f>M951-M961</f>
        <v>9.3330000000000002</v>
      </c>
      <c r="N959" s="452">
        <f>N951-N961</f>
        <v>8.9450000000000003</v>
      </c>
      <c r="O959" s="452">
        <f>O951-O961</f>
        <v>9.104000000000001</v>
      </c>
      <c r="P959" s="452">
        <f>P951-P961</f>
        <v>8.9580000000000002</v>
      </c>
      <c r="Q959" s="475">
        <f>SUM(M959:P959)</f>
        <v>36.339999999999996</v>
      </c>
      <c r="R959" s="452">
        <f>R951-R961</f>
        <v>9.4880000000000013</v>
      </c>
      <c r="S959" s="452">
        <f>S951-S961</f>
        <v>9.1640000000000015</v>
      </c>
      <c r="T959" s="452">
        <f>T951-T961</f>
        <v>9.097999999999999</v>
      </c>
      <c r="U959" s="452">
        <f>U951-U961</f>
        <v>8.9050000000000011</v>
      </c>
      <c r="V959" s="475">
        <f>SUM(R959:U959)</f>
        <v>36.655000000000001</v>
      </c>
      <c r="W959" s="452">
        <f>W951-W961</f>
        <v>9.4190000000000005</v>
      </c>
      <c r="X959" s="452">
        <f>X951-X961</f>
        <v>9.0080000000000009</v>
      </c>
      <c r="Y959" s="452">
        <f>Y951-Y961</f>
        <v>9.0429999999999993</v>
      </c>
      <c r="Z959" s="452">
        <f>Z951-Z961</f>
        <v>8.2259999999999991</v>
      </c>
      <c r="AA959" s="475">
        <f>SUM(W959:Z959)</f>
        <v>35.695999999999998</v>
      </c>
      <c r="AB959" s="452">
        <f>AB951-AB961</f>
        <v>8.9220000000000006</v>
      </c>
      <c r="AC959" s="452">
        <f>AC951-AC961</f>
        <v>8.6219999999999999</v>
      </c>
      <c r="AD959" s="452">
        <f>AD951-AD961</f>
        <v>8.4490000000000016</v>
      </c>
      <c r="AE959" s="452">
        <f>AE951-AE961</f>
        <v>8.49</v>
      </c>
      <c r="AF959" s="477">
        <f>SUM(AB959:AE959)</f>
        <v>34.483000000000004</v>
      </c>
      <c r="AG959" s="452">
        <f>AG951-AG961</f>
        <v>9.1739999999999995</v>
      </c>
      <c r="AH959" s="452">
        <f>AH951-AH961</f>
        <v>8.7809999999999988</v>
      </c>
      <c r="AI959" s="452">
        <f>AI951-AI961</f>
        <v>8.7650000000000006</v>
      </c>
      <c r="AJ959" s="452">
        <f>AJ951-AJ961</f>
        <v>8.9819999999999993</v>
      </c>
      <c r="AK959" s="477">
        <f>SUM(AG959:AJ959)</f>
        <v>35.701999999999998</v>
      </c>
      <c r="AL959" s="452">
        <f>AL951-AL961</f>
        <v>8.963000000000001</v>
      </c>
      <c r="AM959" s="452">
        <f>AM951-AM961</f>
        <v>8.7409999999999997</v>
      </c>
      <c r="AN959" s="476">
        <f>AN954+AN957</f>
        <v>8.7254248026042376</v>
      </c>
      <c r="AO959" s="476">
        <f>AO954+AO957</f>
        <v>8.9366634172842758</v>
      </c>
      <c r="AP959" s="478">
        <f>SUM(AL959:AO959)</f>
        <v>35.36608821988851</v>
      </c>
      <c r="AQ959" s="478">
        <f>AQ954+AQ957</f>
        <v>8.7292581405500016</v>
      </c>
      <c r="AR959" s="476">
        <f>AR954+AR957</f>
        <v>8.4618315811000002</v>
      </c>
      <c r="AS959" s="476">
        <f>AS954+AS957</f>
        <v>8.1853684465339214</v>
      </c>
      <c r="AT959" s="476">
        <f>AT954+AT957</f>
        <v>8.5047721491700621</v>
      </c>
      <c r="AU959" s="1464">
        <f>SUM(AQ959:AT959)</f>
        <v>33.881230317353982</v>
      </c>
      <c r="AV959" s="1865">
        <f>AV954+AV957</f>
        <v>8.1392441928390014</v>
      </c>
      <c r="AW959" s="1771">
        <f>AW954+AW957</f>
        <v>7.7370852797950009</v>
      </c>
      <c r="AX959" s="1771">
        <f>AX954+AX957</f>
        <v>7.6940902865339211</v>
      </c>
      <c r="AY959" s="1866">
        <f>AY954+AY957</f>
        <v>8.0134939891700618</v>
      </c>
      <c r="AZ959" s="1464">
        <f>SUM(AV959:AY959)</f>
        <v>31.583913748337984</v>
      </c>
      <c r="BA959" s="478">
        <f>BA954+BA957</f>
        <v>6.4499011328390017</v>
      </c>
      <c r="BB959" s="476">
        <f>BB954+BB957</f>
        <v>6.0477422197950004</v>
      </c>
      <c r="BC959" s="476">
        <f>BC954+BC957</f>
        <v>1.8551524191268429</v>
      </c>
      <c r="BD959" s="682"/>
      <c r="BE959" s="1464">
        <f>SUM(BA959:BD959)</f>
        <v>14.352795771760846</v>
      </c>
      <c r="BF959" s="476"/>
      <c r="BG959" s="476"/>
      <c r="BH959" s="476"/>
      <c r="BI959" s="682"/>
      <c r="BJ959" s="1464"/>
      <c r="BK959" s="476"/>
      <c r="BL959" s="476"/>
      <c r="BM959" s="476"/>
      <c r="BN959" s="682"/>
      <c r="BO959" s="1464"/>
      <c r="BP959" s="476"/>
      <c r="BQ959" s="476"/>
      <c r="BR959" s="476"/>
      <c r="BS959" s="476"/>
      <c r="BT959" s="2604"/>
      <c r="BU959" s="2673"/>
      <c r="BV959" s="2577"/>
      <c r="BW959" s="2577"/>
      <c r="BX959" s="2577"/>
      <c r="BY959" s="2604"/>
      <c r="BZ959" s="477"/>
      <c r="CA959" s="477"/>
      <c r="CB959" s="477"/>
      <c r="CC959" s="477"/>
      <c r="CD959" s="477"/>
      <c r="CE959" s="477"/>
      <c r="CF959" s="477"/>
      <c r="CG959" s="331"/>
      <c r="CH959" s="331"/>
      <c r="CI959" s="331"/>
      <c r="CJ959" s="331"/>
      <c r="CK959" s="331"/>
      <c r="CL959" s="520" t="str">
        <f t="shared" si="2331"/>
        <v>Total expenses</v>
      </c>
      <c r="CM959" s="476">
        <f t="shared" si="2332"/>
        <v>32.775999999999996</v>
      </c>
      <c r="CN959" s="476">
        <f t="shared" si="2333"/>
        <v>37.396999999999998</v>
      </c>
      <c r="CO959" s="476">
        <f t="shared" si="2334"/>
        <v>36.339999999999996</v>
      </c>
      <c r="CP959" s="476">
        <f t="shared" si="2335"/>
        <v>36.655000000000001</v>
      </c>
      <c r="CQ959" s="476">
        <f t="shared" si="2336"/>
        <v>35.695999999999998</v>
      </c>
      <c r="CR959" s="476">
        <f t="shared" si="2337"/>
        <v>34.483000000000004</v>
      </c>
      <c r="CS959" s="476">
        <f t="shared" si="2338"/>
        <v>35.701999999999998</v>
      </c>
      <c r="CT959" s="476">
        <f t="shared" si="2339"/>
        <v>35.36608821988851</v>
      </c>
      <c r="CU959" s="476">
        <f t="shared" si="2340"/>
        <v>33.881230317353982</v>
      </c>
      <c r="CV959" s="476">
        <f t="shared" si="2341"/>
        <v>31.583913748337984</v>
      </c>
      <c r="CW959" s="476">
        <f t="shared" si="2342"/>
        <v>14.352795771760846</v>
      </c>
      <c r="CX959" s="476">
        <f t="shared" si="2343"/>
        <v>0</v>
      </c>
      <c r="CY959" s="476">
        <f t="shared" si="2344"/>
        <v>0</v>
      </c>
      <c r="CZ959" s="476">
        <f t="shared" si="2345"/>
        <v>0</v>
      </c>
      <c r="DA959" s="476">
        <f t="shared" si="2346"/>
        <v>0</v>
      </c>
      <c r="DB959" s="476">
        <f t="shared" si="2346"/>
        <v>0</v>
      </c>
      <c r="DC959" s="682">
        <f t="shared" si="2346"/>
        <v>0</v>
      </c>
      <c r="DD959" s="331"/>
      <c r="DE959" s="331"/>
      <c r="DF959" s="502"/>
      <c r="DG959" s="503"/>
      <c r="DH959" s="2577"/>
      <c r="DI959" s="3213"/>
      <c r="DJ959" s="502"/>
      <c r="DK959" s="503"/>
      <c r="DL959" s="502"/>
      <c r="DM959" s="502"/>
      <c r="DN959" s="502"/>
      <c r="DO959" s="502"/>
      <c r="DP959" s="503"/>
      <c r="DQ959" s="503"/>
      <c r="DR959" s="296"/>
      <c r="DS959" s="296"/>
      <c r="DT959" s="296"/>
    </row>
    <row r="960" spans="1:124" ht="5.0999999999999996" customHeight="1" x14ac:dyDescent="0.25">
      <c r="A960" s="281"/>
      <c r="B960" s="281"/>
      <c r="C960" s="305"/>
      <c r="D960" s="305"/>
      <c r="E960" s="305"/>
      <c r="F960" s="305"/>
      <c r="G960" s="440"/>
      <c r="H960" s="305"/>
      <c r="I960" s="305"/>
      <c r="J960" s="305"/>
      <c r="K960" s="305"/>
      <c r="L960" s="440"/>
      <c r="M960" s="305"/>
      <c r="N960" s="305"/>
      <c r="O960" s="305"/>
      <c r="P960" s="305"/>
      <c r="Q960" s="440"/>
      <c r="R960" s="305"/>
      <c r="S960" s="305"/>
      <c r="T960" s="305"/>
      <c r="U960" s="305"/>
      <c r="V960" s="440"/>
      <c r="W960" s="305"/>
      <c r="X960" s="305"/>
      <c r="Y960" s="305"/>
      <c r="Z960" s="305"/>
      <c r="AA960" s="440"/>
      <c r="AB960" s="305"/>
      <c r="AC960" s="305"/>
      <c r="AD960" s="305"/>
      <c r="AE960" s="331"/>
      <c r="AF960" s="441"/>
      <c r="AG960" s="305"/>
      <c r="AH960" s="305"/>
      <c r="AI960" s="305"/>
      <c r="AJ960" s="331"/>
      <c r="AK960" s="441"/>
      <c r="AL960" s="305"/>
      <c r="AM960" s="305"/>
      <c r="AN960" s="305"/>
      <c r="AO960" s="331"/>
      <c r="AP960" s="569"/>
      <c r="AQ960" s="569"/>
      <c r="AR960" s="442"/>
      <c r="AS960" s="442"/>
      <c r="AT960" s="442"/>
      <c r="AU960" s="1690"/>
      <c r="AV960" s="1902"/>
      <c r="AW960" s="1837"/>
      <c r="AX960" s="1837"/>
      <c r="AY960" s="1903"/>
      <c r="AZ960" s="1690"/>
      <c r="BA960" s="569"/>
      <c r="BB960" s="442"/>
      <c r="BC960" s="442"/>
      <c r="BD960" s="1312"/>
      <c r="BE960" s="1690"/>
      <c r="BF960" s="442"/>
      <c r="BG960" s="442"/>
      <c r="BH960" s="442"/>
      <c r="BI960" s="1312"/>
      <c r="BJ960" s="1690"/>
      <c r="BK960" s="442"/>
      <c r="BL960" s="442"/>
      <c r="BM960" s="442"/>
      <c r="BN960" s="1312"/>
      <c r="BO960" s="1690"/>
      <c r="BP960" s="442"/>
      <c r="BQ960" s="442"/>
      <c r="BR960" s="442"/>
      <c r="BS960" s="442"/>
      <c r="BT960" s="3236"/>
      <c r="BU960" s="3409"/>
      <c r="BV960" s="3298"/>
      <c r="BW960" s="3298"/>
      <c r="BX960" s="3298"/>
      <c r="BY960" s="3236"/>
      <c r="BZ960" s="441"/>
      <c r="CA960" s="441"/>
      <c r="CB960" s="441"/>
      <c r="CC960" s="441"/>
      <c r="CD960" s="441"/>
      <c r="CE960" s="441"/>
      <c r="CF960" s="441"/>
      <c r="CG960" s="331"/>
      <c r="CH960" s="331"/>
      <c r="CI960" s="331"/>
      <c r="CJ960" s="331"/>
      <c r="CK960" s="331"/>
      <c r="CL960" s="520"/>
      <c r="CM960" s="442"/>
      <c r="CN960" s="442"/>
      <c r="CO960" s="442"/>
      <c r="CP960" s="442"/>
      <c r="CQ960" s="442"/>
      <c r="CR960" s="442"/>
      <c r="CS960" s="442"/>
      <c r="CT960" s="442"/>
      <c r="CU960" s="442"/>
      <c r="CV960" s="442"/>
      <c r="CW960" s="442"/>
      <c r="CX960" s="442"/>
      <c r="CY960" s="442"/>
      <c r="CZ960" s="442"/>
      <c r="DA960" s="442"/>
      <c r="DB960" s="442"/>
      <c r="DC960" s="1312"/>
      <c r="DD960" s="331"/>
      <c r="DE960" s="331"/>
      <c r="DF960" s="502"/>
      <c r="DG960" s="503"/>
      <c r="DH960" s="3298"/>
      <c r="DI960" s="3213"/>
      <c r="DJ960" s="502"/>
      <c r="DK960" s="503"/>
      <c r="DL960" s="502"/>
      <c r="DM960" s="502"/>
      <c r="DN960" s="502"/>
      <c r="DO960" s="502"/>
      <c r="DP960" s="503"/>
      <c r="DQ960" s="503"/>
      <c r="DR960" s="296"/>
      <c r="DS960" s="296"/>
      <c r="DT960" s="296"/>
    </row>
    <row r="961" spans="1:124" ht="12" customHeight="1" x14ac:dyDescent="0.25">
      <c r="A961" s="999" t="s">
        <v>2010</v>
      </c>
      <c r="B961" s="1007"/>
      <c r="C961" s="1008">
        <v>3.5419999999999998</v>
      </c>
      <c r="D961" s="1008">
        <v>3.39</v>
      </c>
      <c r="E961" s="1008">
        <v>3.8410000000000002</v>
      </c>
      <c r="F961" s="1008">
        <v>4.8090000000000002</v>
      </c>
      <c r="G961" s="1009">
        <f>SUM(C961:F961)</f>
        <v>15.582000000000001</v>
      </c>
      <c r="H961" s="1008">
        <v>4.2329999999999997</v>
      </c>
      <c r="I961" s="1008">
        <v>4.3029999999999999</v>
      </c>
      <c r="J961" s="1008">
        <v>3.927</v>
      </c>
      <c r="K961" s="1008">
        <v>4.1580000000000004</v>
      </c>
      <c r="L961" s="1009">
        <f>SUM(H961:K961)</f>
        <v>16.620999999999999</v>
      </c>
      <c r="M961" s="1008">
        <v>4.718</v>
      </c>
      <c r="N961" s="1008">
        <v>4.2510000000000003</v>
      </c>
      <c r="O961" s="1008">
        <v>4.2149999999999999</v>
      </c>
      <c r="P961" s="1008">
        <v>4.3849999999999998</v>
      </c>
      <c r="Q961" s="1009">
        <f>SUM(M961:P961)</f>
        <v>17.569000000000003</v>
      </c>
      <c r="R961" s="1008">
        <v>4.6289999999999996</v>
      </c>
      <c r="S961" s="1008">
        <v>4.6710000000000003</v>
      </c>
      <c r="T961" s="1008">
        <v>4.4059999999999997</v>
      </c>
      <c r="U961" s="1008">
        <v>4.056</v>
      </c>
      <c r="V961" s="1009">
        <f>SUM(R961:U961)</f>
        <v>17.762</v>
      </c>
      <c r="W961" s="1008">
        <v>4.8520000000000003</v>
      </c>
      <c r="X961" s="1008">
        <v>5.0419999999999998</v>
      </c>
      <c r="Y961" s="1008">
        <v>4.7039999999999997</v>
      </c>
      <c r="Z961" s="1008">
        <v>4.4800000000000004</v>
      </c>
      <c r="AA961" s="1009">
        <f>SUM(W961:Z961)</f>
        <v>19.077999999999999</v>
      </c>
      <c r="AB961" s="1008">
        <v>4.9950000000000001</v>
      </c>
      <c r="AC961" s="1008">
        <v>4.7</v>
      </c>
      <c r="AD961" s="1008">
        <v>5.14</v>
      </c>
      <c r="AE961" s="1010">
        <v>4.609</v>
      </c>
      <c r="AF961" s="1011">
        <f>SUM(AB961:AE961)</f>
        <v>19.444000000000003</v>
      </c>
      <c r="AG961" s="1010">
        <v>5.5</v>
      </c>
      <c r="AH961" s="1010">
        <v>5.0430000000000001</v>
      </c>
      <c r="AI961" s="1010">
        <v>5.0510000000000002</v>
      </c>
      <c r="AJ961" s="1010">
        <v>4.8490000000000002</v>
      </c>
      <c r="AK961" s="1011">
        <f>SUM(AG961:AJ961)</f>
        <v>20.442999999999998</v>
      </c>
      <c r="AL961" s="1010">
        <v>6.1070000000000002</v>
      </c>
      <c r="AM961" s="1010">
        <v>6.0540000000000003</v>
      </c>
      <c r="AN961" s="1593">
        <f>AN951-AN959</f>
        <v>6.1380731973957623</v>
      </c>
      <c r="AO961" s="1012">
        <f>AO951-AO959</f>
        <v>5.1189715827157247</v>
      </c>
      <c r="AP961" s="1013">
        <f>SUM(AL961:AO961)</f>
        <v>23.418044780111487</v>
      </c>
      <c r="AQ961" s="1013">
        <f>AQ951-AQ959</f>
        <v>6.8026488594500005</v>
      </c>
      <c r="AR961" s="1012">
        <f>AR951-AR959</f>
        <v>5.7217114189</v>
      </c>
      <c r="AS961" s="1012">
        <f>AS951-AS959</f>
        <v>5.3575765534660782</v>
      </c>
      <c r="AT961" s="1012">
        <f>AT951-AT959</f>
        <v>5.0238308508299383</v>
      </c>
      <c r="AU961" s="1691">
        <f>SUM(AQ961:AT961)</f>
        <v>22.905767682646015</v>
      </c>
      <c r="AV961" s="1904">
        <f>AV951-AV959</f>
        <v>5.787520807161</v>
      </c>
      <c r="AW961" s="1838">
        <f>AW951-AW959</f>
        <v>4.9006907202049996</v>
      </c>
      <c r="AX961" s="1838">
        <f>AX951-AX959</f>
        <v>3.8267677134660794</v>
      </c>
      <c r="AY961" s="1905">
        <f>AY951-AY959</f>
        <v>3.4461680108299397</v>
      </c>
      <c r="AZ961" s="1691">
        <f>SUM(AV961:AY961)</f>
        <v>17.96114725166202</v>
      </c>
      <c r="BA961" s="1013">
        <f>BA951-BA959</f>
        <v>5.3717358671609974</v>
      </c>
      <c r="BB961" s="1012">
        <f>BB951-BB959</f>
        <v>4.6439467802049998</v>
      </c>
      <c r="BC961" s="1012">
        <f>BC951-BC959</f>
        <v>0.61487458087315705</v>
      </c>
      <c r="BD961" s="1877"/>
      <c r="BE961" s="1691">
        <f>SUM(BA961:BD961)</f>
        <v>10.630557228239155</v>
      </c>
      <c r="BF961" s="1012"/>
      <c r="BG961" s="1012"/>
      <c r="BH961" s="1012"/>
      <c r="BI961" s="1877"/>
      <c r="BJ961" s="1691"/>
      <c r="BK961" s="1012"/>
      <c r="BL961" s="1012"/>
      <c r="BM961" s="1012"/>
      <c r="BN961" s="1877"/>
      <c r="BO961" s="1691"/>
      <c r="BP961" s="1012"/>
      <c r="BQ961" s="1012"/>
      <c r="BR961" s="1012"/>
      <c r="BS961" s="1012"/>
      <c r="BT961" s="1011"/>
      <c r="BU961" s="1013"/>
      <c r="BV961" s="1012"/>
      <c r="BW961" s="1012"/>
      <c r="BX961" s="1012"/>
      <c r="BY961" s="1011"/>
      <c r="BZ961" s="1011"/>
      <c r="CA961" s="1011"/>
      <c r="CB961" s="1011"/>
      <c r="CC961" s="1011"/>
      <c r="CD961" s="1011"/>
      <c r="CE961" s="1011"/>
      <c r="CF961" s="1011"/>
      <c r="CG961" s="502"/>
      <c r="CH961" s="502"/>
      <c r="CI961" s="502"/>
      <c r="CJ961" s="502"/>
      <c r="CK961" s="502"/>
      <c r="CL961" s="2221" t="str">
        <f t="shared" ref="CL961:CL966" si="2354">A961</f>
        <v>Property EBITDA</v>
      </c>
      <c r="CM961" s="1012">
        <f t="shared" ref="CM961:CM966" si="2355">G961</f>
        <v>15.582000000000001</v>
      </c>
      <c r="CN961" s="1012">
        <f t="shared" ref="CN961:CN966" si="2356">L961</f>
        <v>16.620999999999999</v>
      </c>
      <c r="CO961" s="1012">
        <f t="shared" ref="CO961:CO966" si="2357">Q961</f>
        <v>17.569000000000003</v>
      </c>
      <c r="CP961" s="1012">
        <f t="shared" ref="CP961:CP966" si="2358">V961</f>
        <v>17.762</v>
      </c>
      <c r="CQ961" s="1012">
        <f t="shared" ref="CQ961:CQ966" si="2359">AA961</f>
        <v>19.077999999999999</v>
      </c>
      <c r="CR961" s="1012">
        <f t="shared" ref="CR961:CR966" si="2360">AF961</f>
        <v>19.444000000000003</v>
      </c>
      <c r="CS961" s="1012">
        <f t="shared" ref="CS961:CS966" si="2361">AK961</f>
        <v>20.442999999999998</v>
      </c>
      <c r="CT961" s="1012">
        <f t="shared" ref="CT961:CT966" si="2362">AP961</f>
        <v>23.418044780111487</v>
      </c>
      <c r="CU961" s="1012">
        <f t="shared" ref="CU961:CU966" si="2363">AU961</f>
        <v>22.905767682646015</v>
      </c>
      <c r="CV961" s="1012">
        <f t="shared" ref="CV961:CV966" si="2364">AZ961</f>
        <v>17.96114725166202</v>
      </c>
      <c r="CW961" s="1012">
        <f t="shared" ref="CW961:CW966" si="2365">BE961</f>
        <v>10.630557228239155</v>
      </c>
      <c r="CX961" s="1012">
        <f t="shared" ref="CX961:CX966" si="2366">BJ961</f>
        <v>0</v>
      </c>
      <c r="CY961" s="1012">
        <f t="shared" ref="CY961:CY966" si="2367">BO961</f>
        <v>0</v>
      </c>
      <c r="CZ961" s="1012">
        <f t="shared" ref="CZ961:CZ966" si="2368">BT961</f>
        <v>0</v>
      </c>
      <c r="DA961" s="1012">
        <f t="shared" ref="DA961:DC966" si="2369">BY961</f>
        <v>0</v>
      </c>
      <c r="DB961" s="1012">
        <f t="shared" si="2369"/>
        <v>0</v>
      </c>
      <c r="DC961" s="1877">
        <f t="shared" si="2369"/>
        <v>0</v>
      </c>
      <c r="DD961" s="502"/>
      <c r="DE961" s="502"/>
      <c r="DF961" s="502"/>
      <c r="DG961" s="503"/>
      <c r="DH961" s="598"/>
      <c r="DI961" s="3213"/>
      <c r="DJ961" s="502"/>
      <c r="DK961" s="503"/>
      <c r="DL961" s="502"/>
      <c r="DM961" s="502"/>
      <c r="DN961" s="502"/>
      <c r="DO961" s="502"/>
      <c r="DP961" s="503"/>
      <c r="DQ961" s="503"/>
      <c r="DR961" s="719"/>
      <c r="DS961" s="719"/>
      <c r="DT961" s="719"/>
    </row>
    <row r="962" spans="1:124" ht="12" customHeight="1" x14ac:dyDescent="0.25">
      <c r="A962" s="465" t="s">
        <v>1892</v>
      </c>
      <c r="B962" s="579"/>
      <c r="C962" s="467">
        <f t="shared" ref="C962:AF962" si="2370">C961/C951</f>
        <v>0.31218050414242904</v>
      </c>
      <c r="D962" s="467">
        <f t="shared" si="2370"/>
        <v>0.30720434979610334</v>
      </c>
      <c r="E962" s="467">
        <f t="shared" si="2370"/>
        <v>0.30735376490357685</v>
      </c>
      <c r="F962" s="467">
        <f t="shared" si="2370"/>
        <v>0.35675074183976263</v>
      </c>
      <c r="G962" s="468">
        <f t="shared" si="2370"/>
        <v>0.32222176268662889</v>
      </c>
      <c r="H962" s="467">
        <f t="shared" si="2370"/>
        <v>0.31976129324671398</v>
      </c>
      <c r="I962" s="467">
        <f t="shared" si="2370"/>
        <v>0.31408759124087593</v>
      </c>
      <c r="J962" s="467">
        <f t="shared" si="2370"/>
        <v>0.29655641141821476</v>
      </c>
      <c r="K962" s="467">
        <f t="shared" si="2370"/>
        <v>0.30047694753577109</v>
      </c>
      <c r="L962" s="468">
        <f t="shared" si="2370"/>
        <v>0.30769373171905656</v>
      </c>
      <c r="M962" s="467">
        <f t="shared" si="2370"/>
        <v>0.33577681303821794</v>
      </c>
      <c r="N962" s="467">
        <f t="shared" si="2370"/>
        <v>0.3221430736586845</v>
      </c>
      <c r="O962" s="467">
        <f t="shared" si="2370"/>
        <v>0.31646520009009682</v>
      </c>
      <c r="P962" s="467">
        <f t="shared" si="2370"/>
        <v>0.3286367383646856</v>
      </c>
      <c r="Q962" s="468">
        <f t="shared" si="2370"/>
        <v>0.32590105548238701</v>
      </c>
      <c r="R962" s="467">
        <f t="shared" si="2370"/>
        <v>0.32790252886590632</v>
      </c>
      <c r="S962" s="467">
        <f t="shared" si="2370"/>
        <v>0.33762197325623416</v>
      </c>
      <c r="T962" s="467">
        <f t="shared" si="2370"/>
        <v>0.32627369668246442</v>
      </c>
      <c r="U962" s="467">
        <f t="shared" si="2370"/>
        <v>0.31293881644934807</v>
      </c>
      <c r="V962" s="468">
        <f t="shared" si="2370"/>
        <v>0.32640535126890496</v>
      </c>
      <c r="W962" s="467">
        <f t="shared" si="2370"/>
        <v>0.33999018989559249</v>
      </c>
      <c r="X962" s="467">
        <f t="shared" si="2370"/>
        <v>0.35886120996441279</v>
      </c>
      <c r="Y962" s="467">
        <f t="shared" si="2370"/>
        <v>0.34218374918163963</v>
      </c>
      <c r="Z962" s="467">
        <f t="shared" si="2370"/>
        <v>0.35258932787659381</v>
      </c>
      <c r="AA962" s="468">
        <f t="shared" si="2370"/>
        <v>0.34830393982546459</v>
      </c>
      <c r="AB962" s="467">
        <f t="shared" si="2370"/>
        <v>0.35891355895667171</v>
      </c>
      <c r="AC962" s="467">
        <f t="shared" si="2370"/>
        <v>0.35279987989791328</v>
      </c>
      <c r="AD962" s="467">
        <f t="shared" si="2370"/>
        <v>0.37824711163441016</v>
      </c>
      <c r="AE962" s="469">
        <f t="shared" si="2370"/>
        <v>0.3518589205282846</v>
      </c>
      <c r="AF962" s="470">
        <f t="shared" si="2370"/>
        <v>0.36056149980529245</v>
      </c>
      <c r="AG962" s="467">
        <f t="shared" ref="AG962:AU962" si="2371">AG961/AG951</f>
        <v>0.37481259370314846</v>
      </c>
      <c r="AH962" s="467">
        <f t="shared" si="2371"/>
        <v>0.36480034722222221</v>
      </c>
      <c r="AI962" s="467">
        <f t="shared" si="2371"/>
        <v>0.36559061957151129</v>
      </c>
      <c r="AJ962" s="469">
        <f t="shared" si="2371"/>
        <v>0.35058925601908758</v>
      </c>
      <c r="AK962" s="470">
        <f t="shared" si="2371"/>
        <v>0.36411078457565232</v>
      </c>
      <c r="AL962" s="467">
        <f t="shared" si="2371"/>
        <v>0.40524220305242203</v>
      </c>
      <c r="AM962" s="467">
        <f t="shared" si="2371"/>
        <v>0.40919229469415347</v>
      </c>
      <c r="AN962" s="467">
        <f t="shared" si="2371"/>
        <v>0.41296289725310709</v>
      </c>
      <c r="AO962" s="469">
        <f t="shared" si="2371"/>
        <v>0.36419354819015465</v>
      </c>
      <c r="AP962" s="471">
        <f t="shared" si="2371"/>
        <v>0.39837356757667047</v>
      </c>
      <c r="AQ962" s="471">
        <f t="shared" si="2371"/>
        <v>0.43797898477308678</v>
      </c>
      <c r="AR962" s="469">
        <f t="shared" si="2371"/>
        <v>0.40340494747327943</v>
      </c>
      <c r="AS962" s="469">
        <f t="shared" si="2371"/>
        <v>0.395599077856853</v>
      </c>
      <c r="AT962" s="469">
        <f t="shared" si="2371"/>
        <v>0.37134882669185709</v>
      </c>
      <c r="AU962" s="1689">
        <f t="shared" si="2371"/>
        <v>0.40336289096750649</v>
      </c>
      <c r="AV962" s="1730">
        <f t="shared" ref="AV962:BB962" si="2372">AV961/AV951</f>
        <v>0.41556821036048208</v>
      </c>
      <c r="AW962" s="1465">
        <f t="shared" si="2372"/>
        <v>0.38778110327362975</v>
      </c>
      <c r="AX962" s="1465">
        <f t="shared" si="2372"/>
        <v>0.33215995835258788</v>
      </c>
      <c r="AY962" s="1868">
        <f t="shared" si="2372"/>
        <v>0.30072161036075401</v>
      </c>
      <c r="AZ962" s="1689">
        <f t="shared" si="2372"/>
        <v>0.36252144793326663</v>
      </c>
      <c r="BA962" s="471">
        <f t="shared" si="2372"/>
        <v>0.45439864776434918</v>
      </c>
      <c r="BB962" s="469">
        <f t="shared" si="2372"/>
        <v>0.43435109085243684</v>
      </c>
      <c r="BC962" s="469">
        <f>BC961/BC951</f>
        <v>0.24893435613179818</v>
      </c>
      <c r="BD962" s="1868"/>
      <c r="BE962" s="1689">
        <f>BE961/BE951</f>
        <v>0.42550562481501802</v>
      </c>
      <c r="BF962" s="469"/>
      <c r="BG962" s="469"/>
      <c r="BH962" s="469"/>
      <c r="BI962" s="1868"/>
      <c r="BJ962" s="1689"/>
      <c r="BK962" s="469"/>
      <c r="BL962" s="469"/>
      <c r="BM962" s="469"/>
      <c r="BN962" s="1868"/>
      <c r="BO962" s="1689"/>
      <c r="BP962" s="469"/>
      <c r="BQ962" s="469"/>
      <c r="BR962" s="469"/>
      <c r="BS962" s="469"/>
      <c r="BT962" s="470"/>
      <c r="BU962" s="471"/>
      <c r="BV962" s="469"/>
      <c r="BW962" s="469"/>
      <c r="BX962" s="469"/>
      <c r="BY962" s="470"/>
      <c r="BZ962" s="470"/>
      <c r="CA962" s="470"/>
      <c r="CB962" s="470"/>
      <c r="CC962" s="470"/>
      <c r="CD962" s="470"/>
      <c r="CE962" s="470"/>
      <c r="CF962" s="470"/>
      <c r="CG962" s="972"/>
      <c r="CH962" s="972"/>
      <c r="CI962" s="972"/>
      <c r="CJ962" s="972"/>
      <c r="CK962" s="972"/>
      <c r="CL962" s="1310" t="str">
        <f t="shared" si="2354"/>
        <v>Margin</v>
      </c>
      <c r="CM962" s="469">
        <f t="shared" si="2355"/>
        <v>0.32222176268662889</v>
      </c>
      <c r="CN962" s="469">
        <f t="shared" si="2356"/>
        <v>0.30769373171905656</v>
      </c>
      <c r="CO962" s="469">
        <f t="shared" si="2357"/>
        <v>0.32590105548238701</v>
      </c>
      <c r="CP962" s="469">
        <f t="shared" si="2358"/>
        <v>0.32640535126890496</v>
      </c>
      <c r="CQ962" s="469">
        <f t="shared" si="2359"/>
        <v>0.34830393982546459</v>
      </c>
      <c r="CR962" s="469">
        <f t="shared" si="2360"/>
        <v>0.36056149980529245</v>
      </c>
      <c r="CS962" s="469">
        <f t="shared" si="2361"/>
        <v>0.36411078457565232</v>
      </c>
      <c r="CT962" s="469">
        <f t="shared" si="2362"/>
        <v>0.39837356757667047</v>
      </c>
      <c r="CU962" s="469">
        <f t="shared" si="2363"/>
        <v>0.40336289096750649</v>
      </c>
      <c r="CV962" s="469">
        <f t="shared" si="2364"/>
        <v>0.36252144793326663</v>
      </c>
      <c r="CW962" s="469">
        <f t="shared" si="2365"/>
        <v>0.42550562481501802</v>
      </c>
      <c r="CX962" s="469">
        <f t="shared" si="2366"/>
        <v>0</v>
      </c>
      <c r="CY962" s="469">
        <f t="shared" si="2367"/>
        <v>0</v>
      </c>
      <c r="CZ962" s="469">
        <f t="shared" si="2368"/>
        <v>0</v>
      </c>
      <c r="DA962" s="469">
        <f t="shared" si="2369"/>
        <v>0</v>
      </c>
      <c r="DB962" s="469">
        <f t="shared" si="2369"/>
        <v>0</v>
      </c>
      <c r="DC962" s="1463">
        <f t="shared" si="2369"/>
        <v>0</v>
      </c>
      <c r="DD962" s="972"/>
      <c r="DE962" s="972"/>
      <c r="DF962" s="974"/>
      <c r="DG962" s="975"/>
      <c r="DH962" s="469"/>
      <c r="DI962" s="3210"/>
      <c r="DJ962" s="974"/>
      <c r="DK962" s="975"/>
      <c r="DL962" s="974"/>
      <c r="DM962" s="974"/>
      <c r="DN962" s="974"/>
      <c r="DO962" s="974"/>
      <c r="DP962" s="975"/>
      <c r="DQ962" s="975"/>
      <c r="DR962" s="976"/>
      <c r="DS962" s="976"/>
      <c r="DT962" s="976"/>
    </row>
    <row r="963" spans="1:124" ht="12" customHeight="1" x14ac:dyDescent="0.25">
      <c r="A963" s="465" t="s">
        <v>1812</v>
      </c>
      <c r="B963" s="579"/>
      <c r="C963" s="467">
        <f>(C961+C957)/C951</f>
        <v>0.57257580757817328</v>
      </c>
      <c r="D963" s="467">
        <f t="shared" ref="D963:BE963" si="2373">(D961+D957)/D951</f>
        <v>0.57493838810892206</v>
      </c>
      <c r="E963" s="467">
        <f t="shared" si="2373"/>
        <v>0.57723994758742103</v>
      </c>
      <c r="F963" s="467">
        <f t="shared" si="2373"/>
        <v>0.6069560552670622</v>
      </c>
      <c r="G963" s="468">
        <f t="shared" si="2373"/>
        <v>0.60120498159559943</v>
      </c>
      <c r="H963" s="467">
        <f>(H961+H957)/H951</f>
        <v>0.60689292680163165</v>
      </c>
      <c r="I963" s="467">
        <f t="shared" si="2373"/>
        <v>0.59153639160583937</v>
      </c>
      <c r="J963" s="467">
        <f t="shared" si="2373"/>
        <v>0.58360131135780091</v>
      </c>
      <c r="K963" s="467">
        <f t="shared" si="2373"/>
        <v>0.57515887881196714</v>
      </c>
      <c r="L963" s="468">
        <f t="shared" si="2373"/>
        <v>0.58915906290495756</v>
      </c>
      <c r="M963" s="467">
        <f>(M961+M957)/M951</f>
        <v>0.61815965447299126</v>
      </c>
      <c r="N963" s="467">
        <f t="shared" si="2373"/>
        <v>0.62282216618672337</v>
      </c>
      <c r="O963" s="467">
        <f t="shared" si="2373"/>
        <v>0.61436754298370744</v>
      </c>
      <c r="P963" s="467">
        <f t="shared" si="2373"/>
        <v>0.62600324552199649</v>
      </c>
      <c r="Q963" s="468">
        <f t="shared" si="2373"/>
        <v>0.62030542618115714</v>
      </c>
      <c r="R963" s="467">
        <f>(R961+R957)/R951</f>
        <v>0.60964855068357293</v>
      </c>
      <c r="S963" s="467">
        <f t="shared" si="2373"/>
        <v>0.62511084857246102</v>
      </c>
      <c r="T963" s="467">
        <f t="shared" si="2373"/>
        <v>0.62080928539691937</v>
      </c>
      <c r="U963" s="467">
        <f t="shared" si="2373"/>
        <v>0.61981394876938511</v>
      </c>
      <c r="V963" s="468">
        <f t="shared" si="2373"/>
        <v>0.61877050113016152</v>
      </c>
      <c r="W963" s="467">
        <f>(W961+W957)/W951</f>
        <v>0.61144760388199848</v>
      </c>
      <c r="X963" s="467">
        <f t="shared" si="2373"/>
        <v>0.63458852348754446</v>
      </c>
      <c r="Y963" s="467">
        <f t="shared" si="2373"/>
        <v>0.62398841601804034</v>
      </c>
      <c r="Z963" s="467">
        <f t="shared" si="2373"/>
        <v>0.65748219384542739</v>
      </c>
      <c r="AA963" s="468">
        <f t="shared" si="2373"/>
        <v>0.63120960711286378</v>
      </c>
      <c r="AB963" s="467">
        <f>(AB961+AB957)/AB951</f>
        <v>0.63496833009987785</v>
      </c>
      <c r="AC963" s="467">
        <f t="shared" si="2373"/>
        <v>0.64118407521393184</v>
      </c>
      <c r="AD963" s="467">
        <f t="shared" si="2373"/>
        <v>0.66096506365442631</v>
      </c>
      <c r="AE963" s="467">
        <f t="shared" si="2373"/>
        <v>0.64515262615466817</v>
      </c>
      <c r="AF963" s="468">
        <f t="shared" si="2373"/>
        <v>0.64552852930813898</v>
      </c>
      <c r="AG963" s="467">
        <f>(AG961+AG957)/AG951</f>
        <v>0.63966140111762304</v>
      </c>
      <c r="AH963" s="467">
        <f t="shared" si="2373"/>
        <v>0.64593398437500005</v>
      </c>
      <c r="AI963" s="467">
        <f t="shared" si="2373"/>
        <v>0.64688704400694841</v>
      </c>
      <c r="AJ963" s="467">
        <f t="shared" si="2373"/>
        <v>0.6315806087773842</v>
      </c>
      <c r="AK963" s="468">
        <f t="shared" si="2373"/>
        <v>0.64099324249710576</v>
      </c>
      <c r="AL963" s="467">
        <f>(AL961+AL957)/AL951</f>
        <v>0.66910046814863966</v>
      </c>
      <c r="AM963" s="467">
        <f t="shared" si="2373"/>
        <v>0.67795498850963165</v>
      </c>
      <c r="AN963" s="467">
        <f t="shared" si="2373"/>
        <v>0.68048700597906098</v>
      </c>
      <c r="AO963" s="467">
        <f t="shared" si="2373"/>
        <v>0.64709389776525394</v>
      </c>
      <c r="AP963" s="468">
        <f t="shared" si="2373"/>
        <v>0.66894617634509435</v>
      </c>
      <c r="AQ963" s="581">
        <f t="shared" ref="AQ963:AZ963" si="2374">(AQ961+AQ957)/AQ951</f>
        <v>0.68215175473623424</v>
      </c>
      <c r="AR963" s="467">
        <f t="shared" si="2374"/>
        <v>0.67079009623336006</v>
      </c>
      <c r="AS963" s="467">
        <f t="shared" si="2374"/>
        <v>0.67563187389936818</v>
      </c>
      <c r="AT963" s="1669">
        <f t="shared" si="2374"/>
        <v>0.65167849228999752</v>
      </c>
      <c r="AU963" s="1468">
        <f t="shared" si="2374"/>
        <v>0.67049930518683176</v>
      </c>
      <c r="AV963" s="1862">
        <f t="shared" si="2374"/>
        <v>0.65260750807247758</v>
      </c>
      <c r="AW963" s="1846">
        <f t="shared" si="2374"/>
        <v>0.64899720609108758</v>
      </c>
      <c r="AX963" s="1846">
        <f t="shared" si="2374"/>
        <v>0.61870030066042647</v>
      </c>
      <c r="AY963" s="1765">
        <f t="shared" si="2374"/>
        <v>0.58879211322549818</v>
      </c>
      <c r="AZ963" s="1468">
        <f t="shared" si="2374"/>
        <v>0.62904170471526955</v>
      </c>
      <c r="BA963" s="581">
        <f t="shared" si="2373"/>
        <v>0.59074588419192686</v>
      </c>
      <c r="BB963" s="467">
        <f t="shared" si="2373"/>
        <v>0.58510814476599526</v>
      </c>
      <c r="BC963" s="467">
        <f>(BC961+BC957)/BC951</f>
        <v>0.46645526244847674</v>
      </c>
      <c r="BD963" s="1765"/>
      <c r="BE963" s="1468">
        <f t="shared" si="2373"/>
        <v>0.57604496922033721</v>
      </c>
      <c r="BF963" s="467"/>
      <c r="BG963" s="467"/>
      <c r="BH963" s="467"/>
      <c r="BI963" s="1765"/>
      <c r="BJ963" s="1468"/>
      <c r="BK963" s="467"/>
      <c r="BL963" s="467"/>
      <c r="BM963" s="467"/>
      <c r="BN963" s="1765"/>
      <c r="BO963" s="1468"/>
      <c r="BP963" s="467"/>
      <c r="BQ963" s="467"/>
      <c r="BR963" s="467"/>
      <c r="BS963" s="467"/>
      <c r="BT963" s="468"/>
      <c r="BU963" s="581"/>
      <c r="BV963" s="467"/>
      <c r="BW963" s="467"/>
      <c r="BX963" s="467"/>
      <c r="BY963" s="468"/>
      <c r="BZ963" s="468"/>
      <c r="CA963" s="468"/>
      <c r="CB963" s="468"/>
      <c r="CC963" s="468"/>
      <c r="CD963" s="468"/>
      <c r="CE963" s="468"/>
      <c r="CF963" s="468"/>
      <c r="CG963" s="972"/>
      <c r="CH963" s="972"/>
      <c r="CI963" s="972"/>
      <c r="CJ963" s="972"/>
      <c r="CK963" s="972"/>
      <c r="CL963" s="1310" t="str">
        <f t="shared" si="2354"/>
        <v>Margin bef. tax</v>
      </c>
      <c r="CM963" s="469">
        <f t="shared" si="2355"/>
        <v>0.60120498159559943</v>
      </c>
      <c r="CN963" s="469">
        <f t="shared" si="2356"/>
        <v>0.58915906290495756</v>
      </c>
      <c r="CO963" s="469">
        <f t="shared" si="2357"/>
        <v>0.62030542618115714</v>
      </c>
      <c r="CP963" s="469">
        <f t="shared" si="2358"/>
        <v>0.61877050113016152</v>
      </c>
      <c r="CQ963" s="469">
        <f t="shared" si="2359"/>
        <v>0.63120960711286378</v>
      </c>
      <c r="CR963" s="469">
        <f t="shared" si="2360"/>
        <v>0.64552852930813898</v>
      </c>
      <c r="CS963" s="469">
        <f t="shared" si="2361"/>
        <v>0.64099324249710576</v>
      </c>
      <c r="CT963" s="469">
        <f t="shared" si="2362"/>
        <v>0.66894617634509435</v>
      </c>
      <c r="CU963" s="469">
        <f t="shared" si="2363"/>
        <v>0.67049930518683176</v>
      </c>
      <c r="CV963" s="469">
        <f t="shared" si="2364"/>
        <v>0.62904170471526955</v>
      </c>
      <c r="CW963" s="469">
        <f t="shared" si="2365"/>
        <v>0.57604496922033721</v>
      </c>
      <c r="CX963" s="469">
        <f t="shared" si="2366"/>
        <v>0</v>
      </c>
      <c r="CY963" s="469">
        <f t="shared" si="2367"/>
        <v>0</v>
      </c>
      <c r="CZ963" s="469">
        <f t="shared" si="2368"/>
        <v>0</v>
      </c>
      <c r="DA963" s="469">
        <f t="shared" si="2369"/>
        <v>0</v>
      </c>
      <c r="DB963" s="469">
        <f t="shared" si="2369"/>
        <v>0</v>
      </c>
      <c r="DC963" s="1463">
        <f t="shared" si="2369"/>
        <v>0</v>
      </c>
      <c r="DD963" s="972"/>
      <c r="DE963" s="972"/>
      <c r="DF963" s="974"/>
      <c r="DG963" s="975"/>
      <c r="DH963" s="469"/>
      <c r="DI963" s="3210"/>
      <c r="DJ963" s="974"/>
      <c r="DK963" s="975"/>
      <c r="DL963" s="974"/>
      <c r="DM963" s="974"/>
      <c r="DN963" s="974"/>
      <c r="DO963" s="974"/>
      <c r="DP963" s="975"/>
      <c r="DQ963" s="975"/>
      <c r="DR963" s="976"/>
      <c r="DS963" s="976"/>
      <c r="DT963" s="976"/>
    </row>
    <row r="964" spans="1:124" ht="15.75" x14ac:dyDescent="0.25">
      <c r="A964" s="465" t="s">
        <v>1491</v>
      </c>
      <c r="B964" s="579"/>
      <c r="C964" s="467" t="s">
        <v>553</v>
      </c>
      <c r="D964" s="467" t="s">
        <v>553</v>
      </c>
      <c r="E964" s="467" t="s">
        <v>553</v>
      </c>
      <c r="F964" s="467" t="s">
        <v>553</v>
      </c>
      <c r="G964" s="468" t="s">
        <v>553</v>
      </c>
      <c r="H964" s="467">
        <f t="shared" ref="H964:AF964" si="2375">(H961-C961)/C961</f>
        <v>0.19508752117447767</v>
      </c>
      <c r="I964" s="467">
        <f t="shared" si="2375"/>
        <v>0.26932153392330377</v>
      </c>
      <c r="J964" s="467">
        <f t="shared" si="2375"/>
        <v>2.2390002603488637E-2</v>
      </c>
      <c r="K964" s="467">
        <f t="shared" si="2375"/>
        <v>-0.13537117903930126</v>
      </c>
      <c r="L964" s="468">
        <f t="shared" si="2375"/>
        <v>6.6679501989474893E-2</v>
      </c>
      <c r="M964" s="467">
        <f t="shared" si="2375"/>
        <v>0.11457595086227271</v>
      </c>
      <c r="N964" s="467">
        <f t="shared" si="2375"/>
        <v>-1.2084592145015014E-2</v>
      </c>
      <c r="O964" s="467">
        <f t="shared" si="2375"/>
        <v>7.33384262796027E-2</v>
      </c>
      <c r="P964" s="467">
        <f t="shared" si="2375"/>
        <v>5.4593554593554451E-2</v>
      </c>
      <c r="Q964" s="468">
        <f t="shared" si="2375"/>
        <v>5.7036279405571509E-2</v>
      </c>
      <c r="R964" s="467">
        <f t="shared" si="2375"/>
        <v>-1.8863925392115389E-2</v>
      </c>
      <c r="S964" s="467">
        <f t="shared" si="2375"/>
        <v>9.8800282286520796E-2</v>
      </c>
      <c r="T964" s="467">
        <f t="shared" si="2375"/>
        <v>4.5314353499406844E-2</v>
      </c>
      <c r="U964" s="467">
        <f t="shared" si="2375"/>
        <v>-7.502850627137965E-2</v>
      </c>
      <c r="V964" s="468">
        <f t="shared" si="2375"/>
        <v>1.0985258125106598E-2</v>
      </c>
      <c r="W964" s="467">
        <f t="shared" si="2375"/>
        <v>4.8174551739036675E-2</v>
      </c>
      <c r="X964" s="467">
        <f t="shared" si="2375"/>
        <v>7.9426247056304758E-2</v>
      </c>
      <c r="Y964" s="467">
        <f t="shared" si="2375"/>
        <v>6.7635043123014091E-2</v>
      </c>
      <c r="Z964" s="467">
        <f t="shared" si="2375"/>
        <v>0.10453648915187386</v>
      </c>
      <c r="AA964" s="468">
        <f t="shared" si="2375"/>
        <v>7.4090755545546616E-2</v>
      </c>
      <c r="AB964" s="467">
        <f t="shared" si="2375"/>
        <v>2.9472382522671019E-2</v>
      </c>
      <c r="AC964" s="467">
        <f t="shared" si="2375"/>
        <v>-6.7830226100753593E-2</v>
      </c>
      <c r="AD964" s="467">
        <f t="shared" si="2375"/>
        <v>9.2687074829931965E-2</v>
      </c>
      <c r="AE964" s="469">
        <f t="shared" si="2375"/>
        <v>2.8794642857142755E-2</v>
      </c>
      <c r="AF964" s="470">
        <f t="shared" si="2375"/>
        <v>1.9184400880595618E-2</v>
      </c>
      <c r="AG964" s="467">
        <f>(AG961-AB961)/AB961</f>
        <v>0.10110110110110107</v>
      </c>
      <c r="AH964" s="467">
        <f t="shared" ref="AH964:AU964" si="2376">(AH961-AC961)/AC961</f>
        <v>7.2978723404255305E-2</v>
      </c>
      <c r="AI964" s="467">
        <f t="shared" si="2376"/>
        <v>-1.7315175097276172E-2</v>
      </c>
      <c r="AJ964" s="469">
        <f t="shared" si="2376"/>
        <v>5.2072032978954269E-2</v>
      </c>
      <c r="AK964" s="470">
        <f t="shared" si="2376"/>
        <v>5.1378317218679033E-2</v>
      </c>
      <c r="AL964" s="467">
        <f t="shared" si="2376"/>
        <v>0.1103636363636364</v>
      </c>
      <c r="AM964" s="467">
        <f t="shared" si="2376"/>
        <v>0.20047590719809638</v>
      </c>
      <c r="AN964" s="467">
        <f t="shared" si="2376"/>
        <v>0.21521940158300576</v>
      </c>
      <c r="AO964" s="469">
        <f t="shared" si="2376"/>
        <v>5.5675723389508047E-2</v>
      </c>
      <c r="AP964" s="471">
        <f t="shared" si="2376"/>
        <v>0.14552877660380029</v>
      </c>
      <c r="AQ964" s="471">
        <f t="shared" si="2376"/>
        <v>0.11391008014573445</v>
      </c>
      <c r="AR964" s="469">
        <f t="shared" si="2376"/>
        <v>-5.4887443194582136E-2</v>
      </c>
      <c r="AS964" s="469">
        <f t="shared" si="2376"/>
        <v>-0.12715662046207435</v>
      </c>
      <c r="AT964" s="469">
        <f t="shared" si="2376"/>
        <v>-1.8585907412932388E-2</v>
      </c>
      <c r="AU964" s="1689">
        <f t="shared" si="2376"/>
        <v>-2.1875314624922863E-2</v>
      </c>
      <c r="AV964" s="1730">
        <f t="shared" ref="AV964:BA964" si="2377">(AV961-AQ961)/AQ961</f>
        <v>-0.14922540811125659</v>
      </c>
      <c r="AW964" s="1465">
        <f t="shared" si="2377"/>
        <v>-0.14349215445976507</v>
      </c>
      <c r="AX964" s="1465">
        <f t="shared" si="2377"/>
        <v>-0.28572785189782191</v>
      </c>
      <c r="AY964" s="1868">
        <f t="shared" si="2377"/>
        <v>-0.31403581984440582</v>
      </c>
      <c r="AZ964" s="1689">
        <f t="shared" si="2377"/>
        <v>-0.21586792023260432</v>
      </c>
      <c r="BA964" s="471">
        <f t="shared" si="2377"/>
        <v>-7.1841631996475031E-2</v>
      </c>
      <c r="BB964" s="469">
        <f>(BB961-AW961)/AW961</f>
        <v>-5.2389337474710092E-2</v>
      </c>
      <c r="BC964" s="469">
        <f>(BC961-AX961)/AX961</f>
        <v>-0.83932273215605324</v>
      </c>
      <c r="BD964" s="1463"/>
      <c r="BE964" s="1689">
        <f>(BE961-AZ961)/AZ961</f>
        <v>-0.40813595705834071</v>
      </c>
      <c r="BF964" s="469"/>
      <c r="BG964" s="469"/>
      <c r="BH964" s="469"/>
      <c r="BI964" s="1463"/>
      <c r="BJ964" s="1689"/>
      <c r="BK964" s="469"/>
      <c r="BL964" s="469"/>
      <c r="BM964" s="469"/>
      <c r="BN964" s="1463"/>
      <c r="BO964" s="1689"/>
      <c r="BP964" s="469"/>
      <c r="BQ964" s="469"/>
      <c r="BR964" s="469"/>
      <c r="BS964" s="469"/>
      <c r="BT964" s="470"/>
      <c r="BU964" s="471"/>
      <c r="BV964" s="469"/>
      <c r="BW964" s="469"/>
      <c r="BX964" s="469"/>
      <c r="BY964" s="470"/>
      <c r="BZ964" s="470"/>
      <c r="CA964" s="470"/>
      <c r="CB964" s="470"/>
      <c r="CC964" s="470"/>
      <c r="CD964" s="470"/>
      <c r="CE964" s="470"/>
      <c r="CF964" s="470"/>
      <c r="CG964" s="972"/>
      <c r="CH964" s="972"/>
      <c r="CI964" s="972"/>
      <c r="CJ964" s="972"/>
      <c r="CK964" s="972"/>
      <c r="CL964" s="1310" t="str">
        <f t="shared" si="2354"/>
        <v>% growth (y-o-y)</v>
      </c>
      <c r="CM964" s="469" t="str">
        <f t="shared" si="2355"/>
        <v xml:space="preserve">n/a </v>
      </c>
      <c r="CN964" s="469">
        <f t="shared" si="2356"/>
        <v>6.6679501989474893E-2</v>
      </c>
      <c r="CO964" s="469">
        <f t="shared" si="2357"/>
        <v>5.7036279405571509E-2</v>
      </c>
      <c r="CP964" s="469">
        <f t="shared" si="2358"/>
        <v>1.0985258125106598E-2</v>
      </c>
      <c r="CQ964" s="469">
        <f t="shared" si="2359"/>
        <v>7.4090755545546616E-2</v>
      </c>
      <c r="CR964" s="469">
        <f t="shared" si="2360"/>
        <v>1.9184400880595618E-2</v>
      </c>
      <c r="CS964" s="469">
        <f t="shared" si="2361"/>
        <v>5.1378317218679033E-2</v>
      </c>
      <c r="CT964" s="469">
        <f t="shared" si="2362"/>
        <v>0.14552877660380029</v>
      </c>
      <c r="CU964" s="469">
        <f t="shared" si="2363"/>
        <v>-2.1875314624922863E-2</v>
      </c>
      <c r="CV964" s="469">
        <f t="shared" si="2364"/>
        <v>-0.21586792023260432</v>
      </c>
      <c r="CW964" s="469">
        <f t="shared" si="2365"/>
        <v>-0.40813595705834071</v>
      </c>
      <c r="CX964" s="469">
        <f t="shared" si="2366"/>
        <v>0</v>
      </c>
      <c r="CY964" s="469">
        <f t="shared" si="2367"/>
        <v>0</v>
      </c>
      <c r="CZ964" s="469">
        <f t="shared" si="2368"/>
        <v>0</v>
      </c>
      <c r="DA964" s="469">
        <f t="shared" si="2369"/>
        <v>0</v>
      </c>
      <c r="DB964" s="469">
        <f t="shared" si="2369"/>
        <v>0</v>
      </c>
      <c r="DC964" s="1463">
        <f t="shared" si="2369"/>
        <v>0</v>
      </c>
      <c r="DD964" s="972"/>
      <c r="DE964" s="972"/>
      <c r="DF964" s="974"/>
      <c r="DG964" s="975"/>
      <c r="DH964" s="469"/>
      <c r="DI964" s="3210"/>
      <c r="DJ964" s="974"/>
      <c r="DK964" s="975"/>
      <c r="DL964" s="974"/>
      <c r="DM964" s="974"/>
      <c r="DN964" s="974"/>
      <c r="DO964" s="974"/>
      <c r="DP964" s="975"/>
      <c r="DQ964" s="975"/>
      <c r="DR964" s="976"/>
      <c r="DS964" s="976"/>
      <c r="DT964" s="976"/>
    </row>
    <row r="965" spans="1:124" ht="12" customHeight="1" x14ac:dyDescent="0.25">
      <c r="A965" s="281" t="s">
        <v>2197</v>
      </c>
      <c r="B965" s="281"/>
      <c r="C965" s="570">
        <v>1.123</v>
      </c>
      <c r="D965" s="570">
        <v>0.59699999999999998</v>
      </c>
      <c r="E965" s="570">
        <v>0.78600000000000003</v>
      </c>
      <c r="F965" s="570">
        <v>1.0249999999999999</v>
      </c>
      <c r="G965" s="475">
        <f>SUM(C965:F965)</f>
        <v>3.5310000000000001</v>
      </c>
      <c r="H965" s="570">
        <v>0.97199999999999998</v>
      </c>
      <c r="I965" s="570">
        <v>0.97399999999999998</v>
      </c>
      <c r="J965" s="570">
        <v>1.0249999999999999</v>
      </c>
      <c r="K965" s="570">
        <v>1.226</v>
      </c>
      <c r="L965" s="475">
        <f>SUM(H965:K965)</f>
        <v>4.1970000000000001</v>
      </c>
      <c r="M965" s="570">
        <v>0.88800000000000001</v>
      </c>
      <c r="N965" s="570">
        <v>1.0900000000000001</v>
      </c>
      <c r="O965" s="570">
        <v>1.0820000000000001</v>
      </c>
      <c r="P965" s="570">
        <v>1.1060000000000001</v>
      </c>
      <c r="Q965" s="475">
        <f>SUM(M965:P965)</f>
        <v>4.1660000000000004</v>
      </c>
      <c r="R965" s="570">
        <v>1.107</v>
      </c>
      <c r="S965" s="570">
        <v>1.115</v>
      </c>
      <c r="T965" s="570">
        <v>1.121</v>
      </c>
      <c r="U965" s="570">
        <v>1.1279999999999999</v>
      </c>
      <c r="V965" s="475">
        <f>SUM(R965:U965)</f>
        <v>4.4710000000000001</v>
      </c>
      <c r="W965" s="570">
        <v>1.1160000000000001</v>
      </c>
      <c r="X965" s="570">
        <v>1.115</v>
      </c>
      <c r="Y965" s="570">
        <v>1.101</v>
      </c>
      <c r="Z965" s="570">
        <v>1.119</v>
      </c>
      <c r="AA965" s="475">
        <f>SUM(W965:Z965)</f>
        <v>4.4509999999999996</v>
      </c>
      <c r="AB965" s="570">
        <v>1.1160000000000001</v>
      </c>
      <c r="AC965" s="570">
        <v>1.1100000000000001</v>
      </c>
      <c r="AD965" s="570">
        <v>1.0620000000000001</v>
      </c>
      <c r="AE965" s="572">
        <v>1.046</v>
      </c>
      <c r="AF965" s="477">
        <f>SUM(AB965:AE965)</f>
        <v>4.3340000000000005</v>
      </c>
      <c r="AG965" s="570">
        <v>1.075</v>
      </c>
      <c r="AH965" s="570">
        <v>1.109</v>
      </c>
      <c r="AI965" s="570">
        <v>1.1299999999999999</v>
      </c>
      <c r="AJ965" s="572">
        <v>1.1080000000000001</v>
      </c>
      <c r="AK965" s="477">
        <f>SUM(AG965:AJ965)</f>
        <v>4.4220000000000006</v>
      </c>
      <c r="AL965" s="570">
        <v>1.2290000000000001</v>
      </c>
      <c r="AM965" s="570">
        <v>1.256</v>
      </c>
      <c r="AN965" s="1594">
        <f>AM965</f>
        <v>1.256</v>
      </c>
      <c r="AO965" s="476">
        <f>AN965</f>
        <v>1.256</v>
      </c>
      <c r="AP965" s="478">
        <f>SUM(AL965:AO965)</f>
        <v>4.9970000000000008</v>
      </c>
      <c r="AQ965" s="478">
        <f>+AO965</f>
        <v>1.256</v>
      </c>
      <c r="AR965" s="476">
        <f>AQ965</f>
        <v>1.256</v>
      </c>
      <c r="AS965" s="476">
        <f>AR965</f>
        <v>1.256</v>
      </c>
      <c r="AT965" s="476">
        <f>AS965</f>
        <v>1.256</v>
      </c>
      <c r="AU965" s="1464">
        <f>SUM(AQ965:AT965)</f>
        <v>5.024</v>
      </c>
      <c r="AV965" s="478">
        <f>+AT965</f>
        <v>1.256</v>
      </c>
      <c r="AW965" s="476">
        <f>AV965</f>
        <v>1.256</v>
      </c>
      <c r="AX965" s="572">
        <f>AW965+2</f>
        <v>3.2560000000000002</v>
      </c>
      <c r="AY965" s="682">
        <f>AX965</f>
        <v>3.2560000000000002</v>
      </c>
      <c r="AZ965" s="1464">
        <f>SUM(AV965:AY965)</f>
        <v>9.0240000000000009</v>
      </c>
      <c r="BA965" s="478">
        <f>+AY965</f>
        <v>3.2560000000000002</v>
      </c>
      <c r="BB965" s="476">
        <f>BA965</f>
        <v>3.2560000000000002</v>
      </c>
      <c r="BC965" s="2777">
        <f>BB965/3</f>
        <v>1.0853333333333335</v>
      </c>
      <c r="BD965" s="2695"/>
      <c r="BE965" s="1464">
        <f>SUM(BA965:BD965)</f>
        <v>7.5973333333333342</v>
      </c>
      <c r="BF965" s="572"/>
      <c r="BG965" s="572"/>
      <c r="BH965" s="572"/>
      <c r="BI965" s="1313"/>
      <c r="BJ965" s="1464"/>
      <c r="BK965" s="572"/>
      <c r="BL965" s="572"/>
      <c r="BM965" s="572"/>
      <c r="BN965" s="1313"/>
      <c r="BO965" s="1464"/>
      <c r="BP965" s="572"/>
      <c r="BQ965" s="572"/>
      <c r="BR965" s="572"/>
      <c r="BS965" s="572"/>
      <c r="BT965" s="2604"/>
      <c r="BU965" s="2673"/>
      <c r="BV965" s="2577"/>
      <c r="BW965" s="2577"/>
      <c r="BX965" s="2577"/>
      <c r="BY965" s="2604"/>
      <c r="BZ965" s="477"/>
      <c r="CA965" s="477"/>
      <c r="CB965" s="477"/>
      <c r="CC965" s="477"/>
      <c r="CD965" s="477"/>
      <c r="CE965" s="477"/>
      <c r="CF965" s="477"/>
      <c r="CG965" s="331"/>
      <c r="CH965" s="331"/>
      <c r="CI965" s="331"/>
      <c r="CJ965" s="331"/>
      <c r="CK965" s="331"/>
      <c r="CL965" s="520" t="str">
        <f t="shared" si="2354"/>
        <v>Depreciation and amortization</v>
      </c>
      <c r="CM965" s="476">
        <f t="shared" si="2355"/>
        <v>3.5310000000000001</v>
      </c>
      <c r="CN965" s="476">
        <f t="shared" si="2356"/>
        <v>4.1970000000000001</v>
      </c>
      <c r="CO965" s="476">
        <f t="shared" si="2357"/>
        <v>4.1660000000000004</v>
      </c>
      <c r="CP965" s="476">
        <f t="shared" si="2358"/>
        <v>4.4710000000000001</v>
      </c>
      <c r="CQ965" s="476">
        <f t="shared" si="2359"/>
        <v>4.4509999999999996</v>
      </c>
      <c r="CR965" s="476">
        <f t="shared" si="2360"/>
        <v>4.3340000000000005</v>
      </c>
      <c r="CS965" s="476">
        <f t="shared" si="2361"/>
        <v>4.4220000000000006</v>
      </c>
      <c r="CT965" s="476">
        <f t="shared" si="2362"/>
        <v>4.9970000000000008</v>
      </c>
      <c r="CU965" s="476">
        <f t="shared" si="2363"/>
        <v>5.024</v>
      </c>
      <c r="CV965" s="476">
        <f t="shared" si="2364"/>
        <v>9.0240000000000009</v>
      </c>
      <c r="CW965" s="476">
        <f t="shared" si="2365"/>
        <v>7.5973333333333342</v>
      </c>
      <c r="CX965" s="476">
        <f t="shared" si="2366"/>
        <v>0</v>
      </c>
      <c r="CY965" s="476">
        <f t="shared" si="2367"/>
        <v>0</v>
      </c>
      <c r="CZ965" s="476">
        <f t="shared" si="2368"/>
        <v>0</v>
      </c>
      <c r="DA965" s="476">
        <f t="shared" si="2369"/>
        <v>0</v>
      </c>
      <c r="DB965" s="476">
        <f t="shared" si="2369"/>
        <v>0</v>
      </c>
      <c r="DC965" s="682">
        <f t="shared" si="2369"/>
        <v>0</v>
      </c>
      <c r="DD965" s="331"/>
      <c r="DE965" s="331"/>
      <c r="DF965" s="502"/>
      <c r="DG965" s="503"/>
      <c r="DH965" s="2577"/>
      <c r="DI965" s="3213"/>
      <c r="DJ965" s="502"/>
      <c r="DK965" s="503"/>
      <c r="DL965" s="502"/>
      <c r="DM965" s="502"/>
      <c r="DN965" s="502"/>
      <c r="DO965" s="502"/>
      <c r="DP965" s="503"/>
      <c r="DQ965" s="503"/>
      <c r="DR965" s="296"/>
      <c r="DS965" s="296"/>
      <c r="DT965" s="296"/>
    </row>
    <row r="966" spans="1:124" ht="12" customHeight="1" x14ac:dyDescent="0.25">
      <c r="A966" s="465" t="s">
        <v>646</v>
      </c>
      <c r="B966" s="579"/>
      <c r="C966" s="467">
        <f t="shared" ref="C966:AF966" si="2378">C965/C951</f>
        <v>9.8977613255772964E-2</v>
      </c>
      <c r="D966" s="467">
        <f t="shared" si="2378"/>
        <v>5.4100589034888985E-2</v>
      </c>
      <c r="E966" s="467">
        <f t="shared" si="2378"/>
        <v>6.2895094822757458E-2</v>
      </c>
      <c r="F966" s="467">
        <f t="shared" si="2378"/>
        <v>7.6038575667655775E-2</v>
      </c>
      <c r="G966" s="468">
        <f t="shared" si="2378"/>
        <v>7.3017908102072038E-2</v>
      </c>
      <c r="H966" s="467">
        <f t="shared" si="2378"/>
        <v>7.3424988668983227E-2</v>
      </c>
      <c r="I966" s="467">
        <f t="shared" si="2378"/>
        <v>7.1094890510948902E-2</v>
      </c>
      <c r="J966" s="467">
        <f t="shared" si="2378"/>
        <v>7.740522579670743E-2</v>
      </c>
      <c r="K966" s="467">
        <f t="shared" si="2378"/>
        <v>8.8596618008382713E-2</v>
      </c>
      <c r="L966" s="468">
        <f t="shared" si="2378"/>
        <v>7.7696323447739649E-2</v>
      </c>
      <c r="M966" s="467">
        <f t="shared" si="2378"/>
        <v>6.3198348871966403E-2</v>
      </c>
      <c r="N966" s="467">
        <f t="shared" si="2378"/>
        <v>8.2600788117611401E-2</v>
      </c>
      <c r="O966" s="467">
        <f t="shared" si="2378"/>
        <v>8.1237330129889637E-2</v>
      </c>
      <c r="P966" s="467">
        <f t="shared" si="2378"/>
        <v>8.2889904819006224E-2</v>
      </c>
      <c r="Q966" s="468">
        <f t="shared" si="2378"/>
        <v>7.7278376523400541E-2</v>
      </c>
      <c r="R966" s="467">
        <f t="shared" si="2378"/>
        <v>7.8416094070978243E-2</v>
      </c>
      <c r="S966" s="467">
        <f t="shared" si="2378"/>
        <v>8.0592699674737978E-2</v>
      </c>
      <c r="T966" s="467">
        <f t="shared" si="2378"/>
        <v>8.3012440758293837E-2</v>
      </c>
      <c r="U966" s="467">
        <f t="shared" si="2378"/>
        <v>8.7030321734434063E-2</v>
      </c>
      <c r="V966" s="468">
        <f t="shared" si="2378"/>
        <v>8.2161824429865665E-2</v>
      </c>
      <c r="W966" s="467">
        <f t="shared" si="2378"/>
        <v>7.8200546562959855E-2</v>
      </c>
      <c r="X966" s="467">
        <f t="shared" si="2378"/>
        <v>7.9359430604982198E-2</v>
      </c>
      <c r="Y966" s="467">
        <f t="shared" si="2378"/>
        <v>8.0090201498508762E-2</v>
      </c>
      <c r="Z966" s="467">
        <f t="shared" si="2378"/>
        <v>8.8068628994175988E-2</v>
      </c>
      <c r="AA966" s="468">
        <f t="shared" si="2378"/>
        <v>8.1261182312776126E-2</v>
      </c>
      <c r="AB966" s="467">
        <f t="shared" si="2378"/>
        <v>8.018969605518432E-2</v>
      </c>
      <c r="AC966" s="467">
        <f t="shared" si="2378"/>
        <v>8.3320822699294417E-2</v>
      </c>
      <c r="AD966" s="467">
        <f t="shared" si="2378"/>
        <v>7.8151446022518209E-2</v>
      </c>
      <c r="AE966" s="469">
        <f t="shared" si="2378"/>
        <v>7.9853423925490497E-2</v>
      </c>
      <c r="AF966" s="470">
        <f t="shared" si="2378"/>
        <v>8.0367904760138734E-2</v>
      </c>
      <c r="AG966" s="467">
        <f t="shared" ref="AG966:AU966" si="2379">AG965/AG951</f>
        <v>7.3258825132888103E-2</v>
      </c>
      <c r="AH966" s="467">
        <f t="shared" si="2379"/>
        <v>8.022280092592593E-2</v>
      </c>
      <c r="AI966" s="467">
        <f t="shared" si="2379"/>
        <v>8.1789229878401842E-2</v>
      </c>
      <c r="AJ966" s="469">
        <f t="shared" si="2379"/>
        <v>8.0109898055093637E-2</v>
      </c>
      <c r="AK966" s="470">
        <f t="shared" si="2379"/>
        <v>7.8760352658295507E-2</v>
      </c>
      <c r="AL966" s="467">
        <f t="shared" si="2379"/>
        <v>8.155275381552754E-2</v>
      </c>
      <c r="AM966" s="467">
        <f t="shared" si="2379"/>
        <v>8.4893545116593444E-2</v>
      </c>
      <c r="AN966" s="467">
        <f t="shared" si="2379"/>
        <v>8.450231567293244E-2</v>
      </c>
      <c r="AO966" s="469">
        <f t="shared" si="2379"/>
        <v>8.9359178720847546E-2</v>
      </c>
      <c r="AP966" s="471">
        <f t="shared" si="2379"/>
        <v>8.5005931787749608E-2</v>
      </c>
      <c r="AQ966" s="471">
        <f t="shared" si="2379"/>
        <v>8.0865794522205145E-2</v>
      </c>
      <c r="AR966" s="469">
        <f t="shared" si="2379"/>
        <v>8.8553332548856098E-2</v>
      </c>
      <c r="AS966" s="469">
        <f t="shared" si="2379"/>
        <v>9.2742014384611327E-2</v>
      </c>
      <c r="AT966" s="469">
        <f t="shared" si="2379"/>
        <v>9.2840332442307605E-2</v>
      </c>
      <c r="AU966" s="1689">
        <f t="shared" si="2379"/>
        <v>8.8470955974816606E-2</v>
      </c>
      <c r="AV966" s="1730">
        <f t="shared" ref="AV966:BE966" si="2380">AV965/AV951</f>
        <v>9.0186055412007013E-2</v>
      </c>
      <c r="AW966" s="1465">
        <f t="shared" si="2380"/>
        <v>9.9384575260710428E-2</v>
      </c>
      <c r="AX966" s="1465">
        <f t="shared" si="2380"/>
        <v>0.28261783974769933</v>
      </c>
      <c r="AY966" s="1868">
        <f t="shared" si="2380"/>
        <v>0.28412705366004687</v>
      </c>
      <c r="AZ966" s="1689">
        <f t="shared" si="2380"/>
        <v>0.18213722655422707</v>
      </c>
      <c r="BA966" s="471">
        <f t="shared" si="2380"/>
        <v>0.27542716799712258</v>
      </c>
      <c r="BB966" s="469">
        <f t="shared" si="2380"/>
        <v>0.30453560704955035</v>
      </c>
      <c r="BC966" s="469">
        <f t="shared" si="2380"/>
        <v>0.43940140465401129</v>
      </c>
      <c r="BD966" s="1463"/>
      <c r="BE966" s="1689">
        <f t="shared" si="2380"/>
        <v>0.30409582466105867</v>
      </c>
      <c r="BF966" s="469"/>
      <c r="BG966" s="469"/>
      <c r="BH966" s="469"/>
      <c r="BI966" s="1463"/>
      <c r="BJ966" s="1689"/>
      <c r="BK966" s="469"/>
      <c r="BL966" s="469"/>
      <c r="BM966" s="469"/>
      <c r="BN966" s="1463"/>
      <c r="BO966" s="1689"/>
      <c r="BP966" s="469"/>
      <c r="BQ966" s="469"/>
      <c r="BR966" s="469"/>
      <c r="BS966" s="469"/>
      <c r="BT966" s="470"/>
      <c r="BU966" s="471"/>
      <c r="BV966" s="469"/>
      <c r="BW966" s="469"/>
      <c r="BX966" s="469"/>
      <c r="BY966" s="470"/>
      <c r="BZ966" s="470"/>
      <c r="CA966" s="470"/>
      <c r="CB966" s="470"/>
      <c r="CC966" s="470"/>
      <c r="CD966" s="470"/>
      <c r="CE966" s="470"/>
      <c r="CF966" s="470"/>
      <c r="CG966" s="972"/>
      <c r="CH966" s="972"/>
      <c r="CI966" s="972"/>
      <c r="CJ966" s="972"/>
      <c r="CK966" s="972"/>
      <c r="CL966" s="1310" t="str">
        <f t="shared" si="2354"/>
        <v>% of Net revenue</v>
      </c>
      <c r="CM966" s="469">
        <f t="shared" si="2355"/>
        <v>7.3017908102072038E-2</v>
      </c>
      <c r="CN966" s="469">
        <f t="shared" si="2356"/>
        <v>7.7696323447739649E-2</v>
      </c>
      <c r="CO966" s="469">
        <f t="shared" si="2357"/>
        <v>7.7278376523400541E-2</v>
      </c>
      <c r="CP966" s="469">
        <f t="shared" si="2358"/>
        <v>8.2161824429865665E-2</v>
      </c>
      <c r="CQ966" s="469">
        <f t="shared" si="2359"/>
        <v>8.1261182312776126E-2</v>
      </c>
      <c r="CR966" s="469">
        <f t="shared" si="2360"/>
        <v>8.0367904760138734E-2</v>
      </c>
      <c r="CS966" s="469">
        <f t="shared" si="2361"/>
        <v>7.8760352658295507E-2</v>
      </c>
      <c r="CT966" s="469">
        <f t="shared" si="2362"/>
        <v>8.5005931787749608E-2</v>
      </c>
      <c r="CU966" s="469">
        <f t="shared" si="2363"/>
        <v>8.8470955974816606E-2</v>
      </c>
      <c r="CV966" s="469">
        <f t="shared" si="2364"/>
        <v>0.18213722655422707</v>
      </c>
      <c r="CW966" s="469">
        <f t="shared" si="2365"/>
        <v>0.30409582466105867</v>
      </c>
      <c r="CX966" s="469">
        <f t="shared" si="2366"/>
        <v>0</v>
      </c>
      <c r="CY966" s="469">
        <f t="shared" si="2367"/>
        <v>0</v>
      </c>
      <c r="CZ966" s="469">
        <f t="shared" si="2368"/>
        <v>0</v>
      </c>
      <c r="DA966" s="469">
        <f t="shared" si="2369"/>
        <v>0</v>
      </c>
      <c r="DB966" s="469">
        <f t="shared" si="2369"/>
        <v>0</v>
      </c>
      <c r="DC966" s="1463">
        <f t="shared" si="2369"/>
        <v>0</v>
      </c>
      <c r="DD966" s="972"/>
      <c r="DE966" s="972"/>
      <c r="DF966" s="974"/>
      <c r="DG966" s="975"/>
      <c r="DH966" s="469"/>
      <c r="DI966" s="3210"/>
      <c r="DJ966" s="974"/>
      <c r="DK966" s="975"/>
      <c r="DL966" s="974"/>
      <c r="DM966" s="974"/>
      <c r="DN966" s="974"/>
      <c r="DO966" s="974"/>
      <c r="DP966" s="975"/>
      <c r="DQ966" s="975"/>
      <c r="DR966" s="976"/>
      <c r="DS966" s="976"/>
      <c r="DT966" s="976"/>
    </row>
    <row r="967" spans="1:124" ht="12" customHeight="1" x14ac:dyDescent="0.25">
      <c r="A967" s="281"/>
      <c r="B967" s="281"/>
      <c r="C967" s="305"/>
      <c r="D967" s="305"/>
      <c r="E967" s="305"/>
      <c r="F967" s="305"/>
      <c r="G967" s="440"/>
      <c r="H967" s="305"/>
      <c r="I967" s="305"/>
      <c r="J967" s="305"/>
      <c r="K967" s="305"/>
      <c r="L967" s="440"/>
      <c r="M967" s="305"/>
      <c r="N967" s="305"/>
      <c r="O967" s="305"/>
      <c r="P967" s="305"/>
      <c r="Q967" s="440"/>
      <c r="R967" s="305"/>
      <c r="S967" s="305"/>
      <c r="T967" s="305"/>
      <c r="U967" s="305"/>
      <c r="V967" s="440"/>
      <c r="W967" s="305"/>
      <c r="X967" s="305"/>
      <c r="Y967" s="305"/>
      <c r="Z967" s="305"/>
      <c r="AA967" s="440"/>
      <c r="AB967" s="305"/>
      <c r="AC967" s="305"/>
      <c r="AD967" s="305"/>
      <c r="AE967" s="331"/>
      <c r="AF967" s="441"/>
      <c r="AG967" s="331"/>
      <c r="AH967" s="331"/>
      <c r="AI967" s="331"/>
      <c r="AJ967" s="331"/>
      <c r="AK967" s="441"/>
      <c r="AL967" s="442"/>
      <c r="AM967" s="442"/>
      <c r="AN967" s="442"/>
      <c r="AO967" s="442"/>
      <c r="AP967" s="443"/>
      <c r="AQ967" s="443"/>
      <c r="AR967" s="331"/>
      <c r="AS967" s="331"/>
      <c r="AT967" s="331"/>
      <c r="AU967" s="349"/>
      <c r="AV967" s="443"/>
      <c r="AW967" s="331"/>
      <c r="AX967" s="331"/>
      <c r="AY967" s="1306"/>
      <c r="AZ967" s="349">
        <f>(AZ774+AZ755+AZ717)/SUM(AZ767+AZ748+AZ710)</f>
        <v>0.18006355912664079</v>
      </c>
      <c r="BA967" s="443"/>
      <c r="BB967" s="331"/>
      <c r="BC967" s="331"/>
      <c r="BD967" s="1306"/>
      <c r="BE967" s="1306"/>
      <c r="BF967" s="331"/>
      <c r="BG967" s="331"/>
      <c r="BH967" s="331"/>
      <c r="BI967" s="1306"/>
      <c r="BJ967" s="1306"/>
      <c r="BK967" s="331"/>
      <c r="BL967" s="331"/>
      <c r="BM967" s="331"/>
      <c r="BN967" s="1306"/>
      <c r="BO967" s="1306"/>
      <c r="BP967" s="331"/>
      <c r="BQ967" s="331"/>
      <c r="BR967" s="331"/>
      <c r="BS967" s="331"/>
      <c r="BT967" s="3222"/>
      <c r="BU967" s="3393"/>
      <c r="BV967" s="2601"/>
      <c r="BW967" s="2601"/>
      <c r="BX967" s="2601"/>
      <c r="BY967" s="3222"/>
      <c r="BZ967" s="349"/>
      <c r="CA967" s="349"/>
      <c r="CB967" s="349"/>
      <c r="CC967" s="349"/>
      <c r="CD967" s="349"/>
      <c r="CE967" s="349"/>
      <c r="CF967" s="349"/>
      <c r="CG967" s="331"/>
      <c r="CH967" s="331"/>
      <c r="CI967" s="331"/>
      <c r="CJ967" s="331"/>
      <c r="CK967" s="331"/>
      <c r="CL967" s="520"/>
      <c r="CM967" s="331"/>
      <c r="CN967" s="331"/>
      <c r="CO967" s="331"/>
      <c r="CP967" s="331"/>
      <c r="CQ967" s="331"/>
      <c r="CR967" s="331"/>
      <c r="CS967" s="331"/>
      <c r="CT967" s="331"/>
      <c r="CU967" s="331"/>
      <c r="CV967" s="331"/>
      <c r="CW967" s="331"/>
      <c r="CX967" s="331"/>
      <c r="CY967" s="331"/>
      <c r="CZ967" s="331"/>
      <c r="DA967" s="331"/>
      <c r="DB967" s="331"/>
      <c r="DC967" s="1306"/>
      <c r="DD967" s="331"/>
      <c r="DE967" s="331"/>
      <c r="DF967" s="502"/>
      <c r="DG967" s="503"/>
      <c r="DH967" s="2601"/>
      <c r="DI967" s="3213"/>
      <c r="DJ967" s="502"/>
      <c r="DK967" s="503"/>
      <c r="DL967" s="502"/>
      <c r="DM967" s="502"/>
      <c r="DN967" s="502"/>
      <c r="DO967" s="502"/>
      <c r="DP967" s="503"/>
      <c r="DQ967" s="503"/>
      <c r="DR967" s="296"/>
      <c r="DS967" s="296"/>
      <c r="DT967" s="296"/>
    </row>
    <row r="968" spans="1:124" ht="12" customHeight="1" x14ac:dyDescent="0.25">
      <c r="A968" s="2125" t="s">
        <v>2143</v>
      </c>
      <c r="B968" s="428"/>
      <c r="C968" s="502"/>
      <c r="D968" s="502"/>
      <c r="E968" s="502"/>
      <c r="F968" s="502"/>
      <c r="G968" s="534"/>
      <c r="H968" s="502"/>
      <c r="I968" s="502"/>
      <c r="J968" s="502"/>
      <c r="K968" s="502"/>
      <c r="L968" s="534"/>
      <c r="M968" s="502"/>
      <c r="N968" s="502"/>
      <c r="O968" s="502"/>
      <c r="P968" s="502"/>
      <c r="Q968" s="534"/>
      <c r="R968" s="502"/>
      <c r="S968" s="502"/>
      <c r="T968" s="502"/>
      <c r="U968" s="502"/>
      <c r="V968" s="534"/>
      <c r="W968" s="502"/>
      <c r="X968" s="502"/>
      <c r="Y968" s="502"/>
      <c r="Z968" s="502"/>
      <c r="AA968" s="534"/>
      <c r="AB968" s="502"/>
      <c r="AC968" s="502"/>
      <c r="AD968" s="502"/>
      <c r="AE968" s="502"/>
      <c r="AF968" s="534"/>
      <c r="AG968" s="502"/>
      <c r="AH968" s="502"/>
      <c r="AI968" s="502"/>
      <c r="AJ968" s="502"/>
      <c r="AK968" s="534"/>
      <c r="AL968" s="503"/>
      <c r="AM968" s="503"/>
      <c r="AN968" s="503"/>
      <c r="AO968" s="503"/>
      <c r="AP968" s="535"/>
      <c r="AQ968" s="535"/>
      <c r="AR968" s="537"/>
      <c r="AS968" s="537"/>
      <c r="AT968" s="537"/>
      <c r="AU968" s="536"/>
      <c r="AV968" s="535"/>
      <c r="AW968" s="537"/>
      <c r="AX968" s="537"/>
      <c r="AY968" s="1926"/>
      <c r="AZ968" s="536"/>
      <c r="BA968" s="535"/>
      <c r="BB968" s="537"/>
      <c r="BC968" s="537"/>
      <c r="BD968" s="1926"/>
      <c r="BE968" s="1926"/>
      <c r="BF968" s="537"/>
      <c r="BG968" s="537"/>
      <c r="BH968" s="537"/>
      <c r="BI968" s="1926"/>
      <c r="BJ968" s="1926"/>
      <c r="BK968" s="537"/>
      <c r="BL968" s="537"/>
      <c r="BM968" s="537"/>
      <c r="BN968" s="1926"/>
      <c r="BO968" s="1926"/>
      <c r="BP968" s="537"/>
      <c r="BQ968" s="537"/>
      <c r="BR968" s="537"/>
      <c r="BS968" s="537"/>
      <c r="BT968" s="536"/>
      <c r="BU968" s="535"/>
      <c r="BV968" s="537"/>
      <c r="BW968" s="537"/>
      <c r="BX968" s="537"/>
      <c r="BY968" s="536"/>
      <c r="BZ968" s="536"/>
      <c r="CA968" s="536"/>
      <c r="CB968" s="536"/>
      <c r="CC968" s="536"/>
      <c r="CD968" s="536"/>
      <c r="CE968" s="536"/>
      <c r="CF968" s="536"/>
      <c r="CG968" s="331"/>
      <c r="CH968" s="331"/>
      <c r="CI968" s="331"/>
      <c r="CJ968" s="331"/>
      <c r="CK968" s="331"/>
      <c r="CL968" s="2036" t="str">
        <f t="shared" ref="CL968:CL974" si="2381">A968</f>
        <v>Hollywood Maryland Heights (St. Louis, MO)</v>
      </c>
      <c r="CM968" s="537">
        <f>G968</f>
        <v>0</v>
      </c>
      <c r="CN968" s="537">
        <f>L968</f>
        <v>0</v>
      </c>
      <c r="CO968" s="537">
        <f>Q968</f>
        <v>0</v>
      </c>
      <c r="CP968" s="537">
        <f>V968</f>
        <v>0</v>
      </c>
      <c r="CQ968" s="537">
        <f>AA968</f>
        <v>0</v>
      </c>
      <c r="CR968" s="537">
        <f>AF968</f>
        <v>0</v>
      </c>
      <c r="CS968" s="537">
        <f>AK968</f>
        <v>0</v>
      </c>
      <c r="CT968" s="537">
        <f>AP968</f>
        <v>0</v>
      </c>
      <c r="CU968" s="537">
        <f t="shared" ref="CU968:CU973" si="2382">AU968</f>
        <v>0</v>
      </c>
      <c r="CV968" s="537">
        <f t="shared" ref="CV968:CV974" si="2383">AZ968</f>
        <v>0</v>
      </c>
      <c r="CW968" s="537">
        <f t="shared" ref="CW968:CW974" si="2384">BE968</f>
        <v>0</v>
      </c>
      <c r="CX968" s="537">
        <f t="shared" ref="CX968:CX974" si="2385">BJ968</f>
        <v>0</v>
      </c>
      <c r="CY968" s="537">
        <f t="shared" ref="CY968:CY974" si="2386">BO968</f>
        <v>0</v>
      </c>
      <c r="CZ968" s="537">
        <f t="shared" ref="CZ968:CZ974" si="2387">BT968</f>
        <v>0</v>
      </c>
      <c r="DA968" s="537">
        <f t="shared" ref="DA968:DC974" si="2388">BY968</f>
        <v>0</v>
      </c>
      <c r="DB968" s="537">
        <f t="shared" si="2388"/>
        <v>0</v>
      </c>
      <c r="DC968" s="1926">
        <f t="shared" si="2388"/>
        <v>0</v>
      </c>
      <c r="DD968" s="331"/>
      <c r="DE968" s="331"/>
      <c r="DF968" s="502"/>
      <c r="DG968" s="503"/>
      <c r="DH968" s="537"/>
      <c r="DI968" s="3213"/>
      <c r="DJ968" s="502"/>
      <c r="DK968" s="503"/>
      <c r="DL968" s="502"/>
      <c r="DM968" s="502"/>
      <c r="DN968" s="502"/>
      <c r="DO968" s="502"/>
      <c r="DP968" s="503"/>
      <c r="DQ968" s="503"/>
      <c r="DR968" s="428"/>
      <c r="DS968" s="428"/>
      <c r="DT968" s="428"/>
    </row>
    <row r="969" spans="1:124" ht="12" customHeight="1" x14ac:dyDescent="0.25">
      <c r="A969" s="281" t="s">
        <v>894</v>
      </c>
      <c r="B969" s="281"/>
      <c r="C969" s="305"/>
      <c r="D969" s="305"/>
      <c r="E969" s="305"/>
      <c r="F969" s="305"/>
      <c r="G969" s="345"/>
      <c r="H969" s="305"/>
      <c r="I969" s="305"/>
      <c r="J969" s="305"/>
      <c r="K969" s="305"/>
      <c r="L969" s="345"/>
      <c r="M969" s="305"/>
      <c r="N969" s="305"/>
      <c r="O969" s="305"/>
      <c r="P969" s="305"/>
      <c r="Q969" s="345"/>
      <c r="R969" s="305"/>
      <c r="S969" s="305"/>
      <c r="T969" s="305"/>
      <c r="U969" s="305"/>
      <c r="V969" s="345"/>
      <c r="W969" s="305"/>
      <c r="X969" s="305"/>
      <c r="Y969" s="305"/>
      <c r="Z969" s="305"/>
      <c r="AA969" s="345"/>
      <c r="AB969" s="305"/>
      <c r="AC969" s="305"/>
      <c r="AD969" s="305"/>
      <c r="AE969" s="331"/>
      <c r="AF969" s="348"/>
      <c r="AG969" s="305"/>
      <c r="AH969" s="305"/>
      <c r="AI969" s="305"/>
      <c r="AJ969" s="331"/>
      <c r="AK969" s="348"/>
      <c r="AL969" s="568">
        <f t="shared" ref="AL969:CA969" si="2389">AL970+(AL971*AL$320)</f>
        <v>3054</v>
      </c>
      <c r="AM969" s="330">
        <f t="shared" si="2389"/>
        <v>3026</v>
      </c>
      <c r="AN969" s="330">
        <f t="shared" si="2389"/>
        <v>3013</v>
      </c>
      <c r="AO969" s="330">
        <f t="shared" si="2389"/>
        <v>2974</v>
      </c>
      <c r="AP969" s="349">
        <f t="shared" si="2389"/>
        <v>2974</v>
      </c>
      <c r="AQ969" s="568">
        <f t="shared" si="2389"/>
        <v>3110</v>
      </c>
      <c r="AR969" s="330">
        <f t="shared" si="2389"/>
        <v>3110</v>
      </c>
      <c r="AS969" s="330">
        <f t="shared" si="2389"/>
        <v>3110</v>
      </c>
      <c r="AT969" s="330">
        <f t="shared" si="2389"/>
        <v>2910</v>
      </c>
      <c r="AU969" s="349">
        <f t="shared" si="2389"/>
        <v>2910</v>
      </c>
      <c r="AV969" s="443">
        <f t="shared" si="2389"/>
        <v>2651</v>
      </c>
      <c r="AW969" s="331">
        <f t="shared" si="2389"/>
        <v>2719</v>
      </c>
      <c r="AX969" s="331">
        <f t="shared" si="2389"/>
        <v>2510</v>
      </c>
      <c r="AY969" s="1306">
        <f t="shared" si="2389"/>
        <v>2487</v>
      </c>
      <c r="AZ969" s="349">
        <f t="shared" si="2389"/>
        <v>2487</v>
      </c>
      <c r="BA969" s="443">
        <f t="shared" si="2389"/>
        <v>2614</v>
      </c>
      <c r="BB969" s="331">
        <f t="shared" si="2389"/>
        <v>2557</v>
      </c>
      <c r="BC969" s="331">
        <f t="shared" si="2389"/>
        <v>2594</v>
      </c>
      <c r="BD969" s="1306">
        <f t="shared" si="2389"/>
        <v>2574</v>
      </c>
      <c r="BE969" s="349">
        <f t="shared" si="2389"/>
        <v>2574</v>
      </c>
      <c r="BF969" s="331">
        <f t="shared" ref="BF969:BO969" si="2390">BF970+(BF971*BF$320)</f>
        <v>2586</v>
      </c>
      <c r="BG969" s="331">
        <f t="shared" si="2390"/>
        <v>2588</v>
      </c>
      <c r="BH969" s="331">
        <f t="shared" si="2390"/>
        <v>2588</v>
      </c>
      <c r="BI969" s="1306">
        <f t="shared" si="2390"/>
        <v>2574</v>
      </c>
      <c r="BJ969" s="349">
        <f t="shared" si="2390"/>
        <v>2574</v>
      </c>
      <c r="BK969" s="331">
        <f t="shared" si="2390"/>
        <v>2540</v>
      </c>
      <c r="BL969" s="331">
        <f t="shared" si="2390"/>
        <v>2511</v>
      </c>
      <c r="BM969" s="331">
        <f t="shared" si="2390"/>
        <v>2499</v>
      </c>
      <c r="BN969" s="1306">
        <f t="shared" si="2390"/>
        <v>2493</v>
      </c>
      <c r="BO969" s="349">
        <f t="shared" si="2390"/>
        <v>2493</v>
      </c>
      <c r="BP969" s="331">
        <f t="shared" ref="BP969:BY969" si="2391">BP970+(BP971*BP$320)</f>
        <v>2486</v>
      </c>
      <c r="BQ969" s="331">
        <f t="shared" si="2391"/>
        <v>2496</v>
      </c>
      <c r="BR969" s="331">
        <f t="shared" si="2391"/>
        <v>2496</v>
      </c>
      <c r="BS969" s="331">
        <f t="shared" si="2391"/>
        <v>2496</v>
      </c>
      <c r="BT969" s="3222">
        <f t="shared" si="2391"/>
        <v>2496</v>
      </c>
      <c r="BU969" s="2601">
        <f t="shared" si="2391"/>
        <v>2496</v>
      </c>
      <c r="BV969" s="2601">
        <f t="shared" si="2391"/>
        <v>2496</v>
      </c>
      <c r="BW969" s="2601">
        <f t="shared" si="2391"/>
        <v>2496</v>
      </c>
      <c r="BX969" s="2601">
        <f t="shared" si="2391"/>
        <v>2496</v>
      </c>
      <c r="BY969" s="3222">
        <f t="shared" si="2391"/>
        <v>2496</v>
      </c>
      <c r="BZ969" s="349">
        <f t="shared" si="2389"/>
        <v>2496</v>
      </c>
      <c r="CA969" s="349">
        <f t="shared" si="2389"/>
        <v>2496</v>
      </c>
      <c r="CB969" s="349">
        <f>CB970+(CB971*CB$320)</f>
        <v>2496</v>
      </c>
      <c r="CC969" s="349">
        <f>CC970+(CC971*CC$320)</f>
        <v>2496</v>
      </c>
      <c r="CD969" s="349">
        <f>CD970+(CD971*CD$320)</f>
        <v>2496</v>
      </c>
      <c r="CE969" s="349">
        <f>CE970+(CE971*CE$320)</f>
        <v>2496</v>
      </c>
      <c r="CF969" s="349">
        <f>CF970+(CF971*CF$320)</f>
        <v>2496</v>
      </c>
      <c r="CG969" s="331"/>
      <c r="CH969" s="331"/>
      <c r="CI969" s="331"/>
      <c r="CJ969" s="331"/>
      <c r="CK969" s="331"/>
      <c r="CL969" s="520" t="str">
        <f t="shared" si="2381"/>
        <v>Positions</v>
      </c>
      <c r="CM969" s="330"/>
      <c r="CN969" s="330"/>
      <c r="CO969" s="330"/>
      <c r="CP969" s="330"/>
      <c r="CQ969" s="330"/>
      <c r="CR969" s="330"/>
      <c r="CS969" s="330"/>
      <c r="CT969" s="330"/>
      <c r="CU969" s="330">
        <f t="shared" si="2382"/>
        <v>2910</v>
      </c>
      <c r="CV969" s="330">
        <f t="shared" si="2383"/>
        <v>2487</v>
      </c>
      <c r="CW969" s="330">
        <f t="shared" si="2384"/>
        <v>2574</v>
      </c>
      <c r="CX969" s="330">
        <f t="shared" si="2385"/>
        <v>2574</v>
      </c>
      <c r="CY969" s="330">
        <f t="shared" si="2386"/>
        <v>2493</v>
      </c>
      <c r="CZ969" s="330">
        <f t="shared" si="2387"/>
        <v>2496</v>
      </c>
      <c r="DA969" s="330">
        <f t="shared" si="2388"/>
        <v>2496</v>
      </c>
      <c r="DB969" s="330">
        <f t="shared" si="2388"/>
        <v>2496</v>
      </c>
      <c r="DC969" s="1888">
        <f t="shared" si="2388"/>
        <v>2496</v>
      </c>
      <c r="DD969" s="331"/>
      <c r="DE969" s="331"/>
      <c r="DF969" s="502"/>
      <c r="DG969" s="503"/>
      <c r="DH969" s="2601"/>
      <c r="DI969" s="3213"/>
      <c r="DJ969" s="502"/>
      <c r="DK969" s="503"/>
      <c r="DL969" s="502"/>
      <c r="DM969" s="502"/>
      <c r="DN969" s="502"/>
      <c r="DO969" s="502"/>
      <c r="DP969" s="503"/>
      <c r="DQ969" s="503"/>
      <c r="DR969" s="428"/>
      <c r="DS969" s="428"/>
      <c r="DT969" s="428"/>
    </row>
    <row r="970" spans="1:124" ht="12" customHeight="1" x14ac:dyDescent="0.25">
      <c r="A970" s="281" t="s">
        <v>585</v>
      </c>
      <c r="B970" s="281"/>
      <c r="C970" s="340"/>
      <c r="D970" s="340"/>
      <c r="E970" s="340"/>
      <c r="F970" s="340"/>
      <c r="G970" s="345"/>
      <c r="H970" s="340"/>
      <c r="I970" s="340"/>
      <c r="J970" s="340"/>
      <c r="K970" s="340"/>
      <c r="L970" s="345"/>
      <c r="M970" s="340"/>
      <c r="N970" s="340"/>
      <c r="O970" s="340"/>
      <c r="P970" s="340"/>
      <c r="Q970" s="345"/>
      <c r="R970" s="340"/>
      <c r="S970" s="340"/>
      <c r="T970" s="340"/>
      <c r="U970" s="340"/>
      <c r="V970" s="345"/>
      <c r="W970" s="340"/>
      <c r="X970" s="340"/>
      <c r="Y970" s="340"/>
      <c r="Z970" s="340"/>
      <c r="AA970" s="345"/>
      <c r="AB970" s="340"/>
      <c r="AC970" s="340"/>
      <c r="AD970" s="340"/>
      <c r="AE970" s="339"/>
      <c r="AF970" s="348"/>
      <c r="AG970" s="340"/>
      <c r="AH970" s="340"/>
      <c r="AI970" s="340"/>
      <c r="AJ970" s="339"/>
      <c r="AK970" s="348"/>
      <c r="AL970" s="340">
        <v>2528</v>
      </c>
      <c r="AM970" s="340">
        <v>2502</v>
      </c>
      <c r="AN970" s="340">
        <v>2497</v>
      </c>
      <c r="AO970" s="339">
        <v>2494</v>
      </c>
      <c r="AP970" s="348">
        <f>+AO970</f>
        <v>2494</v>
      </c>
      <c r="AQ970" s="1677">
        <v>2600</v>
      </c>
      <c r="AR970" s="330">
        <f t="shared" ref="AR970:AU971" si="2392">+AQ970</f>
        <v>2600</v>
      </c>
      <c r="AS970" s="330">
        <f t="shared" si="2392"/>
        <v>2600</v>
      </c>
      <c r="AT970" s="338">
        <f>+AS970-400/2</f>
        <v>2400</v>
      </c>
      <c r="AU970" s="348">
        <f t="shared" si="2392"/>
        <v>2400</v>
      </c>
      <c r="AV970" s="1677">
        <v>2171</v>
      </c>
      <c r="AW970" s="2655">
        <v>2239</v>
      </c>
      <c r="AX970" s="2655">
        <v>2072</v>
      </c>
      <c r="AY970" s="338">
        <v>2073</v>
      </c>
      <c r="AZ970" s="348">
        <f>+AY970</f>
        <v>2073</v>
      </c>
      <c r="BA970" s="1677">
        <v>2134</v>
      </c>
      <c r="BB970" s="2923">
        <v>2107</v>
      </c>
      <c r="BC970" s="2923">
        <v>2114</v>
      </c>
      <c r="BD970" s="2939">
        <v>2112</v>
      </c>
      <c r="BE970" s="348">
        <f>+BD970</f>
        <v>2112</v>
      </c>
      <c r="BF970" s="2942">
        <v>2112</v>
      </c>
      <c r="BG970" s="2942">
        <v>2114</v>
      </c>
      <c r="BH970" s="2942">
        <v>2120</v>
      </c>
      <c r="BI970" s="2942">
        <v>2124</v>
      </c>
      <c r="BJ970" s="348">
        <f>+BI970</f>
        <v>2124</v>
      </c>
      <c r="BK970" s="2942">
        <v>2126</v>
      </c>
      <c r="BL970" s="2942">
        <v>2133</v>
      </c>
      <c r="BM970" s="2942">
        <v>2133</v>
      </c>
      <c r="BN970" s="2939">
        <v>2133</v>
      </c>
      <c r="BO970" s="348">
        <f>+BN970</f>
        <v>2133</v>
      </c>
      <c r="BP970" s="2942">
        <v>1988</v>
      </c>
      <c r="BQ970" s="2942">
        <v>1998</v>
      </c>
      <c r="BR970" s="2855">
        <f t="shared" ref="BR970:BX971" si="2393">BQ970</f>
        <v>1998</v>
      </c>
      <c r="BS970" s="2856">
        <f t="shared" si="2393"/>
        <v>1998</v>
      </c>
      <c r="BT970" s="3218">
        <f>+BS970</f>
        <v>1998</v>
      </c>
      <c r="BU970" s="3444">
        <f t="shared" si="2393"/>
        <v>1998</v>
      </c>
      <c r="BV970" s="3444">
        <f t="shared" si="2393"/>
        <v>1998</v>
      </c>
      <c r="BW970" s="3444">
        <f t="shared" si="2393"/>
        <v>1998</v>
      </c>
      <c r="BX970" s="3444">
        <f t="shared" si="2393"/>
        <v>1998</v>
      </c>
      <c r="BY970" s="3234">
        <f t="shared" ref="BY970:CA971" si="2394">+BX970</f>
        <v>1998</v>
      </c>
      <c r="BZ970" s="2857">
        <f t="shared" si="2394"/>
        <v>1998</v>
      </c>
      <c r="CA970" s="2857">
        <f t="shared" si="2394"/>
        <v>1998</v>
      </c>
      <c r="CB970" s="2854">
        <f t="shared" ref="CB970:CF971" si="2395">+CA970</f>
        <v>1998</v>
      </c>
      <c r="CC970" s="2854">
        <f t="shared" si="2395"/>
        <v>1998</v>
      </c>
      <c r="CD970" s="2854">
        <f t="shared" si="2395"/>
        <v>1998</v>
      </c>
      <c r="CE970" s="2854">
        <f t="shared" si="2395"/>
        <v>1998</v>
      </c>
      <c r="CF970" s="2854">
        <f t="shared" si="2395"/>
        <v>1998</v>
      </c>
      <c r="CG970" s="331"/>
      <c r="CH970" s="331"/>
      <c r="CI970" s="331"/>
      <c r="CJ970" s="331"/>
      <c r="CK970" s="331"/>
      <c r="CL970" s="520" t="str">
        <f t="shared" si="2381"/>
        <v>Slots</v>
      </c>
      <c r="CM970" s="330"/>
      <c r="CN970" s="330"/>
      <c r="CO970" s="330"/>
      <c r="CP970" s="330"/>
      <c r="CQ970" s="330"/>
      <c r="CR970" s="330"/>
      <c r="CS970" s="330"/>
      <c r="CT970" s="330"/>
      <c r="CU970" s="330">
        <f t="shared" si="2382"/>
        <v>2400</v>
      </c>
      <c r="CV970" s="330">
        <f t="shared" si="2383"/>
        <v>2073</v>
      </c>
      <c r="CW970" s="330">
        <f t="shared" si="2384"/>
        <v>2112</v>
      </c>
      <c r="CX970" s="330">
        <f t="shared" si="2385"/>
        <v>2124</v>
      </c>
      <c r="CY970" s="330">
        <f t="shared" si="2386"/>
        <v>2133</v>
      </c>
      <c r="CZ970" s="330">
        <f t="shared" si="2387"/>
        <v>1998</v>
      </c>
      <c r="DA970" s="330">
        <f t="shared" si="2388"/>
        <v>1998</v>
      </c>
      <c r="DB970" s="330">
        <f t="shared" si="2388"/>
        <v>1998</v>
      </c>
      <c r="DC970" s="1888">
        <f t="shared" si="2388"/>
        <v>1998</v>
      </c>
      <c r="DD970" s="331"/>
      <c r="DE970" s="331"/>
      <c r="DF970" s="502"/>
      <c r="DG970" s="503"/>
      <c r="DH970" s="2909"/>
      <c r="DI970" s="3213"/>
      <c r="DJ970" s="502"/>
      <c r="DK970" s="503"/>
      <c r="DL970" s="502"/>
      <c r="DM970" s="502"/>
      <c r="DN970" s="502"/>
      <c r="DO970" s="502"/>
      <c r="DP970" s="503"/>
      <c r="DQ970" s="503"/>
      <c r="DR970" s="428"/>
      <c r="DS970" s="428"/>
      <c r="DT970" s="428"/>
    </row>
    <row r="971" spans="1:124" ht="12" customHeight="1" x14ac:dyDescent="0.25">
      <c r="A971" s="281" t="s">
        <v>584</v>
      </c>
      <c r="B971" s="281"/>
      <c r="C971" s="340"/>
      <c r="D971" s="340"/>
      <c r="E971" s="340"/>
      <c r="F971" s="340"/>
      <c r="G971" s="345"/>
      <c r="H971" s="340"/>
      <c r="I971" s="340"/>
      <c r="J971" s="340"/>
      <c r="K971" s="340"/>
      <c r="L971" s="345"/>
      <c r="M971" s="340"/>
      <c r="N971" s="340"/>
      <c r="O971" s="340"/>
      <c r="P971" s="340"/>
      <c r="Q971" s="345"/>
      <c r="R971" s="340"/>
      <c r="S971" s="340"/>
      <c r="T971" s="340"/>
      <c r="U971" s="340"/>
      <c r="V971" s="345"/>
      <c r="W971" s="340"/>
      <c r="X971" s="340"/>
      <c r="Y971" s="340"/>
      <c r="Z971" s="340"/>
      <c r="AA971" s="345"/>
      <c r="AB971" s="340"/>
      <c r="AC971" s="340"/>
      <c r="AD971" s="340"/>
      <c r="AE971" s="339"/>
      <c r="AF971" s="348"/>
      <c r="AG971" s="340"/>
      <c r="AH971" s="340"/>
      <c r="AI971" s="340"/>
      <c r="AJ971" s="339"/>
      <c r="AK971" s="348"/>
      <c r="AL971" s="340">
        <v>87.666666666666671</v>
      </c>
      <c r="AM971" s="340">
        <v>87.333333333333329</v>
      </c>
      <c r="AN971" s="340">
        <v>86</v>
      </c>
      <c r="AO971" s="339">
        <v>80</v>
      </c>
      <c r="AP971" s="348">
        <f>+AO971</f>
        <v>80</v>
      </c>
      <c r="AQ971" s="1677">
        <v>85</v>
      </c>
      <c r="AR971" s="2079">
        <f t="shared" si="2392"/>
        <v>85</v>
      </c>
      <c r="AS971" s="2079">
        <f t="shared" si="2392"/>
        <v>85</v>
      </c>
      <c r="AT971" s="2079">
        <f t="shared" si="2392"/>
        <v>85</v>
      </c>
      <c r="AU971" s="348">
        <f t="shared" si="2392"/>
        <v>85</v>
      </c>
      <c r="AV971" s="2651">
        <v>80</v>
      </c>
      <c r="AW971" s="2655">
        <v>80</v>
      </c>
      <c r="AX971" s="2655">
        <v>73</v>
      </c>
      <c r="AY971" s="2663">
        <v>69</v>
      </c>
      <c r="AZ971" s="348">
        <f>+AY971</f>
        <v>69</v>
      </c>
      <c r="BA971" s="2651">
        <v>80</v>
      </c>
      <c r="BB971" s="2923">
        <v>75</v>
      </c>
      <c r="BC971" s="2923">
        <v>80</v>
      </c>
      <c r="BD971" s="2939">
        <v>77</v>
      </c>
      <c r="BE971" s="348">
        <f>+BD971</f>
        <v>77</v>
      </c>
      <c r="BF971" s="2942">
        <v>79</v>
      </c>
      <c r="BG971" s="2942">
        <v>79</v>
      </c>
      <c r="BH971" s="2942">
        <v>78</v>
      </c>
      <c r="BI971" s="2942">
        <v>75</v>
      </c>
      <c r="BJ971" s="348">
        <f>+BI971</f>
        <v>75</v>
      </c>
      <c r="BK971" s="2942">
        <v>69</v>
      </c>
      <c r="BL971" s="2942">
        <v>63</v>
      </c>
      <c r="BM971" s="2942">
        <v>61</v>
      </c>
      <c r="BN971" s="2939">
        <v>60</v>
      </c>
      <c r="BO971" s="348">
        <f>+BN971</f>
        <v>60</v>
      </c>
      <c r="BP971" s="2942">
        <v>83</v>
      </c>
      <c r="BQ971" s="2942">
        <v>83</v>
      </c>
      <c r="BR971" s="2855">
        <f t="shared" si="2393"/>
        <v>83</v>
      </c>
      <c r="BS971" s="2856">
        <f t="shared" si="2393"/>
        <v>83</v>
      </c>
      <c r="BT971" s="3218">
        <f>+BS971</f>
        <v>83</v>
      </c>
      <c r="BU971" s="3444">
        <f t="shared" si="2393"/>
        <v>83</v>
      </c>
      <c r="BV971" s="3444">
        <f t="shared" si="2393"/>
        <v>83</v>
      </c>
      <c r="BW971" s="3444">
        <f t="shared" si="2393"/>
        <v>83</v>
      </c>
      <c r="BX971" s="3444">
        <f t="shared" si="2393"/>
        <v>83</v>
      </c>
      <c r="BY971" s="3234">
        <f t="shared" si="2394"/>
        <v>83</v>
      </c>
      <c r="BZ971" s="2857">
        <f t="shared" si="2394"/>
        <v>83</v>
      </c>
      <c r="CA971" s="2857">
        <f t="shared" si="2394"/>
        <v>83</v>
      </c>
      <c r="CB971" s="2854">
        <f t="shared" si="2395"/>
        <v>83</v>
      </c>
      <c r="CC971" s="2854">
        <f t="shared" si="2395"/>
        <v>83</v>
      </c>
      <c r="CD971" s="2854">
        <f t="shared" si="2395"/>
        <v>83</v>
      </c>
      <c r="CE971" s="2854">
        <f t="shared" si="2395"/>
        <v>83</v>
      </c>
      <c r="CF971" s="2854">
        <f t="shared" si="2395"/>
        <v>83</v>
      </c>
      <c r="CG971" s="331"/>
      <c r="CH971" s="331"/>
      <c r="CI971" s="331"/>
      <c r="CJ971" s="331"/>
      <c r="CK971" s="331"/>
      <c r="CL971" s="520" t="str">
        <f t="shared" si="2381"/>
        <v>Tables</v>
      </c>
      <c r="CM971" s="330"/>
      <c r="CN971" s="330"/>
      <c r="CO971" s="330"/>
      <c r="CP971" s="330"/>
      <c r="CQ971" s="330"/>
      <c r="CR971" s="330"/>
      <c r="CS971" s="330"/>
      <c r="CT971" s="330"/>
      <c r="CU971" s="330">
        <f t="shared" si="2382"/>
        <v>85</v>
      </c>
      <c r="CV971" s="330">
        <f t="shared" si="2383"/>
        <v>69</v>
      </c>
      <c r="CW971" s="330">
        <f t="shared" si="2384"/>
        <v>77</v>
      </c>
      <c r="CX971" s="330">
        <f t="shared" si="2385"/>
        <v>75</v>
      </c>
      <c r="CY971" s="330">
        <f t="shared" si="2386"/>
        <v>60</v>
      </c>
      <c r="CZ971" s="330">
        <f t="shared" si="2387"/>
        <v>83</v>
      </c>
      <c r="DA971" s="330">
        <f t="shared" si="2388"/>
        <v>83</v>
      </c>
      <c r="DB971" s="330">
        <f t="shared" si="2388"/>
        <v>83</v>
      </c>
      <c r="DC971" s="1888">
        <f t="shared" si="2388"/>
        <v>83</v>
      </c>
      <c r="DD971" s="331"/>
      <c r="DE971" s="331"/>
      <c r="DF971" s="502"/>
      <c r="DG971" s="503"/>
      <c r="DH971" s="2909"/>
      <c r="DI971" s="3213"/>
      <c r="DJ971" s="502"/>
      <c r="DK971" s="503"/>
      <c r="DL971" s="502"/>
      <c r="DM971" s="502"/>
      <c r="DN971" s="502"/>
      <c r="DO971" s="502"/>
      <c r="DP971" s="503"/>
      <c r="DQ971" s="503"/>
      <c r="DR971" s="428"/>
      <c r="DS971" s="428"/>
      <c r="DT971" s="428"/>
    </row>
    <row r="972" spans="1:124" ht="12" customHeight="1" x14ac:dyDescent="0.25">
      <c r="A972" s="511" t="s">
        <v>2111</v>
      </c>
      <c r="B972" s="281"/>
      <c r="C972" s="340"/>
      <c r="D972" s="305"/>
      <c r="E972" s="305"/>
      <c r="F972" s="305"/>
      <c r="G972" s="345"/>
      <c r="H972" s="305"/>
      <c r="I972" s="305"/>
      <c r="J972" s="305"/>
      <c r="K972" s="305"/>
      <c r="L972" s="345"/>
      <c r="M972" s="305"/>
      <c r="N972" s="305"/>
      <c r="O972" s="305"/>
      <c r="P972" s="305"/>
      <c r="Q972" s="345"/>
      <c r="R972" s="305"/>
      <c r="S972" s="305"/>
      <c r="T972" s="305"/>
      <c r="U972" s="305"/>
      <c r="V972" s="345"/>
      <c r="W972" s="305"/>
      <c r="X972" s="305"/>
      <c r="Y972" s="305"/>
      <c r="Z972" s="305"/>
      <c r="AA972" s="345"/>
      <c r="AB972" s="305"/>
      <c r="AC972" s="305"/>
      <c r="AD972" s="305"/>
      <c r="AE972" s="331"/>
      <c r="AF972" s="348"/>
      <c r="AG972" s="305"/>
      <c r="AH972" s="305"/>
      <c r="AI972" s="305"/>
      <c r="AJ972" s="331"/>
      <c r="AK972" s="348"/>
      <c r="AL972" s="568">
        <f>+AL969</f>
        <v>3054</v>
      </c>
      <c r="AM972" s="330">
        <f>+AVERAGE(AL969:AM969)</f>
        <v>3040</v>
      </c>
      <c r="AN972" s="330">
        <f>+AVERAGE(AM969:AN969)</f>
        <v>3019.5</v>
      </c>
      <c r="AO972" s="330">
        <f>+AVERAGE(AN969:AO969)</f>
        <v>2993.5</v>
      </c>
      <c r="AP972" s="349">
        <f>+AVERAGE(AL972:AO972)</f>
        <v>3026.75</v>
      </c>
      <c r="AQ972" s="568">
        <f>+AQ969</f>
        <v>3110</v>
      </c>
      <c r="AR972" s="330">
        <f>+AVERAGE(AQ969:AR969)</f>
        <v>3110</v>
      </c>
      <c r="AS972" s="330">
        <f>+AVERAGE(AR969:AS969)</f>
        <v>3110</v>
      </c>
      <c r="AT972" s="330">
        <f>+AVERAGE(AS969:AT969)</f>
        <v>3010</v>
      </c>
      <c r="AU972" s="349">
        <f>+AVERAGE(AQ972:AT972)</f>
        <v>3085</v>
      </c>
      <c r="AV972" s="443">
        <f t="shared" ref="AV972:BD972" si="2396">AV969</f>
        <v>2651</v>
      </c>
      <c r="AW972" s="331">
        <f t="shared" si="2396"/>
        <v>2719</v>
      </c>
      <c r="AX972" s="331">
        <f t="shared" si="2396"/>
        <v>2510</v>
      </c>
      <c r="AY972" s="1306">
        <f t="shared" si="2396"/>
        <v>2487</v>
      </c>
      <c r="AZ972" s="349">
        <f t="shared" si="2396"/>
        <v>2487</v>
      </c>
      <c r="BA972" s="443">
        <f t="shared" si="2396"/>
        <v>2614</v>
      </c>
      <c r="BB972" s="331">
        <f t="shared" si="2396"/>
        <v>2557</v>
      </c>
      <c r="BC972" s="331">
        <f t="shared" si="2396"/>
        <v>2594</v>
      </c>
      <c r="BD972" s="1306">
        <f t="shared" si="2396"/>
        <v>2574</v>
      </c>
      <c r="BE972" s="349">
        <f>AVERAGE(AZ969,BE969)</f>
        <v>2530.5</v>
      </c>
      <c r="BF972" s="331">
        <f>AVERAGE(BF969,BE969)</f>
        <v>2580</v>
      </c>
      <c r="BG972" s="331">
        <f>AVERAGE(BG969,BF969)</f>
        <v>2587</v>
      </c>
      <c r="BH972" s="331">
        <f>AVERAGE(BH969,BG969)</f>
        <v>2588</v>
      </c>
      <c r="BI972" s="1306">
        <f>AVERAGE(BI969,BH969)</f>
        <v>2581</v>
      </c>
      <c r="BJ972" s="349">
        <f>AVERAGE(BE969,BJ969)</f>
        <v>2574</v>
      </c>
      <c r="BK972" s="331">
        <f>AVERAGE(BK969,BJ969)</f>
        <v>2557</v>
      </c>
      <c r="BL972" s="331">
        <f>AVERAGE(BL969,BK969)</f>
        <v>2525.5</v>
      </c>
      <c r="BM972" s="331">
        <f>AVERAGE(BM969,BL969)</f>
        <v>2505</v>
      </c>
      <c r="BN972" s="1306">
        <f>AVERAGE(BN969,BM969)</f>
        <v>2496</v>
      </c>
      <c r="BO972" s="349">
        <f>AVERAGE(BJ969,BO969)</f>
        <v>2533.5</v>
      </c>
      <c r="BP972" s="331">
        <f>AVERAGE(BP969,BO969)</f>
        <v>2489.5</v>
      </c>
      <c r="BQ972" s="331">
        <f>AVERAGE(BQ969,BP969)</f>
        <v>2491</v>
      </c>
      <c r="BR972" s="331">
        <f>AVERAGE(BR969,BQ969)</f>
        <v>2496</v>
      </c>
      <c r="BS972" s="331">
        <f>AVERAGE(BS969,BR969)</f>
        <v>2496</v>
      </c>
      <c r="BT972" s="3222">
        <f>AVERAGE(BO969,BT969)</f>
        <v>2494.5</v>
      </c>
      <c r="BU972" s="2601">
        <f>AVERAGE(BU969,BT969)</f>
        <v>2496</v>
      </c>
      <c r="BV972" s="2601">
        <f>AVERAGE(BV969,BU969)</f>
        <v>2496</v>
      </c>
      <c r="BW972" s="2601">
        <f>AVERAGE(BW969,BV969)</f>
        <v>2496</v>
      </c>
      <c r="BX972" s="2601">
        <f>AVERAGE(BX969,BW969)</f>
        <v>2496</v>
      </c>
      <c r="BY972" s="3222">
        <f>AVERAGE(BT969,BY969)</f>
        <v>2496</v>
      </c>
      <c r="BZ972" s="349">
        <f t="shared" ref="BZ972:CF972" si="2397">AVERAGE(BY969:BZ969)</f>
        <v>2496</v>
      </c>
      <c r="CA972" s="349">
        <f t="shared" si="2397"/>
        <v>2496</v>
      </c>
      <c r="CB972" s="349">
        <f t="shared" si="2397"/>
        <v>2496</v>
      </c>
      <c r="CC972" s="349">
        <f t="shared" si="2397"/>
        <v>2496</v>
      </c>
      <c r="CD972" s="349">
        <f t="shared" si="2397"/>
        <v>2496</v>
      </c>
      <c r="CE972" s="349">
        <f t="shared" si="2397"/>
        <v>2496</v>
      </c>
      <c r="CF972" s="349">
        <f t="shared" si="2397"/>
        <v>2496</v>
      </c>
      <c r="CG972" s="331"/>
      <c r="CH972" s="331"/>
      <c r="CI972" s="331"/>
      <c r="CJ972" s="331"/>
      <c r="CK972" s="331"/>
      <c r="CL972" s="1118" t="str">
        <f t="shared" si="2381"/>
        <v>Average Positions</v>
      </c>
      <c r="CM972" s="330"/>
      <c r="CN972" s="330"/>
      <c r="CO972" s="330"/>
      <c r="CP972" s="330"/>
      <c r="CQ972" s="330"/>
      <c r="CR972" s="330"/>
      <c r="CS972" s="330"/>
      <c r="CT972" s="330"/>
      <c r="CU972" s="330">
        <f t="shared" si="2382"/>
        <v>3085</v>
      </c>
      <c r="CV972" s="330">
        <f t="shared" si="2383"/>
        <v>2487</v>
      </c>
      <c r="CW972" s="330">
        <f t="shared" si="2384"/>
        <v>2530.5</v>
      </c>
      <c r="CX972" s="330">
        <f t="shared" si="2385"/>
        <v>2574</v>
      </c>
      <c r="CY972" s="330">
        <f t="shared" si="2386"/>
        <v>2533.5</v>
      </c>
      <c r="CZ972" s="330">
        <f t="shared" si="2387"/>
        <v>2494.5</v>
      </c>
      <c r="DA972" s="330">
        <f t="shared" si="2388"/>
        <v>2496</v>
      </c>
      <c r="DB972" s="330">
        <f t="shared" si="2388"/>
        <v>2496</v>
      </c>
      <c r="DC972" s="1888">
        <f t="shared" si="2388"/>
        <v>2496</v>
      </c>
      <c r="DD972" s="331"/>
      <c r="DE972" s="331"/>
      <c r="DF972" s="502"/>
      <c r="DG972" s="503"/>
      <c r="DH972" s="2601"/>
      <c r="DI972" s="3213"/>
      <c r="DJ972" s="502"/>
      <c r="DK972" s="503"/>
      <c r="DL972" s="502"/>
      <c r="DM972" s="502"/>
      <c r="DN972" s="502"/>
      <c r="DO972" s="502"/>
      <c r="DP972" s="503"/>
      <c r="DQ972" s="503"/>
      <c r="DR972" s="428"/>
      <c r="DS972" s="428"/>
      <c r="DT972" s="428"/>
    </row>
    <row r="973" spans="1:124" ht="12" customHeight="1" x14ac:dyDescent="0.25">
      <c r="A973" s="557" t="s">
        <v>901</v>
      </c>
      <c r="B973" s="558"/>
      <c r="C973" s="318"/>
      <c r="D973" s="318"/>
      <c r="E973" s="318"/>
      <c r="F973" s="318"/>
      <c r="G973" s="559"/>
      <c r="H973" s="318"/>
      <c r="I973" s="318"/>
      <c r="J973" s="318"/>
      <c r="K973" s="318"/>
      <c r="L973" s="559"/>
      <c r="M973" s="318"/>
      <c r="N973" s="318"/>
      <c r="O973" s="318"/>
      <c r="P973" s="318"/>
      <c r="Q973" s="559"/>
      <c r="R973" s="318"/>
      <c r="S973" s="318"/>
      <c r="T973" s="318"/>
      <c r="U973" s="318"/>
      <c r="V973" s="559"/>
      <c r="W973" s="318"/>
      <c r="X973" s="318"/>
      <c r="Y973" s="318"/>
      <c r="Z973" s="318"/>
      <c r="AA973" s="559"/>
      <c r="AB973" s="318"/>
      <c r="AC973" s="318"/>
      <c r="AD973" s="318"/>
      <c r="AE973" s="560"/>
      <c r="AF973" s="561"/>
      <c r="AG973" s="318"/>
      <c r="AH973" s="318"/>
      <c r="AI973" s="318"/>
      <c r="AJ973" s="560"/>
      <c r="AK973" s="561"/>
      <c r="AL973" s="1732">
        <f>+AL979*1000000/AL972/AL5</f>
        <v>237.45724004947976</v>
      </c>
      <c r="AM973" s="1766">
        <f>+AM979*1000000/AM972/AM5</f>
        <v>251.22610974551765</v>
      </c>
      <c r="AN973" s="1766">
        <f>+AN979*1000000/AN972/AN5</f>
        <v>243.1965917190436</v>
      </c>
      <c r="AO973" s="1766">
        <f>+AO979*1000000/AO972/AO5</f>
        <v>239.90485907872858</v>
      </c>
      <c r="AP973" s="561">
        <f>AP979*1000000/AP972/AP$5</f>
        <v>242.943814910654</v>
      </c>
      <c r="AQ973" s="1732">
        <f>+AQ979*1000000/AQ972/AQ5</f>
        <v>242.92492381894633</v>
      </c>
      <c r="AR973" s="1766">
        <f>+AR979*1000000/AR972/AR5</f>
        <v>247.62625836542881</v>
      </c>
      <c r="AS973" s="1766">
        <f>+AS979*1000000/AS972/AS5</f>
        <v>226.89780511673425</v>
      </c>
      <c r="AT973" s="1766">
        <f>+AT979*1000000/AT972/AT5</f>
        <v>207.39488289036544</v>
      </c>
      <c r="AU973" s="561">
        <f t="shared" ref="AU973:BJ973" si="2398">AU979*1000000/AU972/AU$5</f>
        <v>231.31730392964371</v>
      </c>
      <c r="AV973" s="562">
        <f t="shared" si="2398"/>
        <v>262.96515252106127</v>
      </c>
      <c r="AW973" s="560">
        <f t="shared" si="2398"/>
        <v>234.09533947112101</v>
      </c>
      <c r="AX973" s="560">
        <f t="shared" si="2398"/>
        <v>255.22295262428545</v>
      </c>
      <c r="AY973" s="1878">
        <f t="shared" si="2398"/>
        <v>230.57068718204226</v>
      </c>
      <c r="AZ973" s="561">
        <f t="shared" si="2398"/>
        <v>255.96599437072777</v>
      </c>
      <c r="BA973" s="562">
        <f t="shared" si="2398"/>
        <v>236.46269319051265</v>
      </c>
      <c r="BB973" s="560">
        <f t="shared" si="2398"/>
        <v>240.90293153463665</v>
      </c>
      <c r="BC973" s="560">
        <f t="shared" si="2398"/>
        <v>224.35040343937516</v>
      </c>
      <c r="BD973" s="1878">
        <f t="shared" si="2398"/>
        <v>224.06777549744945</v>
      </c>
      <c r="BE973" s="561">
        <f t="shared" si="2398"/>
        <v>236.33535035850301</v>
      </c>
      <c r="BF973" s="560">
        <f t="shared" si="2398"/>
        <v>241.63669323858738</v>
      </c>
      <c r="BG973" s="560">
        <f t="shared" si="2398"/>
        <v>238.65149207576343</v>
      </c>
      <c r="BH973" s="560">
        <f t="shared" si="2398"/>
        <v>247.43074171762649</v>
      </c>
      <c r="BI973" s="1878">
        <f t="shared" si="2398"/>
        <v>230.66859470545623</v>
      </c>
      <c r="BJ973" s="561">
        <f t="shared" si="2398"/>
        <v>240.52500506647078</v>
      </c>
      <c r="BK973" s="560">
        <f t="shared" ref="BK973:BS973" si="2399">BK979*1000000/BK972/BK$5</f>
        <v>251.81332420805632</v>
      </c>
      <c r="BL973" s="560">
        <f t="shared" si="2399"/>
        <v>244.55333027297391</v>
      </c>
      <c r="BM973" s="560">
        <f t="shared" si="2399"/>
        <v>264.6880152738002</v>
      </c>
      <c r="BN973" s="1878">
        <f t="shared" si="2399"/>
        <v>252.43446906354512</v>
      </c>
      <c r="BO973" s="561">
        <f t="shared" si="2399"/>
        <v>252.10171419913053</v>
      </c>
      <c r="BP973" s="560">
        <f t="shared" si="2399"/>
        <v>270.86379750507689</v>
      </c>
      <c r="BQ973" s="560">
        <f t="shared" si="2399"/>
        <v>261.85048027845301</v>
      </c>
      <c r="BR973" s="560">
        <f t="shared" si="2399"/>
        <v>265.58604632629596</v>
      </c>
      <c r="BS973" s="560">
        <f t="shared" si="2399"/>
        <v>247.21879093506132</v>
      </c>
      <c r="BT973" s="2589">
        <f t="shared" ref="BT973:CF973" si="2400">BT979*1000000/BT972/BT$5</f>
        <v>261.1787766071659</v>
      </c>
      <c r="BU973" s="2588">
        <f t="shared" si="2400"/>
        <v>261.04769978632481</v>
      </c>
      <c r="BV973" s="2588">
        <f t="shared" si="2400"/>
        <v>261.32594005353616</v>
      </c>
      <c r="BW973" s="2588">
        <f t="shared" si="2400"/>
        <v>270.89776725282189</v>
      </c>
      <c r="BX973" s="2588">
        <f t="shared" si="2400"/>
        <v>252.16316675376257</v>
      </c>
      <c r="BY973" s="2589">
        <f t="shared" si="2400"/>
        <v>261.36043686095013</v>
      </c>
      <c r="BZ973" s="561">
        <f t="shared" si="2400"/>
        <v>267.89444778247389</v>
      </c>
      <c r="CA973" s="561">
        <f t="shared" si="2400"/>
        <v>269.83412069674586</v>
      </c>
      <c r="CB973" s="561">
        <f t="shared" si="2400"/>
        <v>257.04472264728366</v>
      </c>
      <c r="CC973" s="561">
        <f t="shared" si="2400"/>
        <v>244.19248651491944</v>
      </c>
      <c r="CD973" s="561">
        <f t="shared" si="2400"/>
        <v>249.07633624521782</v>
      </c>
      <c r="CE973" s="561">
        <f t="shared" si="2400"/>
        <v>253.36371580353713</v>
      </c>
      <c r="CF973" s="561">
        <f t="shared" si="2400"/>
        <v>259.13902022952465</v>
      </c>
      <c r="CG973" s="331"/>
      <c r="CH973" s="331"/>
      <c r="CI973" s="331"/>
      <c r="CJ973" s="331"/>
      <c r="CK973" s="331"/>
      <c r="CL973" s="1307" t="str">
        <f t="shared" si="2381"/>
        <v>Daily Win / Position</v>
      </c>
      <c r="CM973" s="560"/>
      <c r="CN973" s="560"/>
      <c r="CO973" s="560"/>
      <c r="CP973" s="560"/>
      <c r="CQ973" s="560"/>
      <c r="CR973" s="560"/>
      <c r="CS973" s="560"/>
      <c r="CT973" s="560"/>
      <c r="CU973" s="560">
        <f t="shared" si="2382"/>
        <v>231.31730392964371</v>
      </c>
      <c r="CV973" s="560">
        <f t="shared" si="2383"/>
        <v>255.96599437072777</v>
      </c>
      <c r="CW973" s="560">
        <f t="shared" si="2384"/>
        <v>236.33535035850301</v>
      </c>
      <c r="CX973" s="560">
        <f t="shared" si="2385"/>
        <v>240.52500506647078</v>
      </c>
      <c r="CY973" s="560">
        <f t="shared" si="2386"/>
        <v>252.10171419913053</v>
      </c>
      <c r="CZ973" s="560">
        <f t="shared" si="2387"/>
        <v>261.1787766071659</v>
      </c>
      <c r="DA973" s="560">
        <f t="shared" si="2388"/>
        <v>261.36043686095013</v>
      </c>
      <c r="DB973" s="560">
        <f t="shared" si="2388"/>
        <v>267.89444778247389</v>
      </c>
      <c r="DC973" s="1878">
        <f t="shared" si="2388"/>
        <v>269.83412069674586</v>
      </c>
      <c r="DD973" s="331"/>
      <c r="DE973" s="331"/>
      <c r="DF973" s="502"/>
      <c r="DG973" s="503"/>
      <c r="DH973" s="2588"/>
      <c r="DI973" s="3213"/>
      <c r="DJ973" s="502"/>
      <c r="DK973" s="503"/>
      <c r="DL973" s="502"/>
      <c r="DM973" s="502"/>
      <c r="DN973" s="502"/>
      <c r="DO973" s="502"/>
      <c r="DP973" s="503"/>
      <c r="DQ973" s="503"/>
      <c r="DR973" s="428"/>
      <c r="DS973" s="428"/>
      <c r="DT973" s="428"/>
    </row>
    <row r="974" spans="1:124" ht="12" customHeight="1" x14ac:dyDescent="0.25">
      <c r="A974" s="465" t="s">
        <v>1491</v>
      </c>
      <c r="B974" s="579"/>
      <c r="C974" s="467"/>
      <c r="D974" s="467"/>
      <c r="E974" s="467"/>
      <c r="F974" s="467"/>
      <c r="G974" s="468"/>
      <c r="H974" s="467"/>
      <c r="I974" s="467"/>
      <c r="J974" s="467"/>
      <c r="K974" s="467"/>
      <c r="L974" s="468"/>
      <c r="M974" s="467"/>
      <c r="N974" s="467"/>
      <c r="O974" s="467"/>
      <c r="P974" s="467"/>
      <c r="Q974" s="468"/>
      <c r="R974" s="467"/>
      <c r="S974" s="467"/>
      <c r="T974" s="467"/>
      <c r="U974" s="467"/>
      <c r="V974" s="468"/>
      <c r="W974" s="467"/>
      <c r="X974" s="467"/>
      <c r="Y974" s="467"/>
      <c r="Z974" s="467"/>
      <c r="AA974" s="468"/>
      <c r="AB974" s="467"/>
      <c r="AC974" s="467"/>
      <c r="AD974" s="467"/>
      <c r="AE974" s="469"/>
      <c r="AF974" s="470"/>
      <c r="AG974" s="467"/>
      <c r="AH974" s="467"/>
      <c r="AI974" s="467"/>
      <c r="AJ974" s="469"/>
      <c r="AK974" s="470"/>
      <c r="AL974" s="467"/>
      <c r="AM974" s="467"/>
      <c r="AN974" s="467"/>
      <c r="AO974" s="469"/>
      <c r="AP974" s="471"/>
      <c r="AQ974" s="471">
        <f>(AQ973-AL973)/AL973</f>
        <v>2.3025972037438155E-2</v>
      </c>
      <c r="AR974" s="469">
        <f>(AR973-AM973)/AM973</f>
        <v>-1.4329129180622773E-2</v>
      </c>
      <c r="AS974" s="469">
        <f>(AS973-AN973)/AN973</f>
        <v>-6.7018976240994191E-2</v>
      </c>
      <c r="AT974" s="469">
        <f>(AT973-AO973)/AO973</f>
        <v>-0.13551195383539305</v>
      </c>
      <c r="AU974" s="591">
        <f>(AU973-AP973)/AP973</f>
        <v>-4.7856789378589851E-2</v>
      </c>
      <c r="AV974" s="1618">
        <f t="shared" ref="AV974:BA974" si="2401">(AV973-AQ973)/AQ973</f>
        <v>8.2495564419940173E-2</v>
      </c>
      <c r="AW974" s="519">
        <f t="shared" si="2401"/>
        <v>-5.4642504327387841E-2</v>
      </c>
      <c r="AX974" s="519">
        <f t="shared" si="2401"/>
        <v>0.12483658664295365</v>
      </c>
      <c r="AY974" s="1462">
        <f t="shared" si="2401"/>
        <v>0.11174723295332309</v>
      </c>
      <c r="AZ974" s="591">
        <f t="shared" si="2401"/>
        <v>0.10655791859212174</v>
      </c>
      <c r="BA974" s="1618">
        <f t="shared" si="2401"/>
        <v>-0.10078316110126416</v>
      </c>
      <c r="BB974" s="519">
        <f t="shared" ref="BB974:BJ974" si="2402">(BB973-AW973)/AW973</f>
        <v>2.9080425432200692E-2</v>
      </c>
      <c r="BC974" s="519">
        <f t="shared" si="2402"/>
        <v>-0.12096305942498001</v>
      </c>
      <c r="BD974" s="1462">
        <f t="shared" si="2402"/>
        <v>-2.8203549046365028E-2</v>
      </c>
      <c r="BE974" s="591">
        <f t="shared" si="2402"/>
        <v>-7.6692390567290603E-2</v>
      </c>
      <c r="BF974" s="519">
        <f t="shared" si="2402"/>
        <v>2.1880830241183782E-2</v>
      </c>
      <c r="BG974" s="519">
        <f t="shared" si="2402"/>
        <v>-9.3458367008270021E-3</v>
      </c>
      <c r="BH974" s="519">
        <f t="shared" si="2402"/>
        <v>0.10287629495833821</v>
      </c>
      <c r="BI974" s="1462">
        <f t="shared" si="2402"/>
        <v>2.9459029498339978E-2</v>
      </c>
      <c r="BJ974" s="591">
        <f t="shared" si="2402"/>
        <v>1.7727583713618735E-2</v>
      </c>
      <c r="BK974" s="519">
        <f t="shared" ref="BK974:BX974" si="2403">(BK973-BF973)/BF973</f>
        <v>4.211542060551509E-2</v>
      </c>
      <c r="BL974" s="519">
        <f t="shared" si="2403"/>
        <v>2.4729944681581354E-2</v>
      </c>
      <c r="BM974" s="519">
        <f t="shared" si="2403"/>
        <v>6.9745874891601389E-2</v>
      </c>
      <c r="BN974" s="1462">
        <f t="shared" si="2403"/>
        <v>9.4359938273703994E-2</v>
      </c>
      <c r="BO974" s="591">
        <f t="shared" si="2403"/>
        <v>4.8131000473154294E-2</v>
      </c>
      <c r="BP974" s="519">
        <f t="shared" si="2403"/>
        <v>7.5653158374099597E-2</v>
      </c>
      <c r="BQ974" s="519">
        <f t="shared" si="2403"/>
        <v>7.0729562284724448E-2</v>
      </c>
      <c r="BR974" s="519">
        <f t="shared" si="2403"/>
        <v>3.3927907599700211E-3</v>
      </c>
      <c r="BS974" s="519">
        <f t="shared" si="2403"/>
        <v>-2.0661513254637439E-2</v>
      </c>
      <c r="BT974" s="591">
        <f t="shared" si="2403"/>
        <v>3.6005556078311983E-2</v>
      </c>
      <c r="BU974" s="519">
        <f t="shared" si="2403"/>
        <v>-3.6239976730622667E-2</v>
      </c>
      <c r="BV974" s="519">
        <f t="shared" si="2403"/>
        <v>-2.0032051282054147E-3</v>
      </c>
      <c r="BW974" s="519">
        <f t="shared" si="2403"/>
        <v>2.0000000000000063E-2</v>
      </c>
      <c r="BX974" s="519">
        <f t="shared" si="2403"/>
        <v>2.000000000000008E-2</v>
      </c>
      <c r="BY974" s="591">
        <f>(BY973-BT973)/BT973</f>
        <v>6.9553987557519569E-4</v>
      </c>
      <c r="BZ974" s="591">
        <f t="shared" ref="BZ974:CF974" si="2404">(BZ973-BY973)/BY973</f>
        <v>2.5000000000000022E-2</v>
      </c>
      <c r="CA974" s="591">
        <f t="shared" si="2404"/>
        <v>7.2404371584697813E-3</v>
      </c>
      <c r="CB974" s="591">
        <f t="shared" si="2404"/>
        <v>-4.739726027397257E-2</v>
      </c>
      <c r="CC974" s="591">
        <f t="shared" si="2404"/>
        <v>-5.0000000000000169E-2</v>
      </c>
      <c r="CD974" s="591">
        <f t="shared" si="2404"/>
        <v>1.9999999999999962E-2</v>
      </c>
      <c r="CE974" s="591">
        <f t="shared" si="2404"/>
        <v>1.721311475409833E-2</v>
      </c>
      <c r="CF974" s="591">
        <f t="shared" si="2404"/>
        <v>2.2794520547945354E-2</v>
      </c>
      <c r="CG974" s="331"/>
      <c r="CH974" s="331"/>
      <c r="CI974" s="331"/>
      <c r="CJ974" s="331"/>
      <c r="CK974" s="331"/>
      <c r="CL974" s="1310" t="str">
        <f t="shared" si="2381"/>
        <v>% growth (y-o-y)</v>
      </c>
      <c r="CM974" s="469"/>
      <c r="CN974" s="469"/>
      <c r="CO974" s="469"/>
      <c r="CP974" s="469"/>
      <c r="CQ974" s="469"/>
      <c r="CR974" s="469"/>
      <c r="CS974" s="469"/>
      <c r="CT974" s="469"/>
      <c r="CU974" s="469"/>
      <c r="CV974" s="469">
        <f t="shared" si="2383"/>
        <v>0.10655791859212174</v>
      </c>
      <c r="CW974" s="469">
        <f t="shared" si="2384"/>
        <v>-7.6692390567290603E-2</v>
      </c>
      <c r="CX974" s="469">
        <f t="shared" si="2385"/>
        <v>1.7727583713618735E-2</v>
      </c>
      <c r="CY974" s="469">
        <f t="shared" si="2386"/>
        <v>4.8131000473154294E-2</v>
      </c>
      <c r="CZ974" s="469">
        <f t="shared" si="2387"/>
        <v>3.6005556078311983E-2</v>
      </c>
      <c r="DA974" s="469">
        <f t="shared" si="2388"/>
        <v>6.9553987557519569E-4</v>
      </c>
      <c r="DB974" s="469">
        <f t="shared" si="2388"/>
        <v>2.5000000000000022E-2</v>
      </c>
      <c r="DC974" s="1463">
        <f t="shared" si="2388"/>
        <v>7.2404371584697813E-3</v>
      </c>
      <c r="DD974" s="331"/>
      <c r="DE974" s="331"/>
      <c r="DF974" s="502"/>
      <c r="DG974" s="503"/>
      <c r="DH974" s="519"/>
      <c r="DI974" s="3213"/>
      <c r="DJ974" s="502"/>
      <c r="DK974" s="503"/>
      <c r="DL974" s="502"/>
      <c r="DM974" s="502"/>
      <c r="DN974" s="502"/>
      <c r="DO974" s="502"/>
      <c r="DP974" s="503"/>
      <c r="DQ974" s="503"/>
      <c r="DR974" s="428"/>
      <c r="DS974" s="428"/>
      <c r="DT974" s="428"/>
    </row>
    <row r="975" spans="1:124" ht="5.25" customHeight="1" x14ac:dyDescent="0.25">
      <c r="A975" s="281"/>
      <c r="B975" s="281"/>
      <c r="C975" s="305"/>
      <c r="D975" s="305"/>
      <c r="E975" s="305"/>
      <c r="F975" s="305"/>
      <c r="G975" s="440"/>
      <c r="H975" s="305"/>
      <c r="I975" s="305"/>
      <c r="J975" s="305"/>
      <c r="K975" s="305"/>
      <c r="L975" s="440"/>
      <c r="M975" s="305"/>
      <c r="N975" s="305"/>
      <c r="O975" s="305"/>
      <c r="P975" s="305"/>
      <c r="Q975" s="440"/>
      <c r="R975" s="305"/>
      <c r="S975" s="305"/>
      <c r="T975" s="305"/>
      <c r="U975" s="305"/>
      <c r="V975" s="440"/>
      <c r="W975" s="305"/>
      <c r="X975" s="305"/>
      <c r="Y975" s="305"/>
      <c r="Z975" s="305"/>
      <c r="AA975" s="440"/>
      <c r="AB975" s="305"/>
      <c r="AC975" s="305"/>
      <c r="AD975" s="305"/>
      <c r="AE975" s="331"/>
      <c r="AF975" s="441"/>
      <c r="AG975" s="305"/>
      <c r="AH975" s="305"/>
      <c r="AI975" s="305"/>
      <c r="AJ975" s="331"/>
      <c r="AK975" s="441"/>
      <c r="AL975" s="305"/>
      <c r="AM975" s="305"/>
      <c r="AN975" s="305"/>
      <c r="AO975" s="331"/>
      <c r="AP975" s="569"/>
      <c r="AQ975" s="569"/>
      <c r="AR975" s="442"/>
      <c r="AS975" s="442"/>
      <c r="AT975" s="442"/>
      <c r="AU975" s="441"/>
      <c r="AV975" s="569"/>
      <c r="AW975" s="442"/>
      <c r="AX975" s="442"/>
      <c r="AY975" s="1312"/>
      <c r="AZ975" s="441"/>
      <c r="BA975" s="569"/>
      <c r="BB975" s="442"/>
      <c r="BC975" s="442"/>
      <c r="BD975" s="1312"/>
      <c r="BE975" s="441"/>
      <c r="BF975" s="442"/>
      <c r="BG975" s="442"/>
      <c r="BH975" s="442"/>
      <c r="BI975" s="442"/>
      <c r="BJ975" s="441"/>
      <c r="BK975" s="442"/>
      <c r="BL975" s="442"/>
      <c r="BM975" s="442"/>
      <c r="BN975" s="1312"/>
      <c r="BO975" s="441"/>
      <c r="BP975" s="442"/>
      <c r="BQ975" s="442"/>
      <c r="BR975" s="442"/>
      <c r="BS975" s="442"/>
      <c r="BT975" s="3236"/>
      <c r="BU975" s="3298"/>
      <c r="BV975" s="3298"/>
      <c r="BW975" s="3298"/>
      <c r="BX975" s="3298"/>
      <c r="BY975" s="3236"/>
      <c r="BZ975" s="441"/>
      <c r="CA975" s="441"/>
      <c r="CB975" s="441"/>
      <c r="CC975" s="441"/>
      <c r="CD975" s="441"/>
      <c r="CE975" s="441"/>
      <c r="CF975" s="441"/>
      <c r="CG975" s="331"/>
      <c r="CH975" s="331"/>
      <c r="CI975" s="331"/>
      <c r="CJ975" s="331"/>
      <c r="CK975" s="331"/>
      <c r="CL975" s="520"/>
      <c r="CM975" s="442"/>
      <c r="CN975" s="442"/>
      <c r="CO975" s="442"/>
      <c r="CP975" s="442"/>
      <c r="CQ975" s="442"/>
      <c r="CR975" s="442"/>
      <c r="CS975" s="442"/>
      <c r="CT975" s="442"/>
      <c r="CU975" s="442"/>
      <c r="CV975" s="442"/>
      <c r="CW975" s="442"/>
      <c r="CX975" s="442"/>
      <c r="CY975" s="442"/>
      <c r="CZ975" s="442"/>
      <c r="DA975" s="442"/>
      <c r="DB975" s="442"/>
      <c r="DC975" s="1312"/>
      <c r="DD975" s="331"/>
      <c r="DE975" s="331"/>
      <c r="DF975" s="502"/>
      <c r="DG975" s="503"/>
      <c r="DH975" s="3298"/>
      <c r="DI975" s="3213"/>
      <c r="DJ975" s="502"/>
      <c r="DK975" s="503"/>
      <c r="DL975" s="502"/>
      <c r="DM975" s="502"/>
      <c r="DN975" s="502"/>
      <c r="DO975" s="502"/>
      <c r="DP975" s="503"/>
      <c r="DQ975" s="503"/>
      <c r="DR975" s="428"/>
      <c r="DS975" s="428"/>
      <c r="DT975" s="428"/>
    </row>
    <row r="976" spans="1:124" ht="12" customHeight="1" x14ac:dyDescent="0.25">
      <c r="A976" s="281" t="s">
        <v>1088</v>
      </c>
      <c r="B976" s="281"/>
      <c r="C976" s="305"/>
      <c r="D976" s="305"/>
      <c r="E976" s="305"/>
      <c r="F976" s="305"/>
      <c r="G976" s="440"/>
      <c r="H976" s="305"/>
      <c r="I976" s="305"/>
      <c r="J976" s="305"/>
      <c r="K976" s="305"/>
      <c r="L976" s="440"/>
      <c r="M976" s="305"/>
      <c r="N976" s="305"/>
      <c r="O976" s="305"/>
      <c r="P976" s="305"/>
      <c r="Q976" s="440"/>
      <c r="R976" s="305"/>
      <c r="S976" s="305"/>
      <c r="T976" s="305"/>
      <c r="U976" s="305"/>
      <c r="V976" s="440"/>
      <c r="W976" s="305"/>
      <c r="X976" s="305"/>
      <c r="Y976" s="305"/>
      <c r="Z976" s="305"/>
      <c r="AA976" s="440"/>
      <c r="AB976" s="305"/>
      <c r="AC976" s="305"/>
      <c r="AD976" s="305"/>
      <c r="AE976" s="331"/>
      <c r="AF976" s="441"/>
      <c r="AG976" s="340">
        <v>1891.3720000000001</v>
      </c>
      <c r="AH976" s="340">
        <v>1798.902</v>
      </c>
      <c r="AI976" s="340">
        <v>1883.9449999999999</v>
      </c>
      <c r="AJ976" s="339">
        <v>1688.7460000000001</v>
      </c>
      <c r="AK976" s="477">
        <f>+SUM(AG976:AJ976)</f>
        <v>7262.9650000000001</v>
      </c>
      <c r="AL976" s="340">
        <v>1673.02</v>
      </c>
      <c r="AM976" s="340">
        <v>1752.374</v>
      </c>
      <c r="AN976" s="340">
        <v>1743.559</v>
      </c>
      <c r="AO976" s="339">
        <v>1655.8610000000001</v>
      </c>
      <c r="AP976" s="477">
        <f>+SUM(AL976:AO976)</f>
        <v>6824.8140000000003</v>
      </c>
      <c r="AQ976" s="340">
        <v>1698.5719999999999</v>
      </c>
      <c r="AR976" s="340">
        <v>1704.277</v>
      </c>
      <c r="AS976" s="340">
        <v>1627.3</v>
      </c>
      <c r="AT976" s="339">
        <v>1480.8</v>
      </c>
      <c r="AU976" s="477">
        <f>+SUM(AQ976:AT976)</f>
        <v>6510.9490000000005</v>
      </c>
      <c r="AV976" s="592">
        <v>1709.5840000000001</v>
      </c>
      <c r="AW976" s="340">
        <v>1461.1849999999999</v>
      </c>
      <c r="AX976" s="572">
        <v>1488.981</v>
      </c>
      <c r="AY976" s="572">
        <v>1372.7449999999999</v>
      </c>
      <c r="AZ976" s="477">
        <f>SUM(AV976:AY976)</f>
        <v>6032.4949999999999</v>
      </c>
      <c r="BA976" s="2652">
        <v>1334.546</v>
      </c>
      <c r="BB976" s="2654">
        <v>1291.682</v>
      </c>
      <c r="BC976" s="2941">
        <v>1219.855</v>
      </c>
      <c r="BD976" s="2944">
        <v>1248.498</v>
      </c>
      <c r="BE976" s="477">
        <f>SUM(BA976:BD976)</f>
        <v>5094.5810000000001</v>
      </c>
      <c r="BF976" s="2941">
        <v>1350.692</v>
      </c>
      <c r="BG976" s="2941">
        <v>1368.278</v>
      </c>
      <c r="BH976" s="2941">
        <v>1393.9690000000001</v>
      </c>
      <c r="BI976" s="2941">
        <v>1297.8810000000001</v>
      </c>
      <c r="BJ976" s="477">
        <f>SUM(BF976:BI976)</f>
        <v>5410.8200000000006</v>
      </c>
      <c r="BK976" s="2941">
        <v>1383.903</v>
      </c>
      <c r="BL976" s="2941">
        <v>1436.1479999999999</v>
      </c>
      <c r="BM976" s="2941">
        <v>1460.028</v>
      </c>
      <c r="BN976" s="2944">
        <v>1365.71</v>
      </c>
      <c r="BO976" s="477">
        <f>SUM(BK976:BN976)</f>
        <v>5645.7889999999998</v>
      </c>
      <c r="BP976" s="2941">
        <v>1397.4639999999999</v>
      </c>
      <c r="BQ976" s="2941">
        <v>1338.6210000000001</v>
      </c>
      <c r="BR976" s="2941">
        <v>1396.576</v>
      </c>
      <c r="BS976" s="2941">
        <v>1277.9449999999999</v>
      </c>
      <c r="BT976" s="2604">
        <f>SUM(BP976:BS976)</f>
        <v>5410.6059999999998</v>
      </c>
      <c r="BU976" s="2577">
        <f>+BP976*(1+BU980)</f>
        <v>1350.3364382995219</v>
      </c>
      <c r="BV976" s="2577">
        <f>+BQ976*(1+BV980)</f>
        <v>1338.6210000000001</v>
      </c>
      <c r="BW976" s="2577">
        <f>+BR976*(1+BW980)</f>
        <v>1424.5075200000001</v>
      </c>
      <c r="BX976" s="2577">
        <f>+BS976*(1+BX980)</f>
        <v>1303.5038999999999</v>
      </c>
      <c r="BY976" s="2604">
        <f>SUM(BU976:BX976)</f>
        <v>5416.9688582995223</v>
      </c>
      <c r="BZ976" s="477">
        <f t="shared" ref="BZ976:CF976" si="2405">+BY976*(1+BZ980)</f>
        <v>5552.3930797570101</v>
      </c>
      <c r="CA976" s="477">
        <f t="shared" si="2405"/>
        <v>5607.91701055458</v>
      </c>
      <c r="CB976" s="477">
        <f t="shared" si="2405"/>
        <v>5327.5211600268503</v>
      </c>
      <c r="CC976" s="477">
        <f t="shared" si="2405"/>
        <v>5061.1451020255072</v>
      </c>
      <c r="CD976" s="477">
        <f t="shared" si="2405"/>
        <v>5162.3680040660174</v>
      </c>
      <c r="CE976" s="477">
        <f t="shared" si="2405"/>
        <v>5265.6153641473375</v>
      </c>
      <c r="CF976" s="477">
        <f t="shared" si="2405"/>
        <v>5370.9276714302841</v>
      </c>
      <c r="CG976" s="331"/>
      <c r="CH976" s="331"/>
      <c r="CI976" s="331"/>
      <c r="CJ976" s="331"/>
      <c r="CK976" s="331"/>
      <c r="CL976" s="520" t="str">
        <f>A976</f>
        <v>Admissions (in thousands)</v>
      </c>
      <c r="CM976" s="331"/>
      <c r="CN976" s="331"/>
      <c r="CO976" s="331"/>
      <c r="CP976" s="331"/>
      <c r="CQ976" s="331"/>
      <c r="CR976" s="331"/>
      <c r="CS976" s="331">
        <f>AK976</f>
        <v>7262.9650000000001</v>
      </c>
      <c r="CT976" s="331">
        <f>AP976</f>
        <v>6824.8140000000003</v>
      </c>
      <c r="CU976" s="331">
        <f>AU976</f>
        <v>6510.9490000000005</v>
      </c>
      <c r="CV976" s="331">
        <f>AZ976</f>
        <v>6032.4949999999999</v>
      </c>
      <c r="CW976" s="331">
        <f>BE976</f>
        <v>5094.5810000000001</v>
      </c>
      <c r="CX976" s="331">
        <f>BJ976</f>
        <v>5410.8200000000006</v>
      </c>
      <c r="CY976" s="331">
        <f>BO976</f>
        <v>5645.7889999999998</v>
      </c>
      <c r="CZ976" s="331">
        <f>BT976</f>
        <v>5410.6059999999998</v>
      </c>
      <c r="DA976" s="331">
        <f t="shared" ref="DA976:DC977" si="2406">BY976</f>
        <v>5416.9688582995223</v>
      </c>
      <c r="DB976" s="331">
        <f t="shared" si="2406"/>
        <v>5552.3930797570101</v>
      </c>
      <c r="DC976" s="1306">
        <f t="shared" si="2406"/>
        <v>5607.91701055458</v>
      </c>
      <c r="DD976" s="331"/>
      <c r="DE976" s="331"/>
      <c r="DF976" s="502"/>
      <c r="DG976" s="503"/>
      <c r="DH976" s="2577"/>
      <c r="DI976" s="3213"/>
      <c r="DJ976" s="502"/>
      <c r="DK976" s="503"/>
      <c r="DL976" s="502"/>
      <c r="DM976" s="502"/>
      <c r="DN976" s="502"/>
      <c r="DO976" s="502"/>
      <c r="DP976" s="503"/>
      <c r="DQ976" s="503"/>
      <c r="DR976" s="428"/>
      <c r="DS976" s="428"/>
      <c r="DT976" s="428"/>
    </row>
    <row r="977" spans="1:124" ht="12" customHeight="1" x14ac:dyDescent="0.25">
      <c r="A977" s="465" t="s">
        <v>1491</v>
      </c>
      <c r="B977" s="281"/>
      <c r="C977" s="305"/>
      <c r="D977" s="305"/>
      <c r="E977" s="305"/>
      <c r="F977" s="305"/>
      <c r="G977" s="440"/>
      <c r="H977" s="305"/>
      <c r="I977" s="305"/>
      <c r="J977" s="305"/>
      <c r="K977" s="305"/>
      <c r="L977" s="440"/>
      <c r="M977" s="305"/>
      <c r="N977" s="305"/>
      <c r="O977" s="305"/>
      <c r="P977" s="305"/>
      <c r="Q977" s="440"/>
      <c r="R977" s="305"/>
      <c r="S977" s="305"/>
      <c r="T977" s="305"/>
      <c r="U977" s="305"/>
      <c r="V977" s="440"/>
      <c r="W977" s="305"/>
      <c r="X977" s="305"/>
      <c r="Y977" s="305"/>
      <c r="Z977" s="305"/>
      <c r="AA977" s="440"/>
      <c r="AB977" s="305"/>
      <c r="AC977" s="305"/>
      <c r="AD977" s="305"/>
      <c r="AE977" s="331"/>
      <c r="AF977" s="441"/>
      <c r="AG977" s="305"/>
      <c r="AH977" s="305"/>
      <c r="AI977" s="305"/>
      <c r="AJ977" s="331"/>
      <c r="AK977" s="441"/>
      <c r="AL977" s="517">
        <f t="shared" ref="AL977:AW977" si="2407">+AL976/AG976-1</f>
        <v>-0.11544635322929597</v>
      </c>
      <c r="AM977" s="517">
        <f t="shared" si="2407"/>
        <v>-2.5864666335353448E-2</v>
      </c>
      <c r="AN977" s="517">
        <f t="shared" si="2407"/>
        <v>-7.4517037386972573E-2</v>
      </c>
      <c r="AO977" s="517">
        <f t="shared" si="2407"/>
        <v>-1.9473029099698835E-2</v>
      </c>
      <c r="AP977" s="591">
        <f t="shared" si="2407"/>
        <v>-6.0326739836967347E-2</v>
      </c>
      <c r="AQ977" s="517">
        <f t="shared" si="2407"/>
        <v>1.5272979402517484E-2</v>
      </c>
      <c r="AR977" s="517">
        <f t="shared" si="2407"/>
        <v>-2.7446766500758391E-2</v>
      </c>
      <c r="AS977" s="517">
        <f t="shared" si="2407"/>
        <v>-6.6679131592334961E-2</v>
      </c>
      <c r="AT977" s="517">
        <f t="shared" si="2407"/>
        <v>-0.10572203826287363</v>
      </c>
      <c r="AU977" s="591">
        <f t="shared" si="2407"/>
        <v>-4.5988799108664269E-2</v>
      </c>
      <c r="AV977" s="1618">
        <f t="shared" si="2407"/>
        <v>6.4830928568233581E-3</v>
      </c>
      <c r="AW977" s="519">
        <f t="shared" si="2407"/>
        <v>-0.14263643762134914</v>
      </c>
      <c r="AX977" s="519">
        <f>+AX976/AS976-1</f>
        <v>-8.4999078227739222E-2</v>
      </c>
      <c r="AY977" s="519">
        <f>+AY976/AT976-1</f>
        <v>-7.2970691518098318E-2</v>
      </c>
      <c r="AZ977" s="591">
        <f t="shared" ref="AZ977:BE977" si="2408">+AZ976/AU976-1</f>
        <v>-7.3484525834866865E-2</v>
      </c>
      <c r="BA977" s="1618">
        <f t="shared" si="2408"/>
        <v>-0.21937383597413174</v>
      </c>
      <c r="BB977" s="519">
        <f t="shared" si="2408"/>
        <v>-0.11600379144324635</v>
      </c>
      <c r="BC977" s="519">
        <f t="shared" si="2408"/>
        <v>-0.18074508674052925</v>
      </c>
      <c r="BD977" s="1462">
        <f t="shared" si="2408"/>
        <v>-9.0509890766311218E-2</v>
      </c>
      <c r="BE977" s="591">
        <f t="shared" si="2408"/>
        <v>-0.15547696268293631</v>
      </c>
      <c r="BF977" s="519">
        <f t="shared" ref="BF977:BK977" si="2409">+BF976/BA976-1</f>
        <v>1.2098496417508153E-2</v>
      </c>
      <c r="BG977" s="519">
        <f t="shared" si="2409"/>
        <v>5.9299425090695745E-2</v>
      </c>
      <c r="BH977" s="519">
        <f t="shared" si="2409"/>
        <v>0.14273335765316375</v>
      </c>
      <c r="BI977" s="519">
        <f t="shared" si="2409"/>
        <v>3.9553927999884664E-2</v>
      </c>
      <c r="BJ977" s="591">
        <f t="shared" si="2409"/>
        <v>6.2073603305158986E-2</v>
      </c>
      <c r="BK977" s="519">
        <f t="shared" si="2409"/>
        <v>2.4588137043826341E-2</v>
      </c>
      <c r="BL977" s="519">
        <f t="shared" ref="BL977:BX977" si="2410">+BL976/BG976-1</f>
        <v>4.96024930606207E-2</v>
      </c>
      <c r="BM977" s="519">
        <f t="shared" si="2410"/>
        <v>4.7389145669666899E-2</v>
      </c>
      <c r="BN977" s="1462">
        <f t="shared" si="2410"/>
        <v>5.2261339830076858E-2</v>
      </c>
      <c r="BO977" s="591">
        <f t="shared" si="2410"/>
        <v>4.3425765410787909E-2</v>
      </c>
      <c r="BP977" s="519">
        <f t="shared" si="2410"/>
        <v>9.7990971910602021E-3</v>
      </c>
      <c r="BQ977" s="519">
        <f t="shared" si="2410"/>
        <v>-6.7908739210721936E-2</v>
      </c>
      <c r="BR977" s="519">
        <f t="shared" si="2410"/>
        <v>-4.3459440503880731E-2</v>
      </c>
      <c r="BS977" s="519">
        <f t="shared" si="2410"/>
        <v>-6.4263276976810668E-2</v>
      </c>
      <c r="BT977" s="591">
        <f t="shared" si="2410"/>
        <v>-4.165635662260847E-2</v>
      </c>
      <c r="BU977" s="519">
        <f t="shared" si="2410"/>
        <v>-3.3723632022347627E-2</v>
      </c>
      <c r="BV977" s="519">
        <f t="shared" si="2410"/>
        <v>0</v>
      </c>
      <c r="BW977" s="519">
        <f t="shared" si="2410"/>
        <v>2.0000000000000018E-2</v>
      </c>
      <c r="BX977" s="519">
        <f t="shared" si="2410"/>
        <v>2.0000000000000018E-2</v>
      </c>
      <c r="BY977" s="591">
        <f>+BY976/BT976-1</f>
        <v>1.1759973466045626E-3</v>
      </c>
      <c r="BZ977" s="591">
        <f t="shared" ref="BZ977:CF977" si="2411">+BZ976/BY976-1</f>
        <v>2.4999999999999911E-2</v>
      </c>
      <c r="CA977" s="591">
        <f t="shared" si="2411"/>
        <v>1.0000000000000009E-2</v>
      </c>
      <c r="CB977" s="591">
        <f t="shared" si="2411"/>
        <v>-5.0000000000000155E-2</v>
      </c>
      <c r="CC977" s="591">
        <f t="shared" si="2411"/>
        <v>-5.0000000000000155E-2</v>
      </c>
      <c r="CD977" s="591">
        <f t="shared" si="2411"/>
        <v>2.0000000000000018E-2</v>
      </c>
      <c r="CE977" s="591">
        <f t="shared" si="2411"/>
        <v>2.0000000000000018E-2</v>
      </c>
      <c r="CF977" s="591">
        <f t="shared" si="2411"/>
        <v>2.0000000000000018E-2</v>
      </c>
      <c r="CG977" s="331"/>
      <c r="CH977" s="331"/>
      <c r="CI977" s="331"/>
      <c r="CJ977" s="331"/>
      <c r="CK977" s="331"/>
      <c r="CL977" s="1310" t="str">
        <f>A977</f>
        <v>% growth (y-o-y)</v>
      </c>
      <c r="CM977" s="519"/>
      <c r="CN977" s="519"/>
      <c r="CO977" s="519"/>
      <c r="CP977" s="519"/>
      <c r="CQ977" s="519"/>
      <c r="CR977" s="519"/>
      <c r="CS977" s="519"/>
      <c r="CT977" s="519">
        <f>AP977</f>
        <v>-6.0326739836967347E-2</v>
      </c>
      <c r="CU977" s="519">
        <f>AU977</f>
        <v>-4.5988799108664269E-2</v>
      </c>
      <c r="CV977" s="519">
        <f>AZ977</f>
        <v>-7.3484525834866865E-2</v>
      </c>
      <c r="CW977" s="519">
        <f>BE977</f>
        <v>-0.15547696268293631</v>
      </c>
      <c r="CX977" s="519">
        <f>BJ977</f>
        <v>6.2073603305158986E-2</v>
      </c>
      <c r="CY977" s="519">
        <f>BO977</f>
        <v>4.3425765410787909E-2</v>
      </c>
      <c r="CZ977" s="519">
        <f>BT977</f>
        <v>-4.165635662260847E-2</v>
      </c>
      <c r="DA977" s="519">
        <f t="shared" si="2406"/>
        <v>1.1759973466045626E-3</v>
      </c>
      <c r="DB977" s="519">
        <f t="shared" si="2406"/>
        <v>2.4999999999999911E-2</v>
      </c>
      <c r="DC977" s="1462">
        <f t="shared" si="2406"/>
        <v>1.0000000000000009E-2</v>
      </c>
      <c r="DD977" s="331"/>
      <c r="DE977" s="331"/>
      <c r="DF977" s="502"/>
      <c r="DG977" s="503"/>
      <c r="DH977" s="519"/>
      <c r="DI977" s="3213"/>
      <c r="DJ977" s="502"/>
      <c r="DK977" s="503"/>
      <c r="DL977" s="502"/>
      <c r="DM977" s="502"/>
      <c r="DN977" s="502"/>
      <c r="DO977" s="502"/>
      <c r="DP977" s="503"/>
      <c r="DQ977" s="503"/>
      <c r="DR977" s="428"/>
      <c r="DS977" s="428"/>
      <c r="DT977" s="428"/>
    </row>
    <row r="978" spans="1:124" ht="5.25" customHeight="1" x14ac:dyDescent="0.25">
      <c r="A978" s="281"/>
      <c r="B978" s="281"/>
      <c r="C978" s="305"/>
      <c r="D978" s="305"/>
      <c r="E978" s="305"/>
      <c r="F978" s="305"/>
      <c r="G978" s="440"/>
      <c r="H978" s="305"/>
      <c r="I978" s="305"/>
      <c r="J978" s="305"/>
      <c r="K978" s="305"/>
      <c r="L978" s="440"/>
      <c r="M978" s="305"/>
      <c r="N978" s="305"/>
      <c r="O978" s="305"/>
      <c r="P978" s="305"/>
      <c r="Q978" s="440"/>
      <c r="R978" s="305"/>
      <c r="S978" s="305"/>
      <c r="T978" s="305"/>
      <c r="U978" s="305"/>
      <c r="V978" s="440"/>
      <c r="W978" s="305"/>
      <c r="X978" s="305"/>
      <c r="Y978" s="305"/>
      <c r="Z978" s="305"/>
      <c r="AA978" s="440"/>
      <c r="AB978" s="305"/>
      <c r="AC978" s="305"/>
      <c r="AD978" s="305"/>
      <c r="AE978" s="331"/>
      <c r="AF978" s="441"/>
      <c r="AG978" s="305"/>
      <c r="AH978" s="305"/>
      <c r="AI978" s="305"/>
      <c r="AJ978" s="331"/>
      <c r="AK978" s="441"/>
      <c r="AL978" s="305"/>
      <c r="AM978" s="305"/>
      <c r="AN978" s="305"/>
      <c r="AO978" s="331"/>
      <c r="AP978" s="441"/>
      <c r="AQ978" s="442"/>
      <c r="AR978" s="442"/>
      <c r="AS978" s="442"/>
      <c r="AT978" s="442"/>
      <c r="AU978" s="441"/>
      <c r="AV978" s="569"/>
      <c r="AW978" s="442"/>
      <c r="AX978" s="442"/>
      <c r="AY978" s="1312"/>
      <c r="AZ978" s="441"/>
      <c r="BA978" s="569"/>
      <c r="BB978" s="442"/>
      <c r="BC978" s="442"/>
      <c r="BD978" s="1312"/>
      <c r="BE978" s="441"/>
      <c r="BF978" s="442"/>
      <c r="BG978" s="442"/>
      <c r="BH978" s="442"/>
      <c r="BI978" s="442"/>
      <c r="BJ978" s="441"/>
      <c r="BK978" s="442"/>
      <c r="BL978" s="442"/>
      <c r="BM978" s="442"/>
      <c r="BN978" s="1312"/>
      <c r="BO978" s="441"/>
      <c r="BP978" s="442"/>
      <c r="BQ978" s="442"/>
      <c r="BR978" s="442"/>
      <c r="BS978" s="442"/>
      <c r="BT978" s="3236"/>
      <c r="BU978" s="3298"/>
      <c r="BV978" s="3298"/>
      <c r="BW978" s="3298"/>
      <c r="BX978" s="3298"/>
      <c r="BY978" s="3236"/>
      <c r="BZ978" s="441"/>
      <c r="CA978" s="441"/>
      <c r="CB978" s="441"/>
      <c r="CC978" s="441"/>
      <c r="CD978" s="441"/>
      <c r="CE978" s="441"/>
      <c r="CF978" s="441"/>
      <c r="CG978" s="331"/>
      <c r="CH978" s="331"/>
      <c r="CI978" s="331"/>
      <c r="CJ978" s="331"/>
      <c r="CK978" s="331"/>
      <c r="CL978" s="520"/>
      <c r="CM978" s="442"/>
      <c r="CN978" s="442"/>
      <c r="CO978" s="442"/>
      <c r="CP978" s="442"/>
      <c r="CQ978" s="442"/>
      <c r="CR978" s="442"/>
      <c r="CS978" s="442"/>
      <c r="CT978" s="442"/>
      <c r="CU978" s="442"/>
      <c r="CV978" s="442"/>
      <c r="CW978" s="442"/>
      <c r="CX978" s="442"/>
      <c r="CY978" s="442"/>
      <c r="CZ978" s="442"/>
      <c r="DA978" s="442"/>
      <c r="DB978" s="442"/>
      <c r="DC978" s="1312"/>
      <c r="DD978" s="331"/>
      <c r="DE978" s="331"/>
      <c r="DF978" s="502"/>
      <c r="DG978" s="503"/>
      <c r="DH978" s="3298"/>
      <c r="DI978" s="3213"/>
      <c r="DJ978" s="502"/>
      <c r="DK978" s="503"/>
      <c r="DL978" s="502"/>
      <c r="DM978" s="502"/>
      <c r="DN978" s="502"/>
      <c r="DO978" s="502"/>
      <c r="DP978" s="503"/>
      <c r="DQ978" s="503"/>
      <c r="DR978" s="428"/>
      <c r="DS978" s="428"/>
      <c r="DT978" s="428"/>
    </row>
    <row r="979" spans="1:124" ht="12" customHeight="1" x14ac:dyDescent="0.25">
      <c r="A979" s="281" t="s">
        <v>730</v>
      </c>
      <c r="B979" s="281"/>
      <c r="C979" s="570"/>
      <c r="D979" s="570"/>
      <c r="E979" s="570"/>
      <c r="F979" s="452"/>
      <c r="G979" s="571"/>
      <c r="H979" s="570"/>
      <c r="I979" s="570"/>
      <c r="J979" s="570"/>
      <c r="K979" s="452"/>
      <c r="L979" s="571"/>
      <c r="M979" s="570"/>
      <c r="N979" s="570"/>
      <c r="O979" s="570"/>
      <c r="P979" s="452"/>
      <c r="Q979" s="571"/>
      <c r="R979" s="570"/>
      <c r="S979" s="570"/>
      <c r="T979" s="570"/>
      <c r="U979" s="452"/>
      <c r="V979" s="571"/>
      <c r="W979" s="570"/>
      <c r="X979" s="570"/>
      <c r="Y979" s="570"/>
      <c r="Z979" s="452"/>
      <c r="AA979" s="571"/>
      <c r="AB979" s="570"/>
      <c r="AC979" s="570"/>
      <c r="AD979" s="570"/>
      <c r="AE979" s="476"/>
      <c r="AF979" s="573"/>
      <c r="AG979" s="570">
        <v>69.823404100000005</v>
      </c>
      <c r="AH979" s="570">
        <v>67.376288790000004</v>
      </c>
      <c r="AI979" s="570">
        <v>70.268763000000007</v>
      </c>
      <c r="AJ979" s="476">
        <v>64.262727999999996</v>
      </c>
      <c r="AK979" s="477">
        <f>+SUM(AG979:AJ979)</f>
        <v>271.73118389000001</v>
      </c>
      <c r="AL979" s="570">
        <v>65.267497000000006</v>
      </c>
      <c r="AM979" s="570">
        <v>69.499190999999996</v>
      </c>
      <c r="AN979" s="570">
        <v>67.558554000000001</v>
      </c>
      <c r="AO979" s="572">
        <v>66.070278000000002</v>
      </c>
      <c r="AP979" s="477">
        <f>+SUM(AL979:AO979)</f>
        <v>268.39552000000003</v>
      </c>
      <c r="AQ979" s="572">
        <v>68.750182690000003</v>
      </c>
      <c r="AR979" s="572">
        <v>70.080707380000007</v>
      </c>
      <c r="AS979" s="572">
        <v>64.92</v>
      </c>
      <c r="AT979" s="572">
        <v>57.431790970000002</v>
      </c>
      <c r="AU979" s="477">
        <f>+SUM(AQ979:AT979)</f>
        <v>261.18268104000003</v>
      </c>
      <c r="AV979" s="592">
        <v>62.740855740000001</v>
      </c>
      <c r="AW979" s="572">
        <v>57.921975750000001</v>
      </c>
      <c r="AX979" s="572">
        <v>58.936084219999998</v>
      </c>
      <c r="AY979" s="572">
        <v>52.755495509999996</v>
      </c>
      <c r="AZ979" s="477">
        <f>SUM(AV979:AY979)</f>
        <v>232.35441122</v>
      </c>
      <c r="BA979" s="2652">
        <v>55.6302132</v>
      </c>
      <c r="BB979" s="2654">
        <v>56.054980430000001</v>
      </c>
      <c r="BC979" s="2654">
        <v>53.540775080000003</v>
      </c>
      <c r="BD979" s="2654">
        <v>53.061041780000004</v>
      </c>
      <c r="BE979" s="477">
        <f>SUM(BA979:BD979)</f>
        <v>218.28701049000003</v>
      </c>
      <c r="BF979" s="2941">
        <v>56.108040169999995</v>
      </c>
      <c r="BG979" s="2941">
        <v>56.182618309999995</v>
      </c>
      <c r="BH979" s="2941">
        <v>58.912269879999997</v>
      </c>
      <c r="BI979" s="2941">
        <v>54.77271915</v>
      </c>
      <c r="BJ979" s="477">
        <f>SUM(BF979:BI979)</f>
        <v>225.97564750999999</v>
      </c>
      <c r="BK979" s="2941">
        <v>58.59368697</v>
      </c>
      <c r="BL979" s="2941">
        <v>56.203368640000008</v>
      </c>
      <c r="BM979" s="2941">
        <v>61</v>
      </c>
      <c r="BN979" s="2944">
        <v>57.967032000000003</v>
      </c>
      <c r="BO979" s="477">
        <f>SUM(BK979:BN979)</f>
        <v>233.76408760999999</v>
      </c>
      <c r="BP979" s="2941">
        <v>60.688388150000002</v>
      </c>
      <c r="BQ979" s="2941">
        <v>59.35652872</v>
      </c>
      <c r="BR979" s="2941">
        <v>60.987054989999997</v>
      </c>
      <c r="BS979" s="2941">
        <v>56.769345400000006</v>
      </c>
      <c r="BT979" s="2604">
        <f>SUM(BP979:BS979)</f>
        <v>237.80131726000002</v>
      </c>
      <c r="BU979" s="2941">
        <v>58.641755279999998</v>
      </c>
      <c r="BV979" s="2577">
        <f>+BQ979*(1+BV980)</f>
        <v>59.35652872</v>
      </c>
      <c r="BW979" s="2577">
        <f>+BR979*(1+BW980)</f>
        <v>62.206796089800001</v>
      </c>
      <c r="BX979" s="2577">
        <f>+BS979*(1+BX980)</f>
        <v>57.904732308000007</v>
      </c>
      <c r="BY979" s="2604">
        <f>SUM(BU979:BX979)</f>
        <v>238.1098123978</v>
      </c>
      <c r="BZ979" s="477">
        <f t="shared" ref="BZ979:CF979" si="2412">+BY979*(1+BZ980)</f>
        <v>244.06255770774499</v>
      </c>
      <c r="CA979" s="477">
        <f t="shared" si="2412"/>
        <v>246.50318328482243</v>
      </c>
      <c r="CB979" s="477">
        <f t="shared" si="2412"/>
        <v>234.17802412058128</v>
      </c>
      <c r="CC979" s="477">
        <f t="shared" si="2412"/>
        <v>222.4691229145522</v>
      </c>
      <c r="CD979" s="477">
        <f t="shared" si="2412"/>
        <v>226.91850537284324</v>
      </c>
      <c r="CE979" s="477">
        <f t="shared" si="2412"/>
        <v>231.45687548030011</v>
      </c>
      <c r="CF979" s="477">
        <f t="shared" si="2412"/>
        <v>236.08601298990612</v>
      </c>
      <c r="CG979" s="331"/>
      <c r="CH979" s="331"/>
      <c r="CI979" s="331"/>
      <c r="CJ979" s="331"/>
      <c r="CK979" s="331"/>
      <c r="CL979" s="520" t="str">
        <f>A979</f>
        <v>Casino revenue</v>
      </c>
      <c r="CM979" s="476"/>
      <c r="CN979" s="476"/>
      <c r="CO979" s="476"/>
      <c r="CP979" s="476"/>
      <c r="CQ979" s="476"/>
      <c r="CR979" s="476"/>
      <c r="CS979" s="476">
        <f>AK979</f>
        <v>271.73118389000001</v>
      </c>
      <c r="CT979" s="476">
        <f>AP979</f>
        <v>268.39552000000003</v>
      </c>
      <c r="CU979" s="476">
        <f>AU979</f>
        <v>261.18268104000003</v>
      </c>
      <c r="CV979" s="476">
        <f>AZ979</f>
        <v>232.35441122</v>
      </c>
      <c r="CW979" s="476">
        <f>BE979</f>
        <v>218.28701049000003</v>
      </c>
      <c r="CX979" s="476">
        <f>BJ979</f>
        <v>225.97564750999999</v>
      </c>
      <c r="CY979" s="476">
        <f>BO979</f>
        <v>233.76408760999999</v>
      </c>
      <c r="CZ979" s="476">
        <f>BT979</f>
        <v>237.80131726000002</v>
      </c>
      <c r="DA979" s="476">
        <f t="shared" ref="DA979:DC983" si="2413">BY979</f>
        <v>238.1098123978</v>
      </c>
      <c r="DB979" s="476">
        <f t="shared" si="2413"/>
        <v>244.06255770774499</v>
      </c>
      <c r="DC979" s="682">
        <f t="shared" si="2413"/>
        <v>246.50318328482243</v>
      </c>
      <c r="DD979" s="331"/>
      <c r="DE979" s="331"/>
      <c r="DF979" s="502"/>
      <c r="DG979" s="503"/>
      <c r="DH979" s="2577"/>
      <c r="DI979" s="3213"/>
      <c r="DJ979" s="502"/>
      <c r="DK979" s="503"/>
      <c r="DL979" s="502"/>
      <c r="DM979" s="502"/>
      <c r="DN979" s="502"/>
      <c r="DO979" s="502"/>
      <c r="DP979" s="503"/>
      <c r="DQ979" s="503"/>
      <c r="DR979" s="428"/>
      <c r="DS979" s="428"/>
      <c r="DT979" s="428"/>
    </row>
    <row r="980" spans="1:124" ht="12" customHeight="1" x14ac:dyDescent="0.25">
      <c r="A980" s="465" t="s">
        <v>1491</v>
      </c>
      <c r="B980" s="579"/>
      <c r="C980" s="467"/>
      <c r="D980" s="467"/>
      <c r="E980" s="467"/>
      <c r="F980" s="467"/>
      <c r="G980" s="468"/>
      <c r="H980" s="467"/>
      <c r="I980" s="467"/>
      <c r="J980" s="467"/>
      <c r="K980" s="467"/>
      <c r="L980" s="468"/>
      <c r="M980" s="467"/>
      <c r="N980" s="467"/>
      <c r="O980" s="467"/>
      <c r="P980" s="467"/>
      <c r="Q980" s="468"/>
      <c r="R980" s="467"/>
      <c r="S980" s="467"/>
      <c r="T980" s="467"/>
      <c r="U980" s="467"/>
      <c r="V980" s="468"/>
      <c r="W980" s="467"/>
      <c r="X980" s="467"/>
      <c r="Y980" s="467"/>
      <c r="Z980" s="467"/>
      <c r="AA980" s="468"/>
      <c r="AB980" s="467"/>
      <c r="AC980" s="467"/>
      <c r="AD980" s="467"/>
      <c r="AE980" s="469"/>
      <c r="AF980" s="470"/>
      <c r="AG980" s="467"/>
      <c r="AH980" s="467"/>
      <c r="AI980" s="467"/>
      <c r="AJ980" s="469"/>
      <c r="AK980" s="470"/>
      <c r="AL980" s="467">
        <f t="shared" ref="AL980:BU980" si="2414">+AL979/AG979-1</f>
        <v>-6.5248997219830462E-2</v>
      </c>
      <c r="AM980" s="467">
        <f t="shared" si="2414"/>
        <v>3.1508149945995045E-2</v>
      </c>
      <c r="AN980" s="467">
        <f t="shared" si="2414"/>
        <v>-3.856918614036231E-2</v>
      </c>
      <c r="AO980" s="467">
        <f t="shared" si="2414"/>
        <v>2.8127501839013247E-2</v>
      </c>
      <c r="AP980" s="470">
        <f t="shared" si="2414"/>
        <v>-1.2275602094128035E-2</v>
      </c>
      <c r="AQ980" s="467">
        <f t="shared" si="2414"/>
        <v>5.3360184626047413E-2</v>
      </c>
      <c r="AR980" s="467">
        <f t="shared" si="2414"/>
        <v>8.3672395553497925E-3</v>
      </c>
      <c r="AS980" s="467">
        <f t="shared" si="2414"/>
        <v>-3.9055809276202114E-2</v>
      </c>
      <c r="AT980" s="467">
        <f t="shared" si="2414"/>
        <v>-0.13074694539653675</v>
      </c>
      <c r="AU980" s="591">
        <f>+AU979/AP979-1</f>
        <v>-2.6873917120524227E-2</v>
      </c>
      <c r="AV980" s="467">
        <f t="shared" si="2414"/>
        <v>-8.7408159729502555E-2</v>
      </c>
      <c r="AW980" s="467">
        <f t="shared" si="2414"/>
        <v>-0.17349613159683841</v>
      </c>
      <c r="AX980" s="519">
        <f t="shared" si="2414"/>
        <v>-9.2173687307455343E-2</v>
      </c>
      <c r="AY980" s="1462">
        <f t="shared" si="2414"/>
        <v>-8.1423465662819217E-2</v>
      </c>
      <c r="AZ980" s="591">
        <f>+AZ979/AU979-1</f>
        <v>-0.11037588597072789</v>
      </c>
      <c r="BA980" s="1618">
        <f t="shared" si="2414"/>
        <v>-0.11333352814738007</v>
      </c>
      <c r="BB980" s="519">
        <f t="shared" si="2414"/>
        <v>-3.2232935700574727E-2</v>
      </c>
      <c r="BC980" s="519">
        <f t="shared" si="2414"/>
        <v>-9.1545090098963389E-2</v>
      </c>
      <c r="BD980" s="519">
        <f t="shared" si="2414"/>
        <v>5.7917429652820651E-3</v>
      </c>
      <c r="BE980" s="591">
        <f>+BE979/AZ979-1</f>
        <v>-6.0542860607369908E-2</v>
      </c>
      <c r="BF980" s="519">
        <f t="shared" si="2414"/>
        <v>8.5893427782153253E-3</v>
      </c>
      <c r="BG980" s="519">
        <f t="shared" si="2414"/>
        <v>2.2770123015096733E-3</v>
      </c>
      <c r="BH980" s="519">
        <f t="shared" si="2414"/>
        <v>0.10032530892528113</v>
      </c>
      <c r="BI980" s="519">
        <f t="shared" si="2414"/>
        <v>3.2258646128677571E-2</v>
      </c>
      <c r="BJ980" s="591">
        <f>+BJ979/BE979-1</f>
        <v>3.5222604417646686E-2</v>
      </c>
      <c r="BK980" s="519">
        <f t="shared" si="2414"/>
        <v>4.4301080423925443E-2</v>
      </c>
      <c r="BL980" s="519">
        <f t="shared" si="2414"/>
        <v>3.6933718335308008E-4</v>
      </c>
      <c r="BM980" s="519">
        <f t="shared" si="2414"/>
        <v>3.5437950774135141E-2</v>
      </c>
      <c r="BN980" s="519">
        <f t="shared" si="2414"/>
        <v>5.8319413378986829E-2</v>
      </c>
      <c r="BO980" s="591">
        <f>+BO979/BJ979-1</f>
        <v>3.446583818132587E-2</v>
      </c>
      <c r="BP980" s="519">
        <f t="shared" si="2414"/>
        <v>3.5749605261612638E-2</v>
      </c>
      <c r="BQ980" s="519">
        <f t="shared" si="2414"/>
        <v>5.6102688438427251E-2</v>
      </c>
      <c r="BR980" s="519">
        <f t="shared" si="2414"/>
        <v>-2.1221327868858886E-4</v>
      </c>
      <c r="BS980" s="519">
        <f t="shared" si="2414"/>
        <v>-2.0661513254637498E-2</v>
      </c>
      <c r="BT980" s="470">
        <f>+BT979/BO979-1</f>
        <v>1.7270529837480897E-2</v>
      </c>
      <c r="BU980" s="519">
        <f t="shared" si="2414"/>
        <v>-3.3723632022347627E-2</v>
      </c>
      <c r="BV980" s="1245">
        <v>0</v>
      </c>
      <c r="BW980" s="1245">
        <v>0.02</v>
      </c>
      <c r="BX980" s="1245">
        <v>0.02</v>
      </c>
      <c r="BY980" s="470">
        <f>+BY979/BT979-1</f>
        <v>1.2972810300402315E-3</v>
      </c>
      <c r="BZ980" s="2563">
        <v>2.5000000000000001E-2</v>
      </c>
      <c r="CA980" s="2563">
        <v>0.01</v>
      </c>
      <c r="CB980" s="2563">
        <v>-0.05</v>
      </c>
      <c r="CC980" s="2563">
        <v>-0.05</v>
      </c>
      <c r="CD980" s="2563">
        <v>0.02</v>
      </c>
      <c r="CE980" s="2563">
        <v>0.02</v>
      </c>
      <c r="CF980" s="2563">
        <v>0.02</v>
      </c>
      <c r="CG980" s="331"/>
      <c r="CH980" s="331"/>
      <c r="CI980" s="331"/>
      <c r="CJ980" s="331"/>
      <c r="CK980" s="331"/>
      <c r="CL980" s="1310" t="str">
        <f>A980</f>
        <v>% growth (y-o-y)</v>
      </c>
      <c r="CM980" s="469"/>
      <c r="CN980" s="469"/>
      <c r="CO980" s="469"/>
      <c r="CP980" s="469"/>
      <c r="CQ980" s="469"/>
      <c r="CR980" s="469"/>
      <c r="CS980" s="469"/>
      <c r="CT980" s="469">
        <f>AP980</f>
        <v>-1.2275602094128035E-2</v>
      </c>
      <c r="CU980" s="469">
        <f>AU980</f>
        <v>-2.6873917120524227E-2</v>
      </c>
      <c r="CV980" s="469">
        <f>AZ980</f>
        <v>-0.11037588597072789</v>
      </c>
      <c r="CW980" s="469">
        <f>BE980</f>
        <v>-6.0542860607369908E-2</v>
      </c>
      <c r="CX980" s="469">
        <f>BJ980</f>
        <v>3.5222604417646686E-2</v>
      </c>
      <c r="CY980" s="469">
        <f>BO980</f>
        <v>3.446583818132587E-2</v>
      </c>
      <c r="CZ980" s="469">
        <f>BT980</f>
        <v>1.7270529837480897E-2</v>
      </c>
      <c r="DA980" s="469">
        <f t="shared" si="2413"/>
        <v>1.2972810300402315E-3</v>
      </c>
      <c r="DB980" s="469">
        <f t="shared" si="2413"/>
        <v>2.5000000000000001E-2</v>
      </c>
      <c r="DC980" s="1463">
        <f t="shared" si="2413"/>
        <v>0.01</v>
      </c>
      <c r="DD980" s="331"/>
      <c r="DE980" s="331"/>
      <c r="DF980" s="502"/>
      <c r="DG980" s="503"/>
      <c r="DH980" s="469"/>
      <c r="DI980" s="3213"/>
      <c r="DJ980" s="502"/>
      <c r="DK980" s="503"/>
      <c r="DL980" s="502"/>
      <c r="DM980" s="502"/>
      <c r="DN980" s="502"/>
      <c r="DO980" s="502"/>
      <c r="DP980" s="503"/>
      <c r="DQ980" s="503"/>
      <c r="DR980" s="428"/>
      <c r="DS980" s="428"/>
      <c r="DT980" s="428"/>
    </row>
    <row r="981" spans="1:124" ht="12" customHeight="1" x14ac:dyDescent="0.25">
      <c r="A981" s="281" t="s">
        <v>645</v>
      </c>
      <c r="B981" s="281"/>
      <c r="C981" s="452"/>
      <c r="D981" s="452"/>
      <c r="E981" s="452"/>
      <c r="F981" s="452"/>
      <c r="G981" s="475"/>
      <c r="H981" s="452"/>
      <c r="I981" s="452"/>
      <c r="J981" s="452"/>
      <c r="K981" s="452"/>
      <c r="L981" s="475"/>
      <c r="M981" s="452"/>
      <c r="N981" s="452"/>
      <c r="O981" s="452"/>
      <c r="P981" s="452"/>
      <c r="Q981" s="475"/>
      <c r="R981" s="452"/>
      <c r="S981" s="452"/>
      <c r="T981" s="452"/>
      <c r="U981" s="452"/>
      <c r="V981" s="475"/>
      <c r="W981" s="452"/>
      <c r="X981" s="452"/>
      <c r="Y981" s="452"/>
      <c r="Z981" s="452"/>
      <c r="AA981" s="475"/>
      <c r="AB981" s="452"/>
      <c r="AC981" s="452"/>
      <c r="AD981" s="452"/>
      <c r="AE981" s="476"/>
      <c r="AF981" s="477"/>
      <c r="AG981" s="452"/>
      <c r="AH981" s="452"/>
      <c r="AI981" s="452"/>
      <c r="AJ981" s="476"/>
      <c r="AK981" s="477"/>
      <c r="AL981" s="452"/>
      <c r="AM981" s="452"/>
      <c r="AN981" s="452"/>
      <c r="AO981" s="476"/>
      <c r="AP981" s="478"/>
      <c r="AQ981" s="592">
        <v>-1</v>
      </c>
      <c r="AR981" s="476">
        <f>+AQ981</f>
        <v>-1</v>
      </c>
      <c r="AS981" s="476">
        <f>+AR981</f>
        <v>-1</v>
      </c>
      <c r="AT981" s="476">
        <f>+AS981</f>
        <v>-1</v>
      </c>
      <c r="AU981" s="477">
        <f>+SUM(AQ981:AT981)</f>
        <v>-4</v>
      </c>
      <c r="AV981" s="478">
        <f>+(AV979*0.075)-(AV979*0.1)</f>
        <v>-1.5685213935000011</v>
      </c>
      <c r="AW981" s="476">
        <f>+(AW979*0.075)-(AW979*0.1)</f>
        <v>-1.4480493937500007</v>
      </c>
      <c r="AX981" s="476">
        <f>+(AX979*0.075)-(AX979*0.1)</f>
        <v>-1.4734021054999999</v>
      </c>
      <c r="AY981" s="682">
        <f>+(AY979*0.075)-(AY979*0.1)</f>
        <v>-1.3188873877500007</v>
      </c>
      <c r="AZ981" s="477">
        <f>+SUM(AV981:AY981)</f>
        <v>-5.8088602805000029</v>
      </c>
      <c r="BA981" s="478">
        <f>AV981+1</f>
        <v>-0.56852139350000108</v>
      </c>
      <c r="BB981" s="476">
        <f>AW981</f>
        <v>-1.4480493937500007</v>
      </c>
      <c r="BC981" s="476">
        <f>AX981+0.005</f>
        <v>-1.4684021055000001</v>
      </c>
      <c r="BD981" s="682">
        <f>AY981+0.5</f>
        <v>-0.81888738775000069</v>
      </c>
      <c r="BE981" s="477">
        <f>+SUM(BA981:BD981)</f>
        <v>-4.3038602805000021</v>
      </c>
      <c r="BF981" s="476">
        <f>BA981</f>
        <v>-0.56852139350000108</v>
      </c>
      <c r="BG981" s="476">
        <f>BB981</f>
        <v>-1.4480493937500007</v>
      </c>
      <c r="BH981" s="476">
        <f>BC981</f>
        <v>-1.4684021055000001</v>
      </c>
      <c r="BI981" s="682">
        <f>BD981</f>
        <v>-0.81888738775000069</v>
      </c>
      <c r="BJ981" s="477">
        <f>+SUM(BF981:BI981)</f>
        <v>-4.3038602805000021</v>
      </c>
      <c r="BK981" s="476">
        <f>BF981*0.5</f>
        <v>-0.28426069675000054</v>
      </c>
      <c r="BL981" s="476">
        <f>BG981*0.5</f>
        <v>-0.72402469687500037</v>
      </c>
      <c r="BM981" s="476">
        <f>BH981*0.75</f>
        <v>-1.101301579125</v>
      </c>
      <c r="BN981" s="682">
        <f>BI981*0.5</f>
        <v>-0.40944369387500035</v>
      </c>
      <c r="BO981" s="477">
        <f>+SUM(BK981:BN981)</f>
        <v>-2.5190306666250013</v>
      </c>
      <c r="BP981" s="476">
        <f>BK981</f>
        <v>-0.28426069675000054</v>
      </c>
      <c r="BQ981" s="476">
        <f>BL981</f>
        <v>-0.72402469687500037</v>
      </c>
      <c r="BR981" s="476">
        <f>BM981</f>
        <v>-1.101301579125</v>
      </c>
      <c r="BS981" s="476">
        <f>BN981</f>
        <v>-0.40944369387500035</v>
      </c>
      <c r="BT981" s="2604">
        <f>+SUM(BP981:BS981)</f>
        <v>-2.5190306666250013</v>
      </c>
      <c r="BU981" s="2577">
        <f>BP981</f>
        <v>-0.28426069675000054</v>
      </c>
      <c r="BV981" s="2577">
        <f>BQ981</f>
        <v>-0.72402469687500037</v>
      </c>
      <c r="BW981" s="2577">
        <f>BR981</f>
        <v>-1.101301579125</v>
      </c>
      <c r="BX981" s="2577">
        <f>BS981</f>
        <v>-0.40944369387500035</v>
      </c>
      <c r="BY981" s="2604">
        <f>+SUM(BU981:BX981)</f>
        <v>-2.5190306666250013</v>
      </c>
      <c r="BZ981" s="477">
        <f t="shared" ref="BZ981:CF981" si="2415">+BY981</f>
        <v>-2.5190306666250013</v>
      </c>
      <c r="CA981" s="477">
        <f t="shared" si="2415"/>
        <v>-2.5190306666250013</v>
      </c>
      <c r="CB981" s="477">
        <f t="shared" si="2415"/>
        <v>-2.5190306666250013</v>
      </c>
      <c r="CC981" s="477">
        <f t="shared" si="2415"/>
        <v>-2.5190306666250013</v>
      </c>
      <c r="CD981" s="477">
        <f t="shared" si="2415"/>
        <v>-2.5190306666250013</v>
      </c>
      <c r="CE981" s="477">
        <f t="shared" si="2415"/>
        <v>-2.5190306666250013</v>
      </c>
      <c r="CF981" s="477">
        <f t="shared" si="2415"/>
        <v>-2.5190306666250013</v>
      </c>
      <c r="CG981" s="331"/>
      <c r="CH981" s="331"/>
      <c r="CI981" s="331"/>
      <c r="CJ981" s="331"/>
      <c r="CK981" s="331"/>
      <c r="CL981" s="520" t="str">
        <f>A981</f>
        <v>Other revenue</v>
      </c>
      <c r="CM981" s="476"/>
      <c r="CN981" s="476"/>
      <c r="CO981" s="476"/>
      <c r="CP981" s="476"/>
      <c r="CQ981" s="476"/>
      <c r="CR981" s="476"/>
      <c r="CS981" s="476"/>
      <c r="CT981" s="476"/>
      <c r="CU981" s="476">
        <f>AU981</f>
        <v>-4</v>
      </c>
      <c r="CV981" s="476">
        <f>AZ981</f>
        <v>-5.8088602805000029</v>
      </c>
      <c r="CW981" s="476">
        <f>BE981</f>
        <v>-4.3038602805000021</v>
      </c>
      <c r="CX981" s="476">
        <f>BJ981</f>
        <v>-4.3038602805000021</v>
      </c>
      <c r="CY981" s="476">
        <f>BO981</f>
        <v>-2.5190306666250013</v>
      </c>
      <c r="CZ981" s="476">
        <f>BT981</f>
        <v>-2.5190306666250013</v>
      </c>
      <c r="DA981" s="476">
        <f t="shared" si="2413"/>
        <v>-2.5190306666250013</v>
      </c>
      <c r="DB981" s="476">
        <f t="shared" si="2413"/>
        <v>-2.5190306666250013</v>
      </c>
      <c r="DC981" s="682">
        <f t="shared" si="2413"/>
        <v>-2.5190306666250013</v>
      </c>
      <c r="DD981" s="331"/>
      <c r="DE981" s="331"/>
      <c r="DF981" s="502"/>
      <c r="DG981" s="503"/>
      <c r="DH981" s="2577"/>
      <c r="DI981" s="3213"/>
      <c r="DJ981" s="502"/>
      <c r="DK981" s="503"/>
      <c r="DL981" s="502"/>
      <c r="DM981" s="502"/>
      <c r="DN981" s="502"/>
      <c r="DO981" s="502"/>
      <c r="DP981" s="503"/>
      <c r="DQ981" s="503"/>
      <c r="DR981" s="428"/>
      <c r="DS981" s="428"/>
      <c r="DT981" s="428"/>
    </row>
    <row r="982" spans="1:124" ht="12" customHeight="1" x14ac:dyDescent="0.25">
      <c r="A982" s="496" t="s">
        <v>1418</v>
      </c>
      <c r="B982" s="1007"/>
      <c r="C982" s="1008"/>
      <c r="D982" s="1008"/>
      <c r="E982" s="1008"/>
      <c r="F982" s="1008"/>
      <c r="G982" s="1009"/>
      <c r="H982" s="1008"/>
      <c r="I982" s="1008"/>
      <c r="J982" s="1008"/>
      <c r="K982" s="1008"/>
      <c r="L982" s="1009"/>
      <c r="M982" s="1008"/>
      <c r="N982" s="1008"/>
      <c r="O982" s="1008"/>
      <c r="P982" s="1008"/>
      <c r="Q982" s="1009"/>
      <c r="R982" s="1008"/>
      <c r="S982" s="1008"/>
      <c r="T982" s="1008"/>
      <c r="U982" s="1008"/>
      <c r="V982" s="1009"/>
      <c r="W982" s="1008"/>
      <c r="X982" s="1008"/>
      <c r="Y982" s="1008"/>
      <c r="Z982" s="1008"/>
      <c r="AA982" s="1009"/>
      <c r="AB982" s="1014"/>
      <c r="AC982" s="1014"/>
      <c r="AD982" s="1014"/>
      <c r="AE982" s="1012"/>
      <c r="AF982" s="1011"/>
      <c r="AG982" s="1014"/>
      <c r="AH982" s="1014"/>
      <c r="AI982" s="1014"/>
      <c r="AJ982" s="1012"/>
      <c r="AK982" s="1011"/>
      <c r="AL982" s="1014"/>
      <c r="AM982" s="1014"/>
      <c r="AN982" s="1014"/>
      <c r="AO982" s="1012"/>
      <c r="AP982" s="1013"/>
      <c r="AQ982" s="1013">
        <f>+AQ979+AQ981</f>
        <v>67.750182690000003</v>
      </c>
      <c r="AR982" s="1012">
        <f>+AR979+AR981</f>
        <v>69.080707380000007</v>
      </c>
      <c r="AS982" s="1012">
        <f>+AS979+AS981</f>
        <v>63.92</v>
      </c>
      <c r="AT982" s="1012">
        <f>+AT979+AT981</f>
        <v>56.431790970000002</v>
      </c>
      <c r="AU982" s="1011">
        <f>+SUM(AQ982:AT982)</f>
        <v>257.18268104000003</v>
      </c>
      <c r="AV982" s="1013">
        <f t="shared" ref="AV982:BJ982" si="2416">AV981+AV979</f>
        <v>61.172334346500001</v>
      </c>
      <c r="AW982" s="1012">
        <f t="shared" si="2416"/>
        <v>56.473926356250004</v>
      </c>
      <c r="AX982" s="1012">
        <f t="shared" si="2416"/>
        <v>57.462682114499998</v>
      </c>
      <c r="AY982" s="1877">
        <f t="shared" si="2416"/>
        <v>51.436608122249993</v>
      </c>
      <c r="AZ982" s="1011">
        <f t="shared" si="2416"/>
        <v>226.5455509395</v>
      </c>
      <c r="BA982" s="1013">
        <f t="shared" si="2416"/>
        <v>55.061691806500001</v>
      </c>
      <c r="BB982" s="1012">
        <f t="shared" si="2416"/>
        <v>54.606931036250003</v>
      </c>
      <c r="BC982" s="1012">
        <f t="shared" si="2416"/>
        <v>52.072372974500006</v>
      </c>
      <c r="BD982" s="1877">
        <f t="shared" si="2416"/>
        <v>52.242154392250001</v>
      </c>
      <c r="BE982" s="1011">
        <f t="shared" si="2416"/>
        <v>213.98315020950002</v>
      </c>
      <c r="BF982" s="1012">
        <f t="shared" si="2416"/>
        <v>55.539518776499996</v>
      </c>
      <c r="BG982" s="1012">
        <f t="shared" si="2416"/>
        <v>54.734568916249998</v>
      </c>
      <c r="BH982" s="1012">
        <f t="shared" si="2416"/>
        <v>57.443867774499999</v>
      </c>
      <c r="BI982" s="1877">
        <f t="shared" si="2416"/>
        <v>53.953831762249997</v>
      </c>
      <c r="BJ982" s="1011">
        <f t="shared" si="2416"/>
        <v>221.67178722949998</v>
      </c>
      <c r="BK982" s="1012">
        <f t="shared" ref="BK982:BT982" si="2417">BK981+BK979</f>
        <v>58.309426273249997</v>
      </c>
      <c r="BL982" s="1012">
        <f t="shared" si="2417"/>
        <v>55.479343943125009</v>
      </c>
      <c r="BM982" s="1012">
        <f t="shared" si="2417"/>
        <v>59.898698420875</v>
      </c>
      <c r="BN982" s="1877">
        <f t="shared" si="2417"/>
        <v>57.557588306125005</v>
      </c>
      <c r="BO982" s="1011">
        <f t="shared" si="2417"/>
        <v>231.24505694337498</v>
      </c>
      <c r="BP982" s="1012">
        <f t="shared" si="2417"/>
        <v>60.404127453249998</v>
      </c>
      <c r="BQ982" s="1012">
        <f t="shared" si="2417"/>
        <v>58.632504023125001</v>
      </c>
      <c r="BR982" s="1012">
        <f t="shared" si="2417"/>
        <v>59.885753410874997</v>
      </c>
      <c r="BS982" s="1012">
        <f t="shared" si="2417"/>
        <v>56.359901706125008</v>
      </c>
      <c r="BT982" s="1011">
        <f t="shared" si="2417"/>
        <v>235.28228659337501</v>
      </c>
      <c r="BU982" s="1012">
        <f t="shared" ref="BU982:CF982" si="2418">BU981+BU979</f>
        <v>58.357494583249995</v>
      </c>
      <c r="BV982" s="1012">
        <f t="shared" si="2418"/>
        <v>58.632504023125001</v>
      </c>
      <c r="BW982" s="1012">
        <f t="shared" si="2418"/>
        <v>61.105494510675001</v>
      </c>
      <c r="BX982" s="1012">
        <f t="shared" si="2418"/>
        <v>57.495288614125009</v>
      </c>
      <c r="BY982" s="1011">
        <f t="shared" si="2418"/>
        <v>235.59078173117499</v>
      </c>
      <c r="BZ982" s="1011">
        <f t="shared" si="2418"/>
        <v>241.54352704111997</v>
      </c>
      <c r="CA982" s="1011">
        <f t="shared" si="2418"/>
        <v>243.98415261819741</v>
      </c>
      <c r="CB982" s="1011">
        <f t="shared" si="2418"/>
        <v>231.65899345395627</v>
      </c>
      <c r="CC982" s="1011">
        <f t="shared" si="2418"/>
        <v>219.95009224792719</v>
      </c>
      <c r="CD982" s="1011">
        <f t="shared" si="2418"/>
        <v>224.39947470621823</v>
      </c>
      <c r="CE982" s="1011">
        <f t="shared" si="2418"/>
        <v>228.9378448136751</v>
      </c>
      <c r="CF982" s="1011">
        <f t="shared" si="2418"/>
        <v>233.56698232328111</v>
      </c>
      <c r="CG982" s="331"/>
      <c r="CH982" s="331"/>
      <c r="CI982" s="331"/>
      <c r="CJ982" s="331"/>
      <c r="CK982" s="331"/>
      <c r="CL982" s="2102" t="str">
        <f>A982</f>
        <v>Net revenue</v>
      </c>
      <c r="CM982" s="1012"/>
      <c r="CN982" s="1012"/>
      <c r="CO982" s="1012"/>
      <c r="CP982" s="1012"/>
      <c r="CQ982" s="1012"/>
      <c r="CR982" s="1012"/>
      <c r="CS982" s="1012"/>
      <c r="CT982" s="1012"/>
      <c r="CU982" s="1012">
        <f>AU982</f>
        <v>257.18268104000003</v>
      </c>
      <c r="CV982" s="1012">
        <f>AZ982</f>
        <v>226.5455509395</v>
      </c>
      <c r="CW982" s="1012">
        <f>BE982</f>
        <v>213.98315020950002</v>
      </c>
      <c r="CX982" s="1012">
        <f>BJ982</f>
        <v>221.67178722949998</v>
      </c>
      <c r="CY982" s="1012">
        <f>BO982</f>
        <v>231.24505694337498</v>
      </c>
      <c r="CZ982" s="1012">
        <f>BT982</f>
        <v>235.28228659337501</v>
      </c>
      <c r="DA982" s="1012">
        <f t="shared" si="2413"/>
        <v>235.59078173117499</v>
      </c>
      <c r="DB982" s="1012">
        <f t="shared" si="2413"/>
        <v>241.54352704111997</v>
      </c>
      <c r="DC982" s="1877">
        <f t="shared" si="2413"/>
        <v>243.98415261819741</v>
      </c>
      <c r="DD982" s="331"/>
      <c r="DE982" s="331"/>
      <c r="DF982" s="502"/>
      <c r="DG982" s="503"/>
      <c r="DH982" s="598"/>
      <c r="DI982" s="3213"/>
      <c r="DJ982" s="502"/>
      <c r="DK982" s="503"/>
      <c r="DL982" s="502"/>
      <c r="DM982" s="502"/>
      <c r="DN982" s="502"/>
      <c r="DO982" s="502"/>
      <c r="DP982" s="503"/>
      <c r="DQ982" s="503"/>
      <c r="DR982" s="428"/>
      <c r="DS982" s="428"/>
      <c r="DT982" s="428"/>
    </row>
    <row r="983" spans="1:124" ht="12" customHeight="1" x14ac:dyDescent="0.25">
      <c r="A983" s="465" t="s">
        <v>1491</v>
      </c>
      <c r="B983" s="579"/>
      <c r="C983" s="467"/>
      <c r="D983" s="467"/>
      <c r="E983" s="467"/>
      <c r="F983" s="467"/>
      <c r="G983" s="468"/>
      <c r="H983" s="467"/>
      <c r="I983" s="467"/>
      <c r="J983" s="467"/>
      <c r="K983" s="467"/>
      <c r="L983" s="468"/>
      <c r="M983" s="467"/>
      <c r="N983" s="467"/>
      <c r="O983" s="467"/>
      <c r="P983" s="467"/>
      <c r="Q983" s="468"/>
      <c r="R983" s="467"/>
      <c r="S983" s="467"/>
      <c r="T983" s="467"/>
      <c r="U983" s="467"/>
      <c r="V983" s="468"/>
      <c r="W983" s="467"/>
      <c r="X983" s="467"/>
      <c r="Y983" s="467"/>
      <c r="Z983" s="467"/>
      <c r="AA983" s="468"/>
      <c r="AB983" s="467"/>
      <c r="AC983" s="467"/>
      <c r="AD983" s="467"/>
      <c r="AE983" s="469"/>
      <c r="AF983" s="470"/>
      <c r="AG983" s="467"/>
      <c r="AH983" s="467"/>
      <c r="AI983" s="467"/>
      <c r="AJ983" s="469"/>
      <c r="AK983" s="470"/>
      <c r="AL983" s="467"/>
      <c r="AM983" s="467"/>
      <c r="AN983" s="467"/>
      <c r="AO983" s="469"/>
      <c r="AP983" s="471"/>
      <c r="AQ983" s="471"/>
      <c r="AR983" s="469"/>
      <c r="AS983" s="469"/>
      <c r="AT983" s="469"/>
      <c r="AU983" s="599"/>
      <c r="AV983" s="1618">
        <f t="shared" ref="AV983:BA983" si="2419">(AV982-AQ982)/AQ982</f>
        <v>-9.7089750644626646E-2</v>
      </c>
      <c r="AW983" s="519">
        <f t="shared" si="2419"/>
        <v>-0.18249351377371495</v>
      </c>
      <c r="AX983" s="519">
        <f t="shared" si="2419"/>
        <v>-0.10102186929755951</v>
      </c>
      <c r="AY983" s="1462">
        <f t="shared" si="2419"/>
        <v>-8.8517177319527643E-2</v>
      </c>
      <c r="AZ983" s="591">
        <f t="shared" si="2419"/>
        <v>-0.11912594571535316</v>
      </c>
      <c r="BA983" s="1618">
        <f t="shared" si="2419"/>
        <v>-9.9892256937381754E-2</v>
      </c>
      <c r="BB983" s="519">
        <f t="shared" ref="BB983:BJ983" si="2420">(BB982-AW982)/AW982</f>
        <v>-3.3059421231358729E-2</v>
      </c>
      <c r="BC983" s="519">
        <f t="shared" si="2420"/>
        <v>-9.3805387107745442E-2</v>
      </c>
      <c r="BD983" s="1462">
        <f t="shared" si="2420"/>
        <v>1.566095237239315E-2</v>
      </c>
      <c r="BE983" s="591">
        <f t="shared" si="2420"/>
        <v>-5.5451986048292885E-2</v>
      </c>
      <c r="BF983" s="519">
        <f t="shared" si="2420"/>
        <v>8.6780292127454778E-3</v>
      </c>
      <c r="BG983" s="519">
        <f t="shared" si="2420"/>
        <v>2.3373933963669216E-3</v>
      </c>
      <c r="BH983" s="519">
        <f t="shared" si="2420"/>
        <v>0.10315440785904707</v>
      </c>
      <c r="BI983" s="1462">
        <f t="shared" si="2420"/>
        <v>3.2764295230786271E-2</v>
      </c>
      <c r="BJ983" s="591">
        <f t="shared" si="2420"/>
        <v>3.5931039488260666E-2</v>
      </c>
      <c r="BK983" s="519">
        <f t="shared" ref="BK983:BX983" si="2421">(BK982-BF982)/BF982</f>
        <v>4.9872731305011062E-2</v>
      </c>
      <c r="BL983" s="519">
        <f t="shared" si="2421"/>
        <v>1.3607031929210957E-2</v>
      </c>
      <c r="BM983" s="519">
        <f t="shared" si="2421"/>
        <v>4.2734424778143661E-2</v>
      </c>
      <c r="BN983" s="1462">
        <f t="shared" si="2421"/>
        <v>6.6793338418578388E-2</v>
      </c>
      <c r="BO983" s="591">
        <f t="shared" si="2421"/>
        <v>4.3186685295064857E-2</v>
      </c>
      <c r="BP983" s="519">
        <f t="shared" si="2421"/>
        <v>3.5923885962859579E-2</v>
      </c>
      <c r="BQ983" s="519">
        <f t="shared" si="2421"/>
        <v>5.6834847997346068E-2</v>
      </c>
      <c r="BR983" s="519">
        <f t="shared" si="2421"/>
        <v>-2.1611504659158686E-4</v>
      </c>
      <c r="BS983" s="519">
        <f t="shared" si="2421"/>
        <v>-2.080849172536552E-2</v>
      </c>
      <c r="BT983" s="591">
        <f t="shared" si="2421"/>
        <v>1.7458663563946476E-2</v>
      </c>
      <c r="BU983" s="519">
        <f t="shared" si="2421"/>
        <v>-3.388233480541545E-2</v>
      </c>
      <c r="BV983" s="519">
        <f t="shared" si="2421"/>
        <v>0</v>
      </c>
      <c r="BW983" s="519">
        <f t="shared" si="2421"/>
        <v>2.0367800859603179E-2</v>
      </c>
      <c r="BX983" s="519">
        <f t="shared" si="2421"/>
        <v>2.0145296099347364E-2</v>
      </c>
      <c r="BY983" s="591">
        <f>(BY982-BT982)/BT982</f>
        <v>1.311170263884483E-3</v>
      </c>
      <c r="BZ983" s="591">
        <f t="shared" ref="BZ983:CF983" si="2422">(BZ982-BY982)/BY982</f>
        <v>2.5267309977932296E-2</v>
      </c>
      <c r="CA983" s="591">
        <f t="shared" si="2422"/>
        <v>1.0104288891425986E-2</v>
      </c>
      <c r="CB983" s="591">
        <f t="shared" si="2422"/>
        <v>-5.0516228336880423E-2</v>
      </c>
      <c r="CC983" s="591">
        <f t="shared" si="2422"/>
        <v>-5.0543693691547972E-2</v>
      </c>
      <c r="CD983" s="591">
        <f t="shared" si="2422"/>
        <v>2.0229054749727988E-2</v>
      </c>
      <c r="CE983" s="591">
        <f t="shared" si="2422"/>
        <v>2.0224513062690828E-2</v>
      </c>
      <c r="CF983" s="591">
        <f t="shared" si="2422"/>
        <v>2.0220062407652662E-2</v>
      </c>
      <c r="CG983" s="331"/>
      <c r="CH983" s="331"/>
      <c r="CI983" s="331"/>
      <c r="CJ983" s="331"/>
      <c r="CK983" s="331"/>
      <c r="CL983" s="1310" t="str">
        <f>A983</f>
        <v>% growth (y-o-y)</v>
      </c>
      <c r="CM983" s="469"/>
      <c r="CN983" s="469"/>
      <c r="CO983" s="469"/>
      <c r="CP983" s="469"/>
      <c r="CQ983" s="469"/>
      <c r="CR983" s="469"/>
      <c r="CS983" s="469"/>
      <c r="CT983" s="469"/>
      <c r="CU983" s="469"/>
      <c r="CV983" s="469">
        <f>AZ983</f>
        <v>-0.11912594571535316</v>
      </c>
      <c r="CW983" s="469">
        <f>BE983</f>
        <v>-5.5451986048292885E-2</v>
      </c>
      <c r="CX983" s="469">
        <f>BJ983</f>
        <v>3.5931039488260666E-2</v>
      </c>
      <c r="CY983" s="469">
        <f>BO983</f>
        <v>4.3186685295064857E-2</v>
      </c>
      <c r="CZ983" s="469">
        <f>BT983</f>
        <v>1.7458663563946476E-2</v>
      </c>
      <c r="DA983" s="469">
        <f t="shared" si="2413"/>
        <v>1.311170263884483E-3</v>
      </c>
      <c r="DB983" s="469">
        <f t="shared" si="2413"/>
        <v>2.5267309977932296E-2</v>
      </c>
      <c r="DC983" s="1463">
        <f t="shared" si="2413"/>
        <v>1.0104288891425986E-2</v>
      </c>
      <c r="DD983" s="331"/>
      <c r="DE983" s="331"/>
      <c r="DF983" s="502"/>
      <c r="DG983" s="503"/>
      <c r="DH983" s="519"/>
      <c r="DI983" s="3213"/>
      <c r="DJ983" s="502"/>
      <c r="DK983" s="503"/>
      <c r="DL983" s="502"/>
      <c r="DM983" s="502"/>
      <c r="DN983" s="502"/>
      <c r="DO983" s="502"/>
      <c r="DP983" s="503"/>
      <c r="DQ983" s="503"/>
      <c r="DR983" s="428"/>
      <c r="DS983" s="428"/>
      <c r="DT983" s="428"/>
    </row>
    <row r="984" spans="1:124" ht="5.25" customHeight="1" x14ac:dyDescent="0.25">
      <c r="A984" s="281"/>
      <c r="B984" s="281"/>
      <c r="C984" s="305"/>
      <c r="D984" s="305"/>
      <c r="E984" s="305"/>
      <c r="F984" s="305"/>
      <c r="G984" s="440"/>
      <c r="H984" s="305"/>
      <c r="I984" s="305"/>
      <c r="J984" s="305"/>
      <c r="K984" s="305"/>
      <c r="L984" s="440"/>
      <c r="M984" s="305"/>
      <c r="N984" s="305"/>
      <c r="O984" s="305"/>
      <c r="P984" s="305"/>
      <c r="Q984" s="440"/>
      <c r="R984" s="305"/>
      <c r="S984" s="305"/>
      <c r="T984" s="305"/>
      <c r="U984" s="305"/>
      <c r="V984" s="440"/>
      <c r="W984" s="305"/>
      <c r="X984" s="305"/>
      <c r="Y984" s="305"/>
      <c r="Z984" s="305"/>
      <c r="AA984" s="440"/>
      <c r="AB984" s="305"/>
      <c r="AC984" s="305"/>
      <c r="AD984" s="305"/>
      <c r="AE984" s="331"/>
      <c r="AF984" s="441"/>
      <c r="AG984" s="305"/>
      <c r="AH984" s="305"/>
      <c r="AI984" s="305"/>
      <c r="AJ984" s="331"/>
      <c r="AK984" s="441"/>
      <c r="AL984" s="305"/>
      <c r="AM984" s="305"/>
      <c r="AN984" s="305"/>
      <c r="AO984" s="331"/>
      <c r="AP984" s="569"/>
      <c r="AQ984" s="569"/>
      <c r="AR984" s="442"/>
      <c r="AS984" s="442"/>
      <c r="AT984" s="442"/>
      <c r="AU984" s="441"/>
      <c r="AV984" s="569"/>
      <c r="AW984" s="442"/>
      <c r="AX984" s="442"/>
      <c r="AY984" s="1312"/>
      <c r="AZ984" s="441"/>
      <c r="BA984" s="569"/>
      <c r="BB984" s="442"/>
      <c r="BC984" s="442"/>
      <c r="BD984" s="1312"/>
      <c r="BE984" s="441"/>
      <c r="BF984" s="442"/>
      <c r="BG984" s="442"/>
      <c r="BH984" s="442"/>
      <c r="BI984" s="1312"/>
      <c r="BJ984" s="441"/>
      <c r="BK984" s="442"/>
      <c r="BL984" s="442"/>
      <c r="BM984" s="442"/>
      <c r="BN984" s="1312"/>
      <c r="BO984" s="441"/>
      <c r="BP984" s="442"/>
      <c r="BQ984" s="442"/>
      <c r="BR984" s="442"/>
      <c r="BS984" s="442"/>
      <c r="BT984" s="3236"/>
      <c r="BU984" s="3298"/>
      <c r="BV984" s="3298"/>
      <c r="BW984" s="3298"/>
      <c r="BX984" s="3298"/>
      <c r="BY984" s="3236"/>
      <c r="BZ984" s="441"/>
      <c r="CA984" s="441"/>
      <c r="CB984" s="441"/>
      <c r="CC984" s="441"/>
      <c r="CD984" s="441"/>
      <c r="CE984" s="441"/>
      <c r="CF984" s="441"/>
      <c r="CG984" s="331"/>
      <c r="CH984" s="331"/>
      <c r="CI984" s="331"/>
      <c r="CJ984" s="331"/>
      <c r="CK984" s="331"/>
      <c r="CL984" s="520"/>
      <c r="CM984" s="442"/>
      <c r="CN984" s="442"/>
      <c r="CO984" s="442"/>
      <c r="CP984" s="442"/>
      <c r="CQ984" s="442"/>
      <c r="CR984" s="442"/>
      <c r="CS984" s="442"/>
      <c r="CT984" s="442"/>
      <c r="CU984" s="442"/>
      <c r="CV984" s="442"/>
      <c r="CW984" s="442"/>
      <c r="CX984" s="442"/>
      <c r="CY984" s="442"/>
      <c r="CZ984" s="442"/>
      <c r="DA984" s="442"/>
      <c r="DB984" s="442"/>
      <c r="DC984" s="1312"/>
      <c r="DD984" s="331"/>
      <c r="DE984" s="331"/>
      <c r="DF984" s="502"/>
      <c r="DG984" s="503"/>
      <c r="DH984" s="3298"/>
      <c r="DI984" s="3213"/>
      <c r="DJ984" s="502"/>
      <c r="DK984" s="503"/>
      <c r="DL984" s="502"/>
      <c r="DM984" s="502"/>
      <c r="DN984" s="502"/>
      <c r="DO984" s="502"/>
      <c r="DP984" s="503"/>
      <c r="DQ984" s="503"/>
      <c r="DR984" s="428"/>
      <c r="DS984" s="428"/>
      <c r="DT984" s="428"/>
    </row>
    <row r="985" spans="1:124" ht="12" customHeight="1" x14ac:dyDescent="0.25">
      <c r="A985" s="281" t="s">
        <v>601</v>
      </c>
      <c r="B985" s="281"/>
      <c r="C985" s="452"/>
      <c r="D985" s="452"/>
      <c r="E985" s="452"/>
      <c r="F985" s="452"/>
      <c r="G985" s="475"/>
      <c r="H985" s="452"/>
      <c r="I985" s="452"/>
      <c r="J985" s="452"/>
      <c r="K985" s="452"/>
      <c r="L985" s="475"/>
      <c r="M985" s="452"/>
      <c r="N985" s="452"/>
      <c r="O985" s="452"/>
      <c r="P985" s="452"/>
      <c r="Q985" s="475"/>
      <c r="R985" s="452"/>
      <c r="S985" s="452"/>
      <c r="T985" s="452"/>
      <c r="U985" s="452"/>
      <c r="V985" s="475"/>
      <c r="W985" s="452"/>
      <c r="X985" s="452"/>
      <c r="Y985" s="452"/>
      <c r="Z985" s="452"/>
      <c r="AA985" s="475"/>
      <c r="AB985" s="452"/>
      <c r="AC985" s="452"/>
      <c r="AD985" s="452"/>
      <c r="AE985" s="476"/>
      <c r="AF985" s="477"/>
      <c r="AG985" s="452"/>
      <c r="AH985" s="452"/>
      <c r="AI985" s="452"/>
      <c r="AJ985" s="476"/>
      <c r="AK985" s="477"/>
      <c r="AL985" s="452"/>
      <c r="AM985" s="452"/>
      <c r="AN985" s="452"/>
      <c r="AO985" s="476"/>
      <c r="AP985" s="478"/>
      <c r="AQ985" s="478">
        <f>+AQ982*AQ986</f>
        <v>27.7775749029</v>
      </c>
      <c r="AR985" s="476">
        <f>+AR982*AR986</f>
        <v>26.941475878200002</v>
      </c>
      <c r="AS985" s="476">
        <f>+AS982*AS986</f>
        <v>22.372</v>
      </c>
      <c r="AT985" s="476">
        <f>+AT982*AT986</f>
        <v>22.008398478300002</v>
      </c>
      <c r="AU985" s="477">
        <f>+SUM(AQ985:AT985)</f>
        <v>99.099449259399989</v>
      </c>
      <c r="AV985" s="478">
        <f>+AQ985*(1+AV987)</f>
        <v>22.22205992232</v>
      </c>
      <c r="AW985" s="476">
        <f>+AR985*(1+AW987)</f>
        <v>21.014351184996002</v>
      </c>
      <c r="AX985" s="476">
        <f>+AS985*(1+AX987)</f>
        <v>20.805959999999999</v>
      </c>
      <c r="AY985" s="682">
        <f>+AT985*(1+AY987)</f>
        <v>18.707138706555</v>
      </c>
      <c r="AZ985" s="477">
        <f>SUM(AV985:AY985)</f>
        <v>82.749509813871001</v>
      </c>
      <c r="BA985" s="478">
        <f>+AV985*(1+BA987)</f>
        <v>19.999853930088001</v>
      </c>
      <c r="BB985" s="476">
        <f>+AW985*(1+BB987)</f>
        <v>20.804207673146042</v>
      </c>
      <c r="BC985" s="476">
        <f>+AX985*(1+BC987)</f>
        <v>19.765661999999999</v>
      </c>
      <c r="BD985" s="682">
        <f>+AY985*(1+BD987)</f>
        <v>19.455424254817199</v>
      </c>
      <c r="BE985" s="477">
        <f>SUM(BA985:BD985)</f>
        <v>80.025147858051241</v>
      </c>
      <c r="BF985" s="476">
        <f>+BA985*(1+BF987)</f>
        <v>19.799855390787123</v>
      </c>
      <c r="BG985" s="476">
        <f>+BB985*(1+BG987)</f>
        <v>21.012249749877501</v>
      </c>
      <c r="BH985" s="476">
        <f>+BC985*(1+BH987)</f>
        <v>21.346914959999999</v>
      </c>
      <c r="BI985" s="682">
        <f>+BD985*(1+BI987)</f>
        <v>20.136364103735801</v>
      </c>
      <c r="BJ985" s="477">
        <f>SUM(BF985:BI985)</f>
        <v>82.29538420440042</v>
      </c>
      <c r="BK985" s="476">
        <f>+BF985*(1+BK987)</f>
        <v>20.690848883372542</v>
      </c>
      <c r="BL985" s="476">
        <f>+BG985*(1+BL987)</f>
        <v>20.802127252378725</v>
      </c>
      <c r="BM985" s="476">
        <f>+BH985*(1+BM987)</f>
        <v>21.880587833999996</v>
      </c>
      <c r="BN985" s="682">
        <f>+BI985*(1+BN987)</f>
        <v>20.841136847366553</v>
      </c>
      <c r="BO985" s="477">
        <f>SUM(BK985:BN985)</f>
        <v>84.214700817117816</v>
      </c>
      <c r="BP985" s="476">
        <f>+BK985*(1+BP987)</f>
        <v>20.897757372206268</v>
      </c>
      <c r="BQ985" s="476">
        <f>+BL985*(1+BQ987)</f>
        <v>21.218169797426299</v>
      </c>
      <c r="BR985" s="476">
        <f>+BM985*(1+BR987)</f>
        <v>22.099393712339996</v>
      </c>
      <c r="BS985" s="476">
        <f>+BN985*(1+BS987)</f>
        <v>21.674782321261215</v>
      </c>
      <c r="BT985" s="2604">
        <f>SUM(BP985:BS985)</f>
        <v>85.890103203233778</v>
      </c>
      <c r="BU985" s="2577">
        <f>+BP985*(1+BU987)</f>
        <v>20.688779798484205</v>
      </c>
      <c r="BV985" s="2577">
        <f>+BQ985*(1+BV987)</f>
        <v>21.005988099452036</v>
      </c>
      <c r="BW985" s="2577">
        <f>+BR985*(1+BW987)</f>
        <v>21.878399775216597</v>
      </c>
      <c r="BX985" s="2577">
        <f>+BS985*(1+BX987)</f>
        <v>21.458034498048605</v>
      </c>
      <c r="BY985" s="2604">
        <f>SUM(BU985:BX985)</f>
        <v>85.031202171201443</v>
      </c>
      <c r="BZ985" s="477">
        <f t="shared" ref="BZ985:CF985" si="2423">+BY985*(1+BZ987)</f>
        <v>84.180890149489429</v>
      </c>
      <c r="CA985" s="477">
        <f t="shared" si="2423"/>
        <v>85.022699050984329</v>
      </c>
      <c r="CB985" s="477">
        <f t="shared" si="2423"/>
        <v>82.472018079454799</v>
      </c>
      <c r="CC985" s="477">
        <f t="shared" si="2423"/>
        <v>79.997857537071155</v>
      </c>
      <c r="CD985" s="477">
        <f t="shared" si="2423"/>
        <v>80.797836112441871</v>
      </c>
      <c r="CE985" s="477">
        <f t="shared" si="2423"/>
        <v>81.605814473566284</v>
      </c>
      <c r="CF985" s="477">
        <f t="shared" si="2423"/>
        <v>82.421872618301947</v>
      </c>
      <c r="CG985" s="331"/>
      <c r="CH985" s="331"/>
      <c r="CI985" s="331"/>
      <c r="CJ985" s="331"/>
      <c r="CK985" s="331"/>
      <c r="CL985" s="520" t="str">
        <f t="shared" ref="CL985:CL990" si="2424">A985</f>
        <v>Operating expenses</v>
      </c>
      <c r="CM985" s="476"/>
      <c r="CN985" s="476"/>
      <c r="CO985" s="476"/>
      <c r="CP985" s="476"/>
      <c r="CQ985" s="476"/>
      <c r="CR985" s="476"/>
      <c r="CS985" s="476"/>
      <c r="CT985" s="476"/>
      <c r="CU985" s="476">
        <f>AU985</f>
        <v>99.099449259399989</v>
      </c>
      <c r="CV985" s="476">
        <f t="shared" ref="CV985:CV990" si="2425">AZ985</f>
        <v>82.749509813871001</v>
      </c>
      <c r="CW985" s="476">
        <f t="shared" ref="CW985:CW990" si="2426">BE985</f>
        <v>80.025147858051241</v>
      </c>
      <c r="CX985" s="476">
        <f t="shared" ref="CX985:CX990" si="2427">BJ985</f>
        <v>82.29538420440042</v>
      </c>
      <c r="CY985" s="476">
        <f t="shared" ref="CY985:CY990" si="2428">BO985</f>
        <v>84.214700817117816</v>
      </c>
      <c r="CZ985" s="476">
        <f t="shared" ref="CZ985:CZ990" si="2429">BT985</f>
        <v>85.890103203233778</v>
      </c>
      <c r="DA985" s="476">
        <f t="shared" ref="DA985:DC990" si="2430">BY985</f>
        <v>85.031202171201443</v>
      </c>
      <c r="DB985" s="476">
        <f t="shared" si="2430"/>
        <v>84.180890149489429</v>
      </c>
      <c r="DC985" s="682">
        <f t="shared" si="2430"/>
        <v>85.022699050984329</v>
      </c>
      <c r="DD985" s="331"/>
      <c r="DE985" s="331"/>
      <c r="DF985" s="502"/>
      <c r="DG985" s="503"/>
      <c r="DH985" s="2577"/>
      <c r="DI985" s="3213"/>
      <c r="DJ985" s="502"/>
      <c r="DK985" s="503"/>
      <c r="DL985" s="502"/>
      <c r="DM985" s="502"/>
      <c r="DN985" s="502"/>
      <c r="DO985" s="502"/>
      <c r="DP985" s="503"/>
      <c r="DQ985" s="503"/>
      <c r="DR985" s="428"/>
      <c r="DS985" s="428"/>
      <c r="DT985" s="428"/>
    </row>
    <row r="986" spans="1:124" ht="12" customHeight="1" x14ac:dyDescent="0.25">
      <c r="A986" s="465" t="s">
        <v>646</v>
      </c>
      <c r="B986" s="579"/>
      <c r="C986" s="467"/>
      <c r="D986" s="467"/>
      <c r="E986" s="467"/>
      <c r="F986" s="467"/>
      <c r="G986" s="468"/>
      <c r="H986" s="467"/>
      <c r="I986" s="467"/>
      <c r="J986" s="467"/>
      <c r="K986" s="467"/>
      <c r="L986" s="468"/>
      <c r="M986" s="467"/>
      <c r="N986" s="467"/>
      <c r="O986" s="467"/>
      <c r="P986" s="467"/>
      <c r="Q986" s="468"/>
      <c r="R986" s="467"/>
      <c r="S986" s="467"/>
      <c r="T986" s="467"/>
      <c r="U986" s="467"/>
      <c r="V986" s="468"/>
      <c r="W986" s="467"/>
      <c r="X986" s="467"/>
      <c r="Y986" s="467"/>
      <c r="Z986" s="467"/>
      <c r="AA986" s="468"/>
      <c r="AB986" s="467"/>
      <c r="AC986" s="467"/>
      <c r="AD986" s="467"/>
      <c r="AE986" s="469"/>
      <c r="AF986" s="470"/>
      <c r="AG986" s="467"/>
      <c r="AH986" s="467"/>
      <c r="AI986" s="467"/>
      <c r="AJ986" s="469"/>
      <c r="AK986" s="470"/>
      <c r="AL986" s="467"/>
      <c r="AM986" s="467"/>
      <c r="AN986" s="467"/>
      <c r="AO986" s="469"/>
      <c r="AP986" s="471"/>
      <c r="AQ986" s="1667">
        <v>0.41</v>
      </c>
      <c r="AR986" s="540">
        <v>0.39</v>
      </c>
      <c r="AS986" s="540">
        <v>0.35</v>
      </c>
      <c r="AT986" s="540">
        <v>0.39</v>
      </c>
      <c r="AU986" s="470">
        <f t="shared" ref="AU986:BJ986" si="2431">AU985/AU982</f>
        <v>0.38532707124235516</v>
      </c>
      <c r="AV986" s="471">
        <f t="shared" si="2431"/>
        <v>0.36326977153507045</v>
      </c>
      <c r="AW986" s="469">
        <f t="shared" si="2431"/>
        <v>0.37210713936255879</v>
      </c>
      <c r="AX986" s="469">
        <f t="shared" si="2431"/>
        <v>0.36207777351119974</v>
      </c>
      <c r="AY986" s="1463">
        <f t="shared" si="2431"/>
        <v>0.36369308532346306</v>
      </c>
      <c r="AZ986" s="470">
        <f t="shared" si="2431"/>
        <v>0.36526654119095731</v>
      </c>
      <c r="BA986" s="471">
        <f t="shared" si="2431"/>
        <v>0.36322628807651403</v>
      </c>
      <c r="BB986" s="469">
        <f t="shared" si="2431"/>
        <v>0.38098108204131592</v>
      </c>
      <c r="BC986" s="469">
        <f t="shared" si="2431"/>
        <v>0.37958058891764546</v>
      </c>
      <c r="BD986" s="1463">
        <f t="shared" si="2431"/>
        <v>0.37240853638500337</v>
      </c>
      <c r="BE986" s="470">
        <f t="shared" si="2431"/>
        <v>0.37397873514668184</v>
      </c>
      <c r="BF986" s="469">
        <f t="shared" si="2431"/>
        <v>0.35650030513344816</v>
      </c>
      <c r="BG986" s="469">
        <f t="shared" si="2431"/>
        <v>0.3838935825369994</v>
      </c>
      <c r="BH986" s="469">
        <f t="shared" si="2431"/>
        <v>0.37161346871347239</v>
      </c>
      <c r="BI986" s="1463">
        <f t="shared" si="2431"/>
        <v>0.37321471795492861</v>
      </c>
      <c r="BJ986" s="470">
        <f t="shared" si="2431"/>
        <v>0.37124879639824815</v>
      </c>
      <c r="BK986" s="469">
        <f t="shared" ref="BK986:BT986" si="2432">BK985/BK982</f>
        <v>0.35484569486948742</v>
      </c>
      <c r="BL986" s="469">
        <f t="shared" si="2432"/>
        <v>0.37495265397702165</v>
      </c>
      <c r="BM986" s="469">
        <f t="shared" si="2432"/>
        <v>0.36529321021731082</v>
      </c>
      <c r="BN986" s="1463">
        <f t="shared" si="2432"/>
        <v>0.36209190587557571</v>
      </c>
      <c r="BO986" s="470">
        <f t="shared" si="2432"/>
        <v>0.36417946368358262</v>
      </c>
      <c r="BP986" s="469">
        <f t="shared" si="2432"/>
        <v>0.34596571878933546</v>
      </c>
      <c r="BQ986" s="469">
        <f t="shared" si="2432"/>
        <v>0.36188408035682273</v>
      </c>
      <c r="BR986" s="469">
        <f t="shared" si="2432"/>
        <v>0.36902589436783872</v>
      </c>
      <c r="BS986" s="469">
        <f t="shared" si="2432"/>
        <v>0.38457807173403341</v>
      </c>
      <c r="BT986" s="470">
        <f t="shared" si="2432"/>
        <v>0.36505129411494014</v>
      </c>
      <c r="BU986" s="469">
        <f t="shared" ref="BU986:CF986" si="2433">BU985/BU982</f>
        <v>0.35451795774012518</v>
      </c>
      <c r="BV986" s="469">
        <f t="shared" si="2433"/>
        <v>0.35826523955325451</v>
      </c>
      <c r="BW986" s="469">
        <f t="shared" si="2433"/>
        <v>0.35804308516633454</v>
      </c>
      <c r="BX986" s="469">
        <f t="shared" si="2433"/>
        <v>0.37321378873428174</v>
      </c>
      <c r="BY986" s="470">
        <f t="shared" si="2433"/>
        <v>0.36092754371105995</v>
      </c>
      <c r="BZ986" s="470">
        <f t="shared" si="2433"/>
        <v>0.34851229995974436</v>
      </c>
      <c r="CA986" s="470">
        <f t="shared" si="2433"/>
        <v>0.34847631757474629</v>
      </c>
      <c r="CB986" s="470">
        <f t="shared" si="2433"/>
        <v>0.35600611420185008</v>
      </c>
      <c r="CC986" s="470">
        <f t="shared" si="2433"/>
        <v>0.36370913382885867</v>
      </c>
      <c r="CD986" s="470">
        <f t="shared" si="2433"/>
        <v>0.3600625011186932</v>
      </c>
      <c r="CE986" s="470">
        <f t="shared" si="2433"/>
        <v>0.35645401720271519</v>
      </c>
      <c r="CF986" s="470">
        <f t="shared" si="2433"/>
        <v>0.35288323631386159</v>
      </c>
      <c r="CG986" s="331"/>
      <c r="CH986" s="331"/>
      <c r="CI986" s="331"/>
      <c r="CJ986" s="331"/>
      <c r="CK986" s="331"/>
      <c r="CL986" s="1310" t="str">
        <f t="shared" si="2424"/>
        <v>% of Net revenue</v>
      </c>
      <c r="CM986" s="469"/>
      <c r="CN986" s="469"/>
      <c r="CO986" s="469"/>
      <c r="CP986" s="469"/>
      <c r="CQ986" s="469"/>
      <c r="CR986" s="469"/>
      <c r="CS986" s="469"/>
      <c r="CT986" s="469"/>
      <c r="CU986" s="469">
        <f>AU986</f>
        <v>0.38532707124235516</v>
      </c>
      <c r="CV986" s="469">
        <f t="shared" si="2425"/>
        <v>0.36526654119095731</v>
      </c>
      <c r="CW986" s="469">
        <f t="shared" si="2426"/>
        <v>0.37397873514668184</v>
      </c>
      <c r="CX986" s="469">
        <f t="shared" si="2427"/>
        <v>0.37124879639824815</v>
      </c>
      <c r="CY986" s="469">
        <f t="shared" si="2428"/>
        <v>0.36417946368358262</v>
      </c>
      <c r="CZ986" s="469">
        <f t="shared" si="2429"/>
        <v>0.36505129411494014</v>
      </c>
      <c r="DA986" s="469">
        <f t="shared" si="2430"/>
        <v>0.36092754371105995</v>
      </c>
      <c r="DB986" s="469">
        <f t="shared" si="2430"/>
        <v>0.34851229995974436</v>
      </c>
      <c r="DC986" s="1463">
        <f t="shared" si="2430"/>
        <v>0.34847631757474629</v>
      </c>
      <c r="DD986" s="331"/>
      <c r="DE986" s="331"/>
      <c r="DF986" s="502"/>
      <c r="DG986" s="503"/>
      <c r="DH986" s="469"/>
      <c r="DI986" s="3213"/>
      <c r="DJ986" s="502"/>
      <c r="DK986" s="503"/>
      <c r="DL986" s="502"/>
      <c r="DM986" s="502"/>
      <c r="DN986" s="502"/>
      <c r="DO986" s="502"/>
      <c r="DP986" s="503"/>
      <c r="DQ986" s="503"/>
      <c r="DR986" s="428"/>
      <c r="DS986" s="428"/>
      <c r="DT986" s="428"/>
    </row>
    <row r="987" spans="1:124" ht="12" customHeight="1" x14ac:dyDescent="0.25">
      <c r="A987" s="465" t="s">
        <v>1491</v>
      </c>
      <c r="B987" s="579"/>
      <c r="C987" s="467"/>
      <c r="D987" s="467"/>
      <c r="E987" s="467"/>
      <c r="F987" s="467"/>
      <c r="G987" s="468"/>
      <c r="H987" s="467"/>
      <c r="I987" s="467"/>
      <c r="J987" s="467"/>
      <c r="K987" s="467"/>
      <c r="L987" s="468"/>
      <c r="M987" s="467"/>
      <c r="N987" s="467"/>
      <c r="O987" s="467"/>
      <c r="P987" s="467"/>
      <c r="Q987" s="468"/>
      <c r="R987" s="467"/>
      <c r="S987" s="467"/>
      <c r="T987" s="467"/>
      <c r="U987" s="467"/>
      <c r="V987" s="468"/>
      <c r="W987" s="467"/>
      <c r="X987" s="467"/>
      <c r="Y987" s="467"/>
      <c r="Z987" s="467"/>
      <c r="AA987" s="468"/>
      <c r="AB987" s="467"/>
      <c r="AC987" s="467"/>
      <c r="AD987" s="467"/>
      <c r="AE987" s="469"/>
      <c r="AF987" s="470"/>
      <c r="AG987" s="467"/>
      <c r="AH987" s="467"/>
      <c r="AI987" s="467"/>
      <c r="AJ987" s="469"/>
      <c r="AK987" s="470"/>
      <c r="AL987" s="467"/>
      <c r="AM987" s="467"/>
      <c r="AN987" s="467"/>
      <c r="AO987" s="469"/>
      <c r="AP987" s="471"/>
      <c r="AQ987" s="471"/>
      <c r="AR987" s="469"/>
      <c r="AS987" s="469"/>
      <c r="AT987" s="469"/>
      <c r="AU987" s="539"/>
      <c r="AV987" s="1667">
        <v>-0.2</v>
      </c>
      <c r="AW987" s="540">
        <v>-0.22</v>
      </c>
      <c r="AX987" s="540">
        <v>-7.0000000000000007E-2</v>
      </c>
      <c r="AY987" s="1668">
        <v>-0.15</v>
      </c>
      <c r="AZ987" s="470">
        <f>(AZ985-AU985)/AU985</f>
        <v>-0.16498516962220283</v>
      </c>
      <c r="BA987" s="1667">
        <v>-0.1</v>
      </c>
      <c r="BB987" s="540">
        <v>-0.01</v>
      </c>
      <c r="BC987" s="540">
        <v>-0.05</v>
      </c>
      <c r="BD987" s="1668">
        <v>0.04</v>
      </c>
      <c r="BE987" s="470">
        <f>(BE985-AZ985)/AZ985</f>
        <v>-3.2922998117423101E-2</v>
      </c>
      <c r="BF987" s="540">
        <v>-0.01</v>
      </c>
      <c r="BG987" s="540">
        <v>0.01</v>
      </c>
      <c r="BH987" s="540">
        <v>0.08</v>
      </c>
      <c r="BI987" s="1668">
        <v>3.5000000000000003E-2</v>
      </c>
      <c r="BJ987" s="470">
        <f>(BJ985-BE985)/BE985</f>
        <v>2.8369036573054871E-2</v>
      </c>
      <c r="BK987" s="540">
        <v>4.4999999999999998E-2</v>
      </c>
      <c r="BL987" s="540">
        <v>-0.01</v>
      </c>
      <c r="BM987" s="540">
        <v>2.5000000000000001E-2</v>
      </c>
      <c r="BN987" s="540">
        <v>3.5000000000000003E-2</v>
      </c>
      <c r="BO987" s="470">
        <f>(BO985-BJ985)/BJ985</f>
        <v>2.3322287528913042E-2</v>
      </c>
      <c r="BP987" s="540">
        <v>0.01</v>
      </c>
      <c r="BQ987" s="540">
        <v>0.02</v>
      </c>
      <c r="BR987" s="540">
        <v>0.01</v>
      </c>
      <c r="BS987" s="540">
        <v>0.04</v>
      </c>
      <c r="BT987" s="470">
        <f>(BT985-BO985)/BO985</f>
        <v>1.9894417125037311E-2</v>
      </c>
      <c r="BU987" s="540">
        <v>-0.01</v>
      </c>
      <c r="BV987" s="540">
        <v>-0.01</v>
      </c>
      <c r="BW987" s="540">
        <v>-0.01</v>
      </c>
      <c r="BX987" s="540">
        <v>-0.01</v>
      </c>
      <c r="BY987" s="470">
        <f>(BY985-BT985)/BT985</f>
        <v>-9.9999999999999725E-3</v>
      </c>
      <c r="BZ987" s="539">
        <v>-0.01</v>
      </c>
      <c r="CA987" s="2563">
        <v>0.01</v>
      </c>
      <c r="CB987" s="2563">
        <v>-0.03</v>
      </c>
      <c r="CC987" s="2563">
        <v>-0.03</v>
      </c>
      <c r="CD987" s="2563">
        <v>0.01</v>
      </c>
      <c r="CE987" s="2563">
        <v>0.01</v>
      </c>
      <c r="CF987" s="2563">
        <v>0.01</v>
      </c>
      <c r="CG987" s="331"/>
      <c r="CH987" s="331"/>
      <c r="CI987" s="331"/>
      <c r="CJ987" s="331"/>
      <c r="CK987" s="331"/>
      <c r="CL987" s="1310" t="str">
        <f t="shared" si="2424"/>
        <v>% growth (y-o-y)</v>
      </c>
      <c r="CM987" s="469"/>
      <c r="CN987" s="469"/>
      <c r="CO987" s="469"/>
      <c r="CP987" s="469"/>
      <c r="CQ987" s="469"/>
      <c r="CR987" s="469"/>
      <c r="CS987" s="469"/>
      <c r="CT987" s="469"/>
      <c r="CU987" s="469"/>
      <c r="CV987" s="469">
        <f t="shared" si="2425"/>
        <v>-0.16498516962220283</v>
      </c>
      <c r="CW987" s="469">
        <f t="shared" si="2426"/>
        <v>-3.2922998117423101E-2</v>
      </c>
      <c r="CX987" s="469">
        <f t="shared" si="2427"/>
        <v>2.8369036573054871E-2</v>
      </c>
      <c r="CY987" s="469">
        <f t="shared" si="2428"/>
        <v>2.3322287528913042E-2</v>
      </c>
      <c r="CZ987" s="469">
        <f t="shared" si="2429"/>
        <v>1.9894417125037311E-2</v>
      </c>
      <c r="DA987" s="469">
        <f t="shared" si="2430"/>
        <v>-9.9999999999999725E-3</v>
      </c>
      <c r="DB987" s="469">
        <f t="shared" si="2430"/>
        <v>-0.01</v>
      </c>
      <c r="DC987" s="1463">
        <f t="shared" si="2430"/>
        <v>0.01</v>
      </c>
      <c r="DD987" s="331"/>
      <c r="DE987" s="331"/>
      <c r="DF987" s="502"/>
      <c r="DG987" s="503"/>
      <c r="DH987" s="469"/>
      <c r="DI987" s="3213"/>
      <c r="DJ987" s="502"/>
      <c r="DK987" s="503"/>
      <c r="DL987" s="502"/>
      <c r="DM987" s="502"/>
      <c r="DN987" s="502"/>
      <c r="DO987" s="502"/>
      <c r="DP987" s="503"/>
      <c r="DQ987" s="503"/>
      <c r="DR987" s="428"/>
      <c r="DS987" s="428"/>
      <c r="DT987" s="428"/>
    </row>
    <row r="988" spans="1:124" ht="12" customHeight="1" x14ac:dyDescent="0.25">
      <c r="A988" s="281" t="s">
        <v>2161</v>
      </c>
      <c r="B988" s="281"/>
      <c r="C988" s="452"/>
      <c r="D988" s="452"/>
      <c r="E988" s="452"/>
      <c r="F988" s="452"/>
      <c r="G988" s="475"/>
      <c r="H988" s="452"/>
      <c r="I988" s="452"/>
      <c r="J988" s="452"/>
      <c r="K988" s="452"/>
      <c r="L988" s="475"/>
      <c r="M988" s="452"/>
      <c r="N988" s="452"/>
      <c r="O988" s="452"/>
      <c r="P988" s="452"/>
      <c r="Q988" s="475"/>
      <c r="R988" s="452"/>
      <c r="S988" s="452"/>
      <c r="T988" s="452"/>
      <c r="U988" s="452"/>
      <c r="V988" s="475"/>
      <c r="W988" s="452"/>
      <c r="X988" s="452"/>
      <c r="Y988" s="452"/>
      <c r="Z988" s="452"/>
      <c r="AA988" s="475"/>
      <c r="AB988" s="452"/>
      <c r="AC988" s="452"/>
      <c r="AD988" s="452"/>
      <c r="AE988" s="476"/>
      <c r="AF988" s="477"/>
      <c r="AG988" s="452"/>
      <c r="AH988" s="452"/>
      <c r="AI988" s="452"/>
      <c r="AJ988" s="476"/>
      <c r="AK988" s="477"/>
      <c r="AL988" s="452"/>
      <c r="AM988" s="452"/>
      <c r="AN988" s="452"/>
      <c r="AO988" s="476"/>
      <c r="AP988" s="478"/>
      <c r="AQ988" s="478">
        <f>+Taxes!AQ169</f>
        <v>19.9990182676</v>
      </c>
      <c r="AR988" s="476">
        <f>+Taxes!AR169</f>
        <v>20.010428267599998</v>
      </c>
      <c r="AS988" s="476">
        <f>+Taxes!AS169</f>
        <v>19.856474267599999</v>
      </c>
      <c r="AT988" s="476">
        <f>+Taxes!AT169</f>
        <v>19.5634742676</v>
      </c>
      <c r="AU988" s="477">
        <f>+SUM(AQ988:AT988)</f>
        <v>79.429395070400005</v>
      </c>
      <c r="AV988" s="478">
        <f>+Taxes!AV169</f>
        <v>18.1472047293</v>
      </c>
      <c r="AW988" s="476">
        <f>+Taxes!AW169</f>
        <v>17.650406729299998</v>
      </c>
      <c r="AX988" s="476">
        <f>+Taxes!AX169</f>
        <v>17.705998729299999</v>
      </c>
      <c r="AY988" s="682">
        <f>+Taxes!AY169</f>
        <v>17.473526729299998</v>
      </c>
      <c r="AZ988" s="477">
        <f>+Taxes!AZ169</f>
        <v>70.977136917199999</v>
      </c>
      <c r="BA988" s="478">
        <f>+Taxes!BA169</f>
        <v>16.48274768185</v>
      </c>
      <c r="BB988" s="476">
        <f>+Taxes!BB169</f>
        <v>16.397019681850001</v>
      </c>
      <c r="BC988" s="476">
        <f>+Taxes!BC169</f>
        <v>16.253365681849999</v>
      </c>
      <c r="BD988" s="682">
        <f>+Taxes!BD169</f>
        <v>16.31065168185</v>
      </c>
      <c r="BE988" s="477">
        <f>+Taxes!BE169</f>
        <v>65.443784727400001</v>
      </c>
      <c r="BF988" s="476">
        <f>+Taxes!BF169</f>
        <v>17.014801088149998</v>
      </c>
      <c r="BG988" s="476">
        <f>+Taxes!BG169</f>
        <v>17.049973088149997</v>
      </c>
      <c r="BH988" s="476">
        <f>+Taxes!BH169</f>
        <v>17.101355088149997</v>
      </c>
      <c r="BI988" s="682">
        <f>+Taxes!BI169</f>
        <v>16.909179088149997</v>
      </c>
      <c r="BJ988" s="477">
        <f>+Taxes!BJ169</f>
        <v>68.07530835259999</v>
      </c>
      <c r="BK988" s="476">
        <f>+Taxes!BK169</f>
        <v>17.587471694649999</v>
      </c>
      <c r="BL988" s="476">
        <f>+Taxes!BL169</f>
        <v>17.691961694649997</v>
      </c>
      <c r="BM988" s="476">
        <f>+Taxes!BM169</f>
        <v>17.739721694649997</v>
      </c>
      <c r="BN988" s="682">
        <f>+Taxes!BN169</f>
        <v>17.551085694649998</v>
      </c>
      <c r="BO988" s="477">
        <f>+Taxes!BO169</f>
        <v>70.570240778599995</v>
      </c>
      <c r="BP988" s="476">
        <f>+Taxes!BP169</f>
        <v>17.877013621899998</v>
      </c>
      <c r="BQ988" s="476">
        <f>+Taxes!BQ169</f>
        <v>17.759327621899999</v>
      </c>
      <c r="BR988" s="476">
        <f>+Taxes!BR169</f>
        <v>17.875237621899998</v>
      </c>
      <c r="BS988" s="476">
        <f>+Taxes!BS169</f>
        <v>17.637975621899997</v>
      </c>
      <c r="BT988" s="2604">
        <f>+Taxes!BT169</f>
        <v>71.1495544876</v>
      </c>
      <c r="BU988" s="476">
        <f>+Taxes!BU169</f>
        <v>17.802810682456041</v>
      </c>
      <c r="BV988" s="476">
        <f>+Taxes!BV169</f>
        <v>17.779379805856998</v>
      </c>
      <c r="BW988" s="476">
        <f>+Taxes!BW169</f>
        <v>17.951152845856999</v>
      </c>
      <c r="BX988" s="476">
        <f>+Taxes!BX169</f>
        <v>17.709145605856996</v>
      </c>
      <c r="BY988" s="2604">
        <f>+Taxes!BY169</f>
        <v>71.24248894002703</v>
      </c>
      <c r="BZ988" s="477">
        <f>+Taxes!BZ169</f>
        <v>73.061051163527708</v>
      </c>
      <c r="CA988" s="477">
        <f>+Taxes!CA169</f>
        <v>73.806661675162985</v>
      </c>
      <c r="CB988" s="477">
        <f>+Taxes!CB169</f>
        <v>70.04132859140482</v>
      </c>
      <c r="CC988" s="477">
        <f>+Taxes!CC169</f>
        <v>66.464262161834583</v>
      </c>
      <c r="CD988" s="477">
        <f>+Taxes!CD169</f>
        <v>67.823547405071281</v>
      </c>
      <c r="CE988" s="477">
        <f>+Taxes!CE169</f>
        <v>69.2100183531727</v>
      </c>
      <c r="CF988" s="477">
        <f>+Taxes!CF169</f>
        <v>70.624218720236144</v>
      </c>
      <c r="CG988" s="331"/>
      <c r="CH988" s="331"/>
      <c r="CI988" s="331"/>
      <c r="CJ988" s="331"/>
      <c r="CK988" s="331"/>
      <c r="CL988" s="520" t="str">
        <f t="shared" si="2424"/>
        <v>Tax expense</v>
      </c>
      <c r="CM988" s="476"/>
      <c r="CN988" s="476"/>
      <c r="CO988" s="476"/>
      <c r="CP988" s="476"/>
      <c r="CQ988" s="476"/>
      <c r="CR988" s="476"/>
      <c r="CS988" s="476"/>
      <c r="CT988" s="476"/>
      <c r="CU988" s="476">
        <f>AU988</f>
        <v>79.429395070400005</v>
      </c>
      <c r="CV988" s="476">
        <f t="shared" si="2425"/>
        <v>70.977136917199999</v>
      </c>
      <c r="CW988" s="476">
        <f t="shared" si="2426"/>
        <v>65.443784727400001</v>
      </c>
      <c r="CX988" s="476">
        <f t="shared" si="2427"/>
        <v>68.07530835259999</v>
      </c>
      <c r="CY988" s="476">
        <f t="shared" si="2428"/>
        <v>70.570240778599995</v>
      </c>
      <c r="CZ988" s="476">
        <f t="shared" si="2429"/>
        <v>71.1495544876</v>
      </c>
      <c r="DA988" s="476">
        <f t="shared" si="2430"/>
        <v>71.24248894002703</v>
      </c>
      <c r="DB988" s="476">
        <f t="shared" si="2430"/>
        <v>73.061051163527708</v>
      </c>
      <c r="DC988" s="682">
        <f t="shared" si="2430"/>
        <v>73.806661675162985</v>
      </c>
      <c r="DD988" s="331"/>
      <c r="DE988" s="331"/>
      <c r="DF988" s="502"/>
      <c r="DG988" s="503"/>
      <c r="DH988" s="2577"/>
      <c r="DI988" s="3213"/>
      <c r="DJ988" s="502"/>
      <c r="DK988" s="503"/>
      <c r="DL988" s="502"/>
      <c r="DM988" s="502"/>
      <c r="DN988" s="502"/>
      <c r="DO988" s="502"/>
      <c r="DP988" s="503"/>
      <c r="DQ988" s="503"/>
      <c r="DR988" s="428"/>
      <c r="DS988" s="428"/>
      <c r="DT988" s="428"/>
    </row>
    <row r="989" spans="1:124" ht="12" customHeight="1" x14ac:dyDescent="0.25">
      <c r="A989" s="465" t="s">
        <v>1810</v>
      </c>
      <c r="B989" s="579"/>
      <c r="C989" s="467"/>
      <c r="D989" s="467"/>
      <c r="E989" s="467"/>
      <c r="F989" s="467"/>
      <c r="G989" s="468"/>
      <c r="H989" s="467"/>
      <c r="I989" s="467"/>
      <c r="J989" s="467"/>
      <c r="K989" s="467"/>
      <c r="L989" s="468"/>
      <c r="M989" s="467"/>
      <c r="N989" s="467"/>
      <c r="O989" s="467"/>
      <c r="P989" s="467"/>
      <c r="Q989" s="468"/>
      <c r="R989" s="467"/>
      <c r="S989" s="467"/>
      <c r="T989" s="467"/>
      <c r="U989" s="467"/>
      <c r="V989" s="468"/>
      <c r="W989" s="467"/>
      <c r="X989" s="467"/>
      <c r="Y989" s="467"/>
      <c r="Z989" s="467"/>
      <c r="AA989" s="468"/>
      <c r="AB989" s="467"/>
      <c r="AC989" s="467"/>
      <c r="AD989" s="467"/>
      <c r="AE989" s="469"/>
      <c r="AF989" s="470"/>
      <c r="AG989" s="467"/>
      <c r="AH989" s="467"/>
      <c r="AI989" s="467"/>
      <c r="AJ989" s="469"/>
      <c r="AK989" s="470"/>
      <c r="AL989" s="467"/>
      <c r="AM989" s="467"/>
      <c r="AN989" s="467"/>
      <c r="AO989" s="469"/>
      <c r="AP989" s="471"/>
      <c r="AQ989" s="1730">
        <f>+AQ988/AQ979</f>
        <v>0.29089403816971876</v>
      </c>
      <c r="AR989" s="1465">
        <f>+AR988/AR979</f>
        <v>0.28553405089216716</v>
      </c>
      <c r="AS989" s="1465">
        <f>+AS988/AS979</f>
        <v>0.30586066339494761</v>
      </c>
      <c r="AT989" s="1465">
        <f>+AT988/AT979</f>
        <v>0.34063841536509198</v>
      </c>
      <c r="AU989" s="470">
        <f t="shared" ref="AU989:BJ989" si="2434">AU988/AU979</f>
        <v>0.30411432624139201</v>
      </c>
      <c r="AV989" s="471">
        <f t="shared" si="2434"/>
        <v>0.28924063140774753</v>
      </c>
      <c r="AW989" s="469">
        <f t="shared" si="2434"/>
        <v>0.30472729047575692</v>
      </c>
      <c r="AX989" s="469">
        <f t="shared" si="2434"/>
        <v>0.30042713158896051</v>
      </c>
      <c r="AY989" s="1463">
        <f t="shared" si="2434"/>
        <v>0.33121718525016652</v>
      </c>
      <c r="AZ989" s="470">
        <f t="shared" si="2434"/>
        <v>0.30546928954147012</v>
      </c>
      <c r="BA989" s="471">
        <f t="shared" si="2434"/>
        <v>0.29629129089604139</v>
      </c>
      <c r="BB989" s="469">
        <f t="shared" si="2434"/>
        <v>0.29251673189550342</v>
      </c>
      <c r="BC989" s="469">
        <f t="shared" si="2434"/>
        <v>0.30356986161601901</v>
      </c>
      <c r="BD989" s="1463">
        <f t="shared" si="2434"/>
        <v>0.30739410940095568</v>
      </c>
      <c r="BE989" s="470">
        <f t="shared" si="2434"/>
        <v>0.29980613404569967</v>
      </c>
      <c r="BF989" s="469">
        <f t="shared" si="2434"/>
        <v>0.30325067560009911</v>
      </c>
      <c r="BG989" s="469">
        <f t="shared" si="2434"/>
        <v>0.30347416338044281</v>
      </c>
      <c r="BH989" s="469">
        <f t="shared" si="2434"/>
        <v>0.2902851158677846</v>
      </c>
      <c r="BI989" s="1463">
        <f t="shared" si="2434"/>
        <v>0.30871534863629274</v>
      </c>
      <c r="BJ989" s="470">
        <f t="shared" si="2434"/>
        <v>0.30125063962738502</v>
      </c>
      <c r="BK989" s="469">
        <f t="shared" ref="BK989:BT989" si="2435">BK988/BK979</f>
        <v>0.30015983980756822</v>
      </c>
      <c r="BL989" s="469">
        <f t="shared" si="2435"/>
        <v>0.31478472060940854</v>
      </c>
      <c r="BM989" s="469">
        <f t="shared" si="2435"/>
        <v>0.29081510974836061</v>
      </c>
      <c r="BN989" s="1463">
        <f t="shared" si="2435"/>
        <v>0.30277702840901011</v>
      </c>
      <c r="BO989" s="470">
        <f t="shared" si="2435"/>
        <v>0.30188657932922425</v>
      </c>
      <c r="BP989" s="469">
        <f t="shared" si="2435"/>
        <v>0.29457057876894688</v>
      </c>
      <c r="BQ989" s="469">
        <f t="shared" si="2435"/>
        <v>0.29919754414337996</v>
      </c>
      <c r="BR989" s="469">
        <f t="shared" si="2435"/>
        <v>0.29309888180091642</v>
      </c>
      <c r="BS989" s="469">
        <f t="shared" si="2435"/>
        <v>0.31069542017125312</v>
      </c>
      <c r="BT989" s="470">
        <f t="shared" si="2435"/>
        <v>0.29919747841349698</v>
      </c>
      <c r="BU989" s="469">
        <f t="shared" ref="BU989:CF989" si="2436">BU988/BU979</f>
        <v>0.30358591071246055</v>
      </c>
      <c r="BV989" s="469">
        <f t="shared" si="2436"/>
        <v>0.29953537023242888</v>
      </c>
      <c r="BW989" s="469">
        <f t="shared" si="2436"/>
        <v>0.28857221355594675</v>
      </c>
      <c r="BX989" s="469">
        <f t="shared" si="2436"/>
        <v>0.30583244063128728</v>
      </c>
      <c r="BY989" s="470">
        <f t="shared" si="2436"/>
        <v>0.29920013888804053</v>
      </c>
      <c r="BZ989" s="470">
        <f t="shared" si="2436"/>
        <v>0.2993537880194444</v>
      </c>
      <c r="CA989" s="470">
        <f t="shared" si="2436"/>
        <v>0.29941463916059446</v>
      </c>
      <c r="CB989" s="470">
        <f t="shared" si="2436"/>
        <v>0.29909436999664679</v>
      </c>
      <c r="CC989" s="470">
        <f t="shared" si="2436"/>
        <v>0.29875724456091252</v>
      </c>
      <c r="CD989" s="470">
        <f t="shared" si="2436"/>
        <v>0.29888945061414174</v>
      </c>
      <c r="CE989" s="470">
        <f t="shared" si="2436"/>
        <v>0.2990190643918173</v>
      </c>
      <c r="CF989" s="470">
        <f t="shared" si="2436"/>
        <v>0.29914613672287177</v>
      </c>
      <c r="CG989" s="331"/>
      <c r="CH989" s="331"/>
      <c r="CI989" s="331"/>
      <c r="CJ989" s="331"/>
      <c r="CK989" s="331"/>
      <c r="CL989" s="1310" t="str">
        <f t="shared" si="2424"/>
        <v>% of Gaming revenue</v>
      </c>
      <c r="CM989" s="469"/>
      <c r="CN989" s="469"/>
      <c r="CO989" s="469"/>
      <c r="CP989" s="469"/>
      <c r="CQ989" s="469"/>
      <c r="CR989" s="469"/>
      <c r="CS989" s="469"/>
      <c r="CT989" s="469"/>
      <c r="CU989" s="469">
        <f>AU989</f>
        <v>0.30411432624139201</v>
      </c>
      <c r="CV989" s="469">
        <f t="shared" si="2425"/>
        <v>0.30546928954147012</v>
      </c>
      <c r="CW989" s="469">
        <f t="shared" si="2426"/>
        <v>0.29980613404569967</v>
      </c>
      <c r="CX989" s="469">
        <f t="shared" si="2427"/>
        <v>0.30125063962738502</v>
      </c>
      <c r="CY989" s="469">
        <f t="shared" si="2428"/>
        <v>0.30188657932922425</v>
      </c>
      <c r="CZ989" s="469">
        <f t="shared" si="2429"/>
        <v>0.29919747841349698</v>
      </c>
      <c r="DA989" s="469">
        <f t="shared" si="2430"/>
        <v>0.29920013888804053</v>
      </c>
      <c r="DB989" s="469">
        <f t="shared" si="2430"/>
        <v>0.2993537880194444</v>
      </c>
      <c r="DC989" s="1463">
        <f t="shared" si="2430"/>
        <v>0.29941463916059446</v>
      </c>
      <c r="DD989" s="331"/>
      <c r="DE989" s="331"/>
      <c r="DF989" s="502"/>
      <c r="DG989" s="503"/>
      <c r="DH989" s="469"/>
      <c r="DI989" s="3213"/>
      <c r="DJ989" s="502"/>
      <c r="DK989" s="503"/>
      <c r="DL989" s="502"/>
      <c r="DM989" s="502"/>
      <c r="DN989" s="502"/>
      <c r="DO989" s="502"/>
      <c r="DP989" s="503"/>
      <c r="DQ989" s="503"/>
      <c r="DR989" s="428"/>
      <c r="DS989" s="428"/>
      <c r="DT989" s="428"/>
    </row>
    <row r="990" spans="1:124" ht="12" customHeight="1" x14ac:dyDescent="0.25">
      <c r="A990" s="281" t="s">
        <v>2162</v>
      </c>
      <c r="B990" s="281"/>
      <c r="C990" s="452"/>
      <c r="D990" s="452"/>
      <c r="E990" s="452"/>
      <c r="F990" s="452"/>
      <c r="G990" s="475"/>
      <c r="H990" s="452"/>
      <c r="I990" s="452"/>
      <c r="J990" s="452"/>
      <c r="K990" s="452"/>
      <c r="L990" s="475"/>
      <c r="M990" s="452"/>
      <c r="N990" s="452"/>
      <c r="O990" s="452"/>
      <c r="P990" s="452"/>
      <c r="Q990" s="475"/>
      <c r="R990" s="452"/>
      <c r="S990" s="452"/>
      <c r="T990" s="452"/>
      <c r="U990" s="452"/>
      <c r="V990" s="475"/>
      <c r="W990" s="452"/>
      <c r="X990" s="452"/>
      <c r="Y990" s="452"/>
      <c r="Z990" s="452"/>
      <c r="AA990" s="475"/>
      <c r="AB990" s="452"/>
      <c r="AC990" s="452"/>
      <c r="AD990" s="452"/>
      <c r="AE990" s="476"/>
      <c r="AF990" s="477"/>
      <c r="AG990" s="452"/>
      <c r="AH990" s="452"/>
      <c r="AI990" s="452"/>
      <c r="AJ990" s="476"/>
      <c r="AK990" s="477"/>
      <c r="AL990" s="452"/>
      <c r="AM990" s="452"/>
      <c r="AN990" s="452"/>
      <c r="AO990" s="476"/>
      <c r="AP990" s="478"/>
      <c r="AQ990" s="478">
        <f>+AQ988+AQ985</f>
        <v>47.7765931705</v>
      </c>
      <c r="AR990" s="476">
        <f>+AR988+AR985</f>
        <v>46.9519041458</v>
      </c>
      <c r="AS990" s="476">
        <f>+AS988+AS985</f>
        <v>42.228474267599999</v>
      </c>
      <c r="AT990" s="476">
        <f>+AT988+AT985</f>
        <v>41.571872745900002</v>
      </c>
      <c r="AU990" s="477">
        <f>+SUM(AQ990:AT990)</f>
        <v>178.52884432980002</v>
      </c>
      <c r="AV990" s="478">
        <f t="shared" ref="AV990:BE990" si="2437">+AV988+AV985</f>
        <v>40.36926465162</v>
      </c>
      <c r="AW990" s="476">
        <f t="shared" si="2437"/>
        <v>38.664757914296004</v>
      </c>
      <c r="AX990" s="476">
        <f t="shared" si="2437"/>
        <v>38.511958729299998</v>
      </c>
      <c r="AY990" s="682">
        <f t="shared" si="2437"/>
        <v>36.180665435854998</v>
      </c>
      <c r="AZ990" s="477">
        <f t="shared" si="2437"/>
        <v>153.72664673107101</v>
      </c>
      <c r="BA990" s="478">
        <f t="shared" si="2437"/>
        <v>36.482601611938001</v>
      </c>
      <c r="BB990" s="476">
        <f t="shared" si="2437"/>
        <v>37.201227354996043</v>
      </c>
      <c r="BC990" s="476">
        <f t="shared" si="2437"/>
        <v>36.019027681849998</v>
      </c>
      <c r="BD990" s="682">
        <f t="shared" si="2437"/>
        <v>35.7660759366672</v>
      </c>
      <c r="BE990" s="477">
        <f t="shared" si="2437"/>
        <v>145.46893258545123</v>
      </c>
      <c r="BF990" s="476">
        <f t="shared" ref="BF990:BO990" si="2438">+BF988+BF985</f>
        <v>36.814656478937124</v>
      </c>
      <c r="BG990" s="476">
        <f t="shared" si="2438"/>
        <v>38.062222838027495</v>
      </c>
      <c r="BH990" s="476">
        <f t="shared" si="2438"/>
        <v>38.448270048149993</v>
      </c>
      <c r="BI990" s="682">
        <f t="shared" si="2438"/>
        <v>37.045543191885798</v>
      </c>
      <c r="BJ990" s="477">
        <f t="shared" si="2438"/>
        <v>150.37069255700041</v>
      </c>
      <c r="BK990" s="476">
        <f t="shared" si="2438"/>
        <v>38.278320578022544</v>
      </c>
      <c r="BL990" s="476">
        <f t="shared" si="2438"/>
        <v>38.494088947028722</v>
      </c>
      <c r="BM990" s="476">
        <f t="shared" si="2438"/>
        <v>39.620309528649997</v>
      </c>
      <c r="BN990" s="682">
        <f t="shared" si="2438"/>
        <v>38.392222542016555</v>
      </c>
      <c r="BO990" s="477">
        <f t="shared" si="2438"/>
        <v>154.78494159571781</v>
      </c>
      <c r="BP990" s="476">
        <f t="shared" ref="BP990:CF990" si="2439">+BP988+BP985</f>
        <v>38.774770994106262</v>
      </c>
      <c r="BQ990" s="476">
        <f t="shared" si="2439"/>
        <v>38.977497419326298</v>
      </c>
      <c r="BR990" s="476">
        <f t="shared" si="2439"/>
        <v>39.974631334239994</v>
      </c>
      <c r="BS990" s="476">
        <f t="shared" si="2439"/>
        <v>39.312757943161216</v>
      </c>
      <c r="BT990" s="2604">
        <f t="shared" si="2439"/>
        <v>157.03965769083379</v>
      </c>
      <c r="BU990" s="2577">
        <f>+BU988+BU985</f>
        <v>38.491590480940246</v>
      </c>
      <c r="BV990" s="2577">
        <f>+BV988+BV985</f>
        <v>38.78536790530903</v>
      </c>
      <c r="BW990" s="2577">
        <f>+BW988+BW985</f>
        <v>39.829552621073596</v>
      </c>
      <c r="BX990" s="2577">
        <f>+BX988+BX985</f>
        <v>39.167180103905601</v>
      </c>
      <c r="BY990" s="2604">
        <f>+BY988+BY985</f>
        <v>156.27369111122846</v>
      </c>
      <c r="BZ990" s="477">
        <f t="shared" si="2439"/>
        <v>157.24194131301715</v>
      </c>
      <c r="CA990" s="477">
        <f t="shared" si="2439"/>
        <v>158.82936072614731</v>
      </c>
      <c r="CB990" s="477">
        <f t="shared" si="2439"/>
        <v>152.51334667085962</v>
      </c>
      <c r="CC990" s="477">
        <f t="shared" si="2439"/>
        <v>146.46211969890572</v>
      </c>
      <c r="CD990" s="477">
        <f t="shared" si="2439"/>
        <v>148.62138351751315</v>
      </c>
      <c r="CE990" s="477">
        <f t="shared" si="2439"/>
        <v>150.81583282673898</v>
      </c>
      <c r="CF990" s="477">
        <f t="shared" si="2439"/>
        <v>153.04609133853808</v>
      </c>
      <c r="CG990" s="331"/>
      <c r="CH990" s="331"/>
      <c r="CI990" s="331"/>
      <c r="CJ990" s="331"/>
      <c r="CK990" s="331"/>
      <c r="CL990" s="520" t="str">
        <f t="shared" si="2424"/>
        <v>Total expenses</v>
      </c>
      <c r="CM990" s="476"/>
      <c r="CN990" s="476"/>
      <c r="CO990" s="476"/>
      <c r="CP990" s="476"/>
      <c r="CQ990" s="476"/>
      <c r="CR990" s="476"/>
      <c r="CS990" s="476"/>
      <c r="CT990" s="476"/>
      <c r="CU990" s="476">
        <f>AU990</f>
        <v>178.52884432980002</v>
      </c>
      <c r="CV990" s="476">
        <f t="shared" si="2425"/>
        <v>153.72664673107101</v>
      </c>
      <c r="CW990" s="476">
        <f t="shared" si="2426"/>
        <v>145.46893258545123</v>
      </c>
      <c r="CX990" s="476">
        <f t="shared" si="2427"/>
        <v>150.37069255700041</v>
      </c>
      <c r="CY990" s="476">
        <f t="shared" si="2428"/>
        <v>154.78494159571781</v>
      </c>
      <c r="CZ990" s="476">
        <f t="shared" si="2429"/>
        <v>157.03965769083379</v>
      </c>
      <c r="DA990" s="476">
        <f t="shared" si="2430"/>
        <v>156.27369111122846</v>
      </c>
      <c r="DB990" s="476">
        <f t="shared" si="2430"/>
        <v>157.24194131301715</v>
      </c>
      <c r="DC990" s="682">
        <f t="shared" si="2430"/>
        <v>158.82936072614731</v>
      </c>
      <c r="DD990" s="331"/>
      <c r="DE990" s="331"/>
      <c r="DF990" s="502"/>
      <c r="DG990" s="503"/>
      <c r="DH990" s="2577"/>
      <c r="DI990" s="3213"/>
      <c r="DJ990" s="502"/>
      <c r="DK990" s="503"/>
      <c r="DL990" s="502"/>
      <c r="DM990" s="502"/>
      <c r="DN990" s="502"/>
      <c r="DO990" s="502"/>
      <c r="DP990" s="503"/>
      <c r="DQ990" s="503"/>
      <c r="DR990" s="428"/>
      <c r="DS990" s="428"/>
      <c r="DT990" s="428"/>
    </row>
    <row r="991" spans="1:124" ht="12" customHeight="1" x14ac:dyDescent="0.25">
      <c r="A991" s="281"/>
      <c r="B991" s="281"/>
      <c r="C991" s="305"/>
      <c r="D991" s="305"/>
      <c r="E991" s="305"/>
      <c r="F991" s="305"/>
      <c r="G991" s="440"/>
      <c r="H991" s="305"/>
      <c r="I991" s="305"/>
      <c r="J991" s="305"/>
      <c r="K991" s="305"/>
      <c r="L991" s="440"/>
      <c r="M991" s="305"/>
      <c r="N991" s="305"/>
      <c r="O991" s="305"/>
      <c r="P991" s="305"/>
      <c r="Q991" s="440"/>
      <c r="R991" s="305"/>
      <c r="S991" s="305"/>
      <c r="T991" s="305"/>
      <c r="U991" s="305"/>
      <c r="V991" s="440"/>
      <c r="W991" s="305"/>
      <c r="X991" s="305"/>
      <c r="Y991" s="305"/>
      <c r="Z991" s="305"/>
      <c r="AA991" s="440"/>
      <c r="AB991" s="305"/>
      <c r="AC991" s="305"/>
      <c r="AD991" s="305"/>
      <c r="AE991" s="331"/>
      <c r="AF991" s="441"/>
      <c r="AG991" s="305"/>
      <c r="AH991" s="305"/>
      <c r="AI991" s="305"/>
      <c r="AJ991" s="331"/>
      <c r="AK991" s="441"/>
      <c r="AL991" s="305"/>
      <c r="AM991" s="305"/>
      <c r="AN991" s="305"/>
      <c r="AO991" s="331"/>
      <c r="AP991" s="569"/>
      <c r="AQ991" s="569"/>
      <c r="AR991" s="442"/>
      <c r="AS991" s="442"/>
      <c r="AT991" s="442"/>
      <c r="AU991" s="441"/>
      <c r="AV991" s="569"/>
      <c r="AW991" s="442"/>
      <c r="AX991" s="442"/>
      <c r="AY991" s="1312"/>
      <c r="AZ991" s="441"/>
      <c r="BA991" s="569"/>
      <c r="BB991" s="442"/>
      <c r="BC991" s="442"/>
      <c r="BD991" s="1312"/>
      <c r="BE991" s="441"/>
      <c r="BF991" s="442"/>
      <c r="BG991" s="442"/>
      <c r="BH991" s="442"/>
      <c r="BI991" s="1312"/>
      <c r="BJ991" s="441"/>
      <c r="BK991" s="442"/>
      <c r="BL991" s="442"/>
      <c r="BM991" s="442"/>
      <c r="BN991" s="1312"/>
      <c r="BO991" s="441"/>
      <c r="BP991" s="442"/>
      <c r="BQ991" s="442"/>
      <c r="BR991" s="442"/>
      <c r="BS991" s="442"/>
      <c r="BT991" s="3236"/>
      <c r="BU991" s="3298"/>
      <c r="BV991" s="3298"/>
      <c r="BW991" s="3298"/>
      <c r="BX991" s="3298"/>
      <c r="BY991" s="3236"/>
      <c r="BZ991" s="441"/>
      <c r="CA991" s="441"/>
      <c r="CB991" s="441"/>
      <c r="CC991" s="441"/>
      <c r="CD991" s="441"/>
      <c r="CE991" s="441"/>
      <c r="CF991" s="441"/>
      <c r="CG991" s="331"/>
      <c r="CH991" s="331"/>
      <c r="CI991" s="331"/>
      <c r="CJ991" s="331"/>
      <c r="CK991" s="331"/>
      <c r="CL991" s="520"/>
      <c r="CM991" s="442"/>
      <c r="CN991" s="442"/>
      <c r="CO991" s="442"/>
      <c r="CP991" s="442"/>
      <c r="CQ991" s="442"/>
      <c r="CR991" s="442"/>
      <c r="CS991" s="442"/>
      <c r="CT991" s="442"/>
      <c r="CU991" s="442"/>
      <c r="CV991" s="442"/>
      <c r="CW991" s="442"/>
      <c r="CX991" s="442"/>
      <c r="CY991" s="442"/>
      <c r="CZ991" s="442"/>
      <c r="DA991" s="442"/>
      <c r="DB991" s="442"/>
      <c r="DC991" s="1312"/>
      <c r="DD991" s="331"/>
      <c r="DE991" s="331"/>
      <c r="DF991" s="502"/>
      <c r="DG991" s="503"/>
      <c r="DH991" s="3298"/>
      <c r="DI991" s="3213"/>
      <c r="DJ991" s="502"/>
      <c r="DK991" s="503"/>
      <c r="DL991" s="502"/>
      <c r="DM991" s="502"/>
      <c r="DN991" s="502"/>
      <c r="DO991" s="502"/>
      <c r="DP991" s="503"/>
      <c r="DQ991" s="503"/>
      <c r="DR991" s="428"/>
      <c r="DS991" s="428"/>
      <c r="DT991" s="428"/>
    </row>
    <row r="992" spans="1:124" ht="12" customHeight="1" x14ac:dyDescent="0.25">
      <c r="A992" s="496" t="s">
        <v>2010</v>
      </c>
      <c r="B992" s="1007"/>
      <c r="C992" s="1008"/>
      <c r="D992" s="1008"/>
      <c r="E992" s="1008"/>
      <c r="F992" s="1008"/>
      <c r="G992" s="1009"/>
      <c r="H992" s="1008"/>
      <c r="I992" s="1008"/>
      <c r="J992" s="1008"/>
      <c r="K992" s="1008"/>
      <c r="L992" s="1009"/>
      <c r="M992" s="1008"/>
      <c r="N992" s="1008"/>
      <c r="O992" s="1008"/>
      <c r="P992" s="1008"/>
      <c r="Q992" s="1009"/>
      <c r="R992" s="1008"/>
      <c r="S992" s="1008"/>
      <c r="T992" s="1008"/>
      <c r="U992" s="1008"/>
      <c r="V992" s="1009"/>
      <c r="W992" s="1008"/>
      <c r="X992" s="1008"/>
      <c r="Y992" s="1008"/>
      <c r="Z992" s="1008"/>
      <c r="AA992" s="1009"/>
      <c r="AB992" s="1008"/>
      <c r="AC992" s="1008"/>
      <c r="AD992" s="1008"/>
      <c r="AE992" s="1010"/>
      <c r="AF992" s="1011"/>
      <c r="AG992" s="1008"/>
      <c r="AH992" s="1008"/>
      <c r="AI992" s="1008"/>
      <c r="AJ992" s="1010"/>
      <c r="AK992" s="1011"/>
      <c r="AL992" s="1008"/>
      <c r="AM992" s="1008"/>
      <c r="AN992" s="1008"/>
      <c r="AO992" s="1010"/>
      <c r="AP992" s="1013"/>
      <c r="AQ992" s="1013">
        <f>+AQ982-AQ990</f>
        <v>19.973589519500003</v>
      </c>
      <c r="AR992" s="1012">
        <f>+AR982-AR990</f>
        <v>22.128803234200007</v>
      </c>
      <c r="AS992" s="1012">
        <f>+AS982-AS990</f>
        <v>21.691525732400002</v>
      </c>
      <c r="AT992" s="1012">
        <f>+AT982-AT990</f>
        <v>14.859918224099999</v>
      </c>
      <c r="AU992" s="1011">
        <f>+SUM(AQ992:AT992)</f>
        <v>78.653836710200011</v>
      </c>
      <c r="AV992" s="1013">
        <f t="shared" ref="AV992:BE992" si="2440">+AV982-AV990</f>
        <v>20.803069694880001</v>
      </c>
      <c r="AW992" s="1012">
        <f t="shared" si="2440"/>
        <v>17.809168441954</v>
      </c>
      <c r="AX992" s="1012">
        <f t="shared" si="2440"/>
        <v>18.9507233852</v>
      </c>
      <c r="AY992" s="1877">
        <f t="shared" si="2440"/>
        <v>15.255942686394995</v>
      </c>
      <c r="AZ992" s="1011">
        <f t="shared" si="2440"/>
        <v>72.818904208428989</v>
      </c>
      <c r="BA992" s="1013">
        <f t="shared" si="2440"/>
        <v>18.579090194561999</v>
      </c>
      <c r="BB992" s="1012">
        <f t="shared" si="2440"/>
        <v>17.405703681253961</v>
      </c>
      <c r="BC992" s="1012">
        <f t="shared" si="2440"/>
        <v>16.053345292650008</v>
      </c>
      <c r="BD992" s="1877">
        <f t="shared" si="2440"/>
        <v>16.476078455582801</v>
      </c>
      <c r="BE992" s="1011">
        <f t="shared" si="2440"/>
        <v>68.514217624048797</v>
      </c>
      <c r="BF992" s="1012">
        <f t="shared" ref="BF992:BO992" si="2441">+BF982-BF990</f>
        <v>18.724862297562872</v>
      </c>
      <c r="BG992" s="1012">
        <f t="shared" si="2441"/>
        <v>16.672346078222503</v>
      </c>
      <c r="BH992" s="1012">
        <f t="shared" si="2441"/>
        <v>18.995597726350006</v>
      </c>
      <c r="BI992" s="1877">
        <f t="shared" si="2441"/>
        <v>16.908288570364199</v>
      </c>
      <c r="BJ992" s="1011">
        <f t="shared" si="2441"/>
        <v>71.301094672499573</v>
      </c>
      <c r="BK992" s="1012">
        <f t="shared" si="2441"/>
        <v>20.031105695227453</v>
      </c>
      <c r="BL992" s="1012">
        <f t="shared" si="2441"/>
        <v>16.985254996096288</v>
      </c>
      <c r="BM992" s="1012">
        <f t="shared" si="2441"/>
        <v>20.278388892225003</v>
      </c>
      <c r="BN992" s="1877">
        <f t="shared" si="2441"/>
        <v>19.165365764108451</v>
      </c>
      <c r="BO992" s="1011">
        <f t="shared" si="2441"/>
        <v>76.460115347657165</v>
      </c>
      <c r="BP992" s="1012">
        <f t="shared" ref="BP992:CF992" si="2442">+BP982-BP990</f>
        <v>21.629356459143736</v>
      </c>
      <c r="BQ992" s="1012">
        <f t="shared" si="2442"/>
        <v>19.655006603798704</v>
      </c>
      <c r="BR992" s="1012">
        <f t="shared" si="2442"/>
        <v>19.911122076635003</v>
      </c>
      <c r="BS992" s="1012">
        <f t="shared" si="2442"/>
        <v>17.047143762963792</v>
      </c>
      <c r="BT992" s="1011">
        <f t="shared" si="2442"/>
        <v>78.242628902541213</v>
      </c>
      <c r="BU992" s="1012">
        <f>+BU982-BU990</f>
        <v>19.865904102309749</v>
      </c>
      <c r="BV992" s="1012">
        <f>+BV982-BV990</f>
        <v>19.847136117815971</v>
      </c>
      <c r="BW992" s="1012">
        <f>+BW982-BW990</f>
        <v>21.275941889601405</v>
      </c>
      <c r="BX992" s="1012">
        <f>+BX982-BX990</f>
        <v>18.328108510219408</v>
      </c>
      <c r="BY992" s="1011">
        <f>+BY982-BY990</f>
        <v>79.317090619946526</v>
      </c>
      <c r="BZ992" s="1011">
        <f t="shared" si="2442"/>
        <v>84.301585728102822</v>
      </c>
      <c r="CA992" s="1011">
        <f t="shared" si="2442"/>
        <v>85.154791892050099</v>
      </c>
      <c r="CB992" s="1011">
        <f t="shared" si="2442"/>
        <v>79.145646783096652</v>
      </c>
      <c r="CC992" s="1011">
        <f t="shared" si="2442"/>
        <v>73.487972549021464</v>
      </c>
      <c r="CD992" s="1011">
        <f t="shared" si="2442"/>
        <v>75.778091188705076</v>
      </c>
      <c r="CE992" s="1011">
        <f t="shared" si="2442"/>
        <v>78.122011986936116</v>
      </c>
      <c r="CF992" s="1011">
        <f t="shared" si="2442"/>
        <v>80.520890984743033</v>
      </c>
      <c r="CG992" s="331"/>
      <c r="CH992" s="331"/>
      <c r="CI992" s="331"/>
      <c r="CJ992" s="331"/>
      <c r="CK992" s="331"/>
      <c r="CL992" s="2102" t="str">
        <f t="shared" ref="CL992:CL997" si="2443">A992</f>
        <v>Property EBITDA</v>
      </c>
      <c r="CM992" s="1012"/>
      <c r="CN992" s="1012"/>
      <c r="CO992" s="1012"/>
      <c r="CP992" s="1012"/>
      <c r="CQ992" s="1012"/>
      <c r="CR992" s="1012"/>
      <c r="CS992" s="1012"/>
      <c r="CT992" s="1012"/>
      <c r="CU992" s="1012">
        <f>AU992</f>
        <v>78.653836710200011</v>
      </c>
      <c r="CV992" s="1012">
        <f t="shared" ref="CV992:CV997" si="2444">AZ992</f>
        <v>72.818904208428989</v>
      </c>
      <c r="CW992" s="1012">
        <f t="shared" ref="CW992:CW997" si="2445">BE992</f>
        <v>68.514217624048797</v>
      </c>
      <c r="CX992" s="1012">
        <f t="shared" ref="CX992:CX997" si="2446">BJ992</f>
        <v>71.301094672499573</v>
      </c>
      <c r="CY992" s="1012">
        <f t="shared" ref="CY992:CY997" si="2447">BO992</f>
        <v>76.460115347657165</v>
      </c>
      <c r="CZ992" s="1012">
        <f t="shared" ref="CZ992:CZ997" si="2448">BT992</f>
        <v>78.242628902541213</v>
      </c>
      <c r="DA992" s="1012">
        <f t="shared" ref="DA992:DC997" si="2449">BY992</f>
        <v>79.317090619946526</v>
      </c>
      <c r="DB992" s="1012">
        <f t="shared" si="2449"/>
        <v>84.301585728102822</v>
      </c>
      <c r="DC992" s="1877">
        <f t="shared" si="2449"/>
        <v>85.154791892050099</v>
      </c>
      <c r="DD992" s="331"/>
      <c r="DE992" s="331"/>
      <c r="DF992" s="502"/>
      <c r="DG992" s="503"/>
      <c r="DH992" s="598"/>
      <c r="DI992" s="3213"/>
      <c r="DJ992" s="502"/>
      <c r="DK992" s="503"/>
      <c r="DL992" s="502"/>
      <c r="DM992" s="502"/>
      <c r="DN992" s="502"/>
      <c r="DO992" s="502"/>
      <c r="DP992" s="503"/>
      <c r="DQ992" s="503"/>
      <c r="DR992" s="428"/>
      <c r="DS992" s="428"/>
      <c r="DT992" s="428"/>
    </row>
    <row r="993" spans="1:124" ht="12" customHeight="1" x14ac:dyDescent="0.25">
      <c r="A993" s="465" t="s">
        <v>1892</v>
      </c>
      <c r="B993" s="579"/>
      <c r="C993" s="467"/>
      <c r="D993" s="467"/>
      <c r="E993" s="467"/>
      <c r="F993" s="467"/>
      <c r="G993" s="468"/>
      <c r="H993" s="467"/>
      <c r="I993" s="467"/>
      <c r="J993" s="467"/>
      <c r="K993" s="467"/>
      <c r="L993" s="468"/>
      <c r="M993" s="467"/>
      <c r="N993" s="467"/>
      <c r="O993" s="467"/>
      <c r="P993" s="467"/>
      <c r="Q993" s="468"/>
      <c r="R993" s="467"/>
      <c r="S993" s="467"/>
      <c r="T993" s="467"/>
      <c r="U993" s="467"/>
      <c r="V993" s="468"/>
      <c r="W993" s="467"/>
      <c r="X993" s="467"/>
      <c r="Y993" s="467"/>
      <c r="Z993" s="467"/>
      <c r="AA993" s="468"/>
      <c r="AB993" s="467"/>
      <c r="AC993" s="467"/>
      <c r="AD993" s="467"/>
      <c r="AE993" s="469"/>
      <c r="AF993" s="470"/>
      <c r="AG993" s="467"/>
      <c r="AH993" s="467"/>
      <c r="AI993" s="467"/>
      <c r="AJ993" s="469"/>
      <c r="AK993" s="470"/>
      <c r="AL993" s="467"/>
      <c r="AM993" s="467"/>
      <c r="AN993" s="467"/>
      <c r="AO993" s="469"/>
      <c r="AP993" s="471"/>
      <c r="AQ993" s="471">
        <f t="shared" ref="AQ993:BK993" si="2450">AQ992/AQ982</f>
        <v>0.29481233446840766</v>
      </c>
      <c r="AR993" s="469">
        <f t="shared" si="2450"/>
        <v>0.3203326091100025</v>
      </c>
      <c r="AS993" s="469">
        <f t="shared" si="2450"/>
        <v>0.33935428242177723</v>
      </c>
      <c r="AT993" s="469">
        <f t="shared" si="2450"/>
        <v>0.26332529889047396</v>
      </c>
      <c r="AU993" s="470">
        <f t="shared" si="2450"/>
        <v>0.30582866774752554</v>
      </c>
      <c r="AV993" s="471">
        <f>AV992/AV982</f>
        <v>0.34007317061082953</v>
      </c>
      <c r="AW993" s="469">
        <f>AW992/AW982</f>
        <v>0.31535204989307508</v>
      </c>
      <c r="AX993" s="469">
        <f>AX992/AX982</f>
        <v>0.32979183511550741</v>
      </c>
      <c r="AY993" s="1463">
        <f>AY992/AY982</f>
        <v>0.29659698108662252</v>
      </c>
      <c r="AZ993" s="470">
        <f t="shared" si="2450"/>
        <v>0.32143162338189374</v>
      </c>
      <c r="BA993" s="471">
        <f>BA992/BA982</f>
        <v>0.33742316272905998</v>
      </c>
      <c r="BB993" s="469">
        <f>BB992/BB982</f>
        <v>0.31874531952179186</v>
      </c>
      <c r="BC993" s="469">
        <f>BC992/BC982</f>
        <v>0.30828910563594591</v>
      </c>
      <c r="BD993" s="1463">
        <f>BD992/BD982</f>
        <v>0.31537900087112386</v>
      </c>
      <c r="BE993" s="470">
        <f t="shared" si="2450"/>
        <v>0.32018510596264244</v>
      </c>
      <c r="BF993" s="469">
        <f t="shared" si="2450"/>
        <v>0.3371448422683449</v>
      </c>
      <c r="BG993" s="469">
        <f t="shared" si="2450"/>
        <v>0.30460358797623954</v>
      </c>
      <c r="BH993" s="469">
        <f t="shared" si="2450"/>
        <v>0.33068103632782142</v>
      </c>
      <c r="BI993" s="1463">
        <f t="shared" si="2450"/>
        <v>0.31338438843178623</v>
      </c>
      <c r="BJ993" s="470">
        <f t="shared" si="2450"/>
        <v>0.32165164346638542</v>
      </c>
      <c r="BK993" s="469">
        <f t="shared" si="2450"/>
        <v>0.34353117455413745</v>
      </c>
      <c r="BL993" s="469">
        <f t="shared" ref="BL993:CF993" si="2451">BL992/BL982</f>
        <v>0.30615457553912007</v>
      </c>
      <c r="BM993" s="469">
        <f t="shared" si="2451"/>
        <v>0.33854473347216979</v>
      </c>
      <c r="BN993" s="1463">
        <f t="shared" si="2451"/>
        <v>0.33297722034800692</v>
      </c>
      <c r="BO993" s="470">
        <f t="shared" si="2451"/>
        <v>0.33064540430967987</v>
      </c>
      <c r="BP993" s="469">
        <f t="shared" si="2451"/>
        <v>0.35807745879424974</v>
      </c>
      <c r="BQ993" s="469">
        <f t="shared" si="2451"/>
        <v>0.33522372839554415</v>
      </c>
      <c r="BR993" s="469">
        <f t="shared" si="2451"/>
        <v>0.33248512279749037</v>
      </c>
      <c r="BS993" s="469">
        <f t="shared" si="2451"/>
        <v>0.30246936646291495</v>
      </c>
      <c r="BT993" s="470">
        <f t="shared" si="2451"/>
        <v>0.33254789400174223</v>
      </c>
      <c r="BU993" s="469">
        <f t="shared" si="2451"/>
        <v>0.34041735760211578</v>
      </c>
      <c r="BV993" s="469">
        <f t="shared" si="2451"/>
        <v>0.33850057145756807</v>
      </c>
      <c r="BW993" s="469">
        <f t="shared" si="2451"/>
        <v>0.3481837772523802</v>
      </c>
      <c r="BX993" s="469">
        <f t="shared" si="2451"/>
        <v>0.31877583280304983</v>
      </c>
      <c r="BY993" s="470">
        <f t="shared" si="2451"/>
        <v>0.33667315009995891</v>
      </c>
      <c r="BZ993" s="470">
        <f t="shared" si="2451"/>
        <v>0.3490119845511383</v>
      </c>
      <c r="CA993" s="470">
        <f t="shared" si="2451"/>
        <v>0.34901771684042926</v>
      </c>
      <c r="CB993" s="470">
        <f t="shared" si="2451"/>
        <v>0.34164720135860971</v>
      </c>
      <c r="CC993" s="470">
        <f t="shared" si="2451"/>
        <v>0.3341120333161125</v>
      </c>
      <c r="CD993" s="470">
        <f t="shared" si="2451"/>
        <v>0.33769281896899744</v>
      </c>
      <c r="CE993" s="470">
        <f t="shared" si="2451"/>
        <v>0.3412367756432626</v>
      </c>
      <c r="CF993" s="470">
        <f t="shared" si="2451"/>
        <v>0.34474432209469447</v>
      </c>
      <c r="CG993" s="331"/>
      <c r="CH993" s="331"/>
      <c r="CI993" s="331"/>
      <c r="CJ993" s="331"/>
      <c r="CK993" s="331"/>
      <c r="CL993" s="1310" t="str">
        <f t="shared" si="2443"/>
        <v>Margin</v>
      </c>
      <c r="CM993" s="469"/>
      <c r="CN993" s="469"/>
      <c r="CO993" s="469"/>
      <c r="CP993" s="469"/>
      <c r="CQ993" s="469"/>
      <c r="CR993" s="469"/>
      <c r="CS993" s="469"/>
      <c r="CT993" s="469"/>
      <c r="CU993" s="469">
        <f>AU993</f>
        <v>0.30582866774752554</v>
      </c>
      <c r="CV993" s="469">
        <f t="shared" si="2444"/>
        <v>0.32143162338189374</v>
      </c>
      <c r="CW993" s="469">
        <f t="shared" si="2445"/>
        <v>0.32018510596264244</v>
      </c>
      <c r="CX993" s="469">
        <f t="shared" si="2446"/>
        <v>0.32165164346638542</v>
      </c>
      <c r="CY993" s="469">
        <f t="shared" si="2447"/>
        <v>0.33064540430967987</v>
      </c>
      <c r="CZ993" s="469">
        <f t="shared" si="2448"/>
        <v>0.33254789400174223</v>
      </c>
      <c r="DA993" s="469">
        <f t="shared" si="2449"/>
        <v>0.33667315009995891</v>
      </c>
      <c r="DB993" s="469">
        <f t="shared" si="2449"/>
        <v>0.3490119845511383</v>
      </c>
      <c r="DC993" s="1463">
        <f t="shared" si="2449"/>
        <v>0.34901771684042926</v>
      </c>
      <c r="DD993" s="331"/>
      <c r="DE993" s="331"/>
      <c r="DF993" s="502"/>
      <c r="DG993" s="503"/>
      <c r="DH993" s="469"/>
      <c r="DI993" s="3213"/>
      <c r="DJ993" s="502"/>
      <c r="DK993" s="503"/>
      <c r="DL993" s="502"/>
      <c r="DM993" s="502"/>
      <c r="DN993" s="502"/>
      <c r="DO993" s="502"/>
      <c r="DP993" s="503"/>
      <c r="DQ993" s="503"/>
      <c r="DR993" s="428"/>
      <c r="DS993" s="428"/>
      <c r="DT993" s="428"/>
    </row>
    <row r="994" spans="1:124" ht="12" customHeight="1" x14ac:dyDescent="0.25">
      <c r="A994" s="465" t="s">
        <v>1491</v>
      </c>
      <c r="B994" s="579"/>
      <c r="C994" s="467"/>
      <c r="D994" s="467"/>
      <c r="E994" s="467"/>
      <c r="F994" s="467"/>
      <c r="G994" s="468"/>
      <c r="H994" s="467"/>
      <c r="I994" s="467"/>
      <c r="J994" s="467"/>
      <c r="K994" s="467"/>
      <c r="L994" s="468"/>
      <c r="M994" s="467"/>
      <c r="N994" s="467"/>
      <c r="O994" s="467"/>
      <c r="P994" s="467"/>
      <c r="Q994" s="468"/>
      <c r="R994" s="467"/>
      <c r="S994" s="467"/>
      <c r="T994" s="467"/>
      <c r="U994" s="467"/>
      <c r="V994" s="468"/>
      <c r="W994" s="467"/>
      <c r="X994" s="467"/>
      <c r="Y994" s="467"/>
      <c r="Z994" s="467"/>
      <c r="AA994" s="468"/>
      <c r="AB994" s="467"/>
      <c r="AC994" s="467"/>
      <c r="AD994" s="467"/>
      <c r="AE994" s="469"/>
      <c r="AF994" s="470"/>
      <c r="AG994" s="467"/>
      <c r="AH994" s="467"/>
      <c r="AI994" s="467"/>
      <c r="AJ994" s="469"/>
      <c r="AK994" s="470"/>
      <c r="AL994" s="467"/>
      <c r="AM994" s="467"/>
      <c r="AN994" s="467"/>
      <c r="AO994" s="469"/>
      <c r="AP994" s="471"/>
      <c r="AQ994" s="471"/>
      <c r="AR994" s="469"/>
      <c r="AS994" s="469"/>
      <c r="AT994" s="469"/>
      <c r="AU994" s="539"/>
      <c r="AV994" s="471">
        <f t="shared" ref="AV994:BA994" si="2452">(AV992-AQ992)/AQ992</f>
        <v>4.1528848611321771E-2</v>
      </c>
      <c r="AW994" s="469">
        <f t="shared" si="2452"/>
        <v>-0.195204175595453</v>
      </c>
      <c r="AX994" s="469">
        <f t="shared" si="2452"/>
        <v>-0.12635359914338093</v>
      </c>
      <c r="AY994" s="1463">
        <f t="shared" si="2452"/>
        <v>2.6650514243928905E-2</v>
      </c>
      <c r="AZ994" s="470">
        <f t="shared" si="2452"/>
        <v>-7.4184969809798662E-2</v>
      </c>
      <c r="BA994" s="471">
        <f t="shared" si="2452"/>
        <v>-0.10690631396891211</v>
      </c>
      <c r="BB994" s="469">
        <f t="shared" ref="BB994:BJ994" si="2453">(BB992-AW992)/AW992</f>
        <v>-2.2654890486047411E-2</v>
      </c>
      <c r="BC994" s="469">
        <f t="shared" si="2453"/>
        <v>-0.15289010523011307</v>
      </c>
      <c r="BD994" s="1463">
        <f t="shared" si="2453"/>
        <v>7.9977736824870443E-2</v>
      </c>
      <c r="BE994" s="470">
        <f t="shared" si="2453"/>
        <v>-5.9114959654692427E-2</v>
      </c>
      <c r="BF994" s="469">
        <f t="shared" si="2453"/>
        <v>7.8460302132307563E-3</v>
      </c>
      <c r="BG994" s="469">
        <f t="shared" si="2453"/>
        <v>-4.2133177518199831E-2</v>
      </c>
      <c r="BH994" s="469">
        <f t="shared" si="2453"/>
        <v>0.18327970775331812</v>
      </c>
      <c r="BI994" s="1463">
        <f t="shared" si="2453"/>
        <v>2.6232584164161153E-2</v>
      </c>
      <c r="BJ994" s="470">
        <f t="shared" si="2453"/>
        <v>4.0675893925300695E-2</v>
      </c>
      <c r="BK994" s="469">
        <f t="shared" ref="BK994:BX994" si="2454">(BK992-BF992)/BF992</f>
        <v>6.9759839987426464E-2</v>
      </c>
      <c r="BL994" s="469">
        <f t="shared" si="2454"/>
        <v>1.8768139553107487E-2</v>
      </c>
      <c r="BM994" s="469">
        <f t="shared" si="2454"/>
        <v>6.7530971352144156E-2</v>
      </c>
      <c r="BN994" s="1463">
        <f t="shared" si="2454"/>
        <v>0.13348939393548775</v>
      </c>
      <c r="BO994" s="470">
        <f t="shared" si="2454"/>
        <v>7.2355420331960157E-2</v>
      </c>
      <c r="BP994" s="469">
        <f t="shared" si="2454"/>
        <v>7.9788444444036724E-2</v>
      </c>
      <c r="BQ994" s="469">
        <f t="shared" si="2454"/>
        <v>0.15718054326037517</v>
      </c>
      <c r="BR994" s="469">
        <f t="shared" si="2454"/>
        <v>-1.8111242344840062E-2</v>
      </c>
      <c r="BS994" s="469">
        <f t="shared" si="2454"/>
        <v>-0.11052343207096606</v>
      </c>
      <c r="BT994" s="470">
        <f t="shared" si="2454"/>
        <v>2.3312985427488848E-2</v>
      </c>
      <c r="BU994" s="469">
        <f t="shared" si="2454"/>
        <v>-8.1530505087611782E-2</v>
      </c>
      <c r="BV994" s="469">
        <f t="shared" si="2454"/>
        <v>9.7750928244478303E-3</v>
      </c>
      <c r="BW994" s="469">
        <f t="shared" si="2454"/>
        <v>6.8545600178302871E-2</v>
      </c>
      <c r="BX994" s="469">
        <f t="shared" si="2454"/>
        <v>7.5142485161567601E-2</v>
      </c>
      <c r="BY994" s="470">
        <f>(BY992-BT992)/BT992</f>
        <v>1.3732433744572408E-2</v>
      </c>
      <c r="BZ994" s="470">
        <f t="shared" ref="BZ994:CF994" si="2455">(BZ992-BY992)/BY992</f>
        <v>6.2842636677634303E-2</v>
      </c>
      <c r="CA994" s="470">
        <f t="shared" si="2455"/>
        <v>1.0120879181313573E-2</v>
      </c>
      <c r="CB994" s="470">
        <f t="shared" si="2455"/>
        <v>-7.0567316006962727E-2</v>
      </c>
      <c r="CC994" s="470">
        <f t="shared" si="2455"/>
        <v>-7.1484338861749153E-2</v>
      </c>
      <c r="CD994" s="470">
        <f t="shared" si="2455"/>
        <v>3.1163176234804246E-2</v>
      </c>
      <c r="CE994" s="470">
        <f t="shared" si="2455"/>
        <v>3.0931378205266893E-2</v>
      </c>
      <c r="CF994" s="470">
        <f t="shared" si="2455"/>
        <v>3.0706825602597999E-2</v>
      </c>
      <c r="CG994" s="331"/>
      <c r="CH994" s="331"/>
      <c r="CI994" s="331"/>
      <c r="CJ994" s="331"/>
      <c r="CK994" s="331"/>
      <c r="CL994" s="1310" t="str">
        <f t="shared" si="2443"/>
        <v>% growth (y-o-y)</v>
      </c>
      <c r="CM994" s="469"/>
      <c r="CN994" s="469"/>
      <c r="CO994" s="469"/>
      <c r="CP994" s="469"/>
      <c r="CQ994" s="469"/>
      <c r="CR994" s="469"/>
      <c r="CS994" s="469"/>
      <c r="CT994" s="469"/>
      <c r="CU994" s="469"/>
      <c r="CV994" s="469">
        <f t="shared" si="2444"/>
        <v>-7.4184969809798662E-2</v>
      </c>
      <c r="CW994" s="469">
        <f t="shared" si="2445"/>
        <v>-5.9114959654692427E-2</v>
      </c>
      <c r="CX994" s="469">
        <f t="shared" si="2446"/>
        <v>4.0675893925300695E-2</v>
      </c>
      <c r="CY994" s="469">
        <f t="shared" si="2447"/>
        <v>7.2355420331960157E-2</v>
      </c>
      <c r="CZ994" s="469">
        <f t="shared" si="2448"/>
        <v>2.3312985427488848E-2</v>
      </c>
      <c r="DA994" s="469">
        <f t="shared" si="2449"/>
        <v>1.3732433744572408E-2</v>
      </c>
      <c r="DB994" s="469">
        <f t="shared" si="2449"/>
        <v>6.2842636677634303E-2</v>
      </c>
      <c r="DC994" s="1463">
        <f t="shared" si="2449"/>
        <v>1.0120879181313573E-2</v>
      </c>
      <c r="DD994" s="331"/>
      <c r="DE994" s="331"/>
      <c r="DF994" s="502"/>
      <c r="DG994" s="503"/>
      <c r="DH994" s="469"/>
      <c r="DI994" s="3213"/>
      <c r="DJ994" s="502"/>
      <c r="DK994" s="503"/>
      <c r="DL994" s="502"/>
      <c r="DM994" s="502"/>
      <c r="DN994" s="502"/>
      <c r="DO994" s="502"/>
      <c r="DP994" s="503"/>
      <c r="DQ994" s="503"/>
      <c r="DR994" s="428"/>
      <c r="DS994" s="428"/>
      <c r="DT994" s="428"/>
    </row>
    <row r="995" spans="1:124" ht="12" customHeight="1" x14ac:dyDescent="0.25">
      <c r="A995" s="281" t="s">
        <v>2197</v>
      </c>
      <c r="B995" s="281"/>
      <c r="C995" s="570"/>
      <c r="D995" s="570"/>
      <c r="E995" s="570"/>
      <c r="F995" s="570"/>
      <c r="G995" s="475"/>
      <c r="H995" s="570"/>
      <c r="I995" s="570"/>
      <c r="J995" s="570"/>
      <c r="K995" s="570"/>
      <c r="L995" s="475"/>
      <c r="M995" s="570"/>
      <c r="N995" s="570"/>
      <c r="O995" s="570"/>
      <c r="P995" s="570"/>
      <c r="Q995" s="475"/>
      <c r="R995" s="570"/>
      <c r="S995" s="570"/>
      <c r="T995" s="570"/>
      <c r="U995" s="570"/>
      <c r="V995" s="475"/>
      <c r="W995" s="570"/>
      <c r="X995" s="570"/>
      <c r="Y995" s="570"/>
      <c r="Z995" s="570"/>
      <c r="AA995" s="475"/>
      <c r="AB995" s="570"/>
      <c r="AC995" s="570"/>
      <c r="AD995" s="570"/>
      <c r="AE995" s="572"/>
      <c r="AF995" s="477"/>
      <c r="AG995" s="570"/>
      <c r="AH995" s="570"/>
      <c r="AI995" s="570"/>
      <c r="AJ995" s="572"/>
      <c r="AK995" s="477"/>
      <c r="AL995" s="570"/>
      <c r="AM995" s="570"/>
      <c r="AN995" s="570"/>
      <c r="AO995" s="572"/>
      <c r="AP995" s="478"/>
      <c r="AQ995" s="478">
        <v>6.25</v>
      </c>
      <c r="AR995" s="476">
        <f>+AQ995</f>
        <v>6.25</v>
      </c>
      <c r="AS995" s="476">
        <f>+AR995</f>
        <v>6.25</v>
      </c>
      <c r="AT995" s="476">
        <f>+AS995</f>
        <v>6.25</v>
      </c>
      <c r="AU995" s="477">
        <f>+SUM(AQ995:AT995)</f>
        <v>25</v>
      </c>
      <c r="AV995" s="478">
        <v>6.25</v>
      </c>
      <c r="AW995" s="476">
        <f>+AV995</f>
        <v>6.25</v>
      </c>
      <c r="AX995" s="476">
        <f>+AW995</f>
        <v>6.25</v>
      </c>
      <c r="AY995" s="682">
        <f>+AX995</f>
        <v>6.25</v>
      </c>
      <c r="AZ995" s="477">
        <f>+AU995</f>
        <v>25</v>
      </c>
      <c r="BA995" s="478">
        <v>6.25</v>
      </c>
      <c r="BB995" s="476">
        <f>+BA995</f>
        <v>6.25</v>
      </c>
      <c r="BC995" s="476">
        <f>+BB995</f>
        <v>6.25</v>
      </c>
      <c r="BD995" s="682">
        <f>+BC995</f>
        <v>6.25</v>
      </c>
      <c r="BE995" s="477">
        <f>+AZ995</f>
        <v>25</v>
      </c>
      <c r="BF995" s="476">
        <f>+BD995</f>
        <v>6.25</v>
      </c>
      <c r="BG995" s="476">
        <f>+BF995</f>
        <v>6.25</v>
      </c>
      <c r="BH995" s="476">
        <f>+BG995</f>
        <v>6.25</v>
      </c>
      <c r="BI995" s="682">
        <f>+BH995</f>
        <v>6.25</v>
      </c>
      <c r="BJ995" s="477">
        <f>+BE995</f>
        <v>25</v>
      </c>
      <c r="BK995" s="476">
        <f>+BJ995/4</f>
        <v>6.25</v>
      </c>
      <c r="BL995" s="476">
        <f>+BK995</f>
        <v>6.25</v>
      </c>
      <c r="BM995" s="476">
        <f>+BL995</f>
        <v>6.25</v>
      </c>
      <c r="BN995" s="682">
        <f>+BM995</f>
        <v>6.25</v>
      </c>
      <c r="BO995" s="477">
        <f>+BJ995</f>
        <v>25</v>
      </c>
      <c r="BP995" s="476">
        <f>+BN995</f>
        <v>6.25</v>
      </c>
      <c r="BQ995" s="476">
        <f>+BP995</f>
        <v>6.25</v>
      </c>
      <c r="BR995" s="476">
        <f>+BQ995</f>
        <v>6.25</v>
      </c>
      <c r="BS995" s="476">
        <f>+BR995</f>
        <v>6.25</v>
      </c>
      <c r="BT995" s="2604">
        <f>+BO995</f>
        <v>25</v>
      </c>
      <c r="BU995" s="2577">
        <f>BS995</f>
        <v>6.25</v>
      </c>
      <c r="BV995" s="2577">
        <f>BU995</f>
        <v>6.25</v>
      </c>
      <c r="BW995" s="2577">
        <f>BV995</f>
        <v>6.25</v>
      </c>
      <c r="BX995" s="2577">
        <f>BW995</f>
        <v>6.25</v>
      </c>
      <c r="BY995" s="2604">
        <f>+BT995</f>
        <v>25</v>
      </c>
      <c r="BZ995" s="477">
        <f t="shared" ref="BZ995:CF995" si="2456">+BY995</f>
        <v>25</v>
      </c>
      <c r="CA995" s="477">
        <f t="shared" si="2456"/>
        <v>25</v>
      </c>
      <c r="CB995" s="477">
        <f t="shared" si="2456"/>
        <v>25</v>
      </c>
      <c r="CC995" s="477">
        <f t="shared" si="2456"/>
        <v>25</v>
      </c>
      <c r="CD995" s="477">
        <f t="shared" si="2456"/>
        <v>25</v>
      </c>
      <c r="CE995" s="477">
        <f t="shared" si="2456"/>
        <v>25</v>
      </c>
      <c r="CF995" s="477">
        <f t="shared" si="2456"/>
        <v>25</v>
      </c>
      <c r="CG995" s="331"/>
      <c r="CH995" s="331"/>
      <c r="CI995" s="331"/>
      <c r="CJ995" s="331"/>
      <c r="CK995" s="331"/>
      <c r="CL995" s="520" t="str">
        <f t="shared" si="2443"/>
        <v>Depreciation and amortization</v>
      </c>
      <c r="CM995" s="476"/>
      <c r="CN995" s="476"/>
      <c r="CO995" s="476"/>
      <c r="CP995" s="476"/>
      <c r="CQ995" s="476"/>
      <c r="CR995" s="476"/>
      <c r="CS995" s="476"/>
      <c r="CT995" s="476"/>
      <c r="CU995" s="476">
        <f>AU995</f>
        <v>25</v>
      </c>
      <c r="CV995" s="476">
        <f t="shared" si="2444"/>
        <v>25</v>
      </c>
      <c r="CW995" s="476">
        <f t="shared" si="2445"/>
        <v>25</v>
      </c>
      <c r="CX995" s="476">
        <f t="shared" si="2446"/>
        <v>25</v>
      </c>
      <c r="CY995" s="476">
        <f t="shared" si="2447"/>
        <v>25</v>
      </c>
      <c r="CZ995" s="476">
        <f t="shared" si="2448"/>
        <v>25</v>
      </c>
      <c r="DA995" s="476">
        <f t="shared" si="2449"/>
        <v>25</v>
      </c>
      <c r="DB995" s="476">
        <f t="shared" si="2449"/>
        <v>25</v>
      </c>
      <c r="DC995" s="682">
        <f t="shared" si="2449"/>
        <v>25</v>
      </c>
      <c r="DD995" s="331"/>
      <c r="DE995" s="331"/>
      <c r="DF995" s="502"/>
      <c r="DG995" s="503"/>
      <c r="DH995" s="2577"/>
      <c r="DI995" s="3213"/>
      <c r="DJ995" s="502"/>
      <c r="DK995" s="503"/>
      <c r="DL995" s="502"/>
      <c r="DM995" s="502"/>
      <c r="DN995" s="502"/>
      <c r="DO995" s="502"/>
      <c r="DP995" s="503"/>
      <c r="DQ995" s="503"/>
      <c r="DR995" s="428"/>
      <c r="DS995" s="428"/>
      <c r="DT995" s="428"/>
    </row>
    <row r="996" spans="1:124" ht="12" customHeight="1" x14ac:dyDescent="0.25">
      <c r="A996" s="465" t="s">
        <v>646</v>
      </c>
      <c r="B996" s="579"/>
      <c r="C996" s="467"/>
      <c r="D996" s="467"/>
      <c r="E996" s="467"/>
      <c r="F996" s="467"/>
      <c r="G996" s="468"/>
      <c r="H996" s="467"/>
      <c r="I996" s="467"/>
      <c r="J996" s="467"/>
      <c r="K996" s="467"/>
      <c r="L996" s="468"/>
      <c r="M996" s="467"/>
      <c r="N996" s="467"/>
      <c r="O996" s="467"/>
      <c r="P996" s="467"/>
      <c r="Q996" s="468"/>
      <c r="R996" s="467"/>
      <c r="S996" s="467"/>
      <c r="T996" s="467"/>
      <c r="U996" s="467"/>
      <c r="V996" s="468"/>
      <c r="W996" s="467"/>
      <c r="X996" s="467"/>
      <c r="Y996" s="467"/>
      <c r="Z996" s="467"/>
      <c r="AA996" s="468"/>
      <c r="AB996" s="467"/>
      <c r="AC996" s="467"/>
      <c r="AD996" s="467"/>
      <c r="AE996" s="469"/>
      <c r="AF996" s="470"/>
      <c r="AG996" s="467"/>
      <c r="AH996" s="467"/>
      <c r="AI996" s="467"/>
      <c r="AJ996" s="469"/>
      <c r="AK996" s="470"/>
      <c r="AL996" s="467"/>
      <c r="AM996" s="467"/>
      <c r="AN996" s="467"/>
      <c r="AO996" s="469"/>
      <c r="AP996" s="471"/>
      <c r="AQ996" s="471">
        <f t="shared" ref="AQ996:BK996" si="2457">AQ995/AQ982</f>
        <v>9.225067375238985E-2</v>
      </c>
      <c r="AR996" s="469">
        <f t="shared" si="2457"/>
        <v>9.0473885358757583E-2</v>
      </c>
      <c r="AS996" s="469">
        <f t="shared" si="2457"/>
        <v>9.7778473091364199E-2</v>
      </c>
      <c r="AT996" s="469">
        <f t="shared" si="2457"/>
        <v>0.11075317463028234</v>
      </c>
      <c r="AU996" s="470">
        <f t="shared" si="2457"/>
        <v>9.7207167679038656E-2</v>
      </c>
      <c r="AV996" s="471">
        <f>AV995/AV982</f>
        <v>0.10217036944508226</v>
      </c>
      <c r="AW996" s="469">
        <f>AW995/AW982</f>
        <v>0.11067054131447528</v>
      </c>
      <c r="AX996" s="469">
        <f>AX995/AX982</f>
        <v>0.10876624219430386</v>
      </c>
      <c r="AY996" s="1463">
        <f>AY995/AY982</f>
        <v>0.12150878971540174</v>
      </c>
      <c r="AZ996" s="470">
        <f t="shared" si="2457"/>
        <v>0.11035308306132377</v>
      </c>
      <c r="BA996" s="471">
        <f>BA995/BA982</f>
        <v>0.1135090440367143</v>
      </c>
      <c r="BB996" s="469">
        <f>BB995/BB982</f>
        <v>0.11445433540022658</v>
      </c>
      <c r="BC996" s="469">
        <f>BC995/BC982</f>
        <v>0.12002525798201368</v>
      </c>
      <c r="BD996" s="1463">
        <f>BD995/BD982</f>
        <v>0.11963518872275246</v>
      </c>
      <c r="BE996" s="470">
        <f t="shared" si="2457"/>
        <v>0.11683162891808897</v>
      </c>
      <c r="BF996" s="469">
        <f t="shared" si="2457"/>
        <v>0.11253248385444264</v>
      </c>
      <c r="BG996" s="469">
        <f t="shared" si="2457"/>
        <v>0.11418743444500673</v>
      </c>
      <c r="BH996" s="469">
        <f t="shared" si="2457"/>
        <v>0.10880186592822789</v>
      </c>
      <c r="BI996" s="1463">
        <f t="shared" si="2457"/>
        <v>0.11583977997227163</v>
      </c>
      <c r="BJ996" s="470">
        <f t="shared" si="2457"/>
        <v>0.11277934965227281</v>
      </c>
      <c r="BK996" s="469">
        <f t="shared" si="2457"/>
        <v>0.10718678607316784</v>
      </c>
      <c r="BL996" s="469">
        <f t="shared" ref="BL996:CF996" si="2458">BL995/BL982</f>
        <v>0.11265454051524521</v>
      </c>
      <c r="BM996" s="469">
        <f t="shared" si="2458"/>
        <v>0.10434283489909429</v>
      </c>
      <c r="BN996" s="1463">
        <f t="shared" si="2458"/>
        <v>0.10858689851212729</v>
      </c>
      <c r="BO996" s="470">
        <f t="shared" si="2458"/>
        <v>0.1081104190093964</v>
      </c>
      <c r="BP996" s="469">
        <f t="shared" si="2458"/>
        <v>0.10346975055367219</v>
      </c>
      <c r="BQ996" s="469">
        <f t="shared" si="2458"/>
        <v>0.10659616375133771</v>
      </c>
      <c r="BR996" s="469">
        <f t="shared" si="2458"/>
        <v>0.10436538983017998</v>
      </c>
      <c r="BS996" s="469">
        <f t="shared" si="2458"/>
        <v>0.11089444464593115</v>
      </c>
      <c r="BT996" s="470">
        <f t="shared" si="2458"/>
        <v>0.10625534272882207</v>
      </c>
      <c r="BU996" s="469">
        <f t="shared" si="2458"/>
        <v>0.10709849771024783</v>
      </c>
      <c r="BV996" s="469">
        <f t="shared" si="2458"/>
        <v>0.10659616375133771</v>
      </c>
      <c r="BW996" s="469">
        <f t="shared" si="2458"/>
        <v>0.10228212781926081</v>
      </c>
      <c r="BX996" s="469">
        <f t="shared" si="2458"/>
        <v>0.10870455911520631</v>
      </c>
      <c r="BY996" s="470">
        <f t="shared" si="2458"/>
        <v>0.10611620631458615</v>
      </c>
      <c r="BZ996" s="470">
        <f t="shared" si="2458"/>
        <v>0.10350101410808678</v>
      </c>
      <c r="CA996" s="470">
        <f t="shared" si="2458"/>
        <v>0.1024656713631793</v>
      </c>
      <c r="CB996" s="470">
        <f t="shared" si="2458"/>
        <v>0.10791724347610494</v>
      </c>
      <c r="CC996" s="470">
        <f t="shared" si="2458"/>
        <v>0.1136621482832572</v>
      </c>
      <c r="CD996" s="470">
        <f t="shared" si="2458"/>
        <v>0.11140846043748442</v>
      </c>
      <c r="CE996" s="470">
        <f t="shared" si="2458"/>
        <v>0.10919994472887028</v>
      </c>
      <c r="CF996" s="470">
        <f t="shared" si="2458"/>
        <v>0.1070356766668218</v>
      </c>
      <c r="CG996" s="331"/>
      <c r="CH996" s="331"/>
      <c r="CI996" s="331"/>
      <c r="CJ996" s="331"/>
      <c r="CK996" s="331"/>
      <c r="CL996" s="1310" t="str">
        <f t="shared" si="2443"/>
        <v>% of Net revenue</v>
      </c>
      <c r="CM996" s="469"/>
      <c r="CN996" s="469"/>
      <c r="CO996" s="469"/>
      <c r="CP996" s="469"/>
      <c r="CQ996" s="469"/>
      <c r="CR996" s="469"/>
      <c r="CS996" s="469"/>
      <c r="CT996" s="469"/>
      <c r="CU996" s="469">
        <f>AU996</f>
        <v>9.7207167679038656E-2</v>
      </c>
      <c r="CV996" s="469">
        <f t="shared" si="2444"/>
        <v>0.11035308306132377</v>
      </c>
      <c r="CW996" s="469">
        <f t="shared" si="2445"/>
        <v>0.11683162891808897</v>
      </c>
      <c r="CX996" s="469">
        <f t="shared" si="2446"/>
        <v>0.11277934965227281</v>
      </c>
      <c r="CY996" s="469">
        <f t="shared" si="2447"/>
        <v>0.1081104190093964</v>
      </c>
      <c r="CZ996" s="469">
        <f t="shared" si="2448"/>
        <v>0.10625534272882207</v>
      </c>
      <c r="DA996" s="469">
        <f t="shared" si="2449"/>
        <v>0.10611620631458615</v>
      </c>
      <c r="DB996" s="469">
        <f t="shared" si="2449"/>
        <v>0.10350101410808678</v>
      </c>
      <c r="DC996" s="1463">
        <f t="shared" si="2449"/>
        <v>0.1024656713631793</v>
      </c>
      <c r="DD996" s="331"/>
      <c r="DE996" s="331"/>
      <c r="DF996" s="502"/>
      <c r="DG996" s="503"/>
      <c r="DH996" s="469"/>
      <c r="DI996" s="3213"/>
      <c r="DJ996" s="502"/>
      <c r="DK996" s="503"/>
      <c r="DL996" s="502"/>
      <c r="DM996" s="502"/>
      <c r="DN996" s="502"/>
      <c r="DO996" s="502"/>
      <c r="DP996" s="503"/>
      <c r="DQ996" s="503"/>
      <c r="DR996" s="428"/>
      <c r="DS996" s="428"/>
      <c r="DT996" s="428"/>
    </row>
    <row r="997" spans="1:124" ht="12" customHeight="1" x14ac:dyDescent="0.25">
      <c r="A997" s="333" t="s">
        <v>2226</v>
      </c>
      <c r="B997" s="281"/>
      <c r="C997" s="570"/>
      <c r="D997" s="570"/>
      <c r="E997" s="570"/>
      <c r="F997" s="570"/>
      <c r="G997" s="475"/>
      <c r="H997" s="570"/>
      <c r="I997" s="570"/>
      <c r="J997" s="570"/>
      <c r="K997" s="570"/>
      <c r="L997" s="475"/>
      <c r="M997" s="570"/>
      <c r="N997" s="570"/>
      <c r="O997" s="570"/>
      <c r="P997" s="570"/>
      <c r="Q997" s="475"/>
      <c r="R997" s="570"/>
      <c r="S997" s="570"/>
      <c r="T997" s="570"/>
      <c r="U997" s="570"/>
      <c r="V997" s="475"/>
      <c r="W997" s="570"/>
      <c r="X997" s="570"/>
      <c r="Y997" s="570"/>
      <c r="Z997" s="570"/>
      <c r="AA997" s="475"/>
      <c r="AB997" s="570"/>
      <c r="AC997" s="570"/>
      <c r="AD997" s="570"/>
      <c r="AE997" s="572"/>
      <c r="AF997" s="477"/>
      <c r="AG997" s="570"/>
      <c r="AH997" s="570"/>
      <c r="AI997" s="570"/>
      <c r="AJ997" s="572"/>
      <c r="AK997" s="477"/>
      <c r="AL997" s="570"/>
      <c r="AM997" s="570"/>
      <c r="AN997" s="570"/>
      <c r="AO997" s="572"/>
      <c r="AP997" s="478"/>
      <c r="AQ997" s="478">
        <f>AQ992-AQ995</f>
        <v>13.723589519500003</v>
      </c>
      <c r="AR997" s="476">
        <f>AR992-AR995</f>
        <v>15.878803234200007</v>
      </c>
      <c r="AS997" s="476">
        <f>AS992-AS995</f>
        <v>15.441525732400002</v>
      </c>
      <c r="AT997" s="476">
        <f>AT992-AT995</f>
        <v>8.6099182240999994</v>
      </c>
      <c r="AU997" s="477">
        <f>+SUM(AQ997:AT997)</f>
        <v>53.653836710200011</v>
      </c>
      <c r="AV997" s="478">
        <f t="shared" ref="AV997:BE997" si="2459">AV992-AV995</f>
        <v>14.553069694880001</v>
      </c>
      <c r="AW997" s="476">
        <f t="shared" si="2459"/>
        <v>11.559168441954</v>
      </c>
      <c r="AX997" s="476">
        <f t="shared" si="2459"/>
        <v>12.7007233852</v>
      </c>
      <c r="AY997" s="682">
        <f t="shared" si="2459"/>
        <v>9.0059426863949952</v>
      </c>
      <c r="AZ997" s="477">
        <f t="shared" si="2459"/>
        <v>47.818904208428989</v>
      </c>
      <c r="BA997" s="478">
        <f t="shared" si="2459"/>
        <v>12.329090194561999</v>
      </c>
      <c r="BB997" s="476">
        <f t="shared" si="2459"/>
        <v>11.155703681253961</v>
      </c>
      <c r="BC997" s="476">
        <f t="shared" si="2459"/>
        <v>9.8033452926500075</v>
      </c>
      <c r="BD997" s="682">
        <f t="shared" si="2459"/>
        <v>10.226078455582801</v>
      </c>
      <c r="BE997" s="477">
        <f t="shared" si="2459"/>
        <v>43.514217624048797</v>
      </c>
      <c r="BF997" s="476">
        <f t="shared" ref="BF997:BO997" si="2460">BF992-BF995</f>
        <v>12.474862297562872</v>
      </c>
      <c r="BG997" s="476">
        <f t="shared" si="2460"/>
        <v>10.422346078222503</v>
      </c>
      <c r="BH997" s="476">
        <f t="shared" si="2460"/>
        <v>12.745597726350006</v>
      </c>
      <c r="BI997" s="682">
        <f t="shared" si="2460"/>
        <v>10.658288570364199</v>
      </c>
      <c r="BJ997" s="477">
        <f t="shared" si="2460"/>
        <v>46.301094672499573</v>
      </c>
      <c r="BK997" s="476">
        <f t="shared" si="2460"/>
        <v>13.781105695227453</v>
      </c>
      <c r="BL997" s="476">
        <f t="shared" si="2460"/>
        <v>10.735254996096288</v>
      </c>
      <c r="BM997" s="476">
        <f t="shared" si="2460"/>
        <v>14.028388892225003</v>
      </c>
      <c r="BN997" s="682">
        <f t="shared" si="2460"/>
        <v>12.915365764108451</v>
      </c>
      <c r="BO997" s="477">
        <f t="shared" si="2460"/>
        <v>51.460115347657165</v>
      </c>
      <c r="BP997" s="476">
        <f t="shared" ref="BP997:CF997" si="2461">BP992-BP995</f>
        <v>15.379356459143736</v>
      </c>
      <c r="BQ997" s="476">
        <f t="shared" si="2461"/>
        <v>13.405006603798704</v>
      </c>
      <c r="BR997" s="476">
        <f t="shared" si="2461"/>
        <v>13.661122076635003</v>
      </c>
      <c r="BS997" s="476">
        <f t="shared" si="2461"/>
        <v>10.797143762963792</v>
      </c>
      <c r="BT997" s="2604">
        <f t="shared" si="2461"/>
        <v>53.242628902541213</v>
      </c>
      <c r="BU997" s="2577">
        <f>BU992-BU995</f>
        <v>13.615904102309749</v>
      </c>
      <c r="BV997" s="2577">
        <f>BV992-BV995</f>
        <v>13.597136117815971</v>
      </c>
      <c r="BW997" s="2577">
        <f>BW992-BW995</f>
        <v>15.025941889601405</v>
      </c>
      <c r="BX997" s="2577">
        <f>BX992-BX995</f>
        <v>12.078108510219408</v>
      </c>
      <c r="BY997" s="2604">
        <f>BY992-BY995</f>
        <v>54.317090619946526</v>
      </c>
      <c r="BZ997" s="477">
        <f t="shared" si="2461"/>
        <v>59.301585728102822</v>
      </c>
      <c r="CA997" s="477">
        <f t="shared" si="2461"/>
        <v>60.154791892050099</v>
      </c>
      <c r="CB997" s="477">
        <f t="shared" si="2461"/>
        <v>54.145646783096652</v>
      </c>
      <c r="CC997" s="477">
        <f t="shared" si="2461"/>
        <v>48.487972549021464</v>
      </c>
      <c r="CD997" s="477">
        <f t="shared" si="2461"/>
        <v>50.778091188705076</v>
      </c>
      <c r="CE997" s="477">
        <f t="shared" si="2461"/>
        <v>53.122011986936116</v>
      </c>
      <c r="CF997" s="477">
        <f t="shared" si="2461"/>
        <v>55.520890984743033</v>
      </c>
      <c r="CG997" s="331"/>
      <c r="CH997" s="331"/>
      <c r="CI997" s="331"/>
      <c r="CJ997" s="331"/>
      <c r="CK997" s="331"/>
      <c r="CL997" s="1149" t="str">
        <f t="shared" si="2443"/>
        <v>Operating Income</v>
      </c>
      <c r="CM997" s="476"/>
      <c r="CN997" s="476"/>
      <c r="CO997" s="476"/>
      <c r="CP997" s="476"/>
      <c r="CQ997" s="476"/>
      <c r="CR997" s="476"/>
      <c r="CS997" s="476"/>
      <c r="CT997" s="476"/>
      <c r="CU997" s="476">
        <f>AU997</f>
        <v>53.653836710200011</v>
      </c>
      <c r="CV997" s="476">
        <f t="shared" si="2444"/>
        <v>47.818904208428989</v>
      </c>
      <c r="CW997" s="476">
        <f t="shared" si="2445"/>
        <v>43.514217624048797</v>
      </c>
      <c r="CX997" s="476">
        <f t="shared" si="2446"/>
        <v>46.301094672499573</v>
      </c>
      <c r="CY997" s="476">
        <f t="shared" si="2447"/>
        <v>51.460115347657165</v>
      </c>
      <c r="CZ997" s="476">
        <f t="shared" si="2448"/>
        <v>53.242628902541213</v>
      </c>
      <c r="DA997" s="476">
        <f t="shared" si="2449"/>
        <v>54.317090619946526</v>
      </c>
      <c r="DB997" s="476">
        <f t="shared" si="2449"/>
        <v>59.301585728102822</v>
      </c>
      <c r="DC997" s="682">
        <f t="shared" si="2449"/>
        <v>60.154791892050099</v>
      </c>
      <c r="DD997" s="331"/>
      <c r="DE997" s="331"/>
      <c r="DF997" s="502"/>
      <c r="DG997" s="503"/>
      <c r="DH997" s="2577"/>
      <c r="DI997" s="3213"/>
      <c r="DJ997" s="502"/>
      <c r="DK997" s="503"/>
      <c r="DL997" s="502"/>
      <c r="DM997" s="502"/>
      <c r="DN997" s="502"/>
      <c r="DO997" s="502"/>
      <c r="DP997" s="503"/>
      <c r="DQ997" s="503"/>
      <c r="DR997" s="428"/>
      <c r="DS997" s="428"/>
      <c r="DT997" s="428"/>
    </row>
    <row r="998" spans="1:124" ht="12" customHeight="1" x14ac:dyDescent="0.25">
      <c r="A998" s="281"/>
      <c r="B998" s="281"/>
      <c r="C998" s="305"/>
      <c r="D998" s="305"/>
      <c r="E998" s="305"/>
      <c r="F998" s="305"/>
      <c r="G998" s="440"/>
      <c r="H998" s="305"/>
      <c r="I998" s="305"/>
      <c r="J998" s="305"/>
      <c r="K998" s="305"/>
      <c r="L998" s="440"/>
      <c r="M998" s="305"/>
      <c r="N998" s="305"/>
      <c r="O998" s="305"/>
      <c r="P998" s="305"/>
      <c r="Q998" s="440"/>
      <c r="R998" s="305"/>
      <c r="S998" s="305"/>
      <c r="T998" s="305"/>
      <c r="U998" s="305"/>
      <c r="V998" s="440"/>
      <c r="W998" s="305"/>
      <c r="X998" s="305"/>
      <c r="Y998" s="305"/>
      <c r="Z998" s="305"/>
      <c r="AA998" s="440"/>
      <c r="AB998" s="305"/>
      <c r="AC998" s="309"/>
      <c r="AD998" s="305"/>
      <c r="AE998" s="331"/>
      <c r="AF998" s="441"/>
      <c r="AG998" s="331"/>
      <c r="AH998" s="331"/>
      <c r="AI998" s="331"/>
      <c r="AJ998" s="331"/>
      <c r="AK998" s="441"/>
      <c r="AL998" s="442"/>
      <c r="AM998" s="442"/>
      <c r="AN998" s="442"/>
      <c r="AO998" s="442"/>
      <c r="AP998" s="443"/>
      <c r="AQ998" s="443"/>
      <c r="AR998" s="331"/>
      <c r="AS998" s="331"/>
      <c r="AT998" s="331"/>
      <c r="AU998" s="349"/>
      <c r="AV998" s="443"/>
      <c r="AW998" s="331"/>
      <c r="AX998" s="331"/>
      <c r="AY998" s="1306"/>
      <c r="AZ998" s="349"/>
      <c r="BA998" s="443"/>
      <c r="BB998" s="331"/>
      <c r="BC998" s="331"/>
      <c r="BD998" s="1306"/>
      <c r="BE998" s="1306"/>
      <c r="BF998" s="331"/>
      <c r="BG998" s="331"/>
      <c r="BH998" s="331"/>
      <c r="BI998" s="1306"/>
      <c r="BJ998" s="1306"/>
      <c r="BK998" s="331"/>
      <c r="BL998" s="331"/>
      <c r="BM998" s="331"/>
      <c r="BN998" s="1306"/>
      <c r="BO998" s="1306"/>
      <c r="BP998" s="331"/>
      <c r="BQ998" s="331"/>
      <c r="BR998" s="331"/>
      <c r="BS998" s="331"/>
      <c r="BT998" s="3222"/>
      <c r="BU998" s="3393"/>
      <c r="BV998" s="2601"/>
      <c r="BW998" s="2601"/>
      <c r="BX998" s="2601"/>
      <c r="BY998" s="3222"/>
      <c r="BZ998" s="349"/>
      <c r="CA998" s="349"/>
      <c r="CB998" s="349"/>
      <c r="CC998" s="349"/>
      <c r="CD998" s="349"/>
      <c r="CE998" s="349"/>
      <c r="CF998" s="349"/>
      <c r="CG998" s="331"/>
      <c r="CH998" s="331"/>
      <c r="CI998" s="331"/>
      <c r="CJ998" s="331"/>
      <c r="CK998" s="331"/>
      <c r="CL998" s="520"/>
      <c r="CM998" s="331"/>
      <c r="CN998" s="331"/>
      <c r="CO998" s="331"/>
      <c r="CP998" s="331"/>
      <c r="CQ998" s="331"/>
      <c r="CR998" s="331"/>
      <c r="CS998" s="331"/>
      <c r="CT998" s="331"/>
      <c r="CU998" s="331"/>
      <c r="CV998" s="331"/>
      <c r="CW998" s="331"/>
      <c r="CX998" s="331"/>
      <c r="CY998" s="331"/>
      <c r="CZ998" s="331"/>
      <c r="DA998" s="331"/>
      <c r="DB998" s="331"/>
      <c r="DC998" s="1306"/>
      <c r="DD998" s="331"/>
      <c r="DE998" s="331"/>
      <c r="DF998" s="502"/>
      <c r="DG998" s="503"/>
      <c r="DH998" s="2601"/>
      <c r="DI998" s="3213"/>
      <c r="DJ998" s="502"/>
      <c r="DK998" s="503"/>
      <c r="DL998" s="502"/>
      <c r="DM998" s="502"/>
      <c r="DN998" s="502"/>
      <c r="DO998" s="502"/>
      <c r="DP998" s="503"/>
      <c r="DQ998" s="503"/>
      <c r="DR998" s="296"/>
      <c r="DS998" s="296"/>
      <c r="DT998" s="296"/>
    </row>
    <row r="999" spans="1:124" ht="12" customHeight="1" x14ac:dyDescent="0.25">
      <c r="A999" s="2127" t="s">
        <v>797</v>
      </c>
      <c r="B999" s="428"/>
      <c r="C999" s="331"/>
      <c r="D999" s="331"/>
      <c r="E999" s="331"/>
      <c r="F999" s="331"/>
      <c r="G999" s="441"/>
      <c r="H999" s="331"/>
      <c r="I999" s="331"/>
      <c r="J999" s="331"/>
      <c r="K999" s="331"/>
      <c r="L999" s="441"/>
      <c r="M999" s="331"/>
      <c r="N999" s="331"/>
      <c r="O999" s="331"/>
      <c r="P999" s="331"/>
      <c r="Q999" s="441"/>
      <c r="R999" s="331"/>
      <c r="S999" s="331"/>
      <c r="T999" s="331"/>
      <c r="U999" s="331"/>
      <c r="V999" s="441"/>
      <c r="W999" s="331"/>
      <c r="X999" s="331"/>
      <c r="Y999" s="331"/>
      <c r="Z999" s="331"/>
      <c r="AA999" s="441"/>
      <c r="AB999" s="331"/>
      <c r="AC999" s="331"/>
      <c r="AD999" s="331"/>
      <c r="AE999" s="331"/>
      <c r="AF999" s="441"/>
      <c r="AG999" s="331"/>
      <c r="AH999" s="331"/>
      <c r="AI999" s="331"/>
      <c r="AJ999" s="1306"/>
      <c r="AK999" s="441"/>
      <c r="AL999" s="442"/>
      <c r="AM999" s="442"/>
      <c r="AN999" s="442"/>
      <c r="AO999" s="442"/>
      <c r="AP999" s="443"/>
      <c r="AQ999" s="443"/>
      <c r="AR999" s="331"/>
      <c r="AS999" s="331"/>
      <c r="AT999" s="331"/>
      <c r="AU999" s="349"/>
      <c r="AV999" s="443"/>
      <c r="AW999" s="331"/>
      <c r="AX999" s="331"/>
      <c r="AY999" s="1306"/>
      <c r="AZ999" s="349"/>
      <c r="BA999" s="2495" t="s">
        <v>1238</v>
      </c>
      <c r="BB999" s="331"/>
      <c r="BC999" s="331"/>
      <c r="BD999" s="1306"/>
      <c r="BE999" s="1306"/>
      <c r="BF999" s="331"/>
      <c r="BG999" s="331"/>
      <c r="BH999" s="331"/>
      <c r="BI999" s="1306"/>
      <c r="BJ999" s="1306"/>
      <c r="BK999" s="331"/>
      <c r="BL999" s="331"/>
      <c r="BM999" s="331"/>
      <c r="BN999" s="1306"/>
      <c r="BO999" s="1306"/>
      <c r="BP999" s="331"/>
      <c r="BQ999" s="331"/>
      <c r="BR999" s="331"/>
      <c r="BS999" s="331"/>
      <c r="BT999" s="3222"/>
      <c r="BU999" s="3393"/>
      <c r="BV999" s="2601"/>
      <c r="BW999" s="2601"/>
      <c r="BX999" s="2601"/>
      <c r="BY999" s="3222"/>
      <c r="BZ999" s="349"/>
      <c r="CA999" s="349"/>
      <c r="CB999" s="349"/>
      <c r="CC999" s="349"/>
      <c r="CD999" s="349"/>
      <c r="CE999" s="349"/>
      <c r="CF999" s="349"/>
      <c r="CG999" s="331"/>
      <c r="CH999" s="331"/>
      <c r="CI999" s="331"/>
      <c r="CJ999" s="331"/>
      <c r="CK999" s="331"/>
      <c r="CL999" s="2036" t="str">
        <f t="shared" ref="CL999:CL1005" si="2462">A999</f>
        <v>Hollywood Baton Rouge (LA) (formerly Casino Rouge)</v>
      </c>
      <c r="CM999" s="331"/>
      <c r="CN999" s="331"/>
      <c r="CO999" s="331"/>
      <c r="CP999" s="331"/>
      <c r="CQ999" s="331"/>
      <c r="CR999" s="331"/>
      <c r="CS999" s="331"/>
      <c r="CT999" s="331"/>
      <c r="CU999" s="331"/>
      <c r="CV999" s="331"/>
      <c r="CW999" s="331"/>
      <c r="CX999" s="331"/>
      <c r="CY999" s="331"/>
      <c r="CZ999" s="331"/>
      <c r="DA999" s="331"/>
      <c r="DB999" s="331"/>
      <c r="DC999" s="1306"/>
      <c r="DD999" s="331"/>
      <c r="DE999" s="331"/>
      <c r="DF999" s="502"/>
      <c r="DG999" s="503"/>
      <c r="DH999" s="2601"/>
      <c r="DI999" s="3213"/>
      <c r="DJ999" s="502"/>
      <c r="DK999" s="503"/>
      <c r="DL999" s="502"/>
      <c r="DM999" s="502"/>
      <c r="DN999" s="502"/>
      <c r="DO999" s="502"/>
      <c r="DP999" s="503"/>
      <c r="DQ999" s="503"/>
      <c r="DR999" s="428"/>
      <c r="DS999" s="428"/>
      <c r="DT999" s="428"/>
    </row>
    <row r="1000" spans="1:124" ht="12" customHeight="1" x14ac:dyDescent="0.25">
      <c r="A1000" s="281" t="s">
        <v>894</v>
      </c>
      <c r="B1000" s="281"/>
      <c r="C1000" s="305">
        <f>C1001+(C1002*C$320)</f>
        <v>1283</v>
      </c>
      <c r="D1000" s="305">
        <f>D1001+(D1002*D$320)</f>
        <v>1283</v>
      </c>
      <c r="E1000" s="305">
        <f>E1001+(E1002*E$320)</f>
        <v>1283</v>
      </c>
      <c r="F1000" s="305">
        <f>F1001+(F1002*F$320)</f>
        <v>1251</v>
      </c>
      <c r="G1000" s="345">
        <f>F1000</f>
        <v>1251</v>
      </c>
      <c r="H1000" s="305">
        <f>H1001+(H1002*H$320)</f>
        <v>1251</v>
      </c>
      <c r="I1000" s="305">
        <f>I1001+(I1002*I$320)</f>
        <v>1251</v>
      </c>
      <c r="J1000" s="305">
        <f>J1001+(J1002*J$320)</f>
        <v>1251</v>
      </c>
      <c r="K1000" s="305">
        <f>K1001+(K1002*K$320)</f>
        <v>1243</v>
      </c>
      <c r="L1000" s="345">
        <f>K1000</f>
        <v>1243</v>
      </c>
      <c r="M1000" s="305">
        <f>M1001+(M1002*M$320)</f>
        <v>1243</v>
      </c>
      <c r="N1000" s="305">
        <f>N1001+(N1002*N$320)</f>
        <v>1243</v>
      </c>
      <c r="O1000" s="305">
        <f>O1001+(O1002*O$320)</f>
        <v>1243</v>
      </c>
      <c r="P1000" s="305">
        <f>P1001+(P1002*P$320)</f>
        <v>1303</v>
      </c>
      <c r="Q1000" s="345">
        <f>P1000</f>
        <v>1303</v>
      </c>
      <c r="R1000" s="305">
        <f>R1001+(R1002*R$320)</f>
        <v>1303</v>
      </c>
      <c r="S1000" s="305">
        <f>S1001+(S1002*S$320)</f>
        <v>1303</v>
      </c>
      <c r="T1000" s="305">
        <f>T1001+(T1002*T$320)</f>
        <v>1303</v>
      </c>
      <c r="U1000" s="305">
        <f>U1001+(U1002*U$320)</f>
        <v>1307</v>
      </c>
      <c r="V1000" s="345">
        <f>U1000</f>
        <v>1307</v>
      </c>
      <c r="W1000" s="305">
        <f>W1001+(W1002*W$320)</f>
        <v>1307</v>
      </c>
      <c r="X1000" s="305">
        <f>X1001+(X1002*X$320)</f>
        <v>1307</v>
      </c>
      <c r="Y1000" s="305">
        <f>Y1001+(Y1002*Y$320)</f>
        <v>1307</v>
      </c>
      <c r="Z1000" s="305">
        <f>Z1001+(Z1002*Z$320)</f>
        <v>1307</v>
      </c>
      <c r="AA1000" s="345">
        <f>Z1000</f>
        <v>1307</v>
      </c>
      <c r="AB1000" s="305">
        <f>AB1001+(AB1002*AB$320)</f>
        <v>1286</v>
      </c>
      <c r="AC1000" s="305">
        <f>AC1001+(AC1002*AC$320)</f>
        <v>1286</v>
      </c>
      <c r="AD1000" s="305">
        <f>AD1001+(AD1002*AD$320)</f>
        <v>1286</v>
      </c>
      <c r="AE1000" s="331">
        <f>AE1001+(AE1002*AE$320)</f>
        <v>1313</v>
      </c>
      <c r="AF1000" s="348">
        <f>AE1000</f>
        <v>1313</v>
      </c>
      <c r="AG1000" s="305">
        <f>AG1001+(AG1002*AG$320)</f>
        <v>1313</v>
      </c>
      <c r="AH1000" s="305">
        <f>AH1001+(AH1002*AH$320)</f>
        <v>1313</v>
      </c>
      <c r="AI1000" s="305">
        <f>AI1001+(AI1002*AI$320)</f>
        <v>1313</v>
      </c>
      <c r="AJ1000" s="331">
        <f>AJ1001+(AJ1002*AJ$320)</f>
        <v>1313</v>
      </c>
      <c r="AK1000" s="348">
        <f>AJ1000</f>
        <v>1313</v>
      </c>
      <c r="AL1000" s="305">
        <f>AL1001+(AL1002*AL$320)</f>
        <v>1313</v>
      </c>
      <c r="AM1000" s="305">
        <f>AM1001+(AM1002*AM$320)</f>
        <v>1313</v>
      </c>
      <c r="AN1000" s="305">
        <f>AN1001+(AN1002*AN$320)</f>
        <v>1313</v>
      </c>
      <c r="AO1000" s="331">
        <f>AO1001+(AO1002*AO$320)</f>
        <v>1313</v>
      </c>
      <c r="AP1000" s="568">
        <f>AO1000</f>
        <v>1313</v>
      </c>
      <c r="AQ1000" s="568">
        <f>AQ1001+(AQ1002*AQ$320)</f>
        <v>1313</v>
      </c>
      <c r="AR1000" s="330">
        <f>AR1001+(AR1002*AR$320)</f>
        <v>1313</v>
      </c>
      <c r="AS1000" s="330">
        <f>AS1001+(AS1002*AS$320)</f>
        <v>1313</v>
      </c>
      <c r="AT1000" s="330">
        <f>AT1001+(AT1002*AT$320)</f>
        <v>1313</v>
      </c>
      <c r="AU1000" s="1692">
        <f>AT1000</f>
        <v>1313</v>
      </c>
      <c r="AV1000" s="1912">
        <f>AV1001+(AV1002*AV$320)</f>
        <v>1313</v>
      </c>
      <c r="AW1000" s="1839">
        <f>AW1001+(AW1002*AW$320)</f>
        <v>1313</v>
      </c>
      <c r="AX1000" s="1839">
        <f>AX1001+(AX1002*AX$320)</f>
        <v>1313</v>
      </c>
      <c r="AY1000" s="1906">
        <f>AY1001+(AY1002*AY$320)</f>
        <v>1313</v>
      </c>
      <c r="AZ1000" s="1692">
        <f>AY1000</f>
        <v>1313</v>
      </c>
      <c r="BA1000" s="553"/>
      <c r="BB1000" s="551"/>
      <c r="BC1000" s="551"/>
      <c r="BD1000" s="1895"/>
      <c r="BE1000" s="1906"/>
      <c r="BF1000" s="551"/>
      <c r="BG1000" s="551"/>
      <c r="BH1000" s="551"/>
      <c r="BI1000" s="1895"/>
      <c r="BJ1000" s="1906"/>
      <c r="BK1000" s="551"/>
      <c r="BL1000" s="551"/>
      <c r="BM1000" s="551"/>
      <c r="BN1000" s="1895"/>
      <c r="BO1000" s="1906"/>
      <c r="BP1000" s="551"/>
      <c r="BQ1000" s="551"/>
      <c r="BR1000" s="551"/>
      <c r="BS1000" s="551"/>
      <c r="BT1000" s="3234"/>
      <c r="BU1000" s="3404"/>
      <c r="BV1000" s="3297"/>
      <c r="BW1000" s="3297"/>
      <c r="BX1000" s="3297"/>
      <c r="BY1000" s="3234"/>
      <c r="BZ1000" s="552"/>
      <c r="CA1000" s="552"/>
      <c r="CB1000" s="552"/>
      <c r="CC1000" s="552"/>
      <c r="CD1000" s="552"/>
      <c r="CE1000" s="552"/>
      <c r="CF1000" s="552"/>
      <c r="CG1000" s="331"/>
      <c r="CH1000" s="331"/>
      <c r="CI1000" s="331"/>
      <c r="CJ1000" s="331"/>
      <c r="CK1000" s="331"/>
      <c r="CL1000" s="520" t="str">
        <f t="shared" si="2462"/>
        <v>Positions</v>
      </c>
      <c r="CM1000" s="330">
        <f t="shared" ref="CM1000:CM1005" si="2463">G1000</f>
        <v>1251</v>
      </c>
      <c r="CN1000" s="330">
        <f t="shared" ref="CN1000:CN1005" si="2464">L1000</f>
        <v>1243</v>
      </c>
      <c r="CO1000" s="330">
        <f t="shared" ref="CO1000:CO1005" si="2465">Q1000</f>
        <v>1303</v>
      </c>
      <c r="CP1000" s="330">
        <f t="shared" ref="CP1000:CP1005" si="2466">V1000</f>
        <v>1307</v>
      </c>
      <c r="CQ1000" s="330">
        <f t="shared" ref="CQ1000:CQ1005" si="2467">AA1000</f>
        <v>1307</v>
      </c>
      <c r="CR1000" s="330">
        <f t="shared" ref="CR1000:CR1005" si="2468">AF1000</f>
        <v>1313</v>
      </c>
      <c r="CS1000" s="330">
        <f t="shared" ref="CS1000:CS1005" si="2469">AK1000</f>
        <v>1313</v>
      </c>
      <c r="CT1000" s="330">
        <f t="shared" ref="CT1000:CT1005" si="2470">AP1000</f>
        <v>1313</v>
      </c>
      <c r="CU1000" s="330">
        <f t="shared" ref="CU1000:CU1005" si="2471">AU1000</f>
        <v>1313</v>
      </c>
      <c r="CV1000" s="330">
        <f t="shared" ref="CV1000:CV1005" si="2472">AZ1000</f>
        <v>1313</v>
      </c>
      <c r="CW1000" s="330">
        <f t="shared" ref="CW1000:CW1005" si="2473">BE1000</f>
        <v>0</v>
      </c>
      <c r="CX1000" s="330">
        <f t="shared" ref="CX1000:CX1005" si="2474">BJ1000</f>
        <v>0</v>
      </c>
      <c r="CY1000" s="330">
        <f t="shared" ref="CY1000:CY1005" si="2475">BO1000</f>
        <v>0</v>
      </c>
      <c r="CZ1000" s="330">
        <f t="shared" ref="CZ1000:CZ1005" si="2476">BT1000</f>
        <v>0</v>
      </c>
      <c r="DA1000" s="330">
        <f t="shared" ref="DA1000:DC1005" si="2477">BY1000</f>
        <v>0</v>
      </c>
      <c r="DB1000" s="330">
        <f t="shared" si="2477"/>
        <v>0</v>
      </c>
      <c r="DC1000" s="1888">
        <f t="shared" si="2477"/>
        <v>0</v>
      </c>
      <c r="DD1000" s="331"/>
      <c r="DE1000" s="331"/>
      <c r="DF1000" s="502"/>
      <c r="DG1000" s="503"/>
      <c r="DH1000" s="3297"/>
      <c r="DI1000" s="3213"/>
      <c r="DJ1000" s="502"/>
      <c r="DK1000" s="503"/>
      <c r="DL1000" s="502"/>
      <c r="DM1000" s="502"/>
      <c r="DN1000" s="502"/>
      <c r="DO1000" s="502"/>
      <c r="DP1000" s="503"/>
      <c r="DQ1000" s="503"/>
      <c r="DR1000" s="296"/>
      <c r="DS1000" s="296"/>
      <c r="DT1000" s="296"/>
    </row>
    <row r="1001" spans="1:124" ht="12" customHeight="1" x14ac:dyDescent="0.25">
      <c r="A1001" s="281" t="s">
        <v>585</v>
      </c>
      <c r="B1001" s="281"/>
      <c r="C1001" s="340">
        <v>1097</v>
      </c>
      <c r="D1001" s="340">
        <v>1097</v>
      </c>
      <c r="E1001" s="340">
        <v>1097</v>
      </c>
      <c r="F1001" s="340">
        <v>1065</v>
      </c>
      <c r="G1001" s="345">
        <f>F1001</f>
        <v>1065</v>
      </c>
      <c r="H1001" s="340">
        <v>1065</v>
      </c>
      <c r="I1001" s="340">
        <v>1065</v>
      </c>
      <c r="J1001" s="340">
        <v>1065</v>
      </c>
      <c r="K1001" s="340">
        <v>1057</v>
      </c>
      <c r="L1001" s="345">
        <f>K1001</f>
        <v>1057</v>
      </c>
      <c r="M1001" s="340">
        <v>1057</v>
      </c>
      <c r="N1001" s="340">
        <v>1057</v>
      </c>
      <c r="O1001" s="340">
        <v>1057</v>
      </c>
      <c r="P1001" s="340">
        <v>1141</v>
      </c>
      <c r="Q1001" s="345">
        <f>P1001</f>
        <v>1141</v>
      </c>
      <c r="R1001" s="340">
        <v>1141</v>
      </c>
      <c r="S1001" s="340">
        <v>1141</v>
      </c>
      <c r="T1001" s="340">
        <v>1141</v>
      </c>
      <c r="U1001" s="340">
        <v>1145</v>
      </c>
      <c r="V1001" s="345">
        <f>U1001</f>
        <v>1145</v>
      </c>
      <c r="W1001" s="340">
        <v>1145</v>
      </c>
      <c r="X1001" s="340">
        <v>1145</v>
      </c>
      <c r="Y1001" s="340">
        <v>1145</v>
      </c>
      <c r="Z1001" s="340">
        <v>1145</v>
      </c>
      <c r="AA1001" s="345">
        <f>Z1001</f>
        <v>1145</v>
      </c>
      <c r="AB1001" s="339">
        <v>1100</v>
      </c>
      <c r="AC1001" s="339">
        <v>1100</v>
      </c>
      <c r="AD1001" s="339">
        <v>1100</v>
      </c>
      <c r="AE1001" s="339">
        <v>1175</v>
      </c>
      <c r="AF1001" s="348">
        <f>AE1001</f>
        <v>1175</v>
      </c>
      <c r="AG1001" s="331">
        <f>AE1001</f>
        <v>1175</v>
      </c>
      <c r="AH1001" s="331">
        <f t="shared" ref="AH1001:AJ1002" si="2478">AG1001</f>
        <v>1175</v>
      </c>
      <c r="AI1001" s="331">
        <f t="shared" si="2478"/>
        <v>1175</v>
      </c>
      <c r="AJ1001" s="331">
        <f t="shared" si="2478"/>
        <v>1175</v>
      </c>
      <c r="AK1001" s="348">
        <f>AJ1001</f>
        <v>1175</v>
      </c>
      <c r="AL1001" s="331">
        <f>AJ1001</f>
        <v>1175</v>
      </c>
      <c r="AM1001" s="331">
        <f t="shared" ref="AM1001:AO1002" si="2479">AL1001</f>
        <v>1175</v>
      </c>
      <c r="AN1001" s="331">
        <f t="shared" si="2479"/>
        <v>1175</v>
      </c>
      <c r="AO1001" s="331">
        <f t="shared" si="2479"/>
        <v>1175</v>
      </c>
      <c r="AP1001" s="568">
        <f>AO1001</f>
        <v>1175</v>
      </c>
      <c r="AQ1001" s="568">
        <f t="shared" ref="AQ1001:AT1002" si="2480">AP1001</f>
        <v>1175</v>
      </c>
      <c r="AR1001" s="330">
        <f t="shared" si="2480"/>
        <v>1175</v>
      </c>
      <c r="AS1001" s="330">
        <f t="shared" si="2480"/>
        <v>1175</v>
      </c>
      <c r="AT1001" s="330">
        <f t="shared" si="2480"/>
        <v>1175</v>
      </c>
      <c r="AU1001" s="1692">
        <f>AT1001</f>
        <v>1175</v>
      </c>
      <c r="AV1001" s="1912">
        <f t="shared" ref="AV1001:AY1002" si="2481">AU1001</f>
        <v>1175</v>
      </c>
      <c r="AW1001" s="1839">
        <f t="shared" si="2481"/>
        <v>1175</v>
      </c>
      <c r="AX1001" s="1839">
        <f t="shared" si="2481"/>
        <v>1175</v>
      </c>
      <c r="AY1001" s="1839">
        <f t="shared" si="2481"/>
        <v>1175</v>
      </c>
      <c r="AZ1001" s="1692">
        <f>AY1001</f>
        <v>1175</v>
      </c>
      <c r="BA1001" s="553"/>
      <c r="BB1001" s="551"/>
      <c r="BC1001" s="551"/>
      <c r="BD1001" s="1895"/>
      <c r="BE1001" s="1906"/>
      <c r="BF1001" s="551"/>
      <c r="BG1001" s="551"/>
      <c r="BH1001" s="551"/>
      <c r="BI1001" s="1895"/>
      <c r="BJ1001" s="1906"/>
      <c r="BK1001" s="551"/>
      <c r="BL1001" s="551"/>
      <c r="BM1001" s="551"/>
      <c r="BN1001" s="1895"/>
      <c r="BO1001" s="1906"/>
      <c r="BP1001" s="551"/>
      <c r="BQ1001" s="551"/>
      <c r="BR1001" s="551"/>
      <c r="BS1001" s="551"/>
      <c r="BT1001" s="3234"/>
      <c r="BU1001" s="3404"/>
      <c r="BV1001" s="3297"/>
      <c r="BW1001" s="3297"/>
      <c r="BX1001" s="3297"/>
      <c r="BY1001" s="3234"/>
      <c r="BZ1001" s="552"/>
      <c r="CA1001" s="552"/>
      <c r="CB1001" s="552"/>
      <c r="CC1001" s="552"/>
      <c r="CD1001" s="552"/>
      <c r="CE1001" s="552"/>
      <c r="CF1001" s="552"/>
      <c r="CG1001" s="331"/>
      <c r="CH1001" s="331"/>
      <c r="CI1001" s="331"/>
      <c r="CJ1001" s="331"/>
      <c r="CK1001" s="331"/>
      <c r="CL1001" s="520" t="str">
        <f t="shared" si="2462"/>
        <v>Slots</v>
      </c>
      <c r="CM1001" s="330">
        <f t="shared" si="2463"/>
        <v>1065</v>
      </c>
      <c r="CN1001" s="330">
        <f t="shared" si="2464"/>
        <v>1057</v>
      </c>
      <c r="CO1001" s="330">
        <f t="shared" si="2465"/>
        <v>1141</v>
      </c>
      <c r="CP1001" s="330">
        <f t="shared" si="2466"/>
        <v>1145</v>
      </c>
      <c r="CQ1001" s="330">
        <f t="shared" si="2467"/>
        <v>1145</v>
      </c>
      <c r="CR1001" s="330">
        <f t="shared" si="2468"/>
        <v>1175</v>
      </c>
      <c r="CS1001" s="330">
        <f t="shared" si="2469"/>
        <v>1175</v>
      </c>
      <c r="CT1001" s="330">
        <f t="shared" si="2470"/>
        <v>1175</v>
      </c>
      <c r="CU1001" s="330">
        <f t="shared" si="2471"/>
        <v>1175</v>
      </c>
      <c r="CV1001" s="330">
        <f t="shared" si="2472"/>
        <v>1175</v>
      </c>
      <c r="CW1001" s="330">
        <f t="shared" si="2473"/>
        <v>0</v>
      </c>
      <c r="CX1001" s="330">
        <f t="shared" si="2474"/>
        <v>0</v>
      </c>
      <c r="CY1001" s="330">
        <f t="shared" si="2475"/>
        <v>0</v>
      </c>
      <c r="CZ1001" s="330">
        <f t="shared" si="2476"/>
        <v>0</v>
      </c>
      <c r="DA1001" s="330">
        <f t="shared" si="2477"/>
        <v>0</v>
      </c>
      <c r="DB1001" s="330">
        <f t="shared" si="2477"/>
        <v>0</v>
      </c>
      <c r="DC1001" s="1888">
        <f t="shared" si="2477"/>
        <v>0</v>
      </c>
      <c r="DD1001" s="331"/>
      <c r="DE1001" s="331"/>
      <c r="DF1001" s="502"/>
      <c r="DG1001" s="503"/>
      <c r="DH1001" s="3297"/>
      <c r="DI1001" s="3213"/>
      <c r="DJ1001" s="502"/>
      <c r="DK1001" s="503"/>
      <c r="DL1001" s="502"/>
      <c r="DM1001" s="502"/>
      <c r="DN1001" s="502"/>
      <c r="DO1001" s="502"/>
      <c r="DP1001" s="503"/>
      <c r="DQ1001" s="503"/>
      <c r="DR1001" s="296"/>
      <c r="DS1001" s="296"/>
      <c r="DT1001" s="296"/>
    </row>
    <row r="1002" spans="1:124" ht="12" customHeight="1" x14ac:dyDescent="0.25">
      <c r="A1002" s="281" t="s">
        <v>584</v>
      </c>
      <c r="B1002" s="281"/>
      <c r="C1002" s="340">
        <v>31</v>
      </c>
      <c r="D1002" s="340">
        <v>31</v>
      </c>
      <c r="E1002" s="340">
        <v>31</v>
      </c>
      <c r="F1002" s="340">
        <v>31</v>
      </c>
      <c r="G1002" s="345">
        <f>F1002</f>
        <v>31</v>
      </c>
      <c r="H1002" s="340">
        <v>31</v>
      </c>
      <c r="I1002" s="340">
        <v>31</v>
      </c>
      <c r="J1002" s="340">
        <v>31</v>
      </c>
      <c r="K1002" s="340">
        <v>31</v>
      </c>
      <c r="L1002" s="345">
        <f>K1002</f>
        <v>31</v>
      </c>
      <c r="M1002" s="340">
        <v>31</v>
      </c>
      <c r="N1002" s="340">
        <v>31</v>
      </c>
      <c r="O1002" s="340">
        <v>31</v>
      </c>
      <c r="P1002" s="340">
        <v>27</v>
      </c>
      <c r="Q1002" s="345">
        <f>P1002</f>
        <v>27</v>
      </c>
      <c r="R1002" s="340">
        <v>27</v>
      </c>
      <c r="S1002" s="340">
        <v>27</v>
      </c>
      <c r="T1002" s="340">
        <v>27</v>
      </c>
      <c r="U1002" s="340">
        <v>27</v>
      </c>
      <c r="V1002" s="345">
        <f>U1002</f>
        <v>27</v>
      </c>
      <c r="W1002" s="340">
        <v>27</v>
      </c>
      <c r="X1002" s="340">
        <v>27</v>
      </c>
      <c r="Y1002" s="340">
        <v>27</v>
      </c>
      <c r="Z1002" s="340">
        <v>27</v>
      </c>
      <c r="AA1002" s="345">
        <f>Z1002</f>
        <v>27</v>
      </c>
      <c r="AB1002" s="339">
        <v>31</v>
      </c>
      <c r="AC1002" s="339">
        <v>31</v>
      </c>
      <c r="AD1002" s="339">
        <v>31</v>
      </c>
      <c r="AE1002" s="339">
        <v>23</v>
      </c>
      <c r="AF1002" s="348">
        <f>AE1002</f>
        <v>23</v>
      </c>
      <c r="AG1002" s="331">
        <f>AE1002</f>
        <v>23</v>
      </c>
      <c r="AH1002" s="331">
        <f t="shared" si="2478"/>
        <v>23</v>
      </c>
      <c r="AI1002" s="331">
        <f t="shared" si="2478"/>
        <v>23</v>
      </c>
      <c r="AJ1002" s="331">
        <f t="shared" si="2478"/>
        <v>23</v>
      </c>
      <c r="AK1002" s="348">
        <f>AJ1002</f>
        <v>23</v>
      </c>
      <c r="AL1002" s="331">
        <f>AJ1002</f>
        <v>23</v>
      </c>
      <c r="AM1002" s="331">
        <f t="shared" si="2479"/>
        <v>23</v>
      </c>
      <c r="AN1002" s="331">
        <f t="shared" si="2479"/>
        <v>23</v>
      </c>
      <c r="AO1002" s="331">
        <f t="shared" si="2479"/>
        <v>23</v>
      </c>
      <c r="AP1002" s="568">
        <f>AO1002</f>
        <v>23</v>
      </c>
      <c r="AQ1002" s="568">
        <f t="shared" si="2480"/>
        <v>23</v>
      </c>
      <c r="AR1002" s="330">
        <f t="shared" si="2480"/>
        <v>23</v>
      </c>
      <c r="AS1002" s="330">
        <f t="shared" si="2480"/>
        <v>23</v>
      </c>
      <c r="AT1002" s="330">
        <f t="shared" si="2480"/>
        <v>23</v>
      </c>
      <c r="AU1002" s="1692">
        <f>AT1002</f>
        <v>23</v>
      </c>
      <c r="AV1002" s="1912">
        <f t="shared" si="2481"/>
        <v>23</v>
      </c>
      <c r="AW1002" s="1839">
        <f t="shared" si="2481"/>
        <v>23</v>
      </c>
      <c r="AX1002" s="1839">
        <f t="shared" si="2481"/>
        <v>23</v>
      </c>
      <c r="AY1002" s="1839">
        <f t="shared" si="2481"/>
        <v>23</v>
      </c>
      <c r="AZ1002" s="1692">
        <f>AY1002</f>
        <v>23</v>
      </c>
      <c r="BA1002" s="553"/>
      <c r="BB1002" s="551"/>
      <c r="BC1002" s="551"/>
      <c r="BD1002" s="1895"/>
      <c r="BE1002" s="1906"/>
      <c r="BF1002" s="551"/>
      <c r="BG1002" s="551"/>
      <c r="BH1002" s="551"/>
      <c r="BI1002" s="1895"/>
      <c r="BJ1002" s="1906"/>
      <c r="BK1002" s="551"/>
      <c r="BL1002" s="551"/>
      <c r="BM1002" s="551"/>
      <c r="BN1002" s="1895"/>
      <c r="BO1002" s="1906"/>
      <c r="BP1002" s="551"/>
      <c r="BQ1002" s="551"/>
      <c r="BR1002" s="551"/>
      <c r="BS1002" s="551"/>
      <c r="BT1002" s="3234"/>
      <c r="BU1002" s="3404"/>
      <c r="BV1002" s="3297"/>
      <c r="BW1002" s="3297"/>
      <c r="BX1002" s="3297"/>
      <c r="BY1002" s="3234"/>
      <c r="BZ1002" s="552"/>
      <c r="CA1002" s="552"/>
      <c r="CB1002" s="552"/>
      <c r="CC1002" s="552"/>
      <c r="CD1002" s="552"/>
      <c r="CE1002" s="552"/>
      <c r="CF1002" s="552"/>
      <c r="CG1002" s="331"/>
      <c r="CH1002" s="331"/>
      <c r="CI1002" s="331"/>
      <c r="CJ1002" s="331"/>
      <c r="CK1002" s="331"/>
      <c r="CL1002" s="520" t="str">
        <f t="shared" si="2462"/>
        <v>Tables</v>
      </c>
      <c r="CM1002" s="330">
        <f t="shared" si="2463"/>
        <v>31</v>
      </c>
      <c r="CN1002" s="330">
        <f t="shared" si="2464"/>
        <v>31</v>
      </c>
      <c r="CO1002" s="330">
        <f t="shared" si="2465"/>
        <v>27</v>
      </c>
      <c r="CP1002" s="330">
        <f t="shared" si="2466"/>
        <v>27</v>
      </c>
      <c r="CQ1002" s="330">
        <f t="shared" si="2467"/>
        <v>27</v>
      </c>
      <c r="CR1002" s="330">
        <f t="shared" si="2468"/>
        <v>23</v>
      </c>
      <c r="CS1002" s="330">
        <f t="shared" si="2469"/>
        <v>23</v>
      </c>
      <c r="CT1002" s="330">
        <f t="shared" si="2470"/>
        <v>23</v>
      </c>
      <c r="CU1002" s="330">
        <f t="shared" si="2471"/>
        <v>23</v>
      </c>
      <c r="CV1002" s="330">
        <f t="shared" si="2472"/>
        <v>23</v>
      </c>
      <c r="CW1002" s="330">
        <f t="shared" si="2473"/>
        <v>0</v>
      </c>
      <c r="CX1002" s="330">
        <f t="shared" si="2474"/>
        <v>0</v>
      </c>
      <c r="CY1002" s="330">
        <f t="shared" si="2475"/>
        <v>0</v>
      </c>
      <c r="CZ1002" s="330">
        <f t="shared" si="2476"/>
        <v>0</v>
      </c>
      <c r="DA1002" s="330">
        <f t="shared" si="2477"/>
        <v>0</v>
      </c>
      <c r="DB1002" s="330">
        <f t="shared" si="2477"/>
        <v>0</v>
      </c>
      <c r="DC1002" s="1888">
        <f t="shared" si="2477"/>
        <v>0</v>
      </c>
      <c r="DD1002" s="331"/>
      <c r="DE1002" s="331"/>
      <c r="DF1002" s="502"/>
      <c r="DG1002" s="503"/>
      <c r="DH1002" s="3297"/>
      <c r="DI1002" s="3213"/>
      <c r="DJ1002" s="502"/>
      <c r="DK1002" s="503"/>
      <c r="DL1002" s="502"/>
      <c r="DM1002" s="502"/>
      <c r="DN1002" s="502"/>
      <c r="DO1002" s="502"/>
      <c r="DP1002" s="503"/>
      <c r="DQ1002" s="503"/>
      <c r="DR1002" s="296"/>
      <c r="DS1002" s="296"/>
      <c r="DT1002" s="296"/>
    </row>
    <row r="1003" spans="1:124" ht="12" customHeight="1" x14ac:dyDescent="0.25">
      <c r="A1003" s="511" t="s">
        <v>2111</v>
      </c>
      <c r="B1003" s="281"/>
      <c r="C1003" s="340">
        <v>1283</v>
      </c>
      <c r="D1003" s="305">
        <f>AVERAGE(C1000:D1000)</f>
        <v>1283</v>
      </c>
      <c r="E1003" s="305">
        <f>AVERAGE(D1000:E1000)</f>
        <v>1283</v>
      </c>
      <c r="F1003" s="305">
        <f>AVERAGE(E1000:F1000)</f>
        <v>1267</v>
      </c>
      <c r="G1003" s="345">
        <f>AVERAGE(C1003:F1003)</f>
        <v>1279</v>
      </c>
      <c r="H1003" s="305">
        <f>AVERAGE(G1000:H1000)</f>
        <v>1251</v>
      </c>
      <c r="I1003" s="305">
        <f>AVERAGE(H1000:I1000)</f>
        <v>1251</v>
      </c>
      <c r="J1003" s="305">
        <f>AVERAGE(I1000:J1000)</f>
        <v>1251</v>
      </c>
      <c r="K1003" s="305">
        <f>AVERAGE(J1000:K1000)</f>
        <v>1247</v>
      </c>
      <c r="L1003" s="345">
        <f>AVERAGE(H1003:K1003)</f>
        <v>1250</v>
      </c>
      <c r="M1003" s="305">
        <f>AVERAGE(L1000:M1000)</f>
        <v>1243</v>
      </c>
      <c r="N1003" s="305">
        <f>AVERAGE(M1000:N1000)</f>
        <v>1243</v>
      </c>
      <c r="O1003" s="305">
        <f>AVERAGE(N1000:O1000)</f>
        <v>1243</v>
      </c>
      <c r="P1003" s="305">
        <f>AVERAGE(O1000:P1000)</f>
        <v>1273</v>
      </c>
      <c r="Q1003" s="345">
        <f>AVERAGE(M1003:P1003)</f>
        <v>1250.5</v>
      </c>
      <c r="R1003" s="305">
        <f>AVERAGE(Q1000:R1000)</f>
        <v>1303</v>
      </c>
      <c r="S1003" s="305">
        <f>AVERAGE(R1000:S1000)</f>
        <v>1303</v>
      </c>
      <c r="T1003" s="305">
        <f>AVERAGE(S1000:T1000)</f>
        <v>1303</v>
      </c>
      <c r="U1003" s="305">
        <f>AVERAGE(T1000:U1000)</f>
        <v>1305</v>
      </c>
      <c r="V1003" s="345">
        <f>AVERAGE(R1003:U1003)</f>
        <v>1303.5</v>
      </c>
      <c r="W1003" s="305">
        <f>AVERAGE(V1000:W1000)</f>
        <v>1307</v>
      </c>
      <c r="X1003" s="305">
        <f>AVERAGE(W1000:X1000)</f>
        <v>1307</v>
      </c>
      <c r="Y1003" s="305">
        <f>AVERAGE(X1000:Y1000)</f>
        <v>1307</v>
      </c>
      <c r="Z1003" s="305">
        <f>AVERAGE(Y1000:Z1000)</f>
        <v>1307</v>
      </c>
      <c r="AA1003" s="345">
        <f>AVERAGE(W1003:Z1003)</f>
        <v>1307</v>
      </c>
      <c r="AB1003" s="305">
        <f>AVERAGE(AA1000:AB1000)</f>
        <v>1296.5</v>
      </c>
      <c r="AC1003" s="305">
        <f>AVERAGE(AB1000:AC1000)</f>
        <v>1286</v>
      </c>
      <c r="AD1003" s="305">
        <f>AVERAGE(AC1000:AD1000)</f>
        <v>1286</v>
      </c>
      <c r="AE1003" s="331">
        <f>AVERAGE(AD1000:AE1000)</f>
        <v>1299.5</v>
      </c>
      <c r="AF1003" s="348">
        <f>AVERAGE(AB1003:AE1003)</f>
        <v>1292</v>
      </c>
      <c r="AG1003" s="305">
        <f>AVERAGE(AF1000:AG1000)</f>
        <v>1313</v>
      </c>
      <c r="AH1003" s="305">
        <f>AVERAGE(AG1000:AH1000)</f>
        <v>1313</v>
      </c>
      <c r="AI1003" s="305">
        <f>AVERAGE(AH1000:AI1000)</f>
        <v>1313</v>
      </c>
      <c r="AJ1003" s="331">
        <f>AVERAGE(AI1000:AJ1000)</f>
        <v>1313</v>
      </c>
      <c r="AK1003" s="348">
        <f>AVERAGE(AG1003:AJ1003)</f>
        <v>1313</v>
      </c>
      <c r="AL1003" s="305">
        <f>AVERAGE(AK1000:AL1000)</f>
        <v>1313</v>
      </c>
      <c r="AM1003" s="305">
        <f>AVERAGE(AL1000:AM1000)</f>
        <v>1313</v>
      </c>
      <c r="AN1003" s="305">
        <f>AVERAGE(AM1000:AN1000)</f>
        <v>1313</v>
      </c>
      <c r="AO1003" s="331">
        <f>AVERAGE(AN1000:AO1000)</f>
        <v>1313</v>
      </c>
      <c r="AP1003" s="568">
        <f>AVERAGE(AL1003:AO1003)</f>
        <v>1313</v>
      </c>
      <c r="AQ1003" s="568">
        <f>AVERAGE(AP1000:AQ1000)</f>
        <v>1313</v>
      </c>
      <c r="AR1003" s="330">
        <f>AVERAGE(AQ1000:AR1000)</f>
        <v>1313</v>
      </c>
      <c r="AS1003" s="330">
        <f>AVERAGE(AR1000:AS1000)</f>
        <v>1313</v>
      </c>
      <c r="AT1003" s="330">
        <f>AVERAGE(AS1000:AT1000)</f>
        <v>1313</v>
      </c>
      <c r="AU1003" s="1692">
        <f>AVERAGE(AQ1003:AT1003)</f>
        <v>1313</v>
      </c>
      <c r="AV1003" s="1912">
        <f>AVERAGE(AU1000:AV1000)</f>
        <v>1313</v>
      </c>
      <c r="AW1003" s="1839">
        <f>AVERAGE(AV1000:AW1000)</f>
        <v>1313</v>
      </c>
      <c r="AX1003" s="1839">
        <f>AVERAGE(AW1000:AX1000)</f>
        <v>1313</v>
      </c>
      <c r="AY1003" s="1839">
        <f>AVERAGE(AX1000:AY1000)</f>
        <v>1313</v>
      </c>
      <c r="AZ1003" s="1692">
        <f>AVERAGE(AV1003:AY1003)</f>
        <v>1313</v>
      </c>
      <c r="BA1003" s="553"/>
      <c r="BB1003" s="551"/>
      <c r="BC1003" s="551"/>
      <c r="BD1003" s="1895"/>
      <c r="BE1003" s="1906"/>
      <c r="BF1003" s="551"/>
      <c r="BG1003" s="551"/>
      <c r="BH1003" s="551"/>
      <c r="BI1003" s="1895"/>
      <c r="BJ1003" s="1906"/>
      <c r="BK1003" s="551"/>
      <c r="BL1003" s="551"/>
      <c r="BM1003" s="551"/>
      <c r="BN1003" s="1895"/>
      <c r="BO1003" s="1906"/>
      <c r="BP1003" s="551"/>
      <c r="BQ1003" s="551"/>
      <c r="BR1003" s="551"/>
      <c r="BS1003" s="551"/>
      <c r="BT1003" s="3234"/>
      <c r="BU1003" s="3404"/>
      <c r="BV1003" s="3297"/>
      <c r="BW1003" s="3297"/>
      <c r="BX1003" s="3297"/>
      <c r="BY1003" s="3234"/>
      <c r="BZ1003" s="552"/>
      <c r="CA1003" s="552"/>
      <c r="CB1003" s="552"/>
      <c r="CC1003" s="552"/>
      <c r="CD1003" s="552"/>
      <c r="CE1003" s="552"/>
      <c r="CF1003" s="552"/>
      <c r="CG1003" s="331"/>
      <c r="CH1003" s="331"/>
      <c r="CI1003" s="331"/>
      <c r="CJ1003" s="331"/>
      <c r="CK1003" s="331"/>
      <c r="CL1003" s="1118" t="str">
        <f t="shared" si="2462"/>
        <v>Average Positions</v>
      </c>
      <c r="CM1003" s="330">
        <f t="shared" si="2463"/>
        <v>1279</v>
      </c>
      <c r="CN1003" s="330">
        <f t="shared" si="2464"/>
        <v>1250</v>
      </c>
      <c r="CO1003" s="330">
        <f t="shared" si="2465"/>
        <v>1250.5</v>
      </c>
      <c r="CP1003" s="330">
        <f t="shared" si="2466"/>
        <v>1303.5</v>
      </c>
      <c r="CQ1003" s="330">
        <f t="shared" si="2467"/>
        <v>1307</v>
      </c>
      <c r="CR1003" s="330">
        <f t="shared" si="2468"/>
        <v>1292</v>
      </c>
      <c r="CS1003" s="330">
        <f t="shared" si="2469"/>
        <v>1313</v>
      </c>
      <c r="CT1003" s="330">
        <f t="shared" si="2470"/>
        <v>1313</v>
      </c>
      <c r="CU1003" s="330">
        <f t="shared" si="2471"/>
        <v>1313</v>
      </c>
      <c r="CV1003" s="330">
        <f t="shared" si="2472"/>
        <v>1313</v>
      </c>
      <c r="CW1003" s="330">
        <f t="shared" si="2473"/>
        <v>0</v>
      </c>
      <c r="CX1003" s="330">
        <f t="shared" si="2474"/>
        <v>0</v>
      </c>
      <c r="CY1003" s="330">
        <f t="shared" si="2475"/>
        <v>0</v>
      </c>
      <c r="CZ1003" s="330">
        <f t="shared" si="2476"/>
        <v>0</v>
      </c>
      <c r="DA1003" s="330">
        <f t="shared" si="2477"/>
        <v>0</v>
      </c>
      <c r="DB1003" s="330">
        <f t="shared" si="2477"/>
        <v>0</v>
      </c>
      <c r="DC1003" s="1888">
        <f t="shared" si="2477"/>
        <v>0</v>
      </c>
      <c r="DD1003" s="331"/>
      <c r="DE1003" s="331"/>
      <c r="DF1003" s="502"/>
      <c r="DG1003" s="503"/>
      <c r="DH1003" s="3297"/>
      <c r="DI1003" s="3213"/>
      <c r="DJ1003" s="502"/>
      <c r="DK1003" s="503"/>
      <c r="DL1003" s="502"/>
      <c r="DM1003" s="502"/>
      <c r="DN1003" s="502"/>
      <c r="DO1003" s="502"/>
      <c r="DP1003" s="503"/>
      <c r="DQ1003" s="503"/>
      <c r="DR1003" s="296"/>
      <c r="DS1003" s="296"/>
      <c r="DT1003" s="296"/>
    </row>
    <row r="1004" spans="1:124" ht="12" customHeight="1" x14ac:dyDescent="0.25">
      <c r="A1004" s="557" t="s">
        <v>901</v>
      </c>
      <c r="B1004" s="558"/>
      <c r="C1004" s="318">
        <f t="shared" ref="C1004:AX1004" si="2482">C1010*1000000/C1003/C$5</f>
        <v>238.3992017335743</v>
      </c>
      <c r="D1004" s="318">
        <f t="shared" si="2482"/>
        <v>228.99895505897064</v>
      </c>
      <c r="E1004" s="318">
        <f t="shared" si="2482"/>
        <v>213.20284938493344</v>
      </c>
      <c r="F1004" s="318">
        <f t="shared" si="2482"/>
        <v>224.73671081980714</v>
      </c>
      <c r="G1004" s="559">
        <f t="shared" si="2482"/>
        <v>226.29521546033658</v>
      </c>
      <c r="H1004" s="318">
        <f t="shared" si="2482"/>
        <v>265.46091375788257</v>
      </c>
      <c r="I1004" s="318">
        <f t="shared" si="2482"/>
        <v>258.04351683488375</v>
      </c>
      <c r="J1004" s="318">
        <f t="shared" si="2482"/>
        <v>259.61795780766687</v>
      </c>
      <c r="K1004" s="318">
        <f t="shared" si="2482"/>
        <v>385.13897702311641</v>
      </c>
      <c r="L1004" s="559">
        <f t="shared" si="2482"/>
        <v>292.22752938082192</v>
      </c>
      <c r="M1004" s="318">
        <f t="shared" si="2482"/>
        <v>400.39544113703403</v>
      </c>
      <c r="N1004" s="318">
        <f t="shared" si="2482"/>
        <v>324.45430675519168</v>
      </c>
      <c r="O1004" s="318">
        <f t="shared" si="2482"/>
        <v>305.64004512224983</v>
      </c>
      <c r="P1004" s="318">
        <f t="shared" si="2482"/>
        <v>286.77067334949965</v>
      </c>
      <c r="Q1004" s="559">
        <f t="shared" si="2482"/>
        <v>328.70018059625465</v>
      </c>
      <c r="R1004" s="318">
        <f t="shared" si="2482"/>
        <v>309.23079218896567</v>
      </c>
      <c r="S1004" s="318">
        <f t="shared" si="2482"/>
        <v>295.68201867204169</v>
      </c>
      <c r="T1004" s="318">
        <f t="shared" si="2482"/>
        <v>296.38164436584469</v>
      </c>
      <c r="U1004" s="318">
        <f t="shared" si="2482"/>
        <v>285.08445777111444</v>
      </c>
      <c r="V1004" s="559">
        <f t="shared" si="2482"/>
        <v>296.52449937208036</v>
      </c>
      <c r="W1004" s="318">
        <f t="shared" si="2482"/>
        <v>303.51238050396427</v>
      </c>
      <c r="X1004" s="318">
        <f t="shared" si="2482"/>
        <v>291.57547651277565</v>
      </c>
      <c r="Y1004" s="318">
        <f t="shared" si="2482"/>
        <v>257.70181730481357</v>
      </c>
      <c r="Z1004" s="318">
        <f t="shared" si="2482"/>
        <v>290.27119032966306</v>
      </c>
      <c r="AA1004" s="559">
        <f t="shared" si="2482"/>
        <v>285.70085161446769</v>
      </c>
      <c r="AB1004" s="318">
        <f t="shared" si="2482"/>
        <v>314.52200368513519</v>
      </c>
      <c r="AC1004" s="318">
        <f t="shared" si="2482"/>
        <v>280.27959598721651</v>
      </c>
      <c r="AD1004" s="318">
        <f t="shared" si="2482"/>
        <v>258.63817702346341</v>
      </c>
      <c r="AE1004" s="560">
        <f t="shared" si="2482"/>
        <v>235.0402328654834</v>
      </c>
      <c r="AF1004" s="561">
        <f t="shared" si="2482"/>
        <v>271.85207175876837</v>
      </c>
      <c r="AG1004" s="318">
        <f t="shared" si="2482"/>
        <v>265.71887958026571</v>
      </c>
      <c r="AH1004" s="318">
        <f t="shared" si="2482"/>
        <v>251.08174384640495</v>
      </c>
      <c r="AI1004" s="318">
        <f t="shared" si="2482"/>
        <v>233.39375269048642</v>
      </c>
      <c r="AJ1004" s="560">
        <f t="shared" si="2482"/>
        <v>236.51211811649392</v>
      </c>
      <c r="AK1004" s="561">
        <f t="shared" si="2482"/>
        <v>246.56021360681905</v>
      </c>
      <c r="AL1004" s="318">
        <f t="shared" si="2482"/>
        <v>269.56216527037316</v>
      </c>
      <c r="AM1004" s="318">
        <f t="shared" si="2482"/>
        <v>255.92286601441211</v>
      </c>
      <c r="AN1004" s="318">
        <f t="shared" si="2482"/>
        <v>248.08480686446569</v>
      </c>
      <c r="AO1004" s="560">
        <f t="shared" si="2482"/>
        <v>235.82461331501042</v>
      </c>
      <c r="AP1004" s="562">
        <f t="shared" si="2482"/>
        <v>252.24449955659423</v>
      </c>
      <c r="AQ1004" s="562">
        <f t="shared" si="2482"/>
        <v>276.8212248604404</v>
      </c>
      <c r="AR1004" s="560">
        <f t="shared" si="2482"/>
        <v>259.58335302930124</v>
      </c>
      <c r="AS1004" s="560">
        <f t="shared" si="2482"/>
        <v>221.32728856915793</v>
      </c>
      <c r="AT1004" s="560">
        <f t="shared" si="2482"/>
        <v>176.61516283651778</v>
      </c>
      <c r="AU1004" s="1688">
        <f t="shared" si="2482"/>
        <v>233.39760141335697</v>
      </c>
      <c r="AV1004" s="1732">
        <f t="shared" si="2482"/>
        <v>186.85005483625287</v>
      </c>
      <c r="AW1004" s="1766">
        <f t="shared" si="2482"/>
        <v>181.05713925830455</v>
      </c>
      <c r="AX1004" s="1766">
        <f t="shared" si="2482"/>
        <v>146.60186123712705</v>
      </c>
      <c r="AY1004" s="1901">
        <f>AY1010*1000000/AY1003/35</f>
        <v>137.83193703985782</v>
      </c>
      <c r="AZ1004" s="1688">
        <f>AZ1010*1000000/AZ1003/AZ$5</f>
        <v>141.38135243281968</v>
      </c>
      <c r="BA1004" s="562"/>
      <c r="BB1004" s="560"/>
      <c r="BC1004" s="560"/>
      <c r="BD1004" s="1878"/>
      <c r="BE1004" s="1901"/>
      <c r="BF1004" s="560"/>
      <c r="BG1004" s="560"/>
      <c r="BH1004" s="560"/>
      <c r="BI1004" s="1878"/>
      <c r="BJ1004" s="1901"/>
      <c r="BK1004" s="560"/>
      <c r="BL1004" s="560"/>
      <c r="BM1004" s="560"/>
      <c r="BN1004" s="1878"/>
      <c r="BO1004" s="1901"/>
      <c r="BP1004" s="560"/>
      <c r="BQ1004" s="560"/>
      <c r="BR1004" s="560"/>
      <c r="BS1004" s="560"/>
      <c r="BT1004" s="2589"/>
      <c r="BU1004" s="3405"/>
      <c r="BV1004" s="2588"/>
      <c r="BW1004" s="2588"/>
      <c r="BX1004" s="2588"/>
      <c r="BY1004" s="2589"/>
      <c r="BZ1004" s="561"/>
      <c r="CA1004" s="561"/>
      <c r="CB1004" s="561"/>
      <c r="CC1004" s="561"/>
      <c r="CD1004" s="561"/>
      <c r="CE1004" s="561"/>
      <c r="CF1004" s="561"/>
      <c r="CG1004" s="560"/>
      <c r="CH1004" s="560"/>
      <c r="CI1004" s="560"/>
      <c r="CJ1004" s="560"/>
      <c r="CK1004" s="560"/>
      <c r="CL1004" s="1307" t="str">
        <f t="shared" si="2462"/>
        <v>Daily Win / Position</v>
      </c>
      <c r="CM1004" s="560">
        <f t="shared" si="2463"/>
        <v>226.29521546033658</v>
      </c>
      <c r="CN1004" s="560">
        <f t="shared" si="2464"/>
        <v>292.22752938082192</v>
      </c>
      <c r="CO1004" s="560">
        <f t="shared" si="2465"/>
        <v>328.70018059625465</v>
      </c>
      <c r="CP1004" s="560">
        <f t="shared" si="2466"/>
        <v>296.52449937208036</v>
      </c>
      <c r="CQ1004" s="560">
        <f t="shared" si="2467"/>
        <v>285.70085161446769</v>
      </c>
      <c r="CR1004" s="560">
        <f t="shared" si="2468"/>
        <v>271.85207175876837</v>
      </c>
      <c r="CS1004" s="560">
        <f t="shared" si="2469"/>
        <v>246.56021360681905</v>
      </c>
      <c r="CT1004" s="560">
        <f t="shared" si="2470"/>
        <v>252.24449955659423</v>
      </c>
      <c r="CU1004" s="560">
        <f t="shared" si="2471"/>
        <v>233.39760141335697</v>
      </c>
      <c r="CV1004" s="560">
        <f t="shared" si="2472"/>
        <v>141.38135243281968</v>
      </c>
      <c r="CW1004" s="560">
        <f t="shared" si="2473"/>
        <v>0</v>
      </c>
      <c r="CX1004" s="560">
        <f t="shared" si="2474"/>
        <v>0</v>
      </c>
      <c r="CY1004" s="560">
        <f t="shared" si="2475"/>
        <v>0</v>
      </c>
      <c r="CZ1004" s="560">
        <f t="shared" si="2476"/>
        <v>0</v>
      </c>
      <c r="DA1004" s="560">
        <f t="shared" si="2477"/>
        <v>0</v>
      </c>
      <c r="DB1004" s="560">
        <f t="shared" si="2477"/>
        <v>0</v>
      </c>
      <c r="DC1004" s="1878">
        <f t="shared" si="2477"/>
        <v>0</v>
      </c>
      <c r="DD1004" s="560"/>
      <c r="DE1004" s="560"/>
      <c r="DF1004" s="707"/>
      <c r="DG1004" s="707"/>
      <c r="DH1004" s="2588"/>
      <c r="DI1004" s="3213"/>
      <c r="DJ1004" s="707"/>
      <c r="DK1004" s="707"/>
      <c r="DL1004" s="707"/>
      <c r="DM1004" s="707"/>
      <c r="DN1004" s="707"/>
      <c r="DO1004" s="707"/>
      <c r="DP1004" s="707"/>
      <c r="DQ1004" s="707"/>
      <c r="DR1004" s="968"/>
      <c r="DS1004" s="968"/>
      <c r="DT1004" s="968"/>
    </row>
    <row r="1005" spans="1:124" ht="12" customHeight="1" x14ac:dyDescent="0.25">
      <c r="A1005" s="465" t="s">
        <v>1491</v>
      </c>
      <c r="B1005" s="466"/>
      <c r="C1005" s="467" t="s">
        <v>553</v>
      </c>
      <c r="D1005" s="467" t="s">
        <v>553</v>
      </c>
      <c r="E1005" s="467" t="s">
        <v>553</v>
      </c>
      <c r="F1005" s="467" t="s">
        <v>553</v>
      </c>
      <c r="G1005" s="468" t="s">
        <v>553</v>
      </c>
      <c r="H1005" s="467">
        <f t="shared" ref="H1005:AF1005" si="2483">(H1004-C1004)/C1004</f>
        <v>0.11351427281435021</v>
      </c>
      <c r="I1005" s="467">
        <f t="shared" si="2483"/>
        <v>0.12683272623857039</v>
      </c>
      <c r="J1005" s="467">
        <f t="shared" si="2483"/>
        <v>0.21770397795637284</v>
      </c>
      <c r="K1005" s="467">
        <f t="shared" si="2483"/>
        <v>0.71373415414947072</v>
      </c>
      <c r="L1005" s="468">
        <f t="shared" si="2483"/>
        <v>0.29135531560560762</v>
      </c>
      <c r="M1005" s="467">
        <f t="shared" si="2483"/>
        <v>0.50830280612316592</v>
      </c>
      <c r="N1005" s="467">
        <f t="shared" si="2483"/>
        <v>0.25736275313129725</v>
      </c>
      <c r="O1005" s="467">
        <f t="shared" si="2483"/>
        <v>0.17726850524214341</v>
      </c>
      <c r="P1005" s="467">
        <f t="shared" si="2483"/>
        <v>-0.25540988978561008</v>
      </c>
      <c r="Q1005" s="468">
        <f t="shared" si="2483"/>
        <v>0.12480908726399523</v>
      </c>
      <c r="R1005" s="467">
        <f t="shared" si="2483"/>
        <v>-0.22768653081858531</v>
      </c>
      <c r="S1005" s="467">
        <f t="shared" si="2483"/>
        <v>-8.8679014222052988E-2</v>
      </c>
      <c r="T1005" s="467">
        <f t="shared" si="2483"/>
        <v>-3.0291844619712592E-2</v>
      </c>
      <c r="U1005" s="467">
        <f t="shared" si="2483"/>
        <v>-5.8800140149970594E-3</v>
      </c>
      <c r="V1005" s="468">
        <f t="shared" si="2483"/>
        <v>-9.7887628676711844E-2</v>
      </c>
      <c r="W1005" s="467">
        <f t="shared" si="2483"/>
        <v>-1.8492374722847701E-2</v>
      </c>
      <c r="X1005" s="467">
        <f t="shared" si="2483"/>
        <v>-1.3888372981587523E-2</v>
      </c>
      <c r="Y1005" s="467">
        <f t="shared" si="2483"/>
        <v>-0.13050682387498291</v>
      </c>
      <c r="Z1005" s="467">
        <f t="shared" si="2483"/>
        <v>1.8193670041152792E-2</v>
      </c>
      <c r="AA1005" s="468">
        <f t="shared" si="2483"/>
        <v>-3.6501698107686872E-2</v>
      </c>
      <c r="AB1005" s="467">
        <f t="shared" si="2483"/>
        <v>3.627404972044336E-2</v>
      </c>
      <c r="AC1005" s="467">
        <f t="shared" si="2483"/>
        <v>-3.8740845631659977E-2</v>
      </c>
      <c r="AD1005" s="467">
        <f t="shared" si="2483"/>
        <v>3.6335006421095561E-3</v>
      </c>
      <c r="AE1005" s="469">
        <f t="shared" si="2483"/>
        <v>-0.19027364514354134</v>
      </c>
      <c r="AF1005" s="470">
        <f t="shared" si="2483"/>
        <v>-4.8473008664276687E-2</v>
      </c>
      <c r="AG1005" s="467">
        <f t="shared" ref="AG1005:AU1005" si="2484">(AG1004-AB1004)/AB1004</f>
        <v>-0.15516600916012793</v>
      </c>
      <c r="AH1005" s="467">
        <f t="shared" si="2484"/>
        <v>-0.10417401965337238</v>
      </c>
      <c r="AI1005" s="467">
        <f t="shared" si="2484"/>
        <v>-9.7605174238012196E-2</v>
      </c>
      <c r="AJ1005" s="469">
        <f t="shared" si="2484"/>
        <v>6.2622693700822634E-3</v>
      </c>
      <c r="AK1005" s="470">
        <f t="shared" si="2484"/>
        <v>-9.3035370259721251E-2</v>
      </c>
      <c r="AL1005" s="467">
        <f t="shared" si="2484"/>
        <v>1.4463728343948962E-2</v>
      </c>
      <c r="AM1005" s="467">
        <f t="shared" si="2484"/>
        <v>1.9281059999999985E-2</v>
      </c>
      <c r="AN1005" s="467">
        <f t="shared" si="2484"/>
        <v>6.2945361667249553E-2</v>
      </c>
      <c r="AO1005" s="469">
        <f t="shared" si="2484"/>
        <v>-2.9068481013089938E-3</v>
      </c>
      <c r="AP1005" s="471">
        <f t="shared" si="2484"/>
        <v>2.3054351984135281E-2</v>
      </c>
      <c r="AQ1005" s="471">
        <f t="shared" si="2484"/>
        <v>2.6929074348346845E-2</v>
      </c>
      <c r="AR1005" s="469">
        <f t="shared" si="2484"/>
        <v>1.4303086988260714E-2</v>
      </c>
      <c r="AS1005" s="469">
        <f t="shared" si="2484"/>
        <v>-0.10785633603885302</v>
      </c>
      <c r="AT1005" s="469">
        <f t="shared" si="2484"/>
        <v>-0.25107409123322377</v>
      </c>
      <c r="AU1005" s="1689">
        <f t="shared" si="2484"/>
        <v>-7.4716785406092584E-2</v>
      </c>
      <c r="AV1005" s="1730">
        <f>(AV1004-AQ1004)/AQ1004</f>
        <v>-0.32501543214233863</v>
      </c>
      <c r="AW1005" s="1465">
        <f>(AW1004-AR1004)/AR1004</f>
        <v>-0.30250866573147628</v>
      </c>
      <c r="AX1005" s="1465">
        <f>(AX1004-AS1004)/AS1004</f>
        <v>-0.33762410326859216</v>
      </c>
      <c r="AY1005" s="1868">
        <f>(AY1004-AT1004)/AT1004</f>
        <v>-0.21959171100478672</v>
      </c>
      <c r="AZ1005" s="1689">
        <f>(AZ1004-AU1004)/AU1004</f>
        <v>-0.39424676356280386</v>
      </c>
      <c r="BA1005" s="471"/>
      <c r="BB1005" s="469"/>
      <c r="BC1005" s="469"/>
      <c r="BD1005" s="1463"/>
      <c r="BE1005" s="1868"/>
      <c r="BF1005" s="469"/>
      <c r="BG1005" s="469"/>
      <c r="BH1005" s="469"/>
      <c r="BI1005" s="1463"/>
      <c r="BJ1005" s="1868"/>
      <c r="BK1005" s="469"/>
      <c r="BL1005" s="469"/>
      <c r="BM1005" s="469"/>
      <c r="BN1005" s="1463"/>
      <c r="BO1005" s="1868"/>
      <c r="BP1005" s="469"/>
      <c r="BQ1005" s="469"/>
      <c r="BR1005" s="469"/>
      <c r="BS1005" s="469"/>
      <c r="BT1005" s="470"/>
      <c r="BU1005" s="471"/>
      <c r="BV1005" s="469"/>
      <c r="BW1005" s="469"/>
      <c r="BX1005" s="469"/>
      <c r="BY1005" s="470"/>
      <c r="BZ1005" s="470"/>
      <c r="CA1005" s="470"/>
      <c r="CB1005" s="470"/>
      <c r="CC1005" s="470"/>
      <c r="CD1005" s="470"/>
      <c r="CE1005" s="470"/>
      <c r="CF1005" s="470"/>
      <c r="CG1005" s="492"/>
      <c r="CH1005" s="492"/>
      <c r="CI1005" s="492"/>
      <c r="CJ1005" s="492"/>
      <c r="CK1005" s="492"/>
      <c r="CL1005" s="1310" t="str">
        <f t="shared" si="2462"/>
        <v>% growth (y-o-y)</v>
      </c>
      <c r="CM1005" s="469" t="str">
        <f t="shared" si="2463"/>
        <v xml:space="preserve">n/a </v>
      </c>
      <c r="CN1005" s="469">
        <f t="shared" si="2464"/>
        <v>0.29135531560560762</v>
      </c>
      <c r="CO1005" s="469">
        <f t="shared" si="2465"/>
        <v>0.12480908726399523</v>
      </c>
      <c r="CP1005" s="469">
        <f t="shared" si="2466"/>
        <v>-9.7887628676711844E-2</v>
      </c>
      <c r="CQ1005" s="469">
        <f t="shared" si="2467"/>
        <v>-3.6501698107686872E-2</v>
      </c>
      <c r="CR1005" s="469">
        <f t="shared" si="2468"/>
        <v>-4.8473008664276687E-2</v>
      </c>
      <c r="CS1005" s="469">
        <f t="shared" si="2469"/>
        <v>-9.3035370259721251E-2</v>
      </c>
      <c r="CT1005" s="469">
        <f t="shared" si="2470"/>
        <v>2.3054351984135281E-2</v>
      </c>
      <c r="CU1005" s="469">
        <f t="shared" si="2471"/>
        <v>-7.4716785406092584E-2</v>
      </c>
      <c r="CV1005" s="469">
        <f t="shared" si="2472"/>
        <v>-0.39424676356280386</v>
      </c>
      <c r="CW1005" s="469">
        <f t="shared" si="2473"/>
        <v>0</v>
      </c>
      <c r="CX1005" s="469">
        <f t="shared" si="2474"/>
        <v>0</v>
      </c>
      <c r="CY1005" s="469">
        <f t="shared" si="2475"/>
        <v>0</v>
      </c>
      <c r="CZ1005" s="469">
        <f t="shared" si="2476"/>
        <v>0</v>
      </c>
      <c r="DA1005" s="469">
        <f t="shared" si="2477"/>
        <v>0</v>
      </c>
      <c r="DB1005" s="469">
        <f t="shared" si="2477"/>
        <v>0</v>
      </c>
      <c r="DC1005" s="1463">
        <f t="shared" si="2477"/>
        <v>0</v>
      </c>
      <c r="DD1005" s="492"/>
      <c r="DE1005" s="492"/>
      <c r="DF1005" s="962"/>
      <c r="DG1005" s="962"/>
      <c r="DH1005" s="469"/>
      <c r="DI1005" s="3213"/>
      <c r="DJ1005" s="962"/>
      <c r="DK1005" s="962"/>
      <c r="DL1005" s="962"/>
      <c r="DM1005" s="962"/>
      <c r="DN1005" s="962"/>
      <c r="DO1005" s="962"/>
      <c r="DP1005" s="962"/>
      <c r="DQ1005" s="962"/>
      <c r="DR1005" s="963"/>
      <c r="DS1005" s="963"/>
      <c r="DT1005" s="963"/>
    </row>
    <row r="1006" spans="1:124" ht="5.0999999999999996" customHeight="1" x14ac:dyDescent="0.25">
      <c r="A1006" s="281"/>
      <c r="B1006" s="281"/>
      <c r="C1006" s="305"/>
      <c r="D1006" s="305"/>
      <c r="E1006" s="305"/>
      <c r="F1006" s="305"/>
      <c r="G1006" s="440"/>
      <c r="H1006" s="305"/>
      <c r="I1006" s="305"/>
      <c r="J1006" s="305"/>
      <c r="K1006" s="305"/>
      <c r="L1006" s="440"/>
      <c r="M1006" s="305"/>
      <c r="N1006" s="305"/>
      <c r="O1006" s="305"/>
      <c r="P1006" s="305"/>
      <c r="Q1006" s="440"/>
      <c r="R1006" s="305"/>
      <c r="S1006" s="305"/>
      <c r="T1006" s="305"/>
      <c r="U1006" s="305"/>
      <c r="V1006" s="440"/>
      <c r="W1006" s="305"/>
      <c r="X1006" s="305"/>
      <c r="Y1006" s="305"/>
      <c r="Z1006" s="305"/>
      <c r="AA1006" s="440"/>
      <c r="AB1006" s="305"/>
      <c r="AC1006" s="305"/>
      <c r="AD1006" s="305"/>
      <c r="AE1006" s="331"/>
      <c r="AF1006" s="441"/>
      <c r="AG1006" s="305"/>
      <c r="AH1006" s="305"/>
      <c r="AI1006" s="305"/>
      <c r="AJ1006" s="331"/>
      <c r="AK1006" s="441"/>
      <c r="AL1006" s="305"/>
      <c r="AM1006" s="305"/>
      <c r="AN1006" s="305"/>
      <c r="AO1006" s="331"/>
      <c r="AP1006" s="441"/>
      <c r="AQ1006" s="442"/>
      <c r="AR1006" s="442"/>
      <c r="AS1006" s="442"/>
      <c r="AT1006" s="442"/>
      <c r="AU1006" s="1690"/>
      <c r="AV1006" s="1902"/>
      <c r="AW1006" s="1837"/>
      <c r="AX1006" s="1837"/>
      <c r="AY1006" s="1903"/>
      <c r="AZ1006" s="1690"/>
      <c r="BA1006" s="569"/>
      <c r="BB1006" s="442"/>
      <c r="BC1006" s="442"/>
      <c r="BD1006" s="1312"/>
      <c r="BE1006" s="1903"/>
      <c r="BF1006" s="442"/>
      <c r="BG1006" s="442"/>
      <c r="BH1006" s="442"/>
      <c r="BI1006" s="1312"/>
      <c r="BJ1006" s="1903"/>
      <c r="BK1006" s="442"/>
      <c r="BL1006" s="442"/>
      <c r="BM1006" s="442"/>
      <c r="BN1006" s="1312"/>
      <c r="BO1006" s="1903"/>
      <c r="BP1006" s="442"/>
      <c r="BQ1006" s="442"/>
      <c r="BR1006" s="442"/>
      <c r="BS1006" s="442"/>
      <c r="BT1006" s="3236"/>
      <c r="BU1006" s="3409"/>
      <c r="BV1006" s="3298"/>
      <c r="BW1006" s="3298"/>
      <c r="BX1006" s="3298"/>
      <c r="BY1006" s="3236"/>
      <c r="BZ1006" s="441"/>
      <c r="CA1006" s="441"/>
      <c r="CB1006" s="441"/>
      <c r="CC1006" s="441"/>
      <c r="CD1006" s="441"/>
      <c r="CE1006" s="441"/>
      <c r="CF1006" s="441"/>
      <c r="CG1006" s="331"/>
      <c r="CH1006" s="331"/>
      <c r="CI1006" s="331"/>
      <c r="CJ1006" s="331"/>
      <c r="CK1006" s="331"/>
      <c r="CL1006" s="520"/>
      <c r="CM1006" s="442"/>
      <c r="CN1006" s="442"/>
      <c r="CO1006" s="442"/>
      <c r="CP1006" s="442"/>
      <c r="CQ1006" s="442"/>
      <c r="CR1006" s="442"/>
      <c r="CS1006" s="442"/>
      <c r="CT1006" s="442"/>
      <c r="CU1006" s="442"/>
      <c r="CV1006" s="442"/>
      <c r="CW1006" s="442"/>
      <c r="CX1006" s="442"/>
      <c r="CY1006" s="442"/>
      <c r="CZ1006" s="442"/>
      <c r="DA1006" s="442"/>
      <c r="DB1006" s="442"/>
      <c r="DC1006" s="1312"/>
      <c r="DD1006" s="331"/>
      <c r="DE1006" s="331"/>
      <c r="DF1006" s="502"/>
      <c r="DG1006" s="503"/>
      <c r="DH1006" s="3298"/>
      <c r="DI1006" s="3213"/>
      <c r="DJ1006" s="502"/>
      <c r="DK1006" s="503"/>
      <c r="DL1006" s="502"/>
      <c r="DM1006" s="502"/>
      <c r="DN1006" s="502"/>
      <c r="DO1006" s="502"/>
      <c r="DP1006" s="503"/>
      <c r="DQ1006" s="503"/>
      <c r="DR1006" s="296"/>
      <c r="DS1006" s="296"/>
      <c r="DT1006" s="296"/>
    </row>
    <row r="1007" spans="1:124" ht="12" customHeight="1" x14ac:dyDescent="0.25">
      <c r="A1007" s="281" t="s">
        <v>1088</v>
      </c>
      <c r="B1007" s="281"/>
      <c r="C1007" s="340">
        <v>382.822</v>
      </c>
      <c r="D1007" s="340">
        <v>370.72800000000001</v>
      </c>
      <c r="E1007" s="340">
        <v>365.99099999999999</v>
      </c>
      <c r="F1007" s="340">
        <v>346.42500000000001</v>
      </c>
      <c r="G1007" s="345">
        <f>SUM(C1007:F1007)</f>
        <v>1465.9659999999999</v>
      </c>
      <c r="H1007" s="340">
        <v>392.505</v>
      </c>
      <c r="I1007" s="340">
        <v>397.25799999999998</v>
      </c>
      <c r="J1007" s="340">
        <v>315.77999999999997</v>
      </c>
      <c r="K1007" s="340">
        <v>454.584</v>
      </c>
      <c r="L1007" s="345">
        <f>SUM(H1007:K1007)</f>
        <v>1560.127</v>
      </c>
      <c r="M1007" s="340">
        <v>442.642</v>
      </c>
      <c r="N1007" s="340">
        <v>381.2</v>
      </c>
      <c r="O1007" s="340">
        <v>366.50299999999999</v>
      </c>
      <c r="P1007" s="340">
        <v>338.78399999999999</v>
      </c>
      <c r="Q1007" s="345">
        <f>SUM(M1007:P1007)</f>
        <v>1529.1289999999999</v>
      </c>
      <c r="R1007" s="340">
        <v>366.39299999999997</v>
      </c>
      <c r="S1007" s="340">
        <v>361.81200000000001</v>
      </c>
      <c r="T1007" s="340">
        <v>361.07799999999997</v>
      </c>
      <c r="U1007" s="340">
        <v>336.625</v>
      </c>
      <c r="V1007" s="345">
        <f>SUM(R1007:U1007)</f>
        <v>1425.9079999999999</v>
      </c>
      <c r="W1007" s="340">
        <v>353.75299999999999</v>
      </c>
      <c r="X1007" s="340">
        <v>350.59399999999999</v>
      </c>
      <c r="Y1007" s="340">
        <v>309.22199999999998</v>
      </c>
      <c r="Z1007" s="340">
        <v>324.92399999999998</v>
      </c>
      <c r="AA1007" s="345">
        <f>SUM(W1007:Z1007)</f>
        <v>1338.4929999999999</v>
      </c>
      <c r="AB1007" s="339">
        <v>338.3</v>
      </c>
      <c r="AC1007" s="339">
        <v>312</v>
      </c>
      <c r="AD1007" s="339">
        <v>295.3</v>
      </c>
      <c r="AE1007" s="339">
        <v>275.05500000000001</v>
      </c>
      <c r="AF1007" s="348">
        <f>SUM(AB1007:AE1007)</f>
        <v>1220.655</v>
      </c>
      <c r="AG1007" s="339">
        <v>293.10000000000002</v>
      </c>
      <c r="AH1007" s="339">
        <v>285.3</v>
      </c>
      <c r="AI1007" s="339">
        <v>282.72500000000002</v>
      </c>
      <c r="AJ1007" s="339">
        <v>272.048</v>
      </c>
      <c r="AK1007" s="348">
        <f>SUM(AG1007:AJ1007)</f>
        <v>1133.1730000000002</v>
      </c>
      <c r="AL1007" s="339">
        <v>292.61900000000003</v>
      </c>
      <c r="AM1007" s="339">
        <v>294.839</v>
      </c>
      <c r="AN1007" s="339">
        <v>304.358</v>
      </c>
      <c r="AO1007" s="339">
        <v>285.25099999999998</v>
      </c>
      <c r="AP1007" s="348">
        <f>SUM(AL1007:AO1007)</f>
        <v>1177.067</v>
      </c>
      <c r="AQ1007" s="339">
        <v>325.84899999999999</v>
      </c>
      <c r="AR1007" s="338">
        <v>319.80900000000003</v>
      </c>
      <c r="AS1007" s="338">
        <v>272.18700000000001</v>
      </c>
      <c r="AT1007" s="338">
        <v>214.208</v>
      </c>
      <c r="AU1007" s="348">
        <f>SUM(AQ1007:AT1007)</f>
        <v>1132.0530000000001</v>
      </c>
      <c r="AV1007" s="1677">
        <v>223.84</v>
      </c>
      <c r="AW1007" s="338">
        <v>217.37700000000001</v>
      </c>
      <c r="AX1007" s="338">
        <v>206.08</v>
      </c>
      <c r="AY1007" s="338">
        <v>72.746733333333339</v>
      </c>
      <c r="AZ1007" s="1687">
        <f>SUM(AV1007:AY1007)</f>
        <v>720.04373333333342</v>
      </c>
      <c r="BA1007" s="568"/>
      <c r="BB1007" s="330"/>
      <c r="BC1007" s="330"/>
      <c r="BD1007" s="1888"/>
      <c r="BE1007" s="1867"/>
      <c r="BF1007" s="330"/>
      <c r="BG1007" s="330"/>
      <c r="BH1007" s="330"/>
      <c r="BI1007" s="1888"/>
      <c r="BJ1007" s="1867"/>
      <c r="BK1007" s="330"/>
      <c r="BL1007" s="330"/>
      <c r="BM1007" s="330"/>
      <c r="BN1007" s="1888"/>
      <c r="BO1007" s="1867"/>
      <c r="BP1007" s="330"/>
      <c r="BQ1007" s="330"/>
      <c r="BR1007" s="330"/>
      <c r="BS1007" s="330"/>
      <c r="BT1007" s="3081"/>
      <c r="BU1007" s="3410"/>
      <c r="BV1007" s="2909"/>
      <c r="BW1007" s="2909"/>
      <c r="BX1007" s="2909"/>
      <c r="BY1007" s="3081"/>
      <c r="BZ1007" s="348"/>
      <c r="CA1007" s="348"/>
      <c r="CB1007" s="348"/>
      <c r="CC1007" s="348"/>
      <c r="CD1007" s="348"/>
      <c r="CE1007" s="348"/>
      <c r="CF1007" s="348"/>
      <c r="CG1007" s="331"/>
      <c r="CH1007" s="331"/>
      <c r="CI1007" s="331"/>
      <c r="CJ1007" s="331"/>
      <c r="CK1007" s="331"/>
      <c r="CL1007" s="520" t="str">
        <f>A1007</f>
        <v>Admissions (in thousands)</v>
      </c>
      <c r="CM1007" s="330">
        <f>G1007</f>
        <v>1465.9659999999999</v>
      </c>
      <c r="CN1007" s="330">
        <f>L1007</f>
        <v>1560.127</v>
      </c>
      <c r="CO1007" s="330">
        <f>Q1007</f>
        <v>1529.1289999999999</v>
      </c>
      <c r="CP1007" s="330">
        <f>V1007</f>
        <v>1425.9079999999999</v>
      </c>
      <c r="CQ1007" s="330">
        <f>AA1007</f>
        <v>1338.4929999999999</v>
      </c>
      <c r="CR1007" s="330">
        <f>AF1007</f>
        <v>1220.655</v>
      </c>
      <c r="CS1007" s="330">
        <f>AK1007</f>
        <v>1133.1730000000002</v>
      </c>
      <c r="CT1007" s="330">
        <f>AP1007</f>
        <v>1177.067</v>
      </c>
      <c r="CU1007" s="330">
        <f>AU1007</f>
        <v>1132.0530000000001</v>
      </c>
      <c r="CV1007" s="330">
        <f>AZ1007</f>
        <v>720.04373333333342</v>
      </c>
      <c r="CW1007" s="330">
        <f>BE1007</f>
        <v>0</v>
      </c>
      <c r="CX1007" s="330">
        <f>BJ1007</f>
        <v>0</v>
      </c>
      <c r="CY1007" s="330">
        <f>BO1007</f>
        <v>0</v>
      </c>
      <c r="CZ1007" s="330">
        <f>BT1007</f>
        <v>0</v>
      </c>
      <c r="DA1007" s="330">
        <f t="shared" ref="DA1007:DC1008" si="2485">BY1007</f>
        <v>0</v>
      </c>
      <c r="DB1007" s="330">
        <f t="shared" si="2485"/>
        <v>0</v>
      </c>
      <c r="DC1007" s="1888">
        <f t="shared" si="2485"/>
        <v>0</v>
      </c>
      <c r="DD1007" s="331"/>
      <c r="DE1007" s="331"/>
      <c r="DF1007" s="502"/>
      <c r="DG1007" s="503"/>
      <c r="DH1007" s="2909"/>
      <c r="DI1007" s="3213"/>
      <c r="DJ1007" s="502"/>
      <c r="DK1007" s="503"/>
      <c r="DL1007" s="502"/>
      <c r="DM1007" s="502"/>
      <c r="DN1007" s="502"/>
      <c r="DO1007" s="502"/>
      <c r="DP1007" s="503"/>
      <c r="DQ1007" s="503"/>
      <c r="DR1007" s="296"/>
      <c r="DS1007" s="296"/>
      <c r="DT1007" s="296"/>
    </row>
    <row r="1008" spans="1:124" ht="12" customHeight="1" x14ac:dyDescent="0.25">
      <c r="A1008" s="465" t="s">
        <v>1491</v>
      </c>
      <c r="B1008" s="466"/>
      <c r="C1008" s="467" t="s">
        <v>553</v>
      </c>
      <c r="D1008" s="467" t="s">
        <v>553</v>
      </c>
      <c r="E1008" s="467" t="s">
        <v>553</v>
      </c>
      <c r="F1008" s="467" t="s">
        <v>553</v>
      </c>
      <c r="G1008" s="468" t="s">
        <v>553</v>
      </c>
      <c r="H1008" s="467">
        <f t="shared" ref="H1008:AF1008" si="2486">(H1007-C1007)/C1007</f>
        <v>2.5293739649236441E-2</v>
      </c>
      <c r="I1008" s="467">
        <f t="shared" si="2486"/>
        <v>7.1561899829524531E-2</v>
      </c>
      <c r="J1008" s="467">
        <f t="shared" si="2486"/>
        <v>-0.13719189816143024</v>
      </c>
      <c r="K1008" s="467">
        <f t="shared" si="2486"/>
        <v>0.31221476510067109</v>
      </c>
      <c r="L1008" s="468">
        <f t="shared" si="2486"/>
        <v>6.4231366893911637E-2</v>
      </c>
      <c r="M1008" s="467">
        <f t="shared" si="2486"/>
        <v>0.12773595240824959</v>
      </c>
      <c r="N1008" s="467">
        <f t="shared" si="2486"/>
        <v>-4.0422093450603873E-2</v>
      </c>
      <c r="O1008" s="467">
        <f t="shared" si="2486"/>
        <v>0.16062765216289829</v>
      </c>
      <c r="P1008" s="467">
        <f t="shared" si="2486"/>
        <v>-0.25473839818383404</v>
      </c>
      <c r="Q1008" s="468">
        <f t="shared" si="2486"/>
        <v>-1.9868895288652814E-2</v>
      </c>
      <c r="R1008" s="467">
        <f t="shared" si="2486"/>
        <v>-0.17225884574893485</v>
      </c>
      <c r="S1008" s="467">
        <f t="shared" si="2486"/>
        <v>-5.086044071353614E-2</v>
      </c>
      <c r="T1008" s="467">
        <f t="shared" si="2486"/>
        <v>-1.4802061647517241E-2</v>
      </c>
      <c r="U1008" s="467">
        <f t="shared" si="2486"/>
        <v>-6.3727921035231644E-3</v>
      </c>
      <c r="V1008" s="468">
        <f t="shared" si="2486"/>
        <v>-6.7503134137146051E-2</v>
      </c>
      <c r="W1008" s="467">
        <f t="shared" si="2486"/>
        <v>-3.4498475680485127E-2</v>
      </c>
      <c r="X1008" s="467">
        <f t="shared" si="2486"/>
        <v>-3.1005052347628098E-2</v>
      </c>
      <c r="Y1008" s="467">
        <f t="shared" si="2486"/>
        <v>-0.14361439910490253</v>
      </c>
      <c r="Z1008" s="467">
        <f t="shared" si="2486"/>
        <v>-3.4759747493501733E-2</v>
      </c>
      <c r="AA1008" s="468">
        <f t="shared" si="2486"/>
        <v>-6.1304796662898287E-2</v>
      </c>
      <c r="AB1008" s="467">
        <f t="shared" si="2486"/>
        <v>-4.3683021769426622E-2</v>
      </c>
      <c r="AC1008" s="467">
        <f t="shared" si="2486"/>
        <v>-0.11008174697798592</v>
      </c>
      <c r="AD1008" s="467">
        <f t="shared" si="2486"/>
        <v>-4.50226697971036E-2</v>
      </c>
      <c r="AE1008" s="469">
        <f t="shared" si="2486"/>
        <v>-0.15347896738929712</v>
      </c>
      <c r="AF1008" s="470">
        <f t="shared" si="2486"/>
        <v>-8.8037815662838706E-2</v>
      </c>
      <c r="AG1008" s="467">
        <f t="shared" ref="AG1008:AU1008" si="2487">(AG1007-AB1007)/AB1007</f>
        <v>-0.13360922258350572</v>
      </c>
      <c r="AH1008" s="467">
        <f t="shared" si="2487"/>
        <v>-8.5576923076923037E-2</v>
      </c>
      <c r="AI1008" s="467">
        <f t="shared" si="2487"/>
        <v>-4.2583813071452717E-2</v>
      </c>
      <c r="AJ1008" s="469">
        <f t="shared" si="2487"/>
        <v>-1.0932358982748922E-2</v>
      </c>
      <c r="AK1008" s="470">
        <f t="shared" si="2487"/>
        <v>-7.1668079842379495E-2</v>
      </c>
      <c r="AL1008" s="467">
        <f t="shared" si="2487"/>
        <v>-1.6410781303309264E-3</v>
      </c>
      <c r="AM1008" s="467">
        <f t="shared" si="2487"/>
        <v>3.3434980722046925E-2</v>
      </c>
      <c r="AN1008" s="467">
        <f t="shared" si="2487"/>
        <v>7.6516049164382274E-2</v>
      </c>
      <c r="AO1008" s="469">
        <f t="shared" si="2487"/>
        <v>4.8531876727636203E-2</v>
      </c>
      <c r="AP1008" s="470">
        <f t="shared" si="2487"/>
        <v>3.8735479931131231E-2</v>
      </c>
      <c r="AQ1008" s="469">
        <f t="shared" si="2487"/>
        <v>0.11356063686910269</v>
      </c>
      <c r="AR1008" s="469">
        <f t="shared" si="2487"/>
        <v>8.4690288598184185E-2</v>
      </c>
      <c r="AS1008" s="469">
        <f t="shared" si="2487"/>
        <v>-0.10570118084624025</v>
      </c>
      <c r="AT1008" s="469">
        <f t="shared" si="2487"/>
        <v>-0.24905434161492854</v>
      </c>
      <c r="AU1008" s="1689">
        <f t="shared" si="2487"/>
        <v>-3.8242512958055828E-2</v>
      </c>
      <c r="AV1008" s="1730">
        <f>(AV1007-AQ1007)/AQ1007</f>
        <v>-0.31305604743301341</v>
      </c>
      <c r="AW1008" s="1465">
        <f>(AW1007-AR1007)/AR1007</f>
        <v>-0.32029117379435851</v>
      </c>
      <c r="AX1008" s="1465">
        <f>(AX1007-AS1007)/AS1007</f>
        <v>-0.24287346566882326</v>
      </c>
      <c r="AY1008" s="1868">
        <f>(AY1007-AT1007)/AT1007</f>
        <v>-0.66039207997211435</v>
      </c>
      <c r="AZ1008" s="1689">
        <f>(AZ1007-AU1007)/AU1007</f>
        <v>-0.36394874327144283</v>
      </c>
      <c r="BA1008" s="471"/>
      <c r="BB1008" s="469"/>
      <c r="BC1008" s="469"/>
      <c r="BD1008" s="1463"/>
      <c r="BE1008" s="1868"/>
      <c r="BF1008" s="469"/>
      <c r="BG1008" s="469"/>
      <c r="BH1008" s="469"/>
      <c r="BI1008" s="1463"/>
      <c r="BJ1008" s="1868"/>
      <c r="BK1008" s="469"/>
      <c r="BL1008" s="469"/>
      <c r="BM1008" s="469"/>
      <c r="BN1008" s="1463"/>
      <c r="BO1008" s="1868"/>
      <c r="BP1008" s="469"/>
      <c r="BQ1008" s="469"/>
      <c r="BR1008" s="469"/>
      <c r="BS1008" s="469"/>
      <c r="BT1008" s="470"/>
      <c r="BU1008" s="471"/>
      <c r="BV1008" s="469"/>
      <c r="BW1008" s="469"/>
      <c r="BX1008" s="469"/>
      <c r="BY1008" s="470"/>
      <c r="BZ1008" s="470"/>
      <c r="CA1008" s="470"/>
      <c r="CB1008" s="470"/>
      <c r="CC1008" s="470"/>
      <c r="CD1008" s="470"/>
      <c r="CE1008" s="470"/>
      <c r="CF1008" s="470"/>
      <c r="CG1008" s="492"/>
      <c r="CH1008" s="492"/>
      <c r="CI1008" s="492"/>
      <c r="CJ1008" s="492"/>
      <c r="CK1008" s="492"/>
      <c r="CL1008" s="1310" t="str">
        <f>A1008</f>
        <v>% growth (y-o-y)</v>
      </c>
      <c r="CM1008" s="469" t="str">
        <f>G1008</f>
        <v xml:space="preserve">n/a </v>
      </c>
      <c r="CN1008" s="469">
        <f>L1008</f>
        <v>6.4231366893911637E-2</v>
      </c>
      <c r="CO1008" s="469">
        <f>Q1008</f>
        <v>-1.9868895288652814E-2</v>
      </c>
      <c r="CP1008" s="469">
        <f>V1008</f>
        <v>-6.7503134137146051E-2</v>
      </c>
      <c r="CQ1008" s="469">
        <f>AA1008</f>
        <v>-6.1304796662898287E-2</v>
      </c>
      <c r="CR1008" s="469">
        <f>AF1008</f>
        <v>-8.8037815662838706E-2</v>
      </c>
      <c r="CS1008" s="469">
        <f>AK1008</f>
        <v>-7.1668079842379495E-2</v>
      </c>
      <c r="CT1008" s="469">
        <f>AP1008</f>
        <v>3.8735479931131231E-2</v>
      </c>
      <c r="CU1008" s="469">
        <f>AU1008</f>
        <v>-3.8242512958055828E-2</v>
      </c>
      <c r="CV1008" s="469">
        <f>AZ1008</f>
        <v>-0.36394874327144283</v>
      </c>
      <c r="CW1008" s="469">
        <f>BE1008</f>
        <v>0</v>
      </c>
      <c r="CX1008" s="469">
        <f>BJ1008</f>
        <v>0</v>
      </c>
      <c r="CY1008" s="469">
        <f>BO1008</f>
        <v>0</v>
      </c>
      <c r="CZ1008" s="469">
        <f>BT1008</f>
        <v>0</v>
      </c>
      <c r="DA1008" s="469">
        <f t="shared" si="2485"/>
        <v>0</v>
      </c>
      <c r="DB1008" s="469">
        <f t="shared" si="2485"/>
        <v>0</v>
      </c>
      <c r="DC1008" s="1463">
        <f t="shared" si="2485"/>
        <v>0</v>
      </c>
      <c r="DD1008" s="492"/>
      <c r="DE1008" s="492"/>
      <c r="DF1008" s="962"/>
      <c r="DG1008" s="962"/>
      <c r="DH1008" s="469"/>
      <c r="DI1008" s="3213"/>
      <c r="DJ1008" s="962"/>
      <c r="DK1008" s="962"/>
      <c r="DL1008" s="962"/>
      <c r="DM1008" s="962"/>
      <c r="DN1008" s="962"/>
      <c r="DO1008" s="962"/>
      <c r="DP1008" s="962"/>
      <c r="DQ1008" s="962"/>
      <c r="DR1008" s="963"/>
      <c r="DS1008" s="963"/>
      <c r="DT1008" s="963"/>
    </row>
    <row r="1009" spans="1:124" ht="5.0999999999999996" customHeight="1" x14ac:dyDescent="0.25">
      <c r="A1009" s="281"/>
      <c r="B1009" s="281"/>
      <c r="C1009" s="305"/>
      <c r="D1009" s="305"/>
      <c r="E1009" s="305"/>
      <c r="F1009" s="305"/>
      <c r="G1009" s="440"/>
      <c r="H1009" s="305"/>
      <c r="I1009" s="305"/>
      <c r="J1009" s="305"/>
      <c r="K1009" s="305"/>
      <c r="L1009" s="440"/>
      <c r="M1009" s="305"/>
      <c r="N1009" s="305"/>
      <c r="O1009" s="305"/>
      <c r="P1009" s="305"/>
      <c r="Q1009" s="440"/>
      <c r="R1009" s="305"/>
      <c r="S1009" s="305"/>
      <c r="T1009" s="305"/>
      <c r="U1009" s="305"/>
      <c r="V1009" s="440"/>
      <c r="W1009" s="305"/>
      <c r="X1009" s="305"/>
      <c r="Y1009" s="305"/>
      <c r="Z1009" s="305"/>
      <c r="AA1009" s="440"/>
      <c r="AB1009" s="305"/>
      <c r="AC1009" s="305"/>
      <c r="AD1009" s="305"/>
      <c r="AE1009" s="331"/>
      <c r="AF1009" s="441"/>
      <c r="AG1009" s="305"/>
      <c r="AH1009" s="305"/>
      <c r="AI1009" s="305"/>
      <c r="AJ1009" s="331"/>
      <c r="AK1009" s="441"/>
      <c r="AL1009" s="305"/>
      <c r="AM1009" s="305"/>
      <c r="AN1009" s="305"/>
      <c r="AO1009" s="331"/>
      <c r="AP1009" s="569"/>
      <c r="AQ1009" s="569"/>
      <c r="AR1009" s="442"/>
      <c r="AS1009" s="442"/>
      <c r="AT1009" s="442"/>
      <c r="AU1009" s="1690"/>
      <c r="AV1009" s="1902"/>
      <c r="AW1009" s="1837"/>
      <c r="AX1009" s="1837"/>
      <c r="AY1009" s="1903"/>
      <c r="AZ1009" s="1690"/>
      <c r="BA1009" s="569"/>
      <c r="BB1009" s="442"/>
      <c r="BC1009" s="442"/>
      <c r="BD1009" s="1312"/>
      <c r="BE1009" s="1903"/>
      <c r="BF1009" s="442"/>
      <c r="BG1009" s="442"/>
      <c r="BH1009" s="442"/>
      <c r="BI1009" s="1312"/>
      <c r="BJ1009" s="1903"/>
      <c r="BK1009" s="442"/>
      <c r="BL1009" s="442"/>
      <c r="BM1009" s="442"/>
      <c r="BN1009" s="1312"/>
      <c r="BO1009" s="1903"/>
      <c r="BP1009" s="442"/>
      <c r="BQ1009" s="442"/>
      <c r="BR1009" s="442"/>
      <c r="BS1009" s="442"/>
      <c r="BT1009" s="3236"/>
      <c r="BU1009" s="3409"/>
      <c r="BV1009" s="3298"/>
      <c r="BW1009" s="3298"/>
      <c r="BX1009" s="3298"/>
      <c r="BY1009" s="3236"/>
      <c r="BZ1009" s="441"/>
      <c r="CA1009" s="441"/>
      <c r="CB1009" s="441"/>
      <c r="CC1009" s="441"/>
      <c r="CD1009" s="441"/>
      <c r="CE1009" s="441"/>
      <c r="CF1009" s="441"/>
      <c r="CG1009" s="331"/>
      <c r="CH1009" s="331"/>
      <c r="CI1009" s="331"/>
      <c r="CJ1009" s="331"/>
      <c r="CK1009" s="331"/>
      <c r="CL1009" s="520"/>
      <c r="CM1009" s="442"/>
      <c r="CN1009" s="442"/>
      <c r="CO1009" s="442"/>
      <c r="CP1009" s="442"/>
      <c r="CQ1009" s="442"/>
      <c r="CR1009" s="442"/>
      <c r="CS1009" s="442"/>
      <c r="CT1009" s="442"/>
      <c r="CU1009" s="442"/>
      <c r="CV1009" s="442"/>
      <c r="CW1009" s="442"/>
      <c r="CX1009" s="442"/>
      <c r="CY1009" s="442"/>
      <c r="CZ1009" s="442"/>
      <c r="DA1009" s="442"/>
      <c r="DB1009" s="442"/>
      <c r="DC1009" s="1312"/>
      <c r="DD1009" s="331"/>
      <c r="DE1009" s="331"/>
      <c r="DF1009" s="502"/>
      <c r="DG1009" s="503"/>
      <c r="DH1009" s="3298"/>
      <c r="DI1009" s="3213"/>
      <c r="DJ1009" s="502"/>
      <c r="DK1009" s="503"/>
      <c r="DL1009" s="502"/>
      <c r="DM1009" s="502"/>
      <c r="DN1009" s="502"/>
      <c r="DO1009" s="502"/>
      <c r="DP1009" s="503"/>
      <c r="DQ1009" s="503"/>
      <c r="DR1009" s="296"/>
      <c r="DS1009" s="296"/>
      <c r="DT1009" s="296"/>
    </row>
    <row r="1010" spans="1:124" ht="12" customHeight="1" x14ac:dyDescent="0.25">
      <c r="A1010" s="281" t="s">
        <v>730</v>
      </c>
      <c r="B1010" s="281"/>
      <c r="C1010" s="570">
        <v>27.833822000000001</v>
      </c>
      <c r="D1010" s="570">
        <v>26.736314999999998</v>
      </c>
      <c r="E1010" s="570">
        <v>25.16561153</v>
      </c>
      <c r="F1010" s="570">
        <v>26.196209960000001</v>
      </c>
      <c r="G1010" s="475">
        <f>SUM(C1010:F1010)</f>
        <v>105.93195849</v>
      </c>
      <c r="H1010" s="570">
        <v>29.888244279999999</v>
      </c>
      <c r="I1010" s="570">
        <v>29.375931999999999</v>
      </c>
      <c r="J1010" s="570">
        <v>29.879949999999997</v>
      </c>
      <c r="K1010" s="570">
        <v>44.184684000000004</v>
      </c>
      <c r="L1010" s="475">
        <f>SUM(H1010:K1010)</f>
        <v>133.32881028</v>
      </c>
      <c r="M1010" s="570">
        <v>44.792237999999998</v>
      </c>
      <c r="N1010" s="570">
        <v>36.700000000000003</v>
      </c>
      <c r="O1010" s="570">
        <v>34.951773000000003</v>
      </c>
      <c r="P1010" s="570">
        <v>33.58543418</v>
      </c>
      <c r="Q1010" s="475">
        <f>SUM(M1010:P1010)</f>
        <v>150.02944518000001</v>
      </c>
      <c r="R1010" s="570">
        <v>36.263494999999999</v>
      </c>
      <c r="S1010" s="570">
        <v>35.059904000000003</v>
      </c>
      <c r="T1010" s="570">
        <v>35.529046000000001</v>
      </c>
      <c r="U1010" s="570">
        <v>34.227240000000002</v>
      </c>
      <c r="V1010" s="475">
        <f>SUM(R1010:U1010)</f>
        <v>141.07968499999998</v>
      </c>
      <c r="W1010" s="570">
        <v>36.098852000000001</v>
      </c>
      <c r="X1010" s="570">
        <v>34.679112449999998</v>
      </c>
      <c r="Y1010" s="570">
        <v>30.98709732</v>
      </c>
      <c r="Z1010" s="570">
        <v>34.903369010000006</v>
      </c>
      <c r="AA1010" s="475">
        <f>SUM(W1010:Z1010)</f>
        <v>136.66843077999999</v>
      </c>
      <c r="AB1010" s="572">
        <v>36.700000000000003</v>
      </c>
      <c r="AC1010" s="572">
        <v>32.799999999999997</v>
      </c>
      <c r="AD1010" s="572">
        <v>30.6</v>
      </c>
      <c r="AE1010" s="572">
        <v>28.1</v>
      </c>
      <c r="AF1010" s="477">
        <f>SUM(AB1010:AE1010)</f>
        <v>128.19999999999999</v>
      </c>
      <c r="AG1010" s="572">
        <v>31.4</v>
      </c>
      <c r="AH1010" s="572">
        <v>30</v>
      </c>
      <c r="AI1010" s="572">
        <v>28.193031749999999</v>
      </c>
      <c r="AJ1010" s="572">
        <v>28.569717820000001</v>
      </c>
      <c r="AK1010" s="477">
        <f>SUM(AG1010:AJ1010)</f>
        <v>118.16274956999999</v>
      </c>
      <c r="AL1010" s="572">
        <v>31.85416107</v>
      </c>
      <c r="AM1010" s="572">
        <v>30.578431800000001</v>
      </c>
      <c r="AN1010" s="572">
        <v>29.96765233</v>
      </c>
      <c r="AO1010" s="572">
        <v>28.486669989999999</v>
      </c>
      <c r="AP1010" s="478">
        <f>SUM(AL1010:AO1010)</f>
        <v>120.88691519</v>
      </c>
      <c r="AQ1010" s="592">
        <v>33.075430409999996</v>
      </c>
      <c r="AR1010" s="572">
        <v>31.015797769999999</v>
      </c>
      <c r="AS1010" s="572">
        <v>26.735451150000003</v>
      </c>
      <c r="AT1010" s="572">
        <v>21.33440521</v>
      </c>
      <c r="AU1010" s="1464">
        <f>SUM(AQ1010:AT1010)</f>
        <v>112.16108454</v>
      </c>
      <c r="AV1010" s="592">
        <v>22.080070980000002</v>
      </c>
      <c r="AW1010" s="572">
        <v>21.63325017</v>
      </c>
      <c r="AX1010" s="572">
        <v>17.708918430000001</v>
      </c>
      <c r="AY1010" s="1313">
        <v>6.3340666666666667</v>
      </c>
      <c r="AZ1010" s="1464">
        <f>SUM(AV1010:AY1010)</f>
        <v>67.756306246666668</v>
      </c>
      <c r="BA1010" s="478"/>
      <c r="BB1010" s="476"/>
      <c r="BC1010" s="476"/>
      <c r="BD1010" s="682"/>
      <c r="BE1010" s="1866"/>
      <c r="BF1010" s="476"/>
      <c r="BG1010" s="476"/>
      <c r="BH1010" s="476"/>
      <c r="BI1010" s="682"/>
      <c r="BJ1010" s="1866"/>
      <c r="BK1010" s="476"/>
      <c r="BL1010" s="476"/>
      <c r="BM1010" s="476"/>
      <c r="BN1010" s="682"/>
      <c r="BO1010" s="1866"/>
      <c r="BP1010" s="476"/>
      <c r="BQ1010" s="476"/>
      <c r="BR1010" s="476"/>
      <c r="BS1010" s="476"/>
      <c r="BT1010" s="2604"/>
      <c r="BU1010" s="2673"/>
      <c r="BV1010" s="2577"/>
      <c r="BW1010" s="2577"/>
      <c r="BX1010" s="2577"/>
      <c r="BY1010" s="2604"/>
      <c r="BZ1010" s="477"/>
      <c r="CA1010" s="477"/>
      <c r="CB1010" s="477"/>
      <c r="CC1010" s="477"/>
      <c r="CD1010" s="477"/>
      <c r="CE1010" s="477"/>
      <c r="CF1010" s="477"/>
      <c r="CG1010" s="331"/>
      <c r="CH1010" s="331"/>
      <c r="CI1010" s="331"/>
      <c r="CJ1010" s="331"/>
      <c r="CK1010" s="331"/>
      <c r="CL1010" s="520" t="str">
        <f>A1010</f>
        <v>Casino revenue</v>
      </c>
      <c r="CM1010" s="476">
        <f>G1010</f>
        <v>105.93195849</v>
      </c>
      <c r="CN1010" s="476">
        <f>L1010</f>
        <v>133.32881028</v>
      </c>
      <c r="CO1010" s="476">
        <f>Q1010</f>
        <v>150.02944518000001</v>
      </c>
      <c r="CP1010" s="476">
        <f>V1010</f>
        <v>141.07968499999998</v>
      </c>
      <c r="CQ1010" s="476">
        <f>AA1010</f>
        <v>136.66843077999999</v>
      </c>
      <c r="CR1010" s="476">
        <f>AF1010</f>
        <v>128.19999999999999</v>
      </c>
      <c r="CS1010" s="476">
        <f>AK1010</f>
        <v>118.16274956999999</v>
      </c>
      <c r="CT1010" s="476">
        <f>AP1010</f>
        <v>120.88691519</v>
      </c>
      <c r="CU1010" s="476">
        <f>AU1010</f>
        <v>112.16108454</v>
      </c>
      <c r="CV1010" s="476">
        <f>AZ1010</f>
        <v>67.756306246666668</v>
      </c>
      <c r="CW1010" s="476">
        <f>BE1010</f>
        <v>0</v>
      </c>
      <c r="CX1010" s="476">
        <f>BJ1010</f>
        <v>0</v>
      </c>
      <c r="CY1010" s="476">
        <f>BO1010</f>
        <v>0</v>
      </c>
      <c r="CZ1010" s="476">
        <f>BT1010</f>
        <v>0</v>
      </c>
      <c r="DA1010" s="476">
        <f t="shared" ref="DA1010:DC1014" si="2488">BY1010</f>
        <v>0</v>
      </c>
      <c r="DB1010" s="476">
        <f t="shared" si="2488"/>
        <v>0</v>
      </c>
      <c r="DC1010" s="682">
        <f t="shared" si="2488"/>
        <v>0</v>
      </c>
      <c r="DD1010" s="331"/>
      <c r="DE1010" s="331"/>
      <c r="DF1010" s="502"/>
      <c r="DG1010" s="503"/>
      <c r="DH1010" s="2577"/>
      <c r="DI1010" s="3213"/>
      <c r="DJ1010" s="502"/>
      <c r="DK1010" s="503"/>
      <c r="DL1010" s="502"/>
      <c r="DM1010" s="502"/>
      <c r="DN1010" s="502"/>
      <c r="DO1010" s="502"/>
      <c r="DP1010" s="503"/>
      <c r="DQ1010" s="503"/>
      <c r="DR1010" s="296"/>
      <c r="DS1010" s="296"/>
      <c r="DT1010" s="296"/>
    </row>
    <row r="1011" spans="1:124" ht="12" customHeight="1" x14ac:dyDescent="0.25">
      <c r="A1011" s="465" t="s">
        <v>1491</v>
      </c>
      <c r="B1011" s="466"/>
      <c r="C1011" s="467" t="s">
        <v>553</v>
      </c>
      <c r="D1011" s="467" t="s">
        <v>553</v>
      </c>
      <c r="E1011" s="467" t="s">
        <v>553</v>
      </c>
      <c r="F1011" s="467" t="s">
        <v>553</v>
      </c>
      <c r="G1011" s="468" t="s">
        <v>553</v>
      </c>
      <c r="H1011" s="467">
        <f t="shared" ref="H1011:AY1011" si="2489">(H1010-C1010)/C1010</f>
        <v>7.3810283043413763E-2</v>
      </c>
      <c r="I1011" s="467">
        <f t="shared" si="2489"/>
        <v>9.8727779052573308E-2</v>
      </c>
      <c r="J1011" s="467">
        <f t="shared" si="2489"/>
        <v>0.18733256151474884</v>
      </c>
      <c r="K1011" s="467">
        <f t="shared" si="2489"/>
        <v>0.68668231272643243</v>
      </c>
      <c r="L1011" s="468">
        <f t="shared" si="2489"/>
        <v>0.25862687880528773</v>
      </c>
      <c r="M1011" s="467">
        <f t="shared" si="2489"/>
        <v>0.49865738450127522</v>
      </c>
      <c r="N1011" s="467">
        <f t="shared" si="2489"/>
        <v>0.24932206406251228</v>
      </c>
      <c r="O1011" s="467">
        <f t="shared" si="2489"/>
        <v>0.1697400096051033</v>
      </c>
      <c r="P1011" s="467">
        <f t="shared" si="2489"/>
        <v>-0.23988515613238295</v>
      </c>
      <c r="Q1011" s="468">
        <f t="shared" si="2489"/>
        <v>0.1252590108989009</v>
      </c>
      <c r="R1011" s="467">
        <f t="shared" si="2489"/>
        <v>-0.19040671734241096</v>
      </c>
      <c r="S1011" s="467">
        <f t="shared" si="2489"/>
        <v>-4.4689264305177105E-2</v>
      </c>
      <c r="T1011" s="467">
        <f t="shared" si="2489"/>
        <v>1.6516272293253854E-2</v>
      </c>
      <c r="U1011" s="467">
        <f t="shared" si="2489"/>
        <v>1.9109647847941023E-2</v>
      </c>
      <c r="V1011" s="468">
        <f t="shared" si="2489"/>
        <v>-5.9653357840938635E-2</v>
      </c>
      <c r="W1011" s="467">
        <f t="shared" si="2489"/>
        <v>-4.5401856605381827E-3</v>
      </c>
      <c r="X1011" s="467">
        <f t="shared" si="2489"/>
        <v>-1.0861169214838835E-2</v>
      </c>
      <c r="Y1011" s="467">
        <f t="shared" si="2489"/>
        <v>-0.12783761995748494</v>
      </c>
      <c r="Z1011" s="467">
        <f t="shared" si="2489"/>
        <v>1.9754120110181361E-2</v>
      </c>
      <c r="AA1011" s="468">
        <f t="shared" si="2489"/>
        <v>-3.1267820168438779E-2</v>
      </c>
      <c r="AB1011" s="467">
        <f t="shared" si="2489"/>
        <v>1.6652828738154941E-2</v>
      </c>
      <c r="AC1011" s="467">
        <f t="shared" si="2489"/>
        <v>-5.4185713452421444E-2</v>
      </c>
      <c r="AD1011" s="467">
        <f t="shared" si="2489"/>
        <v>-1.2492209773716189E-2</v>
      </c>
      <c r="AE1011" s="469">
        <f t="shared" si="2489"/>
        <v>-0.19492012384394189</v>
      </c>
      <c r="AF1011" s="470">
        <f t="shared" si="2489"/>
        <v>-6.1963327826833239E-2</v>
      </c>
      <c r="AG1011" s="467">
        <f t="shared" si="2489"/>
        <v>-0.14441416893732981</v>
      </c>
      <c r="AH1011" s="467">
        <f t="shared" si="2489"/>
        <v>-8.5365853658536509E-2</v>
      </c>
      <c r="AI1011" s="467">
        <f t="shared" si="2489"/>
        <v>-7.8659093137254971E-2</v>
      </c>
      <c r="AJ1011" s="467">
        <f t="shared" si="2489"/>
        <v>1.6715936654804257E-2</v>
      </c>
      <c r="AK1011" s="470">
        <f>(AK1010-AF1010)/AF1010</f>
        <v>-7.8293685101404067E-2</v>
      </c>
      <c r="AL1011" s="467">
        <f t="shared" si="2489"/>
        <v>1.446372834394909E-2</v>
      </c>
      <c r="AM1011" s="467">
        <f t="shared" si="2489"/>
        <v>1.928106000000002E-2</v>
      </c>
      <c r="AN1011" s="467">
        <f t="shared" si="2489"/>
        <v>6.2945361667249594E-2</v>
      </c>
      <c r="AO1011" s="467">
        <f t="shared" si="2489"/>
        <v>-2.9068481013090281E-3</v>
      </c>
      <c r="AP1011" s="470">
        <f>(AP1010-AK1010)/AK1010</f>
        <v>2.3054351984135267E-2</v>
      </c>
      <c r="AQ1011" s="467">
        <f t="shared" si="2489"/>
        <v>3.8339397396661548E-2</v>
      </c>
      <c r="AR1011" s="467">
        <f t="shared" si="2489"/>
        <v>1.4303086988260737E-2</v>
      </c>
      <c r="AS1011" s="467">
        <f t="shared" si="2489"/>
        <v>-0.10785633603885303</v>
      </c>
      <c r="AT1011" s="467">
        <f t="shared" si="2489"/>
        <v>-0.25107409123322383</v>
      </c>
      <c r="AU1011" s="1689">
        <f>(AU1010-AP1010)/AP1010</f>
        <v>-7.2181762900355731E-2</v>
      </c>
      <c r="AV1011" s="467">
        <f t="shared" si="2489"/>
        <v>-0.33243284497593917</v>
      </c>
      <c r="AW1011" s="467">
        <f t="shared" si="2489"/>
        <v>-0.30250866573147633</v>
      </c>
      <c r="AX1011" s="469">
        <f t="shared" si="2489"/>
        <v>-0.33762410326859216</v>
      </c>
      <c r="AY1011" s="1463">
        <f t="shared" si="2489"/>
        <v>-0.70310554223008181</v>
      </c>
      <c r="AZ1011" s="1689">
        <f>(AZ1010-AU1010)/AU1010</f>
        <v>-0.39590182705033727</v>
      </c>
      <c r="BA1011" s="1667"/>
      <c r="BB1011" s="540"/>
      <c r="BC1011" s="540"/>
      <c r="BD1011" s="1668"/>
      <c r="BE1011" s="1868"/>
      <c r="BF1011" s="540"/>
      <c r="BG1011" s="540"/>
      <c r="BH1011" s="540"/>
      <c r="BI1011" s="1668"/>
      <c r="BJ1011" s="1868"/>
      <c r="BK1011" s="540"/>
      <c r="BL1011" s="540"/>
      <c r="BM1011" s="540"/>
      <c r="BN1011" s="1668"/>
      <c r="BO1011" s="1868"/>
      <c r="BP1011" s="540"/>
      <c r="BQ1011" s="540"/>
      <c r="BR1011" s="540"/>
      <c r="BS1011" s="540"/>
      <c r="BT1011" s="470"/>
      <c r="BU1011" s="471"/>
      <c r="BV1011" s="469"/>
      <c r="BW1011" s="469"/>
      <c r="BX1011" s="469"/>
      <c r="BY1011" s="539"/>
      <c r="BZ1011" s="539"/>
      <c r="CA1011" s="539"/>
      <c r="CB1011" s="539"/>
      <c r="CC1011" s="539"/>
      <c r="CD1011" s="539"/>
      <c r="CE1011" s="539"/>
      <c r="CF1011" s="539"/>
      <c r="CG1011" s="492"/>
      <c r="CH1011" s="492"/>
      <c r="CI1011" s="492"/>
      <c r="CJ1011" s="492"/>
      <c r="CK1011" s="492"/>
      <c r="CL1011" s="1310" t="str">
        <f>A1011</f>
        <v>% growth (y-o-y)</v>
      </c>
      <c r="CM1011" s="469" t="str">
        <f>G1011</f>
        <v xml:space="preserve">n/a </v>
      </c>
      <c r="CN1011" s="469">
        <f>L1011</f>
        <v>0.25862687880528773</v>
      </c>
      <c r="CO1011" s="469">
        <f>Q1011</f>
        <v>0.1252590108989009</v>
      </c>
      <c r="CP1011" s="469">
        <f>V1011</f>
        <v>-5.9653357840938635E-2</v>
      </c>
      <c r="CQ1011" s="469">
        <f>AA1011</f>
        <v>-3.1267820168438779E-2</v>
      </c>
      <c r="CR1011" s="469">
        <f>AF1011</f>
        <v>-6.1963327826833239E-2</v>
      </c>
      <c r="CS1011" s="469">
        <f>AK1011</f>
        <v>-7.8293685101404067E-2</v>
      </c>
      <c r="CT1011" s="469">
        <f>AP1011</f>
        <v>2.3054351984135267E-2</v>
      </c>
      <c r="CU1011" s="469">
        <f>AU1011</f>
        <v>-7.2181762900355731E-2</v>
      </c>
      <c r="CV1011" s="469">
        <f>AZ1011</f>
        <v>-0.39590182705033727</v>
      </c>
      <c r="CW1011" s="469">
        <f>BE1011</f>
        <v>0</v>
      </c>
      <c r="CX1011" s="469">
        <f>BJ1011</f>
        <v>0</v>
      </c>
      <c r="CY1011" s="469">
        <f>BO1011</f>
        <v>0</v>
      </c>
      <c r="CZ1011" s="469">
        <f>BT1011</f>
        <v>0</v>
      </c>
      <c r="DA1011" s="469">
        <f t="shared" si="2488"/>
        <v>0</v>
      </c>
      <c r="DB1011" s="469">
        <f t="shared" si="2488"/>
        <v>0</v>
      </c>
      <c r="DC1011" s="1463">
        <f t="shared" si="2488"/>
        <v>0</v>
      </c>
      <c r="DD1011" s="492"/>
      <c r="DE1011" s="492"/>
      <c r="DF1011" s="962"/>
      <c r="DG1011" s="962"/>
      <c r="DH1011" s="469"/>
      <c r="DI1011" s="3213"/>
      <c r="DJ1011" s="962"/>
      <c r="DK1011" s="962"/>
      <c r="DL1011" s="962"/>
      <c r="DM1011" s="962"/>
      <c r="DN1011" s="962"/>
      <c r="DO1011" s="962"/>
      <c r="DP1011" s="962"/>
      <c r="DQ1011" s="962"/>
      <c r="DR1011" s="963"/>
      <c r="DS1011" s="963"/>
      <c r="DT1011" s="963"/>
    </row>
    <row r="1012" spans="1:124" ht="12" customHeight="1" x14ac:dyDescent="0.25">
      <c r="A1012" s="281" t="s">
        <v>645</v>
      </c>
      <c r="B1012" s="281"/>
      <c r="C1012" s="452">
        <f t="shared" ref="C1012:AJ1012" si="2490">C1013-C1010</f>
        <v>0.6211779999999969</v>
      </c>
      <c r="D1012" s="452">
        <f t="shared" si="2490"/>
        <v>0.7666850000000025</v>
      </c>
      <c r="E1012" s="452">
        <f t="shared" si="2490"/>
        <v>0.85638846999999885</v>
      </c>
      <c r="F1012" s="452">
        <f t="shared" si="2490"/>
        <v>0.23279003999999759</v>
      </c>
      <c r="G1012" s="475">
        <f t="shared" si="2490"/>
        <v>2.4770415099999923</v>
      </c>
      <c r="H1012" s="452">
        <f t="shared" si="2490"/>
        <v>-0.76724427999999989</v>
      </c>
      <c r="I1012" s="452">
        <f t="shared" si="2490"/>
        <v>-0.94593199999999911</v>
      </c>
      <c r="J1012" s="452">
        <f t="shared" si="2490"/>
        <v>-1.0029499999999985</v>
      </c>
      <c r="K1012" s="452">
        <f t="shared" si="2490"/>
        <v>1.1173159999999953</v>
      </c>
      <c r="L1012" s="475">
        <f t="shared" si="2490"/>
        <v>-1.5988102800000092</v>
      </c>
      <c r="M1012" s="452">
        <f t="shared" si="2490"/>
        <v>-1.6722380000000001</v>
      </c>
      <c r="N1012" s="452">
        <f t="shared" si="2490"/>
        <v>-1.2530000000000001</v>
      </c>
      <c r="O1012" s="452">
        <f t="shared" si="2490"/>
        <v>-1.6187730000000045</v>
      </c>
      <c r="P1012" s="452">
        <f t="shared" si="2490"/>
        <v>-1.4844341800000009</v>
      </c>
      <c r="Q1012" s="475">
        <f t="shared" si="2490"/>
        <v>-6.0284451800000056</v>
      </c>
      <c r="R1012" s="452">
        <f t="shared" si="2490"/>
        <v>-1.3824949999999987</v>
      </c>
      <c r="S1012" s="452">
        <f t="shared" si="2490"/>
        <v>-1.0189040000000062</v>
      </c>
      <c r="T1012" s="452">
        <f t="shared" si="2490"/>
        <v>-1.3280460000000005</v>
      </c>
      <c r="U1012" s="452">
        <f t="shared" si="2490"/>
        <v>-1.4812399999999997</v>
      </c>
      <c r="V1012" s="475">
        <f t="shared" si="2490"/>
        <v>-5.2106849999999838</v>
      </c>
      <c r="W1012" s="452">
        <f t="shared" si="2490"/>
        <v>-1.3328520000000026</v>
      </c>
      <c r="X1012" s="452">
        <f t="shared" si="2490"/>
        <v>-1.5691124499999987</v>
      </c>
      <c r="Y1012" s="452">
        <f t="shared" si="2490"/>
        <v>-1.3960973199999991</v>
      </c>
      <c r="Z1012" s="452">
        <f t="shared" si="2490"/>
        <v>-1.3573690100000064</v>
      </c>
      <c r="AA1012" s="475">
        <f t="shared" si="2490"/>
        <v>-5.655430779999989</v>
      </c>
      <c r="AB1012" s="452">
        <f t="shared" si="2490"/>
        <v>-1.6110000000000042</v>
      </c>
      <c r="AC1012" s="452">
        <f t="shared" si="2490"/>
        <v>-1.4569999999999972</v>
      </c>
      <c r="AD1012" s="452">
        <f t="shared" si="2490"/>
        <v>-1.1479999999999997</v>
      </c>
      <c r="AE1012" s="452">
        <f>AE1013-AE1010</f>
        <v>-0.99000000000000199</v>
      </c>
      <c r="AF1012" s="477">
        <f t="shared" si="2490"/>
        <v>-5.2059999999999889</v>
      </c>
      <c r="AG1012" s="452">
        <f t="shared" si="2490"/>
        <v>-0.85099999999999909</v>
      </c>
      <c r="AH1012" s="452">
        <f t="shared" si="2490"/>
        <v>-0.99299999999999855</v>
      </c>
      <c r="AI1012" s="452">
        <f t="shared" si="2490"/>
        <v>-0.97203174999999931</v>
      </c>
      <c r="AJ1012" s="452">
        <f t="shared" si="2490"/>
        <v>-1.2587178200000011</v>
      </c>
      <c r="AK1012" s="477">
        <f>SUM(AG1012:AJ1012)</f>
        <v>-4.074749569999998</v>
      </c>
      <c r="AL1012" s="452">
        <f>AL1013-AL1010</f>
        <v>-1.2231610699999997</v>
      </c>
      <c r="AM1012" s="452">
        <f>AM1013-AM1010</f>
        <v>-1.1424318000000007</v>
      </c>
      <c r="AN1012" s="452">
        <f>AM1012</f>
        <v>-1.1424318000000007</v>
      </c>
      <c r="AO1012" s="476">
        <f>AN1012</f>
        <v>-1.1424318000000007</v>
      </c>
      <c r="AP1012" s="478">
        <f>SUM(AL1012:AO1012)</f>
        <v>-4.6504564700000017</v>
      </c>
      <c r="AQ1012" s="478">
        <f>+AL1012</f>
        <v>-1.2231610699999997</v>
      </c>
      <c r="AR1012" s="476">
        <f>+AM1012</f>
        <v>-1.1424318000000007</v>
      </c>
      <c r="AS1012" s="476">
        <f>+AN1012</f>
        <v>-1.1424318000000007</v>
      </c>
      <c r="AT1012" s="476">
        <f>+AO1012</f>
        <v>-1.1424318000000007</v>
      </c>
      <c r="AU1012" s="1464">
        <f>SUM(AQ1012:AT1012)</f>
        <v>-4.6504564700000017</v>
      </c>
      <c r="AV1012" s="592">
        <f>+AQ1012-1</f>
        <v>-2.2231610699999997</v>
      </c>
      <c r="AW1012" s="572">
        <f>+AR1012-1</f>
        <v>-2.1424318000000007</v>
      </c>
      <c r="AX1012" s="572">
        <f>+AS1012-1</f>
        <v>-2.1424318000000007</v>
      </c>
      <c r="AY1012" s="1313">
        <f>+(AT1012-1)*(1/3)</f>
        <v>-0.71414393333333348</v>
      </c>
      <c r="AZ1012" s="1464">
        <f>SUM(AV1012:AY1012)</f>
        <v>-7.2221686033333343</v>
      </c>
      <c r="BA1012" s="478"/>
      <c r="BB1012" s="476"/>
      <c r="BC1012" s="476"/>
      <c r="BD1012" s="682"/>
      <c r="BE1012" s="1866"/>
      <c r="BF1012" s="476"/>
      <c r="BG1012" s="476"/>
      <c r="BH1012" s="476"/>
      <c r="BI1012" s="682"/>
      <c r="BJ1012" s="1866"/>
      <c r="BK1012" s="476"/>
      <c r="BL1012" s="476"/>
      <c r="BM1012" s="476"/>
      <c r="BN1012" s="682"/>
      <c r="BO1012" s="1866"/>
      <c r="BP1012" s="476"/>
      <c r="BQ1012" s="476"/>
      <c r="BR1012" s="476"/>
      <c r="BS1012" s="476"/>
      <c r="BT1012" s="2604"/>
      <c r="BU1012" s="2673"/>
      <c r="BV1012" s="2577"/>
      <c r="BW1012" s="2577"/>
      <c r="BX1012" s="2577"/>
      <c r="BY1012" s="573"/>
      <c r="BZ1012" s="573"/>
      <c r="CA1012" s="573"/>
      <c r="CB1012" s="573"/>
      <c r="CC1012" s="573"/>
      <c r="CD1012" s="573"/>
      <c r="CE1012" s="573"/>
      <c r="CF1012" s="573"/>
      <c r="CG1012" s="600"/>
      <c r="CH1012" s="600"/>
      <c r="CI1012" s="600"/>
      <c r="CJ1012" s="600"/>
      <c r="CK1012" s="331"/>
      <c r="CL1012" s="520" t="str">
        <f>A1012</f>
        <v>Other revenue</v>
      </c>
      <c r="CM1012" s="476">
        <f>G1012</f>
        <v>2.4770415099999923</v>
      </c>
      <c r="CN1012" s="476">
        <f>L1012</f>
        <v>-1.5988102800000092</v>
      </c>
      <c r="CO1012" s="476">
        <f>Q1012</f>
        <v>-6.0284451800000056</v>
      </c>
      <c r="CP1012" s="476">
        <f>V1012</f>
        <v>-5.2106849999999838</v>
      </c>
      <c r="CQ1012" s="476">
        <f>AA1012</f>
        <v>-5.655430779999989</v>
      </c>
      <c r="CR1012" s="476">
        <f>AF1012</f>
        <v>-5.2059999999999889</v>
      </c>
      <c r="CS1012" s="476">
        <f>AK1012</f>
        <v>-4.074749569999998</v>
      </c>
      <c r="CT1012" s="476">
        <f>AP1012</f>
        <v>-4.6504564700000017</v>
      </c>
      <c r="CU1012" s="476">
        <f>AU1012</f>
        <v>-4.6504564700000017</v>
      </c>
      <c r="CV1012" s="476">
        <f>AZ1012</f>
        <v>-7.2221686033333343</v>
      </c>
      <c r="CW1012" s="476">
        <f>BE1012</f>
        <v>0</v>
      </c>
      <c r="CX1012" s="476">
        <f>BJ1012</f>
        <v>0</v>
      </c>
      <c r="CY1012" s="476">
        <f>BO1012</f>
        <v>0</v>
      </c>
      <c r="CZ1012" s="476">
        <f>BT1012</f>
        <v>0</v>
      </c>
      <c r="DA1012" s="476">
        <f t="shared" si="2488"/>
        <v>0</v>
      </c>
      <c r="DB1012" s="476">
        <f t="shared" si="2488"/>
        <v>0</v>
      </c>
      <c r="DC1012" s="682">
        <f t="shared" si="2488"/>
        <v>0</v>
      </c>
      <c r="DD1012" s="331"/>
      <c r="DE1012" s="331"/>
      <c r="DF1012" s="502"/>
      <c r="DG1012" s="503"/>
      <c r="DH1012" s="2577"/>
      <c r="DI1012" s="3213"/>
      <c r="DJ1012" s="502"/>
      <c r="DK1012" s="503"/>
      <c r="DL1012" s="502"/>
      <c r="DM1012" s="502"/>
      <c r="DN1012" s="502"/>
      <c r="DO1012" s="502"/>
      <c r="DP1012" s="503"/>
      <c r="DQ1012" s="503"/>
      <c r="DR1012" s="296"/>
      <c r="DS1012" s="296"/>
      <c r="DT1012" s="296"/>
    </row>
    <row r="1013" spans="1:124" ht="12" customHeight="1" x14ac:dyDescent="0.25">
      <c r="A1013" s="496" t="s">
        <v>1418</v>
      </c>
      <c r="B1013" s="1007"/>
      <c r="C1013" s="1008">
        <v>28.454999999999998</v>
      </c>
      <c r="D1013" s="1008">
        <v>27.503</v>
      </c>
      <c r="E1013" s="1008">
        <v>26.021999999999998</v>
      </c>
      <c r="F1013" s="1008">
        <v>26.428999999999998</v>
      </c>
      <c r="G1013" s="1009">
        <f>SUM(C1013:F1013)</f>
        <v>108.40899999999999</v>
      </c>
      <c r="H1013" s="1008">
        <v>29.120999999999999</v>
      </c>
      <c r="I1013" s="1008">
        <v>28.43</v>
      </c>
      <c r="J1013" s="1008">
        <v>28.876999999999999</v>
      </c>
      <c r="K1013" s="1008">
        <v>45.302</v>
      </c>
      <c r="L1013" s="1009">
        <f>SUM(H1013:K1013)</f>
        <v>131.72999999999999</v>
      </c>
      <c r="M1013" s="1008">
        <v>43.12</v>
      </c>
      <c r="N1013" s="1008">
        <v>35.447000000000003</v>
      </c>
      <c r="O1013" s="1008">
        <v>33.332999999999998</v>
      </c>
      <c r="P1013" s="1008">
        <v>32.100999999999999</v>
      </c>
      <c r="Q1013" s="1009">
        <f>SUM(M1013:P1013)</f>
        <v>144.001</v>
      </c>
      <c r="R1013" s="1008">
        <v>34.881</v>
      </c>
      <c r="S1013" s="1008">
        <v>34.040999999999997</v>
      </c>
      <c r="T1013" s="1008">
        <v>34.201000000000001</v>
      </c>
      <c r="U1013" s="1008">
        <v>32.746000000000002</v>
      </c>
      <c r="V1013" s="1009">
        <f>SUM(R1013:U1013)</f>
        <v>135.869</v>
      </c>
      <c r="W1013" s="1008">
        <v>34.765999999999998</v>
      </c>
      <c r="X1013" s="1008">
        <v>33.11</v>
      </c>
      <c r="Y1013" s="1008">
        <v>29.591000000000001</v>
      </c>
      <c r="Z1013" s="1008">
        <v>33.545999999999999</v>
      </c>
      <c r="AA1013" s="1009">
        <f>SUM(W1013:Z1013)</f>
        <v>131.01300000000001</v>
      </c>
      <c r="AB1013" s="1008">
        <v>35.088999999999999</v>
      </c>
      <c r="AC1013" s="1008">
        <v>31.343</v>
      </c>
      <c r="AD1013" s="1008">
        <v>29.452000000000002</v>
      </c>
      <c r="AE1013" s="1010">
        <v>27.11</v>
      </c>
      <c r="AF1013" s="1011">
        <f>SUM(AB1013:AE1013)</f>
        <v>122.994</v>
      </c>
      <c r="AG1013" s="1010">
        <v>30.548999999999999</v>
      </c>
      <c r="AH1013" s="1010">
        <v>29.007000000000001</v>
      </c>
      <c r="AI1013" s="1010">
        <v>27.221</v>
      </c>
      <c r="AJ1013" s="1010">
        <v>27.311</v>
      </c>
      <c r="AK1013" s="1011">
        <f>SUM(AG1013:AJ1013)</f>
        <v>114.08799999999999</v>
      </c>
      <c r="AL1013" s="1010">
        <v>30.631</v>
      </c>
      <c r="AM1013" s="1010">
        <v>29.436</v>
      </c>
      <c r="AN1013" s="1593">
        <f>AN1010+AN1012</f>
        <v>28.825220529999999</v>
      </c>
      <c r="AO1013" s="1012">
        <f>AO1010+AO1012</f>
        <v>27.344238189999999</v>
      </c>
      <c r="AP1013" s="1013">
        <f>SUM(AL1013:AO1013)</f>
        <v>116.23645872</v>
      </c>
      <c r="AQ1013" s="1013">
        <f>AQ1010+AQ1012</f>
        <v>31.852269339999996</v>
      </c>
      <c r="AR1013" s="1012">
        <f>AR1010+AR1012</f>
        <v>29.873365969999998</v>
      </c>
      <c r="AS1013" s="1012">
        <f>AS1010+AS1012</f>
        <v>25.593019350000002</v>
      </c>
      <c r="AT1013" s="1012">
        <f>AT1010+AT1012</f>
        <v>20.191973409999999</v>
      </c>
      <c r="AU1013" s="1691">
        <f>SUM(AQ1013:AT1013)</f>
        <v>107.51062807</v>
      </c>
      <c r="AV1013" s="1904">
        <f>AV1010+AV1012</f>
        <v>19.856909910000002</v>
      </c>
      <c r="AW1013" s="1838">
        <f>AW1010+AW1012</f>
        <v>19.49081837</v>
      </c>
      <c r="AX1013" s="1838">
        <f>AX1010+AX1012</f>
        <v>15.56648663</v>
      </c>
      <c r="AY1013" s="1905">
        <f>AY1010+AY1012</f>
        <v>5.6199227333333335</v>
      </c>
      <c r="AZ1013" s="1691">
        <f>SUM(AV1013:AY1013)</f>
        <v>60.534137643333331</v>
      </c>
      <c r="BA1013" s="1013"/>
      <c r="BB1013" s="1012"/>
      <c r="BC1013" s="1012"/>
      <c r="BD1013" s="1877"/>
      <c r="BE1013" s="1905"/>
      <c r="BF1013" s="1012"/>
      <c r="BG1013" s="1012"/>
      <c r="BH1013" s="1012"/>
      <c r="BI1013" s="1877"/>
      <c r="BJ1013" s="1905"/>
      <c r="BK1013" s="1012"/>
      <c r="BL1013" s="1012"/>
      <c r="BM1013" s="1012"/>
      <c r="BN1013" s="1877"/>
      <c r="BO1013" s="1905"/>
      <c r="BP1013" s="1012"/>
      <c r="BQ1013" s="1012"/>
      <c r="BR1013" s="1012"/>
      <c r="BS1013" s="1012"/>
      <c r="BT1013" s="1011"/>
      <c r="BU1013" s="1013"/>
      <c r="BV1013" s="1012"/>
      <c r="BW1013" s="1012"/>
      <c r="BX1013" s="1012"/>
      <c r="BY1013" s="1011"/>
      <c r="BZ1013" s="1011"/>
      <c r="CA1013" s="1011"/>
      <c r="CB1013" s="1011"/>
      <c r="CC1013" s="1011"/>
      <c r="CD1013" s="1011"/>
      <c r="CE1013" s="1011"/>
      <c r="CF1013" s="1011"/>
      <c r="CG1013" s="502"/>
      <c r="CH1013" s="502"/>
      <c r="CI1013" s="502"/>
      <c r="CJ1013" s="502"/>
      <c r="CK1013" s="502"/>
      <c r="CL1013" s="2102" t="str">
        <f>A1013</f>
        <v>Net revenue</v>
      </c>
      <c r="CM1013" s="1012">
        <f>G1013</f>
        <v>108.40899999999999</v>
      </c>
      <c r="CN1013" s="1012">
        <f>L1013</f>
        <v>131.72999999999999</v>
      </c>
      <c r="CO1013" s="1012">
        <f>Q1013</f>
        <v>144.001</v>
      </c>
      <c r="CP1013" s="1012">
        <f>V1013</f>
        <v>135.869</v>
      </c>
      <c r="CQ1013" s="1012">
        <f>AA1013</f>
        <v>131.01300000000001</v>
      </c>
      <c r="CR1013" s="1012">
        <f>AF1013</f>
        <v>122.994</v>
      </c>
      <c r="CS1013" s="1012">
        <f>AK1013</f>
        <v>114.08799999999999</v>
      </c>
      <c r="CT1013" s="1012">
        <f>AP1013</f>
        <v>116.23645872</v>
      </c>
      <c r="CU1013" s="1012">
        <f>AU1013</f>
        <v>107.51062807</v>
      </c>
      <c r="CV1013" s="1012">
        <f>AZ1013</f>
        <v>60.534137643333331</v>
      </c>
      <c r="CW1013" s="1012">
        <f>BE1013</f>
        <v>0</v>
      </c>
      <c r="CX1013" s="1012">
        <f>BJ1013</f>
        <v>0</v>
      </c>
      <c r="CY1013" s="1012">
        <f>BO1013</f>
        <v>0</v>
      </c>
      <c r="CZ1013" s="1012">
        <f>BT1013</f>
        <v>0</v>
      </c>
      <c r="DA1013" s="1012">
        <f t="shared" si="2488"/>
        <v>0</v>
      </c>
      <c r="DB1013" s="1012">
        <f t="shared" si="2488"/>
        <v>0</v>
      </c>
      <c r="DC1013" s="1877">
        <f t="shared" si="2488"/>
        <v>0</v>
      </c>
      <c r="DD1013" s="502"/>
      <c r="DE1013" s="502"/>
      <c r="DF1013" s="502"/>
      <c r="DG1013" s="503"/>
      <c r="DH1013" s="598"/>
      <c r="DI1013" s="3213"/>
      <c r="DJ1013" s="502"/>
      <c r="DK1013" s="503"/>
      <c r="DL1013" s="502"/>
      <c r="DM1013" s="502"/>
      <c r="DN1013" s="502"/>
      <c r="DO1013" s="502"/>
      <c r="DP1013" s="503"/>
      <c r="DQ1013" s="503"/>
      <c r="DR1013" s="719"/>
      <c r="DS1013" s="719"/>
      <c r="DT1013" s="719"/>
    </row>
    <row r="1014" spans="1:124" ht="12" customHeight="1" x14ac:dyDescent="0.25">
      <c r="A1014" s="465" t="s">
        <v>1491</v>
      </c>
      <c r="B1014" s="466"/>
      <c r="C1014" s="467" t="s">
        <v>553</v>
      </c>
      <c r="D1014" s="467" t="s">
        <v>553</v>
      </c>
      <c r="E1014" s="467" t="s">
        <v>553</v>
      </c>
      <c r="F1014" s="467" t="s">
        <v>553</v>
      </c>
      <c r="G1014" s="468" t="s">
        <v>553</v>
      </c>
      <c r="H1014" s="467">
        <f t="shared" ref="H1014:AF1014" si="2491">(H1013-C1013)/C1013</f>
        <v>2.340537691091198E-2</v>
      </c>
      <c r="I1014" s="467">
        <f t="shared" si="2491"/>
        <v>3.3705413954841272E-2</v>
      </c>
      <c r="J1014" s="467">
        <f t="shared" si="2491"/>
        <v>0.10971485665974946</v>
      </c>
      <c r="K1014" s="467">
        <f t="shared" si="2491"/>
        <v>0.71410193348215978</v>
      </c>
      <c r="L1014" s="468">
        <f t="shared" si="2491"/>
        <v>0.21512051582433192</v>
      </c>
      <c r="M1014" s="467">
        <f t="shared" si="2491"/>
        <v>0.48071838192369765</v>
      </c>
      <c r="N1014" s="467">
        <f t="shared" si="2491"/>
        <v>0.24681674287724245</v>
      </c>
      <c r="O1014" s="467">
        <f t="shared" si="2491"/>
        <v>0.15430965820549225</v>
      </c>
      <c r="P1014" s="467">
        <f t="shared" si="2491"/>
        <v>-0.29139993819257431</v>
      </c>
      <c r="Q1014" s="468">
        <f t="shared" si="2491"/>
        <v>9.3152660745464327E-2</v>
      </c>
      <c r="R1014" s="467">
        <f t="shared" si="2491"/>
        <v>-0.19107142857142853</v>
      </c>
      <c r="S1014" s="467">
        <f t="shared" si="2491"/>
        <v>-3.9664851750500912E-2</v>
      </c>
      <c r="T1014" s="467">
        <f t="shared" si="2491"/>
        <v>2.6040260402604092E-2</v>
      </c>
      <c r="U1014" s="467">
        <f t="shared" si="2491"/>
        <v>2.0092831999003243E-2</v>
      </c>
      <c r="V1014" s="468">
        <f t="shared" si="2491"/>
        <v>-5.6471830056735749E-2</v>
      </c>
      <c r="W1014" s="467">
        <f t="shared" si="2491"/>
        <v>-3.296923826725208E-3</v>
      </c>
      <c r="X1014" s="467">
        <f t="shared" si="2491"/>
        <v>-2.7349372815134616E-2</v>
      </c>
      <c r="Y1014" s="467">
        <f t="shared" si="2491"/>
        <v>-0.13479138036899505</v>
      </c>
      <c r="Z1014" s="467">
        <f t="shared" si="2491"/>
        <v>2.4430464789592533E-2</v>
      </c>
      <c r="AA1014" s="468">
        <f t="shared" si="2491"/>
        <v>-3.5740308679684064E-2</v>
      </c>
      <c r="AB1014" s="467">
        <f t="shared" si="2491"/>
        <v>9.2906863027095565E-3</v>
      </c>
      <c r="AC1014" s="467">
        <f t="shared" si="2491"/>
        <v>-5.3367562669888235E-2</v>
      </c>
      <c r="AD1014" s="467">
        <f t="shared" si="2491"/>
        <v>-4.6973742016153336E-3</v>
      </c>
      <c r="AE1014" s="469">
        <f t="shared" si="2491"/>
        <v>-0.19185595898169677</v>
      </c>
      <c r="AF1014" s="470">
        <f t="shared" si="2491"/>
        <v>-6.1207666414783306E-2</v>
      </c>
      <c r="AG1014" s="467">
        <f t="shared" ref="AG1014:AU1014" si="2492">(AG1013-AB1013)/AB1013</f>
        <v>-0.12938527743737352</v>
      </c>
      <c r="AH1014" s="467">
        <f t="shared" si="2492"/>
        <v>-7.4530198130363989E-2</v>
      </c>
      <c r="AI1014" s="467">
        <f t="shared" si="2492"/>
        <v>-7.5750373489067005E-2</v>
      </c>
      <c r="AJ1014" s="469">
        <f t="shared" si="2492"/>
        <v>7.4142382884544635E-3</v>
      </c>
      <c r="AK1014" s="470">
        <f t="shared" si="2492"/>
        <v>-7.2410036261931529E-2</v>
      </c>
      <c r="AL1014" s="467">
        <f t="shared" si="2492"/>
        <v>2.6842122491734831E-3</v>
      </c>
      <c r="AM1014" s="467">
        <f t="shared" si="2492"/>
        <v>1.4789533560864565E-2</v>
      </c>
      <c r="AN1014" s="467">
        <f t="shared" si="2492"/>
        <v>5.8933196061863972E-2</v>
      </c>
      <c r="AO1014" s="469">
        <f t="shared" si="2492"/>
        <v>1.2170257405440565E-3</v>
      </c>
      <c r="AP1014" s="471">
        <f t="shared" si="2492"/>
        <v>1.8831592454947126E-2</v>
      </c>
      <c r="AQ1014" s="471">
        <f t="shared" si="2492"/>
        <v>3.9870371192582535E-2</v>
      </c>
      <c r="AR1014" s="469">
        <f t="shared" si="2492"/>
        <v>1.4858199823345507E-2</v>
      </c>
      <c r="AS1014" s="469">
        <f t="shared" si="2492"/>
        <v>-0.11213101307017119</v>
      </c>
      <c r="AT1014" s="469">
        <f t="shared" si="2492"/>
        <v>-0.26156387061518643</v>
      </c>
      <c r="AU1014" s="1689">
        <f t="shared" si="2492"/>
        <v>-7.5069653240378814E-2</v>
      </c>
      <c r="AV1014" s="1730">
        <f>(AV1013-AQ1013)/AQ1013</f>
        <v>-0.37659355765073393</v>
      </c>
      <c r="AW1014" s="1465">
        <f>(AW1013-AR1013)/AR1013</f>
        <v>-0.34755198361063694</v>
      </c>
      <c r="AX1014" s="1465">
        <f>(AX1013-AS1013)/AS1013</f>
        <v>-0.39176826238753271</v>
      </c>
      <c r="AY1014" s="1868">
        <f>(AY1013-AT1013)/AT1013</f>
        <v>-0.72167540937083019</v>
      </c>
      <c r="AZ1014" s="1689">
        <f>(AZ1013-AU1013)/AU1013</f>
        <v>-0.43694740947918514</v>
      </c>
      <c r="BA1014" s="471"/>
      <c r="BB1014" s="469"/>
      <c r="BC1014" s="469"/>
      <c r="BD1014" s="1463"/>
      <c r="BE1014" s="1868"/>
      <c r="BF1014" s="469"/>
      <c r="BG1014" s="469"/>
      <c r="BH1014" s="469"/>
      <c r="BI1014" s="1463"/>
      <c r="BJ1014" s="1868"/>
      <c r="BK1014" s="469"/>
      <c r="BL1014" s="469"/>
      <c r="BM1014" s="469"/>
      <c r="BN1014" s="1463"/>
      <c r="BO1014" s="1868"/>
      <c r="BP1014" s="469"/>
      <c r="BQ1014" s="469"/>
      <c r="BR1014" s="469"/>
      <c r="BS1014" s="469"/>
      <c r="BT1014" s="470"/>
      <c r="BU1014" s="471"/>
      <c r="BV1014" s="469"/>
      <c r="BW1014" s="469"/>
      <c r="BX1014" s="469"/>
      <c r="BY1014" s="470"/>
      <c r="BZ1014" s="470"/>
      <c r="CA1014" s="470"/>
      <c r="CB1014" s="470"/>
      <c r="CC1014" s="470"/>
      <c r="CD1014" s="470"/>
      <c r="CE1014" s="470"/>
      <c r="CF1014" s="470"/>
      <c r="CG1014" s="492"/>
      <c r="CH1014" s="492"/>
      <c r="CI1014" s="492"/>
      <c r="CJ1014" s="492"/>
      <c r="CK1014" s="492"/>
      <c r="CL1014" s="1310" t="str">
        <f>A1014</f>
        <v>% growth (y-o-y)</v>
      </c>
      <c r="CM1014" s="469" t="str">
        <f>G1014</f>
        <v xml:space="preserve">n/a </v>
      </c>
      <c r="CN1014" s="469">
        <f>L1014</f>
        <v>0.21512051582433192</v>
      </c>
      <c r="CO1014" s="469">
        <f>Q1014</f>
        <v>9.3152660745464327E-2</v>
      </c>
      <c r="CP1014" s="469">
        <f>V1014</f>
        <v>-5.6471830056735749E-2</v>
      </c>
      <c r="CQ1014" s="469">
        <f>AA1014</f>
        <v>-3.5740308679684064E-2</v>
      </c>
      <c r="CR1014" s="469">
        <f>AF1014</f>
        <v>-6.1207666414783306E-2</v>
      </c>
      <c r="CS1014" s="469">
        <f>AK1014</f>
        <v>-7.2410036261931529E-2</v>
      </c>
      <c r="CT1014" s="469">
        <f>AP1014</f>
        <v>1.8831592454947126E-2</v>
      </c>
      <c r="CU1014" s="469">
        <f>AU1014</f>
        <v>-7.5069653240378814E-2</v>
      </c>
      <c r="CV1014" s="469">
        <f>AZ1014</f>
        <v>-0.43694740947918514</v>
      </c>
      <c r="CW1014" s="469">
        <f>BE1014</f>
        <v>0</v>
      </c>
      <c r="CX1014" s="469">
        <f>BJ1014</f>
        <v>0</v>
      </c>
      <c r="CY1014" s="469">
        <f>BO1014</f>
        <v>0</v>
      </c>
      <c r="CZ1014" s="469">
        <f>BT1014</f>
        <v>0</v>
      </c>
      <c r="DA1014" s="469">
        <f t="shared" si="2488"/>
        <v>0</v>
      </c>
      <c r="DB1014" s="469">
        <f t="shared" si="2488"/>
        <v>0</v>
      </c>
      <c r="DC1014" s="1463">
        <f t="shared" si="2488"/>
        <v>0</v>
      </c>
      <c r="DD1014" s="492"/>
      <c r="DE1014" s="492"/>
      <c r="DF1014" s="962"/>
      <c r="DG1014" s="962"/>
      <c r="DH1014" s="469"/>
      <c r="DI1014" s="3213"/>
      <c r="DJ1014" s="962"/>
      <c r="DK1014" s="962"/>
      <c r="DL1014" s="962"/>
      <c r="DM1014" s="962"/>
      <c r="DN1014" s="962"/>
      <c r="DO1014" s="962"/>
      <c r="DP1014" s="962"/>
      <c r="DQ1014" s="962"/>
      <c r="DR1014" s="963"/>
      <c r="DS1014" s="963"/>
      <c r="DT1014" s="963"/>
    </row>
    <row r="1015" spans="1:124" ht="5.0999999999999996" customHeight="1" x14ac:dyDescent="0.25">
      <c r="A1015" s="281"/>
      <c r="B1015" s="281"/>
      <c r="C1015" s="305"/>
      <c r="D1015" s="305"/>
      <c r="E1015" s="305"/>
      <c r="F1015" s="305"/>
      <c r="G1015" s="440"/>
      <c r="H1015" s="305"/>
      <c r="I1015" s="305"/>
      <c r="J1015" s="305"/>
      <c r="K1015" s="305"/>
      <c r="L1015" s="440"/>
      <c r="M1015" s="305"/>
      <c r="N1015" s="305"/>
      <c r="O1015" s="305"/>
      <c r="P1015" s="305"/>
      <c r="Q1015" s="440"/>
      <c r="R1015" s="305"/>
      <c r="S1015" s="305"/>
      <c r="T1015" s="305"/>
      <c r="U1015" s="305"/>
      <c r="V1015" s="440"/>
      <c r="W1015" s="305"/>
      <c r="X1015" s="305"/>
      <c r="Y1015" s="305"/>
      <c r="Z1015" s="305"/>
      <c r="AA1015" s="440"/>
      <c r="AB1015" s="305"/>
      <c r="AC1015" s="305"/>
      <c r="AD1015" s="305"/>
      <c r="AE1015" s="331"/>
      <c r="AF1015" s="441"/>
      <c r="AG1015" s="305"/>
      <c r="AH1015" s="305"/>
      <c r="AI1015" s="305"/>
      <c r="AJ1015" s="331"/>
      <c r="AK1015" s="441"/>
      <c r="AL1015" s="305"/>
      <c r="AM1015" s="305"/>
      <c r="AN1015" s="305"/>
      <c r="AO1015" s="331"/>
      <c r="AP1015" s="569"/>
      <c r="AQ1015" s="569"/>
      <c r="AR1015" s="442"/>
      <c r="AS1015" s="442"/>
      <c r="AT1015" s="442"/>
      <c r="AU1015" s="1690"/>
      <c r="AV1015" s="1902"/>
      <c r="AW1015" s="1837"/>
      <c r="AX1015" s="1837"/>
      <c r="AY1015" s="1903"/>
      <c r="AZ1015" s="1690"/>
      <c r="BA1015" s="569"/>
      <c r="BB1015" s="442"/>
      <c r="BC1015" s="442"/>
      <c r="BD1015" s="1312"/>
      <c r="BE1015" s="1903"/>
      <c r="BF1015" s="442"/>
      <c r="BG1015" s="442"/>
      <c r="BH1015" s="442"/>
      <c r="BI1015" s="1312"/>
      <c r="BJ1015" s="1903"/>
      <c r="BK1015" s="442"/>
      <c r="BL1015" s="442"/>
      <c r="BM1015" s="442"/>
      <c r="BN1015" s="1312"/>
      <c r="BO1015" s="1903"/>
      <c r="BP1015" s="442"/>
      <c r="BQ1015" s="442"/>
      <c r="BR1015" s="442"/>
      <c r="BS1015" s="442"/>
      <c r="BT1015" s="3236"/>
      <c r="BU1015" s="3409"/>
      <c r="BV1015" s="3298"/>
      <c r="BW1015" s="3298"/>
      <c r="BX1015" s="3298"/>
      <c r="BY1015" s="3236"/>
      <c r="BZ1015" s="441"/>
      <c r="CA1015" s="441"/>
      <c r="CB1015" s="441"/>
      <c r="CC1015" s="441"/>
      <c r="CD1015" s="441"/>
      <c r="CE1015" s="441"/>
      <c r="CF1015" s="441"/>
      <c r="CG1015" s="331"/>
      <c r="CH1015" s="331"/>
      <c r="CI1015" s="331"/>
      <c r="CJ1015" s="331"/>
      <c r="CK1015" s="331"/>
      <c r="CL1015" s="520"/>
      <c r="CM1015" s="442"/>
      <c r="CN1015" s="442"/>
      <c r="CO1015" s="442"/>
      <c r="CP1015" s="442"/>
      <c r="CQ1015" s="442"/>
      <c r="CR1015" s="442"/>
      <c r="CS1015" s="442"/>
      <c r="CT1015" s="442"/>
      <c r="CU1015" s="442"/>
      <c r="CV1015" s="442"/>
      <c r="CW1015" s="442"/>
      <c r="CX1015" s="442"/>
      <c r="CY1015" s="442"/>
      <c r="CZ1015" s="442"/>
      <c r="DA1015" s="442"/>
      <c r="DB1015" s="442"/>
      <c r="DC1015" s="1312"/>
      <c r="DD1015" s="331"/>
      <c r="DE1015" s="331"/>
      <c r="DF1015" s="502"/>
      <c r="DG1015" s="503"/>
      <c r="DH1015" s="3298"/>
      <c r="DI1015" s="3213"/>
      <c r="DJ1015" s="502"/>
      <c r="DK1015" s="503"/>
      <c r="DL1015" s="502"/>
      <c r="DM1015" s="502"/>
      <c r="DN1015" s="502"/>
      <c r="DO1015" s="502"/>
      <c r="DP1015" s="503"/>
      <c r="DQ1015" s="503"/>
      <c r="DR1015" s="296"/>
      <c r="DS1015" s="296"/>
      <c r="DT1015" s="296"/>
    </row>
    <row r="1016" spans="1:124" ht="12" customHeight="1" x14ac:dyDescent="0.25">
      <c r="A1016" s="311" t="s">
        <v>601</v>
      </c>
      <c r="B1016" s="281"/>
      <c r="C1016" s="452">
        <f>C1021-C1019</f>
        <v>12.268673270000001</v>
      </c>
      <c r="D1016" s="452">
        <f>D1021-D1019</f>
        <v>11.816872275000001</v>
      </c>
      <c r="E1016" s="452">
        <f>E1021-E1019</f>
        <v>11.995416021049998</v>
      </c>
      <c r="F1016" s="452">
        <f>F1021-F1019</f>
        <v>12.1227523586</v>
      </c>
      <c r="G1016" s="475">
        <f>SUM(C1016:F1016)</f>
        <v>48.203713924650003</v>
      </c>
      <c r="H1016" s="452">
        <f>H1021-H1019</f>
        <v>10.568764979800001</v>
      </c>
      <c r="I1016" s="452">
        <f>I1021-I1019</f>
        <v>11.047029620000002</v>
      </c>
      <c r="J1016" s="452">
        <f>J1021-J1019</f>
        <v>10.804360750000001</v>
      </c>
      <c r="K1016" s="452">
        <f>K1021-K1019</f>
        <v>14.044832940000001</v>
      </c>
      <c r="L1016" s="475">
        <f>SUM(H1016:K1016)</f>
        <v>46.464988289800004</v>
      </c>
      <c r="M1016" s="452">
        <f>M1021-M1019</f>
        <v>11.314063829999998</v>
      </c>
      <c r="N1016" s="452">
        <f>N1021-N1019</f>
        <v>11.070500000000001</v>
      </c>
      <c r="O1016" s="452">
        <f>O1021-O1019</f>
        <v>11.012111304999998</v>
      </c>
      <c r="P1016" s="452">
        <f>P1021-P1019</f>
        <v>12.682171651300001</v>
      </c>
      <c r="Q1016" s="475">
        <f>SUM(M1016:P1016)</f>
        <v>46.078846786299998</v>
      </c>
      <c r="R1016" s="452">
        <f>R1021-R1019</f>
        <v>11.537366075000001</v>
      </c>
      <c r="S1016" s="452">
        <f>S1021-S1019</f>
        <v>11.251590639999995</v>
      </c>
      <c r="T1016" s="452">
        <f>T1021-T1019</f>
        <v>11.797560109999999</v>
      </c>
      <c r="U1016" s="452">
        <f>U1021-U1019</f>
        <v>11.285580900000005</v>
      </c>
      <c r="V1016" s="475">
        <f>SUM(R1016:U1016)</f>
        <v>45.872097725000003</v>
      </c>
      <c r="W1016" s="452">
        <f>W1021-W1019</f>
        <v>11.877364319999996</v>
      </c>
      <c r="X1016" s="452">
        <f>X1021-X1019</f>
        <v>10.768505823249999</v>
      </c>
      <c r="Y1016" s="452">
        <f>Y1021-Y1019</f>
        <v>10.932719076200001</v>
      </c>
      <c r="Z1016" s="452">
        <f>Z1021-Z1019</f>
        <v>11.014465662849998</v>
      </c>
      <c r="AA1016" s="475">
        <f>SUM(W1016:Z1016)</f>
        <v>44.593054882299995</v>
      </c>
      <c r="AB1016" s="452">
        <f>AB1021-AB1019</f>
        <v>11.839</v>
      </c>
      <c r="AC1016" s="452">
        <f>AC1021-AC1019</f>
        <v>11.298999999999999</v>
      </c>
      <c r="AD1016" s="452">
        <f>AD1021-AD1019</f>
        <v>11.339000000000002</v>
      </c>
      <c r="AE1016" s="452">
        <f>AE1021-AE1019</f>
        <v>11.067</v>
      </c>
      <c r="AF1016" s="477">
        <f>SUM(AB1016:AE1016)</f>
        <v>45.544000000000004</v>
      </c>
      <c r="AG1016" s="452">
        <f>AG1021-AG1019</f>
        <v>11.564</v>
      </c>
      <c r="AH1016" s="452">
        <f>AH1021-AH1019</f>
        <v>11.532000000000002</v>
      </c>
      <c r="AI1016" s="452">
        <f>AI1021-AI1019</f>
        <v>11.2856026975</v>
      </c>
      <c r="AJ1016" s="452">
        <f>AJ1021-AJ1019</f>
        <v>10.958964901400002</v>
      </c>
      <c r="AK1016" s="477">
        <f>SUM(AG1016:AJ1016)</f>
        <v>45.340567598900002</v>
      </c>
      <c r="AL1016" s="452">
        <f>AL1021-AL1019</f>
        <v>10.255542953900001</v>
      </c>
      <c r="AM1016" s="452">
        <f>AM1021-AM1019</f>
        <v>11.020960686000002</v>
      </c>
      <c r="AN1016" s="452">
        <f>AI1016*(1+AN1018)</f>
        <v>10.834178589599999</v>
      </c>
      <c r="AO1016" s="452">
        <f>AJ1016*(1+AO1018)</f>
        <v>10.520606305344002</v>
      </c>
      <c r="AP1016" s="478">
        <f>SUM(AL1016:AO1016)</f>
        <v>42.631288534844003</v>
      </c>
      <c r="AQ1016" s="478">
        <f>AL1016*(1+AQ1018)</f>
        <v>10.255542953900001</v>
      </c>
      <c r="AR1016" s="476">
        <f>AM1016*(1+AR1018)</f>
        <v>10.580122258560001</v>
      </c>
      <c r="AS1016" s="476">
        <f>AN1016*(1+AS1018)</f>
        <v>10.184127874223998</v>
      </c>
      <c r="AT1016" s="476">
        <f>AO1016*(1+AT1018)</f>
        <v>9.4685456748096009</v>
      </c>
      <c r="AU1016" s="1464">
        <f>SUM(AQ1016:AT1016)</f>
        <v>40.488338761493594</v>
      </c>
      <c r="AV1016" s="1865">
        <f>AQ1016*(1+AV1018)</f>
        <v>8.7172115108149999</v>
      </c>
      <c r="AW1016" s="1771">
        <f>AR1016*(1+AW1018)</f>
        <v>7.4060855809920003</v>
      </c>
      <c r="AX1016" s="1771">
        <f>AS1016*(1+AX1018)</f>
        <v>7.1288895119567979</v>
      </c>
      <c r="AY1016" s="1313">
        <f>AT1016*(1+AY1018)*(1/3)</f>
        <v>2.3671364187024002</v>
      </c>
      <c r="AZ1016" s="1464">
        <f>SUM(AV1016:AY1016)</f>
        <v>25.619323022466197</v>
      </c>
      <c r="BA1016" s="478"/>
      <c r="BB1016" s="476"/>
      <c r="BC1016" s="476"/>
      <c r="BD1016" s="682"/>
      <c r="BE1016" s="1866"/>
      <c r="BF1016" s="476"/>
      <c r="BG1016" s="476"/>
      <c r="BH1016" s="476"/>
      <c r="BI1016" s="682"/>
      <c r="BJ1016" s="1866"/>
      <c r="BK1016" s="476"/>
      <c r="BL1016" s="476"/>
      <c r="BM1016" s="476"/>
      <c r="BN1016" s="682"/>
      <c r="BO1016" s="1866"/>
      <c r="BP1016" s="476"/>
      <c r="BQ1016" s="476"/>
      <c r="BR1016" s="476"/>
      <c r="BS1016" s="476"/>
      <c r="BT1016" s="2604"/>
      <c r="BU1016" s="2673"/>
      <c r="BV1016" s="2577"/>
      <c r="BW1016" s="2577"/>
      <c r="BX1016" s="2577"/>
      <c r="BY1016" s="2604"/>
      <c r="BZ1016" s="477"/>
      <c r="CA1016" s="477"/>
      <c r="CB1016" s="477"/>
      <c r="CC1016" s="477"/>
      <c r="CD1016" s="477"/>
      <c r="CE1016" s="477"/>
      <c r="CF1016" s="477"/>
      <c r="CG1016" s="331"/>
      <c r="CH1016" s="331"/>
      <c r="CI1016" s="331"/>
      <c r="CJ1016" s="331"/>
      <c r="CK1016" s="331"/>
      <c r="CL1016" s="528" t="str">
        <f t="shared" ref="CL1016:CL1021" si="2493">A1016</f>
        <v>Operating expenses</v>
      </c>
      <c r="CM1016" s="476">
        <f t="shared" ref="CM1016:CM1021" si="2494">G1016</f>
        <v>48.203713924650003</v>
      </c>
      <c r="CN1016" s="476">
        <f t="shared" ref="CN1016:CN1021" si="2495">L1016</f>
        <v>46.464988289800004</v>
      </c>
      <c r="CO1016" s="476">
        <f t="shared" ref="CO1016:CO1021" si="2496">Q1016</f>
        <v>46.078846786299998</v>
      </c>
      <c r="CP1016" s="476">
        <f t="shared" ref="CP1016:CP1021" si="2497">V1016</f>
        <v>45.872097725000003</v>
      </c>
      <c r="CQ1016" s="476">
        <f t="shared" ref="CQ1016:CQ1021" si="2498">AA1016</f>
        <v>44.593054882299995</v>
      </c>
      <c r="CR1016" s="476">
        <f t="shared" ref="CR1016:CR1021" si="2499">AF1016</f>
        <v>45.544000000000004</v>
      </c>
      <c r="CS1016" s="476">
        <f t="shared" ref="CS1016:CS1021" si="2500">AK1016</f>
        <v>45.340567598900002</v>
      </c>
      <c r="CT1016" s="476">
        <f t="shared" ref="CT1016:CT1021" si="2501">AP1016</f>
        <v>42.631288534844003</v>
      </c>
      <c r="CU1016" s="476">
        <f t="shared" ref="CU1016:CU1021" si="2502">AU1016</f>
        <v>40.488338761493594</v>
      </c>
      <c r="CV1016" s="476">
        <f t="shared" ref="CV1016:CV1021" si="2503">AZ1016</f>
        <v>25.619323022466197</v>
      </c>
      <c r="CW1016" s="476">
        <f t="shared" ref="CW1016:CW1021" si="2504">BE1016</f>
        <v>0</v>
      </c>
      <c r="CX1016" s="476">
        <f t="shared" ref="CX1016:CX1021" si="2505">BJ1016</f>
        <v>0</v>
      </c>
      <c r="CY1016" s="476">
        <f t="shared" ref="CY1016:CY1021" si="2506">BO1016</f>
        <v>0</v>
      </c>
      <c r="CZ1016" s="476">
        <f t="shared" ref="CZ1016:CZ1021" si="2507">BT1016</f>
        <v>0</v>
      </c>
      <c r="DA1016" s="476">
        <f t="shared" ref="DA1016:DC1021" si="2508">BY1016</f>
        <v>0</v>
      </c>
      <c r="DB1016" s="476">
        <f t="shared" si="2508"/>
        <v>0</v>
      </c>
      <c r="DC1016" s="682">
        <f t="shared" si="2508"/>
        <v>0</v>
      </c>
      <c r="DD1016" s="331"/>
      <c r="DE1016" s="331"/>
      <c r="DF1016" s="502"/>
      <c r="DG1016" s="503"/>
      <c r="DH1016" s="2577"/>
      <c r="DI1016" s="3213"/>
      <c r="DJ1016" s="502"/>
      <c r="DK1016" s="503"/>
      <c r="DL1016" s="502"/>
      <c r="DM1016" s="502"/>
      <c r="DN1016" s="502"/>
      <c r="DO1016" s="502"/>
      <c r="DP1016" s="503"/>
      <c r="DQ1016" s="503"/>
      <c r="DR1016" s="296"/>
      <c r="DS1016" s="296"/>
      <c r="DT1016" s="296"/>
    </row>
    <row r="1017" spans="1:124" ht="12" customHeight="1" x14ac:dyDescent="0.25">
      <c r="A1017" s="465" t="s">
        <v>646</v>
      </c>
      <c r="B1017" s="466"/>
      <c r="C1017" s="467">
        <f t="shared" ref="C1017:AF1017" si="2509">C1016/C1013</f>
        <v>0.43116054366543671</v>
      </c>
      <c r="D1017" s="467">
        <f t="shared" si="2509"/>
        <v>0.42965757462822241</v>
      </c>
      <c r="E1017" s="467">
        <f t="shared" si="2509"/>
        <v>0.46097210133925137</v>
      </c>
      <c r="F1017" s="467">
        <f t="shared" si="2509"/>
        <v>0.45869129965568128</v>
      </c>
      <c r="G1017" s="468">
        <f t="shared" si="2509"/>
        <v>0.44464679062301105</v>
      </c>
      <c r="H1017" s="467">
        <f t="shared" si="2509"/>
        <v>0.36292589470828618</v>
      </c>
      <c r="I1017" s="467">
        <f t="shared" si="2509"/>
        <v>0.38856945550474858</v>
      </c>
      <c r="J1017" s="467">
        <f t="shared" si="2509"/>
        <v>0.37415108044464457</v>
      </c>
      <c r="K1017" s="467">
        <f t="shared" si="2509"/>
        <v>0.31002677453534061</v>
      </c>
      <c r="L1017" s="468">
        <f t="shared" si="2509"/>
        <v>0.35272897813558041</v>
      </c>
      <c r="M1017" s="467">
        <f t="shared" si="2509"/>
        <v>0.26238552481447125</v>
      </c>
      <c r="N1017" s="467">
        <f t="shared" si="2509"/>
        <v>0.31231133805399613</v>
      </c>
      <c r="O1017" s="467">
        <f t="shared" si="2509"/>
        <v>0.33036664281642814</v>
      </c>
      <c r="P1017" s="467">
        <f t="shared" si="2509"/>
        <v>0.3950709215071182</v>
      </c>
      <c r="Q1017" s="468">
        <f t="shared" si="2509"/>
        <v>0.31998976942035123</v>
      </c>
      <c r="R1017" s="467">
        <f t="shared" si="2509"/>
        <v>0.33076362704624296</v>
      </c>
      <c r="S1017" s="467">
        <f t="shared" si="2509"/>
        <v>0.33053055550659488</v>
      </c>
      <c r="T1017" s="467">
        <f t="shared" si="2509"/>
        <v>0.34494781175989003</v>
      </c>
      <c r="U1017" s="467">
        <f t="shared" si="2509"/>
        <v>0.34463998350943637</v>
      </c>
      <c r="V1017" s="468">
        <f t="shared" si="2509"/>
        <v>0.33762004375538207</v>
      </c>
      <c r="W1017" s="467">
        <f t="shared" si="2509"/>
        <v>0.34163735603750783</v>
      </c>
      <c r="X1017" s="467">
        <f t="shared" si="2509"/>
        <v>0.32523424413319235</v>
      </c>
      <c r="Y1017" s="467">
        <f t="shared" si="2509"/>
        <v>0.36946095353992769</v>
      </c>
      <c r="Z1017" s="467">
        <f t="shared" si="2509"/>
        <v>0.32833916600637925</v>
      </c>
      <c r="AA1017" s="468">
        <f t="shared" si="2509"/>
        <v>0.34037122180470636</v>
      </c>
      <c r="AB1017" s="467">
        <f t="shared" si="2509"/>
        <v>0.33739918492975007</v>
      </c>
      <c r="AC1017" s="467">
        <f t="shared" si="2509"/>
        <v>0.36049516638483869</v>
      </c>
      <c r="AD1017" s="467">
        <f t="shared" si="2509"/>
        <v>0.38499932092896921</v>
      </c>
      <c r="AE1017" s="469">
        <f t="shared" si="2509"/>
        <v>0.40822574695684249</v>
      </c>
      <c r="AF1017" s="470">
        <f t="shared" si="2509"/>
        <v>0.37029448590988184</v>
      </c>
      <c r="AG1017" s="467">
        <f t="shared" ref="AG1017:AU1017" si="2510">AG1016/AG1013</f>
        <v>0.37853939572490097</v>
      </c>
      <c r="AH1017" s="467">
        <f t="shared" si="2510"/>
        <v>0.39755920984589932</v>
      </c>
      <c r="AI1017" s="467">
        <f t="shared" si="2510"/>
        <v>0.41459177464090224</v>
      </c>
      <c r="AJ1017" s="469">
        <f t="shared" si="2510"/>
        <v>0.40126560365420533</v>
      </c>
      <c r="AK1017" s="470">
        <f t="shared" si="2510"/>
        <v>0.39741749876323545</v>
      </c>
      <c r="AL1017" s="467">
        <f t="shared" si="2510"/>
        <v>0.33480927667722243</v>
      </c>
      <c r="AM1017" s="467">
        <f t="shared" si="2510"/>
        <v>0.37440415430085616</v>
      </c>
      <c r="AN1017" s="467">
        <f t="shared" si="2510"/>
        <v>0.3758576132426904</v>
      </c>
      <c r="AO1017" s="469">
        <f t="shared" si="2510"/>
        <v>0.38474673283059208</v>
      </c>
      <c r="AP1017" s="471">
        <f t="shared" si="2510"/>
        <v>0.36676348371501732</v>
      </c>
      <c r="AQ1017" s="471">
        <f t="shared" si="2510"/>
        <v>0.32197212840408568</v>
      </c>
      <c r="AR1017" s="469">
        <f t="shared" si="2510"/>
        <v>0.35416572304523614</v>
      </c>
      <c r="AS1017" s="469">
        <f t="shared" si="2510"/>
        <v>0.39792600220200269</v>
      </c>
      <c r="AT1017" s="469">
        <f t="shared" si="2510"/>
        <v>0.46892621550899721</v>
      </c>
      <c r="AU1017" s="1689">
        <f t="shared" si="2510"/>
        <v>0.37659847671182523</v>
      </c>
      <c r="AV1017" s="1730">
        <f>AV1016/AV1013</f>
        <v>0.43900141312646962</v>
      </c>
      <c r="AW1017" s="1465">
        <f>AW1016/AW1013</f>
        <v>0.37997817435882247</v>
      </c>
      <c r="AX1017" s="1465">
        <f>AX1016/AX1013</f>
        <v>0.45796393761825999</v>
      </c>
      <c r="AY1017" s="1868">
        <f>AY1016/AY1013</f>
        <v>0.42120444195117701</v>
      </c>
      <c r="AZ1017" s="1689">
        <f>AZ1016/AZ1013</f>
        <v>0.42322107854934765</v>
      </c>
      <c r="BA1017" s="471"/>
      <c r="BB1017" s="469"/>
      <c r="BC1017" s="469"/>
      <c r="BD1017" s="1463"/>
      <c r="BE1017" s="1868"/>
      <c r="BF1017" s="469"/>
      <c r="BG1017" s="469"/>
      <c r="BH1017" s="469"/>
      <c r="BI1017" s="1463"/>
      <c r="BJ1017" s="1868"/>
      <c r="BK1017" s="469"/>
      <c r="BL1017" s="469"/>
      <c r="BM1017" s="469"/>
      <c r="BN1017" s="1463"/>
      <c r="BO1017" s="1868"/>
      <c r="BP1017" s="469"/>
      <c r="BQ1017" s="469"/>
      <c r="BR1017" s="469"/>
      <c r="BS1017" s="469"/>
      <c r="BT1017" s="470"/>
      <c r="BU1017" s="471"/>
      <c r="BV1017" s="469"/>
      <c r="BW1017" s="469"/>
      <c r="BX1017" s="469"/>
      <c r="BY1017" s="470"/>
      <c r="BZ1017" s="470"/>
      <c r="CA1017" s="470"/>
      <c r="CB1017" s="470"/>
      <c r="CC1017" s="470"/>
      <c r="CD1017" s="470"/>
      <c r="CE1017" s="470"/>
      <c r="CF1017" s="470"/>
      <c r="CG1017" s="492"/>
      <c r="CH1017" s="492"/>
      <c r="CI1017" s="492"/>
      <c r="CJ1017" s="492"/>
      <c r="CK1017" s="492"/>
      <c r="CL1017" s="1310" t="str">
        <f t="shared" si="2493"/>
        <v>% of Net revenue</v>
      </c>
      <c r="CM1017" s="469">
        <f t="shared" si="2494"/>
        <v>0.44464679062301105</v>
      </c>
      <c r="CN1017" s="469">
        <f t="shared" si="2495"/>
        <v>0.35272897813558041</v>
      </c>
      <c r="CO1017" s="469">
        <f t="shared" si="2496"/>
        <v>0.31998976942035123</v>
      </c>
      <c r="CP1017" s="469">
        <f t="shared" si="2497"/>
        <v>0.33762004375538207</v>
      </c>
      <c r="CQ1017" s="469">
        <f t="shared" si="2498"/>
        <v>0.34037122180470636</v>
      </c>
      <c r="CR1017" s="469">
        <f t="shared" si="2499"/>
        <v>0.37029448590988184</v>
      </c>
      <c r="CS1017" s="469">
        <f t="shared" si="2500"/>
        <v>0.39741749876323545</v>
      </c>
      <c r="CT1017" s="469">
        <f t="shared" si="2501"/>
        <v>0.36676348371501732</v>
      </c>
      <c r="CU1017" s="469">
        <f t="shared" si="2502"/>
        <v>0.37659847671182523</v>
      </c>
      <c r="CV1017" s="469">
        <f t="shared" si="2503"/>
        <v>0.42322107854934765</v>
      </c>
      <c r="CW1017" s="469">
        <f t="shared" si="2504"/>
        <v>0</v>
      </c>
      <c r="CX1017" s="469">
        <f t="shared" si="2505"/>
        <v>0</v>
      </c>
      <c r="CY1017" s="469">
        <f t="shared" si="2506"/>
        <v>0</v>
      </c>
      <c r="CZ1017" s="469">
        <f t="shared" si="2507"/>
        <v>0</v>
      </c>
      <c r="DA1017" s="469">
        <f t="shared" si="2508"/>
        <v>0</v>
      </c>
      <c r="DB1017" s="469">
        <f t="shared" si="2508"/>
        <v>0</v>
      </c>
      <c r="DC1017" s="1463">
        <f t="shared" si="2508"/>
        <v>0</v>
      </c>
      <c r="DD1017" s="492"/>
      <c r="DE1017" s="492"/>
      <c r="DF1017" s="962"/>
      <c r="DG1017" s="962"/>
      <c r="DH1017" s="469"/>
      <c r="DI1017" s="3213"/>
      <c r="DJ1017" s="962"/>
      <c r="DK1017" s="962"/>
      <c r="DL1017" s="962"/>
      <c r="DM1017" s="962"/>
      <c r="DN1017" s="962"/>
      <c r="DO1017" s="962"/>
      <c r="DP1017" s="962"/>
      <c r="DQ1017" s="962"/>
      <c r="DR1017" s="963"/>
      <c r="DS1017" s="963"/>
      <c r="DT1017" s="963"/>
    </row>
    <row r="1018" spans="1:124" ht="12" customHeight="1" x14ac:dyDescent="0.25">
      <c r="A1018" s="465" t="s">
        <v>1491</v>
      </c>
      <c r="B1018" s="466"/>
      <c r="C1018" s="467" t="s">
        <v>553</v>
      </c>
      <c r="D1018" s="467" t="s">
        <v>553</v>
      </c>
      <c r="E1018" s="467" t="s">
        <v>553</v>
      </c>
      <c r="F1018" s="467" t="s">
        <v>553</v>
      </c>
      <c r="G1018" s="468" t="s">
        <v>553</v>
      </c>
      <c r="H1018" s="467">
        <f t="shared" ref="H1018:AF1018" si="2511">(H1016-C1016)/C1016</f>
        <v>-0.13855681480708301</v>
      </c>
      <c r="I1018" s="467">
        <f t="shared" si="2511"/>
        <v>-6.514775120559553E-2</v>
      </c>
      <c r="J1018" s="467">
        <f t="shared" si="2511"/>
        <v>-9.9292535495216619E-2</v>
      </c>
      <c r="K1018" s="467">
        <f t="shared" si="2511"/>
        <v>0.15855150089215989</v>
      </c>
      <c r="L1018" s="468">
        <f t="shared" si="2511"/>
        <v>-3.6070366643696811E-2</v>
      </c>
      <c r="M1018" s="467">
        <f t="shared" si="2511"/>
        <v>7.051901065304049E-2</v>
      </c>
      <c r="N1018" s="467">
        <f t="shared" si="2511"/>
        <v>2.1245874056051569E-3</v>
      </c>
      <c r="O1018" s="467">
        <f t="shared" si="2511"/>
        <v>1.9228398588967601E-2</v>
      </c>
      <c r="P1018" s="467">
        <f t="shared" si="2511"/>
        <v>-9.7022249714278197E-2</v>
      </c>
      <c r="Q1018" s="468">
        <f t="shared" si="2511"/>
        <v>-8.3103755690555545E-3</v>
      </c>
      <c r="R1018" s="467">
        <f t="shared" si="2511"/>
        <v>1.9736696588886299E-2</v>
      </c>
      <c r="S1018" s="467">
        <f t="shared" si="2511"/>
        <v>1.6357945892235548E-2</v>
      </c>
      <c r="T1018" s="467">
        <f t="shared" si="2511"/>
        <v>7.1325905019083133E-2</v>
      </c>
      <c r="U1018" s="467">
        <f t="shared" si="2511"/>
        <v>-0.11012236623976281</v>
      </c>
      <c r="V1018" s="468">
        <f t="shared" si="2511"/>
        <v>-4.4868540712148337E-3</v>
      </c>
      <c r="W1018" s="467">
        <f t="shared" si="2511"/>
        <v>2.9469312388095907E-2</v>
      </c>
      <c r="X1018" s="467">
        <f t="shared" si="2511"/>
        <v>-4.2934802038798285E-2</v>
      </c>
      <c r="Y1018" s="467">
        <f t="shared" si="2511"/>
        <v>-7.3306770699725451E-2</v>
      </c>
      <c r="Z1018" s="467">
        <f t="shared" si="2511"/>
        <v>-2.4023153043899244E-2</v>
      </c>
      <c r="AA1018" s="468">
        <f t="shared" si="2511"/>
        <v>-2.7882806894242766E-2</v>
      </c>
      <c r="AB1018" s="467">
        <f t="shared" si="2511"/>
        <v>-3.2300364766445011E-3</v>
      </c>
      <c r="AC1018" s="467">
        <f t="shared" si="2511"/>
        <v>4.9263489796757536E-2</v>
      </c>
      <c r="AD1018" s="467">
        <f t="shared" si="2511"/>
        <v>3.7161928424965615E-2</v>
      </c>
      <c r="AE1018" s="469">
        <f t="shared" si="2511"/>
        <v>4.7695765512431121E-3</v>
      </c>
      <c r="AF1018" s="470">
        <f t="shared" si="2511"/>
        <v>2.1324960135831839E-2</v>
      </c>
      <c r="AG1018" s="467">
        <f t="shared" ref="AG1018:AM1018" si="2512">(AG1016-AB1016)/AB1016</f>
        <v>-2.3228313202128589E-2</v>
      </c>
      <c r="AH1018" s="467">
        <f t="shared" si="2512"/>
        <v>2.0621293919816118E-2</v>
      </c>
      <c r="AI1018" s="467">
        <f t="shared" si="2512"/>
        <v>-4.7091721051241101E-3</v>
      </c>
      <c r="AJ1018" s="467">
        <f t="shared" si="2512"/>
        <v>-9.7619136712748245E-3</v>
      </c>
      <c r="AK1018" s="470">
        <f t="shared" si="2512"/>
        <v>-4.4667223146847524E-3</v>
      </c>
      <c r="AL1018" s="467">
        <f t="shared" si="2512"/>
        <v>-0.11314917382393627</v>
      </c>
      <c r="AM1018" s="467">
        <f t="shared" si="2512"/>
        <v>-4.4314890218522328E-2</v>
      </c>
      <c r="AN1018" s="538">
        <v>-0.04</v>
      </c>
      <c r="AO1018" s="469">
        <f>AN1018</f>
        <v>-0.04</v>
      </c>
      <c r="AP1018" s="471">
        <f>(AP1016-AK1016)/AK1016</f>
        <v>-5.975397326348706E-2</v>
      </c>
      <c r="AQ1018" s="1667">
        <v>0</v>
      </c>
      <c r="AR1018" s="540">
        <v>-0.04</v>
      </c>
      <c r="AS1018" s="540">
        <v>-0.06</v>
      </c>
      <c r="AT1018" s="540">
        <v>-0.1</v>
      </c>
      <c r="AU1018" s="1689">
        <f>(AU1016-AP1016)/AP1016</f>
        <v>-5.0267065505160684E-2</v>
      </c>
      <c r="AV1018" s="1667">
        <v>-0.15</v>
      </c>
      <c r="AW1018" s="540">
        <v>-0.3</v>
      </c>
      <c r="AX1018" s="540">
        <v>-0.3</v>
      </c>
      <c r="AY1018" s="1668">
        <v>-0.25</v>
      </c>
      <c r="AZ1018" s="1689">
        <f>(AZ1016-AU1016)/AU1016</f>
        <v>-0.36724193172303143</v>
      </c>
      <c r="BA1018" s="1667"/>
      <c r="BB1018" s="540"/>
      <c r="BC1018" s="540"/>
      <c r="BD1018" s="1668"/>
      <c r="BE1018" s="1868"/>
      <c r="BF1018" s="540"/>
      <c r="BG1018" s="540"/>
      <c r="BH1018" s="540"/>
      <c r="BI1018" s="1668"/>
      <c r="BJ1018" s="1868"/>
      <c r="BK1018" s="540"/>
      <c r="BL1018" s="540"/>
      <c r="BM1018" s="540"/>
      <c r="BN1018" s="1668"/>
      <c r="BO1018" s="1868"/>
      <c r="BP1018" s="540"/>
      <c r="BQ1018" s="540"/>
      <c r="BR1018" s="540"/>
      <c r="BS1018" s="540"/>
      <c r="BT1018" s="470"/>
      <c r="BU1018" s="471"/>
      <c r="BV1018" s="469"/>
      <c r="BW1018" s="469"/>
      <c r="BX1018" s="469"/>
      <c r="BY1018" s="539"/>
      <c r="BZ1018" s="539"/>
      <c r="CA1018" s="539"/>
      <c r="CB1018" s="539"/>
      <c r="CC1018" s="539"/>
      <c r="CD1018" s="539"/>
      <c r="CE1018" s="539"/>
      <c r="CF1018" s="539"/>
      <c r="CG1018" s="492"/>
      <c r="CH1018" s="492"/>
      <c r="CI1018" s="492"/>
      <c r="CJ1018" s="492"/>
      <c r="CK1018" s="492"/>
      <c r="CL1018" s="1310" t="str">
        <f t="shared" si="2493"/>
        <v>% growth (y-o-y)</v>
      </c>
      <c r="CM1018" s="469" t="str">
        <f t="shared" si="2494"/>
        <v xml:space="preserve">n/a </v>
      </c>
      <c r="CN1018" s="469">
        <f t="shared" si="2495"/>
        <v>-3.6070366643696811E-2</v>
      </c>
      <c r="CO1018" s="469">
        <f t="shared" si="2496"/>
        <v>-8.3103755690555545E-3</v>
      </c>
      <c r="CP1018" s="469">
        <f t="shared" si="2497"/>
        <v>-4.4868540712148337E-3</v>
      </c>
      <c r="CQ1018" s="469">
        <f t="shared" si="2498"/>
        <v>-2.7882806894242766E-2</v>
      </c>
      <c r="CR1018" s="469">
        <f t="shared" si="2499"/>
        <v>2.1324960135831839E-2</v>
      </c>
      <c r="CS1018" s="469">
        <f t="shared" si="2500"/>
        <v>-4.4667223146847524E-3</v>
      </c>
      <c r="CT1018" s="469">
        <f t="shared" si="2501"/>
        <v>-5.975397326348706E-2</v>
      </c>
      <c r="CU1018" s="469">
        <f t="shared" si="2502"/>
        <v>-5.0267065505160684E-2</v>
      </c>
      <c r="CV1018" s="469">
        <f t="shared" si="2503"/>
        <v>-0.36724193172303143</v>
      </c>
      <c r="CW1018" s="469">
        <f t="shared" si="2504"/>
        <v>0</v>
      </c>
      <c r="CX1018" s="469">
        <f t="shared" si="2505"/>
        <v>0</v>
      </c>
      <c r="CY1018" s="469">
        <f t="shared" si="2506"/>
        <v>0</v>
      </c>
      <c r="CZ1018" s="469">
        <f t="shared" si="2507"/>
        <v>0</v>
      </c>
      <c r="DA1018" s="469">
        <f t="shared" si="2508"/>
        <v>0</v>
      </c>
      <c r="DB1018" s="469">
        <f t="shared" si="2508"/>
        <v>0</v>
      </c>
      <c r="DC1018" s="1463">
        <f t="shared" si="2508"/>
        <v>0</v>
      </c>
      <c r="DD1018" s="492"/>
      <c r="DE1018" s="492"/>
      <c r="DF1018" s="962"/>
      <c r="DG1018" s="962"/>
      <c r="DH1018" s="469"/>
      <c r="DI1018" s="3213"/>
      <c r="DJ1018" s="962"/>
      <c r="DK1018" s="962"/>
      <c r="DL1018" s="962"/>
      <c r="DM1018" s="962"/>
      <c r="DN1018" s="962"/>
      <c r="DO1018" s="962"/>
      <c r="DP1018" s="962"/>
      <c r="DQ1018" s="962"/>
      <c r="DR1018" s="963"/>
      <c r="DS1018" s="963"/>
      <c r="DT1018" s="963"/>
    </row>
    <row r="1019" spans="1:124" ht="12" customHeight="1" x14ac:dyDescent="0.25">
      <c r="A1019" s="311" t="s">
        <v>2161</v>
      </c>
      <c r="B1019" s="281"/>
      <c r="C1019" s="476">
        <f>Taxes!C194</f>
        <v>6.941326730000001</v>
      </c>
      <c r="D1019" s="476">
        <f>Taxes!D194</f>
        <v>6.6751277249999994</v>
      </c>
      <c r="E1019" s="476">
        <f>Taxes!E194</f>
        <v>6.3255839789500001</v>
      </c>
      <c r="F1019" s="476">
        <f>Taxes!F194</f>
        <v>6.4982476413999999</v>
      </c>
      <c r="G1019" s="477">
        <f>Taxes!G194</f>
        <v>26.440286075349999</v>
      </c>
      <c r="H1019" s="476">
        <f>Taxes!H194</f>
        <v>7.407235020199999</v>
      </c>
      <c r="I1019" s="476">
        <f>Taxes!I194</f>
        <v>7.3089703799999999</v>
      </c>
      <c r="J1019" s="476">
        <f>Taxes!J194</f>
        <v>7.2136392499999999</v>
      </c>
      <c r="K1019" s="476">
        <f>Taxes!K194</f>
        <v>10.63616706</v>
      </c>
      <c r="L1019" s="477">
        <f>Taxes!L194</f>
        <v>32.566011710200002</v>
      </c>
      <c r="M1019" s="476">
        <f>Taxes!M194</f>
        <v>10.73693617</v>
      </c>
      <c r="N1019" s="476">
        <f>Taxes!N194</f>
        <v>8.8435000000000006</v>
      </c>
      <c r="O1019" s="476">
        <f>Taxes!O194</f>
        <v>8.4308886950000002</v>
      </c>
      <c r="P1019" s="476">
        <f>Taxes!P194</f>
        <v>8.0678283486999991</v>
      </c>
      <c r="Q1019" s="477">
        <f>Taxes!Q194</f>
        <v>36.079153213700003</v>
      </c>
      <c r="R1019" s="476">
        <f>Taxes!R194</f>
        <v>8.7126339249999987</v>
      </c>
      <c r="S1019" s="476">
        <f>Taxes!S194</f>
        <v>8.442409360000001</v>
      </c>
      <c r="T1019" s="476">
        <f>Taxes!T194</f>
        <v>8.5414398899999995</v>
      </c>
      <c r="U1019" s="476">
        <f>Taxes!U194</f>
        <v>8.2004190999999995</v>
      </c>
      <c r="V1019" s="477">
        <f>Taxes!V194</f>
        <v>33.896902274999995</v>
      </c>
      <c r="W1019" s="476">
        <f>Taxes!W194</f>
        <v>8.6456356799999998</v>
      </c>
      <c r="X1019" s="476">
        <f>Taxes!X194</f>
        <v>8.33249417675</v>
      </c>
      <c r="Y1019" s="476">
        <f>Taxes!Y194</f>
        <v>7.4352809238000006</v>
      </c>
      <c r="Z1019" s="476">
        <f>Taxes!Z194</f>
        <v>8.3165343371500011</v>
      </c>
      <c r="AA1019" s="477">
        <f>Taxes!AA194</f>
        <v>32.729945117699998</v>
      </c>
      <c r="AB1019" s="476">
        <f>Taxes!AB194</f>
        <v>8.4410000000000007</v>
      </c>
      <c r="AC1019" s="476">
        <f>Taxes!AC194</f>
        <v>7.5439999999999996</v>
      </c>
      <c r="AD1019" s="476">
        <f>Taxes!AD194</f>
        <v>7.0380000000000003</v>
      </c>
      <c r="AE1019" s="476">
        <f>Taxes!AE194</f>
        <v>6.463000000000001</v>
      </c>
      <c r="AF1019" s="477">
        <f>Taxes!AF194</f>
        <v>29.485999999999997</v>
      </c>
      <c r="AG1019" s="476">
        <f>Taxes!AG194</f>
        <v>7.2220000000000004</v>
      </c>
      <c r="AH1019" s="476">
        <f>Taxes!AH194</f>
        <v>6.9</v>
      </c>
      <c r="AI1019" s="476">
        <f>Taxes!AI194</f>
        <v>6.4843973025000006</v>
      </c>
      <c r="AJ1019" s="476">
        <f>Taxes!AJ194</f>
        <v>6.5710350986000003</v>
      </c>
      <c r="AK1019" s="477">
        <f>Taxes!AK194</f>
        <v>27.177432401099999</v>
      </c>
      <c r="AL1019" s="476">
        <f>Taxes!AL194</f>
        <v>7.3264570461000007</v>
      </c>
      <c r="AM1019" s="476">
        <f>Taxes!AM194</f>
        <v>7.0330393140000007</v>
      </c>
      <c r="AN1019" s="476">
        <f>Taxes!AN194</f>
        <v>6.8925600358999999</v>
      </c>
      <c r="AO1019" s="476">
        <f>Taxes!AO194</f>
        <v>6.5519340977000002</v>
      </c>
      <c r="AP1019" s="478">
        <f>Taxes!AP194</f>
        <v>27.803990493699999</v>
      </c>
      <c r="AQ1019" s="478">
        <f>Taxes!AQ194</f>
        <v>7.6073489942999997</v>
      </c>
      <c r="AR1019" s="476">
        <f>Taxes!AR194</f>
        <v>7.1336334871</v>
      </c>
      <c r="AS1019" s="476">
        <f>Taxes!AS194</f>
        <v>6.1491537645000012</v>
      </c>
      <c r="AT1019" s="476">
        <f>Taxes!AT194</f>
        <v>4.9069131982999998</v>
      </c>
      <c r="AU1019" s="1464">
        <f>Taxes!AU194</f>
        <v>25.797049444200002</v>
      </c>
      <c r="AV1019" s="1865">
        <f>Taxes!AV194</f>
        <v>5.078416325400001</v>
      </c>
      <c r="AW1019" s="1771">
        <f>Taxes!AW194</f>
        <v>4.9756475391000006</v>
      </c>
      <c r="AX1019" s="1771">
        <f>Taxes!AX194</f>
        <v>4.0730512389000006</v>
      </c>
      <c r="AY1019" s="1866">
        <f>Taxes!AY194</f>
        <v>1.4568353333333335</v>
      </c>
      <c r="AZ1019" s="1464">
        <f>Taxes!AZ194</f>
        <v>15.583950436733334</v>
      </c>
      <c r="BA1019" s="478"/>
      <c r="BB1019" s="476"/>
      <c r="BC1019" s="476"/>
      <c r="BD1019" s="682"/>
      <c r="BE1019" s="1866"/>
      <c r="BF1019" s="476"/>
      <c r="BG1019" s="476"/>
      <c r="BH1019" s="476"/>
      <c r="BI1019" s="682"/>
      <c r="BJ1019" s="1866"/>
      <c r="BK1019" s="476"/>
      <c r="BL1019" s="476"/>
      <c r="BM1019" s="476"/>
      <c r="BN1019" s="682"/>
      <c r="BO1019" s="1866"/>
      <c r="BP1019" s="476"/>
      <c r="BQ1019" s="476"/>
      <c r="BR1019" s="476"/>
      <c r="BS1019" s="476"/>
      <c r="BT1019" s="2604"/>
      <c r="BU1019" s="2673"/>
      <c r="BV1019" s="2577"/>
      <c r="BW1019" s="2577"/>
      <c r="BX1019" s="2577"/>
      <c r="BY1019" s="2604"/>
      <c r="BZ1019" s="477"/>
      <c r="CA1019" s="477"/>
      <c r="CB1019" s="477"/>
      <c r="CC1019" s="477"/>
      <c r="CD1019" s="477"/>
      <c r="CE1019" s="477"/>
      <c r="CF1019" s="477"/>
      <c r="CG1019" s="331"/>
      <c r="CH1019" s="331"/>
      <c r="CI1019" s="331"/>
      <c r="CJ1019" s="331"/>
      <c r="CK1019" s="331"/>
      <c r="CL1019" s="528" t="str">
        <f t="shared" si="2493"/>
        <v>Tax expense</v>
      </c>
      <c r="CM1019" s="476">
        <f t="shared" si="2494"/>
        <v>26.440286075349999</v>
      </c>
      <c r="CN1019" s="476">
        <f t="shared" si="2495"/>
        <v>32.566011710200002</v>
      </c>
      <c r="CO1019" s="476">
        <f t="shared" si="2496"/>
        <v>36.079153213700003</v>
      </c>
      <c r="CP1019" s="476">
        <f t="shared" si="2497"/>
        <v>33.896902274999995</v>
      </c>
      <c r="CQ1019" s="476">
        <f t="shared" si="2498"/>
        <v>32.729945117699998</v>
      </c>
      <c r="CR1019" s="476">
        <f t="shared" si="2499"/>
        <v>29.485999999999997</v>
      </c>
      <c r="CS1019" s="476">
        <f t="shared" si="2500"/>
        <v>27.177432401099999</v>
      </c>
      <c r="CT1019" s="476">
        <f t="shared" si="2501"/>
        <v>27.803990493699999</v>
      </c>
      <c r="CU1019" s="476">
        <f t="shared" si="2502"/>
        <v>25.797049444200002</v>
      </c>
      <c r="CV1019" s="476">
        <f t="shared" si="2503"/>
        <v>15.583950436733334</v>
      </c>
      <c r="CW1019" s="476">
        <f t="shared" si="2504"/>
        <v>0</v>
      </c>
      <c r="CX1019" s="476">
        <f t="shared" si="2505"/>
        <v>0</v>
      </c>
      <c r="CY1019" s="476">
        <f t="shared" si="2506"/>
        <v>0</v>
      </c>
      <c r="CZ1019" s="476">
        <f t="shared" si="2507"/>
        <v>0</v>
      </c>
      <c r="DA1019" s="476">
        <f t="shared" si="2508"/>
        <v>0</v>
      </c>
      <c r="DB1019" s="476">
        <f t="shared" si="2508"/>
        <v>0</v>
      </c>
      <c r="DC1019" s="682">
        <f t="shared" si="2508"/>
        <v>0</v>
      </c>
      <c r="DD1019" s="331"/>
      <c r="DE1019" s="331"/>
      <c r="DF1019" s="502"/>
      <c r="DG1019" s="503"/>
      <c r="DH1019" s="2577"/>
      <c r="DI1019" s="3213"/>
      <c r="DJ1019" s="502"/>
      <c r="DK1019" s="503"/>
      <c r="DL1019" s="502"/>
      <c r="DM1019" s="502"/>
      <c r="DN1019" s="502"/>
      <c r="DO1019" s="502"/>
      <c r="DP1019" s="503"/>
      <c r="DQ1019" s="503"/>
      <c r="DR1019" s="296"/>
      <c r="DS1019" s="296"/>
      <c r="DT1019" s="296"/>
    </row>
    <row r="1020" spans="1:124" ht="12" customHeight="1" x14ac:dyDescent="0.25">
      <c r="A1020" s="465" t="s">
        <v>1810</v>
      </c>
      <c r="B1020" s="466"/>
      <c r="C1020" s="467">
        <f t="shared" ref="C1020:AU1020" si="2513">C1019/C1010</f>
        <v>0.24938460589422468</v>
      </c>
      <c r="D1020" s="467">
        <f t="shared" si="2513"/>
        <v>0.24966521096867686</v>
      </c>
      <c r="E1020" s="467">
        <f t="shared" si="2513"/>
        <v>0.25135824620869052</v>
      </c>
      <c r="F1020" s="467">
        <f t="shared" si="2513"/>
        <v>0.24806060309191383</v>
      </c>
      <c r="G1020" s="468">
        <f t="shared" si="2513"/>
        <v>0.24959687758294366</v>
      </c>
      <c r="H1020" s="467">
        <f t="shared" si="2513"/>
        <v>0.24783105192821983</v>
      </c>
      <c r="I1020" s="467">
        <f t="shared" si="2513"/>
        <v>0.2488081188368764</v>
      </c>
      <c r="J1020" s="467">
        <f t="shared" si="2513"/>
        <v>0.24142072694231417</v>
      </c>
      <c r="K1020" s="467">
        <f t="shared" si="2513"/>
        <v>0.24072067732791749</v>
      </c>
      <c r="L1020" s="468">
        <f t="shared" si="2513"/>
        <v>0.24425337360926763</v>
      </c>
      <c r="M1020" s="467">
        <f t="shared" si="2513"/>
        <v>0.2397052848754733</v>
      </c>
      <c r="N1020" s="467">
        <f t="shared" si="2513"/>
        <v>0.24096730245231607</v>
      </c>
      <c r="O1020" s="467">
        <f t="shared" si="2513"/>
        <v>0.24121490760998018</v>
      </c>
      <c r="P1020" s="467">
        <f t="shared" si="2513"/>
        <v>0.24021807505779874</v>
      </c>
      <c r="Q1020" s="468">
        <f t="shared" si="2513"/>
        <v>0.24048048148424139</v>
      </c>
      <c r="R1020" s="467">
        <f t="shared" si="2513"/>
        <v>0.2402590794130571</v>
      </c>
      <c r="S1020" s="467">
        <f t="shared" si="2513"/>
        <v>0.24079955723780647</v>
      </c>
      <c r="T1020" s="467">
        <f t="shared" si="2513"/>
        <v>0.24040724003678565</v>
      </c>
      <c r="U1020" s="467">
        <f t="shared" si="2513"/>
        <v>0.23958750690970113</v>
      </c>
      <c r="V1020" s="468">
        <f t="shared" si="2513"/>
        <v>0.24026777685958114</v>
      </c>
      <c r="W1020" s="467">
        <f t="shared" si="2513"/>
        <v>0.23949890927279349</v>
      </c>
      <c r="X1020" s="467">
        <f t="shared" si="2513"/>
        <v>0.24027414740684924</v>
      </c>
      <c r="Y1020" s="467">
        <f t="shared" si="2513"/>
        <v>0.2399476416592608</v>
      </c>
      <c r="Z1020" s="467">
        <f t="shared" si="2513"/>
        <v>0.23827311153737821</v>
      </c>
      <c r="AA1020" s="468">
        <f t="shared" si="2513"/>
        <v>0.23948431200169809</v>
      </c>
      <c r="AB1020" s="467">
        <f t="shared" si="2513"/>
        <v>0.23</v>
      </c>
      <c r="AC1020" s="467">
        <f t="shared" si="2513"/>
        <v>0.23</v>
      </c>
      <c r="AD1020" s="467">
        <f t="shared" si="2513"/>
        <v>0.23</v>
      </c>
      <c r="AE1020" s="469">
        <f t="shared" si="2513"/>
        <v>0.23</v>
      </c>
      <c r="AF1020" s="470">
        <f t="shared" si="2513"/>
        <v>0.23</v>
      </c>
      <c r="AG1020" s="467">
        <f>AG1019/AG1010</f>
        <v>0.23</v>
      </c>
      <c r="AH1020" s="467">
        <f t="shared" si="2513"/>
        <v>0.23</v>
      </c>
      <c r="AI1020" s="467">
        <f t="shared" si="2513"/>
        <v>0.23000000000000004</v>
      </c>
      <c r="AJ1020" s="469">
        <f t="shared" si="2513"/>
        <v>0.23</v>
      </c>
      <c r="AK1020" s="470">
        <f t="shared" si="2513"/>
        <v>0.23</v>
      </c>
      <c r="AL1020" s="467">
        <f>AL1019/AL1010</f>
        <v>0.23</v>
      </c>
      <c r="AM1020" s="467">
        <f>AM1019/AM1010</f>
        <v>0.23</v>
      </c>
      <c r="AN1020" s="467">
        <f t="shared" si="2513"/>
        <v>0.23</v>
      </c>
      <c r="AO1020" s="469">
        <f t="shared" si="2513"/>
        <v>0.23</v>
      </c>
      <c r="AP1020" s="471">
        <f t="shared" si="2513"/>
        <v>0.23</v>
      </c>
      <c r="AQ1020" s="471">
        <f t="shared" si="2513"/>
        <v>0.23</v>
      </c>
      <c r="AR1020" s="469">
        <f t="shared" si="2513"/>
        <v>0.23</v>
      </c>
      <c r="AS1020" s="469">
        <f t="shared" si="2513"/>
        <v>0.23</v>
      </c>
      <c r="AT1020" s="469">
        <f t="shared" si="2513"/>
        <v>0.22999999999999998</v>
      </c>
      <c r="AU1020" s="1689">
        <f t="shared" si="2513"/>
        <v>0.23</v>
      </c>
      <c r="AV1020" s="1730">
        <f>AV1019/AV1010</f>
        <v>0.23</v>
      </c>
      <c r="AW1020" s="1465">
        <f>AW1019/AW1010</f>
        <v>0.23000000000000004</v>
      </c>
      <c r="AX1020" s="1465">
        <f>AX1019/AX1010</f>
        <v>0.23000000000000004</v>
      </c>
      <c r="AY1020" s="1868">
        <f>AY1019/AY1010</f>
        <v>0.23</v>
      </c>
      <c r="AZ1020" s="1689">
        <f>AZ1019/AZ1010</f>
        <v>0.23</v>
      </c>
      <c r="BA1020" s="471"/>
      <c r="BB1020" s="469"/>
      <c r="BC1020" s="469"/>
      <c r="BD1020" s="1463"/>
      <c r="BE1020" s="1868"/>
      <c r="BF1020" s="469"/>
      <c r="BG1020" s="469"/>
      <c r="BH1020" s="469"/>
      <c r="BI1020" s="1463"/>
      <c r="BJ1020" s="1868"/>
      <c r="BK1020" s="469"/>
      <c r="BL1020" s="469"/>
      <c r="BM1020" s="469"/>
      <c r="BN1020" s="1463"/>
      <c r="BO1020" s="1868"/>
      <c r="BP1020" s="469"/>
      <c r="BQ1020" s="469"/>
      <c r="BR1020" s="469"/>
      <c r="BS1020" s="469"/>
      <c r="BT1020" s="470"/>
      <c r="BU1020" s="471"/>
      <c r="BV1020" s="469"/>
      <c r="BW1020" s="469"/>
      <c r="BX1020" s="469"/>
      <c r="BY1020" s="470"/>
      <c r="BZ1020" s="470"/>
      <c r="CA1020" s="470"/>
      <c r="CB1020" s="470"/>
      <c r="CC1020" s="470"/>
      <c r="CD1020" s="470"/>
      <c r="CE1020" s="470"/>
      <c r="CF1020" s="470"/>
      <c r="CG1020" s="492"/>
      <c r="CH1020" s="492"/>
      <c r="CI1020" s="492"/>
      <c r="CJ1020" s="492"/>
      <c r="CK1020" s="492"/>
      <c r="CL1020" s="1310" t="str">
        <f t="shared" si="2493"/>
        <v>% of Gaming revenue</v>
      </c>
      <c r="CM1020" s="469">
        <f t="shared" si="2494"/>
        <v>0.24959687758294366</v>
      </c>
      <c r="CN1020" s="469">
        <f t="shared" si="2495"/>
        <v>0.24425337360926763</v>
      </c>
      <c r="CO1020" s="469">
        <f t="shared" si="2496"/>
        <v>0.24048048148424139</v>
      </c>
      <c r="CP1020" s="469">
        <f t="shared" si="2497"/>
        <v>0.24026777685958114</v>
      </c>
      <c r="CQ1020" s="469">
        <f t="shared" si="2498"/>
        <v>0.23948431200169809</v>
      </c>
      <c r="CR1020" s="469">
        <f t="shared" si="2499"/>
        <v>0.23</v>
      </c>
      <c r="CS1020" s="469">
        <f t="shared" si="2500"/>
        <v>0.23</v>
      </c>
      <c r="CT1020" s="469">
        <f t="shared" si="2501"/>
        <v>0.23</v>
      </c>
      <c r="CU1020" s="469">
        <f t="shared" si="2502"/>
        <v>0.23</v>
      </c>
      <c r="CV1020" s="469">
        <f t="shared" si="2503"/>
        <v>0.23</v>
      </c>
      <c r="CW1020" s="469">
        <f t="shared" si="2504"/>
        <v>0</v>
      </c>
      <c r="CX1020" s="469">
        <f t="shared" si="2505"/>
        <v>0</v>
      </c>
      <c r="CY1020" s="469">
        <f t="shared" si="2506"/>
        <v>0</v>
      </c>
      <c r="CZ1020" s="469">
        <f t="shared" si="2507"/>
        <v>0</v>
      </c>
      <c r="DA1020" s="469">
        <f t="shared" si="2508"/>
        <v>0</v>
      </c>
      <c r="DB1020" s="469">
        <f t="shared" si="2508"/>
        <v>0</v>
      </c>
      <c r="DC1020" s="1463">
        <f t="shared" si="2508"/>
        <v>0</v>
      </c>
      <c r="DD1020" s="492"/>
      <c r="DE1020" s="492"/>
      <c r="DF1020" s="962"/>
      <c r="DG1020" s="962"/>
      <c r="DH1020" s="469"/>
      <c r="DI1020" s="3213"/>
      <c r="DJ1020" s="962"/>
      <c r="DK1020" s="962"/>
      <c r="DL1020" s="962"/>
      <c r="DM1020" s="962"/>
      <c r="DN1020" s="962"/>
      <c r="DO1020" s="962"/>
      <c r="DP1020" s="962"/>
      <c r="DQ1020" s="962"/>
      <c r="DR1020" s="963"/>
      <c r="DS1020" s="963"/>
      <c r="DT1020" s="963"/>
    </row>
    <row r="1021" spans="1:124" ht="12" customHeight="1" x14ac:dyDescent="0.25">
      <c r="A1021" s="311" t="s">
        <v>2162</v>
      </c>
      <c r="B1021" s="281"/>
      <c r="C1021" s="452">
        <f>C1013-C1023</f>
        <v>19.21</v>
      </c>
      <c r="D1021" s="452">
        <f>D1013-D1023</f>
        <v>18.492000000000001</v>
      </c>
      <c r="E1021" s="452">
        <f>E1013-E1023</f>
        <v>18.320999999999998</v>
      </c>
      <c r="F1021" s="452">
        <f>F1013-F1023</f>
        <v>18.620999999999999</v>
      </c>
      <c r="G1021" s="475">
        <f>SUM(C1021:F1021)</f>
        <v>74.643999999999991</v>
      </c>
      <c r="H1021" s="452">
        <f>H1013-H1023</f>
        <v>17.975999999999999</v>
      </c>
      <c r="I1021" s="452">
        <f>I1013-I1023</f>
        <v>18.356000000000002</v>
      </c>
      <c r="J1021" s="452">
        <f>J1013-J1023</f>
        <v>18.018000000000001</v>
      </c>
      <c r="K1021" s="452">
        <f>K1013-K1023</f>
        <v>24.681000000000001</v>
      </c>
      <c r="L1021" s="475">
        <f>SUM(H1021:K1021)</f>
        <v>79.031000000000006</v>
      </c>
      <c r="M1021" s="452">
        <f>M1013-M1023</f>
        <v>22.050999999999998</v>
      </c>
      <c r="N1021" s="452">
        <f>N1013-N1023</f>
        <v>19.914000000000001</v>
      </c>
      <c r="O1021" s="452">
        <f>O1013-O1023</f>
        <v>19.442999999999998</v>
      </c>
      <c r="P1021" s="452">
        <f>P1013-P1023</f>
        <v>20.75</v>
      </c>
      <c r="Q1021" s="475">
        <f>SUM(M1021:P1021)</f>
        <v>82.158000000000001</v>
      </c>
      <c r="R1021" s="452">
        <f>R1013-R1023</f>
        <v>20.25</v>
      </c>
      <c r="S1021" s="452">
        <f>S1013-S1023</f>
        <v>19.693999999999996</v>
      </c>
      <c r="T1021" s="452">
        <f>T1013-T1023</f>
        <v>20.338999999999999</v>
      </c>
      <c r="U1021" s="452">
        <f>U1013-U1023</f>
        <v>19.486000000000004</v>
      </c>
      <c r="V1021" s="475">
        <f>SUM(R1021:U1021)</f>
        <v>79.769000000000005</v>
      </c>
      <c r="W1021" s="452">
        <f>W1013-W1023</f>
        <v>20.522999999999996</v>
      </c>
      <c r="X1021" s="452">
        <f>X1013-X1023</f>
        <v>19.100999999999999</v>
      </c>
      <c r="Y1021" s="452">
        <f>Y1013-Y1023</f>
        <v>18.368000000000002</v>
      </c>
      <c r="Z1021" s="452">
        <f>Z1013-Z1023</f>
        <v>19.331</v>
      </c>
      <c r="AA1021" s="475">
        <f>SUM(W1021:Z1021)</f>
        <v>77.322999999999993</v>
      </c>
      <c r="AB1021" s="452">
        <f>AB1013-AB1023</f>
        <v>20.28</v>
      </c>
      <c r="AC1021" s="452">
        <f>AC1013-AC1023</f>
        <v>18.843</v>
      </c>
      <c r="AD1021" s="452">
        <f>AD1013-AD1023</f>
        <v>18.377000000000002</v>
      </c>
      <c r="AE1021" s="452">
        <f>AE1013-AE1023</f>
        <v>17.53</v>
      </c>
      <c r="AF1021" s="477">
        <f>SUM(AB1021:AE1021)</f>
        <v>75.03</v>
      </c>
      <c r="AG1021" s="452">
        <f>AG1013-AG1023</f>
        <v>18.786000000000001</v>
      </c>
      <c r="AH1021" s="452">
        <f>AH1013-AH1023</f>
        <v>18.432000000000002</v>
      </c>
      <c r="AI1021" s="452">
        <f>AI1013-AI1023</f>
        <v>17.77</v>
      </c>
      <c r="AJ1021" s="452">
        <f>AJ1013-AJ1023</f>
        <v>17.53</v>
      </c>
      <c r="AK1021" s="477">
        <f>SUM(AG1021:AJ1021)</f>
        <v>72.518000000000001</v>
      </c>
      <c r="AL1021" s="452">
        <f>AL1013-AL1023</f>
        <v>17.582000000000001</v>
      </c>
      <c r="AM1021" s="452">
        <f>AM1013-AM1023</f>
        <v>18.054000000000002</v>
      </c>
      <c r="AN1021" s="476">
        <f>AN1016+AN1019</f>
        <v>17.726738625499998</v>
      </c>
      <c r="AO1021" s="476">
        <f>AO1016+AO1019</f>
        <v>17.072540403044002</v>
      </c>
      <c r="AP1021" s="478">
        <f>SUM(AL1021:AO1021)</f>
        <v>70.435279028544002</v>
      </c>
      <c r="AQ1021" s="478">
        <f>AQ1016+AQ1019</f>
        <v>17.862891948200001</v>
      </c>
      <c r="AR1021" s="476">
        <f>AR1016+AR1019</f>
        <v>17.713755745660002</v>
      </c>
      <c r="AS1021" s="476">
        <f>AS1016+AS1019</f>
        <v>16.333281638723999</v>
      </c>
      <c r="AT1021" s="476">
        <f>AT1016+AT1019</f>
        <v>14.375458873109601</v>
      </c>
      <c r="AU1021" s="1464">
        <f>SUM(AQ1021:AT1021)</f>
        <v>66.285388205693607</v>
      </c>
      <c r="AV1021" s="1865">
        <f>AV1016+AV1019</f>
        <v>13.795627836215001</v>
      </c>
      <c r="AW1021" s="1771">
        <f>AW1016+AW1019</f>
        <v>12.381733120092001</v>
      </c>
      <c r="AX1021" s="1771">
        <f>AX1016+AX1019</f>
        <v>11.201940750856799</v>
      </c>
      <c r="AY1021" s="1866">
        <f>AY1016+AY1019</f>
        <v>3.8239717520357335</v>
      </c>
      <c r="AZ1021" s="1464">
        <f>SUM(AV1021:AY1021)</f>
        <v>41.203273459199536</v>
      </c>
      <c r="BA1021" s="478"/>
      <c r="BB1021" s="476"/>
      <c r="BC1021" s="476"/>
      <c r="BD1021" s="682"/>
      <c r="BE1021" s="1866"/>
      <c r="BF1021" s="476"/>
      <c r="BG1021" s="476"/>
      <c r="BH1021" s="476"/>
      <c r="BI1021" s="682"/>
      <c r="BJ1021" s="1866"/>
      <c r="BK1021" s="476"/>
      <c r="BL1021" s="476"/>
      <c r="BM1021" s="476"/>
      <c r="BN1021" s="682"/>
      <c r="BO1021" s="1866"/>
      <c r="BP1021" s="476"/>
      <c r="BQ1021" s="476"/>
      <c r="BR1021" s="476"/>
      <c r="BS1021" s="476"/>
      <c r="BT1021" s="2604"/>
      <c r="BU1021" s="2673"/>
      <c r="BV1021" s="2577"/>
      <c r="BW1021" s="2577"/>
      <c r="BX1021" s="2577"/>
      <c r="BY1021" s="2604"/>
      <c r="BZ1021" s="477"/>
      <c r="CA1021" s="477"/>
      <c r="CB1021" s="477"/>
      <c r="CC1021" s="477"/>
      <c r="CD1021" s="477"/>
      <c r="CE1021" s="477"/>
      <c r="CF1021" s="477"/>
      <c r="CG1021" s="331"/>
      <c r="CH1021" s="331"/>
      <c r="CI1021" s="331"/>
      <c r="CJ1021" s="331"/>
      <c r="CK1021" s="331"/>
      <c r="CL1021" s="528" t="str">
        <f t="shared" si="2493"/>
        <v>Total expenses</v>
      </c>
      <c r="CM1021" s="476">
        <f t="shared" si="2494"/>
        <v>74.643999999999991</v>
      </c>
      <c r="CN1021" s="476">
        <f t="shared" si="2495"/>
        <v>79.031000000000006</v>
      </c>
      <c r="CO1021" s="476">
        <f t="shared" si="2496"/>
        <v>82.158000000000001</v>
      </c>
      <c r="CP1021" s="476">
        <f t="shared" si="2497"/>
        <v>79.769000000000005</v>
      </c>
      <c r="CQ1021" s="476">
        <f t="shared" si="2498"/>
        <v>77.322999999999993</v>
      </c>
      <c r="CR1021" s="476">
        <f t="shared" si="2499"/>
        <v>75.03</v>
      </c>
      <c r="CS1021" s="476">
        <f t="shared" si="2500"/>
        <v>72.518000000000001</v>
      </c>
      <c r="CT1021" s="476">
        <f t="shared" si="2501"/>
        <v>70.435279028544002</v>
      </c>
      <c r="CU1021" s="476">
        <f t="shared" si="2502"/>
        <v>66.285388205693607</v>
      </c>
      <c r="CV1021" s="476">
        <f t="shared" si="2503"/>
        <v>41.203273459199536</v>
      </c>
      <c r="CW1021" s="476">
        <f t="shared" si="2504"/>
        <v>0</v>
      </c>
      <c r="CX1021" s="476">
        <f t="shared" si="2505"/>
        <v>0</v>
      </c>
      <c r="CY1021" s="476">
        <f t="shared" si="2506"/>
        <v>0</v>
      </c>
      <c r="CZ1021" s="476">
        <f t="shared" si="2507"/>
        <v>0</v>
      </c>
      <c r="DA1021" s="476">
        <f t="shared" si="2508"/>
        <v>0</v>
      </c>
      <c r="DB1021" s="476">
        <f t="shared" si="2508"/>
        <v>0</v>
      </c>
      <c r="DC1021" s="682">
        <f t="shared" si="2508"/>
        <v>0</v>
      </c>
      <c r="DD1021" s="331"/>
      <c r="DE1021" s="331"/>
      <c r="DF1021" s="502"/>
      <c r="DG1021" s="503"/>
      <c r="DH1021" s="2577"/>
      <c r="DI1021" s="3213"/>
      <c r="DJ1021" s="502"/>
      <c r="DK1021" s="503"/>
      <c r="DL1021" s="502"/>
      <c r="DM1021" s="502"/>
      <c r="DN1021" s="502"/>
      <c r="DO1021" s="502"/>
      <c r="DP1021" s="503"/>
      <c r="DQ1021" s="503"/>
      <c r="DR1021" s="296"/>
      <c r="DS1021" s="296"/>
      <c r="DT1021" s="296"/>
    </row>
    <row r="1022" spans="1:124" ht="5.0999999999999996" customHeight="1" x14ac:dyDescent="0.25">
      <c r="A1022" s="281"/>
      <c r="B1022" s="281"/>
      <c r="C1022" s="305"/>
      <c r="D1022" s="305"/>
      <c r="E1022" s="305"/>
      <c r="F1022" s="305"/>
      <c r="G1022" s="440"/>
      <c r="H1022" s="305"/>
      <c r="I1022" s="305"/>
      <c r="J1022" s="305"/>
      <c r="K1022" s="305"/>
      <c r="L1022" s="440"/>
      <c r="M1022" s="305"/>
      <c r="N1022" s="305"/>
      <c r="O1022" s="305"/>
      <c r="P1022" s="305"/>
      <c r="Q1022" s="440"/>
      <c r="R1022" s="305"/>
      <c r="S1022" s="305"/>
      <c r="T1022" s="305"/>
      <c r="U1022" s="305"/>
      <c r="V1022" s="440"/>
      <c r="W1022" s="305"/>
      <c r="X1022" s="305"/>
      <c r="Y1022" s="305"/>
      <c r="Z1022" s="305"/>
      <c r="AA1022" s="440"/>
      <c r="AB1022" s="305"/>
      <c r="AC1022" s="305"/>
      <c r="AD1022" s="305"/>
      <c r="AE1022" s="331"/>
      <c r="AF1022" s="441"/>
      <c r="AG1022" s="305"/>
      <c r="AH1022" s="305"/>
      <c r="AI1022" s="305"/>
      <c r="AJ1022" s="331"/>
      <c r="AK1022" s="441"/>
      <c r="AL1022" s="305"/>
      <c r="AM1022" s="305"/>
      <c r="AN1022" s="305"/>
      <c r="AO1022" s="331"/>
      <c r="AP1022" s="569"/>
      <c r="AQ1022" s="569"/>
      <c r="AR1022" s="442"/>
      <c r="AS1022" s="442"/>
      <c r="AT1022" s="442"/>
      <c r="AU1022" s="1690"/>
      <c r="AV1022" s="1902"/>
      <c r="AW1022" s="1837"/>
      <c r="AX1022" s="1837"/>
      <c r="AY1022" s="1903"/>
      <c r="AZ1022" s="1690"/>
      <c r="BA1022" s="569"/>
      <c r="BB1022" s="442"/>
      <c r="BC1022" s="442"/>
      <c r="BD1022" s="1312"/>
      <c r="BE1022" s="1903"/>
      <c r="BF1022" s="442"/>
      <c r="BG1022" s="442"/>
      <c r="BH1022" s="442"/>
      <c r="BI1022" s="1312"/>
      <c r="BJ1022" s="1903"/>
      <c r="BK1022" s="442"/>
      <c r="BL1022" s="442"/>
      <c r="BM1022" s="442"/>
      <c r="BN1022" s="1312"/>
      <c r="BO1022" s="1903"/>
      <c r="BP1022" s="442"/>
      <c r="BQ1022" s="442"/>
      <c r="BR1022" s="442"/>
      <c r="BS1022" s="442"/>
      <c r="BT1022" s="3236"/>
      <c r="BU1022" s="3409"/>
      <c r="BV1022" s="3298"/>
      <c r="BW1022" s="3298"/>
      <c r="BX1022" s="3298"/>
      <c r="BY1022" s="3236"/>
      <c r="BZ1022" s="441"/>
      <c r="CA1022" s="441"/>
      <c r="CB1022" s="441"/>
      <c r="CC1022" s="441"/>
      <c r="CD1022" s="441"/>
      <c r="CE1022" s="441"/>
      <c r="CF1022" s="441"/>
      <c r="CG1022" s="331"/>
      <c r="CH1022" s="331"/>
      <c r="CI1022" s="331"/>
      <c r="CJ1022" s="331"/>
      <c r="CK1022" s="331"/>
      <c r="CL1022" s="520"/>
      <c r="CM1022" s="442"/>
      <c r="CN1022" s="442"/>
      <c r="CO1022" s="442"/>
      <c r="CP1022" s="442"/>
      <c r="CQ1022" s="442"/>
      <c r="CR1022" s="442"/>
      <c r="CS1022" s="442"/>
      <c r="CT1022" s="442"/>
      <c r="CU1022" s="442"/>
      <c r="CV1022" s="442"/>
      <c r="CW1022" s="442"/>
      <c r="CX1022" s="442"/>
      <c r="CY1022" s="442"/>
      <c r="CZ1022" s="442"/>
      <c r="DA1022" s="442"/>
      <c r="DB1022" s="442"/>
      <c r="DC1022" s="1312"/>
      <c r="DD1022" s="331"/>
      <c r="DE1022" s="331"/>
      <c r="DF1022" s="502"/>
      <c r="DG1022" s="503"/>
      <c r="DH1022" s="3298"/>
      <c r="DI1022" s="3213"/>
      <c r="DJ1022" s="502"/>
      <c r="DK1022" s="503"/>
      <c r="DL1022" s="502"/>
      <c r="DM1022" s="502"/>
      <c r="DN1022" s="502"/>
      <c r="DO1022" s="502"/>
      <c r="DP1022" s="503"/>
      <c r="DQ1022" s="503"/>
      <c r="DR1022" s="296"/>
      <c r="DS1022" s="296"/>
      <c r="DT1022" s="296"/>
    </row>
    <row r="1023" spans="1:124" ht="12" customHeight="1" x14ac:dyDescent="0.25">
      <c r="A1023" s="999" t="s">
        <v>2010</v>
      </c>
      <c r="B1023" s="1007"/>
      <c r="C1023" s="1008">
        <v>9.2449999999999992</v>
      </c>
      <c r="D1023" s="1008">
        <v>9.0109999999999992</v>
      </c>
      <c r="E1023" s="1008">
        <v>7.7009999999999996</v>
      </c>
      <c r="F1023" s="1008">
        <v>7.8079999999999998</v>
      </c>
      <c r="G1023" s="1009">
        <f>SUM(C1023:F1023)</f>
        <v>33.765000000000001</v>
      </c>
      <c r="H1023" s="1008">
        <v>11.145</v>
      </c>
      <c r="I1023" s="1008">
        <v>10.074</v>
      </c>
      <c r="J1023" s="1008">
        <v>10.859</v>
      </c>
      <c r="K1023" s="1008">
        <v>20.620999999999999</v>
      </c>
      <c r="L1023" s="1009">
        <f>SUM(H1023:K1023)</f>
        <v>52.698999999999998</v>
      </c>
      <c r="M1023" s="1008">
        <v>21.068999999999999</v>
      </c>
      <c r="N1023" s="1008">
        <v>15.532999999999999</v>
      </c>
      <c r="O1023" s="1008">
        <v>13.89</v>
      </c>
      <c r="P1023" s="1008">
        <v>11.351000000000001</v>
      </c>
      <c r="Q1023" s="1009">
        <f>SUM(M1023:P1023)</f>
        <v>61.842999999999996</v>
      </c>
      <c r="R1023" s="1008">
        <v>14.631</v>
      </c>
      <c r="S1023" s="1008">
        <v>14.347</v>
      </c>
      <c r="T1023" s="1008">
        <v>13.862</v>
      </c>
      <c r="U1023" s="1008">
        <v>13.26</v>
      </c>
      <c r="V1023" s="1009">
        <f>SUM(R1023:U1023)</f>
        <v>56.1</v>
      </c>
      <c r="W1023" s="1008">
        <v>14.243</v>
      </c>
      <c r="X1023" s="1008">
        <v>14.009</v>
      </c>
      <c r="Y1023" s="1008">
        <v>11.223000000000001</v>
      </c>
      <c r="Z1023" s="1008">
        <v>14.215</v>
      </c>
      <c r="AA1023" s="1009">
        <f>SUM(W1023:Z1023)</f>
        <v>53.69</v>
      </c>
      <c r="AB1023" s="1008">
        <v>14.808999999999999</v>
      </c>
      <c r="AC1023" s="1008">
        <v>12.5</v>
      </c>
      <c r="AD1023" s="1008">
        <v>11.074999999999999</v>
      </c>
      <c r="AE1023" s="1010">
        <v>9.58</v>
      </c>
      <c r="AF1023" s="1011">
        <f>SUM(AB1023:AE1023)</f>
        <v>47.963999999999999</v>
      </c>
      <c r="AG1023" s="1010">
        <v>11.763</v>
      </c>
      <c r="AH1023" s="1010">
        <v>10.574999999999999</v>
      </c>
      <c r="AI1023" s="1010">
        <v>9.4510000000000005</v>
      </c>
      <c r="AJ1023" s="1010">
        <v>9.7810000000000006</v>
      </c>
      <c r="AK1023" s="1011">
        <f>SUM(AG1023:AJ1023)</f>
        <v>41.57</v>
      </c>
      <c r="AL1023" s="1010">
        <v>13.048999999999999</v>
      </c>
      <c r="AM1023" s="1010">
        <v>11.382</v>
      </c>
      <c r="AN1023" s="1593">
        <f>AN1013-AN1021</f>
        <v>11.098481904500002</v>
      </c>
      <c r="AO1023" s="1012">
        <f>AO1013-AO1021</f>
        <v>10.271697786955997</v>
      </c>
      <c r="AP1023" s="1013">
        <f>SUM(AL1023:AO1023)</f>
        <v>45.801179691455999</v>
      </c>
      <c r="AQ1023" s="1013">
        <f>AQ1013-AQ1021</f>
        <v>13.989377391799994</v>
      </c>
      <c r="AR1023" s="1012">
        <f>AR1013-AR1021</f>
        <v>12.159610224339996</v>
      </c>
      <c r="AS1023" s="1012">
        <f>AS1013-AS1021</f>
        <v>9.2597377112760029</v>
      </c>
      <c r="AT1023" s="1012">
        <f>AT1013-AT1021</f>
        <v>5.8165145368903985</v>
      </c>
      <c r="AU1023" s="1691">
        <f>SUM(AQ1023:AT1023)</f>
        <v>41.225239864306388</v>
      </c>
      <c r="AV1023" s="1904">
        <f>AV1013-AV1021</f>
        <v>6.0612820737850015</v>
      </c>
      <c r="AW1023" s="1838">
        <f>AW1013-AW1021</f>
        <v>7.1090852499079986</v>
      </c>
      <c r="AX1023" s="1838">
        <f>AX1013-AX1021</f>
        <v>4.3645458791432006</v>
      </c>
      <c r="AY1023" s="1905">
        <f>AY1013-AY1021</f>
        <v>1.7959509812976</v>
      </c>
      <c r="AZ1023" s="1691">
        <f>SUM(AV1023:AY1023)</f>
        <v>19.330864184133802</v>
      </c>
      <c r="BA1023" s="1013"/>
      <c r="BB1023" s="1012"/>
      <c r="BC1023" s="1012"/>
      <c r="BD1023" s="1877"/>
      <c r="BE1023" s="1905"/>
      <c r="BF1023" s="1012"/>
      <c r="BG1023" s="1012"/>
      <c r="BH1023" s="1012"/>
      <c r="BI1023" s="1877"/>
      <c r="BJ1023" s="1905"/>
      <c r="BK1023" s="1012"/>
      <c r="BL1023" s="1012"/>
      <c r="BM1023" s="1012"/>
      <c r="BN1023" s="1877"/>
      <c r="BO1023" s="1905"/>
      <c r="BP1023" s="1012"/>
      <c r="BQ1023" s="1012"/>
      <c r="BR1023" s="1012"/>
      <c r="BS1023" s="1012"/>
      <c r="BT1023" s="1011"/>
      <c r="BU1023" s="1013"/>
      <c r="BV1023" s="1012"/>
      <c r="BW1023" s="1012"/>
      <c r="BX1023" s="1012"/>
      <c r="BY1023" s="1011"/>
      <c r="BZ1023" s="1011"/>
      <c r="CA1023" s="1011"/>
      <c r="CB1023" s="1011"/>
      <c r="CC1023" s="1011"/>
      <c r="CD1023" s="1011"/>
      <c r="CE1023" s="1011"/>
      <c r="CF1023" s="1011"/>
      <c r="CG1023" s="502"/>
      <c r="CH1023" s="502"/>
      <c r="CI1023" s="502"/>
      <c r="CJ1023" s="502"/>
      <c r="CK1023" s="502"/>
      <c r="CL1023" s="2221" t="str">
        <f t="shared" ref="CL1023:CL1028" si="2514">A1023</f>
        <v>Property EBITDA</v>
      </c>
      <c r="CM1023" s="1012">
        <f t="shared" ref="CM1023:CM1028" si="2515">G1023</f>
        <v>33.765000000000001</v>
      </c>
      <c r="CN1023" s="1012">
        <f t="shared" ref="CN1023:CN1028" si="2516">L1023</f>
        <v>52.698999999999998</v>
      </c>
      <c r="CO1023" s="1012">
        <f t="shared" ref="CO1023:CO1028" si="2517">Q1023</f>
        <v>61.842999999999996</v>
      </c>
      <c r="CP1023" s="1012">
        <f t="shared" ref="CP1023:CP1028" si="2518">V1023</f>
        <v>56.1</v>
      </c>
      <c r="CQ1023" s="1012">
        <f t="shared" ref="CQ1023:CQ1028" si="2519">AA1023</f>
        <v>53.69</v>
      </c>
      <c r="CR1023" s="1012">
        <f t="shared" ref="CR1023:CR1028" si="2520">AF1023</f>
        <v>47.963999999999999</v>
      </c>
      <c r="CS1023" s="1012">
        <f t="shared" ref="CS1023:CS1028" si="2521">AK1023</f>
        <v>41.57</v>
      </c>
      <c r="CT1023" s="1012">
        <f t="shared" ref="CT1023:CT1028" si="2522">AP1023</f>
        <v>45.801179691455999</v>
      </c>
      <c r="CU1023" s="1012">
        <f t="shared" ref="CU1023:CU1028" si="2523">AU1023</f>
        <v>41.225239864306388</v>
      </c>
      <c r="CV1023" s="1012">
        <f t="shared" ref="CV1023:CV1028" si="2524">AZ1023</f>
        <v>19.330864184133802</v>
      </c>
      <c r="CW1023" s="1012">
        <f t="shared" ref="CW1023:CW1028" si="2525">BE1023</f>
        <v>0</v>
      </c>
      <c r="CX1023" s="1012">
        <f t="shared" ref="CX1023:CX1028" si="2526">BJ1023</f>
        <v>0</v>
      </c>
      <c r="CY1023" s="1012">
        <f t="shared" ref="CY1023:CY1028" si="2527">BO1023</f>
        <v>0</v>
      </c>
      <c r="CZ1023" s="1012">
        <f t="shared" ref="CZ1023:CZ1028" si="2528">BT1023</f>
        <v>0</v>
      </c>
      <c r="DA1023" s="1012">
        <f t="shared" ref="DA1023:DC1028" si="2529">BY1023</f>
        <v>0</v>
      </c>
      <c r="DB1023" s="1012">
        <f t="shared" si="2529"/>
        <v>0</v>
      </c>
      <c r="DC1023" s="1877">
        <f t="shared" si="2529"/>
        <v>0</v>
      </c>
      <c r="DD1023" s="502"/>
      <c r="DE1023" s="502"/>
      <c r="DF1023" s="502"/>
      <c r="DG1023" s="503"/>
      <c r="DH1023" s="598"/>
      <c r="DI1023" s="3213"/>
      <c r="DJ1023" s="502"/>
      <c r="DK1023" s="503"/>
      <c r="DL1023" s="502"/>
      <c r="DM1023" s="502"/>
      <c r="DN1023" s="502"/>
      <c r="DO1023" s="502"/>
      <c r="DP1023" s="503"/>
      <c r="DQ1023" s="503"/>
      <c r="DR1023" s="719"/>
      <c r="DS1023" s="719"/>
      <c r="DT1023" s="719"/>
    </row>
    <row r="1024" spans="1:124" ht="12" customHeight="1" x14ac:dyDescent="0.25">
      <c r="A1024" s="465" t="s">
        <v>1892</v>
      </c>
      <c r="B1024" s="466"/>
      <c r="C1024" s="467">
        <f t="shared" ref="C1024:AF1024" si="2530">C1023/C1013</f>
        <v>0.32489896327534701</v>
      </c>
      <c r="D1024" s="467">
        <f t="shared" si="2530"/>
        <v>0.32763698505617567</v>
      </c>
      <c r="E1024" s="467">
        <f t="shared" si="2530"/>
        <v>0.29594189531934517</v>
      </c>
      <c r="F1024" s="467">
        <f t="shared" si="2530"/>
        <v>0.29543304703166978</v>
      </c>
      <c r="G1024" s="468">
        <f t="shared" si="2530"/>
        <v>0.31145938067872597</v>
      </c>
      <c r="H1024" s="467">
        <f t="shared" si="2530"/>
        <v>0.38271350571752344</v>
      </c>
      <c r="I1024" s="467">
        <f t="shared" si="2530"/>
        <v>0.35434400281392897</v>
      </c>
      <c r="J1024" s="467">
        <f t="shared" si="2530"/>
        <v>0.37604321778578109</v>
      </c>
      <c r="K1024" s="467">
        <f t="shared" si="2530"/>
        <v>0.4551896163524789</v>
      </c>
      <c r="L1024" s="468">
        <f t="shared" si="2530"/>
        <v>0.40005313899643213</v>
      </c>
      <c r="M1024" s="467">
        <f t="shared" si="2530"/>
        <v>0.48861317254174397</v>
      </c>
      <c r="N1024" s="467">
        <f t="shared" si="2530"/>
        <v>0.43820351510706118</v>
      </c>
      <c r="O1024" s="467">
        <f t="shared" si="2530"/>
        <v>0.41670416704167046</v>
      </c>
      <c r="P1024" s="467">
        <f t="shared" si="2530"/>
        <v>0.35360269150493756</v>
      </c>
      <c r="Q1024" s="468">
        <f t="shared" si="2530"/>
        <v>0.42946229540072633</v>
      </c>
      <c r="R1024" s="467">
        <f t="shared" si="2530"/>
        <v>0.41945471746796248</v>
      </c>
      <c r="S1024" s="467">
        <f t="shared" si="2530"/>
        <v>0.42146235421991129</v>
      </c>
      <c r="T1024" s="467">
        <f t="shared" si="2530"/>
        <v>0.40530978626355957</v>
      </c>
      <c r="U1024" s="467">
        <f t="shared" si="2530"/>
        <v>0.40493495388749767</v>
      </c>
      <c r="V1024" s="468">
        <f t="shared" si="2530"/>
        <v>0.41289771765450545</v>
      </c>
      <c r="W1024" s="467">
        <f t="shared" si="2530"/>
        <v>0.40968187309440263</v>
      </c>
      <c r="X1024" s="467">
        <f t="shared" si="2530"/>
        <v>0.42310480217456964</v>
      </c>
      <c r="Y1024" s="467">
        <f t="shared" si="2530"/>
        <v>0.37927072420668445</v>
      </c>
      <c r="Z1024" s="467">
        <f t="shared" si="2530"/>
        <v>0.4237464973469266</v>
      </c>
      <c r="AA1024" s="468">
        <f t="shared" si="2530"/>
        <v>0.40980666040774577</v>
      </c>
      <c r="AB1024" s="467">
        <f t="shared" si="2530"/>
        <v>0.42204109550001423</v>
      </c>
      <c r="AC1024" s="467">
        <f t="shared" si="2530"/>
        <v>0.39881313211881442</v>
      </c>
      <c r="AD1024" s="467">
        <f t="shared" si="2530"/>
        <v>0.37603558332201542</v>
      </c>
      <c r="AE1024" s="469">
        <f t="shared" si="2530"/>
        <v>0.35337513832534123</v>
      </c>
      <c r="AF1024" s="470">
        <f t="shared" si="2530"/>
        <v>0.38997024245085127</v>
      </c>
      <c r="AG1024" s="467">
        <f>AG1023/AG1013</f>
        <v>0.38505352057350484</v>
      </c>
      <c r="AH1024" s="467">
        <f t="shared" ref="AH1024:AU1024" si="2531">AH1023/AH1013</f>
        <v>0.36456717344089351</v>
      </c>
      <c r="AI1024" s="467">
        <f t="shared" si="2531"/>
        <v>0.34719518019176371</v>
      </c>
      <c r="AJ1024" s="469">
        <f t="shared" si="2531"/>
        <v>0.35813408516714879</v>
      </c>
      <c r="AK1024" s="470">
        <f t="shared" si="2531"/>
        <v>0.36436785639155744</v>
      </c>
      <c r="AL1024" s="467">
        <f t="shared" si="2531"/>
        <v>0.42600633345303773</v>
      </c>
      <c r="AM1024" s="467">
        <f t="shared" si="2531"/>
        <v>0.38666938442723198</v>
      </c>
      <c r="AN1024" s="467">
        <f t="shared" si="2531"/>
        <v>0.38502678211773605</v>
      </c>
      <c r="AO1024" s="469">
        <f t="shared" si="2531"/>
        <v>0.37564395524876742</v>
      </c>
      <c r="AP1024" s="471">
        <f t="shared" si="2531"/>
        <v>0.39403454127749771</v>
      </c>
      <c r="AQ1024" s="471">
        <f t="shared" si="2531"/>
        <v>0.43919562661214129</v>
      </c>
      <c r="AR1024" s="469">
        <f t="shared" si="2531"/>
        <v>0.40703850501986122</v>
      </c>
      <c r="AS1024" s="469">
        <f t="shared" si="2531"/>
        <v>0.36180716251738393</v>
      </c>
      <c r="AT1024" s="469">
        <f t="shared" si="2531"/>
        <v>0.2880607268435581</v>
      </c>
      <c r="AU1024" s="1689">
        <f t="shared" si="2531"/>
        <v>0.38345269304412122</v>
      </c>
      <c r="AV1024" s="1730">
        <f>AV1023/AV1013</f>
        <v>0.30524800189240525</v>
      </c>
      <c r="AW1024" s="1465">
        <f>AW1023/AW1013</f>
        <v>0.36474021331244894</v>
      </c>
      <c r="AX1024" s="1465">
        <f>AX1023/AX1013</f>
        <v>0.28038092235480888</v>
      </c>
      <c r="AY1024" s="1868">
        <f>AY1023/AY1013</f>
        <v>0.31956862514235518</v>
      </c>
      <c r="AZ1024" s="1689">
        <f>AZ1023/AZ1013</f>
        <v>0.31933822693619762</v>
      </c>
      <c r="BA1024" s="471"/>
      <c r="BB1024" s="469"/>
      <c r="BC1024" s="469"/>
      <c r="BD1024" s="1463"/>
      <c r="BE1024" s="1868"/>
      <c r="BF1024" s="469"/>
      <c r="BG1024" s="469"/>
      <c r="BH1024" s="469"/>
      <c r="BI1024" s="1463"/>
      <c r="BJ1024" s="1868"/>
      <c r="BK1024" s="469"/>
      <c r="BL1024" s="469"/>
      <c r="BM1024" s="469"/>
      <c r="BN1024" s="1463"/>
      <c r="BO1024" s="1868"/>
      <c r="BP1024" s="469"/>
      <c r="BQ1024" s="469"/>
      <c r="BR1024" s="469"/>
      <c r="BS1024" s="469"/>
      <c r="BT1024" s="470"/>
      <c r="BU1024" s="471"/>
      <c r="BV1024" s="469"/>
      <c r="BW1024" s="469"/>
      <c r="BX1024" s="469"/>
      <c r="BY1024" s="470"/>
      <c r="BZ1024" s="470"/>
      <c r="CA1024" s="470"/>
      <c r="CB1024" s="470"/>
      <c r="CC1024" s="470"/>
      <c r="CD1024" s="470"/>
      <c r="CE1024" s="470"/>
      <c r="CF1024" s="470"/>
      <c r="CG1024" s="492"/>
      <c r="CH1024" s="492"/>
      <c r="CI1024" s="492"/>
      <c r="CJ1024" s="492"/>
      <c r="CK1024" s="492"/>
      <c r="CL1024" s="1310" t="str">
        <f t="shared" si="2514"/>
        <v>Margin</v>
      </c>
      <c r="CM1024" s="469">
        <f t="shared" si="2515"/>
        <v>0.31145938067872597</v>
      </c>
      <c r="CN1024" s="469">
        <f t="shared" si="2516"/>
        <v>0.40005313899643213</v>
      </c>
      <c r="CO1024" s="469">
        <f t="shared" si="2517"/>
        <v>0.42946229540072633</v>
      </c>
      <c r="CP1024" s="469">
        <f t="shared" si="2518"/>
        <v>0.41289771765450545</v>
      </c>
      <c r="CQ1024" s="469">
        <f t="shared" si="2519"/>
        <v>0.40980666040774577</v>
      </c>
      <c r="CR1024" s="469">
        <f t="shared" si="2520"/>
        <v>0.38997024245085127</v>
      </c>
      <c r="CS1024" s="469">
        <f t="shared" si="2521"/>
        <v>0.36436785639155744</v>
      </c>
      <c r="CT1024" s="469">
        <f t="shared" si="2522"/>
        <v>0.39403454127749771</v>
      </c>
      <c r="CU1024" s="469">
        <f t="shared" si="2523"/>
        <v>0.38345269304412122</v>
      </c>
      <c r="CV1024" s="469">
        <f t="shared" si="2524"/>
        <v>0.31933822693619762</v>
      </c>
      <c r="CW1024" s="469">
        <f t="shared" si="2525"/>
        <v>0</v>
      </c>
      <c r="CX1024" s="469">
        <f t="shared" si="2526"/>
        <v>0</v>
      </c>
      <c r="CY1024" s="469">
        <f t="shared" si="2527"/>
        <v>0</v>
      </c>
      <c r="CZ1024" s="469">
        <f t="shared" si="2528"/>
        <v>0</v>
      </c>
      <c r="DA1024" s="469">
        <f t="shared" si="2529"/>
        <v>0</v>
      </c>
      <c r="DB1024" s="469">
        <f t="shared" si="2529"/>
        <v>0</v>
      </c>
      <c r="DC1024" s="1463">
        <f t="shared" si="2529"/>
        <v>0</v>
      </c>
      <c r="DD1024" s="492"/>
      <c r="DE1024" s="492"/>
      <c r="DF1024" s="962"/>
      <c r="DG1024" s="962"/>
      <c r="DH1024" s="469"/>
      <c r="DI1024" s="3213"/>
      <c r="DJ1024" s="962"/>
      <c r="DK1024" s="962"/>
      <c r="DL1024" s="962"/>
      <c r="DM1024" s="962"/>
      <c r="DN1024" s="962"/>
      <c r="DO1024" s="962"/>
      <c r="DP1024" s="962"/>
      <c r="DQ1024" s="962"/>
      <c r="DR1024" s="963"/>
      <c r="DS1024" s="963"/>
      <c r="DT1024" s="963"/>
    </row>
    <row r="1025" spans="1:124" ht="12" customHeight="1" x14ac:dyDescent="0.25">
      <c r="A1025" s="465" t="s">
        <v>1812</v>
      </c>
      <c r="B1025" s="466"/>
      <c r="C1025" s="467">
        <f>(C1023+C1019)/C1013</f>
        <v>0.56883945633456345</v>
      </c>
      <c r="D1025" s="467">
        <f t="shared" ref="D1025:AP1025" si="2532">(D1023+D1019)/D1013</f>
        <v>0.57034242537177759</v>
      </c>
      <c r="E1025" s="467">
        <f t="shared" si="2532"/>
        <v>0.53902789866074863</v>
      </c>
      <c r="F1025" s="467">
        <f t="shared" si="2532"/>
        <v>0.54130870034431877</v>
      </c>
      <c r="G1025" s="468">
        <f t="shared" si="2532"/>
        <v>0.55535320937698907</v>
      </c>
      <c r="H1025" s="467">
        <f>(H1023+H1019)/H1013</f>
        <v>0.63707410529171382</v>
      </c>
      <c r="I1025" s="467">
        <f t="shared" si="2532"/>
        <v>0.61143054449525147</v>
      </c>
      <c r="J1025" s="467">
        <f t="shared" si="2532"/>
        <v>0.6258489195553556</v>
      </c>
      <c r="K1025" s="467">
        <f t="shared" si="2532"/>
        <v>0.68997322546465945</v>
      </c>
      <c r="L1025" s="468">
        <f t="shared" si="2532"/>
        <v>0.64727102186441965</v>
      </c>
      <c r="M1025" s="467">
        <f>(M1023+M1019)/M1013</f>
        <v>0.73761447518552881</v>
      </c>
      <c r="N1025" s="467">
        <f t="shared" si="2532"/>
        <v>0.68768866194600387</v>
      </c>
      <c r="O1025" s="467">
        <f t="shared" si="2532"/>
        <v>0.66963335718357186</v>
      </c>
      <c r="P1025" s="467">
        <f t="shared" si="2532"/>
        <v>0.60492907849288191</v>
      </c>
      <c r="Q1025" s="468">
        <f t="shared" si="2532"/>
        <v>0.68001023057964871</v>
      </c>
      <c r="R1025" s="467">
        <f>(R1023+R1019)/R1013</f>
        <v>0.66923637295375704</v>
      </c>
      <c r="S1025" s="467">
        <f t="shared" si="2532"/>
        <v>0.66946944449340506</v>
      </c>
      <c r="T1025" s="467">
        <f t="shared" si="2532"/>
        <v>0.65505218824011002</v>
      </c>
      <c r="U1025" s="467">
        <f t="shared" si="2532"/>
        <v>0.65536001649056363</v>
      </c>
      <c r="V1025" s="468">
        <f t="shared" si="2532"/>
        <v>0.66237995624461798</v>
      </c>
      <c r="W1025" s="467">
        <f>(W1023+W1019)/W1013</f>
        <v>0.65836264396249211</v>
      </c>
      <c r="X1025" s="467">
        <f t="shared" si="2532"/>
        <v>0.67476575586680765</v>
      </c>
      <c r="Y1025" s="467">
        <f t="shared" si="2532"/>
        <v>0.63053904646007231</v>
      </c>
      <c r="Z1025" s="467">
        <f t="shared" si="2532"/>
        <v>0.67166083399362064</v>
      </c>
      <c r="AA1025" s="468">
        <f t="shared" si="2532"/>
        <v>0.65962877819529353</v>
      </c>
      <c r="AB1025" s="467">
        <f>(AB1023+AB1019)/AB1013</f>
        <v>0.66260081507024993</v>
      </c>
      <c r="AC1025" s="467">
        <f t="shared" si="2532"/>
        <v>0.63950483361516131</v>
      </c>
      <c r="AD1025" s="467">
        <f t="shared" si="2532"/>
        <v>0.61500067907103073</v>
      </c>
      <c r="AE1025" s="467">
        <f t="shared" si="2532"/>
        <v>0.59177425304315745</v>
      </c>
      <c r="AF1025" s="468">
        <f t="shared" si="2532"/>
        <v>0.6297055140901181</v>
      </c>
      <c r="AG1025" s="467">
        <f>(AG1023+AG1019)/AG1013</f>
        <v>0.62146060427509897</v>
      </c>
      <c r="AH1025" s="467">
        <f t="shared" si="2532"/>
        <v>0.60244079015410079</v>
      </c>
      <c r="AI1025" s="467">
        <f t="shared" si="2532"/>
        <v>0.58540822535909776</v>
      </c>
      <c r="AJ1025" s="467">
        <f>(AJ1023+AJ1019)/AJ1013</f>
        <v>0.59873439634579484</v>
      </c>
      <c r="AK1025" s="468">
        <f t="shared" si="2532"/>
        <v>0.6025825012367646</v>
      </c>
      <c r="AL1025" s="467">
        <f>(AL1023+AL1019)/AL1013</f>
        <v>0.66519072332277751</v>
      </c>
      <c r="AM1025" s="467">
        <f t="shared" si="2532"/>
        <v>0.62559584569914395</v>
      </c>
      <c r="AN1025" s="467">
        <f t="shared" si="2532"/>
        <v>0.62414238675730971</v>
      </c>
      <c r="AO1025" s="467">
        <f t="shared" si="2532"/>
        <v>0.61525326716940787</v>
      </c>
      <c r="AP1025" s="468">
        <f t="shared" si="2532"/>
        <v>0.63323651628498268</v>
      </c>
      <c r="AQ1025" s="581">
        <f t="shared" ref="AQ1025:AZ1025" si="2533">(AQ1023+AQ1019)/AQ1013</f>
        <v>0.67802787159591427</v>
      </c>
      <c r="AR1025" s="467">
        <f t="shared" si="2533"/>
        <v>0.64583427695476381</v>
      </c>
      <c r="AS1025" s="467">
        <f t="shared" si="2533"/>
        <v>0.60207399779799731</v>
      </c>
      <c r="AT1025" s="1669">
        <f t="shared" si="2533"/>
        <v>0.53107378449100284</v>
      </c>
      <c r="AU1025" s="1468">
        <f t="shared" si="2533"/>
        <v>0.62340152328817466</v>
      </c>
      <c r="AV1025" s="1862">
        <f t="shared" si="2533"/>
        <v>0.56099858687353032</v>
      </c>
      <c r="AW1025" s="1846">
        <f t="shared" si="2533"/>
        <v>0.62002182564117747</v>
      </c>
      <c r="AX1025" s="1846">
        <f t="shared" si="2533"/>
        <v>0.54203606238173996</v>
      </c>
      <c r="AY1025" s="1765">
        <f t="shared" si="2533"/>
        <v>0.57879555804882299</v>
      </c>
      <c r="AZ1025" s="1468">
        <f t="shared" si="2533"/>
        <v>0.57677892145065235</v>
      </c>
      <c r="BA1025" s="581"/>
      <c r="BB1025" s="467"/>
      <c r="BC1025" s="467"/>
      <c r="BD1025" s="1669"/>
      <c r="BE1025" s="1765"/>
      <c r="BF1025" s="467"/>
      <c r="BG1025" s="467"/>
      <c r="BH1025" s="467"/>
      <c r="BI1025" s="1669"/>
      <c r="BJ1025" s="1765"/>
      <c r="BK1025" s="467"/>
      <c r="BL1025" s="467"/>
      <c r="BM1025" s="467"/>
      <c r="BN1025" s="1669"/>
      <c r="BO1025" s="1765"/>
      <c r="BP1025" s="467"/>
      <c r="BQ1025" s="467"/>
      <c r="BR1025" s="467"/>
      <c r="BS1025" s="467"/>
      <c r="BT1025" s="468"/>
      <c r="BU1025" s="581"/>
      <c r="BV1025" s="467"/>
      <c r="BW1025" s="467"/>
      <c r="BX1025" s="467"/>
      <c r="BY1025" s="468"/>
      <c r="BZ1025" s="468"/>
      <c r="CA1025" s="468"/>
      <c r="CB1025" s="468"/>
      <c r="CC1025" s="468"/>
      <c r="CD1025" s="468"/>
      <c r="CE1025" s="468"/>
      <c r="CF1025" s="468"/>
      <c r="CG1025" s="492"/>
      <c r="CH1025" s="492"/>
      <c r="CI1025" s="492"/>
      <c r="CJ1025" s="492"/>
      <c r="CK1025" s="492"/>
      <c r="CL1025" s="1310" t="str">
        <f t="shared" si="2514"/>
        <v>Margin bef. tax</v>
      </c>
      <c r="CM1025" s="469">
        <f t="shared" si="2515"/>
        <v>0.55535320937698907</v>
      </c>
      <c r="CN1025" s="469">
        <f t="shared" si="2516"/>
        <v>0.64727102186441965</v>
      </c>
      <c r="CO1025" s="469">
        <f t="shared" si="2517"/>
        <v>0.68001023057964871</v>
      </c>
      <c r="CP1025" s="469">
        <f t="shared" si="2518"/>
        <v>0.66237995624461798</v>
      </c>
      <c r="CQ1025" s="469">
        <f t="shared" si="2519"/>
        <v>0.65962877819529353</v>
      </c>
      <c r="CR1025" s="469">
        <f t="shared" si="2520"/>
        <v>0.6297055140901181</v>
      </c>
      <c r="CS1025" s="469">
        <f t="shared" si="2521"/>
        <v>0.6025825012367646</v>
      </c>
      <c r="CT1025" s="469">
        <f t="shared" si="2522"/>
        <v>0.63323651628498268</v>
      </c>
      <c r="CU1025" s="469">
        <f t="shared" si="2523"/>
        <v>0.62340152328817466</v>
      </c>
      <c r="CV1025" s="469">
        <f t="shared" si="2524"/>
        <v>0.57677892145065235</v>
      </c>
      <c r="CW1025" s="469">
        <f t="shared" si="2525"/>
        <v>0</v>
      </c>
      <c r="CX1025" s="469">
        <f t="shared" si="2526"/>
        <v>0</v>
      </c>
      <c r="CY1025" s="469">
        <f t="shared" si="2527"/>
        <v>0</v>
      </c>
      <c r="CZ1025" s="469">
        <f t="shared" si="2528"/>
        <v>0</v>
      </c>
      <c r="DA1025" s="469">
        <f t="shared" si="2529"/>
        <v>0</v>
      </c>
      <c r="DB1025" s="469">
        <f t="shared" si="2529"/>
        <v>0</v>
      </c>
      <c r="DC1025" s="1463">
        <f t="shared" si="2529"/>
        <v>0</v>
      </c>
      <c r="DD1025" s="492"/>
      <c r="DE1025" s="492"/>
      <c r="DF1025" s="962"/>
      <c r="DG1025" s="962"/>
      <c r="DH1025" s="469"/>
      <c r="DI1025" s="3213"/>
      <c r="DJ1025" s="962"/>
      <c r="DK1025" s="962"/>
      <c r="DL1025" s="962"/>
      <c r="DM1025" s="962"/>
      <c r="DN1025" s="962"/>
      <c r="DO1025" s="962"/>
      <c r="DP1025" s="962"/>
      <c r="DQ1025" s="962"/>
      <c r="DR1025" s="963"/>
      <c r="DS1025" s="963"/>
      <c r="DT1025" s="963"/>
    </row>
    <row r="1026" spans="1:124" ht="12" customHeight="1" x14ac:dyDescent="0.25">
      <c r="A1026" s="465" t="s">
        <v>1491</v>
      </c>
      <c r="B1026" s="466"/>
      <c r="C1026" s="467" t="s">
        <v>553</v>
      </c>
      <c r="D1026" s="467" t="s">
        <v>553</v>
      </c>
      <c r="E1026" s="467" t="s">
        <v>553</v>
      </c>
      <c r="F1026" s="467" t="s">
        <v>553</v>
      </c>
      <c r="G1026" s="468" t="s">
        <v>553</v>
      </c>
      <c r="H1026" s="467">
        <f t="shared" ref="H1026:AF1026" si="2534">(H1023-C1023)/C1023</f>
        <v>0.20551649540292055</v>
      </c>
      <c r="I1026" s="467">
        <f t="shared" si="2534"/>
        <v>0.11796692930862288</v>
      </c>
      <c r="J1026" s="467">
        <f t="shared" si="2534"/>
        <v>0.41007661342682777</v>
      </c>
      <c r="K1026" s="467">
        <f t="shared" si="2534"/>
        <v>1.6410092213114753</v>
      </c>
      <c r="L1026" s="468">
        <f t="shared" si="2534"/>
        <v>0.56075818154894108</v>
      </c>
      <c r="M1026" s="467">
        <f t="shared" si="2534"/>
        <v>0.89044414535666216</v>
      </c>
      <c r="N1026" s="467">
        <f t="shared" si="2534"/>
        <v>0.54189001389716096</v>
      </c>
      <c r="O1026" s="467">
        <f t="shared" si="2534"/>
        <v>0.27912330785523537</v>
      </c>
      <c r="P1026" s="467">
        <f t="shared" si="2534"/>
        <v>-0.4495417293050773</v>
      </c>
      <c r="Q1026" s="468">
        <f t="shared" si="2534"/>
        <v>0.17351372891326208</v>
      </c>
      <c r="R1026" s="467">
        <f t="shared" si="2534"/>
        <v>-0.30556742132991593</v>
      </c>
      <c r="S1026" s="467">
        <f t="shared" si="2534"/>
        <v>-7.635356981909483E-2</v>
      </c>
      <c r="T1026" s="467">
        <f t="shared" si="2534"/>
        <v>-2.0158387329014017E-3</v>
      </c>
      <c r="U1026" s="467">
        <f t="shared" si="2534"/>
        <v>0.16817901506475189</v>
      </c>
      <c r="V1026" s="468">
        <f t="shared" si="2534"/>
        <v>-9.2864188347913185E-2</v>
      </c>
      <c r="W1026" s="467">
        <f t="shared" si="2534"/>
        <v>-2.6519034925842382E-2</v>
      </c>
      <c r="X1026" s="467">
        <f t="shared" si="2534"/>
        <v>-2.3558932180943695E-2</v>
      </c>
      <c r="Y1026" s="467">
        <f t="shared" si="2534"/>
        <v>-0.19037656903765685</v>
      </c>
      <c r="Z1026" s="467">
        <f t="shared" si="2534"/>
        <v>7.2021116138763205E-2</v>
      </c>
      <c r="AA1026" s="468">
        <f t="shared" si="2534"/>
        <v>-4.2959001782531259E-2</v>
      </c>
      <c r="AB1026" s="467">
        <f t="shared" si="2534"/>
        <v>3.9738819069016287E-2</v>
      </c>
      <c r="AC1026" s="467">
        <f t="shared" si="2534"/>
        <v>-0.10771646798486689</v>
      </c>
      <c r="AD1026" s="467">
        <f t="shared" si="2534"/>
        <v>-1.3187204847188938E-2</v>
      </c>
      <c r="AE1026" s="469">
        <f t="shared" si="2534"/>
        <v>-0.32606401688357367</v>
      </c>
      <c r="AF1026" s="470">
        <f t="shared" si="2534"/>
        <v>-0.10664928292046935</v>
      </c>
      <c r="AG1026" s="467">
        <f>(AG1023-AB1023)/AB1023</f>
        <v>-0.20568573164967247</v>
      </c>
      <c r="AH1026" s="467">
        <f t="shared" ref="AH1026:AU1026" si="2535">(AH1023-AC1023)/AC1023</f>
        <v>-0.15400000000000005</v>
      </c>
      <c r="AI1026" s="467">
        <f t="shared" si="2535"/>
        <v>-0.14663656884875836</v>
      </c>
      <c r="AJ1026" s="469">
        <f t="shared" si="2535"/>
        <v>2.098121085594995E-2</v>
      </c>
      <c r="AK1026" s="470">
        <f t="shared" si="2535"/>
        <v>-0.13330831456926026</v>
      </c>
      <c r="AL1026" s="467">
        <f t="shared" si="2535"/>
        <v>0.10932585224857601</v>
      </c>
      <c r="AM1026" s="467">
        <f t="shared" si="2535"/>
        <v>7.6312056737588688E-2</v>
      </c>
      <c r="AN1026" s="467">
        <f t="shared" si="2535"/>
        <v>0.17431826309385262</v>
      </c>
      <c r="AO1026" s="469">
        <f t="shared" si="2535"/>
        <v>5.0168468148041739E-2</v>
      </c>
      <c r="AP1026" s="471">
        <f t="shared" si="2535"/>
        <v>0.10178445252480152</v>
      </c>
      <c r="AQ1026" s="471">
        <f t="shared" si="2535"/>
        <v>7.2065092482182153E-2</v>
      </c>
      <c r="AR1026" s="469">
        <f t="shared" si="2535"/>
        <v>6.8319295759971574E-2</v>
      </c>
      <c r="AS1026" s="469">
        <f t="shared" si="2535"/>
        <v>-0.16567528866073652</v>
      </c>
      <c r="AT1026" s="469">
        <f t="shared" si="2535"/>
        <v>-0.43373387169969352</v>
      </c>
      <c r="AU1026" s="1689">
        <f t="shared" si="2535"/>
        <v>-9.9908776541911465E-2</v>
      </c>
      <c r="AV1026" s="1730">
        <f>(AV1023-AQ1023)/AQ1023</f>
        <v>-0.56672252781329069</v>
      </c>
      <c r="AW1026" s="1465">
        <f>(AW1023-AR1023)/AR1023</f>
        <v>-0.41535253854784904</v>
      </c>
      <c r="AX1026" s="1465">
        <f>(AX1023-AS1023)/AS1023</f>
        <v>-0.52865340085947632</v>
      </c>
      <c r="AY1026" s="1868">
        <f>(AY1023-AT1023)/AT1023</f>
        <v>-0.6912324434320517</v>
      </c>
      <c r="AZ1026" s="1689">
        <f>(AZ1023-AU1023)/AU1023</f>
        <v>-0.53109152917577473</v>
      </c>
      <c r="BA1026" s="471"/>
      <c r="BB1026" s="469"/>
      <c r="BC1026" s="469"/>
      <c r="BD1026" s="1463"/>
      <c r="BE1026" s="1868"/>
      <c r="BF1026" s="469"/>
      <c r="BG1026" s="469"/>
      <c r="BH1026" s="469"/>
      <c r="BI1026" s="1463"/>
      <c r="BJ1026" s="1868"/>
      <c r="BK1026" s="469"/>
      <c r="BL1026" s="469"/>
      <c r="BM1026" s="469"/>
      <c r="BN1026" s="1463"/>
      <c r="BO1026" s="1868"/>
      <c r="BP1026" s="469"/>
      <c r="BQ1026" s="469"/>
      <c r="BR1026" s="469"/>
      <c r="BS1026" s="469"/>
      <c r="BT1026" s="470"/>
      <c r="BU1026" s="471"/>
      <c r="BV1026" s="469"/>
      <c r="BW1026" s="469"/>
      <c r="BX1026" s="469"/>
      <c r="BY1026" s="470"/>
      <c r="BZ1026" s="470"/>
      <c r="CA1026" s="470"/>
      <c r="CB1026" s="470"/>
      <c r="CC1026" s="470"/>
      <c r="CD1026" s="470"/>
      <c r="CE1026" s="470"/>
      <c r="CF1026" s="470"/>
      <c r="CG1026" s="492"/>
      <c r="CH1026" s="492"/>
      <c r="CI1026" s="492"/>
      <c r="CJ1026" s="492"/>
      <c r="CK1026" s="492"/>
      <c r="CL1026" s="1310" t="str">
        <f t="shared" si="2514"/>
        <v>% growth (y-o-y)</v>
      </c>
      <c r="CM1026" s="469" t="str">
        <f t="shared" si="2515"/>
        <v xml:space="preserve">n/a </v>
      </c>
      <c r="CN1026" s="469">
        <f t="shared" si="2516"/>
        <v>0.56075818154894108</v>
      </c>
      <c r="CO1026" s="469">
        <f t="shared" si="2517"/>
        <v>0.17351372891326208</v>
      </c>
      <c r="CP1026" s="469">
        <f t="shared" si="2518"/>
        <v>-9.2864188347913185E-2</v>
      </c>
      <c r="CQ1026" s="469">
        <f t="shared" si="2519"/>
        <v>-4.2959001782531259E-2</v>
      </c>
      <c r="CR1026" s="469">
        <f t="shared" si="2520"/>
        <v>-0.10664928292046935</v>
      </c>
      <c r="CS1026" s="469">
        <f t="shared" si="2521"/>
        <v>-0.13330831456926026</v>
      </c>
      <c r="CT1026" s="469">
        <f t="shared" si="2522"/>
        <v>0.10178445252480152</v>
      </c>
      <c r="CU1026" s="469">
        <f t="shared" si="2523"/>
        <v>-9.9908776541911465E-2</v>
      </c>
      <c r="CV1026" s="469">
        <f t="shared" si="2524"/>
        <v>-0.53109152917577473</v>
      </c>
      <c r="CW1026" s="469">
        <f t="shared" si="2525"/>
        <v>0</v>
      </c>
      <c r="CX1026" s="469">
        <f t="shared" si="2526"/>
        <v>0</v>
      </c>
      <c r="CY1026" s="469">
        <f t="shared" si="2527"/>
        <v>0</v>
      </c>
      <c r="CZ1026" s="469">
        <f t="shared" si="2528"/>
        <v>0</v>
      </c>
      <c r="DA1026" s="469">
        <f t="shared" si="2529"/>
        <v>0</v>
      </c>
      <c r="DB1026" s="469">
        <f t="shared" si="2529"/>
        <v>0</v>
      </c>
      <c r="DC1026" s="1463">
        <f t="shared" si="2529"/>
        <v>0</v>
      </c>
      <c r="DD1026" s="492"/>
      <c r="DE1026" s="492"/>
      <c r="DF1026" s="962"/>
      <c r="DG1026" s="962"/>
      <c r="DH1026" s="469"/>
      <c r="DI1026" s="3213"/>
      <c r="DJ1026" s="962"/>
      <c r="DK1026" s="962"/>
      <c r="DL1026" s="962"/>
      <c r="DM1026" s="962"/>
      <c r="DN1026" s="962"/>
      <c r="DO1026" s="962"/>
      <c r="DP1026" s="962"/>
      <c r="DQ1026" s="962"/>
      <c r="DR1026" s="963"/>
      <c r="DS1026" s="963"/>
      <c r="DT1026" s="963"/>
    </row>
    <row r="1027" spans="1:124" ht="12" customHeight="1" x14ac:dyDescent="0.25">
      <c r="A1027" s="281" t="s">
        <v>2197</v>
      </c>
      <c r="B1027" s="281"/>
      <c r="C1027" s="570">
        <v>1.7709999999999999</v>
      </c>
      <c r="D1027" s="570">
        <v>1.8169999999999999</v>
      </c>
      <c r="E1027" s="570">
        <v>1.87</v>
      </c>
      <c r="F1027" s="570">
        <v>1.901</v>
      </c>
      <c r="G1027" s="475">
        <f>SUM(C1027:F1027)</f>
        <v>7.359</v>
      </c>
      <c r="H1027" s="570">
        <v>1.9159999999999999</v>
      </c>
      <c r="I1027" s="570">
        <v>1.9790000000000001</v>
      </c>
      <c r="J1027" s="570">
        <v>1.8839999999999999</v>
      </c>
      <c r="K1027" s="570">
        <v>1.988</v>
      </c>
      <c r="L1027" s="475">
        <f>SUM(H1027:K1027)</f>
        <v>7.7669999999999995</v>
      </c>
      <c r="M1027" s="570">
        <v>2.11</v>
      </c>
      <c r="N1027" s="570">
        <v>2.0670000000000002</v>
      </c>
      <c r="O1027" s="570">
        <v>2.0609999999999999</v>
      </c>
      <c r="P1027" s="570">
        <v>2.024</v>
      </c>
      <c r="Q1027" s="475">
        <f>SUM(M1027:P1027)</f>
        <v>8.2620000000000005</v>
      </c>
      <c r="R1027" s="570">
        <v>2.056</v>
      </c>
      <c r="S1027" s="570">
        <v>2.12</v>
      </c>
      <c r="T1027" s="570">
        <v>2.149</v>
      </c>
      <c r="U1027" s="570">
        <v>2.1440000000000001</v>
      </c>
      <c r="V1027" s="475">
        <f>SUM(R1027:U1027)</f>
        <v>8.4690000000000012</v>
      </c>
      <c r="W1027" s="570">
        <v>2.2570000000000001</v>
      </c>
      <c r="X1027" s="570">
        <v>2.3479999999999999</v>
      </c>
      <c r="Y1027" s="570">
        <v>2.371</v>
      </c>
      <c r="Z1027" s="570">
        <v>2.2599999999999998</v>
      </c>
      <c r="AA1027" s="475">
        <f>SUM(W1027:Z1027)</f>
        <v>9.2360000000000007</v>
      </c>
      <c r="AB1027" s="570">
        <v>2.2930000000000001</v>
      </c>
      <c r="AC1027" s="570">
        <v>2.302</v>
      </c>
      <c r="AD1027" s="570">
        <v>2.2879999999999998</v>
      </c>
      <c r="AE1027" s="572">
        <v>2.2749999999999999</v>
      </c>
      <c r="AF1027" s="477">
        <f>SUM(AB1027:AE1027)</f>
        <v>9.1580000000000013</v>
      </c>
      <c r="AG1027" s="570">
        <v>2.2719999999999998</v>
      </c>
      <c r="AH1027" s="570">
        <v>2.2789999999999999</v>
      </c>
      <c r="AI1027" s="570">
        <v>2.323</v>
      </c>
      <c r="AJ1027" s="572">
        <v>2.3370000000000002</v>
      </c>
      <c r="AK1027" s="477">
        <f>SUM(AG1027:AJ1027)</f>
        <v>9.2110000000000003</v>
      </c>
      <c r="AL1027" s="570">
        <v>1.98</v>
      </c>
      <c r="AM1027" s="570">
        <v>1.83</v>
      </c>
      <c r="AN1027" s="1594">
        <f>AM1027</f>
        <v>1.83</v>
      </c>
      <c r="AO1027" s="476">
        <f>AN1027</f>
        <v>1.83</v>
      </c>
      <c r="AP1027" s="478">
        <f>SUM(AL1027:AO1027)</f>
        <v>7.4700000000000006</v>
      </c>
      <c r="AQ1027" s="478">
        <f>+AO1027</f>
        <v>1.83</v>
      </c>
      <c r="AR1027" s="476">
        <f>AQ1027</f>
        <v>1.83</v>
      </c>
      <c r="AS1027" s="476">
        <f>AR1027</f>
        <v>1.83</v>
      </c>
      <c r="AT1027" s="476">
        <f>AS1027</f>
        <v>1.83</v>
      </c>
      <c r="AU1027" s="1464">
        <f>SUM(AQ1027:AT1027)</f>
        <v>7.32</v>
      </c>
      <c r="AV1027" s="478">
        <f>+AT1027</f>
        <v>1.83</v>
      </c>
      <c r="AW1027" s="476">
        <f>AV1027</f>
        <v>1.83</v>
      </c>
      <c r="AX1027" s="476">
        <f>AW1027</f>
        <v>1.83</v>
      </c>
      <c r="AY1027" s="682">
        <f>AX1027</f>
        <v>1.83</v>
      </c>
      <c r="AZ1027" s="1464">
        <f>SUM(AV1027:AY1027)</f>
        <v>7.32</v>
      </c>
      <c r="BA1027" s="478"/>
      <c r="BB1027" s="476"/>
      <c r="BC1027" s="476"/>
      <c r="BD1027" s="682"/>
      <c r="BE1027" s="1866"/>
      <c r="BF1027" s="476"/>
      <c r="BG1027" s="476"/>
      <c r="BH1027" s="476"/>
      <c r="BI1027" s="682"/>
      <c r="BJ1027" s="1866"/>
      <c r="BK1027" s="476"/>
      <c r="BL1027" s="476"/>
      <c r="BM1027" s="476"/>
      <c r="BN1027" s="682"/>
      <c r="BO1027" s="1866"/>
      <c r="BP1027" s="476"/>
      <c r="BQ1027" s="476"/>
      <c r="BR1027" s="476"/>
      <c r="BS1027" s="476"/>
      <c r="BT1027" s="2604"/>
      <c r="BU1027" s="2673"/>
      <c r="BV1027" s="2577"/>
      <c r="BW1027" s="2577"/>
      <c r="BX1027" s="2577"/>
      <c r="BY1027" s="2604"/>
      <c r="BZ1027" s="477"/>
      <c r="CA1027" s="477"/>
      <c r="CB1027" s="477"/>
      <c r="CC1027" s="477"/>
      <c r="CD1027" s="477"/>
      <c r="CE1027" s="477"/>
      <c r="CF1027" s="477"/>
      <c r="CG1027" s="331"/>
      <c r="CH1027" s="331"/>
      <c r="CI1027" s="331"/>
      <c r="CJ1027" s="331"/>
      <c r="CK1027" s="331"/>
      <c r="CL1027" s="520" t="str">
        <f t="shared" si="2514"/>
        <v>Depreciation and amortization</v>
      </c>
      <c r="CM1027" s="476">
        <f t="shared" si="2515"/>
        <v>7.359</v>
      </c>
      <c r="CN1027" s="476">
        <f t="shared" si="2516"/>
        <v>7.7669999999999995</v>
      </c>
      <c r="CO1027" s="476">
        <f t="shared" si="2517"/>
        <v>8.2620000000000005</v>
      </c>
      <c r="CP1027" s="476">
        <f t="shared" si="2518"/>
        <v>8.4690000000000012</v>
      </c>
      <c r="CQ1027" s="476">
        <f t="shared" si="2519"/>
        <v>9.2360000000000007</v>
      </c>
      <c r="CR1027" s="476">
        <f t="shared" si="2520"/>
        <v>9.1580000000000013</v>
      </c>
      <c r="CS1027" s="476">
        <f t="shared" si="2521"/>
        <v>9.2110000000000003</v>
      </c>
      <c r="CT1027" s="476">
        <f t="shared" si="2522"/>
        <v>7.4700000000000006</v>
      </c>
      <c r="CU1027" s="476">
        <f t="shared" si="2523"/>
        <v>7.32</v>
      </c>
      <c r="CV1027" s="476">
        <f t="shared" si="2524"/>
        <v>7.32</v>
      </c>
      <c r="CW1027" s="476">
        <f t="shared" si="2525"/>
        <v>0</v>
      </c>
      <c r="CX1027" s="476">
        <f t="shared" si="2526"/>
        <v>0</v>
      </c>
      <c r="CY1027" s="476">
        <f t="shared" si="2527"/>
        <v>0</v>
      </c>
      <c r="CZ1027" s="476">
        <f t="shared" si="2528"/>
        <v>0</v>
      </c>
      <c r="DA1027" s="476">
        <f t="shared" si="2529"/>
        <v>0</v>
      </c>
      <c r="DB1027" s="476">
        <f t="shared" si="2529"/>
        <v>0</v>
      </c>
      <c r="DC1027" s="682">
        <f t="shared" si="2529"/>
        <v>0</v>
      </c>
      <c r="DD1027" s="331"/>
      <c r="DE1027" s="331"/>
      <c r="DF1027" s="502"/>
      <c r="DG1027" s="503"/>
      <c r="DH1027" s="2577"/>
      <c r="DI1027" s="3213"/>
      <c r="DJ1027" s="502"/>
      <c r="DK1027" s="503"/>
      <c r="DL1027" s="502"/>
      <c r="DM1027" s="502"/>
      <c r="DN1027" s="502"/>
      <c r="DO1027" s="502"/>
      <c r="DP1027" s="503"/>
      <c r="DQ1027" s="503"/>
      <c r="DR1027" s="296"/>
      <c r="DS1027" s="296"/>
      <c r="DT1027" s="296"/>
    </row>
    <row r="1028" spans="1:124" ht="12" customHeight="1" x14ac:dyDescent="0.25">
      <c r="A1028" s="465" t="s">
        <v>646</v>
      </c>
      <c r="B1028" s="466"/>
      <c r="C1028" s="467">
        <f t="shared" ref="C1028:AF1028" si="2536">C1027/C1013</f>
        <v>6.2238622386223866E-2</v>
      </c>
      <c r="D1028" s="467">
        <f t="shared" si="2536"/>
        <v>6.6065520125077257E-2</v>
      </c>
      <c r="E1028" s="467">
        <f t="shared" si="2536"/>
        <v>7.1862270386595969E-2</v>
      </c>
      <c r="F1028" s="467">
        <f t="shared" si="2536"/>
        <v>7.1928563320594802E-2</v>
      </c>
      <c r="G1028" s="468">
        <f t="shared" si="2536"/>
        <v>6.7881817930245655E-2</v>
      </c>
      <c r="H1028" s="467">
        <f t="shared" si="2536"/>
        <v>6.5794443872119773E-2</v>
      </c>
      <c r="I1028" s="467">
        <f t="shared" si="2536"/>
        <v>6.9609567358424204E-2</v>
      </c>
      <c r="J1028" s="467">
        <f t="shared" si="2536"/>
        <v>6.5242234304117463E-2</v>
      </c>
      <c r="K1028" s="467">
        <f t="shared" si="2536"/>
        <v>4.38832722617103E-2</v>
      </c>
      <c r="L1028" s="468">
        <f t="shared" si="2536"/>
        <v>5.8961512184012757E-2</v>
      </c>
      <c r="M1028" s="467">
        <f t="shared" si="2536"/>
        <v>4.8933209647495361E-2</v>
      </c>
      <c r="N1028" s="467">
        <f t="shared" si="2536"/>
        <v>5.8312410077016388E-2</v>
      </c>
      <c r="O1028" s="467">
        <f t="shared" si="2536"/>
        <v>6.1830618306183062E-2</v>
      </c>
      <c r="P1028" s="467">
        <f t="shared" si="2536"/>
        <v>6.3050995296096701E-2</v>
      </c>
      <c r="Q1028" s="468">
        <f t="shared" si="2536"/>
        <v>5.7374601565266907E-2</v>
      </c>
      <c r="R1028" s="467">
        <f t="shared" si="2536"/>
        <v>5.8943264241277486E-2</v>
      </c>
      <c r="S1028" s="467">
        <f t="shared" si="2536"/>
        <v>6.2277841426515095E-2</v>
      </c>
      <c r="T1028" s="467">
        <f t="shared" si="2536"/>
        <v>6.2834420046197478E-2</v>
      </c>
      <c r="U1028" s="467">
        <f t="shared" si="2536"/>
        <v>6.5473645636108233E-2</v>
      </c>
      <c r="V1028" s="468">
        <f t="shared" si="2536"/>
        <v>6.2332099301533106E-2</v>
      </c>
      <c r="W1028" s="467">
        <f t="shared" si="2536"/>
        <v>6.4919749180233563E-2</v>
      </c>
      <c r="X1028" s="467">
        <f t="shared" si="2536"/>
        <v>7.0915131380247659E-2</v>
      </c>
      <c r="Y1028" s="467">
        <f t="shared" si="2536"/>
        <v>8.0125713899496465E-2</v>
      </c>
      <c r="Z1028" s="467">
        <f t="shared" si="2536"/>
        <v>6.7370178262684072E-2</v>
      </c>
      <c r="AA1028" s="468">
        <f t="shared" si="2536"/>
        <v>7.049682092616763E-2</v>
      </c>
      <c r="AB1028" s="467">
        <f t="shared" si="2536"/>
        <v>6.534811479381003E-2</v>
      </c>
      <c r="AC1028" s="467">
        <f t="shared" si="2536"/>
        <v>7.3445426411000866E-2</v>
      </c>
      <c r="AD1028" s="467">
        <f t="shared" si="2536"/>
        <v>7.7685725926931945E-2</v>
      </c>
      <c r="AE1028" s="469">
        <f t="shared" si="2536"/>
        <v>8.3917373662855038E-2</v>
      </c>
      <c r="AF1028" s="470">
        <f t="shared" si="2536"/>
        <v>7.4458916695123348E-2</v>
      </c>
      <c r="AG1028" s="467">
        <f t="shared" ref="AG1028:AU1028" si="2537">AG1027/AG1013</f>
        <v>7.4372319879537782E-2</v>
      </c>
      <c r="AH1028" s="467">
        <f t="shared" si="2537"/>
        <v>7.8567242389767977E-2</v>
      </c>
      <c r="AI1028" s="467">
        <f t="shared" si="2537"/>
        <v>8.5338525403181362E-2</v>
      </c>
      <c r="AJ1028" s="469">
        <f t="shared" si="2537"/>
        <v>8.5569916883307104E-2</v>
      </c>
      <c r="AK1028" s="470">
        <f t="shared" si="2537"/>
        <v>8.0735923147044392E-2</v>
      </c>
      <c r="AL1028" s="467">
        <f t="shared" si="2537"/>
        <v>6.4640396983448145E-2</v>
      </c>
      <c r="AM1028" s="467">
        <f t="shared" si="2537"/>
        <v>6.2168772931104774E-2</v>
      </c>
      <c r="AN1028" s="467">
        <f t="shared" si="2537"/>
        <v>6.3486071098585978E-2</v>
      </c>
      <c r="AO1028" s="469">
        <f t="shared" si="2537"/>
        <v>6.6924519428346901E-2</v>
      </c>
      <c r="AP1028" s="471">
        <f t="shared" si="2537"/>
        <v>6.4265550432797983E-2</v>
      </c>
      <c r="AQ1028" s="471">
        <f t="shared" si="2537"/>
        <v>5.7452735328402199E-2</v>
      </c>
      <c r="AR1028" s="469">
        <f t="shared" si="2537"/>
        <v>6.1258580698196431E-2</v>
      </c>
      <c r="AS1028" s="469">
        <f t="shared" si="2537"/>
        <v>7.1503872793344331E-2</v>
      </c>
      <c r="AT1028" s="469">
        <f t="shared" si="2537"/>
        <v>9.0630071803368142E-2</v>
      </c>
      <c r="AU1028" s="1689">
        <f t="shared" si="2537"/>
        <v>6.808629185231771E-2</v>
      </c>
      <c r="AV1028" s="1730">
        <f>AV1027/AV1013</f>
        <v>9.2159354516606146E-2</v>
      </c>
      <c r="AW1028" s="1465">
        <f>AW1027/AW1013</f>
        <v>9.3890362388103263E-2</v>
      </c>
      <c r="AX1028" s="1465">
        <f>AX1027/AX1013</f>
        <v>0.11756024615555784</v>
      </c>
      <c r="AY1028" s="1868">
        <f>AY1027/AY1013</f>
        <v>0.32562725269259635</v>
      </c>
      <c r="AZ1028" s="1689">
        <f>AZ1027/AZ1013</f>
        <v>0.12092350341437724</v>
      </c>
      <c r="BA1028" s="471"/>
      <c r="BB1028" s="469"/>
      <c r="BC1028" s="469"/>
      <c r="BD1028" s="1463"/>
      <c r="BE1028" s="1868"/>
      <c r="BF1028" s="469"/>
      <c r="BG1028" s="469"/>
      <c r="BH1028" s="469"/>
      <c r="BI1028" s="1463"/>
      <c r="BJ1028" s="1868"/>
      <c r="BK1028" s="469"/>
      <c r="BL1028" s="469"/>
      <c r="BM1028" s="469"/>
      <c r="BN1028" s="1463"/>
      <c r="BO1028" s="1868"/>
      <c r="BP1028" s="469"/>
      <c r="BQ1028" s="469"/>
      <c r="BR1028" s="469"/>
      <c r="BS1028" s="469"/>
      <c r="BT1028" s="470"/>
      <c r="BU1028" s="471"/>
      <c r="BV1028" s="469"/>
      <c r="BW1028" s="469"/>
      <c r="BX1028" s="469"/>
      <c r="BY1028" s="470"/>
      <c r="BZ1028" s="470"/>
      <c r="CA1028" s="470"/>
      <c r="CB1028" s="470"/>
      <c r="CC1028" s="470"/>
      <c r="CD1028" s="470"/>
      <c r="CE1028" s="470"/>
      <c r="CF1028" s="470"/>
      <c r="CG1028" s="492"/>
      <c r="CH1028" s="492"/>
      <c r="CI1028" s="492"/>
      <c r="CJ1028" s="492"/>
      <c r="CK1028" s="492"/>
      <c r="CL1028" s="1310" t="str">
        <f t="shared" si="2514"/>
        <v>% of Net revenue</v>
      </c>
      <c r="CM1028" s="469">
        <f t="shared" si="2515"/>
        <v>6.7881817930245655E-2</v>
      </c>
      <c r="CN1028" s="469">
        <f t="shared" si="2516"/>
        <v>5.8961512184012757E-2</v>
      </c>
      <c r="CO1028" s="469">
        <f t="shared" si="2517"/>
        <v>5.7374601565266907E-2</v>
      </c>
      <c r="CP1028" s="469">
        <f t="shared" si="2518"/>
        <v>6.2332099301533106E-2</v>
      </c>
      <c r="CQ1028" s="469">
        <f t="shared" si="2519"/>
        <v>7.049682092616763E-2</v>
      </c>
      <c r="CR1028" s="469">
        <f t="shared" si="2520"/>
        <v>7.4458916695123348E-2</v>
      </c>
      <c r="CS1028" s="469">
        <f t="shared" si="2521"/>
        <v>8.0735923147044392E-2</v>
      </c>
      <c r="CT1028" s="469">
        <f t="shared" si="2522"/>
        <v>6.4265550432797983E-2</v>
      </c>
      <c r="CU1028" s="469">
        <f t="shared" si="2523"/>
        <v>6.808629185231771E-2</v>
      </c>
      <c r="CV1028" s="469">
        <f t="shared" si="2524"/>
        <v>0.12092350341437724</v>
      </c>
      <c r="CW1028" s="469">
        <f t="shared" si="2525"/>
        <v>0</v>
      </c>
      <c r="CX1028" s="469">
        <f t="shared" si="2526"/>
        <v>0</v>
      </c>
      <c r="CY1028" s="469">
        <f t="shared" si="2527"/>
        <v>0</v>
      </c>
      <c r="CZ1028" s="469">
        <f t="shared" si="2528"/>
        <v>0</v>
      </c>
      <c r="DA1028" s="469">
        <f t="shared" si="2529"/>
        <v>0</v>
      </c>
      <c r="DB1028" s="469">
        <f t="shared" si="2529"/>
        <v>0</v>
      </c>
      <c r="DC1028" s="1463">
        <f t="shared" si="2529"/>
        <v>0</v>
      </c>
      <c r="DD1028" s="492"/>
      <c r="DE1028" s="492"/>
      <c r="DF1028" s="962"/>
      <c r="DG1028" s="962"/>
      <c r="DH1028" s="469"/>
      <c r="DI1028" s="3213"/>
      <c r="DJ1028" s="962"/>
      <c r="DK1028" s="962"/>
      <c r="DL1028" s="962"/>
      <c r="DM1028" s="962"/>
      <c r="DN1028" s="962"/>
      <c r="DO1028" s="962"/>
      <c r="DP1028" s="962"/>
      <c r="DQ1028" s="962"/>
      <c r="DR1028" s="963"/>
      <c r="DS1028" s="963"/>
      <c r="DT1028" s="963"/>
    </row>
    <row r="1029" spans="1:124" ht="12" customHeight="1" x14ac:dyDescent="0.25">
      <c r="A1029" s="281"/>
      <c r="B1029" s="479"/>
      <c r="C1029" s="480"/>
      <c r="D1029" s="480"/>
      <c r="E1029" s="480"/>
      <c r="F1029" s="480"/>
      <c r="G1029" s="482"/>
      <c r="H1029" s="480"/>
      <c r="I1029" s="480"/>
      <c r="J1029" s="482"/>
      <c r="K1029" s="480"/>
      <c r="L1029" s="482"/>
      <c r="M1029" s="480"/>
      <c r="N1029" s="480"/>
      <c r="O1029" s="480"/>
      <c r="P1029" s="480"/>
      <c r="Q1029" s="482"/>
      <c r="R1029" s="482"/>
      <c r="S1029" s="480"/>
      <c r="T1029" s="480"/>
      <c r="U1029" s="480"/>
      <c r="V1029" s="482"/>
      <c r="W1029" s="480"/>
      <c r="X1029" s="480"/>
      <c r="Y1029" s="480"/>
      <c r="Z1029" s="480"/>
      <c r="AA1029" s="484"/>
      <c r="AB1029" s="480"/>
      <c r="AC1029" s="480"/>
      <c r="AD1029" s="480"/>
      <c r="AE1029" s="430"/>
      <c r="AF1029" s="481"/>
      <c r="AG1029" s="430"/>
      <c r="AH1029" s="430"/>
      <c r="AI1029" s="430"/>
      <c r="AJ1029" s="430"/>
      <c r="AK1029" s="481"/>
      <c r="AL1029" s="430"/>
      <c r="AM1029" s="430"/>
      <c r="AN1029" s="430"/>
      <c r="AO1029" s="430"/>
      <c r="AP1029" s="481"/>
      <c r="AQ1029" s="430"/>
      <c r="AR1029" s="430"/>
      <c r="AS1029" s="430"/>
      <c r="AT1029" s="430"/>
      <c r="AU1029" s="481"/>
      <c r="AV1029" s="483"/>
      <c r="AW1029" s="430"/>
      <c r="AX1029" s="430"/>
      <c r="AY1029" s="853"/>
      <c r="AZ1029" s="481"/>
      <c r="BA1029" s="483"/>
      <c r="BB1029" s="430"/>
      <c r="BC1029" s="430"/>
      <c r="BD1029" s="853"/>
      <c r="BE1029" s="481"/>
      <c r="BF1029" s="430"/>
      <c r="BG1029" s="430"/>
      <c r="BH1029" s="430"/>
      <c r="BI1029" s="853"/>
      <c r="BJ1029" s="481"/>
      <c r="BK1029" s="430"/>
      <c r="BL1029" s="430"/>
      <c r="BM1029" s="430"/>
      <c r="BN1029" s="853"/>
      <c r="BO1029" s="481"/>
      <c r="BP1029" s="430"/>
      <c r="BQ1029" s="430"/>
      <c r="BR1029" s="430"/>
      <c r="BS1029" s="430"/>
      <c r="BT1029" s="2587"/>
      <c r="BU1029" s="3397"/>
      <c r="BV1029" s="2840"/>
      <c r="BW1029" s="2840"/>
      <c r="BX1029" s="2840"/>
      <c r="BY1029" s="2587"/>
      <c r="BZ1029" s="481"/>
      <c r="CA1029" s="481"/>
      <c r="CB1029" s="481"/>
      <c r="CC1029" s="481"/>
      <c r="CD1029" s="481"/>
      <c r="CE1029" s="481"/>
      <c r="CF1029" s="481"/>
      <c r="CG1029" s="331"/>
      <c r="CH1029" s="331"/>
      <c r="CI1029" s="331"/>
      <c r="CJ1029" s="331"/>
      <c r="CK1029" s="331"/>
      <c r="CL1029" s="520"/>
      <c r="CM1029" s="430"/>
      <c r="CN1029" s="430"/>
      <c r="CO1029" s="430"/>
      <c r="CP1029" s="430"/>
      <c r="CQ1029" s="430"/>
      <c r="CR1029" s="430"/>
      <c r="CS1029" s="430"/>
      <c r="CT1029" s="430"/>
      <c r="CU1029" s="430"/>
      <c r="CV1029" s="430"/>
      <c r="CW1029" s="430"/>
      <c r="CX1029" s="430"/>
      <c r="CY1029" s="430"/>
      <c r="CZ1029" s="430"/>
      <c r="DA1029" s="430"/>
      <c r="DB1029" s="430"/>
      <c r="DC1029" s="853"/>
      <c r="DD1029" s="331"/>
      <c r="DE1029" s="331"/>
      <c r="DF1029" s="502"/>
      <c r="DG1029" s="503"/>
      <c r="DH1029" s="2840"/>
      <c r="DI1029" s="3213"/>
      <c r="DJ1029" s="502"/>
      <c r="DK1029" s="503"/>
      <c r="DL1029" s="502"/>
      <c r="DM1029" s="502"/>
      <c r="DN1029" s="502"/>
      <c r="DO1029" s="502"/>
      <c r="DP1029" s="503"/>
      <c r="DQ1029" s="503"/>
      <c r="DR1029" s="428"/>
      <c r="DS1029" s="428"/>
      <c r="DT1029" s="428"/>
    </row>
    <row r="1030" spans="1:124" ht="12" customHeight="1" x14ac:dyDescent="0.25">
      <c r="A1030" s="462" t="s">
        <v>2587</v>
      </c>
      <c r="B1030" s="409"/>
      <c r="C1030" s="433" t="str">
        <f>C$6</f>
        <v>1Q04</v>
      </c>
      <c r="D1030" s="433" t="str">
        <f t="shared" ref="D1030:CB1030" si="2538">D$6</f>
        <v>2Q04</v>
      </c>
      <c r="E1030" s="433" t="str">
        <f t="shared" si="2538"/>
        <v>3Q04</v>
      </c>
      <c r="F1030" s="433" t="str">
        <f t="shared" si="2538"/>
        <v>4Q04</v>
      </c>
      <c r="G1030" s="434">
        <f t="shared" si="2538"/>
        <v>2004</v>
      </c>
      <c r="H1030" s="433" t="str">
        <f t="shared" si="2538"/>
        <v>1Q05</v>
      </c>
      <c r="I1030" s="433" t="str">
        <f t="shared" si="2538"/>
        <v>2Q05</v>
      </c>
      <c r="J1030" s="433" t="str">
        <f t="shared" si="2538"/>
        <v>3Q05</v>
      </c>
      <c r="K1030" s="433" t="str">
        <f t="shared" si="2538"/>
        <v>4Q05</v>
      </c>
      <c r="L1030" s="434">
        <f t="shared" si="2538"/>
        <v>2005</v>
      </c>
      <c r="M1030" s="433" t="str">
        <f t="shared" si="2538"/>
        <v>1Q06</v>
      </c>
      <c r="N1030" s="433" t="str">
        <f t="shared" si="2538"/>
        <v>2Q06</v>
      </c>
      <c r="O1030" s="433" t="str">
        <f t="shared" si="2538"/>
        <v>3Q06</v>
      </c>
      <c r="P1030" s="433" t="str">
        <f t="shared" si="2538"/>
        <v>4Q06</v>
      </c>
      <c r="Q1030" s="434">
        <f t="shared" si="2538"/>
        <v>2006</v>
      </c>
      <c r="R1030" s="433" t="str">
        <f t="shared" si="2538"/>
        <v>1Q07</v>
      </c>
      <c r="S1030" s="433" t="str">
        <f t="shared" si="2538"/>
        <v>2Q07</v>
      </c>
      <c r="T1030" s="433" t="str">
        <f t="shared" si="2538"/>
        <v>3Q07</v>
      </c>
      <c r="U1030" s="433" t="str">
        <f t="shared" si="2538"/>
        <v>4Q07</v>
      </c>
      <c r="V1030" s="434">
        <f t="shared" si="2538"/>
        <v>2007</v>
      </c>
      <c r="W1030" s="433" t="str">
        <f t="shared" si="2538"/>
        <v>1Q08</v>
      </c>
      <c r="X1030" s="433" t="str">
        <f t="shared" si="2538"/>
        <v>2Q08</v>
      </c>
      <c r="Y1030" s="433" t="str">
        <f t="shared" si="2538"/>
        <v>3Q08</v>
      </c>
      <c r="Z1030" s="433" t="str">
        <f t="shared" si="2538"/>
        <v>4Q08</v>
      </c>
      <c r="AA1030" s="434">
        <f t="shared" si="2538"/>
        <v>2008</v>
      </c>
      <c r="AB1030" s="433" t="str">
        <f t="shared" si="2538"/>
        <v>1Q09</v>
      </c>
      <c r="AC1030" s="433" t="str">
        <f t="shared" si="2538"/>
        <v>2Q09</v>
      </c>
      <c r="AD1030" s="433" t="str">
        <f t="shared" si="2538"/>
        <v>3Q09</v>
      </c>
      <c r="AE1030" s="433" t="str">
        <f t="shared" si="2538"/>
        <v>4Q09</v>
      </c>
      <c r="AF1030" s="434">
        <f t="shared" si="2538"/>
        <v>2009</v>
      </c>
      <c r="AG1030" s="433" t="str">
        <f t="shared" si="2538"/>
        <v>1Q10</v>
      </c>
      <c r="AH1030" s="433" t="str">
        <f t="shared" si="2538"/>
        <v>2Q10</v>
      </c>
      <c r="AI1030" s="433" t="str">
        <f t="shared" si="2538"/>
        <v>3Q10</v>
      </c>
      <c r="AJ1030" s="433" t="str">
        <f t="shared" si="2538"/>
        <v>4Q10</v>
      </c>
      <c r="AK1030" s="434">
        <f t="shared" si="2538"/>
        <v>2010</v>
      </c>
      <c r="AL1030" s="435" t="str">
        <f t="shared" si="2538"/>
        <v>1Q11</v>
      </c>
      <c r="AM1030" s="435" t="str">
        <f t="shared" si="2538"/>
        <v>2Q11</v>
      </c>
      <c r="AN1030" s="435" t="str">
        <f t="shared" si="2538"/>
        <v>3Q11</v>
      </c>
      <c r="AO1030" s="435" t="str">
        <f t="shared" si="2538"/>
        <v>4Q11</v>
      </c>
      <c r="AP1030" s="436">
        <f t="shared" si="2538"/>
        <v>2011</v>
      </c>
      <c r="AQ1030" s="436" t="str">
        <f t="shared" si="2538"/>
        <v>1Q12</v>
      </c>
      <c r="AR1030" s="437" t="str">
        <f t="shared" si="2538"/>
        <v>2Q12</v>
      </c>
      <c r="AS1030" s="437" t="str">
        <f t="shared" si="2538"/>
        <v>3Q12</v>
      </c>
      <c r="AT1030" s="437" t="str">
        <f t="shared" si="2538"/>
        <v>4Q12</v>
      </c>
      <c r="AU1030" s="438">
        <f t="shared" si="2538"/>
        <v>2012</v>
      </c>
      <c r="AV1030" s="436" t="str">
        <f t="shared" si="2538"/>
        <v>1Q13</v>
      </c>
      <c r="AW1030" s="437" t="str">
        <f t="shared" si="2538"/>
        <v>2Q13</v>
      </c>
      <c r="AX1030" s="437" t="str">
        <f t="shared" si="2538"/>
        <v>3Q13</v>
      </c>
      <c r="AY1030" s="861" t="str">
        <f t="shared" si="2538"/>
        <v>4Q13</v>
      </c>
      <c r="AZ1030" s="438">
        <f t="shared" si="2538"/>
        <v>2013</v>
      </c>
      <c r="BA1030" s="436" t="str">
        <f t="shared" si="2538"/>
        <v>1Q14</v>
      </c>
      <c r="BB1030" s="437" t="str">
        <f t="shared" si="2538"/>
        <v>2Q14</v>
      </c>
      <c r="BC1030" s="437" t="str">
        <f t="shared" si="2538"/>
        <v>3Q14</v>
      </c>
      <c r="BD1030" s="437" t="str">
        <f t="shared" si="2538"/>
        <v>4Q14</v>
      </c>
      <c r="BE1030" s="438">
        <f t="shared" si="2538"/>
        <v>2014</v>
      </c>
      <c r="BF1030" s="437" t="str">
        <f t="shared" si="2538"/>
        <v>1Q15</v>
      </c>
      <c r="BG1030" s="437" t="str">
        <f t="shared" si="2538"/>
        <v>2Q15</v>
      </c>
      <c r="BH1030" s="437" t="str">
        <f t="shared" si="2538"/>
        <v>3Q15</v>
      </c>
      <c r="BI1030" s="437" t="str">
        <f t="shared" si="2538"/>
        <v>4Q15</v>
      </c>
      <c r="BJ1030" s="438">
        <f t="shared" si="2538"/>
        <v>2015</v>
      </c>
      <c r="BK1030" s="437" t="str">
        <f t="shared" si="2538"/>
        <v>1Q16</v>
      </c>
      <c r="BL1030" s="437" t="str">
        <f t="shared" si="2538"/>
        <v>2Q16</v>
      </c>
      <c r="BM1030" s="437" t="str">
        <f t="shared" si="2538"/>
        <v>3Q16</v>
      </c>
      <c r="BN1030" s="437" t="str">
        <f t="shared" si="2538"/>
        <v>4Q16</v>
      </c>
      <c r="BO1030" s="438">
        <f t="shared" si="2538"/>
        <v>2016</v>
      </c>
      <c r="BP1030" s="437" t="str">
        <f t="shared" si="2538"/>
        <v>1Q17</v>
      </c>
      <c r="BQ1030" s="437" t="str">
        <f t="shared" si="2538"/>
        <v>2Q17</v>
      </c>
      <c r="BR1030" s="437" t="str">
        <f t="shared" si="2538"/>
        <v>3Q17</v>
      </c>
      <c r="BS1030" s="437" t="str">
        <f t="shared" si="2538"/>
        <v>4Q17</v>
      </c>
      <c r="BT1030" s="438">
        <f t="shared" si="2538"/>
        <v>2017</v>
      </c>
      <c r="BU1030" s="437" t="str">
        <f t="shared" si="2538"/>
        <v>1Q18E</v>
      </c>
      <c r="BV1030" s="437" t="str">
        <f t="shared" si="2538"/>
        <v>2Q18E</v>
      </c>
      <c r="BW1030" s="437" t="str">
        <f t="shared" si="2538"/>
        <v>3Q18E</v>
      </c>
      <c r="BX1030" s="437" t="str">
        <f t="shared" si="2538"/>
        <v>4Q18E</v>
      </c>
      <c r="BY1030" s="438" t="str">
        <f t="shared" si="2538"/>
        <v>2018E</v>
      </c>
      <c r="BZ1030" s="438" t="str">
        <f t="shared" si="2538"/>
        <v>2019E</v>
      </c>
      <c r="CA1030" s="438" t="str">
        <f t="shared" si="2538"/>
        <v>2020E</v>
      </c>
      <c r="CB1030" s="438" t="str">
        <f t="shared" si="2538"/>
        <v>2021E</v>
      </c>
      <c r="CC1030" s="438" t="str">
        <f>CC$6</f>
        <v>2022E</v>
      </c>
      <c r="CD1030" s="438" t="str">
        <f>CD$6</f>
        <v>2023E</v>
      </c>
      <c r="CE1030" s="438" t="str">
        <f>CE$6</f>
        <v>2024E</v>
      </c>
      <c r="CF1030" s="438" t="str">
        <f>CF$6</f>
        <v>2025E</v>
      </c>
      <c r="CG1030" s="331"/>
      <c r="CH1030" s="331"/>
      <c r="CI1030" s="331"/>
      <c r="CJ1030" s="331"/>
      <c r="CK1030" s="331"/>
      <c r="CL1030" s="2225" t="str">
        <f>A1030</f>
        <v>PNK OpCo</v>
      </c>
      <c r="CM1030" s="2199">
        <f>G1030</f>
        <v>2004</v>
      </c>
      <c r="CN1030" s="2199">
        <f>L1030</f>
        <v>2005</v>
      </c>
      <c r="CO1030" s="2199">
        <f>Q1030</f>
        <v>2006</v>
      </c>
      <c r="CP1030" s="2199">
        <f>V1030</f>
        <v>2007</v>
      </c>
      <c r="CQ1030" s="2199">
        <f>AA1030</f>
        <v>2008</v>
      </c>
      <c r="CR1030" s="2199">
        <f>AF1030</f>
        <v>2009</v>
      </c>
      <c r="CS1030" s="2199">
        <f>AK1030</f>
        <v>2010</v>
      </c>
      <c r="CT1030" s="2199">
        <f>AP1030</f>
        <v>2011</v>
      </c>
      <c r="CU1030" s="2199">
        <f>AU1030</f>
        <v>2012</v>
      </c>
      <c r="CV1030" s="2199">
        <f>AZ1030</f>
        <v>2013</v>
      </c>
      <c r="CW1030" s="2199">
        <f>BE1030</f>
        <v>2014</v>
      </c>
      <c r="CX1030" s="2199">
        <f>BJ1030</f>
        <v>2015</v>
      </c>
      <c r="CY1030" s="2199">
        <f>BO1030</f>
        <v>2016</v>
      </c>
      <c r="CZ1030" s="2199">
        <f>BT1030</f>
        <v>2017</v>
      </c>
      <c r="DA1030" s="2199" t="str">
        <f>BY1030</f>
        <v>2018E</v>
      </c>
      <c r="DB1030" s="2199" t="str">
        <f>BZ1030</f>
        <v>2019E</v>
      </c>
      <c r="DC1030" s="2200" t="str">
        <f>CA1030</f>
        <v>2020E</v>
      </c>
      <c r="DD1030" s="331"/>
      <c r="DE1030" s="331"/>
      <c r="DF1030" s="502"/>
      <c r="DG1030" s="503"/>
      <c r="DH1030" s="537"/>
      <c r="DI1030" s="3213"/>
      <c r="DJ1030" s="502"/>
      <c r="DK1030" s="503"/>
      <c r="DL1030" s="502"/>
      <c r="DM1030" s="502"/>
      <c r="DN1030" s="502"/>
      <c r="DO1030" s="502"/>
      <c r="DP1030" s="503"/>
      <c r="DQ1030" s="503"/>
      <c r="DR1030" s="296"/>
      <c r="DS1030" s="296"/>
      <c r="DT1030" s="296"/>
    </row>
    <row r="1031" spans="1:124" ht="12" customHeight="1" x14ac:dyDescent="0.25">
      <c r="A1031" s="2125"/>
      <c r="B1031" s="428"/>
      <c r="C1031" s="502"/>
      <c r="D1031" s="502"/>
      <c r="E1031" s="502"/>
      <c r="F1031" s="502"/>
      <c r="G1031" s="534"/>
      <c r="H1031" s="502"/>
      <c r="I1031" s="502"/>
      <c r="J1031" s="502"/>
      <c r="K1031" s="502"/>
      <c r="L1031" s="534"/>
      <c r="M1031" s="502"/>
      <c r="N1031" s="502"/>
      <c r="O1031" s="502"/>
      <c r="P1031" s="502"/>
      <c r="Q1031" s="534"/>
      <c r="R1031" s="502"/>
      <c r="S1031" s="502"/>
      <c r="T1031" s="502"/>
      <c r="U1031" s="502"/>
      <c r="V1031" s="534"/>
      <c r="W1031" s="502"/>
      <c r="X1031" s="502"/>
      <c r="Y1031" s="502"/>
      <c r="Z1031" s="502"/>
      <c r="AA1031" s="534"/>
      <c r="AB1031" s="502"/>
      <c r="AC1031" s="502"/>
      <c r="AD1031" s="502"/>
      <c r="AE1031" s="502"/>
      <c r="AF1031" s="534"/>
      <c r="AG1031" s="502"/>
      <c r="AH1031" s="502"/>
      <c r="AI1031" s="502"/>
      <c r="AJ1031" s="502"/>
      <c r="AK1031" s="534"/>
      <c r="AL1031" s="503"/>
      <c r="AM1031" s="503"/>
      <c r="AN1031" s="503"/>
      <c r="AO1031" s="503"/>
      <c r="AP1031" s="535"/>
      <c r="AQ1031" s="535"/>
      <c r="AR1031" s="537"/>
      <c r="AS1031" s="537"/>
      <c r="AT1031" s="537"/>
      <c r="AU1031" s="536"/>
      <c r="AV1031" s="535"/>
      <c r="AW1031" s="537"/>
      <c r="AX1031" s="537"/>
      <c r="AY1031" s="1926"/>
      <c r="AZ1031" s="536"/>
      <c r="BA1031" s="535"/>
      <c r="BB1031" s="537"/>
      <c r="BC1031" s="537"/>
      <c r="BD1031" s="537"/>
      <c r="BE1031" s="536"/>
      <c r="BF1031" s="537"/>
      <c r="BG1031" s="537"/>
      <c r="BH1031" s="537"/>
      <c r="BI1031" s="537"/>
      <c r="BJ1031" s="536"/>
      <c r="BK1031" s="537"/>
      <c r="BL1031" s="537"/>
      <c r="BM1031" s="537"/>
      <c r="BN1031" s="537"/>
      <c r="BO1031" s="536"/>
      <c r="BP1031" s="537"/>
      <c r="BQ1031" s="537"/>
      <c r="BR1031" s="537"/>
      <c r="BS1031" s="537"/>
      <c r="BT1031" s="536"/>
      <c r="BU1031" s="537"/>
      <c r="BV1031" s="537"/>
      <c r="BW1031" s="537"/>
      <c r="BX1031" s="537"/>
      <c r="BY1031" s="536"/>
      <c r="BZ1031" s="536"/>
      <c r="CA1031" s="536"/>
      <c r="CB1031" s="536"/>
      <c r="CC1031" s="536"/>
      <c r="CD1031" s="536"/>
      <c r="CE1031" s="536"/>
      <c r="CF1031" s="536"/>
      <c r="CG1031" s="331"/>
      <c r="CH1031" s="331"/>
      <c r="CI1031" s="331"/>
      <c r="CJ1031" s="331"/>
      <c r="CK1031" s="331"/>
      <c r="CL1031" s="2036"/>
      <c r="CM1031" s="503"/>
      <c r="CN1031" s="503"/>
      <c r="CO1031" s="503"/>
      <c r="CP1031" s="503"/>
      <c r="CQ1031" s="503"/>
      <c r="CR1031" s="503"/>
      <c r="CS1031" s="503"/>
      <c r="CT1031" s="503"/>
      <c r="CU1031" s="503"/>
      <c r="CV1031" s="503"/>
      <c r="CW1031" s="503"/>
      <c r="CX1031" s="503"/>
      <c r="CY1031" s="503"/>
      <c r="CZ1031" s="503"/>
      <c r="DA1031" s="503"/>
      <c r="DB1031" s="503"/>
      <c r="DC1031" s="2124"/>
      <c r="DD1031" s="331"/>
      <c r="DE1031" s="331"/>
      <c r="DF1031" s="502"/>
      <c r="DG1031" s="503"/>
      <c r="DH1031" s="537"/>
      <c r="DI1031" s="3213"/>
      <c r="DJ1031" s="502"/>
      <c r="DK1031" s="503"/>
      <c r="DL1031" s="502"/>
      <c r="DM1031" s="502"/>
      <c r="DN1031" s="502"/>
      <c r="DO1031" s="502"/>
      <c r="DP1031" s="503"/>
      <c r="DQ1031" s="503"/>
      <c r="DR1031" s="428"/>
      <c r="DS1031" s="428"/>
      <c r="DT1031" s="428"/>
    </row>
    <row r="1032" spans="1:124" ht="12" customHeight="1" x14ac:dyDescent="0.25">
      <c r="A1032" s="291" t="s">
        <v>2588</v>
      </c>
      <c r="B1032" s="281"/>
      <c r="C1032" s="305"/>
      <c r="D1032" s="305"/>
      <c r="E1032" s="305"/>
      <c r="F1032" s="305"/>
      <c r="G1032" s="345"/>
      <c r="H1032" s="305"/>
      <c r="I1032" s="305"/>
      <c r="J1032" s="305"/>
      <c r="K1032" s="305"/>
      <c r="L1032" s="345"/>
      <c r="M1032" s="305"/>
      <c r="N1032" s="305"/>
      <c r="O1032" s="305"/>
      <c r="P1032" s="305"/>
      <c r="Q1032" s="345"/>
      <c r="R1032" s="305"/>
      <c r="S1032" s="305"/>
      <c r="T1032" s="305"/>
      <c r="U1032" s="305"/>
      <c r="V1032" s="345"/>
      <c r="W1032" s="305"/>
      <c r="X1032" s="305"/>
      <c r="Y1032" s="305"/>
      <c r="Z1032" s="305"/>
      <c r="AA1032" s="345"/>
      <c r="AB1032" s="305"/>
      <c r="AC1032" s="305"/>
      <c r="AD1032" s="305"/>
      <c r="AE1032" s="331"/>
      <c r="AF1032" s="348"/>
      <c r="AG1032" s="305"/>
      <c r="AH1032" s="305"/>
      <c r="AI1032" s="305"/>
      <c r="AJ1032" s="331"/>
      <c r="AK1032" s="348"/>
      <c r="AL1032" s="305"/>
      <c r="AM1032" s="305"/>
      <c r="AN1032" s="305"/>
      <c r="AO1032" s="331"/>
      <c r="AP1032" s="568"/>
      <c r="AQ1032" s="568"/>
      <c r="AR1032" s="330"/>
      <c r="AS1032" s="330"/>
      <c r="AT1032" s="330"/>
      <c r="AU1032" s="1692"/>
      <c r="AV1032" s="1912"/>
      <c r="AW1032" s="1839"/>
      <c r="AX1032" s="1839"/>
      <c r="AY1032" s="1906"/>
      <c r="AZ1032" s="1692"/>
      <c r="BA1032" s="553"/>
      <c r="BB1032" s="551"/>
      <c r="BC1032" s="551"/>
      <c r="BD1032" s="551"/>
      <c r="BE1032" s="1692"/>
      <c r="BF1032" s="551"/>
      <c r="BG1032" s="551"/>
      <c r="BH1032" s="551"/>
      <c r="BI1032" s="551"/>
      <c r="BJ1032" s="1692"/>
      <c r="BK1032" s="551"/>
      <c r="BL1032" s="551"/>
      <c r="BM1032" s="551"/>
      <c r="BN1032" s="551"/>
      <c r="BO1032" s="1692"/>
      <c r="BP1032" s="551"/>
      <c r="BQ1032" s="551"/>
      <c r="BR1032" s="551"/>
      <c r="BS1032" s="551"/>
      <c r="BT1032" s="3234"/>
      <c r="BU1032" s="3297"/>
      <c r="BV1032" s="3297"/>
      <c r="BW1032" s="3297"/>
      <c r="BX1032" s="3297"/>
      <c r="BY1032" s="3234"/>
      <c r="BZ1032" s="552"/>
      <c r="CA1032" s="552"/>
      <c r="CB1032" s="552"/>
      <c r="CC1032" s="552"/>
      <c r="CD1032" s="552"/>
      <c r="CE1032" s="552"/>
      <c r="CF1032" s="552"/>
      <c r="CG1032" s="331"/>
      <c r="CH1032" s="331"/>
      <c r="CI1032" s="331"/>
      <c r="CJ1032" s="331"/>
      <c r="CK1032" s="331"/>
      <c r="CL1032" s="520"/>
      <c r="CM1032" s="330"/>
      <c r="CN1032" s="330"/>
      <c r="CO1032" s="330"/>
      <c r="CP1032" s="330"/>
      <c r="CQ1032" s="330"/>
      <c r="CR1032" s="330"/>
      <c r="CS1032" s="330"/>
      <c r="CT1032" s="330"/>
      <c r="CU1032" s="330"/>
      <c r="CV1032" s="330"/>
      <c r="CW1032" s="330"/>
      <c r="CX1032" s="330"/>
      <c r="CY1032" s="330"/>
      <c r="CZ1032" s="330"/>
      <c r="DA1032" s="330"/>
      <c r="DB1032" s="330"/>
      <c r="DC1032" s="1888"/>
      <c r="DD1032" s="331"/>
      <c r="DE1032" s="331"/>
      <c r="DF1032" s="502"/>
      <c r="DG1032" s="503"/>
      <c r="DH1032" s="3297"/>
      <c r="DI1032" s="3213"/>
      <c r="DJ1032" s="502"/>
      <c r="DK1032" s="503"/>
      <c r="DL1032" s="502"/>
      <c r="DM1032" s="502"/>
      <c r="DN1032" s="502"/>
      <c r="DO1032" s="502"/>
      <c r="DP1032" s="503"/>
      <c r="DQ1032" s="503"/>
      <c r="DR1032" s="296"/>
      <c r="DS1032" s="296"/>
      <c r="DT1032" s="296"/>
    </row>
    <row r="1033" spans="1:124" ht="12" customHeight="1" x14ac:dyDescent="0.25">
      <c r="A1033" s="2575" t="s">
        <v>2590</v>
      </c>
      <c r="B1033" s="281"/>
      <c r="C1033" s="340"/>
      <c r="D1033" s="340"/>
      <c r="E1033" s="340"/>
      <c r="F1033" s="340"/>
      <c r="G1033" s="345"/>
      <c r="H1033" s="340"/>
      <c r="I1033" s="340"/>
      <c r="J1033" s="340"/>
      <c r="K1033" s="340"/>
      <c r="L1033" s="345"/>
      <c r="M1033" s="340"/>
      <c r="N1033" s="340"/>
      <c r="O1033" s="340"/>
      <c r="P1033" s="340"/>
      <c r="Q1033" s="345"/>
      <c r="R1033" s="340"/>
      <c r="S1033" s="340"/>
      <c r="T1033" s="340"/>
      <c r="U1033" s="340"/>
      <c r="V1033" s="345"/>
      <c r="W1033" s="340"/>
      <c r="X1033" s="340"/>
      <c r="Y1033" s="340"/>
      <c r="Z1033" s="340"/>
      <c r="AA1033" s="345"/>
      <c r="AB1033" s="339"/>
      <c r="AC1033" s="339"/>
      <c r="AD1033" s="339"/>
      <c r="AE1033" s="339"/>
      <c r="AF1033" s="348"/>
      <c r="AG1033" s="331"/>
      <c r="AH1033" s="331"/>
      <c r="AI1033" s="331"/>
      <c r="AJ1033" s="331"/>
      <c r="AK1033" s="348"/>
      <c r="AL1033" s="2651"/>
      <c r="AM1033" s="2655"/>
      <c r="AN1033" s="2655"/>
      <c r="AO1033" s="2655"/>
      <c r="AP1033" s="568"/>
      <c r="AQ1033" s="2651"/>
      <c r="AR1033" s="2655"/>
      <c r="AS1033" s="2655"/>
      <c r="AT1033" s="2655"/>
      <c r="AU1033" s="1692"/>
      <c r="AV1033" s="2651"/>
      <c r="AW1033" s="2655"/>
      <c r="AX1033" s="2655"/>
      <c r="AY1033" s="2655"/>
      <c r="AZ1033" s="1692"/>
      <c r="BA1033" s="2651"/>
      <c r="BB1033" s="2655"/>
      <c r="BC1033" s="2655"/>
      <c r="BD1033" s="2655"/>
      <c r="BE1033" s="3460">
        <v>165.22922199999999</v>
      </c>
      <c r="BF1033" s="3460">
        <v>43.465455000000006</v>
      </c>
      <c r="BG1033" s="3460">
        <v>43.184024000000001</v>
      </c>
      <c r="BH1033" s="3460">
        <v>42.779278000000005</v>
      </c>
      <c r="BI1033" s="3460">
        <v>40.406824</v>
      </c>
      <c r="BJ1033" s="3231">
        <f t="shared" ref="BJ1033:BJ1042" si="2539">SUM(BF1033:BI1033)</f>
        <v>169.83558100000002</v>
      </c>
      <c r="BK1033" s="3460">
        <v>42.920005000000003</v>
      </c>
      <c r="BL1033" s="3460">
        <v>42.854768999999997</v>
      </c>
      <c r="BM1033" s="3460">
        <v>42.624713</v>
      </c>
      <c r="BN1033" s="3460">
        <v>41.680323999999999</v>
      </c>
      <c r="BO1033" s="3231">
        <f t="shared" ref="BO1033:BO1042" si="2540">SUM(BK1033:BN1033)</f>
        <v>170.07981100000001</v>
      </c>
      <c r="BP1033" s="3460">
        <v>44.314673999999997</v>
      </c>
      <c r="BQ1033" s="3460">
        <v>42.815424999999998</v>
      </c>
      <c r="BR1033" s="3460">
        <v>42.515346999999998</v>
      </c>
      <c r="BS1033" s="3460">
        <v>42.271146000000002</v>
      </c>
      <c r="BT1033" s="3231">
        <f>SUM(BP1033:BS1033)</f>
        <v>171.91659199999998</v>
      </c>
      <c r="BU1033" s="3460">
        <v>42.448955999999995</v>
      </c>
      <c r="BV1033" s="2622">
        <f t="shared" ref="BV1033:BX1044" si="2541">+BQ1033*(1+BV1050)</f>
        <v>42.815424999999998</v>
      </c>
      <c r="BW1033" s="2622">
        <f t="shared" si="2541"/>
        <v>42.515346999999998</v>
      </c>
      <c r="BX1033" s="2622">
        <f t="shared" si="2541"/>
        <v>42.271146000000002</v>
      </c>
      <c r="BY1033" s="3231">
        <f>SUM(BU1033:BX1033)</f>
        <v>170.05087399999996</v>
      </c>
      <c r="BZ1033" s="3231">
        <f>+BY1033*(1+BZ1050)</f>
        <v>171.75138273999997</v>
      </c>
      <c r="CA1033" s="3231">
        <f>+BZ1033*(1+CA1050)</f>
        <v>171.75138273999997</v>
      </c>
      <c r="CB1033" s="2857"/>
      <c r="CC1033" s="2857"/>
      <c r="CD1033" s="2857"/>
      <c r="CE1033" s="2857"/>
      <c r="CF1033" s="2857"/>
      <c r="CG1033" s="331"/>
      <c r="CH1033" s="331"/>
      <c r="CI1033" s="331"/>
      <c r="CJ1033" s="331"/>
      <c r="CK1033" s="331"/>
      <c r="CL1033" s="520"/>
      <c r="CM1033" s="330"/>
      <c r="CN1033" s="330"/>
      <c r="CO1033" s="330"/>
      <c r="CP1033" s="330"/>
      <c r="CQ1033" s="330"/>
      <c r="CR1033" s="330"/>
      <c r="CS1033" s="330"/>
      <c r="CT1033" s="330"/>
      <c r="CU1033" s="330"/>
      <c r="CV1033" s="330"/>
      <c r="CW1033" s="330"/>
      <c r="CX1033" s="330"/>
      <c r="CY1033" s="330"/>
      <c r="CZ1033" s="330"/>
      <c r="DA1033" s="330"/>
      <c r="DB1033" s="330"/>
      <c r="DC1033" s="1888"/>
      <c r="DD1033" s="331"/>
      <c r="DE1033" s="331"/>
      <c r="DF1033" s="502"/>
      <c r="DG1033" s="503"/>
      <c r="DH1033" s="3297"/>
      <c r="DI1033" s="3213"/>
      <c r="DJ1033" s="502"/>
      <c r="DK1033" s="503"/>
      <c r="DL1033" s="502"/>
      <c r="DM1033" s="502"/>
      <c r="DN1033" s="502"/>
      <c r="DO1033" s="502"/>
      <c r="DP1033" s="503"/>
      <c r="DQ1033" s="503"/>
      <c r="DR1033" s="296"/>
      <c r="DS1033" s="296"/>
      <c r="DT1033" s="296"/>
    </row>
    <row r="1034" spans="1:124" ht="12" customHeight="1" x14ac:dyDescent="0.25">
      <c r="A1034" s="2575" t="s">
        <v>2591</v>
      </c>
      <c r="B1034" s="281"/>
      <c r="C1034" s="340"/>
      <c r="D1034" s="340"/>
      <c r="E1034" s="340"/>
      <c r="F1034" s="340"/>
      <c r="G1034" s="310"/>
      <c r="H1034" s="340"/>
      <c r="I1034" s="340"/>
      <c r="J1034" s="340"/>
      <c r="K1034" s="340"/>
      <c r="L1034" s="310"/>
      <c r="M1034" s="340"/>
      <c r="N1034" s="340"/>
      <c r="O1034" s="340"/>
      <c r="P1034" s="340"/>
      <c r="Q1034" s="310"/>
      <c r="R1034" s="340"/>
      <c r="S1034" s="340"/>
      <c r="T1034" s="340"/>
      <c r="U1034" s="340"/>
      <c r="V1034" s="310"/>
      <c r="W1034" s="340"/>
      <c r="X1034" s="340"/>
      <c r="Y1034" s="340"/>
      <c r="Z1034" s="340"/>
      <c r="AA1034" s="345"/>
      <c r="AB1034" s="339"/>
      <c r="AC1034" s="339"/>
      <c r="AD1034" s="339"/>
      <c r="AE1034" s="339"/>
      <c r="AF1034" s="348"/>
      <c r="AG1034" s="331"/>
      <c r="AH1034" s="331"/>
      <c r="AI1034" s="331"/>
      <c r="AJ1034" s="331"/>
      <c r="AK1034" s="348"/>
      <c r="AL1034" s="2655"/>
      <c r="AM1034" s="2655"/>
      <c r="AN1034" s="2655"/>
      <c r="AO1034" s="2655"/>
      <c r="AP1034" s="568"/>
      <c r="AQ1034" s="2655"/>
      <c r="AR1034" s="2655"/>
      <c r="AS1034" s="2655"/>
      <c r="AT1034" s="2655"/>
      <c r="AU1034" s="1692"/>
      <c r="AV1034" s="2651"/>
      <c r="AW1034" s="2655"/>
      <c r="AX1034" s="2655"/>
      <c r="AY1034" s="2655"/>
      <c r="AZ1034" s="1692"/>
      <c r="BA1034" s="2651"/>
      <c r="BB1034" s="2655"/>
      <c r="BC1034" s="2655"/>
      <c r="BD1034" s="2655"/>
      <c r="BE1034" s="3460">
        <v>221.325986</v>
      </c>
      <c r="BF1034" s="3460">
        <v>56.066847000000003</v>
      </c>
      <c r="BG1034" s="3460">
        <v>59.331560000000003</v>
      </c>
      <c r="BH1034" s="3460">
        <v>58.172302999999999</v>
      </c>
      <c r="BI1034" s="3460">
        <v>55.085397999999998</v>
      </c>
      <c r="BJ1034" s="3231">
        <f t="shared" si="2539"/>
        <v>228.65610800000002</v>
      </c>
      <c r="BK1034" s="3460">
        <v>60.814064999999999</v>
      </c>
      <c r="BL1034" s="3460">
        <v>55.716449999999995</v>
      </c>
      <c r="BM1034" s="3460">
        <v>53.782778000000008</v>
      </c>
      <c r="BN1034" s="3460">
        <v>52.679684000000002</v>
      </c>
      <c r="BO1034" s="3231">
        <f t="shared" si="2540"/>
        <v>222.992977</v>
      </c>
      <c r="BP1034" s="3460">
        <v>56.741311999999994</v>
      </c>
      <c r="BQ1034" s="3460">
        <v>54.942332</v>
      </c>
      <c r="BR1034" s="3460">
        <v>52.268574999999998</v>
      </c>
      <c r="BS1034" s="3460">
        <v>51.785050999999996</v>
      </c>
      <c r="BT1034" s="3231">
        <f t="shared" ref="BT1034:BT1044" si="2542">SUM(BP1034:BS1034)</f>
        <v>215.73726999999997</v>
      </c>
      <c r="BU1034" s="3460">
        <v>58.614700999999997</v>
      </c>
      <c r="BV1034" s="2622">
        <f t="shared" si="2541"/>
        <v>55.491755320000003</v>
      </c>
      <c r="BW1034" s="2622">
        <f t="shared" si="2541"/>
        <v>52.791260749999999</v>
      </c>
      <c r="BX1034" s="2622">
        <f t="shared" si="2541"/>
        <v>52.302901509999998</v>
      </c>
      <c r="BY1034" s="3231">
        <f t="shared" ref="BY1034:BY1044" si="2543">SUM(BU1034:BX1034)</f>
        <v>219.20061858</v>
      </c>
      <c r="BZ1034" s="3231">
        <f t="shared" ref="BZ1034:CA1044" si="2544">+BY1034*(1+BZ1051)</f>
        <v>221.39262476580001</v>
      </c>
      <c r="CA1034" s="3231">
        <f t="shared" si="2544"/>
        <v>221.39262476580001</v>
      </c>
      <c r="CB1034" s="2857"/>
      <c r="CC1034" s="2857"/>
      <c r="CD1034" s="2857"/>
      <c r="CE1034" s="2857"/>
      <c r="CF1034" s="2857"/>
      <c r="CG1034" s="331"/>
      <c r="CH1034" s="331"/>
      <c r="CI1034" s="331"/>
      <c r="CJ1034" s="331"/>
      <c r="CK1034" s="331"/>
      <c r="CL1034" s="520"/>
      <c r="CM1034" s="330"/>
      <c r="CN1034" s="330"/>
      <c r="CO1034" s="330"/>
      <c r="CP1034" s="330"/>
      <c r="CQ1034" s="330"/>
      <c r="CR1034" s="330"/>
      <c r="CS1034" s="330"/>
      <c r="CT1034" s="330"/>
      <c r="CU1034" s="330"/>
      <c r="CV1034" s="330"/>
      <c r="CW1034" s="330"/>
      <c r="CX1034" s="330"/>
      <c r="CY1034" s="330"/>
      <c r="CZ1034" s="330"/>
      <c r="DA1034" s="330"/>
      <c r="DB1034" s="330"/>
      <c r="DC1034" s="1888"/>
      <c r="DD1034" s="331"/>
      <c r="DE1034" s="331"/>
      <c r="DF1034" s="502"/>
      <c r="DG1034" s="503"/>
      <c r="DH1034" s="3297"/>
      <c r="DI1034" s="3213"/>
      <c r="DJ1034" s="502"/>
      <c r="DK1034" s="503"/>
      <c r="DL1034" s="502"/>
      <c r="DM1034" s="502"/>
      <c r="DN1034" s="502"/>
      <c r="DO1034" s="502"/>
      <c r="DP1034" s="503"/>
      <c r="DQ1034" s="503"/>
      <c r="DR1034" s="296"/>
      <c r="DS1034" s="296"/>
      <c r="DT1034" s="296"/>
    </row>
    <row r="1035" spans="1:124" ht="12" customHeight="1" x14ac:dyDescent="0.25">
      <c r="A1035" s="2575" t="s">
        <v>2592</v>
      </c>
      <c r="B1035" s="281"/>
      <c r="C1035" s="340"/>
      <c r="D1035" s="340"/>
      <c r="E1035" s="340"/>
      <c r="F1035" s="340"/>
      <c r="G1035" s="310"/>
      <c r="H1035" s="340"/>
      <c r="I1035" s="340"/>
      <c r="J1035" s="340"/>
      <c r="K1035" s="340"/>
      <c r="L1035" s="310"/>
      <c r="M1035" s="340"/>
      <c r="N1035" s="340"/>
      <c r="O1035" s="340"/>
      <c r="P1035" s="340"/>
      <c r="Q1035" s="310"/>
      <c r="R1035" s="340"/>
      <c r="S1035" s="340"/>
      <c r="T1035" s="340"/>
      <c r="U1035" s="340"/>
      <c r="V1035" s="310"/>
      <c r="W1035" s="340"/>
      <c r="X1035" s="340"/>
      <c r="Y1035" s="340"/>
      <c r="Z1035" s="340"/>
      <c r="AA1035" s="345"/>
      <c r="AB1035" s="339"/>
      <c r="AC1035" s="339"/>
      <c r="AD1035" s="339"/>
      <c r="AE1035" s="339"/>
      <c r="AF1035" s="348"/>
      <c r="AG1035" s="331"/>
      <c r="AH1035" s="331"/>
      <c r="AI1035" s="331"/>
      <c r="AJ1035" s="331"/>
      <c r="AK1035" s="348"/>
      <c r="AL1035" s="2655"/>
      <c r="AM1035" s="2655"/>
      <c r="AN1035" s="2655"/>
      <c r="AO1035" s="2655"/>
      <c r="AP1035" s="568"/>
      <c r="AQ1035" s="2655"/>
      <c r="AR1035" s="2655"/>
      <c r="AS1035" s="2655"/>
      <c r="AT1035" s="2655"/>
      <c r="AU1035" s="1692"/>
      <c r="AV1035" s="2651"/>
      <c r="AW1035" s="2655"/>
      <c r="AX1035" s="2655"/>
      <c r="AY1035" s="2655"/>
      <c r="AZ1035" s="1692"/>
      <c r="BA1035" s="2651"/>
      <c r="BB1035" s="2655"/>
      <c r="BC1035" s="2655"/>
      <c r="BD1035" s="2655"/>
      <c r="BE1035" s="3460">
        <v>193.71189618</v>
      </c>
      <c r="BF1035" s="3460">
        <v>50.225298370000004</v>
      </c>
      <c r="BG1035" s="3460">
        <v>50.38466794</v>
      </c>
      <c r="BH1035" s="3460">
        <v>50.333657489999993</v>
      </c>
      <c r="BI1035" s="3460">
        <v>48.130167200000002</v>
      </c>
      <c r="BJ1035" s="3231">
        <f t="shared" si="2539"/>
        <v>199.07379100000003</v>
      </c>
      <c r="BK1035" s="3460">
        <v>51.711879789999998</v>
      </c>
      <c r="BL1035" s="3460">
        <v>49.74162261</v>
      </c>
      <c r="BM1035" s="3460">
        <v>48.793920530000008</v>
      </c>
      <c r="BN1035" s="3460">
        <v>48.773669949999999</v>
      </c>
      <c r="BO1035" s="3231">
        <f t="shared" si="2540"/>
        <v>199.02109288</v>
      </c>
      <c r="BP1035" s="3460">
        <v>49.99960694</v>
      </c>
      <c r="BQ1035" s="3460">
        <v>46.743857210000002</v>
      </c>
      <c r="BR1035" s="3460">
        <v>47.693757910000002</v>
      </c>
      <c r="BS1035" s="3460">
        <v>46.493630039999999</v>
      </c>
      <c r="BT1035" s="3231">
        <f t="shared" si="2542"/>
        <v>190.93085210000001</v>
      </c>
      <c r="BU1035" s="3460">
        <v>48.533091980000009</v>
      </c>
      <c r="BV1035" s="2622">
        <f t="shared" si="2541"/>
        <v>47.211295782100002</v>
      </c>
      <c r="BW1035" s="2622"/>
      <c r="BX1035" s="2622"/>
      <c r="BY1035" s="3231">
        <f t="shared" si="2543"/>
        <v>95.744387762100018</v>
      </c>
      <c r="BZ1035" s="3231"/>
      <c r="CA1035" s="3231"/>
      <c r="CB1035" s="2857"/>
      <c r="CC1035" s="2857"/>
      <c r="CD1035" s="2857"/>
      <c r="CE1035" s="2857"/>
      <c r="CF1035" s="2857"/>
      <c r="CG1035" s="331"/>
      <c r="CH1035" s="331"/>
      <c r="CI1035" s="331"/>
      <c r="CJ1035" s="331"/>
      <c r="CK1035" s="331"/>
      <c r="CL1035" s="520"/>
      <c r="CM1035" s="330"/>
      <c r="CN1035" s="330"/>
      <c r="CO1035" s="330"/>
      <c r="CP1035" s="330"/>
      <c r="CQ1035" s="330"/>
      <c r="CR1035" s="330"/>
      <c r="CS1035" s="330"/>
      <c r="CT1035" s="330"/>
      <c r="CU1035" s="330"/>
      <c r="CV1035" s="330"/>
      <c r="CW1035" s="330"/>
      <c r="CX1035" s="330"/>
      <c r="CY1035" s="330"/>
      <c r="CZ1035" s="330"/>
      <c r="DA1035" s="330"/>
      <c r="DB1035" s="330"/>
      <c r="DC1035" s="1888"/>
      <c r="DD1035" s="331"/>
      <c r="DE1035" s="331"/>
      <c r="DF1035" s="502"/>
      <c r="DG1035" s="503"/>
      <c r="DH1035" s="3297"/>
      <c r="DI1035" s="3213"/>
      <c r="DJ1035" s="502"/>
      <c r="DK1035" s="503"/>
      <c r="DL1035" s="502"/>
      <c r="DM1035" s="502"/>
      <c r="DN1035" s="502"/>
      <c r="DO1035" s="502"/>
      <c r="DP1035" s="503"/>
      <c r="DQ1035" s="503"/>
      <c r="DR1035" s="296"/>
      <c r="DS1035" s="296"/>
      <c r="DT1035" s="296"/>
    </row>
    <row r="1036" spans="1:124" ht="12" customHeight="1" x14ac:dyDescent="0.25">
      <c r="A1036" s="2575" t="s">
        <v>2593</v>
      </c>
      <c r="B1036" s="281"/>
      <c r="C1036" s="340"/>
      <c r="D1036" s="340"/>
      <c r="E1036" s="340"/>
      <c r="F1036" s="340"/>
      <c r="G1036" s="310"/>
      <c r="H1036" s="340"/>
      <c r="I1036" s="340"/>
      <c r="J1036" s="340"/>
      <c r="K1036" s="340"/>
      <c r="L1036" s="310"/>
      <c r="M1036" s="340"/>
      <c r="N1036" s="340"/>
      <c r="O1036" s="340"/>
      <c r="P1036" s="340"/>
      <c r="Q1036" s="310"/>
      <c r="R1036" s="340"/>
      <c r="S1036" s="340"/>
      <c r="T1036" s="340"/>
      <c r="U1036" s="340"/>
      <c r="V1036" s="310"/>
      <c r="W1036" s="340"/>
      <c r="X1036" s="340"/>
      <c r="Y1036" s="340"/>
      <c r="Z1036" s="340"/>
      <c r="AA1036" s="345"/>
      <c r="AB1036" s="339"/>
      <c r="AC1036" s="339"/>
      <c r="AD1036" s="339"/>
      <c r="AE1036" s="339"/>
      <c r="AF1036" s="348"/>
      <c r="AG1036" s="331"/>
      <c r="AH1036" s="331"/>
      <c r="AI1036" s="331"/>
      <c r="AJ1036" s="331"/>
      <c r="AK1036" s="348"/>
      <c r="AL1036" s="2655"/>
      <c r="AM1036" s="2655"/>
      <c r="AN1036" s="2655"/>
      <c r="AO1036" s="2655"/>
      <c r="AP1036" s="568"/>
      <c r="AQ1036" s="2655"/>
      <c r="AR1036" s="2655"/>
      <c r="AS1036" s="2655"/>
      <c r="AT1036" s="2655"/>
      <c r="AU1036" s="1692"/>
      <c r="AV1036" s="2651"/>
      <c r="AW1036" s="2655"/>
      <c r="AX1036" s="2655"/>
      <c r="AY1036" s="2655"/>
      <c r="AZ1036" s="1692"/>
      <c r="BA1036" s="2651"/>
      <c r="BB1036" s="2655"/>
      <c r="BC1036" s="2655"/>
      <c r="BD1036" s="2655"/>
      <c r="BE1036" s="3460">
        <v>259.76201068</v>
      </c>
      <c r="BF1036" s="3460">
        <v>67.616148949999996</v>
      </c>
      <c r="BG1036" s="3460">
        <v>66.77198894</v>
      </c>
      <c r="BH1036" s="3460">
        <v>65.51553217</v>
      </c>
      <c r="BI1036" s="3460">
        <v>65.189602659999991</v>
      </c>
      <c r="BJ1036" s="3231">
        <f t="shared" si="2539"/>
        <v>265.09327271999996</v>
      </c>
      <c r="BK1036" s="3460">
        <v>67.332973500000008</v>
      </c>
      <c r="BL1036" s="3460">
        <v>64.194837050000004</v>
      </c>
      <c r="BM1036" s="3460">
        <v>65.987183680000001</v>
      </c>
      <c r="BN1036" s="3460">
        <v>63.592172680000004</v>
      </c>
      <c r="BO1036" s="3231">
        <f t="shared" si="2540"/>
        <v>261.10716691000005</v>
      </c>
      <c r="BP1036" s="3460">
        <v>66.112524280000002</v>
      </c>
      <c r="BQ1036" s="3460">
        <v>65.618191179999997</v>
      </c>
      <c r="BR1036" s="3460">
        <v>67.146589160000005</v>
      </c>
      <c r="BS1036" s="3460">
        <v>64.39319467</v>
      </c>
      <c r="BT1036" s="3231">
        <f t="shared" si="2542"/>
        <v>263.27049929000003</v>
      </c>
      <c r="BU1036" s="3460">
        <v>66.2</v>
      </c>
      <c r="BV1036" s="2622">
        <f t="shared" si="2541"/>
        <v>66.930555003599991</v>
      </c>
      <c r="BW1036" s="2622"/>
      <c r="BX1036" s="2622"/>
      <c r="BY1036" s="3231">
        <f t="shared" si="2543"/>
        <v>133.13055500359999</v>
      </c>
      <c r="BZ1036" s="3231"/>
      <c r="CA1036" s="3231"/>
      <c r="CB1036" s="2857"/>
      <c r="CC1036" s="2857"/>
      <c r="CD1036" s="2857"/>
      <c r="CE1036" s="2857"/>
      <c r="CF1036" s="2857"/>
      <c r="CG1036" s="331"/>
      <c r="CH1036" s="331"/>
      <c r="CI1036" s="331"/>
      <c r="CJ1036" s="331"/>
      <c r="CK1036" s="331"/>
      <c r="CL1036" s="520"/>
      <c r="CM1036" s="330"/>
      <c r="CN1036" s="330"/>
      <c r="CO1036" s="330"/>
      <c r="CP1036" s="330"/>
      <c r="CQ1036" s="330"/>
      <c r="CR1036" s="330"/>
      <c r="CS1036" s="330"/>
      <c r="CT1036" s="330"/>
      <c r="CU1036" s="330"/>
      <c r="CV1036" s="330"/>
      <c r="CW1036" s="330"/>
      <c r="CX1036" s="330"/>
      <c r="CY1036" s="330"/>
      <c r="CZ1036" s="330"/>
      <c r="DA1036" s="330"/>
      <c r="DB1036" s="330"/>
      <c r="DC1036" s="1888"/>
      <c r="DD1036" s="331"/>
      <c r="DE1036" s="331"/>
      <c r="DF1036" s="502"/>
      <c r="DG1036" s="503"/>
      <c r="DH1036" s="3297"/>
      <c r="DI1036" s="3213"/>
      <c r="DJ1036" s="502"/>
      <c r="DK1036" s="503"/>
      <c r="DL1036" s="502"/>
      <c r="DM1036" s="502"/>
      <c r="DN1036" s="502"/>
      <c r="DO1036" s="502"/>
      <c r="DP1036" s="503"/>
      <c r="DQ1036" s="503"/>
      <c r="DR1036" s="296"/>
      <c r="DS1036" s="296"/>
      <c r="DT1036" s="296"/>
    </row>
    <row r="1037" spans="1:124" ht="12" customHeight="1" x14ac:dyDescent="0.25">
      <c r="A1037" s="2575" t="s">
        <v>2594</v>
      </c>
      <c r="B1037" s="281"/>
      <c r="C1037" s="340"/>
      <c r="D1037" s="340"/>
      <c r="E1037" s="340"/>
      <c r="F1037" s="340"/>
      <c r="G1037" s="310"/>
      <c r="H1037" s="340"/>
      <c r="I1037" s="340"/>
      <c r="J1037" s="340"/>
      <c r="K1037" s="340"/>
      <c r="L1037" s="310"/>
      <c r="M1037" s="340"/>
      <c r="N1037" s="340"/>
      <c r="O1037" s="340"/>
      <c r="P1037" s="340"/>
      <c r="Q1037" s="310"/>
      <c r="R1037" s="340"/>
      <c r="S1037" s="340"/>
      <c r="T1037" s="340"/>
      <c r="U1037" s="340"/>
      <c r="V1037" s="310"/>
      <c r="W1037" s="340"/>
      <c r="X1037" s="340"/>
      <c r="Y1037" s="340"/>
      <c r="Z1037" s="340"/>
      <c r="AA1037" s="345"/>
      <c r="AB1037" s="339"/>
      <c r="AC1037" s="339"/>
      <c r="AD1037" s="339"/>
      <c r="AE1037" s="339"/>
      <c r="AF1037" s="348"/>
      <c r="AG1037" s="331"/>
      <c r="AH1037" s="331"/>
      <c r="AI1037" s="331"/>
      <c r="AJ1037" s="331"/>
      <c r="AK1037" s="348"/>
      <c r="AL1037" s="2655"/>
      <c r="AM1037" s="2655"/>
      <c r="AN1037" s="2655"/>
      <c r="AO1037" s="2655"/>
      <c r="AP1037" s="568"/>
      <c r="AQ1037" s="2655"/>
      <c r="AR1037" s="2655"/>
      <c r="AS1037" s="2655"/>
      <c r="AT1037" s="2655"/>
      <c r="AU1037" s="1692"/>
      <c r="AV1037" s="2651"/>
      <c r="AW1037" s="2655"/>
      <c r="AX1037" s="2655"/>
      <c r="AY1037" s="2655"/>
      <c r="AZ1037" s="1692"/>
      <c r="BA1037" s="2651"/>
      <c r="BB1037" s="2655"/>
      <c r="BC1037" s="2655"/>
      <c r="BD1037" s="2655"/>
      <c r="BE1037" s="3460">
        <v>112.707641</v>
      </c>
      <c r="BF1037" s="3460">
        <v>27.939675999999999</v>
      </c>
      <c r="BG1037" s="3460">
        <v>29.431894999999997</v>
      </c>
      <c r="BH1037" s="3460">
        <v>28.755972</v>
      </c>
      <c r="BI1037" s="3460">
        <v>27.291933</v>
      </c>
      <c r="BJ1037" s="3231">
        <f t="shared" si="2539"/>
        <v>113.419476</v>
      </c>
      <c r="BK1037" s="3460">
        <v>26.533355</v>
      </c>
      <c r="BL1037" s="3460">
        <v>27.602307999999997</v>
      </c>
      <c r="BM1037" s="3460">
        <v>29.201089000000003</v>
      </c>
      <c r="BN1037" s="3460">
        <v>27.258078999999999</v>
      </c>
      <c r="BO1037" s="3231">
        <f t="shared" si="2540"/>
        <v>110.59483099999999</v>
      </c>
      <c r="BP1037" s="3460">
        <v>27.041634000000002</v>
      </c>
      <c r="BQ1037" s="3460">
        <v>27.709169000000003</v>
      </c>
      <c r="BR1037" s="3460">
        <v>28.812289</v>
      </c>
      <c r="BS1037" s="3460">
        <v>25.902695999999999</v>
      </c>
      <c r="BT1037" s="3231">
        <f t="shared" si="2542"/>
        <v>109.465788</v>
      </c>
      <c r="BU1037" s="3460">
        <v>25.220903</v>
      </c>
      <c r="BV1037" s="2622">
        <f t="shared" si="2541"/>
        <v>27.709169000000003</v>
      </c>
      <c r="BW1037" s="2622"/>
      <c r="BX1037" s="2622"/>
      <c r="BY1037" s="3231">
        <f t="shared" si="2543"/>
        <v>52.930072000000003</v>
      </c>
      <c r="BZ1037" s="3231"/>
      <c r="CA1037" s="3231"/>
      <c r="CB1037" s="2857"/>
      <c r="CC1037" s="2857"/>
      <c r="CD1037" s="2857"/>
      <c r="CE1037" s="2857"/>
      <c r="CF1037" s="2857"/>
      <c r="CG1037" s="331"/>
      <c r="CH1037" s="331"/>
      <c r="CI1037" s="331"/>
      <c r="CJ1037" s="331"/>
      <c r="CK1037" s="331"/>
      <c r="CL1037" s="520"/>
      <c r="CM1037" s="330"/>
      <c r="CN1037" s="330"/>
      <c r="CO1037" s="330"/>
      <c r="CP1037" s="330"/>
      <c r="CQ1037" s="330"/>
      <c r="CR1037" s="330"/>
      <c r="CS1037" s="330"/>
      <c r="CT1037" s="330"/>
      <c r="CU1037" s="330"/>
      <c r="CV1037" s="330"/>
      <c r="CW1037" s="330"/>
      <c r="CX1037" s="330"/>
      <c r="CY1037" s="330"/>
      <c r="CZ1037" s="330"/>
      <c r="DA1037" s="330"/>
      <c r="DB1037" s="330"/>
      <c r="DC1037" s="1888"/>
      <c r="DD1037" s="331"/>
      <c r="DE1037" s="331"/>
      <c r="DF1037" s="502"/>
      <c r="DG1037" s="503"/>
      <c r="DH1037" s="3297"/>
      <c r="DI1037" s="3213"/>
      <c r="DJ1037" s="502"/>
      <c r="DK1037" s="503"/>
      <c r="DL1037" s="502"/>
      <c r="DM1037" s="502"/>
      <c r="DN1037" s="502"/>
      <c r="DO1037" s="502"/>
      <c r="DP1037" s="503"/>
      <c r="DQ1037" s="503"/>
      <c r="DR1037" s="296"/>
      <c r="DS1037" s="296"/>
      <c r="DT1037" s="296"/>
    </row>
    <row r="1038" spans="1:124" ht="12" customHeight="1" x14ac:dyDescent="0.25">
      <c r="A1038" s="2575" t="s">
        <v>2601</v>
      </c>
      <c r="B1038" s="281"/>
      <c r="C1038" s="340"/>
      <c r="D1038" s="340"/>
      <c r="E1038" s="340"/>
      <c r="F1038" s="340"/>
      <c r="G1038" s="310"/>
      <c r="H1038" s="340"/>
      <c r="I1038" s="340"/>
      <c r="J1038" s="340"/>
      <c r="K1038" s="340"/>
      <c r="L1038" s="310"/>
      <c r="M1038" s="340"/>
      <c r="N1038" s="340"/>
      <c r="O1038" s="340"/>
      <c r="P1038" s="340"/>
      <c r="Q1038" s="310"/>
      <c r="R1038" s="340"/>
      <c r="S1038" s="340"/>
      <c r="T1038" s="340"/>
      <c r="U1038" s="340"/>
      <c r="V1038" s="310"/>
      <c r="W1038" s="340"/>
      <c r="X1038" s="340"/>
      <c r="Y1038" s="340"/>
      <c r="Z1038" s="340"/>
      <c r="AA1038" s="345"/>
      <c r="AB1038" s="339"/>
      <c r="AC1038" s="339"/>
      <c r="AD1038" s="339"/>
      <c r="AE1038" s="339"/>
      <c r="AF1038" s="348"/>
      <c r="AG1038" s="331"/>
      <c r="AH1038" s="331"/>
      <c r="AI1038" s="331"/>
      <c r="AJ1038" s="331"/>
      <c r="AK1038" s="348"/>
      <c r="AL1038" s="2655"/>
      <c r="AM1038" s="2655"/>
      <c r="AN1038" s="2655"/>
      <c r="AO1038" s="2655"/>
      <c r="AP1038" s="568"/>
      <c r="AQ1038" s="2655"/>
      <c r="AR1038" s="2655"/>
      <c r="AS1038" s="2655"/>
      <c r="AT1038" s="2655"/>
      <c r="AU1038" s="1692"/>
      <c r="AV1038" s="2651"/>
      <c r="AW1038" s="2655"/>
      <c r="AX1038" s="2655"/>
      <c r="AY1038" s="2655"/>
      <c r="AZ1038" s="1692"/>
      <c r="BA1038" s="2651"/>
      <c r="BB1038" s="2655"/>
      <c r="BC1038" s="2655"/>
      <c r="BD1038" s="2655"/>
      <c r="BE1038" s="3460">
        <v>35.664634000000007</v>
      </c>
      <c r="BF1038" s="3460">
        <v>13.998643000000001</v>
      </c>
      <c r="BG1038" s="3460">
        <v>17.314581</v>
      </c>
      <c r="BH1038" s="3460">
        <v>18.248885000000001</v>
      </c>
      <c r="BI1038" s="3460">
        <v>17.474791</v>
      </c>
      <c r="BJ1038" s="3231">
        <f t="shared" si="2539"/>
        <v>67.036900000000003</v>
      </c>
      <c r="BK1038" s="3460">
        <v>18.558807000000002</v>
      </c>
      <c r="BL1038" s="3460">
        <v>20.483868999999999</v>
      </c>
      <c r="BM1038" s="3460">
        <v>20.273963999999999</v>
      </c>
      <c r="BN1038" s="3460">
        <v>18.701509999999999</v>
      </c>
      <c r="BO1038" s="3231">
        <f t="shared" si="2540"/>
        <v>78.018149999999991</v>
      </c>
      <c r="BP1038" s="3460">
        <v>20.101488</v>
      </c>
      <c r="BQ1038" s="3460">
        <v>20.844179</v>
      </c>
      <c r="BR1038" s="3460">
        <v>21.210324</v>
      </c>
      <c r="BS1038" s="3460">
        <v>20.388470999999999</v>
      </c>
      <c r="BT1038" s="3231">
        <f t="shared" si="2542"/>
        <v>82.544461999999996</v>
      </c>
      <c r="BU1038" s="3460">
        <v>17.570320000000002</v>
      </c>
      <c r="BV1038" s="2622">
        <f t="shared" si="2541"/>
        <v>21.677946160000001</v>
      </c>
      <c r="BW1038" s="2622"/>
      <c r="BX1038" s="2622"/>
      <c r="BY1038" s="3231">
        <f t="shared" si="2543"/>
        <v>39.24826616</v>
      </c>
      <c r="BZ1038" s="3231"/>
      <c r="CA1038" s="3231"/>
      <c r="CB1038" s="2857"/>
      <c r="CC1038" s="2857"/>
      <c r="CD1038" s="2857"/>
      <c r="CE1038" s="2857"/>
      <c r="CF1038" s="2857"/>
      <c r="CG1038" s="331"/>
      <c r="CH1038" s="331"/>
      <c r="CI1038" s="331"/>
      <c r="CJ1038" s="331"/>
      <c r="CK1038" s="331"/>
      <c r="CL1038" s="520"/>
      <c r="CM1038" s="330"/>
      <c r="CN1038" s="330"/>
      <c r="CO1038" s="330"/>
      <c r="CP1038" s="330"/>
      <c r="CQ1038" s="330"/>
      <c r="CR1038" s="330"/>
      <c r="CS1038" s="330"/>
      <c r="CT1038" s="330"/>
      <c r="CU1038" s="330"/>
      <c r="CV1038" s="330"/>
      <c r="CW1038" s="330"/>
      <c r="CX1038" s="330"/>
      <c r="CY1038" s="330"/>
      <c r="CZ1038" s="330"/>
      <c r="DA1038" s="330"/>
      <c r="DB1038" s="330"/>
      <c r="DC1038" s="1888"/>
      <c r="DD1038" s="331"/>
      <c r="DE1038" s="331"/>
      <c r="DF1038" s="502"/>
      <c r="DG1038" s="503"/>
      <c r="DH1038" s="3297"/>
      <c r="DI1038" s="3213"/>
      <c r="DJ1038" s="502"/>
      <c r="DK1038" s="503"/>
      <c r="DL1038" s="502"/>
      <c r="DM1038" s="502"/>
      <c r="DN1038" s="502"/>
      <c r="DO1038" s="502"/>
      <c r="DP1038" s="503"/>
      <c r="DQ1038" s="503"/>
      <c r="DR1038" s="296"/>
      <c r="DS1038" s="296"/>
      <c r="DT1038" s="296"/>
    </row>
    <row r="1039" spans="1:124" ht="12" customHeight="1" x14ac:dyDescent="0.25">
      <c r="A1039" s="2575" t="s">
        <v>2595</v>
      </c>
      <c r="B1039" s="281"/>
      <c r="C1039" s="340"/>
      <c r="D1039" s="340"/>
      <c r="E1039" s="340"/>
      <c r="F1039" s="340"/>
      <c r="G1039" s="310"/>
      <c r="H1039" s="340"/>
      <c r="I1039" s="340"/>
      <c r="J1039" s="340"/>
      <c r="K1039" s="340"/>
      <c r="L1039" s="310"/>
      <c r="M1039" s="340"/>
      <c r="N1039" s="340"/>
      <c r="O1039" s="340"/>
      <c r="P1039" s="340"/>
      <c r="Q1039" s="310"/>
      <c r="R1039" s="340"/>
      <c r="S1039" s="340"/>
      <c r="T1039" s="340"/>
      <c r="U1039" s="340"/>
      <c r="V1039" s="310"/>
      <c r="W1039" s="340"/>
      <c r="X1039" s="340"/>
      <c r="Y1039" s="340"/>
      <c r="Z1039" s="340"/>
      <c r="AA1039" s="345"/>
      <c r="AB1039" s="339"/>
      <c r="AC1039" s="339"/>
      <c r="AD1039" s="339"/>
      <c r="AE1039" s="339"/>
      <c r="AF1039" s="348"/>
      <c r="AG1039" s="331"/>
      <c r="AH1039" s="331"/>
      <c r="AI1039" s="331"/>
      <c r="AJ1039" s="331"/>
      <c r="AK1039" s="348"/>
      <c r="AL1039" s="2655"/>
      <c r="AM1039" s="2655"/>
      <c r="AN1039" s="2655"/>
      <c r="AO1039" s="2655"/>
      <c r="AP1039" s="568"/>
      <c r="AQ1039" s="2655"/>
      <c r="AR1039" s="2655"/>
      <c r="AS1039" s="2655"/>
      <c r="AT1039" s="2655"/>
      <c r="AU1039" s="1692"/>
      <c r="AV1039" s="2651"/>
      <c r="AW1039" s="2655"/>
      <c r="AX1039" s="2655"/>
      <c r="AY1039" s="2655"/>
      <c r="AZ1039" s="1692"/>
      <c r="BA1039" s="2651"/>
      <c r="BB1039" s="2655"/>
      <c r="BC1039" s="2655"/>
      <c r="BD1039" s="2655"/>
      <c r="BE1039" s="3460">
        <v>63.49469843</v>
      </c>
      <c r="BF1039" s="3460">
        <v>16.646203249999999</v>
      </c>
      <c r="BG1039" s="3460">
        <v>15.933146579999999</v>
      </c>
      <c r="BH1039" s="3460">
        <v>15.536071600000001</v>
      </c>
      <c r="BI1039" s="3460">
        <v>14.38731052</v>
      </c>
      <c r="BJ1039" s="3231">
        <f t="shared" si="2539"/>
        <v>62.502731949999998</v>
      </c>
      <c r="BK1039" s="3460">
        <v>16.06121602</v>
      </c>
      <c r="BL1039" s="3460">
        <v>15.472996819999999</v>
      </c>
      <c r="BM1039" s="3460">
        <v>15.070598369999999</v>
      </c>
      <c r="BN1039" s="3460">
        <v>14.340916239999999</v>
      </c>
      <c r="BO1039" s="3231">
        <f t="shared" si="2540"/>
        <v>60.945727449999993</v>
      </c>
      <c r="BP1039" s="3460">
        <v>14.857998070000001</v>
      </c>
      <c r="BQ1039" s="3460">
        <v>15.460210630000002</v>
      </c>
      <c r="BR1039" s="3460">
        <v>15.123939480000001</v>
      </c>
      <c r="BS1039" s="3460">
        <v>13.135891509999999</v>
      </c>
      <c r="BT1039" s="3231">
        <f t="shared" si="2542"/>
        <v>58.578039690000004</v>
      </c>
      <c r="BU1039" s="3460">
        <v>14.09125326</v>
      </c>
      <c r="BV1039" s="2622">
        <f t="shared" si="2541"/>
        <v>15.614812736300003</v>
      </c>
      <c r="BW1039" s="2622">
        <f t="shared" si="2541"/>
        <v>15.2751788748</v>
      </c>
      <c r="BX1039" s="2622">
        <f t="shared" si="2541"/>
        <v>13.7926860855</v>
      </c>
      <c r="BY1039" s="3231">
        <f t="shared" si="2543"/>
        <v>58.773930956600005</v>
      </c>
      <c r="BZ1039" s="3231">
        <f t="shared" si="2544"/>
        <v>59.361670266166009</v>
      </c>
      <c r="CA1039" s="3231">
        <f t="shared" si="2544"/>
        <v>59.361670266166009</v>
      </c>
      <c r="CB1039" s="2857"/>
      <c r="CC1039" s="2857"/>
      <c r="CD1039" s="2857"/>
      <c r="CE1039" s="2857"/>
      <c r="CF1039" s="2857"/>
      <c r="CG1039" s="331"/>
      <c r="CH1039" s="331"/>
      <c r="CI1039" s="331"/>
      <c r="CJ1039" s="331"/>
      <c r="CK1039" s="331"/>
      <c r="CL1039" s="520"/>
      <c r="CM1039" s="330"/>
      <c r="CN1039" s="330"/>
      <c r="CO1039" s="330"/>
      <c r="CP1039" s="330"/>
      <c r="CQ1039" s="330"/>
      <c r="CR1039" s="330"/>
      <c r="CS1039" s="330"/>
      <c r="CT1039" s="330"/>
      <c r="CU1039" s="330"/>
      <c r="CV1039" s="330"/>
      <c r="CW1039" s="330"/>
      <c r="CX1039" s="330"/>
      <c r="CY1039" s="330"/>
      <c r="CZ1039" s="330"/>
      <c r="DA1039" s="330"/>
      <c r="DB1039" s="330"/>
      <c r="DC1039" s="1888"/>
      <c r="DD1039" s="331"/>
      <c r="DE1039" s="331"/>
      <c r="DF1039" s="502"/>
      <c r="DG1039" s="503"/>
      <c r="DH1039" s="3297"/>
      <c r="DI1039" s="3213"/>
      <c r="DJ1039" s="502"/>
      <c r="DK1039" s="503"/>
      <c r="DL1039" s="502"/>
      <c r="DM1039" s="502"/>
      <c r="DN1039" s="502"/>
      <c r="DO1039" s="502"/>
      <c r="DP1039" s="503"/>
      <c r="DQ1039" s="503"/>
      <c r="DR1039" s="296"/>
      <c r="DS1039" s="296"/>
      <c r="DT1039" s="296"/>
    </row>
    <row r="1040" spans="1:124" ht="12" customHeight="1" x14ac:dyDescent="0.25">
      <c r="A1040" s="2575" t="s">
        <v>2596</v>
      </c>
      <c r="B1040" s="281"/>
      <c r="C1040" s="340"/>
      <c r="D1040" s="340"/>
      <c r="E1040" s="340"/>
      <c r="F1040" s="340"/>
      <c r="G1040" s="310"/>
      <c r="H1040" s="340"/>
      <c r="I1040" s="340"/>
      <c r="J1040" s="340"/>
      <c r="K1040" s="340"/>
      <c r="L1040" s="310"/>
      <c r="M1040" s="340"/>
      <c r="N1040" s="340"/>
      <c r="O1040" s="340"/>
      <c r="P1040" s="340"/>
      <c r="Q1040" s="310"/>
      <c r="R1040" s="340"/>
      <c r="S1040" s="340"/>
      <c r="T1040" s="340"/>
      <c r="U1040" s="340"/>
      <c r="V1040" s="310"/>
      <c r="W1040" s="340"/>
      <c r="X1040" s="340"/>
      <c r="Y1040" s="340"/>
      <c r="Z1040" s="340"/>
      <c r="AA1040" s="345"/>
      <c r="AB1040" s="339"/>
      <c r="AC1040" s="339"/>
      <c r="AD1040" s="339"/>
      <c r="AE1040" s="339"/>
      <c r="AF1040" s="348"/>
      <c r="AG1040" s="331"/>
      <c r="AH1040" s="331"/>
      <c r="AI1040" s="331"/>
      <c r="AJ1040" s="331"/>
      <c r="AK1040" s="348"/>
      <c r="AL1040" s="2655"/>
      <c r="AM1040" s="2655"/>
      <c r="AN1040" s="2655"/>
      <c r="AO1040" s="2655"/>
      <c r="AP1040" s="568"/>
      <c r="AQ1040" s="2655"/>
      <c r="AR1040" s="2655"/>
      <c r="AS1040" s="2655"/>
      <c r="AT1040" s="2655"/>
      <c r="AU1040" s="1692"/>
      <c r="AV1040" s="2651"/>
      <c r="AW1040" s="2655"/>
      <c r="AX1040" s="2655"/>
      <c r="AY1040" s="2655"/>
      <c r="AZ1040" s="1692"/>
      <c r="BA1040" s="2651"/>
      <c r="BB1040" s="2655"/>
      <c r="BC1040" s="2655"/>
      <c r="BD1040" s="2655"/>
      <c r="BE1040" s="3460">
        <v>112.17670169</v>
      </c>
      <c r="BF1040" s="3460">
        <v>29.849919120000003</v>
      </c>
      <c r="BG1040" s="3460">
        <v>30.387588260000005</v>
      </c>
      <c r="BH1040" s="3460">
        <v>30.440624589999999</v>
      </c>
      <c r="BI1040" s="3460">
        <v>29.213302089999999</v>
      </c>
      <c r="BJ1040" s="3231">
        <f t="shared" si="2539"/>
        <v>119.89143406000001</v>
      </c>
      <c r="BK1040" s="3460">
        <v>29.473421209999998</v>
      </c>
      <c r="BL1040" s="3460">
        <v>29.113448089999999</v>
      </c>
      <c r="BM1040" s="3460">
        <v>29.302198920000002</v>
      </c>
      <c r="BN1040" s="3460">
        <v>29.0269537</v>
      </c>
      <c r="BO1040" s="3231">
        <f t="shared" si="2540"/>
        <v>116.91602191999999</v>
      </c>
      <c r="BP1040" s="3460">
        <v>30.741886200000003</v>
      </c>
      <c r="BQ1040" s="3460">
        <v>30.32316007</v>
      </c>
      <c r="BR1040" s="3460">
        <v>28.888756450000002</v>
      </c>
      <c r="BS1040" s="3460">
        <v>27.52136853</v>
      </c>
      <c r="BT1040" s="3231">
        <f t="shared" si="2542"/>
        <v>117.47517125</v>
      </c>
      <c r="BU1040" s="3460">
        <v>30.339232360000004</v>
      </c>
      <c r="BV1040" s="2622">
        <f t="shared" si="2541"/>
        <v>30.626391670700002</v>
      </c>
      <c r="BW1040" s="2622">
        <f t="shared" si="2541"/>
        <v>29.177644014500004</v>
      </c>
      <c r="BX1040" s="2622">
        <f t="shared" si="2541"/>
        <v>28.3470095859</v>
      </c>
      <c r="BY1040" s="3231">
        <f t="shared" si="2543"/>
        <v>118.49027763110001</v>
      </c>
      <c r="BZ1040" s="3231">
        <f t="shared" si="2544"/>
        <v>119.67518040741102</v>
      </c>
      <c r="CA1040" s="3231">
        <f t="shared" si="2544"/>
        <v>119.67518040741102</v>
      </c>
      <c r="CB1040" s="2857"/>
      <c r="CC1040" s="2857"/>
      <c r="CD1040" s="2857"/>
      <c r="CE1040" s="2857"/>
      <c r="CF1040" s="2857"/>
      <c r="CG1040" s="331"/>
      <c r="CH1040" s="331"/>
      <c r="CI1040" s="331"/>
      <c r="CJ1040" s="331"/>
      <c r="CK1040" s="331"/>
      <c r="CL1040" s="520"/>
      <c r="CM1040" s="330"/>
      <c r="CN1040" s="330"/>
      <c r="CO1040" s="330"/>
      <c r="CP1040" s="330"/>
      <c r="CQ1040" s="330"/>
      <c r="CR1040" s="330"/>
      <c r="CS1040" s="330"/>
      <c r="CT1040" s="330"/>
      <c r="CU1040" s="330"/>
      <c r="CV1040" s="330"/>
      <c r="CW1040" s="330"/>
      <c r="CX1040" s="330"/>
      <c r="CY1040" s="330"/>
      <c r="CZ1040" s="330"/>
      <c r="DA1040" s="330"/>
      <c r="DB1040" s="330"/>
      <c r="DC1040" s="1888"/>
      <c r="DD1040" s="331"/>
      <c r="DE1040" s="331"/>
      <c r="DF1040" s="502"/>
      <c r="DG1040" s="503"/>
      <c r="DH1040" s="3297"/>
      <c r="DI1040" s="3213"/>
      <c r="DJ1040" s="502"/>
      <c r="DK1040" s="503"/>
      <c r="DL1040" s="502"/>
      <c r="DM1040" s="502"/>
      <c r="DN1040" s="502"/>
      <c r="DO1040" s="502"/>
      <c r="DP1040" s="503"/>
      <c r="DQ1040" s="503"/>
      <c r="DR1040" s="296"/>
      <c r="DS1040" s="296"/>
      <c r="DT1040" s="296"/>
    </row>
    <row r="1041" spans="1:124" ht="12" customHeight="1" x14ac:dyDescent="0.25">
      <c r="A1041" s="2575" t="s">
        <v>2597</v>
      </c>
      <c r="B1041" s="281"/>
      <c r="C1041" s="340"/>
      <c r="D1041" s="340"/>
      <c r="E1041" s="340"/>
      <c r="F1041" s="340"/>
      <c r="G1041" s="310"/>
      <c r="H1041" s="340"/>
      <c r="I1041" s="340"/>
      <c r="J1041" s="340"/>
      <c r="K1041" s="340"/>
      <c r="L1041" s="310"/>
      <c r="M1041" s="340"/>
      <c r="N1041" s="340"/>
      <c r="O1041" s="340"/>
      <c r="P1041" s="340"/>
      <c r="Q1041" s="310"/>
      <c r="R1041" s="340"/>
      <c r="S1041" s="340"/>
      <c r="T1041" s="340"/>
      <c r="U1041" s="340"/>
      <c r="V1041" s="310"/>
      <c r="W1041" s="340"/>
      <c r="X1041" s="340"/>
      <c r="Y1041" s="340"/>
      <c r="Z1041" s="340"/>
      <c r="AA1041" s="345"/>
      <c r="AB1041" s="339"/>
      <c r="AC1041" s="339"/>
      <c r="AD1041" s="339"/>
      <c r="AE1041" s="339"/>
      <c r="AF1041" s="348"/>
      <c r="AG1041" s="331"/>
      <c r="AH1041" s="331"/>
      <c r="AI1041" s="331"/>
      <c r="AJ1041" s="331"/>
      <c r="AK1041" s="348"/>
      <c r="AL1041" s="2655"/>
      <c r="AM1041" s="2655"/>
      <c r="AN1041" s="2655"/>
      <c r="AO1041" s="2655"/>
      <c r="AP1041" s="568"/>
      <c r="AQ1041" s="2655"/>
      <c r="AR1041" s="2655"/>
      <c r="AS1041" s="2655"/>
      <c r="AT1041" s="2655"/>
      <c r="AU1041" s="1692"/>
      <c r="AV1041" s="2651"/>
      <c r="AW1041" s="2655"/>
      <c r="AX1041" s="2655"/>
      <c r="AY1041" s="2655"/>
      <c r="AZ1041" s="1692"/>
      <c r="BA1041" s="2651"/>
      <c r="BB1041" s="2655"/>
      <c r="BC1041" s="2655"/>
      <c r="BD1041" s="2655"/>
      <c r="BE1041" s="3460">
        <v>145.79279634</v>
      </c>
      <c r="BF1041" s="3460">
        <v>41.828319360000002</v>
      </c>
      <c r="BG1041" s="3460">
        <v>38.387192370000001</v>
      </c>
      <c r="BH1041" s="3460">
        <v>38.784488629999998</v>
      </c>
      <c r="BI1041" s="3460">
        <v>41.82418225</v>
      </c>
      <c r="BJ1041" s="3231">
        <f t="shared" si="2539"/>
        <v>160.82418261000001</v>
      </c>
      <c r="BK1041" s="3460">
        <v>40.365366739999999</v>
      </c>
      <c r="BL1041" s="3460">
        <v>40.095726489999997</v>
      </c>
      <c r="BM1041" s="3460">
        <v>39.924359760000002</v>
      </c>
      <c r="BN1041" s="3460">
        <v>44.00799164</v>
      </c>
      <c r="BO1041" s="3231">
        <f t="shared" si="2540"/>
        <v>164.39344462999998</v>
      </c>
      <c r="BP1041" s="3460">
        <v>46.313527930000006</v>
      </c>
      <c r="BQ1041" s="3460">
        <v>45.588097180000005</v>
      </c>
      <c r="BR1041" s="3460">
        <v>42.904866229999996</v>
      </c>
      <c r="BS1041" s="3460">
        <v>39.544628729999999</v>
      </c>
      <c r="BT1041" s="3231">
        <f t="shared" si="2542"/>
        <v>174.35112007000001</v>
      </c>
      <c r="BU1041" s="3460">
        <v>41.634249790000005</v>
      </c>
      <c r="BV1041" s="2622">
        <f t="shared" si="2541"/>
        <v>46.499859123600004</v>
      </c>
      <c r="BW1041" s="2622">
        <f t="shared" si="2541"/>
        <v>43.762963554599999</v>
      </c>
      <c r="BX1041" s="2622">
        <f t="shared" si="2541"/>
        <v>42.510475884750001</v>
      </c>
      <c r="BY1041" s="3231">
        <f t="shared" si="2543"/>
        <v>174.40754835295002</v>
      </c>
      <c r="BZ1041" s="3231">
        <f t="shared" si="2544"/>
        <v>176.15162383647953</v>
      </c>
      <c r="CA1041" s="3231">
        <f t="shared" si="2544"/>
        <v>176.15162383647953</v>
      </c>
      <c r="CB1041" s="2857"/>
      <c r="CC1041" s="2857"/>
      <c r="CD1041" s="2857"/>
      <c r="CE1041" s="2857"/>
      <c r="CF1041" s="2857"/>
      <c r="CG1041" s="331"/>
      <c r="CH1041" s="331"/>
      <c r="CI1041" s="331"/>
      <c r="CJ1041" s="331"/>
      <c r="CK1041" s="331"/>
      <c r="CL1041" s="520"/>
      <c r="CM1041" s="330"/>
      <c r="CN1041" s="330"/>
      <c r="CO1041" s="330"/>
      <c r="CP1041" s="330"/>
      <c r="CQ1041" s="330"/>
      <c r="CR1041" s="330"/>
      <c r="CS1041" s="330"/>
      <c r="CT1041" s="330"/>
      <c r="CU1041" s="330"/>
      <c r="CV1041" s="330"/>
      <c r="CW1041" s="330"/>
      <c r="CX1041" s="330"/>
      <c r="CY1041" s="330"/>
      <c r="CZ1041" s="330"/>
      <c r="DA1041" s="330"/>
      <c r="DB1041" s="330"/>
      <c r="DC1041" s="1888"/>
      <c r="DD1041" s="331"/>
      <c r="DE1041" s="331"/>
      <c r="DF1041" s="502"/>
      <c r="DG1041" s="503"/>
      <c r="DH1041" s="3297"/>
      <c r="DI1041" s="3213"/>
      <c r="DJ1041" s="502"/>
      <c r="DK1041" s="503"/>
      <c r="DL1041" s="502"/>
      <c r="DM1041" s="502"/>
      <c r="DN1041" s="502"/>
      <c r="DO1041" s="502"/>
      <c r="DP1041" s="503"/>
      <c r="DQ1041" s="503"/>
      <c r="DR1041" s="296"/>
      <c r="DS1041" s="296"/>
      <c r="DT1041" s="296"/>
    </row>
    <row r="1042" spans="1:124" ht="12" customHeight="1" x14ac:dyDescent="0.25">
      <c r="A1042" s="2575" t="s">
        <v>2598</v>
      </c>
      <c r="B1042" s="281"/>
      <c r="C1042" s="340"/>
      <c r="D1042" s="340"/>
      <c r="E1042" s="340"/>
      <c r="F1042" s="340"/>
      <c r="G1042" s="310"/>
      <c r="H1042" s="340"/>
      <c r="I1042" s="340"/>
      <c r="J1042" s="340"/>
      <c r="K1042" s="340"/>
      <c r="L1042" s="310"/>
      <c r="M1042" s="340"/>
      <c r="N1042" s="340"/>
      <c r="O1042" s="340"/>
      <c r="P1042" s="340"/>
      <c r="Q1042" s="310"/>
      <c r="R1042" s="340"/>
      <c r="S1042" s="340"/>
      <c r="T1042" s="340"/>
      <c r="U1042" s="340"/>
      <c r="V1042" s="310"/>
      <c r="W1042" s="340"/>
      <c r="X1042" s="340"/>
      <c r="Y1042" s="340"/>
      <c r="Z1042" s="340"/>
      <c r="AA1042" s="345"/>
      <c r="AB1042" s="339"/>
      <c r="AC1042" s="339"/>
      <c r="AD1042" s="339"/>
      <c r="AE1042" s="339"/>
      <c r="AF1042" s="348"/>
      <c r="AG1042" s="331"/>
      <c r="AH1042" s="331"/>
      <c r="AI1042" s="331"/>
      <c r="AJ1042" s="331"/>
      <c r="AK1042" s="348"/>
      <c r="AL1042" s="2655"/>
      <c r="AM1042" s="2655"/>
      <c r="AN1042" s="2655"/>
      <c r="AO1042" s="2655"/>
      <c r="AP1042" s="568"/>
      <c r="AQ1042" s="2655"/>
      <c r="AR1042" s="2655"/>
      <c r="AS1042" s="2655"/>
      <c r="AT1042" s="2655"/>
      <c r="AU1042" s="1692"/>
      <c r="AV1042" s="2651"/>
      <c r="AW1042" s="2655"/>
      <c r="AX1042" s="2655"/>
      <c r="AY1042" s="2655"/>
      <c r="AZ1042" s="1692"/>
      <c r="BA1042" s="2651"/>
      <c r="BB1042" s="2655"/>
      <c r="BC1042" s="2655"/>
      <c r="BD1042" s="2655"/>
      <c r="BE1042" s="3460">
        <v>363.86879845999999</v>
      </c>
      <c r="BF1042" s="3460">
        <v>82.62435438</v>
      </c>
      <c r="BG1042" s="3460">
        <v>88.621072490000003</v>
      </c>
      <c r="BH1042" s="3460">
        <v>85.835544060000004</v>
      </c>
      <c r="BI1042" s="3460">
        <v>82.073794109999994</v>
      </c>
      <c r="BJ1042" s="3231">
        <f t="shared" si="2539"/>
        <v>339.15476504000003</v>
      </c>
      <c r="BK1042" s="3460">
        <v>77.532259820000007</v>
      </c>
      <c r="BL1042" s="3460">
        <v>76.489839900000007</v>
      </c>
      <c r="BM1042" s="3460">
        <v>87.716235240000003</v>
      </c>
      <c r="BN1042" s="3460">
        <v>89.075682040000004</v>
      </c>
      <c r="BO1042" s="3231">
        <f t="shared" si="2540"/>
        <v>330.81401700000004</v>
      </c>
      <c r="BP1042" s="3460">
        <v>74.566198389999997</v>
      </c>
      <c r="BQ1042" s="3460">
        <v>83.816854979999988</v>
      </c>
      <c r="BR1042" s="3460">
        <v>76.10413149</v>
      </c>
      <c r="BS1042" s="3460">
        <v>81.906900350000001</v>
      </c>
      <c r="BT1042" s="3231">
        <f t="shared" si="2542"/>
        <v>316.39408520999996</v>
      </c>
      <c r="BU1042" s="3460">
        <v>79.682489779999997</v>
      </c>
      <c r="BV1042" s="2622">
        <f t="shared" si="2541"/>
        <v>84.65502352979999</v>
      </c>
      <c r="BW1042" s="2622">
        <f t="shared" si="2541"/>
        <v>79.909338064500005</v>
      </c>
      <c r="BX1042" s="2622">
        <f t="shared" si="2541"/>
        <v>86.002245367500009</v>
      </c>
      <c r="BY1042" s="3231">
        <f t="shared" si="2543"/>
        <v>330.24909674179997</v>
      </c>
      <c r="BZ1042" s="3231">
        <f t="shared" si="2544"/>
        <v>333.55158770921798</v>
      </c>
      <c r="CA1042" s="3231">
        <f t="shared" si="2544"/>
        <v>333.55158770921798</v>
      </c>
      <c r="CB1042" s="2857"/>
      <c r="CC1042" s="2857"/>
      <c r="CD1042" s="2857"/>
      <c r="CE1042" s="2857"/>
      <c r="CF1042" s="2857"/>
      <c r="CG1042" s="331"/>
      <c r="CH1042" s="331"/>
      <c r="CI1042" s="331"/>
      <c r="CJ1042" s="331"/>
      <c r="CK1042" s="331"/>
      <c r="CL1042" s="520"/>
      <c r="CM1042" s="330"/>
      <c r="CN1042" s="330"/>
      <c r="CO1042" s="330"/>
      <c r="CP1042" s="330"/>
      <c r="CQ1042" s="330"/>
      <c r="CR1042" s="330"/>
      <c r="CS1042" s="330"/>
      <c r="CT1042" s="330"/>
      <c r="CU1042" s="330"/>
      <c r="CV1042" s="330"/>
      <c r="CW1042" s="330"/>
      <c r="CX1042" s="330"/>
      <c r="CY1042" s="330"/>
      <c r="CZ1042" s="330"/>
      <c r="DA1042" s="330"/>
      <c r="DB1042" s="330"/>
      <c r="DC1042" s="1888"/>
      <c r="DD1042" s="331"/>
      <c r="DE1042" s="331"/>
      <c r="DF1042" s="502"/>
      <c r="DG1042" s="503"/>
      <c r="DH1042" s="3297"/>
      <c r="DI1042" s="3213"/>
      <c r="DJ1042" s="502"/>
      <c r="DK1042" s="503"/>
      <c r="DL1042" s="502"/>
      <c r="DM1042" s="502"/>
      <c r="DN1042" s="502"/>
      <c r="DO1042" s="502"/>
      <c r="DP1042" s="503"/>
      <c r="DQ1042" s="503"/>
      <c r="DR1042" s="296"/>
      <c r="DS1042" s="296"/>
      <c r="DT1042" s="296"/>
    </row>
    <row r="1043" spans="1:124" ht="12" customHeight="1" x14ac:dyDescent="0.25">
      <c r="A1043" s="2575" t="s">
        <v>2599</v>
      </c>
      <c r="B1043" s="281"/>
      <c r="C1043" s="340"/>
      <c r="D1043" s="340"/>
      <c r="E1043" s="340"/>
      <c r="F1043" s="340"/>
      <c r="G1043" s="310"/>
      <c r="H1043" s="340"/>
      <c r="I1043" s="340"/>
      <c r="J1043" s="340"/>
      <c r="K1043" s="340"/>
      <c r="L1043" s="310"/>
      <c r="M1043" s="340"/>
      <c r="N1043" s="340"/>
      <c r="O1043" s="340"/>
      <c r="P1043" s="340"/>
      <c r="Q1043" s="310"/>
      <c r="R1043" s="340"/>
      <c r="S1043" s="340"/>
      <c r="T1043" s="340"/>
      <c r="U1043" s="340"/>
      <c r="V1043" s="310"/>
      <c r="W1043" s="340"/>
      <c r="X1043" s="340"/>
      <c r="Y1043" s="340"/>
      <c r="Z1043" s="340"/>
      <c r="AA1043" s="345"/>
      <c r="AB1043" s="339"/>
      <c r="AC1043" s="339"/>
      <c r="AD1043" s="339"/>
      <c r="AE1043" s="339"/>
      <c r="AF1043" s="348"/>
      <c r="AG1043" s="331"/>
      <c r="AH1043" s="331"/>
      <c r="AI1043" s="331"/>
      <c r="AJ1043" s="331"/>
      <c r="AK1043" s="348"/>
      <c r="AL1043" s="2655"/>
      <c r="AM1043" s="2655"/>
      <c r="AN1043" s="2655"/>
      <c r="AO1043" s="2655"/>
      <c r="AP1043" s="568"/>
      <c r="AQ1043" s="2655"/>
      <c r="AR1043" s="2655"/>
      <c r="AS1043" s="2655"/>
      <c r="AT1043" s="2655"/>
      <c r="AU1043" s="1692"/>
      <c r="AV1043" s="2651"/>
      <c r="AW1043" s="2655"/>
      <c r="AX1043" s="2655"/>
      <c r="AY1043" s="2655"/>
      <c r="AZ1043" s="1692"/>
      <c r="BA1043" s="2651"/>
      <c r="BB1043" s="2655"/>
      <c r="BC1043" s="2655"/>
      <c r="BD1043" s="2655"/>
      <c r="BE1043" s="3460"/>
      <c r="BF1043" s="3460"/>
      <c r="BG1043" s="3460"/>
      <c r="BH1043" s="3460"/>
      <c r="BI1043" s="3460"/>
      <c r="BJ1043" s="3467"/>
      <c r="BK1043" s="3460"/>
      <c r="BL1043" s="3460"/>
      <c r="BM1043" s="3460">
        <f>63.14885688*(0.239130434782609)</f>
        <v>15.10081360173915</v>
      </c>
      <c r="BN1043" s="3460">
        <v>60.905433039999949</v>
      </c>
      <c r="BO1043" s="3467">
        <v>253.02614739999996</v>
      </c>
      <c r="BP1043" s="3460">
        <v>61.978793250000003</v>
      </c>
      <c r="BQ1043" s="3460">
        <v>63.980248690000003</v>
      </c>
      <c r="BR1043" s="3460">
        <v>64.73840572999994</v>
      </c>
      <c r="BS1043" s="3460">
        <v>60.195356610000026</v>
      </c>
      <c r="BT1043" s="3231">
        <f t="shared" si="2542"/>
        <v>250.89280427999998</v>
      </c>
      <c r="BU1043" s="3460">
        <v>60.191478700000012</v>
      </c>
      <c r="BV1043" s="2622">
        <f t="shared" si="2541"/>
        <v>65.259853663800001</v>
      </c>
      <c r="BW1043" s="2622">
        <f t="shared" si="2541"/>
        <v>66.033173844599943</v>
      </c>
      <c r="BX1043" s="2622">
        <f t="shared" si="2541"/>
        <v>62.001217308300028</v>
      </c>
      <c r="BY1043" s="3231">
        <f t="shared" si="2543"/>
        <v>253.48572351670001</v>
      </c>
      <c r="BZ1043" s="3231">
        <f t="shared" si="2544"/>
        <v>256.02058075186699</v>
      </c>
      <c r="CA1043" s="3231">
        <f t="shared" si="2544"/>
        <v>256.02058075186699</v>
      </c>
      <c r="CB1043" s="2857"/>
      <c r="CC1043" s="2857"/>
      <c r="CD1043" s="2857"/>
      <c r="CE1043" s="2857"/>
      <c r="CF1043" s="2857"/>
      <c r="CG1043" s="331"/>
      <c r="CH1043" s="331"/>
      <c r="CI1043" s="331"/>
      <c r="CJ1043" s="331"/>
      <c r="CK1043" s="331"/>
      <c r="CL1043" s="520"/>
      <c r="CM1043" s="330"/>
      <c r="CN1043" s="330"/>
      <c r="CO1043" s="330"/>
      <c r="CP1043" s="330"/>
      <c r="CQ1043" s="330"/>
      <c r="CR1043" s="330"/>
      <c r="CS1043" s="330"/>
      <c r="CT1043" s="330"/>
      <c r="CU1043" s="330"/>
      <c r="CV1043" s="330"/>
      <c r="CW1043" s="330"/>
      <c r="CX1043" s="330"/>
      <c r="CY1043" s="330"/>
      <c r="CZ1043" s="330"/>
      <c r="DA1043" s="330"/>
      <c r="DB1043" s="330"/>
      <c r="DC1043" s="1888"/>
      <c r="DD1043" s="331"/>
      <c r="DE1043" s="331"/>
      <c r="DF1043" s="502"/>
      <c r="DG1043" s="503"/>
      <c r="DH1043" s="3297"/>
      <c r="DI1043" s="3213"/>
      <c r="DJ1043" s="502"/>
      <c r="DK1043" s="503"/>
      <c r="DL1043" s="502"/>
      <c r="DM1043" s="502"/>
      <c r="DN1043" s="502"/>
      <c r="DO1043" s="502"/>
      <c r="DP1043" s="503"/>
      <c r="DQ1043" s="503"/>
      <c r="DR1043" s="296"/>
      <c r="DS1043" s="296"/>
      <c r="DT1043" s="296"/>
    </row>
    <row r="1044" spans="1:124" ht="12" customHeight="1" x14ac:dyDescent="0.25">
      <c r="A1044" s="2575" t="s">
        <v>2600</v>
      </c>
      <c r="B1044" s="281"/>
      <c r="C1044" s="340"/>
      <c r="D1044" s="340"/>
      <c r="E1044" s="340"/>
      <c r="F1044" s="340"/>
      <c r="G1044" s="310"/>
      <c r="H1044" s="340"/>
      <c r="I1044" s="340"/>
      <c r="J1044" s="340"/>
      <c r="K1044" s="340"/>
      <c r="L1044" s="310"/>
      <c r="M1044" s="340"/>
      <c r="N1044" s="340"/>
      <c r="O1044" s="340"/>
      <c r="P1044" s="340"/>
      <c r="Q1044" s="310"/>
      <c r="R1044" s="340"/>
      <c r="S1044" s="340"/>
      <c r="T1044" s="340"/>
      <c r="U1044" s="340"/>
      <c r="V1044" s="310"/>
      <c r="W1044" s="340"/>
      <c r="X1044" s="340"/>
      <c r="Y1044" s="340"/>
      <c r="Z1044" s="340"/>
      <c r="AA1044" s="345"/>
      <c r="AB1044" s="339"/>
      <c r="AC1044" s="339"/>
      <c r="AD1044" s="339"/>
      <c r="AE1044" s="339"/>
      <c r="AF1044" s="348"/>
      <c r="AG1044" s="331"/>
      <c r="AH1044" s="331"/>
      <c r="AI1044" s="331"/>
      <c r="AJ1044" s="331"/>
      <c r="AK1044" s="348"/>
      <c r="AL1044" s="2655"/>
      <c r="AM1044" s="2655"/>
      <c r="AN1044" s="2655"/>
      <c r="AO1044" s="2655"/>
      <c r="AP1044" s="568"/>
      <c r="AQ1044" s="2655"/>
      <c r="AR1044" s="2655"/>
      <c r="AS1044" s="2655"/>
      <c r="AT1044" s="2655"/>
      <c r="AU1044" s="1692"/>
      <c r="AV1044" s="2651"/>
      <c r="AW1044" s="2655"/>
      <c r="AX1044" s="2655"/>
      <c r="AY1044" s="2655"/>
      <c r="AZ1044" s="1692"/>
      <c r="BA1044" s="2651"/>
      <c r="BB1044" s="2655"/>
      <c r="BC1044" s="2655"/>
      <c r="BD1044" s="2655"/>
      <c r="BE1044" s="3460">
        <v>209.06075111999999</v>
      </c>
      <c r="BF1044" s="3460">
        <v>54.34470988999999</v>
      </c>
      <c r="BG1044" s="3460">
        <v>56.064701310000004</v>
      </c>
      <c r="BH1044" s="3460">
        <v>54.420326630000005</v>
      </c>
      <c r="BI1044" s="3460">
        <v>56.053535069999995</v>
      </c>
      <c r="BJ1044" s="3231">
        <f>SUM(BF1044:BI1044)</f>
        <v>220.88327290000001</v>
      </c>
      <c r="BK1044" s="3460">
        <v>57.286797350000001</v>
      </c>
      <c r="BL1044" s="3460">
        <v>55.914363940000001</v>
      </c>
      <c r="BM1044" s="3460">
        <v>55.854465379999994</v>
      </c>
      <c r="BN1044" s="3460">
        <v>55.135462259999997</v>
      </c>
      <c r="BO1044" s="3231">
        <f>SUM(BK1044:BN1044)</f>
        <v>224.19108892999998</v>
      </c>
      <c r="BP1044" s="3460">
        <v>57.714528270000002</v>
      </c>
      <c r="BQ1044" s="3460">
        <v>56.248233820000003</v>
      </c>
      <c r="BR1044" s="3460">
        <v>57.113977980000001</v>
      </c>
      <c r="BS1044" s="3460">
        <v>54.672809319999999</v>
      </c>
      <c r="BT1044" s="3231">
        <f t="shared" si="2542"/>
        <v>225.74954939000003</v>
      </c>
      <c r="BU1044" s="3460">
        <v>56.594339570000002</v>
      </c>
      <c r="BV1044" s="2622">
        <f t="shared" si="2541"/>
        <v>57.091957327299994</v>
      </c>
      <c r="BW1044" s="2622">
        <f t="shared" si="2541"/>
        <v>57.970687649699997</v>
      </c>
      <c r="BX1044" s="2622">
        <f t="shared" si="2541"/>
        <v>55.492901459799995</v>
      </c>
      <c r="BY1044" s="3231">
        <f t="shared" si="2543"/>
        <v>227.14988600679999</v>
      </c>
      <c r="BZ1044" s="3231">
        <f t="shared" si="2544"/>
        <v>229.42138486686798</v>
      </c>
      <c r="CA1044" s="3231">
        <f t="shared" si="2544"/>
        <v>229.42138486686798</v>
      </c>
      <c r="CB1044" s="2857"/>
      <c r="CC1044" s="2857"/>
      <c r="CD1044" s="2857"/>
      <c r="CE1044" s="2857"/>
      <c r="CF1044" s="2857"/>
      <c r="CG1044" s="331"/>
      <c r="CH1044" s="331"/>
      <c r="CI1044" s="331"/>
      <c r="CJ1044" s="331"/>
      <c r="CK1044" s="331"/>
      <c r="CL1044" s="520"/>
      <c r="CM1044" s="330"/>
      <c r="CN1044" s="330"/>
      <c r="CO1044" s="330"/>
      <c r="CP1044" s="330"/>
      <c r="CQ1044" s="330"/>
      <c r="CR1044" s="330"/>
      <c r="CS1044" s="330"/>
      <c r="CT1044" s="330"/>
      <c r="CU1044" s="330"/>
      <c r="CV1044" s="330"/>
      <c r="CW1044" s="330"/>
      <c r="CX1044" s="330"/>
      <c r="CY1044" s="330"/>
      <c r="CZ1044" s="330"/>
      <c r="DA1044" s="330"/>
      <c r="DB1044" s="330"/>
      <c r="DC1044" s="1888"/>
      <c r="DD1044" s="331"/>
      <c r="DE1044" s="331"/>
      <c r="DF1044" s="502"/>
      <c r="DG1044" s="503"/>
      <c r="DH1044" s="3297"/>
      <c r="DI1044" s="3213"/>
      <c r="DJ1044" s="502"/>
      <c r="DK1044" s="503"/>
      <c r="DL1044" s="502"/>
      <c r="DM1044" s="502"/>
      <c r="DN1044" s="502"/>
      <c r="DO1044" s="502"/>
      <c r="DP1044" s="503"/>
      <c r="DQ1044" s="503"/>
      <c r="DR1044" s="296"/>
      <c r="DS1044" s="296"/>
      <c r="DT1044" s="296"/>
    </row>
    <row r="1045" spans="1:124" ht="3.95" customHeight="1" x14ac:dyDescent="0.25">
      <c r="A1045" s="2575"/>
      <c r="B1045" s="281"/>
      <c r="C1045" s="340"/>
      <c r="D1045" s="340"/>
      <c r="E1045" s="340"/>
      <c r="F1045" s="340"/>
      <c r="G1045" s="310"/>
      <c r="H1045" s="340"/>
      <c r="I1045" s="340"/>
      <c r="J1045" s="340"/>
      <c r="K1045" s="340"/>
      <c r="L1045" s="310"/>
      <c r="M1045" s="340"/>
      <c r="N1045" s="340"/>
      <c r="O1045" s="340"/>
      <c r="P1045" s="340"/>
      <c r="Q1045" s="310"/>
      <c r="R1045" s="340"/>
      <c r="S1045" s="340"/>
      <c r="T1045" s="340"/>
      <c r="U1045" s="340"/>
      <c r="V1045" s="310"/>
      <c r="W1045" s="340"/>
      <c r="X1045" s="340"/>
      <c r="Y1045" s="340"/>
      <c r="Z1045" s="340"/>
      <c r="AA1045" s="345"/>
      <c r="AB1045" s="339"/>
      <c r="AC1045" s="339"/>
      <c r="AD1045" s="339"/>
      <c r="AE1045" s="339"/>
      <c r="AF1045" s="348"/>
      <c r="AG1045" s="331"/>
      <c r="AH1045" s="331"/>
      <c r="AI1045" s="331"/>
      <c r="AJ1045" s="331"/>
      <c r="AK1045" s="348"/>
      <c r="AL1045" s="2655"/>
      <c r="AM1045" s="2655"/>
      <c r="AN1045" s="2655"/>
      <c r="AO1045" s="2655"/>
      <c r="AP1045" s="568"/>
      <c r="AQ1045" s="2655"/>
      <c r="AR1045" s="2655"/>
      <c r="AS1045" s="2655"/>
      <c r="AT1045" s="2655"/>
      <c r="AU1045" s="1692"/>
      <c r="AV1045" s="2651"/>
      <c r="AW1045" s="2655"/>
      <c r="AX1045" s="2655"/>
      <c r="AY1045" s="2655"/>
      <c r="AZ1045" s="1692"/>
      <c r="BA1045" s="2651"/>
      <c r="BB1045" s="2655"/>
      <c r="BC1045" s="2655"/>
      <c r="BD1045" s="2655"/>
      <c r="BE1045" s="2604" t="s">
        <v>229</v>
      </c>
      <c r="BF1045" s="2577" t="s">
        <v>229</v>
      </c>
      <c r="BG1045" s="2577" t="s">
        <v>229</v>
      </c>
      <c r="BH1045" s="2577" t="s">
        <v>229</v>
      </c>
      <c r="BI1045" s="2577" t="s">
        <v>229</v>
      </c>
      <c r="BJ1045" s="2604" t="s">
        <v>229</v>
      </c>
      <c r="BK1045" s="2577" t="s">
        <v>229</v>
      </c>
      <c r="BL1045" s="2577" t="s">
        <v>229</v>
      </c>
      <c r="BM1045" s="2577" t="s">
        <v>229</v>
      </c>
      <c r="BN1045" s="2577" t="s">
        <v>229</v>
      </c>
      <c r="BO1045" s="2604" t="s">
        <v>229</v>
      </c>
      <c r="BP1045" s="2577" t="s">
        <v>229</v>
      </c>
      <c r="BQ1045" s="2577" t="s">
        <v>229</v>
      </c>
      <c r="BR1045" s="2577" t="s">
        <v>229</v>
      </c>
      <c r="BS1045" s="2577" t="s">
        <v>229</v>
      </c>
      <c r="BT1045" s="2604" t="s">
        <v>229</v>
      </c>
      <c r="BU1045" s="2577" t="s">
        <v>229</v>
      </c>
      <c r="BV1045" s="2577" t="s">
        <v>229</v>
      </c>
      <c r="BW1045" s="2577" t="s">
        <v>229</v>
      </c>
      <c r="BX1045" s="2577" t="s">
        <v>229</v>
      </c>
      <c r="BY1045" s="2604" t="s">
        <v>229</v>
      </c>
      <c r="BZ1045" s="2604" t="s">
        <v>229</v>
      </c>
      <c r="CA1045" s="2604" t="s">
        <v>229</v>
      </c>
      <c r="CB1045" s="2857"/>
      <c r="CC1045" s="2857"/>
      <c r="CD1045" s="2857"/>
      <c r="CE1045" s="2857"/>
      <c r="CF1045" s="2857"/>
      <c r="CG1045" s="331"/>
      <c r="CH1045" s="331"/>
      <c r="CI1045" s="331"/>
      <c r="CJ1045" s="331"/>
      <c r="CK1045" s="331"/>
      <c r="CL1045" s="520"/>
      <c r="CM1045" s="330"/>
      <c r="CN1045" s="330"/>
      <c r="CO1045" s="330"/>
      <c r="CP1045" s="330"/>
      <c r="CQ1045" s="330"/>
      <c r="CR1045" s="330"/>
      <c r="CS1045" s="330"/>
      <c r="CT1045" s="330"/>
      <c r="CU1045" s="330"/>
      <c r="CV1045" s="330"/>
      <c r="CW1045" s="330"/>
      <c r="CX1045" s="330"/>
      <c r="CY1045" s="330"/>
      <c r="CZ1045" s="330"/>
      <c r="DA1045" s="330"/>
      <c r="DB1045" s="330"/>
      <c r="DC1045" s="1888"/>
      <c r="DD1045" s="331"/>
      <c r="DE1045" s="331"/>
      <c r="DF1045" s="502"/>
      <c r="DG1045" s="503"/>
      <c r="DH1045" s="3297"/>
      <c r="DI1045" s="3213"/>
      <c r="DJ1045" s="502"/>
      <c r="DK1045" s="503"/>
      <c r="DL1045" s="502"/>
      <c r="DM1045" s="502"/>
      <c r="DN1045" s="502"/>
      <c r="DO1045" s="502"/>
      <c r="DP1045" s="503"/>
      <c r="DQ1045" s="503"/>
      <c r="DR1045" s="296"/>
      <c r="DS1045" s="296"/>
      <c r="DT1045" s="296"/>
    </row>
    <row r="1046" spans="1:124" ht="12" customHeight="1" x14ac:dyDescent="0.25">
      <c r="A1046" s="2575" t="s">
        <v>2602</v>
      </c>
      <c r="B1046" s="281"/>
      <c r="C1046" s="340"/>
      <c r="D1046" s="340"/>
      <c r="E1046" s="340"/>
      <c r="F1046" s="340"/>
      <c r="G1046" s="310"/>
      <c r="H1046" s="340"/>
      <c r="I1046" s="340"/>
      <c r="J1046" s="340"/>
      <c r="K1046" s="340"/>
      <c r="L1046" s="310"/>
      <c r="M1046" s="340"/>
      <c r="N1046" s="340"/>
      <c r="O1046" s="340"/>
      <c r="P1046" s="340"/>
      <c r="Q1046" s="310"/>
      <c r="R1046" s="340"/>
      <c r="S1046" s="340"/>
      <c r="T1046" s="340"/>
      <c r="U1046" s="340"/>
      <c r="V1046" s="310"/>
      <c r="W1046" s="340"/>
      <c r="X1046" s="340"/>
      <c r="Y1046" s="340"/>
      <c r="Z1046" s="340"/>
      <c r="AA1046" s="345"/>
      <c r="AB1046" s="339"/>
      <c r="AC1046" s="339"/>
      <c r="AD1046" s="339"/>
      <c r="AE1046" s="339"/>
      <c r="AF1046" s="348"/>
      <c r="AG1046" s="331"/>
      <c r="AH1046" s="331"/>
      <c r="AI1046" s="331"/>
      <c r="AJ1046" s="331"/>
      <c r="AK1046" s="348"/>
      <c r="AL1046" s="2655"/>
      <c r="AM1046" s="2655"/>
      <c r="AN1046" s="2655"/>
      <c r="AO1046" s="2655"/>
      <c r="AP1046" s="568"/>
      <c r="AQ1046" s="2655"/>
      <c r="AR1046" s="2655"/>
      <c r="AS1046" s="2655"/>
      <c r="AT1046" s="2655"/>
      <c r="AU1046" s="1692"/>
      <c r="AV1046" s="2651"/>
      <c r="AW1046" s="2655"/>
      <c r="AX1046" s="2655"/>
      <c r="AY1046" s="2655"/>
      <c r="AZ1046" s="1692"/>
      <c r="BA1046" s="2651"/>
      <c r="BB1046" s="2655"/>
      <c r="BC1046" s="2655"/>
      <c r="BD1046" s="2655"/>
      <c r="BE1046" s="3023">
        <f>SUM(BE1033:BE1044)</f>
        <v>1882.7951358999999</v>
      </c>
      <c r="BF1046" s="2671">
        <f t="shared" ref="BF1046:BS1046" si="2545">SUM(BF1033:BF1044)</f>
        <v>484.60557432000002</v>
      </c>
      <c r="BG1046" s="2671">
        <f t="shared" si="2545"/>
        <v>495.81241789000001</v>
      </c>
      <c r="BH1046" s="2671">
        <f t="shared" si="2545"/>
        <v>488.82268317</v>
      </c>
      <c r="BI1046" s="2671">
        <f t="shared" si="2545"/>
        <v>477.13083990000001</v>
      </c>
      <c r="BJ1046" s="3023">
        <f t="shared" si="2545"/>
        <v>1946.37151528</v>
      </c>
      <c r="BK1046" s="2671">
        <f t="shared" si="2545"/>
        <v>488.59014643000012</v>
      </c>
      <c r="BL1046" s="2671">
        <f t="shared" si="2545"/>
        <v>477.68023090000003</v>
      </c>
      <c r="BM1046" s="2671">
        <f t="shared" si="2545"/>
        <v>503.63231948173916</v>
      </c>
      <c r="BN1046" s="2671">
        <f t="shared" si="2545"/>
        <v>545.17787854999995</v>
      </c>
      <c r="BO1046" s="3023">
        <f t="shared" si="2545"/>
        <v>2192.1004761200002</v>
      </c>
      <c r="BP1046" s="2671">
        <f t="shared" si="2545"/>
        <v>550.48417133000009</v>
      </c>
      <c r="BQ1046" s="2671">
        <f t="shared" si="2545"/>
        <v>554.08995876000006</v>
      </c>
      <c r="BR1046" s="2671">
        <f t="shared" si="2545"/>
        <v>544.52095942999995</v>
      </c>
      <c r="BS1046" s="2671">
        <f t="shared" si="2545"/>
        <v>528.21114376000003</v>
      </c>
      <c r="BT1046" s="3023">
        <f t="shared" ref="BT1046:CA1046" si="2546">SUM(BT1033:BT1044)</f>
        <v>2177.30623328</v>
      </c>
      <c r="BU1046" s="2671">
        <f t="shared" si="2546"/>
        <v>541.12101544000006</v>
      </c>
      <c r="BV1046" s="2671">
        <f t="shared" si="2546"/>
        <v>561.58404431719998</v>
      </c>
      <c r="BW1046" s="2671">
        <f t="shared" si="2546"/>
        <v>387.43559375269996</v>
      </c>
      <c r="BX1046" s="2671">
        <f t="shared" si="2546"/>
        <v>382.72058320175006</v>
      </c>
      <c r="BY1046" s="3023">
        <f t="shared" si="2546"/>
        <v>1872.86123671165</v>
      </c>
      <c r="BZ1046" s="3023">
        <f t="shared" si="2546"/>
        <v>1567.3260353438097</v>
      </c>
      <c r="CA1046" s="3023">
        <f t="shared" si="2546"/>
        <v>1567.3260353438097</v>
      </c>
      <c r="CB1046" s="2857"/>
      <c r="CC1046" s="2857"/>
      <c r="CD1046" s="2857"/>
      <c r="CE1046" s="2857"/>
      <c r="CF1046" s="2857"/>
      <c r="CG1046" s="331"/>
      <c r="CH1046" s="588"/>
      <c r="CI1046" s="331"/>
      <c r="CJ1046" s="331"/>
      <c r="CK1046" s="331"/>
      <c r="CL1046" s="520"/>
      <c r="CM1046" s="330"/>
      <c r="CN1046" s="330"/>
      <c r="CO1046" s="330"/>
      <c r="CP1046" s="330"/>
      <c r="CQ1046" s="330"/>
      <c r="CR1046" s="330"/>
      <c r="CS1046" s="330"/>
      <c r="CT1046" s="330"/>
      <c r="CU1046" s="330"/>
      <c r="CV1046" s="330"/>
      <c r="CW1046" s="330"/>
      <c r="CX1046" s="330"/>
      <c r="CY1046" s="330"/>
      <c r="CZ1046" s="330"/>
      <c r="DA1046" s="330"/>
      <c r="DB1046" s="330"/>
      <c r="DC1046" s="1888"/>
      <c r="DD1046" s="331"/>
      <c r="DE1046" s="331"/>
      <c r="DF1046" s="502"/>
      <c r="DG1046" s="503"/>
      <c r="DH1046" s="3297"/>
      <c r="DI1046" s="3213"/>
      <c r="DJ1046" s="502"/>
      <c r="DK1046" s="503"/>
      <c r="DL1046" s="502"/>
      <c r="DM1046" s="502"/>
      <c r="DN1046" s="502"/>
      <c r="DO1046" s="502"/>
      <c r="DP1046" s="503"/>
      <c r="DQ1046" s="503"/>
      <c r="DR1046" s="296"/>
      <c r="DS1046" s="296"/>
      <c r="DT1046" s="296"/>
    </row>
    <row r="1047" spans="1:124" ht="12" customHeight="1" x14ac:dyDescent="0.25">
      <c r="A1047" s="991" t="s">
        <v>236</v>
      </c>
      <c r="B1047" s="281"/>
      <c r="C1047" s="340"/>
      <c r="D1047" s="340"/>
      <c r="E1047" s="340"/>
      <c r="F1047" s="340"/>
      <c r="G1047" s="310"/>
      <c r="H1047" s="340"/>
      <c r="I1047" s="340"/>
      <c r="J1047" s="340"/>
      <c r="K1047" s="340"/>
      <c r="L1047" s="310"/>
      <c r="M1047" s="340"/>
      <c r="N1047" s="340"/>
      <c r="O1047" s="340"/>
      <c r="P1047" s="340"/>
      <c r="Q1047" s="310"/>
      <c r="R1047" s="340"/>
      <c r="S1047" s="340"/>
      <c r="T1047" s="340"/>
      <c r="U1047" s="340"/>
      <c r="V1047" s="310"/>
      <c r="W1047" s="340"/>
      <c r="X1047" s="340"/>
      <c r="Y1047" s="340"/>
      <c r="Z1047" s="340"/>
      <c r="AA1047" s="345"/>
      <c r="AB1047" s="339"/>
      <c r="AC1047" s="339"/>
      <c r="AD1047" s="339"/>
      <c r="AE1047" s="339"/>
      <c r="AF1047" s="348"/>
      <c r="AG1047" s="331"/>
      <c r="AH1047" s="331"/>
      <c r="AI1047" s="331"/>
      <c r="AJ1047" s="331"/>
      <c r="AK1047" s="348"/>
      <c r="AL1047" s="2655"/>
      <c r="AM1047" s="2655"/>
      <c r="AN1047" s="2655"/>
      <c r="AO1047" s="2655"/>
      <c r="AP1047" s="568"/>
      <c r="AQ1047" s="2655"/>
      <c r="AR1047" s="2655"/>
      <c r="AS1047" s="2655"/>
      <c r="AT1047" s="2655"/>
      <c r="AU1047" s="1692"/>
      <c r="AV1047" s="2651"/>
      <c r="AW1047" s="2655"/>
      <c r="AX1047" s="2655"/>
      <c r="AY1047" s="2655"/>
      <c r="AZ1047" s="1692"/>
      <c r="BA1047" s="2651"/>
      <c r="BB1047" s="2655"/>
      <c r="BC1047" s="2655"/>
      <c r="BD1047" s="2655"/>
      <c r="BE1047" s="2757"/>
      <c r="BF1047" s="1454"/>
      <c r="BG1047" s="1454"/>
      <c r="BH1047" s="1454"/>
      <c r="BI1047" s="1454"/>
      <c r="BJ1047" s="591">
        <f>+BJ1046/BE1046-1</f>
        <v>3.3767019134351983E-2</v>
      </c>
      <c r="BK1047" s="519">
        <f t="shared" ref="BK1047:BT1047" si="2547">+BK1046/BF1046-1</f>
        <v>8.2222993732403715E-3</v>
      </c>
      <c r="BL1047" s="519">
        <f t="shared" si="2547"/>
        <v>-3.6570659256910276E-2</v>
      </c>
      <c r="BM1047" s="519">
        <f t="shared" si="2547"/>
        <v>3.0296540691808982E-2</v>
      </c>
      <c r="BN1047" s="519">
        <f t="shared" si="2547"/>
        <v>0.14261714598926711</v>
      </c>
      <c r="BO1047" s="591">
        <f t="shared" si="2547"/>
        <v>0.12624977241544255</v>
      </c>
      <c r="BP1047" s="519">
        <f t="shared" si="2547"/>
        <v>0.12667882345201464</v>
      </c>
      <c r="BQ1047" s="519">
        <f t="shared" si="2547"/>
        <v>0.159959996075274</v>
      </c>
      <c r="BR1047" s="519">
        <f t="shared" si="2547"/>
        <v>8.1187482150345547E-2</v>
      </c>
      <c r="BS1047" s="519">
        <f t="shared" si="2547"/>
        <v>-3.112146596102916E-2</v>
      </c>
      <c r="BT1047" s="591">
        <f t="shared" si="2547"/>
        <v>-6.748889022726634E-3</v>
      </c>
      <c r="BU1047" s="519">
        <f>+BU1046/BP1046-1</f>
        <v>-1.7008946628525479E-2</v>
      </c>
      <c r="BV1047" s="519">
        <f>+BV1046/BQ1046-1</f>
        <v>1.3525034046765638E-2</v>
      </c>
      <c r="BW1047" s="519">
        <f>+BW1046/BR1046-1</f>
        <v>-0.28848359821031622</v>
      </c>
      <c r="BX1047" s="519">
        <f>+BX1046/BS1046-1</f>
        <v>-0.27544015736319949</v>
      </c>
      <c r="BY1047" s="591">
        <f>+BY1046/BT1046-1</f>
        <v>-0.13982644789002385</v>
      </c>
      <c r="BZ1047" s="591">
        <f>+BZ1046/BY1046-1</f>
        <v>-0.16313819485329073</v>
      </c>
      <c r="CA1047" s="591">
        <f>+CA1046/BZ1046-1</f>
        <v>0</v>
      </c>
      <c r="CB1047" s="2857"/>
      <c r="CC1047" s="2857"/>
      <c r="CD1047" s="2857"/>
      <c r="CE1047" s="2857"/>
      <c r="CF1047" s="2857"/>
      <c r="CG1047" s="331"/>
      <c r="CH1047" s="331"/>
      <c r="CI1047" s="331"/>
      <c r="CJ1047" s="331"/>
      <c r="CK1047" s="331"/>
      <c r="CL1047" s="520"/>
      <c r="CM1047" s="330"/>
      <c r="CN1047" s="330"/>
      <c r="CO1047" s="330"/>
      <c r="CP1047" s="330"/>
      <c r="CQ1047" s="330"/>
      <c r="CR1047" s="330"/>
      <c r="CS1047" s="330"/>
      <c r="CT1047" s="330"/>
      <c r="CU1047" s="330"/>
      <c r="CV1047" s="330"/>
      <c r="CW1047" s="330"/>
      <c r="CX1047" s="330"/>
      <c r="CY1047" s="330"/>
      <c r="CZ1047" s="330"/>
      <c r="DA1047" s="330"/>
      <c r="DB1047" s="330"/>
      <c r="DC1047" s="1888"/>
      <c r="DD1047" s="331"/>
      <c r="DE1047" s="331"/>
      <c r="DF1047" s="502"/>
      <c r="DG1047" s="503"/>
      <c r="DH1047" s="3297"/>
      <c r="DI1047" s="3213"/>
      <c r="DJ1047" s="502"/>
      <c r="DK1047" s="503"/>
      <c r="DL1047" s="502"/>
      <c r="DM1047" s="502"/>
      <c r="DN1047" s="502"/>
      <c r="DO1047" s="502"/>
      <c r="DP1047" s="503"/>
      <c r="DQ1047" s="503"/>
      <c r="DR1047" s="296"/>
      <c r="DS1047" s="296"/>
      <c r="DT1047" s="296"/>
    </row>
    <row r="1048" spans="1:124" ht="12" customHeight="1" x14ac:dyDescent="0.25">
      <c r="A1048" s="2575"/>
      <c r="B1048" s="281"/>
      <c r="C1048" s="340"/>
      <c r="D1048" s="340"/>
      <c r="E1048" s="340"/>
      <c r="F1048" s="340"/>
      <c r="G1048" s="310"/>
      <c r="H1048" s="340"/>
      <c r="I1048" s="340"/>
      <c r="J1048" s="340"/>
      <c r="K1048" s="340"/>
      <c r="L1048" s="310"/>
      <c r="M1048" s="340"/>
      <c r="N1048" s="340"/>
      <c r="O1048" s="340"/>
      <c r="P1048" s="340"/>
      <c r="Q1048" s="310"/>
      <c r="R1048" s="340"/>
      <c r="S1048" s="340"/>
      <c r="T1048" s="340"/>
      <c r="U1048" s="340"/>
      <c r="V1048" s="310"/>
      <c r="W1048" s="340"/>
      <c r="X1048" s="340"/>
      <c r="Y1048" s="340"/>
      <c r="Z1048" s="340"/>
      <c r="AA1048" s="345"/>
      <c r="AB1048" s="339"/>
      <c r="AC1048" s="339"/>
      <c r="AD1048" s="339"/>
      <c r="AE1048" s="339"/>
      <c r="AF1048" s="348"/>
      <c r="AG1048" s="331"/>
      <c r="AH1048" s="331"/>
      <c r="AI1048" s="331"/>
      <c r="AJ1048" s="331"/>
      <c r="AK1048" s="348"/>
      <c r="AL1048" s="2655"/>
      <c r="AM1048" s="2655"/>
      <c r="AN1048" s="2655"/>
      <c r="AO1048" s="2655"/>
      <c r="AP1048" s="568"/>
      <c r="AQ1048" s="2655"/>
      <c r="AR1048" s="2655"/>
      <c r="AS1048" s="2655"/>
      <c r="AT1048" s="2655"/>
      <c r="AU1048" s="1692"/>
      <c r="AV1048" s="2651"/>
      <c r="AW1048" s="2655"/>
      <c r="AX1048" s="2655"/>
      <c r="AY1048" s="2655"/>
      <c r="AZ1048" s="1692"/>
      <c r="BA1048" s="2651"/>
      <c r="BB1048" s="2655"/>
      <c r="BC1048" s="2655"/>
      <c r="BD1048" s="2655"/>
      <c r="BE1048" s="2757"/>
      <c r="BF1048" s="1454"/>
      <c r="BG1048" s="1454"/>
      <c r="BH1048" s="1454"/>
      <c r="BI1048" s="1454"/>
      <c r="BJ1048" s="2757"/>
      <c r="BK1048" s="1454"/>
      <c r="BL1048" s="1454"/>
      <c r="BM1048" s="1454"/>
      <c r="BN1048" s="1454"/>
      <c r="BO1048" s="2757"/>
      <c r="BP1048" s="1454"/>
      <c r="BQ1048" s="1454"/>
      <c r="BR1048" s="1454"/>
      <c r="BS1048" s="3444"/>
      <c r="BT1048" s="2757"/>
      <c r="BU1048" s="3444"/>
      <c r="BV1048" s="3444"/>
      <c r="BW1048" s="3444"/>
      <c r="BX1048" s="3444"/>
      <c r="BY1048" s="3234"/>
      <c r="BZ1048" s="3468"/>
      <c r="CA1048" s="3468"/>
      <c r="CB1048" s="2857"/>
      <c r="CC1048" s="2857"/>
      <c r="CD1048" s="2857"/>
      <c r="CE1048" s="2857"/>
      <c r="CF1048" s="2857"/>
      <c r="CG1048" s="331"/>
      <c r="CH1048" s="331"/>
      <c r="CI1048" s="331"/>
      <c r="CJ1048" s="331"/>
      <c r="CK1048" s="331"/>
      <c r="CL1048" s="520"/>
      <c r="CM1048" s="330"/>
      <c r="CN1048" s="330"/>
      <c r="CO1048" s="330"/>
      <c r="CP1048" s="330"/>
      <c r="CQ1048" s="330"/>
      <c r="CR1048" s="330"/>
      <c r="CS1048" s="330"/>
      <c r="CT1048" s="330"/>
      <c r="CU1048" s="330"/>
      <c r="CV1048" s="330"/>
      <c r="CW1048" s="330"/>
      <c r="CX1048" s="330"/>
      <c r="CY1048" s="330"/>
      <c r="CZ1048" s="330"/>
      <c r="DA1048" s="330"/>
      <c r="DB1048" s="330"/>
      <c r="DC1048" s="1888"/>
      <c r="DD1048" s="331"/>
      <c r="DE1048" s="331"/>
      <c r="DF1048" s="502"/>
      <c r="DG1048" s="503"/>
      <c r="DH1048" s="3297"/>
      <c r="DI1048" s="3213"/>
      <c r="DJ1048" s="502"/>
      <c r="DK1048" s="503"/>
      <c r="DL1048" s="502"/>
      <c r="DM1048" s="502"/>
      <c r="DN1048" s="502"/>
      <c r="DO1048" s="502"/>
      <c r="DP1048" s="503"/>
      <c r="DQ1048" s="503"/>
      <c r="DR1048" s="296"/>
      <c r="DS1048" s="296"/>
      <c r="DT1048" s="296"/>
    </row>
    <row r="1049" spans="1:124" ht="12" customHeight="1" x14ac:dyDescent="0.25">
      <c r="A1049" s="291" t="s">
        <v>2603</v>
      </c>
      <c r="B1049" s="281"/>
      <c r="C1049" s="340"/>
      <c r="D1049" s="340"/>
      <c r="E1049" s="340"/>
      <c r="F1049" s="340"/>
      <c r="G1049" s="310"/>
      <c r="H1049" s="340"/>
      <c r="I1049" s="340"/>
      <c r="J1049" s="340"/>
      <c r="K1049" s="340"/>
      <c r="L1049" s="310"/>
      <c r="M1049" s="340"/>
      <c r="N1049" s="340"/>
      <c r="O1049" s="340"/>
      <c r="P1049" s="340"/>
      <c r="Q1049" s="310"/>
      <c r="R1049" s="340"/>
      <c r="S1049" s="340"/>
      <c r="T1049" s="340"/>
      <c r="U1049" s="340"/>
      <c r="V1049" s="310"/>
      <c r="W1049" s="340"/>
      <c r="X1049" s="340"/>
      <c r="Y1049" s="340"/>
      <c r="Z1049" s="340"/>
      <c r="AA1049" s="345"/>
      <c r="AB1049" s="339"/>
      <c r="AC1049" s="339"/>
      <c r="AD1049" s="339"/>
      <c r="AE1049" s="339"/>
      <c r="AF1049" s="348"/>
      <c r="AG1049" s="331"/>
      <c r="AH1049" s="331"/>
      <c r="AI1049" s="331"/>
      <c r="AJ1049" s="331"/>
      <c r="AK1049" s="348"/>
      <c r="AL1049" s="2655"/>
      <c r="AM1049" s="2655"/>
      <c r="AN1049" s="2655"/>
      <c r="AO1049" s="2655"/>
      <c r="AP1049" s="568"/>
      <c r="AQ1049" s="2655"/>
      <c r="AR1049" s="2655"/>
      <c r="AS1049" s="2655"/>
      <c r="AT1049" s="2655"/>
      <c r="AU1049" s="1692"/>
      <c r="AV1049" s="2651"/>
      <c r="AW1049" s="2655"/>
      <c r="AX1049" s="2655"/>
      <c r="AY1049" s="2655"/>
      <c r="AZ1049" s="1692"/>
      <c r="BA1049" s="2651"/>
      <c r="BB1049" s="2655"/>
      <c r="BC1049" s="2655"/>
      <c r="BD1049" s="2655"/>
      <c r="BE1049" s="2757"/>
      <c r="BF1049" s="1454"/>
      <c r="BG1049" s="1454"/>
      <c r="BH1049" s="1454"/>
      <c r="BI1049" s="1454"/>
      <c r="BJ1049" s="2757"/>
      <c r="BK1049" s="1454"/>
      <c r="BL1049" s="1454"/>
      <c r="BM1049" s="1454"/>
      <c r="BN1049" s="1454"/>
      <c r="BO1049" s="2757"/>
      <c r="BP1049" s="1454"/>
      <c r="BQ1049" s="1454"/>
      <c r="BR1049" s="1454"/>
      <c r="BS1049" s="3444"/>
      <c r="BT1049" s="2757"/>
      <c r="BU1049" s="3444"/>
      <c r="BV1049" s="3444"/>
      <c r="BW1049" s="3444"/>
      <c r="BX1049" s="3444"/>
      <c r="BY1049" s="3234"/>
      <c r="BZ1049" s="3468"/>
      <c r="CA1049" s="3468"/>
      <c r="CB1049" s="2857"/>
      <c r="CC1049" s="2857"/>
      <c r="CD1049" s="2857"/>
      <c r="CE1049" s="2857"/>
      <c r="CF1049" s="2857"/>
      <c r="CG1049" s="331"/>
      <c r="CH1049" s="331"/>
      <c r="CI1049" s="331"/>
      <c r="CJ1049" s="331"/>
      <c r="CK1049" s="331"/>
      <c r="CL1049" s="520"/>
      <c r="CM1049" s="330"/>
      <c r="CN1049" s="330"/>
      <c r="CO1049" s="330"/>
      <c r="CP1049" s="330"/>
      <c r="CQ1049" s="330"/>
      <c r="CR1049" s="330"/>
      <c r="CS1049" s="330"/>
      <c r="CT1049" s="330"/>
      <c r="CU1049" s="330"/>
      <c r="CV1049" s="330"/>
      <c r="CW1049" s="330"/>
      <c r="CX1049" s="330"/>
      <c r="CY1049" s="330"/>
      <c r="CZ1049" s="330"/>
      <c r="DA1049" s="330"/>
      <c r="DB1049" s="330"/>
      <c r="DC1049" s="1888"/>
      <c r="DD1049" s="331"/>
      <c r="DE1049" s="331"/>
      <c r="DF1049" s="502"/>
      <c r="DG1049" s="503"/>
      <c r="DH1049" s="3297"/>
      <c r="DI1049" s="3213"/>
      <c r="DJ1049" s="502"/>
      <c r="DK1049" s="503"/>
      <c r="DL1049" s="502"/>
      <c r="DM1049" s="502"/>
      <c r="DN1049" s="502"/>
      <c r="DO1049" s="502"/>
      <c r="DP1049" s="503"/>
      <c r="DQ1049" s="503"/>
      <c r="DR1049" s="296"/>
      <c r="DS1049" s="296"/>
      <c r="DT1049" s="296"/>
    </row>
    <row r="1050" spans="1:124" ht="12" customHeight="1" x14ac:dyDescent="0.25">
      <c r="A1050" s="2575" t="s">
        <v>2590</v>
      </c>
      <c r="B1050" s="281"/>
      <c r="C1050" s="340"/>
      <c r="D1050" s="340"/>
      <c r="E1050" s="340"/>
      <c r="F1050" s="340"/>
      <c r="G1050" s="310"/>
      <c r="H1050" s="340"/>
      <c r="I1050" s="340"/>
      <c r="J1050" s="340"/>
      <c r="K1050" s="340"/>
      <c r="L1050" s="310"/>
      <c r="M1050" s="340"/>
      <c r="N1050" s="340"/>
      <c r="O1050" s="340"/>
      <c r="P1050" s="340"/>
      <c r="Q1050" s="310"/>
      <c r="R1050" s="340"/>
      <c r="S1050" s="340"/>
      <c r="T1050" s="340"/>
      <c r="U1050" s="340"/>
      <c r="V1050" s="310"/>
      <c r="W1050" s="340"/>
      <c r="X1050" s="340"/>
      <c r="Y1050" s="340"/>
      <c r="Z1050" s="340"/>
      <c r="AA1050" s="345"/>
      <c r="AB1050" s="339"/>
      <c r="AC1050" s="339"/>
      <c r="AD1050" s="339"/>
      <c r="AE1050" s="339"/>
      <c r="AF1050" s="348"/>
      <c r="AG1050" s="331"/>
      <c r="AH1050" s="331"/>
      <c r="AI1050" s="331"/>
      <c r="AJ1050" s="331"/>
      <c r="AK1050" s="348"/>
      <c r="AL1050" s="2655"/>
      <c r="AM1050" s="2655"/>
      <c r="AN1050" s="2655"/>
      <c r="AO1050" s="2655"/>
      <c r="AP1050" s="568"/>
      <c r="AQ1050" s="2655"/>
      <c r="AR1050" s="2655"/>
      <c r="AS1050" s="2655"/>
      <c r="AT1050" s="2655"/>
      <c r="AU1050" s="1692"/>
      <c r="AV1050" s="2651"/>
      <c r="AW1050" s="2655"/>
      <c r="AX1050" s="2655"/>
      <c r="AY1050" s="2655"/>
      <c r="AZ1050" s="1692"/>
      <c r="BA1050" s="2651"/>
      <c r="BB1050" s="2655"/>
      <c r="BC1050" s="2655"/>
      <c r="BD1050" s="2655"/>
      <c r="BE1050" s="2757"/>
      <c r="BF1050" s="1454"/>
      <c r="BG1050" s="1454"/>
      <c r="BH1050" s="1454"/>
      <c r="BI1050" s="1454"/>
      <c r="BJ1050" s="3122">
        <f>+BJ1033/BE1033-1</f>
        <v>2.7878597649028558E-2</v>
      </c>
      <c r="BK1050" s="2977">
        <f t="shared" ref="BK1050:BU1050" si="2548">+BK1033/BF1033-1</f>
        <v>-1.2549046133302877E-2</v>
      </c>
      <c r="BL1050" s="2977">
        <f t="shared" si="2548"/>
        <v>-7.6244631579494015E-3</v>
      </c>
      <c r="BM1050" s="2977">
        <f t="shared" si="2548"/>
        <v>-3.6130810809851255E-3</v>
      </c>
      <c r="BN1050" s="2977">
        <f t="shared" si="2548"/>
        <v>3.151695367099383E-2</v>
      </c>
      <c r="BO1050" s="3122">
        <f t="shared" si="2548"/>
        <v>1.4380378867722143E-3</v>
      </c>
      <c r="BP1050" s="2977">
        <f t="shared" si="2548"/>
        <v>3.2494614108269371E-2</v>
      </c>
      <c r="BQ1050" s="2977">
        <f t="shared" si="2548"/>
        <v>-9.1807751898043133E-4</v>
      </c>
      <c r="BR1050" s="2977">
        <f t="shared" si="2548"/>
        <v>-2.5657885368050026E-3</v>
      </c>
      <c r="BS1050" s="2977">
        <f t="shared" si="2548"/>
        <v>1.4175081748404983E-2</v>
      </c>
      <c r="BT1050" s="3122">
        <f t="shared" si="2548"/>
        <v>1.0799523995237648E-2</v>
      </c>
      <c r="BU1050" s="2977">
        <f t="shared" si="2548"/>
        <v>-4.2101584680505622E-2</v>
      </c>
      <c r="BV1050" s="3461">
        <v>0</v>
      </c>
      <c r="BW1050" s="3461">
        <v>0</v>
      </c>
      <c r="BX1050" s="3461">
        <v>0</v>
      </c>
      <c r="BY1050" s="3122">
        <f t="shared" ref="BY1050:BY1061" si="2549">+BY1033/BT1033-1</f>
        <v>-1.0852460360545213E-2</v>
      </c>
      <c r="BZ1050" s="3469">
        <v>0.01</v>
      </c>
      <c r="CA1050" s="3469">
        <v>0</v>
      </c>
      <c r="CB1050" s="2857"/>
      <c r="CC1050" s="2857"/>
      <c r="CD1050" s="2857"/>
      <c r="CE1050" s="2857"/>
      <c r="CF1050" s="2857"/>
      <c r="CG1050" s="331"/>
      <c r="CH1050" s="331"/>
      <c r="CI1050" s="331"/>
      <c r="CJ1050" s="331"/>
      <c r="CK1050" s="331"/>
      <c r="CL1050" s="520"/>
      <c r="CM1050" s="330"/>
      <c r="CN1050" s="330"/>
      <c r="CO1050" s="330"/>
      <c r="CP1050" s="330"/>
      <c r="CQ1050" s="330"/>
      <c r="CR1050" s="330"/>
      <c r="CS1050" s="330"/>
      <c r="CT1050" s="330"/>
      <c r="CU1050" s="330"/>
      <c r="CV1050" s="330"/>
      <c r="CW1050" s="330"/>
      <c r="CX1050" s="330"/>
      <c r="CY1050" s="330"/>
      <c r="CZ1050" s="330"/>
      <c r="DA1050" s="330"/>
      <c r="DB1050" s="330"/>
      <c r="DC1050" s="1888"/>
      <c r="DD1050" s="331"/>
      <c r="DE1050" s="331"/>
      <c r="DF1050" s="502"/>
      <c r="DG1050" s="503"/>
      <c r="DH1050" s="3297"/>
      <c r="DI1050" s="3213"/>
      <c r="DJ1050" s="502"/>
      <c r="DK1050" s="503"/>
      <c r="DL1050" s="502"/>
      <c r="DM1050" s="502"/>
      <c r="DN1050" s="502"/>
      <c r="DO1050" s="502"/>
      <c r="DP1050" s="503"/>
      <c r="DQ1050" s="503"/>
      <c r="DR1050" s="296"/>
      <c r="DS1050" s="296"/>
      <c r="DT1050" s="296"/>
    </row>
    <row r="1051" spans="1:124" ht="12" customHeight="1" x14ac:dyDescent="0.25">
      <c r="A1051" s="2575" t="s">
        <v>2591</v>
      </c>
      <c r="B1051" s="281"/>
      <c r="C1051" s="340"/>
      <c r="D1051" s="340"/>
      <c r="E1051" s="340"/>
      <c r="F1051" s="340"/>
      <c r="G1051" s="310"/>
      <c r="H1051" s="340"/>
      <c r="I1051" s="340"/>
      <c r="J1051" s="340"/>
      <c r="K1051" s="340"/>
      <c r="L1051" s="310"/>
      <c r="M1051" s="340"/>
      <c r="N1051" s="340"/>
      <c r="O1051" s="340"/>
      <c r="P1051" s="340"/>
      <c r="Q1051" s="310"/>
      <c r="R1051" s="340"/>
      <c r="S1051" s="340"/>
      <c r="T1051" s="340"/>
      <c r="U1051" s="340"/>
      <c r="V1051" s="310"/>
      <c r="W1051" s="340"/>
      <c r="X1051" s="340"/>
      <c r="Y1051" s="340"/>
      <c r="Z1051" s="340"/>
      <c r="AA1051" s="345"/>
      <c r="AB1051" s="339"/>
      <c r="AC1051" s="339"/>
      <c r="AD1051" s="339"/>
      <c r="AE1051" s="339"/>
      <c r="AF1051" s="348"/>
      <c r="AG1051" s="331"/>
      <c r="AH1051" s="331"/>
      <c r="AI1051" s="331"/>
      <c r="AJ1051" s="331"/>
      <c r="AK1051" s="348"/>
      <c r="AL1051" s="2655"/>
      <c r="AM1051" s="2655"/>
      <c r="AN1051" s="2655"/>
      <c r="AO1051" s="2655"/>
      <c r="AP1051" s="568"/>
      <c r="AQ1051" s="2655"/>
      <c r="AR1051" s="2655"/>
      <c r="AS1051" s="2655"/>
      <c r="AT1051" s="2655"/>
      <c r="AU1051" s="1692"/>
      <c r="AV1051" s="2651"/>
      <c r="AW1051" s="2655"/>
      <c r="AX1051" s="2655"/>
      <c r="AY1051" s="2655"/>
      <c r="AZ1051" s="1692"/>
      <c r="BA1051" s="2651"/>
      <c r="BB1051" s="2655"/>
      <c r="BC1051" s="2655"/>
      <c r="BD1051" s="2655"/>
      <c r="BE1051" s="2757"/>
      <c r="BF1051" s="1454"/>
      <c r="BG1051" s="1454"/>
      <c r="BH1051" s="1454"/>
      <c r="BI1051" s="1454"/>
      <c r="BJ1051" s="3122">
        <f t="shared" ref="BJ1051:BU1051" si="2550">+BJ1034/BE1034-1</f>
        <v>3.311912049947896E-2</v>
      </c>
      <c r="BK1051" s="2977">
        <f t="shared" si="2550"/>
        <v>8.4670678912976749E-2</v>
      </c>
      <c r="BL1051" s="2977">
        <f t="shared" si="2550"/>
        <v>-6.0930641297818666E-2</v>
      </c>
      <c r="BM1051" s="2977">
        <f t="shared" si="2550"/>
        <v>-7.5457301389631914E-2</v>
      </c>
      <c r="BN1051" s="2977">
        <f t="shared" si="2550"/>
        <v>-4.3672444737532734E-2</v>
      </c>
      <c r="BO1051" s="3122">
        <f t="shared" si="2550"/>
        <v>-2.4767022624210933E-2</v>
      </c>
      <c r="BP1051" s="2977">
        <f t="shared" si="2550"/>
        <v>-6.6970576625654088E-2</v>
      </c>
      <c r="BQ1051" s="2977">
        <f t="shared" si="2550"/>
        <v>-1.3893885916995696E-2</v>
      </c>
      <c r="BR1051" s="2977">
        <f t="shared" si="2550"/>
        <v>-2.8154049610453535E-2</v>
      </c>
      <c r="BS1051" s="2977">
        <f t="shared" si="2550"/>
        <v>-1.6982505058306896E-2</v>
      </c>
      <c r="BT1051" s="3122">
        <f t="shared" si="2550"/>
        <v>-3.2537827413282261E-2</v>
      </c>
      <c r="BU1051" s="2977">
        <f t="shared" si="2550"/>
        <v>3.3016314462379848E-2</v>
      </c>
      <c r="BV1051" s="3461">
        <v>0.01</v>
      </c>
      <c r="BW1051" s="3461">
        <v>0.01</v>
      </c>
      <c r="BX1051" s="3461">
        <v>0.01</v>
      </c>
      <c r="BY1051" s="3122">
        <f t="shared" si="2549"/>
        <v>1.605354781767665E-2</v>
      </c>
      <c r="BZ1051" s="3469">
        <v>0.01</v>
      </c>
      <c r="CA1051" s="3469">
        <v>0</v>
      </c>
      <c r="CB1051" s="2857"/>
      <c r="CC1051" s="2857"/>
      <c r="CD1051" s="2857"/>
      <c r="CE1051" s="2857"/>
      <c r="CF1051" s="2857"/>
      <c r="CG1051" s="331"/>
      <c r="CH1051" s="331"/>
      <c r="CI1051" s="331"/>
      <c r="CJ1051" s="331"/>
      <c r="CK1051" s="331"/>
      <c r="CL1051" s="520"/>
      <c r="CM1051" s="330"/>
      <c r="CN1051" s="330"/>
      <c r="CO1051" s="330"/>
      <c r="CP1051" s="330"/>
      <c r="CQ1051" s="330"/>
      <c r="CR1051" s="330"/>
      <c r="CS1051" s="330"/>
      <c r="CT1051" s="330"/>
      <c r="CU1051" s="330"/>
      <c r="CV1051" s="330"/>
      <c r="CW1051" s="330"/>
      <c r="CX1051" s="330"/>
      <c r="CY1051" s="330"/>
      <c r="CZ1051" s="330"/>
      <c r="DA1051" s="330"/>
      <c r="DB1051" s="330"/>
      <c r="DC1051" s="1888"/>
      <c r="DD1051" s="331"/>
      <c r="DE1051" s="331"/>
      <c r="DF1051" s="502"/>
      <c r="DG1051" s="503"/>
      <c r="DH1051" s="3297"/>
      <c r="DI1051" s="3213"/>
      <c r="DJ1051" s="502"/>
      <c r="DK1051" s="503"/>
      <c r="DL1051" s="502"/>
      <c r="DM1051" s="502"/>
      <c r="DN1051" s="502"/>
      <c r="DO1051" s="502"/>
      <c r="DP1051" s="503"/>
      <c r="DQ1051" s="503"/>
      <c r="DR1051" s="296"/>
      <c r="DS1051" s="296"/>
      <c r="DT1051" s="296"/>
    </row>
    <row r="1052" spans="1:124" ht="12" customHeight="1" x14ac:dyDescent="0.25">
      <c r="A1052" s="2575" t="s">
        <v>2592</v>
      </c>
      <c r="B1052" s="281"/>
      <c r="C1052" s="340"/>
      <c r="D1052" s="340"/>
      <c r="E1052" s="340"/>
      <c r="F1052" s="340"/>
      <c r="G1052" s="310"/>
      <c r="H1052" s="340"/>
      <c r="I1052" s="340"/>
      <c r="J1052" s="340"/>
      <c r="K1052" s="340"/>
      <c r="L1052" s="310"/>
      <c r="M1052" s="340"/>
      <c r="N1052" s="340"/>
      <c r="O1052" s="340"/>
      <c r="P1052" s="340"/>
      <c r="Q1052" s="310"/>
      <c r="R1052" s="340"/>
      <c r="S1052" s="340"/>
      <c r="T1052" s="340"/>
      <c r="U1052" s="340"/>
      <c r="V1052" s="310"/>
      <c r="W1052" s="340"/>
      <c r="X1052" s="340"/>
      <c r="Y1052" s="340"/>
      <c r="Z1052" s="340"/>
      <c r="AA1052" s="345"/>
      <c r="AB1052" s="339"/>
      <c r="AC1052" s="339"/>
      <c r="AD1052" s="339"/>
      <c r="AE1052" s="339"/>
      <c r="AF1052" s="348"/>
      <c r="AG1052" s="331"/>
      <c r="AH1052" s="331"/>
      <c r="AI1052" s="331"/>
      <c r="AJ1052" s="331"/>
      <c r="AK1052" s="348"/>
      <c r="AL1052" s="2655"/>
      <c r="AM1052" s="2655"/>
      <c r="AN1052" s="2655"/>
      <c r="AO1052" s="2655"/>
      <c r="AP1052" s="568"/>
      <c r="AQ1052" s="2655"/>
      <c r="AR1052" s="2655"/>
      <c r="AS1052" s="2655"/>
      <c r="AT1052" s="2655"/>
      <c r="AU1052" s="1692"/>
      <c r="AV1052" s="2651"/>
      <c r="AW1052" s="2655"/>
      <c r="AX1052" s="2655"/>
      <c r="AY1052" s="2655"/>
      <c r="AZ1052" s="1692"/>
      <c r="BA1052" s="2651"/>
      <c r="BB1052" s="2655"/>
      <c r="BC1052" s="2655"/>
      <c r="BD1052" s="2655"/>
      <c r="BE1052" s="2757"/>
      <c r="BF1052" s="1454"/>
      <c r="BG1052" s="1454"/>
      <c r="BH1052" s="1454"/>
      <c r="BI1052" s="1454"/>
      <c r="BJ1052" s="3122">
        <f t="shared" ref="BJ1052:BU1052" si="2551">+BJ1035/BE1035-1</f>
        <v>2.7679739477732834E-2</v>
      </c>
      <c r="BK1052" s="2977">
        <f t="shared" si="2551"/>
        <v>2.9598259607113375E-2</v>
      </c>
      <c r="BL1052" s="2977">
        <f t="shared" si="2551"/>
        <v>-1.2762718427871023E-2</v>
      </c>
      <c r="BM1052" s="2977">
        <f t="shared" si="2551"/>
        <v>-3.0590603520236792E-2</v>
      </c>
      <c r="BN1052" s="2977">
        <f t="shared" si="2551"/>
        <v>1.3370050166790159E-2</v>
      </c>
      <c r="BO1052" s="3122">
        <f t="shared" si="2551"/>
        <v>-2.6471651408910279E-4</v>
      </c>
      <c r="BP1052" s="2977">
        <f t="shared" si="2551"/>
        <v>-3.3111788953592014E-2</v>
      </c>
      <c r="BQ1052" s="2977">
        <f t="shared" si="2551"/>
        <v>-6.0266739255854684E-2</v>
      </c>
      <c r="BR1052" s="2977">
        <f t="shared" si="2551"/>
        <v>-2.2547124888716241E-2</v>
      </c>
      <c r="BS1052" s="2977">
        <f t="shared" si="2551"/>
        <v>-4.6747351846546881E-2</v>
      </c>
      <c r="BT1052" s="3122">
        <f t="shared" si="2551"/>
        <v>-4.0650167592427011E-2</v>
      </c>
      <c r="BU1052" s="2977">
        <f t="shared" si="2551"/>
        <v>-2.9330529773160419E-2</v>
      </c>
      <c r="BV1052" s="3461">
        <v>0.01</v>
      </c>
      <c r="BW1052" s="3461"/>
      <c r="BX1052" s="3461"/>
      <c r="BY1052" s="3122"/>
      <c r="BZ1052" s="3469"/>
      <c r="CA1052" s="3469"/>
      <c r="CB1052" s="2857"/>
      <c r="CC1052" s="2857"/>
      <c r="CD1052" s="2857"/>
      <c r="CE1052" s="2857"/>
      <c r="CF1052" s="2857"/>
      <c r="CG1052" s="331"/>
      <c r="CH1052" s="331"/>
      <c r="CI1052" s="331"/>
      <c r="CJ1052" s="331"/>
      <c r="CK1052" s="331"/>
      <c r="CL1052" s="520"/>
      <c r="CM1052" s="330"/>
      <c r="CN1052" s="330"/>
      <c r="CO1052" s="330"/>
      <c r="CP1052" s="330"/>
      <c r="CQ1052" s="330"/>
      <c r="CR1052" s="330"/>
      <c r="CS1052" s="330"/>
      <c r="CT1052" s="330"/>
      <c r="CU1052" s="330"/>
      <c r="CV1052" s="330"/>
      <c r="CW1052" s="330"/>
      <c r="CX1052" s="330"/>
      <c r="CY1052" s="330"/>
      <c r="CZ1052" s="330"/>
      <c r="DA1052" s="330"/>
      <c r="DB1052" s="330"/>
      <c r="DC1052" s="1888"/>
      <c r="DD1052" s="331"/>
      <c r="DE1052" s="331"/>
      <c r="DF1052" s="502"/>
      <c r="DG1052" s="503"/>
      <c r="DH1052" s="3297"/>
      <c r="DI1052" s="3213"/>
      <c r="DJ1052" s="502"/>
      <c r="DK1052" s="503"/>
      <c r="DL1052" s="502"/>
      <c r="DM1052" s="502"/>
      <c r="DN1052" s="502"/>
      <c r="DO1052" s="502"/>
      <c r="DP1052" s="503"/>
      <c r="DQ1052" s="503"/>
      <c r="DR1052" s="296"/>
      <c r="DS1052" s="296"/>
      <c r="DT1052" s="296"/>
    </row>
    <row r="1053" spans="1:124" ht="12" customHeight="1" x14ac:dyDescent="0.25">
      <c r="A1053" s="2575" t="s">
        <v>2593</v>
      </c>
      <c r="B1053" s="281"/>
      <c r="C1053" s="340"/>
      <c r="D1053" s="340"/>
      <c r="E1053" s="340"/>
      <c r="F1053" s="340"/>
      <c r="G1053" s="310"/>
      <c r="H1053" s="340"/>
      <c r="I1053" s="340"/>
      <c r="J1053" s="340"/>
      <c r="K1053" s="340"/>
      <c r="L1053" s="310"/>
      <c r="M1053" s="340"/>
      <c r="N1053" s="340"/>
      <c r="O1053" s="340"/>
      <c r="P1053" s="340"/>
      <c r="Q1053" s="310"/>
      <c r="R1053" s="340"/>
      <c r="S1053" s="340"/>
      <c r="T1053" s="340"/>
      <c r="U1053" s="340"/>
      <c r="V1053" s="310"/>
      <c r="W1053" s="340"/>
      <c r="X1053" s="340"/>
      <c r="Y1053" s="340"/>
      <c r="Z1053" s="340"/>
      <c r="AA1053" s="345"/>
      <c r="AB1053" s="339"/>
      <c r="AC1053" s="339"/>
      <c r="AD1053" s="339"/>
      <c r="AE1053" s="339"/>
      <c r="AF1053" s="348"/>
      <c r="AG1053" s="331"/>
      <c r="AH1053" s="331"/>
      <c r="AI1053" s="331"/>
      <c r="AJ1053" s="331"/>
      <c r="AK1053" s="348"/>
      <c r="AL1053" s="2655"/>
      <c r="AM1053" s="2655"/>
      <c r="AN1053" s="2655"/>
      <c r="AO1053" s="2655"/>
      <c r="AP1053" s="568"/>
      <c r="AQ1053" s="2655"/>
      <c r="AR1053" s="2655"/>
      <c r="AS1053" s="2655"/>
      <c r="AT1053" s="2655"/>
      <c r="AU1053" s="1692"/>
      <c r="AV1053" s="2651"/>
      <c r="AW1053" s="2655"/>
      <c r="AX1053" s="2655"/>
      <c r="AY1053" s="2655"/>
      <c r="AZ1053" s="1692"/>
      <c r="BA1053" s="2651"/>
      <c r="BB1053" s="2655"/>
      <c r="BC1053" s="2655"/>
      <c r="BD1053" s="2655"/>
      <c r="BE1053" s="2757"/>
      <c r="BF1053" s="1454"/>
      <c r="BG1053" s="1454"/>
      <c r="BH1053" s="1454"/>
      <c r="BI1053" s="1454"/>
      <c r="BJ1053" s="3122">
        <f t="shared" ref="BJ1053:BU1053" si="2552">+BJ1036/BE1036-1</f>
        <v>2.0523640181425717E-2</v>
      </c>
      <c r="BK1053" s="2977">
        <f t="shared" si="2552"/>
        <v>-4.1879854797614025E-3</v>
      </c>
      <c r="BL1053" s="2977">
        <f t="shared" si="2552"/>
        <v>-3.8596302595026444E-2</v>
      </c>
      <c r="BM1053" s="2977">
        <f t="shared" si="2552"/>
        <v>7.1990792775087353E-3</v>
      </c>
      <c r="BN1053" s="2977">
        <f t="shared" si="2552"/>
        <v>-2.4504367488347389E-2</v>
      </c>
      <c r="BO1053" s="3122">
        <f t="shared" si="2552"/>
        <v>-1.5036616241145273E-2</v>
      </c>
      <c r="BP1053" s="2977">
        <f t="shared" si="2552"/>
        <v>-1.8125580329524715E-2</v>
      </c>
      <c r="BQ1053" s="2977">
        <f t="shared" si="2552"/>
        <v>2.2172408178112057E-2</v>
      </c>
      <c r="BR1053" s="2977">
        <f t="shared" si="2552"/>
        <v>1.7570161588081445E-2</v>
      </c>
      <c r="BS1053" s="2977">
        <f t="shared" si="2552"/>
        <v>1.2596235609542594E-2</v>
      </c>
      <c r="BT1053" s="3122">
        <f t="shared" si="2552"/>
        <v>8.2852278840190863E-3</v>
      </c>
      <c r="BU1053" s="2977">
        <f t="shared" si="2552"/>
        <v>1.323133868395665E-3</v>
      </c>
      <c r="BV1053" s="3461">
        <v>0.02</v>
      </c>
      <c r="BW1053" s="3461"/>
      <c r="BX1053" s="3461"/>
      <c r="BY1053" s="3122"/>
      <c r="BZ1053" s="3469"/>
      <c r="CA1053" s="3469"/>
      <c r="CB1053" s="2857"/>
      <c r="CC1053" s="2857"/>
      <c r="CD1053" s="2857"/>
      <c r="CE1053" s="2857"/>
      <c r="CF1053" s="2857"/>
      <c r="CG1053" s="331"/>
      <c r="CH1053" s="331"/>
      <c r="CI1053" s="331"/>
      <c r="CJ1053" s="331"/>
      <c r="CK1053" s="331"/>
      <c r="CL1053" s="520"/>
      <c r="CM1053" s="330"/>
      <c r="CN1053" s="330"/>
      <c r="CO1053" s="330"/>
      <c r="CP1053" s="330"/>
      <c r="CQ1053" s="330"/>
      <c r="CR1053" s="330"/>
      <c r="CS1053" s="330"/>
      <c r="CT1053" s="330"/>
      <c r="CU1053" s="330"/>
      <c r="CV1053" s="330"/>
      <c r="CW1053" s="330"/>
      <c r="CX1053" s="330"/>
      <c r="CY1053" s="330"/>
      <c r="CZ1053" s="330"/>
      <c r="DA1053" s="330"/>
      <c r="DB1053" s="330"/>
      <c r="DC1053" s="1888"/>
      <c r="DD1053" s="331"/>
      <c r="DE1053" s="331"/>
      <c r="DF1053" s="502"/>
      <c r="DG1053" s="503"/>
      <c r="DH1053" s="3297"/>
      <c r="DI1053" s="3213"/>
      <c r="DJ1053" s="502"/>
      <c r="DK1053" s="503"/>
      <c r="DL1053" s="502"/>
      <c r="DM1053" s="502"/>
      <c r="DN1053" s="502"/>
      <c r="DO1053" s="502"/>
      <c r="DP1053" s="503"/>
      <c r="DQ1053" s="503"/>
      <c r="DR1053" s="296"/>
      <c r="DS1053" s="296"/>
      <c r="DT1053" s="296"/>
    </row>
    <row r="1054" spans="1:124" ht="12" customHeight="1" x14ac:dyDescent="0.25">
      <c r="A1054" s="2575" t="s">
        <v>2594</v>
      </c>
      <c r="B1054" s="281"/>
      <c r="C1054" s="340"/>
      <c r="D1054" s="340"/>
      <c r="E1054" s="340"/>
      <c r="F1054" s="340"/>
      <c r="G1054" s="310"/>
      <c r="H1054" s="340"/>
      <c r="I1054" s="340"/>
      <c r="J1054" s="340"/>
      <c r="K1054" s="340"/>
      <c r="L1054" s="310"/>
      <c r="M1054" s="340"/>
      <c r="N1054" s="340"/>
      <c r="O1054" s="340"/>
      <c r="P1054" s="340"/>
      <c r="Q1054" s="310"/>
      <c r="R1054" s="340"/>
      <c r="S1054" s="340"/>
      <c r="T1054" s="340"/>
      <c r="U1054" s="340"/>
      <c r="V1054" s="310"/>
      <c r="W1054" s="340"/>
      <c r="X1054" s="340"/>
      <c r="Y1054" s="340"/>
      <c r="Z1054" s="340"/>
      <c r="AA1054" s="345"/>
      <c r="AB1054" s="339"/>
      <c r="AC1054" s="339"/>
      <c r="AD1054" s="339"/>
      <c r="AE1054" s="339"/>
      <c r="AF1054" s="348"/>
      <c r="AG1054" s="331"/>
      <c r="AH1054" s="331"/>
      <c r="AI1054" s="331"/>
      <c r="AJ1054" s="331"/>
      <c r="AK1054" s="348"/>
      <c r="AL1054" s="2655"/>
      <c r="AM1054" s="2655"/>
      <c r="AN1054" s="2655"/>
      <c r="AO1054" s="2655"/>
      <c r="AP1054" s="568"/>
      <c r="AQ1054" s="2655"/>
      <c r="AR1054" s="2655"/>
      <c r="AS1054" s="2655"/>
      <c r="AT1054" s="2655"/>
      <c r="AU1054" s="1692"/>
      <c r="AV1054" s="2651"/>
      <c r="AW1054" s="2655"/>
      <c r="AX1054" s="2655"/>
      <c r="AY1054" s="2655"/>
      <c r="AZ1054" s="1692"/>
      <c r="BA1054" s="2651"/>
      <c r="BB1054" s="2655"/>
      <c r="BC1054" s="2655"/>
      <c r="BD1054" s="2655"/>
      <c r="BE1054" s="2757"/>
      <c r="BF1054" s="1454"/>
      <c r="BG1054" s="1454"/>
      <c r="BH1054" s="1454"/>
      <c r="BI1054" s="1454"/>
      <c r="BJ1054" s="3122">
        <f t="shared" ref="BJ1054:BU1054" si="2553">+BJ1037/BE1037-1</f>
        <v>6.3157652283754029E-3</v>
      </c>
      <c r="BK1054" s="2977">
        <f t="shared" si="2553"/>
        <v>-5.0334191420115193E-2</v>
      </c>
      <c r="BL1054" s="2977">
        <f t="shared" si="2553"/>
        <v>-6.2163411496269583E-2</v>
      </c>
      <c r="BM1054" s="2977">
        <f t="shared" si="2553"/>
        <v>1.5479115086076911E-2</v>
      </c>
      <c r="BN1054" s="2977">
        <f t="shared" si="2553"/>
        <v>-1.2404398032195285E-3</v>
      </c>
      <c r="BO1054" s="3122">
        <f t="shared" si="2553"/>
        <v>-2.4904408833629432E-2</v>
      </c>
      <c r="BP1054" s="2977">
        <f t="shared" si="2553"/>
        <v>1.9156228075944526E-2</v>
      </c>
      <c r="BQ1054" s="2977">
        <f t="shared" si="2553"/>
        <v>3.871451619190891E-3</v>
      </c>
      <c r="BR1054" s="2977">
        <f t="shared" si="2553"/>
        <v>-1.3314571932574237E-2</v>
      </c>
      <c r="BS1054" s="2977">
        <f t="shared" si="2553"/>
        <v>-4.9724083637735395E-2</v>
      </c>
      <c r="BT1054" s="3122">
        <f t="shared" si="2553"/>
        <v>-1.0208822508169346E-2</v>
      </c>
      <c r="BU1054" s="2977">
        <f t="shared" si="2553"/>
        <v>-6.7330657607450828E-2</v>
      </c>
      <c r="BV1054" s="3461">
        <v>0</v>
      </c>
      <c r="BW1054" s="3461"/>
      <c r="BX1054" s="3461"/>
      <c r="BY1054" s="3122"/>
      <c r="BZ1054" s="3469"/>
      <c r="CA1054" s="3469"/>
      <c r="CB1054" s="2857"/>
      <c r="CC1054" s="2857"/>
      <c r="CD1054" s="2857"/>
      <c r="CE1054" s="2857"/>
      <c r="CF1054" s="2857"/>
      <c r="CG1054" s="331"/>
      <c r="CH1054" s="331"/>
      <c r="CI1054" s="331"/>
      <c r="CJ1054" s="331"/>
      <c r="CK1054" s="331"/>
      <c r="CL1054" s="520"/>
      <c r="CM1054" s="330"/>
      <c r="CN1054" s="330"/>
      <c r="CO1054" s="330"/>
      <c r="CP1054" s="330"/>
      <c r="CQ1054" s="330"/>
      <c r="CR1054" s="330"/>
      <c r="CS1054" s="330"/>
      <c r="CT1054" s="330"/>
      <c r="CU1054" s="330"/>
      <c r="CV1054" s="330"/>
      <c r="CW1054" s="330"/>
      <c r="CX1054" s="330"/>
      <c r="CY1054" s="330"/>
      <c r="CZ1054" s="330"/>
      <c r="DA1054" s="330"/>
      <c r="DB1054" s="330"/>
      <c r="DC1054" s="1888"/>
      <c r="DD1054" s="331"/>
      <c r="DE1054" s="331"/>
      <c r="DF1054" s="502"/>
      <c r="DG1054" s="503"/>
      <c r="DH1054" s="3297"/>
      <c r="DI1054" s="3213"/>
      <c r="DJ1054" s="502"/>
      <c r="DK1054" s="503"/>
      <c r="DL1054" s="502"/>
      <c r="DM1054" s="502"/>
      <c r="DN1054" s="502"/>
      <c r="DO1054" s="502"/>
      <c r="DP1054" s="503"/>
      <c r="DQ1054" s="503"/>
      <c r="DR1054" s="296"/>
      <c r="DS1054" s="296"/>
      <c r="DT1054" s="296"/>
    </row>
    <row r="1055" spans="1:124" ht="12" customHeight="1" x14ac:dyDescent="0.25">
      <c r="A1055" s="2575" t="s">
        <v>2601</v>
      </c>
      <c r="B1055" s="281"/>
      <c r="C1055" s="340"/>
      <c r="D1055" s="340"/>
      <c r="E1055" s="340"/>
      <c r="F1055" s="340"/>
      <c r="G1055" s="310"/>
      <c r="H1055" s="340"/>
      <c r="I1055" s="340"/>
      <c r="J1055" s="340"/>
      <c r="K1055" s="340"/>
      <c r="L1055" s="310"/>
      <c r="M1055" s="340"/>
      <c r="N1055" s="340"/>
      <c r="O1055" s="340"/>
      <c r="P1055" s="340"/>
      <c r="Q1055" s="310"/>
      <c r="R1055" s="340"/>
      <c r="S1055" s="340"/>
      <c r="T1055" s="340"/>
      <c r="U1055" s="340"/>
      <c r="V1055" s="310"/>
      <c r="W1055" s="340"/>
      <c r="X1055" s="340"/>
      <c r="Y1055" s="340"/>
      <c r="Z1055" s="340"/>
      <c r="AA1055" s="345"/>
      <c r="AB1055" s="339"/>
      <c r="AC1055" s="339"/>
      <c r="AD1055" s="339"/>
      <c r="AE1055" s="339"/>
      <c r="AF1055" s="348"/>
      <c r="AG1055" s="331"/>
      <c r="AH1055" s="331"/>
      <c r="AI1055" s="331"/>
      <c r="AJ1055" s="331"/>
      <c r="AK1055" s="348"/>
      <c r="AL1055" s="2655"/>
      <c r="AM1055" s="2655"/>
      <c r="AN1055" s="2655"/>
      <c r="AO1055" s="2655"/>
      <c r="AP1055" s="568"/>
      <c r="AQ1055" s="2655"/>
      <c r="AR1055" s="2655"/>
      <c r="AS1055" s="2655"/>
      <c r="AT1055" s="2655"/>
      <c r="AU1055" s="1692"/>
      <c r="AV1055" s="2651"/>
      <c r="AW1055" s="2655"/>
      <c r="AX1055" s="2655"/>
      <c r="AY1055" s="2655"/>
      <c r="AZ1055" s="1692"/>
      <c r="BA1055" s="2651"/>
      <c r="BB1055" s="2655"/>
      <c r="BC1055" s="2655"/>
      <c r="BD1055" s="2655"/>
      <c r="BE1055" s="2757"/>
      <c r="BF1055" s="1454"/>
      <c r="BG1055" s="1454"/>
      <c r="BH1055" s="1454"/>
      <c r="BI1055" s="1454"/>
      <c r="BJ1055" s="3122">
        <f t="shared" ref="BJ1055:BU1055" si="2554">+BJ1038/BE1038-1</f>
        <v>0.87964637461301276</v>
      </c>
      <c r="BK1055" s="2977">
        <f t="shared" si="2554"/>
        <v>0.3257575752163977</v>
      </c>
      <c r="BL1055" s="2977">
        <f t="shared" si="2554"/>
        <v>0.18304156479443523</v>
      </c>
      <c r="BM1055" s="2977">
        <f t="shared" si="2554"/>
        <v>0.11097001268844631</v>
      </c>
      <c r="BN1055" s="2977">
        <f t="shared" si="2554"/>
        <v>7.0199351740458438E-2</v>
      </c>
      <c r="BO1055" s="3122">
        <f t="shared" si="2554"/>
        <v>0.16380903651570988</v>
      </c>
      <c r="BP1055" s="2977">
        <f t="shared" si="2554"/>
        <v>8.3123931403564777E-2</v>
      </c>
      <c r="BQ1055" s="2977">
        <f t="shared" si="2554"/>
        <v>1.7589938697616159E-2</v>
      </c>
      <c r="BR1055" s="2977">
        <f t="shared" si="2554"/>
        <v>4.618534392188911E-2</v>
      </c>
      <c r="BS1055" s="2977">
        <f t="shared" si="2554"/>
        <v>9.0204534286268956E-2</v>
      </c>
      <c r="BT1055" s="3122">
        <f t="shared" si="2554"/>
        <v>5.8016141115881492E-2</v>
      </c>
      <c r="BU1055" s="2977">
        <f t="shared" si="2554"/>
        <v>-0.12591943442196907</v>
      </c>
      <c r="BV1055" s="3461">
        <v>0.04</v>
      </c>
      <c r="BW1055" s="3461"/>
      <c r="BX1055" s="3461"/>
      <c r="BY1055" s="3122"/>
      <c r="BZ1055" s="3469"/>
      <c r="CA1055" s="3469"/>
      <c r="CB1055" s="2857"/>
      <c r="CC1055" s="2857"/>
      <c r="CD1055" s="2857"/>
      <c r="CE1055" s="2857"/>
      <c r="CF1055" s="2857"/>
      <c r="CG1055" s="331"/>
      <c r="CH1055" s="331"/>
      <c r="CI1055" s="331"/>
      <c r="CJ1055" s="331"/>
      <c r="CK1055" s="331"/>
      <c r="CL1055" s="520"/>
      <c r="CM1055" s="330"/>
      <c r="CN1055" s="330"/>
      <c r="CO1055" s="330"/>
      <c r="CP1055" s="330"/>
      <c r="CQ1055" s="330"/>
      <c r="CR1055" s="330"/>
      <c r="CS1055" s="330"/>
      <c r="CT1055" s="330"/>
      <c r="CU1055" s="330"/>
      <c r="CV1055" s="330"/>
      <c r="CW1055" s="330"/>
      <c r="CX1055" s="330"/>
      <c r="CY1055" s="330"/>
      <c r="CZ1055" s="330"/>
      <c r="DA1055" s="330"/>
      <c r="DB1055" s="330"/>
      <c r="DC1055" s="1888"/>
      <c r="DD1055" s="331"/>
      <c r="DE1055" s="331"/>
      <c r="DF1055" s="502"/>
      <c r="DG1055" s="503"/>
      <c r="DH1055" s="3297"/>
      <c r="DI1055" s="3213"/>
      <c r="DJ1055" s="502"/>
      <c r="DK1055" s="503"/>
      <c r="DL1055" s="502"/>
      <c r="DM1055" s="502"/>
      <c r="DN1055" s="502"/>
      <c r="DO1055" s="502"/>
      <c r="DP1055" s="503"/>
      <c r="DQ1055" s="503"/>
      <c r="DR1055" s="296"/>
      <c r="DS1055" s="296"/>
      <c r="DT1055" s="296"/>
    </row>
    <row r="1056" spans="1:124" ht="12" customHeight="1" x14ac:dyDescent="0.25">
      <c r="A1056" s="2575" t="s">
        <v>2595</v>
      </c>
      <c r="B1056" s="281"/>
      <c r="C1056" s="340"/>
      <c r="D1056" s="340"/>
      <c r="E1056" s="340"/>
      <c r="F1056" s="340"/>
      <c r="G1056" s="310"/>
      <c r="H1056" s="340"/>
      <c r="I1056" s="340"/>
      <c r="J1056" s="340"/>
      <c r="K1056" s="340"/>
      <c r="L1056" s="310"/>
      <c r="M1056" s="340"/>
      <c r="N1056" s="340"/>
      <c r="O1056" s="340"/>
      <c r="P1056" s="340"/>
      <c r="Q1056" s="310"/>
      <c r="R1056" s="340"/>
      <c r="S1056" s="340"/>
      <c r="T1056" s="340"/>
      <c r="U1056" s="340"/>
      <c r="V1056" s="310"/>
      <c r="W1056" s="340"/>
      <c r="X1056" s="340"/>
      <c r="Y1056" s="340"/>
      <c r="Z1056" s="340"/>
      <c r="AA1056" s="345"/>
      <c r="AB1056" s="339"/>
      <c r="AC1056" s="339"/>
      <c r="AD1056" s="339"/>
      <c r="AE1056" s="339"/>
      <c r="AF1056" s="348"/>
      <c r="AG1056" s="331"/>
      <c r="AH1056" s="331"/>
      <c r="AI1056" s="331"/>
      <c r="AJ1056" s="331"/>
      <c r="AK1056" s="348"/>
      <c r="AL1056" s="2655"/>
      <c r="AM1056" s="2655"/>
      <c r="AN1056" s="2655"/>
      <c r="AO1056" s="2655"/>
      <c r="AP1056" s="568"/>
      <c r="AQ1056" s="2655"/>
      <c r="AR1056" s="2655"/>
      <c r="AS1056" s="2655"/>
      <c r="AT1056" s="2655"/>
      <c r="AU1056" s="1692"/>
      <c r="AV1056" s="2651"/>
      <c r="AW1056" s="2655"/>
      <c r="AX1056" s="2655"/>
      <c r="AY1056" s="2655"/>
      <c r="AZ1056" s="1692"/>
      <c r="BA1056" s="2651"/>
      <c r="BB1056" s="2655"/>
      <c r="BC1056" s="2655"/>
      <c r="BD1056" s="2655"/>
      <c r="BE1056" s="2757"/>
      <c r="BF1056" s="1454"/>
      <c r="BG1056" s="1454"/>
      <c r="BH1056" s="1454"/>
      <c r="BI1056" s="1454"/>
      <c r="BJ1056" s="3122">
        <f t="shared" ref="BJ1056:BU1056" si="2555">+BJ1039/BE1039-1</f>
        <v>-1.5622823708558942E-2</v>
      </c>
      <c r="BK1056" s="2977">
        <f t="shared" si="2555"/>
        <v>-3.5142381792076183E-2</v>
      </c>
      <c r="BL1056" s="2977">
        <f t="shared" si="2555"/>
        <v>-2.888003055075139E-2</v>
      </c>
      <c r="BM1056" s="2977">
        <f t="shared" si="2555"/>
        <v>-2.9960806179600952E-2</v>
      </c>
      <c r="BN1056" s="2977">
        <f t="shared" si="2555"/>
        <v>-3.2246666210135055E-3</v>
      </c>
      <c r="BO1056" s="3122">
        <f t="shared" si="2555"/>
        <v>-2.4910983111035123E-2</v>
      </c>
      <c r="BP1056" s="2977">
        <f t="shared" si="2555"/>
        <v>-7.4914498908532745E-2</v>
      </c>
      <c r="BQ1056" s="2977">
        <f t="shared" si="2555"/>
        <v>-8.2635511069639733E-4</v>
      </c>
      <c r="BR1056" s="2977">
        <f t="shared" si="2555"/>
        <v>3.5394155354961931E-3</v>
      </c>
      <c r="BS1056" s="2977">
        <f t="shared" si="2555"/>
        <v>-8.4027039125918468E-2</v>
      </c>
      <c r="BT1056" s="3122">
        <f t="shared" si="2555"/>
        <v>-3.8849118044286923E-2</v>
      </c>
      <c r="BU1056" s="2977">
        <f t="shared" si="2555"/>
        <v>-5.1604853250596827E-2</v>
      </c>
      <c r="BV1056" s="3461">
        <v>0.01</v>
      </c>
      <c r="BW1056" s="3461">
        <v>0.01</v>
      </c>
      <c r="BX1056" s="3461">
        <v>0.05</v>
      </c>
      <c r="BY1056" s="3122">
        <f t="shared" si="2549"/>
        <v>3.3441075808728904E-3</v>
      </c>
      <c r="BZ1056" s="3469">
        <v>0.01</v>
      </c>
      <c r="CA1056" s="3469">
        <v>0</v>
      </c>
      <c r="CB1056" s="2857"/>
      <c r="CC1056" s="2857"/>
      <c r="CD1056" s="2857"/>
      <c r="CE1056" s="2857"/>
      <c r="CF1056" s="2857"/>
      <c r="CG1056" s="331"/>
      <c r="CH1056" s="331"/>
      <c r="CI1056" s="331"/>
      <c r="CJ1056" s="331"/>
      <c r="CK1056" s="331"/>
      <c r="CL1056" s="520"/>
      <c r="CM1056" s="330"/>
      <c r="CN1056" s="330"/>
      <c r="CO1056" s="330"/>
      <c r="CP1056" s="330"/>
      <c r="CQ1056" s="330"/>
      <c r="CR1056" s="330"/>
      <c r="CS1056" s="330"/>
      <c r="CT1056" s="330"/>
      <c r="CU1056" s="330"/>
      <c r="CV1056" s="330"/>
      <c r="CW1056" s="330"/>
      <c r="CX1056" s="330"/>
      <c r="CY1056" s="330"/>
      <c r="CZ1056" s="330"/>
      <c r="DA1056" s="330"/>
      <c r="DB1056" s="330"/>
      <c r="DC1056" s="1888"/>
      <c r="DD1056" s="331"/>
      <c r="DE1056" s="331"/>
      <c r="DF1056" s="502"/>
      <c r="DG1056" s="503"/>
      <c r="DH1056" s="3297"/>
      <c r="DI1056" s="3213"/>
      <c r="DJ1056" s="502"/>
      <c r="DK1056" s="503"/>
      <c r="DL1056" s="502"/>
      <c r="DM1056" s="502"/>
      <c r="DN1056" s="502"/>
      <c r="DO1056" s="502"/>
      <c r="DP1056" s="503"/>
      <c r="DQ1056" s="503"/>
      <c r="DR1056" s="296"/>
      <c r="DS1056" s="296"/>
      <c r="DT1056" s="296"/>
    </row>
    <row r="1057" spans="1:124" ht="12" customHeight="1" x14ac:dyDescent="0.25">
      <c r="A1057" s="2575" t="s">
        <v>2596</v>
      </c>
      <c r="B1057" s="281"/>
      <c r="C1057" s="340"/>
      <c r="D1057" s="340"/>
      <c r="E1057" s="340"/>
      <c r="F1057" s="340"/>
      <c r="G1057" s="310"/>
      <c r="H1057" s="340"/>
      <c r="I1057" s="340"/>
      <c r="J1057" s="340"/>
      <c r="K1057" s="340"/>
      <c r="L1057" s="310"/>
      <c r="M1057" s="340"/>
      <c r="N1057" s="340"/>
      <c r="O1057" s="340"/>
      <c r="P1057" s="340"/>
      <c r="Q1057" s="310"/>
      <c r="R1057" s="340"/>
      <c r="S1057" s="340"/>
      <c r="T1057" s="340"/>
      <c r="U1057" s="340"/>
      <c r="V1057" s="310"/>
      <c r="W1057" s="340"/>
      <c r="X1057" s="340"/>
      <c r="Y1057" s="340"/>
      <c r="Z1057" s="340"/>
      <c r="AA1057" s="345"/>
      <c r="AB1057" s="339"/>
      <c r="AC1057" s="339"/>
      <c r="AD1057" s="339"/>
      <c r="AE1057" s="339"/>
      <c r="AF1057" s="348"/>
      <c r="AG1057" s="331"/>
      <c r="AH1057" s="331"/>
      <c r="AI1057" s="331"/>
      <c r="AJ1057" s="331"/>
      <c r="AK1057" s="348"/>
      <c r="AL1057" s="2655"/>
      <c r="AM1057" s="2655"/>
      <c r="AN1057" s="2655"/>
      <c r="AO1057" s="2655"/>
      <c r="AP1057" s="568"/>
      <c r="AQ1057" s="2655"/>
      <c r="AR1057" s="2655"/>
      <c r="AS1057" s="2655"/>
      <c r="AT1057" s="2655"/>
      <c r="AU1057" s="1692"/>
      <c r="AV1057" s="2651"/>
      <c r="AW1057" s="2655"/>
      <c r="AX1057" s="2655"/>
      <c r="AY1057" s="2655"/>
      <c r="AZ1057" s="1692"/>
      <c r="BA1057" s="2651"/>
      <c r="BB1057" s="2655"/>
      <c r="BC1057" s="2655"/>
      <c r="BD1057" s="2655"/>
      <c r="BE1057" s="2757"/>
      <c r="BF1057" s="1454"/>
      <c r="BG1057" s="1454"/>
      <c r="BH1057" s="1454"/>
      <c r="BI1057" s="1454"/>
      <c r="BJ1057" s="3122">
        <f t="shared" ref="BJ1057:BU1057" si="2556">+BJ1040/BE1040-1</f>
        <v>6.8773036234561769E-2</v>
      </c>
      <c r="BK1057" s="2977">
        <f t="shared" si="2556"/>
        <v>-1.2613029485488481E-2</v>
      </c>
      <c r="BL1057" s="2977">
        <f t="shared" si="2556"/>
        <v>-4.1929624657880193E-2</v>
      </c>
      <c r="BM1057" s="2977">
        <f t="shared" si="2556"/>
        <v>-3.7398236249527539E-2</v>
      </c>
      <c r="BN1057" s="2977">
        <f t="shared" si="2556"/>
        <v>-6.3788882689775894E-3</v>
      </c>
      <c r="BO1057" s="3122">
        <f t="shared" si="2556"/>
        <v>-2.4817554008995879E-2</v>
      </c>
      <c r="BP1057" s="2977">
        <f t="shared" si="2556"/>
        <v>4.3037589052255409E-2</v>
      </c>
      <c r="BQ1057" s="2977">
        <f t="shared" si="2556"/>
        <v>4.1551655999672477E-2</v>
      </c>
      <c r="BR1057" s="2977">
        <f t="shared" si="2556"/>
        <v>-1.4109605600889141E-2</v>
      </c>
      <c r="BS1057" s="2977">
        <f t="shared" si="2556"/>
        <v>-5.1868521428757419E-2</v>
      </c>
      <c r="BT1057" s="3122">
        <f t="shared" si="2556"/>
        <v>4.7824867868204723E-3</v>
      </c>
      <c r="BU1057" s="2977">
        <f t="shared" si="2556"/>
        <v>-1.3097889875085089E-2</v>
      </c>
      <c r="BV1057" s="3461">
        <v>0.01</v>
      </c>
      <c r="BW1057" s="3461">
        <v>0.01</v>
      </c>
      <c r="BX1057" s="3461">
        <v>0.03</v>
      </c>
      <c r="BY1057" s="3122">
        <f t="shared" si="2549"/>
        <v>8.6410291664078542E-3</v>
      </c>
      <c r="BZ1057" s="3469">
        <v>0.01</v>
      </c>
      <c r="CA1057" s="3469">
        <v>0</v>
      </c>
      <c r="CB1057" s="2857"/>
      <c r="CC1057" s="2857"/>
      <c r="CD1057" s="2857"/>
      <c r="CE1057" s="2857"/>
      <c r="CF1057" s="2857"/>
      <c r="CG1057" s="331"/>
      <c r="CH1057" s="331"/>
      <c r="CI1057" s="331"/>
      <c r="CJ1057" s="331"/>
      <c r="CK1057" s="331"/>
      <c r="CL1057" s="520"/>
      <c r="CM1057" s="330"/>
      <c r="CN1057" s="330"/>
      <c r="CO1057" s="330"/>
      <c r="CP1057" s="330"/>
      <c r="CQ1057" s="330"/>
      <c r="CR1057" s="330"/>
      <c r="CS1057" s="330"/>
      <c r="CT1057" s="330"/>
      <c r="CU1057" s="330"/>
      <c r="CV1057" s="330"/>
      <c r="CW1057" s="330"/>
      <c r="CX1057" s="330"/>
      <c r="CY1057" s="330"/>
      <c r="CZ1057" s="330"/>
      <c r="DA1057" s="330"/>
      <c r="DB1057" s="330"/>
      <c r="DC1057" s="1888"/>
      <c r="DD1057" s="331"/>
      <c r="DE1057" s="331"/>
      <c r="DF1057" s="502"/>
      <c r="DG1057" s="503"/>
      <c r="DH1057" s="3297"/>
      <c r="DI1057" s="3213"/>
      <c r="DJ1057" s="502"/>
      <c r="DK1057" s="503"/>
      <c r="DL1057" s="502"/>
      <c r="DM1057" s="502"/>
      <c r="DN1057" s="502"/>
      <c r="DO1057" s="502"/>
      <c r="DP1057" s="503"/>
      <c r="DQ1057" s="503"/>
      <c r="DR1057" s="296"/>
      <c r="DS1057" s="296"/>
      <c r="DT1057" s="296"/>
    </row>
    <row r="1058" spans="1:124" ht="12" customHeight="1" x14ac:dyDescent="0.25">
      <c r="A1058" s="2575" t="s">
        <v>2597</v>
      </c>
      <c r="B1058" s="281"/>
      <c r="C1058" s="340"/>
      <c r="D1058" s="340"/>
      <c r="E1058" s="340"/>
      <c r="F1058" s="340"/>
      <c r="G1058" s="310"/>
      <c r="H1058" s="340"/>
      <c r="I1058" s="340"/>
      <c r="J1058" s="340"/>
      <c r="K1058" s="340"/>
      <c r="L1058" s="310"/>
      <c r="M1058" s="340"/>
      <c r="N1058" s="340"/>
      <c r="O1058" s="340"/>
      <c r="P1058" s="340"/>
      <c r="Q1058" s="310"/>
      <c r="R1058" s="340"/>
      <c r="S1058" s="340"/>
      <c r="T1058" s="340"/>
      <c r="U1058" s="340"/>
      <c r="V1058" s="310"/>
      <c r="W1058" s="340"/>
      <c r="X1058" s="340"/>
      <c r="Y1058" s="340"/>
      <c r="Z1058" s="340"/>
      <c r="AA1058" s="345"/>
      <c r="AB1058" s="339"/>
      <c r="AC1058" s="339"/>
      <c r="AD1058" s="339"/>
      <c r="AE1058" s="339"/>
      <c r="AF1058" s="348"/>
      <c r="AG1058" s="331"/>
      <c r="AH1058" s="331"/>
      <c r="AI1058" s="331"/>
      <c r="AJ1058" s="331"/>
      <c r="AK1058" s="348"/>
      <c r="AL1058" s="2655"/>
      <c r="AM1058" s="2655"/>
      <c r="AN1058" s="2655"/>
      <c r="AO1058" s="2655"/>
      <c r="AP1058" s="568"/>
      <c r="AQ1058" s="2655"/>
      <c r="AR1058" s="2655"/>
      <c r="AS1058" s="2655"/>
      <c r="AT1058" s="2655"/>
      <c r="AU1058" s="1692"/>
      <c r="AV1058" s="2651"/>
      <c r="AW1058" s="2655"/>
      <c r="AX1058" s="2655"/>
      <c r="AY1058" s="2655"/>
      <c r="AZ1058" s="1692"/>
      <c r="BA1058" s="2651"/>
      <c r="BB1058" s="2655"/>
      <c r="BC1058" s="2655"/>
      <c r="BD1058" s="2655"/>
      <c r="BE1058" s="2757"/>
      <c r="BF1058" s="1454"/>
      <c r="BG1058" s="1454"/>
      <c r="BH1058" s="1454"/>
      <c r="BI1058" s="1454"/>
      <c r="BJ1058" s="3122">
        <f t="shared" ref="BJ1058:BU1058" si="2557">+BJ1041/BE1041-1</f>
        <v>0.10310102177439329</v>
      </c>
      <c r="BK1058" s="2977">
        <f t="shared" si="2557"/>
        <v>-3.4975170946002887E-2</v>
      </c>
      <c r="BL1058" s="2977">
        <f t="shared" si="2557"/>
        <v>4.4507920858917416E-2</v>
      </c>
      <c r="BM1058" s="2977">
        <f t="shared" si="2557"/>
        <v>2.9389871318770133E-2</v>
      </c>
      <c r="BN1058" s="2977">
        <f t="shared" si="2557"/>
        <v>5.2214036772948447E-2</v>
      </c>
      <c r="BO1058" s="3122">
        <f t="shared" si="2557"/>
        <v>2.2193565433225038E-2</v>
      </c>
      <c r="BP1058" s="2977">
        <f t="shared" si="2557"/>
        <v>0.14735803661374103</v>
      </c>
      <c r="BQ1058" s="2977">
        <f t="shared" si="2557"/>
        <v>0.1369814484186942</v>
      </c>
      <c r="BR1058" s="2977">
        <f t="shared" si="2557"/>
        <v>7.4653832595360736E-2</v>
      </c>
      <c r="BS1058" s="2977">
        <f t="shared" si="2557"/>
        <v>-0.10142164510736584</v>
      </c>
      <c r="BT1058" s="3122">
        <f t="shared" si="2557"/>
        <v>6.0572217234158954E-2</v>
      </c>
      <c r="BU1058" s="2977">
        <f t="shared" si="2557"/>
        <v>-0.10103480233836726</v>
      </c>
      <c r="BV1058" s="3461">
        <v>0.02</v>
      </c>
      <c r="BW1058" s="3461">
        <v>0.02</v>
      </c>
      <c r="BX1058" s="3461">
        <v>7.4999999999999997E-2</v>
      </c>
      <c r="BY1058" s="3122">
        <f t="shared" si="2549"/>
        <v>3.2364737850465453E-4</v>
      </c>
      <c r="BZ1058" s="3469">
        <v>0.01</v>
      </c>
      <c r="CA1058" s="3469">
        <v>0</v>
      </c>
      <c r="CB1058" s="2857"/>
      <c r="CC1058" s="2857"/>
      <c r="CD1058" s="2857"/>
      <c r="CE1058" s="2857"/>
      <c r="CF1058" s="2857"/>
      <c r="CG1058" s="331"/>
      <c r="CH1058" s="331"/>
      <c r="CI1058" s="331"/>
      <c r="CJ1058" s="331"/>
      <c r="CK1058" s="331"/>
      <c r="CL1058" s="520"/>
      <c r="CM1058" s="330"/>
      <c r="CN1058" s="330"/>
      <c r="CO1058" s="330"/>
      <c r="CP1058" s="330"/>
      <c r="CQ1058" s="330"/>
      <c r="CR1058" s="330"/>
      <c r="CS1058" s="330"/>
      <c r="CT1058" s="330"/>
      <c r="CU1058" s="330"/>
      <c r="CV1058" s="330"/>
      <c r="CW1058" s="330"/>
      <c r="CX1058" s="330"/>
      <c r="CY1058" s="330"/>
      <c r="CZ1058" s="330"/>
      <c r="DA1058" s="330"/>
      <c r="DB1058" s="330"/>
      <c r="DC1058" s="1888"/>
      <c r="DD1058" s="331"/>
      <c r="DE1058" s="331"/>
      <c r="DF1058" s="502"/>
      <c r="DG1058" s="503"/>
      <c r="DH1058" s="3297"/>
      <c r="DI1058" s="3213"/>
      <c r="DJ1058" s="502"/>
      <c r="DK1058" s="503"/>
      <c r="DL1058" s="502"/>
      <c r="DM1058" s="502"/>
      <c r="DN1058" s="502"/>
      <c r="DO1058" s="502"/>
      <c r="DP1058" s="503"/>
      <c r="DQ1058" s="503"/>
      <c r="DR1058" s="296"/>
      <c r="DS1058" s="296"/>
      <c r="DT1058" s="296"/>
    </row>
    <row r="1059" spans="1:124" ht="12" customHeight="1" x14ac:dyDescent="0.25">
      <c r="A1059" s="2575" t="s">
        <v>2598</v>
      </c>
      <c r="B1059" s="281"/>
      <c r="C1059" s="340"/>
      <c r="D1059" s="340"/>
      <c r="E1059" s="340"/>
      <c r="F1059" s="340"/>
      <c r="G1059" s="310"/>
      <c r="H1059" s="340"/>
      <c r="I1059" s="340"/>
      <c r="J1059" s="340"/>
      <c r="K1059" s="340"/>
      <c r="L1059" s="310"/>
      <c r="M1059" s="340"/>
      <c r="N1059" s="340"/>
      <c r="O1059" s="340"/>
      <c r="P1059" s="340"/>
      <c r="Q1059" s="310"/>
      <c r="R1059" s="340"/>
      <c r="S1059" s="340"/>
      <c r="T1059" s="340"/>
      <c r="U1059" s="340"/>
      <c r="V1059" s="310"/>
      <c r="W1059" s="340"/>
      <c r="X1059" s="340"/>
      <c r="Y1059" s="340"/>
      <c r="Z1059" s="340"/>
      <c r="AA1059" s="345"/>
      <c r="AB1059" s="339"/>
      <c r="AC1059" s="339"/>
      <c r="AD1059" s="339"/>
      <c r="AE1059" s="339"/>
      <c r="AF1059" s="348"/>
      <c r="AG1059" s="331"/>
      <c r="AH1059" s="331"/>
      <c r="AI1059" s="331"/>
      <c r="AJ1059" s="331"/>
      <c r="AK1059" s="348"/>
      <c r="AL1059" s="2655"/>
      <c r="AM1059" s="2655"/>
      <c r="AN1059" s="2655"/>
      <c r="AO1059" s="2655"/>
      <c r="AP1059" s="568"/>
      <c r="AQ1059" s="2655"/>
      <c r="AR1059" s="2655"/>
      <c r="AS1059" s="2655"/>
      <c r="AT1059" s="2655"/>
      <c r="AU1059" s="1692"/>
      <c r="AV1059" s="2651"/>
      <c r="AW1059" s="2655"/>
      <c r="AX1059" s="2655"/>
      <c r="AY1059" s="2655"/>
      <c r="AZ1059" s="1692"/>
      <c r="BA1059" s="2651"/>
      <c r="BB1059" s="2655"/>
      <c r="BC1059" s="2655"/>
      <c r="BD1059" s="2655"/>
      <c r="BE1059" s="2757"/>
      <c r="BF1059" s="1454"/>
      <c r="BG1059" s="1454"/>
      <c r="BH1059" s="1454"/>
      <c r="BI1059" s="1454"/>
      <c r="BJ1059" s="3122">
        <f t="shared" ref="BJ1059:BU1060" si="2558">+BJ1042/BE1042-1</f>
        <v>-6.7920177615110267E-2</v>
      </c>
      <c r="BK1059" s="2977">
        <f t="shared" si="2558"/>
        <v>-6.1629462622858067E-2</v>
      </c>
      <c r="BL1059" s="2977">
        <f t="shared" si="2558"/>
        <v>-0.13688880363492428</v>
      </c>
      <c r="BM1059" s="2977">
        <f t="shared" si="2558"/>
        <v>2.1910400878747627E-2</v>
      </c>
      <c r="BN1059" s="2977">
        <f t="shared" si="2558"/>
        <v>8.5312102430840309E-2</v>
      </c>
      <c r="BO1059" s="3122">
        <f t="shared" si="2558"/>
        <v>-2.4592749092044452E-2</v>
      </c>
      <c r="BP1059" s="2977">
        <f t="shared" si="2558"/>
        <v>-3.8255836175626223E-2</v>
      </c>
      <c r="BQ1059" s="2977">
        <f t="shared" si="2558"/>
        <v>9.5790697033475869E-2</v>
      </c>
      <c r="BR1059" s="2977">
        <f t="shared" si="2558"/>
        <v>-0.13238260532076163</v>
      </c>
      <c r="BS1059" s="2977">
        <f t="shared" si="2558"/>
        <v>-8.0479672182367512E-2</v>
      </c>
      <c r="BT1059" s="3122">
        <f t="shared" si="2558"/>
        <v>-4.3589240627612491E-2</v>
      </c>
      <c r="BU1059" s="2977">
        <f t="shared" si="2558"/>
        <v>6.8614083867337694E-2</v>
      </c>
      <c r="BV1059" s="3461">
        <v>0.01</v>
      </c>
      <c r="BW1059" s="3461">
        <v>0.05</v>
      </c>
      <c r="BX1059" s="3461">
        <v>0.05</v>
      </c>
      <c r="BY1059" s="3122">
        <f t="shared" si="2549"/>
        <v>4.3790362018316653E-2</v>
      </c>
      <c r="BZ1059" s="3469">
        <v>0.01</v>
      </c>
      <c r="CA1059" s="3469">
        <v>0</v>
      </c>
      <c r="CB1059" s="2857"/>
      <c r="CC1059" s="2857"/>
      <c r="CD1059" s="2857"/>
      <c r="CE1059" s="2857"/>
      <c r="CF1059" s="2857"/>
      <c r="CG1059" s="331"/>
      <c r="CH1059" s="331"/>
      <c r="CI1059" s="331"/>
      <c r="CJ1059" s="331"/>
      <c r="CK1059" s="331"/>
      <c r="CL1059" s="520"/>
      <c r="CM1059" s="330"/>
      <c r="CN1059" s="330"/>
      <c r="CO1059" s="330"/>
      <c r="CP1059" s="330"/>
      <c r="CQ1059" s="330"/>
      <c r="CR1059" s="330"/>
      <c r="CS1059" s="330"/>
      <c r="CT1059" s="330"/>
      <c r="CU1059" s="330"/>
      <c r="CV1059" s="330"/>
      <c r="CW1059" s="330"/>
      <c r="CX1059" s="330"/>
      <c r="CY1059" s="330"/>
      <c r="CZ1059" s="330"/>
      <c r="DA1059" s="330"/>
      <c r="DB1059" s="330"/>
      <c r="DC1059" s="1888"/>
      <c r="DD1059" s="331"/>
      <c r="DE1059" s="331"/>
      <c r="DF1059" s="502"/>
      <c r="DG1059" s="503"/>
      <c r="DH1059" s="3297"/>
      <c r="DI1059" s="3213"/>
      <c r="DJ1059" s="502"/>
      <c r="DK1059" s="503"/>
      <c r="DL1059" s="502"/>
      <c r="DM1059" s="502"/>
      <c r="DN1059" s="502"/>
      <c r="DO1059" s="502"/>
      <c r="DP1059" s="503"/>
      <c r="DQ1059" s="503"/>
      <c r="DR1059" s="296"/>
      <c r="DS1059" s="296"/>
      <c r="DT1059" s="296"/>
    </row>
    <row r="1060" spans="1:124" ht="12" customHeight="1" x14ac:dyDescent="0.25">
      <c r="A1060" s="2575" t="s">
        <v>2599</v>
      </c>
      <c r="B1060" s="281"/>
      <c r="C1060" s="340"/>
      <c r="D1060" s="340"/>
      <c r="E1060" s="340"/>
      <c r="F1060" s="340"/>
      <c r="G1060" s="310"/>
      <c r="H1060" s="340"/>
      <c r="I1060" s="340"/>
      <c r="J1060" s="340"/>
      <c r="K1060" s="340"/>
      <c r="L1060" s="310"/>
      <c r="M1060" s="340"/>
      <c r="N1060" s="340"/>
      <c r="O1060" s="340"/>
      <c r="P1060" s="340"/>
      <c r="Q1060" s="310"/>
      <c r="R1060" s="340"/>
      <c r="S1060" s="340"/>
      <c r="T1060" s="340"/>
      <c r="U1060" s="340"/>
      <c r="V1060" s="310"/>
      <c r="W1060" s="340"/>
      <c r="X1060" s="340"/>
      <c r="Y1060" s="340"/>
      <c r="Z1060" s="340"/>
      <c r="AA1060" s="345"/>
      <c r="AB1060" s="339"/>
      <c r="AC1060" s="339"/>
      <c r="AD1060" s="339"/>
      <c r="AE1060" s="339"/>
      <c r="AF1060" s="348"/>
      <c r="AG1060" s="331"/>
      <c r="AH1060" s="331"/>
      <c r="AI1060" s="331"/>
      <c r="AJ1060" s="331"/>
      <c r="AK1060" s="348"/>
      <c r="AL1060" s="2655"/>
      <c r="AM1060" s="2655"/>
      <c r="AN1060" s="2655"/>
      <c r="AO1060" s="2655"/>
      <c r="AP1060" s="568"/>
      <c r="AQ1060" s="2655"/>
      <c r="AR1060" s="2655"/>
      <c r="AS1060" s="2655"/>
      <c r="AT1060" s="2655"/>
      <c r="AU1060" s="1692"/>
      <c r="AV1060" s="2651"/>
      <c r="AW1060" s="2655"/>
      <c r="AX1060" s="2655"/>
      <c r="AY1060" s="2655"/>
      <c r="AZ1060" s="1692"/>
      <c r="BA1060" s="2651"/>
      <c r="BB1060" s="2655"/>
      <c r="BC1060" s="2655"/>
      <c r="BD1060" s="2655"/>
      <c r="BE1060" s="2757"/>
      <c r="BF1060" s="1454"/>
      <c r="BG1060" s="1454"/>
      <c r="BH1060" s="1454"/>
      <c r="BI1060" s="1454"/>
      <c r="BJ1060" s="3122"/>
      <c r="BK1060" s="2977"/>
      <c r="BL1060" s="2977"/>
      <c r="BM1060" s="2977"/>
      <c r="BN1060" s="2977"/>
      <c r="BO1060" s="3122"/>
      <c r="BP1060" s="2977"/>
      <c r="BQ1060" s="2977"/>
      <c r="BR1060" s="2977">
        <f>+BR1043/63.148-1</f>
        <v>2.5185369766262289E-2</v>
      </c>
      <c r="BS1060" s="2977">
        <f>+BS1043/63.148-1</f>
        <v>-4.6757512351934816E-2</v>
      </c>
      <c r="BT1060" s="3122">
        <f t="shared" si="2558"/>
        <v>-8.4313148736657739E-3</v>
      </c>
      <c r="BU1060" s="2977">
        <f>+BU1043/63.148-1</f>
        <v>-4.6818922214480141E-2</v>
      </c>
      <c r="BV1060" s="3461">
        <v>0.02</v>
      </c>
      <c r="BW1060" s="3461">
        <v>0.02</v>
      </c>
      <c r="BX1060" s="3461">
        <v>0.03</v>
      </c>
      <c r="BY1060" s="3122">
        <f t="shared" si="2549"/>
        <v>1.033476924195198E-2</v>
      </c>
      <c r="BZ1060" s="3469">
        <v>0.01</v>
      </c>
      <c r="CA1060" s="3469">
        <v>0</v>
      </c>
      <c r="CB1060" s="2857"/>
      <c r="CC1060" s="2857"/>
      <c r="CD1060" s="2857"/>
      <c r="CE1060" s="2857"/>
      <c r="CF1060" s="2857"/>
      <c r="CG1060" s="331"/>
      <c r="CH1060" s="331"/>
      <c r="CI1060" s="331"/>
      <c r="CJ1060" s="331"/>
      <c r="CK1060" s="331"/>
      <c r="CL1060" s="520"/>
      <c r="CM1060" s="330"/>
      <c r="CN1060" s="330"/>
      <c r="CO1060" s="330"/>
      <c r="CP1060" s="330"/>
      <c r="CQ1060" s="330"/>
      <c r="CR1060" s="330"/>
      <c r="CS1060" s="330"/>
      <c r="CT1060" s="330"/>
      <c r="CU1060" s="330"/>
      <c r="CV1060" s="330"/>
      <c r="CW1060" s="330"/>
      <c r="CX1060" s="330"/>
      <c r="CY1060" s="330"/>
      <c r="CZ1060" s="330"/>
      <c r="DA1060" s="330"/>
      <c r="DB1060" s="330"/>
      <c r="DC1060" s="1888"/>
      <c r="DD1060" s="331"/>
      <c r="DE1060" s="331"/>
      <c r="DF1060" s="502"/>
      <c r="DG1060" s="503"/>
      <c r="DH1060" s="3297"/>
      <c r="DI1060" s="3213"/>
      <c r="DJ1060" s="502"/>
      <c r="DK1060" s="503"/>
      <c r="DL1060" s="502"/>
      <c r="DM1060" s="502"/>
      <c r="DN1060" s="502"/>
      <c r="DO1060" s="502"/>
      <c r="DP1060" s="503"/>
      <c r="DQ1060" s="503"/>
      <c r="DR1060" s="296"/>
      <c r="DS1060" s="296"/>
      <c r="DT1060" s="296"/>
    </row>
    <row r="1061" spans="1:124" ht="12" customHeight="1" x14ac:dyDescent="0.25">
      <c r="A1061" s="2575" t="s">
        <v>2600</v>
      </c>
      <c r="B1061" s="281"/>
      <c r="C1061" s="340"/>
      <c r="D1061" s="340"/>
      <c r="E1061" s="340"/>
      <c r="F1061" s="340"/>
      <c r="G1061" s="310"/>
      <c r="H1061" s="340"/>
      <c r="I1061" s="340"/>
      <c r="J1061" s="340"/>
      <c r="K1061" s="340"/>
      <c r="L1061" s="310"/>
      <c r="M1061" s="340"/>
      <c r="N1061" s="340"/>
      <c r="O1061" s="340"/>
      <c r="P1061" s="340"/>
      <c r="Q1061" s="310"/>
      <c r="R1061" s="340"/>
      <c r="S1061" s="340"/>
      <c r="T1061" s="340"/>
      <c r="U1061" s="340"/>
      <c r="V1061" s="310"/>
      <c r="W1061" s="340"/>
      <c r="X1061" s="340"/>
      <c r="Y1061" s="340"/>
      <c r="Z1061" s="340"/>
      <c r="AA1061" s="345"/>
      <c r="AB1061" s="339"/>
      <c r="AC1061" s="339"/>
      <c r="AD1061" s="339"/>
      <c r="AE1061" s="339"/>
      <c r="AF1061" s="348"/>
      <c r="AG1061" s="331"/>
      <c r="AH1061" s="331"/>
      <c r="AI1061" s="331"/>
      <c r="AJ1061" s="331"/>
      <c r="AK1061" s="348"/>
      <c r="AL1061" s="2655"/>
      <c r="AM1061" s="2655"/>
      <c r="AN1061" s="2655"/>
      <c r="AO1061" s="2655"/>
      <c r="AP1061" s="568"/>
      <c r="AQ1061" s="2655"/>
      <c r="AR1061" s="2655"/>
      <c r="AS1061" s="2655"/>
      <c r="AT1061" s="2655"/>
      <c r="AU1061" s="1692"/>
      <c r="AV1061" s="2651"/>
      <c r="AW1061" s="2655"/>
      <c r="AX1061" s="2655"/>
      <c r="AY1061" s="2655"/>
      <c r="AZ1061" s="1692"/>
      <c r="BA1061" s="2651"/>
      <c r="BB1061" s="2655"/>
      <c r="BC1061" s="2655"/>
      <c r="BD1061" s="2655"/>
      <c r="BE1061" s="2757"/>
      <c r="BF1061" s="1454"/>
      <c r="BG1061" s="1454"/>
      <c r="BH1061" s="1454"/>
      <c r="BI1061" s="1454"/>
      <c r="BJ1061" s="3122">
        <f t="shared" ref="BJ1061:BU1061" si="2559">+BJ1044/BE1044-1</f>
        <v>5.6550651983518163E-2</v>
      </c>
      <c r="BK1061" s="2977">
        <f t="shared" si="2559"/>
        <v>5.413751340204298E-2</v>
      </c>
      <c r="BL1061" s="2977">
        <f t="shared" si="2559"/>
        <v>-2.6814977425588804E-3</v>
      </c>
      <c r="BM1061" s="2977">
        <f t="shared" si="2559"/>
        <v>2.6352997837565395E-2</v>
      </c>
      <c r="BN1061" s="2977">
        <f t="shared" si="2559"/>
        <v>-1.6378499747669806E-2</v>
      </c>
      <c r="BO1061" s="3122">
        <f t="shared" si="2559"/>
        <v>1.4975403010700106E-2</v>
      </c>
      <c r="BP1061" s="2977">
        <f t="shared" si="2559"/>
        <v>7.4664833746374004E-3</v>
      </c>
      <c r="BQ1061" s="2977">
        <f t="shared" si="2559"/>
        <v>5.971093230323854E-3</v>
      </c>
      <c r="BR1061" s="2977">
        <f t="shared" si="2559"/>
        <v>2.2549899841150411E-2</v>
      </c>
      <c r="BS1061" s="2977">
        <f t="shared" si="2559"/>
        <v>-8.3912045176711691E-3</v>
      </c>
      <c r="BT1061" s="3122">
        <f t="shared" si="2559"/>
        <v>6.9514826277803365E-3</v>
      </c>
      <c r="BU1061" s="2977">
        <f t="shared" si="2559"/>
        <v>-1.9409128577808632E-2</v>
      </c>
      <c r="BV1061" s="3461">
        <v>1.4999999999999999E-2</v>
      </c>
      <c r="BW1061" s="3461">
        <v>1.4999999999999999E-2</v>
      </c>
      <c r="BX1061" s="3461">
        <v>1.4999999999999999E-2</v>
      </c>
      <c r="BY1061" s="3122">
        <f t="shared" si="2549"/>
        <v>6.2030538735684537E-3</v>
      </c>
      <c r="BZ1061" s="3469">
        <v>0.01</v>
      </c>
      <c r="CA1061" s="3469">
        <v>0</v>
      </c>
      <c r="CB1061" s="2857"/>
      <c r="CC1061" s="2857"/>
      <c r="CD1061" s="2857"/>
      <c r="CE1061" s="2857"/>
      <c r="CF1061" s="2857"/>
      <c r="CG1061" s="331"/>
      <c r="CH1061" s="331"/>
      <c r="CI1061" s="331"/>
      <c r="CJ1061" s="331"/>
      <c r="CK1061" s="331"/>
      <c r="CL1061" s="520"/>
      <c r="CM1061" s="330"/>
      <c r="CN1061" s="330"/>
      <c r="CO1061" s="330"/>
      <c r="CP1061" s="330"/>
      <c r="CQ1061" s="330"/>
      <c r="CR1061" s="330"/>
      <c r="CS1061" s="330"/>
      <c r="CT1061" s="330"/>
      <c r="CU1061" s="330"/>
      <c r="CV1061" s="330"/>
      <c r="CW1061" s="330"/>
      <c r="CX1061" s="330"/>
      <c r="CY1061" s="330"/>
      <c r="CZ1061" s="330"/>
      <c r="DA1061" s="330"/>
      <c r="DB1061" s="330"/>
      <c r="DC1061" s="1888"/>
      <c r="DD1061" s="331"/>
      <c r="DE1061" s="331"/>
      <c r="DF1061" s="502"/>
      <c r="DG1061" s="503"/>
      <c r="DH1061" s="3297"/>
      <c r="DI1061" s="3213"/>
      <c r="DJ1061" s="502"/>
      <c r="DK1061" s="503"/>
      <c r="DL1061" s="502"/>
      <c r="DM1061" s="502"/>
      <c r="DN1061" s="502"/>
      <c r="DO1061" s="502"/>
      <c r="DP1061" s="503"/>
      <c r="DQ1061" s="503"/>
      <c r="DR1061" s="296"/>
      <c r="DS1061" s="296"/>
      <c r="DT1061" s="296"/>
    </row>
    <row r="1062" spans="1:124" ht="12" customHeight="1" x14ac:dyDescent="0.25">
      <c r="A1062" s="2575"/>
      <c r="B1062" s="281"/>
      <c r="C1062" s="340"/>
      <c r="D1062" s="340"/>
      <c r="E1062" s="340"/>
      <c r="F1062" s="340"/>
      <c r="G1062" s="310"/>
      <c r="H1062" s="340"/>
      <c r="I1062" s="340"/>
      <c r="J1062" s="340"/>
      <c r="K1062" s="340"/>
      <c r="L1062" s="310"/>
      <c r="M1062" s="340"/>
      <c r="N1062" s="340"/>
      <c r="O1062" s="340"/>
      <c r="P1062" s="340"/>
      <c r="Q1062" s="310"/>
      <c r="R1062" s="340"/>
      <c r="S1062" s="340"/>
      <c r="T1062" s="340"/>
      <c r="U1062" s="340"/>
      <c r="V1062" s="310"/>
      <c r="W1062" s="340"/>
      <c r="X1062" s="340"/>
      <c r="Y1062" s="340"/>
      <c r="Z1062" s="340"/>
      <c r="AA1062" s="345"/>
      <c r="AB1062" s="339"/>
      <c r="AC1062" s="339"/>
      <c r="AD1062" s="339"/>
      <c r="AE1062" s="339"/>
      <c r="AF1062" s="348"/>
      <c r="AG1062" s="331"/>
      <c r="AH1062" s="331"/>
      <c r="AI1062" s="331"/>
      <c r="AJ1062" s="331"/>
      <c r="AK1062" s="348"/>
      <c r="AL1062" s="2655"/>
      <c r="AM1062" s="2655"/>
      <c r="AN1062" s="2655"/>
      <c r="AO1062" s="2655"/>
      <c r="AP1062" s="568"/>
      <c r="AQ1062" s="2655"/>
      <c r="AR1062" s="2655"/>
      <c r="AS1062" s="2655"/>
      <c r="AT1062" s="2655"/>
      <c r="AU1062" s="1692"/>
      <c r="AV1062" s="2651"/>
      <c r="AW1062" s="2655"/>
      <c r="AX1062" s="2655"/>
      <c r="AY1062" s="2655"/>
      <c r="AZ1062" s="1692"/>
      <c r="BA1062" s="2651"/>
      <c r="BB1062" s="2655"/>
      <c r="BC1062" s="2655"/>
      <c r="BD1062" s="2655"/>
      <c r="BE1062" s="2757"/>
      <c r="BF1062" s="1454"/>
      <c r="BG1062" s="1454"/>
      <c r="BH1062" s="1454"/>
      <c r="BI1062" s="1454"/>
      <c r="BJ1062" s="2757"/>
      <c r="BK1062" s="1454"/>
      <c r="BL1062" s="1454"/>
      <c r="BM1062" s="1454"/>
      <c r="BN1062" s="1454"/>
      <c r="BO1062" s="2757"/>
      <c r="BP1062" s="1454"/>
      <c r="BQ1062" s="1454"/>
      <c r="BR1062" s="1454"/>
      <c r="BS1062" s="3444"/>
      <c r="BT1062" s="2757"/>
      <c r="BU1062" s="3444"/>
      <c r="BV1062" s="3444"/>
      <c r="BW1062" s="3444"/>
      <c r="BX1062" s="3444"/>
      <c r="BY1062" s="2757"/>
      <c r="BZ1062" s="3468"/>
      <c r="CA1062" s="3468"/>
      <c r="CB1062" s="2857"/>
      <c r="CC1062" s="2857"/>
      <c r="CD1062" s="2857"/>
      <c r="CE1062" s="2857"/>
      <c r="CF1062" s="2857"/>
      <c r="CG1062" s="331"/>
      <c r="CH1062" s="331"/>
      <c r="CI1062" s="331"/>
      <c r="CJ1062" s="331"/>
      <c r="CK1062" s="331"/>
      <c r="CL1062" s="520"/>
      <c r="CM1062" s="330"/>
      <c r="CN1062" s="330"/>
      <c r="CO1062" s="330"/>
      <c r="CP1062" s="330"/>
      <c r="CQ1062" s="330"/>
      <c r="CR1062" s="330"/>
      <c r="CS1062" s="330"/>
      <c r="CT1062" s="330"/>
      <c r="CU1062" s="330"/>
      <c r="CV1062" s="330"/>
      <c r="CW1062" s="330"/>
      <c r="CX1062" s="330"/>
      <c r="CY1062" s="330"/>
      <c r="CZ1062" s="330"/>
      <c r="DA1062" s="330"/>
      <c r="DB1062" s="330"/>
      <c r="DC1062" s="1888"/>
      <c r="DD1062" s="331"/>
      <c r="DE1062" s="331"/>
      <c r="DF1062" s="502"/>
      <c r="DG1062" s="503"/>
      <c r="DH1062" s="3297"/>
      <c r="DI1062" s="3213"/>
      <c r="DJ1062" s="502"/>
      <c r="DK1062" s="503"/>
      <c r="DL1062" s="502"/>
      <c r="DM1062" s="502"/>
      <c r="DN1062" s="502"/>
      <c r="DO1062" s="502"/>
      <c r="DP1062" s="503"/>
      <c r="DQ1062" s="503"/>
      <c r="DR1062" s="296"/>
      <c r="DS1062" s="296"/>
      <c r="DT1062" s="296"/>
    </row>
    <row r="1063" spans="1:124" ht="12" customHeight="1" x14ac:dyDescent="0.25">
      <c r="A1063" s="2575"/>
      <c r="B1063" s="281"/>
      <c r="C1063" s="340"/>
      <c r="D1063" s="340"/>
      <c r="E1063" s="340"/>
      <c r="F1063" s="340"/>
      <c r="G1063" s="310"/>
      <c r="H1063" s="340"/>
      <c r="I1063" s="340"/>
      <c r="J1063" s="340"/>
      <c r="K1063" s="340"/>
      <c r="L1063" s="310"/>
      <c r="M1063" s="340"/>
      <c r="N1063" s="340"/>
      <c r="O1063" s="340"/>
      <c r="P1063" s="340"/>
      <c r="Q1063" s="310"/>
      <c r="R1063" s="340"/>
      <c r="S1063" s="340"/>
      <c r="T1063" s="340"/>
      <c r="U1063" s="340"/>
      <c r="V1063" s="310"/>
      <c r="W1063" s="340"/>
      <c r="X1063" s="340"/>
      <c r="Y1063" s="340"/>
      <c r="Z1063" s="340"/>
      <c r="AA1063" s="345"/>
      <c r="AB1063" s="339"/>
      <c r="AC1063" s="339"/>
      <c r="AD1063" s="339"/>
      <c r="AE1063" s="339"/>
      <c r="AF1063" s="348"/>
      <c r="AG1063" s="331"/>
      <c r="AH1063" s="331"/>
      <c r="AI1063" s="331"/>
      <c r="AJ1063" s="331"/>
      <c r="AK1063" s="348"/>
      <c r="AL1063" s="2655"/>
      <c r="AM1063" s="2655"/>
      <c r="AN1063" s="2655"/>
      <c r="AO1063" s="2655"/>
      <c r="AP1063" s="568"/>
      <c r="AQ1063" s="2655"/>
      <c r="AR1063" s="2655"/>
      <c r="AS1063" s="2655"/>
      <c r="AT1063" s="2655"/>
      <c r="AU1063" s="1692"/>
      <c r="AV1063" s="2651"/>
      <c r="AW1063" s="2655"/>
      <c r="AX1063" s="2655"/>
      <c r="AY1063" s="2655"/>
      <c r="AZ1063" s="1692"/>
      <c r="BA1063" s="2651"/>
      <c r="BB1063" s="2655"/>
      <c r="BC1063" s="2655"/>
      <c r="BD1063" s="2655"/>
      <c r="BE1063" s="2757"/>
      <c r="BF1063" s="1454"/>
      <c r="BG1063" s="1454"/>
      <c r="BH1063" s="1454"/>
      <c r="BI1063" s="1454"/>
      <c r="BJ1063" s="2757"/>
      <c r="BK1063" s="1454"/>
      <c r="BL1063" s="1454"/>
      <c r="BM1063" s="1454"/>
      <c r="BN1063" s="1454"/>
      <c r="BO1063" s="2757"/>
      <c r="BP1063" s="1454"/>
      <c r="BQ1063" s="1454"/>
      <c r="BR1063" s="1454"/>
      <c r="BS1063" s="3444"/>
      <c r="BT1063" s="2757"/>
      <c r="BU1063" s="3444"/>
      <c r="BV1063" s="3444"/>
      <c r="BW1063" s="3444"/>
      <c r="BX1063" s="3444"/>
      <c r="BY1063" s="2757"/>
      <c r="BZ1063" s="3468"/>
      <c r="CA1063" s="3468"/>
      <c r="CB1063" s="2857"/>
      <c r="CC1063" s="2857"/>
      <c r="CD1063" s="2857"/>
      <c r="CE1063" s="2857"/>
      <c r="CF1063" s="2857"/>
      <c r="CG1063" s="331"/>
      <c r="CH1063" s="331"/>
      <c r="CI1063" s="331"/>
      <c r="CJ1063" s="331"/>
      <c r="CK1063" s="331"/>
      <c r="CL1063" s="520"/>
      <c r="CM1063" s="330"/>
      <c r="CN1063" s="330"/>
      <c r="CO1063" s="330"/>
      <c r="CP1063" s="330"/>
      <c r="CQ1063" s="330"/>
      <c r="CR1063" s="330"/>
      <c r="CS1063" s="330"/>
      <c r="CT1063" s="330"/>
      <c r="CU1063" s="330"/>
      <c r="CV1063" s="330"/>
      <c r="CW1063" s="330"/>
      <c r="CX1063" s="330"/>
      <c r="CY1063" s="330"/>
      <c r="CZ1063" s="330"/>
      <c r="DA1063" s="330"/>
      <c r="DB1063" s="330"/>
      <c r="DC1063" s="1888"/>
      <c r="DD1063" s="331"/>
      <c r="DE1063" s="331"/>
      <c r="DF1063" s="502"/>
      <c r="DG1063" s="503"/>
      <c r="DH1063" s="3297"/>
      <c r="DI1063" s="3213"/>
      <c r="DJ1063" s="502"/>
      <c r="DK1063" s="503"/>
      <c r="DL1063" s="502"/>
      <c r="DM1063" s="502"/>
      <c r="DN1063" s="502"/>
      <c r="DO1063" s="502"/>
      <c r="DP1063" s="503"/>
      <c r="DQ1063" s="503"/>
      <c r="DR1063" s="296"/>
      <c r="DS1063" s="296"/>
      <c r="DT1063" s="296"/>
    </row>
    <row r="1064" spans="1:124" ht="12" customHeight="1" x14ac:dyDescent="0.25">
      <c r="A1064" s="2575" t="s">
        <v>2589</v>
      </c>
      <c r="B1064" s="281"/>
      <c r="C1064" s="340"/>
      <c r="D1064" s="340"/>
      <c r="E1064" s="340"/>
      <c r="F1064" s="340"/>
      <c r="G1064" s="310"/>
      <c r="H1064" s="340"/>
      <c r="I1064" s="340"/>
      <c r="J1064" s="340"/>
      <c r="K1064" s="340"/>
      <c r="L1064" s="310"/>
      <c r="M1064" s="340"/>
      <c r="N1064" s="340"/>
      <c r="O1064" s="340"/>
      <c r="P1064" s="340"/>
      <c r="Q1064" s="310"/>
      <c r="R1064" s="340"/>
      <c r="S1064" s="340"/>
      <c r="T1064" s="340"/>
      <c r="U1064" s="340"/>
      <c r="V1064" s="310"/>
      <c r="W1064" s="340"/>
      <c r="X1064" s="340"/>
      <c r="Y1064" s="340"/>
      <c r="Z1064" s="340"/>
      <c r="AA1064" s="345"/>
      <c r="AB1064" s="339"/>
      <c r="AC1064" s="339"/>
      <c r="AD1064" s="339"/>
      <c r="AE1064" s="339"/>
      <c r="AF1064" s="348"/>
      <c r="AG1064" s="331"/>
      <c r="AH1064" s="331"/>
      <c r="AI1064" s="331"/>
      <c r="AJ1064" s="331"/>
      <c r="AK1064" s="348"/>
      <c r="AL1064" s="2655"/>
      <c r="AM1064" s="2655"/>
      <c r="AN1064" s="2655"/>
      <c r="AO1064" s="2655"/>
      <c r="AP1064" s="568"/>
      <c r="AQ1064" s="2655"/>
      <c r="AR1064" s="2655"/>
      <c r="AS1064" s="2655"/>
      <c r="AT1064" s="2655"/>
      <c r="AU1064" s="1692"/>
      <c r="AV1064" s="2651"/>
      <c r="AW1064" s="2655"/>
      <c r="AX1064" s="2655"/>
      <c r="AY1064" s="2655"/>
      <c r="AZ1064" s="1692"/>
      <c r="BA1064" s="2651"/>
      <c r="BB1064" s="2655"/>
      <c r="BC1064" s="2655"/>
      <c r="BD1064" s="2655"/>
      <c r="BE1064" s="3462">
        <f>+BE1066-BE1046</f>
        <v>327.74786410000024</v>
      </c>
      <c r="BF1064" s="3462">
        <f>+BF1066-BF1046</f>
        <v>88.233425680000039</v>
      </c>
      <c r="BG1064" s="3462">
        <f>+BG1066-BG1046</f>
        <v>86.14758211000003</v>
      </c>
      <c r="BH1064" s="3462">
        <f>+BH1066-BH1046</f>
        <v>89.807316829999991</v>
      </c>
      <c r="BI1064" s="3462">
        <f>+BI1066-BI1046</f>
        <v>81.28816009999997</v>
      </c>
      <c r="BJ1064" s="3463">
        <f>SUM(BF1064:BI1064)</f>
        <v>345.47648472000003</v>
      </c>
      <c r="BK1064" s="3462">
        <f>+BK1066-BK1046</f>
        <v>91.434853569999859</v>
      </c>
      <c r="BL1064" s="3462">
        <f>+BL1066-BL1046</f>
        <v>88.551769099999945</v>
      </c>
      <c r="BM1064" s="3462">
        <f>+BM1066-BM1046</f>
        <v>91.541680518260819</v>
      </c>
      <c r="BN1064" s="3462">
        <f>+BN1066-BN1046</f>
        <v>92.246121450000032</v>
      </c>
      <c r="BO1064" s="3463">
        <f>SUM(BK1064:BN1064)</f>
        <v>363.77442463826065</v>
      </c>
      <c r="BP1064" s="3462">
        <f>+BP1066-BP1046</f>
        <v>89.489828669999952</v>
      </c>
      <c r="BQ1064" s="3462">
        <f>+BQ1066-BQ1046</f>
        <v>99.552041239999994</v>
      </c>
      <c r="BR1064" s="3462">
        <f>+BR1066-BR1046</f>
        <v>102.88204057000007</v>
      </c>
      <c r="BS1064" s="3462">
        <f>+BN1064*1.01</f>
        <v>93.168582664500036</v>
      </c>
      <c r="BT1064" s="3463">
        <f>SUM(BP1064:BS1064)</f>
        <v>385.09249314450005</v>
      </c>
      <c r="BU1064" s="3462">
        <f>+BP1064*1.02</f>
        <v>91.279625243399948</v>
      </c>
      <c r="BV1064" s="3462">
        <f>+BQ1064*1.02</f>
        <v>101.54308206479999</v>
      </c>
      <c r="BW1064" s="3462">
        <f>+BR1064*1.02</f>
        <v>104.93968138140008</v>
      </c>
      <c r="BX1064" s="3462">
        <f>+BS1064*1.02</f>
        <v>95.031954317790039</v>
      </c>
      <c r="BY1064" s="3463">
        <f>SUM(BU1064:BX1064)</f>
        <v>392.79434300739007</v>
      </c>
      <c r="BZ1064" s="3463">
        <f>+BY1064*1.01</f>
        <v>396.72228643746399</v>
      </c>
      <c r="CA1064" s="3463">
        <f>+BZ1064*1.01</f>
        <v>400.68950930183865</v>
      </c>
      <c r="CB1064" s="2857"/>
      <c r="CC1064" s="2857"/>
      <c r="CD1064" s="2857"/>
      <c r="CE1064" s="2857"/>
      <c r="CF1064" s="2857"/>
      <c r="CG1064" s="331"/>
      <c r="CH1064" s="331"/>
      <c r="CI1064" s="331"/>
      <c r="CJ1064" s="331"/>
      <c r="CK1064" s="331"/>
      <c r="CL1064" s="520"/>
      <c r="CM1064" s="330"/>
      <c r="CN1064" s="330"/>
      <c r="CO1064" s="330"/>
      <c r="CP1064" s="330"/>
      <c r="CQ1064" s="330"/>
      <c r="CR1064" s="330"/>
      <c r="CS1064" s="330"/>
      <c r="CT1064" s="330"/>
      <c r="CU1064" s="330"/>
      <c r="CV1064" s="330"/>
      <c r="CW1064" s="330"/>
      <c r="CX1064" s="330"/>
      <c r="CY1064" s="330"/>
      <c r="CZ1064" s="330"/>
      <c r="DA1064" s="330"/>
      <c r="DB1064" s="330"/>
      <c r="DC1064" s="1888"/>
      <c r="DD1064" s="331"/>
      <c r="DE1064" s="331"/>
      <c r="DF1064" s="502"/>
      <c r="DG1064" s="503"/>
      <c r="DH1064" s="3297"/>
      <c r="DI1064" s="3213"/>
      <c r="DJ1064" s="502"/>
      <c r="DK1064" s="503"/>
      <c r="DL1064" s="502"/>
      <c r="DM1064" s="502"/>
      <c r="DN1064" s="502"/>
      <c r="DO1064" s="502"/>
      <c r="DP1064" s="503"/>
      <c r="DQ1064" s="503"/>
      <c r="DR1064" s="296"/>
      <c r="DS1064" s="296"/>
      <c r="DT1064" s="296"/>
    </row>
    <row r="1065" spans="1:124" ht="3.95" customHeight="1" x14ac:dyDescent="0.25">
      <c r="A1065" s="2575"/>
      <c r="B1065" s="281"/>
      <c r="C1065" s="340"/>
      <c r="D1065" s="340"/>
      <c r="E1065" s="340"/>
      <c r="F1065" s="340"/>
      <c r="G1065" s="310"/>
      <c r="H1065" s="340"/>
      <c r="I1065" s="340"/>
      <c r="J1065" s="340"/>
      <c r="K1065" s="340"/>
      <c r="L1065" s="310"/>
      <c r="M1065" s="340"/>
      <c r="N1065" s="340"/>
      <c r="O1065" s="340"/>
      <c r="P1065" s="340"/>
      <c r="Q1065" s="310"/>
      <c r="R1065" s="340"/>
      <c r="S1065" s="340"/>
      <c r="T1065" s="340"/>
      <c r="U1065" s="340"/>
      <c r="V1065" s="310"/>
      <c r="W1065" s="340"/>
      <c r="X1065" s="340"/>
      <c r="Y1065" s="340"/>
      <c r="Z1065" s="340"/>
      <c r="AA1065" s="345"/>
      <c r="AB1065" s="339"/>
      <c r="AC1065" s="339"/>
      <c r="AD1065" s="339"/>
      <c r="AE1065" s="339"/>
      <c r="AF1065" s="348"/>
      <c r="AG1065" s="331"/>
      <c r="AH1065" s="331"/>
      <c r="AI1065" s="331"/>
      <c r="AJ1065" s="331"/>
      <c r="AK1065" s="348"/>
      <c r="AL1065" s="2655"/>
      <c r="AM1065" s="2655"/>
      <c r="AN1065" s="2655"/>
      <c r="AO1065" s="2655"/>
      <c r="AP1065" s="568"/>
      <c r="AQ1065" s="2655"/>
      <c r="AR1065" s="2655"/>
      <c r="AS1065" s="2655"/>
      <c r="AT1065" s="2655"/>
      <c r="AU1065" s="1692"/>
      <c r="AV1065" s="2651"/>
      <c r="AW1065" s="2655"/>
      <c r="AX1065" s="2655"/>
      <c r="AY1065" s="2655"/>
      <c r="AZ1065" s="1692"/>
      <c r="BA1065" s="2651"/>
      <c r="BB1065" s="2655"/>
      <c r="BC1065" s="2655"/>
      <c r="BD1065" s="2655"/>
      <c r="BE1065" s="2604" t="s">
        <v>229</v>
      </c>
      <c r="BF1065" s="2577" t="s">
        <v>229</v>
      </c>
      <c r="BG1065" s="2577" t="s">
        <v>229</v>
      </c>
      <c r="BH1065" s="2577" t="s">
        <v>229</v>
      </c>
      <c r="BI1065" s="2577" t="s">
        <v>229</v>
      </c>
      <c r="BJ1065" s="2604" t="s">
        <v>229</v>
      </c>
      <c r="BK1065" s="2577" t="s">
        <v>229</v>
      </c>
      <c r="BL1065" s="2577" t="s">
        <v>229</v>
      </c>
      <c r="BM1065" s="2577" t="s">
        <v>229</v>
      </c>
      <c r="BN1065" s="2577" t="s">
        <v>229</v>
      </c>
      <c r="BO1065" s="2604" t="s">
        <v>229</v>
      </c>
      <c r="BP1065" s="2577" t="s">
        <v>229</v>
      </c>
      <c r="BQ1065" s="2577" t="s">
        <v>229</v>
      </c>
      <c r="BR1065" s="2577" t="s">
        <v>229</v>
      </c>
      <c r="BS1065" s="2577" t="s">
        <v>229</v>
      </c>
      <c r="BT1065" s="2604" t="s">
        <v>229</v>
      </c>
      <c r="BU1065" s="2577" t="s">
        <v>229</v>
      </c>
      <c r="BV1065" s="2577" t="s">
        <v>229</v>
      </c>
      <c r="BW1065" s="2577" t="s">
        <v>229</v>
      </c>
      <c r="BX1065" s="2577" t="s">
        <v>229</v>
      </c>
      <c r="BY1065" s="2604" t="s">
        <v>229</v>
      </c>
      <c r="BZ1065" s="2604" t="s">
        <v>229</v>
      </c>
      <c r="CA1065" s="2604" t="s">
        <v>229</v>
      </c>
      <c r="CB1065" s="2857"/>
      <c r="CC1065" s="2857"/>
      <c r="CD1065" s="2857"/>
      <c r="CE1065" s="2857"/>
      <c r="CF1065" s="2857"/>
      <c r="CG1065" s="331"/>
      <c r="CH1065" s="331"/>
      <c r="CI1065" s="331"/>
      <c r="CJ1065" s="331"/>
      <c r="CK1065" s="331"/>
      <c r="CL1065" s="520"/>
      <c r="CM1065" s="330"/>
      <c r="CN1065" s="330"/>
      <c r="CO1065" s="330"/>
      <c r="CP1065" s="330"/>
      <c r="CQ1065" s="330"/>
      <c r="CR1065" s="330"/>
      <c r="CS1065" s="330"/>
      <c r="CT1065" s="330"/>
      <c r="CU1065" s="330"/>
      <c r="CV1065" s="330"/>
      <c r="CW1065" s="330"/>
      <c r="CX1065" s="330"/>
      <c r="CY1065" s="330"/>
      <c r="CZ1065" s="330"/>
      <c r="DA1065" s="330"/>
      <c r="DB1065" s="330"/>
      <c r="DC1065" s="1888"/>
      <c r="DD1065" s="331"/>
      <c r="DE1065" s="331"/>
      <c r="DF1065" s="502"/>
      <c r="DG1065" s="503"/>
      <c r="DH1065" s="3297"/>
      <c r="DI1065" s="3213"/>
      <c r="DJ1065" s="502"/>
      <c r="DK1065" s="503"/>
      <c r="DL1065" s="502"/>
      <c r="DM1065" s="502"/>
      <c r="DN1065" s="502"/>
      <c r="DO1065" s="502"/>
      <c r="DP1065" s="503"/>
      <c r="DQ1065" s="503"/>
      <c r="DR1065" s="296"/>
      <c r="DS1065" s="296"/>
      <c r="DT1065" s="296"/>
    </row>
    <row r="1066" spans="1:124" ht="12" customHeight="1" x14ac:dyDescent="0.25">
      <c r="A1066" s="2575" t="s">
        <v>898</v>
      </c>
      <c r="B1066" s="281"/>
      <c r="C1066" s="340"/>
      <c r="D1066" s="340"/>
      <c r="E1066" s="340"/>
      <c r="F1066" s="340"/>
      <c r="G1066" s="310"/>
      <c r="H1066" s="340"/>
      <c r="I1066" s="340"/>
      <c r="J1066" s="340"/>
      <c r="K1066" s="340"/>
      <c r="L1066" s="310"/>
      <c r="M1066" s="340"/>
      <c r="N1066" s="340"/>
      <c r="O1066" s="340"/>
      <c r="P1066" s="340"/>
      <c r="Q1066" s="310"/>
      <c r="R1066" s="340"/>
      <c r="S1066" s="340"/>
      <c r="T1066" s="340"/>
      <c r="U1066" s="340"/>
      <c r="V1066" s="310"/>
      <c r="W1066" s="340"/>
      <c r="X1066" s="340"/>
      <c r="Y1066" s="340"/>
      <c r="Z1066" s="340"/>
      <c r="AA1066" s="345"/>
      <c r="AB1066" s="339"/>
      <c r="AC1066" s="339"/>
      <c r="AD1066" s="339"/>
      <c r="AE1066" s="339"/>
      <c r="AF1066" s="348"/>
      <c r="AG1066" s="331"/>
      <c r="AH1066" s="331"/>
      <c r="AI1066" s="331"/>
      <c r="AJ1066" s="331"/>
      <c r="AK1066" s="348"/>
      <c r="AL1066" s="2655"/>
      <c r="AM1066" s="2655"/>
      <c r="AN1066" s="2655"/>
      <c r="AO1066" s="2655"/>
      <c r="AP1066" s="568"/>
      <c r="AQ1066" s="2655"/>
      <c r="AR1066" s="2655"/>
      <c r="AS1066" s="2655"/>
      <c r="AT1066" s="2655"/>
      <c r="AU1066" s="1692"/>
      <c r="AV1066" s="2651"/>
      <c r="AW1066" s="2655"/>
      <c r="AX1066" s="2655"/>
      <c r="AY1066" s="2655"/>
      <c r="AZ1066" s="1692"/>
      <c r="BA1066" s="2651"/>
      <c r="BB1066" s="2655"/>
      <c r="BC1066" s="2655"/>
      <c r="BD1066" s="2655"/>
      <c r="BE1066" s="3466">
        <v>2210.5430000000001</v>
      </c>
      <c r="BF1066" s="3465">
        <v>572.83900000000006</v>
      </c>
      <c r="BG1066" s="3465">
        <v>581.96</v>
      </c>
      <c r="BH1066" s="3465">
        <v>578.63</v>
      </c>
      <c r="BI1066" s="3465">
        <v>558.41899999999998</v>
      </c>
      <c r="BJ1066" s="3023">
        <f>SUM(BF1066:BI1066)</f>
        <v>2291.848</v>
      </c>
      <c r="BK1066" s="3465">
        <v>580.02499999999998</v>
      </c>
      <c r="BL1066" s="3465">
        <v>566.23199999999997</v>
      </c>
      <c r="BM1066" s="3465">
        <v>595.17399999999998</v>
      </c>
      <c r="BN1066" s="3465">
        <v>637.42399999999998</v>
      </c>
      <c r="BO1066" s="3023">
        <f>SUM(BK1066:BN1066)</f>
        <v>2378.855</v>
      </c>
      <c r="BP1066" s="3465">
        <v>639.97400000000005</v>
      </c>
      <c r="BQ1066" s="3465">
        <v>653.64200000000005</v>
      </c>
      <c r="BR1066" s="3465">
        <v>647.40300000000002</v>
      </c>
      <c r="BS1066" s="2671">
        <f>+BS1046+BS1064</f>
        <v>621.37972642450006</v>
      </c>
      <c r="BT1066" s="3023">
        <f>SUM(BP1066:BS1066)</f>
        <v>2562.3987264245002</v>
      </c>
      <c r="BU1066" s="2671">
        <f t="shared" ref="BU1066:CA1066" si="2560">+BU1046+BU1064</f>
        <v>632.40064068340007</v>
      </c>
      <c r="BV1066" s="2671">
        <f t="shared" si="2560"/>
        <v>663.12712638199991</v>
      </c>
      <c r="BW1066" s="2671">
        <f t="shared" si="2560"/>
        <v>492.37527513410004</v>
      </c>
      <c r="BX1066" s="2671">
        <f t="shared" si="2560"/>
        <v>477.75253751954011</v>
      </c>
      <c r="BY1066" s="3023">
        <f t="shared" si="2560"/>
        <v>2265.6555797190399</v>
      </c>
      <c r="BZ1066" s="3023">
        <f t="shared" si="2560"/>
        <v>1964.0483217812737</v>
      </c>
      <c r="CA1066" s="3023">
        <f t="shared" si="2560"/>
        <v>1968.0155446456483</v>
      </c>
      <c r="CB1066" s="2857"/>
      <c r="CC1066" s="2857"/>
      <c r="CD1066" s="2857"/>
      <c r="CE1066" s="2857"/>
      <c r="CF1066" s="2857"/>
      <c r="CG1066" s="331"/>
      <c r="CH1066" s="331"/>
      <c r="CI1066" s="331"/>
      <c r="CJ1066" s="331"/>
      <c r="CK1066" s="331"/>
      <c r="CL1066" s="520"/>
      <c r="CM1066" s="330"/>
      <c r="CN1066" s="330"/>
      <c r="CO1066" s="330"/>
      <c r="CP1066" s="330"/>
      <c r="CQ1066" s="330"/>
      <c r="CR1066" s="330"/>
      <c r="CS1066" s="330"/>
      <c r="CT1066" s="330"/>
      <c r="CU1066" s="330"/>
      <c r="CV1066" s="330"/>
      <c r="CW1066" s="330"/>
      <c r="CX1066" s="330"/>
      <c r="CY1066" s="330"/>
      <c r="CZ1066" s="330"/>
      <c r="DA1066" s="330"/>
      <c r="DB1066" s="330"/>
      <c r="DC1066" s="1888"/>
      <c r="DD1066" s="331"/>
      <c r="DE1066" s="331"/>
      <c r="DF1066" s="502"/>
      <c r="DG1066" s="503"/>
      <c r="DH1066" s="3297"/>
      <c r="DI1066" s="3213"/>
      <c r="DJ1066" s="502"/>
      <c r="DK1066" s="503"/>
      <c r="DL1066" s="502"/>
      <c r="DM1066" s="502"/>
      <c r="DN1066" s="502"/>
      <c r="DO1066" s="502"/>
      <c r="DP1066" s="503"/>
      <c r="DQ1066" s="503"/>
      <c r="DR1066" s="296"/>
      <c r="DS1066" s="296"/>
      <c r="DT1066" s="296"/>
    </row>
    <row r="1067" spans="1:124" ht="12" customHeight="1" x14ac:dyDescent="0.25">
      <c r="A1067" s="991" t="s">
        <v>236</v>
      </c>
      <c r="B1067" s="281"/>
      <c r="C1067" s="340"/>
      <c r="D1067" s="340"/>
      <c r="E1067" s="340"/>
      <c r="F1067" s="340"/>
      <c r="G1067" s="310"/>
      <c r="H1067" s="340"/>
      <c r="I1067" s="340"/>
      <c r="J1067" s="340"/>
      <c r="K1067" s="340"/>
      <c r="L1067" s="310"/>
      <c r="M1067" s="340"/>
      <c r="N1067" s="340"/>
      <c r="O1067" s="340"/>
      <c r="P1067" s="340"/>
      <c r="Q1067" s="310"/>
      <c r="R1067" s="340"/>
      <c r="S1067" s="340"/>
      <c r="T1067" s="340"/>
      <c r="U1067" s="340"/>
      <c r="V1067" s="310"/>
      <c r="W1067" s="340"/>
      <c r="X1067" s="340"/>
      <c r="Y1067" s="340"/>
      <c r="Z1067" s="340"/>
      <c r="AA1067" s="345"/>
      <c r="AB1067" s="339"/>
      <c r="AC1067" s="339"/>
      <c r="AD1067" s="339"/>
      <c r="AE1067" s="339"/>
      <c r="AF1067" s="348"/>
      <c r="AG1067" s="331"/>
      <c r="AH1067" s="331"/>
      <c r="AI1067" s="331"/>
      <c r="AJ1067" s="331"/>
      <c r="AK1067" s="348"/>
      <c r="AL1067" s="2655"/>
      <c r="AM1067" s="2655"/>
      <c r="AN1067" s="2655"/>
      <c r="AO1067" s="2655"/>
      <c r="AP1067" s="568"/>
      <c r="AQ1067" s="2655"/>
      <c r="AR1067" s="2655"/>
      <c r="AS1067" s="2655"/>
      <c r="AT1067" s="2655"/>
      <c r="AU1067" s="1692"/>
      <c r="AV1067" s="2651"/>
      <c r="AW1067" s="2655"/>
      <c r="AX1067" s="2655"/>
      <c r="AY1067" s="2655"/>
      <c r="AZ1067" s="1692"/>
      <c r="BA1067" s="2651"/>
      <c r="BB1067" s="2655"/>
      <c r="BC1067" s="2655"/>
      <c r="BD1067" s="2655"/>
      <c r="BE1067" s="2757"/>
      <c r="BF1067" s="519"/>
      <c r="BG1067" s="519"/>
      <c r="BH1067" s="519"/>
      <c r="BI1067" s="519"/>
      <c r="BJ1067" s="591">
        <f t="shared" ref="BJ1067:BT1067" si="2561">+BJ1066/BE1066-1</f>
        <v>3.6780555727710329E-2</v>
      </c>
      <c r="BK1067" s="519">
        <f t="shared" si="2561"/>
        <v>1.2544536946681228E-2</v>
      </c>
      <c r="BL1067" s="519">
        <f t="shared" si="2561"/>
        <v>-2.7025912433844335E-2</v>
      </c>
      <c r="BM1067" s="519">
        <f t="shared" si="2561"/>
        <v>2.8591673435528708E-2</v>
      </c>
      <c r="BN1067" s="519">
        <f t="shared" si="2561"/>
        <v>0.14147978489270607</v>
      </c>
      <c r="BO1067" s="591">
        <f t="shared" si="2561"/>
        <v>3.7963686946080211E-2</v>
      </c>
      <c r="BP1067" s="519">
        <f t="shared" si="2561"/>
        <v>0.10335588983233501</v>
      </c>
      <c r="BQ1067" s="519">
        <f t="shared" si="2561"/>
        <v>0.15437135308495464</v>
      </c>
      <c r="BR1067" s="519">
        <f t="shared" si="2561"/>
        <v>8.7754169368957635E-2</v>
      </c>
      <c r="BS1067" s="519">
        <f t="shared" si="2561"/>
        <v>-2.5170488678650238E-2</v>
      </c>
      <c r="BT1067" s="591">
        <f t="shared" si="2561"/>
        <v>7.715633211124695E-2</v>
      </c>
      <c r="BU1067" s="519">
        <f>+BU1066/BP1066-1</f>
        <v>-1.1833854682533951E-2</v>
      </c>
      <c r="BV1067" s="519">
        <f>+BV1066/BQ1066-1</f>
        <v>1.4511194785524539E-2</v>
      </c>
      <c r="BW1067" s="519">
        <f>+BW1066/BR1066-1</f>
        <v>-0.23946093061956764</v>
      </c>
      <c r="BX1067" s="519">
        <f>+BX1066/BS1066-1</f>
        <v>-0.23114238008924026</v>
      </c>
      <c r="BY1067" s="591">
        <f>+BY1066/BT1066-1</f>
        <v>-0.11580678043792481</v>
      </c>
      <c r="BZ1067" s="591">
        <f>+BZ1066/BY1066-1</f>
        <v>-0.13312140672995321</v>
      </c>
      <c r="CA1067" s="591">
        <f>+CA1066/BZ1066-1</f>
        <v>2.0199212108877873E-3</v>
      </c>
      <c r="CB1067" s="2857"/>
      <c r="CC1067" s="2857"/>
      <c r="CD1067" s="2857"/>
      <c r="CE1067" s="2857"/>
      <c r="CF1067" s="2857"/>
      <c r="CG1067" s="331"/>
      <c r="CH1067" s="331"/>
      <c r="CI1067" s="331"/>
      <c r="CJ1067" s="331"/>
      <c r="CK1067" s="331"/>
      <c r="CL1067" s="520"/>
      <c r="CM1067" s="330"/>
      <c r="CN1067" s="330"/>
      <c r="CO1067" s="330"/>
      <c r="CP1067" s="330"/>
      <c r="CQ1067" s="330"/>
      <c r="CR1067" s="330"/>
      <c r="CS1067" s="330"/>
      <c r="CT1067" s="330"/>
      <c r="CU1067" s="330"/>
      <c r="CV1067" s="330"/>
      <c r="CW1067" s="330"/>
      <c r="CX1067" s="330"/>
      <c r="CY1067" s="330"/>
      <c r="CZ1067" s="330"/>
      <c r="DA1067" s="330"/>
      <c r="DB1067" s="330"/>
      <c r="DC1067" s="1888"/>
      <c r="DD1067" s="331"/>
      <c r="DE1067" s="331"/>
      <c r="DF1067" s="502"/>
      <c r="DG1067" s="503"/>
      <c r="DH1067" s="3297"/>
      <c r="DI1067" s="3213"/>
      <c r="DJ1067" s="502"/>
      <c r="DK1067" s="503"/>
      <c r="DL1067" s="502"/>
      <c r="DM1067" s="502"/>
      <c r="DN1067" s="502"/>
      <c r="DO1067" s="502"/>
      <c r="DP1067" s="503"/>
      <c r="DQ1067" s="503"/>
      <c r="DR1067" s="296"/>
      <c r="DS1067" s="296"/>
      <c r="DT1067" s="296"/>
    </row>
    <row r="1068" spans="1:124" ht="12" customHeight="1" x14ac:dyDescent="0.25">
      <c r="A1068" s="281"/>
      <c r="B1068" s="281"/>
      <c r="C1068" s="340"/>
      <c r="D1068" s="340"/>
      <c r="E1068" s="340"/>
      <c r="F1068" s="340"/>
      <c r="G1068" s="310"/>
      <c r="H1068" s="340"/>
      <c r="I1068" s="340"/>
      <c r="J1068" s="340"/>
      <c r="K1068" s="340"/>
      <c r="L1068" s="310"/>
      <c r="M1068" s="340"/>
      <c r="N1068" s="340"/>
      <c r="O1068" s="340"/>
      <c r="P1068" s="340"/>
      <c r="Q1068" s="310"/>
      <c r="R1068" s="340"/>
      <c r="S1068" s="340"/>
      <c r="T1068" s="340"/>
      <c r="U1068" s="340"/>
      <c r="V1068" s="310"/>
      <c r="W1068" s="340"/>
      <c r="X1068" s="340"/>
      <c r="Y1068" s="340"/>
      <c r="Z1068" s="340"/>
      <c r="AA1068" s="345"/>
      <c r="AB1068" s="339"/>
      <c r="AC1068" s="339"/>
      <c r="AD1068" s="339"/>
      <c r="AE1068" s="339"/>
      <c r="AF1068" s="348"/>
      <c r="AG1068" s="331"/>
      <c r="AH1068" s="331"/>
      <c r="AI1068" s="331"/>
      <c r="AJ1068" s="331"/>
      <c r="AK1068" s="348"/>
      <c r="AL1068" s="2655"/>
      <c r="AM1068" s="2655"/>
      <c r="AN1068" s="2655"/>
      <c r="AO1068" s="2655"/>
      <c r="AP1068" s="568"/>
      <c r="AQ1068" s="2655"/>
      <c r="AR1068" s="2655"/>
      <c r="AS1068" s="2655"/>
      <c r="AT1068" s="2655"/>
      <c r="AU1068" s="1692"/>
      <c r="AV1068" s="2651"/>
      <c r="AW1068" s="2655"/>
      <c r="AX1068" s="2655"/>
      <c r="AY1068" s="2655"/>
      <c r="AZ1068" s="1692"/>
      <c r="BA1068" s="2651"/>
      <c r="BB1068" s="2655"/>
      <c r="BC1068" s="2655"/>
      <c r="BD1068" s="2655"/>
      <c r="BE1068" s="1692"/>
      <c r="BF1068" s="555"/>
      <c r="BG1068" s="555"/>
      <c r="BH1068" s="555"/>
      <c r="BI1068" s="555"/>
      <c r="BJ1068" s="1692"/>
      <c r="BK1068" s="555"/>
      <c r="BL1068" s="555"/>
      <c r="BM1068" s="555"/>
      <c r="BN1068" s="555"/>
      <c r="BO1068" s="1692"/>
      <c r="BP1068" s="555"/>
      <c r="BQ1068" s="555"/>
      <c r="BR1068" s="3444"/>
      <c r="BS1068" s="3444"/>
      <c r="BT1068" s="3234"/>
      <c r="BU1068" s="3444"/>
      <c r="BV1068" s="3444"/>
      <c r="BW1068" s="3444"/>
      <c r="BX1068" s="3444"/>
      <c r="BY1068" s="3234"/>
      <c r="BZ1068" s="3468"/>
      <c r="CA1068" s="3468"/>
      <c r="CB1068" s="2857"/>
      <c r="CC1068" s="2857"/>
      <c r="CD1068" s="2857"/>
      <c r="CE1068" s="2857"/>
      <c r="CF1068" s="2857"/>
      <c r="CG1068" s="331"/>
      <c r="CH1068" s="331"/>
      <c r="CI1068" s="331"/>
      <c r="CJ1068" s="331"/>
      <c r="CK1068" s="331"/>
      <c r="CL1068" s="520"/>
      <c r="CM1068" s="330"/>
      <c r="CN1068" s="330"/>
      <c r="CO1068" s="330"/>
      <c r="CP1068" s="330"/>
      <c r="CQ1068" s="330"/>
      <c r="CR1068" s="330"/>
      <c r="CS1068" s="330"/>
      <c r="CT1068" s="330"/>
      <c r="CU1068" s="330"/>
      <c r="CV1068" s="330"/>
      <c r="CW1068" s="330"/>
      <c r="CX1068" s="330"/>
      <c r="CY1068" s="330"/>
      <c r="CZ1068" s="330"/>
      <c r="DA1068" s="330"/>
      <c r="DB1068" s="330"/>
      <c r="DC1068" s="1888"/>
      <c r="DD1068" s="331"/>
      <c r="DE1068" s="331"/>
      <c r="DF1068" s="502"/>
      <c r="DG1068" s="503"/>
      <c r="DH1068" s="3297"/>
      <c r="DI1068" s="3213"/>
      <c r="DJ1068" s="502"/>
      <c r="DK1068" s="503"/>
      <c r="DL1068" s="502"/>
      <c r="DM1068" s="502"/>
      <c r="DN1068" s="502"/>
      <c r="DO1068" s="502"/>
      <c r="DP1068" s="503"/>
      <c r="DQ1068" s="503"/>
      <c r="DR1068" s="296"/>
      <c r="DS1068" s="296"/>
      <c r="DT1068" s="296"/>
    </row>
    <row r="1069" spans="1:124" ht="12" customHeight="1" x14ac:dyDescent="0.25">
      <c r="A1069" s="2575" t="s">
        <v>2642</v>
      </c>
      <c r="B1069" s="281"/>
      <c r="C1069" s="340"/>
      <c r="D1069" s="340"/>
      <c r="E1069" s="340"/>
      <c r="F1069" s="340"/>
      <c r="G1069" s="310"/>
      <c r="H1069" s="340"/>
      <c r="I1069" s="340"/>
      <c r="J1069" s="340"/>
      <c r="K1069" s="340"/>
      <c r="L1069" s="310"/>
      <c r="M1069" s="340"/>
      <c r="N1069" s="340"/>
      <c r="O1069" s="340"/>
      <c r="P1069" s="340"/>
      <c r="Q1069" s="310"/>
      <c r="R1069" s="340"/>
      <c r="S1069" s="340"/>
      <c r="T1069" s="340"/>
      <c r="U1069" s="340"/>
      <c r="V1069" s="310"/>
      <c r="W1069" s="340"/>
      <c r="X1069" s="340"/>
      <c r="Y1069" s="340"/>
      <c r="Z1069" s="340"/>
      <c r="AA1069" s="345"/>
      <c r="AB1069" s="339"/>
      <c r="AC1069" s="339"/>
      <c r="AD1069" s="339"/>
      <c r="AE1069" s="339"/>
      <c r="AF1069" s="348"/>
      <c r="AG1069" s="331"/>
      <c r="AH1069" s="331"/>
      <c r="AI1069" s="331"/>
      <c r="AJ1069" s="331"/>
      <c r="AK1069" s="348"/>
      <c r="AL1069" s="2655"/>
      <c r="AM1069" s="2655"/>
      <c r="AN1069" s="2655"/>
      <c r="AO1069" s="2655"/>
      <c r="AP1069" s="568"/>
      <c r="AQ1069" s="2655"/>
      <c r="AR1069" s="2655"/>
      <c r="AS1069" s="2655"/>
      <c r="AT1069" s="2655"/>
      <c r="AU1069" s="1692"/>
      <c r="AV1069" s="2651"/>
      <c r="AW1069" s="2655"/>
      <c r="AX1069" s="2655"/>
      <c r="AY1069" s="2655"/>
      <c r="AZ1069" s="1692"/>
      <c r="BA1069" s="2651"/>
      <c r="BB1069" s="2655"/>
      <c r="BC1069" s="2655"/>
      <c r="BD1069" s="2655"/>
      <c r="BE1069" s="3462">
        <f>+BE1066-BE1072</f>
        <v>1539.5430000000001</v>
      </c>
      <c r="BF1069" s="3462">
        <f>+BF1066-BF1072</f>
        <v>383.87900000000002</v>
      </c>
      <c r="BG1069" s="3462">
        <f>+BG1066-BG1072</f>
        <v>406.89000000000004</v>
      </c>
      <c r="BH1069" s="3462">
        <f>+BH1066-BH1072</f>
        <v>406.81</v>
      </c>
      <c r="BI1069" s="3462">
        <f>+BI1066-BI1072</f>
        <v>397.279</v>
      </c>
      <c r="BJ1069" s="3231">
        <f>SUM(BF1069:BI1069)</f>
        <v>1594.8579999999999</v>
      </c>
      <c r="BK1069" s="3462">
        <f>+BK1066-BK1072</f>
        <v>387.04499999999996</v>
      </c>
      <c r="BL1069" s="3462">
        <f>+BL1066-BL1072</f>
        <v>388.08199999999999</v>
      </c>
      <c r="BM1069" s="3462">
        <f>+BM1066-BM1072</f>
        <v>420.06399999999996</v>
      </c>
      <c r="BN1069" s="3462">
        <f>+BN1066-BN1072</f>
        <v>446.78399999999999</v>
      </c>
      <c r="BO1069" s="3231">
        <f>SUM(BK1069:BN1069)</f>
        <v>1641.9749999999999</v>
      </c>
      <c r="BP1069" s="3462">
        <f>+BP1066-BP1072</f>
        <v>444.85400000000004</v>
      </c>
      <c r="BQ1069" s="3462">
        <f>+BQ1066-BQ1072</f>
        <v>453.12200000000007</v>
      </c>
      <c r="BR1069" s="3462">
        <f>+BR1066-BR1072</f>
        <v>448.31299999999999</v>
      </c>
      <c r="BS1069" s="3462">
        <f>+BN1069*(1+BS1070)</f>
        <v>433.38047999999998</v>
      </c>
      <c r="BT1069" s="3231">
        <f>SUM(BP1069:BS1069)</f>
        <v>1779.6694800000002</v>
      </c>
      <c r="BU1069" s="3462">
        <f>+BP1069*(1+BU1070)</f>
        <v>440.40546000000006</v>
      </c>
      <c r="BV1069" s="3462">
        <f>+BQ1069*(1+BV1070)</f>
        <v>457.65322000000009</v>
      </c>
      <c r="BW1069" s="3462">
        <f>+BR1069*(1+BW1070)</f>
        <v>337.59720431114971</v>
      </c>
      <c r="BX1069" s="3462">
        <f>+BS1069*(1+BX1070)</f>
        <v>329.95753076858256</v>
      </c>
      <c r="BY1069" s="3231">
        <f>SUM(BU1069:BX1069)</f>
        <v>1565.6134150797322</v>
      </c>
      <c r="BZ1069" s="3463">
        <f>+BY1069*(1+BZ1070)</f>
        <v>1321.9704530297383</v>
      </c>
      <c r="CA1069" s="3463">
        <f>+BZ1069*(1+CA1070)</f>
        <v>1328.5803052948868</v>
      </c>
      <c r="CB1069" s="2857"/>
      <c r="CC1069" s="2857"/>
      <c r="CD1069" s="2857"/>
      <c r="CE1069" s="2857"/>
      <c r="CF1069" s="2857"/>
      <c r="CG1069" s="331"/>
      <c r="CH1069" s="331"/>
      <c r="CI1069" s="331"/>
      <c r="CJ1069" s="331"/>
      <c r="CK1069" s="331"/>
      <c r="CL1069" s="520"/>
      <c r="CM1069" s="330"/>
      <c r="CN1069" s="330"/>
      <c r="CO1069" s="330"/>
      <c r="CP1069" s="330"/>
      <c r="CQ1069" s="330"/>
      <c r="CR1069" s="330"/>
      <c r="CS1069" s="330"/>
      <c r="CT1069" s="330"/>
      <c r="CU1069" s="330"/>
      <c r="CV1069" s="330"/>
      <c r="CW1069" s="330"/>
      <c r="CX1069" s="330"/>
      <c r="CY1069" s="330"/>
      <c r="CZ1069" s="330"/>
      <c r="DA1069" s="330"/>
      <c r="DB1069" s="330"/>
      <c r="DC1069" s="1888"/>
      <c r="DD1069" s="331"/>
      <c r="DE1069" s="331"/>
      <c r="DF1069" s="502"/>
      <c r="DG1069" s="503"/>
      <c r="DH1069" s="3297"/>
      <c r="DI1069" s="3213"/>
      <c r="DJ1069" s="502"/>
      <c r="DK1069" s="503"/>
      <c r="DL1069" s="502"/>
      <c r="DM1069" s="502"/>
      <c r="DN1069" s="502"/>
      <c r="DO1069" s="502"/>
      <c r="DP1069" s="503"/>
      <c r="DQ1069" s="503"/>
      <c r="DR1069" s="296"/>
      <c r="DS1069" s="296"/>
      <c r="DT1069" s="296"/>
    </row>
    <row r="1070" spans="1:124" ht="12" customHeight="1" x14ac:dyDescent="0.25">
      <c r="A1070" s="991" t="s">
        <v>236</v>
      </c>
      <c r="B1070" s="281"/>
      <c r="C1070" s="340"/>
      <c r="D1070" s="340"/>
      <c r="E1070" s="340"/>
      <c r="F1070" s="340"/>
      <c r="G1070" s="310"/>
      <c r="H1070" s="340"/>
      <c r="I1070" s="340"/>
      <c r="J1070" s="340"/>
      <c r="K1070" s="340"/>
      <c r="L1070" s="310"/>
      <c r="M1070" s="340"/>
      <c r="N1070" s="340"/>
      <c r="O1070" s="340"/>
      <c r="P1070" s="340"/>
      <c r="Q1070" s="310"/>
      <c r="R1070" s="340"/>
      <c r="S1070" s="340"/>
      <c r="T1070" s="340"/>
      <c r="U1070" s="340"/>
      <c r="V1070" s="310"/>
      <c r="W1070" s="340"/>
      <c r="X1070" s="340"/>
      <c r="Y1070" s="340"/>
      <c r="Z1070" s="340"/>
      <c r="AA1070" s="345"/>
      <c r="AB1070" s="339"/>
      <c r="AC1070" s="339"/>
      <c r="AD1070" s="339"/>
      <c r="AE1070" s="339"/>
      <c r="AF1070" s="348"/>
      <c r="AG1070" s="331"/>
      <c r="AH1070" s="331"/>
      <c r="AI1070" s="331"/>
      <c r="AJ1070" s="331"/>
      <c r="AK1070" s="348"/>
      <c r="AL1070" s="2655"/>
      <c r="AM1070" s="2655"/>
      <c r="AN1070" s="2655"/>
      <c r="AO1070" s="2655"/>
      <c r="AP1070" s="568"/>
      <c r="AQ1070" s="2655"/>
      <c r="AR1070" s="2655"/>
      <c r="AS1070" s="2655"/>
      <c r="AT1070" s="2655"/>
      <c r="AU1070" s="1692"/>
      <c r="AV1070" s="2651"/>
      <c r="AW1070" s="2655"/>
      <c r="AX1070" s="2655"/>
      <c r="AY1070" s="2655"/>
      <c r="AZ1070" s="1692"/>
      <c r="BA1070" s="2651"/>
      <c r="BB1070" s="2655"/>
      <c r="BC1070" s="2655"/>
      <c r="BD1070" s="2655"/>
      <c r="BE1070" s="2757"/>
      <c r="BF1070" s="519"/>
      <c r="BG1070" s="519"/>
      <c r="BH1070" s="519"/>
      <c r="BI1070" s="519"/>
      <c r="BJ1070" s="591">
        <f t="shared" ref="BJ1070:BT1070" si="2562">+BJ1069/BE1069-1</f>
        <v>3.5929493362640619E-2</v>
      </c>
      <c r="BK1070" s="519">
        <f t="shared" si="2562"/>
        <v>8.2473904537625486E-3</v>
      </c>
      <c r="BL1070" s="519">
        <f t="shared" si="2562"/>
        <v>-4.6223795128904732E-2</v>
      </c>
      <c r="BM1070" s="519">
        <f t="shared" si="2562"/>
        <v>3.258032005112943E-2</v>
      </c>
      <c r="BN1070" s="519">
        <f t="shared" si="2562"/>
        <v>0.12461016061760133</v>
      </c>
      <c r="BO1070" s="591">
        <f t="shared" si="2562"/>
        <v>2.9543069038121317E-2</v>
      </c>
      <c r="BP1070" s="519">
        <f t="shared" si="2562"/>
        <v>0.14935989355242962</v>
      </c>
      <c r="BQ1070" s="519">
        <f t="shared" si="2562"/>
        <v>0.16759344674579113</v>
      </c>
      <c r="BR1070" s="519">
        <f t="shared" si="2562"/>
        <v>6.7249276300754168E-2</v>
      </c>
      <c r="BS1070" s="3464">
        <v>-0.03</v>
      </c>
      <c r="BT1070" s="591">
        <f t="shared" si="2562"/>
        <v>8.3859059973507621E-2</v>
      </c>
      <c r="BU1070" s="3464">
        <v>-0.01</v>
      </c>
      <c r="BV1070" s="3464">
        <v>0.01</v>
      </c>
      <c r="BW1070" s="3464">
        <f>+BW1067-0.0075</f>
        <v>-0.24696093061956764</v>
      </c>
      <c r="BX1070" s="3464">
        <f>+BX1067-0.0075</f>
        <v>-0.23864238008924027</v>
      </c>
      <c r="BY1070" s="591">
        <f>+BY1069/BT1069-1</f>
        <v>-0.12027855021723921</v>
      </c>
      <c r="BZ1070" s="3470">
        <f>+BZ1067-0.0225</f>
        <v>-0.1556214067299532</v>
      </c>
      <c r="CA1070" s="3470">
        <v>5.0000000000000001E-3</v>
      </c>
      <c r="CB1070" s="2857"/>
      <c r="CC1070" s="2857"/>
      <c r="CD1070" s="2857"/>
      <c r="CE1070" s="2857"/>
      <c r="CF1070" s="2857"/>
      <c r="CG1070" s="331"/>
      <c r="CH1070" s="331"/>
      <c r="CI1070" s="331"/>
      <c r="CJ1070" s="331"/>
      <c r="CK1070" s="331"/>
      <c r="CL1070" s="520"/>
      <c r="CM1070" s="330"/>
      <c r="CN1070" s="330"/>
      <c r="CO1070" s="330"/>
      <c r="CP1070" s="330"/>
      <c r="CQ1070" s="330"/>
      <c r="CR1070" s="330"/>
      <c r="CS1070" s="330"/>
      <c r="CT1070" s="330"/>
      <c r="CU1070" s="330"/>
      <c r="CV1070" s="330"/>
      <c r="CW1070" s="330"/>
      <c r="CX1070" s="330"/>
      <c r="CY1070" s="330"/>
      <c r="CZ1070" s="330"/>
      <c r="DA1070" s="330"/>
      <c r="DB1070" s="330"/>
      <c r="DC1070" s="1888"/>
      <c r="DD1070" s="331"/>
      <c r="DE1070" s="331"/>
      <c r="DF1070" s="502"/>
      <c r="DG1070" s="503"/>
      <c r="DH1070" s="3297"/>
      <c r="DI1070" s="3213"/>
      <c r="DJ1070" s="502"/>
      <c r="DK1070" s="503"/>
      <c r="DL1070" s="502"/>
      <c r="DM1070" s="502"/>
      <c r="DN1070" s="502"/>
      <c r="DO1070" s="502"/>
      <c r="DP1070" s="503"/>
      <c r="DQ1070" s="503"/>
      <c r="DR1070" s="296"/>
      <c r="DS1070" s="296"/>
      <c r="DT1070" s="296"/>
    </row>
    <row r="1071" spans="1:124" ht="12" customHeight="1" x14ac:dyDescent="0.25">
      <c r="A1071" s="281"/>
      <c r="B1071" s="281"/>
      <c r="C1071" s="340"/>
      <c r="D1071" s="340"/>
      <c r="E1071" s="340"/>
      <c r="F1071" s="340"/>
      <c r="G1071" s="310"/>
      <c r="H1071" s="340"/>
      <c r="I1071" s="340"/>
      <c r="J1071" s="340"/>
      <c r="K1071" s="340"/>
      <c r="L1071" s="310"/>
      <c r="M1071" s="340"/>
      <c r="N1071" s="340"/>
      <c r="O1071" s="340"/>
      <c r="P1071" s="340"/>
      <c r="Q1071" s="310"/>
      <c r="R1071" s="340"/>
      <c r="S1071" s="340"/>
      <c r="T1071" s="340"/>
      <c r="U1071" s="340"/>
      <c r="V1071" s="310"/>
      <c r="W1071" s="340"/>
      <c r="X1071" s="340"/>
      <c r="Y1071" s="340"/>
      <c r="Z1071" s="340"/>
      <c r="AA1071" s="345"/>
      <c r="AB1071" s="339"/>
      <c r="AC1071" s="339"/>
      <c r="AD1071" s="339"/>
      <c r="AE1071" s="339"/>
      <c r="AF1071" s="348"/>
      <c r="AG1071" s="331"/>
      <c r="AH1071" s="331"/>
      <c r="AI1071" s="331"/>
      <c r="AJ1071" s="331"/>
      <c r="AK1071" s="348"/>
      <c r="AL1071" s="2655"/>
      <c r="AM1071" s="2655"/>
      <c r="AN1071" s="2655"/>
      <c r="AO1071" s="2655"/>
      <c r="AP1071" s="568"/>
      <c r="AQ1071" s="2655"/>
      <c r="AR1071" s="2655"/>
      <c r="AS1071" s="2655"/>
      <c r="AT1071" s="2655"/>
      <c r="AU1071" s="1692"/>
      <c r="AV1071" s="2651"/>
      <c r="AW1071" s="2655"/>
      <c r="AX1071" s="2655"/>
      <c r="AY1071" s="2655"/>
      <c r="AZ1071" s="1692"/>
      <c r="BA1071" s="2651"/>
      <c r="BB1071" s="2655"/>
      <c r="BC1071" s="2655"/>
      <c r="BD1071" s="2655"/>
      <c r="BE1071" s="1692"/>
      <c r="BF1071" s="555"/>
      <c r="BG1071" s="555"/>
      <c r="BH1071" s="555"/>
      <c r="BI1071" s="555"/>
      <c r="BJ1071" s="1692"/>
      <c r="BK1071" s="555"/>
      <c r="BL1071" s="555"/>
      <c r="BM1071" s="555"/>
      <c r="BN1071" s="555"/>
      <c r="BO1071" s="1692"/>
      <c r="BP1071" s="555"/>
      <c r="BQ1071" s="555"/>
      <c r="BR1071" s="3444"/>
      <c r="BS1071" s="3444"/>
      <c r="BT1071" s="3234"/>
      <c r="BU1071" s="3444"/>
      <c r="BV1071" s="3444"/>
      <c r="BW1071" s="3444"/>
      <c r="BX1071" s="3444"/>
      <c r="BY1071" s="3234"/>
      <c r="BZ1071" s="3468"/>
      <c r="CA1071" s="3468"/>
      <c r="CB1071" s="2857"/>
      <c r="CC1071" s="2857"/>
      <c r="CD1071" s="2857"/>
      <c r="CE1071" s="2857"/>
      <c r="CF1071" s="2857"/>
      <c r="CG1071" s="331"/>
      <c r="CH1071" s="331"/>
      <c r="CI1071" s="331"/>
      <c r="CJ1071" s="331"/>
      <c r="CK1071" s="331"/>
      <c r="CL1071" s="520"/>
      <c r="CM1071" s="330"/>
      <c r="CN1071" s="330"/>
      <c r="CO1071" s="330"/>
      <c r="CP1071" s="330"/>
      <c r="CQ1071" s="330"/>
      <c r="CR1071" s="330"/>
      <c r="CS1071" s="330"/>
      <c r="CT1071" s="330"/>
      <c r="CU1071" s="330"/>
      <c r="CV1071" s="330"/>
      <c r="CW1071" s="330"/>
      <c r="CX1071" s="330"/>
      <c r="CY1071" s="330"/>
      <c r="CZ1071" s="330"/>
      <c r="DA1071" s="330"/>
      <c r="DB1071" s="330"/>
      <c r="DC1071" s="1888"/>
      <c r="DD1071" s="331"/>
      <c r="DE1071" s="331"/>
      <c r="DF1071" s="502"/>
      <c r="DG1071" s="503"/>
      <c r="DH1071" s="3297"/>
      <c r="DI1071" s="3213"/>
      <c r="DJ1071" s="502"/>
      <c r="DK1071" s="503"/>
      <c r="DL1071" s="502"/>
      <c r="DM1071" s="502"/>
      <c r="DN1071" s="502"/>
      <c r="DO1071" s="502"/>
      <c r="DP1071" s="503"/>
      <c r="DQ1071" s="503"/>
      <c r="DR1071" s="296"/>
      <c r="DS1071" s="296"/>
      <c r="DT1071" s="296"/>
    </row>
    <row r="1072" spans="1:124" ht="12" customHeight="1" x14ac:dyDescent="0.25">
      <c r="A1072" s="2575" t="s">
        <v>2413</v>
      </c>
      <c r="B1072" s="281"/>
      <c r="C1072" s="340"/>
      <c r="D1072" s="340"/>
      <c r="E1072" s="340"/>
      <c r="F1072" s="340"/>
      <c r="G1072" s="310"/>
      <c r="H1072" s="340"/>
      <c r="I1072" s="340"/>
      <c r="J1072" s="340"/>
      <c r="K1072" s="340"/>
      <c r="L1072" s="310"/>
      <c r="M1072" s="340"/>
      <c r="N1072" s="340"/>
      <c r="O1072" s="340"/>
      <c r="P1072" s="340"/>
      <c r="Q1072" s="310"/>
      <c r="R1072" s="340"/>
      <c r="S1072" s="340"/>
      <c r="T1072" s="340"/>
      <c r="U1072" s="340"/>
      <c r="V1072" s="310"/>
      <c r="W1072" s="340"/>
      <c r="X1072" s="340"/>
      <c r="Y1072" s="340"/>
      <c r="Z1072" s="340"/>
      <c r="AA1072" s="345"/>
      <c r="AB1072" s="339"/>
      <c r="AC1072" s="339"/>
      <c r="AD1072" s="339"/>
      <c r="AE1072" s="339"/>
      <c r="AF1072" s="348"/>
      <c r="AG1072" s="331"/>
      <c r="AH1072" s="331"/>
      <c r="AI1072" s="331"/>
      <c r="AJ1072" s="331"/>
      <c r="AK1072" s="348"/>
      <c r="AL1072" s="2655"/>
      <c r="AM1072" s="2655"/>
      <c r="AN1072" s="2655"/>
      <c r="AO1072" s="2655"/>
      <c r="AP1072" s="568"/>
      <c r="AQ1072" s="2655"/>
      <c r="AR1072" s="2655"/>
      <c r="AS1072" s="2655"/>
      <c r="AT1072" s="2655"/>
      <c r="AU1072" s="1692"/>
      <c r="AV1072" s="2651"/>
      <c r="AW1072" s="2655"/>
      <c r="AX1072" s="2655"/>
      <c r="AY1072" s="2655"/>
      <c r="AZ1072" s="1692"/>
      <c r="BA1072" s="2651"/>
      <c r="BB1072" s="2655"/>
      <c r="BC1072" s="2655"/>
      <c r="BD1072" s="2655"/>
      <c r="BE1072" s="3465">
        <v>671</v>
      </c>
      <c r="BF1072" s="3465">
        <v>188.96</v>
      </c>
      <c r="BG1072" s="3465">
        <v>175.07</v>
      </c>
      <c r="BH1072" s="3465">
        <v>171.82</v>
      </c>
      <c r="BI1072" s="3465">
        <v>161.13999999999999</v>
      </c>
      <c r="BJ1072" s="3466">
        <v>699.99</v>
      </c>
      <c r="BK1072" s="3465">
        <v>192.98</v>
      </c>
      <c r="BL1072" s="3465">
        <v>178.15</v>
      </c>
      <c r="BM1072" s="3465">
        <v>175.11</v>
      </c>
      <c r="BN1072" s="3465">
        <v>190.64</v>
      </c>
      <c r="BO1072" s="3466">
        <v>736.88</v>
      </c>
      <c r="BP1072" s="3465">
        <v>195.12</v>
      </c>
      <c r="BQ1072" s="3465">
        <v>200.52</v>
      </c>
      <c r="BR1072" s="3465">
        <v>199.09</v>
      </c>
      <c r="BS1072" s="2671">
        <f>+BS1066-BS1069</f>
        <v>187.99924642450009</v>
      </c>
      <c r="BT1072" s="3023">
        <f>SUM(BP1072:BS1072)</f>
        <v>782.72924642450016</v>
      </c>
      <c r="BU1072" s="2671">
        <f>+BU1066-BU1069</f>
        <v>191.99518068340001</v>
      </c>
      <c r="BV1072" s="2671">
        <f>+BV1066-BV1069</f>
        <v>205.47390638199983</v>
      </c>
      <c r="BW1072" s="2671">
        <f>+BW1066-BW1069</f>
        <v>154.77807082295033</v>
      </c>
      <c r="BX1072" s="2671">
        <f>+BX1066-BX1069</f>
        <v>147.79500675095755</v>
      </c>
      <c r="BY1072" s="3023">
        <f>SUM(BU1072:BX1072)</f>
        <v>700.04216463930766</v>
      </c>
      <c r="BZ1072" s="3023">
        <f>+BZ1066-BZ1069</f>
        <v>642.07786875153533</v>
      </c>
      <c r="CA1072" s="3023">
        <f>+CA1066-CA1069</f>
        <v>639.43523935076155</v>
      </c>
      <c r="CB1072" s="2857"/>
      <c r="CC1072" s="2857"/>
      <c r="CD1072" s="2857"/>
      <c r="CE1072" s="2857"/>
      <c r="CF1072" s="2857"/>
      <c r="CG1072" s="331"/>
      <c r="CH1072" s="331"/>
      <c r="CI1072" s="331"/>
      <c r="CJ1072" s="331"/>
      <c r="CK1072" s="331"/>
      <c r="CL1072" s="520"/>
      <c r="CM1072" s="330"/>
      <c r="CN1072" s="330"/>
      <c r="CO1072" s="330"/>
      <c r="CP1072" s="330"/>
      <c r="CQ1072" s="330"/>
      <c r="CR1072" s="330"/>
      <c r="CS1072" s="330"/>
      <c r="CT1072" s="330"/>
      <c r="CU1072" s="330"/>
      <c r="CV1072" s="330"/>
      <c r="CW1072" s="330"/>
      <c r="CX1072" s="330"/>
      <c r="CY1072" s="330"/>
      <c r="CZ1072" s="330"/>
      <c r="DA1072" s="330"/>
      <c r="DB1072" s="330"/>
      <c r="DC1072" s="1888"/>
      <c r="DD1072" s="331"/>
      <c r="DE1072" s="331"/>
      <c r="DF1072" s="502"/>
      <c r="DG1072" s="503"/>
      <c r="DH1072" s="3297"/>
      <c r="DI1072" s="3213"/>
      <c r="DJ1072" s="502"/>
      <c r="DK1072" s="503"/>
      <c r="DL1072" s="502"/>
      <c r="DM1072" s="502"/>
      <c r="DN1072" s="502"/>
      <c r="DO1072" s="502"/>
      <c r="DP1072" s="503"/>
      <c r="DQ1072" s="503"/>
      <c r="DR1072" s="296"/>
      <c r="DS1072" s="296"/>
      <c r="DT1072" s="296"/>
    </row>
    <row r="1073" spans="1:130" ht="12" customHeight="1" x14ac:dyDescent="0.25">
      <c r="A1073" s="991" t="s">
        <v>236</v>
      </c>
      <c r="B1073" s="281"/>
      <c r="C1073" s="340"/>
      <c r="D1073" s="340"/>
      <c r="E1073" s="340"/>
      <c r="F1073" s="340"/>
      <c r="G1073" s="310"/>
      <c r="H1073" s="340"/>
      <c r="I1073" s="340"/>
      <c r="J1073" s="340"/>
      <c r="K1073" s="340"/>
      <c r="L1073" s="310"/>
      <c r="M1073" s="340"/>
      <c r="N1073" s="340"/>
      <c r="O1073" s="340"/>
      <c r="P1073" s="340"/>
      <c r="Q1073" s="310"/>
      <c r="R1073" s="340"/>
      <c r="S1073" s="340"/>
      <c r="T1073" s="340"/>
      <c r="U1073" s="340"/>
      <c r="V1073" s="310"/>
      <c r="W1073" s="340"/>
      <c r="X1073" s="340"/>
      <c r="Y1073" s="340"/>
      <c r="Z1073" s="340"/>
      <c r="AA1073" s="345"/>
      <c r="AB1073" s="339"/>
      <c r="AC1073" s="339"/>
      <c r="AD1073" s="339"/>
      <c r="AE1073" s="339"/>
      <c r="AF1073" s="348"/>
      <c r="AG1073" s="331"/>
      <c r="AH1073" s="331"/>
      <c r="AI1073" s="331"/>
      <c r="AJ1073" s="331"/>
      <c r="AK1073" s="348"/>
      <c r="AL1073" s="2655"/>
      <c r="AM1073" s="2655"/>
      <c r="AN1073" s="2655"/>
      <c r="AO1073" s="2655"/>
      <c r="AP1073" s="568"/>
      <c r="AQ1073" s="2655"/>
      <c r="AR1073" s="2655"/>
      <c r="AS1073" s="2655"/>
      <c r="AT1073" s="2655"/>
      <c r="AU1073" s="1692"/>
      <c r="AV1073" s="2651"/>
      <c r="AW1073" s="2655"/>
      <c r="AX1073" s="2655"/>
      <c r="AY1073" s="2655"/>
      <c r="AZ1073" s="1692"/>
      <c r="BA1073" s="2651"/>
      <c r="BB1073" s="2655"/>
      <c r="BC1073" s="2655"/>
      <c r="BD1073" s="2655"/>
      <c r="BE1073" s="2757"/>
      <c r="BF1073" s="519"/>
      <c r="BG1073" s="519"/>
      <c r="BH1073" s="519"/>
      <c r="BI1073" s="519"/>
      <c r="BJ1073" s="591">
        <f t="shared" ref="BJ1073:BT1073" si="2563">+BJ1072/BE1072-1</f>
        <v>4.3204172876303959E-2</v>
      </c>
      <c r="BK1073" s="519">
        <f t="shared" si="2563"/>
        <v>2.1274343776460425E-2</v>
      </c>
      <c r="BL1073" s="519">
        <f t="shared" si="2563"/>
        <v>1.7592962814874102E-2</v>
      </c>
      <c r="BM1073" s="519">
        <f t="shared" si="2563"/>
        <v>1.9147945524386145E-2</v>
      </c>
      <c r="BN1073" s="519">
        <f t="shared" si="2563"/>
        <v>0.18307062181953593</v>
      </c>
      <c r="BO1073" s="591">
        <f t="shared" si="2563"/>
        <v>5.2700752867897993E-2</v>
      </c>
      <c r="BP1073" s="519">
        <f t="shared" si="2563"/>
        <v>1.1089232044771524E-2</v>
      </c>
      <c r="BQ1073" s="519">
        <f t="shared" si="2563"/>
        <v>0.12556834128543359</v>
      </c>
      <c r="BR1073" s="519">
        <f t="shared" si="2563"/>
        <v>0.13694249328993191</v>
      </c>
      <c r="BS1073" s="519">
        <f t="shared" si="2563"/>
        <v>-1.3852043513952528E-2</v>
      </c>
      <c r="BT1073" s="591">
        <f t="shared" si="2563"/>
        <v>6.2220777364700108E-2</v>
      </c>
      <c r="BU1073" s="519">
        <f>+BU1072/BP1072-1</f>
        <v>-1.6014859146166405E-2</v>
      </c>
      <c r="BV1073" s="519">
        <f>+BV1072/BQ1072-1</f>
        <v>2.4705298134848563E-2</v>
      </c>
      <c r="BW1073" s="519">
        <f>+BW1072/BR1072-1</f>
        <v>-0.22257235007810372</v>
      </c>
      <c r="BX1073" s="519">
        <f>+BX1072/BS1072-1</f>
        <v>-0.21385319589399754</v>
      </c>
      <c r="BY1073" s="591">
        <f>+BY1072/BT1072-1</f>
        <v>-0.10563944322114749</v>
      </c>
      <c r="BZ1073" s="591">
        <f>+BZ1072/BY1072-1</f>
        <v>-8.2801149438817112E-2</v>
      </c>
      <c r="CA1073" s="591">
        <f>+CA1072/BZ1072-1</f>
        <v>-4.1157459700521537E-3</v>
      </c>
      <c r="CB1073" s="2857"/>
      <c r="CC1073" s="2857"/>
      <c r="CD1073" s="2857"/>
      <c r="CE1073" s="2857"/>
      <c r="CF1073" s="2857"/>
      <c r="CG1073" s="331"/>
      <c r="CH1073" s="331"/>
      <c r="CI1073" s="331"/>
      <c r="CJ1073" s="331"/>
      <c r="CK1073" s="331"/>
      <c r="CL1073" s="520"/>
      <c r="CM1073" s="330"/>
      <c r="CN1073" s="330"/>
      <c r="CO1073" s="330"/>
      <c r="CP1073" s="330"/>
      <c r="CQ1073" s="330"/>
      <c r="CR1073" s="330"/>
      <c r="CS1073" s="330"/>
      <c r="CT1073" s="330"/>
      <c r="CU1073" s="330"/>
      <c r="CV1073" s="330"/>
      <c r="CW1073" s="330"/>
      <c r="CX1073" s="330"/>
      <c r="CY1073" s="330"/>
      <c r="CZ1073" s="330"/>
      <c r="DA1073" s="330"/>
      <c r="DB1073" s="330"/>
      <c r="DC1073" s="1888"/>
      <c r="DD1073" s="331"/>
      <c r="DE1073" s="331"/>
      <c r="DF1073" s="502"/>
      <c r="DG1073" s="503"/>
      <c r="DH1073" s="3297"/>
      <c r="DI1073" s="3213"/>
      <c r="DJ1073" s="502"/>
      <c r="DK1073" s="503"/>
      <c r="DL1073" s="502"/>
      <c r="DM1073" s="502"/>
      <c r="DN1073" s="502"/>
      <c r="DO1073" s="502"/>
      <c r="DP1073" s="503"/>
      <c r="DQ1073" s="503"/>
      <c r="DR1073" s="296"/>
      <c r="DS1073" s="296"/>
      <c r="DT1073" s="296"/>
    </row>
    <row r="1074" spans="1:130" ht="12" customHeight="1" x14ac:dyDescent="0.25">
      <c r="A1074" s="991" t="s">
        <v>1892</v>
      </c>
      <c r="B1074" s="281"/>
      <c r="C1074" s="340"/>
      <c r="D1074" s="340"/>
      <c r="E1074" s="340"/>
      <c r="F1074" s="340"/>
      <c r="G1074" s="310"/>
      <c r="H1074" s="340"/>
      <c r="I1074" s="340"/>
      <c r="J1074" s="340"/>
      <c r="K1074" s="340"/>
      <c r="L1074" s="310"/>
      <c r="M1074" s="340"/>
      <c r="N1074" s="340"/>
      <c r="O1074" s="340"/>
      <c r="P1074" s="340"/>
      <c r="Q1074" s="310"/>
      <c r="R1074" s="340"/>
      <c r="S1074" s="340"/>
      <c r="T1074" s="340"/>
      <c r="U1074" s="340"/>
      <c r="V1074" s="310"/>
      <c r="W1074" s="340"/>
      <c r="X1074" s="340"/>
      <c r="Y1074" s="340"/>
      <c r="Z1074" s="340"/>
      <c r="AA1074" s="345"/>
      <c r="AB1074" s="339"/>
      <c r="AC1074" s="339"/>
      <c r="AD1074" s="339"/>
      <c r="AE1074" s="339"/>
      <c r="AF1074" s="348"/>
      <c r="AG1074" s="331"/>
      <c r="AH1074" s="331"/>
      <c r="AI1074" s="331"/>
      <c r="AJ1074" s="331"/>
      <c r="AK1074" s="348"/>
      <c r="AL1074" s="2655"/>
      <c r="AM1074" s="2655"/>
      <c r="AN1074" s="2655"/>
      <c r="AO1074" s="2655"/>
      <c r="AP1074" s="568"/>
      <c r="AQ1074" s="2655"/>
      <c r="AR1074" s="2655"/>
      <c r="AS1074" s="2655"/>
      <c r="AT1074" s="2655"/>
      <c r="AU1074" s="1692"/>
      <c r="AV1074" s="2651"/>
      <c r="AW1074" s="2655"/>
      <c r="AX1074" s="2655"/>
      <c r="AY1074" s="2655"/>
      <c r="AZ1074" s="1692"/>
      <c r="BA1074" s="2651"/>
      <c r="BB1074" s="2655"/>
      <c r="BC1074" s="2655"/>
      <c r="BD1074" s="2655"/>
      <c r="BE1074" s="591">
        <f t="shared" ref="BE1074:BJ1074" si="2564">+BE1072/BE1066</f>
        <v>0.30354532800311956</v>
      </c>
      <c r="BF1074" s="519">
        <f t="shared" si="2564"/>
        <v>0.32986580871763266</v>
      </c>
      <c r="BG1074" s="519">
        <f t="shared" si="2564"/>
        <v>0.30082823561756816</v>
      </c>
      <c r="BH1074" s="519">
        <f t="shared" si="2564"/>
        <v>0.29694277863228657</v>
      </c>
      <c r="BI1074" s="519">
        <f t="shared" si="2564"/>
        <v>0.28856467992672169</v>
      </c>
      <c r="BJ1074" s="591">
        <f t="shared" si="2564"/>
        <v>0.30542601429065103</v>
      </c>
      <c r="BK1074" s="519">
        <f t="shared" ref="BK1074:BP1074" si="2565">+BK1072/BK1066</f>
        <v>0.33270979699150899</v>
      </c>
      <c r="BL1074" s="519">
        <f t="shared" si="2565"/>
        <v>0.31462368781700789</v>
      </c>
      <c r="BM1074" s="519">
        <f t="shared" si="2565"/>
        <v>0.29421648123069893</v>
      </c>
      <c r="BN1074" s="519">
        <f t="shared" si="2565"/>
        <v>0.29907879213835686</v>
      </c>
      <c r="BO1074" s="591">
        <f t="shared" si="2565"/>
        <v>0.30976246975961125</v>
      </c>
      <c r="BP1074" s="519">
        <f t="shared" si="2565"/>
        <v>0.30488738605005827</v>
      </c>
      <c r="BQ1074" s="519">
        <f t="shared" ref="BQ1074:CA1074" si="2566">+BQ1072/BQ1066</f>
        <v>0.30677343255176381</v>
      </c>
      <c r="BR1074" s="519">
        <f t="shared" si="2566"/>
        <v>0.30752097225375846</v>
      </c>
      <c r="BS1074" s="519">
        <f t="shared" si="2566"/>
        <v>0.30255130386418022</v>
      </c>
      <c r="BT1074" s="591">
        <f t="shared" si="2566"/>
        <v>0.30546738817525826</v>
      </c>
      <c r="BU1074" s="519">
        <f t="shared" si="2566"/>
        <v>0.30359738484123217</v>
      </c>
      <c r="BV1074" s="519">
        <f t="shared" si="2566"/>
        <v>0.30985598116466567</v>
      </c>
      <c r="BW1074" s="519">
        <f t="shared" si="2566"/>
        <v>0.31434980316750472</v>
      </c>
      <c r="BX1074" s="519">
        <f t="shared" si="2566"/>
        <v>0.30935472895298383</v>
      </c>
      <c r="BY1074" s="591">
        <f t="shared" si="2566"/>
        <v>0.30897995745942936</v>
      </c>
      <c r="BZ1074" s="591">
        <f t="shared" si="2566"/>
        <v>0.32691551507714911</v>
      </c>
      <c r="CA1074" s="591">
        <f t="shared" si="2566"/>
        <v>0.32491371376128803</v>
      </c>
      <c r="CB1074" s="2857"/>
      <c r="CC1074" s="2857"/>
      <c r="CD1074" s="2857"/>
      <c r="CE1074" s="2857"/>
      <c r="CF1074" s="2857"/>
      <c r="CG1074" s="331"/>
      <c r="CH1074" s="331"/>
      <c r="CI1074" s="331"/>
      <c r="CJ1074" s="331"/>
      <c r="CK1074" s="331"/>
      <c r="CL1074" s="520"/>
      <c r="CM1074" s="330"/>
      <c r="CN1074" s="330"/>
      <c r="CO1074" s="330"/>
      <c r="CP1074" s="330"/>
      <c r="CQ1074" s="330"/>
      <c r="CR1074" s="330"/>
      <c r="CS1074" s="330"/>
      <c r="CT1074" s="330"/>
      <c r="CU1074" s="330"/>
      <c r="CV1074" s="330"/>
      <c r="CW1074" s="330"/>
      <c r="CX1074" s="330"/>
      <c r="CY1074" s="330"/>
      <c r="CZ1074" s="330"/>
      <c r="DA1074" s="330"/>
      <c r="DB1074" s="330"/>
      <c r="DC1074" s="1888"/>
      <c r="DD1074" s="331"/>
      <c r="DE1074" s="331"/>
      <c r="DF1074" s="502"/>
      <c r="DG1074" s="503"/>
      <c r="DH1074" s="3297"/>
      <c r="DI1074" s="3213"/>
      <c r="DJ1074" s="502"/>
      <c r="DK1074" s="503"/>
      <c r="DL1074" s="502"/>
      <c r="DM1074" s="502"/>
      <c r="DN1074" s="502"/>
      <c r="DO1074" s="502"/>
      <c r="DP1074" s="503"/>
      <c r="DQ1074" s="503"/>
      <c r="DR1074" s="296"/>
      <c r="DS1074" s="296"/>
      <c r="DT1074" s="296"/>
    </row>
    <row r="1075" spans="1:130" ht="12" customHeight="1" x14ac:dyDescent="0.25">
      <c r="A1075" s="281"/>
      <c r="B1075" s="281"/>
      <c r="C1075" s="340"/>
      <c r="D1075" s="340"/>
      <c r="E1075" s="340"/>
      <c r="F1075" s="340"/>
      <c r="G1075" s="310"/>
      <c r="H1075" s="340"/>
      <c r="I1075" s="340"/>
      <c r="J1075" s="340"/>
      <c r="K1075" s="340"/>
      <c r="L1075" s="310"/>
      <c r="M1075" s="340"/>
      <c r="N1075" s="340"/>
      <c r="O1075" s="340"/>
      <c r="P1075" s="340"/>
      <c r="Q1075" s="310"/>
      <c r="R1075" s="340"/>
      <c r="S1075" s="340"/>
      <c r="T1075" s="340"/>
      <c r="U1075" s="340"/>
      <c r="V1075" s="310"/>
      <c r="W1075" s="340"/>
      <c r="X1075" s="340"/>
      <c r="Y1075" s="340"/>
      <c r="Z1075" s="340"/>
      <c r="AA1075" s="345"/>
      <c r="AB1075" s="339"/>
      <c r="AC1075" s="339"/>
      <c r="AD1075" s="339"/>
      <c r="AE1075" s="339"/>
      <c r="AF1075" s="348"/>
      <c r="AG1075" s="331"/>
      <c r="AH1075" s="331"/>
      <c r="AI1075" s="331"/>
      <c r="AJ1075" s="331"/>
      <c r="AK1075" s="348"/>
      <c r="AL1075" s="2655"/>
      <c r="AM1075" s="2655"/>
      <c r="AN1075" s="2655"/>
      <c r="AO1075" s="2655"/>
      <c r="AP1075" s="568"/>
      <c r="AQ1075" s="2655"/>
      <c r="AR1075" s="2655"/>
      <c r="AS1075" s="2655"/>
      <c r="AT1075" s="2655"/>
      <c r="AU1075" s="1692"/>
      <c r="AV1075" s="2651"/>
      <c r="AW1075" s="2655"/>
      <c r="AX1075" s="2655"/>
      <c r="AY1075" s="2655"/>
      <c r="AZ1075" s="1692"/>
      <c r="BA1075" s="2651"/>
      <c r="BB1075" s="2655"/>
      <c r="BC1075" s="2655"/>
      <c r="BD1075" s="2655"/>
      <c r="BE1075" s="1692"/>
      <c r="BF1075" s="338"/>
      <c r="BG1075" s="338"/>
      <c r="BH1075" s="338"/>
      <c r="BI1075" s="338"/>
      <c r="BJ1075" s="1692"/>
      <c r="BK1075" s="555"/>
      <c r="BL1075" s="555"/>
      <c r="BM1075" s="555"/>
      <c r="BN1075" s="555"/>
      <c r="BO1075" s="1692"/>
      <c r="BP1075" s="555"/>
      <c r="BQ1075" s="555"/>
      <c r="BR1075" s="3444"/>
      <c r="BS1075" s="3444"/>
      <c r="BT1075" s="3122"/>
      <c r="BU1075" s="3444"/>
      <c r="BV1075" s="3444"/>
      <c r="BW1075" s="3444"/>
      <c r="BX1075" s="3444"/>
      <c r="BY1075" s="3234"/>
      <c r="BZ1075" s="3468"/>
      <c r="CA1075" s="3468"/>
      <c r="CB1075" s="2857"/>
      <c r="CC1075" s="2857"/>
      <c r="CD1075" s="2857"/>
      <c r="CE1075" s="2857"/>
      <c r="CF1075" s="2857"/>
      <c r="CG1075" s="331"/>
      <c r="CH1075" s="331"/>
      <c r="CI1075" s="331"/>
      <c r="CJ1075" s="331"/>
      <c r="CK1075" s="331"/>
      <c r="CL1075" s="520"/>
      <c r="CM1075" s="330"/>
      <c r="CN1075" s="330"/>
      <c r="CO1075" s="330"/>
      <c r="CP1075" s="330"/>
      <c r="CQ1075" s="330"/>
      <c r="CR1075" s="330"/>
      <c r="CS1075" s="330"/>
      <c r="CT1075" s="330"/>
      <c r="CU1075" s="330"/>
      <c r="CV1075" s="330"/>
      <c r="CW1075" s="330"/>
      <c r="CX1075" s="330"/>
      <c r="CY1075" s="330"/>
      <c r="CZ1075" s="330"/>
      <c r="DA1075" s="330"/>
      <c r="DB1075" s="330"/>
      <c r="DC1075" s="1888"/>
      <c r="DD1075" s="331"/>
      <c r="DE1075" s="331"/>
      <c r="DF1075" s="502"/>
      <c r="DG1075" s="503"/>
      <c r="DH1075" s="3297"/>
      <c r="DI1075" s="3213"/>
      <c r="DJ1075" s="502"/>
      <c r="DK1075" s="503"/>
      <c r="DL1075" s="502"/>
      <c r="DM1075" s="502"/>
      <c r="DN1075" s="502"/>
      <c r="DO1075" s="502"/>
      <c r="DP1075" s="503"/>
      <c r="DQ1075" s="503"/>
      <c r="DR1075" s="296"/>
      <c r="DS1075" s="296"/>
      <c r="DT1075" s="296"/>
    </row>
    <row r="1076" spans="1:130" ht="12" customHeight="1" x14ac:dyDescent="0.25">
      <c r="A1076" s="2575" t="s">
        <v>1826</v>
      </c>
      <c r="B1076" s="281"/>
      <c r="C1076" s="340"/>
      <c r="D1076" s="340"/>
      <c r="E1076" s="340"/>
      <c r="F1076" s="340"/>
      <c r="G1076" s="310"/>
      <c r="H1076" s="340"/>
      <c r="I1076" s="340"/>
      <c r="J1076" s="340"/>
      <c r="K1076" s="340"/>
      <c r="L1076" s="310"/>
      <c r="M1076" s="340"/>
      <c r="N1076" s="340"/>
      <c r="O1076" s="340"/>
      <c r="P1076" s="340"/>
      <c r="Q1076" s="310"/>
      <c r="R1076" s="340"/>
      <c r="S1076" s="340"/>
      <c r="T1076" s="340"/>
      <c r="U1076" s="340"/>
      <c r="V1076" s="310"/>
      <c r="W1076" s="340"/>
      <c r="X1076" s="340"/>
      <c r="Y1076" s="340"/>
      <c r="Z1076" s="340"/>
      <c r="AA1076" s="345"/>
      <c r="AB1076" s="339"/>
      <c r="AC1076" s="339"/>
      <c r="AD1076" s="339"/>
      <c r="AE1076" s="339"/>
      <c r="AF1076" s="348"/>
      <c r="AG1076" s="331"/>
      <c r="AH1076" s="331"/>
      <c r="AI1076" s="331"/>
      <c r="AJ1076" s="331"/>
      <c r="AK1076" s="348"/>
      <c r="AL1076" s="2655"/>
      <c r="AM1076" s="2655"/>
      <c r="AN1076" s="2655"/>
      <c r="AO1076" s="2655"/>
      <c r="AP1076" s="568"/>
      <c r="AQ1076" s="2655"/>
      <c r="AR1076" s="2655"/>
      <c r="AS1076" s="2655"/>
      <c r="AT1076" s="2655"/>
      <c r="AU1076" s="1692"/>
      <c r="AV1076" s="2651"/>
      <c r="AW1076" s="2655"/>
      <c r="AX1076" s="2655"/>
      <c r="AY1076" s="2655"/>
      <c r="AZ1076" s="1692"/>
      <c r="BA1076" s="2651"/>
      <c r="BB1076" s="2655"/>
      <c r="BC1076" s="2655"/>
      <c r="BD1076" s="2655"/>
      <c r="BE1076" s="3462">
        <f>+BE1072-BE1077</f>
        <v>86.476999999999975</v>
      </c>
      <c r="BF1076" s="3462">
        <f t="shared" ref="BF1076:BR1076" si="2567">+BF1072-BF1077</f>
        <v>19.236999999999995</v>
      </c>
      <c r="BG1076" s="3462">
        <f t="shared" si="2567"/>
        <v>20.824999999999989</v>
      </c>
      <c r="BH1076" s="3462">
        <f t="shared" si="2567"/>
        <v>22.057999999999993</v>
      </c>
      <c r="BI1076" s="3462">
        <f t="shared" si="2567"/>
        <v>17.849999999999994</v>
      </c>
      <c r="BJ1076" s="3463">
        <f t="shared" si="2567"/>
        <v>82.970000000000027</v>
      </c>
      <c r="BK1076" s="3462">
        <f t="shared" si="2567"/>
        <v>20.629999999999995</v>
      </c>
      <c r="BL1076" s="3462">
        <f t="shared" si="2567"/>
        <v>21.13900000000001</v>
      </c>
      <c r="BM1076" s="3462">
        <f t="shared" si="2567"/>
        <v>19.678000000000026</v>
      </c>
      <c r="BN1076" s="3462">
        <f t="shared" si="2567"/>
        <v>20.936999999999983</v>
      </c>
      <c r="BO1076" s="3463">
        <f t="shared" si="2567"/>
        <v>82.384000000000015</v>
      </c>
      <c r="BP1076" s="3462">
        <f t="shared" si="2567"/>
        <v>20.265000000000015</v>
      </c>
      <c r="BQ1076" s="3462">
        <f t="shared" si="2567"/>
        <v>19.813000000000017</v>
      </c>
      <c r="BR1076" s="3462">
        <f t="shared" si="2567"/>
        <v>20.97999999999999</v>
      </c>
      <c r="BS1076" s="3512">
        <f>+BN1076</f>
        <v>20.936999999999983</v>
      </c>
      <c r="BT1076" s="3231">
        <f>SUM(BP1076:BS1076)</f>
        <v>81.995000000000005</v>
      </c>
      <c r="BU1076" s="3512">
        <f>+BP1076</f>
        <v>20.265000000000015</v>
      </c>
      <c r="BV1076" s="3512">
        <f>+BQ1076</f>
        <v>19.813000000000017</v>
      </c>
      <c r="BW1076" s="3512">
        <f>+BR1076</f>
        <v>20.97999999999999</v>
      </c>
      <c r="BX1076" s="3512">
        <f>+BS1076</f>
        <v>20.936999999999983</v>
      </c>
      <c r="BY1076" s="3231">
        <f>SUM(BU1076:BX1076)</f>
        <v>81.995000000000005</v>
      </c>
      <c r="BZ1076" s="3513">
        <f>+BY1076</f>
        <v>81.995000000000005</v>
      </c>
      <c r="CA1076" s="3513">
        <f>+BZ1076</f>
        <v>81.995000000000005</v>
      </c>
      <c r="CB1076" s="2857"/>
      <c r="CC1076" s="2857"/>
      <c r="CD1076" s="2857"/>
      <c r="CE1076" s="2857"/>
      <c r="CF1076" s="2857"/>
      <c r="CG1076" s="331"/>
      <c r="CH1076" s="331"/>
      <c r="CI1076" s="331"/>
      <c r="CJ1076" s="331"/>
      <c r="CK1076" s="331"/>
      <c r="CL1076" s="520"/>
      <c r="CM1076" s="330"/>
      <c r="CN1076" s="330"/>
      <c r="CO1076" s="330"/>
      <c r="CP1076" s="330"/>
      <c r="CQ1076" s="330"/>
      <c r="CR1076" s="330"/>
      <c r="CS1076" s="330"/>
      <c r="CT1076" s="330"/>
      <c r="CU1076" s="330"/>
      <c r="CV1076" s="330"/>
      <c r="CW1076" s="330"/>
      <c r="CX1076" s="330"/>
      <c r="CY1076" s="330"/>
      <c r="CZ1076" s="330"/>
      <c r="DA1076" s="330"/>
      <c r="DB1076" s="330"/>
      <c r="DC1076" s="1888"/>
      <c r="DD1076" s="331"/>
      <c r="DE1076" s="331"/>
      <c r="DF1076" s="502"/>
      <c r="DG1076" s="503"/>
      <c r="DH1076" s="3297"/>
      <c r="DI1076" s="3213"/>
      <c r="DJ1076" s="502"/>
      <c r="DK1076" s="503"/>
      <c r="DL1076" s="502"/>
      <c r="DM1076" s="502"/>
      <c r="DN1076" s="502"/>
      <c r="DO1076" s="502"/>
      <c r="DP1076" s="503"/>
      <c r="DQ1076" s="503"/>
      <c r="DR1076" s="296"/>
      <c r="DS1076" s="296"/>
      <c r="DT1076" s="296"/>
    </row>
    <row r="1077" spans="1:130" ht="12" customHeight="1" x14ac:dyDescent="0.25">
      <c r="A1077" s="2575" t="s">
        <v>2653</v>
      </c>
      <c r="B1077" s="281"/>
      <c r="C1077" s="340"/>
      <c r="D1077" s="340"/>
      <c r="E1077" s="340"/>
      <c r="F1077" s="340"/>
      <c r="G1077" s="310"/>
      <c r="H1077" s="340"/>
      <c r="I1077" s="340"/>
      <c r="J1077" s="340"/>
      <c r="K1077" s="340"/>
      <c r="L1077" s="310"/>
      <c r="M1077" s="340"/>
      <c r="N1077" s="340"/>
      <c r="O1077" s="340"/>
      <c r="P1077" s="340"/>
      <c r="Q1077" s="310"/>
      <c r="R1077" s="340"/>
      <c r="S1077" s="340"/>
      <c r="T1077" s="340"/>
      <c r="U1077" s="340"/>
      <c r="V1077" s="310"/>
      <c r="W1077" s="340"/>
      <c r="X1077" s="340"/>
      <c r="Y1077" s="340"/>
      <c r="Z1077" s="340"/>
      <c r="AA1077" s="345"/>
      <c r="AB1077" s="339"/>
      <c r="AC1077" s="339"/>
      <c r="AD1077" s="339"/>
      <c r="AE1077" s="339"/>
      <c r="AF1077" s="348"/>
      <c r="AG1077" s="331"/>
      <c r="AH1077" s="331"/>
      <c r="AI1077" s="331"/>
      <c r="AJ1077" s="331"/>
      <c r="AK1077" s="348"/>
      <c r="AL1077" s="2655"/>
      <c r="AM1077" s="2655"/>
      <c r="AN1077" s="2655"/>
      <c r="AO1077" s="2655"/>
      <c r="AP1077" s="568"/>
      <c r="AQ1077" s="2655"/>
      <c r="AR1077" s="2655"/>
      <c r="AS1077" s="2655"/>
      <c r="AT1077" s="2655"/>
      <c r="AU1077" s="1692"/>
      <c r="AV1077" s="2651"/>
      <c r="AW1077" s="2655"/>
      <c r="AX1077" s="2655"/>
      <c r="AY1077" s="2655"/>
      <c r="AZ1077" s="1692"/>
      <c r="BA1077" s="2651"/>
      <c r="BB1077" s="2655"/>
      <c r="BC1077" s="2655"/>
      <c r="BD1077" s="2655"/>
      <c r="BE1077" s="3465">
        <v>584.52300000000002</v>
      </c>
      <c r="BF1077" s="3465">
        <v>169.72300000000001</v>
      </c>
      <c r="BG1077" s="3465">
        <v>154.245</v>
      </c>
      <c r="BH1077" s="3465">
        <v>149.762</v>
      </c>
      <c r="BI1077" s="3465">
        <v>143.29</v>
      </c>
      <c r="BJ1077" s="3023">
        <f>SUM(BF1077:BI1077)</f>
        <v>617.02</v>
      </c>
      <c r="BK1077" s="3465">
        <v>172.35</v>
      </c>
      <c r="BL1077" s="3465">
        <v>157.011</v>
      </c>
      <c r="BM1077" s="3465">
        <v>155.43199999999999</v>
      </c>
      <c r="BN1077" s="3465">
        <v>169.703</v>
      </c>
      <c r="BO1077" s="3023">
        <f>SUM(BK1077:BN1077)</f>
        <v>654.49599999999998</v>
      </c>
      <c r="BP1077" s="3465">
        <v>174.85499999999999</v>
      </c>
      <c r="BQ1077" s="3465">
        <v>180.70699999999999</v>
      </c>
      <c r="BR1077" s="3465">
        <v>178.11</v>
      </c>
      <c r="BS1077" s="2671">
        <f>+BS1072-BS1076</f>
        <v>167.0622464245001</v>
      </c>
      <c r="BT1077" s="3023">
        <f t="shared" ref="BT1077:CA1077" si="2568">+BT1072-BT1076</f>
        <v>700.73424642450016</v>
      </c>
      <c r="BU1077" s="2671">
        <f t="shared" si="2568"/>
        <v>171.73018068339999</v>
      </c>
      <c r="BV1077" s="2671">
        <f t="shared" si="2568"/>
        <v>185.66090638199981</v>
      </c>
      <c r="BW1077" s="2671">
        <f t="shared" si="2568"/>
        <v>133.79807082295034</v>
      </c>
      <c r="BX1077" s="2671">
        <f t="shared" si="2568"/>
        <v>126.85800675095757</v>
      </c>
      <c r="BY1077" s="3023">
        <f t="shared" si="2568"/>
        <v>618.04716463930765</v>
      </c>
      <c r="BZ1077" s="3023">
        <f t="shared" si="2568"/>
        <v>560.08286875153533</v>
      </c>
      <c r="CA1077" s="3023">
        <f t="shared" si="2568"/>
        <v>557.44023935076154</v>
      </c>
      <c r="CB1077" s="2857"/>
      <c r="CC1077" s="2857"/>
      <c r="CD1077" s="2857"/>
      <c r="CE1077" s="2857"/>
      <c r="CF1077" s="2857"/>
      <c r="CG1077" s="331"/>
      <c r="CH1077" s="331"/>
      <c r="CI1077" s="331"/>
      <c r="CJ1077" s="331"/>
      <c r="CK1077" s="331"/>
      <c r="CL1077" s="520"/>
      <c r="CM1077" s="330"/>
      <c r="CN1077" s="330"/>
      <c r="CO1077" s="330"/>
      <c r="CP1077" s="330"/>
      <c r="CQ1077" s="330"/>
      <c r="CR1077" s="330"/>
      <c r="CS1077" s="330"/>
      <c r="CT1077" s="330"/>
      <c r="CU1077" s="330"/>
      <c r="CV1077" s="330"/>
      <c r="CW1077" s="330"/>
      <c r="CX1077" s="330"/>
      <c r="CY1077" s="330"/>
      <c r="CZ1077" s="330"/>
      <c r="DA1077" s="330"/>
      <c r="DB1077" s="330"/>
      <c r="DC1077" s="1888"/>
      <c r="DD1077" s="331"/>
      <c r="DE1077" s="331"/>
      <c r="DF1077" s="502"/>
      <c r="DG1077" s="503"/>
      <c r="DH1077" s="3297"/>
      <c r="DI1077" s="3213"/>
      <c r="DJ1077" s="502"/>
      <c r="DK1077" s="503"/>
      <c r="DL1077" s="502"/>
      <c r="DM1077" s="502"/>
      <c r="DN1077" s="502"/>
      <c r="DO1077" s="502"/>
      <c r="DP1077" s="503"/>
      <c r="DQ1077" s="503"/>
      <c r="DR1077" s="296"/>
      <c r="DS1077" s="296"/>
      <c r="DT1077" s="296"/>
    </row>
    <row r="1078" spans="1:130" ht="12" customHeight="1" x14ac:dyDescent="0.25">
      <c r="A1078" s="281"/>
      <c r="B1078" s="479"/>
      <c r="C1078" s="480"/>
      <c r="D1078" s="480"/>
      <c r="E1078" s="480"/>
      <c r="F1078" s="480"/>
      <c r="G1078" s="482"/>
      <c r="H1078" s="480"/>
      <c r="I1078" s="480"/>
      <c r="J1078" s="482"/>
      <c r="K1078" s="480"/>
      <c r="L1078" s="482"/>
      <c r="M1078" s="480"/>
      <c r="N1078" s="480"/>
      <c r="O1078" s="480"/>
      <c r="P1078" s="480"/>
      <c r="Q1078" s="482"/>
      <c r="R1078" s="482"/>
      <c r="S1078" s="480"/>
      <c r="T1078" s="480"/>
      <c r="U1078" s="480"/>
      <c r="V1078" s="482"/>
      <c r="W1078" s="480"/>
      <c r="X1078" s="480"/>
      <c r="Y1078" s="480"/>
      <c r="Z1078" s="480"/>
      <c r="AA1078" s="484"/>
      <c r="AB1078" s="480"/>
      <c r="AC1078" s="480"/>
      <c r="AD1078" s="480"/>
      <c r="AE1078" s="430"/>
      <c r="AF1078" s="481"/>
      <c r="AG1078" s="430"/>
      <c r="AH1078" s="430"/>
      <c r="AI1078" s="430"/>
      <c r="AJ1078" s="430"/>
      <c r="AK1078" s="481"/>
      <c r="AL1078" s="430"/>
      <c r="AM1078" s="430"/>
      <c r="AN1078" s="430"/>
      <c r="AO1078" s="430"/>
      <c r="AP1078" s="483"/>
      <c r="AQ1078" s="430"/>
      <c r="AR1078" s="430"/>
      <c r="AS1078" s="430"/>
      <c r="AT1078" s="430"/>
      <c r="AU1078" s="481"/>
      <c r="AV1078" s="483"/>
      <c r="AW1078" s="430"/>
      <c r="AX1078" s="430"/>
      <c r="AY1078" s="853"/>
      <c r="AZ1078" s="481"/>
      <c r="BA1078" s="483"/>
      <c r="BB1078" s="430"/>
      <c r="BC1078" s="430"/>
      <c r="BD1078" s="430"/>
      <c r="BE1078" s="2587"/>
      <c r="BF1078" s="2840"/>
      <c r="BG1078" s="2840"/>
      <c r="BH1078" s="2840"/>
      <c r="BI1078" s="2840"/>
      <c r="BJ1078" s="3251"/>
      <c r="BK1078" s="2840"/>
      <c r="BL1078" s="2840"/>
      <c r="BM1078" s="2840"/>
      <c r="BN1078" s="2840"/>
      <c r="BO1078" s="2587"/>
      <c r="BP1078" s="2840"/>
      <c r="BQ1078" s="2840"/>
      <c r="BR1078" s="2840"/>
      <c r="BS1078" s="2840"/>
      <c r="BT1078" s="2587"/>
      <c r="BU1078" s="3397"/>
      <c r="BV1078" s="2840"/>
      <c r="BW1078" s="2840"/>
      <c r="BX1078" s="2840"/>
      <c r="BY1078" s="2587"/>
      <c r="BZ1078" s="3251"/>
      <c r="CA1078" s="3251"/>
      <c r="CB1078" s="481"/>
      <c r="CC1078" s="481"/>
      <c r="CD1078" s="481"/>
      <c r="CE1078" s="481"/>
      <c r="CF1078" s="481"/>
      <c r="CG1078" s="331"/>
      <c r="CH1078" s="331"/>
      <c r="CI1078" s="331"/>
      <c r="CJ1078" s="331"/>
      <c r="CK1078" s="331"/>
      <c r="CL1078" s="520"/>
      <c r="CM1078" s="430"/>
      <c r="CN1078" s="430"/>
      <c r="CO1078" s="430"/>
      <c r="CP1078" s="430"/>
      <c r="CQ1078" s="430"/>
      <c r="CR1078" s="430"/>
      <c r="CS1078" s="430"/>
      <c r="CT1078" s="430"/>
      <c r="CU1078" s="430"/>
      <c r="CV1078" s="430"/>
      <c r="CW1078" s="430"/>
      <c r="CX1078" s="430"/>
      <c r="CY1078" s="430"/>
      <c r="CZ1078" s="430"/>
      <c r="DA1078" s="430"/>
      <c r="DB1078" s="430"/>
      <c r="DC1078" s="853"/>
      <c r="DD1078" s="331"/>
      <c r="DE1078" s="331"/>
      <c r="DF1078" s="502"/>
      <c r="DG1078" s="503"/>
      <c r="DH1078" s="2840"/>
      <c r="DI1078" s="3213"/>
      <c r="DJ1078" s="502"/>
      <c r="DK1078" s="503"/>
      <c r="DL1078" s="502"/>
      <c r="DM1078" s="502"/>
      <c r="DN1078" s="502"/>
      <c r="DO1078" s="502"/>
      <c r="DP1078" s="503"/>
      <c r="DQ1078" s="503"/>
      <c r="DR1078" s="428"/>
      <c r="DS1078" s="428"/>
      <c r="DT1078" s="428"/>
    </row>
    <row r="1079" spans="1:130" ht="12" customHeight="1" x14ac:dyDescent="0.25">
      <c r="A1079" s="462" t="s">
        <v>798</v>
      </c>
      <c r="B1079" s="409"/>
      <c r="C1079" s="433" t="str">
        <f>C$6</f>
        <v>1Q04</v>
      </c>
      <c r="D1079" s="433" t="str">
        <f t="shared" ref="D1079:CB1079" si="2569">D$6</f>
        <v>2Q04</v>
      </c>
      <c r="E1079" s="433" t="str">
        <f t="shared" si="2569"/>
        <v>3Q04</v>
      </c>
      <c r="F1079" s="433" t="str">
        <f t="shared" si="2569"/>
        <v>4Q04</v>
      </c>
      <c r="G1079" s="434">
        <f t="shared" si="2569"/>
        <v>2004</v>
      </c>
      <c r="H1079" s="433" t="str">
        <f t="shared" si="2569"/>
        <v>1Q05</v>
      </c>
      <c r="I1079" s="433" t="str">
        <f t="shared" si="2569"/>
        <v>2Q05</v>
      </c>
      <c r="J1079" s="433" t="str">
        <f t="shared" si="2569"/>
        <v>3Q05</v>
      </c>
      <c r="K1079" s="433" t="str">
        <f t="shared" si="2569"/>
        <v>4Q05</v>
      </c>
      <c r="L1079" s="434">
        <f t="shared" si="2569"/>
        <v>2005</v>
      </c>
      <c r="M1079" s="433" t="str">
        <f t="shared" si="2569"/>
        <v>1Q06</v>
      </c>
      <c r="N1079" s="433" t="str">
        <f t="shared" si="2569"/>
        <v>2Q06</v>
      </c>
      <c r="O1079" s="433" t="str">
        <f t="shared" si="2569"/>
        <v>3Q06</v>
      </c>
      <c r="P1079" s="433" t="str">
        <f t="shared" si="2569"/>
        <v>4Q06</v>
      </c>
      <c r="Q1079" s="434">
        <f t="shared" si="2569"/>
        <v>2006</v>
      </c>
      <c r="R1079" s="433" t="str">
        <f t="shared" si="2569"/>
        <v>1Q07</v>
      </c>
      <c r="S1079" s="433" t="str">
        <f t="shared" si="2569"/>
        <v>2Q07</v>
      </c>
      <c r="T1079" s="433" t="str">
        <f t="shared" si="2569"/>
        <v>3Q07</v>
      </c>
      <c r="U1079" s="433" t="str">
        <f t="shared" si="2569"/>
        <v>4Q07</v>
      </c>
      <c r="V1079" s="434">
        <f t="shared" si="2569"/>
        <v>2007</v>
      </c>
      <c r="W1079" s="433" t="str">
        <f t="shared" si="2569"/>
        <v>1Q08</v>
      </c>
      <c r="X1079" s="433" t="str">
        <f t="shared" si="2569"/>
        <v>2Q08</v>
      </c>
      <c r="Y1079" s="433" t="str">
        <f t="shared" si="2569"/>
        <v>3Q08</v>
      </c>
      <c r="Z1079" s="433" t="str">
        <f t="shared" si="2569"/>
        <v>4Q08</v>
      </c>
      <c r="AA1079" s="434">
        <f t="shared" si="2569"/>
        <v>2008</v>
      </c>
      <c r="AB1079" s="433" t="str">
        <f t="shared" si="2569"/>
        <v>1Q09</v>
      </c>
      <c r="AC1079" s="433" t="str">
        <f t="shared" si="2569"/>
        <v>2Q09</v>
      </c>
      <c r="AD1079" s="433" t="str">
        <f t="shared" si="2569"/>
        <v>3Q09</v>
      </c>
      <c r="AE1079" s="433" t="str">
        <f t="shared" si="2569"/>
        <v>4Q09</v>
      </c>
      <c r="AF1079" s="434">
        <f t="shared" si="2569"/>
        <v>2009</v>
      </c>
      <c r="AG1079" s="433" t="str">
        <f t="shared" si="2569"/>
        <v>1Q10</v>
      </c>
      <c r="AH1079" s="433" t="str">
        <f t="shared" si="2569"/>
        <v>2Q10</v>
      </c>
      <c r="AI1079" s="433" t="str">
        <f t="shared" si="2569"/>
        <v>3Q10</v>
      </c>
      <c r="AJ1079" s="433" t="str">
        <f t="shared" si="2569"/>
        <v>4Q10</v>
      </c>
      <c r="AK1079" s="434">
        <f t="shared" si="2569"/>
        <v>2010</v>
      </c>
      <c r="AL1079" s="435" t="str">
        <f t="shared" si="2569"/>
        <v>1Q11</v>
      </c>
      <c r="AM1079" s="435" t="str">
        <f t="shared" si="2569"/>
        <v>2Q11</v>
      </c>
      <c r="AN1079" s="435" t="str">
        <f t="shared" si="2569"/>
        <v>3Q11</v>
      </c>
      <c r="AO1079" s="435" t="str">
        <f t="shared" si="2569"/>
        <v>4Q11</v>
      </c>
      <c r="AP1079" s="436">
        <f t="shared" si="2569"/>
        <v>2011</v>
      </c>
      <c r="AQ1079" s="436" t="str">
        <f t="shared" si="2569"/>
        <v>1Q12</v>
      </c>
      <c r="AR1079" s="437" t="str">
        <f t="shared" si="2569"/>
        <v>2Q12</v>
      </c>
      <c r="AS1079" s="437" t="str">
        <f t="shared" si="2569"/>
        <v>3Q12</v>
      </c>
      <c r="AT1079" s="437" t="str">
        <f t="shared" si="2569"/>
        <v>4Q12</v>
      </c>
      <c r="AU1079" s="438">
        <f t="shared" si="2569"/>
        <v>2012</v>
      </c>
      <c r="AV1079" s="436" t="str">
        <f t="shared" si="2569"/>
        <v>1Q13</v>
      </c>
      <c r="AW1079" s="437" t="str">
        <f t="shared" si="2569"/>
        <v>2Q13</v>
      </c>
      <c r="AX1079" s="437" t="str">
        <f t="shared" si="2569"/>
        <v>3Q13</v>
      </c>
      <c r="AY1079" s="861" t="str">
        <f t="shared" si="2569"/>
        <v>4Q13</v>
      </c>
      <c r="AZ1079" s="438">
        <f t="shared" si="2569"/>
        <v>2013</v>
      </c>
      <c r="BA1079" s="436" t="str">
        <f t="shared" si="2569"/>
        <v>1Q14</v>
      </c>
      <c r="BB1079" s="437" t="str">
        <f t="shared" si="2569"/>
        <v>2Q14</v>
      </c>
      <c r="BC1079" s="437" t="str">
        <f t="shared" si="2569"/>
        <v>3Q14</v>
      </c>
      <c r="BD1079" s="437" t="str">
        <f t="shared" si="2569"/>
        <v>4Q14</v>
      </c>
      <c r="BE1079" s="438">
        <f t="shared" si="2569"/>
        <v>2014</v>
      </c>
      <c r="BF1079" s="437" t="str">
        <f t="shared" si="2569"/>
        <v>1Q15</v>
      </c>
      <c r="BG1079" s="437" t="str">
        <f t="shared" si="2569"/>
        <v>2Q15</v>
      </c>
      <c r="BH1079" s="437" t="str">
        <f t="shared" si="2569"/>
        <v>3Q15</v>
      </c>
      <c r="BI1079" s="437" t="str">
        <f t="shared" si="2569"/>
        <v>4Q15</v>
      </c>
      <c r="BJ1079" s="438">
        <f t="shared" si="2569"/>
        <v>2015</v>
      </c>
      <c r="BK1079" s="437" t="str">
        <f t="shared" si="2569"/>
        <v>1Q16</v>
      </c>
      <c r="BL1079" s="437" t="str">
        <f t="shared" si="2569"/>
        <v>2Q16</v>
      </c>
      <c r="BM1079" s="437" t="str">
        <f t="shared" si="2569"/>
        <v>3Q16</v>
      </c>
      <c r="BN1079" s="437" t="str">
        <f t="shared" si="2569"/>
        <v>4Q16</v>
      </c>
      <c r="BO1079" s="438">
        <f t="shared" si="2569"/>
        <v>2016</v>
      </c>
      <c r="BP1079" s="437" t="str">
        <f t="shared" si="2569"/>
        <v>1Q17</v>
      </c>
      <c r="BQ1079" s="437" t="str">
        <f t="shared" si="2569"/>
        <v>2Q17</v>
      </c>
      <c r="BR1079" s="437" t="str">
        <f t="shared" si="2569"/>
        <v>3Q17</v>
      </c>
      <c r="BS1079" s="437" t="str">
        <f t="shared" si="2569"/>
        <v>4Q17</v>
      </c>
      <c r="BT1079" s="438">
        <f t="shared" si="2569"/>
        <v>2017</v>
      </c>
      <c r="BU1079" s="437" t="str">
        <f t="shared" si="2569"/>
        <v>1Q18E</v>
      </c>
      <c r="BV1079" s="437" t="str">
        <f t="shared" si="2569"/>
        <v>2Q18E</v>
      </c>
      <c r="BW1079" s="437" t="str">
        <f t="shared" si="2569"/>
        <v>3Q18E</v>
      </c>
      <c r="BX1079" s="437" t="str">
        <f t="shared" si="2569"/>
        <v>4Q18E</v>
      </c>
      <c r="BY1079" s="438" t="str">
        <f t="shared" si="2569"/>
        <v>2018E</v>
      </c>
      <c r="BZ1079" s="438" t="str">
        <f t="shared" si="2569"/>
        <v>2019E</v>
      </c>
      <c r="CA1079" s="438" t="str">
        <f t="shared" si="2569"/>
        <v>2020E</v>
      </c>
      <c r="CB1079" s="438" t="str">
        <f t="shared" si="2569"/>
        <v>2021E</v>
      </c>
      <c r="CC1079" s="438" t="str">
        <f>CC$6</f>
        <v>2022E</v>
      </c>
      <c r="CD1079" s="438" t="str">
        <f>CD$6</f>
        <v>2023E</v>
      </c>
      <c r="CE1079" s="438" t="str">
        <f>CE$6</f>
        <v>2024E</v>
      </c>
      <c r="CF1079" s="438" t="str">
        <f>CF$6</f>
        <v>2025E</v>
      </c>
      <c r="CG1079" s="331"/>
      <c r="CH1079" s="331"/>
      <c r="CI1079" s="331"/>
      <c r="CJ1079" s="331"/>
      <c r="CK1079" s="331"/>
      <c r="CL1079" s="2225" t="str">
        <f t="shared" ref="CL1079:CL1086" si="2570">A1079</f>
        <v>OTHER</v>
      </c>
      <c r="CM1079" s="2229">
        <f t="shared" ref="CM1079:CM1086" si="2571">G1079</f>
        <v>2004</v>
      </c>
      <c r="CN1079" s="2229">
        <f t="shared" ref="CN1079:CN1086" si="2572">L1079</f>
        <v>2005</v>
      </c>
      <c r="CO1079" s="2229">
        <f t="shared" ref="CO1079:CO1086" si="2573">Q1079</f>
        <v>2006</v>
      </c>
      <c r="CP1079" s="2229">
        <f t="shared" ref="CP1079:CP1086" si="2574">V1079</f>
        <v>2007</v>
      </c>
      <c r="CQ1079" s="2229">
        <f t="shared" ref="CQ1079:CQ1086" si="2575">AA1079</f>
        <v>2008</v>
      </c>
      <c r="CR1079" s="2229">
        <f t="shared" ref="CR1079:CR1086" si="2576">AF1079</f>
        <v>2009</v>
      </c>
      <c r="CS1079" s="2229">
        <f t="shared" ref="CS1079:CS1086" si="2577">AK1079</f>
        <v>2010</v>
      </c>
      <c r="CT1079" s="2229">
        <f t="shared" ref="CT1079:CT1086" si="2578">AP1079</f>
        <v>2011</v>
      </c>
      <c r="CU1079" s="2229">
        <f t="shared" ref="CU1079:CU1086" si="2579">AU1079</f>
        <v>2012</v>
      </c>
      <c r="CV1079" s="2229">
        <f t="shared" ref="CV1079:CV1086" si="2580">AZ1079</f>
        <v>2013</v>
      </c>
      <c r="CW1079" s="2229">
        <f t="shared" ref="CW1079:CW1086" si="2581">BE1079</f>
        <v>2014</v>
      </c>
      <c r="CX1079" s="2229">
        <f t="shared" ref="CX1079:CX1086" si="2582">BJ1079</f>
        <v>2015</v>
      </c>
      <c r="CY1079" s="2229">
        <f t="shared" ref="CY1079:CY1086" si="2583">BO1079</f>
        <v>2016</v>
      </c>
      <c r="CZ1079" s="2229">
        <f t="shared" ref="CZ1079:CZ1086" si="2584">BT1079</f>
        <v>2017</v>
      </c>
      <c r="DA1079" s="2229" t="str">
        <f t="shared" ref="DA1079:DC1086" si="2585">BY1079</f>
        <v>2018E</v>
      </c>
      <c r="DB1079" s="2229" t="str">
        <f t="shared" si="2585"/>
        <v>2019E</v>
      </c>
      <c r="DC1079" s="2230" t="str">
        <f t="shared" si="2585"/>
        <v>2020E</v>
      </c>
      <c r="DD1079" s="331"/>
      <c r="DE1079" s="331"/>
      <c r="DF1079" s="502"/>
      <c r="DG1079" s="503"/>
      <c r="DH1079" s="537"/>
      <c r="DI1079" s="3213"/>
      <c r="DJ1079" s="502"/>
      <c r="DK1079" s="503"/>
      <c r="DL1079" s="502"/>
      <c r="DM1079" s="502"/>
      <c r="DN1079" s="502"/>
      <c r="DO1079" s="502"/>
      <c r="DP1079" s="503"/>
      <c r="DQ1079" s="503"/>
      <c r="DR1079" s="296"/>
      <c r="DS1079" s="296"/>
      <c r="DT1079" s="296"/>
    </row>
    <row r="1080" spans="1:130" s="2391" customFormat="1" ht="12" hidden="1" customHeight="1" outlineLevel="1" x14ac:dyDescent="0.25">
      <c r="A1080" s="2375" t="s">
        <v>1089</v>
      </c>
      <c r="B1080" s="2376"/>
      <c r="C1080" s="2377"/>
      <c r="D1080" s="2377"/>
      <c r="E1080" s="2377"/>
      <c r="F1080" s="2377"/>
      <c r="G1080" s="2378"/>
      <c r="H1080" s="2377"/>
      <c r="I1080" s="2377"/>
      <c r="J1080" s="2377"/>
      <c r="K1080" s="2377"/>
      <c r="L1080" s="2378"/>
      <c r="M1080" s="2377"/>
      <c r="N1080" s="2377"/>
      <c r="O1080" s="2377"/>
      <c r="P1080" s="2377"/>
      <c r="Q1080" s="2378"/>
      <c r="R1080" s="2377"/>
      <c r="S1080" s="2377"/>
      <c r="T1080" s="2377"/>
      <c r="U1080" s="2377"/>
      <c r="V1080" s="2378"/>
      <c r="W1080" s="2377"/>
      <c r="X1080" s="2377"/>
      <c r="Y1080" s="2377"/>
      <c r="Z1080" s="2377"/>
      <c r="AA1080" s="2378"/>
      <c r="AB1080" s="2377"/>
      <c r="AC1080" s="2377"/>
      <c r="AD1080" s="2377"/>
      <c r="AE1080" s="2377"/>
      <c r="AF1080" s="2378"/>
      <c r="AG1080" s="2377"/>
      <c r="AH1080" s="2377"/>
      <c r="AI1080" s="2377"/>
      <c r="AJ1080" s="2377"/>
      <c r="AK1080" s="2378"/>
      <c r="AL1080" s="2379"/>
      <c r="AM1080" s="2379"/>
      <c r="AN1080" s="2379"/>
      <c r="AO1080" s="2379"/>
      <c r="AP1080" s="2380"/>
      <c r="AQ1080" s="2380"/>
      <c r="AR1080" s="2381"/>
      <c r="AS1080" s="2381"/>
      <c r="AT1080" s="2381"/>
      <c r="AU1080" s="2382"/>
      <c r="AV1080" s="2380"/>
      <c r="AW1080" s="2381"/>
      <c r="AX1080" s="2383"/>
      <c r="AY1080" s="2384"/>
      <c r="AZ1080" s="2382"/>
      <c r="BA1080" s="2380"/>
      <c r="BB1080" s="2381"/>
      <c r="BC1080" s="2381"/>
      <c r="BD1080" s="2384"/>
      <c r="BE1080" s="2384"/>
      <c r="BF1080" s="2381"/>
      <c r="BG1080" s="2381"/>
      <c r="BH1080" s="2381"/>
      <c r="BI1080" s="2384"/>
      <c r="BJ1080" s="2384"/>
      <c r="BK1080" s="2381"/>
      <c r="BL1080" s="2381"/>
      <c r="BM1080" s="2381"/>
      <c r="BN1080" s="2384"/>
      <c r="BO1080" s="2384"/>
      <c r="BP1080" s="2381"/>
      <c r="BQ1080" s="2381"/>
      <c r="BR1080" s="2381"/>
      <c r="BS1080" s="2381"/>
      <c r="BT1080" s="2121"/>
      <c r="BU1080" s="2119"/>
      <c r="BV1080" s="2120"/>
      <c r="BW1080" s="2120"/>
      <c r="BX1080" s="2120"/>
      <c r="BY1080" s="3434"/>
      <c r="BZ1080" s="2382"/>
      <c r="CA1080" s="2382"/>
      <c r="CB1080" s="2382"/>
      <c r="CC1080" s="2382"/>
      <c r="CD1080" s="2382"/>
      <c r="CE1080" s="2382"/>
      <c r="CF1080" s="2382"/>
      <c r="CG1080" s="2385"/>
      <c r="CH1080" s="2385"/>
      <c r="CI1080" s="2385"/>
      <c r="CJ1080" s="2385"/>
      <c r="CK1080" s="2385"/>
      <c r="CL1080" s="2387" t="str">
        <f t="shared" si="2570"/>
        <v>Bullwhackers (CO)</v>
      </c>
      <c r="CM1080" s="2381">
        <f t="shared" si="2571"/>
        <v>0</v>
      </c>
      <c r="CN1080" s="2381">
        <f t="shared" si="2572"/>
        <v>0</v>
      </c>
      <c r="CO1080" s="2381">
        <f t="shared" si="2573"/>
        <v>0</v>
      </c>
      <c r="CP1080" s="2381">
        <f t="shared" si="2574"/>
        <v>0</v>
      </c>
      <c r="CQ1080" s="2381">
        <f t="shared" si="2575"/>
        <v>0</v>
      </c>
      <c r="CR1080" s="2381">
        <f t="shared" si="2576"/>
        <v>0</v>
      </c>
      <c r="CS1080" s="2381">
        <f t="shared" si="2577"/>
        <v>0</v>
      </c>
      <c r="CT1080" s="2381">
        <f t="shared" si="2578"/>
        <v>0</v>
      </c>
      <c r="CU1080" s="2381">
        <f t="shared" si="2579"/>
        <v>0</v>
      </c>
      <c r="CV1080" s="2381">
        <f t="shared" si="2580"/>
        <v>0</v>
      </c>
      <c r="CW1080" s="2381">
        <f t="shared" si="2581"/>
        <v>0</v>
      </c>
      <c r="CX1080" s="2381">
        <f t="shared" si="2582"/>
        <v>0</v>
      </c>
      <c r="CY1080" s="2381">
        <f t="shared" si="2583"/>
        <v>0</v>
      </c>
      <c r="CZ1080" s="2381">
        <f t="shared" si="2584"/>
        <v>0</v>
      </c>
      <c r="DA1080" s="2381">
        <f t="shared" si="2585"/>
        <v>0</v>
      </c>
      <c r="DB1080" s="2381">
        <f t="shared" si="2585"/>
        <v>0</v>
      </c>
      <c r="DC1080" s="2384">
        <f t="shared" si="2585"/>
        <v>0</v>
      </c>
      <c r="DD1080" s="2385"/>
      <c r="DE1080" s="2385"/>
      <c r="DF1080" s="2388"/>
      <c r="DG1080" s="2389"/>
      <c r="DH1080" s="537"/>
      <c r="DI1080" s="3216"/>
      <c r="DJ1080" s="2388"/>
      <c r="DK1080" s="2389"/>
      <c r="DL1080" s="2388"/>
      <c r="DM1080" s="2388"/>
      <c r="DN1080" s="2388"/>
      <c r="DO1080" s="2388"/>
      <c r="DP1080" s="2389"/>
      <c r="DQ1080" s="2389"/>
      <c r="DR1080" s="2390"/>
      <c r="DS1080" s="2390"/>
      <c r="DT1080" s="2390"/>
      <c r="DU1080"/>
      <c r="DV1080"/>
      <c r="DW1080"/>
      <c r="DX1080"/>
      <c r="DY1080"/>
      <c r="DZ1080"/>
    </row>
    <row r="1081" spans="1:130" s="2391" customFormat="1" ht="12" hidden="1" customHeight="1" outlineLevel="1" x14ac:dyDescent="0.25">
      <c r="A1081" s="2392" t="s">
        <v>894</v>
      </c>
      <c r="B1081" s="2392"/>
      <c r="C1081" s="2393">
        <f>C1082+(C1083*C$320)</f>
        <v>890</v>
      </c>
      <c r="D1081" s="2393">
        <f>D1082+(D1083*D$320)</f>
        <v>890</v>
      </c>
      <c r="E1081" s="2393">
        <f>E1082+(E1083*E$320)</f>
        <v>890</v>
      </c>
      <c r="F1081" s="2393">
        <f>F1082+(F1083*F$320)</f>
        <v>910</v>
      </c>
      <c r="G1081" s="2394">
        <f>F1081</f>
        <v>910</v>
      </c>
      <c r="H1081" s="2393">
        <f>H1082+(H1083*H$320)</f>
        <v>910</v>
      </c>
      <c r="I1081" s="2393">
        <f>I1082+(I1083*I$320)</f>
        <v>910</v>
      </c>
      <c r="J1081" s="2393">
        <f>J1082+(J1083*J$320)</f>
        <v>910</v>
      </c>
      <c r="K1081" s="2393">
        <f>K1082+(K1083*K$320)</f>
        <v>899</v>
      </c>
      <c r="L1081" s="2394">
        <f>K1081</f>
        <v>899</v>
      </c>
      <c r="M1081" s="2393">
        <f>M1082+(M1083*M$320)</f>
        <v>899</v>
      </c>
      <c r="N1081" s="2393">
        <f>N1082+(N1083*N$320)</f>
        <v>899</v>
      </c>
      <c r="O1081" s="2393">
        <f>O1082+(O1083*O$320)</f>
        <v>899</v>
      </c>
      <c r="P1081" s="2393">
        <f>P1082+(P1083*P$320)</f>
        <v>899</v>
      </c>
      <c r="Q1081" s="2394">
        <f>P1081</f>
        <v>899</v>
      </c>
      <c r="R1081" s="2393">
        <f>R1082+(R1083*R$320)</f>
        <v>899</v>
      </c>
      <c r="S1081" s="2393">
        <f>S1082+(S1083*S$320)</f>
        <v>899</v>
      </c>
      <c r="T1081" s="2393">
        <f>T1082+(T1083*T$320)</f>
        <v>899</v>
      </c>
      <c r="U1081" s="2393">
        <f>U1082+(U1083*U$320)</f>
        <v>802</v>
      </c>
      <c r="V1081" s="2394">
        <f>U1081</f>
        <v>802</v>
      </c>
      <c r="W1081" s="2393">
        <f>W1082+(W1083*W$320)</f>
        <v>768</v>
      </c>
      <c r="X1081" s="2393">
        <f>X1082+(X1083*X$320)</f>
        <v>734</v>
      </c>
      <c r="Y1081" s="2393">
        <f>Y1082+(Y1083*Y$320)</f>
        <v>700</v>
      </c>
      <c r="Z1081" s="2393">
        <f>Z1082+(Z1083*Z$320)</f>
        <v>666</v>
      </c>
      <c r="AA1081" s="2394">
        <f>Z1081</f>
        <v>666</v>
      </c>
      <c r="AB1081" s="2393">
        <f>AB1082+(AB1083*AB$320)</f>
        <v>635</v>
      </c>
      <c r="AC1081" s="2393">
        <f>AC1082+(AC1083*AC$320)</f>
        <v>623</v>
      </c>
      <c r="AD1081" s="2393">
        <f>AD1082+(AD1083*AD$320)</f>
        <v>665</v>
      </c>
      <c r="AE1081" s="2395">
        <f>AE1082+(AE1083*AE$320)</f>
        <v>633</v>
      </c>
      <c r="AF1081" s="2396">
        <f>AE1081</f>
        <v>633</v>
      </c>
      <c r="AG1081" s="2393">
        <f>AG1082+(AG1083*AG$320)</f>
        <v>633</v>
      </c>
      <c r="AH1081" s="2393">
        <f>AH1082+(AH1083*AH$320)</f>
        <v>633</v>
      </c>
      <c r="AI1081" s="2393">
        <f>AI1082+(AI1083*AI$320)</f>
        <v>633</v>
      </c>
      <c r="AJ1081" s="2395">
        <f>AJ1082+(AJ1083*AJ$320)</f>
        <v>633</v>
      </c>
      <c r="AK1081" s="2396">
        <f>AJ1081</f>
        <v>633</v>
      </c>
      <c r="AL1081" s="2393">
        <f>AL1082+(AL1083*AL$320)</f>
        <v>633</v>
      </c>
      <c r="AM1081" s="2393">
        <f>AM1082+(AM1083*AM$320)</f>
        <v>633</v>
      </c>
      <c r="AN1081" s="2393">
        <f>AN1082+(AN1083*AN$320)</f>
        <v>633</v>
      </c>
      <c r="AO1081" s="2395">
        <f>AO1082+(AO1083*AO$320)</f>
        <v>633</v>
      </c>
      <c r="AP1081" s="2397">
        <f>AO1081</f>
        <v>633</v>
      </c>
      <c r="AQ1081" s="2397">
        <f>AQ1082+(AQ1083*AQ$320)</f>
        <v>633</v>
      </c>
      <c r="AR1081" s="2395">
        <f>AR1082+(AR1083*AR$320)</f>
        <v>633</v>
      </c>
      <c r="AS1081" s="2395">
        <f>AS1082+(AS1083*AS$320)</f>
        <v>633</v>
      </c>
      <c r="AT1081" s="2395">
        <f>AT1082+(AT1083*AT$320)</f>
        <v>633</v>
      </c>
      <c r="AU1081" s="2396">
        <f>AT1081</f>
        <v>633</v>
      </c>
      <c r="AV1081" s="2397">
        <f>AV1082+(AV1083*AV$320)</f>
        <v>633</v>
      </c>
      <c r="AW1081" s="2395">
        <f>AW1082+(AW1083*AW$320)</f>
        <v>633</v>
      </c>
      <c r="AX1081" s="2395"/>
      <c r="AY1081" s="2398"/>
      <c r="AZ1081" s="2396"/>
      <c r="BA1081" s="2397"/>
      <c r="BB1081" s="2395"/>
      <c r="BC1081" s="2395"/>
      <c r="BD1081" s="2398"/>
      <c r="BE1081" s="2398"/>
      <c r="BF1081" s="2395"/>
      <c r="BG1081" s="2395"/>
      <c r="BH1081" s="2395"/>
      <c r="BI1081" s="2398"/>
      <c r="BJ1081" s="2398"/>
      <c r="BK1081" s="2395"/>
      <c r="BL1081" s="2395"/>
      <c r="BM1081" s="2395"/>
      <c r="BN1081" s="2398"/>
      <c r="BO1081" s="2398"/>
      <c r="BP1081" s="2395"/>
      <c r="BQ1081" s="2395"/>
      <c r="BR1081" s="2395"/>
      <c r="BS1081" s="2395"/>
      <c r="BT1081" s="3234"/>
      <c r="BU1081" s="3404"/>
      <c r="BV1081" s="3297"/>
      <c r="BW1081" s="3297"/>
      <c r="BX1081" s="3297"/>
      <c r="BY1081" s="3435"/>
      <c r="BZ1081" s="2396"/>
      <c r="CA1081" s="2396"/>
      <c r="CB1081" s="2396"/>
      <c r="CC1081" s="2396"/>
      <c r="CD1081" s="2396"/>
      <c r="CE1081" s="2396"/>
      <c r="CF1081" s="2396"/>
      <c r="CG1081" s="2385"/>
      <c r="CH1081" s="2385"/>
      <c r="CI1081" s="2385"/>
      <c r="CJ1081" s="2385"/>
      <c r="CK1081" s="2385"/>
      <c r="CL1081" s="2399" t="str">
        <f t="shared" si="2570"/>
        <v>Positions</v>
      </c>
      <c r="CM1081" s="2395">
        <f t="shared" si="2571"/>
        <v>910</v>
      </c>
      <c r="CN1081" s="2395">
        <f t="shared" si="2572"/>
        <v>899</v>
      </c>
      <c r="CO1081" s="2395">
        <f t="shared" si="2573"/>
        <v>899</v>
      </c>
      <c r="CP1081" s="2395">
        <f t="shared" si="2574"/>
        <v>802</v>
      </c>
      <c r="CQ1081" s="2395">
        <f t="shared" si="2575"/>
        <v>666</v>
      </c>
      <c r="CR1081" s="2395">
        <f t="shared" si="2576"/>
        <v>633</v>
      </c>
      <c r="CS1081" s="2395">
        <f t="shared" si="2577"/>
        <v>633</v>
      </c>
      <c r="CT1081" s="2395">
        <f t="shared" si="2578"/>
        <v>633</v>
      </c>
      <c r="CU1081" s="2395">
        <f t="shared" si="2579"/>
        <v>633</v>
      </c>
      <c r="CV1081" s="2395">
        <f t="shared" si="2580"/>
        <v>0</v>
      </c>
      <c r="CW1081" s="2395">
        <f t="shared" si="2581"/>
        <v>0</v>
      </c>
      <c r="CX1081" s="2395">
        <f t="shared" si="2582"/>
        <v>0</v>
      </c>
      <c r="CY1081" s="2395">
        <f t="shared" si="2583"/>
        <v>0</v>
      </c>
      <c r="CZ1081" s="2395">
        <f t="shared" si="2584"/>
        <v>0</v>
      </c>
      <c r="DA1081" s="2395">
        <f t="shared" si="2585"/>
        <v>0</v>
      </c>
      <c r="DB1081" s="2395">
        <f t="shared" si="2585"/>
        <v>0</v>
      </c>
      <c r="DC1081" s="2398">
        <f t="shared" si="2585"/>
        <v>0</v>
      </c>
      <c r="DD1081" s="2385"/>
      <c r="DE1081" s="2385"/>
      <c r="DF1081" s="2388"/>
      <c r="DG1081" s="2389"/>
      <c r="DH1081" s="3297"/>
      <c r="DI1081" s="3216"/>
      <c r="DJ1081" s="2388"/>
      <c r="DK1081" s="2389"/>
      <c r="DL1081" s="2388"/>
      <c r="DM1081" s="2388"/>
      <c r="DN1081" s="2388"/>
      <c r="DO1081" s="2388"/>
      <c r="DP1081" s="2389"/>
      <c r="DQ1081" s="2389"/>
      <c r="DR1081" s="2400"/>
      <c r="DS1081" s="2400"/>
      <c r="DT1081" s="2400"/>
      <c r="DU1081"/>
      <c r="DV1081"/>
      <c r="DW1081"/>
      <c r="DX1081"/>
      <c r="DY1081"/>
      <c r="DZ1081"/>
    </row>
    <row r="1082" spans="1:130" s="2391" customFormat="1" ht="12" hidden="1" customHeight="1" outlineLevel="1" x14ac:dyDescent="0.25">
      <c r="A1082" s="2392" t="s">
        <v>585</v>
      </c>
      <c r="B1082" s="2392"/>
      <c r="C1082" s="2393">
        <v>890</v>
      </c>
      <c r="D1082" s="2393">
        <v>890</v>
      </c>
      <c r="E1082" s="2393">
        <v>890</v>
      </c>
      <c r="F1082" s="2393">
        <v>910</v>
      </c>
      <c r="G1082" s="2394">
        <f>F1082</f>
        <v>910</v>
      </c>
      <c r="H1082" s="2393">
        <v>910</v>
      </c>
      <c r="I1082" s="2393">
        <v>910</v>
      </c>
      <c r="J1082" s="2395">
        <v>910</v>
      </c>
      <c r="K1082" s="2395">
        <v>899</v>
      </c>
      <c r="L1082" s="2396">
        <f>K1082</f>
        <v>899</v>
      </c>
      <c r="M1082" s="2395">
        <v>899</v>
      </c>
      <c r="N1082" s="2395">
        <v>899</v>
      </c>
      <c r="O1082" s="2395">
        <v>899</v>
      </c>
      <c r="P1082" s="2393">
        <v>899</v>
      </c>
      <c r="Q1082" s="2394">
        <f>P1082</f>
        <v>899</v>
      </c>
      <c r="R1082" s="2393">
        <v>899</v>
      </c>
      <c r="S1082" s="2393">
        <v>899</v>
      </c>
      <c r="T1082" s="2393">
        <v>899</v>
      </c>
      <c r="U1082" s="2393">
        <v>802</v>
      </c>
      <c r="V1082" s="2394">
        <f>U1082</f>
        <v>802</v>
      </c>
      <c r="W1082" s="2393">
        <f>U1082-34</f>
        <v>768</v>
      </c>
      <c r="X1082" s="2393">
        <f>W1082-34</f>
        <v>734</v>
      </c>
      <c r="Y1082" s="2393">
        <f>X1082-34</f>
        <v>700</v>
      </c>
      <c r="Z1082" s="2393">
        <v>666</v>
      </c>
      <c r="AA1082" s="2394">
        <f>Z1082</f>
        <v>666</v>
      </c>
      <c r="AB1082" s="2395">
        <f>Z1082-31</f>
        <v>635</v>
      </c>
      <c r="AC1082" s="2395">
        <v>623</v>
      </c>
      <c r="AD1082" s="2395">
        <v>623</v>
      </c>
      <c r="AE1082" s="2395">
        <v>591</v>
      </c>
      <c r="AF1082" s="2396">
        <f>AE1082</f>
        <v>591</v>
      </c>
      <c r="AG1082" s="2395">
        <f>AE1082</f>
        <v>591</v>
      </c>
      <c r="AH1082" s="2395">
        <f t="shared" ref="AH1082:AJ1083" si="2586">AG1082</f>
        <v>591</v>
      </c>
      <c r="AI1082" s="2395">
        <f t="shared" si="2586"/>
        <v>591</v>
      </c>
      <c r="AJ1082" s="2395">
        <f t="shared" si="2586"/>
        <v>591</v>
      </c>
      <c r="AK1082" s="2396">
        <f>AJ1082</f>
        <v>591</v>
      </c>
      <c r="AL1082" s="2395">
        <f>AJ1082</f>
        <v>591</v>
      </c>
      <c r="AM1082" s="2395">
        <f t="shared" ref="AM1082:AO1083" si="2587">AL1082</f>
        <v>591</v>
      </c>
      <c r="AN1082" s="2395">
        <f t="shared" si="2587"/>
        <v>591</v>
      </c>
      <c r="AO1082" s="2395">
        <f t="shared" si="2587"/>
        <v>591</v>
      </c>
      <c r="AP1082" s="2397">
        <f>AO1082</f>
        <v>591</v>
      </c>
      <c r="AQ1082" s="2397">
        <f t="shared" ref="AQ1082:AT1083" si="2588">AP1082</f>
        <v>591</v>
      </c>
      <c r="AR1082" s="2395">
        <f t="shared" si="2588"/>
        <v>591</v>
      </c>
      <c r="AS1082" s="2395">
        <f t="shared" si="2588"/>
        <v>591</v>
      </c>
      <c r="AT1082" s="2395">
        <f t="shared" si="2588"/>
        <v>591</v>
      </c>
      <c r="AU1082" s="2396">
        <f>AT1082</f>
        <v>591</v>
      </c>
      <c r="AV1082" s="2397">
        <f>AU1082</f>
        <v>591</v>
      </c>
      <c r="AW1082" s="2395">
        <f>AV1082</f>
        <v>591</v>
      </c>
      <c r="AX1082" s="2395"/>
      <c r="AY1082" s="2398"/>
      <c r="AZ1082" s="2396"/>
      <c r="BA1082" s="2397"/>
      <c r="BB1082" s="2395"/>
      <c r="BC1082" s="2395"/>
      <c r="BD1082" s="2398"/>
      <c r="BE1082" s="2398"/>
      <c r="BF1082" s="2395"/>
      <c r="BG1082" s="2395"/>
      <c r="BH1082" s="2395"/>
      <c r="BI1082" s="2398"/>
      <c r="BJ1082" s="2398"/>
      <c r="BK1082" s="2395"/>
      <c r="BL1082" s="2395"/>
      <c r="BM1082" s="2395"/>
      <c r="BN1082" s="2398"/>
      <c r="BO1082" s="2398"/>
      <c r="BP1082" s="2395"/>
      <c r="BQ1082" s="2395"/>
      <c r="BR1082" s="2395"/>
      <c r="BS1082" s="2395"/>
      <c r="BT1082" s="3234"/>
      <c r="BU1082" s="3404"/>
      <c r="BV1082" s="3297"/>
      <c r="BW1082" s="3297"/>
      <c r="BX1082" s="3297"/>
      <c r="BY1082" s="3435"/>
      <c r="BZ1082" s="2396"/>
      <c r="CA1082" s="2396"/>
      <c r="CB1082" s="2396"/>
      <c r="CC1082" s="2396"/>
      <c r="CD1082" s="2396"/>
      <c r="CE1082" s="2396"/>
      <c r="CF1082" s="2396"/>
      <c r="CG1082" s="2385"/>
      <c r="CH1082" s="2385"/>
      <c r="CI1082" s="2385"/>
      <c r="CJ1082" s="2385"/>
      <c r="CK1082" s="2385"/>
      <c r="CL1082" s="2399" t="str">
        <f t="shared" si="2570"/>
        <v>Slots</v>
      </c>
      <c r="CM1082" s="2395">
        <f t="shared" si="2571"/>
        <v>910</v>
      </c>
      <c r="CN1082" s="2395">
        <f t="shared" si="2572"/>
        <v>899</v>
      </c>
      <c r="CO1082" s="2395">
        <f t="shared" si="2573"/>
        <v>899</v>
      </c>
      <c r="CP1082" s="2395">
        <f t="shared" si="2574"/>
        <v>802</v>
      </c>
      <c r="CQ1082" s="2395">
        <f t="shared" si="2575"/>
        <v>666</v>
      </c>
      <c r="CR1082" s="2395">
        <f t="shared" si="2576"/>
        <v>591</v>
      </c>
      <c r="CS1082" s="2395">
        <f t="shared" si="2577"/>
        <v>591</v>
      </c>
      <c r="CT1082" s="2395">
        <f t="shared" si="2578"/>
        <v>591</v>
      </c>
      <c r="CU1082" s="2395">
        <f t="shared" si="2579"/>
        <v>591</v>
      </c>
      <c r="CV1082" s="2395">
        <f t="shared" si="2580"/>
        <v>0</v>
      </c>
      <c r="CW1082" s="2395">
        <f t="shared" si="2581"/>
        <v>0</v>
      </c>
      <c r="CX1082" s="2395">
        <f t="shared" si="2582"/>
        <v>0</v>
      </c>
      <c r="CY1082" s="2395">
        <f t="shared" si="2583"/>
        <v>0</v>
      </c>
      <c r="CZ1082" s="2395">
        <f t="shared" si="2584"/>
        <v>0</v>
      </c>
      <c r="DA1082" s="2395">
        <f t="shared" si="2585"/>
        <v>0</v>
      </c>
      <c r="DB1082" s="2395">
        <f t="shared" si="2585"/>
        <v>0</v>
      </c>
      <c r="DC1082" s="2398">
        <f t="shared" si="2585"/>
        <v>0</v>
      </c>
      <c r="DD1082" s="2385"/>
      <c r="DE1082" s="2385"/>
      <c r="DF1082" s="2388"/>
      <c r="DG1082" s="2389"/>
      <c r="DH1082" s="3297"/>
      <c r="DI1082" s="3216"/>
      <c r="DJ1082" s="2388"/>
      <c r="DK1082" s="2389"/>
      <c r="DL1082" s="2388"/>
      <c r="DM1082" s="2388"/>
      <c r="DN1082" s="2388"/>
      <c r="DO1082" s="2388"/>
      <c r="DP1082" s="2389"/>
      <c r="DQ1082" s="2389"/>
      <c r="DR1082" s="2400"/>
      <c r="DS1082" s="2400"/>
      <c r="DT1082" s="2400"/>
      <c r="DU1082"/>
      <c r="DV1082"/>
      <c r="DW1082"/>
      <c r="DX1082"/>
      <c r="DY1082"/>
      <c r="DZ1082"/>
    </row>
    <row r="1083" spans="1:130" s="2391" customFormat="1" ht="12" hidden="1" customHeight="1" outlineLevel="1" x14ac:dyDescent="0.25">
      <c r="A1083" s="2392" t="s">
        <v>584</v>
      </c>
      <c r="B1083" s="2392"/>
      <c r="C1083" s="2393">
        <v>0</v>
      </c>
      <c r="D1083" s="2393">
        <v>0</v>
      </c>
      <c r="E1083" s="2393">
        <v>0</v>
      </c>
      <c r="F1083" s="2393">
        <v>0</v>
      </c>
      <c r="G1083" s="2394">
        <f>F1083</f>
        <v>0</v>
      </c>
      <c r="H1083" s="2393">
        <v>0</v>
      </c>
      <c r="I1083" s="2393">
        <v>0</v>
      </c>
      <c r="J1083" s="2395">
        <v>0</v>
      </c>
      <c r="K1083" s="2395">
        <v>0</v>
      </c>
      <c r="L1083" s="2396">
        <f>K1083</f>
        <v>0</v>
      </c>
      <c r="M1083" s="2395">
        <v>0</v>
      </c>
      <c r="N1083" s="2395">
        <v>0</v>
      </c>
      <c r="O1083" s="2395">
        <v>0</v>
      </c>
      <c r="P1083" s="2393">
        <v>0</v>
      </c>
      <c r="Q1083" s="2394">
        <f>P1083</f>
        <v>0</v>
      </c>
      <c r="R1083" s="2393">
        <v>0</v>
      </c>
      <c r="S1083" s="2393">
        <v>0</v>
      </c>
      <c r="T1083" s="2393">
        <v>0</v>
      </c>
      <c r="U1083" s="2393">
        <v>0</v>
      </c>
      <c r="V1083" s="2394">
        <f>U1083</f>
        <v>0</v>
      </c>
      <c r="W1083" s="2393">
        <v>0</v>
      </c>
      <c r="X1083" s="2393">
        <v>0</v>
      </c>
      <c r="Y1083" s="2393">
        <v>0</v>
      </c>
      <c r="Z1083" s="2393">
        <v>0</v>
      </c>
      <c r="AA1083" s="2394">
        <f>Z1083</f>
        <v>0</v>
      </c>
      <c r="AB1083" s="2395">
        <v>0</v>
      </c>
      <c r="AC1083" s="2395">
        <v>0</v>
      </c>
      <c r="AD1083" s="2395">
        <v>7</v>
      </c>
      <c r="AE1083" s="2395">
        <v>7</v>
      </c>
      <c r="AF1083" s="2396">
        <f>AE1083</f>
        <v>7</v>
      </c>
      <c r="AG1083" s="2395">
        <f>AE1083</f>
        <v>7</v>
      </c>
      <c r="AH1083" s="2395">
        <f t="shared" si="2586"/>
        <v>7</v>
      </c>
      <c r="AI1083" s="2395">
        <f t="shared" si="2586"/>
        <v>7</v>
      </c>
      <c r="AJ1083" s="2395">
        <f t="shared" si="2586"/>
        <v>7</v>
      </c>
      <c r="AK1083" s="2396">
        <f>AJ1083</f>
        <v>7</v>
      </c>
      <c r="AL1083" s="2395">
        <f>AJ1083</f>
        <v>7</v>
      </c>
      <c r="AM1083" s="2395">
        <f t="shared" si="2587"/>
        <v>7</v>
      </c>
      <c r="AN1083" s="2395">
        <f t="shared" si="2587"/>
        <v>7</v>
      </c>
      <c r="AO1083" s="2395">
        <f t="shared" si="2587"/>
        <v>7</v>
      </c>
      <c r="AP1083" s="2397">
        <f>AO1083</f>
        <v>7</v>
      </c>
      <c r="AQ1083" s="2397">
        <f t="shared" si="2588"/>
        <v>7</v>
      </c>
      <c r="AR1083" s="2395">
        <f t="shared" si="2588"/>
        <v>7</v>
      </c>
      <c r="AS1083" s="2395">
        <f t="shared" si="2588"/>
        <v>7</v>
      </c>
      <c r="AT1083" s="2395">
        <f t="shared" si="2588"/>
        <v>7</v>
      </c>
      <c r="AU1083" s="2396">
        <f>AT1083</f>
        <v>7</v>
      </c>
      <c r="AV1083" s="2397">
        <f>AU1083</f>
        <v>7</v>
      </c>
      <c r="AW1083" s="2395">
        <f>AV1083</f>
        <v>7</v>
      </c>
      <c r="AX1083" s="2395"/>
      <c r="AY1083" s="2398"/>
      <c r="AZ1083" s="2396"/>
      <c r="BA1083" s="2397"/>
      <c r="BB1083" s="2395"/>
      <c r="BC1083" s="2395"/>
      <c r="BD1083" s="2398"/>
      <c r="BE1083" s="2398"/>
      <c r="BF1083" s="2395"/>
      <c r="BG1083" s="2395"/>
      <c r="BH1083" s="2395"/>
      <c r="BI1083" s="2398"/>
      <c r="BJ1083" s="2398"/>
      <c r="BK1083" s="2395"/>
      <c r="BL1083" s="2395"/>
      <c r="BM1083" s="2395"/>
      <c r="BN1083" s="2398"/>
      <c r="BO1083" s="2398"/>
      <c r="BP1083" s="2395"/>
      <c r="BQ1083" s="2395"/>
      <c r="BR1083" s="2395"/>
      <c r="BS1083" s="2395"/>
      <c r="BT1083" s="3234"/>
      <c r="BU1083" s="3404"/>
      <c r="BV1083" s="3297"/>
      <c r="BW1083" s="3297"/>
      <c r="BX1083" s="3297"/>
      <c r="BY1083" s="3435"/>
      <c r="BZ1083" s="2396"/>
      <c r="CA1083" s="2396"/>
      <c r="CB1083" s="2396"/>
      <c r="CC1083" s="2396"/>
      <c r="CD1083" s="2396"/>
      <c r="CE1083" s="2396"/>
      <c r="CF1083" s="2396"/>
      <c r="CG1083" s="2385"/>
      <c r="CH1083" s="2385"/>
      <c r="CI1083" s="2385"/>
      <c r="CJ1083" s="2385"/>
      <c r="CK1083" s="2385"/>
      <c r="CL1083" s="2399" t="str">
        <f t="shared" si="2570"/>
        <v>Tables</v>
      </c>
      <c r="CM1083" s="2395">
        <f t="shared" si="2571"/>
        <v>0</v>
      </c>
      <c r="CN1083" s="2395">
        <f t="shared" si="2572"/>
        <v>0</v>
      </c>
      <c r="CO1083" s="2395">
        <f t="shared" si="2573"/>
        <v>0</v>
      </c>
      <c r="CP1083" s="2395">
        <f t="shared" si="2574"/>
        <v>0</v>
      </c>
      <c r="CQ1083" s="2395">
        <f t="shared" si="2575"/>
        <v>0</v>
      </c>
      <c r="CR1083" s="2395">
        <f t="shared" si="2576"/>
        <v>7</v>
      </c>
      <c r="CS1083" s="2395">
        <f t="shared" si="2577"/>
        <v>7</v>
      </c>
      <c r="CT1083" s="2395">
        <f t="shared" si="2578"/>
        <v>7</v>
      </c>
      <c r="CU1083" s="2395">
        <f t="shared" si="2579"/>
        <v>7</v>
      </c>
      <c r="CV1083" s="2395">
        <f t="shared" si="2580"/>
        <v>0</v>
      </c>
      <c r="CW1083" s="2395">
        <f t="shared" si="2581"/>
        <v>0</v>
      </c>
      <c r="CX1083" s="2395">
        <f t="shared" si="2582"/>
        <v>0</v>
      </c>
      <c r="CY1083" s="2395">
        <f t="shared" si="2583"/>
        <v>0</v>
      </c>
      <c r="CZ1083" s="2395">
        <f t="shared" si="2584"/>
        <v>0</v>
      </c>
      <c r="DA1083" s="2395">
        <f t="shared" si="2585"/>
        <v>0</v>
      </c>
      <c r="DB1083" s="2395">
        <f t="shared" si="2585"/>
        <v>0</v>
      </c>
      <c r="DC1083" s="2398">
        <f t="shared" si="2585"/>
        <v>0</v>
      </c>
      <c r="DD1083" s="2385"/>
      <c r="DE1083" s="2385"/>
      <c r="DF1083" s="2388"/>
      <c r="DG1083" s="2389"/>
      <c r="DH1083" s="3297"/>
      <c r="DI1083" s="3216"/>
      <c r="DJ1083" s="2388"/>
      <c r="DK1083" s="2389"/>
      <c r="DL1083" s="2388"/>
      <c r="DM1083" s="2388"/>
      <c r="DN1083" s="2388"/>
      <c r="DO1083" s="2388"/>
      <c r="DP1083" s="2389"/>
      <c r="DQ1083" s="2389"/>
      <c r="DR1083" s="2400"/>
      <c r="DS1083" s="2400"/>
      <c r="DT1083" s="2400"/>
      <c r="DU1083"/>
      <c r="DV1083"/>
      <c r="DW1083"/>
      <c r="DX1083"/>
      <c r="DY1083"/>
      <c r="DZ1083"/>
    </row>
    <row r="1084" spans="1:130" s="2391" customFormat="1" ht="12" hidden="1" customHeight="1" outlineLevel="1" x14ac:dyDescent="0.25">
      <c r="A1084" s="2401" t="s">
        <v>2111</v>
      </c>
      <c r="B1084" s="2392"/>
      <c r="C1084" s="2393">
        <v>890</v>
      </c>
      <c r="D1084" s="2393">
        <f>AVERAGE(C1081:D1081)</f>
        <v>890</v>
      </c>
      <c r="E1084" s="2393">
        <f>AVERAGE(D1081:E1081)</f>
        <v>890</v>
      </c>
      <c r="F1084" s="2393">
        <f>AVERAGE(E1081:F1081)</f>
        <v>900</v>
      </c>
      <c r="G1084" s="2394">
        <f>AVERAGE(C1084:F1084)</f>
        <v>892.5</v>
      </c>
      <c r="H1084" s="2393">
        <f>AVERAGE(G1081:H1081)</f>
        <v>910</v>
      </c>
      <c r="I1084" s="2393">
        <f>AVERAGE(H1081:I1081)</f>
        <v>910</v>
      </c>
      <c r="J1084" s="2395">
        <f>AVERAGE(I1081:J1081)</f>
        <v>910</v>
      </c>
      <c r="K1084" s="2395">
        <f>AVERAGE(J1081:K1081)</f>
        <v>904.5</v>
      </c>
      <c r="L1084" s="2396">
        <f>AVERAGE(H1084:K1084)</f>
        <v>908.625</v>
      </c>
      <c r="M1084" s="2395">
        <f>AVERAGE(L1081:M1081)</f>
        <v>899</v>
      </c>
      <c r="N1084" s="2395">
        <f>AVERAGE(M1081:N1081)</f>
        <v>899</v>
      </c>
      <c r="O1084" s="2395">
        <f>AVERAGE(N1081:O1081)</f>
        <v>899</v>
      </c>
      <c r="P1084" s="2393">
        <f>AVERAGE(O1081:P1081)</f>
        <v>899</v>
      </c>
      <c r="Q1084" s="2394">
        <f>AVERAGE(M1084:P1084)</f>
        <v>899</v>
      </c>
      <c r="R1084" s="2393">
        <f>AVERAGE(Q1081:R1081)</f>
        <v>899</v>
      </c>
      <c r="S1084" s="2393">
        <f>AVERAGE(R1081:S1081)</f>
        <v>899</v>
      </c>
      <c r="T1084" s="2393">
        <f>AVERAGE(S1081:T1081)</f>
        <v>899</v>
      </c>
      <c r="U1084" s="2393">
        <f>AVERAGE(T1081:U1081)</f>
        <v>850.5</v>
      </c>
      <c r="V1084" s="2394">
        <f>AVERAGE(R1084:U1084)</f>
        <v>886.875</v>
      </c>
      <c r="W1084" s="2393">
        <f>AVERAGE(V1081:W1081)</f>
        <v>785</v>
      </c>
      <c r="X1084" s="2393">
        <f>AVERAGE(W1081:X1081)</f>
        <v>751</v>
      </c>
      <c r="Y1084" s="2393">
        <f>AVERAGE(X1081:Y1081)</f>
        <v>717</v>
      </c>
      <c r="Z1084" s="2393">
        <f>AVERAGE(Y1081:Z1081)</f>
        <v>683</v>
      </c>
      <c r="AA1084" s="2394">
        <f>AVERAGE(W1084:Z1084)</f>
        <v>734</v>
      </c>
      <c r="AB1084" s="2393">
        <f>AVERAGE(AA1081:AB1081)</f>
        <v>650.5</v>
      </c>
      <c r="AC1084" s="2393">
        <f>AVERAGE(AB1081:AC1081)</f>
        <v>629</v>
      </c>
      <c r="AD1084" s="2393">
        <f>AVERAGE(AC1081:AD1081)</f>
        <v>644</v>
      </c>
      <c r="AE1084" s="2395">
        <f>AVERAGE(AD1081:AE1081)</f>
        <v>649</v>
      </c>
      <c r="AF1084" s="2396">
        <f>AVERAGE(AB1084:AE1084)</f>
        <v>643.125</v>
      </c>
      <c r="AG1084" s="2393">
        <f>AVERAGE(AF1081:AG1081)</f>
        <v>633</v>
      </c>
      <c r="AH1084" s="2393">
        <f>AVERAGE(AG1081:AH1081)</f>
        <v>633</v>
      </c>
      <c r="AI1084" s="2393">
        <f>AVERAGE(AH1081:AI1081)</f>
        <v>633</v>
      </c>
      <c r="AJ1084" s="2395">
        <f>AVERAGE(AI1081:AJ1081)</f>
        <v>633</v>
      </c>
      <c r="AK1084" s="2396">
        <f>AVERAGE(AG1084:AJ1084)</f>
        <v>633</v>
      </c>
      <c r="AL1084" s="2393">
        <f>AVERAGE(AK1081:AL1081)</f>
        <v>633</v>
      </c>
      <c r="AM1084" s="2393">
        <f>AVERAGE(AL1081:AM1081)</f>
        <v>633</v>
      </c>
      <c r="AN1084" s="2393">
        <f>AVERAGE(AM1081:AN1081)</f>
        <v>633</v>
      </c>
      <c r="AO1084" s="2395">
        <f>AVERAGE(AN1081:AO1081)</f>
        <v>633</v>
      </c>
      <c r="AP1084" s="2397">
        <f>AVERAGE(AL1084:AO1084)</f>
        <v>633</v>
      </c>
      <c r="AQ1084" s="2397">
        <f>AVERAGE(AP1081:AQ1081)</f>
        <v>633</v>
      </c>
      <c r="AR1084" s="2395">
        <f>AVERAGE(AQ1081:AR1081)</f>
        <v>633</v>
      </c>
      <c r="AS1084" s="2395">
        <f>AVERAGE(AR1081:AS1081)</f>
        <v>633</v>
      </c>
      <c r="AT1084" s="2395">
        <f>AVERAGE(AS1081:AT1081)</f>
        <v>633</v>
      </c>
      <c r="AU1084" s="2396">
        <f>AVERAGE(AQ1084:AT1084)</f>
        <v>633</v>
      </c>
      <c r="AV1084" s="2397">
        <f>AVERAGE(AU1081:AV1081)</f>
        <v>633</v>
      </c>
      <c r="AW1084" s="2395">
        <f>AVERAGE(AV1081:AW1081)</f>
        <v>633</v>
      </c>
      <c r="AX1084" s="2395"/>
      <c r="AY1084" s="2398"/>
      <c r="AZ1084" s="2396"/>
      <c r="BA1084" s="2397"/>
      <c r="BB1084" s="2395"/>
      <c r="BC1084" s="2395"/>
      <c r="BD1084" s="2398"/>
      <c r="BE1084" s="2398"/>
      <c r="BF1084" s="2395"/>
      <c r="BG1084" s="2395"/>
      <c r="BH1084" s="2395"/>
      <c r="BI1084" s="2398"/>
      <c r="BJ1084" s="2398"/>
      <c r="BK1084" s="2395"/>
      <c r="BL1084" s="2395"/>
      <c r="BM1084" s="2395"/>
      <c r="BN1084" s="2398"/>
      <c r="BO1084" s="2398"/>
      <c r="BP1084" s="2395"/>
      <c r="BQ1084" s="2395"/>
      <c r="BR1084" s="2395"/>
      <c r="BS1084" s="2395"/>
      <c r="BT1084" s="3234"/>
      <c r="BU1084" s="3404"/>
      <c r="BV1084" s="3297"/>
      <c r="BW1084" s="3297"/>
      <c r="BX1084" s="3297"/>
      <c r="BY1084" s="3435"/>
      <c r="BZ1084" s="2396"/>
      <c r="CA1084" s="2396"/>
      <c r="CB1084" s="2396"/>
      <c r="CC1084" s="2396"/>
      <c r="CD1084" s="2396"/>
      <c r="CE1084" s="2396"/>
      <c r="CF1084" s="2396"/>
      <c r="CG1084" s="2385"/>
      <c r="CH1084" s="2385"/>
      <c r="CI1084" s="2385"/>
      <c r="CJ1084" s="2385"/>
      <c r="CK1084" s="2385"/>
      <c r="CL1084" s="2402" t="str">
        <f t="shared" si="2570"/>
        <v>Average Positions</v>
      </c>
      <c r="CM1084" s="2395">
        <f t="shared" si="2571"/>
        <v>892.5</v>
      </c>
      <c r="CN1084" s="2395">
        <f t="shared" si="2572"/>
        <v>908.625</v>
      </c>
      <c r="CO1084" s="2395">
        <f t="shared" si="2573"/>
        <v>899</v>
      </c>
      <c r="CP1084" s="2395">
        <f t="shared" si="2574"/>
        <v>886.875</v>
      </c>
      <c r="CQ1084" s="2395">
        <f t="shared" si="2575"/>
        <v>734</v>
      </c>
      <c r="CR1084" s="2395">
        <f t="shared" si="2576"/>
        <v>643.125</v>
      </c>
      <c r="CS1084" s="2395">
        <f t="shared" si="2577"/>
        <v>633</v>
      </c>
      <c r="CT1084" s="2395">
        <f t="shared" si="2578"/>
        <v>633</v>
      </c>
      <c r="CU1084" s="2395">
        <f t="shared" si="2579"/>
        <v>633</v>
      </c>
      <c r="CV1084" s="2395">
        <f t="shared" si="2580"/>
        <v>0</v>
      </c>
      <c r="CW1084" s="2395">
        <f t="shared" si="2581"/>
        <v>0</v>
      </c>
      <c r="CX1084" s="2395">
        <f t="shared" si="2582"/>
        <v>0</v>
      </c>
      <c r="CY1084" s="2395">
        <f t="shared" si="2583"/>
        <v>0</v>
      </c>
      <c r="CZ1084" s="2395">
        <f t="shared" si="2584"/>
        <v>0</v>
      </c>
      <c r="DA1084" s="2395">
        <f t="shared" si="2585"/>
        <v>0</v>
      </c>
      <c r="DB1084" s="2395">
        <f t="shared" si="2585"/>
        <v>0</v>
      </c>
      <c r="DC1084" s="2398">
        <f t="shared" si="2585"/>
        <v>0</v>
      </c>
      <c r="DD1084" s="2385"/>
      <c r="DE1084" s="2385"/>
      <c r="DF1084" s="2388"/>
      <c r="DG1084" s="2389"/>
      <c r="DH1084" s="3297"/>
      <c r="DI1084" s="3216"/>
      <c r="DJ1084" s="2388"/>
      <c r="DK1084" s="2389"/>
      <c r="DL1084" s="2388"/>
      <c r="DM1084" s="2388"/>
      <c r="DN1084" s="2388"/>
      <c r="DO1084" s="2388"/>
      <c r="DP1084" s="2389"/>
      <c r="DQ1084" s="2389"/>
      <c r="DR1084" s="2400"/>
      <c r="DS1084" s="2400"/>
      <c r="DT1084" s="2400"/>
      <c r="DU1084"/>
      <c r="DV1084"/>
      <c r="DW1084"/>
      <c r="DX1084"/>
      <c r="DY1084"/>
      <c r="DZ1084"/>
    </row>
    <row r="1085" spans="1:130" s="2391" customFormat="1" ht="12" hidden="1" customHeight="1" outlineLevel="1" x14ac:dyDescent="0.25">
      <c r="A1085" s="2403" t="s">
        <v>901</v>
      </c>
      <c r="B1085" s="2404"/>
      <c r="C1085" s="2405">
        <f t="shared" ref="C1085:AH1085" si="2589">C1088*1000000/C1084/C$5</f>
        <v>95.789603654772208</v>
      </c>
      <c r="D1085" s="2405">
        <f t="shared" si="2589"/>
        <v>101.34584516606988</v>
      </c>
      <c r="E1085" s="2405">
        <f t="shared" si="2589"/>
        <v>101.23351245725452</v>
      </c>
      <c r="F1085" s="2405">
        <f t="shared" si="2589"/>
        <v>93.973429951690818</v>
      </c>
      <c r="G1085" s="2406">
        <f t="shared" si="2589"/>
        <v>98.072890358329118</v>
      </c>
      <c r="H1085" s="2405">
        <f t="shared" si="2589"/>
        <v>87.99755799755799</v>
      </c>
      <c r="I1085" s="2405">
        <f t="shared" si="2589"/>
        <v>83.287042627701965</v>
      </c>
      <c r="J1085" s="2405">
        <f t="shared" si="2589"/>
        <v>94.218824653607257</v>
      </c>
      <c r="K1085" s="2405">
        <f t="shared" si="2589"/>
        <v>102.48275530559761</v>
      </c>
      <c r="L1085" s="2406">
        <f t="shared" si="2589"/>
        <v>92.025245129909891</v>
      </c>
      <c r="M1085" s="2405">
        <f t="shared" si="2589"/>
        <v>81.399085403534784</v>
      </c>
      <c r="N1085" s="2405">
        <f t="shared" si="2589"/>
        <v>86.005207251035955</v>
      </c>
      <c r="O1085" s="2405">
        <f t="shared" si="2589"/>
        <v>83.462301107510754</v>
      </c>
      <c r="P1085" s="2405">
        <f t="shared" si="2589"/>
        <v>76.014412148764336</v>
      </c>
      <c r="Q1085" s="2406">
        <f t="shared" si="2589"/>
        <v>81.710271686958109</v>
      </c>
      <c r="R1085" s="2405">
        <f t="shared" si="2589"/>
        <v>88.134964775676679</v>
      </c>
      <c r="S1085" s="2405">
        <f t="shared" si="2589"/>
        <v>91.469153760588696</v>
      </c>
      <c r="T1085" s="2405">
        <f t="shared" si="2589"/>
        <v>95.347487546549317</v>
      </c>
      <c r="U1085" s="2405">
        <f t="shared" si="2589"/>
        <v>81.56327479998977</v>
      </c>
      <c r="V1085" s="2406">
        <f t="shared" si="2589"/>
        <v>89.222006622452611</v>
      </c>
      <c r="W1085" s="2405">
        <f t="shared" si="2589"/>
        <v>80.408763211310983</v>
      </c>
      <c r="X1085" s="2405">
        <f t="shared" si="2589"/>
        <v>84.268594255278671</v>
      </c>
      <c r="Y1085" s="2405">
        <f t="shared" si="2589"/>
        <v>92.868837547753316</v>
      </c>
      <c r="Z1085" s="2405">
        <f t="shared" si="2589"/>
        <v>71.599083328028513</v>
      </c>
      <c r="AA1085" s="2406">
        <f t="shared" si="2589"/>
        <v>82.369232143654799</v>
      </c>
      <c r="AB1085" s="2405">
        <f t="shared" si="2589"/>
        <v>82.876419847980188</v>
      </c>
      <c r="AC1085" s="2405">
        <f t="shared" si="2589"/>
        <v>82.461258931847169</v>
      </c>
      <c r="AD1085" s="2405">
        <f t="shared" si="2589"/>
        <v>91.277342695112068</v>
      </c>
      <c r="AE1085" s="2407">
        <f t="shared" si="2589"/>
        <v>78.347960072352109</v>
      </c>
      <c r="AF1085" s="2408">
        <f t="shared" si="2589"/>
        <v>83.74349348349908</v>
      </c>
      <c r="AG1085" s="2405">
        <f t="shared" si="2589"/>
        <v>85.71177812883974</v>
      </c>
      <c r="AH1085" s="2405">
        <f t="shared" si="2589"/>
        <v>83.832439282676248</v>
      </c>
      <c r="AI1085" s="2405">
        <f t="shared" ref="AI1085:AW1085" si="2590">AI1088*1000000/AI1084/AI$5</f>
        <v>76.464729720447835</v>
      </c>
      <c r="AJ1085" s="2407">
        <f t="shared" si="2590"/>
        <v>62.332577786935914</v>
      </c>
      <c r="AK1085" s="2408">
        <f t="shared" si="2590"/>
        <v>77.019628210954579</v>
      </c>
      <c r="AL1085" s="2405">
        <f t="shared" si="2590"/>
        <v>52.009829734948219</v>
      </c>
      <c r="AM1085" s="2405">
        <f t="shared" si="2590"/>
        <v>52.775029078346613</v>
      </c>
      <c r="AN1085" s="2405">
        <f t="shared" si="2590"/>
        <v>77.994024314856787</v>
      </c>
      <c r="AO1085" s="2407">
        <f t="shared" si="2590"/>
        <v>63.57922934267463</v>
      </c>
      <c r="AP1085" s="2409">
        <f t="shared" si="2590"/>
        <v>61.666168928130887</v>
      </c>
      <c r="AQ1085" s="2409">
        <f t="shared" si="2590"/>
        <v>52.467059007343366</v>
      </c>
      <c r="AR1085" s="2407">
        <f t="shared" si="2590"/>
        <v>53.830529659913545</v>
      </c>
      <c r="AS1085" s="2407">
        <f t="shared" si="2590"/>
        <v>79.553904801153934</v>
      </c>
      <c r="AT1085" s="2407">
        <f t="shared" si="2590"/>
        <v>64.85081392952813</v>
      </c>
      <c r="AU1085" s="2408">
        <f t="shared" si="2590"/>
        <v>62.727635770336427</v>
      </c>
      <c r="AV1085" s="2409">
        <f t="shared" si="2590"/>
        <v>54.111026856240137</v>
      </c>
      <c r="AW1085" s="2407">
        <f t="shared" si="2590"/>
        <v>54.907140253111827</v>
      </c>
      <c r="AX1085" s="2407"/>
      <c r="AY1085" s="2410"/>
      <c r="AZ1085" s="2408"/>
      <c r="BA1085" s="2409"/>
      <c r="BB1085" s="2407"/>
      <c r="BC1085" s="2407"/>
      <c r="BD1085" s="2410"/>
      <c r="BE1085" s="2410"/>
      <c r="BF1085" s="2407"/>
      <c r="BG1085" s="2407"/>
      <c r="BH1085" s="2407"/>
      <c r="BI1085" s="2410"/>
      <c r="BJ1085" s="2410"/>
      <c r="BK1085" s="2407"/>
      <c r="BL1085" s="2407"/>
      <c r="BM1085" s="2407"/>
      <c r="BN1085" s="2410"/>
      <c r="BO1085" s="2410"/>
      <c r="BP1085" s="2407"/>
      <c r="BQ1085" s="2407"/>
      <c r="BR1085" s="2407"/>
      <c r="BS1085" s="2407"/>
      <c r="BT1085" s="2589"/>
      <c r="BU1085" s="3405"/>
      <c r="BV1085" s="2588"/>
      <c r="BW1085" s="2588"/>
      <c r="BX1085" s="2588"/>
      <c r="BY1085" s="3436"/>
      <c r="BZ1085" s="2408"/>
      <c r="CA1085" s="2408"/>
      <c r="CB1085" s="2408"/>
      <c r="CC1085" s="2408"/>
      <c r="CD1085" s="2408"/>
      <c r="CE1085" s="2408"/>
      <c r="CF1085" s="2408"/>
      <c r="CG1085" s="2407"/>
      <c r="CH1085" s="2407"/>
      <c r="CI1085" s="2407"/>
      <c r="CJ1085" s="2407"/>
      <c r="CK1085" s="2407"/>
      <c r="CL1085" s="2411" t="str">
        <f t="shared" si="2570"/>
        <v>Daily Win / Position</v>
      </c>
      <c r="CM1085" s="2407">
        <f t="shared" si="2571"/>
        <v>98.072890358329118</v>
      </c>
      <c r="CN1085" s="2407">
        <f t="shared" si="2572"/>
        <v>92.025245129909891</v>
      </c>
      <c r="CO1085" s="2407">
        <f t="shared" si="2573"/>
        <v>81.710271686958109</v>
      </c>
      <c r="CP1085" s="2407">
        <f t="shared" si="2574"/>
        <v>89.222006622452611</v>
      </c>
      <c r="CQ1085" s="2407">
        <f t="shared" si="2575"/>
        <v>82.369232143654799</v>
      </c>
      <c r="CR1085" s="2407">
        <f t="shared" si="2576"/>
        <v>83.74349348349908</v>
      </c>
      <c r="CS1085" s="2407">
        <f t="shared" si="2577"/>
        <v>77.019628210954579</v>
      </c>
      <c r="CT1085" s="2407">
        <f t="shared" si="2578"/>
        <v>61.666168928130887</v>
      </c>
      <c r="CU1085" s="2407">
        <f t="shared" si="2579"/>
        <v>62.727635770336427</v>
      </c>
      <c r="CV1085" s="2407">
        <f t="shared" si="2580"/>
        <v>0</v>
      </c>
      <c r="CW1085" s="2407">
        <f t="shared" si="2581"/>
        <v>0</v>
      </c>
      <c r="CX1085" s="2407">
        <f t="shared" si="2582"/>
        <v>0</v>
      </c>
      <c r="CY1085" s="2407">
        <f t="shared" si="2583"/>
        <v>0</v>
      </c>
      <c r="CZ1085" s="2407">
        <f t="shared" si="2584"/>
        <v>0</v>
      </c>
      <c r="DA1085" s="2407">
        <f t="shared" si="2585"/>
        <v>0</v>
      </c>
      <c r="DB1085" s="2407">
        <f t="shared" si="2585"/>
        <v>0</v>
      </c>
      <c r="DC1085" s="2410">
        <f t="shared" si="2585"/>
        <v>0</v>
      </c>
      <c r="DD1085" s="2407"/>
      <c r="DE1085" s="2407"/>
      <c r="DF1085" s="2412"/>
      <c r="DG1085" s="2412"/>
      <c r="DH1085" s="2588"/>
      <c r="DI1085" s="3216"/>
      <c r="DJ1085" s="2412"/>
      <c r="DK1085" s="2412"/>
      <c r="DL1085" s="2412"/>
      <c r="DM1085" s="2412"/>
      <c r="DN1085" s="2412"/>
      <c r="DO1085" s="2412"/>
      <c r="DP1085" s="2412"/>
      <c r="DQ1085" s="2412"/>
      <c r="DR1085" s="2413"/>
      <c r="DS1085" s="2413"/>
      <c r="DT1085" s="2413"/>
      <c r="DU1085"/>
      <c r="DV1085"/>
      <c r="DW1085"/>
      <c r="DX1085"/>
      <c r="DY1085"/>
      <c r="DZ1085"/>
    </row>
    <row r="1086" spans="1:130" s="2391" customFormat="1" ht="12" hidden="1" customHeight="1" outlineLevel="1" x14ac:dyDescent="0.25">
      <c r="A1086" s="2414" t="s">
        <v>1491</v>
      </c>
      <c r="B1086" s="2415"/>
      <c r="C1086" s="2416" t="s">
        <v>553</v>
      </c>
      <c r="D1086" s="2416" t="s">
        <v>553</v>
      </c>
      <c r="E1086" s="2416" t="s">
        <v>553</v>
      </c>
      <c r="F1086" s="2416" t="s">
        <v>553</v>
      </c>
      <c r="G1086" s="2417" t="s">
        <v>553</v>
      </c>
      <c r="H1086" s="2416">
        <f t="shared" ref="H1086:AF1086" si="2591">(H1085-C1085)/C1085</f>
        <v>-8.1345421213944238E-2</v>
      </c>
      <c r="I1086" s="2416">
        <f t="shared" si="2591"/>
        <v>-0.17818986568986567</v>
      </c>
      <c r="J1086" s="2416">
        <f t="shared" si="2591"/>
        <v>-6.9292150725375548E-2</v>
      </c>
      <c r="K1086" s="2416">
        <f t="shared" si="2591"/>
        <v>9.0550332772584771E-2</v>
      </c>
      <c r="L1086" s="2417">
        <f t="shared" si="2591"/>
        <v>-6.1664800602112713E-2</v>
      </c>
      <c r="M1086" s="2416">
        <f t="shared" si="2591"/>
        <v>-7.49847239420703E-2</v>
      </c>
      <c r="N1086" s="2416">
        <f t="shared" si="2591"/>
        <v>3.2636104459661849E-2</v>
      </c>
      <c r="O1086" s="2416">
        <f t="shared" si="2591"/>
        <v>-0.11416533358002019</v>
      </c>
      <c r="P1086" s="2416">
        <f t="shared" si="2591"/>
        <v>-0.25827118989830256</v>
      </c>
      <c r="Q1086" s="2417">
        <f t="shared" si="2591"/>
        <v>-0.11208851906224618</v>
      </c>
      <c r="R1086" s="2416">
        <f t="shared" si="2591"/>
        <v>8.2751290616459278E-2</v>
      </c>
      <c r="S1086" s="2416">
        <f t="shared" si="2591"/>
        <v>6.3530415008527602E-2</v>
      </c>
      <c r="T1086" s="2416">
        <f t="shared" si="2591"/>
        <v>0.14240185426626126</v>
      </c>
      <c r="U1086" s="2416">
        <f t="shared" si="2591"/>
        <v>7.2997507898449679E-2</v>
      </c>
      <c r="V1086" s="2417">
        <f t="shared" si="2591"/>
        <v>9.1931342050517992E-2</v>
      </c>
      <c r="W1086" s="2416">
        <f t="shared" si="2591"/>
        <v>-8.7663296672672614E-2</v>
      </c>
      <c r="X1086" s="2416">
        <f t="shared" si="2591"/>
        <v>-7.8721177678726148E-2</v>
      </c>
      <c r="Y1086" s="2416">
        <f t="shared" si="2591"/>
        <v>-2.5995965521229986E-2</v>
      </c>
      <c r="Z1086" s="2416">
        <f t="shared" si="2591"/>
        <v>-0.12216517171969297</v>
      </c>
      <c r="AA1086" s="2417">
        <f t="shared" si="2591"/>
        <v>-7.68058771396576E-2</v>
      </c>
      <c r="AB1086" s="2416">
        <f t="shared" si="2591"/>
        <v>3.0688901782810692E-2</v>
      </c>
      <c r="AC1086" s="2416">
        <f t="shared" si="2591"/>
        <v>-2.1447317822301144E-2</v>
      </c>
      <c r="AD1086" s="2416">
        <f t="shared" si="2591"/>
        <v>-1.7137017051849043E-2</v>
      </c>
      <c r="AE1086" s="2418">
        <f t="shared" si="2591"/>
        <v>9.4259261859594906E-2</v>
      </c>
      <c r="AF1086" s="2419">
        <f t="shared" si="2591"/>
        <v>1.6684158684975015E-2</v>
      </c>
      <c r="AG1086" s="2416">
        <f t="shared" ref="AG1086:AU1086" si="2592">(AG1085-AB1085)/AB1085</f>
        <v>3.4211881812226397E-2</v>
      </c>
      <c r="AH1086" s="2416">
        <f t="shared" si="2592"/>
        <v>1.6628176292607124E-2</v>
      </c>
      <c r="AI1086" s="2416">
        <f t="shared" si="2592"/>
        <v>-0.16228137824018243</v>
      </c>
      <c r="AJ1086" s="2418">
        <f t="shared" si="2592"/>
        <v>-0.20441351977290084</v>
      </c>
      <c r="AK1086" s="2419">
        <f t="shared" si="2592"/>
        <v>-8.0291196281050525E-2</v>
      </c>
      <c r="AL1086" s="2416">
        <f t="shared" si="2592"/>
        <v>-0.39320090108539829</v>
      </c>
      <c r="AM1086" s="2416">
        <f t="shared" si="2592"/>
        <v>-0.37047007662041831</v>
      </c>
      <c r="AN1086" s="2416">
        <f t="shared" si="2592"/>
        <v>1.9999999999999945E-2</v>
      </c>
      <c r="AO1086" s="2418">
        <f t="shared" si="2592"/>
        <v>1.9999999999999955E-2</v>
      </c>
      <c r="AP1086" s="2420">
        <f t="shared" si="2592"/>
        <v>-0.19934475976397864</v>
      </c>
      <c r="AQ1086" s="2420">
        <f t="shared" si="2592"/>
        <v>8.7912087912087357E-3</v>
      </c>
      <c r="AR1086" s="2418">
        <f t="shared" si="2592"/>
        <v>1.9999999999999993E-2</v>
      </c>
      <c r="AS1086" s="2418">
        <f t="shared" si="2592"/>
        <v>2.0000000000000136E-2</v>
      </c>
      <c r="AT1086" s="2418">
        <f t="shared" si="2592"/>
        <v>2.0000000000000115E-2</v>
      </c>
      <c r="AU1086" s="2419">
        <f t="shared" si="2592"/>
        <v>1.7213114754098501E-2</v>
      </c>
      <c r="AV1086" s="2420">
        <f>(AV1085-AQ1085)/AQ1085</f>
        <v>3.1333333333333574E-2</v>
      </c>
      <c r="AW1086" s="2418">
        <f>(AW1085-AR1085)/AR1085</f>
        <v>2.0000000000000209E-2</v>
      </c>
      <c r="AX1086" s="2418"/>
      <c r="AY1086" s="2421"/>
      <c r="AZ1086" s="2419"/>
      <c r="BA1086" s="2420"/>
      <c r="BB1086" s="2418"/>
      <c r="BC1086" s="2418"/>
      <c r="BD1086" s="2421"/>
      <c r="BE1086" s="2421"/>
      <c r="BF1086" s="2418"/>
      <c r="BG1086" s="2418"/>
      <c r="BH1086" s="2418"/>
      <c r="BI1086" s="2421"/>
      <c r="BJ1086" s="2421"/>
      <c r="BK1086" s="2418"/>
      <c r="BL1086" s="2418"/>
      <c r="BM1086" s="2418"/>
      <c r="BN1086" s="2421"/>
      <c r="BO1086" s="2421"/>
      <c r="BP1086" s="2418"/>
      <c r="BQ1086" s="2418"/>
      <c r="BR1086" s="2418"/>
      <c r="BS1086" s="2418"/>
      <c r="BT1086" s="470"/>
      <c r="BU1086" s="471"/>
      <c r="BV1086" s="469"/>
      <c r="BW1086" s="469"/>
      <c r="BX1086" s="469"/>
      <c r="BY1086" s="2419"/>
      <c r="BZ1086" s="2419"/>
      <c r="CA1086" s="2419"/>
      <c r="CB1086" s="2419"/>
      <c r="CC1086" s="2419"/>
      <c r="CD1086" s="2419"/>
      <c r="CE1086" s="2419"/>
      <c r="CF1086" s="2419"/>
      <c r="CG1086" s="2385"/>
      <c r="CH1086" s="2385"/>
      <c r="CI1086" s="2385"/>
      <c r="CJ1086" s="2385"/>
      <c r="CK1086" s="2385"/>
      <c r="CL1086" s="2422" t="str">
        <f t="shared" si="2570"/>
        <v>% growth (y-o-y)</v>
      </c>
      <c r="CM1086" s="2418" t="str">
        <f t="shared" si="2571"/>
        <v xml:space="preserve">n/a </v>
      </c>
      <c r="CN1086" s="2418">
        <f t="shared" si="2572"/>
        <v>-6.1664800602112713E-2</v>
      </c>
      <c r="CO1086" s="2418">
        <f t="shared" si="2573"/>
        <v>-0.11208851906224618</v>
      </c>
      <c r="CP1086" s="2418">
        <f t="shared" si="2574"/>
        <v>9.1931342050517992E-2</v>
      </c>
      <c r="CQ1086" s="2418">
        <f t="shared" si="2575"/>
        <v>-7.68058771396576E-2</v>
      </c>
      <c r="CR1086" s="2418">
        <f t="shared" si="2576"/>
        <v>1.6684158684975015E-2</v>
      </c>
      <c r="CS1086" s="2418">
        <f t="shared" si="2577"/>
        <v>-8.0291196281050525E-2</v>
      </c>
      <c r="CT1086" s="2418">
        <f t="shared" si="2578"/>
        <v>-0.19934475976397864</v>
      </c>
      <c r="CU1086" s="2418">
        <f t="shared" si="2579"/>
        <v>1.7213114754098501E-2</v>
      </c>
      <c r="CV1086" s="2418">
        <f t="shared" si="2580"/>
        <v>0</v>
      </c>
      <c r="CW1086" s="2418">
        <f t="shared" si="2581"/>
        <v>0</v>
      </c>
      <c r="CX1086" s="2418">
        <f t="shared" si="2582"/>
        <v>0</v>
      </c>
      <c r="CY1086" s="2418">
        <f t="shared" si="2583"/>
        <v>0</v>
      </c>
      <c r="CZ1086" s="2418">
        <f t="shared" si="2584"/>
        <v>0</v>
      </c>
      <c r="DA1086" s="2418">
        <f t="shared" si="2585"/>
        <v>0</v>
      </c>
      <c r="DB1086" s="2418">
        <f t="shared" si="2585"/>
        <v>0</v>
      </c>
      <c r="DC1086" s="2421">
        <f t="shared" si="2585"/>
        <v>0</v>
      </c>
      <c r="DD1086" s="2385"/>
      <c r="DE1086" s="2385"/>
      <c r="DF1086" s="2388"/>
      <c r="DG1086" s="2389"/>
      <c r="DH1086" s="469"/>
      <c r="DI1086" s="3216"/>
      <c r="DJ1086" s="2388"/>
      <c r="DK1086" s="2389"/>
      <c r="DL1086" s="2388"/>
      <c r="DM1086" s="2388"/>
      <c r="DN1086" s="2388"/>
      <c r="DO1086" s="2388"/>
      <c r="DP1086" s="2389"/>
      <c r="DQ1086" s="2389"/>
      <c r="DR1086" s="2400"/>
      <c r="DS1086" s="2400"/>
      <c r="DT1086" s="2400"/>
      <c r="DU1086"/>
      <c r="DV1086"/>
      <c r="DW1086"/>
      <c r="DX1086"/>
      <c r="DY1086"/>
      <c r="DZ1086"/>
    </row>
    <row r="1087" spans="1:130" s="2391" customFormat="1" ht="5.0999999999999996" hidden="1" customHeight="1" outlineLevel="1" x14ac:dyDescent="0.25">
      <c r="A1087" s="2392"/>
      <c r="B1087" s="2392"/>
      <c r="C1087" s="2423"/>
      <c r="D1087" s="2423"/>
      <c r="E1087" s="2423"/>
      <c r="F1087" s="2423"/>
      <c r="G1087" s="2424"/>
      <c r="H1087" s="2423"/>
      <c r="I1087" s="2423"/>
      <c r="J1087" s="2423"/>
      <c r="K1087" s="2423"/>
      <c r="L1087" s="2424"/>
      <c r="M1087" s="2423"/>
      <c r="N1087" s="2423"/>
      <c r="O1087" s="2423"/>
      <c r="P1087" s="2423"/>
      <c r="Q1087" s="2424"/>
      <c r="R1087" s="2423"/>
      <c r="S1087" s="2423"/>
      <c r="T1087" s="2423"/>
      <c r="U1087" s="2423"/>
      <c r="V1087" s="2424"/>
      <c r="W1087" s="2423"/>
      <c r="X1087" s="2423"/>
      <c r="Y1087" s="2423"/>
      <c r="Z1087" s="2423"/>
      <c r="AA1087" s="2424"/>
      <c r="AB1087" s="2423"/>
      <c r="AC1087" s="2423"/>
      <c r="AD1087" s="2423"/>
      <c r="AE1087" s="2385"/>
      <c r="AF1087" s="2425"/>
      <c r="AG1087" s="2423"/>
      <c r="AH1087" s="2423"/>
      <c r="AI1087" s="2423"/>
      <c r="AJ1087" s="2385"/>
      <c r="AK1087" s="2425"/>
      <c r="AL1087" s="2423"/>
      <c r="AM1087" s="2423"/>
      <c r="AN1087" s="2423"/>
      <c r="AO1087" s="2385"/>
      <c r="AP1087" s="2426"/>
      <c r="AQ1087" s="2426"/>
      <c r="AR1087" s="2386"/>
      <c r="AS1087" s="2386"/>
      <c r="AT1087" s="2386"/>
      <c r="AU1087" s="2425"/>
      <c r="AV1087" s="2426"/>
      <c r="AW1087" s="2386"/>
      <c r="AX1087" s="2386"/>
      <c r="AY1087" s="2427"/>
      <c r="AZ1087" s="2425"/>
      <c r="BA1087" s="2426"/>
      <c r="BB1087" s="2386"/>
      <c r="BC1087" s="2386"/>
      <c r="BD1087" s="2427"/>
      <c r="BE1087" s="2427"/>
      <c r="BF1087" s="2386"/>
      <c r="BG1087" s="2386"/>
      <c r="BH1087" s="2386"/>
      <c r="BI1087" s="2427"/>
      <c r="BJ1087" s="2427"/>
      <c r="BK1087" s="2386"/>
      <c r="BL1087" s="2386"/>
      <c r="BM1087" s="2386"/>
      <c r="BN1087" s="2427"/>
      <c r="BO1087" s="2427"/>
      <c r="BP1087" s="2386"/>
      <c r="BQ1087" s="2386"/>
      <c r="BR1087" s="2386"/>
      <c r="BS1087" s="2386"/>
      <c r="BT1087" s="3236"/>
      <c r="BU1087" s="3409"/>
      <c r="BV1087" s="3298"/>
      <c r="BW1087" s="3298"/>
      <c r="BX1087" s="3298"/>
      <c r="BY1087" s="3437"/>
      <c r="BZ1087" s="2425"/>
      <c r="CA1087" s="2425"/>
      <c r="CB1087" s="2425"/>
      <c r="CC1087" s="2425"/>
      <c r="CD1087" s="2425"/>
      <c r="CE1087" s="2425"/>
      <c r="CF1087" s="2425"/>
      <c r="CG1087" s="2385"/>
      <c r="CH1087" s="2385"/>
      <c r="CI1087" s="2385"/>
      <c r="CJ1087" s="2385"/>
      <c r="CK1087" s="2385"/>
      <c r="CL1087" s="2399"/>
      <c r="CM1087" s="2386"/>
      <c r="CN1087" s="2386"/>
      <c r="CO1087" s="2386"/>
      <c r="CP1087" s="2386"/>
      <c r="CQ1087" s="2386"/>
      <c r="CR1087" s="2386"/>
      <c r="CS1087" s="2386"/>
      <c r="CT1087" s="2386"/>
      <c r="CU1087" s="2386"/>
      <c r="CV1087" s="2386"/>
      <c r="CW1087" s="2386"/>
      <c r="CX1087" s="2386"/>
      <c r="CY1087" s="2386"/>
      <c r="CZ1087" s="2386"/>
      <c r="DA1087" s="2386"/>
      <c r="DB1087" s="2386"/>
      <c r="DC1087" s="2427"/>
      <c r="DD1087" s="2385"/>
      <c r="DE1087" s="2385"/>
      <c r="DF1087" s="2388"/>
      <c r="DG1087" s="2389"/>
      <c r="DH1087" s="3298"/>
      <c r="DI1087" s="3216"/>
      <c r="DJ1087" s="2388"/>
      <c r="DK1087" s="2389"/>
      <c r="DL1087" s="2388"/>
      <c r="DM1087" s="2388"/>
      <c r="DN1087" s="2388"/>
      <c r="DO1087" s="2388"/>
      <c r="DP1087" s="2389"/>
      <c r="DQ1087" s="2389"/>
      <c r="DR1087" s="2400"/>
      <c r="DS1087" s="2400"/>
      <c r="DT1087" s="2400"/>
      <c r="DU1087"/>
      <c r="DV1087"/>
      <c r="DW1087"/>
      <c r="DX1087"/>
      <c r="DY1087"/>
      <c r="DZ1087"/>
    </row>
    <row r="1088" spans="1:130" s="2391" customFormat="1" ht="12" hidden="1" customHeight="1" outlineLevel="1" x14ac:dyDescent="0.25">
      <c r="A1088" s="2428" t="s">
        <v>1418</v>
      </c>
      <c r="B1088" s="2429"/>
      <c r="C1088" s="2430">
        <v>7.758</v>
      </c>
      <c r="D1088" s="2430">
        <v>8.2080000000000002</v>
      </c>
      <c r="E1088" s="2430">
        <v>8.2889999999999997</v>
      </c>
      <c r="F1088" s="2430">
        <v>7.7809999999999997</v>
      </c>
      <c r="G1088" s="2431">
        <f>SUM(C1088:F1088)</f>
        <v>32.036000000000001</v>
      </c>
      <c r="H1088" s="2430">
        <v>7.2069999999999999</v>
      </c>
      <c r="I1088" s="2430">
        <v>6.8970000000000002</v>
      </c>
      <c r="J1088" s="2430">
        <v>7.8879999999999999</v>
      </c>
      <c r="K1088" s="2430">
        <v>8.5280000000000005</v>
      </c>
      <c r="L1088" s="2431">
        <f>SUM(H1088:K1088)</f>
        <v>30.519999999999996</v>
      </c>
      <c r="M1088" s="2430">
        <v>6.5860000000000003</v>
      </c>
      <c r="N1088" s="2430">
        <v>7.0359999999999996</v>
      </c>
      <c r="O1088" s="2430">
        <v>6.9029999999999996</v>
      </c>
      <c r="P1088" s="2430">
        <v>6.2869999999999999</v>
      </c>
      <c r="Q1088" s="2431">
        <f>SUM(M1088:P1088)</f>
        <v>26.811999999999998</v>
      </c>
      <c r="R1088" s="2430">
        <v>7.1310000000000002</v>
      </c>
      <c r="S1088" s="2430">
        <v>7.4829999999999997</v>
      </c>
      <c r="T1088" s="2430">
        <v>7.8860000000000001</v>
      </c>
      <c r="U1088" s="2430">
        <v>6.3819999999999997</v>
      </c>
      <c r="V1088" s="2431">
        <f>SUM(R1088:U1088)</f>
        <v>28.881999999999998</v>
      </c>
      <c r="W1088" s="2430">
        <v>5.7439999999999998</v>
      </c>
      <c r="X1088" s="2430">
        <v>5.7590000000000003</v>
      </c>
      <c r="Y1088" s="2430">
        <v>6.1260000000000003</v>
      </c>
      <c r="Z1088" s="2430">
        <v>4.4989999999999997</v>
      </c>
      <c r="AA1088" s="2431">
        <f>SUM(W1088:Z1088)</f>
        <v>22.128</v>
      </c>
      <c r="AB1088" s="2430">
        <v>4.8520000000000003</v>
      </c>
      <c r="AC1088" s="2430">
        <v>4.72</v>
      </c>
      <c r="AD1088" s="2430">
        <v>5.4080000000000004</v>
      </c>
      <c r="AE1088" s="2432">
        <v>4.6779999999999999</v>
      </c>
      <c r="AF1088" s="2433">
        <f>SUM(AB1088:AE1088)</f>
        <v>19.658000000000001</v>
      </c>
      <c r="AG1088" s="2430">
        <v>4.883</v>
      </c>
      <c r="AH1088" s="2430">
        <v>4.8289999999999997</v>
      </c>
      <c r="AI1088" s="2430">
        <v>4.4530000000000003</v>
      </c>
      <c r="AJ1088" s="2430">
        <v>3.63</v>
      </c>
      <c r="AK1088" s="2433">
        <f>SUM(AG1088:AJ1088)</f>
        <v>17.794999999999998</v>
      </c>
      <c r="AL1088" s="2430">
        <v>2.9630000000000001</v>
      </c>
      <c r="AM1088" s="2430">
        <v>3.04</v>
      </c>
      <c r="AN1088" s="2434">
        <f>AI1088*(1+AN1089)</f>
        <v>4.5420600000000002</v>
      </c>
      <c r="AO1088" s="2430">
        <f>AJ1088*(1+AO1089)</f>
        <v>3.7025999999999999</v>
      </c>
      <c r="AP1088" s="2435">
        <f>SUM(AL1088:AO1088)</f>
        <v>14.24766</v>
      </c>
      <c r="AQ1088" s="2435">
        <f>AL1088*(1+AQ1089)</f>
        <v>3.0222600000000002</v>
      </c>
      <c r="AR1088" s="2432">
        <f>AM1088*(1+AR1089)</f>
        <v>3.1008</v>
      </c>
      <c r="AS1088" s="2432">
        <f>AN1088*(1+AS1089)</f>
        <v>4.6329012000000001</v>
      </c>
      <c r="AT1088" s="2432">
        <f>AO1088*(1+AT1089)</f>
        <v>3.7766519999999999</v>
      </c>
      <c r="AU1088" s="2433">
        <f>SUM(AQ1088:AT1088)</f>
        <v>14.532613200000002</v>
      </c>
      <c r="AV1088" s="2435">
        <f>AQ1088*(1+AV1089)</f>
        <v>3.0827052000000008</v>
      </c>
      <c r="AW1088" s="2432">
        <f>AR1088*(1+AW1089)</f>
        <v>3.1628160000000007</v>
      </c>
      <c r="AX1088" s="2432"/>
      <c r="AY1088" s="2436"/>
      <c r="AZ1088" s="2433"/>
      <c r="BA1088" s="2435"/>
      <c r="BB1088" s="2432"/>
      <c r="BC1088" s="2432"/>
      <c r="BD1088" s="2436"/>
      <c r="BE1088" s="2436"/>
      <c r="BF1088" s="2432"/>
      <c r="BG1088" s="2432"/>
      <c r="BH1088" s="2432"/>
      <c r="BI1088" s="2436"/>
      <c r="BJ1088" s="2436"/>
      <c r="BK1088" s="2432"/>
      <c r="BL1088" s="2432"/>
      <c r="BM1088" s="2432"/>
      <c r="BN1088" s="2436"/>
      <c r="BO1088" s="2436"/>
      <c r="BP1088" s="2432"/>
      <c r="BQ1088" s="2432"/>
      <c r="BR1088" s="2432"/>
      <c r="BS1088" s="2432"/>
      <c r="BT1088" s="1004"/>
      <c r="BU1088" s="1006"/>
      <c r="BV1088" s="1015"/>
      <c r="BW1088" s="1015"/>
      <c r="BX1088" s="1015"/>
      <c r="BY1088" s="3438"/>
      <c r="BZ1088" s="2433"/>
      <c r="CA1088" s="2433"/>
      <c r="CB1088" s="2433"/>
      <c r="CC1088" s="2433"/>
      <c r="CD1088" s="2433"/>
      <c r="CE1088" s="2433"/>
      <c r="CF1088" s="2433"/>
      <c r="CG1088" s="2388"/>
      <c r="CH1088" s="2388"/>
      <c r="CI1088" s="2388"/>
      <c r="CJ1088" s="2388"/>
      <c r="CK1088" s="2388"/>
      <c r="CL1088" s="2437" t="str">
        <f>A1088</f>
        <v>Net revenue</v>
      </c>
      <c r="CM1088" s="2432">
        <f>G1088</f>
        <v>32.036000000000001</v>
      </c>
      <c r="CN1088" s="2432">
        <f>L1088</f>
        <v>30.519999999999996</v>
      </c>
      <c r="CO1088" s="2432">
        <f>Q1088</f>
        <v>26.811999999999998</v>
      </c>
      <c r="CP1088" s="2432">
        <f>V1088</f>
        <v>28.881999999999998</v>
      </c>
      <c r="CQ1088" s="2432">
        <f>AA1088</f>
        <v>22.128</v>
      </c>
      <c r="CR1088" s="2432">
        <f>AF1088</f>
        <v>19.658000000000001</v>
      </c>
      <c r="CS1088" s="2432">
        <f>AK1088</f>
        <v>17.794999999999998</v>
      </c>
      <c r="CT1088" s="2432">
        <f>AP1088</f>
        <v>14.24766</v>
      </c>
      <c r="CU1088" s="2432">
        <f>AU1088</f>
        <v>14.532613200000002</v>
      </c>
      <c r="CV1088" s="2432">
        <f>AZ1088</f>
        <v>0</v>
      </c>
      <c r="CW1088" s="2432">
        <f>BE1088</f>
        <v>0</v>
      </c>
      <c r="CX1088" s="2432">
        <f>BJ1088</f>
        <v>0</v>
      </c>
      <c r="CY1088" s="2432">
        <f>BO1088</f>
        <v>0</v>
      </c>
      <c r="CZ1088" s="2432">
        <f>BT1088</f>
        <v>0</v>
      </c>
      <c r="DA1088" s="2432">
        <f t="shared" ref="DA1088:DC1089" si="2593">BY1088</f>
        <v>0</v>
      </c>
      <c r="DB1088" s="2432">
        <f t="shared" si="2593"/>
        <v>0</v>
      </c>
      <c r="DC1088" s="2436">
        <f t="shared" si="2593"/>
        <v>0</v>
      </c>
      <c r="DD1088" s="2388"/>
      <c r="DE1088" s="2388"/>
      <c r="DF1088" s="2388"/>
      <c r="DG1088" s="2389"/>
      <c r="DH1088" s="463"/>
      <c r="DI1088" s="3216"/>
      <c r="DJ1088" s="2388"/>
      <c r="DK1088" s="2389"/>
      <c r="DL1088" s="2388"/>
      <c r="DM1088" s="2388"/>
      <c r="DN1088" s="2388"/>
      <c r="DO1088" s="2388"/>
      <c r="DP1088" s="2389"/>
      <c r="DQ1088" s="2389"/>
      <c r="DR1088" s="2438"/>
      <c r="DS1088" s="2438"/>
      <c r="DT1088" s="2438"/>
      <c r="DU1088"/>
      <c r="DV1088"/>
      <c r="DW1088"/>
      <c r="DX1088"/>
      <c r="DY1088"/>
      <c r="DZ1088"/>
    </row>
    <row r="1089" spans="1:130" s="2391" customFormat="1" ht="12" hidden="1" customHeight="1" outlineLevel="1" x14ac:dyDescent="0.25">
      <c r="A1089" s="2414" t="s">
        <v>1491</v>
      </c>
      <c r="B1089" s="2415"/>
      <c r="C1089" s="2416" t="s">
        <v>553</v>
      </c>
      <c r="D1089" s="2416" t="s">
        <v>553</v>
      </c>
      <c r="E1089" s="2416" t="s">
        <v>553</v>
      </c>
      <c r="F1089" s="2416" t="s">
        <v>553</v>
      </c>
      <c r="G1089" s="2417" t="s">
        <v>553</v>
      </c>
      <c r="H1089" s="2416">
        <f t="shared" ref="H1089:AF1089" si="2594">(H1088-C1088)/C1088</f>
        <v>-7.1023459654550161E-2</v>
      </c>
      <c r="I1089" s="2416">
        <f t="shared" si="2594"/>
        <v>-0.15972222222222221</v>
      </c>
      <c r="J1089" s="2416">
        <f t="shared" si="2594"/>
        <v>-4.8377367595608615E-2</v>
      </c>
      <c r="K1089" s="2416">
        <f t="shared" si="2594"/>
        <v>9.6003084436447866E-2</v>
      </c>
      <c r="L1089" s="2417">
        <f t="shared" si="2594"/>
        <v>-4.7321763016606483E-2</v>
      </c>
      <c r="M1089" s="2416">
        <f t="shared" si="2594"/>
        <v>-8.616622727903421E-2</v>
      </c>
      <c r="N1089" s="2416">
        <f t="shared" si="2594"/>
        <v>2.0153690010149244E-2</v>
      </c>
      <c r="O1089" s="2416">
        <f t="shared" si="2594"/>
        <v>-0.12487322515212985</v>
      </c>
      <c r="P1089" s="2416">
        <f t="shared" si="2594"/>
        <v>-0.26278142589118203</v>
      </c>
      <c r="Q1089" s="2417">
        <f t="shared" si="2594"/>
        <v>-0.12149410222804714</v>
      </c>
      <c r="R1089" s="2416">
        <f t="shared" si="2594"/>
        <v>8.2751290616459139E-2</v>
      </c>
      <c r="S1089" s="2416">
        <f t="shared" si="2594"/>
        <v>6.3530415008527588E-2</v>
      </c>
      <c r="T1089" s="2416">
        <f t="shared" si="2594"/>
        <v>0.14240185426626115</v>
      </c>
      <c r="U1089" s="2416">
        <f t="shared" si="2594"/>
        <v>1.5110545570224234E-2</v>
      </c>
      <c r="V1089" s="2417">
        <f t="shared" si="2594"/>
        <v>7.7204236908846799E-2</v>
      </c>
      <c r="W1089" s="2416">
        <f t="shared" si="2594"/>
        <v>-0.19450287477212178</v>
      </c>
      <c r="X1089" s="2416">
        <f t="shared" si="2594"/>
        <v>-0.23038888146465314</v>
      </c>
      <c r="Y1089" s="2416">
        <f t="shared" si="2594"/>
        <v>-0.22318031955363932</v>
      </c>
      <c r="Z1089" s="2416">
        <f t="shared" si="2594"/>
        <v>-0.29504857411469759</v>
      </c>
      <c r="AA1089" s="2417">
        <f t="shared" si="2594"/>
        <v>-0.233848071463195</v>
      </c>
      <c r="AB1089" s="2416">
        <f t="shared" si="2594"/>
        <v>-0.155292479108635</v>
      </c>
      <c r="AC1089" s="2416">
        <f t="shared" si="2594"/>
        <v>-0.18041326619204731</v>
      </c>
      <c r="AD1089" s="2416">
        <f t="shared" si="2594"/>
        <v>-0.11720535422788116</v>
      </c>
      <c r="AE1089" s="2418">
        <f t="shared" si="2594"/>
        <v>3.9786619248722004E-2</v>
      </c>
      <c r="AF1089" s="2419">
        <f t="shared" si="2594"/>
        <v>-0.11162328271872735</v>
      </c>
      <c r="AG1089" s="2416">
        <f t="shared" ref="AG1089:AM1089" si="2595">(AG1088-AB1088)/AB1088</f>
        <v>6.3891178895300275E-3</v>
      </c>
      <c r="AH1089" s="2416">
        <f t="shared" si="2595"/>
        <v>2.3093220338983048E-2</v>
      </c>
      <c r="AI1089" s="2416">
        <f t="shared" si="2595"/>
        <v>-0.17659023668639054</v>
      </c>
      <c r="AJ1089" s="2416">
        <f t="shared" si="2595"/>
        <v>-0.22402736212056434</v>
      </c>
      <c r="AK1089" s="2419">
        <f t="shared" si="2595"/>
        <v>-9.4770576864381062E-2</v>
      </c>
      <c r="AL1089" s="2416">
        <f t="shared" si="2595"/>
        <v>-0.39320090108539829</v>
      </c>
      <c r="AM1089" s="2416">
        <f t="shared" si="2595"/>
        <v>-0.37047007662041825</v>
      </c>
      <c r="AN1089" s="2416">
        <v>0.02</v>
      </c>
      <c r="AO1089" s="2418">
        <f>AN1089</f>
        <v>0.02</v>
      </c>
      <c r="AP1089" s="2420">
        <f>(AP1088-AK1088)/AK1088</f>
        <v>-0.19934475976397859</v>
      </c>
      <c r="AQ1089" s="2420">
        <v>0.02</v>
      </c>
      <c r="AR1089" s="2418">
        <f>AQ1089</f>
        <v>0.02</v>
      </c>
      <c r="AS1089" s="2418">
        <f>AR1089</f>
        <v>0.02</v>
      </c>
      <c r="AT1089" s="2418">
        <f>AS1089</f>
        <v>0.02</v>
      </c>
      <c r="AU1089" s="2419">
        <f>(AU1088-AP1088)/AP1088</f>
        <v>2.000000000000015E-2</v>
      </c>
      <c r="AV1089" s="2420">
        <f>AU1089</f>
        <v>2.000000000000015E-2</v>
      </c>
      <c r="AW1089" s="2418">
        <f>AV1089</f>
        <v>2.000000000000015E-2</v>
      </c>
      <c r="AX1089" s="2418"/>
      <c r="AY1089" s="2421"/>
      <c r="AZ1089" s="2419"/>
      <c r="BA1089" s="2420"/>
      <c r="BB1089" s="2418"/>
      <c r="BC1089" s="2418"/>
      <c r="BD1089" s="2421"/>
      <c r="BE1089" s="2421"/>
      <c r="BF1089" s="2418"/>
      <c r="BG1089" s="2418"/>
      <c r="BH1089" s="2418"/>
      <c r="BI1089" s="2421"/>
      <c r="BJ1089" s="2421"/>
      <c r="BK1089" s="2418"/>
      <c r="BL1089" s="2418"/>
      <c r="BM1089" s="2418"/>
      <c r="BN1089" s="2421"/>
      <c r="BO1089" s="2421"/>
      <c r="BP1089" s="2418"/>
      <c r="BQ1089" s="2418"/>
      <c r="BR1089" s="2418"/>
      <c r="BS1089" s="2418"/>
      <c r="BT1089" s="470"/>
      <c r="BU1089" s="471"/>
      <c r="BV1089" s="469"/>
      <c r="BW1089" s="469"/>
      <c r="BX1089" s="469"/>
      <c r="BY1089" s="2419"/>
      <c r="BZ1089" s="2419"/>
      <c r="CA1089" s="2419"/>
      <c r="CB1089" s="2419"/>
      <c r="CC1089" s="2419"/>
      <c r="CD1089" s="2419"/>
      <c r="CE1089" s="2419"/>
      <c r="CF1089" s="2419"/>
      <c r="CG1089" s="2385"/>
      <c r="CH1089" s="2385"/>
      <c r="CI1089" s="2385"/>
      <c r="CJ1089" s="2385"/>
      <c r="CK1089" s="2385"/>
      <c r="CL1089" s="2422" t="str">
        <f>A1089</f>
        <v>% growth (y-o-y)</v>
      </c>
      <c r="CM1089" s="2418" t="str">
        <f>G1089</f>
        <v xml:space="preserve">n/a </v>
      </c>
      <c r="CN1089" s="2418">
        <f>L1089</f>
        <v>-4.7321763016606483E-2</v>
      </c>
      <c r="CO1089" s="2418">
        <f>Q1089</f>
        <v>-0.12149410222804714</v>
      </c>
      <c r="CP1089" s="2418">
        <f>V1089</f>
        <v>7.7204236908846799E-2</v>
      </c>
      <c r="CQ1089" s="2418">
        <f>AA1089</f>
        <v>-0.233848071463195</v>
      </c>
      <c r="CR1089" s="2418">
        <f>AF1089</f>
        <v>-0.11162328271872735</v>
      </c>
      <c r="CS1089" s="2418">
        <f>AK1089</f>
        <v>-9.4770576864381062E-2</v>
      </c>
      <c r="CT1089" s="2418">
        <f>AP1089</f>
        <v>-0.19934475976397859</v>
      </c>
      <c r="CU1089" s="2418">
        <f>AU1089</f>
        <v>2.000000000000015E-2</v>
      </c>
      <c r="CV1089" s="2418">
        <f>AZ1089</f>
        <v>0</v>
      </c>
      <c r="CW1089" s="2418">
        <f>BE1089</f>
        <v>0</v>
      </c>
      <c r="CX1089" s="2418">
        <f>BJ1089</f>
        <v>0</v>
      </c>
      <c r="CY1089" s="2418">
        <f>BO1089</f>
        <v>0</v>
      </c>
      <c r="CZ1089" s="2418">
        <f>BT1089</f>
        <v>0</v>
      </c>
      <c r="DA1089" s="2418">
        <f t="shared" si="2593"/>
        <v>0</v>
      </c>
      <c r="DB1089" s="2418">
        <f t="shared" si="2593"/>
        <v>0</v>
      </c>
      <c r="DC1089" s="2421">
        <f t="shared" si="2593"/>
        <v>0</v>
      </c>
      <c r="DD1089" s="2385"/>
      <c r="DE1089" s="2385"/>
      <c r="DF1089" s="2388"/>
      <c r="DG1089" s="2389"/>
      <c r="DH1089" s="469"/>
      <c r="DI1089" s="3216"/>
      <c r="DJ1089" s="2388"/>
      <c r="DK1089" s="2389"/>
      <c r="DL1089" s="2388"/>
      <c r="DM1089" s="2388"/>
      <c r="DN1089" s="2388"/>
      <c r="DO1089" s="2388"/>
      <c r="DP1089" s="2389"/>
      <c r="DQ1089" s="2389"/>
      <c r="DR1089" s="2400"/>
      <c r="DS1089" s="2400"/>
      <c r="DT1089" s="2400"/>
      <c r="DU1089"/>
      <c r="DV1089"/>
      <c r="DW1089"/>
      <c r="DX1089"/>
      <c r="DY1089"/>
      <c r="DZ1089"/>
    </row>
    <row r="1090" spans="1:130" s="2391" customFormat="1" ht="5.0999999999999996" hidden="1" customHeight="1" outlineLevel="1" x14ac:dyDescent="0.25">
      <c r="A1090" s="2392"/>
      <c r="B1090" s="2392"/>
      <c r="C1090" s="2423"/>
      <c r="D1090" s="2423"/>
      <c r="E1090" s="2423"/>
      <c r="F1090" s="2423"/>
      <c r="G1090" s="2424"/>
      <c r="H1090" s="2423"/>
      <c r="I1090" s="2423"/>
      <c r="J1090" s="2423"/>
      <c r="K1090" s="2423"/>
      <c r="L1090" s="2424"/>
      <c r="M1090" s="2423"/>
      <c r="N1090" s="2423"/>
      <c r="O1090" s="2423"/>
      <c r="P1090" s="2423"/>
      <c r="Q1090" s="2424"/>
      <c r="R1090" s="2423"/>
      <c r="S1090" s="2423"/>
      <c r="T1090" s="2423"/>
      <c r="U1090" s="2423"/>
      <c r="V1090" s="2424"/>
      <c r="W1090" s="2423"/>
      <c r="X1090" s="2423"/>
      <c r="Y1090" s="2423"/>
      <c r="Z1090" s="2423"/>
      <c r="AA1090" s="2424"/>
      <c r="AB1090" s="2423"/>
      <c r="AC1090" s="2423"/>
      <c r="AD1090" s="2423"/>
      <c r="AE1090" s="2385"/>
      <c r="AF1090" s="2425"/>
      <c r="AG1090" s="2423"/>
      <c r="AH1090" s="2423"/>
      <c r="AI1090" s="2423"/>
      <c r="AJ1090" s="2385"/>
      <c r="AK1090" s="2425"/>
      <c r="AL1090" s="2423"/>
      <c r="AM1090" s="2423"/>
      <c r="AN1090" s="2423"/>
      <c r="AO1090" s="2385"/>
      <c r="AP1090" s="2426"/>
      <c r="AQ1090" s="2426"/>
      <c r="AR1090" s="2386"/>
      <c r="AS1090" s="2386"/>
      <c r="AT1090" s="2386"/>
      <c r="AU1090" s="2425"/>
      <c r="AV1090" s="2426"/>
      <c r="AW1090" s="2386"/>
      <c r="AX1090" s="2386"/>
      <c r="AY1090" s="2427"/>
      <c r="AZ1090" s="2425"/>
      <c r="BA1090" s="2426"/>
      <c r="BB1090" s="2386"/>
      <c r="BC1090" s="2386"/>
      <c r="BD1090" s="2427"/>
      <c r="BE1090" s="2427"/>
      <c r="BF1090" s="2386"/>
      <c r="BG1090" s="2386"/>
      <c r="BH1090" s="2386"/>
      <c r="BI1090" s="2427"/>
      <c r="BJ1090" s="2427"/>
      <c r="BK1090" s="2386"/>
      <c r="BL1090" s="2386"/>
      <c r="BM1090" s="2386"/>
      <c r="BN1090" s="2427"/>
      <c r="BO1090" s="2427"/>
      <c r="BP1090" s="2386"/>
      <c r="BQ1090" s="2386"/>
      <c r="BR1090" s="2386"/>
      <c r="BS1090" s="2386"/>
      <c r="BT1090" s="3236"/>
      <c r="BU1090" s="3409"/>
      <c r="BV1090" s="3298"/>
      <c r="BW1090" s="3298"/>
      <c r="BX1090" s="3298"/>
      <c r="BY1090" s="3437"/>
      <c r="BZ1090" s="2425"/>
      <c r="CA1090" s="2425"/>
      <c r="CB1090" s="2425"/>
      <c r="CC1090" s="2425"/>
      <c r="CD1090" s="2425"/>
      <c r="CE1090" s="2425"/>
      <c r="CF1090" s="2425"/>
      <c r="CG1090" s="2385"/>
      <c r="CH1090" s="2385"/>
      <c r="CI1090" s="2385"/>
      <c r="CJ1090" s="2385"/>
      <c r="CK1090" s="2385"/>
      <c r="CL1090" s="2399"/>
      <c r="CM1090" s="2386"/>
      <c r="CN1090" s="2386"/>
      <c r="CO1090" s="2386"/>
      <c r="CP1090" s="2386"/>
      <c r="CQ1090" s="2386"/>
      <c r="CR1090" s="2386"/>
      <c r="CS1090" s="2386"/>
      <c r="CT1090" s="2386"/>
      <c r="CU1090" s="2386"/>
      <c r="CV1090" s="2386"/>
      <c r="CW1090" s="2386"/>
      <c r="CX1090" s="2386"/>
      <c r="CY1090" s="2386"/>
      <c r="CZ1090" s="2386"/>
      <c r="DA1090" s="2386"/>
      <c r="DB1090" s="2386"/>
      <c r="DC1090" s="2427"/>
      <c r="DD1090" s="2385"/>
      <c r="DE1090" s="2385"/>
      <c r="DF1090" s="2388"/>
      <c r="DG1090" s="2389"/>
      <c r="DH1090" s="3298"/>
      <c r="DI1090" s="3216"/>
      <c r="DJ1090" s="2388"/>
      <c r="DK1090" s="2389"/>
      <c r="DL1090" s="2388"/>
      <c r="DM1090" s="2388"/>
      <c r="DN1090" s="2388"/>
      <c r="DO1090" s="2388"/>
      <c r="DP1090" s="2389"/>
      <c r="DQ1090" s="2389"/>
      <c r="DR1090" s="2400"/>
      <c r="DS1090" s="2400"/>
      <c r="DT1090" s="2400"/>
      <c r="DU1090"/>
      <c r="DV1090"/>
      <c r="DW1090"/>
      <c r="DX1090"/>
      <c r="DY1090"/>
      <c r="DZ1090"/>
    </row>
    <row r="1091" spans="1:130" s="2391" customFormat="1" ht="12" hidden="1" customHeight="1" outlineLevel="1" x14ac:dyDescent="0.25">
      <c r="A1091" s="2439" t="s">
        <v>601</v>
      </c>
      <c r="B1091" s="2392"/>
      <c r="C1091" s="2440">
        <f>C1088-C1095</f>
        <v>6.61</v>
      </c>
      <c r="D1091" s="2440">
        <f>D1088-D1095</f>
        <v>6.9649999999999999</v>
      </c>
      <c r="E1091" s="2440">
        <f>E1088-E1095</f>
        <v>6.7669999999999995</v>
      </c>
      <c r="F1091" s="2440">
        <f>F1088-F1095</f>
        <v>6.9189999999999996</v>
      </c>
      <c r="G1091" s="2441">
        <f>SUM(C1091:F1091)</f>
        <v>27.260999999999999</v>
      </c>
      <c r="H1091" s="2440">
        <f>H1088-H1095</f>
        <v>6.3639999999999999</v>
      </c>
      <c r="I1091" s="2440">
        <f>I1088-I1095</f>
        <v>5.9390000000000001</v>
      </c>
      <c r="J1091" s="2440">
        <f>J1088-J1095</f>
        <v>6.5049999999999999</v>
      </c>
      <c r="K1091" s="2440">
        <f>K1088-K1095</f>
        <v>7.6830000000000007</v>
      </c>
      <c r="L1091" s="2441">
        <f>SUM(H1091:K1091)</f>
        <v>26.491</v>
      </c>
      <c r="M1091" s="2440">
        <f>M1088-M1095</f>
        <v>5.96</v>
      </c>
      <c r="N1091" s="2440">
        <f>N1088-N1095</f>
        <v>6.1199999999999992</v>
      </c>
      <c r="O1091" s="2440">
        <f>O1088-O1095</f>
        <v>5.9809999999999999</v>
      </c>
      <c r="P1091" s="2440">
        <f>P1088-P1095</f>
        <v>5.59</v>
      </c>
      <c r="Q1091" s="2441">
        <f>SUM(M1091:P1091)</f>
        <v>23.651</v>
      </c>
      <c r="R1091" s="2440">
        <f>R1088-R1095</f>
        <v>6.3460000000000001</v>
      </c>
      <c r="S1091" s="2440">
        <f>S1088-S1095</f>
        <v>6.5069999999999997</v>
      </c>
      <c r="T1091" s="2440">
        <f>T1088-T1095</f>
        <v>7.11</v>
      </c>
      <c r="U1091" s="2440">
        <f>U1088-U1095</f>
        <v>5.569</v>
      </c>
      <c r="V1091" s="2441">
        <f>SUM(R1091:U1091)</f>
        <v>25.532</v>
      </c>
      <c r="W1091" s="2440">
        <f>W1088-W1095</f>
        <v>5.6859999999999999</v>
      </c>
      <c r="X1091" s="2440">
        <f>X1088-X1095</f>
        <v>5.6520000000000001</v>
      </c>
      <c r="Y1091" s="2440">
        <f>Y1088-Y1095</f>
        <v>6.4090000000000007</v>
      </c>
      <c r="Z1091" s="2440">
        <f>Z1088-Z1095</f>
        <v>5.1639999999999997</v>
      </c>
      <c r="AA1091" s="2441">
        <f>SUM(W1091:Z1091)</f>
        <v>22.911000000000001</v>
      </c>
      <c r="AB1091" s="2440">
        <f>AB1088-AB1095</f>
        <v>4.6980000000000004</v>
      </c>
      <c r="AC1091" s="2440">
        <f>AC1088-AC1095</f>
        <v>4.5629999999999997</v>
      </c>
      <c r="AD1091" s="2440">
        <f>AD1088-AD1095</f>
        <v>5.3900000000000006</v>
      </c>
      <c r="AE1091" s="2440">
        <f>AE1088-AE1095</f>
        <v>4.984</v>
      </c>
      <c r="AF1091" s="2442">
        <f>SUM(AB1091:AE1091)</f>
        <v>19.634999999999998</v>
      </c>
      <c r="AG1091" s="2440">
        <f>AG1088-AG1095</f>
        <v>5.2510000000000003</v>
      </c>
      <c r="AH1091" s="2440">
        <f>AH1088-AH1095</f>
        <v>5.0759999999999996</v>
      </c>
      <c r="AI1091" s="2440">
        <f>AI1088-AI1095</f>
        <v>4.835</v>
      </c>
      <c r="AJ1091" s="2440">
        <f>AJ1088-AJ1095</f>
        <v>4.1459999999999999</v>
      </c>
      <c r="AK1091" s="2442">
        <f>SUM(AG1091:AJ1091)</f>
        <v>19.308</v>
      </c>
      <c r="AL1091" s="2440">
        <f>AL1088-AL1095</f>
        <v>2.8280000000000003</v>
      </c>
      <c r="AM1091" s="2440">
        <f>AM1088-AM1095</f>
        <v>2.5529999999999999</v>
      </c>
      <c r="AN1091" s="2440">
        <f>AI1091*(1+AN1093)</f>
        <v>4.8833500000000001</v>
      </c>
      <c r="AO1091" s="2440">
        <f>AJ1091*(1+AO1093)</f>
        <v>4.1874599999999997</v>
      </c>
      <c r="AP1091" s="2443">
        <f>SUM(AL1091:AO1091)</f>
        <v>14.45181</v>
      </c>
      <c r="AQ1091" s="2443">
        <f>AL1091*(1+AQ1093)</f>
        <v>2.8562800000000004</v>
      </c>
      <c r="AR1091" s="2444">
        <f>AM1091*(1+AR1093)</f>
        <v>2.5785299999999998</v>
      </c>
      <c r="AS1091" s="2444">
        <f>AN1091*(1+AS1093)</f>
        <v>4.9321834999999998</v>
      </c>
      <c r="AT1091" s="2444">
        <f>AO1091*(1+AT1093)</f>
        <v>4.2293345999999996</v>
      </c>
      <c r="AU1091" s="2442">
        <f>SUM(AQ1091:AT1091)</f>
        <v>14.596328099999999</v>
      </c>
      <c r="AV1091" s="2443">
        <f>AQ1091*(1+AV1093)</f>
        <v>2.8277172000000004</v>
      </c>
      <c r="AW1091" s="2444">
        <f>AR1091*(1+AW1093)</f>
        <v>2.5527446999999999</v>
      </c>
      <c r="AX1091" s="2444"/>
      <c r="AY1091" s="2445"/>
      <c r="AZ1091" s="2442"/>
      <c r="BA1091" s="2443"/>
      <c r="BB1091" s="2444"/>
      <c r="BC1091" s="2444"/>
      <c r="BD1091" s="2445"/>
      <c r="BE1091" s="2445"/>
      <c r="BF1091" s="2444"/>
      <c r="BG1091" s="2444"/>
      <c r="BH1091" s="2444"/>
      <c r="BI1091" s="2445"/>
      <c r="BJ1091" s="2445"/>
      <c r="BK1091" s="2444"/>
      <c r="BL1091" s="2444"/>
      <c r="BM1091" s="2444"/>
      <c r="BN1091" s="2445"/>
      <c r="BO1091" s="2445"/>
      <c r="BP1091" s="2444"/>
      <c r="BQ1091" s="2444"/>
      <c r="BR1091" s="2444"/>
      <c r="BS1091" s="2444"/>
      <c r="BT1091" s="3066"/>
      <c r="BU1091" s="3391"/>
      <c r="BV1091" s="2915"/>
      <c r="BW1091" s="2915"/>
      <c r="BX1091" s="2915"/>
      <c r="BY1091" s="3439"/>
      <c r="BZ1091" s="2442"/>
      <c r="CA1091" s="2442"/>
      <c r="CB1091" s="2442"/>
      <c r="CC1091" s="2442"/>
      <c r="CD1091" s="2442"/>
      <c r="CE1091" s="2442"/>
      <c r="CF1091" s="2442"/>
      <c r="CG1091" s="2385"/>
      <c r="CH1091" s="2385"/>
      <c r="CI1091" s="2385"/>
      <c r="CJ1091" s="2385"/>
      <c r="CK1091" s="2385"/>
      <c r="CL1091" s="2446" t="str">
        <f>A1091</f>
        <v>Operating expenses</v>
      </c>
      <c r="CM1091" s="2444">
        <f>G1091</f>
        <v>27.260999999999999</v>
      </c>
      <c r="CN1091" s="2444">
        <f>L1091</f>
        <v>26.491</v>
      </c>
      <c r="CO1091" s="2444">
        <f>Q1091</f>
        <v>23.651</v>
      </c>
      <c r="CP1091" s="2444">
        <f>V1091</f>
        <v>25.532</v>
      </c>
      <c r="CQ1091" s="2444">
        <f>AA1091</f>
        <v>22.911000000000001</v>
      </c>
      <c r="CR1091" s="2444">
        <f>AF1091</f>
        <v>19.634999999999998</v>
      </c>
      <c r="CS1091" s="2444">
        <f>AK1091</f>
        <v>19.308</v>
      </c>
      <c r="CT1091" s="2444">
        <f>AP1091</f>
        <v>14.45181</v>
      </c>
      <c r="CU1091" s="2444">
        <f>AU1091</f>
        <v>14.596328099999999</v>
      </c>
      <c r="CV1091" s="2444">
        <f>AZ1091</f>
        <v>0</v>
      </c>
      <c r="CW1091" s="2444">
        <f>BE1091</f>
        <v>0</v>
      </c>
      <c r="CX1091" s="2444">
        <f>BJ1091</f>
        <v>0</v>
      </c>
      <c r="CY1091" s="2444">
        <f>BO1091</f>
        <v>0</v>
      </c>
      <c r="CZ1091" s="2444">
        <f>BT1091</f>
        <v>0</v>
      </c>
      <c r="DA1091" s="2444">
        <f t="shared" ref="DA1091:DC1093" si="2596">BY1091</f>
        <v>0</v>
      </c>
      <c r="DB1091" s="2444">
        <f t="shared" si="2596"/>
        <v>0</v>
      </c>
      <c r="DC1091" s="2445">
        <f t="shared" si="2596"/>
        <v>0</v>
      </c>
      <c r="DD1091" s="2385"/>
      <c r="DE1091" s="2385"/>
      <c r="DF1091" s="2388"/>
      <c r="DG1091" s="2389"/>
      <c r="DH1091" s="2915"/>
      <c r="DI1091" s="3216"/>
      <c r="DJ1091" s="2388"/>
      <c r="DK1091" s="2389"/>
      <c r="DL1091" s="2388"/>
      <c r="DM1091" s="2388"/>
      <c r="DN1091" s="2388"/>
      <c r="DO1091" s="2388"/>
      <c r="DP1091" s="2389"/>
      <c r="DQ1091" s="2389"/>
      <c r="DR1091" s="2400"/>
      <c r="DS1091" s="2400"/>
      <c r="DT1091" s="2400"/>
      <c r="DU1091"/>
      <c r="DV1091"/>
      <c r="DW1091"/>
      <c r="DX1091"/>
      <c r="DY1091"/>
      <c r="DZ1091"/>
    </row>
    <row r="1092" spans="1:130" s="2391" customFormat="1" ht="12" hidden="1" customHeight="1" outlineLevel="1" x14ac:dyDescent="0.25">
      <c r="A1092" s="2414" t="s">
        <v>646</v>
      </c>
      <c r="B1092" s="2415"/>
      <c r="C1092" s="2416">
        <f t="shared" ref="C1092:AF1092" si="2597">C1091/C1088</f>
        <v>0.8520237174529518</v>
      </c>
      <c r="D1092" s="2416">
        <f t="shared" si="2597"/>
        <v>0.84856237816764124</v>
      </c>
      <c r="E1092" s="2416">
        <f t="shared" si="2597"/>
        <v>0.81638315840270237</v>
      </c>
      <c r="F1092" s="2416">
        <f t="shared" si="2597"/>
        <v>0.88921732425138156</v>
      </c>
      <c r="G1092" s="2417">
        <f t="shared" si="2597"/>
        <v>0.85094893245099257</v>
      </c>
      <c r="H1092" s="2416">
        <f t="shared" si="2597"/>
        <v>0.8830303871236298</v>
      </c>
      <c r="I1092" s="2416">
        <f t="shared" si="2597"/>
        <v>0.86109902856314335</v>
      </c>
      <c r="J1092" s="2416">
        <f t="shared" si="2597"/>
        <v>0.8246703853955375</v>
      </c>
      <c r="K1092" s="2416">
        <f t="shared" si="2597"/>
        <v>0.90091463414634154</v>
      </c>
      <c r="L1092" s="2417">
        <f t="shared" si="2597"/>
        <v>0.86798820445609448</v>
      </c>
      <c r="M1092" s="2416">
        <f t="shared" si="2597"/>
        <v>0.90494989371393864</v>
      </c>
      <c r="N1092" s="2416">
        <f t="shared" si="2597"/>
        <v>0.86981239340534389</v>
      </c>
      <c r="O1092" s="2416">
        <f t="shared" si="2597"/>
        <v>0.86643488338403596</v>
      </c>
      <c r="P1092" s="2416">
        <f t="shared" si="2597"/>
        <v>0.8891363130268809</v>
      </c>
      <c r="Q1092" s="2417">
        <f t="shared" si="2597"/>
        <v>0.88210502759958231</v>
      </c>
      <c r="R1092" s="2416">
        <f t="shared" si="2597"/>
        <v>0.88991726265600901</v>
      </c>
      <c r="S1092" s="2416">
        <f t="shared" si="2597"/>
        <v>0.86957102766270211</v>
      </c>
      <c r="T1092" s="2416">
        <f t="shared" si="2597"/>
        <v>0.90159776819680448</v>
      </c>
      <c r="U1092" s="2416">
        <f t="shared" si="2597"/>
        <v>0.87261046693826394</v>
      </c>
      <c r="V1092" s="2417">
        <f t="shared" si="2597"/>
        <v>0.88401080257599896</v>
      </c>
      <c r="W1092" s="2416">
        <f t="shared" si="2597"/>
        <v>0.98990250696378834</v>
      </c>
      <c r="X1092" s="2416">
        <f t="shared" si="2597"/>
        <v>0.9814203854835909</v>
      </c>
      <c r="Y1092" s="2416">
        <f t="shared" si="2597"/>
        <v>1.0461965393405159</v>
      </c>
      <c r="Z1092" s="2416">
        <f t="shared" si="2597"/>
        <v>1.1478106245832407</v>
      </c>
      <c r="AA1092" s="2417">
        <f t="shared" si="2597"/>
        <v>1.035385032537961</v>
      </c>
      <c r="AB1092" s="2416">
        <f t="shared" si="2597"/>
        <v>0.96826051112943123</v>
      </c>
      <c r="AC1092" s="2416">
        <f t="shared" si="2597"/>
        <v>0.96673728813559323</v>
      </c>
      <c r="AD1092" s="2416">
        <f t="shared" si="2597"/>
        <v>0.99667159763313617</v>
      </c>
      <c r="AE1092" s="2418">
        <f t="shared" si="2597"/>
        <v>1.0654125694741343</v>
      </c>
      <c r="AF1092" s="2419">
        <f t="shared" si="2597"/>
        <v>0.99882999287821739</v>
      </c>
      <c r="AG1092" s="2416">
        <f>AG1091/AG1088</f>
        <v>1.075363506041368</v>
      </c>
      <c r="AH1092" s="2416">
        <f t="shared" ref="AH1092:AU1092" si="2598">AH1091/AH1088</f>
        <v>1.0511493062745909</v>
      </c>
      <c r="AI1092" s="2416">
        <f t="shared" si="2598"/>
        <v>1.0857848641365371</v>
      </c>
      <c r="AJ1092" s="2418">
        <f t="shared" si="2598"/>
        <v>1.1421487603305784</v>
      </c>
      <c r="AK1092" s="2419">
        <f t="shared" si="2598"/>
        <v>1.0850238831132342</v>
      </c>
      <c r="AL1092" s="2416">
        <f>AL1091/AL1088</f>
        <v>0.95443806952413102</v>
      </c>
      <c r="AM1092" s="2416">
        <f>AM1091/AM1088</f>
        <v>0.8398026315789473</v>
      </c>
      <c r="AN1092" s="2416">
        <f t="shared" si="2598"/>
        <v>1.0751399144881397</v>
      </c>
      <c r="AO1092" s="2418">
        <f t="shared" si="2598"/>
        <v>1.1309512234645924</v>
      </c>
      <c r="AP1092" s="2420">
        <f t="shared" si="2598"/>
        <v>1.0143286687077036</v>
      </c>
      <c r="AQ1092" s="2420">
        <f t="shared" si="2598"/>
        <v>0.94508083354840422</v>
      </c>
      <c r="AR1092" s="2418">
        <f t="shared" si="2598"/>
        <v>0.83156927244582035</v>
      </c>
      <c r="AS1092" s="2418">
        <f t="shared" si="2598"/>
        <v>1.0645993270911971</v>
      </c>
      <c r="AT1092" s="2418">
        <f t="shared" si="2598"/>
        <v>1.1198634663718023</v>
      </c>
      <c r="AU1092" s="2419">
        <f t="shared" si="2598"/>
        <v>1.0043842699948828</v>
      </c>
      <c r="AV1092" s="2420">
        <f>AV1091/AV1088</f>
        <v>0.91728433844403923</v>
      </c>
      <c r="AW1092" s="2418">
        <f>AW1091/AW1088</f>
        <v>0.80711135266800194</v>
      </c>
      <c r="AX1092" s="2418"/>
      <c r="AY1092" s="2421"/>
      <c r="AZ1092" s="2419"/>
      <c r="BA1092" s="2420"/>
      <c r="BB1092" s="2418"/>
      <c r="BC1092" s="2418"/>
      <c r="BD1092" s="2421"/>
      <c r="BE1092" s="2421"/>
      <c r="BF1092" s="2418"/>
      <c r="BG1092" s="2418"/>
      <c r="BH1092" s="2418"/>
      <c r="BI1092" s="2421"/>
      <c r="BJ1092" s="2421"/>
      <c r="BK1092" s="2418"/>
      <c r="BL1092" s="2418"/>
      <c r="BM1092" s="2418"/>
      <c r="BN1092" s="2421"/>
      <c r="BO1092" s="2421"/>
      <c r="BP1092" s="2418"/>
      <c r="BQ1092" s="2418"/>
      <c r="BR1092" s="2418"/>
      <c r="BS1092" s="2418"/>
      <c r="BT1092" s="470"/>
      <c r="BU1092" s="471"/>
      <c r="BV1092" s="469"/>
      <c r="BW1092" s="469"/>
      <c r="BX1092" s="469"/>
      <c r="BY1092" s="2419"/>
      <c r="BZ1092" s="2419"/>
      <c r="CA1092" s="2419"/>
      <c r="CB1092" s="2419"/>
      <c r="CC1092" s="2419"/>
      <c r="CD1092" s="2419"/>
      <c r="CE1092" s="2419"/>
      <c r="CF1092" s="2419"/>
      <c r="CG1092" s="2385"/>
      <c r="CH1092" s="2385"/>
      <c r="CI1092" s="2385"/>
      <c r="CJ1092" s="2385"/>
      <c r="CK1092" s="2385"/>
      <c r="CL1092" s="2422" t="str">
        <f>A1092</f>
        <v>% of Net revenue</v>
      </c>
      <c r="CM1092" s="2418">
        <f>G1092</f>
        <v>0.85094893245099257</v>
      </c>
      <c r="CN1092" s="2418">
        <f>L1092</f>
        <v>0.86798820445609448</v>
      </c>
      <c r="CO1092" s="2418">
        <f>Q1092</f>
        <v>0.88210502759958231</v>
      </c>
      <c r="CP1092" s="2418">
        <f>V1092</f>
        <v>0.88401080257599896</v>
      </c>
      <c r="CQ1092" s="2418">
        <f>AA1092</f>
        <v>1.035385032537961</v>
      </c>
      <c r="CR1092" s="2418">
        <f>AF1092</f>
        <v>0.99882999287821739</v>
      </c>
      <c r="CS1092" s="2418">
        <f>AK1092</f>
        <v>1.0850238831132342</v>
      </c>
      <c r="CT1092" s="2418">
        <f>AP1092</f>
        <v>1.0143286687077036</v>
      </c>
      <c r="CU1092" s="2418">
        <f>AU1092</f>
        <v>1.0043842699948828</v>
      </c>
      <c r="CV1092" s="2418">
        <f>AZ1092</f>
        <v>0</v>
      </c>
      <c r="CW1092" s="2418">
        <f>BE1092</f>
        <v>0</v>
      </c>
      <c r="CX1092" s="2418">
        <f>BJ1092</f>
        <v>0</v>
      </c>
      <c r="CY1092" s="2418">
        <f>BO1092</f>
        <v>0</v>
      </c>
      <c r="CZ1092" s="2418">
        <f>BT1092</f>
        <v>0</v>
      </c>
      <c r="DA1092" s="2418">
        <f t="shared" si="2596"/>
        <v>0</v>
      </c>
      <c r="DB1092" s="2418">
        <f t="shared" si="2596"/>
        <v>0</v>
      </c>
      <c r="DC1092" s="2421">
        <f t="shared" si="2596"/>
        <v>0</v>
      </c>
      <c r="DD1092" s="2385"/>
      <c r="DE1092" s="2385"/>
      <c r="DF1092" s="2388"/>
      <c r="DG1092" s="2389"/>
      <c r="DH1092" s="469"/>
      <c r="DI1092" s="3216"/>
      <c r="DJ1092" s="2388"/>
      <c r="DK1092" s="2389"/>
      <c r="DL1092" s="2388"/>
      <c r="DM1092" s="2388"/>
      <c r="DN1092" s="2388"/>
      <c r="DO1092" s="2388"/>
      <c r="DP1092" s="2389"/>
      <c r="DQ1092" s="2389"/>
      <c r="DR1092" s="2400"/>
      <c r="DS1092" s="2400"/>
      <c r="DT1092" s="2400"/>
      <c r="DU1092"/>
      <c r="DV1092"/>
      <c r="DW1092"/>
      <c r="DX1092"/>
      <c r="DY1092"/>
      <c r="DZ1092"/>
    </row>
    <row r="1093" spans="1:130" s="2391" customFormat="1" ht="12" hidden="1" customHeight="1" outlineLevel="1" x14ac:dyDescent="0.25">
      <c r="A1093" s="2414" t="s">
        <v>1491</v>
      </c>
      <c r="B1093" s="2415"/>
      <c r="C1093" s="2416" t="s">
        <v>553</v>
      </c>
      <c r="D1093" s="2416" t="s">
        <v>553</v>
      </c>
      <c r="E1093" s="2416" t="s">
        <v>553</v>
      </c>
      <c r="F1093" s="2416" t="s">
        <v>553</v>
      </c>
      <c r="G1093" s="2417" t="s">
        <v>553</v>
      </c>
      <c r="H1093" s="2416">
        <f t="shared" ref="H1093:AF1093" si="2599">(H1091-C1091)/C1091</f>
        <v>-3.721633888048418E-2</v>
      </c>
      <c r="I1093" s="2416">
        <f t="shared" si="2599"/>
        <v>-0.14730796841349603</v>
      </c>
      <c r="J1093" s="2416">
        <f t="shared" si="2599"/>
        <v>-3.8717304566277463E-2</v>
      </c>
      <c r="K1093" s="2416">
        <f t="shared" si="2599"/>
        <v>0.11042058100881647</v>
      </c>
      <c r="L1093" s="2417">
        <f t="shared" si="2599"/>
        <v>-2.8245478889255698E-2</v>
      </c>
      <c r="M1093" s="2416">
        <f t="shared" si="2599"/>
        <v>-6.3482086737900678E-2</v>
      </c>
      <c r="N1093" s="2416">
        <f t="shared" si="2599"/>
        <v>3.04765111971711E-2</v>
      </c>
      <c r="O1093" s="2416">
        <f t="shared" si="2599"/>
        <v>-8.0553420445810917E-2</v>
      </c>
      <c r="P1093" s="2416">
        <f t="shared" si="2599"/>
        <v>-0.27241962774957706</v>
      </c>
      <c r="Q1093" s="2417">
        <f t="shared" si="2599"/>
        <v>-0.10720622098071042</v>
      </c>
      <c r="R1093" s="2416">
        <f t="shared" si="2599"/>
        <v>6.4765100671140954E-2</v>
      </c>
      <c r="S1093" s="2416">
        <f t="shared" si="2599"/>
        <v>6.3235294117647139E-2</v>
      </c>
      <c r="T1093" s="2416">
        <f t="shared" si="2599"/>
        <v>0.18876442066544064</v>
      </c>
      <c r="U1093" s="2416">
        <f t="shared" si="2599"/>
        <v>-3.7567084078711822E-3</v>
      </c>
      <c r="V1093" s="2417">
        <f t="shared" si="2599"/>
        <v>7.953152086592534E-2</v>
      </c>
      <c r="W1093" s="2416">
        <f t="shared" si="2599"/>
        <v>-0.10400252127324301</v>
      </c>
      <c r="X1093" s="2416">
        <f t="shared" si="2599"/>
        <v>-0.13139695712309812</v>
      </c>
      <c r="Y1093" s="2416">
        <f t="shared" si="2599"/>
        <v>-9.8593530239099808E-2</v>
      </c>
      <c r="Z1093" s="2416">
        <f t="shared" si="2599"/>
        <v>-7.272400790087992E-2</v>
      </c>
      <c r="AA1093" s="2417">
        <f t="shared" si="2599"/>
        <v>-0.10265549114836278</v>
      </c>
      <c r="AB1093" s="2416">
        <f t="shared" si="2599"/>
        <v>-0.17376011255715784</v>
      </c>
      <c r="AC1093" s="2416">
        <f t="shared" si="2599"/>
        <v>-0.19267515923566886</v>
      </c>
      <c r="AD1093" s="2416">
        <f t="shared" si="2599"/>
        <v>-0.15899516305195818</v>
      </c>
      <c r="AE1093" s="2418">
        <f t="shared" si="2599"/>
        <v>-3.4856700232377948E-2</v>
      </c>
      <c r="AF1093" s="2419">
        <f t="shared" si="2599"/>
        <v>-0.14298808432630628</v>
      </c>
      <c r="AG1093" s="2416">
        <f t="shared" ref="AG1093:AM1093" si="2600">(AG1091-AB1091)/AB1091</f>
        <v>0.11770966368667515</v>
      </c>
      <c r="AH1093" s="2416">
        <f t="shared" si="2600"/>
        <v>0.11242603550295857</v>
      </c>
      <c r="AI1093" s="2416">
        <f t="shared" si="2600"/>
        <v>-0.10296846011131736</v>
      </c>
      <c r="AJ1093" s="2416">
        <f t="shared" si="2600"/>
        <v>-0.16813804173354738</v>
      </c>
      <c r="AK1093" s="2419">
        <f t="shared" si="2600"/>
        <v>-1.6653934300993035E-2</v>
      </c>
      <c r="AL1093" s="2416">
        <f t="shared" si="2600"/>
        <v>-0.46143591696819652</v>
      </c>
      <c r="AM1093" s="2416">
        <f t="shared" si="2600"/>
        <v>-0.49704491725768318</v>
      </c>
      <c r="AN1093" s="2416">
        <v>0.01</v>
      </c>
      <c r="AO1093" s="2418">
        <f>AN1093</f>
        <v>0.01</v>
      </c>
      <c r="AP1093" s="2420">
        <f>(AP1091-AK1091)/AK1091</f>
        <v>-0.25151180857675576</v>
      </c>
      <c r="AQ1093" s="2420">
        <v>0.01</v>
      </c>
      <c r="AR1093" s="2418">
        <f>AQ1093</f>
        <v>0.01</v>
      </c>
      <c r="AS1093" s="2418">
        <f>AR1093</f>
        <v>0.01</v>
      </c>
      <c r="AT1093" s="2418">
        <f>AS1093</f>
        <v>0.01</v>
      </c>
      <c r="AU1093" s="2419">
        <f>(AU1091-AP1091)/AP1091</f>
        <v>9.9999999999999378E-3</v>
      </c>
      <c r="AV1093" s="2420">
        <v>-0.01</v>
      </c>
      <c r="AW1093" s="2418">
        <v>-0.01</v>
      </c>
      <c r="AX1093" s="2418"/>
      <c r="AY1093" s="2421"/>
      <c r="AZ1093" s="2419"/>
      <c r="BA1093" s="2420"/>
      <c r="BB1093" s="2418"/>
      <c r="BC1093" s="2418"/>
      <c r="BD1093" s="2421"/>
      <c r="BE1093" s="2421"/>
      <c r="BF1093" s="2418"/>
      <c r="BG1093" s="2418"/>
      <c r="BH1093" s="2418"/>
      <c r="BI1093" s="2421"/>
      <c r="BJ1093" s="2421"/>
      <c r="BK1093" s="2418"/>
      <c r="BL1093" s="2418"/>
      <c r="BM1093" s="2418"/>
      <c r="BN1093" s="2421"/>
      <c r="BO1093" s="2421"/>
      <c r="BP1093" s="2418"/>
      <c r="BQ1093" s="2418"/>
      <c r="BR1093" s="2418"/>
      <c r="BS1093" s="2418"/>
      <c r="BT1093" s="470"/>
      <c r="BU1093" s="471"/>
      <c r="BV1093" s="469"/>
      <c r="BW1093" s="469"/>
      <c r="BX1093" s="469"/>
      <c r="BY1093" s="2419"/>
      <c r="BZ1093" s="2419"/>
      <c r="CA1093" s="2419"/>
      <c r="CB1093" s="2419"/>
      <c r="CC1093" s="2419"/>
      <c r="CD1093" s="2419"/>
      <c r="CE1093" s="2419"/>
      <c r="CF1093" s="2419"/>
      <c r="CG1093" s="2385"/>
      <c r="CH1093" s="2385"/>
      <c r="CI1093" s="2385"/>
      <c r="CJ1093" s="2385"/>
      <c r="CK1093" s="2385"/>
      <c r="CL1093" s="2422" t="str">
        <f>A1093</f>
        <v>% growth (y-o-y)</v>
      </c>
      <c r="CM1093" s="2418" t="str">
        <f>G1093</f>
        <v xml:space="preserve">n/a </v>
      </c>
      <c r="CN1093" s="2418">
        <f>L1093</f>
        <v>-2.8245478889255698E-2</v>
      </c>
      <c r="CO1093" s="2418">
        <f>Q1093</f>
        <v>-0.10720622098071042</v>
      </c>
      <c r="CP1093" s="2418">
        <f>V1093</f>
        <v>7.953152086592534E-2</v>
      </c>
      <c r="CQ1093" s="2418">
        <f>AA1093</f>
        <v>-0.10265549114836278</v>
      </c>
      <c r="CR1093" s="2418">
        <f>AF1093</f>
        <v>-0.14298808432630628</v>
      </c>
      <c r="CS1093" s="2418">
        <f>AK1093</f>
        <v>-1.6653934300993035E-2</v>
      </c>
      <c r="CT1093" s="2418">
        <f>AP1093</f>
        <v>-0.25151180857675576</v>
      </c>
      <c r="CU1093" s="2418">
        <f>AU1093</f>
        <v>9.9999999999999378E-3</v>
      </c>
      <c r="CV1093" s="2418">
        <f>AZ1093</f>
        <v>0</v>
      </c>
      <c r="CW1093" s="2418">
        <f>BE1093</f>
        <v>0</v>
      </c>
      <c r="CX1093" s="2418">
        <f>BJ1093</f>
        <v>0</v>
      </c>
      <c r="CY1093" s="2418">
        <f>BO1093</f>
        <v>0</v>
      </c>
      <c r="CZ1093" s="2418">
        <f>BT1093</f>
        <v>0</v>
      </c>
      <c r="DA1093" s="2418">
        <f t="shared" si="2596"/>
        <v>0</v>
      </c>
      <c r="DB1093" s="2418">
        <f t="shared" si="2596"/>
        <v>0</v>
      </c>
      <c r="DC1093" s="2421">
        <f t="shared" si="2596"/>
        <v>0</v>
      </c>
      <c r="DD1093" s="2385"/>
      <c r="DE1093" s="2385"/>
      <c r="DF1093" s="2388"/>
      <c r="DG1093" s="2389"/>
      <c r="DH1093" s="469"/>
      <c r="DI1093" s="3216"/>
      <c r="DJ1093" s="2388"/>
      <c r="DK1093" s="2389"/>
      <c r="DL1093" s="2388"/>
      <c r="DM1093" s="2388"/>
      <c r="DN1093" s="2388"/>
      <c r="DO1093" s="2388"/>
      <c r="DP1093" s="2389"/>
      <c r="DQ1093" s="2389"/>
      <c r="DR1093" s="2400"/>
      <c r="DS1093" s="2400"/>
      <c r="DT1093" s="2400"/>
      <c r="DU1093"/>
      <c r="DV1093"/>
      <c r="DW1093"/>
      <c r="DX1093"/>
      <c r="DY1093"/>
      <c r="DZ1093"/>
    </row>
    <row r="1094" spans="1:130" s="2391" customFormat="1" ht="5.0999999999999996" hidden="1" customHeight="1" outlineLevel="1" x14ac:dyDescent="0.25">
      <c r="A1094" s="2392"/>
      <c r="B1094" s="2392"/>
      <c r="C1094" s="2423"/>
      <c r="D1094" s="2423"/>
      <c r="E1094" s="2423"/>
      <c r="F1094" s="2423"/>
      <c r="G1094" s="2424"/>
      <c r="H1094" s="2423"/>
      <c r="I1094" s="2423"/>
      <c r="J1094" s="2423"/>
      <c r="K1094" s="2423"/>
      <c r="L1094" s="2424"/>
      <c r="M1094" s="2423"/>
      <c r="N1094" s="2423"/>
      <c r="O1094" s="2423"/>
      <c r="P1094" s="2423"/>
      <c r="Q1094" s="2424"/>
      <c r="R1094" s="2423"/>
      <c r="S1094" s="2423"/>
      <c r="T1094" s="2423"/>
      <c r="U1094" s="2423"/>
      <c r="V1094" s="2424"/>
      <c r="W1094" s="2423"/>
      <c r="X1094" s="2423"/>
      <c r="Y1094" s="2423"/>
      <c r="Z1094" s="2423"/>
      <c r="AA1094" s="2424"/>
      <c r="AB1094" s="2423"/>
      <c r="AC1094" s="2423"/>
      <c r="AD1094" s="2423"/>
      <c r="AE1094" s="2385"/>
      <c r="AF1094" s="2425"/>
      <c r="AG1094" s="2423"/>
      <c r="AH1094" s="2423"/>
      <c r="AI1094" s="2423"/>
      <c r="AJ1094" s="2385"/>
      <c r="AK1094" s="2425"/>
      <c r="AL1094" s="2423"/>
      <c r="AM1094" s="2423"/>
      <c r="AN1094" s="2423"/>
      <c r="AO1094" s="2385"/>
      <c r="AP1094" s="2426"/>
      <c r="AQ1094" s="2426"/>
      <c r="AR1094" s="2386"/>
      <c r="AS1094" s="2386"/>
      <c r="AT1094" s="2386"/>
      <c r="AU1094" s="2425"/>
      <c r="AV1094" s="2426"/>
      <c r="AW1094" s="2386"/>
      <c r="AX1094" s="2386"/>
      <c r="AY1094" s="2427"/>
      <c r="AZ1094" s="2425"/>
      <c r="BA1094" s="2426"/>
      <c r="BB1094" s="2386"/>
      <c r="BC1094" s="2386"/>
      <c r="BD1094" s="2427"/>
      <c r="BE1094" s="2427"/>
      <c r="BF1094" s="2386"/>
      <c r="BG1094" s="2386"/>
      <c r="BH1094" s="2386"/>
      <c r="BI1094" s="2427"/>
      <c r="BJ1094" s="2427"/>
      <c r="BK1094" s="2386"/>
      <c r="BL1094" s="2386"/>
      <c r="BM1094" s="2386"/>
      <c r="BN1094" s="2427"/>
      <c r="BO1094" s="2427"/>
      <c r="BP1094" s="2386"/>
      <c r="BQ1094" s="2386"/>
      <c r="BR1094" s="2386"/>
      <c r="BS1094" s="2386"/>
      <c r="BT1094" s="3236"/>
      <c r="BU1094" s="3409"/>
      <c r="BV1094" s="3298"/>
      <c r="BW1094" s="3298"/>
      <c r="BX1094" s="3298"/>
      <c r="BY1094" s="3437"/>
      <c r="BZ1094" s="2425"/>
      <c r="CA1094" s="2425"/>
      <c r="CB1094" s="2425"/>
      <c r="CC1094" s="2425"/>
      <c r="CD1094" s="2425"/>
      <c r="CE1094" s="2425"/>
      <c r="CF1094" s="2425"/>
      <c r="CG1094" s="2385"/>
      <c r="CH1094" s="2385"/>
      <c r="CI1094" s="2385"/>
      <c r="CJ1094" s="2385"/>
      <c r="CK1094" s="2385"/>
      <c r="CL1094" s="2399"/>
      <c r="CM1094" s="2386"/>
      <c r="CN1094" s="2386"/>
      <c r="CO1094" s="2386"/>
      <c r="CP1094" s="2386"/>
      <c r="CQ1094" s="2386"/>
      <c r="CR1094" s="2386"/>
      <c r="CS1094" s="2386"/>
      <c r="CT1094" s="2386"/>
      <c r="CU1094" s="2386"/>
      <c r="CV1094" s="2386"/>
      <c r="CW1094" s="2386"/>
      <c r="CX1094" s="2386"/>
      <c r="CY1094" s="2386"/>
      <c r="CZ1094" s="2386"/>
      <c r="DA1094" s="2386"/>
      <c r="DB1094" s="2386"/>
      <c r="DC1094" s="2427"/>
      <c r="DD1094" s="2385"/>
      <c r="DE1094" s="2385"/>
      <c r="DF1094" s="2388"/>
      <c r="DG1094" s="2389"/>
      <c r="DH1094" s="3298"/>
      <c r="DI1094" s="3216"/>
      <c r="DJ1094" s="2388"/>
      <c r="DK1094" s="2389"/>
      <c r="DL1094" s="2388"/>
      <c r="DM1094" s="2388"/>
      <c r="DN1094" s="2388"/>
      <c r="DO1094" s="2388"/>
      <c r="DP1094" s="2389"/>
      <c r="DQ1094" s="2389"/>
      <c r="DR1094" s="2400"/>
      <c r="DS1094" s="2400"/>
      <c r="DT1094" s="2400"/>
      <c r="DU1094"/>
      <c r="DV1094"/>
      <c r="DW1094"/>
      <c r="DX1094"/>
      <c r="DY1094"/>
      <c r="DZ1094"/>
    </row>
    <row r="1095" spans="1:130" s="2391" customFormat="1" ht="12" hidden="1" customHeight="1" outlineLevel="1" x14ac:dyDescent="0.25">
      <c r="A1095" s="2447" t="s">
        <v>2010</v>
      </c>
      <c r="B1095" s="2429"/>
      <c r="C1095" s="2430">
        <v>1.1479999999999999</v>
      </c>
      <c r="D1095" s="2430">
        <v>1.2430000000000001</v>
      </c>
      <c r="E1095" s="2430">
        <v>1.522</v>
      </c>
      <c r="F1095" s="2430">
        <v>0.86199999999999999</v>
      </c>
      <c r="G1095" s="2431">
        <f>SUM(C1095:F1095)</f>
        <v>4.7750000000000004</v>
      </c>
      <c r="H1095" s="2430">
        <v>0.84299999999999997</v>
      </c>
      <c r="I1095" s="2430">
        <v>0.95799999999999996</v>
      </c>
      <c r="J1095" s="2430">
        <v>1.383</v>
      </c>
      <c r="K1095" s="2430">
        <v>0.84499999999999997</v>
      </c>
      <c r="L1095" s="2431">
        <f>SUM(H1095:K1095)</f>
        <v>4.0289999999999999</v>
      </c>
      <c r="M1095" s="2430">
        <v>0.626</v>
      </c>
      <c r="N1095" s="2430">
        <v>0.91600000000000004</v>
      </c>
      <c r="O1095" s="2430">
        <v>0.92200000000000004</v>
      </c>
      <c r="P1095" s="2430">
        <v>0.69699999999999995</v>
      </c>
      <c r="Q1095" s="2431">
        <f>SUM(M1095:P1095)</f>
        <v>3.161</v>
      </c>
      <c r="R1095" s="2430">
        <v>0.78500000000000003</v>
      </c>
      <c r="S1095" s="2430">
        <v>0.97599999999999998</v>
      </c>
      <c r="T1095" s="2430">
        <v>0.77600000000000002</v>
      </c>
      <c r="U1095" s="2430">
        <v>0.81299999999999994</v>
      </c>
      <c r="V1095" s="2431">
        <f>SUM(R1095:U1095)</f>
        <v>3.3499999999999996</v>
      </c>
      <c r="W1095" s="2430">
        <v>5.8000000000000003E-2</v>
      </c>
      <c r="X1095" s="2430">
        <v>0.107</v>
      </c>
      <c r="Y1095" s="2430">
        <v>-0.28299999999999997</v>
      </c>
      <c r="Z1095" s="2430">
        <v>-0.66500000000000004</v>
      </c>
      <c r="AA1095" s="2431">
        <f>SUM(W1095:Z1095)</f>
        <v>-0.78300000000000003</v>
      </c>
      <c r="AB1095" s="2432">
        <v>0.154</v>
      </c>
      <c r="AC1095" s="2432">
        <v>0.157</v>
      </c>
      <c r="AD1095" s="2432">
        <v>1.7999999999999999E-2</v>
      </c>
      <c r="AE1095" s="2432">
        <v>-0.30599999999999999</v>
      </c>
      <c r="AF1095" s="2433">
        <f>SUM(AB1095:AE1095)</f>
        <v>2.300000000000002E-2</v>
      </c>
      <c r="AG1095" s="2432">
        <v>-0.36799999999999999</v>
      </c>
      <c r="AH1095" s="2432">
        <v>-0.247</v>
      </c>
      <c r="AI1095" s="2432">
        <v>-0.38200000000000001</v>
      </c>
      <c r="AJ1095" s="2432">
        <f>-3.516+3</f>
        <v>-0.51600000000000001</v>
      </c>
      <c r="AK1095" s="2433">
        <f>SUM(AG1095:AJ1095)</f>
        <v>-1.5129999999999999</v>
      </c>
      <c r="AL1095" s="2432">
        <v>0.13500000000000001</v>
      </c>
      <c r="AM1095" s="2430">
        <v>0.48699999999999999</v>
      </c>
      <c r="AN1095" s="2434">
        <f>AN1088-AN1091</f>
        <v>-0.34128999999999987</v>
      </c>
      <c r="AO1095" s="2432">
        <f>AO1088-AO1091</f>
        <v>-0.48485999999999985</v>
      </c>
      <c r="AP1095" s="2435">
        <f>SUM(AL1095:AO1095)</f>
        <v>-0.20414999999999972</v>
      </c>
      <c r="AQ1095" s="2435">
        <f>AQ1088-AQ1091</f>
        <v>0.16597999999999979</v>
      </c>
      <c r="AR1095" s="2432">
        <f>AR1088-AR1091</f>
        <v>0.52227000000000023</v>
      </c>
      <c r="AS1095" s="2432">
        <f>AS1088-AS1091</f>
        <v>-0.29928229999999978</v>
      </c>
      <c r="AT1095" s="2432">
        <f>AT1088-AT1091</f>
        <v>-0.45268259999999971</v>
      </c>
      <c r="AU1095" s="2433">
        <f>SUM(AQ1095:AT1095)</f>
        <v>-6.3714899999999464E-2</v>
      </c>
      <c r="AV1095" s="2435">
        <f>AV1088-AV1091</f>
        <v>0.25498800000000044</v>
      </c>
      <c r="AW1095" s="2432">
        <f>AW1088-AW1091</f>
        <v>0.61007130000000087</v>
      </c>
      <c r="AX1095" s="2432"/>
      <c r="AY1095" s="2436"/>
      <c r="AZ1095" s="2433"/>
      <c r="BA1095" s="2435"/>
      <c r="BB1095" s="2432"/>
      <c r="BC1095" s="2432"/>
      <c r="BD1095" s="2436"/>
      <c r="BE1095" s="2436"/>
      <c r="BF1095" s="2432"/>
      <c r="BG1095" s="2432"/>
      <c r="BH1095" s="2432"/>
      <c r="BI1095" s="2436"/>
      <c r="BJ1095" s="2436"/>
      <c r="BK1095" s="2432"/>
      <c r="BL1095" s="2432"/>
      <c r="BM1095" s="2432"/>
      <c r="BN1095" s="2436"/>
      <c r="BO1095" s="2436"/>
      <c r="BP1095" s="2432"/>
      <c r="BQ1095" s="2432"/>
      <c r="BR1095" s="2432"/>
      <c r="BS1095" s="2432"/>
      <c r="BT1095" s="1004"/>
      <c r="BU1095" s="1006"/>
      <c r="BV1095" s="1015"/>
      <c r="BW1095" s="1015"/>
      <c r="BX1095" s="1015"/>
      <c r="BY1095" s="3438"/>
      <c r="BZ1095" s="2433"/>
      <c r="CA1095" s="2433"/>
      <c r="CB1095" s="2433"/>
      <c r="CC1095" s="2433"/>
      <c r="CD1095" s="2433"/>
      <c r="CE1095" s="2433"/>
      <c r="CF1095" s="2433"/>
      <c r="CG1095" s="2388"/>
      <c r="CH1095" s="2388"/>
      <c r="CI1095" s="2388"/>
      <c r="CJ1095" s="2388"/>
      <c r="CK1095" s="2388"/>
      <c r="CL1095" s="2448" t="str">
        <f>A1095</f>
        <v>Property EBITDA</v>
      </c>
      <c r="CM1095" s="2432">
        <f>G1095</f>
        <v>4.7750000000000004</v>
      </c>
      <c r="CN1095" s="2432">
        <f>L1095</f>
        <v>4.0289999999999999</v>
      </c>
      <c r="CO1095" s="2432">
        <f>Q1095</f>
        <v>3.161</v>
      </c>
      <c r="CP1095" s="2432">
        <f>V1095</f>
        <v>3.3499999999999996</v>
      </c>
      <c r="CQ1095" s="2432">
        <f>AA1095</f>
        <v>-0.78300000000000003</v>
      </c>
      <c r="CR1095" s="2432">
        <f>AF1095</f>
        <v>2.300000000000002E-2</v>
      </c>
      <c r="CS1095" s="2432">
        <f>AK1095</f>
        <v>-1.5129999999999999</v>
      </c>
      <c r="CT1095" s="2432">
        <f>AP1095</f>
        <v>-0.20414999999999972</v>
      </c>
      <c r="CU1095" s="2432">
        <f>AU1095</f>
        <v>-6.3714899999999464E-2</v>
      </c>
      <c r="CV1095" s="2432">
        <f>AZ1095</f>
        <v>0</v>
      </c>
      <c r="CW1095" s="2432">
        <f>BE1095</f>
        <v>0</v>
      </c>
      <c r="CX1095" s="2432">
        <f>BJ1095</f>
        <v>0</v>
      </c>
      <c r="CY1095" s="2432">
        <f>BO1095</f>
        <v>0</v>
      </c>
      <c r="CZ1095" s="2432">
        <f>BT1095</f>
        <v>0</v>
      </c>
      <c r="DA1095" s="2432">
        <f t="shared" ref="DA1095:DC1099" si="2601">BY1095</f>
        <v>0</v>
      </c>
      <c r="DB1095" s="2432">
        <f t="shared" si="2601"/>
        <v>0</v>
      </c>
      <c r="DC1095" s="2436">
        <f t="shared" si="2601"/>
        <v>0</v>
      </c>
      <c r="DD1095" s="2388"/>
      <c r="DE1095" s="2388"/>
      <c r="DF1095" s="2388"/>
      <c r="DG1095" s="2389"/>
      <c r="DH1095" s="463"/>
      <c r="DI1095" s="3216"/>
      <c r="DJ1095" s="2388"/>
      <c r="DK1095" s="2389"/>
      <c r="DL1095" s="2388"/>
      <c r="DM1095" s="2388"/>
      <c r="DN1095" s="2388"/>
      <c r="DO1095" s="2388"/>
      <c r="DP1095" s="2389"/>
      <c r="DQ1095" s="2389"/>
      <c r="DR1095" s="2438"/>
      <c r="DS1095" s="2438"/>
      <c r="DT1095" s="2438"/>
      <c r="DU1095"/>
      <c r="DV1095"/>
      <c r="DW1095"/>
      <c r="DX1095"/>
      <c r="DY1095"/>
      <c r="DZ1095"/>
    </row>
    <row r="1096" spans="1:130" s="2391" customFormat="1" ht="12" hidden="1" customHeight="1" outlineLevel="1" x14ac:dyDescent="0.25">
      <c r="A1096" s="2414" t="s">
        <v>1892</v>
      </c>
      <c r="B1096" s="2415"/>
      <c r="C1096" s="2416">
        <f t="shared" ref="C1096:AU1096" si="2602">C1095/C1088</f>
        <v>0.1479762825470482</v>
      </c>
      <c r="D1096" s="2416">
        <f t="shared" si="2602"/>
        <v>0.15143762183235868</v>
      </c>
      <c r="E1096" s="2416">
        <f t="shared" si="2602"/>
        <v>0.18361684159729763</v>
      </c>
      <c r="F1096" s="2416">
        <f t="shared" si="2602"/>
        <v>0.11078267574861843</v>
      </c>
      <c r="G1096" s="2417">
        <f t="shared" si="2602"/>
        <v>0.14905106754900738</v>
      </c>
      <c r="H1096" s="2416">
        <f t="shared" si="2602"/>
        <v>0.1169696128763702</v>
      </c>
      <c r="I1096" s="2416">
        <f t="shared" si="2602"/>
        <v>0.13890097143685659</v>
      </c>
      <c r="J1096" s="2416">
        <f t="shared" si="2602"/>
        <v>0.17532961460446247</v>
      </c>
      <c r="K1096" s="2416">
        <f t="shared" si="2602"/>
        <v>9.9085365853658527E-2</v>
      </c>
      <c r="L1096" s="2417">
        <f t="shared" si="2602"/>
        <v>0.13201179554390566</v>
      </c>
      <c r="M1096" s="2416">
        <f t="shared" si="2602"/>
        <v>9.5050106286061337E-2</v>
      </c>
      <c r="N1096" s="2416">
        <f t="shared" si="2602"/>
        <v>0.13018760659465606</v>
      </c>
      <c r="O1096" s="2416">
        <f t="shared" si="2602"/>
        <v>0.1335651166159641</v>
      </c>
      <c r="P1096" s="2416">
        <f t="shared" si="2602"/>
        <v>0.11086368697311913</v>
      </c>
      <c r="Q1096" s="2417">
        <f t="shared" si="2602"/>
        <v>0.11789497240041774</v>
      </c>
      <c r="R1096" s="2416">
        <f t="shared" si="2602"/>
        <v>0.11008273734399103</v>
      </c>
      <c r="S1096" s="2416">
        <f t="shared" si="2602"/>
        <v>0.13042897233729789</v>
      </c>
      <c r="T1096" s="2416">
        <f t="shared" si="2602"/>
        <v>9.8402231803195545E-2</v>
      </c>
      <c r="U1096" s="2416">
        <f t="shared" si="2602"/>
        <v>0.12738953306173614</v>
      </c>
      <c r="V1096" s="2417">
        <f t="shared" si="2602"/>
        <v>0.1159891974240011</v>
      </c>
      <c r="W1096" s="2416">
        <f t="shared" si="2602"/>
        <v>1.0097493036211699E-2</v>
      </c>
      <c r="X1096" s="2416">
        <f t="shared" si="2602"/>
        <v>1.8579614516409097E-2</v>
      </c>
      <c r="Y1096" s="2416">
        <f t="shared" si="2602"/>
        <v>-4.6196539340515826E-2</v>
      </c>
      <c r="Z1096" s="2416">
        <f t="shared" si="2602"/>
        <v>-0.14781062458324074</v>
      </c>
      <c r="AA1096" s="2417">
        <f t="shared" si="2602"/>
        <v>-3.5385032537960957E-2</v>
      </c>
      <c r="AB1096" s="2416">
        <f t="shared" si="2602"/>
        <v>3.1739488870568835E-2</v>
      </c>
      <c r="AC1096" s="2416">
        <f t="shared" si="2602"/>
        <v>3.3262711864406783E-2</v>
      </c>
      <c r="AD1096" s="2416">
        <f t="shared" si="2602"/>
        <v>3.328402366863905E-3</v>
      </c>
      <c r="AE1096" s="2418">
        <f t="shared" si="2602"/>
        <v>-6.5412569474134249E-2</v>
      </c>
      <c r="AF1096" s="2419">
        <f t="shared" si="2602"/>
        <v>1.1700071217824815E-3</v>
      </c>
      <c r="AG1096" s="2416">
        <f>AG1095/AG1088</f>
        <v>-7.5363506041368017E-2</v>
      </c>
      <c r="AH1096" s="2416">
        <f t="shared" si="2602"/>
        <v>-5.1149306274591015E-2</v>
      </c>
      <c r="AI1096" s="2416">
        <f t="shared" si="2602"/>
        <v>-8.5784864136537159E-2</v>
      </c>
      <c r="AJ1096" s="2418">
        <f t="shared" si="2602"/>
        <v>-0.14214876033057852</v>
      </c>
      <c r="AK1096" s="2419">
        <f t="shared" si="2602"/>
        <v>-8.5023883113234056E-2</v>
      </c>
      <c r="AL1096" s="2416">
        <f t="shared" si="2602"/>
        <v>4.5561930475869053E-2</v>
      </c>
      <c r="AM1096" s="2416">
        <f t="shared" si="2602"/>
        <v>0.16019736842105262</v>
      </c>
      <c r="AN1096" s="2416">
        <f t="shared" si="2602"/>
        <v>-7.5139914488139711E-2</v>
      </c>
      <c r="AO1096" s="2418">
        <f t="shared" si="2602"/>
        <v>-0.1309512234645924</v>
      </c>
      <c r="AP1096" s="2420">
        <f t="shared" si="2602"/>
        <v>-1.4328668707703562E-2</v>
      </c>
      <c r="AQ1096" s="2420">
        <f t="shared" si="2602"/>
        <v>5.4919166451595752E-2</v>
      </c>
      <c r="AR1096" s="2418">
        <f t="shared" si="2602"/>
        <v>0.16843072755417965</v>
      </c>
      <c r="AS1096" s="2418">
        <f t="shared" si="2602"/>
        <v>-6.4599327091197145E-2</v>
      </c>
      <c r="AT1096" s="2418">
        <f t="shared" si="2602"/>
        <v>-0.11986346637180226</v>
      </c>
      <c r="AU1096" s="2419">
        <f t="shared" si="2602"/>
        <v>-4.3842699948829196E-3</v>
      </c>
      <c r="AV1096" s="2420">
        <f>AV1095/AV1088</f>
        <v>8.2715661555960773E-2</v>
      </c>
      <c r="AW1096" s="2418">
        <f>AW1095/AW1088</f>
        <v>0.19288864733199804</v>
      </c>
      <c r="AX1096" s="2418"/>
      <c r="AY1096" s="2421"/>
      <c r="AZ1096" s="2419"/>
      <c r="BA1096" s="2420"/>
      <c r="BB1096" s="2418"/>
      <c r="BC1096" s="2418"/>
      <c r="BD1096" s="2421"/>
      <c r="BE1096" s="2421"/>
      <c r="BF1096" s="2418"/>
      <c r="BG1096" s="2418"/>
      <c r="BH1096" s="2418"/>
      <c r="BI1096" s="2421"/>
      <c r="BJ1096" s="2421"/>
      <c r="BK1096" s="2418"/>
      <c r="BL1096" s="2418"/>
      <c r="BM1096" s="2418"/>
      <c r="BN1096" s="2421"/>
      <c r="BO1096" s="2421"/>
      <c r="BP1096" s="2418"/>
      <c r="BQ1096" s="2418"/>
      <c r="BR1096" s="2418"/>
      <c r="BS1096" s="2418"/>
      <c r="BT1096" s="470"/>
      <c r="BU1096" s="471"/>
      <c r="BV1096" s="469"/>
      <c r="BW1096" s="469"/>
      <c r="BX1096" s="469"/>
      <c r="BY1096" s="2419"/>
      <c r="BZ1096" s="2419"/>
      <c r="CA1096" s="2419"/>
      <c r="CB1096" s="2419"/>
      <c r="CC1096" s="2419"/>
      <c r="CD1096" s="2419"/>
      <c r="CE1096" s="2419"/>
      <c r="CF1096" s="2419"/>
      <c r="CG1096" s="2385"/>
      <c r="CH1096" s="2385"/>
      <c r="CI1096" s="2385"/>
      <c r="CJ1096" s="2385"/>
      <c r="CK1096" s="2385"/>
      <c r="CL1096" s="2422" t="str">
        <f>A1096</f>
        <v>Margin</v>
      </c>
      <c r="CM1096" s="2418">
        <f>G1096</f>
        <v>0.14905106754900738</v>
      </c>
      <c r="CN1096" s="2418">
        <f>L1096</f>
        <v>0.13201179554390566</v>
      </c>
      <c r="CO1096" s="2418">
        <f>Q1096</f>
        <v>0.11789497240041774</v>
      </c>
      <c r="CP1096" s="2418">
        <f>V1096</f>
        <v>0.1159891974240011</v>
      </c>
      <c r="CQ1096" s="2418">
        <f>AA1096</f>
        <v>-3.5385032537960957E-2</v>
      </c>
      <c r="CR1096" s="2418">
        <f>AF1096</f>
        <v>1.1700071217824815E-3</v>
      </c>
      <c r="CS1096" s="2418">
        <f>AK1096</f>
        <v>-8.5023883113234056E-2</v>
      </c>
      <c r="CT1096" s="2418">
        <f>AP1096</f>
        <v>-1.4328668707703562E-2</v>
      </c>
      <c r="CU1096" s="2418">
        <f>AU1096</f>
        <v>-4.3842699948829196E-3</v>
      </c>
      <c r="CV1096" s="2418">
        <f>AZ1096</f>
        <v>0</v>
      </c>
      <c r="CW1096" s="2418">
        <f>BE1096</f>
        <v>0</v>
      </c>
      <c r="CX1096" s="2418">
        <f>BJ1096</f>
        <v>0</v>
      </c>
      <c r="CY1096" s="2418">
        <f>BO1096</f>
        <v>0</v>
      </c>
      <c r="CZ1096" s="2418">
        <f>BT1096</f>
        <v>0</v>
      </c>
      <c r="DA1096" s="2418">
        <f t="shared" si="2601"/>
        <v>0</v>
      </c>
      <c r="DB1096" s="2418">
        <f t="shared" si="2601"/>
        <v>0</v>
      </c>
      <c r="DC1096" s="2421">
        <f t="shared" si="2601"/>
        <v>0</v>
      </c>
      <c r="DD1096" s="2385"/>
      <c r="DE1096" s="2385"/>
      <c r="DF1096" s="2388"/>
      <c r="DG1096" s="2389"/>
      <c r="DH1096" s="469"/>
      <c r="DI1096" s="3216"/>
      <c r="DJ1096" s="2388"/>
      <c r="DK1096" s="2389"/>
      <c r="DL1096" s="2388"/>
      <c r="DM1096" s="2388"/>
      <c r="DN1096" s="2388"/>
      <c r="DO1096" s="2388"/>
      <c r="DP1096" s="2389"/>
      <c r="DQ1096" s="2389"/>
      <c r="DR1096" s="2400"/>
      <c r="DS1096" s="2400"/>
      <c r="DT1096" s="2400"/>
      <c r="DU1096"/>
      <c r="DV1096"/>
      <c r="DW1096"/>
      <c r="DX1096"/>
      <c r="DY1096"/>
      <c r="DZ1096"/>
    </row>
    <row r="1097" spans="1:130" s="2391" customFormat="1" ht="12" hidden="1" customHeight="1" outlineLevel="1" x14ac:dyDescent="0.25">
      <c r="A1097" s="2414" t="s">
        <v>1491</v>
      </c>
      <c r="B1097" s="2415"/>
      <c r="C1097" s="2416" t="s">
        <v>553</v>
      </c>
      <c r="D1097" s="2416" t="s">
        <v>553</v>
      </c>
      <c r="E1097" s="2416" t="s">
        <v>553</v>
      </c>
      <c r="F1097" s="2416" t="s">
        <v>553</v>
      </c>
      <c r="G1097" s="2417" t="s">
        <v>553</v>
      </c>
      <c r="H1097" s="2416">
        <f t="shared" ref="H1097:AF1097" si="2603">(H1095-C1095)/C1095</f>
        <v>-0.26567944250871078</v>
      </c>
      <c r="I1097" s="2416">
        <f t="shared" si="2603"/>
        <v>-0.22928399034593736</v>
      </c>
      <c r="J1097" s="2416">
        <f t="shared" si="2603"/>
        <v>-9.1327201051248363E-2</v>
      </c>
      <c r="K1097" s="2416">
        <f t="shared" si="2603"/>
        <v>-1.9721577726218114E-2</v>
      </c>
      <c r="L1097" s="2417">
        <f t="shared" si="2603"/>
        <v>-0.15623036649214667</v>
      </c>
      <c r="M1097" s="2416">
        <f t="shared" si="2603"/>
        <v>-0.25741399762752071</v>
      </c>
      <c r="N1097" s="2416">
        <f t="shared" si="2603"/>
        <v>-4.3841336116910157E-2</v>
      </c>
      <c r="O1097" s="2416">
        <f t="shared" si="2603"/>
        <v>-0.33333333333333331</v>
      </c>
      <c r="P1097" s="2416">
        <f t="shared" si="2603"/>
        <v>-0.17514792899408288</v>
      </c>
      <c r="Q1097" s="2417">
        <f t="shared" si="2603"/>
        <v>-0.21543807396376269</v>
      </c>
      <c r="R1097" s="2416">
        <f t="shared" si="2603"/>
        <v>0.2539936102236422</v>
      </c>
      <c r="S1097" s="2416">
        <f t="shared" si="2603"/>
        <v>6.5502183406113468E-2</v>
      </c>
      <c r="T1097" s="2416">
        <f t="shared" si="2603"/>
        <v>-0.15835140997830804</v>
      </c>
      <c r="U1097" s="2416">
        <f t="shared" si="2603"/>
        <v>0.16642754662840745</v>
      </c>
      <c r="V1097" s="2417">
        <f t="shared" si="2603"/>
        <v>5.9791205314773679E-2</v>
      </c>
      <c r="W1097" s="2416">
        <f t="shared" si="2603"/>
        <v>-0.92611464968152857</v>
      </c>
      <c r="X1097" s="2416">
        <f t="shared" si="2603"/>
        <v>-0.89036885245901642</v>
      </c>
      <c r="Y1097" s="2416">
        <f t="shared" si="2603"/>
        <v>-1.3646907216494844</v>
      </c>
      <c r="Z1097" s="2416">
        <f t="shared" si="2603"/>
        <v>-1.8179581795817958</v>
      </c>
      <c r="AA1097" s="2417">
        <f t="shared" si="2603"/>
        <v>-1.2337313432835821</v>
      </c>
      <c r="AB1097" s="2416">
        <f t="shared" si="2603"/>
        <v>1.6551724137931034</v>
      </c>
      <c r="AC1097" s="2416">
        <f t="shared" si="2603"/>
        <v>0.46728971962616828</v>
      </c>
      <c r="AD1097" s="2416">
        <f t="shared" si="2603"/>
        <v>-1.0636042402826855</v>
      </c>
      <c r="AE1097" s="2418">
        <f t="shared" si="2603"/>
        <v>-0.53984962406015036</v>
      </c>
      <c r="AF1097" s="2419">
        <f t="shared" si="2603"/>
        <v>-1.029374201787995</v>
      </c>
      <c r="AG1097" s="2416">
        <f>(AG1095-AB1095)/AB1095</f>
        <v>-3.38961038961039</v>
      </c>
      <c r="AH1097" s="2416">
        <f t="shared" ref="AH1097:AU1097" si="2604">(AH1095-AC1095)/AC1095</f>
        <v>-2.5732484076433124</v>
      </c>
      <c r="AI1097" s="2416">
        <f t="shared" si="2604"/>
        <v>-22.222222222222225</v>
      </c>
      <c r="AJ1097" s="2418">
        <f t="shared" si="2604"/>
        <v>0.68627450980392168</v>
      </c>
      <c r="AK1097" s="2419">
        <f t="shared" si="2604"/>
        <v>-66.782608695652115</v>
      </c>
      <c r="AL1097" s="2416">
        <f t="shared" si="2604"/>
        <v>-1.3668478260869565</v>
      </c>
      <c r="AM1097" s="2416">
        <f t="shared" si="2604"/>
        <v>-2.9716599190283399</v>
      </c>
      <c r="AN1097" s="2416">
        <f t="shared" si="2604"/>
        <v>-0.1065706806282726</v>
      </c>
      <c r="AO1097" s="2418">
        <f t="shared" si="2604"/>
        <v>-6.0348837209302647E-2</v>
      </c>
      <c r="AP1097" s="2420">
        <f t="shared" si="2604"/>
        <v>-0.86506939854593534</v>
      </c>
      <c r="AQ1097" s="2420">
        <f t="shared" si="2604"/>
        <v>0.22948148148147987</v>
      </c>
      <c r="AR1097" s="2418">
        <f t="shared" si="2604"/>
        <v>7.2422997946612416E-2</v>
      </c>
      <c r="AS1097" s="2418">
        <f t="shared" si="2604"/>
        <v>-0.12308505962671074</v>
      </c>
      <c r="AT1097" s="2418">
        <f t="shared" si="2604"/>
        <v>-6.6364311347605787E-2</v>
      </c>
      <c r="AU1097" s="2419">
        <f t="shared" si="2604"/>
        <v>-0.68790154298310291</v>
      </c>
      <c r="AV1097" s="2420">
        <f>(AV1095-AQ1095)/AQ1095</f>
        <v>0.53625738040728255</v>
      </c>
      <c r="AW1097" s="2418">
        <f>(AW1095-AR1095)/AR1095</f>
        <v>0.1681147682233339</v>
      </c>
      <c r="AX1097" s="2418"/>
      <c r="AY1097" s="2421"/>
      <c r="AZ1097" s="2419"/>
      <c r="BA1097" s="2420"/>
      <c r="BB1097" s="2418"/>
      <c r="BC1097" s="2418"/>
      <c r="BD1097" s="2421"/>
      <c r="BE1097" s="2421"/>
      <c r="BF1097" s="2418"/>
      <c r="BG1097" s="2418"/>
      <c r="BH1097" s="2418"/>
      <c r="BI1097" s="2421"/>
      <c r="BJ1097" s="2421"/>
      <c r="BK1097" s="2418"/>
      <c r="BL1097" s="2418"/>
      <c r="BM1097" s="2418"/>
      <c r="BN1097" s="2421"/>
      <c r="BO1097" s="2421"/>
      <c r="BP1097" s="2418"/>
      <c r="BQ1097" s="2418"/>
      <c r="BR1097" s="2418"/>
      <c r="BS1097" s="2418"/>
      <c r="BT1097" s="470"/>
      <c r="BU1097" s="471"/>
      <c r="BV1097" s="469"/>
      <c r="BW1097" s="469"/>
      <c r="BX1097" s="469"/>
      <c r="BY1097" s="2419"/>
      <c r="BZ1097" s="2419"/>
      <c r="CA1097" s="2419"/>
      <c r="CB1097" s="2419"/>
      <c r="CC1097" s="2419"/>
      <c r="CD1097" s="2419"/>
      <c r="CE1097" s="2419"/>
      <c r="CF1097" s="2419"/>
      <c r="CG1097" s="2385"/>
      <c r="CH1097" s="2385"/>
      <c r="CI1097" s="2385"/>
      <c r="CJ1097" s="2385"/>
      <c r="CK1097" s="2385"/>
      <c r="CL1097" s="2422" t="str">
        <f>A1097</f>
        <v>% growth (y-o-y)</v>
      </c>
      <c r="CM1097" s="2418" t="str">
        <f>G1097</f>
        <v xml:space="preserve">n/a </v>
      </c>
      <c r="CN1097" s="2418">
        <f>L1097</f>
        <v>-0.15623036649214667</v>
      </c>
      <c r="CO1097" s="2418">
        <f>Q1097</f>
        <v>-0.21543807396376269</v>
      </c>
      <c r="CP1097" s="2418">
        <f>V1097</f>
        <v>5.9791205314773679E-2</v>
      </c>
      <c r="CQ1097" s="2418">
        <f>AA1097</f>
        <v>-1.2337313432835821</v>
      </c>
      <c r="CR1097" s="2418">
        <f>AF1097</f>
        <v>-1.029374201787995</v>
      </c>
      <c r="CS1097" s="2418">
        <f>AK1097</f>
        <v>-66.782608695652115</v>
      </c>
      <c r="CT1097" s="2418">
        <f>AP1097</f>
        <v>-0.86506939854593534</v>
      </c>
      <c r="CU1097" s="2418">
        <f>AU1097</f>
        <v>-0.68790154298310291</v>
      </c>
      <c r="CV1097" s="2418">
        <f>AZ1097</f>
        <v>0</v>
      </c>
      <c r="CW1097" s="2418">
        <f>BE1097</f>
        <v>0</v>
      </c>
      <c r="CX1097" s="2418">
        <f>BJ1097</f>
        <v>0</v>
      </c>
      <c r="CY1097" s="2418">
        <f>BO1097</f>
        <v>0</v>
      </c>
      <c r="CZ1097" s="2418">
        <f>BT1097</f>
        <v>0</v>
      </c>
      <c r="DA1097" s="2418">
        <f t="shared" si="2601"/>
        <v>0</v>
      </c>
      <c r="DB1097" s="2418">
        <f t="shared" si="2601"/>
        <v>0</v>
      </c>
      <c r="DC1097" s="2421">
        <f t="shared" si="2601"/>
        <v>0</v>
      </c>
      <c r="DD1097" s="2385"/>
      <c r="DE1097" s="2385"/>
      <c r="DF1097" s="2388"/>
      <c r="DG1097" s="2389"/>
      <c r="DH1097" s="469"/>
      <c r="DI1097" s="3216"/>
      <c r="DJ1097" s="2388"/>
      <c r="DK1097" s="2389"/>
      <c r="DL1097" s="2388"/>
      <c r="DM1097" s="2388"/>
      <c r="DN1097" s="2388"/>
      <c r="DO1097" s="2388"/>
      <c r="DP1097" s="2389"/>
      <c r="DQ1097" s="2389"/>
      <c r="DR1097" s="2400"/>
      <c r="DS1097" s="2400"/>
      <c r="DT1097" s="2400"/>
      <c r="DU1097"/>
      <c r="DV1097"/>
      <c r="DW1097"/>
      <c r="DX1097"/>
      <c r="DY1097"/>
      <c r="DZ1097"/>
    </row>
    <row r="1098" spans="1:130" s="2391" customFormat="1" ht="12" hidden="1" customHeight="1" outlineLevel="1" x14ac:dyDescent="0.25">
      <c r="A1098" s="2392" t="s">
        <v>2197</v>
      </c>
      <c r="B1098" s="2392"/>
      <c r="C1098" s="2440">
        <v>0.34699999999999998</v>
      </c>
      <c r="D1098" s="2440">
        <v>0.38400000000000001</v>
      </c>
      <c r="E1098" s="2440">
        <v>0.40600000000000003</v>
      </c>
      <c r="F1098" s="2440">
        <v>0.43099999999999999</v>
      </c>
      <c r="G1098" s="2441">
        <f>SUM(C1098:F1098)</f>
        <v>1.5680000000000001</v>
      </c>
      <c r="H1098" s="2440">
        <v>0.45500000000000002</v>
      </c>
      <c r="I1098" s="2440">
        <v>0.48099999999999998</v>
      </c>
      <c r="J1098" s="2440">
        <v>0.495</v>
      </c>
      <c r="K1098" s="2440">
        <v>0.52200000000000002</v>
      </c>
      <c r="L1098" s="2441">
        <f>SUM(H1098:K1098)</f>
        <v>1.9530000000000001</v>
      </c>
      <c r="M1098" s="2440">
        <v>0.52</v>
      </c>
      <c r="N1098" s="2440">
        <v>0.52400000000000002</v>
      </c>
      <c r="O1098" s="2440">
        <v>0.56399999999999995</v>
      </c>
      <c r="P1098" s="2440">
        <v>0.58699999999999997</v>
      </c>
      <c r="Q1098" s="2441">
        <f>SUM(M1098:P1098)</f>
        <v>2.1950000000000003</v>
      </c>
      <c r="R1098" s="2440">
        <v>0.63100000000000001</v>
      </c>
      <c r="S1098" s="2440">
        <v>0.52800000000000002</v>
      </c>
      <c r="T1098" s="2440">
        <v>0.53100000000000003</v>
      </c>
      <c r="U1098" s="2440">
        <v>0.52800000000000002</v>
      </c>
      <c r="V1098" s="2441">
        <f>SUM(R1098:U1098)</f>
        <v>2.218</v>
      </c>
      <c r="W1098" s="2440">
        <v>0.51700000000000002</v>
      </c>
      <c r="X1098" s="2440">
        <v>0.501</v>
      </c>
      <c r="Y1098" s="2440">
        <v>0.46899999999999997</v>
      </c>
      <c r="Z1098" s="2440">
        <v>0.44700000000000001</v>
      </c>
      <c r="AA1098" s="2441">
        <f>SUM(W1098:Z1098)</f>
        <v>1.9340000000000002</v>
      </c>
      <c r="AB1098" s="2444">
        <v>0.61</v>
      </c>
      <c r="AC1098" s="2444">
        <v>0.184</v>
      </c>
      <c r="AD1098" s="2444">
        <v>0.17799999999999999</v>
      </c>
      <c r="AE1098" s="2444">
        <v>0.16200000000000001</v>
      </c>
      <c r="AF1098" s="2442">
        <f>SUM(AB1098:AE1098)</f>
        <v>1.1339999999999999</v>
      </c>
      <c r="AG1098" s="2444">
        <v>0.23200000000000001</v>
      </c>
      <c r="AH1098" s="2444">
        <v>0.21299999999999999</v>
      </c>
      <c r="AI1098" s="2444">
        <v>0.23400000000000001</v>
      </c>
      <c r="AJ1098" s="2444">
        <v>0.251</v>
      </c>
      <c r="AK1098" s="2442">
        <f>SUM(AG1098:AJ1098)</f>
        <v>0.93</v>
      </c>
      <c r="AL1098" s="2444">
        <v>0.20599999999999999</v>
      </c>
      <c r="AM1098" s="2444">
        <v>0.19900000000000001</v>
      </c>
      <c r="AN1098" s="2449">
        <f>AM1098</f>
        <v>0.19900000000000001</v>
      </c>
      <c r="AO1098" s="2444">
        <f>AN1098</f>
        <v>0.19900000000000001</v>
      </c>
      <c r="AP1098" s="2443">
        <f>SUM(AL1098:AO1098)</f>
        <v>0.80300000000000016</v>
      </c>
      <c r="AQ1098" s="2443">
        <f>+AO1098</f>
        <v>0.19900000000000001</v>
      </c>
      <c r="AR1098" s="2444">
        <f>AQ1098</f>
        <v>0.19900000000000001</v>
      </c>
      <c r="AS1098" s="2444">
        <f>AR1098</f>
        <v>0.19900000000000001</v>
      </c>
      <c r="AT1098" s="2444">
        <f>AS1098</f>
        <v>0.19900000000000001</v>
      </c>
      <c r="AU1098" s="2442">
        <f>SUM(AQ1098:AT1098)</f>
        <v>0.79600000000000004</v>
      </c>
      <c r="AV1098" s="2443">
        <f>+AT1098</f>
        <v>0.19900000000000001</v>
      </c>
      <c r="AW1098" s="2444">
        <f>AV1098</f>
        <v>0.19900000000000001</v>
      </c>
      <c r="AX1098" s="2444"/>
      <c r="AY1098" s="2445"/>
      <c r="AZ1098" s="2442"/>
      <c r="BA1098" s="2443"/>
      <c r="BB1098" s="2444"/>
      <c r="BC1098" s="2444"/>
      <c r="BD1098" s="2445"/>
      <c r="BE1098" s="2445"/>
      <c r="BF1098" s="2444"/>
      <c r="BG1098" s="2444"/>
      <c r="BH1098" s="2444"/>
      <c r="BI1098" s="2445"/>
      <c r="BJ1098" s="2445"/>
      <c r="BK1098" s="2444"/>
      <c r="BL1098" s="2444"/>
      <c r="BM1098" s="2444"/>
      <c r="BN1098" s="2445"/>
      <c r="BO1098" s="2445"/>
      <c r="BP1098" s="2444"/>
      <c r="BQ1098" s="2444"/>
      <c r="BR1098" s="2444"/>
      <c r="BS1098" s="2444"/>
      <c r="BT1098" s="3066"/>
      <c r="BU1098" s="3391"/>
      <c r="BV1098" s="2915"/>
      <c r="BW1098" s="2915"/>
      <c r="BX1098" s="2915"/>
      <c r="BY1098" s="3439"/>
      <c r="BZ1098" s="2442"/>
      <c r="CA1098" s="2442"/>
      <c r="CB1098" s="2442"/>
      <c r="CC1098" s="2442"/>
      <c r="CD1098" s="2442"/>
      <c r="CE1098" s="2442"/>
      <c r="CF1098" s="2442"/>
      <c r="CG1098" s="2385"/>
      <c r="CH1098" s="2385"/>
      <c r="CI1098" s="2385"/>
      <c r="CJ1098" s="2385"/>
      <c r="CK1098" s="2385"/>
      <c r="CL1098" s="2399" t="str">
        <f>A1098</f>
        <v>Depreciation and amortization</v>
      </c>
      <c r="CM1098" s="2444">
        <f>G1098</f>
        <v>1.5680000000000001</v>
      </c>
      <c r="CN1098" s="2444">
        <f>L1098</f>
        <v>1.9530000000000001</v>
      </c>
      <c r="CO1098" s="2444">
        <f>Q1098</f>
        <v>2.1950000000000003</v>
      </c>
      <c r="CP1098" s="2444">
        <f>V1098</f>
        <v>2.218</v>
      </c>
      <c r="CQ1098" s="2444">
        <f>AA1098</f>
        <v>1.9340000000000002</v>
      </c>
      <c r="CR1098" s="2444">
        <f>AF1098</f>
        <v>1.1339999999999999</v>
      </c>
      <c r="CS1098" s="2444">
        <f>AK1098</f>
        <v>0.93</v>
      </c>
      <c r="CT1098" s="2444">
        <f>AP1098</f>
        <v>0.80300000000000016</v>
      </c>
      <c r="CU1098" s="2444">
        <f>AU1098</f>
        <v>0.79600000000000004</v>
      </c>
      <c r="CV1098" s="2444">
        <f>AZ1098</f>
        <v>0</v>
      </c>
      <c r="CW1098" s="2444">
        <f>BE1098</f>
        <v>0</v>
      </c>
      <c r="CX1098" s="2444">
        <f>BJ1098</f>
        <v>0</v>
      </c>
      <c r="CY1098" s="2444">
        <f>BO1098</f>
        <v>0</v>
      </c>
      <c r="CZ1098" s="2444">
        <f>BT1098</f>
        <v>0</v>
      </c>
      <c r="DA1098" s="2444">
        <f t="shared" si="2601"/>
        <v>0</v>
      </c>
      <c r="DB1098" s="2444">
        <f t="shared" si="2601"/>
        <v>0</v>
      </c>
      <c r="DC1098" s="2445">
        <f t="shared" si="2601"/>
        <v>0</v>
      </c>
      <c r="DD1098" s="2385"/>
      <c r="DE1098" s="2385"/>
      <c r="DF1098" s="2388"/>
      <c r="DG1098" s="2389"/>
      <c r="DH1098" s="2915"/>
      <c r="DI1098" s="3216"/>
      <c r="DJ1098" s="2388"/>
      <c r="DK1098" s="2389"/>
      <c r="DL1098" s="2388"/>
      <c r="DM1098" s="2388"/>
      <c r="DN1098" s="2388"/>
      <c r="DO1098" s="2388"/>
      <c r="DP1098" s="2389"/>
      <c r="DQ1098" s="2389"/>
      <c r="DR1098" s="2400"/>
      <c r="DS1098" s="2400"/>
      <c r="DT1098" s="2400"/>
      <c r="DU1098"/>
      <c r="DV1098"/>
      <c r="DW1098"/>
      <c r="DX1098"/>
      <c r="DY1098"/>
      <c r="DZ1098"/>
    </row>
    <row r="1099" spans="1:130" s="2391" customFormat="1" ht="12" hidden="1" customHeight="1" outlineLevel="1" x14ac:dyDescent="0.25">
      <c r="A1099" s="2414" t="s">
        <v>646</v>
      </c>
      <c r="B1099" s="2415"/>
      <c r="C1099" s="2416">
        <f t="shared" ref="C1099:AU1099" si="2605">C1098/C1088</f>
        <v>4.472802268625934E-2</v>
      </c>
      <c r="D1099" s="2416">
        <f t="shared" si="2605"/>
        <v>4.6783625730994149E-2</v>
      </c>
      <c r="E1099" s="2416">
        <f t="shared" si="2605"/>
        <v>4.8980576667873088E-2</v>
      </c>
      <c r="F1099" s="2416">
        <f t="shared" si="2605"/>
        <v>5.5391337874309214E-2</v>
      </c>
      <c r="G1099" s="2417">
        <f t="shared" si="2605"/>
        <v>4.8944936945935824E-2</v>
      </c>
      <c r="H1099" s="2416">
        <f t="shared" si="2605"/>
        <v>6.3133065075620928E-2</v>
      </c>
      <c r="I1099" s="2416">
        <f t="shared" si="2605"/>
        <v>6.9740466869653461E-2</v>
      </c>
      <c r="J1099" s="2416">
        <f t="shared" si="2605"/>
        <v>6.275354969574036E-2</v>
      </c>
      <c r="K1099" s="2416">
        <f t="shared" si="2605"/>
        <v>6.121013133208255E-2</v>
      </c>
      <c r="L1099" s="2417">
        <f t="shared" si="2605"/>
        <v>6.3990825688073405E-2</v>
      </c>
      <c r="M1099" s="2416">
        <f t="shared" si="2605"/>
        <v>7.8955359854236254E-2</v>
      </c>
      <c r="N1099" s="2416">
        <f t="shared" si="2605"/>
        <v>7.4474133030130757E-2</v>
      </c>
      <c r="O1099" s="2416">
        <f t="shared" si="2605"/>
        <v>8.1703607127335945E-2</v>
      </c>
      <c r="P1099" s="2416">
        <f t="shared" si="2605"/>
        <v>9.3367265786543654E-2</v>
      </c>
      <c r="Q1099" s="2417">
        <f t="shared" si="2605"/>
        <v>8.1866328509622568E-2</v>
      </c>
      <c r="R1099" s="2416">
        <f t="shared" si="2605"/>
        <v>8.8486888234469221E-2</v>
      </c>
      <c r="S1099" s="2416">
        <f t="shared" si="2605"/>
        <v>7.0559935854603781E-2</v>
      </c>
      <c r="T1099" s="2416">
        <f t="shared" si="2605"/>
        <v>6.7334516865330971E-2</v>
      </c>
      <c r="U1099" s="2416">
        <f t="shared" si="2605"/>
        <v>8.273268567847071E-2</v>
      </c>
      <c r="V1099" s="2417">
        <f t="shared" si="2605"/>
        <v>7.6795235786995361E-2</v>
      </c>
      <c r="W1099" s="2416">
        <f t="shared" si="2605"/>
        <v>9.0006963788300837E-2</v>
      </c>
      <c r="X1099" s="2416">
        <f t="shared" si="2605"/>
        <v>8.6994269838513633E-2</v>
      </c>
      <c r="Y1099" s="2416">
        <f t="shared" si="2605"/>
        <v>7.6558929154423763E-2</v>
      </c>
      <c r="Z1099" s="2416">
        <f t="shared" si="2605"/>
        <v>9.9355412313847535E-2</v>
      </c>
      <c r="AA1099" s="2417">
        <f t="shared" si="2605"/>
        <v>8.7400578452639197E-2</v>
      </c>
      <c r="AB1099" s="2416">
        <f t="shared" si="2605"/>
        <v>0.12572135201978565</v>
      </c>
      <c r="AC1099" s="2416">
        <f t="shared" si="2605"/>
        <v>3.898305084745763E-2</v>
      </c>
      <c r="AD1099" s="2416">
        <f t="shared" si="2605"/>
        <v>3.2914201183431947E-2</v>
      </c>
      <c r="AE1099" s="2418">
        <f t="shared" si="2605"/>
        <v>3.4630183839247541E-2</v>
      </c>
      <c r="AF1099" s="2419">
        <f t="shared" si="2605"/>
        <v>5.7686438091362285E-2</v>
      </c>
      <c r="AG1099" s="2416">
        <f t="shared" si="2605"/>
        <v>4.7511775547818963E-2</v>
      </c>
      <c r="AH1099" s="2416">
        <f t="shared" si="2605"/>
        <v>4.4108511078898321E-2</v>
      </c>
      <c r="AI1099" s="2416">
        <f t="shared" si="2605"/>
        <v>5.2548843476308109E-2</v>
      </c>
      <c r="AJ1099" s="2418">
        <f t="shared" si="2605"/>
        <v>6.9146005509641881E-2</v>
      </c>
      <c r="AK1099" s="2419">
        <f t="shared" si="2605"/>
        <v>5.226187131216635E-2</v>
      </c>
      <c r="AL1099" s="2416">
        <f t="shared" si="2605"/>
        <v>6.9524130948363141E-2</v>
      </c>
      <c r="AM1099" s="2416">
        <f t="shared" si="2605"/>
        <v>6.5460526315789483E-2</v>
      </c>
      <c r="AN1099" s="2416">
        <f t="shared" si="2605"/>
        <v>4.3812719338802215E-2</v>
      </c>
      <c r="AO1099" s="2418">
        <f t="shared" si="2605"/>
        <v>5.3746016312861238E-2</v>
      </c>
      <c r="AP1099" s="2420">
        <f t="shared" si="2605"/>
        <v>5.6360132119941113E-2</v>
      </c>
      <c r="AQ1099" s="2420">
        <f t="shared" si="2605"/>
        <v>6.5844765175729417E-2</v>
      </c>
      <c r="AR1099" s="2418">
        <f t="shared" si="2605"/>
        <v>6.4176986584107337E-2</v>
      </c>
      <c r="AS1099" s="2418">
        <f t="shared" si="2605"/>
        <v>4.2953646410590414E-2</v>
      </c>
      <c r="AT1099" s="2418">
        <f t="shared" si="2605"/>
        <v>5.269217285574631E-2</v>
      </c>
      <c r="AU1099" s="2419">
        <f t="shared" si="2605"/>
        <v>5.4773356246762279E-2</v>
      </c>
      <c r="AV1099" s="2420">
        <f>AV1098/AV1088</f>
        <v>6.4553691348754327E-2</v>
      </c>
      <c r="AW1099" s="2418">
        <f>AW1098/AW1088</f>
        <v>6.2918614298144424E-2</v>
      </c>
      <c r="AX1099" s="2418"/>
      <c r="AY1099" s="2421"/>
      <c r="AZ1099" s="2419"/>
      <c r="BA1099" s="2420"/>
      <c r="BB1099" s="2418"/>
      <c r="BC1099" s="2418"/>
      <c r="BD1099" s="2421"/>
      <c r="BE1099" s="2421"/>
      <c r="BF1099" s="2418"/>
      <c r="BG1099" s="2418"/>
      <c r="BH1099" s="2418"/>
      <c r="BI1099" s="2421"/>
      <c r="BJ1099" s="2421"/>
      <c r="BK1099" s="2418"/>
      <c r="BL1099" s="2418"/>
      <c r="BM1099" s="2418"/>
      <c r="BN1099" s="2421"/>
      <c r="BO1099" s="2421"/>
      <c r="BP1099" s="2418"/>
      <c r="BQ1099" s="2418"/>
      <c r="BR1099" s="2418"/>
      <c r="BS1099" s="2418"/>
      <c r="BT1099" s="470"/>
      <c r="BU1099" s="471"/>
      <c r="BV1099" s="469"/>
      <c r="BW1099" s="469"/>
      <c r="BX1099" s="469"/>
      <c r="BY1099" s="2419"/>
      <c r="BZ1099" s="2419"/>
      <c r="CA1099" s="2419"/>
      <c r="CB1099" s="2419"/>
      <c r="CC1099" s="2419"/>
      <c r="CD1099" s="2419"/>
      <c r="CE1099" s="2419"/>
      <c r="CF1099" s="2419"/>
      <c r="CG1099" s="2385"/>
      <c r="CH1099" s="2385"/>
      <c r="CI1099" s="2385"/>
      <c r="CJ1099" s="2385"/>
      <c r="CK1099" s="2385"/>
      <c r="CL1099" s="2422" t="str">
        <f>A1099</f>
        <v>% of Net revenue</v>
      </c>
      <c r="CM1099" s="2418">
        <f>G1099</f>
        <v>4.8944936945935824E-2</v>
      </c>
      <c r="CN1099" s="2418">
        <f>L1099</f>
        <v>6.3990825688073405E-2</v>
      </c>
      <c r="CO1099" s="2418">
        <f>Q1099</f>
        <v>8.1866328509622568E-2</v>
      </c>
      <c r="CP1099" s="2418">
        <f>V1099</f>
        <v>7.6795235786995361E-2</v>
      </c>
      <c r="CQ1099" s="2418">
        <f>AA1099</f>
        <v>8.7400578452639197E-2</v>
      </c>
      <c r="CR1099" s="2418">
        <f>AF1099</f>
        <v>5.7686438091362285E-2</v>
      </c>
      <c r="CS1099" s="2418">
        <f>AK1099</f>
        <v>5.226187131216635E-2</v>
      </c>
      <c r="CT1099" s="2418">
        <f>AP1099</f>
        <v>5.6360132119941113E-2</v>
      </c>
      <c r="CU1099" s="2418">
        <f>AU1099</f>
        <v>5.4773356246762279E-2</v>
      </c>
      <c r="CV1099" s="2418">
        <f>AZ1099</f>
        <v>0</v>
      </c>
      <c r="CW1099" s="2418">
        <f>BE1099</f>
        <v>0</v>
      </c>
      <c r="CX1099" s="2418">
        <f>BJ1099</f>
        <v>0</v>
      </c>
      <c r="CY1099" s="2418">
        <f>BO1099</f>
        <v>0</v>
      </c>
      <c r="CZ1099" s="2418">
        <f>BT1099</f>
        <v>0</v>
      </c>
      <c r="DA1099" s="2418">
        <f t="shared" si="2601"/>
        <v>0</v>
      </c>
      <c r="DB1099" s="2418">
        <f t="shared" si="2601"/>
        <v>0</v>
      </c>
      <c r="DC1099" s="2421">
        <f t="shared" si="2601"/>
        <v>0</v>
      </c>
      <c r="DD1099" s="2385"/>
      <c r="DE1099" s="2385"/>
      <c r="DF1099" s="2388"/>
      <c r="DG1099" s="2389"/>
      <c r="DH1099" s="469"/>
      <c r="DI1099" s="3216"/>
      <c r="DJ1099" s="2388"/>
      <c r="DK1099" s="2389"/>
      <c r="DL1099" s="2388"/>
      <c r="DM1099" s="2388"/>
      <c r="DN1099" s="2388"/>
      <c r="DO1099" s="2388"/>
      <c r="DP1099" s="2389"/>
      <c r="DQ1099" s="2389"/>
      <c r="DR1099" s="2400"/>
      <c r="DS1099" s="2400"/>
      <c r="DT1099" s="2400"/>
      <c r="DU1099"/>
      <c r="DV1099"/>
      <c r="DW1099"/>
      <c r="DX1099"/>
      <c r="DY1099"/>
      <c r="DZ1099"/>
    </row>
    <row r="1100" spans="1:130" ht="12" hidden="1" customHeight="1" outlineLevel="1" x14ac:dyDescent="0.25">
      <c r="A1100" s="281"/>
      <c r="B1100" s="281"/>
      <c r="C1100" s="305"/>
      <c r="D1100" s="305"/>
      <c r="E1100" s="305"/>
      <c r="F1100" s="305"/>
      <c r="G1100" s="440"/>
      <c r="H1100" s="305"/>
      <c r="I1100" s="305"/>
      <c r="J1100" s="305"/>
      <c r="K1100" s="305"/>
      <c r="L1100" s="440"/>
      <c r="M1100" s="305"/>
      <c r="N1100" s="305"/>
      <c r="O1100" s="305"/>
      <c r="P1100" s="305"/>
      <c r="Q1100" s="440"/>
      <c r="R1100" s="305"/>
      <c r="S1100" s="305"/>
      <c r="T1100" s="305"/>
      <c r="U1100" s="305"/>
      <c r="V1100" s="440"/>
      <c r="W1100" s="305"/>
      <c r="X1100" s="305"/>
      <c r="Y1100" s="305"/>
      <c r="Z1100" s="305"/>
      <c r="AA1100" s="440"/>
      <c r="AB1100" s="305"/>
      <c r="AC1100" s="305"/>
      <c r="AD1100" s="305"/>
      <c r="AE1100" s="331"/>
      <c r="AF1100" s="441"/>
      <c r="AG1100" s="331"/>
      <c r="AH1100" s="331"/>
      <c r="AI1100" s="331"/>
      <c r="AJ1100" s="331"/>
      <c r="AK1100" s="441"/>
      <c r="AL1100" s="442"/>
      <c r="AM1100" s="442"/>
      <c r="AN1100" s="442"/>
      <c r="AO1100" s="442"/>
      <c r="AP1100" s="443"/>
      <c r="AQ1100" s="443"/>
      <c r="AR1100" s="331"/>
      <c r="AS1100" s="331"/>
      <c r="AT1100" s="331"/>
      <c r="AU1100" s="1686"/>
      <c r="AV1100" s="1899"/>
      <c r="AW1100" s="1774"/>
      <c r="AX1100" s="1774"/>
      <c r="AY1100" s="1900"/>
      <c r="AZ1100" s="349"/>
      <c r="BA1100" s="443"/>
      <c r="BB1100" s="331"/>
      <c r="BC1100" s="331"/>
      <c r="BD1100" s="1306"/>
      <c r="BE1100" s="1306"/>
      <c r="BF1100" s="331"/>
      <c r="BG1100" s="331"/>
      <c r="BH1100" s="331"/>
      <c r="BI1100" s="1306"/>
      <c r="BJ1100" s="1306"/>
      <c r="BK1100" s="331"/>
      <c r="BL1100" s="331"/>
      <c r="BM1100" s="331"/>
      <c r="BN1100" s="1306"/>
      <c r="BO1100" s="1306"/>
      <c r="BP1100" s="331"/>
      <c r="BQ1100" s="331"/>
      <c r="BR1100" s="331"/>
      <c r="BS1100" s="331"/>
      <c r="BT1100" s="3222"/>
      <c r="BU1100" s="3393"/>
      <c r="BV1100" s="2601"/>
      <c r="BW1100" s="2601"/>
      <c r="BX1100" s="2601"/>
      <c r="BY1100" s="3222"/>
      <c r="BZ1100" s="349"/>
      <c r="CA1100" s="349"/>
      <c r="CB1100" s="349"/>
      <c r="CC1100" s="349"/>
      <c r="CD1100" s="349"/>
      <c r="CE1100" s="349"/>
      <c r="CF1100" s="349"/>
      <c r="CG1100" s="331"/>
      <c r="CH1100" s="331"/>
      <c r="CI1100" s="331"/>
      <c r="CJ1100" s="331"/>
      <c r="CK1100" s="331"/>
      <c r="CL1100" s="520"/>
      <c r="CM1100" s="331"/>
      <c r="CN1100" s="331"/>
      <c r="CO1100" s="331"/>
      <c r="CP1100" s="331"/>
      <c r="CQ1100" s="331"/>
      <c r="CR1100" s="331"/>
      <c r="CS1100" s="331"/>
      <c r="CT1100" s="331"/>
      <c r="CU1100" s="331"/>
      <c r="CV1100" s="331"/>
      <c r="CW1100" s="331"/>
      <c r="CX1100" s="331"/>
      <c r="CY1100" s="331"/>
      <c r="CZ1100" s="331"/>
      <c r="DA1100" s="331"/>
      <c r="DB1100" s="331"/>
      <c r="DC1100" s="1306"/>
      <c r="DD1100" s="331"/>
      <c r="DE1100" s="331"/>
      <c r="DF1100" s="502"/>
      <c r="DG1100" s="503"/>
      <c r="DH1100" s="2601"/>
      <c r="DI1100" s="3213"/>
      <c r="DJ1100" s="502"/>
      <c r="DK1100" s="503"/>
      <c r="DL1100" s="502"/>
      <c r="DM1100" s="502"/>
      <c r="DN1100" s="502"/>
      <c r="DO1100" s="502"/>
      <c r="DP1100" s="503"/>
      <c r="DQ1100" s="503"/>
      <c r="DR1100" s="296"/>
      <c r="DS1100" s="296"/>
      <c r="DT1100" s="296"/>
    </row>
    <row r="1101" spans="1:130" ht="12" customHeight="1" collapsed="1" x14ac:dyDescent="0.25">
      <c r="A1101" s="2125" t="s">
        <v>565</v>
      </c>
      <c r="B1101" s="428"/>
      <c r="C1101" s="502"/>
      <c r="D1101" s="502"/>
      <c r="E1101" s="502"/>
      <c r="F1101" s="502"/>
      <c r="G1101" s="534"/>
      <c r="H1101" s="502"/>
      <c r="I1101" s="502"/>
      <c r="J1101" s="502"/>
      <c r="K1101" s="502"/>
      <c r="L1101" s="534"/>
      <c r="M1101" s="502"/>
      <c r="N1101" s="502"/>
      <c r="O1101" s="502"/>
      <c r="P1101" s="502"/>
      <c r="Q1101" s="534"/>
      <c r="R1101" s="502"/>
      <c r="S1101" s="502"/>
      <c r="T1101" s="502"/>
      <c r="U1101" s="502"/>
      <c r="V1101" s="534"/>
      <c r="W1101" s="502"/>
      <c r="X1101" s="502"/>
      <c r="Y1101" s="502"/>
      <c r="Z1101" s="502"/>
      <c r="AA1101" s="534"/>
      <c r="AB1101" s="502"/>
      <c r="AC1101" s="502"/>
      <c r="AD1101" s="502"/>
      <c r="AE1101" s="502"/>
      <c r="AF1101" s="534"/>
      <c r="AG1101" s="502"/>
      <c r="AH1101" s="502"/>
      <c r="AI1101" s="502"/>
      <c r="AJ1101" s="502"/>
      <c r="AK1101" s="534"/>
      <c r="AL1101" s="503"/>
      <c r="AM1101" s="503"/>
      <c r="AN1101" s="503"/>
      <c r="AO1101" s="503"/>
      <c r="AP1101" s="535"/>
      <c r="AQ1101" s="535"/>
      <c r="AR1101" s="537"/>
      <c r="AS1101" s="537"/>
      <c r="AT1101" s="537"/>
      <c r="AU1101" s="536"/>
      <c r="AV1101" s="535"/>
      <c r="AW1101" s="537"/>
      <c r="AX1101" s="537"/>
      <c r="AY1101" s="1926"/>
      <c r="AZ1101" s="536"/>
      <c r="BA1101" s="535"/>
      <c r="BB1101" s="537"/>
      <c r="BC1101" s="537"/>
      <c r="BD1101" s="1926"/>
      <c r="BE1101" s="1926"/>
      <c r="BF1101" s="537"/>
      <c r="BG1101" s="537"/>
      <c r="BH1101" s="537"/>
      <c r="BI1101" s="1926"/>
      <c r="BJ1101" s="1926"/>
      <c r="BK1101" s="537"/>
      <c r="BL1101" s="537"/>
      <c r="BM1101" s="537"/>
      <c r="BN1101" s="1926"/>
      <c r="BO1101" s="1926"/>
      <c r="BP1101" s="537"/>
      <c r="BQ1101" s="537"/>
      <c r="BR1101" s="537"/>
      <c r="BS1101" s="537"/>
      <c r="BT1101" s="536"/>
      <c r="BU1101" s="535"/>
      <c r="BV1101" s="537"/>
      <c r="BW1101" s="537"/>
      <c r="BX1101" s="537"/>
      <c r="BY1101" s="536"/>
      <c r="BZ1101" s="536"/>
      <c r="CA1101" s="536"/>
      <c r="CB1101" s="536"/>
      <c r="CC1101" s="536"/>
      <c r="CD1101" s="536"/>
      <c r="CE1101" s="536"/>
      <c r="CF1101" s="536"/>
      <c r="CG1101" s="331"/>
      <c r="CH1101" s="331"/>
      <c r="CI1101" s="331"/>
      <c r="CJ1101" s="331"/>
      <c r="CK1101" s="331"/>
      <c r="CL1101" s="2036" t="str">
        <f t="shared" ref="CL1101:CL1108" si="2606">A1101</f>
        <v>Other Racing Operations - OH/FL/NJ</v>
      </c>
      <c r="CM1101" s="537">
        <f t="shared" ref="CM1101:CM1108" si="2607">G1101</f>
        <v>0</v>
      </c>
      <c r="CN1101" s="537">
        <f t="shared" ref="CN1101:CN1108" si="2608">L1101</f>
        <v>0</v>
      </c>
      <c r="CO1101" s="537">
        <f t="shared" ref="CO1101:CO1108" si="2609">Q1101</f>
        <v>0</v>
      </c>
      <c r="CP1101" s="537">
        <f t="shared" ref="CP1101:CP1108" si="2610">V1101</f>
        <v>0</v>
      </c>
      <c r="CQ1101" s="537">
        <f t="shared" ref="CQ1101:CQ1108" si="2611">AA1101</f>
        <v>0</v>
      </c>
      <c r="CR1101" s="537">
        <f t="shared" ref="CR1101:CR1108" si="2612">AF1101</f>
        <v>0</v>
      </c>
      <c r="CS1101" s="537">
        <f t="shared" ref="CS1101:CS1108" si="2613">AK1101</f>
        <v>0</v>
      </c>
      <c r="CT1101" s="537">
        <f t="shared" ref="CT1101:CT1108" si="2614">AP1101</f>
        <v>0</v>
      </c>
      <c r="CU1101" s="537">
        <f t="shared" ref="CU1101:CU1108" si="2615">AU1101</f>
        <v>0</v>
      </c>
      <c r="CV1101" s="537">
        <f t="shared" ref="CV1101:CV1108" si="2616">AZ1101</f>
        <v>0</v>
      </c>
      <c r="CW1101" s="537">
        <f t="shared" ref="CW1101:CW1108" si="2617">BE1101</f>
        <v>0</v>
      </c>
      <c r="CX1101" s="537">
        <f t="shared" ref="CX1101:CX1108" si="2618">BJ1101</f>
        <v>0</v>
      </c>
      <c r="CY1101" s="537">
        <f t="shared" ref="CY1101:CY1108" si="2619">BO1101</f>
        <v>0</v>
      </c>
      <c r="CZ1101" s="537">
        <f t="shared" ref="CZ1101:CZ1108" si="2620">BT1101</f>
        <v>0</v>
      </c>
      <c r="DA1101" s="537">
        <f t="shared" ref="DA1101:DC1108" si="2621">BY1101</f>
        <v>0</v>
      </c>
      <c r="DB1101" s="537">
        <f t="shared" si="2621"/>
        <v>0</v>
      </c>
      <c r="DC1101" s="1926">
        <f t="shared" si="2621"/>
        <v>0</v>
      </c>
      <c r="DD1101" s="331"/>
      <c r="DE1101" s="331"/>
      <c r="DF1101" s="502"/>
      <c r="DG1101" s="503"/>
      <c r="DH1101" s="537"/>
      <c r="DI1101" s="3213"/>
      <c r="DJ1101" s="502"/>
      <c r="DK1101" s="503"/>
      <c r="DL1101" s="502"/>
      <c r="DM1101" s="502"/>
      <c r="DN1101" s="502"/>
      <c r="DO1101" s="502"/>
      <c r="DP1101" s="503"/>
      <c r="DQ1101" s="503"/>
      <c r="DR1101" s="428"/>
      <c r="DS1101" s="428"/>
      <c r="DT1101" s="428"/>
    </row>
    <row r="1102" spans="1:130" ht="12" customHeight="1" x14ac:dyDescent="0.25">
      <c r="A1102" s="996" t="s">
        <v>2158</v>
      </c>
      <c r="B1102" s="281"/>
      <c r="C1102" s="565">
        <v>0</v>
      </c>
      <c r="D1102" s="565">
        <v>0</v>
      </c>
      <c r="E1102" s="565">
        <v>0</v>
      </c>
      <c r="F1102" s="565">
        <v>0</v>
      </c>
      <c r="G1102" s="447">
        <f>SUM(C1102:F1102)</f>
        <v>0</v>
      </c>
      <c r="H1102" s="565">
        <v>0</v>
      </c>
      <c r="I1102" s="565">
        <v>0</v>
      </c>
      <c r="J1102" s="565">
        <v>0</v>
      </c>
      <c r="K1102" s="565">
        <v>2.286</v>
      </c>
      <c r="L1102" s="447">
        <f>SUM(H1102:K1102)</f>
        <v>2.286</v>
      </c>
      <c r="M1102" s="565">
        <v>2.02</v>
      </c>
      <c r="N1102" s="565">
        <v>2.4119999999999999</v>
      </c>
      <c r="O1102" s="565">
        <v>2.1749999999999998</v>
      </c>
      <c r="P1102" s="565">
        <v>1.7450000000000001</v>
      </c>
      <c r="Q1102" s="447">
        <f>SUM(M1102:P1102)</f>
        <v>8.3520000000000003</v>
      </c>
      <c r="R1102" s="565">
        <v>1.5329999999999999</v>
      </c>
      <c r="S1102" s="565">
        <v>2.2000000000000002</v>
      </c>
      <c r="T1102" s="565">
        <v>2.117</v>
      </c>
      <c r="U1102" s="565">
        <v>1.964</v>
      </c>
      <c r="V1102" s="447">
        <f>SUM(R1102:U1102)</f>
        <v>7.8140000000000001</v>
      </c>
      <c r="W1102" s="565">
        <v>1.587</v>
      </c>
      <c r="X1102" s="565">
        <v>2.343</v>
      </c>
      <c r="Y1102" s="565">
        <v>2.1520000000000001</v>
      </c>
      <c r="Z1102" s="565">
        <v>1.4670000000000001</v>
      </c>
      <c r="AA1102" s="447">
        <f>SUM(W1102:Z1102)</f>
        <v>7.5489999999999995</v>
      </c>
      <c r="AB1102" s="565">
        <v>1.4890000000000001</v>
      </c>
      <c r="AC1102" s="565">
        <v>2.1120000000000001</v>
      </c>
      <c r="AD1102" s="565">
        <v>2.0089999999999999</v>
      </c>
      <c r="AE1102" s="563">
        <v>1.353</v>
      </c>
      <c r="AF1102" s="455">
        <f>SUM(AB1102:AE1102)</f>
        <v>6.9629999999999992</v>
      </c>
      <c r="AG1102" s="565">
        <v>1.3109999999999999</v>
      </c>
      <c r="AH1102" s="565">
        <v>1.8540000000000001</v>
      </c>
      <c r="AI1102" s="565">
        <v>1.71</v>
      </c>
      <c r="AJ1102" s="563">
        <v>1.22</v>
      </c>
      <c r="AK1102" s="455">
        <f>SUM(AG1102:AJ1102)</f>
        <v>6.0949999999999998</v>
      </c>
      <c r="AL1102" s="563">
        <v>1.355</v>
      </c>
      <c r="AM1102" s="565">
        <v>1.792</v>
      </c>
      <c r="AN1102" s="446">
        <f>+AI1102</f>
        <v>1.71</v>
      </c>
      <c r="AO1102" s="446">
        <f>+AJ1102</f>
        <v>1.22</v>
      </c>
      <c r="AP1102" s="456">
        <f>SUM(AL1102:AO1102)</f>
        <v>6.077</v>
      </c>
      <c r="AQ1102" s="456">
        <f t="shared" ref="AQ1102:AT1103" si="2622">+AL1102</f>
        <v>1.355</v>
      </c>
      <c r="AR1102" s="454">
        <f t="shared" si="2622"/>
        <v>1.792</v>
      </c>
      <c r="AS1102" s="454">
        <f t="shared" si="2622"/>
        <v>1.71</v>
      </c>
      <c r="AT1102" s="454">
        <f t="shared" si="2622"/>
        <v>1.22</v>
      </c>
      <c r="AU1102" s="1693">
        <f>SUM(AQ1102:AT1102)</f>
        <v>6.077</v>
      </c>
      <c r="AV1102" s="1863">
        <f t="shared" ref="AV1102:AY1103" si="2623">+AQ1102</f>
        <v>1.355</v>
      </c>
      <c r="AW1102" s="1841">
        <f t="shared" si="2623"/>
        <v>1.792</v>
      </c>
      <c r="AX1102" s="1841">
        <f t="shared" si="2623"/>
        <v>1.71</v>
      </c>
      <c r="AY1102" s="1864">
        <f t="shared" si="2623"/>
        <v>1.22</v>
      </c>
      <c r="AZ1102" s="1693">
        <f>SUM(AV1102:AY1102)</f>
        <v>6.077</v>
      </c>
      <c r="BA1102" s="1863">
        <f>+AV1102</f>
        <v>1.355</v>
      </c>
      <c r="BB1102" s="1841">
        <f t="shared" ref="BB1102:BD1103" si="2624">+AW1102</f>
        <v>1.792</v>
      </c>
      <c r="BC1102" s="1841">
        <f t="shared" si="2624"/>
        <v>1.71</v>
      </c>
      <c r="BD1102" s="1864">
        <f t="shared" si="2624"/>
        <v>1.22</v>
      </c>
      <c r="BE1102" s="1864">
        <f>SUM(BA1102:BD1102)</f>
        <v>6.077</v>
      </c>
      <c r="BF1102" s="1841">
        <f t="shared" ref="BF1102:BI1103" si="2625">+BA1102</f>
        <v>1.355</v>
      </c>
      <c r="BG1102" s="1841">
        <f t="shared" si="2625"/>
        <v>1.792</v>
      </c>
      <c r="BH1102" s="1841">
        <f t="shared" si="2625"/>
        <v>1.71</v>
      </c>
      <c r="BI1102" s="1864">
        <f t="shared" si="2625"/>
        <v>1.22</v>
      </c>
      <c r="BJ1102" s="1864">
        <f>SUM(BF1102:BI1102)</f>
        <v>6.077</v>
      </c>
      <c r="BK1102" s="1841">
        <f t="shared" ref="BK1102:BN1104" si="2626">+BF1102</f>
        <v>1.355</v>
      </c>
      <c r="BL1102" s="1841">
        <f t="shared" si="2626"/>
        <v>1.792</v>
      </c>
      <c r="BM1102" s="1841">
        <f t="shared" si="2626"/>
        <v>1.71</v>
      </c>
      <c r="BN1102" s="1864">
        <f t="shared" si="2626"/>
        <v>1.22</v>
      </c>
      <c r="BO1102" s="1864">
        <f>SUM(BK1102:BN1102)</f>
        <v>6.077</v>
      </c>
      <c r="BP1102" s="1841">
        <f t="shared" ref="BP1102:BS1104" si="2627">+BK1102</f>
        <v>1.355</v>
      </c>
      <c r="BQ1102" s="1841">
        <f t="shared" si="2627"/>
        <v>1.792</v>
      </c>
      <c r="BR1102" s="1841">
        <f t="shared" si="2627"/>
        <v>1.71</v>
      </c>
      <c r="BS1102" s="1841">
        <f t="shared" si="2627"/>
        <v>1.22</v>
      </c>
      <c r="BT1102" s="3066">
        <f>SUM(BP1102:BS1102)</f>
        <v>6.077</v>
      </c>
      <c r="BU1102" s="1841">
        <f t="shared" ref="BU1102:BX1104" si="2628">+BP1102</f>
        <v>1.355</v>
      </c>
      <c r="BV1102" s="1841">
        <f t="shared" si="2628"/>
        <v>1.792</v>
      </c>
      <c r="BW1102" s="1841">
        <f t="shared" si="2628"/>
        <v>1.71</v>
      </c>
      <c r="BX1102" s="1841">
        <f t="shared" si="2628"/>
        <v>1.22</v>
      </c>
      <c r="BY1102" s="3066">
        <f>SUM(BU1102:BX1102)</f>
        <v>6.077</v>
      </c>
      <c r="BZ1102" s="455">
        <f t="shared" ref="BZ1102:CA1106" si="2629">BY1102</f>
        <v>6.077</v>
      </c>
      <c r="CA1102" s="455">
        <f t="shared" si="2629"/>
        <v>6.077</v>
      </c>
      <c r="CB1102" s="455">
        <f t="shared" ref="CB1102:CF1106" si="2630">CA1102</f>
        <v>6.077</v>
      </c>
      <c r="CC1102" s="455">
        <f t="shared" si="2630"/>
        <v>6.077</v>
      </c>
      <c r="CD1102" s="455">
        <f t="shared" si="2630"/>
        <v>6.077</v>
      </c>
      <c r="CE1102" s="455">
        <f t="shared" si="2630"/>
        <v>6.077</v>
      </c>
      <c r="CF1102" s="455">
        <f t="shared" si="2630"/>
        <v>6.077</v>
      </c>
      <c r="CG1102" s="331"/>
      <c r="CH1102" s="331"/>
      <c r="CI1102" s="331"/>
      <c r="CJ1102" s="331"/>
      <c r="CK1102" s="331"/>
      <c r="CL1102" s="2031" t="str">
        <f t="shared" si="2606"/>
        <v>Raceway Park - OH</v>
      </c>
      <c r="CM1102" s="454">
        <f t="shared" si="2607"/>
        <v>0</v>
      </c>
      <c r="CN1102" s="454">
        <f t="shared" si="2608"/>
        <v>2.286</v>
      </c>
      <c r="CO1102" s="454">
        <f t="shared" si="2609"/>
        <v>8.3520000000000003</v>
      </c>
      <c r="CP1102" s="454">
        <f t="shared" si="2610"/>
        <v>7.8140000000000001</v>
      </c>
      <c r="CQ1102" s="454">
        <f t="shared" si="2611"/>
        <v>7.5489999999999995</v>
      </c>
      <c r="CR1102" s="454">
        <f t="shared" si="2612"/>
        <v>6.9629999999999992</v>
      </c>
      <c r="CS1102" s="454">
        <f t="shared" si="2613"/>
        <v>6.0949999999999998</v>
      </c>
      <c r="CT1102" s="454">
        <f t="shared" si="2614"/>
        <v>6.077</v>
      </c>
      <c r="CU1102" s="454">
        <f t="shared" si="2615"/>
        <v>6.077</v>
      </c>
      <c r="CV1102" s="454">
        <f t="shared" si="2616"/>
        <v>6.077</v>
      </c>
      <c r="CW1102" s="454">
        <f t="shared" si="2617"/>
        <v>6.077</v>
      </c>
      <c r="CX1102" s="454">
        <f t="shared" si="2618"/>
        <v>6.077</v>
      </c>
      <c r="CY1102" s="454">
        <f t="shared" si="2619"/>
        <v>6.077</v>
      </c>
      <c r="CZ1102" s="454">
        <f t="shared" si="2620"/>
        <v>6.077</v>
      </c>
      <c r="DA1102" s="454">
        <f t="shared" si="2621"/>
        <v>6.077</v>
      </c>
      <c r="DB1102" s="454">
        <f t="shared" si="2621"/>
        <v>6.077</v>
      </c>
      <c r="DC1102" s="1666">
        <f t="shared" si="2621"/>
        <v>6.077</v>
      </c>
      <c r="DD1102" s="331"/>
      <c r="DE1102" s="331"/>
      <c r="DF1102" s="502"/>
      <c r="DG1102" s="503"/>
      <c r="DH1102" s="2915"/>
      <c r="DI1102" s="3213"/>
      <c r="DJ1102" s="502"/>
      <c r="DK1102" s="503"/>
      <c r="DL1102" s="502"/>
      <c r="DM1102" s="502"/>
      <c r="DN1102" s="502"/>
      <c r="DO1102" s="502"/>
      <c r="DP1102" s="503"/>
      <c r="DQ1102" s="503"/>
      <c r="DR1102" s="296"/>
      <c r="DS1102" s="296"/>
      <c r="DT1102" s="296"/>
    </row>
    <row r="1103" spans="1:130" ht="12" customHeight="1" x14ac:dyDescent="0.25">
      <c r="A1103" s="996" t="s">
        <v>2159</v>
      </c>
      <c r="B1103" s="281"/>
      <c r="C1103" s="565">
        <v>0</v>
      </c>
      <c r="D1103" s="565">
        <v>0</v>
      </c>
      <c r="E1103" s="565">
        <v>0</v>
      </c>
      <c r="F1103" s="565">
        <v>0</v>
      </c>
      <c r="G1103" s="447">
        <f>SUM(C1103:F1103)</f>
        <v>0</v>
      </c>
      <c r="H1103" s="565">
        <v>0</v>
      </c>
      <c r="I1103" s="565">
        <v>0</v>
      </c>
      <c r="J1103" s="565">
        <v>0</v>
      </c>
      <c r="K1103" s="565">
        <v>0</v>
      </c>
      <c r="L1103" s="447">
        <f>SUM(H1103:K1103)</f>
        <v>0</v>
      </c>
      <c r="M1103" s="565">
        <v>0</v>
      </c>
      <c r="N1103" s="565">
        <v>0</v>
      </c>
      <c r="O1103" s="565">
        <v>0</v>
      </c>
      <c r="P1103" s="565">
        <v>0</v>
      </c>
      <c r="Q1103" s="447">
        <f>SUM(M1103:P1103)</f>
        <v>0</v>
      </c>
      <c r="R1103" s="565">
        <v>0</v>
      </c>
      <c r="S1103" s="565">
        <v>0</v>
      </c>
      <c r="T1103" s="565">
        <v>0</v>
      </c>
      <c r="U1103" s="565">
        <v>1.3680000000000001</v>
      </c>
      <c r="V1103" s="447">
        <f>SUM(R1103:U1103)</f>
        <v>1.3680000000000001</v>
      </c>
      <c r="W1103" s="565">
        <v>1.9020000000000437</v>
      </c>
      <c r="X1103" s="565">
        <v>2.0049999999999999</v>
      </c>
      <c r="Y1103" s="565">
        <v>1.637</v>
      </c>
      <c r="Z1103" s="565">
        <v>1.47</v>
      </c>
      <c r="AA1103" s="447">
        <f>SUM(W1103:Z1103)</f>
        <v>7.0140000000000429</v>
      </c>
      <c r="AB1103" s="565">
        <v>1.9159999999999999</v>
      </c>
      <c r="AC1103" s="565">
        <v>1.679</v>
      </c>
      <c r="AD1103" s="565">
        <v>1.383</v>
      </c>
      <c r="AE1103" s="563">
        <v>1.3280000000000001</v>
      </c>
      <c r="AF1103" s="455">
        <f>SUM(AB1103:AE1103)</f>
        <v>6.306</v>
      </c>
      <c r="AG1103" s="565">
        <v>1.7210000000000001</v>
      </c>
      <c r="AH1103" s="565">
        <v>1.609</v>
      </c>
      <c r="AI1103" s="565">
        <v>1.393</v>
      </c>
      <c r="AJ1103" s="563">
        <v>1.323</v>
      </c>
      <c r="AK1103" s="455">
        <f>SUM(AG1103:AJ1103)</f>
        <v>6.0459999999999994</v>
      </c>
      <c r="AL1103" s="563">
        <v>1.6020000000000001</v>
      </c>
      <c r="AM1103" s="565">
        <v>1.653</v>
      </c>
      <c r="AN1103" s="446">
        <f>+AI1103</f>
        <v>1.393</v>
      </c>
      <c r="AO1103" s="446">
        <f>+AJ1103</f>
        <v>1.323</v>
      </c>
      <c r="AP1103" s="456">
        <f>SUM(AL1103:AO1103)</f>
        <v>5.9710000000000001</v>
      </c>
      <c r="AQ1103" s="456">
        <f t="shared" si="2622"/>
        <v>1.6020000000000001</v>
      </c>
      <c r="AR1103" s="454">
        <f t="shared" si="2622"/>
        <v>1.653</v>
      </c>
      <c r="AS1103" s="454">
        <f t="shared" si="2622"/>
        <v>1.393</v>
      </c>
      <c r="AT1103" s="454">
        <f t="shared" si="2622"/>
        <v>1.323</v>
      </c>
      <c r="AU1103" s="1693">
        <f>SUM(AQ1103:AT1103)</f>
        <v>5.9710000000000001</v>
      </c>
      <c r="AV1103" s="1863">
        <f t="shared" si="2623"/>
        <v>1.6020000000000001</v>
      </c>
      <c r="AW1103" s="1841">
        <f t="shared" si="2623"/>
        <v>1.653</v>
      </c>
      <c r="AX1103" s="1841">
        <f t="shared" si="2623"/>
        <v>1.393</v>
      </c>
      <c r="AY1103" s="1864">
        <f t="shared" si="2623"/>
        <v>1.323</v>
      </c>
      <c r="AZ1103" s="1693">
        <f>SUM(AV1103:AY1103)</f>
        <v>5.9710000000000001</v>
      </c>
      <c r="BA1103" s="1863">
        <f>+AV1103</f>
        <v>1.6020000000000001</v>
      </c>
      <c r="BB1103" s="1841">
        <f t="shared" si="2624"/>
        <v>1.653</v>
      </c>
      <c r="BC1103" s="1841">
        <f t="shared" si="2624"/>
        <v>1.393</v>
      </c>
      <c r="BD1103" s="1864">
        <f t="shared" si="2624"/>
        <v>1.323</v>
      </c>
      <c r="BE1103" s="1864">
        <f>SUM(BA1103:BD1103)</f>
        <v>5.9710000000000001</v>
      </c>
      <c r="BF1103" s="1841">
        <f t="shared" si="2625"/>
        <v>1.6020000000000001</v>
      </c>
      <c r="BG1103" s="1841">
        <f t="shared" si="2625"/>
        <v>1.653</v>
      </c>
      <c r="BH1103" s="1841">
        <f t="shared" si="2625"/>
        <v>1.393</v>
      </c>
      <c r="BI1103" s="1864">
        <f t="shared" si="2625"/>
        <v>1.323</v>
      </c>
      <c r="BJ1103" s="1864">
        <f>SUM(BF1103:BI1103)</f>
        <v>5.9710000000000001</v>
      </c>
      <c r="BK1103" s="1841">
        <f t="shared" si="2626"/>
        <v>1.6020000000000001</v>
      </c>
      <c r="BL1103" s="1841">
        <f t="shared" si="2626"/>
        <v>1.653</v>
      </c>
      <c r="BM1103" s="1841">
        <f t="shared" si="2626"/>
        <v>1.393</v>
      </c>
      <c r="BN1103" s="1864">
        <f t="shared" si="2626"/>
        <v>1.323</v>
      </c>
      <c r="BO1103" s="1864">
        <f>SUM(BK1103:BN1103)</f>
        <v>5.9710000000000001</v>
      </c>
      <c r="BP1103" s="1841">
        <f t="shared" si="2627"/>
        <v>1.6020000000000001</v>
      </c>
      <c r="BQ1103" s="1841">
        <f t="shared" si="2627"/>
        <v>1.653</v>
      </c>
      <c r="BR1103" s="1841">
        <f t="shared" si="2627"/>
        <v>1.393</v>
      </c>
      <c r="BS1103" s="1841">
        <f t="shared" si="2627"/>
        <v>1.323</v>
      </c>
      <c r="BT1103" s="3066">
        <f>SUM(BP1103:BS1103)</f>
        <v>5.9710000000000001</v>
      </c>
      <c r="BU1103" s="1841">
        <f t="shared" si="2628"/>
        <v>1.6020000000000001</v>
      </c>
      <c r="BV1103" s="1841">
        <f t="shared" si="2628"/>
        <v>1.653</v>
      </c>
      <c r="BW1103" s="1841">
        <f t="shared" si="2628"/>
        <v>1.393</v>
      </c>
      <c r="BX1103" s="1841">
        <f t="shared" si="2628"/>
        <v>1.323</v>
      </c>
      <c r="BY1103" s="3066">
        <f>SUM(BU1103:BX1103)</f>
        <v>5.9710000000000001</v>
      </c>
      <c r="BZ1103" s="455">
        <f t="shared" si="2629"/>
        <v>5.9710000000000001</v>
      </c>
      <c r="CA1103" s="455">
        <f t="shared" si="2629"/>
        <v>5.9710000000000001</v>
      </c>
      <c r="CB1103" s="455">
        <f t="shared" si="2630"/>
        <v>5.9710000000000001</v>
      </c>
      <c r="CC1103" s="455">
        <f t="shared" si="2630"/>
        <v>5.9710000000000001</v>
      </c>
      <c r="CD1103" s="455">
        <f t="shared" si="2630"/>
        <v>5.9710000000000001</v>
      </c>
      <c r="CE1103" s="455">
        <f t="shared" si="2630"/>
        <v>5.9710000000000001</v>
      </c>
      <c r="CF1103" s="455">
        <f t="shared" si="2630"/>
        <v>5.9710000000000001</v>
      </c>
      <c r="CG1103" s="331"/>
      <c r="CH1103" s="331"/>
      <c r="CI1103" s="331"/>
      <c r="CJ1103" s="331"/>
      <c r="CK1103" s="331"/>
      <c r="CL1103" s="2031" t="str">
        <f t="shared" si="2606"/>
        <v>Sanford Kennel Club - FL</v>
      </c>
      <c r="CM1103" s="454">
        <f t="shared" si="2607"/>
        <v>0</v>
      </c>
      <c r="CN1103" s="454">
        <f t="shared" si="2608"/>
        <v>0</v>
      </c>
      <c r="CO1103" s="454">
        <f t="shared" si="2609"/>
        <v>0</v>
      </c>
      <c r="CP1103" s="454">
        <f t="shared" si="2610"/>
        <v>1.3680000000000001</v>
      </c>
      <c r="CQ1103" s="454">
        <f t="shared" si="2611"/>
        <v>7.0140000000000429</v>
      </c>
      <c r="CR1103" s="454">
        <f t="shared" si="2612"/>
        <v>6.306</v>
      </c>
      <c r="CS1103" s="454">
        <f t="shared" si="2613"/>
        <v>6.0459999999999994</v>
      </c>
      <c r="CT1103" s="454">
        <f t="shared" si="2614"/>
        <v>5.9710000000000001</v>
      </c>
      <c r="CU1103" s="454">
        <f t="shared" si="2615"/>
        <v>5.9710000000000001</v>
      </c>
      <c r="CV1103" s="454">
        <f t="shared" si="2616"/>
        <v>5.9710000000000001</v>
      </c>
      <c r="CW1103" s="454">
        <f t="shared" si="2617"/>
        <v>5.9710000000000001</v>
      </c>
      <c r="CX1103" s="454">
        <f t="shared" si="2618"/>
        <v>5.9710000000000001</v>
      </c>
      <c r="CY1103" s="454">
        <f t="shared" si="2619"/>
        <v>5.9710000000000001</v>
      </c>
      <c r="CZ1103" s="454">
        <f t="shared" si="2620"/>
        <v>5.9710000000000001</v>
      </c>
      <c r="DA1103" s="454">
        <f t="shared" si="2621"/>
        <v>5.9710000000000001</v>
      </c>
      <c r="DB1103" s="454">
        <f t="shared" si="2621"/>
        <v>5.9710000000000001</v>
      </c>
      <c r="DC1103" s="1666">
        <f t="shared" si="2621"/>
        <v>5.9710000000000001</v>
      </c>
      <c r="DD1103" s="331"/>
      <c r="DE1103" s="331"/>
      <c r="DF1103" s="502"/>
      <c r="DG1103" s="503"/>
      <c r="DH1103" s="2915"/>
      <c r="DI1103" s="3213"/>
      <c r="DJ1103" s="502"/>
      <c r="DK1103" s="503"/>
      <c r="DL1103" s="502"/>
      <c r="DM1103" s="502"/>
      <c r="DN1103" s="502"/>
      <c r="DO1103" s="502"/>
      <c r="DP1103" s="503"/>
      <c r="DQ1103" s="503"/>
      <c r="DR1103" s="296"/>
      <c r="DS1103" s="296"/>
      <c r="DT1103" s="296"/>
    </row>
    <row r="1104" spans="1:130" ht="12" customHeight="1" x14ac:dyDescent="0.25">
      <c r="A1104" s="996" t="s">
        <v>658</v>
      </c>
      <c r="B1104" s="281"/>
      <c r="C1104" s="565"/>
      <c r="D1104" s="565"/>
      <c r="E1104" s="565"/>
      <c r="F1104" s="565"/>
      <c r="G1104" s="447"/>
      <c r="H1104" s="565"/>
      <c r="I1104" s="565"/>
      <c r="J1104" s="565"/>
      <c r="K1104" s="565"/>
      <c r="L1104" s="447"/>
      <c r="M1104" s="565"/>
      <c r="N1104" s="565"/>
      <c r="O1104" s="565"/>
      <c r="P1104" s="565"/>
      <c r="Q1104" s="447"/>
      <c r="R1104" s="565"/>
      <c r="S1104" s="565"/>
      <c r="T1104" s="565"/>
      <c r="U1104" s="565"/>
      <c r="V1104" s="447"/>
      <c r="W1104" s="565"/>
      <c r="X1104" s="565"/>
      <c r="Y1104" s="565"/>
      <c r="Z1104" s="565"/>
      <c r="AA1104" s="447"/>
      <c r="AB1104" s="565"/>
      <c r="AC1104" s="565"/>
      <c r="AD1104" s="565"/>
      <c r="AE1104" s="563"/>
      <c r="AF1104" s="455"/>
      <c r="AG1104" s="565"/>
      <c r="AH1104" s="565"/>
      <c r="AI1104" s="565">
        <v>0.126</v>
      </c>
      <c r="AJ1104" s="563">
        <v>3.6829999999999998</v>
      </c>
      <c r="AK1104" s="455"/>
      <c r="AL1104" s="563">
        <v>3.819</v>
      </c>
      <c r="AM1104" s="565">
        <v>1.867</v>
      </c>
      <c r="AN1104" s="446">
        <f>+AM1104</f>
        <v>1.867</v>
      </c>
      <c r="AO1104" s="454">
        <f>+AN1104</f>
        <v>1.867</v>
      </c>
      <c r="AP1104" s="456">
        <f>SUM(AL1104:AO1104)</f>
        <v>9.42</v>
      </c>
      <c r="AQ1104" s="456">
        <f>+AO1104</f>
        <v>1.867</v>
      </c>
      <c r="AR1104" s="454">
        <f>+AQ1104</f>
        <v>1.867</v>
      </c>
      <c r="AS1104" s="454">
        <f>+AR1104</f>
        <v>1.867</v>
      </c>
      <c r="AT1104" s="454">
        <f>+AS1104</f>
        <v>1.867</v>
      </c>
      <c r="AU1104" s="1693">
        <f>SUM(AQ1104:AT1104)</f>
        <v>7.468</v>
      </c>
      <c r="AV1104" s="1863">
        <f>+AQ1104</f>
        <v>1.867</v>
      </c>
      <c r="AW1104" s="1841">
        <f>+AV1104</f>
        <v>1.867</v>
      </c>
      <c r="AX1104" s="1841">
        <f>+AW1104</f>
        <v>1.867</v>
      </c>
      <c r="AY1104" s="1864">
        <f>+AX1104</f>
        <v>1.867</v>
      </c>
      <c r="AZ1104" s="1693">
        <f>SUM(AV1104:AY1104)</f>
        <v>7.468</v>
      </c>
      <c r="BA1104" s="1863">
        <f>+AY1104</f>
        <v>1.867</v>
      </c>
      <c r="BB1104" s="1841">
        <f>+BA1104</f>
        <v>1.867</v>
      </c>
      <c r="BC1104" s="1841">
        <f>+BB1104</f>
        <v>1.867</v>
      </c>
      <c r="BD1104" s="1864">
        <f>+BC1104</f>
        <v>1.867</v>
      </c>
      <c r="BE1104" s="1864">
        <f>SUM(BA1104:BD1104)</f>
        <v>7.468</v>
      </c>
      <c r="BF1104" s="1841">
        <f>+BA1104</f>
        <v>1.867</v>
      </c>
      <c r="BG1104" s="1841">
        <f>+BB1104</f>
        <v>1.867</v>
      </c>
      <c r="BH1104" s="1841">
        <f>+BC1104</f>
        <v>1.867</v>
      </c>
      <c r="BI1104" s="1864">
        <f>+BD1104</f>
        <v>1.867</v>
      </c>
      <c r="BJ1104" s="1864">
        <f>SUM(BF1104:BI1104)</f>
        <v>7.468</v>
      </c>
      <c r="BK1104" s="1841">
        <f t="shared" si="2626"/>
        <v>1.867</v>
      </c>
      <c r="BL1104" s="1841">
        <f t="shared" si="2626"/>
        <v>1.867</v>
      </c>
      <c r="BM1104" s="1841">
        <f t="shared" si="2626"/>
        <v>1.867</v>
      </c>
      <c r="BN1104" s="1864">
        <f t="shared" si="2626"/>
        <v>1.867</v>
      </c>
      <c r="BO1104" s="1864">
        <f>SUM(BK1104:BN1104)</f>
        <v>7.468</v>
      </c>
      <c r="BP1104" s="1841">
        <f t="shared" si="2627"/>
        <v>1.867</v>
      </c>
      <c r="BQ1104" s="1841">
        <f t="shared" si="2627"/>
        <v>1.867</v>
      </c>
      <c r="BR1104" s="1841">
        <f t="shared" si="2627"/>
        <v>1.867</v>
      </c>
      <c r="BS1104" s="1841">
        <f t="shared" si="2627"/>
        <v>1.867</v>
      </c>
      <c r="BT1104" s="3066">
        <f>SUM(BP1104:BS1104)</f>
        <v>7.468</v>
      </c>
      <c r="BU1104" s="1841">
        <f t="shared" si="2628"/>
        <v>1.867</v>
      </c>
      <c r="BV1104" s="1841">
        <f t="shared" si="2628"/>
        <v>1.867</v>
      </c>
      <c r="BW1104" s="1841">
        <f t="shared" si="2628"/>
        <v>1.867</v>
      </c>
      <c r="BX1104" s="1841">
        <f t="shared" si="2628"/>
        <v>1.867</v>
      </c>
      <c r="BY1104" s="3066">
        <f>SUM(BU1104:BX1104)</f>
        <v>7.468</v>
      </c>
      <c r="BZ1104" s="455">
        <f>BY1104</f>
        <v>7.468</v>
      </c>
      <c r="CA1104" s="455">
        <f>BZ1104</f>
        <v>7.468</v>
      </c>
      <c r="CB1104" s="455">
        <f t="shared" si="2630"/>
        <v>7.468</v>
      </c>
      <c r="CC1104" s="455">
        <f t="shared" si="2630"/>
        <v>7.468</v>
      </c>
      <c r="CD1104" s="455">
        <f t="shared" si="2630"/>
        <v>7.468</v>
      </c>
      <c r="CE1104" s="455">
        <f t="shared" si="2630"/>
        <v>7.468</v>
      </c>
      <c r="CF1104" s="455">
        <f t="shared" si="2630"/>
        <v>7.468</v>
      </c>
      <c r="CG1104" s="331"/>
      <c r="CH1104" s="331"/>
      <c r="CI1104" s="331"/>
      <c r="CJ1104" s="331"/>
      <c r="CK1104" s="331"/>
      <c r="CL1104" s="2031" t="str">
        <f t="shared" si="2606"/>
        <v>Beulah Park</v>
      </c>
      <c r="CM1104" s="454">
        <f t="shared" si="2607"/>
        <v>0</v>
      </c>
      <c r="CN1104" s="454">
        <f t="shared" si="2608"/>
        <v>0</v>
      </c>
      <c r="CO1104" s="454">
        <f t="shared" si="2609"/>
        <v>0</v>
      </c>
      <c r="CP1104" s="454">
        <f t="shared" si="2610"/>
        <v>0</v>
      </c>
      <c r="CQ1104" s="454">
        <f t="shared" si="2611"/>
        <v>0</v>
      </c>
      <c r="CR1104" s="454">
        <f t="shared" si="2612"/>
        <v>0</v>
      </c>
      <c r="CS1104" s="454">
        <f t="shared" si="2613"/>
        <v>0</v>
      </c>
      <c r="CT1104" s="454">
        <f t="shared" si="2614"/>
        <v>9.42</v>
      </c>
      <c r="CU1104" s="454">
        <f t="shared" si="2615"/>
        <v>7.468</v>
      </c>
      <c r="CV1104" s="454">
        <f t="shared" si="2616"/>
        <v>7.468</v>
      </c>
      <c r="CW1104" s="454">
        <f t="shared" si="2617"/>
        <v>7.468</v>
      </c>
      <c r="CX1104" s="454">
        <f t="shared" si="2618"/>
        <v>7.468</v>
      </c>
      <c r="CY1104" s="454">
        <f t="shared" si="2619"/>
        <v>7.468</v>
      </c>
      <c r="CZ1104" s="454">
        <f t="shared" si="2620"/>
        <v>7.468</v>
      </c>
      <c r="DA1104" s="454">
        <f t="shared" si="2621"/>
        <v>7.468</v>
      </c>
      <c r="DB1104" s="454">
        <f t="shared" si="2621"/>
        <v>7.468</v>
      </c>
      <c r="DC1104" s="1666">
        <f t="shared" si="2621"/>
        <v>7.468</v>
      </c>
      <c r="DD1104" s="331"/>
      <c r="DE1104" s="331"/>
      <c r="DF1104" s="502"/>
      <c r="DG1104" s="503"/>
      <c r="DH1104" s="2915"/>
      <c r="DI1104" s="3213"/>
      <c r="DJ1104" s="502"/>
      <c r="DK1104" s="503"/>
      <c r="DL1104" s="502"/>
      <c r="DM1104" s="502"/>
      <c r="DN1104" s="502"/>
      <c r="DO1104" s="502"/>
      <c r="DP1104" s="503"/>
      <c r="DQ1104" s="503"/>
      <c r="DR1104" s="296"/>
      <c r="DS1104" s="296"/>
      <c r="DT1104" s="296"/>
    </row>
    <row r="1105" spans="1:124" ht="12" customHeight="1" x14ac:dyDescent="0.25">
      <c r="A1105" s="312" t="s">
        <v>807</v>
      </c>
      <c r="B1105" s="281"/>
      <c r="C1105" s="565"/>
      <c r="D1105" s="565"/>
      <c r="E1105" s="565"/>
      <c r="F1105" s="565"/>
      <c r="G1105" s="447"/>
      <c r="H1105" s="565"/>
      <c r="I1105" s="565"/>
      <c r="J1105" s="565"/>
      <c r="K1105" s="565"/>
      <c r="L1105" s="447"/>
      <c r="M1105" s="565"/>
      <c r="N1105" s="565"/>
      <c r="O1105" s="565"/>
      <c r="P1105" s="565"/>
      <c r="Q1105" s="447"/>
      <c r="R1105" s="565"/>
      <c r="S1105" s="565"/>
      <c r="T1105" s="565"/>
      <c r="U1105" s="565"/>
      <c r="V1105" s="447"/>
      <c r="W1105" s="565"/>
      <c r="X1105" s="565"/>
      <c r="Y1105" s="565"/>
      <c r="Z1105" s="565"/>
      <c r="AA1105" s="447"/>
      <c r="AB1105" s="565"/>
      <c r="AC1105" s="565"/>
      <c r="AD1105" s="565"/>
      <c r="AE1105" s="563"/>
      <c r="AF1105" s="455"/>
      <c r="AG1105" s="565">
        <v>0</v>
      </c>
      <c r="AH1105" s="565">
        <v>0</v>
      </c>
      <c r="AI1105" s="565">
        <v>0</v>
      </c>
      <c r="AJ1105" s="565"/>
      <c r="AK1105" s="455">
        <f>SUM(AG1105:AJ1105)</f>
        <v>0</v>
      </c>
      <c r="AL1105" s="565">
        <v>0</v>
      </c>
      <c r="AM1105" s="565">
        <v>0</v>
      </c>
      <c r="AN1105" s="565">
        <v>0</v>
      </c>
      <c r="AO1105" s="563">
        <v>0</v>
      </c>
      <c r="AP1105" s="456">
        <f>SUM(AL1105:AO1105)</f>
        <v>0</v>
      </c>
      <c r="AQ1105" s="456">
        <v>0</v>
      </c>
      <c r="AR1105" s="454">
        <v>0</v>
      </c>
      <c r="AS1105" s="454">
        <v>0</v>
      </c>
      <c r="AT1105" s="454">
        <v>0</v>
      </c>
      <c r="AU1105" s="1693">
        <f>SUM(AQ1105:AT1105)</f>
        <v>0</v>
      </c>
      <c r="AV1105" s="1863">
        <v>0</v>
      </c>
      <c r="AW1105" s="1841">
        <v>0</v>
      </c>
      <c r="AX1105" s="1841">
        <v>0</v>
      </c>
      <c r="AY1105" s="1864">
        <v>0</v>
      </c>
      <c r="AZ1105" s="1693">
        <f>SUM(AV1105:AY1105)</f>
        <v>0</v>
      </c>
      <c r="BA1105" s="1863">
        <v>0</v>
      </c>
      <c r="BB1105" s="1841">
        <v>0</v>
      </c>
      <c r="BC1105" s="1841">
        <v>0</v>
      </c>
      <c r="BD1105" s="1864">
        <v>0</v>
      </c>
      <c r="BE1105" s="1864">
        <f>SUM(BA1105:BD1105)</f>
        <v>0</v>
      </c>
      <c r="BF1105" s="1841">
        <v>0</v>
      </c>
      <c r="BG1105" s="1841">
        <v>0</v>
      </c>
      <c r="BH1105" s="1841">
        <v>0</v>
      </c>
      <c r="BI1105" s="1864">
        <v>0</v>
      </c>
      <c r="BJ1105" s="1864">
        <f>SUM(BF1105:BI1105)</f>
        <v>0</v>
      </c>
      <c r="BK1105" s="1841">
        <v>0</v>
      </c>
      <c r="BL1105" s="1841">
        <v>0</v>
      </c>
      <c r="BM1105" s="1841">
        <v>0</v>
      </c>
      <c r="BN1105" s="1864">
        <v>0</v>
      </c>
      <c r="BO1105" s="1864">
        <f>SUM(BK1105:BN1105)</f>
        <v>0</v>
      </c>
      <c r="BP1105" s="1841">
        <v>0</v>
      </c>
      <c r="BQ1105" s="1841">
        <v>0</v>
      </c>
      <c r="BR1105" s="1841">
        <v>0</v>
      </c>
      <c r="BS1105" s="1841">
        <v>0</v>
      </c>
      <c r="BT1105" s="3066">
        <f>SUM(BP1105:BS1105)</f>
        <v>0</v>
      </c>
      <c r="BU1105" s="1841">
        <v>0</v>
      </c>
      <c r="BV1105" s="1841">
        <v>0</v>
      </c>
      <c r="BW1105" s="1841">
        <v>0</v>
      </c>
      <c r="BX1105" s="1841">
        <v>0</v>
      </c>
      <c r="BY1105" s="3066">
        <f>SUM(BU1105:BX1105)</f>
        <v>0</v>
      </c>
      <c r="BZ1105" s="455">
        <f>BY1105</f>
        <v>0</v>
      </c>
      <c r="CA1105" s="455">
        <f>BZ1105</f>
        <v>0</v>
      </c>
      <c r="CB1105" s="455">
        <f t="shared" si="2630"/>
        <v>0</v>
      </c>
      <c r="CC1105" s="455">
        <f t="shared" si="2630"/>
        <v>0</v>
      </c>
      <c r="CD1105" s="455">
        <f t="shared" si="2630"/>
        <v>0</v>
      </c>
      <c r="CE1105" s="455">
        <f t="shared" si="2630"/>
        <v>0</v>
      </c>
      <c r="CF1105" s="455">
        <f t="shared" si="2630"/>
        <v>0</v>
      </c>
      <c r="CG1105" s="331"/>
      <c r="CH1105" s="331"/>
      <c r="CI1105" s="331"/>
      <c r="CJ1105" s="331"/>
      <c r="CK1105" s="331"/>
      <c r="CL1105" s="2025" t="str">
        <f t="shared" si="2606"/>
        <v>Other - MD and OH</v>
      </c>
      <c r="CM1105" s="454">
        <f t="shared" si="2607"/>
        <v>0</v>
      </c>
      <c r="CN1105" s="454">
        <f t="shared" si="2608"/>
        <v>0</v>
      </c>
      <c r="CO1105" s="454">
        <f t="shared" si="2609"/>
        <v>0</v>
      </c>
      <c r="CP1105" s="454">
        <f t="shared" si="2610"/>
        <v>0</v>
      </c>
      <c r="CQ1105" s="454">
        <f t="shared" si="2611"/>
        <v>0</v>
      </c>
      <c r="CR1105" s="454">
        <f t="shared" si="2612"/>
        <v>0</v>
      </c>
      <c r="CS1105" s="454">
        <f t="shared" si="2613"/>
        <v>0</v>
      </c>
      <c r="CT1105" s="454">
        <f t="shared" si="2614"/>
        <v>0</v>
      </c>
      <c r="CU1105" s="454">
        <f t="shared" si="2615"/>
        <v>0</v>
      </c>
      <c r="CV1105" s="454">
        <f t="shared" si="2616"/>
        <v>0</v>
      </c>
      <c r="CW1105" s="454">
        <f t="shared" si="2617"/>
        <v>0</v>
      </c>
      <c r="CX1105" s="454">
        <f t="shared" si="2618"/>
        <v>0</v>
      </c>
      <c r="CY1105" s="454">
        <f t="shared" si="2619"/>
        <v>0</v>
      </c>
      <c r="CZ1105" s="454">
        <f t="shared" si="2620"/>
        <v>0</v>
      </c>
      <c r="DA1105" s="454">
        <f t="shared" si="2621"/>
        <v>0</v>
      </c>
      <c r="DB1105" s="454">
        <f t="shared" si="2621"/>
        <v>0</v>
      </c>
      <c r="DC1105" s="1666">
        <f t="shared" si="2621"/>
        <v>0</v>
      </c>
      <c r="DD1105" s="331"/>
      <c r="DE1105" s="331"/>
      <c r="DF1105" s="502"/>
      <c r="DG1105" s="503"/>
      <c r="DH1105" s="2915"/>
      <c r="DI1105" s="3213"/>
      <c r="DJ1105" s="502"/>
      <c r="DK1105" s="503"/>
      <c r="DL1105" s="502"/>
      <c r="DM1105" s="502"/>
      <c r="DN1105" s="502"/>
      <c r="DO1105" s="502"/>
      <c r="DP1105" s="503"/>
      <c r="DQ1105" s="503"/>
      <c r="DR1105" s="296"/>
      <c r="DS1105" s="296"/>
      <c r="DT1105" s="296"/>
    </row>
    <row r="1106" spans="1:124" ht="12" customHeight="1" x14ac:dyDescent="0.25">
      <c r="A1106" s="996" t="s">
        <v>2160</v>
      </c>
      <c r="B1106" s="281"/>
      <c r="C1106" s="565">
        <v>0</v>
      </c>
      <c r="D1106" s="565">
        <v>0</v>
      </c>
      <c r="E1106" s="565">
        <v>0</v>
      </c>
      <c r="F1106" s="565">
        <v>0</v>
      </c>
      <c r="G1106" s="447">
        <f>SUM(C1106:F1106)</f>
        <v>0</v>
      </c>
      <c r="H1106" s="565">
        <v>0</v>
      </c>
      <c r="I1106" s="565">
        <v>0</v>
      </c>
      <c r="J1106" s="565">
        <v>0</v>
      </c>
      <c r="K1106" s="565">
        <v>0</v>
      </c>
      <c r="L1106" s="447">
        <f>SUM(H1106:K1106)</f>
        <v>0</v>
      </c>
      <c r="M1106" s="565">
        <v>0</v>
      </c>
      <c r="N1106" s="565">
        <v>0</v>
      </c>
      <c r="O1106" s="565">
        <v>0</v>
      </c>
      <c r="P1106" s="565">
        <v>0</v>
      </c>
      <c r="Q1106" s="447">
        <f>SUM(M1106:P1106)</f>
        <v>0</v>
      </c>
      <c r="R1106" s="565">
        <v>0</v>
      </c>
      <c r="S1106" s="565">
        <v>0</v>
      </c>
      <c r="T1106" s="565">
        <v>0</v>
      </c>
      <c r="U1106" s="565">
        <v>0</v>
      </c>
      <c r="V1106" s="447">
        <f>SUM(R1106:U1106)</f>
        <v>0</v>
      </c>
      <c r="W1106" s="565">
        <v>0</v>
      </c>
      <c r="X1106" s="565">
        <v>0</v>
      </c>
      <c r="Y1106" s="565">
        <v>0</v>
      </c>
      <c r="Z1106" s="565">
        <v>0</v>
      </c>
      <c r="AA1106" s="447">
        <f>SUM(W1106:Z1106)</f>
        <v>0</v>
      </c>
      <c r="AB1106" s="565">
        <v>0</v>
      </c>
      <c r="AC1106" s="565">
        <v>0</v>
      </c>
      <c r="AD1106" s="565">
        <v>0</v>
      </c>
      <c r="AE1106" s="563">
        <f>AD1106</f>
        <v>0</v>
      </c>
      <c r="AF1106" s="455">
        <f>SUM(AB1106:AE1106)</f>
        <v>0</v>
      </c>
      <c r="AG1106" s="565">
        <v>0</v>
      </c>
      <c r="AH1106" s="565">
        <v>0</v>
      </c>
      <c r="AI1106" s="565">
        <v>0</v>
      </c>
      <c r="AJ1106" s="563">
        <f>AI1106</f>
        <v>0</v>
      </c>
      <c r="AK1106" s="455">
        <f>SUM(AG1106:AJ1106)</f>
        <v>0</v>
      </c>
      <c r="AL1106" s="563">
        <v>0</v>
      </c>
      <c r="AM1106" s="565">
        <v>0</v>
      </c>
      <c r="AN1106" s="565">
        <v>0</v>
      </c>
      <c r="AO1106" s="563">
        <f>AN1106</f>
        <v>0</v>
      </c>
      <c r="AP1106" s="456">
        <f>SUM(AL1106:AO1106)</f>
        <v>0</v>
      </c>
      <c r="AQ1106" s="456">
        <f>AP1106</f>
        <v>0</v>
      </c>
      <c r="AR1106" s="454">
        <f>AQ1106</f>
        <v>0</v>
      </c>
      <c r="AS1106" s="454">
        <f>AR1106</f>
        <v>0</v>
      </c>
      <c r="AT1106" s="454">
        <f>AS1106</f>
        <v>0</v>
      </c>
      <c r="AU1106" s="1693">
        <f>SUM(AQ1106:AT1106)</f>
        <v>0</v>
      </c>
      <c r="AV1106" s="1863">
        <f>AT1106</f>
        <v>0</v>
      </c>
      <c r="AW1106" s="1841">
        <f>AV1106</f>
        <v>0</v>
      </c>
      <c r="AX1106" s="1841">
        <f>AW1106</f>
        <v>0</v>
      </c>
      <c r="AY1106" s="1864">
        <f>AX1106</f>
        <v>0</v>
      </c>
      <c r="AZ1106" s="1693">
        <f>SUM(AV1106:AY1106)</f>
        <v>0</v>
      </c>
      <c r="BA1106" s="1863">
        <f>AY1106</f>
        <v>0</v>
      </c>
      <c r="BB1106" s="1841">
        <f>BA1106</f>
        <v>0</v>
      </c>
      <c r="BC1106" s="1841">
        <f>BB1106</f>
        <v>0</v>
      </c>
      <c r="BD1106" s="1864">
        <f>BC1106</f>
        <v>0</v>
      </c>
      <c r="BE1106" s="1864">
        <f>SUM(BA1106:BD1106)</f>
        <v>0</v>
      </c>
      <c r="BF1106" s="1841">
        <f>BD1106</f>
        <v>0</v>
      </c>
      <c r="BG1106" s="1841">
        <f>BF1106</f>
        <v>0</v>
      </c>
      <c r="BH1106" s="1841">
        <f>BG1106</f>
        <v>0</v>
      </c>
      <c r="BI1106" s="1864">
        <f>BH1106</f>
        <v>0</v>
      </c>
      <c r="BJ1106" s="1864">
        <f>SUM(BF1106:BI1106)</f>
        <v>0</v>
      </c>
      <c r="BK1106" s="1841">
        <f>BJ1106</f>
        <v>0</v>
      </c>
      <c r="BL1106" s="1841">
        <f>BK1106</f>
        <v>0</v>
      </c>
      <c r="BM1106" s="1841">
        <f>BL1106</f>
        <v>0</v>
      </c>
      <c r="BN1106" s="1864">
        <f>BM1106</f>
        <v>0</v>
      </c>
      <c r="BO1106" s="1864">
        <f>SUM(BK1106:BN1106)</f>
        <v>0</v>
      </c>
      <c r="BP1106" s="1841">
        <f>BO1106</f>
        <v>0</v>
      </c>
      <c r="BQ1106" s="1841">
        <f>BP1106</f>
        <v>0</v>
      </c>
      <c r="BR1106" s="1841">
        <f>BQ1106</f>
        <v>0</v>
      </c>
      <c r="BS1106" s="1841">
        <f>BR1106</f>
        <v>0</v>
      </c>
      <c r="BT1106" s="3066">
        <f>SUM(BP1106:BS1106)</f>
        <v>0</v>
      </c>
      <c r="BU1106" s="1841">
        <f>BT1106</f>
        <v>0</v>
      </c>
      <c r="BV1106" s="1841">
        <f>BU1106</f>
        <v>0</v>
      </c>
      <c r="BW1106" s="1841">
        <f>BV1106</f>
        <v>0</v>
      </c>
      <c r="BX1106" s="1841">
        <f>BW1106</f>
        <v>0</v>
      </c>
      <c r="BY1106" s="3066">
        <f>SUM(BU1106:BX1106)</f>
        <v>0</v>
      </c>
      <c r="BZ1106" s="455">
        <f t="shared" si="2629"/>
        <v>0</v>
      </c>
      <c r="CA1106" s="455">
        <f t="shared" si="2629"/>
        <v>0</v>
      </c>
      <c r="CB1106" s="455">
        <f t="shared" si="2630"/>
        <v>0</v>
      </c>
      <c r="CC1106" s="455">
        <f t="shared" si="2630"/>
        <v>0</v>
      </c>
      <c r="CD1106" s="455">
        <f t="shared" si="2630"/>
        <v>0</v>
      </c>
      <c r="CE1106" s="455">
        <f t="shared" si="2630"/>
        <v>0</v>
      </c>
      <c r="CF1106" s="455">
        <f t="shared" si="2630"/>
        <v>0</v>
      </c>
      <c r="CG1106" s="331"/>
      <c r="CH1106" s="331"/>
      <c r="CI1106" s="331"/>
      <c r="CJ1106" s="331"/>
      <c r="CK1106" s="331"/>
      <c r="CL1106" s="2031" t="str">
        <f t="shared" si="2606"/>
        <v>Unconsolidated affiliates</v>
      </c>
      <c r="CM1106" s="454">
        <f t="shared" si="2607"/>
        <v>0</v>
      </c>
      <c r="CN1106" s="454">
        <f t="shared" si="2608"/>
        <v>0</v>
      </c>
      <c r="CO1106" s="454">
        <f t="shared" si="2609"/>
        <v>0</v>
      </c>
      <c r="CP1106" s="454">
        <f t="shared" si="2610"/>
        <v>0</v>
      </c>
      <c r="CQ1106" s="454">
        <f t="shared" si="2611"/>
        <v>0</v>
      </c>
      <c r="CR1106" s="454">
        <f t="shared" si="2612"/>
        <v>0</v>
      </c>
      <c r="CS1106" s="454">
        <f t="shared" si="2613"/>
        <v>0</v>
      </c>
      <c r="CT1106" s="454">
        <f t="shared" si="2614"/>
        <v>0</v>
      </c>
      <c r="CU1106" s="454">
        <f t="shared" si="2615"/>
        <v>0</v>
      </c>
      <c r="CV1106" s="454">
        <f t="shared" si="2616"/>
        <v>0</v>
      </c>
      <c r="CW1106" s="454">
        <f t="shared" si="2617"/>
        <v>0</v>
      </c>
      <c r="CX1106" s="454">
        <f t="shared" si="2618"/>
        <v>0</v>
      </c>
      <c r="CY1106" s="454">
        <f t="shared" si="2619"/>
        <v>0</v>
      </c>
      <c r="CZ1106" s="454">
        <f t="shared" si="2620"/>
        <v>0</v>
      </c>
      <c r="DA1106" s="454">
        <f t="shared" si="2621"/>
        <v>0</v>
      </c>
      <c r="DB1106" s="454">
        <f t="shared" si="2621"/>
        <v>0</v>
      </c>
      <c r="DC1106" s="1666">
        <f t="shared" si="2621"/>
        <v>0</v>
      </c>
      <c r="DD1106" s="331"/>
      <c r="DE1106" s="331"/>
      <c r="DF1106" s="502"/>
      <c r="DG1106" s="503"/>
      <c r="DH1106" s="2915"/>
      <c r="DI1106" s="3213"/>
      <c r="DJ1106" s="502"/>
      <c r="DK1106" s="503"/>
      <c r="DL1106" s="502"/>
      <c r="DM1106" s="502"/>
      <c r="DN1106" s="502"/>
      <c r="DO1106" s="502"/>
      <c r="DP1106" s="503"/>
      <c r="DQ1106" s="503"/>
      <c r="DR1106" s="296"/>
      <c r="DS1106" s="296"/>
      <c r="DT1106" s="296"/>
    </row>
    <row r="1107" spans="1:124" ht="12" customHeight="1" x14ac:dyDescent="0.25">
      <c r="A1107" s="496" t="s">
        <v>1418</v>
      </c>
      <c r="B1107" s="1007"/>
      <c r="C1107" s="1005">
        <f>SUM(C1102:C1106)</f>
        <v>0</v>
      </c>
      <c r="D1107" s="1005">
        <f t="shared" ref="D1107:AA1107" si="2631">SUM(D1102:D1106)</f>
        <v>0</v>
      </c>
      <c r="E1107" s="1005">
        <f t="shared" si="2631"/>
        <v>0</v>
      </c>
      <c r="F1107" s="1005">
        <f t="shared" si="2631"/>
        <v>0</v>
      </c>
      <c r="G1107" s="1002">
        <f t="shared" si="2631"/>
        <v>0</v>
      </c>
      <c r="H1107" s="1005">
        <f t="shared" si="2631"/>
        <v>0</v>
      </c>
      <c r="I1107" s="1005">
        <f t="shared" si="2631"/>
        <v>0</v>
      </c>
      <c r="J1107" s="1005">
        <f t="shared" si="2631"/>
        <v>0</v>
      </c>
      <c r="K1107" s="1005">
        <f t="shared" si="2631"/>
        <v>2.286</v>
      </c>
      <c r="L1107" s="1002">
        <f t="shared" si="2631"/>
        <v>2.286</v>
      </c>
      <c r="M1107" s="1005">
        <f t="shared" si="2631"/>
        <v>2.02</v>
      </c>
      <c r="N1107" s="1005">
        <f t="shared" si="2631"/>
        <v>2.4119999999999999</v>
      </c>
      <c r="O1107" s="1005">
        <f t="shared" si="2631"/>
        <v>2.1749999999999998</v>
      </c>
      <c r="P1107" s="1005">
        <f t="shared" si="2631"/>
        <v>1.7450000000000001</v>
      </c>
      <c r="Q1107" s="1002">
        <f t="shared" si="2631"/>
        <v>8.3520000000000003</v>
      </c>
      <c r="R1107" s="1005">
        <f t="shared" si="2631"/>
        <v>1.5329999999999999</v>
      </c>
      <c r="S1107" s="1005">
        <f t="shared" si="2631"/>
        <v>2.2000000000000002</v>
      </c>
      <c r="T1107" s="1005">
        <f t="shared" si="2631"/>
        <v>2.117</v>
      </c>
      <c r="U1107" s="1005">
        <f t="shared" si="2631"/>
        <v>3.3319999999999999</v>
      </c>
      <c r="V1107" s="1002">
        <f t="shared" si="2631"/>
        <v>9.1820000000000004</v>
      </c>
      <c r="W1107" s="1005">
        <f t="shared" si="2631"/>
        <v>3.4890000000000434</v>
      </c>
      <c r="X1107" s="1005">
        <f t="shared" si="2631"/>
        <v>4.3479999999999999</v>
      </c>
      <c r="Y1107" s="1005">
        <f t="shared" si="2631"/>
        <v>3.7890000000000001</v>
      </c>
      <c r="Z1107" s="1005">
        <f t="shared" si="2631"/>
        <v>2.9370000000000003</v>
      </c>
      <c r="AA1107" s="1002">
        <f t="shared" si="2631"/>
        <v>14.563000000000041</v>
      </c>
      <c r="AB1107" s="1005">
        <f t="shared" ref="AB1107:AU1107" si="2632">SUM(AB1102:AB1106)</f>
        <v>3.4050000000000002</v>
      </c>
      <c r="AC1107" s="1005">
        <f t="shared" si="2632"/>
        <v>3.7910000000000004</v>
      </c>
      <c r="AD1107" s="1005">
        <f t="shared" si="2632"/>
        <v>3.3919999999999999</v>
      </c>
      <c r="AE1107" s="1015">
        <f>SUM(AE1102:AE1106)</f>
        <v>2.681</v>
      </c>
      <c r="AF1107" s="1004">
        <f t="shared" si="2632"/>
        <v>13.268999999999998</v>
      </c>
      <c r="AG1107" s="1005">
        <f t="shared" si="2632"/>
        <v>3.032</v>
      </c>
      <c r="AH1107" s="1005">
        <f t="shared" si="2632"/>
        <v>3.4630000000000001</v>
      </c>
      <c r="AI1107" s="1005">
        <f>SUM(AI1102:AI1106)</f>
        <v>3.2289999999999996</v>
      </c>
      <c r="AJ1107" s="1015">
        <f>SUM(AJ1102:AJ1106)</f>
        <v>6.226</v>
      </c>
      <c r="AK1107" s="1004">
        <f t="shared" si="2632"/>
        <v>12.140999999999998</v>
      </c>
      <c r="AL1107" s="1015">
        <f t="shared" si="2632"/>
        <v>6.7759999999999998</v>
      </c>
      <c r="AM1107" s="1005">
        <f t="shared" si="2632"/>
        <v>5.3120000000000003</v>
      </c>
      <c r="AN1107" s="1592">
        <f t="shared" si="2632"/>
        <v>4.97</v>
      </c>
      <c r="AO1107" s="1015">
        <f t="shared" si="2632"/>
        <v>4.41</v>
      </c>
      <c r="AP1107" s="1006">
        <f t="shared" si="2632"/>
        <v>21.468</v>
      </c>
      <c r="AQ1107" s="1006">
        <f t="shared" si="2632"/>
        <v>4.8239999999999998</v>
      </c>
      <c r="AR1107" s="1015">
        <f t="shared" si="2632"/>
        <v>5.3120000000000003</v>
      </c>
      <c r="AS1107" s="1015">
        <f t="shared" si="2632"/>
        <v>4.97</v>
      </c>
      <c r="AT1107" s="1015">
        <f t="shared" si="2632"/>
        <v>4.41</v>
      </c>
      <c r="AU1107" s="1698">
        <f t="shared" si="2632"/>
        <v>19.515999999999998</v>
      </c>
      <c r="AV1107" s="1915">
        <f t="shared" ref="AV1107:BJ1107" si="2633">SUM(AV1102:AV1106)</f>
        <v>4.8239999999999998</v>
      </c>
      <c r="AW1107" s="1843">
        <f t="shared" si="2633"/>
        <v>5.3120000000000003</v>
      </c>
      <c r="AX1107" s="1843">
        <f t="shared" si="2633"/>
        <v>4.97</v>
      </c>
      <c r="AY1107" s="1910">
        <f t="shared" si="2633"/>
        <v>4.41</v>
      </c>
      <c r="AZ1107" s="1698">
        <f t="shared" si="2633"/>
        <v>19.515999999999998</v>
      </c>
      <c r="BA1107" s="1915">
        <f t="shared" si="2633"/>
        <v>4.8239999999999998</v>
      </c>
      <c r="BB1107" s="1843">
        <f t="shared" si="2633"/>
        <v>5.3120000000000003</v>
      </c>
      <c r="BC1107" s="1843">
        <f t="shared" si="2633"/>
        <v>4.97</v>
      </c>
      <c r="BD1107" s="1910">
        <f t="shared" si="2633"/>
        <v>4.41</v>
      </c>
      <c r="BE1107" s="1910">
        <f t="shared" si="2633"/>
        <v>19.515999999999998</v>
      </c>
      <c r="BF1107" s="1843">
        <f t="shared" si="2633"/>
        <v>4.8239999999999998</v>
      </c>
      <c r="BG1107" s="1843">
        <f t="shared" si="2633"/>
        <v>5.3120000000000003</v>
      </c>
      <c r="BH1107" s="1843">
        <f t="shared" si="2633"/>
        <v>4.97</v>
      </c>
      <c r="BI1107" s="1910">
        <f t="shared" si="2633"/>
        <v>4.41</v>
      </c>
      <c r="BJ1107" s="1910">
        <f t="shared" si="2633"/>
        <v>19.515999999999998</v>
      </c>
      <c r="BK1107" s="1843">
        <f t="shared" ref="BK1107:BU1107" si="2634">SUM(BK1102:BK1106)</f>
        <v>4.8239999999999998</v>
      </c>
      <c r="BL1107" s="1843">
        <f t="shared" si="2634"/>
        <v>5.3120000000000003</v>
      </c>
      <c r="BM1107" s="1843">
        <f t="shared" si="2634"/>
        <v>4.97</v>
      </c>
      <c r="BN1107" s="1910">
        <f t="shared" si="2634"/>
        <v>4.41</v>
      </c>
      <c r="BO1107" s="1910">
        <f t="shared" si="2634"/>
        <v>19.515999999999998</v>
      </c>
      <c r="BP1107" s="1843">
        <f t="shared" si="2634"/>
        <v>4.8239999999999998</v>
      </c>
      <c r="BQ1107" s="1843">
        <f t="shared" si="2634"/>
        <v>5.3120000000000003</v>
      </c>
      <c r="BR1107" s="1843">
        <f t="shared" si="2634"/>
        <v>4.97</v>
      </c>
      <c r="BS1107" s="1843">
        <f t="shared" si="2634"/>
        <v>4.41</v>
      </c>
      <c r="BT1107" s="1004">
        <f t="shared" si="2634"/>
        <v>19.515999999999998</v>
      </c>
      <c r="BU1107" s="1843">
        <f t="shared" si="2634"/>
        <v>4.8239999999999998</v>
      </c>
      <c r="BV1107" s="1843">
        <f t="shared" ref="BV1107:CF1107" si="2635">SUM(BV1102:BV1106)</f>
        <v>5.3120000000000003</v>
      </c>
      <c r="BW1107" s="1843">
        <f t="shared" si="2635"/>
        <v>4.97</v>
      </c>
      <c r="BX1107" s="1843">
        <f t="shared" si="2635"/>
        <v>4.41</v>
      </c>
      <c r="BY1107" s="1004">
        <f t="shared" si="2635"/>
        <v>19.515999999999998</v>
      </c>
      <c r="BZ1107" s="1004">
        <f t="shared" si="2635"/>
        <v>19.515999999999998</v>
      </c>
      <c r="CA1107" s="1004">
        <f t="shared" si="2635"/>
        <v>19.515999999999998</v>
      </c>
      <c r="CB1107" s="1004">
        <f t="shared" si="2635"/>
        <v>19.515999999999998</v>
      </c>
      <c r="CC1107" s="1004">
        <f t="shared" si="2635"/>
        <v>19.515999999999998</v>
      </c>
      <c r="CD1107" s="1004">
        <f t="shared" si="2635"/>
        <v>19.515999999999998</v>
      </c>
      <c r="CE1107" s="1004">
        <f t="shared" si="2635"/>
        <v>19.515999999999998</v>
      </c>
      <c r="CF1107" s="1004">
        <f t="shared" si="2635"/>
        <v>19.515999999999998</v>
      </c>
      <c r="CG1107" s="502"/>
      <c r="CH1107" s="502"/>
      <c r="CI1107" s="502"/>
      <c r="CJ1107" s="502"/>
      <c r="CK1107" s="502"/>
      <c r="CL1107" s="2102" t="str">
        <f t="shared" si="2606"/>
        <v>Net revenue</v>
      </c>
      <c r="CM1107" s="1015">
        <f t="shared" si="2607"/>
        <v>0</v>
      </c>
      <c r="CN1107" s="1015">
        <f t="shared" si="2608"/>
        <v>2.286</v>
      </c>
      <c r="CO1107" s="1015">
        <f t="shared" si="2609"/>
        <v>8.3520000000000003</v>
      </c>
      <c r="CP1107" s="1015">
        <f t="shared" si="2610"/>
        <v>9.1820000000000004</v>
      </c>
      <c r="CQ1107" s="1015">
        <f t="shared" si="2611"/>
        <v>14.563000000000041</v>
      </c>
      <c r="CR1107" s="1015">
        <f t="shared" si="2612"/>
        <v>13.268999999999998</v>
      </c>
      <c r="CS1107" s="1015">
        <f t="shared" si="2613"/>
        <v>12.140999999999998</v>
      </c>
      <c r="CT1107" s="1015">
        <f t="shared" si="2614"/>
        <v>21.468</v>
      </c>
      <c r="CU1107" s="1015">
        <f t="shared" si="2615"/>
        <v>19.515999999999998</v>
      </c>
      <c r="CV1107" s="1015">
        <f t="shared" si="2616"/>
        <v>19.515999999999998</v>
      </c>
      <c r="CW1107" s="1015">
        <f t="shared" si="2617"/>
        <v>19.515999999999998</v>
      </c>
      <c r="CX1107" s="1015">
        <f t="shared" si="2618"/>
        <v>19.515999999999998</v>
      </c>
      <c r="CY1107" s="1015">
        <f t="shared" si="2619"/>
        <v>19.515999999999998</v>
      </c>
      <c r="CZ1107" s="1015">
        <f t="shared" si="2620"/>
        <v>19.515999999999998</v>
      </c>
      <c r="DA1107" s="1015">
        <f t="shared" si="2621"/>
        <v>19.515999999999998</v>
      </c>
      <c r="DB1107" s="1015">
        <f t="shared" si="2621"/>
        <v>19.515999999999998</v>
      </c>
      <c r="DC1107" s="1871">
        <f t="shared" si="2621"/>
        <v>19.515999999999998</v>
      </c>
      <c r="DD1107" s="502"/>
      <c r="DE1107" s="502"/>
      <c r="DF1107" s="502"/>
      <c r="DG1107" s="503"/>
      <c r="DH1107" s="463"/>
      <c r="DI1107" s="3213"/>
      <c r="DJ1107" s="502"/>
      <c r="DK1107" s="503"/>
      <c r="DL1107" s="502"/>
      <c r="DM1107" s="502"/>
      <c r="DN1107" s="502"/>
      <c r="DO1107" s="502"/>
      <c r="DP1107" s="503"/>
      <c r="DQ1107" s="503"/>
      <c r="DR1107" s="719"/>
      <c r="DS1107" s="719"/>
      <c r="DT1107" s="719"/>
    </row>
    <row r="1108" spans="1:124" ht="12" customHeight="1" x14ac:dyDescent="0.25">
      <c r="A1108" s="465" t="s">
        <v>1491</v>
      </c>
      <c r="B1108" s="579"/>
      <c r="C1108" s="467" t="s">
        <v>553</v>
      </c>
      <c r="D1108" s="467" t="s">
        <v>553</v>
      </c>
      <c r="E1108" s="467" t="s">
        <v>553</v>
      </c>
      <c r="F1108" s="467" t="s">
        <v>553</v>
      </c>
      <c r="G1108" s="468" t="s">
        <v>553</v>
      </c>
      <c r="H1108" s="467" t="s">
        <v>553</v>
      </c>
      <c r="I1108" s="467" t="s">
        <v>553</v>
      </c>
      <c r="J1108" s="467" t="s">
        <v>553</v>
      </c>
      <c r="K1108" s="467" t="s">
        <v>553</v>
      </c>
      <c r="L1108" s="468" t="s">
        <v>553</v>
      </c>
      <c r="M1108" s="467" t="s">
        <v>553</v>
      </c>
      <c r="N1108" s="467" t="s">
        <v>553</v>
      </c>
      <c r="O1108" s="467" t="s">
        <v>553</v>
      </c>
      <c r="P1108" s="467">
        <f t="shared" ref="P1108:AP1108" si="2636">(P1107-K1107)/K1107</f>
        <v>-0.23665791776027992</v>
      </c>
      <c r="Q1108" s="468">
        <f t="shared" si="2636"/>
        <v>2.6535433070866143</v>
      </c>
      <c r="R1108" s="467">
        <f t="shared" si="2636"/>
        <v>-0.24108910891089114</v>
      </c>
      <c r="S1108" s="467">
        <f t="shared" si="2636"/>
        <v>-8.789386401326689E-2</v>
      </c>
      <c r="T1108" s="467">
        <f t="shared" si="2636"/>
        <v>-2.6666666666666592E-2</v>
      </c>
      <c r="U1108" s="467">
        <f t="shared" si="2636"/>
        <v>0.90945558739254995</v>
      </c>
      <c r="V1108" s="468">
        <f t="shared" si="2636"/>
        <v>9.9377394636015332E-2</v>
      </c>
      <c r="W1108" s="467">
        <f t="shared" si="2636"/>
        <v>1.275929549902181</v>
      </c>
      <c r="X1108" s="467">
        <f t="shared" si="2636"/>
        <v>0.9763636363636361</v>
      </c>
      <c r="Y1108" s="467">
        <f t="shared" si="2636"/>
        <v>0.78979688238072754</v>
      </c>
      <c r="Z1108" s="467">
        <f t="shared" si="2636"/>
        <v>-0.11854741896758691</v>
      </c>
      <c r="AA1108" s="468">
        <f t="shared" si="2636"/>
        <v>0.58603790023960367</v>
      </c>
      <c r="AB1108" s="467">
        <f t="shared" si="2636"/>
        <v>-2.407566638006366E-2</v>
      </c>
      <c r="AC1108" s="467">
        <f t="shared" si="2636"/>
        <v>-0.12810487580496768</v>
      </c>
      <c r="AD1108" s="467">
        <f t="shared" si="2636"/>
        <v>-0.10477698601214047</v>
      </c>
      <c r="AE1108" s="467">
        <f t="shared" si="2636"/>
        <v>-8.7163772557031047E-2</v>
      </c>
      <c r="AF1108" s="468">
        <f t="shared" si="2636"/>
        <v>-8.8855318272336711E-2</v>
      </c>
      <c r="AG1108" s="467">
        <f t="shared" si="2636"/>
        <v>-0.10954478707782678</v>
      </c>
      <c r="AH1108" s="467">
        <f t="shared" si="2636"/>
        <v>-8.652070693748358E-2</v>
      </c>
      <c r="AI1108" s="467">
        <f t="shared" si="2636"/>
        <v>-4.8054245283018944E-2</v>
      </c>
      <c r="AJ1108" s="467">
        <f t="shared" si="2636"/>
        <v>1.3222678105184633</v>
      </c>
      <c r="AK1108" s="468">
        <f t="shared" si="2636"/>
        <v>-8.5010174089984195E-2</v>
      </c>
      <c r="AL1108" s="467">
        <f t="shared" si="2636"/>
        <v>1.2348284960422162</v>
      </c>
      <c r="AM1108" s="467">
        <f t="shared" si="2636"/>
        <v>0.5339301183944557</v>
      </c>
      <c r="AN1108" s="467">
        <f t="shared" si="2636"/>
        <v>0.53917621554660899</v>
      </c>
      <c r="AO1108" s="467">
        <f t="shared" si="2636"/>
        <v>-0.29168005139736586</v>
      </c>
      <c r="AP1108" s="581">
        <f t="shared" si="2636"/>
        <v>0.76822337533975815</v>
      </c>
      <c r="AQ1108" s="581"/>
      <c r="AR1108" s="467"/>
      <c r="AS1108" s="467"/>
      <c r="AT1108" s="467"/>
      <c r="AU1108" s="1468">
        <f>(AU1107-AP1107)/AP1107</f>
        <v>-9.0926029439165348E-2</v>
      </c>
      <c r="AV1108" s="1862"/>
      <c r="AW1108" s="1846"/>
      <c r="AX1108" s="1846"/>
      <c r="AY1108" s="1765"/>
      <c r="AZ1108" s="1468">
        <f>(AZ1107-AU1107)/AU1107</f>
        <v>0</v>
      </c>
      <c r="BA1108" s="1862"/>
      <c r="BB1108" s="1846"/>
      <c r="BC1108" s="1846"/>
      <c r="BD1108" s="1765"/>
      <c r="BE1108" s="1765">
        <f>(BE1107-AZ1107)/AZ1107</f>
        <v>0</v>
      </c>
      <c r="BF1108" s="1846"/>
      <c r="BG1108" s="1846"/>
      <c r="BH1108" s="1846"/>
      <c r="BI1108" s="1765"/>
      <c r="BJ1108" s="1765">
        <f>(BJ1107-BE1107)/BE1107</f>
        <v>0</v>
      </c>
      <c r="BK1108" s="1846"/>
      <c r="BL1108" s="1846"/>
      <c r="BM1108" s="1846"/>
      <c r="BN1108" s="1765"/>
      <c r="BO1108" s="1765">
        <f>(BO1107-BJ1107)/BJ1107</f>
        <v>0</v>
      </c>
      <c r="BP1108" s="1846"/>
      <c r="BQ1108" s="1846"/>
      <c r="BR1108" s="1846"/>
      <c r="BS1108" s="1846"/>
      <c r="BT1108" s="468">
        <f>(BT1107-BO1107)/BO1107</f>
        <v>0</v>
      </c>
      <c r="BU1108" s="1846"/>
      <c r="BV1108" s="1846"/>
      <c r="BW1108" s="1846"/>
      <c r="BX1108" s="1846"/>
      <c r="BY1108" s="468">
        <f>(BY1107-BT1107)/BT1107</f>
        <v>0</v>
      </c>
      <c r="BZ1108" s="468">
        <f t="shared" ref="BZ1108:CF1108" si="2637">(BZ1107-BY1107)/BY1107</f>
        <v>0</v>
      </c>
      <c r="CA1108" s="468">
        <f t="shared" si="2637"/>
        <v>0</v>
      </c>
      <c r="CB1108" s="468">
        <f t="shared" si="2637"/>
        <v>0</v>
      </c>
      <c r="CC1108" s="468">
        <f t="shared" si="2637"/>
        <v>0</v>
      </c>
      <c r="CD1108" s="468">
        <f t="shared" si="2637"/>
        <v>0</v>
      </c>
      <c r="CE1108" s="468">
        <f t="shared" si="2637"/>
        <v>0</v>
      </c>
      <c r="CF1108" s="468">
        <f t="shared" si="2637"/>
        <v>0</v>
      </c>
      <c r="CG1108" s="972"/>
      <c r="CH1108" s="972"/>
      <c r="CI1108" s="972"/>
      <c r="CJ1108" s="972"/>
      <c r="CK1108" s="972"/>
      <c r="CL1108" s="1310" t="str">
        <f t="shared" si="2606"/>
        <v>% growth (y-o-y)</v>
      </c>
      <c r="CM1108" s="469" t="str">
        <f t="shared" si="2607"/>
        <v xml:space="preserve">n/a </v>
      </c>
      <c r="CN1108" s="469" t="str">
        <f t="shared" si="2608"/>
        <v xml:space="preserve">n/a </v>
      </c>
      <c r="CO1108" s="469">
        <f t="shared" si="2609"/>
        <v>2.6535433070866143</v>
      </c>
      <c r="CP1108" s="469">
        <f t="shared" si="2610"/>
        <v>9.9377394636015332E-2</v>
      </c>
      <c r="CQ1108" s="469">
        <f t="shared" si="2611"/>
        <v>0.58603790023960367</v>
      </c>
      <c r="CR1108" s="469">
        <f t="shared" si="2612"/>
        <v>-8.8855318272336711E-2</v>
      </c>
      <c r="CS1108" s="469">
        <f t="shared" si="2613"/>
        <v>-8.5010174089984195E-2</v>
      </c>
      <c r="CT1108" s="469">
        <f t="shared" si="2614"/>
        <v>0.76822337533975815</v>
      </c>
      <c r="CU1108" s="469">
        <f t="shared" si="2615"/>
        <v>-9.0926029439165348E-2</v>
      </c>
      <c r="CV1108" s="469">
        <f t="shared" si="2616"/>
        <v>0</v>
      </c>
      <c r="CW1108" s="469">
        <f t="shared" si="2617"/>
        <v>0</v>
      </c>
      <c r="CX1108" s="469">
        <f t="shared" si="2618"/>
        <v>0</v>
      </c>
      <c r="CY1108" s="469">
        <f t="shared" si="2619"/>
        <v>0</v>
      </c>
      <c r="CZ1108" s="469">
        <f t="shared" si="2620"/>
        <v>0</v>
      </c>
      <c r="DA1108" s="469">
        <f t="shared" si="2621"/>
        <v>0</v>
      </c>
      <c r="DB1108" s="469">
        <f t="shared" si="2621"/>
        <v>0</v>
      </c>
      <c r="DC1108" s="1463">
        <f t="shared" si="2621"/>
        <v>0</v>
      </c>
      <c r="DD1108" s="972"/>
      <c r="DE1108" s="972"/>
      <c r="DF1108" s="974"/>
      <c r="DG1108" s="975"/>
      <c r="DH1108" s="469"/>
      <c r="DI1108" s="3213"/>
      <c r="DJ1108" s="974"/>
      <c r="DK1108" s="975"/>
      <c r="DL1108" s="974"/>
      <c r="DM1108" s="974"/>
      <c r="DN1108" s="974"/>
      <c r="DO1108" s="974"/>
      <c r="DP1108" s="975"/>
      <c r="DQ1108" s="975"/>
      <c r="DR1108" s="976"/>
      <c r="DS1108" s="976"/>
      <c r="DT1108" s="976"/>
    </row>
    <row r="1109" spans="1:124" ht="5.0999999999999996" customHeight="1" x14ac:dyDescent="0.25">
      <c r="A1109" s="333"/>
      <c r="B1109" s="281"/>
      <c r="C1109" s="565"/>
      <c r="D1109" s="565"/>
      <c r="E1109" s="565"/>
      <c r="F1109" s="565"/>
      <c r="G1109" s="447"/>
      <c r="H1109" s="565"/>
      <c r="I1109" s="565"/>
      <c r="J1109" s="565"/>
      <c r="K1109" s="565"/>
      <c r="L1109" s="447"/>
      <c r="M1109" s="565"/>
      <c r="N1109" s="565"/>
      <c r="O1109" s="565"/>
      <c r="P1109" s="565"/>
      <c r="Q1109" s="447"/>
      <c r="R1109" s="565"/>
      <c r="S1109" s="565"/>
      <c r="T1109" s="565"/>
      <c r="U1109" s="565"/>
      <c r="V1109" s="447"/>
      <c r="W1109" s="565"/>
      <c r="X1109" s="565"/>
      <c r="Y1109" s="565"/>
      <c r="Z1109" s="565"/>
      <c r="AA1109" s="447"/>
      <c r="AB1109" s="565"/>
      <c r="AC1109" s="565"/>
      <c r="AD1109" s="565"/>
      <c r="AE1109" s="563"/>
      <c r="AF1109" s="455"/>
      <c r="AG1109" s="565"/>
      <c r="AH1109" s="565"/>
      <c r="AI1109" s="565"/>
      <c r="AJ1109" s="563"/>
      <c r="AK1109" s="455"/>
      <c r="AL1109" s="563"/>
      <c r="AM1109" s="565"/>
      <c r="AN1109" s="565"/>
      <c r="AO1109" s="563"/>
      <c r="AP1109" s="456"/>
      <c r="AQ1109" s="456"/>
      <c r="AR1109" s="454"/>
      <c r="AS1109" s="454"/>
      <c r="AT1109" s="454"/>
      <c r="AU1109" s="1693"/>
      <c r="AV1109" s="1863"/>
      <c r="AW1109" s="1841"/>
      <c r="AX1109" s="1841"/>
      <c r="AY1109" s="1864"/>
      <c r="AZ1109" s="1693"/>
      <c r="BA1109" s="1863"/>
      <c r="BB1109" s="1841"/>
      <c r="BC1109" s="1841"/>
      <c r="BD1109" s="1864"/>
      <c r="BE1109" s="1864"/>
      <c r="BF1109" s="1841"/>
      <c r="BG1109" s="1841"/>
      <c r="BH1109" s="1841"/>
      <c r="BI1109" s="1864"/>
      <c r="BJ1109" s="1864"/>
      <c r="BK1109" s="1841"/>
      <c r="BL1109" s="1841"/>
      <c r="BM1109" s="1841"/>
      <c r="BN1109" s="1864"/>
      <c r="BO1109" s="1864"/>
      <c r="BP1109" s="1841"/>
      <c r="BQ1109" s="1841"/>
      <c r="BR1109" s="1841"/>
      <c r="BS1109" s="1841"/>
      <c r="BT1109" s="3066"/>
      <c r="BU1109" s="1841"/>
      <c r="BV1109" s="1841"/>
      <c r="BW1109" s="1841"/>
      <c r="BX1109" s="1841"/>
      <c r="BY1109" s="3066"/>
      <c r="BZ1109" s="455"/>
      <c r="CA1109" s="455"/>
      <c r="CB1109" s="455"/>
      <c r="CC1109" s="455"/>
      <c r="CD1109" s="455"/>
      <c r="CE1109" s="455"/>
      <c r="CF1109" s="455"/>
      <c r="CG1109" s="331"/>
      <c r="CH1109" s="331"/>
      <c r="CI1109" s="331"/>
      <c r="CJ1109" s="331"/>
      <c r="CK1109" s="331"/>
      <c r="CL1109" s="1149"/>
      <c r="CM1109" s="454"/>
      <c r="CN1109" s="454"/>
      <c r="CO1109" s="454"/>
      <c r="CP1109" s="454"/>
      <c r="CQ1109" s="454"/>
      <c r="CR1109" s="454"/>
      <c r="CS1109" s="454"/>
      <c r="CT1109" s="454"/>
      <c r="CU1109" s="454"/>
      <c r="CV1109" s="454"/>
      <c r="CW1109" s="454"/>
      <c r="CX1109" s="454"/>
      <c r="CY1109" s="454"/>
      <c r="CZ1109" s="454"/>
      <c r="DA1109" s="454"/>
      <c r="DB1109" s="454"/>
      <c r="DC1109" s="1666"/>
      <c r="DD1109" s="331"/>
      <c r="DE1109" s="331"/>
      <c r="DF1109" s="502"/>
      <c r="DG1109" s="503"/>
      <c r="DH1109" s="2915"/>
      <c r="DI1109" s="3213"/>
      <c r="DJ1109" s="502"/>
      <c r="DK1109" s="503"/>
      <c r="DL1109" s="502"/>
      <c r="DM1109" s="502"/>
      <c r="DN1109" s="502"/>
      <c r="DO1109" s="502"/>
      <c r="DP1109" s="503"/>
      <c r="DQ1109" s="503"/>
      <c r="DR1109" s="296"/>
      <c r="DS1109" s="296"/>
      <c r="DT1109" s="296"/>
    </row>
    <row r="1110" spans="1:124" ht="12" customHeight="1" x14ac:dyDescent="0.25">
      <c r="A1110" s="281" t="s">
        <v>2158</v>
      </c>
      <c r="B1110" s="281"/>
      <c r="C1110" s="565">
        <v>0</v>
      </c>
      <c r="D1110" s="565">
        <v>0</v>
      </c>
      <c r="E1110" s="565">
        <v>0</v>
      </c>
      <c r="F1110" s="565">
        <v>0</v>
      </c>
      <c r="G1110" s="447">
        <f>SUM(C1110:F1110)</f>
        <v>0</v>
      </c>
      <c r="H1110" s="565">
        <v>0</v>
      </c>
      <c r="I1110" s="565">
        <v>0</v>
      </c>
      <c r="J1110" s="565">
        <v>0</v>
      </c>
      <c r="K1110" s="565">
        <v>0.13400000000000001</v>
      </c>
      <c r="L1110" s="447">
        <f>SUM(H1110:K1110)</f>
        <v>0.13400000000000001</v>
      </c>
      <c r="M1110" s="565">
        <v>2.1000000000000001E-2</v>
      </c>
      <c r="N1110" s="565">
        <v>-8.6999999999999994E-2</v>
      </c>
      <c r="O1110" s="565">
        <v>-0.16300000000000001</v>
      </c>
      <c r="P1110" s="565">
        <v>-0.16600000000000001</v>
      </c>
      <c r="Q1110" s="447">
        <f>SUM(M1110:P1110)</f>
        <v>-0.39500000000000002</v>
      </c>
      <c r="R1110" s="565">
        <v>-0.17799999999999999</v>
      </c>
      <c r="S1110" s="565">
        <v>-0.19500000000000001</v>
      </c>
      <c r="T1110" s="565">
        <v>-0.33300000000000002</v>
      </c>
      <c r="U1110" s="565">
        <v>-9.7000000000000003E-2</v>
      </c>
      <c r="V1110" s="447">
        <f>SUM(R1110:U1110)</f>
        <v>-0.80299999999999994</v>
      </c>
      <c r="W1110" s="565">
        <v>-0.21299999999999999</v>
      </c>
      <c r="X1110" s="565">
        <v>-0.248</v>
      </c>
      <c r="Y1110" s="565">
        <v>-0.24</v>
      </c>
      <c r="Z1110" s="565">
        <v>-0.29399999999999998</v>
      </c>
      <c r="AA1110" s="447">
        <f>SUM(W1110:Z1110)</f>
        <v>-0.99499999999999988</v>
      </c>
      <c r="AB1110" s="565">
        <v>-0.17</v>
      </c>
      <c r="AC1110" s="565">
        <v>-0.17599999999999999</v>
      </c>
      <c r="AD1110" s="565">
        <v>-0.19900000000000001</v>
      </c>
      <c r="AE1110" s="563">
        <v>-0.26700000000000002</v>
      </c>
      <c r="AF1110" s="455">
        <f>SUM(AB1110:AE1110)</f>
        <v>-0.81199999999999994</v>
      </c>
      <c r="AG1110" s="565">
        <v>-0.13900000000000001</v>
      </c>
      <c r="AH1110" s="565">
        <v>-0.26700000000000002</v>
      </c>
      <c r="AI1110" s="565">
        <v>-0.27</v>
      </c>
      <c r="AJ1110" s="563">
        <v>-0.32200000000000001</v>
      </c>
      <c r="AK1110" s="455">
        <f>SUM(AG1110:AJ1110)</f>
        <v>-0.998</v>
      </c>
      <c r="AL1110" s="563">
        <v>-0.152</v>
      </c>
      <c r="AM1110" s="565">
        <v>-0.33600000000000002</v>
      </c>
      <c r="AN1110" s="446">
        <f>AM1110</f>
        <v>-0.33600000000000002</v>
      </c>
      <c r="AO1110" s="454">
        <f>AN1110</f>
        <v>-0.33600000000000002</v>
      </c>
      <c r="AP1110" s="456">
        <f>SUM(AL1110:AO1110)</f>
        <v>-1.1600000000000001</v>
      </c>
      <c r="AQ1110" s="456">
        <f>+AL1110</f>
        <v>-0.152</v>
      </c>
      <c r="AR1110" s="454">
        <f>+AM1110*1.03</f>
        <v>-0.34608000000000005</v>
      </c>
      <c r="AS1110" s="454">
        <f>+AN1110*0.8</f>
        <v>-0.26880000000000004</v>
      </c>
      <c r="AT1110" s="454">
        <f>+AO1110</f>
        <v>-0.33600000000000002</v>
      </c>
      <c r="AU1110" s="1693">
        <f>SUM(AQ1110:AT1110)</f>
        <v>-1.1028800000000001</v>
      </c>
      <c r="AV1110" s="1863">
        <f t="shared" ref="AV1110:AY1111" si="2638">+AQ1110</f>
        <v>-0.152</v>
      </c>
      <c r="AW1110" s="1841">
        <f t="shared" si="2638"/>
        <v>-0.34608000000000005</v>
      </c>
      <c r="AX1110" s="1841">
        <f t="shared" si="2638"/>
        <v>-0.26880000000000004</v>
      </c>
      <c r="AY1110" s="1864">
        <f t="shared" si="2638"/>
        <v>-0.33600000000000002</v>
      </c>
      <c r="AZ1110" s="1693">
        <f>SUM(AV1110:AY1110)</f>
        <v>-1.1028800000000001</v>
      </c>
      <c r="BA1110" s="1863">
        <f>+AV1110</f>
        <v>-0.152</v>
      </c>
      <c r="BB1110" s="1841">
        <f t="shared" ref="BB1110:BD1114" si="2639">+AW1110</f>
        <v>-0.34608000000000005</v>
      </c>
      <c r="BC1110" s="1841">
        <f t="shared" si="2639"/>
        <v>-0.26880000000000004</v>
      </c>
      <c r="BD1110" s="1864">
        <f t="shared" si="2639"/>
        <v>-0.33600000000000002</v>
      </c>
      <c r="BE1110" s="1864">
        <f>SUM(BA1110:BD1110)</f>
        <v>-1.1028800000000001</v>
      </c>
      <c r="BF1110" s="1841">
        <f t="shared" ref="BF1110:BI1114" si="2640">+BA1110</f>
        <v>-0.152</v>
      </c>
      <c r="BG1110" s="1841">
        <f t="shared" si="2640"/>
        <v>-0.34608000000000005</v>
      </c>
      <c r="BH1110" s="1841">
        <f t="shared" si="2640"/>
        <v>-0.26880000000000004</v>
      </c>
      <c r="BI1110" s="1864">
        <f t="shared" si="2640"/>
        <v>-0.33600000000000002</v>
      </c>
      <c r="BJ1110" s="1864">
        <f>SUM(BF1110:BI1110)</f>
        <v>-1.1028800000000001</v>
      </c>
      <c r="BK1110" s="1841">
        <f t="shared" ref="BK1110:BN1114" si="2641">+BF1110</f>
        <v>-0.152</v>
      </c>
      <c r="BL1110" s="1841">
        <f t="shared" si="2641"/>
        <v>-0.34608000000000005</v>
      </c>
      <c r="BM1110" s="1841">
        <f t="shared" si="2641"/>
        <v>-0.26880000000000004</v>
      </c>
      <c r="BN1110" s="1864">
        <f t="shared" si="2641"/>
        <v>-0.33600000000000002</v>
      </c>
      <c r="BO1110" s="1864">
        <f>SUM(BK1110:BN1110)</f>
        <v>-1.1028800000000001</v>
      </c>
      <c r="BP1110" s="1841">
        <f t="shared" ref="BP1110:BS1114" si="2642">+BK1110</f>
        <v>-0.152</v>
      </c>
      <c r="BQ1110" s="1841">
        <f t="shared" si="2642"/>
        <v>-0.34608000000000005</v>
      </c>
      <c r="BR1110" s="1841">
        <f t="shared" si="2642"/>
        <v>-0.26880000000000004</v>
      </c>
      <c r="BS1110" s="1841">
        <f t="shared" si="2642"/>
        <v>-0.33600000000000002</v>
      </c>
      <c r="BT1110" s="3066">
        <f>SUM(BP1110:BS1110)</f>
        <v>-1.1028800000000001</v>
      </c>
      <c r="BU1110" s="1841">
        <f t="shared" ref="BU1110:BX1114" si="2643">+BP1110</f>
        <v>-0.152</v>
      </c>
      <c r="BV1110" s="1841">
        <f t="shared" si="2643"/>
        <v>-0.34608000000000005</v>
      </c>
      <c r="BW1110" s="1841">
        <f t="shared" si="2643"/>
        <v>-0.26880000000000004</v>
      </c>
      <c r="BX1110" s="1841">
        <f t="shared" si="2643"/>
        <v>-0.33600000000000002</v>
      </c>
      <c r="BY1110" s="3066">
        <f>SUM(BU1110:BX1110)</f>
        <v>-1.1028800000000001</v>
      </c>
      <c r="BZ1110" s="455">
        <f t="shared" ref="BZ1110:CA1114" si="2644">BY1110</f>
        <v>-1.1028800000000001</v>
      </c>
      <c r="CA1110" s="455">
        <f t="shared" si="2644"/>
        <v>-1.1028800000000001</v>
      </c>
      <c r="CB1110" s="455">
        <f t="shared" ref="CB1110:CF1111" si="2645">CA1110</f>
        <v>-1.1028800000000001</v>
      </c>
      <c r="CC1110" s="455">
        <f t="shared" si="2645"/>
        <v>-1.1028800000000001</v>
      </c>
      <c r="CD1110" s="455">
        <f t="shared" si="2645"/>
        <v>-1.1028800000000001</v>
      </c>
      <c r="CE1110" s="455">
        <f t="shared" si="2645"/>
        <v>-1.1028800000000001</v>
      </c>
      <c r="CF1110" s="455">
        <f t="shared" si="2645"/>
        <v>-1.1028800000000001</v>
      </c>
      <c r="CG1110" s="331"/>
      <c r="CH1110" s="331"/>
      <c r="CI1110" s="331"/>
      <c r="CJ1110" s="331"/>
      <c r="CK1110" s="331"/>
      <c r="CL1110" s="520" t="str">
        <f t="shared" ref="CL1110:CL1116" si="2646">A1110</f>
        <v>Raceway Park - OH</v>
      </c>
      <c r="CM1110" s="454">
        <f t="shared" ref="CM1110:CM1116" si="2647">G1110</f>
        <v>0</v>
      </c>
      <c r="CN1110" s="454">
        <f t="shared" ref="CN1110:CN1116" si="2648">L1110</f>
        <v>0.13400000000000001</v>
      </c>
      <c r="CO1110" s="454">
        <f t="shared" ref="CO1110:CO1116" si="2649">Q1110</f>
        <v>-0.39500000000000002</v>
      </c>
      <c r="CP1110" s="454">
        <f t="shared" ref="CP1110:CP1116" si="2650">V1110</f>
        <v>-0.80299999999999994</v>
      </c>
      <c r="CQ1110" s="454">
        <f t="shared" ref="CQ1110:CQ1116" si="2651">AA1110</f>
        <v>-0.99499999999999988</v>
      </c>
      <c r="CR1110" s="454">
        <f t="shared" ref="CR1110:CR1116" si="2652">AF1110</f>
        <v>-0.81199999999999994</v>
      </c>
      <c r="CS1110" s="454">
        <f t="shared" ref="CS1110:CS1116" si="2653">AK1110</f>
        <v>-0.998</v>
      </c>
      <c r="CT1110" s="454">
        <f t="shared" ref="CT1110:CT1116" si="2654">AP1110</f>
        <v>-1.1600000000000001</v>
      </c>
      <c r="CU1110" s="454">
        <f t="shared" ref="CU1110:CU1116" si="2655">AU1110</f>
        <v>-1.1028800000000001</v>
      </c>
      <c r="CV1110" s="454">
        <f t="shared" ref="CV1110:CV1116" si="2656">AZ1110</f>
        <v>-1.1028800000000001</v>
      </c>
      <c r="CW1110" s="454">
        <f t="shared" ref="CW1110:CW1116" si="2657">BE1110</f>
        <v>-1.1028800000000001</v>
      </c>
      <c r="CX1110" s="454">
        <f t="shared" ref="CX1110:CX1116" si="2658">BJ1110</f>
        <v>-1.1028800000000001</v>
      </c>
      <c r="CY1110" s="454">
        <f t="shared" ref="CY1110:CY1116" si="2659">BO1110</f>
        <v>-1.1028800000000001</v>
      </c>
      <c r="CZ1110" s="454">
        <f t="shared" ref="CZ1110:CZ1116" si="2660">BT1110</f>
        <v>-1.1028800000000001</v>
      </c>
      <c r="DA1110" s="454">
        <f t="shared" ref="DA1110:DC1116" si="2661">BY1110</f>
        <v>-1.1028800000000001</v>
      </c>
      <c r="DB1110" s="454">
        <f t="shared" si="2661"/>
        <v>-1.1028800000000001</v>
      </c>
      <c r="DC1110" s="1666">
        <f t="shared" si="2661"/>
        <v>-1.1028800000000001</v>
      </c>
      <c r="DD1110" s="331"/>
      <c r="DE1110" s="331"/>
      <c r="DF1110" s="502"/>
      <c r="DG1110" s="503"/>
      <c r="DH1110" s="2915"/>
      <c r="DI1110" s="3213"/>
      <c r="DJ1110" s="502"/>
      <c r="DK1110" s="503"/>
      <c r="DL1110" s="502"/>
      <c r="DM1110" s="502"/>
      <c r="DN1110" s="502"/>
      <c r="DO1110" s="502"/>
      <c r="DP1110" s="503"/>
      <c r="DQ1110" s="503"/>
      <c r="DR1110" s="296"/>
      <c r="DS1110" s="296"/>
      <c r="DT1110" s="296"/>
    </row>
    <row r="1111" spans="1:124" ht="12" customHeight="1" x14ac:dyDescent="0.25">
      <c r="A1111" s="281" t="s">
        <v>2159</v>
      </c>
      <c r="B1111" s="281"/>
      <c r="C1111" s="565">
        <v>0</v>
      </c>
      <c r="D1111" s="565">
        <v>0</v>
      </c>
      <c r="E1111" s="565">
        <v>0</v>
      </c>
      <c r="F1111" s="565">
        <v>0</v>
      </c>
      <c r="G1111" s="447">
        <f>SUM(C1111:F1111)</f>
        <v>0</v>
      </c>
      <c r="H1111" s="565">
        <v>0</v>
      </c>
      <c r="I1111" s="565">
        <v>0</v>
      </c>
      <c r="J1111" s="565">
        <v>0</v>
      </c>
      <c r="K1111" s="565">
        <v>0</v>
      </c>
      <c r="L1111" s="447">
        <f>SUM(H1111:K1111)</f>
        <v>0</v>
      </c>
      <c r="M1111" s="565">
        <v>0</v>
      </c>
      <c r="N1111" s="565">
        <v>0</v>
      </c>
      <c r="O1111" s="565">
        <v>0</v>
      </c>
      <c r="P1111" s="565">
        <v>0</v>
      </c>
      <c r="Q1111" s="447">
        <f>SUM(M1111:P1111)</f>
        <v>0</v>
      </c>
      <c r="R1111" s="565">
        <v>0</v>
      </c>
      <c r="S1111" s="565">
        <v>0</v>
      </c>
      <c r="T1111" s="565">
        <v>0</v>
      </c>
      <c r="U1111" s="565">
        <v>3.6999999999999998E-2</v>
      </c>
      <c r="V1111" s="447">
        <f>SUM(R1111:U1111)</f>
        <v>3.6999999999999998E-2</v>
      </c>
      <c r="W1111" s="565">
        <v>0.13800000000000001</v>
      </c>
      <c r="X1111" s="565">
        <v>9.7000000000000003E-2</v>
      </c>
      <c r="Y1111" s="565">
        <v>-0.161</v>
      </c>
      <c r="Z1111" s="565">
        <v>-0.20499999999999999</v>
      </c>
      <c r="AA1111" s="447">
        <f>SUM(W1111:Z1111)</f>
        <v>-0.13099999999999998</v>
      </c>
      <c r="AB1111" s="565">
        <v>0.28899999999999998</v>
      </c>
      <c r="AC1111" s="565">
        <v>5.7000000000000002E-2</v>
      </c>
      <c r="AD1111" s="565">
        <v>-0.17599999999999999</v>
      </c>
      <c r="AE1111" s="563">
        <v>-0.28000000000000003</v>
      </c>
      <c r="AF1111" s="455">
        <f>SUM(AB1111:AE1111)</f>
        <v>-0.11000000000000004</v>
      </c>
      <c r="AG1111" s="565">
        <v>0.19400000000000001</v>
      </c>
      <c r="AH1111" s="565">
        <v>9.8000000000000004E-2</v>
      </c>
      <c r="AI1111" s="565">
        <v>-2E-3</v>
      </c>
      <c r="AJ1111" s="563">
        <v>-0.115</v>
      </c>
      <c r="AK1111" s="455">
        <f>SUM(AG1111:AJ1111)</f>
        <v>0.17500000000000004</v>
      </c>
      <c r="AL1111" s="563">
        <v>0.253</v>
      </c>
      <c r="AM1111" s="565">
        <v>-8.9999999999999993E-3</v>
      </c>
      <c r="AN1111" s="565">
        <f>AM1111</f>
        <v>-8.9999999999999993E-3</v>
      </c>
      <c r="AO1111" s="563">
        <f>AN1111</f>
        <v>-8.9999999999999993E-3</v>
      </c>
      <c r="AP1111" s="456">
        <f>SUM(AL1111:AO1111)</f>
        <v>0.22599999999999998</v>
      </c>
      <c r="AQ1111" s="456">
        <f>+AL1111</f>
        <v>0.253</v>
      </c>
      <c r="AR1111" s="454">
        <f>+AM1111</f>
        <v>-8.9999999999999993E-3</v>
      </c>
      <c r="AS1111" s="454">
        <f>+AN1111*0.8</f>
        <v>-7.1999999999999998E-3</v>
      </c>
      <c r="AT1111" s="454">
        <f>+AO1111</f>
        <v>-8.9999999999999993E-3</v>
      </c>
      <c r="AU1111" s="1693">
        <f>SUM(AQ1111:AT1111)</f>
        <v>0.22779999999999997</v>
      </c>
      <c r="AV1111" s="1863">
        <f t="shared" si="2638"/>
        <v>0.253</v>
      </c>
      <c r="AW1111" s="1841">
        <f t="shared" si="2638"/>
        <v>-8.9999999999999993E-3</v>
      </c>
      <c r="AX1111" s="1841">
        <f t="shared" si="2638"/>
        <v>-7.1999999999999998E-3</v>
      </c>
      <c r="AY1111" s="1864">
        <f t="shared" si="2638"/>
        <v>-8.9999999999999993E-3</v>
      </c>
      <c r="AZ1111" s="1693">
        <f>SUM(AV1111:AY1111)</f>
        <v>0.22779999999999997</v>
      </c>
      <c r="BA1111" s="1863">
        <f>+AV1111</f>
        <v>0.253</v>
      </c>
      <c r="BB1111" s="1841">
        <f t="shared" si="2639"/>
        <v>-8.9999999999999993E-3</v>
      </c>
      <c r="BC1111" s="1841">
        <f t="shared" si="2639"/>
        <v>-7.1999999999999998E-3</v>
      </c>
      <c r="BD1111" s="1864">
        <f t="shared" si="2639"/>
        <v>-8.9999999999999993E-3</v>
      </c>
      <c r="BE1111" s="1864">
        <f>SUM(BA1111:BD1111)</f>
        <v>0.22779999999999997</v>
      </c>
      <c r="BF1111" s="1841">
        <f t="shared" si="2640"/>
        <v>0.253</v>
      </c>
      <c r="BG1111" s="1841">
        <f t="shared" si="2640"/>
        <v>-8.9999999999999993E-3</v>
      </c>
      <c r="BH1111" s="1841">
        <f t="shared" si="2640"/>
        <v>-7.1999999999999998E-3</v>
      </c>
      <c r="BI1111" s="1864">
        <f t="shared" si="2640"/>
        <v>-8.9999999999999993E-3</v>
      </c>
      <c r="BJ1111" s="1864">
        <f>SUM(BF1111:BI1111)</f>
        <v>0.22779999999999997</v>
      </c>
      <c r="BK1111" s="1841">
        <f t="shared" si="2641"/>
        <v>0.253</v>
      </c>
      <c r="BL1111" s="1841">
        <f t="shared" si="2641"/>
        <v>-8.9999999999999993E-3</v>
      </c>
      <c r="BM1111" s="1841">
        <f t="shared" si="2641"/>
        <v>-7.1999999999999998E-3</v>
      </c>
      <c r="BN1111" s="1864">
        <f t="shared" si="2641"/>
        <v>-8.9999999999999993E-3</v>
      </c>
      <c r="BO1111" s="1864">
        <f>SUM(BK1111:BN1111)</f>
        <v>0.22779999999999997</v>
      </c>
      <c r="BP1111" s="1841">
        <f t="shared" si="2642"/>
        <v>0.253</v>
      </c>
      <c r="BQ1111" s="1841">
        <f t="shared" si="2642"/>
        <v>-8.9999999999999993E-3</v>
      </c>
      <c r="BR1111" s="1841">
        <f t="shared" si="2642"/>
        <v>-7.1999999999999998E-3</v>
      </c>
      <c r="BS1111" s="1841">
        <f t="shared" si="2642"/>
        <v>-8.9999999999999993E-3</v>
      </c>
      <c r="BT1111" s="3066">
        <f>SUM(BP1111:BS1111)</f>
        <v>0.22779999999999997</v>
      </c>
      <c r="BU1111" s="1841">
        <f t="shared" si="2643"/>
        <v>0.253</v>
      </c>
      <c r="BV1111" s="1841">
        <f t="shared" si="2643"/>
        <v>-8.9999999999999993E-3</v>
      </c>
      <c r="BW1111" s="1841">
        <f t="shared" si="2643"/>
        <v>-7.1999999999999998E-3</v>
      </c>
      <c r="BX1111" s="1841">
        <f t="shared" si="2643"/>
        <v>-8.9999999999999993E-3</v>
      </c>
      <c r="BY1111" s="3066">
        <f>SUM(BU1111:BX1111)</f>
        <v>0.22779999999999997</v>
      </c>
      <c r="BZ1111" s="455">
        <f t="shared" si="2644"/>
        <v>0.22779999999999997</v>
      </c>
      <c r="CA1111" s="455">
        <f t="shared" si="2644"/>
        <v>0.22779999999999997</v>
      </c>
      <c r="CB1111" s="455">
        <f t="shared" si="2645"/>
        <v>0.22779999999999997</v>
      </c>
      <c r="CC1111" s="455">
        <f t="shared" si="2645"/>
        <v>0.22779999999999997</v>
      </c>
      <c r="CD1111" s="455">
        <f t="shared" si="2645"/>
        <v>0.22779999999999997</v>
      </c>
      <c r="CE1111" s="455">
        <f t="shared" si="2645"/>
        <v>0.22779999999999997</v>
      </c>
      <c r="CF1111" s="455">
        <f t="shared" si="2645"/>
        <v>0.22779999999999997</v>
      </c>
      <c r="CG1111" s="331"/>
      <c r="CH1111" s="331"/>
      <c r="CI1111" s="331"/>
      <c r="CJ1111" s="331"/>
      <c r="CK1111" s="331"/>
      <c r="CL1111" s="520" t="str">
        <f t="shared" si="2646"/>
        <v>Sanford Kennel Club - FL</v>
      </c>
      <c r="CM1111" s="454">
        <f t="shared" si="2647"/>
        <v>0</v>
      </c>
      <c r="CN1111" s="454">
        <f t="shared" si="2648"/>
        <v>0</v>
      </c>
      <c r="CO1111" s="454">
        <f t="shared" si="2649"/>
        <v>0</v>
      </c>
      <c r="CP1111" s="454">
        <f t="shared" si="2650"/>
        <v>3.6999999999999998E-2</v>
      </c>
      <c r="CQ1111" s="454">
        <f t="shared" si="2651"/>
        <v>-0.13099999999999998</v>
      </c>
      <c r="CR1111" s="454">
        <f t="shared" si="2652"/>
        <v>-0.11000000000000004</v>
      </c>
      <c r="CS1111" s="454">
        <f t="shared" si="2653"/>
        <v>0.17500000000000004</v>
      </c>
      <c r="CT1111" s="454">
        <f t="shared" si="2654"/>
        <v>0.22599999999999998</v>
      </c>
      <c r="CU1111" s="454">
        <f t="shared" si="2655"/>
        <v>0.22779999999999997</v>
      </c>
      <c r="CV1111" s="454">
        <f t="shared" si="2656"/>
        <v>0.22779999999999997</v>
      </c>
      <c r="CW1111" s="454">
        <f t="shared" si="2657"/>
        <v>0.22779999999999997</v>
      </c>
      <c r="CX1111" s="454">
        <f t="shared" si="2658"/>
        <v>0.22779999999999997</v>
      </c>
      <c r="CY1111" s="454">
        <f t="shared" si="2659"/>
        <v>0.22779999999999997</v>
      </c>
      <c r="CZ1111" s="454">
        <f t="shared" si="2660"/>
        <v>0.22779999999999997</v>
      </c>
      <c r="DA1111" s="454">
        <f t="shared" si="2661"/>
        <v>0.22779999999999997</v>
      </c>
      <c r="DB1111" s="454">
        <f t="shared" si="2661"/>
        <v>0.22779999999999997</v>
      </c>
      <c r="DC1111" s="1666">
        <f t="shared" si="2661"/>
        <v>0.22779999999999997</v>
      </c>
      <c r="DD1111" s="331"/>
      <c r="DE1111" s="331"/>
      <c r="DF1111" s="502"/>
      <c r="DG1111" s="503"/>
      <c r="DH1111" s="2915"/>
      <c r="DI1111" s="3213"/>
      <c r="DJ1111" s="502"/>
      <c r="DK1111" s="503"/>
      <c r="DL1111" s="502"/>
      <c r="DM1111" s="502"/>
      <c r="DN1111" s="502"/>
      <c r="DO1111" s="502"/>
      <c r="DP1111" s="503"/>
      <c r="DQ1111" s="503"/>
      <c r="DR1111" s="296"/>
      <c r="DS1111" s="296"/>
      <c r="DT1111" s="296"/>
    </row>
    <row r="1112" spans="1:124" ht="12" customHeight="1" x14ac:dyDescent="0.25">
      <c r="A1112" s="281" t="s">
        <v>658</v>
      </c>
      <c r="B1112" s="281"/>
      <c r="C1112" s="565"/>
      <c r="D1112" s="565"/>
      <c r="E1112" s="565"/>
      <c r="F1112" s="565"/>
      <c r="G1112" s="447"/>
      <c r="H1112" s="565"/>
      <c r="I1112" s="565"/>
      <c r="J1112" s="565"/>
      <c r="K1112" s="565"/>
      <c r="L1112" s="447"/>
      <c r="M1112" s="565"/>
      <c r="N1112" s="565"/>
      <c r="O1112" s="565"/>
      <c r="P1112" s="565"/>
      <c r="Q1112" s="447"/>
      <c r="R1112" s="565"/>
      <c r="S1112" s="565"/>
      <c r="T1112" s="565"/>
      <c r="U1112" s="565"/>
      <c r="V1112" s="447"/>
      <c r="W1112" s="565"/>
      <c r="X1112" s="565"/>
      <c r="Y1112" s="565"/>
      <c r="Z1112" s="565"/>
      <c r="AA1112" s="447"/>
      <c r="AB1112" s="565"/>
      <c r="AC1112" s="565"/>
      <c r="AD1112" s="565"/>
      <c r="AE1112" s="563"/>
      <c r="AF1112" s="455"/>
      <c r="AG1112" s="565"/>
      <c r="AH1112" s="565"/>
      <c r="AI1112" s="565">
        <v>-0.85399999999999998</v>
      </c>
      <c r="AJ1112" s="563">
        <v>-0.84099999999999997</v>
      </c>
      <c r="AK1112" s="455">
        <f>SUM(AG1112:AJ1112)</f>
        <v>-1.6949999999999998</v>
      </c>
      <c r="AL1112" s="563">
        <v>-0.66800000000000004</v>
      </c>
      <c r="AM1112" s="565">
        <v>-0.48899999999999999</v>
      </c>
      <c r="AN1112" s="565">
        <v>-0.5</v>
      </c>
      <c r="AO1112" s="563">
        <v>-0.5</v>
      </c>
      <c r="AP1112" s="456">
        <f>SUM(AL1112:AO1112)</f>
        <v>-2.157</v>
      </c>
      <c r="AQ1112" s="456">
        <f>+AL1112</f>
        <v>-0.66800000000000004</v>
      </c>
      <c r="AR1112" s="454">
        <f>+AM1112</f>
        <v>-0.48899999999999999</v>
      </c>
      <c r="AS1112" s="454">
        <f>+AN1112*0.8</f>
        <v>-0.4</v>
      </c>
      <c r="AT1112" s="454">
        <f>+AO1112</f>
        <v>-0.5</v>
      </c>
      <c r="AU1112" s="1693">
        <f>SUM(AQ1112:AT1112)</f>
        <v>-2.0569999999999999</v>
      </c>
      <c r="AV1112" s="1863">
        <v>0</v>
      </c>
      <c r="AW1112" s="1841">
        <v>0</v>
      </c>
      <c r="AX1112" s="1841">
        <v>0</v>
      </c>
      <c r="AY1112" s="1864">
        <v>0</v>
      </c>
      <c r="AZ1112" s="1693">
        <f>SUM(AV1112:AY1112)</f>
        <v>0</v>
      </c>
      <c r="BA1112" s="1863">
        <f>+AV1112</f>
        <v>0</v>
      </c>
      <c r="BB1112" s="1841">
        <f t="shared" si="2639"/>
        <v>0</v>
      </c>
      <c r="BC1112" s="1841">
        <f t="shared" si="2639"/>
        <v>0</v>
      </c>
      <c r="BD1112" s="1864">
        <f t="shared" si="2639"/>
        <v>0</v>
      </c>
      <c r="BE1112" s="1864">
        <f>SUM(BA1112:BD1112)</f>
        <v>0</v>
      </c>
      <c r="BF1112" s="1841">
        <f t="shared" si="2640"/>
        <v>0</v>
      </c>
      <c r="BG1112" s="1841">
        <f t="shared" si="2640"/>
        <v>0</v>
      </c>
      <c r="BH1112" s="1841">
        <f t="shared" si="2640"/>
        <v>0</v>
      </c>
      <c r="BI1112" s="1864">
        <f t="shared" si="2640"/>
        <v>0</v>
      </c>
      <c r="BJ1112" s="1864">
        <f>SUM(BF1112:BI1112)</f>
        <v>0</v>
      </c>
      <c r="BK1112" s="1841">
        <f t="shared" si="2641"/>
        <v>0</v>
      </c>
      <c r="BL1112" s="1841">
        <f t="shared" si="2641"/>
        <v>0</v>
      </c>
      <c r="BM1112" s="1841">
        <f t="shared" si="2641"/>
        <v>0</v>
      </c>
      <c r="BN1112" s="1864">
        <f t="shared" si="2641"/>
        <v>0</v>
      </c>
      <c r="BO1112" s="1864">
        <f>SUM(BK1112:BN1112)</f>
        <v>0</v>
      </c>
      <c r="BP1112" s="1841">
        <f t="shared" si="2642"/>
        <v>0</v>
      </c>
      <c r="BQ1112" s="1841">
        <f t="shared" si="2642"/>
        <v>0</v>
      </c>
      <c r="BR1112" s="1841">
        <f t="shared" si="2642"/>
        <v>0</v>
      </c>
      <c r="BS1112" s="1841">
        <f t="shared" si="2642"/>
        <v>0</v>
      </c>
      <c r="BT1112" s="3066">
        <f>SUM(BP1112:BS1112)</f>
        <v>0</v>
      </c>
      <c r="BU1112" s="1841">
        <f t="shared" si="2643"/>
        <v>0</v>
      </c>
      <c r="BV1112" s="1841">
        <f t="shared" si="2643"/>
        <v>0</v>
      </c>
      <c r="BW1112" s="1841">
        <f t="shared" si="2643"/>
        <v>0</v>
      </c>
      <c r="BX1112" s="1841">
        <f t="shared" si="2643"/>
        <v>0</v>
      </c>
      <c r="BY1112" s="3066">
        <f>SUM(BU1112:BX1112)</f>
        <v>0</v>
      </c>
      <c r="BZ1112" s="455">
        <v>0</v>
      </c>
      <c r="CA1112" s="455">
        <v>0</v>
      </c>
      <c r="CB1112" s="455">
        <v>0</v>
      </c>
      <c r="CC1112" s="455">
        <v>0</v>
      </c>
      <c r="CD1112" s="455">
        <v>0</v>
      </c>
      <c r="CE1112" s="455">
        <v>0</v>
      </c>
      <c r="CF1112" s="455">
        <v>0</v>
      </c>
      <c r="CG1112" s="331"/>
      <c r="CH1112" s="331"/>
      <c r="CI1112" s="331"/>
      <c r="CJ1112" s="331"/>
      <c r="CK1112" s="331"/>
      <c r="CL1112" s="520" t="str">
        <f t="shared" si="2646"/>
        <v>Beulah Park</v>
      </c>
      <c r="CM1112" s="454">
        <f t="shared" si="2647"/>
        <v>0</v>
      </c>
      <c r="CN1112" s="454">
        <f t="shared" si="2648"/>
        <v>0</v>
      </c>
      <c r="CO1112" s="454">
        <f t="shared" si="2649"/>
        <v>0</v>
      </c>
      <c r="CP1112" s="454">
        <f t="shared" si="2650"/>
        <v>0</v>
      </c>
      <c r="CQ1112" s="454">
        <f t="shared" si="2651"/>
        <v>0</v>
      </c>
      <c r="CR1112" s="454">
        <f t="shared" si="2652"/>
        <v>0</v>
      </c>
      <c r="CS1112" s="454">
        <f t="shared" si="2653"/>
        <v>-1.6949999999999998</v>
      </c>
      <c r="CT1112" s="454">
        <f t="shared" si="2654"/>
        <v>-2.157</v>
      </c>
      <c r="CU1112" s="454">
        <f t="shared" si="2655"/>
        <v>-2.0569999999999999</v>
      </c>
      <c r="CV1112" s="454">
        <f t="shared" si="2656"/>
        <v>0</v>
      </c>
      <c r="CW1112" s="454">
        <f t="shared" si="2657"/>
        <v>0</v>
      </c>
      <c r="CX1112" s="454">
        <f t="shared" si="2658"/>
        <v>0</v>
      </c>
      <c r="CY1112" s="454">
        <f t="shared" si="2659"/>
        <v>0</v>
      </c>
      <c r="CZ1112" s="454">
        <f t="shared" si="2660"/>
        <v>0</v>
      </c>
      <c r="DA1112" s="454">
        <f t="shared" si="2661"/>
        <v>0</v>
      </c>
      <c r="DB1112" s="454">
        <f t="shared" si="2661"/>
        <v>0</v>
      </c>
      <c r="DC1112" s="1666">
        <f t="shared" si="2661"/>
        <v>0</v>
      </c>
      <c r="DD1112" s="331"/>
      <c r="DE1112" s="331"/>
      <c r="DF1112" s="502"/>
      <c r="DG1112" s="503"/>
      <c r="DH1112" s="2915"/>
      <c r="DI1112" s="3213"/>
      <c r="DJ1112" s="502"/>
      <c r="DK1112" s="503"/>
      <c r="DL1112" s="502"/>
      <c r="DM1112" s="502"/>
      <c r="DN1112" s="502"/>
      <c r="DO1112" s="502"/>
      <c r="DP1112" s="503"/>
      <c r="DQ1112" s="503"/>
      <c r="DR1112" s="296"/>
      <c r="DS1112" s="296"/>
      <c r="DT1112" s="296"/>
    </row>
    <row r="1113" spans="1:124" ht="12" customHeight="1" x14ac:dyDescent="0.25">
      <c r="A1113" s="312" t="s">
        <v>807</v>
      </c>
      <c r="B1113" s="281"/>
      <c r="C1113" s="565"/>
      <c r="D1113" s="565"/>
      <c r="E1113" s="565"/>
      <c r="F1113" s="565"/>
      <c r="G1113" s="447"/>
      <c r="H1113" s="565"/>
      <c r="I1113" s="565"/>
      <c r="J1113" s="565"/>
      <c r="K1113" s="565"/>
      <c r="L1113" s="447"/>
      <c r="M1113" s="565"/>
      <c r="N1113" s="565"/>
      <c r="O1113" s="565"/>
      <c r="P1113" s="565"/>
      <c r="Q1113" s="447"/>
      <c r="R1113" s="565"/>
      <c r="S1113" s="565"/>
      <c r="T1113" s="565"/>
      <c r="U1113" s="565"/>
      <c r="V1113" s="447"/>
      <c r="W1113" s="565"/>
      <c r="X1113" s="565"/>
      <c r="Y1113" s="565"/>
      <c r="Z1113" s="565"/>
      <c r="AA1113" s="447"/>
      <c r="AB1113" s="565"/>
      <c r="AC1113" s="565"/>
      <c r="AD1113" s="565"/>
      <c r="AE1113" s="563"/>
      <c r="AF1113" s="455"/>
      <c r="AG1113" s="565">
        <v>0</v>
      </c>
      <c r="AH1113" s="565">
        <v>0</v>
      </c>
      <c r="AI1113" s="565">
        <v>0</v>
      </c>
      <c r="AJ1113" s="563">
        <v>0</v>
      </c>
      <c r="AK1113" s="455">
        <f>SUM(AG1113:AJ1113)</f>
        <v>0</v>
      </c>
      <c r="AL1113" s="563">
        <v>-0.33200000000000002</v>
      </c>
      <c r="AM1113" s="565">
        <v>-0.36699999999999999</v>
      </c>
      <c r="AN1113" s="565">
        <f>AM1113</f>
        <v>-0.36699999999999999</v>
      </c>
      <c r="AO1113" s="565">
        <f>AN1113</f>
        <v>-0.36699999999999999</v>
      </c>
      <c r="AP1113" s="456">
        <f>SUM(AL1113:AO1113)</f>
        <v>-1.4330000000000001</v>
      </c>
      <c r="AQ1113" s="456">
        <f>+AL1113</f>
        <v>-0.33200000000000002</v>
      </c>
      <c r="AR1113" s="454">
        <f>+AM1113</f>
        <v>-0.36699999999999999</v>
      </c>
      <c r="AS1113" s="454">
        <f>+AN1113*0.8</f>
        <v>-0.29360000000000003</v>
      </c>
      <c r="AT1113" s="454">
        <f>+AO1113</f>
        <v>-0.36699999999999999</v>
      </c>
      <c r="AU1113" s="1693">
        <f>SUM(AQ1113:AT1113)</f>
        <v>-1.3596000000000001</v>
      </c>
      <c r="AV1113" s="1863">
        <f t="shared" ref="AV1113:AY1114" si="2662">+AQ1113</f>
        <v>-0.33200000000000002</v>
      </c>
      <c r="AW1113" s="1841">
        <f t="shared" si="2662"/>
        <v>-0.36699999999999999</v>
      </c>
      <c r="AX1113" s="1841">
        <f t="shared" si="2662"/>
        <v>-0.29360000000000003</v>
      </c>
      <c r="AY1113" s="1864">
        <f t="shared" si="2662"/>
        <v>-0.36699999999999999</v>
      </c>
      <c r="AZ1113" s="1693">
        <f>SUM(AV1113:AY1113)</f>
        <v>-1.3596000000000001</v>
      </c>
      <c r="BA1113" s="1863">
        <f>+AV1113</f>
        <v>-0.33200000000000002</v>
      </c>
      <c r="BB1113" s="1841">
        <f t="shared" si="2639"/>
        <v>-0.36699999999999999</v>
      </c>
      <c r="BC1113" s="1841">
        <f t="shared" si="2639"/>
        <v>-0.29360000000000003</v>
      </c>
      <c r="BD1113" s="1864">
        <f t="shared" si="2639"/>
        <v>-0.36699999999999999</v>
      </c>
      <c r="BE1113" s="1864">
        <f>SUM(BA1113:BD1113)</f>
        <v>-1.3596000000000001</v>
      </c>
      <c r="BF1113" s="1841">
        <f t="shared" si="2640"/>
        <v>-0.33200000000000002</v>
      </c>
      <c r="BG1113" s="1841">
        <f t="shared" si="2640"/>
        <v>-0.36699999999999999</v>
      </c>
      <c r="BH1113" s="1841">
        <f t="shared" si="2640"/>
        <v>-0.29360000000000003</v>
      </c>
      <c r="BI1113" s="1864">
        <f t="shared" si="2640"/>
        <v>-0.36699999999999999</v>
      </c>
      <c r="BJ1113" s="1864">
        <f>SUM(BF1113:BI1113)</f>
        <v>-1.3596000000000001</v>
      </c>
      <c r="BK1113" s="1841">
        <f t="shared" si="2641"/>
        <v>-0.33200000000000002</v>
      </c>
      <c r="BL1113" s="1841">
        <f t="shared" si="2641"/>
        <v>-0.36699999999999999</v>
      </c>
      <c r="BM1113" s="1841">
        <f t="shared" si="2641"/>
        <v>-0.29360000000000003</v>
      </c>
      <c r="BN1113" s="1864">
        <f t="shared" si="2641"/>
        <v>-0.36699999999999999</v>
      </c>
      <c r="BO1113" s="1864">
        <f>SUM(BK1113:BN1113)</f>
        <v>-1.3596000000000001</v>
      </c>
      <c r="BP1113" s="1841">
        <f t="shared" si="2642"/>
        <v>-0.33200000000000002</v>
      </c>
      <c r="BQ1113" s="1841">
        <f t="shared" si="2642"/>
        <v>-0.36699999999999999</v>
      </c>
      <c r="BR1113" s="1841">
        <f t="shared" si="2642"/>
        <v>-0.29360000000000003</v>
      </c>
      <c r="BS1113" s="1841">
        <f t="shared" si="2642"/>
        <v>-0.36699999999999999</v>
      </c>
      <c r="BT1113" s="3066">
        <f>SUM(BP1113:BS1113)</f>
        <v>-1.3596000000000001</v>
      </c>
      <c r="BU1113" s="1841">
        <f t="shared" si="2643"/>
        <v>-0.33200000000000002</v>
      </c>
      <c r="BV1113" s="1841">
        <f t="shared" si="2643"/>
        <v>-0.36699999999999999</v>
      </c>
      <c r="BW1113" s="1841">
        <f t="shared" si="2643"/>
        <v>-0.29360000000000003</v>
      </c>
      <c r="BX1113" s="1841">
        <f t="shared" si="2643"/>
        <v>-0.36699999999999999</v>
      </c>
      <c r="BY1113" s="3066">
        <f>SUM(BU1113:BX1113)</f>
        <v>-1.3596000000000001</v>
      </c>
      <c r="BZ1113" s="455">
        <f>BY1113</f>
        <v>-1.3596000000000001</v>
      </c>
      <c r="CA1113" s="455">
        <f>BZ1113</f>
        <v>-1.3596000000000001</v>
      </c>
      <c r="CB1113" s="455">
        <f t="shared" ref="CB1113:CF1114" si="2663">CA1113</f>
        <v>-1.3596000000000001</v>
      </c>
      <c r="CC1113" s="455">
        <f t="shared" si="2663"/>
        <v>-1.3596000000000001</v>
      </c>
      <c r="CD1113" s="455">
        <f t="shared" si="2663"/>
        <v>-1.3596000000000001</v>
      </c>
      <c r="CE1113" s="455">
        <f t="shared" si="2663"/>
        <v>-1.3596000000000001</v>
      </c>
      <c r="CF1113" s="455">
        <f t="shared" si="2663"/>
        <v>-1.3596000000000001</v>
      </c>
      <c r="CG1113" s="331"/>
      <c r="CH1113" s="331"/>
      <c r="CI1113" s="331"/>
      <c r="CJ1113" s="331"/>
      <c r="CK1113" s="331"/>
      <c r="CL1113" s="2025" t="str">
        <f t="shared" si="2646"/>
        <v>Other - MD and OH</v>
      </c>
      <c r="CM1113" s="454">
        <f t="shared" si="2647"/>
        <v>0</v>
      </c>
      <c r="CN1113" s="454">
        <f t="shared" si="2648"/>
        <v>0</v>
      </c>
      <c r="CO1113" s="454">
        <f t="shared" si="2649"/>
        <v>0</v>
      </c>
      <c r="CP1113" s="454">
        <f t="shared" si="2650"/>
        <v>0</v>
      </c>
      <c r="CQ1113" s="454">
        <f t="shared" si="2651"/>
        <v>0</v>
      </c>
      <c r="CR1113" s="454">
        <f t="shared" si="2652"/>
        <v>0</v>
      </c>
      <c r="CS1113" s="454">
        <f t="shared" si="2653"/>
        <v>0</v>
      </c>
      <c r="CT1113" s="454">
        <f t="shared" si="2654"/>
        <v>-1.4330000000000001</v>
      </c>
      <c r="CU1113" s="454">
        <f t="shared" si="2655"/>
        <v>-1.3596000000000001</v>
      </c>
      <c r="CV1113" s="454">
        <f t="shared" si="2656"/>
        <v>-1.3596000000000001</v>
      </c>
      <c r="CW1113" s="454">
        <f t="shared" si="2657"/>
        <v>-1.3596000000000001</v>
      </c>
      <c r="CX1113" s="454">
        <f t="shared" si="2658"/>
        <v>-1.3596000000000001</v>
      </c>
      <c r="CY1113" s="454">
        <f t="shared" si="2659"/>
        <v>-1.3596000000000001</v>
      </c>
      <c r="CZ1113" s="454">
        <f t="shared" si="2660"/>
        <v>-1.3596000000000001</v>
      </c>
      <c r="DA1113" s="454">
        <f t="shared" si="2661"/>
        <v>-1.3596000000000001</v>
      </c>
      <c r="DB1113" s="454">
        <f t="shared" si="2661"/>
        <v>-1.3596000000000001</v>
      </c>
      <c r="DC1113" s="1666">
        <f t="shared" si="2661"/>
        <v>-1.3596000000000001</v>
      </c>
      <c r="DD1113" s="331"/>
      <c r="DE1113" s="331"/>
      <c r="DF1113" s="502"/>
      <c r="DG1113" s="503"/>
      <c r="DH1113" s="2915"/>
      <c r="DI1113" s="3213"/>
      <c r="DJ1113" s="502"/>
      <c r="DK1113" s="503"/>
      <c r="DL1113" s="502"/>
      <c r="DM1113" s="502"/>
      <c r="DN1113" s="502"/>
      <c r="DO1113" s="502"/>
      <c r="DP1113" s="503"/>
      <c r="DQ1113" s="503"/>
      <c r="DR1113" s="296"/>
      <c r="DS1113" s="296"/>
      <c r="DT1113" s="296"/>
    </row>
    <row r="1114" spans="1:124" ht="12" customHeight="1" x14ac:dyDescent="0.25">
      <c r="A1114" s="281" t="s">
        <v>2160</v>
      </c>
      <c r="B1114" s="281"/>
      <c r="C1114" s="565">
        <v>0.46</v>
      </c>
      <c r="D1114" s="565">
        <v>0.63200000000000001</v>
      </c>
      <c r="E1114" s="565">
        <v>0.20499999999999999</v>
      </c>
      <c r="F1114" s="565">
        <v>0.33700000000000002</v>
      </c>
      <c r="G1114" s="447">
        <f>SUM(C1114:F1114)</f>
        <v>1.6340000000000001</v>
      </c>
      <c r="H1114" s="565">
        <v>0.34300000000000003</v>
      </c>
      <c r="I1114" s="565">
        <v>0.64200000000000002</v>
      </c>
      <c r="J1114" s="565">
        <v>0.23</v>
      </c>
      <c r="K1114" s="565">
        <v>0.24</v>
      </c>
      <c r="L1114" s="447">
        <f>SUM(H1114:K1114)</f>
        <v>1.4550000000000001</v>
      </c>
      <c r="M1114" s="565">
        <v>0.41299999999999998</v>
      </c>
      <c r="N1114" s="565">
        <v>0.57399999999999995</v>
      </c>
      <c r="O1114" s="565">
        <v>-1.665</v>
      </c>
      <c r="P1114" s="565">
        <v>-0.11</v>
      </c>
      <c r="Q1114" s="447">
        <f>SUM(M1114:P1114)</f>
        <v>-0.78800000000000014</v>
      </c>
      <c r="R1114" s="565">
        <v>0.04</v>
      </c>
      <c r="S1114" s="565">
        <v>0.32500000000000001</v>
      </c>
      <c r="T1114" s="565">
        <v>-0.122</v>
      </c>
      <c r="U1114" s="565">
        <v>-0.34200000000000003</v>
      </c>
      <c r="V1114" s="447">
        <f>SUM(R1114:U1114)</f>
        <v>-9.9000000000000032E-2</v>
      </c>
      <c r="W1114" s="565">
        <v>-0.75900000000000001</v>
      </c>
      <c r="X1114" s="565">
        <v>-0.152</v>
      </c>
      <c r="Y1114" s="565">
        <v>-0.13900000000000001</v>
      </c>
      <c r="Z1114" s="565">
        <v>-0.47599999999999998</v>
      </c>
      <c r="AA1114" s="447">
        <f>SUM(W1114:Z1114)</f>
        <v>-1.526</v>
      </c>
      <c r="AB1114" s="565">
        <v>-0.30299999999999999</v>
      </c>
      <c r="AC1114" s="565">
        <v>-0.41599999999999998</v>
      </c>
      <c r="AD1114" s="565">
        <v>-3.5999999999999997E-2</v>
      </c>
      <c r="AE1114" s="563">
        <v>-0.36599999999999999</v>
      </c>
      <c r="AF1114" s="455">
        <f>SUM(AB1114:AE1114)</f>
        <v>-1.121</v>
      </c>
      <c r="AG1114" s="565">
        <v>-1.4119999999999999</v>
      </c>
      <c r="AH1114" s="565">
        <v>-0.42499999999999999</v>
      </c>
      <c r="AI1114" s="565">
        <v>-3.9249999999999998</v>
      </c>
      <c r="AJ1114" s="563">
        <f>-20.212+14.4</f>
        <v>-5.8119999999999994</v>
      </c>
      <c r="AK1114" s="455">
        <f>SUM(AG1114:AJ1114)</f>
        <v>-11.573999999999998</v>
      </c>
      <c r="AL1114" s="563">
        <v>-2.3540000000000001</v>
      </c>
      <c r="AM1114" s="565">
        <v>0.43099999999999999</v>
      </c>
      <c r="AN1114" s="565">
        <v>-1</v>
      </c>
      <c r="AO1114" s="563">
        <v>-2</v>
      </c>
      <c r="AP1114" s="456">
        <f>SUM(AL1114:AO1114)</f>
        <v>-4.923</v>
      </c>
      <c r="AQ1114" s="456">
        <f>+AL1114*1.1</f>
        <v>-2.5894000000000004</v>
      </c>
      <c r="AR1114" s="454">
        <f>+AM1114*1.1</f>
        <v>0.47410000000000002</v>
      </c>
      <c r="AS1114" s="454">
        <f>+AN1114*0.8</f>
        <v>-0.8</v>
      </c>
      <c r="AT1114" s="454">
        <f>+AO1114</f>
        <v>-2</v>
      </c>
      <c r="AU1114" s="1693">
        <f>SUM(AQ1114:AT1114)</f>
        <v>-4.9153000000000002</v>
      </c>
      <c r="AV1114" s="1863">
        <f t="shared" si="2662"/>
        <v>-2.5894000000000004</v>
      </c>
      <c r="AW1114" s="563">
        <v>-0.5</v>
      </c>
      <c r="AX1114" s="1841">
        <f t="shared" si="2662"/>
        <v>-0.8</v>
      </c>
      <c r="AY1114" s="2077">
        <v>-0.75</v>
      </c>
      <c r="AZ1114" s="1693">
        <f>SUM(AV1114:AY1114)</f>
        <v>-4.6394000000000002</v>
      </c>
      <c r="BA1114" s="1682">
        <v>-0.75</v>
      </c>
      <c r="BB1114" s="1841">
        <f t="shared" si="2639"/>
        <v>-0.5</v>
      </c>
      <c r="BC1114" s="1841">
        <f t="shared" si="2639"/>
        <v>-0.8</v>
      </c>
      <c r="BD1114" s="1864">
        <f t="shared" si="2639"/>
        <v>-0.75</v>
      </c>
      <c r="BE1114" s="1864">
        <f>SUM(BA1114:BD1114)</f>
        <v>-2.8</v>
      </c>
      <c r="BF1114" s="1841">
        <f t="shared" si="2640"/>
        <v>-0.75</v>
      </c>
      <c r="BG1114" s="1841">
        <f t="shared" si="2640"/>
        <v>-0.5</v>
      </c>
      <c r="BH1114" s="1841">
        <f t="shared" si="2640"/>
        <v>-0.8</v>
      </c>
      <c r="BI1114" s="1864">
        <f t="shared" si="2640"/>
        <v>-0.75</v>
      </c>
      <c r="BJ1114" s="1864">
        <f>SUM(BF1114:BI1114)</f>
        <v>-2.8</v>
      </c>
      <c r="BK1114" s="1841">
        <f t="shared" si="2641"/>
        <v>-0.75</v>
      </c>
      <c r="BL1114" s="1841">
        <f t="shared" si="2641"/>
        <v>-0.5</v>
      </c>
      <c r="BM1114" s="1841">
        <f t="shared" si="2641"/>
        <v>-0.8</v>
      </c>
      <c r="BN1114" s="1864">
        <f t="shared" si="2641"/>
        <v>-0.75</v>
      </c>
      <c r="BO1114" s="1864">
        <f>SUM(BK1114:BN1114)</f>
        <v>-2.8</v>
      </c>
      <c r="BP1114" s="1841">
        <f t="shared" si="2642"/>
        <v>-0.75</v>
      </c>
      <c r="BQ1114" s="1841">
        <f t="shared" si="2642"/>
        <v>-0.5</v>
      </c>
      <c r="BR1114" s="1841">
        <f t="shared" si="2642"/>
        <v>-0.8</v>
      </c>
      <c r="BS1114" s="1841">
        <f t="shared" si="2642"/>
        <v>-0.75</v>
      </c>
      <c r="BT1114" s="3066">
        <f>SUM(BP1114:BS1114)</f>
        <v>-2.8</v>
      </c>
      <c r="BU1114" s="1841">
        <f t="shared" si="2643"/>
        <v>-0.75</v>
      </c>
      <c r="BV1114" s="1841">
        <f t="shared" si="2643"/>
        <v>-0.5</v>
      </c>
      <c r="BW1114" s="1841">
        <f t="shared" si="2643"/>
        <v>-0.8</v>
      </c>
      <c r="BX1114" s="1841">
        <f t="shared" si="2643"/>
        <v>-0.75</v>
      </c>
      <c r="BY1114" s="3066">
        <f>SUM(BU1114:BX1114)</f>
        <v>-2.8</v>
      </c>
      <c r="BZ1114" s="455">
        <f t="shared" si="2644"/>
        <v>-2.8</v>
      </c>
      <c r="CA1114" s="455">
        <f t="shared" si="2644"/>
        <v>-2.8</v>
      </c>
      <c r="CB1114" s="455">
        <f t="shared" si="2663"/>
        <v>-2.8</v>
      </c>
      <c r="CC1114" s="455">
        <f t="shared" si="2663"/>
        <v>-2.8</v>
      </c>
      <c r="CD1114" s="455">
        <f t="shared" si="2663"/>
        <v>-2.8</v>
      </c>
      <c r="CE1114" s="455">
        <f t="shared" si="2663"/>
        <v>-2.8</v>
      </c>
      <c r="CF1114" s="455">
        <f t="shared" si="2663"/>
        <v>-2.8</v>
      </c>
      <c r="CG1114" s="331"/>
      <c r="CH1114" s="331"/>
      <c r="CI1114" s="331"/>
      <c r="CJ1114" s="331"/>
      <c r="CK1114" s="331"/>
      <c r="CL1114" s="520" t="str">
        <f t="shared" si="2646"/>
        <v>Unconsolidated affiliates</v>
      </c>
      <c r="CM1114" s="454">
        <f t="shared" si="2647"/>
        <v>1.6340000000000001</v>
      </c>
      <c r="CN1114" s="454">
        <f t="shared" si="2648"/>
        <v>1.4550000000000001</v>
      </c>
      <c r="CO1114" s="454">
        <f t="shared" si="2649"/>
        <v>-0.78800000000000014</v>
      </c>
      <c r="CP1114" s="454">
        <f t="shared" si="2650"/>
        <v>-9.9000000000000032E-2</v>
      </c>
      <c r="CQ1114" s="454">
        <f t="shared" si="2651"/>
        <v>-1.526</v>
      </c>
      <c r="CR1114" s="454">
        <f t="shared" si="2652"/>
        <v>-1.121</v>
      </c>
      <c r="CS1114" s="454">
        <f t="shared" si="2653"/>
        <v>-11.573999999999998</v>
      </c>
      <c r="CT1114" s="454">
        <f t="shared" si="2654"/>
        <v>-4.923</v>
      </c>
      <c r="CU1114" s="454">
        <f t="shared" si="2655"/>
        <v>-4.9153000000000002</v>
      </c>
      <c r="CV1114" s="454">
        <f t="shared" si="2656"/>
        <v>-4.6394000000000002</v>
      </c>
      <c r="CW1114" s="454">
        <f t="shared" si="2657"/>
        <v>-2.8</v>
      </c>
      <c r="CX1114" s="454">
        <f t="shared" si="2658"/>
        <v>-2.8</v>
      </c>
      <c r="CY1114" s="454">
        <f t="shared" si="2659"/>
        <v>-2.8</v>
      </c>
      <c r="CZ1114" s="454">
        <f t="shared" si="2660"/>
        <v>-2.8</v>
      </c>
      <c r="DA1114" s="454">
        <f t="shared" si="2661"/>
        <v>-2.8</v>
      </c>
      <c r="DB1114" s="454">
        <f t="shared" si="2661"/>
        <v>-2.8</v>
      </c>
      <c r="DC1114" s="1666">
        <f t="shared" si="2661"/>
        <v>-2.8</v>
      </c>
      <c r="DD1114" s="331"/>
      <c r="DE1114" s="331"/>
      <c r="DF1114" s="502"/>
      <c r="DG1114" s="503"/>
      <c r="DH1114" s="2915"/>
      <c r="DI1114" s="3213"/>
      <c r="DJ1114" s="502"/>
      <c r="DK1114" s="503"/>
      <c r="DL1114" s="502"/>
      <c r="DM1114" s="502"/>
      <c r="DN1114" s="502"/>
      <c r="DO1114" s="502"/>
      <c r="DP1114" s="503"/>
      <c r="DQ1114" s="503"/>
      <c r="DR1114" s="296"/>
      <c r="DS1114" s="296"/>
      <c r="DT1114" s="296"/>
    </row>
    <row r="1115" spans="1:124" ht="12" customHeight="1" x14ac:dyDescent="0.25">
      <c r="A1115" s="999" t="s">
        <v>2010</v>
      </c>
      <c r="B1115" s="1007"/>
      <c r="C1115" s="1005">
        <f>SUM(C1110:C1114)</f>
        <v>0.46</v>
      </c>
      <c r="D1115" s="1005">
        <f t="shared" ref="D1115:AA1115" si="2664">SUM(D1110:D1114)</f>
        <v>0.63200000000000001</v>
      </c>
      <c r="E1115" s="1005">
        <f t="shared" si="2664"/>
        <v>0.20499999999999999</v>
      </c>
      <c r="F1115" s="1005">
        <f t="shared" si="2664"/>
        <v>0.33700000000000002</v>
      </c>
      <c r="G1115" s="1002">
        <f t="shared" si="2664"/>
        <v>1.6340000000000001</v>
      </c>
      <c r="H1115" s="1005">
        <f t="shared" si="2664"/>
        <v>0.34300000000000003</v>
      </c>
      <c r="I1115" s="1005">
        <f t="shared" si="2664"/>
        <v>0.64200000000000002</v>
      </c>
      <c r="J1115" s="1005">
        <f t="shared" si="2664"/>
        <v>0.23</v>
      </c>
      <c r="K1115" s="1005">
        <f t="shared" si="2664"/>
        <v>0.374</v>
      </c>
      <c r="L1115" s="1002">
        <f t="shared" si="2664"/>
        <v>1.589</v>
      </c>
      <c r="M1115" s="1005">
        <f t="shared" si="2664"/>
        <v>0.434</v>
      </c>
      <c r="N1115" s="1005">
        <f t="shared" si="2664"/>
        <v>0.48699999999999999</v>
      </c>
      <c r="O1115" s="1005">
        <f t="shared" si="2664"/>
        <v>-1.8280000000000001</v>
      </c>
      <c r="P1115" s="1005">
        <f t="shared" si="2664"/>
        <v>-0.27600000000000002</v>
      </c>
      <c r="Q1115" s="1002">
        <f t="shared" si="2664"/>
        <v>-1.1830000000000003</v>
      </c>
      <c r="R1115" s="1005">
        <f t="shared" si="2664"/>
        <v>-0.13799999999999998</v>
      </c>
      <c r="S1115" s="1005">
        <f t="shared" si="2664"/>
        <v>0.13</v>
      </c>
      <c r="T1115" s="1005">
        <f t="shared" si="2664"/>
        <v>-0.45500000000000002</v>
      </c>
      <c r="U1115" s="1005">
        <f t="shared" si="2664"/>
        <v>-0.40200000000000002</v>
      </c>
      <c r="V1115" s="1002">
        <f t="shared" si="2664"/>
        <v>-0.86499999999999999</v>
      </c>
      <c r="W1115" s="1005">
        <f t="shared" si="2664"/>
        <v>-0.83399999999999996</v>
      </c>
      <c r="X1115" s="1005">
        <f t="shared" si="2664"/>
        <v>-0.30299999999999999</v>
      </c>
      <c r="Y1115" s="1005">
        <f t="shared" si="2664"/>
        <v>-0.54</v>
      </c>
      <c r="Z1115" s="1005">
        <f t="shared" si="2664"/>
        <v>-0.97499999999999998</v>
      </c>
      <c r="AA1115" s="1002">
        <f t="shared" si="2664"/>
        <v>-2.6520000000000001</v>
      </c>
      <c r="AB1115" s="1005">
        <f t="shared" ref="AB1115:AP1115" si="2665">SUM(AB1110:AB1114)</f>
        <v>-0.18400000000000002</v>
      </c>
      <c r="AC1115" s="1005">
        <f t="shared" si="2665"/>
        <v>-0.53499999999999992</v>
      </c>
      <c r="AD1115" s="1005">
        <f t="shared" si="2665"/>
        <v>-0.41099999999999998</v>
      </c>
      <c r="AE1115" s="1015">
        <f t="shared" si="2665"/>
        <v>-0.91300000000000003</v>
      </c>
      <c r="AF1115" s="1004">
        <f t="shared" si="2665"/>
        <v>-2.0430000000000001</v>
      </c>
      <c r="AG1115" s="1005">
        <f t="shared" si="2665"/>
        <v>-1.357</v>
      </c>
      <c r="AH1115" s="1005">
        <f t="shared" si="2665"/>
        <v>-0.59399999999999997</v>
      </c>
      <c r="AI1115" s="1005">
        <f t="shared" si="2665"/>
        <v>-5.0510000000000002</v>
      </c>
      <c r="AJ1115" s="1015">
        <f t="shared" si="2665"/>
        <v>-7.09</v>
      </c>
      <c r="AK1115" s="1004">
        <f t="shared" si="2665"/>
        <v>-14.091999999999999</v>
      </c>
      <c r="AL1115" s="1005">
        <f t="shared" si="2665"/>
        <v>-3.2530000000000001</v>
      </c>
      <c r="AM1115" s="1005">
        <f t="shared" si="2665"/>
        <v>-0.77</v>
      </c>
      <c r="AN1115" s="1592">
        <f t="shared" si="2665"/>
        <v>-2.2119999999999997</v>
      </c>
      <c r="AO1115" s="1015">
        <f t="shared" si="2665"/>
        <v>-3.2119999999999997</v>
      </c>
      <c r="AP1115" s="1006">
        <f t="shared" si="2665"/>
        <v>-9.4469999999999992</v>
      </c>
      <c r="AQ1115" s="1006">
        <f t="shared" ref="AQ1115:BK1115" si="2666">SUM(AQ1110:AQ1114)</f>
        <v>-3.4884000000000004</v>
      </c>
      <c r="AR1115" s="1015">
        <f t="shared" si="2666"/>
        <v>-0.73697999999999997</v>
      </c>
      <c r="AS1115" s="1015">
        <f t="shared" si="2666"/>
        <v>-1.7696000000000001</v>
      </c>
      <c r="AT1115" s="1015">
        <f t="shared" si="2666"/>
        <v>-3.2119999999999997</v>
      </c>
      <c r="AU1115" s="1698">
        <f t="shared" si="2666"/>
        <v>-9.2069800000000015</v>
      </c>
      <c r="AV1115" s="1915">
        <f>SUM(AV1110:AV1114)</f>
        <v>-2.8204000000000002</v>
      </c>
      <c r="AW1115" s="1843">
        <f>SUM(AW1110:AW1114)</f>
        <v>-1.2220800000000001</v>
      </c>
      <c r="AX1115" s="1843">
        <f>SUM(AX1110:AX1114)</f>
        <v>-1.3696000000000002</v>
      </c>
      <c r="AY1115" s="1910">
        <f>SUM(AY1110:AY1114)</f>
        <v>-1.462</v>
      </c>
      <c r="AZ1115" s="1698">
        <f t="shared" si="2666"/>
        <v>-6.8740800000000002</v>
      </c>
      <c r="BA1115" s="1915">
        <f>SUM(BA1110:BA1114)</f>
        <v>-0.98099999999999998</v>
      </c>
      <c r="BB1115" s="1843">
        <f>SUM(BB1110:BB1114)</f>
        <v>-1.2220800000000001</v>
      </c>
      <c r="BC1115" s="1843">
        <f>SUM(BC1110:BC1114)</f>
        <v>-1.3696000000000002</v>
      </c>
      <c r="BD1115" s="1910">
        <f>SUM(BD1110:BD1114)</f>
        <v>-1.462</v>
      </c>
      <c r="BE1115" s="1910">
        <f t="shared" si="2666"/>
        <v>-5.0346799999999998</v>
      </c>
      <c r="BF1115" s="1843">
        <f t="shared" si="2666"/>
        <v>-0.98099999999999998</v>
      </c>
      <c r="BG1115" s="1843">
        <f t="shared" si="2666"/>
        <v>-1.2220800000000001</v>
      </c>
      <c r="BH1115" s="1843">
        <f t="shared" si="2666"/>
        <v>-1.3696000000000002</v>
      </c>
      <c r="BI1115" s="1910">
        <f t="shared" si="2666"/>
        <v>-1.462</v>
      </c>
      <c r="BJ1115" s="1910">
        <f t="shared" si="2666"/>
        <v>-5.0346799999999998</v>
      </c>
      <c r="BK1115" s="1843">
        <f t="shared" si="2666"/>
        <v>-0.98099999999999998</v>
      </c>
      <c r="BL1115" s="1843">
        <f t="shared" ref="BL1115:CF1115" si="2667">SUM(BL1110:BL1114)</f>
        <v>-1.2220800000000001</v>
      </c>
      <c r="BM1115" s="1843">
        <f t="shared" si="2667"/>
        <v>-1.3696000000000002</v>
      </c>
      <c r="BN1115" s="1910">
        <f t="shared" si="2667"/>
        <v>-1.462</v>
      </c>
      <c r="BO1115" s="1910">
        <f t="shared" si="2667"/>
        <v>-5.0346799999999998</v>
      </c>
      <c r="BP1115" s="1843">
        <f t="shared" si="2667"/>
        <v>-0.98099999999999998</v>
      </c>
      <c r="BQ1115" s="1843">
        <f t="shared" si="2667"/>
        <v>-1.2220800000000001</v>
      </c>
      <c r="BR1115" s="1843">
        <f t="shared" si="2667"/>
        <v>-1.3696000000000002</v>
      </c>
      <c r="BS1115" s="1843">
        <f t="shared" si="2667"/>
        <v>-1.462</v>
      </c>
      <c r="BT1115" s="1004">
        <f t="shared" si="2667"/>
        <v>-5.0346799999999998</v>
      </c>
      <c r="BU1115" s="1843">
        <f t="shared" si="2667"/>
        <v>-0.98099999999999998</v>
      </c>
      <c r="BV1115" s="1843">
        <f t="shared" si="2667"/>
        <v>-1.2220800000000001</v>
      </c>
      <c r="BW1115" s="1843">
        <f t="shared" si="2667"/>
        <v>-1.3696000000000002</v>
      </c>
      <c r="BX1115" s="1843">
        <f t="shared" si="2667"/>
        <v>-1.462</v>
      </c>
      <c r="BY1115" s="1004">
        <f t="shared" si="2667"/>
        <v>-5.0346799999999998</v>
      </c>
      <c r="BZ1115" s="1004">
        <f t="shared" si="2667"/>
        <v>-5.0346799999999998</v>
      </c>
      <c r="CA1115" s="1004">
        <f t="shared" si="2667"/>
        <v>-5.0346799999999998</v>
      </c>
      <c r="CB1115" s="1004">
        <f t="shared" si="2667"/>
        <v>-5.0346799999999998</v>
      </c>
      <c r="CC1115" s="1004">
        <f t="shared" si="2667"/>
        <v>-5.0346799999999998</v>
      </c>
      <c r="CD1115" s="1004">
        <f t="shared" si="2667"/>
        <v>-5.0346799999999998</v>
      </c>
      <c r="CE1115" s="1004">
        <f t="shared" si="2667"/>
        <v>-5.0346799999999998</v>
      </c>
      <c r="CF1115" s="1004">
        <f t="shared" si="2667"/>
        <v>-5.0346799999999998</v>
      </c>
      <c r="CG1115" s="502"/>
      <c r="CH1115" s="502"/>
      <c r="CI1115" s="502"/>
      <c r="CJ1115" s="502"/>
      <c r="CK1115" s="502"/>
      <c r="CL1115" s="2221" t="str">
        <f t="shared" si="2646"/>
        <v>Property EBITDA</v>
      </c>
      <c r="CM1115" s="1015">
        <f t="shared" si="2647"/>
        <v>1.6340000000000001</v>
      </c>
      <c r="CN1115" s="1015">
        <f t="shared" si="2648"/>
        <v>1.589</v>
      </c>
      <c r="CO1115" s="1015">
        <f t="shared" si="2649"/>
        <v>-1.1830000000000003</v>
      </c>
      <c r="CP1115" s="1015">
        <f t="shared" si="2650"/>
        <v>-0.86499999999999999</v>
      </c>
      <c r="CQ1115" s="1015">
        <f t="shared" si="2651"/>
        <v>-2.6520000000000001</v>
      </c>
      <c r="CR1115" s="1015">
        <f t="shared" si="2652"/>
        <v>-2.0430000000000001</v>
      </c>
      <c r="CS1115" s="1015">
        <f t="shared" si="2653"/>
        <v>-14.091999999999999</v>
      </c>
      <c r="CT1115" s="1015">
        <f t="shared" si="2654"/>
        <v>-9.4469999999999992</v>
      </c>
      <c r="CU1115" s="1015">
        <f t="shared" si="2655"/>
        <v>-9.2069800000000015</v>
      </c>
      <c r="CV1115" s="1015">
        <f t="shared" si="2656"/>
        <v>-6.8740800000000002</v>
      </c>
      <c r="CW1115" s="1015">
        <f t="shared" si="2657"/>
        <v>-5.0346799999999998</v>
      </c>
      <c r="CX1115" s="1015">
        <f t="shared" si="2658"/>
        <v>-5.0346799999999998</v>
      </c>
      <c r="CY1115" s="1015">
        <f t="shared" si="2659"/>
        <v>-5.0346799999999998</v>
      </c>
      <c r="CZ1115" s="1015">
        <f t="shared" si="2660"/>
        <v>-5.0346799999999998</v>
      </c>
      <c r="DA1115" s="1015">
        <f t="shared" si="2661"/>
        <v>-5.0346799999999998</v>
      </c>
      <c r="DB1115" s="1015">
        <f t="shared" si="2661"/>
        <v>-5.0346799999999998</v>
      </c>
      <c r="DC1115" s="1871">
        <f t="shared" si="2661"/>
        <v>-5.0346799999999998</v>
      </c>
      <c r="DD1115" s="502"/>
      <c r="DE1115" s="502"/>
      <c r="DF1115" s="502"/>
      <c r="DG1115" s="503"/>
      <c r="DH1115" s="463"/>
      <c r="DI1115" s="3213"/>
      <c r="DJ1115" s="502"/>
      <c r="DK1115" s="503"/>
      <c r="DL1115" s="502"/>
      <c r="DM1115" s="502"/>
      <c r="DN1115" s="502"/>
      <c r="DO1115" s="502"/>
      <c r="DP1115" s="503"/>
      <c r="DQ1115" s="503"/>
      <c r="DR1115" s="719"/>
      <c r="DS1115" s="719"/>
      <c r="DT1115" s="719"/>
    </row>
    <row r="1116" spans="1:124" ht="15.75" x14ac:dyDescent="0.25">
      <c r="A1116" s="465" t="s">
        <v>1491</v>
      </c>
      <c r="B1116" s="579"/>
      <c r="C1116" s="467" t="s">
        <v>553</v>
      </c>
      <c r="D1116" s="467" t="s">
        <v>553</v>
      </c>
      <c r="E1116" s="467" t="s">
        <v>553</v>
      </c>
      <c r="F1116" s="467" t="s">
        <v>553</v>
      </c>
      <c r="G1116" s="468" t="s">
        <v>553</v>
      </c>
      <c r="H1116" s="467">
        <f t="shared" ref="H1116:AP1116" si="2668">(H1115-C1115)/C1115</f>
        <v>-0.2543478260869565</v>
      </c>
      <c r="I1116" s="467">
        <f t="shared" si="2668"/>
        <v>1.5822784810126597E-2</v>
      </c>
      <c r="J1116" s="467">
        <f t="shared" si="2668"/>
        <v>0.12195121951219524</v>
      </c>
      <c r="K1116" s="467">
        <f t="shared" si="2668"/>
        <v>0.10979228486646876</v>
      </c>
      <c r="L1116" s="468">
        <f t="shared" si="2668"/>
        <v>-2.7539779681762636E-2</v>
      </c>
      <c r="M1116" s="467">
        <f t="shared" si="2668"/>
        <v>0.2653061224489795</v>
      </c>
      <c r="N1116" s="467">
        <f t="shared" si="2668"/>
        <v>-0.24143302180685361</v>
      </c>
      <c r="O1116" s="467">
        <f t="shared" si="2668"/>
        <v>-8.9478260869565229</v>
      </c>
      <c r="P1116" s="467">
        <f t="shared" si="2668"/>
        <v>-1.7379679144385027</v>
      </c>
      <c r="Q1116" s="468">
        <f t="shared" si="2668"/>
        <v>-1.7444933920704848</v>
      </c>
      <c r="R1116" s="467">
        <f t="shared" si="2668"/>
        <v>-1.3179723502304146</v>
      </c>
      <c r="S1116" s="467">
        <f t="shared" si="2668"/>
        <v>-0.73305954825462005</v>
      </c>
      <c r="T1116" s="467">
        <f t="shared" si="2668"/>
        <v>-0.7510940919037199</v>
      </c>
      <c r="U1116" s="467">
        <f t="shared" si="2668"/>
        <v>0.45652173913043476</v>
      </c>
      <c r="V1116" s="468">
        <f t="shared" si="2668"/>
        <v>-0.26880811496196128</v>
      </c>
      <c r="W1116" s="467">
        <f t="shared" si="2668"/>
        <v>5.0434782608695654</v>
      </c>
      <c r="X1116" s="467">
        <f t="shared" si="2668"/>
        <v>-3.3307692307692305</v>
      </c>
      <c r="Y1116" s="467">
        <f t="shared" si="2668"/>
        <v>0.18681318681318684</v>
      </c>
      <c r="Z1116" s="467">
        <f t="shared" si="2668"/>
        <v>1.425373134328358</v>
      </c>
      <c r="AA1116" s="468">
        <f t="shared" si="2668"/>
        <v>2.0658959537572255</v>
      </c>
      <c r="AB1116" s="467">
        <f t="shared" si="2668"/>
        <v>-0.77937649880095916</v>
      </c>
      <c r="AC1116" s="467">
        <f t="shared" si="2668"/>
        <v>0.76567656765676551</v>
      </c>
      <c r="AD1116" s="467">
        <f t="shared" si="2668"/>
        <v>-0.23888888888888898</v>
      </c>
      <c r="AE1116" s="467">
        <f t="shared" si="2668"/>
        <v>-6.3589743589743536E-2</v>
      </c>
      <c r="AF1116" s="468">
        <f t="shared" si="2668"/>
        <v>-0.22963800904977374</v>
      </c>
      <c r="AG1116" s="467">
        <f t="shared" si="2668"/>
        <v>6.3749999999999991</v>
      </c>
      <c r="AH1116" s="467">
        <f t="shared" si="2668"/>
        <v>0.11028037383177582</v>
      </c>
      <c r="AI1116" s="467">
        <f t="shared" si="2668"/>
        <v>11.289537712895379</v>
      </c>
      <c r="AJ1116" s="467">
        <f t="shared" si="2668"/>
        <v>6.7656078860898132</v>
      </c>
      <c r="AK1116" s="468">
        <f t="shared" si="2668"/>
        <v>5.8976994615761127</v>
      </c>
      <c r="AL1116" s="467">
        <f t="shared" si="2668"/>
        <v>1.3971997052321299</v>
      </c>
      <c r="AM1116" s="467">
        <f t="shared" si="2668"/>
        <v>0.29629629629629639</v>
      </c>
      <c r="AN1116" s="467">
        <f t="shared" si="2668"/>
        <v>-0.5620669174420907</v>
      </c>
      <c r="AO1116" s="467">
        <f t="shared" si="2668"/>
        <v>-0.54696755994358259</v>
      </c>
      <c r="AP1116" s="581">
        <f t="shared" si="2668"/>
        <v>-0.32961964235026964</v>
      </c>
      <c r="AQ1116" s="581"/>
      <c r="AR1116" s="467"/>
      <c r="AS1116" s="467"/>
      <c r="AT1116" s="467"/>
      <c r="AU1116" s="1468">
        <f>(AU1115-AP1115)/AP1115</f>
        <v>-2.5407007515613179E-2</v>
      </c>
      <c r="AV1116" s="1862"/>
      <c r="AW1116" s="1846"/>
      <c r="AX1116" s="1846"/>
      <c r="AY1116" s="1765"/>
      <c r="AZ1116" s="1468">
        <f>(AZ1115-AU1115)/AU1115</f>
        <v>-0.25338384573443201</v>
      </c>
      <c r="BA1116" s="1862"/>
      <c r="BB1116" s="1846"/>
      <c r="BC1116" s="1846"/>
      <c r="BD1116" s="1765"/>
      <c r="BE1116" s="1765">
        <f>(BE1115-AZ1115)/AZ1115</f>
        <v>-0.2675848986337081</v>
      </c>
      <c r="BF1116" s="1846"/>
      <c r="BG1116" s="1846"/>
      <c r="BH1116" s="1846"/>
      <c r="BI1116" s="1765"/>
      <c r="BJ1116" s="1765">
        <f>(BJ1115-BE1115)/BE1115</f>
        <v>0</v>
      </c>
      <c r="BK1116" s="1846"/>
      <c r="BL1116" s="1846"/>
      <c r="BM1116" s="1846"/>
      <c r="BN1116" s="1765"/>
      <c r="BO1116" s="1765">
        <f>(BO1115-BJ1115)/BJ1115</f>
        <v>0</v>
      </c>
      <c r="BP1116" s="1846"/>
      <c r="BQ1116" s="1846"/>
      <c r="BR1116" s="1846"/>
      <c r="BS1116" s="1846"/>
      <c r="BT1116" s="468">
        <f>(BT1115-BO1115)/BO1115</f>
        <v>0</v>
      </c>
      <c r="BU1116" s="1846"/>
      <c r="BV1116" s="1846"/>
      <c r="BW1116" s="1846"/>
      <c r="BX1116" s="1846"/>
      <c r="BY1116" s="468">
        <f>(BY1115-BT1115)/BT1115</f>
        <v>0</v>
      </c>
      <c r="BZ1116" s="468">
        <f t="shared" ref="BZ1116:CF1116" si="2669">(BZ1115-BY1115)/BY1115</f>
        <v>0</v>
      </c>
      <c r="CA1116" s="468">
        <f t="shared" si="2669"/>
        <v>0</v>
      </c>
      <c r="CB1116" s="468">
        <f t="shared" si="2669"/>
        <v>0</v>
      </c>
      <c r="CC1116" s="468">
        <f t="shared" si="2669"/>
        <v>0</v>
      </c>
      <c r="CD1116" s="468">
        <f t="shared" si="2669"/>
        <v>0</v>
      </c>
      <c r="CE1116" s="468">
        <f t="shared" si="2669"/>
        <v>0</v>
      </c>
      <c r="CF1116" s="468">
        <f t="shared" si="2669"/>
        <v>0</v>
      </c>
      <c r="CG1116" s="972"/>
      <c r="CH1116" s="972"/>
      <c r="CI1116" s="972"/>
      <c r="CJ1116" s="972"/>
      <c r="CK1116" s="972"/>
      <c r="CL1116" s="1310" t="str">
        <f t="shared" si="2646"/>
        <v>% growth (y-o-y)</v>
      </c>
      <c r="CM1116" s="469" t="str">
        <f t="shared" si="2647"/>
        <v xml:space="preserve">n/a </v>
      </c>
      <c r="CN1116" s="469">
        <f t="shared" si="2648"/>
        <v>-2.7539779681762636E-2</v>
      </c>
      <c r="CO1116" s="469">
        <f t="shared" si="2649"/>
        <v>-1.7444933920704848</v>
      </c>
      <c r="CP1116" s="469">
        <f t="shared" si="2650"/>
        <v>-0.26880811496196128</v>
      </c>
      <c r="CQ1116" s="469">
        <f t="shared" si="2651"/>
        <v>2.0658959537572255</v>
      </c>
      <c r="CR1116" s="469">
        <f t="shared" si="2652"/>
        <v>-0.22963800904977374</v>
      </c>
      <c r="CS1116" s="469">
        <f t="shared" si="2653"/>
        <v>5.8976994615761127</v>
      </c>
      <c r="CT1116" s="469">
        <f t="shared" si="2654"/>
        <v>-0.32961964235026964</v>
      </c>
      <c r="CU1116" s="469">
        <f t="shared" si="2655"/>
        <v>-2.5407007515613179E-2</v>
      </c>
      <c r="CV1116" s="469">
        <f t="shared" si="2656"/>
        <v>-0.25338384573443201</v>
      </c>
      <c r="CW1116" s="469">
        <f t="shared" si="2657"/>
        <v>-0.2675848986337081</v>
      </c>
      <c r="CX1116" s="469">
        <f t="shared" si="2658"/>
        <v>0</v>
      </c>
      <c r="CY1116" s="469">
        <f t="shared" si="2659"/>
        <v>0</v>
      </c>
      <c r="CZ1116" s="469">
        <f t="shared" si="2660"/>
        <v>0</v>
      </c>
      <c r="DA1116" s="469">
        <f t="shared" si="2661"/>
        <v>0</v>
      </c>
      <c r="DB1116" s="469">
        <f t="shared" si="2661"/>
        <v>0</v>
      </c>
      <c r="DC1116" s="1463">
        <f t="shared" si="2661"/>
        <v>0</v>
      </c>
      <c r="DD1116" s="972"/>
      <c r="DE1116" s="972"/>
      <c r="DF1116" s="974"/>
      <c r="DG1116" s="975"/>
      <c r="DH1116" s="469"/>
      <c r="DI1116" s="3210"/>
      <c r="DJ1116" s="974"/>
      <c r="DK1116" s="975"/>
      <c r="DL1116" s="974"/>
      <c r="DM1116" s="974"/>
      <c r="DN1116" s="974"/>
      <c r="DO1116" s="974"/>
      <c r="DP1116" s="975"/>
      <c r="DQ1116" s="975"/>
      <c r="DR1116" s="976"/>
      <c r="DS1116" s="976"/>
      <c r="DT1116" s="976"/>
    </row>
    <row r="1117" spans="1:124" ht="5.0999999999999996" customHeight="1" x14ac:dyDescent="0.25">
      <c r="A1117" s="567"/>
      <c r="B1117" s="281"/>
      <c r="C1117" s="565"/>
      <c r="D1117" s="565"/>
      <c r="E1117" s="565"/>
      <c r="F1117" s="565"/>
      <c r="G1117" s="447"/>
      <c r="H1117" s="565"/>
      <c r="I1117" s="565"/>
      <c r="J1117" s="565"/>
      <c r="K1117" s="565"/>
      <c r="L1117" s="447"/>
      <c r="M1117" s="565"/>
      <c r="N1117" s="565"/>
      <c r="O1117" s="565"/>
      <c r="P1117" s="565"/>
      <c r="Q1117" s="447"/>
      <c r="R1117" s="565"/>
      <c r="S1117" s="565"/>
      <c r="T1117" s="565"/>
      <c r="U1117" s="565"/>
      <c r="V1117" s="447"/>
      <c r="W1117" s="565"/>
      <c r="X1117" s="565"/>
      <c r="Y1117" s="565"/>
      <c r="Z1117" s="565"/>
      <c r="AA1117" s="447"/>
      <c r="AB1117" s="565"/>
      <c r="AC1117" s="565"/>
      <c r="AD1117" s="565"/>
      <c r="AE1117" s="563"/>
      <c r="AF1117" s="455"/>
      <c r="AG1117" s="565"/>
      <c r="AH1117" s="565"/>
      <c r="AI1117" s="565"/>
      <c r="AJ1117" s="563"/>
      <c r="AK1117" s="455"/>
      <c r="AL1117" s="565"/>
      <c r="AM1117" s="565"/>
      <c r="AN1117" s="565"/>
      <c r="AO1117" s="563"/>
      <c r="AP1117" s="456"/>
      <c r="AQ1117" s="456"/>
      <c r="AR1117" s="454"/>
      <c r="AS1117" s="454"/>
      <c r="AT1117" s="454"/>
      <c r="AU1117" s="1693"/>
      <c r="AV1117" s="1863"/>
      <c r="AW1117" s="1841"/>
      <c r="AX1117" s="1841"/>
      <c r="AY1117" s="1864"/>
      <c r="AZ1117" s="1693"/>
      <c r="BA1117" s="1863"/>
      <c r="BB1117" s="1841"/>
      <c r="BC1117" s="1841"/>
      <c r="BD1117" s="1864"/>
      <c r="BE1117" s="1864"/>
      <c r="BF1117" s="1841"/>
      <c r="BG1117" s="1841"/>
      <c r="BH1117" s="1841"/>
      <c r="BI1117" s="1864"/>
      <c r="BJ1117" s="1864"/>
      <c r="BK1117" s="1841"/>
      <c r="BL1117" s="1841"/>
      <c r="BM1117" s="1841"/>
      <c r="BN1117" s="1864"/>
      <c r="BO1117" s="1864"/>
      <c r="BP1117" s="1841"/>
      <c r="BQ1117" s="1841"/>
      <c r="BR1117" s="1841"/>
      <c r="BS1117" s="1841"/>
      <c r="BT1117" s="3066"/>
      <c r="BU1117" s="1841"/>
      <c r="BV1117" s="1841"/>
      <c r="BW1117" s="1841"/>
      <c r="BX1117" s="1841"/>
      <c r="BY1117" s="3066"/>
      <c r="BZ1117" s="455"/>
      <c r="CA1117" s="455"/>
      <c r="CB1117" s="455"/>
      <c r="CC1117" s="455"/>
      <c r="CD1117" s="455"/>
      <c r="CE1117" s="455"/>
      <c r="CF1117" s="455"/>
      <c r="CG1117" s="331"/>
      <c r="CH1117" s="331"/>
      <c r="CI1117" s="331"/>
      <c r="CJ1117" s="331"/>
      <c r="CK1117" s="331"/>
      <c r="CL1117" s="658"/>
      <c r="CM1117" s="454"/>
      <c r="CN1117" s="454"/>
      <c r="CO1117" s="454"/>
      <c r="CP1117" s="454"/>
      <c r="CQ1117" s="454"/>
      <c r="CR1117" s="454"/>
      <c r="CS1117" s="454"/>
      <c r="CT1117" s="454"/>
      <c r="CU1117" s="454"/>
      <c r="CV1117" s="454"/>
      <c r="CW1117" s="454"/>
      <c r="CX1117" s="454"/>
      <c r="CY1117" s="454"/>
      <c r="CZ1117" s="454"/>
      <c r="DA1117" s="454"/>
      <c r="DB1117" s="454"/>
      <c r="DC1117" s="1666"/>
      <c r="DD1117" s="331"/>
      <c r="DE1117" s="331"/>
      <c r="DF1117" s="502"/>
      <c r="DG1117" s="503"/>
      <c r="DH1117" s="2915"/>
      <c r="DI1117" s="3213"/>
      <c r="DJ1117" s="502"/>
      <c r="DK1117" s="503"/>
      <c r="DL1117" s="502"/>
      <c r="DM1117" s="502"/>
      <c r="DN1117" s="502"/>
      <c r="DO1117" s="502"/>
      <c r="DP1117" s="503"/>
      <c r="DQ1117" s="503"/>
      <c r="DR1117" s="296"/>
      <c r="DS1117" s="296"/>
      <c r="DT1117" s="296"/>
    </row>
    <row r="1118" spans="1:124" ht="12" customHeight="1" x14ac:dyDescent="0.25">
      <c r="A1118" s="996" t="s">
        <v>2158</v>
      </c>
      <c r="B1118" s="281"/>
      <c r="C1118" s="565">
        <v>0</v>
      </c>
      <c r="D1118" s="565">
        <v>0</v>
      </c>
      <c r="E1118" s="565">
        <v>0</v>
      </c>
      <c r="F1118" s="565">
        <v>0</v>
      </c>
      <c r="G1118" s="447">
        <f>SUM(C1118:F1118)</f>
        <v>0</v>
      </c>
      <c r="H1118" s="565">
        <v>0</v>
      </c>
      <c r="I1118" s="565">
        <v>0</v>
      </c>
      <c r="J1118" s="565">
        <v>0</v>
      </c>
      <c r="K1118" s="565">
        <v>0.01</v>
      </c>
      <c r="L1118" s="447">
        <f>SUM(H1118:K1118)</f>
        <v>0.01</v>
      </c>
      <c r="M1118" s="565">
        <v>0</v>
      </c>
      <c r="N1118" s="565">
        <v>0.113</v>
      </c>
      <c r="O1118" s="565">
        <v>2.7E-2</v>
      </c>
      <c r="P1118" s="565">
        <v>0.11600000000000001</v>
      </c>
      <c r="Q1118" s="447">
        <f>SUM(M1118:P1118)</f>
        <v>0.25600000000000001</v>
      </c>
      <c r="R1118" s="565">
        <v>7.0999999999999994E-2</v>
      </c>
      <c r="S1118" s="565">
        <v>7.9000000000000001E-2</v>
      </c>
      <c r="T1118" s="565">
        <v>8.2000000000000003E-2</v>
      </c>
      <c r="U1118" s="565">
        <v>8.5999999999999993E-2</v>
      </c>
      <c r="V1118" s="447">
        <f>SUM(R1118:U1118)</f>
        <v>0.31799999999999995</v>
      </c>
      <c r="W1118" s="565">
        <v>0.09</v>
      </c>
      <c r="X1118" s="565">
        <v>9.2999999999999999E-2</v>
      </c>
      <c r="Y1118" s="565">
        <v>9.5000000000000001E-2</v>
      </c>
      <c r="Z1118" s="565">
        <v>9.5000000000000001E-2</v>
      </c>
      <c r="AA1118" s="447">
        <f>SUM(W1118:Z1118)</f>
        <v>0.373</v>
      </c>
      <c r="AB1118" s="565">
        <f>0.096</f>
        <v>9.6000000000000002E-2</v>
      </c>
      <c r="AC1118" s="565">
        <v>0.1</v>
      </c>
      <c r="AD1118" s="565">
        <v>9.9000000000000005E-2</v>
      </c>
      <c r="AE1118" s="563">
        <v>9.9000000000000005E-2</v>
      </c>
      <c r="AF1118" s="455">
        <f>SUM(AB1118:AE1118)</f>
        <v>0.39400000000000002</v>
      </c>
      <c r="AG1118" s="565">
        <v>9.9000000000000005E-2</v>
      </c>
      <c r="AH1118" s="565">
        <v>0.10100000000000001</v>
      </c>
      <c r="AI1118" s="565">
        <v>9.6000000000000002E-2</v>
      </c>
      <c r="AJ1118" s="563">
        <v>7.2999999999999995E-2</v>
      </c>
      <c r="AK1118" s="455">
        <f>SUM(AG1118:AJ1118)</f>
        <v>0.36900000000000005</v>
      </c>
      <c r="AL1118" s="563">
        <v>7.0999999999999994E-2</v>
      </c>
      <c r="AM1118" s="565">
        <v>6.9000000000000006E-2</v>
      </c>
      <c r="AN1118" s="446">
        <f>AM1118</f>
        <v>6.9000000000000006E-2</v>
      </c>
      <c r="AO1118" s="454">
        <f>AN1118</f>
        <v>6.9000000000000006E-2</v>
      </c>
      <c r="AP1118" s="456">
        <f>SUM(AL1118:AO1118)</f>
        <v>0.27800000000000002</v>
      </c>
      <c r="AQ1118" s="456">
        <f>+AO1118</f>
        <v>6.9000000000000006E-2</v>
      </c>
      <c r="AR1118" s="454">
        <f t="shared" ref="AR1118:AT1122" si="2670">+AQ1118</f>
        <v>6.9000000000000006E-2</v>
      </c>
      <c r="AS1118" s="454">
        <f t="shared" si="2670"/>
        <v>6.9000000000000006E-2</v>
      </c>
      <c r="AT1118" s="454">
        <f t="shared" si="2670"/>
        <v>6.9000000000000006E-2</v>
      </c>
      <c r="AU1118" s="1693">
        <f>SUM(AQ1118:AT1118)</f>
        <v>0.27600000000000002</v>
      </c>
      <c r="AV1118" s="1863">
        <f>+AT1118</f>
        <v>6.9000000000000006E-2</v>
      </c>
      <c r="AW1118" s="1841">
        <f t="shared" ref="AW1118:AY1122" si="2671">+AV1118</f>
        <v>6.9000000000000006E-2</v>
      </c>
      <c r="AX1118" s="1841">
        <f t="shared" si="2671"/>
        <v>6.9000000000000006E-2</v>
      </c>
      <c r="AY1118" s="1864">
        <f t="shared" si="2671"/>
        <v>6.9000000000000006E-2</v>
      </c>
      <c r="AZ1118" s="1693">
        <f>SUM(AV1118:AY1118)</f>
        <v>0.27600000000000002</v>
      </c>
      <c r="BA1118" s="1863">
        <f>+AY1118</f>
        <v>6.9000000000000006E-2</v>
      </c>
      <c r="BB1118" s="1841">
        <f>+BA1118</f>
        <v>6.9000000000000006E-2</v>
      </c>
      <c r="BC1118" s="1841">
        <f t="shared" ref="BC1118:BD1122" si="2672">+BB1118</f>
        <v>6.9000000000000006E-2</v>
      </c>
      <c r="BD1118" s="1864">
        <f t="shared" si="2672"/>
        <v>6.9000000000000006E-2</v>
      </c>
      <c r="BE1118" s="1864">
        <f>SUM(BA1118:BD1118)</f>
        <v>0.27600000000000002</v>
      </c>
      <c r="BF1118" s="1841">
        <f>+BD1118</f>
        <v>6.9000000000000006E-2</v>
      </c>
      <c r="BG1118" s="1841">
        <f t="shared" ref="BG1118:BI1122" si="2673">+BF1118</f>
        <v>6.9000000000000006E-2</v>
      </c>
      <c r="BH1118" s="1841">
        <f t="shared" si="2673"/>
        <v>6.9000000000000006E-2</v>
      </c>
      <c r="BI1118" s="1864">
        <f t="shared" si="2673"/>
        <v>6.9000000000000006E-2</v>
      </c>
      <c r="BJ1118" s="1864">
        <f>SUM(BF1118:BI1118)</f>
        <v>0.27600000000000002</v>
      </c>
      <c r="BK1118" s="1841">
        <f>+BJ1118/4</f>
        <v>6.9000000000000006E-2</v>
      </c>
      <c r="BL1118" s="1841">
        <f>+BK1118</f>
        <v>6.9000000000000006E-2</v>
      </c>
      <c r="BM1118" s="1841">
        <f t="shared" ref="BM1118:BN1122" si="2674">+BL1118</f>
        <v>6.9000000000000006E-2</v>
      </c>
      <c r="BN1118" s="1864">
        <f t="shared" si="2674"/>
        <v>6.9000000000000006E-2</v>
      </c>
      <c r="BO1118" s="1864">
        <f>SUM(BK1118:BN1118)</f>
        <v>0.27600000000000002</v>
      </c>
      <c r="BP1118" s="1841">
        <f>+BN1118</f>
        <v>6.9000000000000006E-2</v>
      </c>
      <c r="BQ1118" s="1841">
        <f t="shared" ref="BQ1118:BS1122" si="2675">+BP1118</f>
        <v>6.9000000000000006E-2</v>
      </c>
      <c r="BR1118" s="1841">
        <f t="shared" si="2675"/>
        <v>6.9000000000000006E-2</v>
      </c>
      <c r="BS1118" s="1841">
        <f t="shared" si="2675"/>
        <v>6.9000000000000006E-2</v>
      </c>
      <c r="BT1118" s="3066">
        <f>SUM(BP1118:BS1118)</f>
        <v>0.27600000000000002</v>
      </c>
      <c r="BU1118" s="1841">
        <f>+BS1118</f>
        <v>6.9000000000000006E-2</v>
      </c>
      <c r="BV1118" s="1841">
        <f t="shared" ref="BV1118:BX1122" si="2676">+BU1118</f>
        <v>6.9000000000000006E-2</v>
      </c>
      <c r="BW1118" s="1841">
        <f t="shared" si="2676"/>
        <v>6.9000000000000006E-2</v>
      </c>
      <c r="BX1118" s="1841">
        <f t="shared" si="2676"/>
        <v>6.9000000000000006E-2</v>
      </c>
      <c r="BY1118" s="3066">
        <f>SUM(BU1118:BX1118)</f>
        <v>0.27600000000000002</v>
      </c>
      <c r="BZ1118" s="455">
        <f t="shared" ref="BZ1118:CA1122" si="2677">BY1118</f>
        <v>0.27600000000000002</v>
      </c>
      <c r="CA1118" s="455">
        <f t="shared" si="2677"/>
        <v>0.27600000000000002</v>
      </c>
      <c r="CB1118" s="455">
        <f t="shared" ref="CB1118:CF1119" si="2678">CA1118</f>
        <v>0.27600000000000002</v>
      </c>
      <c r="CC1118" s="455">
        <f t="shared" si="2678"/>
        <v>0.27600000000000002</v>
      </c>
      <c r="CD1118" s="455">
        <f t="shared" si="2678"/>
        <v>0.27600000000000002</v>
      </c>
      <c r="CE1118" s="455">
        <f t="shared" si="2678"/>
        <v>0.27600000000000002</v>
      </c>
      <c r="CF1118" s="455">
        <f t="shared" si="2678"/>
        <v>0.27600000000000002</v>
      </c>
      <c r="CG1118" s="331"/>
      <c r="CH1118" s="331"/>
      <c r="CI1118" s="331"/>
      <c r="CJ1118" s="331"/>
      <c r="CK1118" s="331"/>
      <c r="CL1118" s="2031" t="str">
        <f>A1118</f>
        <v>Raceway Park - OH</v>
      </c>
      <c r="CM1118" s="454">
        <f t="shared" ref="CM1118:CM1124" si="2679">G1118</f>
        <v>0</v>
      </c>
      <c r="CN1118" s="454">
        <f t="shared" ref="CN1118:CN1124" si="2680">L1118</f>
        <v>0.01</v>
      </c>
      <c r="CO1118" s="454">
        <f t="shared" ref="CO1118:CO1124" si="2681">Q1118</f>
        <v>0.25600000000000001</v>
      </c>
      <c r="CP1118" s="454">
        <f t="shared" ref="CP1118:CP1124" si="2682">V1118</f>
        <v>0.31799999999999995</v>
      </c>
      <c r="CQ1118" s="454">
        <f t="shared" ref="CQ1118:CQ1124" si="2683">AA1118</f>
        <v>0.373</v>
      </c>
      <c r="CR1118" s="454">
        <f t="shared" ref="CR1118:CR1124" si="2684">AF1118</f>
        <v>0.39400000000000002</v>
      </c>
      <c r="CS1118" s="454">
        <f t="shared" ref="CS1118:CS1124" si="2685">AK1118</f>
        <v>0.36900000000000005</v>
      </c>
      <c r="CT1118" s="454">
        <f t="shared" ref="CT1118:CT1124" si="2686">AP1118</f>
        <v>0.27800000000000002</v>
      </c>
      <c r="CU1118" s="454">
        <f t="shared" ref="CU1118:CU1124" si="2687">AU1118</f>
        <v>0.27600000000000002</v>
      </c>
      <c r="CV1118" s="454">
        <f t="shared" ref="CV1118:CV1124" si="2688">AZ1118</f>
        <v>0.27600000000000002</v>
      </c>
      <c r="CW1118" s="454">
        <f t="shared" ref="CW1118:CW1124" si="2689">BE1118</f>
        <v>0.27600000000000002</v>
      </c>
      <c r="CX1118" s="454">
        <f t="shared" ref="CX1118:CX1124" si="2690">BJ1118</f>
        <v>0.27600000000000002</v>
      </c>
      <c r="CY1118" s="454">
        <f t="shared" ref="CY1118:CY1124" si="2691">BO1118</f>
        <v>0.27600000000000002</v>
      </c>
      <c r="CZ1118" s="454">
        <f t="shared" ref="CZ1118:CZ1124" si="2692">BT1118</f>
        <v>0.27600000000000002</v>
      </c>
      <c r="DA1118" s="454">
        <f t="shared" ref="DA1118:DC1124" si="2693">BY1118</f>
        <v>0.27600000000000002</v>
      </c>
      <c r="DB1118" s="454">
        <f t="shared" si="2693"/>
        <v>0.27600000000000002</v>
      </c>
      <c r="DC1118" s="1666">
        <f t="shared" si="2693"/>
        <v>0.27600000000000002</v>
      </c>
      <c r="DD1118" s="331"/>
      <c r="DE1118" s="331"/>
      <c r="DF1118" s="502"/>
      <c r="DG1118" s="503"/>
      <c r="DH1118" s="2915"/>
      <c r="DI1118" s="3213"/>
      <c r="DJ1118" s="502"/>
      <c r="DK1118" s="503"/>
      <c r="DL1118" s="502"/>
      <c r="DM1118" s="502"/>
      <c r="DN1118" s="502"/>
      <c r="DO1118" s="502"/>
      <c r="DP1118" s="503"/>
      <c r="DQ1118" s="503"/>
      <c r="DR1118" s="296"/>
      <c r="DS1118" s="296"/>
      <c r="DT1118" s="296"/>
    </row>
    <row r="1119" spans="1:124" ht="12" customHeight="1" x14ac:dyDescent="0.25">
      <c r="A1119" s="996" t="s">
        <v>2159</v>
      </c>
      <c r="B1119" s="281"/>
      <c r="C1119" s="565">
        <v>0</v>
      </c>
      <c r="D1119" s="565">
        <v>0</v>
      </c>
      <c r="E1119" s="565">
        <v>0</v>
      </c>
      <c r="F1119" s="565">
        <v>0</v>
      </c>
      <c r="G1119" s="447">
        <f>SUM(C1119:F1119)</f>
        <v>0</v>
      </c>
      <c r="H1119" s="565">
        <v>0</v>
      </c>
      <c r="I1119" s="565">
        <v>0</v>
      </c>
      <c r="J1119" s="565">
        <v>0</v>
      </c>
      <c r="K1119" s="565">
        <v>0</v>
      </c>
      <c r="L1119" s="447">
        <f>SUM(H1119:K1119)</f>
        <v>0</v>
      </c>
      <c r="M1119" s="565">
        <v>0</v>
      </c>
      <c r="N1119" s="565">
        <v>0</v>
      </c>
      <c r="O1119" s="565">
        <v>0</v>
      </c>
      <c r="P1119" s="565">
        <v>0</v>
      </c>
      <c r="Q1119" s="447">
        <f>SUM(M1119:P1119)</f>
        <v>0</v>
      </c>
      <c r="R1119" s="565">
        <v>0</v>
      </c>
      <c r="S1119" s="565">
        <v>0</v>
      </c>
      <c r="T1119" s="565">
        <v>0</v>
      </c>
      <c r="U1119" s="565">
        <v>0</v>
      </c>
      <c r="V1119" s="447">
        <f>SUM(R1119:U1119)</f>
        <v>0</v>
      </c>
      <c r="W1119" s="565">
        <v>0</v>
      </c>
      <c r="X1119" s="565">
        <v>0</v>
      </c>
      <c r="Y1119" s="565">
        <v>0</v>
      </c>
      <c r="Z1119" s="565">
        <v>0</v>
      </c>
      <c r="AA1119" s="447">
        <f>SUM(W1119:Z1119)</f>
        <v>0</v>
      </c>
      <c r="AB1119" s="565">
        <v>0.13300000000000001</v>
      </c>
      <c r="AC1119" s="565">
        <v>0.13300000000000001</v>
      </c>
      <c r="AD1119" s="565">
        <v>0.13</v>
      </c>
      <c r="AE1119" s="563">
        <v>0.13500000000000001</v>
      </c>
      <c r="AF1119" s="455">
        <f>SUM(AB1119:AE1119)</f>
        <v>0.53100000000000003</v>
      </c>
      <c r="AG1119" s="565">
        <v>0.127</v>
      </c>
      <c r="AH1119" s="565">
        <v>0.128</v>
      </c>
      <c r="AI1119" s="565">
        <v>0.128</v>
      </c>
      <c r="AJ1119" s="563">
        <v>0.104</v>
      </c>
      <c r="AK1119" s="455">
        <f>SUM(AG1119:AJ1119)</f>
        <v>0.48699999999999999</v>
      </c>
      <c r="AL1119" s="563">
        <v>4.1000000000000002E-2</v>
      </c>
      <c r="AM1119" s="565">
        <v>4.2000000000000003E-2</v>
      </c>
      <c r="AN1119" s="446">
        <f>AM1119</f>
        <v>4.2000000000000003E-2</v>
      </c>
      <c r="AO1119" s="454">
        <f>AN1119</f>
        <v>4.2000000000000003E-2</v>
      </c>
      <c r="AP1119" s="456">
        <f>SUM(AL1119:AO1119)</f>
        <v>0.16700000000000001</v>
      </c>
      <c r="AQ1119" s="456">
        <f>+AO1119</f>
        <v>4.2000000000000003E-2</v>
      </c>
      <c r="AR1119" s="454">
        <f t="shared" si="2670"/>
        <v>4.2000000000000003E-2</v>
      </c>
      <c r="AS1119" s="454">
        <f t="shared" si="2670"/>
        <v>4.2000000000000003E-2</v>
      </c>
      <c r="AT1119" s="454">
        <f t="shared" si="2670"/>
        <v>4.2000000000000003E-2</v>
      </c>
      <c r="AU1119" s="1693">
        <f>SUM(AQ1119:AT1119)</f>
        <v>0.16800000000000001</v>
      </c>
      <c r="AV1119" s="1863">
        <f>+AT1119</f>
        <v>4.2000000000000003E-2</v>
      </c>
      <c r="AW1119" s="1841">
        <f t="shared" si="2671"/>
        <v>4.2000000000000003E-2</v>
      </c>
      <c r="AX1119" s="1841">
        <f t="shared" si="2671"/>
        <v>4.2000000000000003E-2</v>
      </c>
      <c r="AY1119" s="1864">
        <f t="shared" si="2671"/>
        <v>4.2000000000000003E-2</v>
      </c>
      <c r="AZ1119" s="1693">
        <f>SUM(AV1119:AY1119)</f>
        <v>0.16800000000000001</v>
      </c>
      <c r="BA1119" s="1863">
        <f>+AY1119</f>
        <v>4.2000000000000003E-2</v>
      </c>
      <c r="BB1119" s="1841">
        <f>+BA1119</f>
        <v>4.2000000000000003E-2</v>
      </c>
      <c r="BC1119" s="1841">
        <f t="shared" si="2672"/>
        <v>4.2000000000000003E-2</v>
      </c>
      <c r="BD1119" s="1864">
        <f t="shared" si="2672"/>
        <v>4.2000000000000003E-2</v>
      </c>
      <c r="BE1119" s="1864">
        <f>SUM(BA1119:BD1119)</f>
        <v>0.16800000000000001</v>
      </c>
      <c r="BF1119" s="1841">
        <f>+BD1119</f>
        <v>4.2000000000000003E-2</v>
      </c>
      <c r="BG1119" s="1841">
        <f t="shared" si="2673"/>
        <v>4.2000000000000003E-2</v>
      </c>
      <c r="BH1119" s="1841">
        <f t="shared" si="2673"/>
        <v>4.2000000000000003E-2</v>
      </c>
      <c r="BI1119" s="1864">
        <f t="shared" si="2673"/>
        <v>4.2000000000000003E-2</v>
      </c>
      <c r="BJ1119" s="1864">
        <f>SUM(BF1119:BI1119)</f>
        <v>0.16800000000000001</v>
      </c>
      <c r="BK1119" s="1841">
        <f>+BJ1119/4</f>
        <v>4.2000000000000003E-2</v>
      </c>
      <c r="BL1119" s="1841">
        <f>+BK1119</f>
        <v>4.2000000000000003E-2</v>
      </c>
      <c r="BM1119" s="1841">
        <f t="shared" si="2674"/>
        <v>4.2000000000000003E-2</v>
      </c>
      <c r="BN1119" s="1864">
        <f t="shared" si="2674"/>
        <v>4.2000000000000003E-2</v>
      </c>
      <c r="BO1119" s="1864">
        <f>SUM(BK1119:BN1119)</f>
        <v>0.16800000000000001</v>
      </c>
      <c r="BP1119" s="1841">
        <f>+BN1119</f>
        <v>4.2000000000000003E-2</v>
      </c>
      <c r="BQ1119" s="1841">
        <f t="shared" si="2675"/>
        <v>4.2000000000000003E-2</v>
      </c>
      <c r="BR1119" s="1841">
        <f t="shared" si="2675"/>
        <v>4.2000000000000003E-2</v>
      </c>
      <c r="BS1119" s="1841">
        <f t="shared" si="2675"/>
        <v>4.2000000000000003E-2</v>
      </c>
      <c r="BT1119" s="3066">
        <f>SUM(BP1119:BS1119)</f>
        <v>0.16800000000000001</v>
      </c>
      <c r="BU1119" s="1841">
        <f>+BS1119</f>
        <v>4.2000000000000003E-2</v>
      </c>
      <c r="BV1119" s="1841">
        <f t="shared" si="2676"/>
        <v>4.2000000000000003E-2</v>
      </c>
      <c r="BW1119" s="1841">
        <f t="shared" si="2676"/>
        <v>4.2000000000000003E-2</v>
      </c>
      <c r="BX1119" s="1841">
        <f t="shared" si="2676"/>
        <v>4.2000000000000003E-2</v>
      </c>
      <c r="BY1119" s="3066">
        <f>SUM(BU1119:BX1119)</f>
        <v>0.16800000000000001</v>
      </c>
      <c r="BZ1119" s="455">
        <f t="shared" si="2677"/>
        <v>0.16800000000000001</v>
      </c>
      <c r="CA1119" s="455">
        <f t="shared" si="2677"/>
        <v>0.16800000000000001</v>
      </c>
      <c r="CB1119" s="455">
        <f t="shared" si="2678"/>
        <v>0.16800000000000001</v>
      </c>
      <c r="CC1119" s="455">
        <f t="shared" si="2678"/>
        <v>0.16800000000000001</v>
      </c>
      <c r="CD1119" s="455">
        <f t="shared" si="2678"/>
        <v>0.16800000000000001</v>
      </c>
      <c r="CE1119" s="455">
        <f t="shared" si="2678"/>
        <v>0.16800000000000001</v>
      </c>
      <c r="CF1119" s="455">
        <f t="shared" si="2678"/>
        <v>0.16800000000000001</v>
      </c>
      <c r="CG1119" s="331"/>
      <c r="CH1119" s="331"/>
      <c r="CI1119" s="331"/>
      <c r="CJ1119" s="331"/>
      <c r="CK1119" s="331"/>
      <c r="CL1119" s="2031" t="str">
        <f>A1119</f>
        <v>Sanford Kennel Club - FL</v>
      </c>
      <c r="CM1119" s="454">
        <f t="shared" si="2679"/>
        <v>0</v>
      </c>
      <c r="CN1119" s="454">
        <f t="shared" si="2680"/>
        <v>0</v>
      </c>
      <c r="CO1119" s="454">
        <f t="shared" si="2681"/>
        <v>0</v>
      </c>
      <c r="CP1119" s="454">
        <f t="shared" si="2682"/>
        <v>0</v>
      </c>
      <c r="CQ1119" s="454">
        <f t="shared" si="2683"/>
        <v>0</v>
      </c>
      <c r="CR1119" s="454">
        <f t="shared" si="2684"/>
        <v>0.53100000000000003</v>
      </c>
      <c r="CS1119" s="454">
        <f t="shared" si="2685"/>
        <v>0.48699999999999999</v>
      </c>
      <c r="CT1119" s="454">
        <f t="shared" si="2686"/>
        <v>0.16700000000000001</v>
      </c>
      <c r="CU1119" s="454">
        <f t="shared" si="2687"/>
        <v>0.16800000000000001</v>
      </c>
      <c r="CV1119" s="454">
        <f t="shared" si="2688"/>
        <v>0.16800000000000001</v>
      </c>
      <c r="CW1119" s="454">
        <f t="shared" si="2689"/>
        <v>0.16800000000000001</v>
      </c>
      <c r="CX1119" s="454">
        <f t="shared" si="2690"/>
        <v>0.16800000000000001</v>
      </c>
      <c r="CY1119" s="454">
        <f t="shared" si="2691"/>
        <v>0.16800000000000001</v>
      </c>
      <c r="CZ1119" s="454">
        <f t="shared" si="2692"/>
        <v>0.16800000000000001</v>
      </c>
      <c r="DA1119" s="454">
        <f t="shared" si="2693"/>
        <v>0.16800000000000001</v>
      </c>
      <c r="DB1119" s="454">
        <f t="shared" si="2693"/>
        <v>0.16800000000000001</v>
      </c>
      <c r="DC1119" s="1666">
        <f t="shared" si="2693"/>
        <v>0.16800000000000001</v>
      </c>
      <c r="DD1119" s="331"/>
      <c r="DE1119" s="331"/>
      <c r="DF1119" s="502"/>
      <c r="DG1119" s="503"/>
      <c r="DH1119" s="2915"/>
      <c r="DI1119" s="3213"/>
      <c r="DJ1119" s="502"/>
      <c r="DK1119" s="503"/>
      <c r="DL1119" s="502"/>
      <c r="DM1119" s="502"/>
      <c r="DN1119" s="502"/>
      <c r="DO1119" s="502"/>
      <c r="DP1119" s="503"/>
      <c r="DQ1119" s="503"/>
      <c r="DR1119" s="296"/>
      <c r="DS1119" s="296"/>
      <c r="DT1119" s="296"/>
    </row>
    <row r="1120" spans="1:124" ht="12" customHeight="1" x14ac:dyDescent="0.25">
      <c r="A1120" s="996" t="s">
        <v>658</v>
      </c>
      <c r="B1120" s="281"/>
      <c r="C1120" s="565"/>
      <c r="D1120" s="565"/>
      <c r="E1120" s="565"/>
      <c r="F1120" s="565"/>
      <c r="G1120" s="447"/>
      <c r="H1120" s="565"/>
      <c r="I1120" s="565"/>
      <c r="J1120" s="565"/>
      <c r="K1120" s="565"/>
      <c r="L1120" s="447"/>
      <c r="M1120" s="565"/>
      <c r="N1120" s="565"/>
      <c r="O1120" s="565"/>
      <c r="P1120" s="565"/>
      <c r="Q1120" s="447"/>
      <c r="R1120" s="565"/>
      <c r="S1120" s="565"/>
      <c r="T1120" s="565"/>
      <c r="U1120" s="565"/>
      <c r="V1120" s="447"/>
      <c r="W1120" s="565"/>
      <c r="X1120" s="565"/>
      <c r="Y1120" s="565"/>
      <c r="Z1120" s="565"/>
      <c r="AA1120" s="447"/>
      <c r="AB1120" s="565"/>
      <c r="AC1120" s="565"/>
      <c r="AD1120" s="565"/>
      <c r="AE1120" s="563"/>
      <c r="AF1120" s="455"/>
      <c r="AG1120" s="565"/>
      <c r="AH1120" s="565"/>
      <c r="AI1120" s="565">
        <v>0.20100000000000001</v>
      </c>
      <c r="AJ1120" s="563">
        <v>0.20399999999999999</v>
      </c>
      <c r="AK1120" s="455">
        <f>SUM(AG1120:AJ1120)</f>
        <v>0.40500000000000003</v>
      </c>
      <c r="AL1120" s="563">
        <v>0.20599999999999999</v>
      </c>
      <c r="AM1120" s="565">
        <v>0.20899999999999999</v>
      </c>
      <c r="AN1120" s="446">
        <f>+AM1120</f>
        <v>0.20899999999999999</v>
      </c>
      <c r="AO1120" s="454">
        <f>+AN1120</f>
        <v>0.20899999999999999</v>
      </c>
      <c r="AP1120" s="456">
        <f>SUM(AL1120:AO1120)</f>
        <v>0.83299999999999996</v>
      </c>
      <c r="AQ1120" s="456">
        <f>+AO1120</f>
        <v>0.20899999999999999</v>
      </c>
      <c r="AR1120" s="454">
        <f t="shared" si="2670"/>
        <v>0.20899999999999999</v>
      </c>
      <c r="AS1120" s="454">
        <f t="shared" si="2670"/>
        <v>0.20899999999999999</v>
      </c>
      <c r="AT1120" s="454">
        <f t="shared" si="2670"/>
        <v>0.20899999999999999</v>
      </c>
      <c r="AU1120" s="1693">
        <f>SUM(AQ1120:AT1120)</f>
        <v>0.83599999999999997</v>
      </c>
      <c r="AV1120" s="1863">
        <f>+AT1120</f>
        <v>0.20899999999999999</v>
      </c>
      <c r="AW1120" s="1841">
        <f t="shared" si="2671"/>
        <v>0.20899999999999999</v>
      </c>
      <c r="AX1120" s="1841">
        <f t="shared" si="2671"/>
        <v>0.20899999999999999</v>
      </c>
      <c r="AY1120" s="1864">
        <f t="shared" si="2671"/>
        <v>0.20899999999999999</v>
      </c>
      <c r="AZ1120" s="1693">
        <f>SUM(AV1120:AY1120)</f>
        <v>0.83599999999999997</v>
      </c>
      <c r="BA1120" s="1863">
        <f>+AY1120</f>
        <v>0.20899999999999999</v>
      </c>
      <c r="BB1120" s="1841">
        <f>+BA1120</f>
        <v>0.20899999999999999</v>
      </c>
      <c r="BC1120" s="1841">
        <f t="shared" si="2672"/>
        <v>0.20899999999999999</v>
      </c>
      <c r="BD1120" s="1864">
        <f t="shared" si="2672"/>
        <v>0.20899999999999999</v>
      </c>
      <c r="BE1120" s="1864">
        <f>SUM(BA1120:BD1120)</f>
        <v>0.83599999999999997</v>
      </c>
      <c r="BF1120" s="1841">
        <f>+BD1120</f>
        <v>0.20899999999999999</v>
      </c>
      <c r="BG1120" s="1841">
        <f t="shared" si="2673"/>
        <v>0.20899999999999999</v>
      </c>
      <c r="BH1120" s="1841">
        <f t="shared" si="2673"/>
        <v>0.20899999999999999</v>
      </c>
      <c r="BI1120" s="1864">
        <f t="shared" si="2673"/>
        <v>0.20899999999999999</v>
      </c>
      <c r="BJ1120" s="1864">
        <f>SUM(BF1120:BI1120)</f>
        <v>0.83599999999999997</v>
      </c>
      <c r="BK1120" s="1841">
        <f>+BJ1120/4</f>
        <v>0.20899999999999999</v>
      </c>
      <c r="BL1120" s="1841">
        <f>+BK1120</f>
        <v>0.20899999999999999</v>
      </c>
      <c r="BM1120" s="1841">
        <f t="shared" si="2674"/>
        <v>0.20899999999999999</v>
      </c>
      <c r="BN1120" s="1864">
        <f t="shared" si="2674"/>
        <v>0.20899999999999999</v>
      </c>
      <c r="BO1120" s="1864">
        <f>SUM(BK1120:BN1120)</f>
        <v>0.83599999999999997</v>
      </c>
      <c r="BP1120" s="1841">
        <f>+BN1120</f>
        <v>0.20899999999999999</v>
      </c>
      <c r="BQ1120" s="1841">
        <f t="shared" si="2675"/>
        <v>0.20899999999999999</v>
      </c>
      <c r="BR1120" s="1841">
        <f t="shared" si="2675"/>
        <v>0.20899999999999999</v>
      </c>
      <c r="BS1120" s="1841">
        <f t="shared" si="2675"/>
        <v>0.20899999999999999</v>
      </c>
      <c r="BT1120" s="3066">
        <f>SUM(BP1120:BS1120)</f>
        <v>0.83599999999999997</v>
      </c>
      <c r="BU1120" s="1841">
        <f>+BS1120</f>
        <v>0.20899999999999999</v>
      </c>
      <c r="BV1120" s="1841">
        <f t="shared" si="2676"/>
        <v>0.20899999999999999</v>
      </c>
      <c r="BW1120" s="1841">
        <f t="shared" si="2676"/>
        <v>0.20899999999999999</v>
      </c>
      <c r="BX1120" s="1841">
        <f t="shared" si="2676"/>
        <v>0.20899999999999999</v>
      </c>
      <c r="BY1120" s="3066">
        <f>SUM(BU1120:BX1120)</f>
        <v>0.83599999999999997</v>
      </c>
      <c r="BZ1120" s="455">
        <f>+BY1120</f>
        <v>0.83599999999999997</v>
      </c>
      <c r="CA1120" s="455">
        <f>+BZ1120</f>
        <v>0.83599999999999997</v>
      </c>
      <c r="CB1120" s="455">
        <f t="shared" ref="CB1120:CF1121" si="2694">+CA1120</f>
        <v>0.83599999999999997</v>
      </c>
      <c r="CC1120" s="455">
        <f t="shared" si="2694"/>
        <v>0.83599999999999997</v>
      </c>
      <c r="CD1120" s="455">
        <f t="shared" si="2694"/>
        <v>0.83599999999999997</v>
      </c>
      <c r="CE1120" s="455">
        <f t="shared" si="2694"/>
        <v>0.83599999999999997</v>
      </c>
      <c r="CF1120" s="455">
        <f t="shared" si="2694"/>
        <v>0.83599999999999997</v>
      </c>
      <c r="CG1120" s="331"/>
      <c r="CH1120" s="331"/>
      <c r="CI1120" s="331"/>
      <c r="CJ1120" s="331"/>
      <c r="CK1120" s="331"/>
      <c r="CL1120" s="2031" t="str">
        <f>A1120</f>
        <v>Beulah Park</v>
      </c>
      <c r="CM1120" s="454">
        <f t="shared" si="2679"/>
        <v>0</v>
      </c>
      <c r="CN1120" s="454">
        <f t="shared" si="2680"/>
        <v>0</v>
      </c>
      <c r="CO1120" s="454">
        <f t="shared" si="2681"/>
        <v>0</v>
      </c>
      <c r="CP1120" s="454">
        <f t="shared" si="2682"/>
        <v>0</v>
      </c>
      <c r="CQ1120" s="454">
        <f t="shared" si="2683"/>
        <v>0</v>
      </c>
      <c r="CR1120" s="454">
        <f t="shared" si="2684"/>
        <v>0</v>
      </c>
      <c r="CS1120" s="454">
        <f t="shared" si="2685"/>
        <v>0.40500000000000003</v>
      </c>
      <c r="CT1120" s="454">
        <f t="shared" si="2686"/>
        <v>0.83299999999999996</v>
      </c>
      <c r="CU1120" s="454">
        <f t="shared" si="2687"/>
        <v>0.83599999999999997</v>
      </c>
      <c r="CV1120" s="454">
        <f t="shared" si="2688"/>
        <v>0.83599999999999997</v>
      </c>
      <c r="CW1120" s="454">
        <f t="shared" si="2689"/>
        <v>0.83599999999999997</v>
      </c>
      <c r="CX1120" s="454">
        <f t="shared" si="2690"/>
        <v>0.83599999999999997</v>
      </c>
      <c r="CY1120" s="454">
        <f t="shared" si="2691"/>
        <v>0.83599999999999997</v>
      </c>
      <c r="CZ1120" s="454">
        <f t="shared" si="2692"/>
        <v>0.83599999999999997</v>
      </c>
      <c r="DA1120" s="454">
        <f t="shared" si="2693"/>
        <v>0.83599999999999997</v>
      </c>
      <c r="DB1120" s="454">
        <f t="shared" si="2693"/>
        <v>0.83599999999999997</v>
      </c>
      <c r="DC1120" s="1666">
        <f t="shared" si="2693"/>
        <v>0.83599999999999997</v>
      </c>
      <c r="DD1120" s="331"/>
      <c r="DE1120" s="331"/>
      <c r="DF1120" s="502"/>
      <c r="DG1120" s="503"/>
      <c r="DH1120" s="2915"/>
      <c r="DI1120" s="3213"/>
      <c r="DJ1120" s="502"/>
      <c r="DK1120" s="503"/>
      <c r="DL1120" s="502"/>
      <c r="DM1120" s="502"/>
      <c r="DN1120" s="502"/>
      <c r="DO1120" s="502"/>
      <c r="DP1120" s="503"/>
      <c r="DQ1120" s="503"/>
      <c r="DR1120" s="296"/>
      <c r="DS1120" s="296"/>
      <c r="DT1120" s="296"/>
    </row>
    <row r="1121" spans="1:124" ht="12" customHeight="1" x14ac:dyDescent="0.25">
      <c r="A1121" s="312" t="s">
        <v>807</v>
      </c>
      <c r="B1121" s="281"/>
      <c r="C1121" s="565"/>
      <c r="D1121" s="565"/>
      <c r="E1121" s="565"/>
      <c r="F1121" s="565"/>
      <c r="G1121" s="447"/>
      <c r="H1121" s="565"/>
      <c r="I1121" s="565"/>
      <c r="J1121" s="565"/>
      <c r="K1121" s="565"/>
      <c r="L1121" s="447"/>
      <c r="M1121" s="565"/>
      <c r="N1121" s="565"/>
      <c r="O1121" s="565"/>
      <c r="P1121" s="565"/>
      <c r="Q1121" s="447"/>
      <c r="R1121" s="565"/>
      <c r="S1121" s="565"/>
      <c r="T1121" s="565"/>
      <c r="U1121" s="565"/>
      <c r="V1121" s="447"/>
      <c r="W1121" s="565"/>
      <c r="X1121" s="565"/>
      <c r="Y1121" s="565"/>
      <c r="Z1121" s="565"/>
      <c r="AA1121" s="447"/>
      <c r="AB1121" s="565"/>
      <c r="AC1121" s="565"/>
      <c r="AD1121" s="565"/>
      <c r="AE1121" s="563"/>
      <c r="AF1121" s="455"/>
      <c r="AG1121" s="565">
        <v>0</v>
      </c>
      <c r="AH1121" s="565">
        <v>0</v>
      </c>
      <c r="AI1121" s="565">
        <v>0</v>
      </c>
      <c r="AJ1121" s="563">
        <v>0</v>
      </c>
      <c r="AK1121" s="455">
        <f>SUM(AG1121:AJ1121)</f>
        <v>0</v>
      </c>
      <c r="AL1121" s="563">
        <f>AJ1121</f>
        <v>0</v>
      </c>
      <c r="AM1121" s="565">
        <f>0.358+0.584</f>
        <v>0.94199999999999995</v>
      </c>
      <c r="AN1121" s="565">
        <f>+AM1121+1</f>
        <v>1.9419999999999999</v>
      </c>
      <c r="AO1121" s="565">
        <f>+AN1121</f>
        <v>1.9419999999999999</v>
      </c>
      <c r="AP1121" s="456">
        <f>SUM(AL1121:AO1121)</f>
        <v>4.8259999999999996</v>
      </c>
      <c r="AQ1121" s="456">
        <f>+AO1121</f>
        <v>1.9419999999999999</v>
      </c>
      <c r="AR1121" s="454">
        <f t="shared" si="2670"/>
        <v>1.9419999999999999</v>
      </c>
      <c r="AS1121" s="454">
        <f t="shared" si="2670"/>
        <v>1.9419999999999999</v>
      </c>
      <c r="AT1121" s="454">
        <f t="shared" si="2670"/>
        <v>1.9419999999999999</v>
      </c>
      <c r="AU1121" s="1693">
        <f>SUM(AQ1121:AT1121)</f>
        <v>7.7679999999999998</v>
      </c>
      <c r="AV1121" s="1863">
        <f>+AT1121</f>
        <v>1.9419999999999999</v>
      </c>
      <c r="AW1121" s="1841">
        <f t="shared" si="2671"/>
        <v>1.9419999999999999</v>
      </c>
      <c r="AX1121" s="1841">
        <f t="shared" si="2671"/>
        <v>1.9419999999999999</v>
      </c>
      <c r="AY1121" s="1864">
        <f t="shared" si="2671"/>
        <v>1.9419999999999999</v>
      </c>
      <c r="AZ1121" s="1693">
        <f>SUM(AV1121:AY1121)</f>
        <v>7.7679999999999998</v>
      </c>
      <c r="BA1121" s="1863">
        <f>+AY1121</f>
        <v>1.9419999999999999</v>
      </c>
      <c r="BB1121" s="1841">
        <f>+BA1121</f>
        <v>1.9419999999999999</v>
      </c>
      <c r="BC1121" s="1841">
        <f t="shared" si="2672"/>
        <v>1.9419999999999999</v>
      </c>
      <c r="BD1121" s="1864">
        <f t="shared" si="2672"/>
        <v>1.9419999999999999</v>
      </c>
      <c r="BE1121" s="1864">
        <f>SUM(BA1121:BD1121)</f>
        <v>7.7679999999999998</v>
      </c>
      <c r="BF1121" s="1841">
        <f>+BD1121</f>
        <v>1.9419999999999999</v>
      </c>
      <c r="BG1121" s="1841">
        <f t="shared" si="2673"/>
        <v>1.9419999999999999</v>
      </c>
      <c r="BH1121" s="1841">
        <f t="shared" si="2673"/>
        <v>1.9419999999999999</v>
      </c>
      <c r="BI1121" s="1864">
        <f t="shared" si="2673"/>
        <v>1.9419999999999999</v>
      </c>
      <c r="BJ1121" s="1864">
        <f>SUM(BF1121:BI1121)</f>
        <v>7.7679999999999998</v>
      </c>
      <c r="BK1121" s="1841">
        <f>+BJ1121/4</f>
        <v>1.9419999999999999</v>
      </c>
      <c r="BL1121" s="1841">
        <f>+BK1121</f>
        <v>1.9419999999999999</v>
      </c>
      <c r="BM1121" s="1841">
        <f t="shared" si="2674"/>
        <v>1.9419999999999999</v>
      </c>
      <c r="BN1121" s="1864">
        <f t="shared" si="2674"/>
        <v>1.9419999999999999</v>
      </c>
      <c r="BO1121" s="1864">
        <f>SUM(BK1121:BN1121)</f>
        <v>7.7679999999999998</v>
      </c>
      <c r="BP1121" s="1841">
        <f>+BN1121</f>
        <v>1.9419999999999999</v>
      </c>
      <c r="BQ1121" s="1841">
        <f t="shared" si="2675"/>
        <v>1.9419999999999999</v>
      </c>
      <c r="BR1121" s="1841">
        <f t="shared" si="2675"/>
        <v>1.9419999999999999</v>
      </c>
      <c r="BS1121" s="1841">
        <f t="shared" si="2675"/>
        <v>1.9419999999999999</v>
      </c>
      <c r="BT1121" s="3066">
        <f>SUM(BP1121:BS1121)</f>
        <v>7.7679999999999998</v>
      </c>
      <c r="BU1121" s="1841">
        <f>+BS1121</f>
        <v>1.9419999999999999</v>
      </c>
      <c r="BV1121" s="1841">
        <f t="shared" si="2676"/>
        <v>1.9419999999999999</v>
      </c>
      <c r="BW1121" s="1841">
        <f t="shared" si="2676"/>
        <v>1.9419999999999999</v>
      </c>
      <c r="BX1121" s="1841">
        <f t="shared" si="2676"/>
        <v>1.9419999999999999</v>
      </c>
      <c r="BY1121" s="3066">
        <f>SUM(BU1121:BX1121)</f>
        <v>7.7679999999999998</v>
      </c>
      <c r="BZ1121" s="455">
        <f>+BY1121</f>
        <v>7.7679999999999998</v>
      </c>
      <c r="CA1121" s="455">
        <f>+BZ1121</f>
        <v>7.7679999999999998</v>
      </c>
      <c r="CB1121" s="455">
        <f t="shared" si="2694"/>
        <v>7.7679999999999998</v>
      </c>
      <c r="CC1121" s="455">
        <f t="shared" si="2694"/>
        <v>7.7679999999999998</v>
      </c>
      <c r="CD1121" s="455">
        <f t="shared" si="2694"/>
        <v>7.7679999999999998</v>
      </c>
      <c r="CE1121" s="455">
        <f t="shared" si="2694"/>
        <v>7.7679999999999998</v>
      </c>
      <c r="CF1121" s="455">
        <f t="shared" si="2694"/>
        <v>7.7679999999999998</v>
      </c>
      <c r="CG1121" s="331"/>
      <c r="CH1121" s="331"/>
      <c r="CI1121" s="331"/>
      <c r="CJ1121" s="331"/>
      <c r="CK1121" s="331"/>
      <c r="CL1121" s="2025" t="str">
        <f>A1121</f>
        <v>Other - MD and OH</v>
      </c>
      <c r="CM1121" s="454">
        <f t="shared" si="2679"/>
        <v>0</v>
      </c>
      <c r="CN1121" s="454">
        <f t="shared" si="2680"/>
        <v>0</v>
      </c>
      <c r="CO1121" s="454">
        <f t="shared" si="2681"/>
        <v>0</v>
      </c>
      <c r="CP1121" s="454">
        <f t="shared" si="2682"/>
        <v>0</v>
      </c>
      <c r="CQ1121" s="454">
        <f t="shared" si="2683"/>
        <v>0</v>
      </c>
      <c r="CR1121" s="454">
        <f t="shared" si="2684"/>
        <v>0</v>
      </c>
      <c r="CS1121" s="454">
        <f t="shared" si="2685"/>
        <v>0</v>
      </c>
      <c r="CT1121" s="454">
        <f t="shared" si="2686"/>
        <v>4.8259999999999996</v>
      </c>
      <c r="CU1121" s="454">
        <f t="shared" si="2687"/>
        <v>7.7679999999999998</v>
      </c>
      <c r="CV1121" s="454">
        <f t="shared" si="2688"/>
        <v>7.7679999999999998</v>
      </c>
      <c r="CW1121" s="454">
        <f t="shared" si="2689"/>
        <v>7.7679999999999998</v>
      </c>
      <c r="CX1121" s="454">
        <f t="shared" si="2690"/>
        <v>7.7679999999999998</v>
      </c>
      <c r="CY1121" s="454">
        <f t="shared" si="2691"/>
        <v>7.7679999999999998</v>
      </c>
      <c r="CZ1121" s="454">
        <f t="shared" si="2692"/>
        <v>7.7679999999999998</v>
      </c>
      <c r="DA1121" s="454">
        <f t="shared" si="2693"/>
        <v>7.7679999999999998</v>
      </c>
      <c r="DB1121" s="454">
        <f t="shared" si="2693"/>
        <v>7.7679999999999998</v>
      </c>
      <c r="DC1121" s="1666">
        <f t="shared" si="2693"/>
        <v>7.7679999999999998</v>
      </c>
      <c r="DD1121" s="331"/>
      <c r="DE1121" s="331"/>
      <c r="DF1121" s="502"/>
      <c r="DG1121" s="503"/>
      <c r="DH1121" s="2915"/>
      <c r="DI1121" s="3213"/>
      <c r="DJ1121" s="502"/>
      <c r="DK1121" s="503"/>
      <c r="DL1121" s="502"/>
      <c r="DM1121" s="502"/>
      <c r="DN1121" s="502"/>
      <c r="DO1121" s="502"/>
      <c r="DP1121" s="503"/>
      <c r="DQ1121" s="503"/>
      <c r="DR1121" s="296"/>
      <c r="DS1121" s="296"/>
      <c r="DT1121" s="296"/>
    </row>
    <row r="1122" spans="1:124" ht="12" customHeight="1" x14ac:dyDescent="0.25">
      <c r="A1122" s="1575" t="s">
        <v>2160</v>
      </c>
      <c r="B1122" s="428"/>
      <c r="C1122" s="563">
        <v>0</v>
      </c>
      <c r="D1122" s="563">
        <v>0</v>
      </c>
      <c r="E1122" s="563">
        <v>0</v>
      </c>
      <c r="F1122" s="563">
        <v>0</v>
      </c>
      <c r="G1122" s="455">
        <f>SUM(C1122:F1122)</f>
        <v>0</v>
      </c>
      <c r="H1122" s="563">
        <v>0</v>
      </c>
      <c r="I1122" s="563">
        <v>0</v>
      </c>
      <c r="J1122" s="563">
        <v>0</v>
      </c>
      <c r="K1122" s="563">
        <v>0</v>
      </c>
      <c r="L1122" s="455">
        <f>SUM(H1122:K1122)</f>
        <v>0</v>
      </c>
      <c r="M1122" s="563">
        <v>0</v>
      </c>
      <c r="N1122" s="563">
        <v>0</v>
      </c>
      <c r="O1122" s="563">
        <v>0</v>
      </c>
      <c r="P1122" s="563">
        <v>0</v>
      </c>
      <c r="Q1122" s="455">
        <f>SUM(M1122:P1122)</f>
        <v>0</v>
      </c>
      <c r="R1122" s="563">
        <v>0</v>
      </c>
      <c r="S1122" s="563">
        <v>0</v>
      </c>
      <c r="T1122" s="563">
        <v>0</v>
      </c>
      <c r="U1122" s="563">
        <v>0</v>
      </c>
      <c r="V1122" s="455">
        <f>SUM(R1122:U1122)</f>
        <v>0</v>
      </c>
      <c r="W1122" s="563">
        <v>0</v>
      </c>
      <c r="X1122" s="563">
        <v>0</v>
      </c>
      <c r="Y1122" s="563">
        <v>0</v>
      </c>
      <c r="Z1122" s="563">
        <v>0</v>
      </c>
      <c r="AA1122" s="455">
        <f>SUM(W1122:Z1122)</f>
        <v>0</v>
      </c>
      <c r="AB1122" s="563">
        <v>0</v>
      </c>
      <c r="AC1122" s="563">
        <v>0</v>
      </c>
      <c r="AD1122" s="563">
        <v>0</v>
      </c>
      <c r="AE1122" s="563">
        <f>AD1122</f>
        <v>0</v>
      </c>
      <c r="AF1122" s="455">
        <f>SUM(AB1122:AE1122)</f>
        <v>0</v>
      </c>
      <c r="AG1122" s="563">
        <v>0</v>
      </c>
      <c r="AH1122" s="563">
        <v>0</v>
      </c>
      <c r="AI1122" s="563">
        <v>0</v>
      </c>
      <c r="AJ1122" s="563">
        <v>0</v>
      </c>
      <c r="AK1122" s="455">
        <f>SUM(AG1122:AJ1122)</f>
        <v>0</v>
      </c>
      <c r="AL1122" s="563">
        <v>0</v>
      </c>
      <c r="AM1122" s="563">
        <v>0</v>
      </c>
      <c r="AN1122" s="563">
        <v>0</v>
      </c>
      <c r="AO1122" s="563">
        <v>0</v>
      </c>
      <c r="AP1122" s="456">
        <f>SUM(AL1122:AO1122)</f>
        <v>0</v>
      </c>
      <c r="AQ1122" s="456">
        <f>+AO1122</f>
        <v>0</v>
      </c>
      <c r="AR1122" s="454">
        <f t="shared" si="2670"/>
        <v>0</v>
      </c>
      <c r="AS1122" s="454">
        <f t="shared" si="2670"/>
        <v>0</v>
      </c>
      <c r="AT1122" s="454">
        <f t="shared" si="2670"/>
        <v>0</v>
      </c>
      <c r="AU1122" s="1693">
        <f>SUM(AQ1122:AT1122)</f>
        <v>0</v>
      </c>
      <c r="AV1122" s="1863">
        <f>+AT1122</f>
        <v>0</v>
      </c>
      <c r="AW1122" s="1841">
        <f t="shared" si="2671"/>
        <v>0</v>
      </c>
      <c r="AX1122" s="1841">
        <f t="shared" si="2671"/>
        <v>0</v>
      </c>
      <c r="AY1122" s="1864">
        <f t="shared" si="2671"/>
        <v>0</v>
      </c>
      <c r="AZ1122" s="1693">
        <f>SUM(AV1122:AY1122)</f>
        <v>0</v>
      </c>
      <c r="BA1122" s="1863">
        <f>+AY1122</f>
        <v>0</v>
      </c>
      <c r="BB1122" s="1841">
        <f>+BA1122</f>
        <v>0</v>
      </c>
      <c r="BC1122" s="1841">
        <f t="shared" si="2672"/>
        <v>0</v>
      </c>
      <c r="BD1122" s="1864">
        <f t="shared" si="2672"/>
        <v>0</v>
      </c>
      <c r="BE1122" s="1864">
        <f>SUM(BA1122:BD1122)</f>
        <v>0</v>
      </c>
      <c r="BF1122" s="1841">
        <f>+BD1122</f>
        <v>0</v>
      </c>
      <c r="BG1122" s="1841">
        <f t="shared" si="2673"/>
        <v>0</v>
      </c>
      <c r="BH1122" s="1841">
        <f t="shared" si="2673"/>
        <v>0</v>
      </c>
      <c r="BI1122" s="1864">
        <f t="shared" si="2673"/>
        <v>0</v>
      </c>
      <c r="BJ1122" s="1864">
        <f>SUM(BF1122:BI1122)</f>
        <v>0</v>
      </c>
      <c r="BK1122" s="1841">
        <f>+BJ1122/4</f>
        <v>0</v>
      </c>
      <c r="BL1122" s="1841">
        <f>+BK1122</f>
        <v>0</v>
      </c>
      <c r="BM1122" s="1841">
        <f t="shared" si="2674"/>
        <v>0</v>
      </c>
      <c r="BN1122" s="1864">
        <f t="shared" si="2674"/>
        <v>0</v>
      </c>
      <c r="BO1122" s="1864">
        <f>SUM(BK1122:BN1122)</f>
        <v>0</v>
      </c>
      <c r="BP1122" s="1841">
        <f>+BN1122</f>
        <v>0</v>
      </c>
      <c r="BQ1122" s="1841">
        <f t="shared" si="2675"/>
        <v>0</v>
      </c>
      <c r="BR1122" s="1841">
        <f t="shared" si="2675"/>
        <v>0</v>
      </c>
      <c r="BS1122" s="1841">
        <f t="shared" si="2675"/>
        <v>0</v>
      </c>
      <c r="BT1122" s="3066">
        <f>SUM(BP1122:BS1122)</f>
        <v>0</v>
      </c>
      <c r="BU1122" s="1841">
        <f>+BS1122</f>
        <v>0</v>
      </c>
      <c r="BV1122" s="1841">
        <f t="shared" si="2676"/>
        <v>0</v>
      </c>
      <c r="BW1122" s="1841">
        <f t="shared" si="2676"/>
        <v>0</v>
      </c>
      <c r="BX1122" s="1841">
        <f t="shared" si="2676"/>
        <v>0</v>
      </c>
      <c r="BY1122" s="3066">
        <f>SUM(BU1122:BX1122)</f>
        <v>0</v>
      </c>
      <c r="BZ1122" s="455">
        <f t="shared" si="2677"/>
        <v>0</v>
      </c>
      <c r="CA1122" s="455">
        <f t="shared" si="2677"/>
        <v>0</v>
      </c>
      <c r="CB1122" s="455">
        <f>CA1122</f>
        <v>0</v>
      </c>
      <c r="CC1122" s="455">
        <f>CB1122</f>
        <v>0</v>
      </c>
      <c r="CD1122" s="455">
        <f>CC1122</f>
        <v>0</v>
      </c>
      <c r="CE1122" s="455">
        <f>CD1122</f>
        <v>0</v>
      </c>
      <c r="CF1122" s="455">
        <f>CE1122</f>
        <v>0</v>
      </c>
      <c r="CG1122" s="331"/>
      <c r="CH1122" s="331"/>
      <c r="CI1122" s="331"/>
      <c r="CJ1122" s="331"/>
      <c r="CK1122" s="331"/>
      <c r="CL1122" s="2031" t="str">
        <f>A1122</f>
        <v>Unconsolidated affiliates</v>
      </c>
      <c r="CM1122" s="454">
        <f t="shared" si="2679"/>
        <v>0</v>
      </c>
      <c r="CN1122" s="454">
        <f t="shared" si="2680"/>
        <v>0</v>
      </c>
      <c r="CO1122" s="454">
        <f t="shared" si="2681"/>
        <v>0</v>
      </c>
      <c r="CP1122" s="454">
        <f t="shared" si="2682"/>
        <v>0</v>
      </c>
      <c r="CQ1122" s="454">
        <f t="shared" si="2683"/>
        <v>0</v>
      </c>
      <c r="CR1122" s="454">
        <f t="shared" si="2684"/>
        <v>0</v>
      </c>
      <c r="CS1122" s="454">
        <f t="shared" si="2685"/>
        <v>0</v>
      </c>
      <c r="CT1122" s="454">
        <f t="shared" si="2686"/>
        <v>0</v>
      </c>
      <c r="CU1122" s="454">
        <f t="shared" si="2687"/>
        <v>0</v>
      </c>
      <c r="CV1122" s="454">
        <f t="shared" si="2688"/>
        <v>0</v>
      </c>
      <c r="CW1122" s="454">
        <f t="shared" si="2689"/>
        <v>0</v>
      </c>
      <c r="CX1122" s="454">
        <f t="shared" si="2690"/>
        <v>0</v>
      </c>
      <c r="CY1122" s="454">
        <f t="shared" si="2691"/>
        <v>0</v>
      </c>
      <c r="CZ1122" s="454">
        <f t="shared" si="2692"/>
        <v>0</v>
      </c>
      <c r="DA1122" s="454">
        <f t="shared" si="2693"/>
        <v>0</v>
      </c>
      <c r="DB1122" s="454">
        <f t="shared" si="2693"/>
        <v>0</v>
      </c>
      <c r="DC1122" s="1666">
        <f t="shared" si="2693"/>
        <v>0</v>
      </c>
      <c r="DD1122" s="331"/>
      <c r="DE1122" s="331"/>
      <c r="DF1122" s="502"/>
      <c r="DG1122" s="503"/>
      <c r="DH1122" s="2915"/>
      <c r="DI1122" s="3213"/>
      <c r="DJ1122" s="502"/>
      <c r="DK1122" s="503"/>
      <c r="DL1122" s="502"/>
      <c r="DM1122" s="502"/>
      <c r="DN1122" s="502"/>
      <c r="DO1122" s="502"/>
      <c r="DP1122" s="503"/>
      <c r="DQ1122" s="503"/>
      <c r="DR1122" s="296"/>
      <c r="DS1122" s="296"/>
      <c r="DT1122" s="296"/>
    </row>
    <row r="1123" spans="1:124" ht="4.5" customHeight="1" x14ac:dyDescent="0.25">
      <c r="A1123" s="1997"/>
      <c r="B1123" s="710"/>
      <c r="C1123" s="609" t="s">
        <v>1151</v>
      </c>
      <c r="D1123" s="609" t="s">
        <v>1151</v>
      </c>
      <c r="E1123" s="609" t="s">
        <v>1151</v>
      </c>
      <c r="F1123" s="609" t="s">
        <v>1151</v>
      </c>
      <c r="G1123" s="459" t="s">
        <v>1151</v>
      </c>
      <c r="H1123" s="609" t="s">
        <v>1151</v>
      </c>
      <c r="I1123" s="609" t="s">
        <v>1151</v>
      </c>
      <c r="J1123" s="609" t="s">
        <v>1151</v>
      </c>
      <c r="K1123" s="609" t="s">
        <v>1151</v>
      </c>
      <c r="L1123" s="459" t="s">
        <v>1151</v>
      </c>
      <c r="M1123" s="609" t="s">
        <v>1151</v>
      </c>
      <c r="N1123" s="609" t="s">
        <v>1151</v>
      </c>
      <c r="O1123" s="609" t="s">
        <v>1151</v>
      </c>
      <c r="P1123" s="609" t="s">
        <v>1151</v>
      </c>
      <c r="Q1123" s="459" t="s">
        <v>1151</v>
      </c>
      <c r="R1123" s="609" t="s">
        <v>1151</v>
      </c>
      <c r="S1123" s="609" t="s">
        <v>1151</v>
      </c>
      <c r="T1123" s="609" t="s">
        <v>1151</v>
      </c>
      <c r="U1123" s="609" t="s">
        <v>1151</v>
      </c>
      <c r="V1123" s="459" t="s">
        <v>1151</v>
      </c>
      <c r="W1123" s="609" t="s">
        <v>1151</v>
      </c>
      <c r="X1123" s="609" t="s">
        <v>1151</v>
      </c>
      <c r="Y1123" s="609" t="s">
        <v>1151</v>
      </c>
      <c r="Z1123" s="609" t="s">
        <v>1151</v>
      </c>
      <c r="AA1123" s="459" t="s">
        <v>1151</v>
      </c>
      <c r="AB1123" s="609" t="s">
        <v>1151</v>
      </c>
      <c r="AC1123" s="609" t="s">
        <v>1151</v>
      </c>
      <c r="AD1123" s="609" t="s">
        <v>1151</v>
      </c>
      <c r="AE1123" s="609" t="s">
        <v>1151</v>
      </c>
      <c r="AF1123" s="459" t="s">
        <v>1151</v>
      </c>
      <c r="AG1123" s="609" t="s">
        <v>1151</v>
      </c>
      <c r="AH1123" s="609" t="s">
        <v>1151</v>
      </c>
      <c r="AI1123" s="609" t="s">
        <v>1151</v>
      </c>
      <c r="AJ1123" s="609" t="s">
        <v>1151</v>
      </c>
      <c r="AK1123" s="459" t="s">
        <v>1151</v>
      </c>
      <c r="AL1123" s="609" t="s">
        <v>1151</v>
      </c>
      <c r="AM1123" s="609" t="s">
        <v>1151</v>
      </c>
      <c r="AN1123" s="609" t="s">
        <v>1151</v>
      </c>
      <c r="AO1123" s="609" t="s">
        <v>1151</v>
      </c>
      <c r="AP1123" s="459" t="s">
        <v>1151</v>
      </c>
      <c r="AQ1123" s="609" t="s">
        <v>1151</v>
      </c>
      <c r="AR1123" s="609" t="s">
        <v>1151</v>
      </c>
      <c r="AS1123" s="609" t="s">
        <v>1151</v>
      </c>
      <c r="AT1123" s="609" t="s">
        <v>1151</v>
      </c>
      <c r="AU1123" s="459" t="s">
        <v>1151</v>
      </c>
      <c r="AV1123" s="609" t="s">
        <v>1151</v>
      </c>
      <c r="AW1123" s="609" t="s">
        <v>1151</v>
      </c>
      <c r="AX1123" s="609" t="s">
        <v>1151</v>
      </c>
      <c r="AY1123" s="609" t="s">
        <v>1151</v>
      </c>
      <c r="AZ1123" s="459" t="s">
        <v>1151</v>
      </c>
      <c r="BA1123" s="609" t="s">
        <v>1151</v>
      </c>
      <c r="BB1123" s="609" t="s">
        <v>1151</v>
      </c>
      <c r="BC1123" s="609" t="s">
        <v>1151</v>
      </c>
      <c r="BD1123" s="609" t="s">
        <v>1151</v>
      </c>
      <c r="BE1123" s="459" t="s">
        <v>1151</v>
      </c>
      <c r="BF1123" s="609" t="s">
        <v>1151</v>
      </c>
      <c r="BG1123" s="609" t="s">
        <v>1151</v>
      </c>
      <c r="BH1123" s="609" t="s">
        <v>1151</v>
      </c>
      <c r="BI1123" s="609" t="s">
        <v>1151</v>
      </c>
      <c r="BJ1123" s="459" t="s">
        <v>1151</v>
      </c>
      <c r="BK1123" s="609" t="s">
        <v>1151</v>
      </c>
      <c r="BL1123" s="609" t="s">
        <v>1151</v>
      </c>
      <c r="BM1123" s="609" t="s">
        <v>1151</v>
      </c>
      <c r="BN1123" s="609" t="s">
        <v>1151</v>
      </c>
      <c r="BO1123" s="459" t="s">
        <v>1151</v>
      </c>
      <c r="BP1123" s="609" t="s">
        <v>1151</v>
      </c>
      <c r="BQ1123" s="609" t="s">
        <v>1151</v>
      </c>
      <c r="BR1123" s="609" t="s">
        <v>1151</v>
      </c>
      <c r="BS1123" s="609" t="s">
        <v>1151</v>
      </c>
      <c r="BT1123" s="459" t="s">
        <v>1151</v>
      </c>
      <c r="BU1123" s="609" t="s">
        <v>1151</v>
      </c>
      <c r="BV1123" s="609" t="s">
        <v>1151</v>
      </c>
      <c r="BW1123" s="609" t="s">
        <v>1151</v>
      </c>
      <c r="BX1123" s="609" t="s">
        <v>1151</v>
      </c>
      <c r="BY1123" s="459" t="s">
        <v>1151</v>
      </c>
      <c r="BZ1123" s="459" t="s">
        <v>1151</v>
      </c>
      <c r="CA1123" s="459" t="s">
        <v>1151</v>
      </c>
      <c r="CB1123" s="459" t="s">
        <v>1151</v>
      </c>
      <c r="CC1123" s="459" t="s">
        <v>1151</v>
      </c>
      <c r="CD1123" s="459" t="s">
        <v>1151</v>
      </c>
      <c r="CE1123" s="459" t="s">
        <v>1151</v>
      </c>
      <c r="CF1123" s="459" t="s">
        <v>1151</v>
      </c>
      <c r="CG1123" s="331"/>
      <c r="CH1123" s="331"/>
      <c r="CI1123" s="331"/>
      <c r="CJ1123" s="331"/>
      <c r="CK1123" s="331"/>
      <c r="CL1123" s="2032"/>
      <c r="CM1123" s="2029" t="str">
        <f t="shared" si="2679"/>
        <v xml:space="preserve">                </v>
      </c>
      <c r="CN1123" s="2029" t="str">
        <f t="shared" si="2680"/>
        <v xml:space="preserve">                </v>
      </c>
      <c r="CO1123" s="2029" t="str">
        <f t="shared" si="2681"/>
        <v xml:space="preserve">                </v>
      </c>
      <c r="CP1123" s="2029" t="str">
        <f t="shared" si="2682"/>
        <v xml:space="preserve">                </v>
      </c>
      <c r="CQ1123" s="2029" t="str">
        <f t="shared" si="2683"/>
        <v xml:space="preserve">                </v>
      </c>
      <c r="CR1123" s="2029" t="str">
        <f t="shared" si="2684"/>
        <v xml:space="preserve">                </v>
      </c>
      <c r="CS1123" s="2029" t="str">
        <f t="shared" si="2685"/>
        <v xml:space="preserve">                </v>
      </c>
      <c r="CT1123" s="2029" t="str">
        <f t="shared" si="2686"/>
        <v xml:space="preserve">                </v>
      </c>
      <c r="CU1123" s="2029" t="str">
        <f t="shared" si="2687"/>
        <v xml:space="preserve">                </v>
      </c>
      <c r="CV1123" s="2029" t="str">
        <f t="shared" si="2688"/>
        <v xml:space="preserve">                </v>
      </c>
      <c r="CW1123" s="2029" t="str">
        <f t="shared" si="2689"/>
        <v xml:space="preserve">                </v>
      </c>
      <c r="CX1123" s="2029" t="str">
        <f t="shared" si="2690"/>
        <v xml:space="preserve">                </v>
      </c>
      <c r="CY1123" s="2029" t="str">
        <f t="shared" si="2691"/>
        <v xml:space="preserve">                </v>
      </c>
      <c r="CZ1123" s="2029" t="str">
        <f t="shared" si="2692"/>
        <v xml:space="preserve">                </v>
      </c>
      <c r="DA1123" s="2029" t="str">
        <f t="shared" si="2693"/>
        <v xml:space="preserve">                </v>
      </c>
      <c r="DB1123" s="2029" t="str">
        <f t="shared" si="2693"/>
        <v xml:space="preserve">                </v>
      </c>
      <c r="DC1123" s="2030" t="str">
        <f t="shared" si="2693"/>
        <v xml:space="preserve">                </v>
      </c>
      <c r="DD1123" s="331"/>
      <c r="DE1123" s="331"/>
      <c r="DF1123" s="502"/>
      <c r="DG1123" s="503"/>
      <c r="DH1123" s="2029"/>
      <c r="DI1123" s="3213"/>
      <c r="DJ1123" s="502"/>
      <c r="DK1123" s="503"/>
      <c r="DL1123" s="502"/>
      <c r="DM1123" s="502"/>
      <c r="DN1123" s="502"/>
      <c r="DO1123" s="502"/>
      <c r="DP1123" s="503"/>
      <c r="DQ1123" s="503"/>
      <c r="DR1123" s="296"/>
      <c r="DS1123" s="296"/>
      <c r="DT1123" s="296"/>
    </row>
    <row r="1124" spans="1:124" ht="12" customHeight="1" x14ac:dyDescent="0.25">
      <c r="A1124" s="428" t="s">
        <v>2197</v>
      </c>
      <c r="B1124" s="428"/>
      <c r="C1124" s="454">
        <f>SUM(C1118:C1122)</f>
        <v>0</v>
      </c>
      <c r="D1124" s="454">
        <f t="shared" ref="D1124:AA1124" si="2695">SUM(D1118:D1122)</f>
        <v>0</v>
      </c>
      <c r="E1124" s="454">
        <f t="shared" si="2695"/>
        <v>0</v>
      </c>
      <c r="F1124" s="454">
        <f t="shared" si="2695"/>
        <v>0</v>
      </c>
      <c r="G1124" s="455">
        <f t="shared" si="2695"/>
        <v>0</v>
      </c>
      <c r="H1124" s="454">
        <f t="shared" si="2695"/>
        <v>0</v>
      </c>
      <c r="I1124" s="454">
        <f t="shared" si="2695"/>
        <v>0</v>
      </c>
      <c r="J1124" s="454">
        <f t="shared" si="2695"/>
        <v>0</v>
      </c>
      <c r="K1124" s="454">
        <f t="shared" si="2695"/>
        <v>0.01</v>
      </c>
      <c r="L1124" s="455">
        <f t="shared" si="2695"/>
        <v>0.01</v>
      </c>
      <c r="M1124" s="454">
        <f t="shared" si="2695"/>
        <v>0</v>
      </c>
      <c r="N1124" s="454">
        <f t="shared" si="2695"/>
        <v>0.113</v>
      </c>
      <c r="O1124" s="454">
        <f t="shared" si="2695"/>
        <v>2.7E-2</v>
      </c>
      <c r="P1124" s="454">
        <f t="shared" si="2695"/>
        <v>0.11600000000000001</v>
      </c>
      <c r="Q1124" s="455">
        <f t="shared" si="2695"/>
        <v>0.25600000000000001</v>
      </c>
      <c r="R1124" s="454">
        <f t="shared" si="2695"/>
        <v>7.0999999999999994E-2</v>
      </c>
      <c r="S1124" s="454">
        <f t="shared" si="2695"/>
        <v>7.9000000000000001E-2</v>
      </c>
      <c r="T1124" s="454">
        <f t="shared" si="2695"/>
        <v>8.2000000000000003E-2</v>
      </c>
      <c r="U1124" s="454">
        <f t="shared" si="2695"/>
        <v>8.5999999999999993E-2</v>
      </c>
      <c r="V1124" s="455">
        <f t="shared" si="2695"/>
        <v>0.31799999999999995</v>
      </c>
      <c r="W1124" s="454">
        <f t="shared" si="2695"/>
        <v>0.09</v>
      </c>
      <c r="X1124" s="454">
        <f t="shared" si="2695"/>
        <v>9.2999999999999999E-2</v>
      </c>
      <c r="Y1124" s="454">
        <f t="shared" si="2695"/>
        <v>9.5000000000000001E-2</v>
      </c>
      <c r="Z1124" s="454">
        <f t="shared" si="2695"/>
        <v>9.5000000000000001E-2</v>
      </c>
      <c r="AA1124" s="455">
        <f t="shared" si="2695"/>
        <v>0.373</v>
      </c>
      <c r="AB1124" s="454">
        <f t="shared" ref="AB1124:AP1124" si="2696">SUM(AB1118:AB1122)</f>
        <v>0.22900000000000001</v>
      </c>
      <c r="AC1124" s="454">
        <f t="shared" si="2696"/>
        <v>0.23300000000000001</v>
      </c>
      <c r="AD1124" s="454">
        <f t="shared" si="2696"/>
        <v>0.22900000000000001</v>
      </c>
      <c r="AE1124" s="454">
        <f t="shared" si="2696"/>
        <v>0.23400000000000001</v>
      </c>
      <c r="AF1124" s="455">
        <f t="shared" si="2696"/>
        <v>0.92500000000000004</v>
      </c>
      <c r="AG1124" s="454">
        <f t="shared" si="2696"/>
        <v>0.22600000000000001</v>
      </c>
      <c r="AH1124" s="454">
        <f t="shared" si="2696"/>
        <v>0.22900000000000001</v>
      </c>
      <c r="AI1124" s="454">
        <f t="shared" si="2696"/>
        <v>0.42500000000000004</v>
      </c>
      <c r="AJ1124" s="454">
        <f t="shared" si="2696"/>
        <v>0.38100000000000001</v>
      </c>
      <c r="AK1124" s="455">
        <f t="shared" si="2696"/>
        <v>1.2610000000000001</v>
      </c>
      <c r="AL1124" s="454">
        <f t="shared" si="2696"/>
        <v>0.31799999999999995</v>
      </c>
      <c r="AM1124" s="454">
        <f t="shared" si="2696"/>
        <v>1.262</v>
      </c>
      <c r="AN1124" s="454">
        <f t="shared" si="2696"/>
        <v>2.262</v>
      </c>
      <c r="AO1124" s="454">
        <f t="shared" si="2696"/>
        <v>2.262</v>
      </c>
      <c r="AP1124" s="456">
        <f t="shared" si="2696"/>
        <v>6.1039999999999992</v>
      </c>
      <c r="AQ1124" s="456">
        <f t="shared" ref="AQ1124:BI1124" si="2697">SUM(AQ1118:AQ1122)</f>
        <v>2.262</v>
      </c>
      <c r="AR1124" s="454">
        <f t="shared" si="2697"/>
        <v>2.262</v>
      </c>
      <c r="AS1124" s="454">
        <f t="shared" si="2697"/>
        <v>2.262</v>
      </c>
      <c r="AT1124" s="454">
        <f t="shared" si="2697"/>
        <v>2.262</v>
      </c>
      <c r="AU1124" s="1693">
        <f t="shared" si="2697"/>
        <v>9.048</v>
      </c>
      <c r="AV1124" s="1863">
        <f>SUM(AV1118:AV1122)</f>
        <v>2.262</v>
      </c>
      <c r="AW1124" s="1841">
        <f>SUM(AW1118:AW1122)</f>
        <v>2.262</v>
      </c>
      <c r="AX1124" s="1841">
        <f>SUM(AX1118:AX1122)</f>
        <v>2.262</v>
      </c>
      <c r="AY1124" s="1864">
        <f>SUM(AY1118:AY1122)</f>
        <v>2.262</v>
      </c>
      <c r="AZ1124" s="1693">
        <f t="shared" si="2697"/>
        <v>9.048</v>
      </c>
      <c r="BA1124" s="1863">
        <f>SUM(BA1118:BA1122)</f>
        <v>2.262</v>
      </c>
      <c r="BB1124" s="1841">
        <f>SUM(BB1118:BB1122)</f>
        <v>2.262</v>
      </c>
      <c r="BC1124" s="1841">
        <f>SUM(BC1118:BC1122)</f>
        <v>2.262</v>
      </c>
      <c r="BD1124" s="1864">
        <f>SUM(BD1118:BD1122)</f>
        <v>2.262</v>
      </c>
      <c r="BE1124" s="1864">
        <f t="shared" si="2697"/>
        <v>9.048</v>
      </c>
      <c r="BF1124" s="1841">
        <f t="shared" si="2697"/>
        <v>2.262</v>
      </c>
      <c r="BG1124" s="1841">
        <f t="shared" si="2697"/>
        <v>2.262</v>
      </c>
      <c r="BH1124" s="1841">
        <f t="shared" si="2697"/>
        <v>2.262</v>
      </c>
      <c r="BI1124" s="1864">
        <f t="shared" si="2697"/>
        <v>2.262</v>
      </c>
      <c r="BJ1124" s="1864">
        <f t="shared" ref="BJ1124:CF1124" si="2698">SUM(BJ1118:BJ1122)</f>
        <v>9.048</v>
      </c>
      <c r="BK1124" s="1841">
        <f t="shared" si="2698"/>
        <v>2.262</v>
      </c>
      <c r="BL1124" s="1841">
        <f t="shared" si="2698"/>
        <v>2.262</v>
      </c>
      <c r="BM1124" s="1841">
        <f t="shared" si="2698"/>
        <v>2.262</v>
      </c>
      <c r="BN1124" s="1864">
        <f t="shared" si="2698"/>
        <v>2.262</v>
      </c>
      <c r="BO1124" s="1864">
        <f t="shared" si="2698"/>
        <v>9.048</v>
      </c>
      <c r="BP1124" s="1841">
        <f t="shared" si="2698"/>
        <v>2.262</v>
      </c>
      <c r="BQ1124" s="1841">
        <f t="shared" si="2698"/>
        <v>2.262</v>
      </c>
      <c r="BR1124" s="1841">
        <f t="shared" si="2698"/>
        <v>2.262</v>
      </c>
      <c r="BS1124" s="1841">
        <f t="shared" si="2698"/>
        <v>2.262</v>
      </c>
      <c r="BT1124" s="3066">
        <f t="shared" si="2698"/>
        <v>9.048</v>
      </c>
      <c r="BU1124" s="1841">
        <f t="shared" si="2698"/>
        <v>2.262</v>
      </c>
      <c r="BV1124" s="1841">
        <f>SUM(BV1118:BV1122)</f>
        <v>2.262</v>
      </c>
      <c r="BW1124" s="1841">
        <f>SUM(BW1118:BW1122)</f>
        <v>2.262</v>
      </c>
      <c r="BX1124" s="1841">
        <f>SUM(BX1118:BX1122)</f>
        <v>2.262</v>
      </c>
      <c r="BY1124" s="3066">
        <f>SUM(BY1118:BY1122)</f>
        <v>9.048</v>
      </c>
      <c r="BZ1124" s="455">
        <f t="shared" si="2698"/>
        <v>9.048</v>
      </c>
      <c r="CA1124" s="455">
        <f t="shared" si="2698"/>
        <v>9.048</v>
      </c>
      <c r="CB1124" s="455">
        <f t="shared" si="2698"/>
        <v>9.048</v>
      </c>
      <c r="CC1124" s="455">
        <f t="shared" si="2698"/>
        <v>9.048</v>
      </c>
      <c r="CD1124" s="455">
        <f t="shared" si="2698"/>
        <v>9.048</v>
      </c>
      <c r="CE1124" s="455">
        <f t="shared" si="2698"/>
        <v>9.048</v>
      </c>
      <c r="CF1124" s="455">
        <f t="shared" si="2698"/>
        <v>9.048</v>
      </c>
      <c r="CG1124" s="331"/>
      <c r="CH1124" s="331"/>
      <c r="CI1124" s="331"/>
      <c r="CJ1124" s="331"/>
      <c r="CK1124" s="331"/>
      <c r="CL1124" s="520" t="str">
        <f>A1124</f>
        <v>Depreciation and amortization</v>
      </c>
      <c r="CM1124" s="454">
        <f t="shared" si="2679"/>
        <v>0</v>
      </c>
      <c r="CN1124" s="454">
        <f t="shared" si="2680"/>
        <v>0.01</v>
      </c>
      <c r="CO1124" s="454">
        <f t="shared" si="2681"/>
        <v>0.25600000000000001</v>
      </c>
      <c r="CP1124" s="454">
        <f t="shared" si="2682"/>
        <v>0.31799999999999995</v>
      </c>
      <c r="CQ1124" s="454">
        <f t="shared" si="2683"/>
        <v>0.373</v>
      </c>
      <c r="CR1124" s="454">
        <f t="shared" si="2684"/>
        <v>0.92500000000000004</v>
      </c>
      <c r="CS1124" s="454">
        <f t="shared" si="2685"/>
        <v>1.2610000000000001</v>
      </c>
      <c r="CT1124" s="454">
        <f t="shared" si="2686"/>
        <v>6.1039999999999992</v>
      </c>
      <c r="CU1124" s="454">
        <f t="shared" si="2687"/>
        <v>9.048</v>
      </c>
      <c r="CV1124" s="454">
        <f t="shared" si="2688"/>
        <v>9.048</v>
      </c>
      <c r="CW1124" s="454">
        <f t="shared" si="2689"/>
        <v>9.048</v>
      </c>
      <c r="CX1124" s="454">
        <f t="shared" si="2690"/>
        <v>9.048</v>
      </c>
      <c r="CY1124" s="454">
        <f t="shared" si="2691"/>
        <v>9.048</v>
      </c>
      <c r="CZ1124" s="454">
        <f t="shared" si="2692"/>
        <v>9.048</v>
      </c>
      <c r="DA1124" s="454">
        <f t="shared" si="2693"/>
        <v>9.048</v>
      </c>
      <c r="DB1124" s="454">
        <f t="shared" si="2693"/>
        <v>9.048</v>
      </c>
      <c r="DC1124" s="1666">
        <f t="shared" si="2693"/>
        <v>9.048</v>
      </c>
      <c r="DD1124" s="331"/>
      <c r="DE1124" s="331"/>
      <c r="DF1124" s="502"/>
      <c r="DG1124" s="503"/>
      <c r="DH1124" s="2915"/>
      <c r="DI1124" s="3213"/>
      <c r="DJ1124" s="502"/>
      <c r="DK1124" s="503"/>
      <c r="DL1124" s="502"/>
      <c r="DM1124" s="502"/>
      <c r="DN1124" s="502"/>
      <c r="DO1124" s="502"/>
      <c r="DP1124" s="503"/>
      <c r="DQ1124" s="503"/>
      <c r="DR1124" s="296"/>
      <c r="DS1124" s="296"/>
      <c r="DT1124" s="296"/>
    </row>
    <row r="1125" spans="1:124" ht="12" customHeight="1" x14ac:dyDescent="0.25">
      <c r="A1125" s="428"/>
      <c r="B1125" s="428"/>
      <c r="C1125" s="454"/>
      <c r="D1125" s="454"/>
      <c r="E1125" s="454"/>
      <c r="F1125" s="454"/>
      <c r="G1125" s="455"/>
      <c r="H1125" s="454"/>
      <c r="I1125" s="454"/>
      <c r="J1125" s="454"/>
      <c r="K1125" s="454"/>
      <c r="L1125" s="455"/>
      <c r="M1125" s="454"/>
      <c r="N1125" s="454"/>
      <c r="O1125" s="454"/>
      <c r="P1125" s="454"/>
      <c r="Q1125" s="455"/>
      <c r="R1125" s="454"/>
      <c r="S1125" s="454"/>
      <c r="T1125" s="454"/>
      <c r="U1125" s="454"/>
      <c r="V1125" s="455"/>
      <c r="W1125" s="454"/>
      <c r="X1125" s="454"/>
      <c r="Y1125" s="454"/>
      <c r="Z1125" s="454"/>
      <c r="AA1125" s="455"/>
      <c r="AB1125" s="454"/>
      <c r="AC1125" s="454"/>
      <c r="AD1125" s="454"/>
      <c r="AE1125" s="454"/>
      <c r="AF1125" s="455"/>
      <c r="AG1125" s="454"/>
      <c r="AH1125" s="454"/>
      <c r="AI1125" s="454"/>
      <c r="AJ1125" s="454"/>
      <c r="AK1125" s="455"/>
      <c r="AL1125" s="454"/>
      <c r="AM1125" s="454"/>
      <c r="AN1125" s="454"/>
      <c r="AO1125" s="454"/>
      <c r="AP1125" s="456"/>
      <c r="AQ1125" s="456"/>
      <c r="AR1125" s="454"/>
      <c r="AS1125" s="454"/>
      <c r="AT1125" s="454"/>
      <c r="AU1125" s="1693"/>
      <c r="AV1125" s="1863"/>
      <c r="AW1125" s="1841"/>
      <c r="AX1125" s="1841"/>
      <c r="AY1125" s="1864"/>
      <c r="AZ1125" s="1693"/>
      <c r="BA1125" s="1863"/>
      <c r="BB1125" s="1841"/>
      <c r="BC1125" s="1841"/>
      <c r="BD1125" s="1864"/>
      <c r="BE1125" s="1864"/>
      <c r="BF1125" s="1841"/>
      <c r="BG1125" s="1841"/>
      <c r="BH1125" s="1841"/>
      <c r="BI1125" s="1864"/>
      <c r="BJ1125" s="1864"/>
      <c r="BK1125" s="1841"/>
      <c r="BL1125" s="1841"/>
      <c r="BM1125" s="1841"/>
      <c r="BN1125" s="1864"/>
      <c r="BO1125" s="1864"/>
      <c r="BP1125" s="1841"/>
      <c r="BQ1125" s="1841"/>
      <c r="BR1125" s="1841"/>
      <c r="BS1125" s="1841"/>
      <c r="BT1125" s="3066"/>
      <c r="BU1125" s="3391"/>
      <c r="BV1125" s="2915"/>
      <c r="BW1125" s="1841"/>
      <c r="BX1125" s="2915"/>
      <c r="BY1125" s="3066"/>
      <c r="BZ1125" s="455"/>
      <c r="CA1125" s="455"/>
      <c r="CB1125" s="455"/>
      <c r="CC1125" s="455"/>
      <c r="CD1125" s="455"/>
      <c r="CE1125" s="455"/>
      <c r="CF1125" s="455"/>
      <c r="CG1125" s="331"/>
      <c r="CH1125" s="331"/>
      <c r="CI1125" s="331"/>
      <c r="CJ1125" s="331"/>
      <c r="CK1125" s="331"/>
      <c r="CL1125" s="520"/>
      <c r="CM1125" s="454"/>
      <c r="CN1125" s="454"/>
      <c r="CO1125" s="454"/>
      <c r="CP1125" s="454"/>
      <c r="CQ1125" s="454"/>
      <c r="CR1125" s="454"/>
      <c r="CS1125" s="454"/>
      <c r="CT1125" s="454"/>
      <c r="CU1125" s="454"/>
      <c r="CV1125" s="454"/>
      <c r="CW1125" s="454"/>
      <c r="CX1125" s="454"/>
      <c r="CY1125" s="454"/>
      <c r="CZ1125" s="454"/>
      <c r="DA1125" s="454"/>
      <c r="DB1125" s="454"/>
      <c r="DC1125" s="1666"/>
      <c r="DD1125" s="331"/>
      <c r="DE1125" s="331"/>
      <c r="DF1125" s="502"/>
      <c r="DG1125" s="503"/>
      <c r="DH1125" s="2915"/>
      <c r="DI1125" s="3213"/>
      <c r="DJ1125" s="502"/>
      <c r="DK1125" s="503"/>
      <c r="DL1125" s="502"/>
      <c r="DM1125" s="502"/>
      <c r="DN1125" s="502"/>
      <c r="DO1125" s="502"/>
      <c r="DP1125" s="503"/>
      <c r="DQ1125" s="503"/>
      <c r="DR1125" s="296"/>
      <c r="DS1125" s="296"/>
      <c r="DT1125" s="296"/>
    </row>
    <row r="1126" spans="1:124" ht="12" customHeight="1" x14ac:dyDescent="0.25">
      <c r="A1126" s="281"/>
      <c r="B1126" s="281"/>
      <c r="C1126" s="446"/>
      <c r="D1126" s="446"/>
      <c r="E1126" s="446"/>
      <c r="F1126" s="446"/>
      <c r="G1126" s="447"/>
      <c r="H1126" s="446"/>
      <c r="I1126" s="446"/>
      <c r="J1126" s="446"/>
      <c r="K1126" s="446"/>
      <c r="L1126" s="447"/>
      <c r="M1126" s="446"/>
      <c r="N1126" s="446"/>
      <c r="O1126" s="446"/>
      <c r="P1126" s="446"/>
      <c r="Q1126" s="447"/>
      <c r="R1126" s="446"/>
      <c r="S1126" s="446"/>
      <c r="T1126" s="446"/>
      <c r="U1126" s="446"/>
      <c r="V1126" s="447"/>
      <c r="W1126" s="446"/>
      <c r="X1126" s="446"/>
      <c r="Y1126" s="446"/>
      <c r="Z1126" s="446"/>
      <c r="AA1126" s="447"/>
      <c r="AB1126" s="446"/>
      <c r="AC1126" s="446"/>
      <c r="AD1126" s="446"/>
      <c r="AE1126" s="454"/>
      <c r="AF1126" s="455"/>
      <c r="AG1126" s="446"/>
      <c r="AH1126" s="446"/>
      <c r="AI1126" s="446"/>
      <c r="AJ1126" s="454"/>
      <c r="AK1126" s="455"/>
      <c r="AL1126" s="446"/>
      <c r="AM1126" s="446"/>
      <c r="AN1126" s="446"/>
      <c r="AO1126" s="454"/>
      <c r="AP1126" s="456"/>
      <c r="AQ1126" s="456"/>
      <c r="AR1126" s="454"/>
      <c r="AS1126" s="454"/>
      <c r="AT1126" s="454"/>
      <c r="AU1126" s="455"/>
      <c r="AV1126" s="456"/>
      <c r="AW1126" s="454"/>
      <c r="AX1126" s="454"/>
      <c r="AY1126" s="1666"/>
      <c r="AZ1126" s="455"/>
      <c r="BA1126" s="456"/>
      <c r="BB1126" s="454"/>
      <c r="BC1126" s="454"/>
      <c r="BD1126" s="1666"/>
      <c r="BE1126" s="1666"/>
      <c r="BF1126" s="454"/>
      <c r="BG1126" s="454"/>
      <c r="BH1126" s="454"/>
      <c r="BI1126" s="1666"/>
      <c r="BJ1126" s="1666"/>
      <c r="BK1126" s="454"/>
      <c r="BL1126" s="454"/>
      <c r="BM1126" s="454"/>
      <c r="BN1126" s="1666"/>
      <c r="BO1126" s="1666"/>
      <c r="BP1126" s="454"/>
      <c r="BQ1126" s="454"/>
      <c r="BR1126" s="454"/>
      <c r="BS1126" s="454"/>
      <c r="BT1126" s="3066"/>
      <c r="BU1126" s="3391"/>
      <c r="BV1126" s="2915"/>
      <c r="BW1126" s="2915"/>
      <c r="BX1126" s="2915"/>
      <c r="BY1126" s="3066"/>
      <c r="BZ1126" s="455"/>
      <c r="CA1126" s="455"/>
      <c r="CB1126" s="455"/>
      <c r="CC1126" s="455"/>
      <c r="CD1126" s="455"/>
      <c r="CE1126" s="455"/>
      <c r="CF1126" s="455"/>
      <c r="CG1126" s="331"/>
      <c r="CH1126" s="331"/>
      <c r="CI1126" s="331"/>
      <c r="CJ1126" s="331"/>
      <c r="CK1126" s="331"/>
      <c r="CL1126" s="520"/>
      <c r="CM1126" s="454"/>
      <c r="CN1126" s="454"/>
      <c r="CO1126" s="454"/>
      <c r="CP1126" s="454"/>
      <c r="CQ1126" s="454"/>
      <c r="CR1126" s="454"/>
      <c r="CS1126" s="454"/>
      <c r="CT1126" s="454"/>
      <c r="CU1126" s="454"/>
      <c r="CV1126" s="454"/>
      <c r="CW1126" s="454"/>
      <c r="CX1126" s="454"/>
      <c r="CY1126" s="454"/>
      <c r="CZ1126" s="454"/>
      <c r="DA1126" s="454"/>
      <c r="DB1126" s="454"/>
      <c r="DC1126" s="1666"/>
      <c r="DD1126" s="331"/>
      <c r="DE1126" s="331"/>
      <c r="DF1126" s="502"/>
      <c r="DG1126" s="503"/>
      <c r="DH1126" s="2915"/>
      <c r="DI1126" s="3213"/>
      <c r="DJ1126" s="502"/>
      <c r="DK1126" s="503"/>
      <c r="DL1126" s="502"/>
      <c r="DM1126" s="502"/>
      <c r="DN1126" s="502"/>
      <c r="DO1126" s="502"/>
      <c r="DP1126" s="503"/>
      <c r="DQ1126" s="503"/>
      <c r="DR1126" s="296"/>
      <c r="DS1126" s="296"/>
      <c r="DT1126" s="296"/>
    </row>
    <row r="1127" spans="1:124" ht="12" hidden="1" customHeight="1" outlineLevel="1" x14ac:dyDescent="0.25">
      <c r="A1127" s="1815" t="s">
        <v>2130</v>
      </c>
      <c r="B1127" s="409"/>
      <c r="C1127" s="433" t="str">
        <f>C$6</f>
        <v>1Q04</v>
      </c>
      <c r="D1127" s="433" t="str">
        <f t="shared" ref="D1127:CB1127" si="2699">D$6</f>
        <v>2Q04</v>
      </c>
      <c r="E1127" s="433" t="str">
        <f t="shared" si="2699"/>
        <v>3Q04</v>
      </c>
      <c r="F1127" s="433" t="str">
        <f t="shared" si="2699"/>
        <v>4Q04</v>
      </c>
      <c r="G1127" s="434">
        <f t="shared" si="2699"/>
        <v>2004</v>
      </c>
      <c r="H1127" s="433" t="str">
        <f t="shared" si="2699"/>
        <v>1Q05</v>
      </c>
      <c r="I1127" s="433" t="str">
        <f t="shared" si="2699"/>
        <v>2Q05</v>
      </c>
      <c r="J1127" s="433" t="str">
        <f t="shared" si="2699"/>
        <v>3Q05</v>
      </c>
      <c r="K1127" s="433" t="str">
        <f t="shared" si="2699"/>
        <v>4Q05</v>
      </c>
      <c r="L1127" s="434">
        <f t="shared" si="2699"/>
        <v>2005</v>
      </c>
      <c r="M1127" s="433" t="str">
        <f t="shared" si="2699"/>
        <v>1Q06</v>
      </c>
      <c r="N1127" s="433" t="str">
        <f t="shared" si="2699"/>
        <v>2Q06</v>
      </c>
      <c r="O1127" s="433" t="str">
        <f t="shared" si="2699"/>
        <v>3Q06</v>
      </c>
      <c r="P1127" s="433" t="str">
        <f t="shared" si="2699"/>
        <v>4Q06</v>
      </c>
      <c r="Q1127" s="434">
        <f t="shared" si="2699"/>
        <v>2006</v>
      </c>
      <c r="R1127" s="433" t="str">
        <f t="shared" si="2699"/>
        <v>1Q07</v>
      </c>
      <c r="S1127" s="433" t="str">
        <f t="shared" si="2699"/>
        <v>2Q07</v>
      </c>
      <c r="T1127" s="433" t="str">
        <f t="shared" si="2699"/>
        <v>3Q07</v>
      </c>
      <c r="U1127" s="433" t="str">
        <f t="shared" si="2699"/>
        <v>4Q07</v>
      </c>
      <c r="V1127" s="434">
        <f t="shared" si="2699"/>
        <v>2007</v>
      </c>
      <c r="W1127" s="433" t="str">
        <f t="shared" si="2699"/>
        <v>1Q08</v>
      </c>
      <c r="X1127" s="433" t="str">
        <f t="shared" si="2699"/>
        <v>2Q08</v>
      </c>
      <c r="Y1127" s="433" t="str">
        <f t="shared" si="2699"/>
        <v>3Q08</v>
      </c>
      <c r="Z1127" s="433" t="str">
        <f t="shared" si="2699"/>
        <v>4Q08</v>
      </c>
      <c r="AA1127" s="434">
        <f t="shared" si="2699"/>
        <v>2008</v>
      </c>
      <c r="AB1127" s="433" t="str">
        <f t="shared" si="2699"/>
        <v>1Q09</v>
      </c>
      <c r="AC1127" s="433" t="str">
        <f t="shared" si="2699"/>
        <v>2Q09</v>
      </c>
      <c r="AD1127" s="433" t="str">
        <f t="shared" si="2699"/>
        <v>3Q09</v>
      </c>
      <c r="AE1127" s="433" t="str">
        <f t="shared" si="2699"/>
        <v>4Q09</v>
      </c>
      <c r="AF1127" s="434">
        <f t="shared" si="2699"/>
        <v>2009</v>
      </c>
      <c r="AG1127" s="433" t="str">
        <f t="shared" si="2699"/>
        <v>1Q10</v>
      </c>
      <c r="AH1127" s="433" t="str">
        <f t="shared" si="2699"/>
        <v>2Q10</v>
      </c>
      <c r="AI1127" s="433" t="str">
        <f t="shared" si="2699"/>
        <v>3Q10</v>
      </c>
      <c r="AJ1127" s="433" t="str">
        <f t="shared" si="2699"/>
        <v>4Q10</v>
      </c>
      <c r="AK1127" s="434">
        <f t="shared" si="2699"/>
        <v>2010</v>
      </c>
      <c r="AL1127" s="435" t="str">
        <f t="shared" si="2699"/>
        <v>1Q11</v>
      </c>
      <c r="AM1127" s="435" t="str">
        <f t="shared" si="2699"/>
        <v>2Q11</v>
      </c>
      <c r="AN1127" s="435" t="str">
        <f t="shared" si="2699"/>
        <v>3Q11</v>
      </c>
      <c r="AO1127" s="435" t="str">
        <f t="shared" si="2699"/>
        <v>4Q11</v>
      </c>
      <c r="AP1127" s="436">
        <f t="shared" si="2699"/>
        <v>2011</v>
      </c>
      <c r="AQ1127" s="436" t="str">
        <f t="shared" si="2699"/>
        <v>1Q12</v>
      </c>
      <c r="AR1127" s="437" t="str">
        <f t="shared" si="2699"/>
        <v>2Q12</v>
      </c>
      <c r="AS1127" s="437" t="str">
        <f t="shared" si="2699"/>
        <v>3Q12</v>
      </c>
      <c r="AT1127" s="437" t="str">
        <f t="shared" si="2699"/>
        <v>4Q12</v>
      </c>
      <c r="AU1127" s="438">
        <f t="shared" si="2699"/>
        <v>2012</v>
      </c>
      <c r="AV1127" s="436" t="str">
        <f t="shared" si="2699"/>
        <v>1Q13</v>
      </c>
      <c r="AW1127" s="437" t="str">
        <f t="shared" si="2699"/>
        <v>2Q13</v>
      </c>
      <c r="AX1127" s="437" t="str">
        <f t="shared" si="2699"/>
        <v>3Q13</v>
      </c>
      <c r="AY1127" s="861" t="str">
        <f t="shared" si="2699"/>
        <v>4Q13</v>
      </c>
      <c r="AZ1127" s="438">
        <f t="shared" si="2699"/>
        <v>2013</v>
      </c>
      <c r="BA1127" s="436" t="str">
        <f t="shared" si="2699"/>
        <v>1Q14</v>
      </c>
      <c r="BB1127" s="437" t="str">
        <f t="shared" si="2699"/>
        <v>2Q14</v>
      </c>
      <c r="BC1127" s="437" t="str">
        <f t="shared" si="2699"/>
        <v>3Q14</v>
      </c>
      <c r="BD1127" s="861" t="str">
        <f t="shared" si="2699"/>
        <v>4Q14</v>
      </c>
      <c r="BE1127" s="861">
        <f t="shared" si="2699"/>
        <v>2014</v>
      </c>
      <c r="BF1127" s="437" t="str">
        <f t="shared" si="2699"/>
        <v>1Q15</v>
      </c>
      <c r="BG1127" s="437" t="str">
        <f t="shared" si="2699"/>
        <v>2Q15</v>
      </c>
      <c r="BH1127" s="437" t="str">
        <f t="shared" si="2699"/>
        <v>3Q15</v>
      </c>
      <c r="BI1127" s="861" t="str">
        <f t="shared" si="2699"/>
        <v>4Q15</v>
      </c>
      <c r="BJ1127" s="861">
        <f t="shared" si="2699"/>
        <v>2015</v>
      </c>
      <c r="BK1127" s="437" t="str">
        <f t="shared" si="2699"/>
        <v>1Q16</v>
      </c>
      <c r="BL1127" s="437" t="str">
        <f t="shared" si="2699"/>
        <v>2Q16</v>
      </c>
      <c r="BM1127" s="437" t="str">
        <f t="shared" si="2699"/>
        <v>3Q16</v>
      </c>
      <c r="BN1127" s="861" t="str">
        <f t="shared" si="2699"/>
        <v>4Q16</v>
      </c>
      <c r="BO1127" s="861">
        <f t="shared" si="2699"/>
        <v>2016</v>
      </c>
      <c r="BP1127" s="437" t="str">
        <f t="shared" si="2699"/>
        <v>1Q17</v>
      </c>
      <c r="BQ1127" s="437" t="str">
        <f t="shared" si="2699"/>
        <v>2Q17</v>
      </c>
      <c r="BR1127" s="437" t="str">
        <f t="shared" si="2699"/>
        <v>3Q17</v>
      </c>
      <c r="BS1127" s="437" t="str">
        <f t="shared" si="2699"/>
        <v>4Q17</v>
      </c>
      <c r="BT1127" s="438">
        <f t="shared" si="2699"/>
        <v>2017</v>
      </c>
      <c r="BU1127" s="437" t="str">
        <f t="shared" si="2699"/>
        <v>1Q18E</v>
      </c>
      <c r="BV1127" s="437" t="str">
        <f t="shared" si="2699"/>
        <v>2Q18E</v>
      </c>
      <c r="BW1127" s="437" t="str">
        <f t="shared" si="2699"/>
        <v>3Q18E</v>
      </c>
      <c r="BX1127" s="437" t="str">
        <f t="shared" si="2699"/>
        <v>4Q18E</v>
      </c>
      <c r="BY1127" s="438" t="str">
        <f t="shared" si="2699"/>
        <v>2018E</v>
      </c>
      <c r="BZ1127" s="438" t="str">
        <f t="shared" si="2699"/>
        <v>2019E</v>
      </c>
      <c r="CA1127" s="438" t="str">
        <f t="shared" si="2699"/>
        <v>2020E</v>
      </c>
      <c r="CB1127" s="438" t="str">
        <f t="shared" si="2699"/>
        <v>2021E</v>
      </c>
      <c r="CC1127" s="438" t="str">
        <f>CC$6</f>
        <v>2022E</v>
      </c>
      <c r="CD1127" s="438" t="str">
        <f>CD$6</f>
        <v>2023E</v>
      </c>
      <c r="CE1127" s="438" t="str">
        <f>CE$6</f>
        <v>2024E</v>
      </c>
      <c r="CF1127" s="438" t="str">
        <f>CF$6</f>
        <v>2025E</v>
      </c>
      <c r="CG1127" s="331"/>
      <c r="CH1127" s="331"/>
      <c r="CI1127" s="331"/>
      <c r="CJ1127" s="331"/>
      <c r="CK1127" s="331"/>
      <c r="CL1127" s="2225" t="str">
        <f>A1127</f>
        <v>Argosy Baton Rouge - Sold in Oct 2005</v>
      </c>
      <c r="CM1127" s="2229">
        <f>G1127</f>
        <v>2004</v>
      </c>
      <c r="CN1127" s="2229">
        <f>L1127</f>
        <v>2005</v>
      </c>
      <c r="CO1127" s="2229">
        <f>Q1127</f>
        <v>2006</v>
      </c>
      <c r="CP1127" s="2229">
        <f>V1127</f>
        <v>2007</v>
      </c>
      <c r="CQ1127" s="2229">
        <f>AA1127</f>
        <v>2008</v>
      </c>
      <c r="CR1127" s="2229">
        <f>AF1127</f>
        <v>2009</v>
      </c>
      <c r="CS1127" s="2229">
        <f>AK1127</f>
        <v>2010</v>
      </c>
      <c r="CT1127" s="2229">
        <f>AP1127</f>
        <v>2011</v>
      </c>
      <c r="CU1127" s="2229">
        <f>AU1127</f>
        <v>2012</v>
      </c>
      <c r="CV1127" s="2229">
        <f>AZ1127</f>
        <v>2013</v>
      </c>
      <c r="CW1127" s="2229">
        <f>BE1127</f>
        <v>2014</v>
      </c>
      <c r="CX1127" s="2229">
        <f>BJ1127</f>
        <v>2015</v>
      </c>
      <c r="CY1127" s="2229">
        <f>BO1127</f>
        <v>2016</v>
      </c>
      <c r="CZ1127" s="2229">
        <f>BT1127</f>
        <v>2017</v>
      </c>
      <c r="DA1127" s="2229" t="str">
        <f>BY1127</f>
        <v>2018E</v>
      </c>
      <c r="DB1127" s="2229" t="str">
        <f>BZ1127</f>
        <v>2019E</v>
      </c>
      <c r="DC1127" s="2230" t="str">
        <f>CA1127</f>
        <v>2020E</v>
      </c>
      <c r="DD1127" s="331"/>
      <c r="DE1127" s="331"/>
      <c r="DF1127" s="502"/>
      <c r="DG1127" s="503"/>
      <c r="DH1127" s="537"/>
      <c r="DI1127" s="3213"/>
      <c r="DJ1127" s="502"/>
      <c r="DK1127" s="503"/>
      <c r="DL1127" s="502"/>
      <c r="DM1127" s="502"/>
      <c r="DN1127" s="502"/>
      <c r="DO1127" s="502"/>
      <c r="DP1127" s="503"/>
      <c r="DQ1127" s="503"/>
      <c r="DR1127" s="296"/>
      <c r="DS1127" s="296"/>
      <c r="DT1127" s="296"/>
    </row>
    <row r="1128" spans="1:124" ht="12" hidden="1" customHeight="1" outlineLevel="1" x14ac:dyDescent="0.25">
      <c r="A1128" s="281" t="s">
        <v>894</v>
      </c>
      <c r="B1128" s="281"/>
      <c r="C1128" s="305">
        <f>C1129+(C1130*C320)</f>
        <v>1042</v>
      </c>
      <c r="D1128" s="305">
        <f>D1129+(D1130*D320)</f>
        <v>1042</v>
      </c>
      <c r="E1128" s="305">
        <f>E1129+(E1130*E320)</f>
        <v>1042</v>
      </c>
      <c r="F1128" s="305">
        <f>F1129+(F1130*F320)</f>
        <v>1043</v>
      </c>
      <c r="G1128" s="346">
        <f>F1128</f>
        <v>1043</v>
      </c>
      <c r="H1128" s="305">
        <f>H1129+(H1130*H320)</f>
        <v>1043</v>
      </c>
      <c r="I1128" s="305">
        <f>I1129+(I1130*I320)</f>
        <v>1043</v>
      </c>
      <c r="J1128" s="305">
        <f>J1129+(J1130*J320)</f>
        <v>1043</v>
      </c>
      <c r="K1128" s="305"/>
      <c r="L1128" s="447">
        <v>0</v>
      </c>
      <c r="M1128" s="472"/>
      <c r="N1128" s="472"/>
      <c r="O1128" s="472"/>
      <c r="P1128" s="472"/>
      <c r="Q1128" s="491"/>
      <c r="R1128" s="472"/>
      <c r="S1128" s="472"/>
      <c r="T1128" s="472"/>
      <c r="U1128" s="472"/>
      <c r="V1128" s="491"/>
      <c r="W1128" s="472"/>
      <c r="X1128" s="472"/>
      <c r="Y1128" s="472"/>
      <c r="Z1128" s="472"/>
      <c r="AA1128" s="491"/>
      <c r="AB1128" s="472"/>
      <c r="AC1128" s="472"/>
      <c r="AD1128" s="472"/>
      <c r="AE1128" s="492"/>
      <c r="AF1128" s="493"/>
      <c r="AG1128" s="492"/>
      <c r="AH1128" s="492"/>
      <c r="AI1128" s="492"/>
      <c r="AJ1128" s="492"/>
      <c r="AK1128" s="493"/>
      <c r="AL1128" s="492"/>
      <c r="AM1128" s="492"/>
      <c r="AN1128" s="492"/>
      <c r="AO1128" s="492"/>
      <c r="AP1128" s="494"/>
      <c r="AQ1128" s="494"/>
      <c r="AR1128" s="492"/>
      <c r="AS1128" s="492"/>
      <c r="AT1128" s="492"/>
      <c r="AU1128" s="493"/>
      <c r="AV1128" s="494"/>
      <c r="AW1128" s="492"/>
      <c r="AX1128" s="492"/>
      <c r="AY1128" s="1311"/>
      <c r="AZ1128" s="493"/>
      <c r="BA1128" s="494"/>
      <c r="BB1128" s="492"/>
      <c r="BC1128" s="492"/>
      <c r="BD1128" s="1311"/>
      <c r="BE1128" s="1311"/>
      <c r="BF1128" s="492"/>
      <c r="BG1128" s="492"/>
      <c r="BH1128" s="492"/>
      <c r="BI1128" s="1311"/>
      <c r="BJ1128" s="1311"/>
      <c r="BK1128" s="492"/>
      <c r="BL1128" s="492"/>
      <c r="BM1128" s="492"/>
      <c r="BN1128" s="1311"/>
      <c r="BO1128" s="1311"/>
      <c r="BP1128" s="492"/>
      <c r="BQ1128" s="492"/>
      <c r="BR1128" s="492"/>
      <c r="BS1128" s="492"/>
      <c r="BT1128" s="2693"/>
      <c r="BU1128" s="3398"/>
      <c r="BV1128" s="2653"/>
      <c r="BW1128" s="2653"/>
      <c r="BX1128" s="2653"/>
      <c r="BY1128" s="2693"/>
      <c r="BZ1128" s="493"/>
      <c r="CA1128" s="493"/>
      <c r="CB1128" s="493"/>
      <c r="CC1128" s="493"/>
      <c r="CD1128" s="493"/>
      <c r="CE1128" s="493"/>
      <c r="CF1128" s="493"/>
      <c r="CG1128" s="331"/>
      <c r="CH1128" s="331"/>
      <c r="CI1128" s="331"/>
      <c r="CJ1128" s="331"/>
      <c r="CK1128" s="331"/>
      <c r="CL1128" s="520" t="str">
        <f>A1128</f>
        <v>Positions</v>
      </c>
      <c r="CM1128" s="1452">
        <f>G1128</f>
        <v>1043</v>
      </c>
      <c r="CN1128" s="1055">
        <f>L1128</f>
        <v>0</v>
      </c>
      <c r="CO1128" s="492"/>
      <c r="CP1128" s="492"/>
      <c r="CQ1128" s="492"/>
      <c r="CR1128" s="492"/>
      <c r="CS1128" s="492"/>
      <c r="CT1128" s="492"/>
      <c r="CU1128" s="492"/>
      <c r="CV1128" s="492"/>
      <c r="CW1128" s="492"/>
      <c r="CX1128" s="492"/>
      <c r="CY1128" s="492"/>
      <c r="CZ1128" s="492"/>
      <c r="DA1128" s="492"/>
      <c r="DB1128" s="492"/>
      <c r="DC1128" s="1311"/>
      <c r="DD1128" s="331"/>
      <c r="DE1128" s="331"/>
      <c r="DF1128" s="502"/>
      <c r="DG1128" s="503"/>
      <c r="DH1128" s="2653"/>
      <c r="DI1128" s="3213"/>
      <c r="DJ1128" s="502"/>
      <c r="DK1128" s="503"/>
      <c r="DL1128" s="502"/>
      <c r="DM1128" s="502"/>
      <c r="DN1128" s="502"/>
      <c r="DO1128" s="502"/>
      <c r="DP1128" s="503"/>
      <c r="DQ1128" s="503"/>
      <c r="DR1128" s="296"/>
      <c r="DS1128" s="296"/>
      <c r="DT1128" s="296"/>
    </row>
    <row r="1129" spans="1:124" ht="12" hidden="1" customHeight="1" outlineLevel="1" x14ac:dyDescent="0.25">
      <c r="A1129" s="281" t="s">
        <v>585</v>
      </c>
      <c r="B1129" s="281"/>
      <c r="C1129" s="337">
        <v>862</v>
      </c>
      <c r="D1129" s="337">
        <v>862</v>
      </c>
      <c r="E1129" s="337">
        <v>862</v>
      </c>
      <c r="F1129" s="337">
        <v>863</v>
      </c>
      <c r="G1129" s="345">
        <f>F1129</f>
        <v>863</v>
      </c>
      <c r="H1129" s="337">
        <v>863</v>
      </c>
      <c r="I1129" s="337">
        <v>863</v>
      </c>
      <c r="J1129" s="337">
        <v>863</v>
      </c>
      <c r="K1129" s="310"/>
      <c r="L1129" s="447">
        <v>0</v>
      </c>
      <c r="M1129" s="472"/>
      <c r="N1129" s="472"/>
      <c r="O1129" s="472"/>
      <c r="P1129" s="472"/>
      <c r="Q1129" s="491"/>
      <c r="R1129" s="472"/>
      <c r="S1129" s="472"/>
      <c r="T1129" s="472"/>
      <c r="U1129" s="472"/>
      <c r="V1129" s="491"/>
      <c r="W1129" s="472"/>
      <c r="X1129" s="472"/>
      <c r="Y1129" s="472"/>
      <c r="Z1129" s="472"/>
      <c r="AA1129" s="491"/>
      <c r="AB1129" s="472"/>
      <c r="AC1129" s="472"/>
      <c r="AD1129" s="472"/>
      <c r="AE1129" s="492"/>
      <c r="AF1129" s="493"/>
      <c r="AG1129" s="492"/>
      <c r="AH1129" s="492"/>
      <c r="AI1129" s="492"/>
      <c r="AJ1129" s="492"/>
      <c r="AK1129" s="493"/>
      <c r="AL1129" s="492"/>
      <c r="AM1129" s="492"/>
      <c r="AN1129" s="492"/>
      <c r="AO1129" s="492"/>
      <c r="AP1129" s="494"/>
      <c r="AQ1129" s="494"/>
      <c r="AR1129" s="492"/>
      <c r="AS1129" s="492"/>
      <c r="AT1129" s="492"/>
      <c r="AU1129" s="493"/>
      <c r="AV1129" s="494"/>
      <c r="AW1129" s="492"/>
      <c r="AX1129" s="492"/>
      <c r="AY1129" s="1311"/>
      <c r="AZ1129" s="493"/>
      <c r="BA1129" s="494"/>
      <c r="BB1129" s="492"/>
      <c r="BC1129" s="492"/>
      <c r="BD1129" s="1311"/>
      <c r="BE1129" s="1311"/>
      <c r="BF1129" s="492"/>
      <c r="BG1129" s="492"/>
      <c r="BH1129" s="492"/>
      <c r="BI1129" s="1311"/>
      <c r="BJ1129" s="1311"/>
      <c r="BK1129" s="492"/>
      <c r="BL1129" s="492"/>
      <c r="BM1129" s="492"/>
      <c r="BN1129" s="1311"/>
      <c r="BO1129" s="1311"/>
      <c r="BP1129" s="492"/>
      <c r="BQ1129" s="492"/>
      <c r="BR1129" s="492"/>
      <c r="BS1129" s="492"/>
      <c r="BT1129" s="2693"/>
      <c r="BU1129" s="3398"/>
      <c r="BV1129" s="2653"/>
      <c r="BW1129" s="2653"/>
      <c r="BX1129" s="2653"/>
      <c r="BY1129" s="2693"/>
      <c r="BZ1129" s="493"/>
      <c r="CA1129" s="493"/>
      <c r="CB1129" s="493"/>
      <c r="CC1129" s="493"/>
      <c r="CD1129" s="493"/>
      <c r="CE1129" s="493"/>
      <c r="CF1129" s="493"/>
      <c r="CG1129" s="331"/>
      <c r="CH1129" s="331"/>
      <c r="CI1129" s="331"/>
      <c r="CJ1129" s="331"/>
      <c r="CK1129" s="331"/>
      <c r="CL1129" s="520" t="str">
        <f>A1129</f>
        <v>Slots</v>
      </c>
      <c r="CM1129" s="1452">
        <f>G1129</f>
        <v>863</v>
      </c>
      <c r="CN1129" s="1055">
        <f>L1129</f>
        <v>0</v>
      </c>
      <c r="CO1129" s="492"/>
      <c r="CP1129" s="492"/>
      <c r="CQ1129" s="492"/>
      <c r="CR1129" s="492"/>
      <c r="CS1129" s="492"/>
      <c r="CT1129" s="492"/>
      <c r="CU1129" s="492"/>
      <c r="CV1129" s="492"/>
      <c r="CW1129" s="492"/>
      <c r="CX1129" s="492"/>
      <c r="CY1129" s="492"/>
      <c r="CZ1129" s="492"/>
      <c r="DA1129" s="492"/>
      <c r="DB1129" s="492"/>
      <c r="DC1129" s="1311"/>
      <c r="DD1129" s="331"/>
      <c r="DE1129" s="331"/>
      <c r="DF1129" s="502"/>
      <c r="DG1129" s="503"/>
      <c r="DH1129" s="2653"/>
      <c r="DI1129" s="3213"/>
      <c r="DJ1129" s="502"/>
      <c r="DK1129" s="503"/>
      <c r="DL1129" s="502"/>
      <c r="DM1129" s="502"/>
      <c r="DN1129" s="502"/>
      <c r="DO1129" s="502"/>
      <c r="DP1129" s="503"/>
      <c r="DQ1129" s="503"/>
      <c r="DR1129" s="296"/>
      <c r="DS1129" s="296"/>
      <c r="DT1129" s="296"/>
    </row>
    <row r="1130" spans="1:124" ht="12" hidden="1" customHeight="1" outlineLevel="1" x14ac:dyDescent="0.25">
      <c r="A1130" s="281" t="s">
        <v>584</v>
      </c>
      <c r="B1130" s="281"/>
      <c r="C1130" s="337">
        <v>30</v>
      </c>
      <c r="D1130" s="337">
        <v>30</v>
      </c>
      <c r="E1130" s="337">
        <v>30</v>
      </c>
      <c r="F1130" s="337">
        <v>30</v>
      </c>
      <c r="G1130" s="345">
        <f>F1130</f>
        <v>30</v>
      </c>
      <c r="H1130" s="337">
        <v>30</v>
      </c>
      <c r="I1130" s="337">
        <v>30</v>
      </c>
      <c r="J1130" s="337">
        <v>30</v>
      </c>
      <c r="K1130" s="310"/>
      <c r="L1130" s="447">
        <v>0</v>
      </c>
      <c r="M1130" s="472"/>
      <c r="N1130" s="472"/>
      <c r="O1130" s="472"/>
      <c r="P1130" s="472"/>
      <c r="Q1130" s="491"/>
      <c r="R1130" s="472"/>
      <c r="S1130" s="472"/>
      <c r="T1130" s="472"/>
      <c r="U1130" s="472"/>
      <c r="V1130" s="491"/>
      <c r="W1130" s="472"/>
      <c r="X1130" s="472"/>
      <c r="Y1130" s="472"/>
      <c r="Z1130" s="472"/>
      <c r="AA1130" s="491"/>
      <c r="AB1130" s="472"/>
      <c r="AC1130" s="472"/>
      <c r="AD1130" s="472"/>
      <c r="AE1130" s="492"/>
      <c r="AF1130" s="493"/>
      <c r="AG1130" s="492"/>
      <c r="AH1130" s="492"/>
      <c r="AI1130" s="492"/>
      <c r="AJ1130" s="492"/>
      <c r="AK1130" s="493"/>
      <c r="AL1130" s="492"/>
      <c r="AM1130" s="492"/>
      <c r="AN1130" s="492"/>
      <c r="AO1130" s="492"/>
      <c r="AP1130" s="494"/>
      <c r="AQ1130" s="494"/>
      <c r="AR1130" s="492"/>
      <c r="AS1130" s="492"/>
      <c r="AT1130" s="492"/>
      <c r="AU1130" s="493"/>
      <c r="AV1130" s="494"/>
      <c r="AW1130" s="492"/>
      <c r="AX1130" s="492"/>
      <c r="AY1130" s="1311"/>
      <c r="AZ1130" s="493"/>
      <c r="BA1130" s="494"/>
      <c r="BB1130" s="492"/>
      <c r="BC1130" s="492"/>
      <c r="BD1130" s="1311"/>
      <c r="BE1130" s="1311"/>
      <c r="BF1130" s="492"/>
      <c r="BG1130" s="492"/>
      <c r="BH1130" s="492"/>
      <c r="BI1130" s="1311"/>
      <c r="BJ1130" s="1311"/>
      <c r="BK1130" s="492"/>
      <c r="BL1130" s="492"/>
      <c r="BM1130" s="492"/>
      <c r="BN1130" s="1311"/>
      <c r="BO1130" s="1311"/>
      <c r="BP1130" s="492"/>
      <c r="BQ1130" s="492"/>
      <c r="BR1130" s="492"/>
      <c r="BS1130" s="492"/>
      <c r="BT1130" s="2693"/>
      <c r="BU1130" s="3398"/>
      <c r="BV1130" s="2653"/>
      <c r="BW1130" s="2653"/>
      <c r="BX1130" s="2653"/>
      <c r="BY1130" s="2693"/>
      <c r="BZ1130" s="493"/>
      <c r="CA1130" s="493"/>
      <c r="CB1130" s="493"/>
      <c r="CC1130" s="493"/>
      <c r="CD1130" s="493"/>
      <c r="CE1130" s="493"/>
      <c r="CF1130" s="493"/>
      <c r="CG1130" s="331"/>
      <c r="CH1130" s="331"/>
      <c r="CI1130" s="331"/>
      <c r="CJ1130" s="331"/>
      <c r="CK1130" s="331"/>
      <c r="CL1130" s="520" t="str">
        <f>A1130</f>
        <v>Tables</v>
      </c>
      <c r="CM1130" s="1452">
        <f>G1130</f>
        <v>30</v>
      </c>
      <c r="CN1130" s="1055">
        <f>L1130</f>
        <v>0</v>
      </c>
      <c r="CO1130" s="492"/>
      <c r="CP1130" s="492"/>
      <c r="CQ1130" s="492"/>
      <c r="CR1130" s="492"/>
      <c r="CS1130" s="492"/>
      <c r="CT1130" s="492"/>
      <c r="CU1130" s="492"/>
      <c r="CV1130" s="492"/>
      <c r="CW1130" s="492"/>
      <c r="CX1130" s="492"/>
      <c r="CY1130" s="492"/>
      <c r="CZ1130" s="492"/>
      <c r="DA1130" s="492"/>
      <c r="DB1130" s="492"/>
      <c r="DC1130" s="1311"/>
      <c r="DD1130" s="331"/>
      <c r="DE1130" s="331"/>
      <c r="DF1130" s="502"/>
      <c r="DG1130" s="503"/>
      <c r="DH1130" s="2653"/>
      <c r="DI1130" s="3213"/>
      <c r="DJ1130" s="502"/>
      <c r="DK1130" s="503"/>
      <c r="DL1130" s="502"/>
      <c r="DM1130" s="502"/>
      <c r="DN1130" s="502"/>
      <c r="DO1130" s="502"/>
      <c r="DP1130" s="503"/>
      <c r="DQ1130" s="503"/>
      <c r="DR1130" s="296"/>
      <c r="DS1130" s="296"/>
      <c r="DT1130" s="296"/>
    </row>
    <row r="1131" spans="1:124" ht="5.0999999999999996" hidden="1" customHeight="1" outlineLevel="1" x14ac:dyDescent="0.25">
      <c r="A1131" s="281"/>
      <c r="B1131" s="281"/>
      <c r="C1131" s="472"/>
      <c r="D1131" s="472"/>
      <c r="E1131" s="472"/>
      <c r="F1131" s="472"/>
      <c r="G1131" s="491"/>
      <c r="H1131" s="472"/>
      <c r="I1131" s="472"/>
      <c r="J1131" s="472"/>
      <c r="K1131" s="472"/>
      <c r="L1131" s="491"/>
      <c r="M1131" s="472"/>
      <c r="N1131" s="472"/>
      <c r="O1131" s="472"/>
      <c r="P1131" s="472"/>
      <c r="Q1131" s="491"/>
      <c r="R1131" s="472"/>
      <c r="S1131" s="472"/>
      <c r="T1131" s="472"/>
      <c r="U1131" s="472"/>
      <c r="V1131" s="491"/>
      <c r="W1131" s="472"/>
      <c r="X1131" s="472"/>
      <c r="Y1131" s="472"/>
      <c r="Z1131" s="472"/>
      <c r="AA1131" s="491"/>
      <c r="AB1131" s="472"/>
      <c r="AC1131" s="472"/>
      <c r="AD1131" s="472"/>
      <c r="AE1131" s="492"/>
      <c r="AF1131" s="493"/>
      <c r="AG1131" s="492"/>
      <c r="AH1131" s="492"/>
      <c r="AI1131" s="492"/>
      <c r="AJ1131" s="492"/>
      <c r="AK1131" s="493"/>
      <c r="AL1131" s="492"/>
      <c r="AM1131" s="492"/>
      <c r="AN1131" s="492"/>
      <c r="AO1131" s="492"/>
      <c r="AP1131" s="494"/>
      <c r="AQ1131" s="494"/>
      <c r="AR1131" s="492"/>
      <c r="AS1131" s="492"/>
      <c r="AT1131" s="492"/>
      <c r="AU1131" s="493"/>
      <c r="AV1131" s="494"/>
      <c r="AW1131" s="492"/>
      <c r="AX1131" s="492"/>
      <c r="AY1131" s="1311"/>
      <c r="AZ1131" s="493"/>
      <c r="BA1131" s="494"/>
      <c r="BB1131" s="492"/>
      <c r="BC1131" s="492"/>
      <c r="BD1131" s="1311"/>
      <c r="BE1131" s="1311"/>
      <c r="BF1131" s="492"/>
      <c r="BG1131" s="492"/>
      <c r="BH1131" s="492"/>
      <c r="BI1131" s="1311"/>
      <c r="BJ1131" s="1311"/>
      <c r="BK1131" s="492"/>
      <c r="BL1131" s="492"/>
      <c r="BM1131" s="492"/>
      <c r="BN1131" s="1311"/>
      <c r="BO1131" s="1311"/>
      <c r="BP1131" s="492"/>
      <c r="BQ1131" s="492"/>
      <c r="BR1131" s="492"/>
      <c r="BS1131" s="492"/>
      <c r="BT1131" s="2693"/>
      <c r="BU1131" s="3398"/>
      <c r="BV1131" s="2653"/>
      <c r="BW1131" s="2653"/>
      <c r="BX1131" s="2653"/>
      <c r="BY1131" s="2693"/>
      <c r="BZ1131" s="493"/>
      <c r="CA1131" s="493"/>
      <c r="CB1131" s="493"/>
      <c r="CC1131" s="493"/>
      <c r="CD1131" s="493"/>
      <c r="CE1131" s="493"/>
      <c r="CF1131" s="493"/>
      <c r="CG1131" s="331"/>
      <c r="CH1131" s="331"/>
      <c r="CI1131" s="331"/>
      <c r="CJ1131" s="331"/>
      <c r="CK1131" s="331"/>
      <c r="CL1131" s="520"/>
      <c r="CM1131" s="1055"/>
      <c r="CN1131" s="1055"/>
      <c r="CO1131" s="492"/>
      <c r="CP1131" s="492"/>
      <c r="CQ1131" s="492"/>
      <c r="CR1131" s="492"/>
      <c r="CS1131" s="492"/>
      <c r="CT1131" s="492"/>
      <c r="CU1131" s="492"/>
      <c r="CV1131" s="492"/>
      <c r="CW1131" s="492"/>
      <c r="CX1131" s="492"/>
      <c r="CY1131" s="492"/>
      <c r="CZ1131" s="492"/>
      <c r="DA1131" s="492"/>
      <c r="DB1131" s="492"/>
      <c r="DC1131" s="1311"/>
      <c r="DD1131" s="331"/>
      <c r="DE1131" s="331"/>
      <c r="DF1131" s="502"/>
      <c r="DG1131" s="503"/>
      <c r="DH1131" s="2653"/>
      <c r="DI1131" s="3213"/>
      <c r="DJ1131" s="502"/>
      <c r="DK1131" s="503"/>
      <c r="DL1131" s="502"/>
      <c r="DM1131" s="502"/>
      <c r="DN1131" s="502"/>
      <c r="DO1131" s="502"/>
      <c r="DP1131" s="503"/>
      <c r="DQ1131" s="503"/>
      <c r="DR1131" s="296"/>
      <c r="DS1131" s="296"/>
      <c r="DT1131" s="296"/>
    </row>
    <row r="1132" spans="1:124" ht="12" hidden="1" customHeight="1" outlineLevel="1" x14ac:dyDescent="0.25">
      <c r="A1132" s="333" t="s">
        <v>1418</v>
      </c>
      <c r="B1132" s="281"/>
      <c r="C1132" s="570">
        <v>22.350999999999999</v>
      </c>
      <c r="D1132" s="570">
        <v>21.504999999999999</v>
      </c>
      <c r="E1132" s="570">
        <v>20.533000000000001</v>
      </c>
      <c r="F1132" s="570">
        <v>20.843</v>
      </c>
      <c r="G1132" s="475">
        <f>SUM(C1132:F1132)</f>
        <v>85.231999999999999</v>
      </c>
      <c r="H1132" s="570">
        <v>26.364000000000001</v>
      </c>
      <c r="I1132" s="570">
        <v>26.071000000000002</v>
      </c>
      <c r="J1132" s="570">
        <v>25.012</v>
      </c>
      <c r="K1132" s="452"/>
      <c r="L1132" s="475">
        <f>SUM(H1132:K1132)</f>
        <v>77.447000000000003</v>
      </c>
      <c r="M1132" s="472"/>
      <c r="N1132" s="472"/>
      <c r="O1132" s="472"/>
      <c r="P1132" s="472"/>
      <c r="Q1132" s="491"/>
      <c r="R1132" s="472"/>
      <c r="S1132" s="472"/>
      <c r="T1132" s="472"/>
      <c r="U1132" s="472"/>
      <c r="V1132" s="491"/>
      <c r="W1132" s="472"/>
      <c r="X1132" s="472"/>
      <c r="Y1132" s="472"/>
      <c r="Z1132" s="472"/>
      <c r="AA1132" s="491"/>
      <c r="AB1132" s="472"/>
      <c r="AC1132" s="472"/>
      <c r="AD1132" s="472"/>
      <c r="AE1132" s="492"/>
      <c r="AF1132" s="493"/>
      <c r="AG1132" s="492"/>
      <c r="AH1132" s="492"/>
      <c r="AI1132" s="492"/>
      <c r="AJ1132" s="492"/>
      <c r="AK1132" s="493"/>
      <c r="AL1132" s="492"/>
      <c r="AM1132" s="492"/>
      <c r="AN1132" s="492"/>
      <c r="AO1132" s="492"/>
      <c r="AP1132" s="494"/>
      <c r="AQ1132" s="494"/>
      <c r="AR1132" s="492"/>
      <c r="AS1132" s="492"/>
      <c r="AT1132" s="492"/>
      <c r="AU1132" s="493"/>
      <c r="AV1132" s="494"/>
      <c r="AW1132" s="492"/>
      <c r="AX1132" s="492"/>
      <c r="AY1132" s="1311"/>
      <c r="AZ1132" s="493"/>
      <c r="BA1132" s="494"/>
      <c r="BB1132" s="492"/>
      <c r="BC1132" s="492"/>
      <c r="BD1132" s="1311"/>
      <c r="BE1132" s="1311"/>
      <c r="BF1132" s="492"/>
      <c r="BG1132" s="492"/>
      <c r="BH1132" s="492"/>
      <c r="BI1132" s="1311"/>
      <c r="BJ1132" s="1311"/>
      <c r="BK1132" s="492"/>
      <c r="BL1132" s="492"/>
      <c r="BM1132" s="492"/>
      <c r="BN1132" s="1311"/>
      <c r="BO1132" s="1311"/>
      <c r="BP1132" s="492"/>
      <c r="BQ1132" s="492"/>
      <c r="BR1132" s="492"/>
      <c r="BS1132" s="492"/>
      <c r="BT1132" s="2693"/>
      <c r="BU1132" s="3398"/>
      <c r="BV1132" s="2653"/>
      <c r="BW1132" s="2653"/>
      <c r="BX1132" s="2653"/>
      <c r="BY1132" s="2693"/>
      <c r="BZ1132" s="493"/>
      <c r="CA1132" s="493"/>
      <c r="CB1132" s="493"/>
      <c r="CC1132" s="493"/>
      <c r="CD1132" s="493"/>
      <c r="CE1132" s="493"/>
      <c r="CF1132" s="493"/>
      <c r="CG1132" s="331"/>
      <c r="CH1132" s="331"/>
      <c r="CI1132" s="331"/>
      <c r="CJ1132" s="331"/>
      <c r="CK1132" s="331"/>
      <c r="CL1132" s="1149" t="str">
        <f>A1132</f>
        <v>Net revenue</v>
      </c>
      <c r="CM1132" s="1596">
        <f>G1132</f>
        <v>85.231999999999999</v>
      </c>
      <c r="CN1132" s="1596">
        <f>L1132</f>
        <v>77.447000000000003</v>
      </c>
      <c r="CO1132" s="492"/>
      <c r="CP1132" s="492"/>
      <c r="CQ1132" s="492"/>
      <c r="CR1132" s="492"/>
      <c r="CS1132" s="492"/>
      <c r="CT1132" s="492"/>
      <c r="CU1132" s="492"/>
      <c r="CV1132" s="492"/>
      <c r="CW1132" s="492"/>
      <c r="CX1132" s="492"/>
      <c r="CY1132" s="492"/>
      <c r="CZ1132" s="492"/>
      <c r="DA1132" s="492"/>
      <c r="DB1132" s="492"/>
      <c r="DC1132" s="1311"/>
      <c r="DD1132" s="331"/>
      <c r="DE1132" s="331"/>
      <c r="DF1132" s="502"/>
      <c r="DG1132" s="503"/>
      <c r="DH1132" s="2653"/>
      <c r="DI1132" s="3213"/>
      <c r="DJ1132" s="502"/>
      <c r="DK1132" s="503"/>
      <c r="DL1132" s="502"/>
      <c r="DM1132" s="502"/>
      <c r="DN1132" s="502"/>
      <c r="DO1132" s="502"/>
      <c r="DP1132" s="503"/>
      <c r="DQ1132" s="503"/>
      <c r="DR1132" s="296"/>
      <c r="DS1132" s="296"/>
      <c r="DT1132" s="296"/>
    </row>
    <row r="1133" spans="1:124" ht="12" hidden="1" customHeight="1" outlineLevel="1" x14ac:dyDescent="0.25">
      <c r="A1133" s="567" t="s">
        <v>2010</v>
      </c>
      <c r="B1133" s="311"/>
      <c r="C1133" s="570">
        <v>4.891</v>
      </c>
      <c r="D1133" s="570">
        <v>5.0439999999999996</v>
      </c>
      <c r="E1133" s="570">
        <v>3.9870000000000001</v>
      </c>
      <c r="F1133" s="570">
        <v>4.3159999999999998</v>
      </c>
      <c r="G1133" s="475">
        <f>SUM(C1133:F1133)</f>
        <v>18.238</v>
      </c>
      <c r="H1133" s="570">
        <v>7.0090000000000003</v>
      </c>
      <c r="I1133" s="570">
        <v>6.782</v>
      </c>
      <c r="J1133" s="570">
        <v>7.234</v>
      </c>
      <c r="K1133" s="452"/>
      <c r="L1133" s="475">
        <f>SUM(H1133:K1133)</f>
        <v>21.024999999999999</v>
      </c>
      <c r="M1133" s="452"/>
      <c r="N1133" s="452"/>
      <c r="O1133" s="452"/>
      <c r="P1133" s="452"/>
      <c r="Q1133" s="475"/>
      <c r="R1133" s="452"/>
      <c r="S1133" s="452"/>
      <c r="T1133" s="452"/>
      <c r="U1133" s="452"/>
      <c r="V1133" s="475"/>
      <c r="W1133" s="452"/>
      <c r="X1133" s="452"/>
      <c r="Y1133" s="452"/>
      <c r="Z1133" s="452"/>
      <c r="AA1133" s="475"/>
      <c r="AB1133" s="452"/>
      <c r="AC1133" s="452"/>
      <c r="AD1133" s="452"/>
      <c r="AE1133" s="476"/>
      <c r="AF1133" s="477"/>
      <c r="AG1133" s="476"/>
      <c r="AH1133" s="476"/>
      <c r="AI1133" s="476"/>
      <c r="AJ1133" s="476"/>
      <c r="AK1133" s="477"/>
      <c r="AL1133" s="476"/>
      <c r="AM1133" s="476"/>
      <c r="AN1133" s="476"/>
      <c r="AO1133" s="476"/>
      <c r="AP1133" s="478"/>
      <c r="AQ1133" s="478"/>
      <c r="AR1133" s="476"/>
      <c r="AS1133" s="476"/>
      <c r="AT1133" s="476"/>
      <c r="AU1133" s="477"/>
      <c r="AV1133" s="478"/>
      <c r="AW1133" s="476"/>
      <c r="AX1133" s="476"/>
      <c r="AY1133" s="682"/>
      <c r="AZ1133" s="477"/>
      <c r="BA1133" s="478"/>
      <c r="BB1133" s="476"/>
      <c r="BC1133" s="476"/>
      <c r="BD1133" s="682"/>
      <c r="BE1133" s="682"/>
      <c r="BF1133" s="476"/>
      <c r="BG1133" s="476"/>
      <c r="BH1133" s="476"/>
      <c r="BI1133" s="682"/>
      <c r="BJ1133" s="682"/>
      <c r="BK1133" s="476"/>
      <c r="BL1133" s="476"/>
      <c r="BM1133" s="476"/>
      <c r="BN1133" s="682"/>
      <c r="BO1133" s="682"/>
      <c r="BP1133" s="476"/>
      <c r="BQ1133" s="476"/>
      <c r="BR1133" s="476"/>
      <c r="BS1133" s="476"/>
      <c r="BT1133" s="2604"/>
      <c r="BU1133" s="2673"/>
      <c r="BV1133" s="2577"/>
      <c r="BW1133" s="2577"/>
      <c r="BX1133" s="2577"/>
      <c r="BY1133" s="2604"/>
      <c r="BZ1133" s="477"/>
      <c r="CA1133" s="477"/>
      <c r="CB1133" s="477"/>
      <c r="CC1133" s="477"/>
      <c r="CD1133" s="477"/>
      <c r="CE1133" s="477"/>
      <c r="CF1133" s="477"/>
      <c r="CG1133" s="476"/>
      <c r="CH1133" s="476"/>
      <c r="CI1133" s="476"/>
      <c r="CJ1133" s="476"/>
      <c r="CK1133" s="476"/>
      <c r="CL1133" s="658" t="str">
        <f>A1133</f>
        <v>Property EBITDA</v>
      </c>
      <c r="CM1133" s="1596">
        <f>G1133</f>
        <v>18.238</v>
      </c>
      <c r="CN1133" s="1596">
        <f>L1133</f>
        <v>21.024999999999999</v>
      </c>
      <c r="CO1133" s="476"/>
      <c r="CP1133" s="476"/>
      <c r="CQ1133" s="476"/>
      <c r="CR1133" s="476"/>
      <c r="CS1133" s="476"/>
      <c r="CT1133" s="476"/>
      <c r="CU1133" s="476"/>
      <c r="CV1133" s="476"/>
      <c r="CW1133" s="476"/>
      <c r="CX1133" s="476"/>
      <c r="CY1133" s="476"/>
      <c r="CZ1133" s="476"/>
      <c r="DA1133" s="476"/>
      <c r="DB1133" s="476"/>
      <c r="DC1133" s="682"/>
      <c r="DD1133" s="476"/>
      <c r="DE1133" s="476"/>
      <c r="DF1133" s="598"/>
      <c r="DG1133" s="598"/>
      <c r="DH1133" s="2577"/>
      <c r="DI1133" s="3213"/>
      <c r="DJ1133" s="598"/>
      <c r="DK1133" s="598"/>
      <c r="DL1133" s="598"/>
      <c r="DM1133" s="598"/>
      <c r="DN1133" s="598"/>
      <c r="DO1133" s="598"/>
      <c r="DP1133" s="598"/>
      <c r="DQ1133" s="598"/>
      <c r="DR1133" s="660"/>
      <c r="DS1133" s="660"/>
      <c r="DT1133" s="660"/>
    </row>
    <row r="1134" spans="1:124" ht="12" hidden="1" customHeight="1" outlineLevel="1" x14ac:dyDescent="0.25">
      <c r="A1134" s="465" t="s">
        <v>1892</v>
      </c>
      <c r="B1134" s="281"/>
      <c r="C1134" s="472">
        <f>C1133/C1132</f>
        <v>0.21882689812536352</v>
      </c>
      <c r="D1134" s="472">
        <f t="shared" ref="D1134:L1134" si="2700">D1133/D1132</f>
        <v>0.23455010462683096</v>
      </c>
      <c r="E1134" s="472">
        <f t="shared" si="2700"/>
        <v>0.19417523011737203</v>
      </c>
      <c r="F1134" s="472">
        <f t="shared" si="2700"/>
        <v>0.2070719186297558</v>
      </c>
      <c r="G1134" s="491">
        <f t="shared" si="2700"/>
        <v>0.21398066453914022</v>
      </c>
      <c r="H1134" s="472">
        <f t="shared" si="2700"/>
        <v>0.26585495372477619</v>
      </c>
      <c r="I1134" s="472">
        <f t="shared" si="2700"/>
        <v>0.26013578305396801</v>
      </c>
      <c r="J1134" s="472">
        <f t="shared" si="2700"/>
        <v>0.28922117383655843</v>
      </c>
      <c r="K1134" s="472"/>
      <c r="L1134" s="491">
        <f t="shared" si="2700"/>
        <v>0.27147597711983679</v>
      </c>
      <c r="M1134" s="472"/>
      <c r="N1134" s="472"/>
      <c r="O1134" s="472"/>
      <c r="P1134" s="472"/>
      <c r="Q1134" s="491"/>
      <c r="R1134" s="472"/>
      <c r="S1134" s="472"/>
      <c r="T1134" s="472"/>
      <c r="U1134" s="472"/>
      <c r="V1134" s="491"/>
      <c r="W1134" s="472"/>
      <c r="X1134" s="472"/>
      <c r="Y1134" s="472"/>
      <c r="Z1134" s="472"/>
      <c r="AA1134" s="491"/>
      <c r="AB1134" s="472"/>
      <c r="AC1134" s="472"/>
      <c r="AD1134" s="472"/>
      <c r="AE1134" s="492"/>
      <c r="AF1134" s="493"/>
      <c r="AG1134" s="492"/>
      <c r="AH1134" s="492"/>
      <c r="AI1134" s="492"/>
      <c r="AJ1134" s="492"/>
      <c r="AK1134" s="493"/>
      <c r="AL1134" s="492"/>
      <c r="AM1134" s="492"/>
      <c r="AN1134" s="492"/>
      <c r="AO1134" s="492"/>
      <c r="AP1134" s="494"/>
      <c r="AQ1134" s="494"/>
      <c r="AR1134" s="492"/>
      <c r="AS1134" s="492"/>
      <c r="AT1134" s="492"/>
      <c r="AU1134" s="493"/>
      <c r="AV1134" s="494"/>
      <c r="AW1134" s="492"/>
      <c r="AX1134" s="492"/>
      <c r="AY1134" s="1311"/>
      <c r="AZ1134" s="493"/>
      <c r="BA1134" s="494"/>
      <c r="BB1134" s="492"/>
      <c r="BC1134" s="492"/>
      <c r="BD1134" s="1311"/>
      <c r="BE1134" s="1311"/>
      <c r="BF1134" s="492"/>
      <c r="BG1134" s="492"/>
      <c r="BH1134" s="492"/>
      <c r="BI1134" s="1311"/>
      <c r="BJ1134" s="1311"/>
      <c r="BK1134" s="492"/>
      <c r="BL1134" s="492"/>
      <c r="BM1134" s="492"/>
      <c r="BN1134" s="1311"/>
      <c r="BO1134" s="1311"/>
      <c r="BP1134" s="492"/>
      <c r="BQ1134" s="492"/>
      <c r="BR1134" s="492"/>
      <c r="BS1134" s="492"/>
      <c r="BT1134" s="2693"/>
      <c r="BU1134" s="3398"/>
      <c r="BV1134" s="2653"/>
      <c r="BW1134" s="2653"/>
      <c r="BX1134" s="2653"/>
      <c r="BY1134" s="2693"/>
      <c r="BZ1134" s="493"/>
      <c r="CA1134" s="493"/>
      <c r="CB1134" s="493"/>
      <c r="CC1134" s="493"/>
      <c r="CD1134" s="493"/>
      <c r="CE1134" s="493"/>
      <c r="CF1134" s="493"/>
      <c r="CG1134" s="331"/>
      <c r="CH1134" s="331"/>
      <c r="CI1134" s="331"/>
      <c r="CJ1134" s="331"/>
      <c r="CK1134" s="331"/>
      <c r="CL1134" s="1310" t="str">
        <f>A1134</f>
        <v>Margin</v>
      </c>
      <c r="CM1134" s="492">
        <f>G1134</f>
        <v>0.21398066453914022</v>
      </c>
      <c r="CN1134" s="492">
        <f>L1134</f>
        <v>0.27147597711983679</v>
      </c>
      <c r="CO1134" s="492"/>
      <c r="CP1134" s="492"/>
      <c r="CQ1134" s="492"/>
      <c r="CR1134" s="492"/>
      <c r="CS1134" s="492"/>
      <c r="CT1134" s="492"/>
      <c r="CU1134" s="492"/>
      <c r="CV1134" s="492"/>
      <c r="CW1134" s="492"/>
      <c r="CX1134" s="492"/>
      <c r="CY1134" s="492"/>
      <c r="CZ1134" s="492"/>
      <c r="DA1134" s="492"/>
      <c r="DB1134" s="492"/>
      <c r="DC1134" s="1311"/>
      <c r="DD1134" s="331"/>
      <c r="DE1134" s="331"/>
      <c r="DF1134" s="502"/>
      <c r="DG1134" s="503"/>
      <c r="DH1134" s="2653"/>
      <c r="DI1134" s="3213"/>
      <c r="DJ1134" s="502"/>
      <c r="DK1134" s="503"/>
      <c r="DL1134" s="502"/>
      <c r="DM1134" s="502"/>
      <c r="DN1134" s="502"/>
      <c r="DO1134" s="502"/>
      <c r="DP1134" s="503"/>
      <c r="DQ1134" s="503"/>
      <c r="DR1134" s="296"/>
      <c r="DS1134" s="296"/>
      <c r="DT1134" s="296"/>
    </row>
    <row r="1135" spans="1:124" ht="12" hidden="1" customHeight="1" outlineLevel="1" x14ac:dyDescent="0.25">
      <c r="A1135" s="311" t="s">
        <v>2197</v>
      </c>
      <c r="B1135" s="311"/>
      <c r="C1135" s="570">
        <v>2.266</v>
      </c>
      <c r="D1135" s="570">
        <v>2.2389999999999999</v>
      </c>
      <c r="E1135" s="570">
        <v>2.1779999999999999</v>
      </c>
      <c r="F1135" s="570">
        <v>2.2400000000000002</v>
      </c>
      <c r="G1135" s="475">
        <f>SUM(C1135:F1135)</f>
        <v>8.923</v>
      </c>
      <c r="H1135" s="570">
        <v>2.4060000000000001</v>
      </c>
      <c r="I1135" s="570">
        <v>2.403</v>
      </c>
      <c r="J1135" s="570">
        <v>2.4489999999999998</v>
      </c>
      <c r="K1135" s="452"/>
      <c r="L1135" s="475">
        <f>SUM(H1135:K1135)</f>
        <v>7.258</v>
      </c>
      <c r="M1135" s="452"/>
      <c r="N1135" s="452"/>
      <c r="O1135" s="452"/>
      <c r="P1135" s="452"/>
      <c r="Q1135" s="475"/>
      <c r="R1135" s="452"/>
      <c r="S1135" s="452"/>
      <c r="T1135" s="452"/>
      <c r="U1135" s="452"/>
      <c r="V1135" s="475"/>
      <c r="W1135" s="452"/>
      <c r="X1135" s="452"/>
      <c r="Y1135" s="452"/>
      <c r="Z1135" s="452"/>
      <c r="AA1135" s="475"/>
      <c r="AB1135" s="452"/>
      <c r="AC1135" s="452"/>
      <c r="AD1135" s="452"/>
      <c r="AE1135" s="476"/>
      <c r="AF1135" s="477"/>
      <c r="AG1135" s="476"/>
      <c r="AH1135" s="476"/>
      <c r="AI1135" s="476"/>
      <c r="AJ1135" s="476"/>
      <c r="AK1135" s="477"/>
      <c r="AL1135" s="476"/>
      <c r="AM1135" s="476"/>
      <c r="AN1135" s="476"/>
      <c r="AO1135" s="476"/>
      <c r="AP1135" s="478"/>
      <c r="AQ1135" s="478"/>
      <c r="AR1135" s="476"/>
      <c r="AS1135" s="476"/>
      <c r="AT1135" s="476"/>
      <c r="AU1135" s="477"/>
      <c r="AV1135" s="478"/>
      <c r="AW1135" s="476"/>
      <c r="AX1135" s="476"/>
      <c r="AY1135" s="682"/>
      <c r="AZ1135" s="477"/>
      <c r="BA1135" s="478"/>
      <c r="BB1135" s="476"/>
      <c r="BC1135" s="476"/>
      <c r="BD1135" s="682"/>
      <c r="BE1135" s="682"/>
      <c r="BF1135" s="476"/>
      <c r="BG1135" s="476"/>
      <c r="BH1135" s="476"/>
      <c r="BI1135" s="682"/>
      <c r="BJ1135" s="682"/>
      <c r="BK1135" s="476"/>
      <c r="BL1135" s="476"/>
      <c r="BM1135" s="476"/>
      <c r="BN1135" s="682"/>
      <c r="BO1135" s="682"/>
      <c r="BP1135" s="476"/>
      <c r="BQ1135" s="476"/>
      <c r="BR1135" s="476"/>
      <c r="BS1135" s="476"/>
      <c r="BT1135" s="2604"/>
      <c r="BU1135" s="2673"/>
      <c r="BV1135" s="2577"/>
      <c r="BW1135" s="2577"/>
      <c r="BX1135" s="2577"/>
      <c r="BY1135" s="2604"/>
      <c r="BZ1135" s="477"/>
      <c r="CA1135" s="477"/>
      <c r="CB1135" s="477"/>
      <c r="CC1135" s="477"/>
      <c r="CD1135" s="477"/>
      <c r="CE1135" s="477"/>
      <c r="CF1135" s="477"/>
      <c r="CG1135" s="476"/>
      <c r="CH1135" s="476"/>
      <c r="CI1135" s="476"/>
      <c r="CJ1135" s="476"/>
      <c r="CK1135" s="476"/>
      <c r="CL1135" s="528" t="str">
        <f>A1135</f>
        <v>Depreciation and amortization</v>
      </c>
      <c r="CM1135" s="476">
        <f>G1135</f>
        <v>8.923</v>
      </c>
      <c r="CN1135" s="476">
        <f>L1135</f>
        <v>7.258</v>
      </c>
      <c r="CO1135" s="476"/>
      <c r="CP1135" s="476"/>
      <c r="CQ1135" s="476"/>
      <c r="CR1135" s="476"/>
      <c r="CS1135" s="476"/>
      <c r="CT1135" s="476"/>
      <c r="CU1135" s="476"/>
      <c r="CV1135" s="476"/>
      <c r="CW1135" s="476"/>
      <c r="CX1135" s="476"/>
      <c r="CY1135" s="476"/>
      <c r="CZ1135" s="476"/>
      <c r="DA1135" s="476"/>
      <c r="DB1135" s="476"/>
      <c r="DC1135" s="682"/>
      <c r="DD1135" s="476"/>
      <c r="DE1135" s="476"/>
      <c r="DF1135" s="598"/>
      <c r="DG1135" s="598"/>
      <c r="DH1135" s="2577"/>
      <c r="DI1135" s="3213"/>
      <c r="DJ1135" s="598"/>
      <c r="DK1135" s="598"/>
      <c r="DL1135" s="598"/>
      <c r="DM1135" s="598"/>
      <c r="DN1135" s="598"/>
      <c r="DO1135" s="598"/>
      <c r="DP1135" s="598"/>
      <c r="DQ1135" s="598"/>
      <c r="DR1135" s="660"/>
      <c r="DS1135" s="660"/>
      <c r="DT1135" s="660"/>
    </row>
    <row r="1136" spans="1:124" ht="12" hidden="1" customHeight="1" outlineLevel="1" x14ac:dyDescent="0.25">
      <c r="A1136" s="281"/>
      <c r="B1136" s="281"/>
      <c r="C1136" s="305"/>
      <c r="D1136" s="305"/>
      <c r="E1136" s="305"/>
      <c r="F1136" s="305"/>
      <c r="G1136" s="440"/>
      <c r="H1136" s="305"/>
      <c r="I1136" s="305"/>
      <c r="J1136" s="305"/>
      <c r="K1136" s="305"/>
      <c r="L1136" s="440"/>
      <c r="M1136" s="305"/>
      <c r="N1136" s="305"/>
      <c r="O1136" s="305"/>
      <c r="P1136" s="305"/>
      <c r="Q1136" s="440"/>
      <c r="R1136" s="305"/>
      <c r="S1136" s="305"/>
      <c r="T1136" s="305"/>
      <c r="U1136" s="305"/>
      <c r="V1136" s="440"/>
      <c r="W1136" s="305"/>
      <c r="X1136" s="305"/>
      <c r="Y1136" s="305"/>
      <c r="Z1136" s="305"/>
      <c r="AA1136" s="440"/>
      <c r="AB1136" s="305"/>
      <c r="AC1136" s="305"/>
      <c r="AD1136" s="305"/>
      <c r="AE1136" s="331"/>
      <c r="AF1136" s="441"/>
      <c r="AG1136" s="331"/>
      <c r="AH1136" s="331"/>
      <c r="AI1136" s="331"/>
      <c r="AJ1136" s="331"/>
      <c r="AK1136" s="441"/>
      <c r="AL1136" s="442"/>
      <c r="AM1136" s="442"/>
      <c r="AN1136" s="442"/>
      <c r="AO1136" s="442"/>
      <c r="AP1136" s="443"/>
      <c r="AQ1136" s="443"/>
      <c r="AR1136" s="331"/>
      <c r="AS1136" s="331"/>
      <c r="AT1136" s="331"/>
      <c r="AU1136" s="349"/>
      <c r="AV1136" s="443"/>
      <c r="AW1136" s="331"/>
      <c r="AX1136" s="331"/>
      <c r="AY1136" s="1306"/>
      <c r="AZ1136" s="349"/>
      <c r="BA1136" s="443"/>
      <c r="BB1136" s="331"/>
      <c r="BC1136" s="331"/>
      <c r="BD1136" s="1306"/>
      <c r="BE1136" s="1306"/>
      <c r="BF1136" s="331"/>
      <c r="BG1136" s="331"/>
      <c r="BH1136" s="331"/>
      <c r="BI1136" s="1306"/>
      <c r="BJ1136" s="1306"/>
      <c r="BK1136" s="331"/>
      <c r="BL1136" s="331"/>
      <c r="BM1136" s="331"/>
      <c r="BN1136" s="1306"/>
      <c r="BO1136" s="1306"/>
      <c r="BP1136" s="331"/>
      <c r="BQ1136" s="331"/>
      <c r="BR1136" s="331"/>
      <c r="BS1136" s="331"/>
      <c r="BT1136" s="3222"/>
      <c r="BU1136" s="3393"/>
      <c r="BV1136" s="2601"/>
      <c r="BW1136" s="2601"/>
      <c r="BX1136" s="2601"/>
      <c r="BY1136" s="3222"/>
      <c r="BZ1136" s="349"/>
      <c r="CA1136" s="349"/>
      <c r="CB1136" s="349"/>
      <c r="CC1136" s="349"/>
      <c r="CD1136" s="349"/>
      <c r="CE1136" s="349"/>
      <c r="CF1136" s="349"/>
      <c r="CG1136" s="331"/>
      <c r="CH1136" s="331"/>
      <c r="CI1136" s="331"/>
      <c r="CJ1136" s="331"/>
      <c r="CK1136" s="331"/>
      <c r="CL1136" s="520"/>
      <c r="CM1136" s="331"/>
      <c r="CN1136" s="331"/>
      <c r="CO1136" s="331"/>
      <c r="CP1136" s="331"/>
      <c r="CQ1136" s="331"/>
      <c r="CR1136" s="331"/>
      <c r="CS1136" s="331"/>
      <c r="CT1136" s="331"/>
      <c r="CU1136" s="331"/>
      <c r="CV1136" s="331"/>
      <c r="CW1136" s="331"/>
      <c r="CX1136" s="331"/>
      <c r="CY1136" s="331"/>
      <c r="CZ1136" s="331"/>
      <c r="DA1136" s="331"/>
      <c r="DB1136" s="331"/>
      <c r="DC1136" s="1306"/>
      <c r="DD1136" s="331"/>
      <c r="DE1136" s="331"/>
      <c r="DF1136" s="502"/>
      <c r="DG1136" s="503"/>
      <c r="DH1136" s="2601"/>
      <c r="DI1136" s="3213"/>
      <c r="DJ1136" s="502"/>
      <c r="DK1136" s="503"/>
      <c r="DL1136" s="502"/>
      <c r="DM1136" s="502"/>
      <c r="DN1136" s="502"/>
      <c r="DO1136" s="502"/>
      <c r="DP1136" s="503"/>
      <c r="DQ1136" s="503"/>
      <c r="DR1136" s="296"/>
      <c r="DS1136" s="296"/>
      <c r="DT1136" s="296"/>
    </row>
    <row r="1137" spans="1:124" ht="12" customHeight="1" collapsed="1" x14ac:dyDescent="0.25">
      <c r="A1137" s="462" t="s">
        <v>1217</v>
      </c>
      <c r="B1137" s="409"/>
      <c r="C1137" s="433" t="s">
        <v>1338</v>
      </c>
      <c r="D1137" s="433" t="s">
        <v>1339</v>
      </c>
      <c r="E1137" s="433" t="s">
        <v>139</v>
      </c>
      <c r="F1137" s="433" t="s">
        <v>2203</v>
      </c>
      <c r="G1137" s="434">
        <v>2004</v>
      </c>
      <c r="H1137" s="433" t="s">
        <v>628</v>
      </c>
      <c r="I1137" s="433" t="s">
        <v>1483</v>
      </c>
      <c r="J1137" s="433" t="s">
        <v>484</v>
      </c>
      <c r="K1137" s="433" t="s">
        <v>1361</v>
      </c>
      <c r="L1137" s="434">
        <v>2005</v>
      </c>
      <c r="M1137" s="433" t="s">
        <v>590</v>
      </c>
      <c r="N1137" s="433" t="s">
        <v>1827</v>
      </c>
      <c r="O1137" s="433" t="s">
        <v>2051</v>
      </c>
      <c r="P1137" s="433" t="s">
        <v>1224</v>
      </c>
      <c r="Q1137" s="434">
        <v>2006</v>
      </c>
      <c r="R1137" s="433" t="s">
        <v>1417</v>
      </c>
      <c r="S1137" s="433" t="s">
        <v>1209</v>
      </c>
      <c r="T1137" s="433" t="s">
        <v>1546</v>
      </c>
      <c r="U1137" s="433" t="s">
        <v>984</v>
      </c>
      <c r="V1137" s="434">
        <v>2007</v>
      </c>
      <c r="W1137" s="433" t="s">
        <v>2022</v>
      </c>
      <c r="X1137" s="433" t="s">
        <v>727</v>
      </c>
      <c r="Y1137" s="433" t="s">
        <v>48</v>
      </c>
      <c r="Z1137" s="433" t="s">
        <v>10</v>
      </c>
      <c r="AA1137" s="434">
        <v>2008</v>
      </c>
      <c r="AB1137" s="433" t="s">
        <v>1482</v>
      </c>
      <c r="AC1137" s="433" t="s">
        <v>133</v>
      </c>
      <c r="AD1137" s="433" t="s">
        <v>1707</v>
      </c>
      <c r="AE1137" s="433" t="s">
        <v>1398</v>
      </c>
      <c r="AF1137" s="434">
        <v>2009</v>
      </c>
      <c r="AG1137" s="433" t="s">
        <v>1671</v>
      </c>
      <c r="AH1137" s="433">
        <f>AH1110</f>
        <v>-0.26700000000000002</v>
      </c>
      <c r="AI1137" s="433">
        <f>AI1110</f>
        <v>-0.27</v>
      </c>
      <c r="AJ1137" s="433" t="str">
        <f>AJ$6</f>
        <v>4Q10</v>
      </c>
      <c r="AK1137" s="434">
        <v>2010</v>
      </c>
      <c r="AL1137" s="435" t="str">
        <f t="shared" ref="AL1137:CF1137" si="2701">AL$6</f>
        <v>1Q11</v>
      </c>
      <c r="AM1137" s="435" t="str">
        <f t="shared" si="2701"/>
        <v>2Q11</v>
      </c>
      <c r="AN1137" s="435" t="str">
        <f t="shared" si="2701"/>
        <v>3Q11</v>
      </c>
      <c r="AO1137" s="435" t="str">
        <f t="shared" si="2701"/>
        <v>4Q11</v>
      </c>
      <c r="AP1137" s="436">
        <f t="shared" si="2701"/>
        <v>2011</v>
      </c>
      <c r="AQ1137" s="436" t="str">
        <f t="shared" si="2701"/>
        <v>1Q12</v>
      </c>
      <c r="AR1137" s="437" t="str">
        <f t="shared" si="2701"/>
        <v>2Q12</v>
      </c>
      <c r="AS1137" s="437" t="str">
        <f t="shared" si="2701"/>
        <v>3Q12</v>
      </c>
      <c r="AT1137" s="437" t="str">
        <f t="shared" si="2701"/>
        <v>4Q12</v>
      </c>
      <c r="AU1137" s="438">
        <f t="shared" si="2701"/>
        <v>2012</v>
      </c>
      <c r="AV1137" s="436" t="str">
        <f t="shared" si="2701"/>
        <v>1Q13</v>
      </c>
      <c r="AW1137" s="437" t="str">
        <f t="shared" si="2701"/>
        <v>2Q13</v>
      </c>
      <c r="AX1137" s="437" t="str">
        <f t="shared" si="2701"/>
        <v>3Q13</v>
      </c>
      <c r="AY1137" s="861" t="str">
        <f t="shared" si="2701"/>
        <v>4Q13</v>
      </c>
      <c r="AZ1137" s="438">
        <f t="shared" si="2701"/>
        <v>2013</v>
      </c>
      <c r="BA1137" s="436" t="str">
        <f t="shared" si="2701"/>
        <v>1Q14</v>
      </c>
      <c r="BB1137" s="437" t="str">
        <f t="shared" si="2701"/>
        <v>2Q14</v>
      </c>
      <c r="BC1137" s="437" t="str">
        <f t="shared" si="2701"/>
        <v>3Q14</v>
      </c>
      <c r="BD1137" s="861" t="str">
        <f t="shared" si="2701"/>
        <v>4Q14</v>
      </c>
      <c r="BE1137" s="861">
        <f t="shared" si="2701"/>
        <v>2014</v>
      </c>
      <c r="BF1137" s="437" t="str">
        <f t="shared" si="2701"/>
        <v>1Q15</v>
      </c>
      <c r="BG1137" s="437" t="str">
        <f t="shared" si="2701"/>
        <v>2Q15</v>
      </c>
      <c r="BH1137" s="437" t="str">
        <f t="shared" si="2701"/>
        <v>3Q15</v>
      </c>
      <c r="BI1137" s="861" t="str">
        <f t="shared" si="2701"/>
        <v>4Q15</v>
      </c>
      <c r="BJ1137" s="861">
        <f t="shared" si="2701"/>
        <v>2015</v>
      </c>
      <c r="BK1137" s="437" t="str">
        <f t="shared" si="2701"/>
        <v>1Q16</v>
      </c>
      <c r="BL1137" s="437" t="str">
        <f t="shared" si="2701"/>
        <v>2Q16</v>
      </c>
      <c r="BM1137" s="437" t="str">
        <f t="shared" si="2701"/>
        <v>3Q16</v>
      </c>
      <c r="BN1137" s="861" t="str">
        <f t="shared" si="2701"/>
        <v>4Q16</v>
      </c>
      <c r="BO1137" s="861">
        <f t="shared" si="2701"/>
        <v>2016</v>
      </c>
      <c r="BP1137" s="437" t="str">
        <f t="shared" si="2701"/>
        <v>1Q17</v>
      </c>
      <c r="BQ1137" s="437" t="str">
        <f t="shared" si="2701"/>
        <v>2Q17</v>
      </c>
      <c r="BR1137" s="437" t="str">
        <f t="shared" si="2701"/>
        <v>3Q17</v>
      </c>
      <c r="BS1137" s="437" t="str">
        <f t="shared" si="2701"/>
        <v>4Q17</v>
      </c>
      <c r="BT1137" s="438">
        <f t="shared" si="2701"/>
        <v>2017</v>
      </c>
      <c r="BU1137" s="437" t="str">
        <f t="shared" si="2701"/>
        <v>1Q18E</v>
      </c>
      <c r="BV1137" s="437" t="str">
        <f t="shared" si="2701"/>
        <v>2Q18E</v>
      </c>
      <c r="BW1137" s="437" t="str">
        <f t="shared" si="2701"/>
        <v>3Q18E</v>
      </c>
      <c r="BX1137" s="437" t="str">
        <f t="shared" si="2701"/>
        <v>4Q18E</v>
      </c>
      <c r="BY1137" s="438" t="str">
        <f t="shared" si="2701"/>
        <v>2018E</v>
      </c>
      <c r="BZ1137" s="438" t="str">
        <f t="shared" si="2701"/>
        <v>2019E</v>
      </c>
      <c r="CA1137" s="438" t="str">
        <f t="shared" si="2701"/>
        <v>2020E</v>
      </c>
      <c r="CB1137" s="438" t="str">
        <f t="shared" si="2701"/>
        <v>2021E</v>
      </c>
      <c r="CC1137" s="438" t="str">
        <f t="shared" si="2701"/>
        <v>2022E</v>
      </c>
      <c r="CD1137" s="438" t="str">
        <f t="shared" si="2701"/>
        <v>2023E</v>
      </c>
      <c r="CE1137" s="438" t="str">
        <f t="shared" si="2701"/>
        <v>2024E</v>
      </c>
      <c r="CF1137" s="438" t="str">
        <f t="shared" si="2701"/>
        <v>2025E</v>
      </c>
      <c r="CG1137" s="331"/>
      <c r="CH1137" s="331"/>
      <c r="CI1137" s="331"/>
      <c r="CJ1137" s="331"/>
      <c r="CK1137" s="331"/>
      <c r="CL1137" s="2225" t="str">
        <f>A1137</f>
        <v>TOTAL SLOTS / TABLES</v>
      </c>
      <c r="CM1137" s="2229">
        <f>G1137</f>
        <v>2004</v>
      </c>
      <c r="CN1137" s="2229">
        <f>L1137</f>
        <v>2005</v>
      </c>
      <c r="CO1137" s="2229">
        <f>Q1137</f>
        <v>2006</v>
      </c>
      <c r="CP1137" s="2229">
        <f>V1137</f>
        <v>2007</v>
      </c>
      <c r="CQ1137" s="2229">
        <f>AA1137</f>
        <v>2008</v>
      </c>
      <c r="CR1137" s="2229">
        <f>AF1137</f>
        <v>2009</v>
      </c>
      <c r="CS1137" s="2229">
        <f>AK1137</f>
        <v>2010</v>
      </c>
      <c r="CT1137" s="2229">
        <f>AP1137</f>
        <v>2011</v>
      </c>
      <c r="CU1137" s="2229">
        <f>AU1137</f>
        <v>2012</v>
      </c>
      <c r="CV1137" s="2229">
        <f>AZ1137</f>
        <v>2013</v>
      </c>
      <c r="CW1137" s="2229">
        <f>BE1137</f>
        <v>2014</v>
      </c>
      <c r="CX1137" s="2229">
        <f>BJ1137</f>
        <v>2015</v>
      </c>
      <c r="CY1137" s="2229">
        <f>BO1137</f>
        <v>2016</v>
      </c>
      <c r="CZ1137" s="2229">
        <f>BT1137</f>
        <v>2017</v>
      </c>
      <c r="DA1137" s="2229" t="str">
        <f t="shared" ref="DA1137:DC1141" si="2702">BY1137</f>
        <v>2018E</v>
      </c>
      <c r="DB1137" s="2229" t="str">
        <f t="shared" si="2702"/>
        <v>2019E</v>
      </c>
      <c r="DC1137" s="2230" t="str">
        <f t="shared" si="2702"/>
        <v>2020E</v>
      </c>
      <c r="DD1137" s="331"/>
      <c r="DE1137" s="331"/>
      <c r="DF1137" s="502"/>
      <c r="DG1137" s="503"/>
      <c r="DH1137" s="537"/>
      <c r="DI1137" s="3213"/>
      <c r="DJ1137" s="502"/>
      <c r="DK1137" s="503"/>
      <c r="DL1137" s="502"/>
      <c r="DM1137" s="502"/>
      <c r="DN1137" s="502"/>
      <c r="DO1137" s="502"/>
      <c r="DP1137" s="503"/>
      <c r="DQ1137" s="503"/>
      <c r="DR1137" s="296"/>
      <c r="DS1137" s="296"/>
      <c r="DT1137" s="296"/>
    </row>
    <row r="1138" spans="1:124" ht="12" customHeight="1" x14ac:dyDescent="0.25">
      <c r="A1138" s="428" t="s">
        <v>894</v>
      </c>
      <c r="B1138" s="428"/>
      <c r="C1138" s="331">
        <f>C1139+(C1140*C$320)</f>
        <v>22480</v>
      </c>
      <c r="D1138" s="331">
        <f>D1139+(D1140*D$320)</f>
        <v>22477</v>
      </c>
      <c r="E1138" s="331">
        <f>E1139+(E1140*E$320)</f>
        <v>22869</v>
      </c>
      <c r="F1138" s="331">
        <f>F1139+(F1140*F$320)</f>
        <v>22879</v>
      </c>
      <c r="G1138" s="348">
        <f>F1138</f>
        <v>22879</v>
      </c>
      <c r="H1138" s="331">
        <f>H1139+(H1140*H$320)</f>
        <v>22808</v>
      </c>
      <c r="I1138" s="331">
        <f>I1139+(I1140*I$320)</f>
        <v>23503</v>
      </c>
      <c r="J1138" s="331">
        <f>J1139+(J1140*J$320)</f>
        <v>22852.666666666664</v>
      </c>
      <c r="K1138" s="331">
        <f>K1139+(K1140*K$320)</f>
        <v>20976</v>
      </c>
      <c r="L1138" s="348">
        <f>K1138</f>
        <v>20976</v>
      </c>
      <c r="M1138" s="331">
        <f>M1139+(M1140*M$320)</f>
        <v>20976</v>
      </c>
      <c r="N1138" s="331">
        <f>N1139+(N1140*N$320)</f>
        <v>21002.782608695652</v>
      </c>
      <c r="O1138" s="331">
        <f>O1139+(O1140*O$320)</f>
        <v>23218</v>
      </c>
      <c r="P1138" s="331">
        <f>P1139+(P1140*P$320)</f>
        <v>23798</v>
      </c>
      <c r="Q1138" s="348">
        <f>P1138</f>
        <v>23798</v>
      </c>
      <c r="R1138" s="331">
        <f>R1139+(R1140*R$320)</f>
        <v>23778</v>
      </c>
      <c r="S1138" s="331">
        <f>S1139+(S1140*S$320)</f>
        <v>25407</v>
      </c>
      <c r="T1138" s="331">
        <f>T1139+(T1140*T$320)</f>
        <v>25424</v>
      </c>
      <c r="U1138" s="331">
        <f>U1139+(U1140*U$320)</f>
        <v>25538</v>
      </c>
      <c r="V1138" s="348">
        <f>U1138</f>
        <v>25538</v>
      </c>
      <c r="W1138" s="331">
        <f>W1139+(W1140*W$320)</f>
        <v>27498</v>
      </c>
      <c r="X1138" s="331">
        <f>X1139+(X1140*X$320)</f>
        <v>27489.333333333336</v>
      </c>
      <c r="Y1138" s="331">
        <f>Y1139+(Y1140*Y$320)</f>
        <v>28157.922222222223</v>
      </c>
      <c r="Z1138" s="331">
        <f>Z1139+(Z1140*Z$320)</f>
        <v>28169</v>
      </c>
      <c r="AA1138" s="348">
        <f>Z1138</f>
        <v>28169</v>
      </c>
      <c r="AB1138" s="331">
        <f>AB1139+(AB1140*AB$320)</f>
        <v>28089</v>
      </c>
      <c r="AC1138" s="331">
        <f>AC1139+(AC1140*AC$320)</f>
        <v>27274.956000000002</v>
      </c>
      <c r="AD1138" s="331">
        <f>AD1139+(AD1140*AD$320)</f>
        <v>29166</v>
      </c>
      <c r="AE1138" s="331">
        <f>AE1139+(AE1140*AE$320)</f>
        <v>29081</v>
      </c>
      <c r="AF1138" s="348">
        <f>AE1138</f>
        <v>29081</v>
      </c>
      <c r="AG1138" s="331">
        <f>AG1139+(AG1140*AG$320)</f>
        <v>29029.333333333332</v>
      </c>
      <c r="AH1138" s="331">
        <f>AH1139+(AH1140*AH$320)</f>
        <v>28542</v>
      </c>
      <c r="AI1138" s="331">
        <f>AI1139+(AI1140*AI$320)</f>
        <v>30829.666666666668</v>
      </c>
      <c r="AJ1138" s="331">
        <f>AJ1139+(AJ1140*AJ$320)</f>
        <v>31284.333333333332</v>
      </c>
      <c r="AK1138" s="348">
        <f>AJ1138</f>
        <v>31284.333333333332</v>
      </c>
      <c r="AL1138" s="331">
        <f>AL1139+(AL1140*AL$320)</f>
        <v>34268</v>
      </c>
      <c r="AM1138" s="331">
        <f>AM1139+(AM1140*AM$320)</f>
        <v>33913.666666666672</v>
      </c>
      <c r="AN1138" s="331">
        <f>AN1139+(AN1140*AN$320)</f>
        <v>33891.333333333336</v>
      </c>
      <c r="AO1138" s="331">
        <f>AO1139+(AO1140*AO$320)</f>
        <v>33795.333333333328</v>
      </c>
      <c r="AP1138" s="443">
        <f>AO1138</f>
        <v>33795.333333333328</v>
      </c>
      <c r="AQ1138" s="443">
        <f>AQ1139+(AQ1140*AQ$320)</f>
        <v>33794.333333333336</v>
      </c>
      <c r="AR1138" s="331">
        <f>AR1139+(AR1140*AR$320)</f>
        <v>33605.333333333328</v>
      </c>
      <c r="AS1138" s="331">
        <f>AS1139+(AS1140*AS$320)</f>
        <v>33429.666666666664</v>
      </c>
      <c r="AT1138" s="331">
        <f>AT1139+(AT1140*AT$320)</f>
        <v>36578.333333333336</v>
      </c>
      <c r="AU1138" s="2174">
        <f>AT1138</f>
        <v>36578.333333333336</v>
      </c>
      <c r="AV1138" s="443">
        <f>AV1139+(AV1140*AV$320)</f>
        <v>35958.666666666664</v>
      </c>
      <c r="AW1138" s="331">
        <f>AW1139+(AW1140*AW$320)</f>
        <v>35179.666666666664</v>
      </c>
      <c r="AX1138" s="331">
        <f>AX1139+(AX1140*AX$320)</f>
        <v>34179</v>
      </c>
      <c r="AY1138" s="1306">
        <f>AY1139+(AY1140*AY$320)</f>
        <v>33806.333333333328</v>
      </c>
      <c r="AZ1138" s="2174">
        <f>AY1138</f>
        <v>33806.333333333328</v>
      </c>
      <c r="BA1138" s="443">
        <f>BA1139+(BA1140*BA$320)</f>
        <v>30865.000000000004</v>
      </c>
      <c r="BB1138" s="331">
        <f>BB1139+(BB1140*BB$320)</f>
        <v>30255.666666666668</v>
      </c>
      <c r="BC1138" s="331">
        <f>BC1139+(BC1140*BC$320)</f>
        <v>30094.333333333336</v>
      </c>
      <c r="BD1138" s="1306">
        <f>BD1139+(BD1140*BD$320)</f>
        <v>29129</v>
      </c>
      <c r="BE1138" s="2175">
        <f>BD1138</f>
        <v>29129</v>
      </c>
      <c r="BF1138" s="331">
        <f>BF1139+(BF1140*BF$320)</f>
        <v>28715</v>
      </c>
      <c r="BG1138" s="331">
        <f>BG1139+(BG1140*BG$320)</f>
        <v>28531</v>
      </c>
      <c r="BH1138" s="331">
        <f>BH1139+(BH1140*BH$320)</f>
        <v>28478</v>
      </c>
      <c r="BI1138" s="1306">
        <f>BI1139+(BI1140*BI$320)</f>
        <v>28370</v>
      </c>
      <c r="BJ1138" s="2175">
        <f>BI1138</f>
        <v>28370</v>
      </c>
      <c r="BK1138" s="331">
        <f>BK1139+(BK1140*BK$320)</f>
        <v>28140</v>
      </c>
      <c r="BL1138" s="331">
        <f>BL1139+(BL1140*BL$320)</f>
        <v>28049</v>
      </c>
      <c r="BM1138" s="331">
        <f>BM1139+(BM1140*BM$320)</f>
        <v>28063</v>
      </c>
      <c r="BN1138" s="1306">
        <f>BN1139+(BN1140*BN$320)</f>
        <v>27893</v>
      </c>
      <c r="BO1138" s="2175">
        <f>BN1138</f>
        <v>27893</v>
      </c>
      <c r="BP1138" s="331">
        <f>BP1139+(BP1140*BP$320)</f>
        <v>27935.5</v>
      </c>
      <c r="BQ1138" s="331">
        <f>BQ1139+(BQ1140*BQ$320)</f>
        <v>27844</v>
      </c>
      <c r="BR1138" s="331">
        <f>BR1139+(BR1140*BR$320)</f>
        <v>27721</v>
      </c>
      <c r="BS1138" s="331">
        <f>BS1139+(BS1140*BS$320)</f>
        <v>27472</v>
      </c>
      <c r="BT1138" s="3243">
        <f>BS1138</f>
        <v>27472</v>
      </c>
      <c r="BU1138" s="2601">
        <f>BU1139+(BU1140*BU$320)</f>
        <v>27418</v>
      </c>
      <c r="BV1138" s="2601">
        <f>BV1139+(BV1140*BV$320)</f>
        <v>27418</v>
      </c>
      <c r="BW1138" s="2601">
        <f>BW1139+(BW1140*BW$320)</f>
        <v>24322</v>
      </c>
      <c r="BX1138" s="2601">
        <f>BX1139+(BX1140*BX$320)</f>
        <v>24322</v>
      </c>
      <c r="BY1138" s="3243">
        <f t="shared" ref="BY1138:CF1138" si="2703">BY1139+(BY1140*BY$320)</f>
        <v>24382</v>
      </c>
      <c r="BZ1138" s="2174">
        <f t="shared" si="2703"/>
        <v>24382</v>
      </c>
      <c r="CA1138" s="2174">
        <f t="shared" si="2703"/>
        <v>24382</v>
      </c>
      <c r="CB1138" s="2174">
        <f t="shared" si="2703"/>
        <v>24382</v>
      </c>
      <c r="CC1138" s="2174">
        <f t="shared" si="2703"/>
        <v>24382</v>
      </c>
      <c r="CD1138" s="2174">
        <f t="shared" si="2703"/>
        <v>24382</v>
      </c>
      <c r="CE1138" s="2174">
        <f t="shared" si="2703"/>
        <v>24382</v>
      </c>
      <c r="CF1138" s="2174">
        <f t="shared" si="2703"/>
        <v>24382</v>
      </c>
      <c r="CG1138" s="331"/>
      <c r="CH1138" s="331"/>
      <c r="CI1138" s="331"/>
      <c r="CJ1138" s="331"/>
      <c r="CK1138" s="331"/>
      <c r="CL1138" s="520" t="str">
        <f>A1138</f>
        <v>Positions</v>
      </c>
      <c r="CM1138" s="331">
        <f>G1138</f>
        <v>22879</v>
      </c>
      <c r="CN1138" s="331">
        <f>L1138</f>
        <v>20976</v>
      </c>
      <c r="CO1138" s="331">
        <f>Q1138</f>
        <v>23798</v>
      </c>
      <c r="CP1138" s="331">
        <f>V1138</f>
        <v>25538</v>
      </c>
      <c r="CQ1138" s="331">
        <f>AA1138</f>
        <v>28169</v>
      </c>
      <c r="CR1138" s="331">
        <f>AF1138</f>
        <v>29081</v>
      </c>
      <c r="CS1138" s="331">
        <f>AK1138</f>
        <v>31284.333333333332</v>
      </c>
      <c r="CT1138" s="331">
        <f>AP1138</f>
        <v>33795.333333333328</v>
      </c>
      <c r="CU1138" s="331">
        <f>AU1138</f>
        <v>36578.333333333336</v>
      </c>
      <c r="CV1138" s="331">
        <f>AZ1138</f>
        <v>33806.333333333328</v>
      </c>
      <c r="CW1138" s="331">
        <f>BE1138</f>
        <v>29129</v>
      </c>
      <c r="CX1138" s="331">
        <f>BJ1138</f>
        <v>28370</v>
      </c>
      <c r="CY1138" s="331">
        <f>BO1138</f>
        <v>27893</v>
      </c>
      <c r="CZ1138" s="331">
        <f>BT1138</f>
        <v>27472</v>
      </c>
      <c r="DA1138" s="331">
        <f t="shared" si="2702"/>
        <v>24382</v>
      </c>
      <c r="DB1138" s="331">
        <f t="shared" si="2702"/>
        <v>24382</v>
      </c>
      <c r="DC1138" s="1306">
        <f t="shared" si="2702"/>
        <v>24382</v>
      </c>
      <c r="DD1138" s="331"/>
      <c r="DE1138" s="331"/>
      <c r="DF1138" s="502"/>
      <c r="DG1138" s="503"/>
      <c r="DH1138" s="2601"/>
      <c r="DI1138" s="3213"/>
      <c r="DJ1138" s="502"/>
      <c r="DK1138" s="503"/>
      <c r="DL1138" s="502"/>
      <c r="DM1138" s="502"/>
      <c r="DN1138" s="502"/>
      <c r="DO1138" s="502"/>
      <c r="DP1138" s="503"/>
      <c r="DQ1138" s="503"/>
      <c r="DR1138" s="296"/>
      <c r="DS1138" s="296"/>
      <c r="DT1138" s="296"/>
    </row>
    <row r="1139" spans="1:124" ht="12" customHeight="1" x14ac:dyDescent="0.25">
      <c r="A1139" s="428" t="s">
        <v>585</v>
      </c>
      <c r="B1139" s="428"/>
      <c r="C1139" s="331">
        <f t="shared" ref="C1139:AH1139" si="2704">(C327+C877+C908+C784+C1001+C389+C612+C815+C744+C706+C763+C939+C846+C361+C1082+C479+C970+C582+C421)</f>
        <v>19738</v>
      </c>
      <c r="D1139" s="331">
        <f t="shared" si="2704"/>
        <v>19747</v>
      </c>
      <c r="E1139" s="331">
        <f t="shared" si="2704"/>
        <v>20127</v>
      </c>
      <c r="F1139" s="331">
        <f t="shared" si="2704"/>
        <v>20143</v>
      </c>
      <c r="G1139" s="349">
        <f t="shared" si="2704"/>
        <v>20143</v>
      </c>
      <c r="H1139" s="331">
        <f t="shared" si="2704"/>
        <v>20090</v>
      </c>
      <c r="I1139" s="331">
        <f t="shared" si="2704"/>
        <v>20779</v>
      </c>
      <c r="J1139" s="331">
        <f t="shared" si="2704"/>
        <v>20232.666666666664</v>
      </c>
      <c r="K1139" s="331">
        <f t="shared" si="2704"/>
        <v>18624</v>
      </c>
      <c r="L1139" s="349">
        <f t="shared" si="2704"/>
        <v>18624</v>
      </c>
      <c r="M1139" s="331">
        <f t="shared" si="2704"/>
        <v>18624</v>
      </c>
      <c r="N1139" s="331">
        <f t="shared" si="2704"/>
        <v>18647.91304347826</v>
      </c>
      <c r="O1139" s="331">
        <f t="shared" si="2704"/>
        <v>20614</v>
      </c>
      <c r="P1139" s="331">
        <f t="shared" si="2704"/>
        <v>21266</v>
      </c>
      <c r="Q1139" s="349">
        <f t="shared" si="2704"/>
        <v>21266</v>
      </c>
      <c r="R1139" s="331">
        <f t="shared" si="2704"/>
        <v>21252</v>
      </c>
      <c r="S1139" s="331">
        <f t="shared" si="2704"/>
        <v>22881</v>
      </c>
      <c r="T1139" s="331">
        <f t="shared" si="2704"/>
        <v>22898</v>
      </c>
      <c r="U1139" s="331">
        <f t="shared" si="2704"/>
        <v>23066</v>
      </c>
      <c r="V1139" s="349">
        <f t="shared" si="2704"/>
        <v>23066</v>
      </c>
      <c r="W1139" s="331">
        <f t="shared" si="2704"/>
        <v>25032</v>
      </c>
      <c r="X1139" s="331">
        <f t="shared" si="2704"/>
        <v>25023.333333333336</v>
      </c>
      <c r="Y1139" s="331">
        <f t="shared" si="2704"/>
        <v>25685.922222222223</v>
      </c>
      <c r="Z1139" s="331">
        <f t="shared" si="2704"/>
        <v>25715</v>
      </c>
      <c r="AA1139" s="349">
        <f t="shared" si="2704"/>
        <v>25715</v>
      </c>
      <c r="AB1139" s="331">
        <f t="shared" si="2704"/>
        <v>25563</v>
      </c>
      <c r="AC1139" s="331">
        <f t="shared" si="2704"/>
        <v>24762.460200000001</v>
      </c>
      <c r="AD1139" s="331">
        <f t="shared" si="2704"/>
        <v>26310</v>
      </c>
      <c r="AE1139" s="331">
        <f t="shared" si="2704"/>
        <v>26375</v>
      </c>
      <c r="AF1139" s="349">
        <f t="shared" si="2704"/>
        <v>26375</v>
      </c>
      <c r="AG1139" s="331">
        <f t="shared" si="2704"/>
        <v>26323.333333333332</v>
      </c>
      <c r="AH1139" s="331">
        <f t="shared" si="2704"/>
        <v>25830</v>
      </c>
      <c r="AI1139" s="331">
        <f t="shared" ref="AI1139:BN1139" si="2705">(AI327+AI877+AI908+AI784+AI1001+AI389+AI612+AI815+AI744+AI706+AI763+AI939+AI846+AI361+AI1082+AI479+AI970+AI582+AI421)</f>
        <v>27457.666666666668</v>
      </c>
      <c r="AJ1139" s="331">
        <f t="shared" si="2705"/>
        <v>27564.333333333332</v>
      </c>
      <c r="AK1139" s="349">
        <f t="shared" si="2705"/>
        <v>27564.333333333332</v>
      </c>
      <c r="AL1139" s="331">
        <f t="shared" si="2705"/>
        <v>29907.999999999996</v>
      </c>
      <c r="AM1139" s="331">
        <f t="shared" si="2705"/>
        <v>29453.666666666668</v>
      </c>
      <c r="AN1139" s="331">
        <f t="shared" si="2705"/>
        <v>29415.333333333336</v>
      </c>
      <c r="AO1139" s="331">
        <f t="shared" si="2705"/>
        <v>29389.333333333332</v>
      </c>
      <c r="AP1139" s="443">
        <f t="shared" si="2705"/>
        <v>29389.333333333332</v>
      </c>
      <c r="AQ1139" s="443">
        <f t="shared" si="2705"/>
        <v>29308.333333333336</v>
      </c>
      <c r="AR1139" s="331">
        <f t="shared" si="2705"/>
        <v>28637.333333333332</v>
      </c>
      <c r="AS1139" s="331">
        <f t="shared" si="2705"/>
        <v>28513.666666666664</v>
      </c>
      <c r="AT1139" s="331">
        <f t="shared" si="2705"/>
        <v>31136.333333333336</v>
      </c>
      <c r="AU1139" s="349">
        <f t="shared" si="2705"/>
        <v>28121.333333333336</v>
      </c>
      <c r="AV1139" s="443">
        <f t="shared" si="2705"/>
        <v>30502.666666666664</v>
      </c>
      <c r="AW1139" s="331">
        <f t="shared" si="2705"/>
        <v>29677.666666666664</v>
      </c>
      <c r="AX1139" s="331">
        <f t="shared" si="2705"/>
        <v>28749</v>
      </c>
      <c r="AY1139" s="1306">
        <f t="shared" si="2705"/>
        <v>28594.333333333332</v>
      </c>
      <c r="AZ1139" s="349">
        <f t="shared" si="2705"/>
        <v>28594.333333333332</v>
      </c>
      <c r="BA1139" s="443">
        <f t="shared" si="2705"/>
        <v>25727.000000000004</v>
      </c>
      <c r="BB1139" s="331">
        <f t="shared" si="2705"/>
        <v>25143.666666666668</v>
      </c>
      <c r="BC1139" s="331">
        <f t="shared" si="2705"/>
        <v>24982.333333333336</v>
      </c>
      <c r="BD1139" s="1306">
        <f t="shared" si="2705"/>
        <v>24155</v>
      </c>
      <c r="BE1139" s="1306">
        <f t="shared" si="2705"/>
        <v>24155</v>
      </c>
      <c r="BF1139" s="331">
        <f t="shared" si="2705"/>
        <v>23825</v>
      </c>
      <c r="BG1139" s="331">
        <f t="shared" si="2705"/>
        <v>23623</v>
      </c>
      <c r="BH1139" s="331">
        <f t="shared" si="2705"/>
        <v>23570</v>
      </c>
      <c r="BI1139" s="1306">
        <f t="shared" si="2705"/>
        <v>23462</v>
      </c>
      <c r="BJ1139" s="1306">
        <f t="shared" si="2705"/>
        <v>23462</v>
      </c>
      <c r="BK1139" s="331">
        <f t="shared" si="2705"/>
        <v>23256</v>
      </c>
      <c r="BL1139" s="331">
        <f t="shared" si="2705"/>
        <v>23195</v>
      </c>
      <c r="BM1139" s="331">
        <f t="shared" si="2705"/>
        <v>23221</v>
      </c>
      <c r="BN1139" s="1306">
        <f t="shared" si="2705"/>
        <v>23063</v>
      </c>
      <c r="BO1139" s="1306">
        <f t="shared" ref="BO1139:CF1139" si="2706">(BO327+BO877+BO908+BO784+BO1001+BO389+BO612+BO815+BO744+BO706+BO763+BO939+BO846+BO361+BO1082+BO479+BO970+BO582+BO421)</f>
        <v>23063</v>
      </c>
      <c r="BP1139" s="331">
        <f t="shared" si="2706"/>
        <v>22985.5</v>
      </c>
      <c r="BQ1139" s="331">
        <f t="shared" si="2706"/>
        <v>22948</v>
      </c>
      <c r="BR1139" s="331">
        <f t="shared" si="2706"/>
        <v>22951</v>
      </c>
      <c r="BS1139" s="331">
        <f t="shared" si="2706"/>
        <v>22696</v>
      </c>
      <c r="BT1139" s="3222">
        <f t="shared" si="2706"/>
        <v>22696</v>
      </c>
      <c r="BU1139" s="2601">
        <f t="shared" si="2706"/>
        <v>22648</v>
      </c>
      <c r="BV1139" s="2601">
        <f t="shared" si="2706"/>
        <v>22648</v>
      </c>
      <c r="BW1139" s="2601">
        <f t="shared" si="2706"/>
        <v>20176</v>
      </c>
      <c r="BX1139" s="2601">
        <f t="shared" si="2706"/>
        <v>20176</v>
      </c>
      <c r="BY1139" s="3222">
        <f t="shared" si="2706"/>
        <v>20176</v>
      </c>
      <c r="BZ1139" s="349">
        <f t="shared" si="2706"/>
        <v>20176</v>
      </c>
      <c r="CA1139" s="349">
        <f t="shared" si="2706"/>
        <v>20176</v>
      </c>
      <c r="CB1139" s="349">
        <f t="shared" si="2706"/>
        <v>20176</v>
      </c>
      <c r="CC1139" s="349">
        <f t="shared" si="2706"/>
        <v>20176</v>
      </c>
      <c r="CD1139" s="349">
        <f t="shared" si="2706"/>
        <v>20176</v>
      </c>
      <c r="CE1139" s="349">
        <f t="shared" si="2706"/>
        <v>20176</v>
      </c>
      <c r="CF1139" s="349">
        <f t="shared" si="2706"/>
        <v>20176</v>
      </c>
      <c r="CG1139" s="331"/>
      <c r="CH1139" s="331"/>
      <c r="CI1139" s="331"/>
      <c r="CJ1139" s="331"/>
      <c r="CK1139" s="331"/>
      <c r="CL1139" s="520" t="str">
        <f>A1139</f>
        <v>Slots</v>
      </c>
      <c r="CM1139" s="331">
        <f>G1139</f>
        <v>20143</v>
      </c>
      <c r="CN1139" s="331">
        <f>L1139</f>
        <v>18624</v>
      </c>
      <c r="CO1139" s="331">
        <f>Q1139</f>
        <v>21266</v>
      </c>
      <c r="CP1139" s="331">
        <f>V1139</f>
        <v>23066</v>
      </c>
      <c r="CQ1139" s="331">
        <f>AA1139</f>
        <v>25715</v>
      </c>
      <c r="CR1139" s="331">
        <f>AF1139</f>
        <v>26375</v>
      </c>
      <c r="CS1139" s="331">
        <f>AK1139</f>
        <v>27564.333333333332</v>
      </c>
      <c r="CT1139" s="331">
        <f>AP1139</f>
        <v>29389.333333333332</v>
      </c>
      <c r="CU1139" s="331">
        <f>AU1139</f>
        <v>28121.333333333336</v>
      </c>
      <c r="CV1139" s="331">
        <f>AZ1139</f>
        <v>28594.333333333332</v>
      </c>
      <c r="CW1139" s="331">
        <f>BE1139</f>
        <v>24155</v>
      </c>
      <c r="CX1139" s="331">
        <f>BJ1139</f>
        <v>23462</v>
      </c>
      <c r="CY1139" s="331">
        <f>BO1139</f>
        <v>23063</v>
      </c>
      <c r="CZ1139" s="331">
        <f>BT1139</f>
        <v>22696</v>
      </c>
      <c r="DA1139" s="331">
        <f t="shared" si="2702"/>
        <v>20176</v>
      </c>
      <c r="DB1139" s="331">
        <f t="shared" si="2702"/>
        <v>20176</v>
      </c>
      <c r="DC1139" s="1306">
        <f t="shared" si="2702"/>
        <v>20176</v>
      </c>
      <c r="DD1139" s="331"/>
      <c r="DE1139" s="331"/>
      <c r="DF1139" s="502"/>
      <c r="DG1139" s="503"/>
      <c r="DH1139" s="2601"/>
      <c r="DI1139" s="3213"/>
      <c r="DJ1139" s="502"/>
      <c r="DK1139" s="503"/>
      <c r="DL1139" s="502"/>
      <c r="DM1139" s="502"/>
      <c r="DN1139" s="502"/>
      <c r="DO1139" s="502"/>
      <c r="DP1139" s="503"/>
      <c r="DQ1139" s="503"/>
      <c r="DR1139" s="296"/>
      <c r="DS1139" s="296"/>
      <c r="DT1139" s="296"/>
    </row>
    <row r="1140" spans="1:124" ht="12" customHeight="1" x14ac:dyDescent="0.25">
      <c r="A1140" s="428" t="s">
        <v>584</v>
      </c>
      <c r="B1140" s="428"/>
      <c r="C1140" s="331">
        <f t="shared" ref="C1140:AH1140" si="2707">C328+C878+C909+C785+C1002+C390+C613+C816+C745+C707+C764+C940+C847+C362+C1083+C480+C971+C451+C422</f>
        <v>457</v>
      </c>
      <c r="D1140" s="331">
        <f t="shared" si="2707"/>
        <v>455</v>
      </c>
      <c r="E1140" s="331">
        <f t="shared" si="2707"/>
        <v>457</v>
      </c>
      <c r="F1140" s="331">
        <f t="shared" si="2707"/>
        <v>456</v>
      </c>
      <c r="G1140" s="349">
        <f t="shared" si="2707"/>
        <v>456</v>
      </c>
      <c r="H1140" s="331">
        <f t="shared" si="2707"/>
        <v>453</v>
      </c>
      <c r="I1140" s="331">
        <f t="shared" si="2707"/>
        <v>454</v>
      </c>
      <c r="J1140" s="331">
        <f t="shared" si="2707"/>
        <v>436.66666666666669</v>
      </c>
      <c r="K1140" s="331">
        <f t="shared" si="2707"/>
        <v>392</v>
      </c>
      <c r="L1140" s="349">
        <f t="shared" si="2707"/>
        <v>392</v>
      </c>
      <c r="M1140" s="331">
        <f t="shared" si="2707"/>
        <v>392</v>
      </c>
      <c r="N1140" s="331">
        <f t="shared" si="2707"/>
        <v>392.47826086956525</v>
      </c>
      <c r="O1140" s="331">
        <f t="shared" si="2707"/>
        <v>434</v>
      </c>
      <c r="P1140" s="331">
        <f t="shared" si="2707"/>
        <v>422</v>
      </c>
      <c r="Q1140" s="349">
        <f t="shared" si="2707"/>
        <v>422</v>
      </c>
      <c r="R1140" s="331">
        <f t="shared" si="2707"/>
        <v>421</v>
      </c>
      <c r="S1140" s="331">
        <f t="shared" si="2707"/>
        <v>421</v>
      </c>
      <c r="T1140" s="331">
        <f t="shared" si="2707"/>
        <v>421</v>
      </c>
      <c r="U1140" s="331">
        <f t="shared" si="2707"/>
        <v>412</v>
      </c>
      <c r="V1140" s="349">
        <f t="shared" si="2707"/>
        <v>412</v>
      </c>
      <c r="W1140" s="331">
        <f t="shared" si="2707"/>
        <v>411</v>
      </c>
      <c r="X1140" s="331">
        <f t="shared" si="2707"/>
        <v>411</v>
      </c>
      <c r="Y1140" s="331">
        <f t="shared" si="2707"/>
        <v>412</v>
      </c>
      <c r="Z1140" s="331">
        <f t="shared" si="2707"/>
        <v>409</v>
      </c>
      <c r="AA1140" s="349">
        <f t="shared" si="2707"/>
        <v>409</v>
      </c>
      <c r="AB1140" s="331">
        <f t="shared" si="2707"/>
        <v>421</v>
      </c>
      <c r="AC1140" s="331">
        <f t="shared" si="2707"/>
        <v>418.74930000000001</v>
      </c>
      <c r="AD1140" s="331">
        <f t="shared" si="2707"/>
        <v>476</v>
      </c>
      <c r="AE1140" s="331">
        <f t="shared" si="2707"/>
        <v>451</v>
      </c>
      <c r="AF1140" s="349">
        <f t="shared" si="2707"/>
        <v>451</v>
      </c>
      <c r="AG1140" s="331">
        <f t="shared" si="2707"/>
        <v>451</v>
      </c>
      <c r="AH1140" s="331">
        <f t="shared" si="2707"/>
        <v>452</v>
      </c>
      <c r="AI1140" s="331">
        <f t="shared" ref="AI1140:BN1140" si="2708">AI328+AI878+AI909+AI785+AI1002+AI390+AI613+AI816+AI745+AI707+AI764+AI940+AI847+AI362+AI1083+AI480+AI971+AI451+AI422</f>
        <v>562</v>
      </c>
      <c r="AJ1140" s="331">
        <f t="shared" si="2708"/>
        <v>620</v>
      </c>
      <c r="AK1140" s="349">
        <f t="shared" si="2708"/>
        <v>620</v>
      </c>
      <c r="AL1140" s="331">
        <f t="shared" si="2708"/>
        <v>726.66666666666663</v>
      </c>
      <c r="AM1140" s="331">
        <f t="shared" si="2708"/>
        <v>743.33333333333337</v>
      </c>
      <c r="AN1140" s="331">
        <f t="shared" si="2708"/>
        <v>746</v>
      </c>
      <c r="AO1140" s="331">
        <f t="shared" si="2708"/>
        <v>734.33333333333337</v>
      </c>
      <c r="AP1140" s="443">
        <f t="shared" si="2708"/>
        <v>734.33333333333337</v>
      </c>
      <c r="AQ1140" s="443">
        <f t="shared" si="2708"/>
        <v>747.66666666666663</v>
      </c>
      <c r="AR1140" s="331">
        <f t="shared" si="2708"/>
        <v>828</v>
      </c>
      <c r="AS1140" s="331">
        <f t="shared" si="2708"/>
        <v>819.33333333333337</v>
      </c>
      <c r="AT1140" s="331">
        <f t="shared" si="2708"/>
        <v>907</v>
      </c>
      <c r="AU1140" s="349">
        <f t="shared" si="2708"/>
        <v>799</v>
      </c>
      <c r="AV1140" s="443">
        <f t="shared" si="2708"/>
        <v>909.33333333333326</v>
      </c>
      <c r="AW1140" s="331">
        <f t="shared" si="2708"/>
        <v>917</v>
      </c>
      <c r="AX1140" s="331">
        <f t="shared" si="2708"/>
        <v>904.99999999999989</v>
      </c>
      <c r="AY1140" s="1306">
        <f t="shared" si="2708"/>
        <v>868.66666666666663</v>
      </c>
      <c r="AZ1140" s="349">
        <f t="shared" si="2708"/>
        <v>868.66666666666663</v>
      </c>
      <c r="BA1140" s="443">
        <f t="shared" si="2708"/>
        <v>856.33333333333326</v>
      </c>
      <c r="BB1140" s="331">
        <f t="shared" si="2708"/>
        <v>852</v>
      </c>
      <c r="BC1140" s="331">
        <f t="shared" si="2708"/>
        <v>852</v>
      </c>
      <c r="BD1140" s="1306">
        <f t="shared" si="2708"/>
        <v>829</v>
      </c>
      <c r="BE1140" s="1306">
        <f t="shared" si="2708"/>
        <v>829</v>
      </c>
      <c r="BF1140" s="331">
        <f t="shared" si="2708"/>
        <v>815</v>
      </c>
      <c r="BG1140" s="331">
        <f t="shared" si="2708"/>
        <v>818</v>
      </c>
      <c r="BH1140" s="331">
        <f t="shared" si="2708"/>
        <v>818</v>
      </c>
      <c r="BI1140" s="1306">
        <f t="shared" si="2708"/>
        <v>818</v>
      </c>
      <c r="BJ1140" s="1306">
        <f t="shared" si="2708"/>
        <v>819</v>
      </c>
      <c r="BK1140" s="331">
        <f t="shared" si="2708"/>
        <v>814</v>
      </c>
      <c r="BL1140" s="331">
        <f t="shared" si="2708"/>
        <v>809</v>
      </c>
      <c r="BM1140" s="331">
        <f t="shared" si="2708"/>
        <v>807</v>
      </c>
      <c r="BN1140" s="1306">
        <f t="shared" si="2708"/>
        <v>805</v>
      </c>
      <c r="BO1140" s="1306">
        <f t="shared" ref="BO1140:CF1140" si="2709">BO328+BO878+BO909+BO785+BO1002+BO390+BO613+BO816+BO745+BO707+BO764+BO940+BO847+BO362+BO1083+BO480+BO971+BO451+BO422</f>
        <v>807</v>
      </c>
      <c r="BP1140" s="331">
        <f t="shared" si="2709"/>
        <v>825</v>
      </c>
      <c r="BQ1140" s="331">
        <f t="shared" si="2709"/>
        <v>816</v>
      </c>
      <c r="BR1140" s="331">
        <f t="shared" si="2709"/>
        <v>795</v>
      </c>
      <c r="BS1140" s="331">
        <f t="shared" si="2709"/>
        <v>796</v>
      </c>
      <c r="BT1140" s="3222">
        <f t="shared" si="2709"/>
        <v>806</v>
      </c>
      <c r="BU1140" s="2601">
        <f t="shared" si="2709"/>
        <v>795</v>
      </c>
      <c r="BV1140" s="2601">
        <f t="shared" si="2709"/>
        <v>795</v>
      </c>
      <c r="BW1140" s="2601">
        <f t="shared" si="2709"/>
        <v>691</v>
      </c>
      <c r="BX1140" s="2601">
        <f t="shared" si="2709"/>
        <v>691</v>
      </c>
      <c r="BY1140" s="3222">
        <f t="shared" si="2709"/>
        <v>701</v>
      </c>
      <c r="BZ1140" s="349">
        <f t="shared" si="2709"/>
        <v>701</v>
      </c>
      <c r="CA1140" s="349">
        <f t="shared" si="2709"/>
        <v>701</v>
      </c>
      <c r="CB1140" s="349">
        <f t="shared" si="2709"/>
        <v>701</v>
      </c>
      <c r="CC1140" s="349">
        <f t="shared" si="2709"/>
        <v>701</v>
      </c>
      <c r="CD1140" s="349">
        <f t="shared" si="2709"/>
        <v>701</v>
      </c>
      <c r="CE1140" s="349">
        <f t="shared" si="2709"/>
        <v>701</v>
      </c>
      <c r="CF1140" s="349">
        <f t="shared" si="2709"/>
        <v>701</v>
      </c>
      <c r="CG1140" s="331"/>
      <c r="CH1140" s="331"/>
      <c r="CI1140" s="331"/>
      <c r="CJ1140" s="331"/>
      <c r="CK1140" s="331"/>
      <c r="CL1140" s="520" t="str">
        <f>A1140</f>
        <v>Tables</v>
      </c>
      <c r="CM1140" s="331">
        <f>G1140</f>
        <v>456</v>
      </c>
      <c r="CN1140" s="331">
        <f>L1140</f>
        <v>392</v>
      </c>
      <c r="CO1140" s="331">
        <f>Q1140</f>
        <v>422</v>
      </c>
      <c r="CP1140" s="331">
        <f>V1140</f>
        <v>412</v>
      </c>
      <c r="CQ1140" s="331">
        <f>AA1140</f>
        <v>409</v>
      </c>
      <c r="CR1140" s="331">
        <f>AF1140</f>
        <v>451</v>
      </c>
      <c r="CS1140" s="331">
        <f>AK1140</f>
        <v>620</v>
      </c>
      <c r="CT1140" s="331">
        <f>AP1140</f>
        <v>734.33333333333337</v>
      </c>
      <c r="CU1140" s="331">
        <f>AU1140</f>
        <v>799</v>
      </c>
      <c r="CV1140" s="331">
        <f>AZ1140</f>
        <v>868.66666666666663</v>
      </c>
      <c r="CW1140" s="331">
        <f>BE1140</f>
        <v>829</v>
      </c>
      <c r="CX1140" s="331">
        <f>BJ1140</f>
        <v>819</v>
      </c>
      <c r="CY1140" s="331">
        <f>BO1140</f>
        <v>807</v>
      </c>
      <c r="CZ1140" s="331">
        <f>BT1140</f>
        <v>806</v>
      </c>
      <c r="DA1140" s="331">
        <f t="shared" si="2702"/>
        <v>701</v>
      </c>
      <c r="DB1140" s="331">
        <f t="shared" si="2702"/>
        <v>701</v>
      </c>
      <c r="DC1140" s="1306">
        <f t="shared" si="2702"/>
        <v>701</v>
      </c>
      <c r="DD1140" s="331"/>
      <c r="DE1140" s="331"/>
      <c r="DF1140" s="502"/>
      <c r="DG1140" s="503"/>
      <c r="DH1140" s="2601"/>
      <c r="DI1140" s="3213"/>
      <c r="DJ1140" s="502"/>
      <c r="DK1140" s="503"/>
      <c r="DL1140" s="502"/>
      <c r="DM1140" s="502"/>
      <c r="DN1140" s="502"/>
      <c r="DO1140" s="502"/>
      <c r="DP1140" s="503"/>
      <c r="DQ1140" s="503"/>
      <c r="DR1140" s="296"/>
      <c r="DS1140" s="296"/>
      <c r="DT1140" s="296"/>
    </row>
    <row r="1141" spans="1:124" ht="12" customHeight="1" x14ac:dyDescent="0.25">
      <c r="A1141" s="2176" t="s">
        <v>2111</v>
      </c>
      <c r="B1141" s="428"/>
      <c r="C1141" s="331">
        <f>C329+C786+C1003+C391+C614+C746+C708+C765+C363+C1084+C481</f>
        <v>14463</v>
      </c>
      <c r="D1141" s="331">
        <f>D329+D786+D1003+D391+D614+D746+D708+D765+D363+D1084+D481</f>
        <v>14505</v>
      </c>
      <c r="E1141" s="331">
        <f>E329+E786+E1003+E391+E614+E746+E708+E765+E363+E1084+E481</f>
        <v>14617.5</v>
      </c>
      <c r="F1141" s="331">
        <f>F329+F786+F1003+F391+F614+F746+F708+F765+F363+F1084+F481</f>
        <v>14725.5</v>
      </c>
      <c r="G1141" s="348">
        <f>AVERAGE(C1141:F1141)</f>
        <v>14577.75</v>
      </c>
      <c r="H1141" s="331">
        <f>H329+H786+H1003+H391+H614+H746+H708+H765+H363+H1084+H481</f>
        <v>14670</v>
      </c>
      <c r="I1141" s="331">
        <f>I329+I786+I1003+I391+I614+I746+I708+I765+I363+I1084+I481</f>
        <v>14968.5</v>
      </c>
      <c r="J1141" s="331">
        <f>J329+J786+J1003+J391+J614+J746+J708+J765+J363+J1084+J481</f>
        <v>14972.833333333334</v>
      </c>
      <c r="K1141" s="331">
        <f>K329+K879+K910+K786+K1003+K391+K614+K817+K746+K708+K765+K941+K848+K363+K1084+K481+K1128</f>
        <v>21122.166666666668</v>
      </c>
      <c r="L1141" s="348">
        <f>AVERAGE(H1141:K1141)</f>
        <v>16433.375</v>
      </c>
      <c r="M1141" s="331">
        <f>AVERAGE(L1138:M1138)</f>
        <v>20976</v>
      </c>
      <c r="N1141" s="331">
        <f>AVERAGE(M1138:N1138)</f>
        <v>20989.391304347824</v>
      </c>
      <c r="O1141" s="331">
        <f>AVERAGE(N1138:O1138)</f>
        <v>22110.391304347824</v>
      </c>
      <c r="P1141" s="331">
        <f>AVERAGE(O1138:P1138)</f>
        <v>23508</v>
      </c>
      <c r="Q1141" s="348">
        <f>AVERAGE(M1141:P1141)</f>
        <v>21895.945652173912</v>
      </c>
      <c r="R1141" s="331">
        <f>AVERAGE(Q1138:R1138)</f>
        <v>23788</v>
      </c>
      <c r="S1141" s="331">
        <f>AVERAGE(R1138:S1138)</f>
        <v>24592.5</v>
      </c>
      <c r="T1141" s="331">
        <f>AVERAGE(S1138:T1138)</f>
        <v>25415.5</v>
      </c>
      <c r="U1141" s="331">
        <f>AVERAGE(T1138:U1138)</f>
        <v>25481</v>
      </c>
      <c r="V1141" s="348">
        <f>AVERAGE(R1141:U1141)</f>
        <v>24819.25</v>
      </c>
      <c r="W1141" s="331">
        <f>AVERAGE(V1138:W1138)</f>
        <v>26518</v>
      </c>
      <c r="X1141" s="331">
        <f>AVERAGE(W1138:X1138)</f>
        <v>27493.666666666668</v>
      </c>
      <c r="Y1141" s="331">
        <f>AVERAGE(X1138:Y1138)</f>
        <v>27823.62777777778</v>
      </c>
      <c r="Z1141" s="331">
        <f>AVERAGE(Y1138:Z1138)</f>
        <v>28163.461111111112</v>
      </c>
      <c r="AA1141" s="348">
        <f>AVERAGE(W1141:Z1141)</f>
        <v>27499.68888888889</v>
      </c>
      <c r="AB1141" s="331">
        <f>AVERAGE(AA1138:AB1138)</f>
        <v>28129</v>
      </c>
      <c r="AC1141" s="331">
        <f>AVERAGE(AB1138:AC1138)</f>
        <v>27681.978000000003</v>
      </c>
      <c r="AD1141" s="331">
        <f>AVERAGE(AC1138:AD1138)</f>
        <v>28220.478000000003</v>
      </c>
      <c r="AE1141" s="331">
        <f>AVERAGE(AD1138:AE1138)</f>
        <v>29123.5</v>
      </c>
      <c r="AF1141" s="348">
        <f>AVERAGE(AB1141:AE1141)</f>
        <v>28288.739000000001</v>
      </c>
      <c r="AG1141" s="331">
        <f>AVERAGE(AF1138:AG1138)</f>
        <v>29055.166666666664</v>
      </c>
      <c r="AH1141" s="331">
        <f>AVERAGE(AG1138:AH1138)</f>
        <v>28785.666666666664</v>
      </c>
      <c r="AI1141" s="331">
        <f>AVERAGE(AH1138:AI1138)</f>
        <v>29685.833333333336</v>
      </c>
      <c r="AJ1141" s="331">
        <f>AVERAGE(AI1138:AJ1138)</f>
        <v>31057</v>
      </c>
      <c r="AK1141" s="348">
        <f>AVERAGE(AG1141:AJ1141)</f>
        <v>29645.916666666664</v>
      </c>
      <c r="AL1141" s="331">
        <f>AVERAGE(AK1138:AL1138)</f>
        <v>32776.166666666664</v>
      </c>
      <c r="AM1141" s="331">
        <f>AVERAGE(AL1138:AM1138)</f>
        <v>34090.833333333336</v>
      </c>
      <c r="AN1141" s="331">
        <f>AVERAGE(AM1138:AN1138)</f>
        <v>33902.5</v>
      </c>
      <c r="AO1141" s="331">
        <f>AVERAGE(AN1138:AO1138)</f>
        <v>33843.333333333328</v>
      </c>
      <c r="AP1141" s="568">
        <f>AVERAGE(AL1141:AO1141)</f>
        <v>33653.208333333328</v>
      </c>
      <c r="AQ1141" s="568">
        <f>AVERAGE(AP1138:AQ1138)</f>
        <v>33794.833333333328</v>
      </c>
      <c r="AR1141" s="330">
        <f>AVERAGE(AQ1138:AR1138)</f>
        <v>33699.833333333328</v>
      </c>
      <c r="AS1141" s="330">
        <f>AVERAGE(AR1138:AS1138)</f>
        <v>33517.5</v>
      </c>
      <c r="AT1141" s="330">
        <f>AVERAGE(AS1138:AT1138)</f>
        <v>35004</v>
      </c>
      <c r="AU1141" s="348">
        <f>AVERAGE(AQ1141:AT1141)</f>
        <v>34004.041666666664</v>
      </c>
      <c r="AV1141" s="568">
        <f>AVERAGE(AU1138:AV1138)</f>
        <v>36268.5</v>
      </c>
      <c r="AW1141" s="330">
        <f>AVERAGE(AV1138:AW1138)</f>
        <v>35569.166666666664</v>
      </c>
      <c r="AX1141" s="330">
        <f>AVERAGE(AW1138:AX1138)</f>
        <v>34679.333333333328</v>
      </c>
      <c r="AY1141" s="1888">
        <f>AVERAGE(AX1138:AY1138)</f>
        <v>33992.666666666664</v>
      </c>
      <c r="AZ1141" s="348">
        <f>AVERAGE(AV1141:AY1141)</f>
        <v>35127.416666666664</v>
      </c>
      <c r="BA1141" s="568">
        <f>AVERAGE(AZ1138:BA1138)</f>
        <v>32335.666666666664</v>
      </c>
      <c r="BB1141" s="330">
        <f>AVERAGE(BA1138:BB1138)</f>
        <v>30560.333333333336</v>
      </c>
      <c r="BC1141" s="330">
        <f>AVERAGE(BB1138:BC1138)</f>
        <v>30175</v>
      </c>
      <c r="BD1141" s="1888">
        <f>AVERAGE(BC1138:BD1138)</f>
        <v>29611.666666666668</v>
      </c>
      <c r="BE1141" s="1888">
        <f>AVERAGE(BA1141:BD1141)</f>
        <v>30670.666666666668</v>
      </c>
      <c r="BF1141" s="330">
        <f>AVERAGE(BE1138:BF1138)</f>
        <v>28922</v>
      </c>
      <c r="BG1141" s="330">
        <f>AVERAGE(BF1138:BG1138)</f>
        <v>28623</v>
      </c>
      <c r="BH1141" s="330">
        <f>AVERAGE(BG1138:BH1138)</f>
        <v>28504.5</v>
      </c>
      <c r="BI1141" s="1888">
        <f>AVERAGE(BH1138:BI1138)</f>
        <v>28424</v>
      </c>
      <c r="BJ1141" s="1888">
        <f>AVERAGE(BJ1138,BE1138)</f>
        <v>28749.5</v>
      </c>
      <c r="BK1141" s="330">
        <f>AVERAGE(BJ1138:BK1138)</f>
        <v>28255</v>
      </c>
      <c r="BL1141" s="330">
        <f>AVERAGE(BK1138:BL1138)</f>
        <v>28094.5</v>
      </c>
      <c r="BM1141" s="330">
        <f>AVERAGE(BL1138:BM1138)</f>
        <v>28056</v>
      </c>
      <c r="BN1141" s="1888">
        <f>AVERAGE(BM1138:BN1138)</f>
        <v>27978</v>
      </c>
      <c r="BO1141" s="1888">
        <f>AVERAGE(BO1138,BJ1138)</f>
        <v>28131.5</v>
      </c>
      <c r="BP1141" s="330">
        <f>AVERAGE(BO1138:BP1138)</f>
        <v>27914.25</v>
      </c>
      <c r="BQ1141" s="330">
        <f>AVERAGE(BP1138:BQ1138)</f>
        <v>27889.75</v>
      </c>
      <c r="BR1141" s="330">
        <f>AVERAGE(BQ1138:BR1138)</f>
        <v>27782.5</v>
      </c>
      <c r="BS1141" s="330">
        <f>AVERAGE(BR1138:BS1138)</f>
        <v>27596.5</v>
      </c>
      <c r="BT1141" s="3222">
        <f>AVERAGE(BT1138,BO1138)</f>
        <v>27682.5</v>
      </c>
      <c r="BU1141" s="2909">
        <f>AVERAGE(BT1138:BU1138)</f>
        <v>27445</v>
      </c>
      <c r="BV1141" s="2909">
        <f>AVERAGE(BU1138:BV1138)</f>
        <v>27418</v>
      </c>
      <c r="BW1141" s="2909">
        <f>AVERAGE(BV1138:BW1138)</f>
        <v>25870</v>
      </c>
      <c r="BX1141" s="2909">
        <f>AVERAGE(BW1138:BX1138)</f>
        <v>24322</v>
      </c>
      <c r="BY1141" s="3222">
        <f>AVERAGE(BT1138,BY1138)</f>
        <v>25927</v>
      </c>
      <c r="BZ1141" s="349">
        <f t="shared" ref="BZ1141:CF1141" si="2710">AVERAGE(BY1138:BZ1138)</f>
        <v>24382</v>
      </c>
      <c r="CA1141" s="349">
        <f t="shared" si="2710"/>
        <v>24382</v>
      </c>
      <c r="CB1141" s="349">
        <f t="shared" si="2710"/>
        <v>24382</v>
      </c>
      <c r="CC1141" s="349">
        <f t="shared" si="2710"/>
        <v>24382</v>
      </c>
      <c r="CD1141" s="349">
        <f t="shared" si="2710"/>
        <v>24382</v>
      </c>
      <c r="CE1141" s="349">
        <f t="shared" si="2710"/>
        <v>24382</v>
      </c>
      <c r="CF1141" s="349">
        <f t="shared" si="2710"/>
        <v>24382</v>
      </c>
      <c r="CG1141" s="331"/>
      <c r="CH1141" s="331"/>
      <c r="CI1141" s="331"/>
      <c r="CJ1141" s="331"/>
      <c r="CK1141" s="331"/>
      <c r="CL1141" s="1118" t="str">
        <f>A1141</f>
        <v>Average Positions</v>
      </c>
      <c r="CM1141" s="330">
        <f>G1141</f>
        <v>14577.75</v>
      </c>
      <c r="CN1141" s="330">
        <f>L1141</f>
        <v>16433.375</v>
      </c>
      <c r="CO1141" s="330">
        <f>Q1141</f>
        <v>21895.945652173912</v>
      </c>
      <c r="CP1141" s="330">
        <f>V1141</f>
        <v>24819.25</v>
      </c>
      <c r="CQ1141" s="330">
        <f>AA1141</f>
        <v>27499.68888888889</v>
      </c>
      <c r="CR1141" s="330">
        <f>AF1141</f>
        <v>28288.739000000001</v>
      </c>
      <c r="CS1141" s="330">
        <f>AK1141</f>
        <v>29645.916666666664</v>
      </c>
      <c r="CT1141" s="330">
        <f>AP1141</f>
        <v>33653.208333333328</v>
      </c>
      <c r="CU1141" s="330">
        <f>AU1141</f>
        <v>34004.041666666664</v>
      </c>
      <c r="CV1141" s="330">
        <f>AZ1141</f>
        <v>35127.416666666664</v>
      </c>
      <c r="CW1141" s="330">
        <f>BE1141</f>
        <v>30670.666666666668</v>
      </c>
      <c r="CX1141" s="330">
        <f>BJ1141</f>
        <v>28749.5</v>
      </c>
      <c r="CY1141" s="330">
        <f>BO1141</f>
        <v>28131.5</v>
      </c>
      <c r="CZ1141" s="330">
        <f>BT1141</f>
        <v>27682.5</v>
      </c>
      <c r="DA1141" s="330">
        <f t="shared" si="2702"/>
        <v>25927</v>
      </c>
      <c r="DB1141" s="330">
        <f t="shared" si="2702"/>
        <v>24382</v>
      </c>
      <c r="DC1141" s="1888">
        <f t="shared" si="2702"/>
        <v>24382</v>
      </c>
      <c r="DD1141" s="331"/>
      <c r="DE1141" s="331"/>
      <c r="DF1141" s="502"/>
      <c r="DG1141" s="503"/>
      <c r="DH1141" s="2601"/>
      <c r="DI1141" s="3213"/>
      <c r="DJ1141" s="502"/>
      <c r="DK1141" s="503"/>
      <c r="DL1141" s="502"/>
      <c r="DM1141" s="502"/>
      <c r="DN1141" s="502"/>
      <c r="DO1141" s="502"/>
      <c r="DP1141" s="503"/>
      <c r="DQ1141" s="503"/>
      <c r="DR1141" s="296"/>
      <c r="DS1141" s="296"/>
      <c r="DT1141" s="296"/>
    </row>
    <row r="1142" spans="1:124" ht="12" customHeight="1" x14ac:dyDescent="0.25">
      <c r="A1142" s="281"/>
      <c r="B1142" s="281"/>
      <c r="C1142" s="305"/>
      <c r="D1142" s="305"/>
      <c r="E1142" s="305"/>
      <c r="F1142" s="305"/>
      <c r="G1142" s="440"/>
      <c r="H1142" s="305"/>
      <c r="I1142" s="305"/>
      <c r="J1142" s="305"/>
      <c r="K1142" s="305"/>
      <c r="L1142" s="440"/>
      <c r="M1142" s="305"/>
      <c r="N1142" s="305"/>
      <c r="O1142" s="305"/>
      <c r="P1142" s="305"/>
      <c r="Q1142" s="440"/>
      <c r="R1142" s="305"/>
      <c r="S1142" s="305"/>
      <c r="T1142" s="305"/>
      <c r="U1142" s="305"/>
      <c r="V1142" s="440"/>
      <c r="W1142" s="305"/>
      <c r="X1142" s="305"/>
      <c r="Y1142" s="305"/>
      <c r="Z1142" s="305"/>
      <c r="AA1142" s="440"/>
      <c r="AB1142" s="305"/>
      <c r="AC1142" s="305"/>
      <c r="AD1142" s="305"/>
      <c r="AE1142" s="331"/>
      <c r="AF1142" s="441"/>
      <c r="AG1142" s="331"/>
      <c r="AH1142" s="331"/>
      <c r="AI1142" s="331"/>
      <c r="AJ1142" s="331"/>
      <c r="AK1142" s="441"/>
      <c r="AL1142" s="442"/>
      <c r="AM1142" s="442"/>
      <c r="AN1142" s="442"/>
      <c r="AO1142" s="442"/>
      <c r="AP1142" s="443"/>
      <c r="AQ1142" s="443"/>
      <c r="AR1142" s="331"/>
      <c r="AS1142" s="331"/>
      <c r="AT1142" s="331"/>
      <c r="AU1142" s="349"/>
      <c r="AV1142" s="443"/>
      <c r="AW1142" s="331"/>
      <c r="AX1142" s="331"/>
      <c r="AY1142" s="1306"/>
      <c r="AZ1142" s="349"/>
      <c r="BA1142" s="443"/>
      <c r="BB1142" s="331"/>
      <c r="BC1142" s="331"/>
      <c r="BD1142" s="1306"/>
      <c r="BE1142" s="1306"/>
      <c r="BF1142" s="331"/>
      <c r="BG1142" s="331"/>
      <c r="BH1142" s="331"/>
      <c r="BI1142" s="1306"/>
      <c r="BJ1142" s="1306"/>
      <c r="BK1142" s="331"/>
      <c r="BL1142" s="331"/>
      <c r="BM1142" s="331"/>
      <c r="BN1142" s="1306"/>
      <c r="BO1142" s="1306"/>
      <c r="BP1142" s="331"/>
      <c r="BQ1142" s="331"/>
      <c r="BR1142" s="331"/>
      <c r="BS1142" s="331"/>
      <c r="BT1142" s="3222"/>
      <c r="BU1142" s="3393"/>
      <c r="BV1142" s="2601"/>
      <c r="BW1142" s="2601"/>
      <c r="BX1142" s="2601"/>
      <c r="BY1142" s="3222"/>
      <c r="BZ1142" s="349"/>
      <c r="CA1142" s="349"/>
      <c r="CB1142" s="349"/>
      <c r="CC1142" s="349"/>
      <c r="CD1142" s="349"/>
      <c r="CE1142" s="349"/>
      <c r="CF1142" s="349"/>
      <c r="CG1142" s="331"/>
      <c r="CH1142" s="331"/>
      <c r="CI1142" s="331"/>
      <c r="CJ1142" s="331"/>
      <c r="CK1142" s="331"/>
      <c r="CL1142" s="520"/>
      <c r="CM1142" s="331"/>
      <c r="CN1142" s="331"/>
      <c r="CO1142" s="331"/>
      <c r="CP1142" s="331"/>
      <c r="CQ1142" s="331"/>
      <c r="CR1142" s="331"/>
      <c r="CS1142" s="331"/>
      <c r="CT1142" s="331"/>
      <c r="CU1142" s="331"/>
      <c r="CV1142" s="331"/>
      <c r="CW1142" s="331"/>
      <c r="CX1142" s="331"/>
      <c r="CY1142" s="331"/>
      <c r="CZ1142" s="331"/>
      <c r="DA1142" s="331"/>
      <c r="DB1142" s="331"/>
      <c r="DC1142" s="1306"/>
      <c r="DD1142" s="331"/>
      <c r="DE1142" s="331"/>
      <c r="DF1142" s="502"/>
      <c r="DG1142" s="503"/>
      <c r="DH1142" s="2601"/>
      <c r="DI1142" s="3213"/>
      <c r="DJ1142" s="502"/>
      <c r="DK1142" s="503"/>
      <c r="DL1142" s="502"/>
      <c r="DM1142" s="502"/>
      <c r="DN1142" s="502"/>
      <c r="DO1142" s="502"/>
      <c r="DP1142" s="503"/>
      <c r="DQ1142" s="503"/>
      <c r="DR1142" s="296"/>
      <c r="DS1142" s="296"/>
      <c r="DT1142" s="296"/>
    </row>
    <row r="1143" spans="1:124" ht="12" customHeight="1" x14ac:dyDescent="0.25">
      <c r="A1143" s="281"/>
      <c r="B1143" s="281"/>
      <c r="C1143" s="305"/>
      <c r="D1143" s="305"/>
      <c r="E1143" s="305"/>
      <c r="F1143" s="305"/>
      <c r="G1143" s="440"/>
      <c r="H1143" s="305"/>
      <c r="I1143" s="305"/>
      <c r="J1143" s="305"/>
      <c r="K1143" s="305"/>
      <c r="L1143" s="440"/>
      <c r="M1143" s="305"/>
      <c r="N1143" s="305"/>
      <c r="O1143" s="305"/>
      <c r="P1143" s="305"/>
      <c r="Q1143" s="440"/>
      <c r="R1143" s="305"/>
      <c r="S1143" s="305"/>
      <c r="T1143" s="305"/>
      <c r="U1143" s="305"/>
      <c r="V1143" s="440"/>
      <c r="W1143" s="305"/>
      <c r="X1143" s="305"/>
      <c r="Y1143" s="305"/>
      <c r="Z1143" s="305"/>
      <c r="AA1143" s="440"/>
      <c r="AB1143" s="305"/>
      <c r="AC1143" s="305"/>
      <c r="AD1143" s="305"/>
      <c r="AE1143" s="331"/>
      <c r="AF1143" s="441"/>
      <c r="AG1143" s="331"/>
      <c r="AH1143" s="331"/>
      <c r="AI1143" s="331"/>
      <c r="AJ1143" s="331"/>
      <c r="AK1143" s="441"/>
      <c r="AL1143" s="442"/>
      <c r="AM1143" s="442"/>
      <c r="AN1143" s="442"/>
      <c r="AO1143" s="442"/>
      <c r="AP1143" s="443"/>
      <c r="AQ1143" s="443"/>
      <c r="AR1143" s="331"/>
      <c r="AS1143" s="331"/>
      <c r="AT1143" s="331"/>
      <c r="AU1143" s="349"/>
      <c r="AV1143" s="443"/>
      <c r="AW1143" s="331"/>
      <c r="AX1143" s="331"/>
      <c r="AY1143" s="1306"/>
      <c r="AZ1143" s="349"/>
      <c r="BA1143" s="443"/>
      <c r="BB1143" s="331"/>
      <c r="BC1143" s="331"/>
      <c r="BD1143" s="1306"/>
      <c r="BE1143" s="1306"/>
      <c r="BF1143" s="331"/>
      <c r="BG1143" s="331"/>
      <c r="BH1143" s="331"/>
      <c r="BI1143" s="1306"/>
      <c r="BJ1143" s="1306"/>
      <c r="BK1143" s="331"/>
      <c r="BL1143" s="331"/>
      <c r="BM1143" s="331"/>
      <c r="BN1143" s="1306"/>
      <c r="BO1143" s="1306"/>
      <c r="BP1143" s="331"/>
      <c r="BQ1143" s="331"/>
      <c r="BR1143" s="331"/>
      <c r="BS1143" s="331"/>
      <c r="BT1143" s="3222"/>
      <c r="BU1143" s="3393"/>
      <c r="BV1143" s="2601"/>
      <c r="BW1143" s="2601"/>
      <c r="BX1143" s="2601"/>
      <c r="BY1143" s="3222"/>
      <c r="BZ1143" s="349"/>
      <c r="CA1143" s="349"/>
      <c r="CB1143" s="349"/>
      <c r="CC1143" s="349"/>
      <c r="CD1143" s="349"/>
      <c r="CE1143" s="349"/>
      <c r="CF1143" s="349"/>
      <c r="CG1143" s="331"/>
      <c r="CH1143" s="331"/>
      <c r="CI1143" s="331"/>
      <c r="CJ1143" s="331"/>
      <c r="CK1143" s="331"/>
      <c r="CL1143" s="520"/>
      <c r="CM1143" s="331"/>
      <c r="CN1143" s="331"/>
      <c r="CO1143" s="331"/>
      <c r="CP1143" s="331"/>
      <c r="CQ1143" s="331"/>
      <c r="CR1143" s="331"/>
      <c r="CS1143" s="331"/>
      <c r="CT1143" s="331"/>
      <c r="CU1143" s="331"/>
      <c r="CV1143" s="331"/>
      <c r="CW1143" s="331"/>
      <c r="CX1143" s="331"/>
      <c r="CY1143" s="331"/>
      <c r="CZ1143" s="331"/>
      <c r="DA1143" s="331"/>
      <c r="DB1143" s="331"/>
      <c r="DC1143" s="1306"/>
      <c r="DD1143" s="331"/>
      <c r="DE1143" s="331"/>
      <c r="DF1143" s="502"/>
      <c r="DG1143" s="503"/>
      <c r="DH1143" s="2601"/>
      <c r="DI1143" s="3213"/>
      <c r="DJ1143" s="502"/>
      <c r="DK1143" s="503"/>
      <c r="DL1143" s="502"/>
      <c r="DM1143" s="502"/>
      <c r="DN1143" s="502"/>
      <c r="DO1143" s="502"/>
      <c r="DP1143" s="503"/>
      <c r="DQ1143" s="503"/>
      <c r="DR1143" s="296"/>
      <c r="DS1143" s="296"/>
      <c r="DT1143" s="296"/>
    </row>
    <row r="1144" spans="1:124" ht="12" customHeight="1" x14ac:dyDescent="0.25">
      <c r="A1144" s="462" t="s">
        <v>799</v>
      </c>
      <c r="B1144" s="409"/>
      <c r="C1144" s="433" t="str">
        <f>C$6</f>
        <v>1Q04</v>
      </c>
      <c r="D1144" s="433" t="str">
        <f t="shared" ref="D1144:CB1144" si="2711">D$6</f>
        <v>2Q04</v>
      </c>
      <c r="E1144" s="433" t="str">
        <f t="shared" si="2711"/>
        <v>3Q04</v>
      </c>
      <c r="F1144" s="433" t="str">
        <f t="shared" si="2711"/>
        <v>4Q04</v>
      </c>
      <c r="G1144" s="434">
        <f t="shared" si="2711"/>
        <v>2004</v>
      </c>
      <c r="H1144" s="433" t="str">
        <f t="shared" si="2711"/>
        <v>1Q05</v>
      </c>
      <c r="I1144" s="433" t="str">
        <f t="shared" si="2711"/>
        <v>2Q05</v>
      </c>
      <c r="J1144" s="433" t="str">
        <f t="shared" si="2711"/>
        <v>3Q05</v>
      </c>
      <c r="K1144" s="433" t="str">
        <f t="shared" si="2711"/>
        <v>4Q05</v>
      </c>
      <c r="L1144" s="434">
        <f t="shared" si="2711"/>
        <v>2005</v>
      </c>
      <c r="M1144" s="433" t="str">
        <f t="shared" si="2711"/>
        <v>1Q06</v>
      </c>
      <c r="N1144" s="433" t="str">
        <f t="shared" si="2711"/>
        <v>2Q06</v>
      </c>
      <c r="O1144" s="433" t="str">
        <f t="shared" si="2711"/>
        <v>3Q06</v>
      </c>
      <c r="P1144" s="433" t="str">
        <f t="shared" si="2711"/>
        <v>4Q06</v>
      </c>
      <c r="Q1144" s="434">
        <f t="shared" si="2711"/>
        <v>2006</v>
      </c>
      <c r="R1144" s="433" t="str">
        <f t="shared" si="2711"/>
        <v>1Q07</v>
      </c>
      <c r="S1144" s="433" t="str">
        <f t="shared" si="2711"/>
        <v>2Q07</v>
      </c>
      <c r="T1144" s="433" t="str">
        <f t="shared" si="2711"/>
        <v>3Q07</v>
      </c>
      <c r="U1144" s="433" t="str">
        <f t="shared" si="2711"/>
        <v>4Q07</v>
      </c>
      <c r="V1144" s="434">
        <f t="shared" si="2711"/>
        <v>2007</v>
      </c>
      <c r="W1144" s="433" t="str">
        <f t="shared" si="2711"/>
        <v>1Q08</v>
      </c>
      <c r="X1144" s="433" t="str">
        <f t="shared" si="2711"/>
        <v>2Q08</v>
      </c>
      <c r="Y1144" s="433" t="str">
        <f t="shared" si="2711"/>
        <v>3Q08</v>
      </c>
      <c r="Z1144" s="433" t="str">
        <f t="shared" si="2711"/>
        <v>4Q08</v>
      </c>
      <c r="AA1144" s="434">
        <f t="shared" si="2711"/>
        <v>2008</v>
      </c>
      <c r="AB1144" s="433" t="str">
        <f t="shared" si="2711"/>
        <v>1Q09</v>
      </c>
      <c r="AC1144" s="433" t="str">
        <f t="shared" si="2711"/>
        <v>2Q09</v>
      </c>
      <c r="AD1144" s="433" t="str">
        <f t="shared" si="2711"/>
        <v>3Q09</v>
      </c>
      <c r="AE1144" s="433" t="str">
        <f t="shared" si="2711"/>
        <v>4Q09</v>
      </c>
      <c r="AF1144" s="434">
        <f t="shared" si="2711"/>
        <v>2009</v>
      </c>
      <c r="AG1144" s="433" t="str">
        <f t="shared" si="2711"/>
        <v>1Q10</v>
      </c>
      <c r="AH1144" s="433" t="str">
        <f t="shared" si="2711"/>
        <v>2Q10</v>
      </c>
      <c r="AI1144" s="433" t="str">
        <f t="shared" si="2711"/>
        <v>3Q10</v>
      </c>
      <c r="AJ1144" s="433" t="str">
        <f t="shared" si="2711"/>
        <v>4Q10</v>
      </c>
      <c r="AK1144" s="434">
        <f t="shared" si="2711"/>
        <v>2010</v>
      </c>
      <c r="AL1144" s="435" t="str">
        <f t="shared" si="2711"/>
        <v>1Q11</v>
      </c>
      <c r="AM1144" s="435" t="str">
        <f t="shared" si="2711"/>
        <v>2Q11</v>
      </c>
      <c r="AN1144" s="435" t="str">
        <f t="shared" si="2711"/>
        <v>3Q11</v>
      </c>
      <c r="AO1144" s="435" t="str">
        <f t="shared" si="2711"/>
        <v>4Q11</v>
      </c>
      <c r="AP1144" s="436">
        <f t="shared" si="2711"/>
        <v>2011</v>
      </c>
      <c r="AQ1144" s="436" t="str">
        <f t="shared" si="2711"/>
        <v>1Q12</v>
      </c>
      <c r="AR1144" s="437" t="str">
        <f t="shared" si="2711"/>
        <v>2Q12</v>
      </c>
      <c r="AS1144" s="437" t="str">
        <f t="shared" si="2711"/>
        <v>3Q12</v>
      </c>
      <c r="AT1144" s="437" t="str">
        <f t="shared" si="2711"/>
        <v>4Q12</v>
      </c>
      <c r="AU1144" s="438">
        <f t="shared" si="2711"/>
        <v>2012</v>
      </c>
      <c r="AV1144" s="436" t="str">
        <f t="shared" si="2711"/>
        <v>1Q13</v>
      </c>
      <c r="AW1144" s="437" t="str">
        <f t="shared" si="2711"/>
        <v>2Q13</v>
      </c>
      <c r="AX1144" s="437" t="str">
        <f t="shared" si="2711"/>
        <v>3Q13</v>
      </c>
      <c r="AY1144" s="861" t="str">
        <f t="shared" si="2711"/>
        <v>4Q13</v>
      </c>
      <c r="AZ1144" s="438">
        <f t="shared" si="2711"/>
        <v>2013</v>
      </c>
      <c r="BA1144" s="436" t="str">
        <f t="shared" si="2711"/>
        <v>1Q14</v>
      </c>
      <c r="BB1144" s="437" t="str">
        <f t="shared" si="2711"/>
        <v>2Q14</v>
      </c>
      <c r="BC1144" s="437" t="str">
        <f t="shared" si="2711"/>
        <v>3Q14</v>
      </c>
      <c r="BD1144" s="861" t="str">
        <f t="shared" si="2711"/>
        <v>4Q14</v>
      </c>
      <c r="BE1144" s="861">
        <f t="shared" si="2711"/>
        <v>2014</v>
      </c>
      <c r="BF1144" s="437" t="str">
        <f t="shared" si="2711"/>
        <v>1Q15</v>
      </c>
      <c r="BG1144" s="437" t="str">
        <f t="shared" si="2711"/>
        <v>2Q15</v>
      </c>
      <c r="BH1144" s="437" t="str">
        <f t="shared" si="2711"/>
        <v>3Q15</v>
      </c>
      <c r="BI1144" s="861" t="str">
        <f t="shared" si="2711"/>
        <v>4Q15</v>
      </c>
      <c r="BJ1144" s="861">
        <f t="shared" si="2711"/>
        <v>2015</v>
      </c>
      <c r="BK1144" s="437" t="str">
        <f t="shared" si="2711"/>
        <v>1Q16</v>
      </c>
      <c r="BL1144" s="437" t="str">
        <f t="shared" si="2711"/>
        <v>2Q16</v>
      </c>
      <c r="BM1144" s="437" t="str">
        <f t="shared" si="2711"/>
        <v>3Q16</v>
      </c>
      <c r="BN1144" s="861" t="str">
        <f t="shared" si="2711"/>
        <v>4Q16</v>
      </c>
      <c r="BO1144" s="861">
        <f t="shared" si="2711"/>
        <v>2016</v>
      </c>
      <c r="BP1144" s="437" t="str">
        <f t="shared" si="2711"/>
        <v>1Q17</v>
      </c>
      <c r="BQ1144" s="437" t="str">
        <f t="shared" si="2711"/>
        <v>2Q17</v>
      </c>
      <c r="BR1144" s="437" t="str">
        <f t="shared" si="2711"/>
        <v>3Q17</v>
      </c>
      <c r="BS1144" s="437" t="str">
        <f t="shared" si="2711"/>
        <v>4Q17</v>
      </c>
      <c r="BT1144" s="438">
        <f t="shared" si="2711"/>
        <v>2017</v>
      </c>
      <c r="BU1144" s="437" t="str">
        <f t="shared" si="2711"/>
        <v>1Q18E</v>
      </c>
      <c r="BV1144" s="437" t="str">
        <f t="shared" si="2711"/>
        <v>2Q18E</v>
      </c>
      <c r="BW1144" s="437" t="str">
        <f t="shared" si="2711"/>
        <v>3Q18E</v>
      </c>
      <c r="BX1144" s="437" t="str">
        <f t="shared" si="2711"/>
        <v>4Q18E</v>
      </c>
      <c r="BY1144" s="438" t="str">
        <f t="shared" si="2711"/>
        <v>2018E</v>
      </c>
      <c r="BZ1144" s="438" t="str">
        <f t="shared" si="2711"/>
        <v>2019E</v>
      </c>
      <c r="CA1144" s="438" t="str">
        <f t="shared" si="2711"/>
        <v>2020E</v>
      </c>
      <c r="CB1144" s="438" t="str">
        <f t="shared" si="2711"/>
        <v>2021E</v>
      </c>
      <c r="CC1144" s="438" t="str">
        <f>CC$6</f>
        <v>2022E</v>
      </c>
      <c r="CD1144" s="438" t="str">
        <f>CD$6</f>
        <v>2023E</v>
      </c>
      <c r="CE1144" s="438" t="str">
        <f>CE$6</f>
        <v>2024E</v>
      </c>
      <c r="CF1144" s="438" t="str">
        <f>CF$6</f>
        <v>2025E</v>
      </c>
      <c r="CG1144" s="331"/>
      <c r="CH1144" s="331"/>
      <c r="CI1144" s="331"/>
      <c r="CJ1144" s="331"/>
      <c r="CK1144" s="331"/>
      <c r="CL1144" s="2225" t="str">
        <f t="shared" ref="CL1144:CL1151" si="2712">A1144</f>
        <v>JOINT VENTURES</v>
      </c>
      <c r="CM1144" s="2229">
        <f>G1144</f>
        <v>2004</v>
      </c>
      <c r="CN1144" s="2229">
        <f>L1144</f>
        <v>2005</v>
      </c>
      <c r="CO1144" s="2229">
        <f>Q1144</f>
        <v>2006</v>
      </c>
      <c r="CP1144" s="2229">
        <f>V1144</f>
        <v>2007</v>
      </c>
      <c r="CQ1144" s="2229">
        <f>AA1144</f>
        <v>2008</v>
      </c>
      <c r="CR1144" s="2229">
        <f>AF1144</f>
        <v>2009</v>
      </c>
      <c r="CS1144" s="2229">
        <f>AK1144</f>
        <v>2010</v>
      </c>
      <c r="CT1144" s="2229">
        <f>AP1144</f>
        <v>2011</v>
      </c>
      <c r="CU1144" s="2229">
        <f t="shared" ref="CU1144:CU1150" si="2713">AU1144</f>
        <v>2012</v>
      </c>
      <c r="CV1144" s="2229">
        <f t="shared" ref="CV1144:CV1151" si="2714">AZ1144</f>
        <v>2013</v>
      </c>
      <c r="CW1144" s="2229">
        <f t="shared" ref="CW1144:CW1151" si="2715">BE1144</f>
        <v>2014</v>
      </c>
      <c r="CX1144" s="2229">
        <f t="shared" ref="CX1144:CX1151" si="2716">BJ1144</f>
        <v>2015</v>
      </c>
      <c r="CY1144" s="2229">
        <f t="shared" ref="CY1144:CY1151" si="2717">BO1144</f>
        <v>2016</v>
      </c>
      <c r="CZ1144" s="2229">
        <f t="shared" ref="CZ1144:CZ1151" si="2718">BT1144</f>
        <v>2017</v>
      </c>
      <c r="DA1144" s="2229" t="str">
        <f t="shared" ref="DA1144:DC1151" si="2719">BY1144</f>
        <v>2018E</v>
      </c>
      <c r="DB1144" s="2229" t="str">
        <f t="shared" si="2719"/>
        <v>2019E</v>
      </c>
      <c r="DC1144" s="2230" t="str">
        <f t="shared" si="2719"/>
        <v>2020E</v>
      </c>
      <c r="DD1144" s="331"/>
      <c r="DE1144" s="331"/>
      <c r="DF1144" s="502"/>
      <c r="DG1144" s="503"/>
      <c r="DH1144" s="537"/>
      <c r="DI1144" s="3213"/>
      <c r="DJ1144" s="502"/>
      <c r="DK1144" s="503"/>
      <c r="DL1144" s="502"/>
      <c r="DM1144" s="502"/>
      <c r="DN1144" s="502"/>
      <c r="DO1144" s="502"/>
      <c r="DP1144" s="503"/>
      <c r="DQ1144" s="503"/>
      <c r="DR1144" s="296"/>
      <c r="DS1144" s="296"/>
      <c r="DT1144" s="296"/>
    </row>
    <row r="1145" spans="1:124" ht="12" customHeight="1" x14ac:dyDescent="0.25">
      <c r="A1145" s="2123" t="s">
        <v>552</v>
      </c>
      <c r="B1145" s="523"/>
      <c r="C1145" s="2116"/>
      <c r="D1145" s="2116"/>
      <c r="E1145" s="2116"/>
      <c r="F1145" s="2116"/>
      <c r="G1145" s="2117"/>
      <c r="H1145" s="2116"/>
      <c r="I1145" s="2116"/>
      <c r="J1145" s="2116"/>
      <c r="K1145" s="2116"/>
      <c r="L1145" s="2117"/>
      <c r="M1145" s="2116"/>
      <c r="N1145" s="2116"/>
      <c r="O1145" s="2116"/>
      <c r="P1145" s="2116"/>
      <c r="Q1145" s="2117"/>
      <c r="R1145" s="2116"/>
      <c r="S1145" s="2116"/>
      <c r="T1145" s="2116"/>
      <c r="U1145" s="2116"/>
      <c r="V1145" s="2117"/>
      <c r="W1145" s="2116"/>
      <c r="X1145" s="2116"/>
      <c r="Y1145" s="2116"/>
      <c r="Z1145" s="2116"/>
      <c r="AA1145" s="2117"/>
      <c r="AB1145" s="2116"/>
      <c r="AC1145" s="2116"/>
      <c r="AD1145" s="2116"/>
      <c r="AE1145" s="2116"/>
      <c r="AF1145" s="2117"/>
      <c r="AG1145" s="2116"/>
      <c r="AH1145" s="2116"/>
      <c r="AI1145" s="2116"/>
      <c r="AJ1145" s="2116"/>
      <c r="AK1145" s="2117"/>
      <c r="AL1145" s="2118"/>
      <c r="AM1145" s="2118"/>
      <c r="AN1145" s="2118"/>
      <c r="AO1145" s="2118"/>
      <c r="AP1145" s="2119"/>
      <c r="AQ1145" s="2119"/>
      <c r="AR1145" s="2120"/>
      <c r="AS1145" s="2120"/>
      <c r="AT1145" s="2120"/>
      <c r="AU1145" s="2121"/>
      <c r="AV1145" s="2119"/>
      <c r="AW1145" s="2120"/>
      <c r="AX1145" s="2120"/>
      <c r="AY1145" s="2122"/>
      <c r="AZ1145" s="2121"/>
      <c r="BA1145" s="2119"/>
      <c r="BB1145" s="2120"/>
      <c r="BC1145" s="2120"/>
      <c r="BD1145" s="2122"/>
      <c r="BE1145" s="2121"/>
      <c r="BF1145" s="2120"/>
      <c r="BG1145" s="2120"/>
      <c r="BH1145" s="2120"/>
      <c r="BI1145" s="2122"/>
      <c r="BJ1145" s="2121"/>
      <c r="BK1145" s="2120"/>
      <c r="BL1145" s="2120"/>
      <c r="BM1145" s="2120"/>
      <c r="BN1145" s="2122"/>
      <c r="BO1145" s="2121"/>
      <c r="BP1145" s="2120"/>
      <c r="BQ1145" s="2120"/>
      <c r="BR1145" s="2120"/>
      <c r="BS1145" s="2120"/>
      <c r="BT1145" s="2121"/>
      <c r="BU1145" s="2119"/>
      <c r="BV1145" s="2120"/>
      <c r="BW1145" s="2120"/>
      <c r="BX1145" s="2120"/>
      <c r="BY1145" s="2121"/>
      <c r="BZ1145" s="2121"/>
      <c r="CA1145" s="2121"/>
      <c r="CB1145" s="2121"/>
      <c r="CC1145" s="2121"/>
      <c r="CD1145" s="2121"/>
      <c r="CE1145" s="2121"/>
      <c r="CF1145" s="2121"/>
      <c r="CG1145" s="331"/>
      <c r="CH1145" s="331"/>
      <c r="CI1145" s="331"/>
      <c r="CJ1145" s="331"/>
      <c r="CK1145" s="331"/>
      <c r="CL1145" s="2115" t="str">
        <f t="shared" si="2712"/>
        <v>Hollywood JV - Wyandotte County, KS</v>
      </c>
      <c r="CM1145" s="2120">
        <f>G1145</f>
        <v>0</v>
      </c>
      <c r="CN1145" s="2120">
        <f>L1145</f>
        <v>0</v>
      </c>
      <c r="CO1145" s="2120">
        <f>Q1145</f>
        <v>0</v>
      </c>
      <c r="CP1145" s="2120">
        <f>V1145</f>
        <v>0</v>
      </c>
      <c r="CQ1145" s="2120">
        <f>AA1145</f>
        <v>0</v>
      </c>
      <c r="CR1145" s="2120">
        <f>AF1145</f>
        <v>0</v>
      </c>
      <c r="CS1145" s="2120">
        <f>AK1145</f>
        <v>0</v>
      </c>
      <c r="CT1145" s="2120">
        <f>AP1145</f>
        <v>0</v>
      </c>
      <c r="CU1145" s="2120">
        <f t="shared" si="2713"/>
        <v>0</v>
      </c>
      <c r="CV1145" s="2120">
        <f t="shared" si="2714"/>
        <v>0</v>
      </c>
      <c r="CW1145" s="2120">
        <f t="shared" si="2715"/>
        <v>0</v>
      </c>
      <c r="CX1145" s="2120">
        <f t="shared" si="2716"/>
        <v>0</v>
      </c>
      <c r="CY1145" s="2120">
        <f t="shared" si="2717"/>
        <v>0</v>
      </c>
      <c r="CZ1145" s="2120">
        <f t="shared" si="2718"/>
        <v>0</v>
      </c>
      <c r="DA1145" s="2120">
        <f t="shared" si="2719"/>
        <v>0</v>
      </c>
      <c r="DB1145" s="2120">
        <f t="shared" si="2719"/>
        <v>0</v>
      </c>
      <c r="DC1145" s="2122">
        <f t="shared" si="2719"/>
        <v>0</v>
      </c>
      <c r="DD1145" s="331"/>
      <c r="DE1145" s="331"/>
      <c r="DF1145" s="502"/>
      <c r="DG1145" s="503"/>
      <c r="DH1145" s="537"/>
      <c r="DI1145" s="3213"/>
      <c r="DJ1145" s="502"/>
      <c r="DK1145" s="503"/>
      <c r="DL1145" s="502"/>
      <c r="DM1145" s="502"/>
      <c r="DN1145" s="502"/>
      <c r="DO1145" s="502"/>
      <c r="DP1145" s="503"/>
      <c r="DQ1145" s="503"/>
      <c r="DR1145" s="428"/>
      <c r="DS1145" s="428"/>
      <c r="DT1145" s="428"/>
    </row>
    <row r="1146" spans="1:124" ht="12" customHeight="1" x14ac:dyDescent="0.25">
      <c r="A1146" s="281" t="s">
        <v>894</v>
      </c>
      <c r="B1146" s="281"/>
      <c r="C1146" s="305"/>
      <c r="D1146" s="305"/>
      <c r="E1146" s="305"/>
      <c r="F1146" s="305"/>
      <c r="G1146" s="345"/>
      <c r="H1146" s="305"/>
      <c r="I1146" s="305"/>
      <c r="J1146" s="305"/>
      <c r="K1146" s="305"/>
      <c r="L1146" s="345"/>
      <c r="M1146" s="305"/>
      <c r="N1146" s="305"/>
      <c r="O1146" s="305"/>
      <c r="P1146" s="305"/>
      <c r="Q1146" s="345"/>
      <c r="R1146" s="305"/>
      <c r="S1146" s="305"/>
      <c r="T1146" s="305"/>
      <c r="U1146" s="305"/>
      <c r="V1146" s="345"/>
      <c r="W1146" s="305"/>
      <c r="X1146" s="305"/>
      <c r="Y1146" s="305"/>
      <c r="Z1146" s="305"/>
      <c r="AA1146" s="345"/>
      <c r="AB1146" s="305"/>
      <c r="AC1146" s="305"/>
      <c r="AD1146" s="305"/>
      <c r="AE1146" s="331"/>
      <c r="AF1146" s="348"/>
      <c r="AG1146" s="305"/>
      <c r="AH1146" s="305"/>
      <c r="AI1146" s="305"/>
      <c r="AJ1146" s="331"/>
      <c r="AK1146" s="348"/>
      <c r="AL1146" s="305"/>
      <c r="AM1146" s="305"/>
      <c r="AN1146" s="305"/>
      <c r="AO1146" s="331"/>
      <c r="AP1146" s="568"/>
      <c r="AQ1146" s="568">
        <f t="shared" ref="AQ1146:BI1146" si="2720">AQ1147+(AQ1148*AQ$320)</f>
        <v>2312</v>
      </c>
      <c r="AR1146" s="330">
        <f t="shared" si="2720"/>
        <v>2312</v>
      </c>
      <c r="AS1146" s="330">
        <f t="shared" si="2720"/>
        <v>2312</v>
      </c>
      <c r="AT1146" s="330">
        <f t="shared" si="2720"/>
        <v>2312</v>
      </c>
      <c r="AU1146" s="349">
        <f t="shared" si="2720"/>
        <v>2312</v>
      </c>
      <c r="AV1146" s="443">
        <f t="shared" si="2720"/>
        <v>2312</v>
      </c>
      <c r="AW1146" s="331">
        <f t="shared" si="2720"/>
        <v>2312</v>
      </c>
      <c r="AX1146" s="331">
        <f t="shared" si="2720"/>
        <v>2312</v>
      </c>
      <c r="AY1146" s="1306">
        <f t="shared" si="2720"/>
        <v>2312</v>
      </c>
      <c r="AZ1146" s="349">
        <f t="shared" si="2720"/>
        <v>2312</v>
      </c>
      <c r="BA1146" s="443">
        <f>BA1147+(BA1148*BA$320)</f>
        <v>2312</v>
      </c>
      <c r="BB1146" s="331">
        <f>BB1147+(BB1148*BB$320)</f>
        <v>2312</v>
      </c>
      <c r="BC1146" s="331">
        <f>BC1147+(BC1148*BC$320)</f>
        <v>2312</v>
      </c>
      <c r="BD1146" s="1306">
        <f>BD1147+(BD1148*BD$320)</f>
        <v>2312</v>
      </c>
      <c r="BE1146" s="349">
        <f t="shared" si="2720"/>
        <v>2312</v>
      </c>
      <c r="BF1146" s="331">
        <f t="shared" si="2720"/>
        <v>2312</v>
      </c>
      <c r="BG1146" s="331">
        <f t="shared" si="2720"/>
        <v>2312</v>
      </c>
      <c r="BH1146" s="331">
        <f t="shared" si="2720"/>
        <v>2312</v>
      </c>
      <c r="BI1146" s="1306">
        <f t="shared" si="2720"/>
        <v>2312</v>
      </c>
      <c r="BJ1146" s="349">
        <f t="shared" ref="BJ1146:CF1146" si="2721">BJ1147+(BJ1148*BJ$320)</f>
        <v>2312</v>
      </c>
      <c r="BK1146" s="331">
        <f t="shared" si="2721"/>
        <v>2312</v>
      </c>
      <c r="BL1146" s="331">
        <f t="shared" si="2721"/>
        <v>2312</v>
      </c>
      <c r="BM1146" s="331">
        <f t="shared" si="2721"/>
        <v>2312</v>
      </c>
      <c r="BN1146" s="1306">
        <f t="shared" si="2721"/>
        <v>2312</v>
      </c>
      <c r="BO1146" s="349">
        <f t="shared" si="2721"/>
        <v>2312</v>
      </c>
      <c r="BP1146" s="331">
        <f t="shared" si="2721"/>
        <v>2312</v>
      </c>
      <c r="BQ1146" s="331">
        <f t="shared" si="2721"/>
        <v>2312</v>
      </c>
      <c r="BR1146" s="331">
        <f t="shared" si="2721"/>
        <v>2312</v>
      </c>
      <c r="BS1146" s="331">
        <f t="shared" si="2721"/>
        <v>2312</v>
      </c>
      <c r="BT1146" s="3222">
        <f t="shared" si="2721"/>
        <v>2312</v>
      </c>
      <c r="BU1146" s="2601">
        <f>BU1147+(BU1148*BU$320)</f>
        <v>2312</v>
      </c>
      <c r="BV1146" s="2601">
        <f>BV1147+(BV1148*BV$320)</f>
        <v>2312</v>
      </c>
      <c r="BW1146" s="2601">
        <f>BW1147+(BW1148*BW$320)</f>
        <v>2312</v>
      </c>
      <c r="BX1146" s="2601">
        <f>BX1147+(BX1148*BX$320)</f>
        <v>2312</v>
      </c>
      <c r="BY1146" s="3222">
        <f>BY1147+(BY1148*BY$320)</f>
        <v>2312</v>
      </c>
      <c r="BZ1146" s="349">
        <f t="shared" si="2721"/>
        <v>2312</v>
      </c>
      <c r="CA1146" s="349">
        <f t="shared" si="2721"/>
        <v>2312</v>
      </c>
      <c r="CB1146" s="349">
        <f t="shared" si="2721"/>
        <v>2312</v>
      </c>
      <c r="CC1146" s="349">
        <f t="shared" si="2721"/>
        <v>2312</v>
      </c>
      <c r="CD1146" s="349">
        <f t="shared" si="2721"/>
        <v>2312</v>
      </c>
      <c r="CE1146" s="349">
        <f t="shared" si="2721"/>
        <v>2312</v>
      </c>
      <c r="CF1146" s="349">
        <f t="shared" si="2721"/>
        <v>2312</v>
      </c>
      <c r="CG1146" s="331"/>
      <c r="CH1146" s="331"/>
      <c r="CI1146" s="331"/>
      <c r="CJ1146" s="331"/>
      <c r="CK1146" s="331"/>
      <c r="CL1146" s="520" t="str">
        <f t="shared" si="2712"/>
        <v>Positions</v>
      </c>
      <c r="CM1146" s="330"/>
      <c r="CN1146" s="330"/>
      <c r="CO1146" s="330"/>
      <c r="CP1146" s="330"/>
      <c r="CQ1146" s="330"/>
      <c r="CR1146" s="330"/>
      <c r="CS1146" s="330"/>
      <c r="CT1146" s="330"/>
      <c r="CU1146" s="330">
        <f t="shared" si="2713"/>
        <v>2312</v>
      </c>
      <c r="CV1146" s="330">
        <f t="shared" si="2714"/>
        <v>2312</v>
      </c>
      <c r="CW1146" s="330">
        <f t="shared" si="2715"/>
        <v>2312</v>
      </c>
      <c r="CX1146" s="330">
        <f t="shared" si="2716"/>
        <v>2312</v>
      </c>
      <c r="CY1146" s="330">
        <f t="shared" si="2717"/>
        <v>2312</v>
      </c>
      <c r="CZ1146" s="330">
        <f t="shared" si="2718"/>
        <v>2312</v>
      </c>
      <c r="DA1146" s="330">
        <f t="shared" si="2719"/>
        <v>2312</v>
      </c>
      <c r="DB1146" s="330">
        <f t="shared" si="2719"/>
        <v>2312</v>
      </c>
      <c r="DC1146" s="1888">
        <f t="shared" si="2719"/>
        <v>2312</v>
      </c>
      <c r="DD1146" s="331"/>
      <c r="DE1146" s="331"/>
      <c r="DF1146" s="502"/>
      <c r="DG1146" s="503"/>
      <c r="DH1146" s="2601"/>
      <c r="DI1146" s="3213"/>
      <c r="DJ1146" s="502"/>
      <c r="DK1146" s="503"/>
      <c r="DL1146" s="502"/>
      <c r="DM1146" s="502"/>
      <c r="DN1146" s="502"/>
      <c r="DO1146" s="502"/>
      <c r="DP1146" s="503"/>
      <c r="DQ1146" s="503"/>
      <c r="DR1146" s="296"/>
      <c r="DS1146" s="296"/>
      <c r="DT1146" s="296"/>
    </row>
    <row r="1147" spans="1:124" ht="12" customHeight="1" x14ac:dyDescent="0.25">
      <c r="A1147" s="281" t="s">
        <v>585</v>
      </c>
      <c r="B1147" s="281"/>
      <c r="C1147" s="340"/>
      <c r="D1147" s="340"/>
      <c r="E1147" s="340"/>
      <c r="F1147" s="340"/>
      <c r="G1147" s="345"/>
      <c r="H1147" s="340"/>
      <c r="I1147" s="340"/>
      <c r="J1147" s="340"/>
      <c r="K1147" s="340"/>
      <c r="L1147" s="345"/>
      <c r="M1147" s="340"/>
      <c r="N1147" s="340"/>
      <c r="O1147" s="340"/>
      <c r="P1147" s="340"/>
      <c r="Q1147" s="345"/>
      <c r="R1147" s="340"/>
      <c r="S1147" s="340"/>
      <c r="T1147" s="340"/>
      <c r="U1147" s="340"/>
      <c r="V1147" s="345"/>
      <c r="W1147" s="340"/>
      <c r="X1147" s="340"/>
      <c r="Y1147" s="340"/>
      <c r="Z1147" s="340"/>
      <c r="AA1147" s="345"/>
      <c r="AB1147" s="340"/>
      <c r="AC1147" s="340"/>
      <c r="AD1147" s="340"/>
      <c r="AE1147" s="339"/>
      <c r="AF1147" s="348"/>
      <c r="AG1147" s="340"/>
      <c r="AH1147" s="340"/>
      <c r="AI1147" s="340"/>
      <c r="AJ1147" s="339"/>
      <c r="AK1147" s="348"/>
      <c r="AL1147" s="340"/>
      <c r="AM1147" s="340"/>
      <c r="AN1147" s="340"/>
      <c r="AO1147" s="339"/>
      <c r="AP1147" s="568"/>
      <c r="AQ1147" s="1677">
        <v>2000</v>
      </c>
      <c r="AR1147" s="330">
        <f t="shared" ref="AR1147:AU1148" si="2722">+AQ1147</f>
        <v>2000</v>
      </c>
      <c r="AS1147" s="330">
        <f t="shared" si="2722"/>
        <v>2000</v>
      </c>
      <c r="AT1147" s="330">
        <f t="shared" si="2722"/>
        <v>2000</v>
      </c>
      <c r="AU1147" s="348">
        <f t="shared" si="2722"/>
        <v>2000</v>
      </c>
      <c r="AV1147" s="568">
        <f>AU1147</f>
        <v>2000</v>
      </c>
      <c r="AW1147" s="330">
        <f>AV1147</f>
        <v>2000</v>
      </c>
      <c r="AX1147" s="330">
        <f>AW1147</f>
        <v>2000</v>
      </c>
      <c r="AY1147" s="1888">
        <f>AX1147</f>
        <v>2000</v>
      </c>
      <c r="AZ1147" s="348">
        <f t="shared" ref="AZ1147:BJ1147" si="2723">+AY1147</f>
        <v>2000</v>
      </c>
      <c r="BA1147" s="568">
        <f t="shared" si="2723"/>
        <v>2000</v>
      </c>
      <c r="BB1147" s="330">
        <f t="shared" si="2723"/>
        <v>2000</v>
      </c>
      <c r="BC1147" s="330">
        <f t="shared" si="2723"/>
        <v>2000</v>
      </c>
      <c r="BD1147" s="1888">
        <f t="shared" si="2723"/>
        <v>2000</v>
      </c>
      <c r="BE1147" s="348">
        <f t="shared" si="2723"/>
        <v>2000</v>
      </c>
      <c r="BF1147" s="330">
        <f t="shared" si="2723"/>
        <v>2000</v>
      </c>
      <c r="BG1147" s="330">
        <f t="shared" si="2723"/>
        <v>2000</v>
      </c>
      <c r="BH1147" s="330">
        <f t="shared" si="2723"/>
        <v>2000</v>
      </c>
      <c r="BI1147" s="1888">
        <f t="shared" si="2723"/>
        <v>2000</v>
      </c>
      <c r="BJ1147" s="348">
        <f t="shared" si="2723"/>
        <v>2000</v>
      </c>
      <c r="BK1147" s="330">
        <f t="shared" ref="BK1147:BO1148" si="2724">+BJ1147</f>
        <v>2000</v>
      </c>
      <c r="BL1147" s="330">
        <f>+BK1147</f>
        <v>2000</v>
      </c>
      <c r="BM1147" s="330">
        <f t="shared" si="2724"/>
        <v>2000</v>
      </c>
      <c r="BN1147" s="1888">
        <f t="shared" si="2724"/>
        <v>2000</v>
      </c>
      <c r="BO1147" s="348">
        <f t="shared" si="2724"/>
        <v>2000</v>
      </c>
      <c r="BP1147" s="330">
        <f t="shared" ref="BP1147:BT1148" si="2725">+BO1147</f>
        <v>2000</v>
      </c>
      <c r="BQ1147" s="330">
        <f>+BP1147</f>
        <v>2000</v>
      </c>
      <c r="BR1147" s="330">
        <f t="shared" si="2725"/>
        <v>2000</v>
      </c>
      <c r="BS1147" s="330">
        <f t="shared" si="2725"/>
        <v>2000</v>
      </c>
      <c r="BT1147" s="3081">
        <f t="shared" si="2725"/>
        <v>2000</v>
      </c>
      <c r="BU1147" s="2909">
        <f t="shared" ref="BU1147:BX1148" si="2726">+BT1147</f>
        <v>2000</v>
      </c>
      <c r="BV1147" s="2909">
        <f t="shared" si="2726"/>
        <v>2000</v>
      </c>
      <c r="BW1147" s="2909">
        <f t="shared" si="2726"/>
        <v>2000</v>
      </c>
      <c r="BX1147" s="2909">
        <f t="shared" si="2726"/>
        <v>2000</v>
      </c>
      <c r="BY1147" s="3081">
        <f t="shared" ref="BY1147:CA1148" si="2727">+BX1147</f>
        <v>2000</v>
      </c>
      <c r="BZ1147" s="348">
        <f t="shared" si="2727"/>
        <v>2000</v>
      </c>
      <c r="CA1147" s="348">
        <f t="shared" si="2727"/>
        <v>2000</v>
      </c>
      <c r="CB1147" s="348">
        <f t="shared" ref="CB1147:CF1148" si="2728">+CA1147</f>
        <v>2000</v>
      </c>
      <c r="CC1147" s="348">
        <f t="shared" si="2728"/>
        <v>2000</v>
      </c>
      <c r="CD1147" s="348">
        <f t="shared" si="2728"/>
        <v>2000</v>
      </c>
      <c r="CE1147" s="348">
        <f t="shared" si="2728"/>
        <v>2000</v>
      </c>
      <c r="CF1147" s="348">
        <f t="shared" si="2728"/>
        <v>2000</v>
      </c>
      <c r="CG1147" s="331"/>
      <c r="CH1147" s="331"/>
      <c r="CI1147" s="331"/>
      <c r="CJ1147" s="331"/>
      <c r="CK1147" s="331"/>
      <c r="CL1147" s="520" t="str">
        <f t="shared" si="2712"/>
        <v>Slots</v>
      </c>
      <c r="CM1147" s="330"/>
      <c r="CN1147" s="330"/>
      <c r="CO1147" s="330"/>
      <c r="CP1147" s="330"/>
      <c r="CQ1147" s="330"/>
      <c r="CR1147" s="330"/>
      <c r="CS1147" s="330"/>
      <c r="CT1147" s="330"/>
      <c r="CU1147" s="330">
        <f t="shared" si="2713"/>
        <v>2000</v>
      </c>
      <c r="CV1147" s="330">
        <f t="shared" si="2714"/>
        <v>2000</v>
      </c>
      <c r="CW1147" s="330">
        <f t="shared" si="2715"/>
        <v>2000</v>
      </c>
      <c r="CX1147" s="330">
        <f t="shared" si="2716"/>
        <v>2000</v>
      </c>
      <c r="CY1147" s="330">
        <f t="shared" si="2717"/>
        <v>2000</v>
      </c>
      <c r="CZ1147" s="330">
        <f t="shared" si="2718"/>
        <v>2000</v>
      </c>
      <c r="DA1147" s="330">
        <f t="shared" si="2719"/>
        <v>2000</v>
      </c>
      <c r="DB1147" s="330">
        <f t="shared" si="2719"/>
        <v>2000</v>
      </c>
      <c r="DC1147" s="1888">
        <f t="shared" si="2719"/>
        <v>2000</v>
      </c>
      <c r="DD1147" s="331"/>
      <c r="DE1147" s="331"/>
      <c r="DF1147" s="502"/>
      <c r="DG1147" s="503"/>
      <c r="DH1147" s="2909"/>
      <c r="DI1147" s="3213"/>
      <c r="DJ1147" s="502"/>
      <c r="DK1147" s="503"/>
      <c r="DL1147" s="502"/>
      <c r="DM1147" s="502"/>
      <c r="DN1147" s="502"/>
      <c r="DO1147" s="502"/>
      <c r="DP1147" s="503"/>
      <c r="DQ1147" s="503"/>
      <c r="DR1147" s="296"/>
      <c r="DS1147" s="296"/>
      <c r="DT1147" s="296"/>
    </row>
    <row r="1148" spans="1:124" ht="12" customHeight="1" x14ac:dyDescent="0.25">
      <c r="A1148" s="281" t="s">
        <v>584</v>
      </c>
      <c r="B1148" s="281"/>
      <c r="C1148" s="340"/>
      <c r="D1148" s="340"/>
      <c r="E1148" s="340"/>
      <c r="F1148" s="340"/>
      <c r="G1148" s="345"/>
      <c r="H1148" s="340"/>
      <c r="I1148" s="340"/>
      <c r="J1148" s="340"/>
      <c r="K1148" s="340"/>
      <c r="L1148" s="345"/>
      <c r="M1148" s="340"/>
      <c r="N1148" s="340"/>
      <c r="O1148" s="340"/>
      <c r="P1148" s="340"/>
      <c r="Q1148" s="345"/>
      <c r="R1148" s="340"/>
      <c r="S1148" s="340"/>
      <c r="T1148" s="340"/>
      <c r="U1148" s="340"/>
      <c r="V1148" s="345"/>
      <c r="W1148" s="340"/>
      <c r="X1148" s="340"/>
      <c r="Y1148" s="340"/>
      <c r="Z1148" s="340"/>
      <c r="AA1148" s="345"/>
      <c r="AB1148" s="340"/>
      <c r="AC1148" s="340"/>
      <c r="AD1148" s="340"/>
      <c r="AE1148" s="339"/>
      <c r="AF1148" s="348"/>
      <c r="AG1148" s="340"/>
      <c r="AH1148" s="340"/>
      <c r="AI1148" s="340"/>
      <c r="AJ1148" s="339"/>
      <c r="AK1148" s="348"/>
      <c r="AL1148" s="340"/>
      <c r="AM1148" s="340"/>
      <c r="AN1148" s="340"/>
      <c r="AO1148" s="339"/>
      <c r="AP1148" s="568"/>
      <c r="AQ1148" s="1677">
        <v>52</v>
      </c>
      <c r="AR1148" s="330">
        <f t="shared" si="2722"/>
        <v>52</v>
      </c>
      <c r="AS1148" s="330">
        <f t="shared" si="2722"/>
        <v>52</v>
      </c>
      <c r="AT1148" s="330">
        <f t="shared" si="2722"/>
        <v>52</v>
      </c>
      <c r="AU1148" s="348">
        <f t="shared" si="2722"/>
        <v>52</v>
      </c>
      <c r="AV1148" s="568">
        <f>+AU1148</f>
        <v>52</v>
      </c>
      <c r="AW1148" s="330">
        <f>+AV1148</f>
        <v>52</v>
      </c>
      <c r="AX1148" s="330">
        <f>+AW1148</f>
        <v>52</v>
      </c>
      <c r="AY1148" s="1888">
        <f>+AX1148</f>
        <v>52</v>
      </c>
      <c r="AZ1148" s="348">
        <f t="shared" ref="AZ1148:BJ1148" si="2729">+AY1148</f>
        <v>52</v>
      </c>
      <c r="BA1148" s="568">
        <f t="shared" si="2729"/>
        <v>52</v>
      </c>
      <c r="BB1148" s="330">
        <f t="shared" si="2729"/>
        <v>52</v>
      </c>
      <c r="BC1148" s="330">
        <f t="shared" si="2729"/>
        <v>52</v>
      </c>
      <c r="BD1148" s="1888">
        <f t="shared" si="2729"/>
        <v>52</v>
      </c>
      <c r="BE1148" s="348">
        <f t="shared" si="2729"/>
        <v>52</v>
      </c>
      <c r="BF1148" s="330">
        <f t="shared" si="2729"/>
        <v>52</v>
      </c>
      <c r="BG1148" s="330">
        <f t="shared" si="2729"/>
        <v>52</v>
      </c>
      <c r="BH1148" s="330">
        <f t="shared" si="2729"/>
        <v>52</v>
      </c>
      <c r="BI1148" s="1888">
        <f t="shared" si="2729"/>
        <v>52</v>
      </c>
      <c r="BJ1148" s="348">
        <f t="shared" si="2729"/>
        <v>52</v>
      </c>
      <c r="BK1148" s="330">
        <f t="shared" si="2724"/>
        <v>52</v>
      </c>
      <c r="BL1148" s="330">
        <f>+BK1148</f>
        <v>52</v>
      </c>
      <c r="BM1148" s="330">
        <f t="shared" si="2724"/>
        <v>52</v>
      </c>
      <c r="BN1148" s="1888">
        <f t="shared" si="2724"/>
        <v>52</v>
      </c>
      <c r="BO1148" s="348">
        <f t="shared" si="2724"/>
        <v>52</v>
      </c>
      <c r="BP1148" s="330">
        <f t="shared" si="2725"/>
        <v>52</v>
      </c>
      <c r="BQ1148" s="330">
        <f t="shared" si="2725"/>
        <v>52</v>
      </c>
      <c r="BR1148" s="330">
        <f t="shared" si="2725"/>
        <v>52</v>
      </c>
      <c r="BS1148" s="330">
        <f t="shared" si="2725"/>
        <v>52</v>
      </c>
      <c r="BT1148" s="3081">
        <f t="shared" si="2725"/>
        <v>52</v>
      </c>
      <c r="BU1148" s="2909">
        <f t="shared" si="2726"/>
        <v>52</v>
      </c>
      <c r="BV1148" s="2909">
        <f t="shared" si="2726"/>
        <v>52</v>
      </c>
      <c r="BW1148" s="2909">
        <f t="shared" si="2726"/>
        <v>52</v>
      </c>
      <c r="BX1148" s="2909">
        <f t="shared" si="2726"/>
        <v>52</v>
      </c>
      <c r="BY1148" s="3081">
        <f t="shared" si="2727"/>
        <v>52</v>
      </c>
      <c r="BZ1148" s="348">
        <f t="shared" si="2727"/>
        <v>52</v>
      </c>
      <c r="CA1148" s="348">
        <f t="shared" si="2727"/>
        <v>52</v>
      </c>
      <c r="CB1148" s="348">
        <f t="shared" si="2728"/>
        <v>52</v>
      </c>
      <c r="CC1148" s="348">
        <f t="shared" si="2728"/>
        <v>52</v>
      </c>
      <c r="CD1148" s="348">
        <f t="shared" si="2728"/>
        <v>52</v>
      </c>
      <c r="CE1148" s="348">
        <f t="shared" si="2728"/>
        <v>52</v>
      </c>
      <c r="CF1148" s="348">
        <f t="shared" si="2728"/>
        <v>52</v>
      </c>
      <c r="CG1148" s="331"/>
      <c r="CH1148" s="331"/>
      <c r="CI1148" s="331"/>
      <c r="CJ1148" s="331"/>
      <c r="CK1148" s="331"/>
      <c r="CL1148" s="520" t="str">
        <f t="shared" si="2712"/>
        <v>Tables</v>
      </c>
      <c r="CM1148" s="330"/>
      <c r="CN1148" s="330"/>
      <c r="CO1148" s="330"/>
      <c r="CP1148" s="330"/>
      <c r="CQ1148" s="330"/>
      <c r="CR1148" s="330"/>
      <c r="CS1148" s="330"/>
      <c r="CT1148" s="330"/>
      <c r="CU1148" s="330">
        <f t="shared" si="2713"/>
        <v>52</v>
      </c>
      <c r="CV1148" s="330">
        <f t="shared" si="2714"/>
        <v>52</v>
      </c>
      <c r="CW1148" s="330">
        <f t="shared" si="2715"/>
        <v>52</v>
      </c>
      <c r="CX1148" s="330">
        <f t="shared" si="2716"/>
        <v>52</v>
      </c>
      <c r="CY1148" s="330">
        <f t="shared" si="2717"/>
        <v>52</v>
      </c>
      <c r="CZ1148" s="330">
        <f t="shared" si="2718"/>
        <v>52</v>
      </c>
      <c r="DA1148" s="330">
        <f t="shared" si="2719"/>
        <v>52</v>
      </c>
      <c r="DB1148" s="330">
        <f t="shared" si="2719"/>
        <v>52</v>
      </c>
      <c r="DC1148" s="1888">
        <f t="shared" si="2719"/>
        <v>52</v>
      </c>
      <c r="DD1148" s="331"/>
      <c r="DE1148" s="331"/>
      <c r="DF1148" s="502"/>
      <c r="DG1148" s="503"/>
      <c r="DH1148" s="2909"/>
      <c r="DI1148" s="3213"/>
      <c r="DJ1148" s="502"/>
      <c r="DK1148" s="503"/>
      <c r="DL1148" s="502"/>
      <c r="DM1148" s="502"/>
      <c r="DN1148" s="502"/>
      <c r="DO1148" s="502"/>
      <c r="DP1148" s="503"/>
      <c r="DQ1148" s="503"/>
      <c r="DR1148" s="296"/>
      <c r="DS1148" s="296"/>
      <c r="DT1148" s="296"/>
    </row>
    <row r="1149" spans="1:124" ht="12" customHeight="1" x14ac:dyDescent="0.25">
      <c r="A1149" s="511" t="s">
        <v>2111</v>
      </c>
      <c r="B1149" s="281"/>
      <c r="C1149" s="340"/>
      <c r="D1149" s="305"/>
      <c r="E1149" s="305"/>
      <c r="F1149" s="305"/>
      <c r="G1149" s="345"/>
      <c r="H1149" s="305"/>
      <c r="I1149" s="305"/>
      <c r="J1149" s="305"/>
      <c r="K1149" s="305"/>
      <c r="L1149" s="345"/>
      <c r="M1149" s="305"/>
      <c r="N1149" s="305"/>
      <c r="O1149" s="305"/>
      <c r="P1149" s="305"/>
      <c r="Q1149" s="345"/>
      <c r="R1149" s="305"/>
      <c r="S1149" s="305"/>
      <c r="T1149" s="305"/>
      <c r="U1149" s="305"/>
      <c r="V1149" s="345"/>
      <c r="W1149" s="305"/>
      <c r="X1149" s="305"/>
      <c r="Y1149" s="305"/>
      <c r="Z1149" s="305"/>
      <c r="AA1149" s="345"/>
      <c r="AB1149" s="305"/>
      <c r="AC1149" s="305"/>
      <c r="AD1149" s="305"/>
      <c r="AE1149" s="331"/>
      <c r="AF1149" s="348"/>
      <c r="AG1149" s="305"/>
      <c r="AH1149" s="305"/>
      <c r="AI1149" s="305"/>
      <c r="AJ1149" s="331"/>
      <c r="AK1149" s="348"/>
      <c r="AL1149" s="305"/>
      <c r="AM1149" s="305"/>
      <c r="AN1149" s="305"/>
      <c r="AO1149" s="331"/>
      <c r="AP1149" s="568"/>
      <c r="AQ1149" s="568">
        <f>+AQ1146</f>
        <v>2312</v>
      </c>
      <c r="AR1149" s="330">
        <f>+AVERAGE(AQ1146:AR1146)</f>
        <v>2312</v>
      </c>
      <c r="AS1149" s="330">
        <f>+AVERAGE(AR1146:AS1146)</f>
        <v>2312</v>
      </c>
      <c r="AT1149" s="330">
        <f>+AVERAGE(AS1146:AT1146)</f>
        <v>2312</v>
      </c>
      <c r="AU1149" s="349">
        <f>+AVERAGE(AQ1149:AT1149)</f>
        <v>2312</v>
      </c>
      <c r="AV1149" s="443">
        <f t="shared" ref="AV1149:BD1149" si="2730">AV1146</f>
        <v>2312</v>
      </c>
      <c r="AW1149" s="331">
        <f t="shared" si="2730"/>
        <v>2312</v>
      </c>
      <c r="AX1149" s="331">
        <f t="shared" si="2730"/>
        <v>2312</v>
      </c>
      <c r="AY1149" s="1306">
        <f t="shared" si="2730"/>
        <v>2312</v>
      </c>
      <c r="AZ1149" s="349">
        <f t="shared" si="2730"/>
        <v>2312</v>
      </c>
      <c r="BA1149" s="443">
        <f t="shared" si="2730"/>
        <v>2312</v>
      </c>
      <c r="BB1149" s="331">
        <f t="shared" si="2730"/>
        <v>2312</v>
      </c>
      <c r="BC1149" s="331">
        <f>BC1146</f>
        <v>2312</v>
      </c>
      <c r="BD1149" s="1306">
        <f t="shared" si="2730"/>
        <v>2312</v>
      </c>
      <c r="BE1149" s="349">
        <f>AVERAGE(AZ1146,BE1146)</f>
        <v>2312</v>
      </c>
      <c r="BF1149" s="443">
        <f>BF1146</f>
        <v>2312</v>
      </c>
      <c r="BG1149" s="331">
        <f>AVERAGE(BG1146,BF1146)</f>
        <v>2312</v>
      </c>
      <c r="BH1149" s="331">
        <f>AVERAGE(BH1146,BG1146)</f>
        <v>2312</v>
      </c>
      <c r="BI1149" s="1306">
        <f>AVERAGE(BI1146,BH1146)</f>
        <v>2312</v>
      </c>
      <c r="BJ1149" s="349">
        <f>AVERAGE(BE1146,BJ1146)</f>
        <v>2312</v>
      </c>
      <c r="BK1149" s="331">
        <f>AVERAGE(BK1146,BJ1146)</f>
        <v>2312</v>
      </c>
      <c r="BL1149" s="331">
        <f>AVERAGE(BL1146,BK1146)</f>
        <v>2312</v>
      </c>
      <c r="BM1149" s="331">
        <f>AVERAGE(BM1146,BL1146)</f>
        <v>2312</v>
      </c>
      <c r="BN1149" s="1306">
        <f>AVERAGE(BN1146,BM1146)</f>
        <v>2312</v>
      </c>
      <c r="BO1149" s="349">
        <f>AVERAGE(BJ1146,BO1146)</f>
        <v>2312</v>
      </c>
      <c r="BP1149" s="331">
        <f>AVERAGE(BP1146,BO1146)</f>
        <v>2312</v>
      </c>
      <c r="BQ1149" s="331">
        <f>AVERAGE(BQ1146,BP1146)</f>
        <v>2312</v>
      </c>
      <c r="BR1149" s="331">
        <f>AVERAGE(BR1146,BQ1146)</f>
        <v>2312</v>
      </c>
      <c r="BS1149" s="331">
        <f>AVERAGE(BS1146,BR1146)</f>
        <v>2312</v>
      </c>
      <c r="BT1149" s="3222">
        <f>AVERAGE(BO1146,BT1146)</f>
        <v>2312</v>
      </c>
      <c r="BU1149" s="2601">
        <f>AVERAGE(BU1146,BT1146)</f>
        <v>2312</v>
      </c>
      <c r="BV1149" s="2601">
        <f>AVERAGE(BV1146,BU1146)</f>
        <v>2312</v>
      </c>
      <c r="BW1149" s="2601">
        <f>AVERAGE(BW1146,BV1146)</f>
        <v>2312</v>
      </c>
      <c r="BX1149" s="2601">
        <f>AVERAGE(BX1146,BW1146)</f>
        <v>2312</v>
      </c>
      <c r="BY1149" s="3222">
        <f>AVERAGE(BT1146,BY1146)</f>
        <v>2312</v>
      </c>
      <c r="BZ1149" s="349">
        <f t="shared" ref="BZ1149:CF1149" si="2731">AVERAGE(BY1146:BZ1146)</f>
        <v>2312</v>
      </c>
      <c r="CA1149" s="349">
        <f t="shared" si="2731"/>
        <v>2312</v>
      </c>
      <c r="CB1149" s="349">
        <f t="shared" si="2731"/>
        <v>2312</v>
      </c>
      <c r="CC1149" s="349">
        <f t="shared" si="2731"/>
        <v>2312</v>
      </c>
      <c r="CD1149" s="349">
        <f t="shared" si="2731"/>
        <v>2312</v>
      </c>
      <c r="CE1149" s="349">
        <f t="shared" si="2731"/>
        <v>2312</v>
      </c>
      <c r="CF1149" s="349">
        <f t="shared" si="2731"/>
        <v>2312</v>
      </c>
      <c r="CG1149" s="331"/>
      <c r="CH1149" s="331"/>
      <c r="CI1149" s="331"/>
      <c r="CJ1149" s="331"/>
      <c r="CK1149" s="331"/>
      <c r="CL1149" s="1118" t="str">
        <f t="shared" si="2712"/>
        <v>Average Positions</v>
      </c>
      <c r="CM1149" s="330"/>
      <c r="CN1149" s="330"/>
      <c r="CO1149" s="330"/>
      <c r="CP1149" s="330"/>
      <c r="CQ1149" s="330"/>
      <c r="CR1149" s="330"/>
      <c r="CS1149" s="330"/>
      <c r="CT1149" s="330"/>
      <c r="CU1149" s="330">
        <f t="shared" si="2713"/>
        <v>2312</v>
      </c>
      <c r="CV1149" s="330">
        <f t="shared" si="2714"/>
        <v>2312</v>
      </c>
      <c r="CW1149" s="330">
        <f t="shared" si="2715"/>
        <v>2312</v>
      </c>
      <c r="CX1149" s="330">
        <f t="shared" si="2716"/>
        <v>2312</v>
      </c>
      <c r="CY1149" s="330">
        <f t="shared" si="2717"/>
        <v>2312</v>
      </c>
      <c r="CZ1149" s="330">
        <f t="shared" si="2718"/>
        <v>2312</v>
      </c>
      <c r="DA1149" s="330">
        <f t="shared" si="2719"/>
        <v>2312</v>
      </c>
      <c r="DB1149" s="330">
        <f t="shared" si="2719"/>
        <v>2312</v>
      </c>
      <c r="DC1149" s="1888">
        <f t="shared" si="2719"/>
        <v>2312</v>
      </c>
      <c r="DD1149" s="331"/>
      <c r="DE1149" s="331"/>
      <c r="DF1149" s="502"/>
      <c r="DG1149" s="503"/>
      <c r="DH1149" s="2601"/>
      <c r="DI1149" s="3213"/>
      <c r="DJ1149" s="502"/>
      <c r="DK1149" s="503"/>
      <c r="DL1149" s="502"/>
      <c r="DM1149" s="502"/>
      <c r="DN1149" s="502"/>
      <c r="DO1149" s="502"/>
      <c r="DP1149" s="503"/>
      <c r="DQ1149" s="503"/>
      <c r="DR1149" s="296"/>
      <c r="DS1149" s="296"/>
      <c r="DT1149" s="296"/>
    </row>
    <row r="1150" spans="1:124" ht="12" customHeight="1" x14ac:dyDescent="0.25">
      <c r="A1150" s="557" t="s">
        <v>901</v>
      </c>
      <c r="B1150" s="558"/>
      <c r="C1150" s="318"/>
      <c r="D1150" s="318"/>
      <c r="E1150" s="318"/>
      <c r="F1150" s="318"/>
      <c r="G1150" s="559"/>
      <c r="H1150" s="318"/>
      <c r="I1150" s="318"/>
      <c r="J1150" s="318"/>
      <c r="K1150" s="318"/>
      <c r="L1150" s="559"/>
      <c r="M1150" s="318"/>
      <c r="N1150" s="318"/>
      <c r="O1150" s="318"/>
      <c r="P1150" s="318"/>
      <c r="Q1150" s="559"/>
      <c r="R1150" s="318"/>
      <c r="S1150" s="318"/>
      <c r="T1150" s="318"/>
      <c r="U1150" s="318"/>
      <c r="V1150" s="559"/>
      <c r="W1150" s="318"/>
      <c r="X1150" s="318"/>
      <c r="Y1150" s="318"/>
      <c r="Z1150" s="318"/>
      <c r="AA1150" s="559"/>
      <c r="AB1150" s="318"/>
      <c r="AC1150" s="318"/>
      <c r="AD1150" s="318"/>
      <c r="AE1150" s="560"/>
      <c r="AF1150" s="561"/>
      <c r="AG1150" s="318"/>
      <c r="AH1150" s="318"/>
      <c r="AI1150" s="318"/>
      <c r="AJ1150" s="560"/>
      <c r="AK1150" s="561"/>
      <c r="AL1150" s="318"/>
      <c r="AM1150" s="318"/>
      <c r="AN1150" s="318"/>
      <c r="AO1150" s="560"/>
      <c r="AP1150" s="562"/>
      <c r="AQ1150" s="1732">
        <f>+AQ1153*1000000/AQ1149/45</f>
        <v>249.77766243752404</v>
      </c>
      <c r="AR1150" s="1766">
        <f>+AR1153*1000000/AR1149/AR5</f>
        <v>136.10783679987833</v>
      </c>
      <c r="AS1150" s="1766">
        <f>+AS1153*1000000/AS1149/AS5</f>
        <v>136.29268843087107</v>
      </c>
      <c r="AT1150" s="1766">
        <f>+AT1153*1000000/AT1149/AT5</f>
        <v>142.73356401384083</v>
      </c>
      <c r="AU1150" s="561">
        <f>AU1153*1000000/AU1149/AU$5</f>
        <v>134.68913438084971</v>
      </c>
      <c r="AV1150" s="2656">
        <f>+AV1153*1000000/AV1149/AV5</f>
        <v>156.19563816801232</v>
      </c>
      <c r="AW1150" s="2656">
        <f>+AW1153*1000000/AW1149/AW5</f>
        <v>157.39886953876572</v>
      </c>
      <c r="AX1150" s="2656">
        <f>+AX1153*1000000/AX1149/AX5</f>
        <v>154.49326448961935</v>
      </c>
      <c r="AY1150" s="2656">
        <f>+AY1153*1000000/AY1149/AY5</f>
        <v>153.54002200240711</v>
      </c>
      <c r="AZ1150" s="561">
        <f>AZ1153*1000000/AZ1149/AZ$5</f>
        <v>155.39716964497325</v>
      </c>
      <c r="BA1150" s="2656">
        <f>+BA1153*1000000/BA1149/BA5</f>
        <v>159.81231497500963</v>
      </c>
      <c r="BB1150" s="2656">
        <f>+BB1153*1000000/BB1149/BB5</f>
        <v>158.06355427012434</v>
      </c>
      <c r="BC1150" s="2656">
        <f>+BC1153*1000000/BC1149/BC5</f>
        <v>157.91883768053259</v>
      </c>
      <c r="BD1150" s="2656">
        <f>+BD1153*1000000/BD1149/BD5</f>
        <v>163.81867487212278</v>
      </c>
      <c r="BE1150" s="561">
        <f>BE1153*1000000/BE1149/BE$5</f>
        <v>159.90888477034648</v>
      </c>
      <c r="BF1150" s="2656">
        <f>+BF1153*1000000/BF1149/BF5</f>
        <v>176.68842392349097</v>
      </c>
      <c r="BG1150" s="2656">
        <f>+BG1153*1000000/BG1149/BG5</f>
        <v>178.45179493516864</v>
      </c>
      <c r="BH1150" s="2656">
        <f>+BH1153*1000000/BH1149/BH5</f>
        <v>166.29190739243265</v>
      </c>
      <c r="BI1150" s="2656">
        <f>+BI1153*1000000/BI1149/BI5</f>
        <v>165.52567126147136</v>
      </c>
      <c r="BJ1150" s="561">
        <f>BJ1153*1000000/BJ1149/BJ$5</f>
        <v>171.69394172157178</v>
      </c>
      <c r="BK1150" s="2656">
        <f>+BK1153*1000000/BK1149/BK5</f>
        <v>178.37798728088518</v>
      </c>
      <c r="BL1150" s="2656">
        <f>+BL1153*1000000/BL1149/BL5</f>
        <v>169.80256678010568</v>
      </c>
      <c r="BM1150" s="2656">
        <f>+BM1153*1000000/BM1149/BM5</f>
        <v>167.08382103768616</v>
      </c>
      <c r="BN1150" s="2656">
        <f>+BN1153*1000000/BN1149/BN5</f>
        <v>166.83926056867759</v>
      </c>
      <c r="BO1150" s="561">
        <f>BO1153*1000000/BO1149/BO$5</f>
        <v>170.50643149545257</v>
      </c>
      <c r="BP1150" s="2656">
        <f>+BP1153*1000000/BP1149/BP5</f>
        <v>176.04908434256055</v>
      </c>
      <c r="BQ1150" s="2656">
        <f>+BQ1153*1000000/BQ1149/BQ5</f>
        <v>175.49606605764478</v>
      </c>
      <c r="BR1150" s="2656">
        <f>+BR1153*1000000/BR1149/BR5</f>
        <v>170.57334394275611</v>
      </c>
      <c r="BS1150" s="2656">
        <f>+BS1153*1000000/BS1149/BS5</f>
        <v>174.84693390815409</v>
      </c>
      <c r="BT1150" s="2589">
        <f>BT1153*1000000/BT1149/BT$5</f>
        <v>174.22801414893112</v>
      </c>
      <c r="BU1150" s="2588">
        <f>+BP1150*(1+BU1151)</f>
        <v>178.68982060769895</v>
      </c>
      <c r="BV1150" s="2588">
        <f>+BQ1150*(1+BV1151)</f>
        <v>178.12850704850945</v>
      </c>
      <c r="BW1150" s="2588">
        <f>+BR1150*(1+BW1151)</f>
        <v>173.13194410189743</v>
      </c>
      <c r="BX1150" s="2588">
        <f>+BS1150*(1+BX1151)</f>
        <v>177.46963791677638</v>
      </c>
      <c r="BY1150" s="2589">
        <f>BY1153*1000000/BY1149/BY$5</f>
        <v>176.84143436116508</v>
      </c>
      <c r="BZ1150" s="2589">
        <f t="shared" ref="BZ1150:CF1150" si="2732">+BY1150*(1+BZ1151)</f>
        <v>178.60984870477674</v>
      </c>
      <c r="CA1150" s="2589">
        <f t="shared" si="2732"/>
        <v>178.60984870477674</v>
      </c>
      <c r="CB1150" s="2589">
        <f t="shared" si="2732"/>
        <v>169.67935626953789</v>
      </c>
      <c r="CC1150" s="2589">
        <f t="shared" si="2732"/>
        <v>161.19538845606098</v>
      </c>
      <c r="CD1150" s="2589">
        <f t="shared" si="2732"/>
        <v>164.41929622518219</v>
      </c>
      <c r="CE1150" s="2589">
        <f t="shared" si="2732"/>
        <v>167.70768214968584</v>
      </c>
      <c r="CF1150" s="2589">
        <f t="shared" si="2732"/>
        <v>171.06183579267955</v>
      </c>
      <c r="CG1150" s="560"/>
      <c r="CH1150" s="560"/>
      <c r="CI1150" s="560"/>
      <c r="CJ1150" s="560"/>
      <c r="CK1150" s="560"/>
      <c r="CL1150" s="1307" t="str">
        <f t="shared" si="2712"/>
        <v>Daily Win / Position</v>
      </c>
      <c r="CM1150" s="560"/>
      <c r="CN1150" s="560"/>
      <c r="CO1150" s="560"/>
      <c r="CP1150" s="560"/>
      <c r="CQ1150" s="560"/>
      <c r="CR1150" s="560"/>
      <c r="CS1150" s="560"/>
      <c r="CT1150" s="560"/>
      <c r="CU1150" s="560">
        <f t="shared" si="2713"/>
        <v>134.68913438084971</v>
      </c>
      <c r="CV1150" s="560">
        <f t="shared" si="2714"/>
        <v>155.39716964497325</v>
      </c>
      <c r="CW1150" s="560">
        <f t="shared" si="2715"/>
        <v>159.90888477034648</v>
      </c>
      <c r="CX1150" s="560">
        <f t="shared" si="2716"/>
        <v>171.69394172157178</v>
      </c>
      <c r="CY1150" s="560">
        <f t="shared" si="2717"/>
        <v>170.50643149545257</v>
      </c>
      <c r="CZ1150" s="560">
        <f t="shared" si="2718"/>
        <v>174.22801414893112</v>
      </c>
      <c r="DA1150" s="560">
        <f t="shared" si="2719"/>
        <v>176.84143436116508</v>
      </c>
      <c r="DB1150" s="560">
        <f t="shared" si="2719"/>
        <v>178.60984870477674</v>
      </c>
      <c r="DC1150" s="1878">
        <f t="shared" si="2719"/>
        <v>178.60984870477674</v>
      </c>
      <c r="DD1150" s="560"/>
      <c r="DE1150" s="560"/>
      <c r="DF1150" s="707"/>
      <c r="DG1150" s="707"/>
      <c r="DH1150" s="2588"/>
      <c r="DI1150" s="3213"/>
      <c r="DJ1150" s="707"/>
      <c r="DK1150" s="707"/>
      <c r="DL1150" s="707"/>
      <c r="DM1150" s="707"/>
      <c r="DN1150" s="707"/>
      <c r="DO1150" s="707"/>
      <c r="DP1150" s="707"/>
      <c r="DQ1150" s="707"/>
      <c r="DR1150" s="968"/>
      <c r="DS1150" s="968"/>
      <c r="DT1150" s="968"/>
    </row>
    <row r="1151" spans="1:124" ht="12" customHeight="1" x14ac:dyDescent="0.25">
      <c r="A1151" s="465" t="s">
        <v>1491</v>
      </c>
      <c r="B1151" s="579"/>
      <c r="C1151" s="467"/>
      <c r="D1151" s="467"/>
      <c r="E1151" s="467"/>
      <c r="F1151" s="467"/>
      <c r="G1151" s="468"/>
      <c r="H1151" s="467"/>
      <c r="I1151" s="467"/>
      <c r="J1151" s="467"/>
      <c r="K1151" s="467"/>
      <c r="L1151" s="468"/>
      <c r="M1151" s="467"/>
      <c r="N1151" s="467"/>
      <c r="O1151" s="467"/>
      <c r="P1151" s="467"/>
      <c r="Q1151" s="468"/>
      <c r="R1151" s="467"/>
      <c r="S1151" s="467"/>
      <c r="T1151" s="467"/>
      <c r="U1151" s="467"/>
      <c r="V1151" s="468"/>
      <c r="W1151" s="467"/>
      <c r="X1151" s="467"/>
      <c r="Y1151" s="467"/>
      <c r="Z1151" s="467"/>
      <c r="AA1151" s="468"/>
      <c r="AB1151" s="467"/>
      <c r="AC1151" s="467"/>
      <c r="AD1151" s="467"/>
      <c r="AE1151" s="469"/>
      <c r="AF1151" s="470"/>
      <c r="AG1151" s="467"/>
      <c r="AH1151" s="467"/>
      <c r="AI1151" s="467"/>
      <c r="AJ1151" s="469"/>
      <c r="AK1151" s="470"/>
      <c r="AL1151" s="467"/>
      <c r="AM1151" s="467"/>
      <c r="AN1151" s="467"/>
      <c r="AO1151" s="469"/>
      <c r="AP1151" s="471"/>
      <c r="AQ1151" s="471"/>
      <c r="AR1151" s="469"/>
      <c r="AS1151" s="469"/>
      <c r="AT1151" s="469"/>
      <c r="AU1151" s="599"/>
      <c r="AV1151" s="469"/>
      <c r="AW1151" s="469"/>
      <c r="AX1151" s="519">
        <f t="shared" ref="AX1151:BS1151" si="2733">(AX1150-AS1150)/AS1150</f>
        <v>0.13354037012763004</v>
      </c>
      <c r="AY1151" s="1462">
        <f t="shared" si="2733"/>
        <v>7.5710699604743151E-2</v>
      </c>
      <c r="AZ1151" s="591">
        <f t="shared" si="2733"/>
        <v>0.15374688804197881</v>
      </c>
      <c r="BA1151" s="519">
        <f t="shared" si="2733"/>
        <v>2.3154787479449424E-2</v>
      </c>
      <c r="BB1151" s="519">
        <f t="shared" si="2733"/>
        <v>4.2229320534917453E-3</v>
      </c>
      <c r="BC1151" s="519">
        <f t="shared" si="2733"/>
        <v>2.2172961405339524E-2</v>
      </c>
      <c r="BD1151" s="519">
        <f t="shared" si="2733"/>
        <v>6.6944453541595353E-2</v>
      </c>
      <c r="BE1151" s="591">
        <f t="shared" si="2733"/>
        <v>2.9033444661063508E-2</v>
      </c>
      <c r="BF1151" s="519">
        <f t="shared" si="2733"/>
        <v>0.10559955251959348</v>
      </c>
      <c r="BG1151" s="519">
        <f t="shared" si="2733"/>
        <v>0.1289876136164925</v>
      </c>
      <c r="BH1151" s="519">
        <f t="shared" si="2733"/>
        <v>5.3021348402010476E-2</v>
      </c>
      <c r="BI1151" s="519">
        <f t="shared" si="2733"/>
        <v>1.0420035387791167E-2</v>
      </c>
      <c r="BJ1151" s="591">
        <f>(BJ1150-BE1150)/BE1150</f>
        <v>7.3698575086371454E-2</v>
      </c>
      <c r="BK1151" s="519">
        <f t="shared" si="2733"/>
        <v>9.5623885248182165E-3</v>
      </c>
      <c r="BL1151" s="519">
        <f t="shared" si="2733"/>
        <v>-4.846814882531842E-2</v>
      </c>
      <c r="BM1151" s="519">
        <f t="shared" si="2733"/>
        <v>4.7621899205514363E-3</v>
      </c>
      <c r="BN1151" s="519">
        <f t="shared" si="2733"/>
        <v>7.9358645531859978E-3</v>
      </c>
      <c r="BO1151" s="591">
        <f>(BO1150-BJ1150)/BJ1150</f>
        <v>-6.9164363879823569E-3</v>
      </c>
      <c r="BP1151" s="519">
        <f t="shared" si="2733"/>
        <v>-1.3055999643371886E-2</v>
      </c>
      <c r="BQ1151" s="519">
        <f t="shared" si="2733"/>
        <v>3.3530113151423589E-2</v>
      </c>
      <c r="BR1151" s="519">
        <f t="shared" si="2733"/>
        <v>2.0884864156194251E-2</v>
      </c>
      <c r="BS1151" s="519">
        <f t="shared" si="2733"/>
        <v>4.7996336786569636E-2</v>
      </c>
      <c r="BT1151" s="470">
        <f>(BT1150-BO1150)/BO1150</f>
        <v>2.1826640912239164E-2</v>
      </c>
      <c r="BU1151" s="1245">
        <v>1.4999999999999999E-2</v>
      </c>
      <c r="BV1151" s="1245">
        <v>1.4999999999999999E-2</v>
      </c>
      <c r="BW1151" s="1245">
        <v>1.4999999999999999E-2</v>
      </c>
      <c r="BX1151" s="1245">
        <v>1.4999999999999999E-2</v>
      </c>
      <c r="BY1151" s="470">
        <f>(BY1150-BT1150)/BT1150</f>
        <v>1.499999999999997E-2</v>
      </c>
      <c r="BZ1151" s="2563">
        <v>0.01</v>
      </c>
      <c r="CA1151" s="2563">
        <v>0</v>
      </c>
      <c r="CB1151" s="2563">
        <v>-0.05</v>
      </c>
      <c r="CC1151" s="2563">
        <v>-0.05</v>
      </c>
      <c r="CD1151" s="2563">
        <v>0.02</v>
      </c>
      <c r="CE1151" s="2563">
        <v>0.02</v>
      </c>
      <c r="CF1151" s="2563">
        <v>0.02</v>
      </c>
      <c r="CG1151" s="972"/>
      <c r="CH1151" s="972"/>
      <c r="CI1151" s="972"/>
      <c r="CJ1151" s="972"/>
      <c r="CK1151" s="972"/>
      <c r="CL1151" s="1310" t="str">
        <f t="shared" si="2712"/>
        <v>% growth (y-o-y)</v>
      </c>
      <c r="CM1151" s="469"/>
      <c r="CN1151" s="469"/>
      <c r="CO1151" s="469"/>
      <c r="CP1151" s="469"/>
      <c r="CQ1151" s="469"/>
      <c r="CR1151" s="469"/>
      <c r="CS1151" s="469"/>
      <c r="CT1151" s="469"/>
      <c r="CU1151" s="469"/>
      <c r="CV1151" s="469">
        <f t="shared" si="2714"/>
        <v>0.15374688804197881</v>
      </c>
      <c r="CW1151" s="469">
        <f t="shared" si="2715"/>
        <v>2.9033444661063508E-2</v>
      </c>
      <c r="CX1151" s="469">
        <f t="shared" si="2716"/>
        <v>7.3698575086371454E-2</v>
      </c>
      <c r="CY1151" s="469">
        <f t="shared" si="2717"/>
        <v>-6.9164363879823569E-3</v>
      </c>
      <c r="CZ1151" s="469">
        <f t="shared" si="2718"/>
        <v>2.1826640912239164E-2</v>
      </c>
      <c r="DA1151" s="469">
        <f t="shared" si="2719"/>
        <v>1.499999999999997E-2</v>
      </c>
      <c r="DB1151" s="469">
        <f t="shared" si="2719"/>
        <v>0.01</v>
      </c>
      <c r="DC1151" s="1463">
        <f t="shared" si="2719"/>
        <v>0</v>
      </c>
      <c r="DD1151" s="972"/>
      <c r="DE1151" s="972"/>
      <c r="DF1151" s="974"/>
      <c r="DG1151" s="975"/>
      <c r="DH1151" s="469"/>
      <c r="DI1151" s="3213"/>
      <c r="DJ1151" s="974"/>
      <c r="DK1151" s="975"/>
      <c r="DL1151" s="974"/>
      <c r="DM1151" s="974"/>
      <c r="DN1151" s="974"/>
      <c r="DO1151" s="974"/>
      <c r="DP1151" s="975"/>
      <c r="DQ1151" s="975"/>
      <c r="DR1151" s="976"/>
      <c r="DS1151" s="976"/>
      <c r="DT1151" s="976"/>
    </row>
    <row r="1152" spans="1:124" ht="5.0999999999999996" customHeight="1" x14ac:dyDescent="0.25">
      <c r="A1152" s="281"/>
      <c r="B1152" s="281"/>
      <c r="C1152" s="305"/>
      <c r="D1152" s="305"/>
      <c r="E1152" s="305"/>
      <c r="F1152" s="305"/>
      <c r="G1152" s="440"/>
      <c r="H1152" s="305"/>
      <c r="I1152" s="305"/>
      <c r="J1152" s="305"/>
      <c r="K1152" s="305"/>
      <c r="L1152" s="440"/>
      <c r="M1152" s="305"/>
      <c r="N1152" s="305"/>
      <c r="O1152" s="305"/>
      <c r="P1152" s="305"/>
      <c r="Q1152" s="440"/>
      <c r="R1152" s="305"/>
      <c r="S1152" s="305"/>
      <c r="T1152" s="305"/>
      <c r="U1152" s="305"/>
      <c r="V1152" s="440"/>
      <c r="W1152" s="305"/>
      <c r="X1152" s="305"/>
      <c r="Y1152" s="305"/>
      <c r="Z1152" s="305"/>
      <c r="AA1152" s="440"/>
      <c r="AB1152" s="305"/>
      <c r="AC1152" s="305"/>
      <c r="AD1152" s="305"/>
      <c r="AE1152" s="331"/>
      <c r="AF1152" s="441"/>
      <c r="AG1152" s="305"/>
      <c r="AH1152" s="305"/>
      <c r="AI1152" s="305"/>
      <c r="AJ1152" s="331"/>
      <c r="AK1152" s="441"/>
      <c r="AL1152" s="305"/>
      <c r="AM1152" s="305"/>
      <c r="AN1152" s="305"/>
      <c r="AO1152" s="331"/>
      <c r="AP1152" s="569"/>
      <c r="AQ1152" s="569"/>
      <c r="AR1152" s="442"/>
      <c r="AS1152" s="442"/>
      <c r="AT1152" s="442"/>
      <c r="AU1152" s="441"/>
      <c r="AV1152" s="569"/>
      <c r="AW1152" s="442"/>
      <c r="AX1152" s="442"/>
      <c r="AY1152" s="1312"/>
      <c r="AZ1152" s="441"/>
      <c r="BA1152" s="569"/>
      <c r="BB1152" s="442"/>
      <c r="BC1152" s="442"/>
      <c r="BD1152" s="1312"/>
      <c r="BE1152" s="441"/>
      <c r="BF1152" s="442"/>
      <c r="BG1152" s="442"/>
      <c r="BH1152" s="442"/>
      <c r="BI1152" s="1312"/>
      <c r="BJ1152" s="441"/>
      <c r="BK1152" s="442"/>
      <c r="BL1152" s="442"/>
      <c r="BM1152" s="442"/>
      <c r="BN1152" s="1312"/>
      <c r="BO1152" s="441"/>
      <c r="BP1152" s="442"/>
      <c r="BQ1152" s="442"/>
      <c r="BR1152" s="442"/>
      <c r="BS1152" s="442"/>
      <c r="BT1152" s="3236"/>
      <c r="BU1152" s="3298"/>
      <c r="BV1152" s="3298"/>
      <c r="BW1152" s="3298"/>
      <c r="BX1152" s="3298"/>
      <c r="BY1152" s="3236"/>
      <c r="BZ1152" s="441"/>
      <c r="CA1152" s="441"/>
      <c r="CB1152" s="441"/>
      <c r="CC1152" s="441"/>
      <c r="CD1152" s="441"/>
      <c r="CE1152" s="441"/>
      <c r="CF1152" s="441"/>
      <c r="CG1152" s="331"/>
      <c r="CH1152" s="331"/>
      <c r="CI1152" s="331"/>
      <c r="CJ1152" s="331"/>
      <c r="CK1152" s="331"/>
      <c r="CL1152" s="520"/>
      <c r="CM1152" s="442"/>
      <c r="CN1152" s="442"/>
      <c r="CO1152" s="442"/>
      <c r="CP1152" s="442"/>
      <c r="CQ1152" s="442"/>
      <c r="CR1152" s="442"/>
      <c r="CS1152" s="442"/>
      <c r="CT1152" s="442"/>
      <c r="CU1152" s="442"/>
      <c r="CV1152" s="442"/>
      <c r="CW1152" s="442"/>
      <c r="CX1152" s="442"/>
      <c r="CY1152" s="442"/>
      <c r="CZ1152" s="442"/>
      <c r="DA1152" s="442"/>
      <c r="DB1152" s="442"/>
      <c r="DC1152" s="1312"/>
      <c r="DD1152" s="331"/>
      <c r="DE1152" s="331"/>
      <c r="DF1152" s="502"/>
      <c r="DG1152" s="503"/>
      <c r="DH1152" s="3298"/>
      <c r="DI1152" s="3213"/>
      <c r="DJ1152" s="502"/>
      <c r="DK1152" s="503"/>
      <c r="DL1152" s="502"/>
      <c r="DM1152" s="502"/>
      <c r="DN1152" s="502"/>
      <c r="DO1152" s="502"/>
      <c r="DP1152" s="503"/>
      <c r="DQ1152" s="503"/>
      <c r="DR1152" s="296"/>
      <c r="DS1152" s="296"/>
      <c r="DT1152" s="296"/>
    </row>
    <row r="1153" spans="1:124" ht="12" customHeight="1" x14ac:dyDescent="0.25">
      <c r="A1153" s="281" t="s">
        <v>730</v>
      </c>
      <c r="B1153" s="281"/>
      <c r="C1153" s="570"/>
      <c r="D1153" s="570"/>
      <c r="E1153" s="570"/>
      <c r="F1153" s="452"/>
      <c r="G1153" s="571"/>
      <c r="H1153" s="570"/>
      <c r="I1153" s="570"/>
      <c r="J1153" s="570"/>
      <c r="K1153" s="452"/>
      <c r="L1153" s="571"/>
      <c r="M1153" s="570"/>
      <c r="N1153" s="570"/>
      <c r="O1153" s="570"/>
      <c r="P1153" s="452"/>
      <c r="Q1153" s="571"/>
      <c r="R1153" s="570"/>
      <c r="S1153" s="570"/>
      <c r="T1153" s="570"/>
      <c r="U1153" s="452"/>
      <c r="V1153" s="571"/>
      <c r="W1153" s="570"/>
      <c r="X1153" s="570"/>
      <c r="Y1153" s="570"/>
      <c r="Z1153" s="452"/>
      <c r="AA1153" s="571"/>
      <c r="AB1153" s="570"/>
      <c r="AC1153" s="570"/>
      <c r="AD1153" s="570"/>
      <c r="AE1153" s="476"/>
      <c r="AF1153" s="573"/>
      <c r="AG1153" s="570"/>
      <c r="AH1153" s="570"/>
      <c r="AI1153" s="570"/>
      <c r="AJ1153" s="476"/>
      <c r="AK1153" s="573"/>
      <c r="AL1153" s="570"/>
      <c r="AM1153" s="570"/>
      <c r="AN1153" s="570"/>
      <c r="AO1153" s="476"/>
      <c r="AP1153" s="573"/>
      <c r="AQ1153" s="572">
        <v>25.986868000000001</v>
      </c>
      <c r="AR1153" s="572">
        <v>28.635999999999999</v>
      </c>
      <c r="AS1153" s="572">
        <v>28.99</v>
      </c>
      <c r="AT1153" s="572">
        <v>30.36</v>
      </c>
      <c r="AU1153" s="477">
        <f>+SUM(AQ1153:AT1153)</f>
        <v>113.97286799999999</v>
      </c>
      <c r="AV1153" s="592">
        <v>32.501188390000003</v>
      </c>
      <c r="AW1153" s="572">
        <v>33.115462960000002</v>
      </c>
      <c r="AX1153" s="572">
        <v>32.861335329999996</v>
      </c>
      <c r="AY1153" s="2584">
        <v>32.658576840000002</v>
      </c>
      <c r="AZ1153" s="477">
        <f>SUM(AV1153:AY1153)</f>
        <v>131.13656352000001</v>
      </c>
      <c r="BA1153" s="2652">
        <v>33.253746499999998</v>
      </c>
      <c r="BB1153" s="2654">
        <v>33.255307309999999</v>
      </c>
      <c r="BC1153" s="2654">
        <v>33.589968450000001</v>
      </c>
      <c r="BD1153" s="2944">
        <v>34.844887419999999</v>
      </c>
      <c r="BE1153" s="477">
        <f>SUM(BA1153:BD1153)</f>
        <v>134.94390967999999</v>
      </c>
      <c r="BF1153" s="2652">
        <v>36.765327249999999</v>
      </c>
      <c r="BG1153" s="2941">
        <v>37.544830040000001</v>
      </c>
      <c r="BH1153" s="2941">
        <v>35.370953870000001</v>
      </c>
      <c r="BI1153" s="2941">
        <v>35.207972380000001</v>
      </c>
      <c r="BJ1153" s="477">
        <f>SUM(BF1153:BI1153)</f>
        <v>144.88908354</v>
      </c>
      <c r="BK1153" s="2941">
        <v>37.529301499999995</v>
      </c>
      <c r="BL1153" s="2941">
        <v>35.725101629999997</v>
      </c>
      <c r="BM1153" s="2941">
        <v>35.53939707</v>
      </c>
      <c r="BN1153" s="2941">
        <v>35.487378079999999</v>
      </c>
      <c r="BO1153" s="477">
        <f>SUM(BK1153:BN1153)</f>
        <v>144.28117828000001</v>
      </c>
      <c r="BP1153" s="2941">
        <v>36.63229347</v>
      </c>
      <c r="BQ1153" s="2941">
        <v>36.922968329999996</v>
      </c>
      <c r="BR1153" s="2941">
        <v>36.281632549999998</v>
      </c>
      <c r="BS1153" s="2941">
        <v>37.190642230000002</v>
      </c>
      <c r="BT1153" s="2604">
        <f>SUM(BP1153:BS1153)</f>
        <v>147.02753658</v>
      </c>
      <c r="BU1153" s="3558">
        <f>+BU1150*BU1146*BU5/1000000</f>
        <v>37.181777872049999</v>
      </c>
      <c r="BV1153" s="2577">
        <f>+BV1150*BV1146*BV5/1000000</f>
        <v>37.476812854949998</v>
      </c>
      <c r="BW1153" s="2577">
        <f>+BW1150*BW1146*BW5/1000000</f>
        <v>36.825857038249993</v>
      </c>
      <c r="BX1153" s="2577">
        <f>+BX1150*BX1146*BX5/1000000</f>
        <v>37.748501863450002</v>
      </c>
      <c r="BY1153" s="2604">
        <f>SUM(BU1153:BX1153)</f>
        <v>149.2329496287</v>
      </c>
      <c r="BZ1153" s="477">
        <f t="shared" ref="BZ1153:CF1153" si="2734">+BZ1150*BZ1146*BZ5/1000000</f>
        <v>150.72527912498697</v>
      </c>
      <c r="CA1153" s="477">
        <f t="shared" si="2734"/>
        <v>151.13822509519244</v>
      </c>
      <c r="CB1153" s="477">
        <f t="shared" si="2734"/>
        <v>143.18901516873765</v>
      </c>
      <c r="CC1153" s="477">
        <f t="shared" si="2734"/>
        <v>136.02956441030076</v>
      </c>
      <c r="CD1153" s="477">
        <f t="shared" si="2734"/>
        <v>138.75015569850675</v>
      </c>
      <c r="CE1153" s="477">
        <f t="shared" si="2734"/>
        <v>141.91289897360696</v>
      </c>
      <c r="CF1153" s="477">
        <f t="shared" si="2734"/>
        <v>144.35566198872644</v>
      </c>
      <c r="CG1153" s="331"/>
      <c r="CH1153" s="331"/>
      <c r="CI1153" s="331"/>
      <c r="CJ1153" s="331"/>
      <c r="CK1153" s="331"/>
      <c r="CL1153" s="520" t="str">
        <f>A1153</f>
        <v>Casino revenue</v>
      </c>
      <c r="CM1153" s="1180"/>
      <c r="CN1153" s="1180"/>
      <c r="CO1153" s="1180"/>
      <c r="CP1153" s="1180"/>
      <c r="CQ1153" s="1180"/>
      <c r="CR1153" s="1180"/>
      <c r="CS1153" s="1180"/>
      <c r="CT1153" s="1180"/>
      <c r="CU1153" s="1180">
        <f>AU1153</f>
        <v>113.97286799999999</v>
      </c>
      <c r="CV1153" s="1180">
        <f>AZ1153</f>
        <v>131.13656352000001</v>
      </c>
      <c r="CW1153" s="1180">
        <f>BE1153</f>
        <v>134.94390967999999</v>
      </c>
      <c r="CX1153" s="1180">
        <f>BJ1153</f>
        <v>144.88908354</v>
      </c>
      <c r="CY1153" s="1180">
        <f>BO1153</f>
        <v>144.28117828000001</v>
      </c>
      <c r="CZ1153" s="1180">
        <f>BT1153</f>
        <v>147.02753658</v>
      </c>
      <c r="DA1153" s="1180">
        <f t="shared" ref="DA1153:DC1157" si="2735">BY1153</f>
        <v>149.2329496287</v>
      </c>
      <c r="DB1153" s="1180">
        <f t="shared" si="2735"/>
        <v>150.72527912498697</v>
      </c>
      <c r="DC1153" s="2016">
        <f t="shared" si="2735"/>
        <v>151.13822509519244</v>
      </c>
      <c r="DD1153" s="331"/>
      <c r="DE1153" s="331"/>
      <c r="DF1153" s="502"/>
      <c r="DG1153" s="503"/>
      <c r="DH1153" s="2577"/>
      <c r="DI1153" s="3213"/>
      <c r="DJ1153" s="502"/>
      <c r="DK1153" s="503"/>
      <c r="DL1153" s="502"/>
      <c r="DM1153" s="502"/>
      <c r="DN1153" s="502"/>
      <c r="DO1153" s="502"/>
      <c r="DP1153" s="503"/>
      <c r="DQ1153" s="503"/>
      <c r="DR1153" s="296"/>
      <c r="DS1153" s="296"/>
      <c r="DT1153" s="296"/>
    </row>
    <row r="1154" spans="1:124" ht="12" customHeight="1" x14ac:dyDescent="0.25">
      <c r="A1154" s="465" t="s">
        <v>1491</v>
      </c>
      <c r="B1154" s="579"/>
      <c r="C1154" s="467"/>
      <c r="D1154" s="467"/>
      <c r="E1154" s="467"/>
      <c r="F1154" s="467"/>
      <c r="G1154" s="468"/>
      <c r="H1154" s="467"/>
      <c r="I1154" s="467"/>
      <c r="J1154" s="467"/>
      <c r="K1154" s="467"/>
      <c r="L1154" s="468"/>
      <c r="M1154" s="467"/>
      <c r="N1154" s="467"/>
      <c r="O1154" s="467"/>
      <c r="P1154" s="467"/>
      <c r="Q1154" s="468"/>
      <c r="R1154" s="467"/>
      <c r="S1154" s="467"/>
      <c r="T1154" s="467"/>
      <c r="U1154" s="467"/>
      <c r="V1154" s="468"/>
      <c r="W1154" s="467"/>
      <c r="X1154" s="467"/>
      <c r="Y1154" s="467"/>
      <c r="Z1154" s="467"/>
      <c r="AA1154" s="468"/>
      <c r="AB1154" s="467"/>
      <c r="AC1154" s="467"/>
      <c r="AD1154" s="467"/>
      <c r="AE1154" s="469"/>
      <c r="AF1154" s="470"/>
      <c r="AG1154" s="467"/>
      <c r="AH1154" s="467"/>
      <c r="AI1154" s="467"/>
      <c r="AJ1154" s="469"/>
      <c r="AK1154" s="470"/>
      <c r="AL1154" s="467"/>
      <c r="AM1154" s="467"/>
      <c r="AN1154" s="467"/>
      <c r="AO1154" s="469"/>
      <c r="AP1154" s="471"/>
      <c r="AQ1154" s="471"/>
      <c r="AR1154" s="469"/>
      <c r="AS1154" s="469"/>
      <c r="AT1154" s="469"/>
      <c r="AU1154" s="599"/>
      <c r="AV1154" s="1618">
        <f t="shared" ref="AV1154:BA1154" si="2736">(AV1153-AQ1153)/AQ1153</f>
        <v>0.25067739559842306</v>
      </c>
      <c r="AW1154" s="519">
        <f t="shared" si="2736"/>
        <v>0.1564276770498674</v>
      </c>
      <c r="AX1154" s="519">
        <f t="shared" si="2736"/>
        <v>0.13354037012763012</v>
      </c>
      <c r="AY1154" s="1462">
        <f t="shared" si="2736"/>
        <v>7.5710699604743165E-2</v>
      </c>
      <c r="AZ1154" s="591">
        <f t="shared" si="2736"/>
        <v>0.15059457414022451</v>
      </c>
      <c r="BA1154" s="1618">
        <f t="shared" si="2736"/>
        <v>2.3154787479449313E-2</v>
      </c>
      <c r="BB1154" s="519">
        <f t="shared" ref="BB1154:BJ1154" si="2737">(BB1153-AW1153)/AW1153</f>
        <v>4.222932053491577E-3</v>
      </c>
      <c r="BC1154" s="519">
        <f t="shared" si="2737"/>
        <v>2.2172961405339368E-2</v>
      </c>
      <c r="BD1154" s="1462">
        <f t="shared" si="2737"/>
        <v>6.69444535415952E-2</v>
      </c>
      <c r="BE1154" s="591">
        <f t="shared" si="2737"/>
        <v>2.9033444661063664E-2</v>
      </c>
      <c r="BF1154" s="519">
        <f t="shared" si="2737"/>
        <v>0.10559955251959356</v>
      </c>
      <c r="BG1154" s="519">
        <f t="shared" si="2737"/>
        <v>0.12898761361649261</v>
      </c>
      <c r="BH1154" s="519">
        <f t="shared" si="2737"/>
        <v>5.3021348402010789E-2</v>
      </c>
      <c r="BI1154" s="1462">
        <f t="shared" si="2737"/>
        <v>1.0420035387791243E-2</v>
      </c>
      <c r="BJ1154" s="591">
        <f t="shared" si="2737"/>
        <v>7.3698575086371482E-2</v>
      </c>
      <c r="BK1154" s="519">
        <f t="shared" ref="BK1154:BT1154" si="2738">(BK1153-BF1153)/BF1153</f>
        <v>2.0779748397316302E-2</v>
      </c>
      <c r="BL1154" s="519">
        <f t="shared" si="2738"/>
        <v>-4.8468148825318351E-2</v>
      </c>
      <c r="BM1154" s="519">
        <f t="shared" si="2738"/>
        <v>4.7621899205512906E-3</v>
      </c>
      <c r="BN1154" s="1462">
        <f t="shared" si="2738"/>
        <v>7.9358645531861245E-3</v>
      </c>
      <c r="BO1154" s="591">
        <f t="shared" si="2738"/>
        <v>-4.1956595013741601E-3</v>
      </c>
      <c r="BP1154" s="519">
        <f t="shared" si="2738"/>
        <v>-2.3901538108829314E-2</v>
      </c>
      <c r="BQ1154" s="519">
        <f t="shared" si="2738"/>
        <v>3.3530113151423353E-2</v>
      </c>
      <c r="BR1154" s="519">
        <f t="shared" si="2738"/>
        <v>2.0884864156194251E-2</v>
      </c>
      <c r="BS1154" s="519">
        <f t="shared" si="2738"/>
        <v>4.7996336786569456E-2</v>
      </c>
      <c r="BT1154" s="591">
        <f t="shared" si="2738"/>
        <v>1.9034764844172974E-2</v>
      </c>
      <c r="BU1154" s="519">
        <f>(BU1153-BP1153)/BP1153</f>
        <v>1.4999999999999953E-2</v>
      </c>
      <c r="BV1154" s="519">
        <f>(BV1153-BQ1153)/BQ1153</f>
        <v>1.5000000000000041E-2</v>
      </c>
      <c r="BW1154" s="519">
        <f>(BW1153-BR1153)/BR1153</f>
        <v>1.4999999999999861E-2</v>
      </c>
      <c r="BX1154" s="519">
        <f>(BX1153-BS1153)/BS1153</f>
        <v>1.5000000000000015E-2</v>
      </c>
      <c r="BY1154" s="591">
        <f>(BY1153-BT1153)/BT1153</f>
        <v>1.4999999999999966E-2</v>
      </c>
      <c r="BZ1154" s="591">
        <f t="shared" ref="BZ1154:CF1154" si="2739">(BZ1153-BY1153)/BY1153</f>
        <v>9.9999999999998024E-3</v>
      </c>
      <c r="CA1154" s="591">
        <f t="shared" si="2739"/>
        <v>2.7397260273974364E-3</v>
      </c>
      <c r="CB1154" s="591">
        <f t="shared" si="2739"/>
        <v>-5.2595628415300487E-2</v>
      </c>
      <c r="CC1154" s="591">
        <f t="shared" si="2739"/>
        <v>-5.0000000000000051E-2</v>
      </c>
      <c r="CD1154" s="591">
        <f t="shared" si="2739"/>
        <v>1.9999999999999744E-2</v>
      </c>
      <c r="CE1154" s="591">
        <f t="shared" si="2739"/>
        <v>2.279452054794523E-2</v>
      </c>
      <c r="CF1154" s="591">
        <f t="shared" si="2739"/>
        <v>1.7213114754098487E-2</v>
      </c>
      <c r="CG1154" s="972"/>
      <c r="CH1154" s="972"/>
      <c r="CI1154" s="972"/>
      <c r="CJ1154" s="972"/>
      <c r="CK1154" s="972"/>
      <c r="CL1154" s="1310" t="str">
        <f>A1154</f>
        <v>% growth (y-o-y)</v>
      </c>
      <c r="CM1154" s="469"/>
      <c r="CN1154" s="469"/>
      <c r="CO1154" s="469"/>
      <c r="CP1154" s="469"/>
      <c r="CQ1154" s="469"/>
      <c r="CR1154" s="469"/>
      <c r="CS1154" s="469"/>
      <c r="CT1154" s="469"/>
      <c r="CU1154" s="469"/>
      <c r="CV1154" s="469">
        <f>AZ1154</f>
        <v>0.15059457414022451</v>
      </c>
      <c r="CW1154" s="469">
        <f>BE1154</f>
        <v>2.9033444661063664E-2</v>
      </c>
      <c r="CX1154" s="469">
        <f>BJ1154</f>
        <v>7.3698575086371482E-2</v>
      </c>
      <c r="CY1154" s="469">
        <f>BO1154</f>
        <v>-4.1956595013741601E-3</v>
      </c>
      <c r="CZ1154" s="469">
        <f>BT1154</f>
        <v>1.9034764844172974E-2</v>
      </c>
      <c r="DA1154" s="469">
        <f t="shared" si="2735"/>
        <v>1.4999999999999966E-2</v>
      </c>
      <c r="DB1154" s="469">
        <f t="shared" si="2735"/>
        <v>9.9999999999998024E-3</v>
      </c>
      <c r="DC1154" s="1463">
        <f t="shared" si="2735"/>
        <v>2.7397260273974364E-3</v>
      </c>
      <c r="DD1154" s="972"/>
      <c r="DE1154" s="972"/>
      <c r="DF1154" s="974"/>
      <c r="DG1154" s="975"/>
      <c r="DH1154" s="519"/>
      <c r="DI1154" s="3213"/>
      <c r="DJ1154" s="974"/>
      <c r="DK1154" s="975"/>
      <c r="DL1154" s="974"/>
      <c r="DM1154" s="974"/>
      <c r="DN1154" s="974"/>
      <c r="DO1154" s="974"/>
      <c r="DP1154" s="975"/>
      <c r="DQ1154" s="975"/>
      <c r="DR1154" s="976"/>
      <c r="DS1154" s="976"/>
      <c r="DT1154" s="976"/>
    </row>
    <row r="1155" spans="1:124" ht="12" customHeight="1" x14ac:dyDescent="0.25">
      <c r="A1155" s="281" t="s">
        <v>645</v>
      </c>
      <c r="B1155" s="281"/>
      <c r="C1155" s="452"/>
      <c r="D1155" s="452"/>
      <c r="E1155" s="452"/>
      <c r="F1155" s="452"/>
      <c r="G1155" s="475"/>
      <c r="H1155" s="452"/>
      <c r="I1155" s="452"/>
      <c r="J1155" s="452"/>
      <c r="K1155" s="452"/>
      <c r="L1155" s="475"/>
      <c r="M1155" s="452"/>
      <c r="N1155" s="452"/>
      <c r="O1155" s="452"/>
      <c r="P1155" s="452"/>
      <c r="Q1155" s="475"/>
      <c r="R1155" s="452"/>
      <c r="S1155" s="452"/>
      <c r="T1155" s="452"/>
      <c r="U1155" s="452"/>
      <c r="V1155" s="475"/>
      <c r="W1155" s="452"/>
      <c r="X1155" s="452"/>
      <c r="Y1155" s="452"/>
      <c r="Z1155" s="452"/>
      <c r="AA1155" s="475"/>
      <c r="AB1155" s="452"/>
      <c r="AC1155" s="452"/>
      <c r="AD1155" s="452"/>
      <c r="AE1155" s="476"/>
      <c r="AF1155" s="477"/>
      <c r="AG1155" s="452"/>
      <c r="AH1155" s="452"/>
      <c r="AI1155" s="452"/>
      <c r="AJ1155" s="476"/>
      <c r="AK1155" s="477"/>
      <c r="AL1155" s="452"/>
      <c r="AM1155" s="452"/>
      <c r="AN1155" s="452"/>
      <c r="AO1155" s="476"/>
      <c r="AP1155" s="478"/>
      <c r="AQ1155" s="592">
        <v>-1</v>
      </c>
      <c r="AR1155" s="476">
        <f>+AQ1155</f>
        <v>-1</v>
      </c>
      <c r="AS1155" s="476">
        <f>+AR1155</f>
        <v>-1</v>
      </c>
      <c r="AT1155" s="476">
        <f>+AS1155</f>
        <v>-1</v>
      </c>
      <c r="AU1155" s="477">
        <f>+SUM(AQ1155:AT1155)</f>
        <v>-4</v>
      </c>
      <c r="AV1155" s="478">
        <f>+(AV1153*0.075)-(AV1153*0.1)</f>
        <v>-0.81252970975000061</v>
      </c>
      <c r="AW1155" s="476">
        <f>+(AW1153*0.075)-(AW1153*0.1)</f>
        <v>-0.82788657400000032</v>
      </c>
      <c r="AX1155" s="476">
        <f>+(AX1153*0.075)-(AX1153*0.1)</f>
        <v>-0.82153338325000025</v>
      </c>
      <c r="AY1155" s="682">
        <f>+(AY1153*0.075)-(AY1153*0.1)</f>
        <v>-0.81646442100000005</v>
      </c>
      <c r="AZ1155" s="477">
        <f>+(AZ1153*0.075)-(AZ1153*0.1)</f>
        <v>-3.2784140880000017</v>
      </c>
      <c r="BA1155" s="478">
        <f>AV1155</f>
        <v>-0.81252970975000061</v>
      </c>
      <c r="BB1155" s="476">
        <f>AW1155</f>
        <v>-0.82788657400000032</v>
      </c>
      <c r="BC1155" s="476">
        <f>AX1155</f>
        <v>-0.82153338325000025</v>
      </c>
      <c r="BD1155" s="682">
        <f>AY1155</f>
        <v>-0.81646442100000005</v>
      </c>
      <c r="BE1155" s="477">
        <f>+AZ1155</f>
        <v>-3.2784140880000017</v>
      </c>
      <c r="BF1155" s="476">
        <f>BA1155</f>
        <v>-0.81252970975000061</v>
      </c>
      <c r="BG1155" s="476">
        <f>BB1155</f>
        <v>-0.82788657400000032</v>
      </c>
      <c r="BH1155" s="476">
        <f>BC1155</f>
        <v>-0.82153338325000025</v>
      </c>
      <c r="BI1155" s="682">
        <f>BD1155</f>
        <v>-0.81646442100000005</v>
      </c>
      <c r="BJ1155" s="477">
        <f>+BE1155</f>
        <v>-3.2784140880000017</v>
      </c>
      <c r="BK1155" s="476">
        <f>BF1155</f>
        <v>-0.81252970975000061</v>
      </c>
      <c r="BL1155" s="476">
        <f>BG1155</f>
        <v>-0.82788657400000032</v>
      </c>
      <c r="BM1155" s="476">
        <f>BH1155</f>
        <v>-0.82153338325000025</v>
      </c>
      <c r="BN1155" s="682">
        <f>BI1155</f>
        <v>-0.81646442100000005</v>
      </c>
      <c r="BO1155" s="477">
        <f>+BJ1155</f>
        <v>-3.2784140880000017</v>
      </c>
      <c r="BP1155" s="476">
        <f>BK1155</f>
        <v>-0.81252970975000061</v>
      </c>
      <c r="BQ1155" s="476">
        <f>BL1155</f>
        <v>-0.82788657400000032</v>
      </c>
      <c r="BR1155" s="476">
        <f>BM1155</f>
        <v>-0.82153338325000025</v>
      </c>
      <c r="BS1155" s="476">
        <f>BN1155</f>
        <v>-0.81646442100000005</v>
      </c>
      <c r="BT1155" s="2604">
        <f>+BO1155</f>
        <v>-3.2784140880000017</v>
      </c>
      <c r="BU1155" s="2577">
        <f>BP1155</f>
        <v>-0.81252970975000061</v>
      </c>
      <c r="BV1155" s="2577">
        <f>BQ1155</f>
        <v>-0.82788657400000032</v>
      </c>
      <c r="BW1155" s="2577">
        <f>BR1155</f>
        <v>-0.82153338325000025</v>
      </c>
      <c r="BX1155" s="2577">
        <f>BS1155</f>
        <v>-0.81646442100000005</v>
      </c>
      <c r="BY1155" s="2604">
        <f>+BT1155</f>
        <v>-3.2784140880000017</v>
      </c>
      <c r="BZ1155" s="477">
        <f t="shared" ref="BZ1155:CF1155" si="2740">+BY1155</f>
        <v>-3.2784140880000017</v>
      </c>
      <c r="CA1155" s="477">
        <f t="shared" si="2740"/>
        <v>-3.2784140880000017</v>
      </c>
      <c r="CB1155" s="477">
        <f t="shared" si="2740"/>
        <v>-3.2784140880000017</v>
      </c>
      <c r="CC1155" s="477">
        <f t="shared" si="2740"/>
        <v>-3.2784140880000017</v>
      </c>
      <c r="CD1155" s="477">
        <f t="shared" si="2740"/>
        <v>-3.2784140880000017</v>
      </c>
      <c r="CE1155" s="477">
        <f t="shared" si="2740"/>
        <v>-3.2784140880000017</v>
      </c>
      <c r="CF1155" s="477">
        <f t="shared" si="2740"/>
        <v>-3.2784140880000017</v>
      </c>
      <c r="CG1155" s="331"/>
      <c r="CH1155" s="331"/>
      <c r="CI1155" s="331"/>
      <c r="CJ1155" s="331"/>
      <c r="CK1155" s="331"/>
      <c r="CL1155" s="520" t="str">
        <f>A1155</f>
        <v>Other revenue</v>
      </c>
      <c r="CM1155" s="476"/>
      <c r="CN1155" s="476"/>
      <c r="CO1155" s="476"/>
      <c r="CP1155" s="476"/>
      <c r="CQ1155" s="476"/>
      <c r="CR1155" s="476"/>
      <c r="CS1155" s="476"/>
      <c r="CT1155" s="476"/>
      <c r="CU1155" s="476">
        <f>AU1155</f>
        <v>-4</v>
      </c>
      <c r="CV1155" s="476">
        <f>AZ1155</f>
        <v>-3.2784140880000017</v>
      </c>
      <c r="CW1155" s="476">
        <f>BE1155</f>
        <v>-3.2784140880000017</v>
      </c>
      <c r="CX1155" s="476">
        <f>BJ1155</f>
        <v>-3.2784140880000017</v>
      </c>
      <c r="CY1155" s="476">
        <f>BO1155</f>
        <v>-3.2784140880000017</v>
      </c>
      <c r="CZ1155" s="476">
        <f>BT1155</f>
        <v>-3.2784140880000017</v>
      </c>
      <c r="DA1155" s="476">
        <f t="shared" si="2735"/>
        <v>-3.2784140880000017</v>
      </c>
      <c r="DB1155" s="476">
        <f t="shared" si="2735"/>
        <v>-3.2784140880000017</v>
      </c>
      <c r="DC1155" s="682">
        <f t="shared" si="2735"/>
        <v>-3.2784140880000017</v>
      </c>
      <c r="DD1155" s="331"/>
      <c r="DE1155" s="331"/>
      <c r="DF1155" s="502"/>
      <c r="DG1155" s="503"/>
      <c r="DH1155" s="2577"/>
      <c r="DI1155" s="3213"/>
      <c r="DJ1155" s="502"/>
      <c r="DK1155" s="503"/>
      <c r="DL1155" s="502"/>
      <c r="DM1155" s="502"/>
      <c r="DN1155" s="502"/>
      <c r="DO1155" s="502"/>
      <c r="DP1155" s="503"/>
      <c r="DQ1155" s="503"/>
      <c r="DR1155" s="296"/>
      <c r="DS1155" s="296"/>
      <c r="DT1155" s="296"/>
    </row>
    <row r="1156" spans="1:124" ht="12" customHeight="1" x14ac:dyDescent="0.25">
      <c r="A1156" s="496" t="s">
        <v>1418</v>
      </c>
      <c r="B1156" s="1007"/>
      <c r="C1156" s="1008"/>
      <c r="D1156" s="1008"/>
      <c r="E1156" s="1008"/>
      <c r="F1156" s="1008"/>
      <c r="G1156" s="1009"/>
      <c r="H1156" s="1008"/>
      <c r="I1156" s="1008"/>
      <c r="J1156" s="1008"/>
      <c r="K1156" s="1008"/>
      <c r="L1156" s="1009"/>
      <c r="M1156" s="1008"/>
      <c r="N1156" s="1008"/>
      <c r="O1156" s="1008"/>
      <c r="P1156" s="1008"/>
      <c r="Q1156" s="1009"/>
      <c r="R1156" s="1008"/>
      <c r="S1156" s="1008"/>
      <c r="T1156" s="1008"/>
      <c r="U1156" s="1008"/>
      <c r="V1156" s="1009"/>
      <c r="W1156" s="1008"/>
      <c r="X1156" s="1008"/>
      <c r="Y1156" s="1008"/>
      <c r="Z1156" s="1008"/>
      <c r="AA1156" s="1009"/>
      <c r="AB1156" s="1014"/>
      <c r="AC1156" s="1014"/>
      <c r="AD1156" s="1014"/>
      <c r="AE1156" s="1012"/>
      <c r="AF1156" s="1011"/>
      <c r="AG1156" s="1014"/>
      <c r="AH1156" s="1014"/>
      <c r="AI1156" s="1014"/>
      <c r="AJ1156" s="1012"/>
      <c r="AK1156" s="1011"/>
      <c r="AL1156" s="1014"/>
      <c r="AM1156" s="1014"/>
      <c r="AN1156" s="1014"/>
      <c r="AO1156" s="1012"/>
      <c r="AP1156" s="1013"/>
      <c r="AQ1156" s="1013">
        <f>+AQ1153+AQ1155</f>
        <v>24.986868000000001</v>
      </c>
      <c r="AR1156" s="1012">
        <f>+AR1153+AR1155</f>
        <v>27.635999999999999</v>
      </c>
      <c r="AS1156" s="1012">
        <f>+AS1153+AS1155</f>
        <v>27.99</v>
      </c>
      <c r="AT1156" s="1012">
        <f>+AT1153+AT1155</f>
        <v>29.36</v>
      </c>
      <c r="AU1156" s="1011">
        <f>+SUM(AQ1156:AT1156)</f>
        <v>109.97286799999999</v>
      </c>
      <c r="AV1156" s="1013">
        <f t="shared" ref="AV1156:BJ1156" si="2741">AV1155+AV1153</f>
        <v>31.688658680250001</v>
      </c>
      <c r="AW1156" s="1012">
        <f t="shared" si="2741"/>
        <v>32.287576386000005</v>
      </c>
      <c r="AX1156" s="1012">
        <f t="shared" si="2741"/>
        <v>32.039801946749996</v>
      </c>
      <c r="AY1156" s="1877">
        <f t="shared" si="2741"/>
        <v>31.842112419000003</v>
      </c>
      <c r="AZ1156" s="1011">
        <f t="shared" si="2741"/>
        <v>127.858149432</v>
      </c>
      <c r="BA1156" s="1013">
        <f t="shared" si="2741"/>
        <v>32.441216790249996</v>
      </c>
      <c r="BB1156" s="1012">
        <f t="shared" si="2741"/>
        <v>32.427420736000002</v>
      </c>
      <c r="BC1156" s="1012">
        <f t="shared" si="2741"/>
        <v>32.768435066750001</v>
      </c>
      <c r="BD1156" s="1877">
        <f t="shared" si="2741"/>
        <v>34.028422999</v>
      </c>
      <c r="BE1156" s="1011">
        <f t="shared" si="2741"/>
        <v>131.66549559199998</v>
      </c>
      <c r="BF1156" s="1012">
        <f t="shared" si="2741"/>
        <v>35.952797540249996</v>
      </c>
      <c r="BG1156" s="1012">
        <f t="shared" si="2741"/>
        <v>36.716943466000004</v>
      </c>
      <c r="BH1156" s="1012">
        <f t="shared" si="2741"/>
        <v>34.549420486750002</v>
      </c>
      <c r="BI1156" s="1877">
        <f t="shared" si="2741"/>
        <v>34.391507959000002</v>
      </c>
      <c r="BJ1156" s="1011">
        <f t="shared" si="2741"/>
        <v>141.610669452</v>
      </c>
      <c r="BK1156" s="1012">
        <f t="shared" ref="BK1156:BT1156" si="2742">BK1155+BK1153</f>
        <v>36.716771790249993</v>
      </c>
      <c r="BL1156" s="1012">
        <f t="shared" si="2742"/>
        <v>34.897215056</v>
      </c>
      <c r="BM1156" s="1012">
        <f t="shared" si="2742"/>
        <v>34.71786368675</v>
      </c>
      <c r="BN1156" s="1877">
        <f t="shared" si="2742"/>
        <v>34.670913659</v>
      </c>
      <c r="BO1156" s="1011">
        <f t="shared" si="2742"/>
        <v>141.002764192</v>
      </c>
      <c r="BP1156" s="1012">
        <f t="shared" si="2742"/>
        <v>35.819763760249998</v>
      </c>
      <c r="BQ1156" s="1012">
        <f t="shared" si="2742"/>
        <v>36.095081755999999</v>
      </c>
      <c r="BR1156" s="1012">
        <f t="shared" si="2742"/>
        <v>35.460099166749998</v>
      </c>
      <c r="BS1156" s="1012">
        <f t="shared" si="2742"/>
        <v>36.374177809000003</v>
      </c>
      <c r="BT1156" s="1011">
        <f t="shared" si="2742"/>
        <v>143.749122492</v>
      </c>
      <c r="BU1156" s="1012">
        <f t="shared" ref="BU1156:CF1156" si="2743">BU1155+BU1153</f>
        <v>36.369248162299996</v>
      </c>
      <c r="BV1156" s="1012">
        <f t="shared" si="2743"/>
        <v>36.64892628095</v>
      </c>
      <c r="BW1156" s="1012">
        <f t="shared" si="2743"/>
        <v>36.004323654999993</v>
      </c>
      <c r="BX1156" s="1012">
        <f t="shared" si="2743"/>
        <v>36.932037442450003</v>
      </c>
      <c r="BY1156" s="1011">
        <f t="shared" si="2743"/>
        <v>145.95453554069999</v>
      </c>
      <c r="BZ1156" s="1011">
        <f t="shared" si="2743"/>
        <v>147.44686503698696</v>
      </c>
      <c r="CA1156" s="1011">
        <f t="shared" si="2743"/>
        <v>147.85981100719243</v>
      </c>
      <c r="CB1156" s="1011">
        <f t="shared" si="2743"/>
        <v>139.91060108073765</v>
      </c>
      <c r="CC1156" s="1011">
        <f t="shared" si="2743"/>
        <v>132.75115032230076</v>
      </c>
      <c r="CD1156" s="1011">
        <f t="shared" si="2743"/>
        <v>135.47174161050674</v>
      </c>
      <c r="CE1156" s="1011">
        <f t="shared" si="2743"/>
        <v>138.63448488560695</v>
      </c>
      <c r="CF1156" s="1011">
        <f t="shared" si="2743"/>
        <v>141.07724790072643</v>
      </c>
      <c r="CG1156" s="331"/>
      <c r="CH1156" s="331"/>
      <c r="CI1156" s="331"/>
      <c r="CJ1156" s="331"/>
      <c r="CK1156" s="331"/>
      <c r="CL1156" s="2102" t="str">
        <f>A1156</f>
        <v>Net revenue</v>
      </c>
      <c r="CM1156" s="1012"/>
      <c r="CN1156" s="1012"/>
      <c r="CO1156" s="1012"/>
      <c r="CP1156" s="1012"/>
      <c r="CQ1156" s="1012"/>
      <c r="CR1156" s="1012"/>
      <c r="CS1156" s="1012"/>
      <c r="CT1156" s="1012"/>
      <c r="CU1156" s="1012">
        <f>AU1156</f>
        <v>109.97286799999999</v>
      </c>
      <c r="CV1156" s="1012">
        <f>AZ1156</f>
        <v>127.858149432</v>
      </c>
      <c r="CW1156" s="1012">
        <f>BE1156</f>
        <v>131.66549559199998</v>
      </c>
      <c r="CX1156" s="1012">
        <f>BJ1156</f>
        <v>141.610669452</v>
      </c>
      <c r="CY1156" s="1012">
        <f>BO1156</f>
        <v>141.002764192</v>
      </c>
      <c r="CZ1156" s="1012">
        <f>BT1156</f>
        <v>143.749122492</v>
      </c>
      <c r="DA1156" s="1012">
        <f t="shared" si="2735"/>
        <v>145.95453554069999</v>
      </c>
      <c r="DB1156" s="1012">
        <f t="shared" si="2735"/>
        <v>147.44686503698696</v>
      </c>
      <c r="DC1156" s="1877">
        <f t="shared" si="2735"/>
        <v>147.85981100719243</v>
      </c>
      <c r="DD1156" s="331"/>
      <c r="DE1156" s="331"/>
      <c r="DF1156" s="502"/>
      <c r="DG1156" s="503"/>
      <c r="DH1156" s="598"/>
      <c r="DI1156" s="3213"/>
      <c r="DJ1156" s="502"/>
      <c r="DK1156" s="503"/>
      <c r="DL1156" s="502"/>
      <c r="DM1156" s="502"/>
      <c r="DN1156" s="502"/>
      <c r="DO1156" s="502"/>
      <c r="DP1156" s="503"/>
      <c r="DQ1156" s="503"/>
      <c r="DR1156" s="296"/>
      <c r="DS1156" s="296"/>
      <c r="DT1156" s="296"/>
    </row>
    <row r="1157" spans="1:124" ht="12" customHeight="1" x14ac:dyDescent="0.25">
      <c r="A1157" s="465" t="s">
        <v>1491</v>
      </c>
      <c r="B1157" s="579"/>
      <c r="C1157" s="467"/>
      <c r="D1157" s="467"/>
      <c r="E1157" s="467"/>
      <c r="F1157" s="467"/>
      <c r="G1157" s="468"/>
      <c r="H1157" s="467"/>
      <c r="I1157" s="467"/>
      <c r="J1157" s="467"/>
      <c r="K1157" s="467"/>
      <c r="L1157" s="468"/>
      <c r="M1157" s="467"/>
      <c r="N1157" s="467"/>
      <c r="O1157" s="467"/>
      <c r="P1157" s="467"/>
      <c r="Q1157" s="468"/>
      <c r="R1157" s="467"/>
      <c r="S1157" s="467"/>
      <c r="T1157" s="467"/>
      <c r="U1157" s="467"/>
      <c r="V1157" s="468"/>
      <c r="W1157" s="467"/>
      <c r="X1157" s="467"/>
      <c r="Y1157" s="467"/>
      <c r="Z1157" s="467"/>
      <c r="AA1157" s="468"/>
      <c r="AB1157" s="467"/>
      <c r="AC1157" s="467"/>
      <c r="AD1157" s="467"/>
      <c r="AE1157" s="469"/>
      <c r="AF1157" s="470"/>
      <c r="AG1157" s="467"/>
      <c r="AH1157" s="467"/>
      <c r="AI1157" s="467"/>
      <c r="AJ1157" s="469"/>
      <c r="AK1157" s="470"/>
      <c r="AL1157" s="467"/>
      <c r="AM1157" s="467"/>
      <c r="AN1157" s="467"/>
      <c r="AO1157" s="469"/>
      <c r="AP1157" s="471"/>
      <c r="AQ1157" s="471"/>
      <c r="AR1157" s="469"/>
      <c r="AS1157" s="469"/>
      <c r="AT1157" s="469"/>
      <c r="AU1157" s="599"/>
      <c r="AV1157" s="1618">
        <f>AV1156/AQ1156-1</f>
        <v>0.26821251387929057</v>
      </c>
      <c r="AW1157" s="519">
        <f>AW1156/AR1156-1</f>
        <v>0.16831583391228855</v>
      </c>
      <c r="AX1157" s="519">
        <f>AX1156/AS1156-1</f>
        <v>0.14468745790460869</v>
      </c>
      <c r="AY1157" s="1462">
        <f>AY1156/AT1156-1</f>
        <v>8.4540613726158176E-2</v>
      </c>
      <c r="AZ1157" s="591">
        <f>(AZ1156-AU1156)/AU1156</f>
        <v>0.16263358187584973</v>
      </c>
      <c r="BA1157" s="1618">
        <f>BA1156/AV1156-1</f>
        <v>2.3748499978922366E-2</v>
      </c>
      <c r="BB1157" s="519">
        <f>BB1156/AW1156-1</f>
        <v>4.3312123625554033E-3</v>
      </c>
      <c r="BC1157" s="519">
        <f>BC1156/AX1156-1</f>
        <v>2.2741498877271171E-2</v>
      </c>
      <c r="BD1157" s="1462">
        <f>BD1156/AY1156-1</f>
        <v>6.8660977991379601E-2</v>
      </c>
      <c r="BE1157" s="591">
        <f>(BE1156-AZ1156)/AZ1156</f>
        <v>2.9777891960065295E-2</v>
      </c>
      <c r="BF1157" s="519">
        <f>BF1156/BA1156-1</f>
        <v>0.10824442167827031</v>
      </c>
      <c r="BG1157" s="519">
        <f>BG1156/BB1156-1</f>
        <v>0.13228072515918288</v>
      </c>
      <c r="BH1157" s="519">
        <f>BH1156/BC1156-1</f>
        <v>5.4350640070912615E-2</v>
      </c>
      <c r="BI1157" s="1462">
        <f>BI1156/BD1156-1</f>
        <v>1.0670049564467599E-2</v>
      </c>
      <c r="BJ1157" s="591">
        <f>(BJ1156-BE1156)/BE1156</f>
        <v>7.5533637839466594E-2</v>
      </c>
      <c r="BK1157" s="519">
        <f>BK1156/BF1156-1</f>
        <v>2.1249368679717051E-2</v>
      </c>
      <c r="BL1157" s="519">
        <f>BL1156/BG1156-1</f>
        <v>-4.9560999315890197E-2</v>
      </c>
      <c r="BM1157" s="519">
        <f>BM1156/BH1156-1</f>
        <v>4.8754276519513695E-3</v>
      </c>
      <c r="BN1157" s="1462">
        <f>BN1156/BI1156-1</f>
        <v>8.1242642902745743E-3</v>
      </c>
      <c r="BO1157" s="591">
        <f>(BO1156-BJ1156)/BJ1156</f>
        <v>-4.2927927842756897E-3</v>
      </c>
      <c r="BP1157" s="519">
        <f>BP1156/BK1156-1</f>
        <v>-2.4430471042614754E-2</v>
      </c>
      <c r="BQ1157" s="519">
        <f>BQ1156/BL1156-1</f>
        <v>3.4325567185741424E-2</v>
      </c>
      <c r="BR1157" s="519">
        <f>BR1156/BM1156-1</f>
        <v>2.1379065448755341E-2</v>
      </c>
      <c r="BS1157" s="519">
        <f>BS1156/BN1156-1</f>
        <v>4.9126601241379797E-2</v>
      </c>
      <c r="BT1157" s="591">
        <f>(BT1156-BO1156)/BO1156</f>
        <v>1.9477336602141702E-2</v>
      </c>
      <c r="BU1157" s="519">
        <f>BU1156/BP1156-1</f>
        <v>1.5340257566404558E-2</v>
      </c>
      <c r="BV1157" s="519">
        <f>BV1156/BQ1156-1</f>
        <v>1.5344044063785534E-2</v>
      </c>
      <c r="BW1157" s="519">
        <f>BW1156/BR1156-1</f>
        <v>1.5347517379768139E-2</v>
      </c>
      <c r="BX1157" s="519">
        <f>BX1156/BS1156-1</f>
        <v>1.5336693969532744E-2</v>
      </c>
      <c r="BY1157" s="591">
        <f>(BY1156-BT1156)/BT1156</f>
        <v>1.5342097471396613E-2</v>
      </c>
      <c r="BZ1157" s="591">
        <f t="shared" ref="BZ1157:CF1157" si="2744">(BZ1156-BY1156)/BY1156</f>
        <v>1.0224618856539943E-2</v>
      </c>
      <c r="CA1157" s="591">
        <f t="shared" si="2744"/>
        <v>2.800642591498185E-3</v>
      </c>
      <c r="CB1157" s="591">
        <f t="shared" si="2744"/>
        <v>-5.3761802293038952E-2</v>
      </c>
      <c r="CC1157" s="591">
        <f t="shared" si="2744"/>
        <v>-5.1171610322118581E-2</v>
      </c>
      <c r="CD1157" s="591">
        <f t="shared" si="2744"/>
        <v>2.0493918746472443E-2</v>
      </c>
      <c r="CE1157" s="591">
        <f t="shared" si="2744"/>
        <v>2.3346147598761805E-2</v>
      </c>
      <c r="CF1157" s="591">
        <f t="shared" si="2744"/>
        <v>1.7620168727392083E-2</v>
      </c>
      <c r="CG1157" s="972"/>
      <c r="CH1157" s="972"/>
      <c r="CI1157" s="972"/>
      <c r="CJ1157" s="972"/>
      <c r="CK1157" s="972"/>
      <c r="CL1157" s="1310" t="str">
        <f>A1157</f>
        <v>% growth (y-o-y)</v>
      </c>
      <c r="CM1157" s="469"/>
      <c r="CN1157" s="469"/>
      <c r="CO1157" s="469"/>
      <c r="CP1157" s="469"/>
      <c r="CQ1157" s="469"/>
      <c r="CR1157" s="469"/>
      <c r="CS1157" s="469"/>
      <c r="CT1157" s="469"/>
      <c r="CU1157" s="469"/>
      <c r="CV1157" s="469">
        <f>AZ1157</f>
        <v>0.16263358187584973</v>
      </c>
      <c r="CW1157" s="469">
        <f>BE1157</f>
        <v>2.9777891960065295E-2</v>
      </c>
      <c r="CX1157" s="469">
        <f>BJ1157</f>
        <v>7.5533637839466594E-2</v>
      </c>
      <c r="CY1157" s="469">
        <f>BO1157</f>
        <v>-4.2927927842756897E-3</v>
      </c>
      <c r="CZ1157" s="469">
        <f>BT1157</f>
        <v>1.9477336602141702E-2</v>
      </c>
      <c r="DA1157" s="469">
        <f t="shared" si="2735"/>
        <v>1.5342097471396613E-2</v>
      </c>
      <c r="DB1157" s="469">
        <f t="shared" si="2735"/>
        <v>1.0224618856539943E-2</v>
      </c>
      <c r="DC1157" s="1463">
        <f t="shared" si="2735"/>
        <v>2.800642591498185E-3</v>
      </c>
      <c r="DD1157" s="972"/>
      <c r="DE1157" s="972"/>
      <c r="DF1157" s="974"/>
      <c r="DG1157" s="975"/>
      <c r="DH1157" s="519"/>
      <c r="DI1157" s="3213"/>
      <c r="DJ1157" s="974"/>
      <c r="DK1157" s="975"/>
      <c r="DL1157" s="974"/>
      <c r="DM1157" s="974"/>
      <c r="DN1157" s="974"/>
      <c r="DO1157" s="974"/>
      <c r="DP1157" s="975"/>
      <c r="DQ1157" s="975"/>
      <c r="DR1157" s="976"/>
      <c r="DS1157" s="976"/>
      <c r="DT1157" s="976"/>
    </row>
    <row r="1158" spans="1:124" ht="5.0999999999999996" customHeight="1" x14ac:dyDescent="0.25">
      <c r="A1158" s="281"/>
      <c r="B1158" s="281"/>
      <c r="C1158" s="305"/>
      <c r="D1158" s="305"/>
      <c r="E1158" s="305"/>
      <c r="F1158" s="305"/>
      <c r="G1158" s="440"/>
      <c r="H1158" s="305"/>
      <c r="I1158" s="305"/>
      <c r="J1158" s="305"/>
      <c r="K1158" s="305"/>
      <c r="L1158" s="440"/>
      <c r="M1158" s="305"/>
      <c r="N1158" s="305"/>
      <c r="O1158" s="305"/>
      <c r="P1158" s="305"/>
      <c r="Q1158" s="440"/>
      <c r="R1158" s="305"/>
      <c r="S1158" s="305"/>
      <c r="T1158" s="305"/>
      <c r="U1158" s="305"/>
      <c r="V1158" s="440"/>
      <c r="W1158" s="305"/>
      <c r="X1158" s="305"/>
      <c r="Y1158" s="305"/>
      <c r="Z1158" s="305"/>
      <c r="AA1158" s="440"/>
      <c r="AB1158" s="305"/>
      <c r="AC1158" s="305"/>
      <c r="AD1158" s="305"/>
      <c r="AE1158" s="331"/>
      <c r="AF1158" s="441"/>
      <c r="AG1158" s="305"/>
      <c r="AH1158" s="305"/>
      <c r="AI1158" s="305"/>
      <c r="AJ1158" s="331"/>
      <c r="AK1158" s="441"/>
      <c r="AL1158" s="305"/>
      <c r="AM1158" s="305"/>
      <c r="AN1158" s="305"/>
      <c r="AO1158" s="331"/>
      <c r="AP1158" s="569"/>
      <c r="AQ1158" s="569"/>
      <c r="AR1158" s="442"/>
      <c r="AS1158" s="442"/>
      <c r="AT1158" s="442"/>
      <c r="AU1158" s="441"/>
      <c r="AV1158" s="569"/>
      <c r="AW1158" s="442"/>
      <c r="AX1158" s="442"/>
      <c r="AY1158" s="1312"/>
      <c r="AZ1158" s="441"/>
      <c r="BA1158" s="569"/>
      <c r="BB1158" s="442"/>
      <c r="BC1158" s="442"/>
      <c r="BD1158" s="1312"/>
      <c r="BE1158" s="441"/>
      <c r="BF1158" s="442"/>
      <c r="BG1158" s="442"/>
      <c r="BH1158" s="442"/>
      <c r="BI1158" s="1312"/>
      <c r="BJ1158" s="441"/>
      <c r="BK1158" s="442"/>
      <c r="BL1158" s="442"/>
      <c r="BM1158" s="442"/>
      <c r="BN1158" s="1312"/>
      <c r="BO1158" s="441"/>
      <c r="BP1158" s="442"/>
      <c r="BQ1158" s="442"/>
      <c r="BR1158" s="442"/>
      <c r="BS1158" s="442"/>
      <c r="BT1158" s="3236"/>
      <c r="BU1158" s="3298"/>
      <c r="BV1158" s="3298"/>
      <c r="BW1158" s="3298"/>
      <c r="BX1158" s="3298"/>
      <c r="BY1158" s="3236"/>
      <c r="BZ1158" s="441"/>
      <c r="CA1158" s="441"/>
      <c r="CB1158" s="441"/>
      <c r="CC1158" s="441"/>
      <c r="CD1158" s="441"/>
      <c r="CE1158" s="441"/>
      <c r="CF1158" s="441"/>
      <c r="CG1158" s="331"/>
      <c r="CH1158" s="331"/>
      <c r="CI1158" s="331"/>
      <c r="CJ1158" s="331"/>
      <c r="CK1158" s="331"/>
      <c r="CL1158" s="520"/>
      <c r="CM1158" s="442"/>
      <c r="CN1158" s="442"/>
      <c r="CO1158" s="442"/>
      <c r="CP1158" s="442"/>
      <c r="CQ1158" s="442"/>
      <c r="CR1158" s="442"/>
      <c r="CS1158" s="442"/>
      <c r="CT1158" s="442"/>
      <c r="CU1158" s="442"/>
      <c r="CV1158" s="442"/>
      <c r="CW1158" s="442"/>
      <c r="CX1158" s="442"/>
      <c r="CY1158" s="442"/>
      <c r="CZ1158" s="442"/>
      <c r="DA1158" s="442"/>
      <c r="DB1158" s="442"/>
      <c r="DC1158" s="1312"/>
      <c r="DD1158" s="331"/>
      <c r="DE1158" s="331"/>
      <c r="DF1158" s="502"/>
      <c r="DG1158" s="503"/>
      <c r="DH1158" s="3298"/>
      <c r="DI1158" s="3213"/>
      <c r="DJ1158" s="502"/>
      <c r="DK1158" s="503"/>
      <c r="DL1158" s="502"/>
      <c r="DM1158" s="502"/>
      <c r="DN1158" s="502"/>
      <c r="DO1158" s="502"/>
      <c r="DP1158" s="503"/>
      <c r="DQ1158" s="503"/>
      <c r="DR1158" s="296"/>
      <c r="DS1158" s="296"/>
      <c r="DT1158" s="296"/>
    </row>
    <row r="1159" spans="1:124" ht="12" customHeight="1" x14ac:dyDescent="0.25">
      <c r="A1159" s="281" t="s">
        <v>601</v>
      </c>
      <c r="B1159" s="281"/>
      <c r="C1159" s="452"/>
      <c r="D1159" s="452"/>
      <c r="E1159" s="452"/>
      <c r="F1159" s="452"/>
      <c r="G1159" s="475"/>
      <c r="H1159" s="452"/>
      <c r="I1159" s="452"/>
      <c r="J1159" s="452"/>
      <c r="K1159" s="452"/>
      <c r="L1159" s="475"/>
      <c r="M1159" s="452"/>
      <c r="N1159" s="452"/>
      <c r="O1159" s="452"/>
      <c r="P1159" s="452"/>
      <c r="Q1159" s="475"/>
      <c r="R1159" s="452"/>
      <c r="S1159" s="452"/>
      <c r="T1159" s="452"/>
      <c r="U1159" s="452"/>
      <c r="V1159" s="475"/>
      <c r="W1159" s="452"/>
      <c r="X1159" s="452"/>
      <c r="Y1159" s="452"/>
      <c r="Z1159" s="452"/>
      <c r="AA1159" s="475"/>
      <c r="AB1159" s="452"/>
      <c r="AC1159" s="452"/>
      <c r="AD1159" s="452"/>
      <c r="AE1159" s="476"/>
      <c r="AF1159" s="477"/>
      <c r="AG1159" s="452"/>
      <c r="AH1159" s="452"/>
      <c r="AI1159" s="452"/>
      <c r="AJ1159" s="476"/>
      <c r="AK1159" s="477"/>
      <c r="AL1159" s="452"/>
      <c r="AM1159" s="452"/>
      <c r="AN1159" s="452"/>
      <c r="AO1159" s="476"/>
      <c r="AP1159" s="478"/>
      <c r="AQ1159" s="478">
        <f>+AQ1156*AQ1160</f>
        <v>10.24461588</v>
      </c>
      <c r="AR1159" s="476">
        <f>+AR1156*AR1160</f>
        <v>11.054400000000001</v>
      </c>
      <c r="AS1159" s="476">
        <f>+AS1156*AS1160</f>
        <v>11.196</v>
      </c>
      <c r="AT1159" s="476">
        <f>+AT1156*AT1160</f>
        <v>11.744</v>
      </c>
      <c r="AU1159" s="477">
        <f>+SUM(AQ1159:AT1159)</f>
        <v>44.239015879999997</v>
      </c>
      <c r="AV1159" s="478">
        <f>+AV1160*AV1156</f>
        <v>12.51702017869875</v>
      </c>
      <c r="AW1159" s="476">
        <f>+AW1160*AW1156</f>
        <v>12.753592672470003</v>
      </c>
      <c r="AX1159" s="476">
        <f>+AX1160*AX1156</f>
        <v>12.655721768966249</v>
      </c>
      <c r="AY1159" s="682">
        <f>+AY1160*AY1156</f>
        <v>12.577634405505002</v>
      </c>
      <c r="AZ1159" s="477">
        <f>SUM(AV1159:AY1159)</f>
        <v>50.503969025640004</v>
      </c>
      <c r="BA1159" s="3144">
        <f>+BA1156-BA1162-BA1166</f>
        <v>12.808342755646663</v>
      </c>
      <c r="BB1159" s="3145">
        <f>+BB1156-BB1162-BB1166</f>
        <v>14.818409596586669</v>
      </c>
      <c r="BC1159" s="3145">
        <f>+BC1156-BC1162-BC1166</f>
        <v>13.427939914726668</v>
      </c>
      <c r="BD1159" s="3150">
        <f>+BD1156-BD1162-BD1166</f>
        <v>15.513131225946664</v>
      </c>
      <c r="BE1159" s="477">
        <f>SUM(BA1159:BD1159)</f>
        <v>56.567823492906669</v>
      </c>
      <c r="BF1159" s="3144">
        <f>+BF1156-BF1162-BF1166</f>
        <v>12.338680895646661</v>
      </c>
      <c r="BG1159" s="3145">
        <f>+BG1156-BG1162-BG1166</f>
        <v>12.544865962186668</v>
      </c>
      <c r="BH1159" s="3145">
        <f>+BH1156-BH1162-BH1166</f>
        <v>11.774249417126665</v>
      </c>
      <c r="BI1159" s="3145">
        <f>+BI1156-BI1162-BI1166</f>
        <v>13.992552397146669</v>
      </c>
      <c r="BJ1159" s="477">
        <f>SUM(BF1159:BI1159)</f>
        <v>50.650348672106659</v>
      </c>
      <c r="BK1159" s="3145">
        <f>+BK1156-BK1162-BK1166</f>
        <v>11.63474235564666</v>
      </c>
      <c r="BL1159" s="3145">
        <f>+BL1156-BL1162-BL1166</f>
        <v>12.446661506986663</v>
      </c>
      <c r="BM1159" s="3145">
        <f>+BM1156-BM1162-BM1166</f>
        <v>12.403528521126667</v>
      </c>
      <c r="BN1159" s="3145">
        <f>+BN1156-BN1162-BN1166</f>
        <v>14.029724501146664</v>
      </c>
      <c r="BO1159" s="477">
        <f>SUM(BK1159:BN1159)</f>
        <v>50.514656884906657</v>
      </c>
      <c r="BP1159" s="3145">
        <f>+BP1156-BP1162-BP1166</f>
        <v>11.110896574046661</v>
      </c>
      <c r="BQ1159" s="3145">
        <f>+BQ1156-BQ1162-BQ1166</f>
        <v>10.363125530986665</v>
      </c>
      <c r="BR1159" s="3145">
        <f>+BR1156-BR1162-BR1166</f>
        <v>10.385938066726666</v>
      </c>
      <c r="BS1159" s="476">
        <f>+BS1160*BS1156</f>
        <v>10.002898897475001</v>
      </c>
      <c r="BT1159" s="2604">
        <f>SUM(BP1159:BS1159)</f>
        <v>41.862859069234993</v>
      </c>
      <c r="BU1159" s="2577">
        <f>+BU1160*BU1156</f>
        <v>11.463186830097719</v>
      </c>
      <c r="BV1159" s="2577">
        <f>+BV1160*BV1156</f>
        <v>10.705382417177415</v>
      </c>
      <c r="BW1159" s="2577">
        <f>+BW1160*BW1156</f>
        <v>10.725358049985948</v>
      </c>
      <c r="BX1159" s="2577">
        <f>+BX1160*BX1156</f>
        <v>10.340970483886002</v>
      </c>
      <c r="BY1159" s="2604">
        <f>SUM(BU1159:BX1159)</f>
        <v>43.234897781147083</v>
      </c>
      <c r="BZ1159" s="477">
        <f t="shared" ref="BZ1159:CF1159" si="2745">+BZ1160*BZ1156</f>
        <v>44.045575294853244</v>
      </c>
      <c r="CA1159" s="477">
        <f t="shared" si="2745"/>
        <v>44.538580736509033</v>
      </c>
      <c r="CB1159" s="477">
        <f t="shared" si="2745"/>
        <v>54.565134421487684</v>
      </c>
      <c r="CC1159" s="477">
        <f t="shared" si="2745"/>
        <v>53.100460128920304</v>
      </c>
      <c r="CD1159" s="477">
        <f t="shared" si="2745"/>
        <v>53.511337936150163</v>
      </c>
      <c r="CE1159" s="477">
        <f t="shared" si="2745"/>
        <v>54.067449105386714</v>
      </c>
      <c r="CF1159" s="477">
        <f t="shared" si="2745"/>
        <v>54.314740441779676</v>
      </c>
      <c r="CG1159" s="331"/>
      <c r="CH1159" s="331"/>
      <c r="CI1159" s="331"/>
      <c r="CJ1159" s="331"/>
      <c r="CK1159" s="331"/>
      <c r="CL1159" s="520" t="str">
        <f t="shared" ref="CL1159:CL1164" si="2746">A1159</f>
        <v>Operating expenses</v>
      </c>
      <c r="CM1159" s="476"/>
      <c r="CN1159" s="476"/>
      <c r="CO1159" s="476"/>
      <c r="CP1159" s="476"/>
      <c r="CQ1159" s="476"/>
      <c r="CR1159" s="476"/>
      <c r="CS1159" s="476"/>
      <c r="CT1159" s="476"/>
      <c r="CU1159" s="476">
        <f>AU1159</f>
        <v>44.239015879999997</v>
      </c>
      <c r="CV1159" s="476">
        <f t="shared" ref="CV1159:CV1164" si="2747">AZ1159</f>
        <v>50.503969025640004</v>
      </c>
      <c r="CW1159" s="476">
        <f t="shared" ref="CW1159:CW1164" si="2748">BE1159</f>
        <v>56.567823492906669</v>
      </c>
      <c r="CX1159" s="476">
        <f t="shared" ref="CX1159:CX1164" si="2749">BJ1159</f>
        <v>50.650348672106659</v>
      </c>
      <c r="CY1159" s="476">
        <f t="shared" ref="CY1159:CY1164" si="2750">BO1159</f>
        <v>50.514656884906657</v>
      </c>
      <c r="CZ1159" s="476">
        <f t="shared" ref="CZ1159:CZ1164" si="2751">BT1159</f>
        <v>41.862859069234993</v>
      </c>
      <c r="DA1159" s="476">
        <f t="shared" ref="DA1159:DC1164" si="2752">BY1159</f>
        <v>43.234897781147083</v>
      </c>
      <c r="DB1159" s="476">
        <f t="shared" si="2752"/>
        <v>44.045575294853244</v>
      </c>
      <c r="DC1159" s="682">
        <f t="shared" si="2752"/>
        <v>44.538580736509033</v>
      </c>
      <c r="DD1159" s="331"/>
      <c r="DE1159" s="331"/>
      <c r="DF1159" s="502"/>
      <c r="DG1159" s="503"/>
      <c r="DH1159" s="2577"/>
      <c r="DI1159" s="3213"/>
      <c r="DJ1159" s="502"/>
      <c r="DK1159" s="503"/>
      <c r="DL1159" s="502"/>
      <c r="DM1159" s="502"/>
      <c r="DN1159" s="502"/>
      <c r="DO1159" s="502"/>
      <c r="DP1159" s="503"/>
      <c r="DQ1159" s="503"/>
      <c r="DR1159" s="296"/>
      <c r="DS1159" s="296"/>
      <c r="DT1159" s="296"/>
    </row>
    <row r="1160" spans="1:124" ht="12" customHeight="1" x14ac:dyDescent="0.25">
      <c r="A1160" s="465" t="s">
        <v>646</v>
      </c>
      <c r="B1160" s="579"/>
      <c r="C1160" s="467"/>
      <c r="D1160" s="467"/>
      <c r="E1160" s="467"/>
      <c r="F1160" s="467"/>
      <c r="G1160" s="468"/>
      <c r="H1160" s="467"/>
      <c r="I1160" s="467"/>
      <c r="J1160" s="467"/>
      <c r="K1160" s="467"/>
      <c r="L1160" s="468"/>
      <c r="M1160" s="467"/>
      <c r="N1160" s="467"/>
      <c r="O1160" s="467"/>
      <c r="P1160" s="467"/>
      <c r="Q1160" s="468"/>
      <c r="R1160" s="467"/>
      <c r="S1160" s="467"/>
      <c r="T1160" s="467"/>
      <c r="U1160" s="467"/>
      <c r="V1160" s="468"/>
      <c r="W1160" s="467"/>
      <c r="X1160" s="467"/>
      <c r="Y1160" s="467"/>
      <c r="Z1160" s="467"/>
      <c r="AA1160" s="468"/>
      <c r="AB1160" s="467"/>
      <c r="AC1160" s="467"/>
      <c r="AD1160" s="467"/>
      <c r="AE1160" s="469"/>
      <c r="AF1160" s="470"/>
      <c r="AG1160" s="467"/>
      <c r="AH1160" s="467"/>
      <c r="AI1160" s="467"/>
      <c r="AJ1160" s="469"/>
      <c r="AK1160" s="470"/>
      <c r="AL1160" s="467"/>
      <c r="AM1160" s="467"/>
      <c r="AN1160" s="467"/>
      <c r="AO1160" s="469"/>
      <c r="AP1160" s="471"/>
      <c r="AQ1160" s="1667">
        <v>0.41</v>
      </c>
      <c r="AR1160" s="540">
        <v>0.4</v>
      </c>
      <c r="AS1160" s="540">
        <v>0.4</v>
      </c>
      <c r="AT1160" s="540">
        <v>0.4</v>
      </c>
      <c r="AU1160" s="470">
        <f>AU1159/AU1156</f>
        <v>0.40227209387682789</v>
      </c>
      <c r="AV1160" s="1667">
        <v>0.39500000000000002</v>
      </c>
      <c r="AW1160" s="540">
        <v>0.39500000000000002</v>
      </c>
      <c r="AX1160" s="540">
        <v>0.39500000000000002</v>
      </c>
      <c r="AY1160" s="1668">
        <v>0.39500000000000002</v>
      </c>
      <c r="AZ1160" s="470">
        <f>AZ1159/AZ1156</f>
        <v>0.39500000000000002</v>
      </c>
      <c r="BA1160" s="471">
        <f>+BA1159/BA1156</f>
        <v>0.39481696504972436</v>
      </c>
      <c r="BB1160" s="469">
        <f>+BB1159/BB1156</f>
        <v>0.45697157714846226</v>
      </c>
      <c r="BC1160" s="469">
        <f>+BC1159/BC1156</f>
        <v>0.4097827646445022</v>
      </c>
      <c r="BD1160" s="1463">
        <f>+BD1159/BD1156</f>
        <v>0.45588745697684996</v>
      </c>
      <c r="BE1160" s="470">
        <f>BE1159/BE1156</f>
        <v>0.42963286044353549</v>
      </c>
      <c r="BF1160" s="471">
        <f>+BF1159/BF1156</f>
        <v>0.34319112113134503</v>
      </c>
      <c r="BG1160" s="469">
        <f>+BG1159/BG1156</f>
        <v>0.34166422305285976</v>
      </c>
      <c r="BH1160" s="469">
        <f>+BH1159/BH1156</f>
        <v>0.34079441134597871</v>
      </c>
      <c r="BI1160" s="469">
        <f>+BI1159/BI1156</f>
        <v>0.40686068240531809</v>
      </c>
      <c r="BJ1160" s="470">
        <f>BJ1159/BJ1156</f>
        <v>0.35767325207988637</v>
      </c>
      <c r="BK1160" s="469">
        <f>+BK1159/BK1156</f>
        <v>0.31687814010751958</v>
      </c>
      <c r="BL1160" s="469">
        <f>+BL1159/BL1156</f>
        <v>0.35666632672588194</v>
      </c>
      <c r="BM1160" s="469">
        <f>+BM1159/BM1156</f>
        <v>0.35726646757532055</v>
      </c>
      <c r="BN1160" s="469">
        <f>+BN1159/BN1156</f>
        <v>0.40465401746067853</v>
      </c>
      <c r="BO1160" s="470">
        <f>BO1159/BO1156</f>
        <v>0.35825295464507412</v>
      </c>
      <c r="BP1160" s="469">
        <f>+BP1159/BP1156</f>
        <v>0.3101889964549871</v>
      </c>
      <c r="BQ1160" s="469">
        <f>+BQ1159/BQ1156</f>
        <v>0.28710630442786095</v>
      </c>
      <c r="BR1160" s="469">
        <f>+BR1159/BR1156</f>
        <v>0.29289083535517257</v>
      </c>
      <c r="BS1160" s="540">
        <v>0.27500000000000002</v>
      </c>
      <c r="BT1160" s="470">
        <f>BT1159/BT1156</f>
        <v>0.29122166691184337</v>
      </c>
      <c r="BU1160" s="540">
        <f>+BP1160+0.005</f>
        <v>0.3151889964549871</v>
      </c>
      <c r="BV1160" s="540">
        <f>+BQ1160+0.005</f>
        <v>0.29210630442786095</v>
      </c>
      <c r="BW1160" s="540">
        <f>+BR1160+0.005</f>
        <v>0.29789083535517258</v>
      </c>
      <c r="BX1160" s="540">
        <f>+BS1160+0.005</f>
        <v>0.28000000000000003</v>
      </c>
      <c r="BY1160" s="470">
        <f>BY1159/BY1156</f>
        <v>0.29622168040876579</v>
      </c>
      <c r="BZ1160" s="539">
        <f>+BY1160+0.0025</f>
        <v>0.29872168040876579</v>
      </c>
      <c r="CA1160" s="539">
        <f>+BZ1160+0.0025</f>
        <v>0.30122168040876579</v>
      </c>
      <c r="CB1160" s="539">
        <v>0.39</v>
      </c>
      <c r="CC1160" s="539">
        <v>0.4</v>
      </c>
      <c r="CD1160" s="539">
        <v>0.39500000000000002</v>
      </c>
      <c r="CE1160" s="539">
        <v>0.39</v>
      </c>
      <c r="CF1160" s="539">
        <v>0.38500000000000001</v>
      </c>
      <c r="CG1160" s="972"/>
      <c r="CH1160" s="972"/>
      <c r="CI1160" s="972"/>
      <c r="CJ1160" s="972"/>
      <c r="CK1160" s="972"/>
      <c r="CL1160" s="1310" t="str">
        <f t="shared" si="2746"/>
        <v>% of Net revenue</v>
      </c>
      <c r="CM1160" s="469"/>
      <c r="CN1160" s="469"/>
      <c r="CO1160" s="469"/>
      <c r="CP1160" s="469"/>
      <c r="CQ1160" s="469"/>
      <c r="CR1160" s="469"/>
      <c r="CS1160" s="469"/>
      <c r="CT1160" s="469"/>
      <c r="CU1160" s="469">
        <f>AU1160</f>
        <v>0.40227209387682789</v>
      </c>
      <c r="CV1160" s="469">
        <f t="shared" si="2747"/>
        <v>0.39500000000000002</v>
      </c>
      <c r="CW1160" s="469">
        <f t="shared" si="2748"/>
        <v>0.42963286044353549</v>
      </c>
      <c r="CX1160" s="469">
        <f t="shared" si="2749"/>
        <v>0.35767325207988637</v>
      </c>
      <c r="CY1160" s="469">
        <f t="shared" si="2750"/>
        <v>0.35825295464507412</v>
      </c>
      <c r="CZ1160" s="469">
        <f t="shared" si="2751"/>
        <v>0.29122166691184337</v>
      </c>
      <c r="DA1160" s="469">
        <f t="shared" si="2752"/>
        <v>0.29622168040876579</v>
      </c>
      <c r="DB1160" s="469">
        <f t="shared" si="2752"/>
        <v>0.29872168040876579</v>
      </c>
      <c r="DC1160" s="1463">
        <f t="shared" si="2752"/>
        <v>0.30122168040876579</v>
      </c>
      <c r="DD1160" s="972"/>
      <c r="DE1160" s="972"/>
      <c r="DF1160" s="974"/>
      <c r="DG1160" s="975"/>
      <c r="DH1160" s="469"/>
      <c r="DI1160" s="3213"/>
      <c r="DJ1160" s="974"/>
      <c r="DK1160" s="975"/>
      <c r="DL1160" s="974"/>
      <c r="DM1160" s="974"/>
      <c r="DN1160" s="974"/>
      <c r="DO1160" s="974"/>
      <c r="DP1160" s="975"/>
      <c r="DQ1160" s="975"/>
      <c r="DR1160" s="976"/>
      <c r="DS1160" s="976"/>
      <c r="DT1160" s="976"/>
    </row>
    <row r="1161" spans="1:124" ht="12" customHeight="1" x14ac:dyDescent="0.25">
      <c r="A1161" s="465" t="s">
        <v>1491</v>
      </c>
      <c r="B1161" s="579"/>
      <c r="C1161" s="467"/>
      <c r="D1161" s="467"/>
      <c r="E1161" s="467"/>
      <c r="F1161" s="467"/>
      <c r="G1161" s="468"/>
      <c r="H1161" s="467"/>
      <c r="I1161" s="467"/>
      <c r="J1161" s="467"/>
      <c r="K1161" s="467"/>
      <c r="L1161" s="468"/>
      <c r="M1161" s="467"/>
      <c r="N1161" s="467"/>
      <c r="O1161" s="467"/>
      <c r="P1161" s="467"/>
      <c r="Q1161" s="468"/>
      <c r="R1161" s="467"/>
      <c r="S1161" s="467"/>
      <c r="T1161" s="467"/>
      <c r="U1161" s="467"/>
      <c r="V1161" s="468"/>
      <c r="W1161" s="467"/>
      <c r="X1161" s="467"/>
      <c r="Y1161" s="467"/>
      <c r="Z1161" s="467"/>
      <c r="AA1161" s="468"/>
      <c r="AB1161" s="467"/>
      <c r="AC1161" s="467"/>
      <c r="AD1161" s="467"/>
      <c r="AE1161" s="469"/>
      <c r="AF1161" s="470"/>
      <c r="AG1161" s="467"/>
      <c r="AH1161" s="467"/>
      <c r="AI1161" s="467"/>
      <c r="AJ1161" s="469"/>
      <c r="AK1161" s="470"/>
      <c r="AL1161" s="467"/>
      <c r="AM1161" s="467"/>
      <c r="AN1161" s="467"/>
      <c r="AO1161" s="469"/>
      <c r="AP1161" s="471"/>
      <c r="AQ1161" s="471"/>
      <c r="AR1161" s="469"/>
      <c r="AS1161" s="469"/>
      <c r="AT1161" s="469"/>
      <c r="AU1161" s="539"/>
      <c r="AV1161" s="471">
        <f t="shared" ref="AV1161:BA1161" si="2753">(AV1159-AQ1159)/AQ1159</f>
        <v>0.22181449507882878</v>
      </c>
      <c r="AW1161" s="469">
        <f t="shared" si="2753"/>
        <v>0.15371188598838484</v>
      </c>
      <c r="AX1161" s="469">
        <f t="shared" si="2753"/>
        <v>0.13037886468080109</v>
      </c>
      <c r="AY1161" s="1463">
        <f t="shared" si="2753"/>
        <v>7.098385605458124E-2</v>
      </c>
      <c r="AZ1161" s="470">
        <f t="shared" si="2753"/>
        <v>0.14161601520779596</v>
      </c>
      <c r="BA1161" s="471">
        <f t="shared" si="2753"/>
        <v>2.3274115787052928E-2</v>
      </c>
      <c r="BB1161" s="469">
        <f t="shared" ref="BB1161:BJ1161" si="2754">(BB1159-AW1159)/AW1159</f>
        <v>0.16190080529808631</v>
      </c>
      <c r="BC1161" s="469">
        <f t="shared" si="2754"/>
        <v>6.1017313738203023E-2</v>
      </c>
      <c r="BD1161" s="1463">
        <f t="shared" si="2754"/>
        <v>0.23339021677692018</v>
      </c>
      <c r="BE1161" s="470">
        <f t="shared" si="2754"/>
        <v>0.1200668894792833</v>
      </c>
      <c r="BF1161" s="469">
        <f t="shared" si="2754"/>
        <v>-3.6668433142371046E-2</v>
      </c>
      <c r="BG1161" s="469">
        <f t="shared" si="2754"/>
        <v>-0.15342696661075544</v>
      </c>
      <c r="BH1161" s="469">
        <f t="shared" si="2754"/>
        <v>-0.12315295630615464</v>
      </c>
      <c r="BI1161" s="1463">
        <f t="shared" si="2754"/>
        <v>-9.8018820743083324E-2</v>
      </c>
      <c r="BJ1161" s="470">
        <f t="shared" si="2754"/>
        <v>-0.10460849393546195</v>
      </c>
      <c r="BK1161" s="469">
        <f t="shared" ref="BK1161:BT1161" si="2755">(BK1159-BF1159)/BF1159</f>
        <v>-5.7051361158741452E-2</v>
      </c>
      <c r="BL1161" s="469">
        <f t="shared" si="2755"/>
        <v>-7.8282586275546743E-3</v>
      </c>
      <c r="BM1161" s="469">
        <f t="shared" si="2755"/>
        <v>5.3445368932363617E-2</v>
      </c>
      <c r="BN1161" s="1463">
        <f t="shared" si="2755"/>
        <v>2.6565635021366389E-3</v>
      </c>
      <c r="BO1161" s="470">
        <f t="shared" si="2755"/>
        <v>-2.6789901897502338E-3</v>
      </c>
      <c r="BP1161" s="469">
        <f t="shared" si="2755"/>
        <v>-4.5024270034287599E-2</v>
      </c>
      <c r="BQ1161" s="469">
        <f t="shared" si="2755"/>
        <v>-0.16739717512446617</v>
      </c>
      <c r="BR1161" s="469">
        <f t="shared" si="2755"/>
        <v>-0.16266262063762593</v>
      </c>
      <c r="BS1161" s="469">
        <f t="shared" si="2755"/>
        <v>-0.28702100339479553</v>
      </c>
      <c r="BT1161" s="470">
        <f t="shared" si="2755"/>
        <v>-0.17127301953933979</v>
      </c>
      <c r="BU1161" s="469">
        <f>(BU1159-BP1159)/BP1159</f>
        <v>3.1706735248886515E-2</v>
      </c>
      <c r="BV1161" s="469">
        <f>(BV1159-BQ1159)/BQ1159</f>
        <v>3.3026415164746539E-2</v>
      </c>
      <c r="BW1161" s="469">
        <f>(BW1159-BR1159)/BR1159</f>
        <v>3.2680724752892389E-2</v>
      </c>
      <c r="BX1161" s="469">
        <f>(BX1159-BS1159)/BS1159</f>
        <v>3.3797361132615188E-2</v>
      </c>
      <c r="BY1161" s="470">
        <f>(BY1159-BT1159)/BT1159</f>
        <v>3.2774605997238276E-2</v>
      </c>
      <c r="BZ1161" s="470">
        <f t="shared" ref="BZ1161:CF1161" si="2756">(BZ1159-BY1159)/BY1159</f>
        <v>1.8750536148131308E-2</v>
      </c>
      <c r="CA1161" s="470">
        <f t="shared" si="2756"/>
        <v>1.1193075316997788E-2</v>
      </c>
      <c r="CB1161" s="470">
        <f t="shared" si="2756"/>
        <v>0.22512063741536592</v>
      </c>
      <c r="CC1161" s="470">
        <f t="shared" si="2756"/>
        <v>-2.6842677253454975E-2</v>
      </c>
      <c r="CD1161" s="470">
        <f t="shared" si="2756"/>
        <v>7.7377447621415464E-3</v>
      </c>
      <c r="CE1161" s="470">
        <f t="shared" si="2756"/>
        <v>1.0392398894980059E-2</v>
      </c>
      <c r="CF1161" s="470">
        <f t="shared" si="2756"/>
        <v>4.5737563078100639E-3</v>
      </c>
      <c r="CG1161" s="972"/>
      <c r="CH1161" s="972"/>
      <c r="CI1161" s="972"/>
      <c r="CJ1161" s="972"/>
      <c r="CK1161" s="972"/>
      <c r="CL1161" s="1310" t="str">
        <f t="shared" si="2746"/>
        <v>% growth (y-o-y)</v>
      </c>
      <c r="CM1161" s="469"/>
      <c r="CN1161" s="469"/>
      <c r="CO1161" s="469"/>
      <c r="CP1161" s="469"/>
      <c r="CQ1161" s="469"/>
      <c r="CR1161" s="469"/>
      <c r="CS1161" s="469"/>
      <c r="CT1161" s="469"/>
      <c r="CU1161" s="469"/>
      <c r="CV1161" s="469">
        <f t="shared" si="2747"/>
        <v>0.14161601520779596</v>
      </c>
      <c r="CW1161" s="469">
        <f t="shared" si="2748"/>
        <v>0.1200668894792833</v>
      </c>
      <c r="CX1161" s="469">
        <f t="shared" si="2749"/>
        <v>-0.10460849393546195</v>
      </c>
      <c r="CY1161" s="469">
        <f t="shared" si="2750"/>
        <v>-2.6789901897502338E-3</v>
      </c>
      <c r="CZ1161" s="469">
        <f t="shared" si="2751"/>
        <v>-0.17127301953933979</v>
      </c>
      <c r="DA1161" s="469">
        <f t="shared" si="2752"/>
        <v>3.2774605997238276E-2</v>
      </c>
      <c r="DB1161" s="469">
        <f t="shared" si="2752"/>
        <v>1.8750536148131308E-2</v>
      </c>
      <c r="DC1161" s="1463">
        <f t="shared" si="2752"/>
        <v>1.1193075316997788E-2</v>
      </c>
      <c r="DD1161" s="972"/>
      <c r="DE1161" s="972"/>
      <c r="DF1161" s="974"/>
      <c r="DG1161" s="975"/>
      <c r="DH1161" s="469"/>
      <c r="DI1161" s="3213"/>
      <c r="DJ1161" s="974"/>
      <c r="DK1161" s="975"/>
      <c r="DL1161" s="974"/>
      <c r="DM1161" s="974"/>
      <c r="DN1161" s="974"/>
      <c r="DO1161" s="974"/>
      <c r="DP1161" s="975"/>
      <c r="DQ1161" s="975"/>
      <c r="DR1161" s="976"/>
      <c r="DS1161" s="976"/>
      <c r="DT1161" s="976"/>
    </row>
    <row r="1162" spans="1:124" ht="12" customHeight="1" x14ac:dyDescent="0.25">
      <c r="A1162" s="281" t="s">
        <v>2161</v>
      </c>
      <c r="B1162" s="281"/>
      <c r="C1162" s="452"/>
      <c r="D1162" s="452"/>
      <c r="E1162" s="452"/>
      <c r="F1162" s="452"/>
      <c r="G1162" s="475"/>
      <c r="H1162" s="452"/>
      <c r="I1162" s="452"/>
      <c r="J1162" s="452"/>
      <c r="K1162" s="452"/>
      <c r="L1162" s="475"/>
      <c r="M1162" s="452"/>
      <c r="N1162" s="452"/>
      <c r="O1162" s="452"/>
      <c r="P1162" s="452"/>
      <c r="Q1162" s="475"/>
      <c r="R1162" s="452"/>
      <c r="S1162" s="452"/>
      <c r="T1162" s="452"/>
      <c r="U1162" s="452"/>
      <c r="V1162" s="475"/>
      <c r="W1162" s="452"/>
      <c r="X1162" s="452"/>
      <c r="Y1162" s="452"/>
      <c r="Z1162" s="452"/>
      <c r="AA1162" s="475"/>
      <c r="AB1162" s="452"/>
      <c r="AC1162" s="452"/>
      <c r="AD1162" s="452"/>
      <c r="AE1162" s="476"/>
      <c r="AF1162" s="477"/>
      <c r="AG1162" s="452"/>
      <c r="AH1162" s="452"/>
      <c r="AI1162" s="452"/>
      <c r="AJ1162" s="476"/>
      <c r="AK1162" s="477"/>
      <c r="AL1162" s="452"/>
      <c r="AM1162" s="452"/>
      <c r="AN1162" s="452"/>
      <c r="AO1162" s="476"/>
      <c r="AP1162" s="478"/>
      <c r="AQ1162" s="478">
        <f>+AQ1153*AQ1163</f>
        <v>7.2763230400000012</v>
      </c>
      <c r="AR1162" s="476">
        <f>+AR1153*AR1163</f>
        <v>8.0180800000000012</v>
      </c>
      <c r="AS1162" s="476">
        <f>+AS1153*AS1163</f>
        <v>8.1172000000000004</v>
      </c>
      <c r="AT1162" s="476">
        <f>+AT1153*AT1163</f>
        <v>8.5007999999999999</v>
      </c>
      <c r="AU1162" s="477">
        <f>+SUM(AQ1162:AT1162)</f>
        <v>31.912403040000001</v>
      </c>
      <c r="AV1162" s="478">
        <f>+AV1156*AV1163</f>
        <v>8.8728244304700006</v>
      </c>
      <c r="AW1162" s="476">
        <f>+AW1156*AW1163</f>
        <v>9.0405213880800019</v>
      </c>
      <c r="AX1162" s="476">
        <f>+AX1156*AX1163</f>
        <v>8.9711445450900005</v>
      </c>
      <c r="AY1162" s="682">
        <f>+AY1156*AY1163</f>
        <v>8.9157914773200009</v>
      </c>
      <c r="AZ1162" s="477">
        <f>SUM(AV1162:AY1162)</f>
        <v>35.800281840960004</v>
      </c>
      <c r="BA1162" s="478">
        <f>+BA1156*BA1163</f>
        <v>9.0835407012699996</v>
      </c>
      <c r="BB1162" s="476">
        <f>+BB1156*BB1163</f>
        <v>9.0796778060800012</v>
      </c>
      <c r="BC1162" s="476">
        <f>+BC1156*BC1163</f>
        <v>9.1751618186900004</v>
      </c>
      <c r="BD1162" s="682">
        <f>+BD1156*BD1163</f>
        <v>9.5279584397200008</v>
      </c>
      <c r="BE1162" s="477">
        <f>SUM(BA1162:BD1162)</f>
        <v>36.866338765760005</v>
      </c>
      <c r="BF1162" s="476">
        <f>+BF1156*BF1163</f>
        <v>10.066783311269999</v>
      </c>
      <c r="BG1162" s="476">
        <f>+BG1156*BG1163</f>
        <v>10.280744170480002</v>
      </c>
      <c r="BH1162" s="476">
        <f>+BH1156*BH1163</f>
        <v>9.6738377362900021</v>
      </c>
      <c r="BI1162" s="682">
        <f>+BI1156*BI1163</f>
        <v>9.6296222285200006</v>
      </c>
      <c r="BJ1162" s="477">
        <f>SUM(BF1162:BI1162)</f>
        <v>39.650987446560002</v>
      </c>
      <c r="BK1162" s="476">
        <f>+BK1156*BK1163</f>
        <v>10.280696101269999</v>
      </c>
      <c r="BL1162" s="476">
        <f>+BL1156*BL1163</f>
        <v>9.7712202156800014</v>
      </c>
      <c r="BM1162" s="476">
        <f>+BM1156*BM1163</f>
        <v>9.7210018322900016</v>
      </c>
      <c r="BN1162" s="682">
        <f>+BN1156*BN1163</f>
        <v>9.7078558245200011</v>
      </c>
      <c r="BO1162" s="477">
        <f>SUM(BK1162:BN1162)</f>
        <v>39.480773973760002</v>
      </c>
      <c r="BP1162" s="476">
        <f>+BP1156*BP1163</f>
        <v>10.029533852870001</v>
      </c>
      <c r="BQ1162" s="476">
        <f>+BQ1156*BQ1163</f>
        <v>10.106622891680001</v>
      </c>
      <c r="BR1162" s="476">
        <f>+BR1156*BR1163</f>
        <v>9.9288277666900004</v>
      </c>
      <c r="BS1162" s="476">
        <f>+BS1156*BS1163</f>
        <v>10.184769786520002</v>
      </c>
      <c r="BT1162" s="2604">
        <f>SUM(BP1162:BS1162)</f>
        <v>40.249754297759999</v>
      </c>
      <c r="BU1162" s="2577">
        <f>+BU1156*BU1163</f>
        <v>10.183389485444</v>
      </c>
      <c r="BV1162" s="2577">
        <f>+BV1156*BV1163</f>
        <v>10.261699358666002</v>
      </c>
      <c r="BW1162" s="2577">
        <f>+BW1156*BW1163</f>
        <v>10.081210623399999</v>
      </c>
      <c r="BX1162" s="2577">
        <f>+BX1156*BX1163</f>
        <v>10.340970483886002</v>
      </c>
      <c r="BY1162" s="2604">
        <f>SUM(BU1162:BX1162)</f>
        <v>40.867269951396004</v>
      </c>
      <c r="BZ1162" s="477">
        <f t="shared" ref="BZ1162:CF1162" si="2757">+BZ1156*BZ1163</f>
        <v>41.285122210356356</v>
      </c>
      <c r="CA1162" s="477">
        <f t="shared" si="2757"/>
        <v>41.400747082013886</v>
      </c>
      <c r="CB1162" s="477">
        <f t="shared" si="2757"/>
        <v>39.174968302606544</v>
      </c>
      <c r="CC1162" s="477">
        <f t="shared" si="2757"/>
        <v>37.170322090244213</v>
      </c>
      <c r="CD1162" s="477">
        <f t="shared" si="2757"/>
        <v>37.932087650941888</v>
      </c>
      <c r="CE1162" s="477">
        <f t="shared" si="2757"/>
        <v>38.817655767969953</v>
      </c>
      <c r="CF1162" s="477">
        <f t="shared" si="2757"/>
        <v>39.501629412203407</v>
      </c>
      <c r="CG1162" s="331"/>
      <c r="CH1162" s="331"/>
      <c r="CI1162" s="331"/>
      <c r="CJ1162" s="331"/>
      <c r="CK1162" s="331"/>
      <c r="CL1162" s="520" t="str">
        <f t="shared" si="2746"/>
        <v>Tax expense</v>
      </c>
      <c r="CM1162" s="476"/>
      <c r="CN1162" s="476"/>
      <c r="CO1162" s="476"/>
      <c r="CP1162" s="476"/>
      <c r="CQ1162" s="476"/>
      <c r="CR1162" s="476"/>
      <c r="CS1162" s="476"/>
      <c r="CT1162" s="476"/>
      <c r="CU1162" s="476">
        <f>AU1162</f>
        <v>31.912403040000001</v>
      </c>
      <c r="CV1162" s="476">
        <f t="shared" si="2747"/>
        <v>35.800281840960004</v>
      </c>
      <c r="CW1162" s="476">
        <f t="shared" si="2748"/>
        <v>36.866338765760005</v>
      </c>
      <c r="CX1162" s="476">
        <f t="shared" si="2749"/>
        <v>39.650987446560002</v>
      </c>
      <c r="CY1162" s="476">
        <f t="shared" si="2750"/>
        <v>39.480773973760002</v>
      </c>
      <c r="CZ1162" s="476">
        <f t="shared" si="2751"/>
        <v>40.249754297759999</v>
      </c>
      <c r="DA1162" s="476">
        <f t="shared" si="2752"/>
        <v>40.867269951396004</v>
      </c>
      <c r="DB1162" s="476">
        <f t="shared" si="2752"/>
        <v>41.285122210356356</v>
      </c>
      <c r="DC1162" s="682">
        <f t="shared" si="2752"/>
        <v>41.400747082013886</v>
      </c>
      <c r="DD1162" s="331"/>
      <c r="DE1162" s="331"/>
      <c r="DF1162" s="502"/>
      <c r="DG1162" s="503"/>
      <c r="DH1162" s="2577"/>
      <c r="DI1162" s="3213"/>
      <c r="DJ1162" s="502"/>
      <c r="DK1162" s="503"/>
      <c r="DL1162" s="502"/>
      <c r="DM1162" s="502"/>
      <c r="DN1162" s="502"/>
      <c r="DO1162" s="502"/>
      <c r="DP1162" s="503"/>
      <c r="DQ1162" s="503"/>
      <c r="DR1162" s="296"/>
      <c r="DS1162" s="296"/>
      <c r="DT1162" s="296"/>
    </row>
    <row r="1163" spans="1:124" ht="12" customHeight="1" x14ac:dyDescent="0.25">
      <c r="A1163" s="465" t="s">
        <v>1810</v>
      </c>
      <c r="B1163" s="579"/>
      <c r="C1163" s="467"/>
      <c r="D1163" s="467"/>
      <c r="E1163" s="467"/>
      <c r="F1163" s="467"/>
      <c r="G1163" s="468"/>
      <c r="H1163" s="467"/>
      <c r="I1163" s="467"/>
      <c r="J1163" s="467"/>
      <c r="K1163" s="467"/>
      <c r="L1163" s="468"/>
      <c r="M1163" s="467"/>
      <c r="N1163" s="467"/>
      <c r="O1163" s="467"/>
      <c r="P1163" s="467"/>
      <c r="Q1163" s="468"/>
      <c r="R1163" s="467"/>
      <c r="S1163" s="467"/>
      <c r="T1163" s="467"/>
      <c r="U1163" s="467"/>
      <c r="V1163" s="468"/>
      <c r="W1163" s="467"/>
      <c r="X1163" s="467"/>
      <c r="Y1163" s="467"/>
      <c r="Z1163" s="467"/>
      <c r="AA1163" s="468"/>
      <c r="AB1163" s="467"/>
      <c r="AC1163" s="467"/>
      <c r="AD1163" s="467"/>
      <c r="AE1163" s="469"/>
      <c r="AF1163" s="470"/>
      <c r="AG1163" s="467"/>
      <c r="AH1163" s="467"/>
      <c r="AI1163" s="467"/>
      <c r="AJ1163" s="469"/>
      <c r="AK1163" s="470"/>
      <c r="AL1163" s="467"/>
      <c r="AM1163" s="467"/>
      <c r="AN1163" s="467"/>
      <c r="AO1163" s="469"/>
      <c r="AP1163" s="471"/>
      <c r="AQ1163" s="1667">
        <v>0.28000000000000003</v>
      </c>
      <c r="AR1163" s="469">
        <f>+AQ1163</f>
        <v>0.28000000000000003</v>
      </c>
      <c r="AS1163" s="469">
        <f>+AR1163</f>
        <v>0.28000000000000003</v>
      </c>
      <c r="AT1163" s="469">
        <f>+AS1163</f>
        <v>0.28000000000000003</v>
      </c>
      <c r="AU1163" s="470">
        <f>AU1162/AU1153</f>
        <v>0.28000000000000003</v>
      </c>
      <c r="AV1163" s="1667">
        <v>0.28000000000000003</v>
      </c>
      <c r="AW1163" s="540">
        <v>0.28000000000000003</v>
      </c>
      <c r="AX1163" s="540">
        <v>0.28000000000000003</v>
      </c>
      <c r="AY1163" s="1668">
        <v>0.28000000000000003</v>
      </c>
      <c r="AZ1163" s="470">
        <f>AZ1162/AZ1156</f>
        <v>0.28000000000000003</v>
      </c>
      <c r="BA1163" s="1667">
        <v>0.28000000000000003</v>
      </c>
      <c r="BB1163" s="540">
        <v>0.28000000000000003</v>
      </c>
      <c r="BC1163" s="540">
        <v>0.28000000000000003</v>
      </c>
      <c r="BD1163" s="1668">
        <v>0.28000000000000003</v>
      </c>
      <c r="BE1163" s="470">
        <f>BE1162/BE1156</f>
        <v>0.28000000000000008</v>
      </c>
      <c r="BF1163" s="540">
        <v>0.28000000000000003</v>
      </c>
      <c r="BG1163" s="540">
        <v>0.28000000000000003</v>
      </c>
      <c r="BH1163" s="540">
        <v>0.28000000000000003</v>
      </c>
      <c r="BI1163" s="1668">
        <v>0.28000000000000003</v>
      </c>
      <c r="BJ1163" s="470">
        <f>BJ1162/BJ1156</f>
        <v>0.28000000000000003</v>
      </c>
      <c r="BK1163" s="540">
        <v>0.28000000000000003</v>
      </c>
      <c r="BL1163" s="540">
        <v>0.28000000000000003</v>
      </c>
      <c r="BM1163" s="540">
        <v>0.28000000000000003</v>
      </c>
      <c r="BN1163" s="1668">
        <v>0.28000000000000003</v>
      </c>
      <c r="BO1163" s="470">
        <f>BO1162/BO1156</f>
        <v>0.28000000000000003</v>
      </c>
      <c r="BP1163" s="540">
        <v>0.28000000000000003</v>
      </c>
      <c r="BQ1163" s="540">
        <v>0.28000000000000003</v>
      </c>
      <c r="BR1163" s="540">
        <v>0.28000000000000003</v>
      </c>
      <c r="BS1163" s="540">
        <v>0.28000000000000003</v>
      </c>
      <c r="BT1163" s="470">
        <f>BT1162/BT1156</f>
        <v>0.27999999999999997</v>
      </c>
      <c r="BU1163" s="540">
        <v>0.28000000000000003</v>
      </c>
      <c r="BV1163" s="540">
        <v>0.28000000000000003</v>
      </c>
      <c r="BW1163" s="540">
        <v>0.28000000000000003</v>
      </c>
      <c r="BX1163" s="540">
        <v>0.28000000000000003</v>
      </c>
      <c r="BY1163" s="470">
        <f>BY1162/BY1156</f>
        <v>0.28000000000000003</v>
      </c>
      <c r="BZ1163" s="539">
        <v>0.28000000000000003</v>
      </c>
      <c r="CA1163" s="539">
        <v>0.28000000000000003</v>
      </c>
      <c r="CB1163" s="539">
        <v>0.28000000000000003</v>
      </c>
      <c r="CC1163" s="539">
        <v>0.28000000000000003</v>
      </c>
      <c r="CD1163" s="539">
        <v>0.28000000000000003</v>
      </c>
      <c r="CE1163" s="539">
        <v>0.28000000000000003</v>
      </c>
      <c r="CF1163" s="539">
        <v>0.28000000000000003</v>
      </c>
      <c r="CG1163" s="972"/>
      <c r="CH1163" s="972"/>
      <c r="CI1163" s="972"/>
      <c r="CJ1163" s="972"/>
      <c r="CK1163" s="972"/>
      <c r="CL1163" s="1310" t="str">
        <f t="shared" si="2746"/>
        <v>% of Gaming revenue</v>
      </c>
      <c r="CM1163" s="469"/>
      <c r="CN1163" s="469"/>
      <c r="CO1163" s="469"/>
      <c r="CP1163" s="469"/>
      <c r="CQ1163" s="469"/>
      <c r="CR1163" s="469"/>
      <c r="CS1163" s="469"/>
      <c r="CT1163" s="469"/>
      <c r="CU1163" s="469">
        <f>AU1163</f>
        <v>0.28000000000000003</v>
      </c>
      <c r="CV1163" s="469">
        <f t="shared" si="2747"/>
        <v>0.28000000000000003</v>
      </c>
      <c r="CW1163" s="469">
        <f t="shared" si="2748"/>
        <v>0.28000000000000008</v>
      </c>
      <c r="CX1163" s="469">
        <f t="shared" si="2749"/>
        <v>0.28000000000000003</v>
      </c>
      <c r="CY1163" s="469">
        <f t="shared" si="2750"/>
        <v>0.28000000000000003</v>
      </c>
      <c r="CZ1163" s="469">
        <f t="shared" si="2751"/>
        <v>0.27999999999999997</v>
      </c>
      <c r="DA1163" s="469">
        <f t="shared" si="2752"/>
        <v>0.28000000000000003</v>
      </c>
      <c r="DB1163" s="469">
        <f t="shared" si="2752"/>
        <v>0.28000000000000003</v>
      </c>
      <c r="DC1163" s="1463">
        <f t="shared" si="2752"/>
        <v>0.28000000000000003</v>
      </c>
      <c r="DD1163" s="972"/>
      <c r="DE1163" s="972"/>
      <c r="DF1163" s="974"/>
      <c r="DG1163" s="975"/>
      <c r="DH1163" s="469"/>
      <c r="DI1163" s="3213"/>
      <c r="DJ1163" s="974"/>
      <c r="DK1163" s="975"/>
      <c r="DL1163" s="974"/>
      <c r="DM1163" s="974"/>
      <c r="DN1163" s="974"/>
      <c r="DO1163" s="974"/>
      <c r="DP1163" s="975"/>
      <c r="DQ1163" s="975"/>
      <c r="DR1163" s="976"/>
      <c r="DS1163" s="976"/>
      <c r="DT1163" s="976"/>
    </row>
    <row r="1164" spans="1:124" ht="12" customHeight="1" x14ac:dyDescent="0.25">
      <c r="A1164" s="281" t="s">
        <v>2162</v>
      </c>
      <c r="B1164" s="281"/>
      <c r="C1164" s="452"/>
      <c r="D1164" s="452"/>
      <c r="E1164" s="452"/>
      <c r="F1164" s="452"/>
      <c r="G1164" s="475"/>
      <c r="H1164" s="452"/>
      <c r="I1164" s="452"/>
      <c r="J1164" s="452"/>
      <c r="K1164" s="452"/>
      <c r="L1164" s="475"/>
      <c r="M1164" s="452"/>
      <c r="N1164" s="452"/>
      <c r="O1164" s="452"/>
      <c r="P1164" s="452"/>
      <c r="Q1164" s="475"/>
      <c r="R1164" s="452"/>
      <c r="S1164" s="452"/>
      <c r="T1164" s="452"/>
      <c r="U1164" s="452"/>
      <c r="V1164" s="475"/>
      <c r="W1164" s="452"/>
      <c r="X1164" s="452"/>
      <c r="Y1164" s="452"/>
      <c r="Z1164" s="452"/>
      <c r="AA1164" s="475"/>
      <c r="AB1164" s="452"/>
      <c r="AC1164" s="452"/>
      <c r="AD1164" s="452"/>
      <c r="AE1164" s="476"/>
      <c r="AF1164" s="477"/>
      <c r="AG1164" s="452"/>
      <c r="AH1164" s="452"/>
      <c r="AI1164" s="452"/>
      <c r="AJ1164" s="476"/>
      <c r="AK1164" s="477"/>
      <c r="AL1164" s="452"/>
      <c r="AM1164" s="452"/>
      <c r="AN1164" s="452"/>
      <c r="AO1164" s="476"/>
      <c r="AP1164" s="478"/>
      <c r="AQ1164" s="478">
        <f>+AQ1162+AQ1159</f>
        <v>17.520938919999999</v>
      </c>
      <c r="AR1164" s="476">
        <f>+AR1162+AR1159</f>
        <v>19.072480000000002</v>
      </c>
      <c r="AS1164" s="476">
        <f>+AS1162+AS1159</f>
        <v>19.313200000000002</v>
      </c>
      <c r="AT1164" s="476">
        <f>+AT1162+AT1159</f>
        <v>20.244799999999998</v>
      </c>
      <c r="AU1164" s="477">
        <f>+SUM(AQ1164:AT1164)</f>
        <v>76.151418919999998</v>
      </c>
      <c r="AV1164" s="478">
        <f t="shared" ref="AV1164:BE1164" si="2758">+AV1162+AV1159</f>
        <v>21.389844609168751</v>
      </c>
      <c r="AW1164" s="476">
        <f t="shared" si="2758"/>
        <v>21.794114060550005</v>
      </c>
      <c r="AX1164" s="476">
        <f t="shared" si="2758"/>
        <v>21.626866314056251</v>
      </c>
      <c r="AY1164" s="682">
        <f t="shared" si="2758"/>
        <v>21.493425882825001</v>
      </c>
      <c r="AZ1164" s="477">
        <f t="shared" si="2758"/>
        <v>86.3042508666</v>
      </c>
      <c r="BA1164" s="478">
        <f t="shared" si="2758"/>
        <v>21.891883456916663</v>
      </c>
      <c r="BB1164" s="476">
        <f t="shared" si="2758"/>
        <v>23.898087402666668</v>
      </c>
      <c r="BC1164" s="476">
        <f t="shared" si="2758"/>
        <v>22.603101733416668</v>
      </c>
      <c r="BD1164" s="682">
        <f t="shared" si="2758"/>
        <v>25.041089665666664</v>
      </c>
      <c r="BE1164" s="477">
        <f t="shared" si="2758"/>
        <v>93.434162258666674</v>
      </c>
      <c r="BF1164" s="476">
        <f t="shared" ref="BF1164:BO1164" si="2759">+BF1162+BF1159</f>
        <v>22.405464206916662</v>
      </c>
      <c r="BG1164" s="476">
        <f t="shared" si="2759"/>
        <v>22.825610132666668</v>
      </c>
      <c r="BH1164" s="476">
        <f t="shared" si="2759"/>
        <v>21.448087153416665</v>
      </c>
      <c r="BI1164" s="682">
        <f t="shared" si="2759"/>
        <v>23.62217462566667</v>
      </c>
      <c r="BJ1164" s="477">
        <f t="shared" si="2759"/>
        <v>90.301336118666654</v>
      </c>
      <c r="BK1164" s="476">
        <f t="shared" si="2759"/>
        <v>21.915438456916661</v>
      </c>
      <c r="BL1164" s="476">
        <f t="shared" si="2759"/>
        <v>22.217881722666665</v>
      </c>
      <c r="BM1164" s="476">
        <f t="shared" si="2759"/>
        <v>22.124530353416667</v>
      </c>
      <c r="BN1164" s="682">
        <f t="shared" si="2759"/>
        <v>23.737580325666663</v>
      </c>
      <c r="BO1164" s="477">
        <f t="shared" si="2759"/>
        <v>89.995430858666651</v>
      </c>
      <c r="BP1164" s="476">
        <f t="shared" ref="BP1164:CF1164" si="2760">+BP1162+BP1159</f>
        <v>21.140430426916662</v>
      </c>
      <c r="BQ1164" s="476">
        <f t="shared" si="2760"/>
        <v>20.469748422666665</v>
      </c>
      <c r="BR1164" s="476">
        <f t="shared" si="2760"/>
        <v>20.314765833416665</v>
      </c>
      <c r="BS1164" s="476">
        <f t="shared" si="2760"/>
        <v>20.187668683995003</v>
      </c>
      <c r="BT1164" s="2604">
        <f t="shared" si="2760"/>
        <v>82.112613366994992</v>
      </c>
      <c r="BU1164" s="2577">
        <f>+BU1162+BU1159</f>
        <v>21.646576315541719</v>
      </c>
      <c r="BV1164" s="2577">
        <f>+BV1162+BV1159</f>
        <v>20.967081775843418</v>
      </c>
      <c r="BW1164" s="2577">
        <f>+BW1162+BW1159</f>
        <v>20.806568673385947</v>
      </c>
      <c r="BX1164" s="2577">
        <f>+BX1162+BX1159</f>
        <v>20.681940967772004</v>
      </c>
      <c r="BY1164" s="2604">
        <f>+BY1162+BY1159</f>
        <v>84.10216773254308</v>
      </c>
      <c r="BZ1164" s="477">
        <f t="shared" si="2760"/>
        <v>85.330697505209599</v>
      </c>
      <c r="CA1164" s="477">
        <f t="shared" si="2760"/>
        <v>85.939327818522912</v>
      </c>
      <c r="CB1164" s="477">
        <f t="shared" si="2760"/>
        <v>93.740102724094228</v>
      </c>
      <c r="CC1164" s="477">
        <f t="shared" si="2760"/>
        <v>90.270782219164516</v>
      </c>
      <c r="CD1164" s="477">
        <f t="shared" si="2760"/>
        <v>91.443425587092051</v>
      </c>
      <c r="CE1164" s="477">
        <f t="shared" si="2760"/>
        <v>92.885104873356667</v>
      </c>
      <c r="CF1164" s="477">
        <f t="shared" si="2760"/>
        <v>93.816369853983076</v>
      </c>
      <c r="CG1164" s="331"/>
      <c r="CH1164" s="331"/>
      <c r="CI1164" s="331"/>
      <c r="CJ1164" s="331"/>
      <c r="CK1164" s="331"/>
      <c r="CL1164" s="520" t="str">
        <f t="shared" si="2746"/>
        <v>Total expenses</v>
      </c>
      <c r="CM1164" s="476"/>
      <c r="CN1164" s="476"/>
      <c r="CO1164" s="476"/>
      <c r="CP1164" s="476"/>
      <c r="CQ1164" s="476"/>
      <c r="CR1164" s="476"/>
      <c r="CS1164" s="476"/>
      <c r="CT1164" s="476"/>
      <c r="CU1164" s="476">
        <f>AU1164</f>
        <v>76.151418919999998</v>
      </c>
      <c r="CV1164" s="476">
        <f t="shared" si="2747"/>
        <v>86.3042508666</v>
      </c>
      <c r="CW1164" s="476">
        <f t="shared" si="2748"/>
        <v>93.434162258666674</v>
      </c>
      <c r="CX1164" s="476">
        <f t="shared" si="2749"/>
        <v>90.301336118666654</v>
      </c>
      <c r="CY1164" s="476">
        <f t="shared" si="2750"/>
        <v>89.995430858666651</v>
      </c>
      <c r="CZ1164" s="476">
        <f t="shared" si="2751"/>
        <v>82.112613366994992</v>
      </c>
      <c r="DA1164" s="476">
        <f t="shared" si="2752"/>
        <v>84.10216773254308</v>
      </c>
      <c r="DB1164" s="476">
        <f t="shared" si="2752"/>
        <v>85.330697505209599</v>
      </c>
      <c r="DC1164" s="682">
        <f t="shared" si="2752"/>
        <v>85.939327818522912</v>
      </c>
      <c r="DD1164" s="331"/>
      <c r="DE1164" s="331"/>
      <c r="DF1164" s="502"/>
      <c r="DG1164" s="503"/>
      <c r="DH1164" s="2577"/>
      <c r="DI1164" s="3213"/>
      <c r="DJ1164" s="502"/>
      <c r="DK1164" s="503"/>
      <c r="DL1164" s="502"/>
      <c r="DM1164" s="502"/>
      <c r="DN1164" s="502"/>
      <c r="DO1164" s="502"/>
      <c r="DP1164" s="503"/>
      <c r="DQ1164" s="503"/>
      <c r="DR1164" s="296"/>
      <c r="DS1164" s="296"/>
      <c r="DT1164" s="296"/>
    </row>
    <row r="1165" spans="1:124" ht="12" customHeight="1" x14ac:dyDescent="0.25">
      <c r="A1165" s="281"/>
      <c r="B1165" s="281"/>
      <c r="C1165" s="305"/>
      <c r="D1165" s="305"/>
      <c r="E1165" s="305"/>
      <c r="F1165" s="305"/>
      <c r="G1165" s="440"/>
      <c r="H1165" s="305"/>
      <c r="I1165" s="305"/>
      <c r="J1165" s="305"/>
      <c r="K1165" s="305"/>
      <c r="L1165" s="440"/>
      <c r="M1165" s="305"/>
      <c r="N1165" s="305"/>
      <c r="O1165" s="305"/>
      <c r="P1165" s="305"/>
      <c r="Q1165" s="440"/>
      <c r="R1165" s="305"/>
      <c r="S1165" s="305"/>
      <c r="T1165" s="305"/>
      <c r="U1165" s="305"/>
      <c r="V1165" s="440"/>
      <c r="W1165" s="305"/>
      <c r="X1165" s="305"/>
      <c r="Y1165" s="305"/>
      <c r="Z1165" s="305"/>
      <c r="AA1165" s="440"/>
      <c r="AB1165" s="305"/>
      <c r="AC1165" s="305"/>
      <c r="AD1165" s="305"/>
      <c r="AE1165" s="331"/>
      <c r="AF1165" s="441"/>
      <c r="AG1165" s="305"/>
      <c r="AH1165" s="305"/>
      <c r="AI1165" s="305"/>
      <c r="AJ1165" s="331"/>
      <c r="AK1165" s="441"/>
      <c r="AL1165" s="305"/>
      <c r="AM1165" s="305"/>
      <c r="AN1165" s="305"/>
      <c r="AO1165" s="331"/>
      <c r="AP1165" s="569"/>
      <c r="AQ1165" s="569"/>
      <c r="AR1165" s="442"/>
      <c r="AS1165" s="442"/>
      <c r="AT1165" s="442"/>
      <c r="AU1165" s="441"/>
      <c r="AV1165" s="569"/>
      <c r="AW1165" s="442"/>
      <c r="AX1165" s="442"/>
      <c r="AY1165" s="1312"/>
      <c r="AZ1165" s="441"/>
      <c r="BA1165" s="569"/>
      <c r="BB1165" s="442"/>
      <c r="BC1165" s="442"/>
      <c r="BD1165" s="1312"/>
      <c r="BE1165" s="441"/>
      <c r="BF1165" s="442"/>
      <c r="BG1165" s="442"/>
      <c r="BH1165" s="442"/>
      <c r="BI1165" s="1312"/>
      <c r="BJ1165" s="477"/>
      <c r="BK1165" s="442"/>
      <c r="BL1165" s="442"/>
      <c r="BM1165" s="442"/>
      <c r="BN1165" s="1312"/>
      <c r="BO1165" s="441"/>
      <c r="BP1165" s="442"/>
      <c r="BQ1165" s="442"/>
      <c r="BR1165" s="442"/>
      <c r="BS1165" s="442"/>
      <c r="BT1165" s="3236"/>
      <c r="BU1165" s="3298"/>
      <c r="BV1165" s="3298"/>
      <c r="BW1165" s="3298"/>
      <c r="BX1165" s="3298"/>
      <c r="BY1165" s="3236"/>
      <c r="BZ1165" s="441"/>
      <c r="CA1165" s="441"/>
      <c r="CB1165" s="441"/>
      <c r="CC1165" s="441"/>
      <c r="CD1165" s="441"/>
      <c r="CE1165" s="441"/>
      <c r="CF1165" s="441"/>
      <c r="CG1165" s="331"/>
      <c r="CH1165" s="331"/>
      <c r="CI1165" s="331"/>
      <c r="CJ1165" s="331"/>
      <c r="CK1165" s="331"/>
      <c r="CL1165" s="520"/>
      <c r="CM1165" s="442"/>
      <c r="CN1165" s="442"/>
      <c r="CO1165" s="442"/>
      <c r="CP1165" s="442"/>
      <c r="CQ1165" s="442"/>
      <c r="CR1165" s="442"/>
      <c r="CS1165" s="442"/>
      <c r="CT1165" s="442"/>
      <c r="CU1165" s="442"/>
      <c r="CV1165" s="442"/>
      <c r="CW1165" s="442"/>
      <c r="CX1165" s="442"/>
      <c r="CY1165" s="442"/>
      <c r="CZ1165" s="442"/>
      <c r="DA1165" s="442"/>
      <c r="DB1165" s="442"/>
      <c r="DC1165" s="1312"/>
      <c r="DD1165" s="331"/>
      <c r="DE1165" s="331"/>
      <c r="DF1165" s="502"/>
      <c r="DG1165" s="503"/>
      <c r="DH1165" s="3298"/>
      <c r="DI1165" s="3213"/>
      <c r="DJ1165" s="502"/>
      <c r="DK1165" s="503"/>
      <c r="DL1165" s="502"/>
      <c r="DM1165" s="502"/>
      <c r="DN1165" s="502"/>
      <c r="DO1165" s="502"/>
      <c r="DP1165" s="503"/>
      <c r="DQ1165" s="503"/>
      <c r="DR1165" s="296"/>
      <c r="DS1165" s="296"/>
      <c r="DT1165" s="296"/>
    </row>
    <row r="1166" spans="1:124" ht="12" customHeight="1" x14ac:dyDescent="0.25">
      <c r="A1166" s="496" t="s">
        <v>2010</v>
      </c>
      <c r="B1166" s="1007"/>
      <c r="C1166" s="1008"/>
      <c r="D1166" s="1008"/>
      <c r="E1166" s="1008"/>
      <c r="F1166" s="1008"/>
      <c r="G1166" s="1009"/>
      <c r="H1166" s="1008"/>
      <c r="I1166" s="1008"/>
      <c r="J1166" s="1008"/>
      <c r="K1166" s="1008"/>
      <c r="L1166" s="1009"/>
      <c r="M1166" s="1008"/>
      <c r="N1166" s="1008"/>
      <c r="O1166" s="1008"/>
      <c r="P1166" s="1008"/>
      <c r="Q1166" s="1009"/>
      <c r="R1166" s="1008"/>
      <c r="S1166" s="1008"/>
      <c r="T1166" s="1008"/>
      <c r="U1166" s="1008"/>
      <c r="V1166" s="1009"/>
      <c r="W1166" s="1008"/>
      <c r="X1166" s="1008"/>
      <c r="Y1166" s="1008"/>
      <c r="Z1166" s="1008"/>
      <c r="AA1166" s="1009"/>
      <c r="AB1166" s="1008"/>
      <c r="AC1166" s="1008"/>
      <c r="AD1166" s="1008"/>
      <c r="AE1166" s="1010"/>
      <c r="AF1166" s="1011"/>
      <c r="AG1166" s="1008"/>
      <c r="AH1166" s="1008"/>
      <c r="AI1166" s="1008"/>
      <c r="AJ1166" s="1010"/>
      <c r="AK1166" s="1011"/>
      <c r="AL1166" s="1008"/>
      <c r="AM1166" s="1008"/>
      <c r="AN1166" s="1008"/>
      <c r="AO1166" s="1010"/>
      <c r="AP1166" s="1013"/>
      <c r="AQ1166" s="1013">
        <f>+AQ1156-AQ1164</f>
        <v>7.4659290800000022</v>
      </c>
      <c r="AR1166" s="1012">
        <f>+AR1156-AR1164</f>
        <v>8.5635199999999969</v>
      </c>
      <c r="AS1166" s="1012">
        <f>+AS1156-AS1164</f>
        <v>8.6767999999999965</v>
      </c>
      <c r="AT1166" s="1012">
        <f>+AT1156-AT1164</f>
        <v>9.1152000000000015</v>
      </c>
      <c r="AU1166" s="1011">
        <f>+SUM(AQ1166:AT1166)</f>
        <v>33.821449079999994</v>
      </c>
      <c r="AV1166" s="1013">
        <f>+AV1156-AV1164</f>
        <v>10.298814071081249</v>
      </c>
      <c r="AW1166" s="1012">
        <f>+AW1156-AW1164</f>
        <v>10.49346232545</v>
      </c>
      <c r="AX1166" s="1012">
        <f>+AX1156-AX1164</f>
        <v>10.412935632693745</v>
      </c>
      <c r="AY1166" s="1877">
        <f>+AY1156-AY1164</f>
        <v>10.348686536175002</v>
      </c>
      <c r="AZ1166" s="1011">
        <f>+AZ1156-AZ1164</f>
        <v>41.553898565400004</v>
      </c>
      <c r="BA1166" s="3146">
        <f>+BA1171+BA1169</f>
        <v>10.549333333333333</v>
      </c>
      <c r="BB1166" s="3147">
        <f t="shared" ref="BB1166:BN1166" si="2761">+BB1171+BB1169</f>
        <v>8.5293333333333337</v>
      </c>
      <c r="BC1166" s="3147">
        <f t="shared" si="2761"/>
        <v>10.165333333333333</v>
      </c>
      <c r="BD1166" s="3148">
        <f t="shared" si="2761"/>
        <v>8.9873333333333338</v>
      </c>
      <c r="BE1166" s="3149">
        <f t="shared" si="2761"/>
        <v>38.231333333333339</v>
      </c>
      <c r="BF1166" s="3146">
        <f>+BF1171+BF1169</f>
        <v>13.547333333333334</v>
      </c>
      <c r="BG1166" s="3147">
        <f t="shared" si="2761"/>
        <v>13.891333333333334</v>
      </c>
      <c r="BH1166" s="3147">
        <f t="shared" si="2761"/>
        <v>13.101333333333333</v>
      </c>
      <c r="BI1166" s="3148">
        <f t="shared" si="2761"/>
        <v>10.769333333333334</v>
      </c>
      <c r="BJ1166" s="3149">
        <f t="shared" si="2761"/>
        <v>51.309333333333335</v>
      </c>
      <c r="BK1166" s="3146">
        <f t="shared" si="2761"/>
        <v>14.801333333333334</v>
      </c>
      <c r="BL1166" s="3147">
        <f t="shared" si="2761"/>
        <v>12.679333333333334</v>
      </c>
      <c r="BM1166" s="3147">
        <f t="shared" si="2761"/>
        <v>12.593333333333334</v>
      </c>
      <c r="BN1166" s="3148">
        <f t="shared" si="2761"/>
        <v>10.933333333333334</v>
      </c>
      <c r="BO1166" s="1011">
        <f t="shared" ref="BO1166:BT1166" si="2762">+BO1156-BO1164</f>
        <v>51.007333333333349</v>
      </c>
      <c r="BP1166" s="3147">
        <f>+BP1171+BP1169</f>
        <v>14.679333333333334</v>
      </c>
      <c r="BQ1166" s="3147">
        <f>+BQ1171+BQ1169</f>
        <v>15.625333333333334</v>
      </c>
      <c r="BR1166" s="3147">
        <f>+BR1171+BR1169</f>
        <v>15.145333333333333</v>
      </c>
      <c r="BS1166" s="3147">
        <f>+BS1171+BS1169</f>
        <v>14.225333333333333</v>
      </c>
      <c r="BT1166" s="1011">
        <f t="shared" si="2762"/>
        <v>61.636509125005006</v>
      </c>
      <c r="BU1166" s="1012">
        <f>+BU1156-BU1164</f>
        <v>14.722671846758278</v>
      </c>
      <c r="BV1166" s="1012">
        <f>+BV1156-BV1164</f>
        <v>15.681844505106582</v>
      </c>
      <c r="BW1166" s="1012">
        <f>+BW1156-BW1164</f>
        <v>15.197754981614047</v>
      </c>
      <c r="BX1166" s="1012">
        <f>+BX1156-BX1164</f>
        <v>16.250096474677999</v>
      </c>
      <c r="BY1166" s="1011">
        <f>+BY1156-BY1164</f>
        <v>61.852367808156913</v>
      </c>
      <c r="BZ1166" s="1011">
        <f t="shared" ref="BZ1166:CF1166" si="2763">+BZ1156-BZ1164</f>
        <v>62.116167531777364</v>
      </c>
      <c r="CA1166" s="1011">
        <f t="shared" si="2763"/>
        <v>61.920483188669522</v>
      </c>
      <c r="CB1166" s="1011">
        <f t="shared" si="2763"/>
        <v>46.170498356643421</v>
      </c>
      <c r="CC1166" s="1011">
        <f t="shared" si="2763"/>
        <v>42.480368103136243</v>
      </c>
      <c r="CD1166" s="1011">
        <f t="shared" si="2763"/>
        <v>44.028316023414689</v>
      </c>
      <c r="CE1166" s="1011">
        <f t="shared" si="2763"/>
        <v>45.749380012250285</v>
      </c>
      <c r="CF1166" s="1011">
        <f t="shared" si="2763"/>
        <v>47.260878046743358</v>
      </c>
      <c r="CG1166" s="331"/>
      <c r="CH1166" s="331"/>
      <c r="CI1166" s="331"/>
      <c r="CJ1166" s="331"/>
      <c r="CK1166" s="331"/>
      <c r="CL1166" s="2102" t="str">
        <f t="shared" ref="CL1166:CL1172" si="2764">A1166</f>
        <v>Property EBITDA</v>
      </c>
      <c r="CM1166" s="1012"/>
      <c r="CN1166" s="1012"/>
      <c r="CO1166" s="1012"/>
      <c r="CP1166" s="1012"/>
      <c r="CQ1166" s="1012"/>
      <c r="CR1166" s="1012"/>
      <c r="CS1166" s="1012"/>
      <c r="CT1166" s="1012"/>
      <c r="CU1166" s="1012">
        <f>AU1166</f>
        <v>33.821449079999994</v>
      </c>
      <c r="CV1166" s="1012">
        <f t="shared" ref="CV1166:CV1172" si="2765">AZ1166</f>
        <v>41.553898565400004</v>
      </c>
      <c r="CW1166" s="1012">
        <f t="shared" ref="CW1166:CW1172" si="2766">BE1166</f>
        <v>38.231333333333339</v>
      </c>
      <c r="CX1166" s="1012">
        <f t="shared" ref="CX1166:CX1172" si="2767">BJ1166</f>
        <v>51.309333333333335</v>
      </c>
      <c r="CY1166" s="1012">
        <f t="shared" ref="CY1166:CY1172" si="2768">BO1166</f>
        <v>51.007333333333349</v>
      </c>
      <c r="CZ1166" s="1012">
        <f t="shared" ref="CZ1166:CZ1172" si="2769">BT1166</f>
        <v>61.636509125005006</v>
      </c>
      <c r="DA1166" s="1012">
        <f t="shared" ref="DA1166:DC1172" si="2770">BY1166</f>
        <v>61.852367808156913</v>
      </c>
      <c r="DB1166" s="1012">
        <f t="shared" si="2770"/>
        <v>62.116167531777364</v>
      </c>
      <c r="DC1166" s="1877">
        <f t="shared" si="2770"/>
        <v>61.920483188669522</v>
      </c>
      <c r="DD1166" s="331"/>
      <c r="DE1166" s="331"/>
      <c r="DF1166" s="502"/>
      <c r="DG1166" s="503"/>
      <c r="DH1166" s="598"/>
      <c r="DI1166" s="3213"/>
      <c r="DJ1166" s="502"/>
      <c r="DK1166" s="503"/>
      <c r="DL1166" s="502"/>
      <c r="DM1166" s="502"/>
      <c r="DN1166" s="502"/>
      <c r="DO1166" s="502"/>
      <c r="DP1166" s="503"/>
      <c r="DQ1166" s="503"/>
      <c r="DR1166" s="296"/>
      <c r="DS1166" s="296"/>
      <c r="DT1166" s="296"/>
    </row>
    <row r="1167" spans="1:124" ht="12" customHeight="1" x14ac:dyDescent="0.25">
      <c r="A1167" s="465" t="s">
        <v>1892</v>
      </c>
      <c r="B1167" s="579"/>
      <c r="C1167" s="467"/>
      <c r="D1167" s="467"/>
      <c r="E1167" s="467"/>
      <c r="F1167" s="467"/>
      <c r="G1167" s="468"/>
      <c r="H1167" s="467"/>
      <c r="I1167" s="467"/>
      <c r="J1167" s="467"/>
      <c r="K1167" s="467"/>
      <c r="L1167" s="468"/>
      <c r="M1167" s="467"/>
      <c r="N1167" s="467"/>
      <c r="O1167" s="467"/>
      <c r="P1167" s="467"/>
      <c r="Q1167" s="468"/>
      <c r="R1167" s="467"/>
      <c r="S1167" s="467"/>
      <c r="T1167" s="467"/>
      <c r="U1167" s="467"/>
      <c r="V1167" s="468"/>
      <c r="W1167" s="467"/>
      <c r="X1167" s="467"/>
      <c r="Y1167" s="467"/>
      <c r="Z1167" s="467"/>
      <c r="AA1167" s="468"/>
      <c r="AB1167" s="467"/>
      <c r="AC1167" s="467"/>
      <c r="AD1167" s="467"/>
      <c r="AE1167" s="469"/>
      <c r="AF1167" s="470"/>
      <c r="AG1167" s="467"/>
      <c r="AH1167" s="467"/>
      <c r="AI1167" s="467"/>
      <c r="AJ1167" s="469"/>
      <c r="AK1167" s="470"/>
      <c r="AL1167" s="467"/>
      <c r="AM1167" s="467"/>
      <c r="AN1167" s="467"/>
      <c r="AO1167" s="469"/>
      <c r="AP1167" s="471"/>
      <c r="AQ1167" s="471">
        <f t="shared" ref="AQ1167:BK1167" si="2771">AQ1166/AQ1156</f>
        <v>0.29879411377208226</v>
      </c>
      <c r="AR1167" s="469">
        <f t="shared" si="2771"/>
        <v>0.30986828774062808</v>
      </c>
      <c r="AS1167" s="469">
        <f t="shared" si="2771"/>
        <v>0.30999642729546256</v>
      </c>
      <c r="AT1167" s="469">
        <f t="shared" si="2771"/>
        <v>0.31046321525885562</v>
      </c>
      <c r="AU1167" s="470">
        <f t="shared" si="2771"/>
        <v>0.30754357593001935</v>
      </c>
      <c r="AV1167" s="471">
        <f>AV1166/AV1156</f>
        <v>0.32499999999999996</v>
      </c>
      <c r="AW1167" s="469">
        <f>AW1166/AW1156</f>
        <v>0.32499999999999996</v>
      </c>
      <c r="AX1167" s="469">
        <f>AX1166/AX1156</f>
        <v>0.3249999999999999</v>
      </c>
      <c r="AY1167" s="1463">
        <f>AY1166/AY1156</f>
        <v>0.32500000000000001</v>
      </c>
      <c r="AZ1167" s="470">
        <f t="shared" si="2771"/>
        <v>0.32500000000000001</v>
      </c>
      <c r="BA1167" s="471">
        <f>BA1166/BA1156</f>
        <v>0.32518303495027562</v>
      </c>
      <c r="BB1167" s="469">
        <f>BB1166/BB1156</f>
        <v>0.26302842285153782</v>
      </c>
      <c r="BC1167" s="469">
        <f>BC1166/BC1156</f>
        <v>0.31021723535549783</v>
      </c>
      <c r="BD1167" s="1463">
        <f>BD1166/BD1156</f>
        <v>0.26411254302314996</v>
      </c>
      <c r="BE1167" s="470">
        <f t="shared" si="2771"/>
        <v>0.29036713955646465</v>
      </c>
      <c r="BF1167" s="469">
        <f t="shared" si="2771"/>
        <v>0.37680887886865488</v>
      </c>
      <c r="BG1167" s="469">
        <f t="shared" si="2771"/>
        <v>0.37833577694714021</v>
      </c>
      <c r="BH1167" s="469">
        <f t="shared" si="2771"/>
        <v>0.37920558865402115</v>
      </c>
      <c r="BI1167" s="1463">
        <f t="shared" si="2771"/>
        <v>0.31313931759468194</v>
      </c>
      <c r="BJ1167" s="470">
        <f t="shared" si="2771"/>
        <v>0.3623267479201136</v>
      </c>
      <c r="BK1167" s="469">
        <f t="shared" si="2771"/>
        <v>0.40312185989248039</v>
      </c>
      <c r="BL1167" s="469">
        <f t="shared" ref="BL1167:CF1167" si="2772">BL1166/BL1156</f>
        <v>0.36333367327411797</v>
      </c>
      <c r="BM1167" s="469">
        <f t="shared" si="2772"/>
        <v>0.36273353242467948</v>
      </c>
      <c r="BN1167" s="1463">
        <f t="shared" si="2772"/>
        <v>0.31534598253932139</v>
      </c>
      <c r="BO1167" s="470">
        <f t="shared" si="2772"/>
        <v>0.36174704535492591</v>
      </c>
      <c r="BP1167" s="469">
        <f t="shared" si="2772"/>
        <v>0.40981100354501282</v>
      </c>
      <c r="BQ1167" s="469">
        <f t="shared" si="2772"/>
        <v>0.43289369557213903</v>
      </c>
      <c r="BR1167" s="469">
        <f t="shared" si="2772"/>
        <v>0.42710916464482745</v>
      </c>
      <c r="BS1167" s="469">
        <f t="shared" si="2772"/>
        <v>0.39108329562884531</v>
      </c>
      <c r="BT1167" s="470">
        <f t="shared" si="2772"/>
        <v>0.42877833308815666</v>
      </c>
      <c r="BU1167" s="469">
        <f t="shared" si="2772"/>
        <v>0.40481100354501293</v>
      </c>
      <c r="BV1167" s="469">
        <f t="shared" si="2772"/>
        <v>0.42789369557213897</v>
      </c>
      <c r="BW1167" s="469">
        <f t="shared" si="2772"/>
        <v>0.42210916464482739</v>
      </c>
      <c r="BX1167" s="469">
        <f t="shared" si="2772"/>
        <v>0.43999999999999995</v>
      </c>
      <c r="BY1167" s="470">
        <f t="shared" si="2772"/>
        <v>0.42377831959123419</v>
      </c>
      <c r="BZ1167" s="470">
        <f t="shared" si="2772"/>
        <v>0.42127831959123418</v>
      </c>
      <c r="CA1167" s="470">
        <f t="shared" si="2772"/>
        <v>0.41877831959123418</v>
      </c>
      <c r="CB1167" s="470">
        <f t="shared" si="2772"/>
        <v>0.32999999999999996</v>
      </c>
      <c r="CC1167" s="470">
        <f t="shared" si="2772"/>
        <v>0.32</v>
      </c>
      <c r="CD1167" s="470">
        <f t="shared" si="2772"/>
        <v>0.32500000000000001</v>
      </c>
      <c r="CE1167" s="470">
        <f t="shared" si="2772"/>
        <v>0.32999999999999996</v>
      </c>
      <c r="CF1167" s="470">
        <f t="shared" si="2772"/>
        <v>0.33500000000000002</v>
      </c>
      <c r="CG1167" s="972"/>
      <c r="CH1167" s="972"/>
      <c r="CI1167" s="972"/>
      <c r="CJ1167" s="972"/>
      <c r="CK1167" s="972"/>
      <c r="CL1167" s="1310" t="str">
        <f t="shared" si="2764"/>
        <v>Margin</v>
      </c>
      <c r="CM1167" s="469"/>
      <c r="CN1167" s="469"/>
      <c r="CO1167" s="469"/>
      <c r="CP1167" s="469"/>
      <c r="CQ1167" s="469"/>
      <c r="CR1167" s="469"/>
      <c r="CS1167" s="469"/>
      <c r="CT1167" s="469"/>
      <c r="CU1167" s="469">
        <f>AU1167</f>
        <v>0.30754357593001935</v>
      </c>
      <c r="CV1167" s="469">
        <f t="shared" si="2765"/>
        <v>0.32500000000000001</v>
      </c>
      <c r="CW1167" s="469">
        <f t="shared" si="2766"/>
        <v>0.29036713955646465</v>
      </c>
      <c r="CX1167" s="469">
        <f t="shared" si="2767"/>
        <v>0.3623267479201136</v>
      </c>
      <c r="CY1167" s="469">
        <f t="shared" si="2768"/>
        <v>0.36174704535492591</v>
      </c>
      <c r="CZ1167" s="469">
        <f t="shared" si="2769"/>
        <v>0.42877833308815666</v>
      </c>
      <c r="DA1167" s="469">
        <f t="shared" si="2770"/>
        <v>0.42377831959123419</v>
      </c>
      <c r="DB1167" s="469">
        <f t="shared" si="2770"/>
        <v>0.42127831959123418</v>
      </c>
      <c r="DC1167" s="1463">
        <f t="shared" si="2770"/>
        <v>0.41877831959123418</v>
      </c>
      <c r="DD1167" s="972"/>
      <c r="DE1167" s="972"/>
      <c r="DF1167" s="974"/>
      <c r="DG1167" s="975"/>
      <c r="DH1167" s="469"/>
      <c r="DI1167" s="3213"/>
      <c r="DJ1167" s="974"/>
      <c r="DK1167" s="975"/>
      <c r="DL1167" s="974"/>
      <c r="DM1167" s="974"/>
      <c r="DN1167" s="974"/>
      <c r="DO1167" s="974"/>
      <c r="DP1167" s="975"/>
      <c r="DQ1167" s="975"/>
      <c r="DR1167" s="976"/>
      <c r="DS1167" s="976"/>
      <c r="DT1167" s="976"/>
    </row>
    <row r="1168" spans="1:124" ht="12" customHeight="1" x14ac:dyDescent="0.25">
      <c r="A1168" s="465" t="s">
        <v>1491</v>
      </c>
      <c r="B1168" s="579"/>
      <c r="C1168" s="467"/>
      <c r="D1168" s="467"/>
      <c r="E1168" s="467"/>
      <c r="F1168" s="467"/>
      <c r="G1168" s="468"/>
      <c r="H1168" s="467"/>
      <c r="I1168" s="467"/>
      <c r="J1168" s="467"/>
      <c r="K1168" s="467"/>
      <c r="L1168" s="468"/>
      <c r="M1168" s="467"/>
      <c r="N1168" s="467"/>
      <c r="O1168" s="467"/>
      <c r="P1168" s="467"/>
      <c r="Q1168" s="468"/>
      <c r="R1168" s="467"/>
      <c r="S1168" s="467"/>
      <c r="T1168" s="467"/>
      <c r="U1168" s="467"/>
      <c r="V1168" s="468"/>
      <c r="W1168" s="467"/>
      <c r="X1168" s="467"/>
      <c r="Y1168" s="467"/>
      <c r="Z1168" s="467"/>
      <c r="AA1168" s="468"/>
      <c r="AB1168" s="467"/>
      <c r="AC1168" s="467"/>
      <c r="AD1168" s="467"/>
      <c r="AE1168" s="469"/>
      <c r="AF1168" s="470"/>
      <c r="AG1168" s="467"/>
      <c r="AH1168" s="467"/>
      <c r="AI1168" s="467"/>
      <c r="AJ1168" s="469"/>
      <c r="AK1168" s="470"/>
      <c r="AL1168" s="467"/>
      <c r="AM1168" s="467"/>
      <c r="AN1168" s="467"/>
      <c r="AO1168" s="469"/>
      <c r="AP1168" s="471"/>
      <c r="AQ1168" s="471"/>
      <c r="AR1168" s="469"/>
      <c r="AS1168" s="469"/>
      <c r="AT1168" s="469"/>
      <c r="AU1168" s="539"/>
      <c r="AV1168" s="471">
        <f t="shared" ref="AV1168:BA1168" si="2773">(AV1166-AQ1166)/AQ1166</f>
        <v>0.37944172262097703</v>
      </c>
      <c r="AW1168" s="469">
        <f t="shared" si="2773"/>
        <v>0.22536787739737912</v>
      </c>
      <c r="AX1168" s="469">
        <f t="shared" si="2773"/>
        <v>0.20008939156068478</v>
      </c>
      <c r="AY1168" s="1463">
        <f t="shared" si="2773"/>
        <v>0.13532193875888629</v>
      </c>
      <c r="AZ1168" s="470">
        <f t="shared" si="2773"/>
        <v>0.22862561172674664</v>
      </c>
      <c r="BA1168" s="471">
        <f t="shared" si="2773"/>
        <v>2.4325059227502135E-2</v>
      </c>
      <c r="BB1168" s="469">
        <f t="shared" ref="BB1168:BJ1168" si="2774">(BB1166-AW1166)/AW1166</f>
        <v>-0.18717644674370498</v>
      </c>
      <c r="BC1168" s="469">
        <f t="shared" si="2774"/>
        <v>-2.3778337646014985E-2</v>
      </c>
      <c r="BD1168" s="1463">
        <f t="shared" si="2774"/>
        <v>-0.13154840453258532</v>
      </c>
      <c r="BE1168" s="470">
        <f t="shared" si="2774"/>
        <v>-7.9957966563291627E-2</v>
      </c>
      <c r="BF1168" s="469">
        <f t="shared" si="2774"/>
        <v>0.2841885743174925</v>
      </c>
      <c r="BG1168" s="469">
        <f t="shared" si="2774"/>
        <v>0.62865405658902607</v>
      </c>
      <c r="BH1168" s="469">
        <f t="shared" si="2774"/>
        <v>0.28882476390346273</v>
      </c>
      <c r="BI1168" s="1463">
        <f t="shared" si="2774"/>
        <v>0.1982790594169572</v>
      </c>
      <c r="BJ1168" s="470">
        <f t="shared" si="2774"/>
        <v>0.34207543550665231</v>
      </c>
      <c r="BK1168" s="469">
        <f t="shared" ref="BK1168:BT1168" si="2775">(BK1166-BF1166)/BF1166</f>
        <v>9.2564342305988839E-2</v>
      </c>
      <c r="BL1168" s="469">
        <f t="shared" si="2775"/>
        <v>-8.7248644238613976E-2</v>
      </c>
      <c r="BM1168" s="469">
        <f t="shared" si="2775"/>
        <v>-3.8774679421941724E-2</v>
      </c>
      <c r="BN1168" s="1463">
        <f t="shared" si="2775"/>
        <v>1.5228426395939057E-2</v>
      </c>
      <c r="BO1168" s="470">
        <f t="shared" si="2775"/>
        <v>-5.8858687178418231E-3</v>
      </c>
      <c r="BP1168" s="469">
        <f t="shared" si="2775"/>
        <v>-8.2425006756148018E-3</v>
      </c>
      <c r="BQ1168" s="469">
        <f t="shared" si="2775"/>
        <v>0.23234660076765337</v>
      </c>
      <c r="BR1168" s="469">
        <f t="shared" si="2775"/>
        <v>0.20264690312334566</v>
      </c>
      <c r="BS1168" s="469">
        <f t="shared" si="2775"/>
        <v>0.30109756097560975</v>
      </c>
      <c r="BT1168" s="470">
        <f t="shared" si="2775"/>
        <v>0.20838524770957745</v>
      </c>
      <c r="BU1168" s="469">
        <f>(BU1166-BP1166)/BP1166</f>
        <v>2.9523488867530612E-3</v>
      </c>
      <c r="BV1168" s="469">
        <f>(BV1166-BQ1166)/BQ1166</f>
        <v>3.6166378385473477E-3</v>
      </c>
      <c r="BW1168" s="469">
        <f>(BW1166-BR1166)/BR1166</f>
        <v>3.4612409728440037E-3</v>
      </c>
      <c r="BX1168" s="469">
        <f>(BX1166-BS1166)/BS1166</f>
        <v>0.14233502258960534</v>
      </c>
      <c r="BY1168" s="470">
        <f>(BY1166-BT1166)/BT1166</f>
        <v>3.5021237610021743E-3</v>
      </c>
      <c r="BZ1168" s="470">
        <f t="shared" ref="BZ1168:CF1168" si="2776">(BZ1166-BY1166)/BY1166</f>
        <v>4.2649898939788374E-3</v>
      </c>
      <c r="CA1168" s="470">
        <f t="shared" si="2776"/>
        <v>-3.1502964668213705E-3</v>
      </c>
      <c r="CB1168" s="470">
        <f t="shared" si="2776"/>
        <v>-0.25435823528760998</v>
      </c>
      <c r="CC1168" s="470">
        <f t="shared" si="2776"/>
        <v>-7.9923985766902794E-2</v>
      </c>
      <c r="CD1168" s="470">
        <f t="shared" si="2776"/>
        <v>3.6439136226886042E-2</v>
      </c>
      <c r="CE1168" s="470">
        <f t="shared" si="2776"/>
        <v>3.9089934484896421E-2</v>
      </c>
      <c r="CF1168" s="470">
        <f t="shared" si="2776"/>
        <v>3.303865613235283E-2</v>
      </c>
      <c r="CG1168" s="972"/>
      <c r="CH1168" s="972"/>
      <c r="CI1168" s="972"/>
      <c r="CJ1168" s="972"/>
      <c r="CK1168" s="972"/>
      <c r="CL1168" s="1310" t="str">
        <f t="shared" si="2764"/>
        <v>% growth (y-o-y)</v>
      </c>
      <c r="CM1168" s="469"/>
      <c r="CN1168" s="469"/>
      <c r="CO1168" s="469"/>
      <c r="CP1168" s="469"/>
      <c r="CQ1168" s="469"/>
      <c r="CR1168" s="469"/>
      <c r="CS1168" s="469"/>
      <c r="CT1168" s="469"/>
      <c r="CU1168" s="469"/>
      <c r="CV1168" s="469">
        <f t="shared" si="2765"/>
        <v>0.22862561172674664</v>
      </c>
      <c r="CW1168" s="469">
        <f t="shared" si="2766"/>
        <v>-7.9957966563291627E-2</v>
      </c>
      <c r="CX1168" s="469">
        <f t="shared" si="2767"/>
        <v>0.34207543550665231</v>
      </c>
      <c r="CY1168" s="469">
        <f t="shared" si="2768"/>
        <v>-5.8858687178418231E-3</v>
      </c>
      <c r="CZ1168" s="469">
        <f t="shared" si="2769"/>
        <v>0.20838524770957745</v>
      </c>
      <c r="DA1168" s="469">
        <f t="shared" si="2770"/>
        <v>3.5021237610021743E-3</v>
      </c>
      <c r="DB1168" s="469">
        <f t="shared" si="2770"/>
        <v>4.2649898939788374E-3</v>
      </c>
      <c r="DC1168" s="1463">
        <f t="shared" si="2770"/>
        <v>-3.1502964668213705E-3</v>
      </c>
      <c r="DD1168" s="972"/>
      <c r="DE1168" s="972"/>
      <c r="DF1168" s="974"/>
      <c r="DG1168" s="975"/>
      <c r="DH1168" s="469"/>
      <c r="DI1168" s="3213"/>
      <c r="DJ1168" s="974"/>
      <c r="DK1168" s="975"/>
      <c r="DL1168" s="974"/>
      <c r="DM1168" s="974"/>
      <c r="DN1168" s="974"/>
      <c r="DO1168" s="974"/>
      <c r="DP1168" s="975"/>
      <c r="DQ1168" s="975"/>
      <c r="DR1168" s="976"/>
      <c r="DS1168" s="976"/>
      <c r="DT1168" s="976"/>
    </row>
    <row r="1169" spans="1:124" ht="12" customHeight="1" x14ac:dyDescent="0.25">
      <c r="A1169" s="281" t="s">
        <v>2197</v>
      </c>
      <c r="B1169" s="281"/>
      <c r="C1169" s="570"/>
      <c r="D1169" s="570"/>
      <c r="E1169" s="570"/>
      <c r="F1169" s="570"/>
      <c r="G1169" s="475"/>
      <c r="H1169" s="570"/>
      <c r="I1169" s="570"/>
      <c r="J1169" s="570"/>
      <c r="K1169" s="570"/>
      <c r="L1169" s="475"/>
      <c r="M1169" s="570"/>
      <c r="N1169" s="570"/>
      <c r="O1169" s="570"/>
      <c r="P1169" s="570"/>
      <c r="Q1169" s="475"/>
      <c r="R1169" s="570"/>
      <c r="S1169" s="570"/>
      <c r="T1169" s="570"/>
      <c r="U1169" s="570"/>
      <c r="V1169" s="475"/>
      <c r="W1169" s="570"/>
      <c r="X1169" s="570"/>
      <c r="Y1169" s="570"/>
      <c r="Z1169" s="570"/>
      <c r="AA1169" s="475"/>
      <c r="AB1169" s="570"/>
      <c r="AC1169" s="570"/>
      <c r="AD1169" s="570"/>
      <c r="AE1169" s="572"/>
      <c r="AF1169" s="477"/>
      <c r="AG1169" s="570"/>
      <c r="AH1169" s="570"/>
      <c r="AI1169" s="570"/>
      <c r="AJ1169" s="572"/>
      <c r="AK1169" s="477"/>
      <c r="AL1169" s="570"/>
      <c r="AM1169" s="570"/>
      <c r="AN1169" s="570"/>
      <c r="AO1169" s="572"/>
      <c r="AP1169" s="478"/>
      <c r="AQ1169" s="478">
        <f>(430/30)*0.25*0.5+((2000*0.02/5)/4)*0.5</f>
        <v>2.791666666666667</v>
      </c>
      <c r="AR1169" s="476">
        <f>(430/30)*0.25+((2000*0.02/5)*0.25)</f>
        <v>5.5833333333333339</v>
      </c>
      <c r="AS1169" s="476">
        <f>(430/30)*0.25+((2000*0.02/5)*0.25)</f>
        <v>5.5833333333333339</v>
      </c>
      <c r="AT1169" s="476">
        <f>(430/30)*0.25+((2000*0.02/5)*0.25)</f>
        <v>5.5833333333333339</v>
      </c>
      <c r="AU1169" s="477">
        <f>+SUM(AQ1169:AT1169)</f>
        <v>19.541666666666668</v>
      </c>
      <c r="AV1169" s="476">
        <f t="shared" ref="AV1169:BI1169" si="2777">(430/30)*0.25+((2000*0.02/5)*0.25)</f>
        <v>5.5833333333333339</v>
      </c>
      <c r="AW1169" s="476">
        <f t="shared" si="2777"/>
        <v>5.5833333333333339</v>
      </c>
      <c r="AX1169" s="476">
        <f t="shared" si="2777"/>
        <v>5.5833333333333339</v>
      </c>
      <c r="AY1169" s="682">
        <f t="shared" si="2777"/>
        <v>5.5833333333333339</v>
      </c>
      <c r="AZ1169" s="477">
        <f>+SUM(AV1169:AY1169)</f>
        <v>22.333333333333336</v>
      </c>
      <c r="BA1169" s="478">
        <f t="shared" si="2777"/>
        <v>5.5833333333333339</v>
      </c>
      <c r="BB1169" s="476">
        <f t="shared" si="2777"/>
        <v>5.5833333333333339</v>
      </c>
      <c r="BC1169" s="476">
        <f t="shared" si="2777"/>
        <v>5.5833333333333339</v>
      </c>
      <c r="BD1169" s="682">
        <f t="shared" si="2777"/>
        <v>5.5833333333333339</v>
      </c>
      <c r="BE1169" s="477">
        <f>+SUM(BA1169:BD1169)</f>
        <v>22.333333333333336</v>
      </c>
      <c r="BF1169" s="476">
        <f t="shared" si="2777"/>
        <v>5.5833333333333339</v>
      </c>
      <c r="BG1169" s="476">
        <f t="shared" si="2777"/>
        <v>5.5833333333333339</v>
      </c>
      <c r="BH1169" s="476">
        <f t="shared" si="2777"/>
        <v>5.5833333333333339</v>
      </c>
      <c r="BI1169" s="682">
        <f t="shared" si="2777"/>
        <v>5.5833333333333339</v>
      </c>
      <c r="BJ1169" s="477">
        <f>+SUM(BF1169:BI1169)</f>
        <v>22.333333333333336</v>
      </c>
      <c r="BK1169" s="476">
        <f>(430/30)*0.25+((2000*0.02/5)*0.25)</f>
        <v>5.5833333333333339</v>
      </c>
      <c r="BL1169" s="476">
        <f>(430/30)*0.25+((2000*0.02/5)*0.25)</f>
        <v>5.5833333333333339</v>
      </c>
      <c r="BM1169" s="476">
        <f>(430/30)*0.25+((2000*0.02/5)*0.25)</f>
        <v>5.5833333333333339</v>
      </c>
      <c r="BN1169" s="682">
        <f>(430/30)*0.25+((2000*0.02/5)*0.25)</f>
        <v>5.5833333333333339</v>
      </c>
      <c r="BO1169" s="477">
        <f>+SUM(BK1169:BN1169)</f>
        <v>22.333333333333336</v>
      </c>
      <c r="BP1169" s="476">
        <f>(430/30)*0.25+((2000*0.02/5)*0.25)</f>
        <v>5.5833333333333339</v>
      </c>
      <c r="BQ1169" s="476">
        <f>(430/30)*0.25+((2000*0.02/5)*0.25)</f>
        <v>5.5833333333333339</v>
      </c>
      <c r="BR1169" s="476">
        <f>(430/30)*0.25+((2000*0.02/5)*0.25)</f>
        <v>5.5833333333333339</v>
      </c>
      <c r="BS1169" s="476">
        <f>(430/30)*0.25+((2000*0.02/5)*0.25)</f>
        <v>5.5833333333333339</v>
      </c>
      <c r="BT1169" s="2604">
        <f>+SUM(BP1169:BS1169)</f>
        <v>22.333333333333336</v>
      </c>
      <c r="BU1169" s="2577">
        <f>(430/30)*0.25+((2000*0.02/5)*0.25)</f>
        <v>5.5833333333333339</v>
      </c>
      <c r="BV1169" s="2577">
        <f>(430/30)*0.25+((2000*0.02/5)*0.25)</f>
        <v>5.5833333333333339</v>
      </c>
      <c r="BW1169" s="2577">
        <f>(430/30)*0.25+((2000*0.02/5)*0.25)</f>
        <v>5.5833333333333339</v>
      </c>
      <c r="BX1169" s="2577">
        <f>(430/30)*0.25+((2000*0.02/5)*0.25)</f>
        <v>5.5833333333333339</v>
      </c>
      <c r="BY1169" s="2604">
        <f>+SUM(BU1169:BX1169)</f>
        <v>22.333333333333336</v>
      </c>
      <c r="BZ1169" s="2803">
        <f t="shared" ref="BZ1169:CF1169" si="2778">+BY1169</f>
        <v>22.333333333333336</v>
      </c>
      <c r="CA1169" s="2803">
        <f t="shared" si="2778"/>
        <v>22.333333333333336</v>
      </c>
      <c r="CB1169" s="2803">
        <f t="shared" si="2778"/>
        <v>22.333333333333336</v>
      </c>
      <c r="CC1169" s="2803">
        <f t="shared" si="2778"/>
        <v>22.333333333333336</v>
      </c>
      <c r="CD1169" s="2803">
        <f t="shared" si="2778"/>
        <v>22.333333333333336</v>
      </c>
      <c r="CE1169" s="2803">
        <f t="shared" si="2778"/>
        <v>22.333333333333336</v>
      </c>
      <c r="CF1169" s="2803">
        <f t="shared" si="2778"/>
        <v>22.333333333333336</v>
      </c>
      <c r="CG1169" s="331"/>
      <c r="CH1169" s="331"/>
      <c r="CI1169" s="331"/>
      <c r="CJ1169" s="331"/>
      <c r="CK1169" s="331"/>
      <c r="CL1169" s="520" t="str">
        <f t="shared" si="2764"/>
        <v>Depreciation and amortization</v>
      </c>
      <c r="CM1169" s="476"/>
      <c r="CN1169" s="476"/>
      <c r="CO1169" s="476"/>
      <c r="CP1169" s="476"/>
      <c r="CQ1169" s="476"/>
      <c r="CR1169" s="476"/>
      <c r="CS1169" s="476"/>
      <c r="CT1169" s="476"/>
      <c r="CU1169" s="476">
        <f>AU1169</f>
        <v>19.541666666666668</v>
      </c>
      <c r="CV1169" s="476">
        <f t="shared" si="2765"/>
        <v>22.333333333333336</v>
      </c>
      <c r="CW1169" s="476">
        <f t="shared" si="2766"/>
        <v>22.333333333333336</v>
      </c>
      <c r="CX1169" s="476">
        <f t="shared" si="2767"/>
        <v>22.333333333333336</v>
      </c>
      <c r="CY1169" s="476">
        <f t="shared" si="2768"/>
        <v>22.333333333333336</v>
      </c>
      <c r="CZ1169" s="476">
        <f t="shared" si="2769"/>
        <v>22.333333333333336</v>
      </c>
      <c r="DA1169" s="476">
        <f t="shared" si="2770"/>
        <v>22.333333333333336</v>
      </c>
      <c r="DB1169" s="476">
        <f t="shared" si="2770"/>
        <v>22.333333333333336</v>
      </c>
      <c r="DC1169" s="682">
        <f t="shared" si="2770"/>
        <v>22.333333333333336</v>
      </c>
      <c r="DD1169" s="331"/>
      <c r="DE1169" s="331"/>
      <c r="DF1169" s="502"/>
      <c r="DG1169" s="503"/>
      <c r="DH1169" s="2577"/>
      <c r="DI1169" s="3213"/>
      <c r="DJ1169" s="502"/>
      <c r="DK1169" s="503"/>
      <c r="DL1169" s="502"/>
      <c r="DM1169" s="502"/>
      <c r="DN1169" s="502"/>
      <c r="DO1169" s="502"/>
      <c r="DP1169" s="503"/>
      <c r="DQ1169" s="503"/>
      <c r="DR1169" s="296"/>
      <c r="DS1169" s="296"/>
      <c r="DT1169" s="296"/>
    </row>
    <row r="1170" spans="1:124" ht="12" customHeight="1" x14ac:dyDescent="0.25">
      <c r="A1170" s="465" t="s">
        <v>646</v>
      </c>
      <c r="B1170" s="579"/>
      <c r="C1170" s="467"/>
      <c r="D1170" s="467"/>
      <c r="E1170" s="467"/>
      <c r="F1170" s="467"/>
      <c r="G1170" s="468"/>
      <c r="H1170" s="467"/>
      <c r="I1170" s="467"/>
      <c r="J1170" s="467"/>
      <c r="K1170" s="467"/>
      <c r="L1170" s="468"/>
      <c r="M1170" s="467"/>
      <c r="N1170" s="467"/>
      <c r="O1170" s="467"/>
      <c r="P1170" s="467"/>
      <c r="Q1170" s="468"/>
      <c r="R1170" s="467"/>
      <c r="S1170" s="467"/>
      <c r="T1170" s="467"/>
      <c r="U1170" s="467"/>
      <c r="V1170" s="468"/>
      <c r="W1170" s="467"/>
      <c r="X1170" s="467"/>
      <c r="Y1170" s="467"/>
      <c r="Z1170" s="467"/>
      <c r="AA1170" s="468"/>
      <c r="AB1170" s="467"/>
      <c r="AC1170" s="467"/>
      <c r="AD1170" s="467"/>
      <c r="AE1170" s="469"/>
      <c r="AF1170" s="470"/>
      <c r="AG1170" s="467"/>
      <c r="AH1170" s="467"/>
      <c r="AI1170" s="467"/>
      <c r="AJ1170" s="469"/>
      <c r="AK1170" s="470"/>
      <c r="AL1170" s="467"/>
      <c r="AM1170" s="467"/>
      <c r="AN1170" s="467"/>
      <c r="AO1170" s="469"/>
      <c r="AP1170" s="471"/>
      <c r="AQ1170" s="471">
        <f t="shared" ref="AQ1170:BK1170" si="2779">AQ1169/AQ1156</f>
        <v>0.11172535376048999</v>
      </c>
      <c r="AR1170" s="469">
        <f t="shared" si="2779"/>
        <v>0.2020311670767598</v>
      </c>
      <c r="AS1170" s="469">
        <f t="shared" si="2779"/>
        <v>0.19947600333452425</v>
      </c>
      <c r="AT1170" s="469">
        <f t="shared" si="2779"/>
        <v>0.19016802906448685</v>
      </c>
      <c r="AU1170" s="470">
        <f t="shared" si="2779"/>
        <v>0.17769534451594615</v>
      </c>
      <c r="AV1170" s="471">
        <f>AV1169/AV1156</f>
        <v>0.17619342584585804</v>
      </c>
      <c r="AW1170" s="469">
        <f>AW1169/AW1156</f>
        <v>0.17292512967168031</v>
      </c>
      <c r="AX1170" s="469">
        <f>AX1169/AX1156</f>
        <v>0.17426241718387675</v>
      </c>
      <c r="AY1170" s="1463">
        <f>AY1169/AY1156</f>
        <v>0.17534431321214078</v>
      </c>
      <c r="AZ1170" s="470">
        <f t="shared" si="2779"/>
        <v>0.17467274031845018</v>
      </c>
      <c r="BA1170" s="471">
        <f>BA1169/BA1156</f>
        <v>0.17210616264588971</v>
      </c>
      <c r="BB1170" s="469">
        <f>BB1169/BB1156</f>
        <v>0.17217938419428086</v>
      </c>
      <c r="BC1170" s="469">
        <f>BC1169/BC1156</f>
        <v>0.17038754893115782</v>
      </c>
      <c r="BD1170" s="1463">
        <f>BD1169/BD1156</f>
        <v>0.16407852146123295</v>
      </c>
      <c r="BE1170" s="1463">
        <f t="shared" si="2779"/>
        <v>0.16962176182087232</v>
      </c>
      <c r="BF1170" s="469">
        <f t="shared" si="2779"/>
        <v>0.15529621379484201</v>
      </c>
      <c r="BG1170" s="469">
        <f t="shared" si="2779"/>
        <v>0.15206421903020106</v>
      </c>
      <c r="BH1170" s="469">
        <f t="shared" si="2779"/>
        <v>0.1616042542732255</v>
      </c>
      <c r="BI1170" s="1463">
        <f t="shared" si="2779"/>
        <v>0.16234627862173218</v>
      </c>
      <c r="BJ1170" s="1463">
        <f t="shared" si="2779"/>
        <v>0.15770939731983533</v>
      </c>
      <c r="BK1170" s="469">
        <f t="shared" si="2779"/>
        <v>0.15206493003330887</v>
      </c>
      <c r="BL1170" s="469">
        <f t="shared" ref="BL1170:CF1170" si="2780">BL1169/BL1156</f>
        <v>0.15999366494930006</v>
      </c>
      <c r="BM1170" s="469">
        <f t="shared" si="2780"/>
        <v>0.16082018708611387</v>
      </c>
      <c r="BN1170" s="1463">
        <f t="shared" si="2780"/>
        <v>0.16103796364431811</v>
      </c>
      <c r="BO1170" s="1463">
        <f t="shared" si="2780"/>
        <v>0.15838932989230328</v>
      </c>
      <c r="BP1170" s="469">
        <f t="shared" si="2780"/>
        <v>0.15587298036647818</v>
      </c>
      <c r="BQ1170" s="469">
        <f t="shared" si="2780"/>
        <v>0.15468404729143548</v>
      </c>
      <c r="BR1170" s="469">
        <f t="shared" si="2780"/>
        <v>0.15745396839072234</v>
      </c>
      <c r="BS1170" s="469">
        <f t="shared" si="2780"/>
        <v>0.15349716941098415</v>
      </c>
      <c r="BT1170" s="470">
        <f t="shared" si="2780"/>
        <v>0.15536326724064867</v>
      </c>
      <c r="BU1170" s="469">
        <f t="shared" si="2780"/>
        <v>0.15351797508756207</v>
      </c>
      <c r="BV1170" s="469">
        <f t="shared" si="2780"/>
        <v>0.15234643685142649</v>
      </c>
      <c r="BW1170" s="469">
        <f t="shared" si="2780"/>
        <v>0.15507396797212061</v>
      </c>
      <c r="BX1170" s="469">
        <f t="shared" si="2780"/>
        <v>0.15117858964682523</v>
      </c>
      <c r="BY1170" s="470">
        <f t="shared" si="2780"/>
        <v>0.15301568567634952</v>
      </c>
      <c r="BZ1170" s="470">
        <f t="shared" si="2780"/>
        <v>0.15146699339949365</v>
      </c>
      <c r="CA1170" s="470">
        <f t="shared" si="2780"/>
        <v>0.15104397321491883</v>
      </c>
      <c r="CB1170" s="470">
        <f t="shared" si="2780"/>
        <v>0.15962574072886393</v>
      </c>
      <c r="CC1170" s="470">
        <f t="shared" si="2780"/>
        <v>0.16823457483502932</v>
      </c>
      <c r="CD1170" s="470">
        <f t="shared" si="2780"/>
        <v>0.16485602877641928</v>
      </c>
      <c r="CE1170" s="470">
        <f t="shared" si="2780"/>
        <v>0.16109507927815719</v>
      </c>
      <c r="CF1170" s="470">
        <f t="shared" si="2780"/>
        <v>0.15830570602744468</v>
      </c>
      <c r="CG1170" s="972"/>
      <c r="CH1170" s="972"/>
      <c r="CI1170" s="972"/>
      <c r="CJ1170" s="972"/>
      <c r="CK1170" s="972"/>
      <c r="CL1170" s="1310" t="str">
        <f t="shared" si="2764"/>
        <v>% of Net revenue</v>
      </c>
      <c r="CM1170" s="469"/>
      <c r="CN1170" s="469"/>
      <c r="CO1170" s="469"/>
      <c r="CP1170" s="469"/>
      <c r="CQ1170" s="469"/>
      <c r="CR1170" s="469"/>
      <c r="CS1170" s="469"/>
      <c r="CT1170" s="469"/>
      <c r="CU1170" s="469">
        <f>AU1170</f>
        <v>0.17769534451594615</v>
      </c>
      <c r="CV1170" s="469">
        <f t="shared" si="2765"/>
        <v>0.17467274031845018</v>
      </c>
      <c r="CW1170" s="469">
        <f t="shared" si="2766"/>
        <v>0.16962176182087232</v>
      </c>
      <c r="CX1170" s="469">
        <f t="shared" si="2767"/>
        <v>0.15770939731983533</v>
      </c>
      <c r="CY1170" s="469">
        <f t="shared" si="2768"/>
        <v>0.15838932989230328</v>
      </c>
      <c r="CZ1170" s="469">
        <f t="shared" si="2769"/>
        <v>0.15536326724064867</v>
      </c>
      <c r="DA1170" s="469">
        <f t="shared" si="2770"/>
        <v>0.15301568567634952</v>
      </c>
      <c r="DB1170" s="469">
        <f t="shared" si="2770"/>
        <v>0.15146699339949365</v>
      </c>
      <c r="DC1170" s="1463">
        <f t="shared" si="2770"/>
        <v>0.15104397321491883</v>
      </c>
      <c r="DD1170" s="972"/>
      <c r="DE1170" s="972"/>
      <c r="DF1170" s="974"/>
      <c r="DG1170" s="975"/>
      <c r="DH1170" s="469"/>
      <c r="DI1170" s="3213"/>
      <c r="DJ1170" s="974"/>
      <c r="DK1170" s="975"/>
      <c r="DL1170" s="974"/>
      <c r="DM1170" s="974"/>
      <c r="DN1170" s="974"/>
      <c r="DO1170" s="974"/>
      <c r="DP1170" s="975"/>
      <c r="DQ1170" s="975"/>
      <c r="DR1170" s="976"/>
      <c r="DS1170" s="976"/>
      <c r="DT1170" s="976"/>
    </row>
    <row r="1171" spans="1:124" ht="12" customHeight="1" x14ac:dyDescent="0.25">
      <c r="A1171" s="333" t="s">
        <v>2226</v>
      </c>
      <c r="B1171" s="281"/>
      <c r="C1171" s="570"/>
      <c r="D1171" s="570"/>
      <c r="E1171" s="570"/>
      <c r="F1171" s="570"/>
      <c r="G1171" s="475"/>
      <c r="H1171" s="570"/>
      <c r="I1171" s="570"/>
      <c r="J1171" s="570"/>
      <c r="K1171" s="570"/>
      <c r="L1171" s="475"/>
      <c r="M1171" s="570"/>
      <c r="N1171" s="570"/>
      <c r="O1171" s="570"/>
      <c r="P1171" s="570"/>
      <c r="Q1171" s="475"/>
      <c r="R1171" s="570"/>
      <c r="S1171" s="570"/>
      <c r="T1171" s="570"/>
      <c r="U1171" s="570"/>
      <c r="V1171" s="475"/>
      <c r="W1171" s="570"/>
      <c r="X1171" s="570"/>
      <c r="Y1171" s="570"/>
      <c r="Z1171" s="570"/>
      <c r="AA1171" s="475"/>
      <c r="AB1171" s="570"/>
      <c r="AC1171" s="570"/>
      <c r="AD1171" s="570"/>
      <c r="AE1171" s="572"/>
      <c r="AF1171" s="477"/>
      <c r="AG1171" s="570"/>
      <c r="AH1171" s="570"/>
      <c r="AI1171" s="570"/>
      <c r="AJ1171" s="572"/>
      <c r="AK1171" s="477"/>
      <c r="AL1171" s="570"/>
      <c r="AM1171" s="570"/>
      <c r="AN1171" s="570"/>
      <c r="AO1171" s="572"/>
      <c r="AP1171" s="478"/>
      <c r="AQ1171" s="478">
        <f>AQ1166-AQ1169</f>
        <v>4.6742624133333353</v>
      </c>
      <c r="AR1171" s="476">
        <f>AR1166-AR1169</f>
        <v>2.980186666666663</v>
      </c>
      <c r="AS1171" s="476">
        <f>AS1166-AS1169</f>
        <v>3.0934666666666626</v>
      </c>
      <c r="AT1171" s="476">
        <f>AT1166-AT1169</f>
        <v>3.5318666666666676</v>
      </c>
      <c r="AU1171" s="477">
        <f>+SUM(AQ1171:AT1171)</f>
        <v>14.279782413333328</v>
      </c>
      <c r="AV1171" s="478">
        <f>AV1166-AV1169</f>
        <v>4.7154807377479155</v>
      </c>
      <c r="AW1171" s="476">
        <f>AW1166-AW1169</f>
        <v>4.9101289921166664</v>
      </c>
      <c r="AX1171" s="476">
        <f>AX1166-AX1169</f>
        <v>4.8296022993604115</v>
      </c>
      <c r="AY1171" s="682">
        <f>AY1166-AY1169</f>
        <v>4.7653532028416681</v>
      </c>
      <c r="AZ1171" s="477">
        <f>AZ1166-AZ1169</f>
        <v>19.220565232066669</v>
      </c>
      <c r="BA1171" s="3144">
        <f>+BA1172*2</f>
        <v>4.9660000000000002</v>
      </c>
      <c r="BB1171" s="3145">
        <f>+BB1172*2</f>
        <v>2.9460000000000002</v>
      </c>
      <c r="BC1171" s="3145">
        <f>+BC1172*2</f>
        <v>4.5819999999999999</v>
      </c>
      <c r="BD1171" s="3145">
        <f>+BD1172*2</f>
        <v>3.4039999999999999</v>
      </c>
      <c r="BE1171" s="477">
        <f>SUM(BA1171:BD1171)</f>
        <v>15.898</v>
      </c>
      <c r="BF1171" s="3144">
        <f>+BF1172*2</f>
        <v>7.9640000000000004</v>
      </c>
      <c r="BG1171" s="3145">
        <f>+BG1172*2</f>
        <v>8.3079999999999998</v>
      </c>
      <c r="BH1171" s="3145">
        <f>+BH1172*2</f>
        <v>7.5179999999999998</v>
      </c>
      <c r="BI1171" s="3145">
        <f>+BI1172*2</f>
        <v>5.1859999999999999</v>
      </c>
      <c r="BJ1171" s="477">
        <f>SUM(BF1171:BI1171)</f>
        <v>28.975999999999999</v>
      </c>
      <c r="BK1171" s="3145">
        <f>+BK1172*2</f>
        <v>9.218</v>
      </c>
      <c r="BL1171" s="3145">
        <f>+BL1172*2</f>
        <v>7.0960000000000001</v>
      </c>
      <c r="BM1171" s="3145">
        <f>+BM1172*2</f>
        <v>7.01</v>
      </c>
      <c r="BN1171" s="3150">
        <f>+BN1172*2</f>
        <v>5.35</v>
      </c>
      <c r="BO1171" s="682">
        <f t="shared" ref="BO1171:BT1171" si="2781">BO1166-BO1169</f>
        <v>28.674000000000014</v>
      </c>
      <c r="BP1171" s="3145">
        <f>+BP1172*2</f>
        <v>9.0960000000000001</v>
      </c>
      <c r="BQ1171" s="3145">
        <f>+BQ1172*2</f>
        <v>10.042</v>
      </c>
      <c r="BR1171" s="3145">
        <f>+BR1172*2</f>
        <v>9.5619999999999994</v>
      </c>
      <c r="BS1171" s="3145">
        <f>+BS1172*2</f>
        <v>8.6419999999999995</v>
      </c>
      <c r="BT1171" s="2604">
        <f t="shared" si="2781"/>
        <v>39.30317579167167</v>
      </c>
      <c r="BU1171" s="2577">
        <f>BU1166-BU1169</f>
        <v>9.1393385134249439</v>
      </c>
      <c r="BV1171" s="2577">
        <f>BV1166-BV1169</f>
        <v>10.098511171773248</v>
      </c>
      <c r="BW1171" s="2577">
        <f>BW1166-BW1169</f>
        <v>9.6144216482807128</v>
      </c>
      <c r="BX1171" s="2577">
        <f>BX1166-BX1169</f>
        <v>10.666763141344665</v>
      </c>
      <c r="BY1171" s="2604">
        <f>BY1166-BY1169</f>
        <v>39.519034474823577</v>
      </c>
      <c r="BZ1171" s="477">
        <f t="shared" ref="BZ1171:CF1171" si="2782">BZ1166-BZ1169</f>
        <v>39.782834198444029</v>
      </c>
      <c r="CA1171" s="477">
        <f t="shared" si="2782"/>
        <v>39.587149855336186</v>
      </c>
      <c r="CB1171" s="477">
        <f t="shared" si="2782"/>
        <v>23.837165023310085</v>
      </c>
      <c r="CC1171" s="477">
        <f t="shared" si="2782"/>
        <v>20.147034769802907</v>
      </c>
      <c r="CD1171" s="477">
        <f t="shared" si="2782"/>
        <v>21.694982690081353</v>
      </c>
      <c r="CE1171" s="477">
        <f t="shared" si="2782"/>
        <v>23.416046678916949</v>
      </c>
      <c r="CF1171" s="477">
        <f t="shared" si="2782"/>
        <v>24.927544713410022</v>
      </c>
      <c r="CG1171" s="331"/>
      <c r="CH1171" s="331"/>
      <c r="CI1171" s="331"/>
      <c r="CJ1171" s="331"/>
      <c r="CK1171" s="331"/>
      <c r="CL1171" s="1149" t="str">
        <f t="shared" si="2764"/>
        <v>Operating Income</v>
      </c>
      <c r="CM1171" s="476"/>
      <c r="CN1171" s="476"/>
      <c r="CO1171" s="476"/>
      <c r="CP1171" s="476"/>
      <c r="CQ1171" s="476"/>
      <c r="CR1171" s="476"/>
      <c r="CS1171" s="476"/>
      <c r="CT1171" s="476"/>
      <c r="CU1171" s="476">
        <f>AU1171</f>
        <v>14.279782413333328</v>
      </c>
      <c r="CV1171" s="476">
        <f t="shared" si="2765"/>
        <v>19.220565232066669</v>
      </c>
      <c r="CW1171" s="476">
        <f t="shared" si="2766"/>
        <v>15.898</v>
      </c>
      <c r="CX1171" s="476">
        <f t="shared" si="2767"/>
        <v>28.975999999999999</v>
      </c>
      <c r="CY1171" s="476">
        <f t="shared" si="2768"/>
        <v>28.674000000000014</v>
      </c>
      <c r="CZ1171" s="476">
        <f t="shared" si="2769"/>
        <v>39.30317579167167</v>
      </c>
      <c r="DA1171" s="476">
        <f t="shared" si="2770"/>
        <v>39.519034474823577</v>
      </c>
      <c r="DB1171" s="476">
        <f t="shared" si="2770"/>
        <v>39.782834198444029</v>
      </c>
      <c r="DC1171" s="682">
        <f t="shared" si="2770"/>
        <v>39.587149855336186</v>
      </c>
      <c r="DD1171" s="331"/>
      <c r="DE1171" s="331"/>
      <c r="DF1171" s="502"/>
      <c r="DG1171" s="503"/>
      <c r="DH1171" s="2577"/>
      <c r="DI1171" s="3213"/>
      <c r="DJ1171" s="502"/>
      <c r="DK1171" s="503"/>
      <c r="DL1171" s="502"/>
      <c r="DM1171" s="502"/>
      <c r="DN1171" s="502"/>
      <c r="DO1171" s="502"/>
      <c r="DP1171" s="503"/>
      <c r="DQ1171" s="503"/>
      <c r="DR1171" s="296"/>
      <c r="DS1171" s="296"/>
      <c r="DT1171" s="296"/>
    </row>
    <row r="1172" spans="1:124" ht="12" customHeight="1" x14ac:dyDescent="0.25">
      <c r="A1172" s="333" t="s">
        <v>2228</v>
      </c>
      <c r="B1172" s="281"/>
      <c r="C1172" s="570"/>
      <c r="D1172" s="570"/>
      <c r="E1172" s="570"/>
      <c r="F1172" s="570"/>
      <c r="G1172" s="475"/>
      <c r="H1172" s="570"/>
      <c r="I1172" s="570"/>
      <c r="J1172" s="570"/>
      <c r="K1172" s="570"/>
      <c r="L1172" s="475"/>
      <c r="M1172" s="570"/>
      <c r="N1172" s="570"/>
      <c r="O1172" s="570"/>
      <c r="P1172" s="570"/>
      <c r="Q1172" s="475"/>
      <c r="R1172" s="570"/>
      <c r="S1172" s="570"/>
      <c r="T1172" s="570"/>
      <c r="U1172" s="570"/>
      <c r="V1172" s="475"/>
      <c r="W1172" s="570"/>
      <c r="X1172" s="570"/>
      <c r="Y1172" s="570"/>
      <c r="Z1172" s="570"/>
      <c r="AA1172" s="475"/>
      <c r="AB1172" s="570"/>
      <c r="AC1172" s="570"/>
      <c r="AD1172" s="570"/>
      <c r="AE1172" s="572"/>
      <c r="AF1172" s="477"/>
      <c r="AG1172" s="570"/>
      <c r="AH1172" s="570"/>
      <c r="AI1172" s="570"/>
      <c r="AJ1172" s="572"/>
      <c r="AK1172" s="477"/>
      <c r="AL1172" s="570"/>
      <c r="AM1172" s="570"/>
      <c r="AN1172" s="570"/>
      <c r="AO1172" s="572"/>
      <c r="AP1172" s="478"/>
      <c r="AQ1172" s="478">
        <f>AQ1171*0.5</f>
        <v>2.3371312066666676</v>
      </c>
      <c r="AR1172" s="476">
        <f>AR1171*0.5</f>
        <v>1.4900933333333315</v>
      </c>
      <c r="AS1172" s="476">
        <f>AS1171*0.5</f>
        <v>1.5467333333333313</v>
      </c>
      <c r="AT1172" s="476">
        <f>AT1171*0.5</f>
        <v>1.7659333333333338</v>
      </c>
      <c r="AU1172" s="477">
        <f>+SUM(AQ1172:AT1172)</f>
        <v>7.1398912066666638</v>
      </c>
      <c r="AV1172" s="478">
        <f>AV1171*0.5</f>
        <v>2.3577403688739578</v>
      </c>
      <c r="AW1172" s="476">
        <f>AW1171*0.5</f>
        <v>2.4550644960583332</v>
      </c>
      <c r="AX1172" s="476">
        <f>AX1171*0.5</f>
        <v>2.4148011496802058</v>
      </c>
      <c r="AY1172" s="682">
        <f>AY1171*0.5</f>
        <v>2.382676601420834</v>
      </c>
      <c r="AZ1172" s="477">
        <f>SUM(AV1172:AY1172)</f>
        <v>9.6102826160333308</v>
      </c>
      <c r="BA1172" s="3144">
        <f>+BA61</f>
        <v>2.4830000000000001</v>
      </c>
      <c r="BB1172" s="3145">
        <f>+BB61</f>
        <v>1.4730000000000001</v>
      </c>
      <c r="BC1172" s="3145">
        <f>+BC61</f>
        <v>2.2909999999999999</v>
      </c>
      <c r="BD1172" s="3145">
        <f>+BD61</f>
        <v>1.702</v>
      </c>
      <c r="BE1172" s="477">
        <f>SUM(BA1172:BD1172)</f>
        <v>7.9489999999999998</v>
      </c>
      <c r="BF1172" s="3144">
        <f>+BF61</f>
        <v>3.9820000000000002</v>
      </c>
      <c r="BG1172" s="3145">
        <f>+BG61</f>
        <v>4.1539999999999999</v>
      </c>
      <c r="BH1172" s="3145">
        <f>+BH61</f>
        <v>3.7589999999999999</v>
      </c>
      <c r="BI1172" s="3145">
        <f>+BI61</f>
        <v>2.593</v>
      </c>
      <c r="BJ1172" s="477">
        <f>SUM(BF1172:BI1172)</f>
        <v>14.488</v>
      </c>
      <c r="BK1172" s="3145">
        <f>+BK61</f>
        <v>4.609</v>
      </c>
      <c r="BL1172" s="3145">
        <f>+BL61</f>
        <v>3.548</v>
      </c>
      <c r="BM1172" s="3145">
        <f>+BM61</f>
        <v>3.5049999999999999</v>
      </c>
      <c r="BN1172" s="3150">
        <f>+BN61</f>
        <v>2.6749999999999998</v>
      </c>
      <c r="BO1172" s="682">
        <f>SUM(BK1172:BN1172)</f>
        <v>14.337</v>
      </c>
      <c r="BP1172" s="3145">
        <f>+BP61</f>
        <v>4.548</v>
      </c>
      <c r="BQ1172" s="3145">
        <f>+BQ61</f>
        <v>5.0209999999999999</v>
      </c>
      <c r="BR1172" s="3145">
        <f>+BR61</f>
        <v>4.7809999999999997</v>
      </c>
      <c r="BS1172" s="3145">
        <f>+BS61</f>
        <v>4.3209999999999997</v>
      </c>
      <c r="BT1172" s="2604">
        <f>SUM(BP1172:BS1172)</f>
        <v>18.670999999999999</v>
      </c>
      <c r="BU1172" s="2577">
        <f>BU1171*0.5</f>
        <v>4.5696692567124719</v>
      </c>
      <c r="BV1172" s="2577">
        <f>BV1171*0.5</f>
        <v>5.0492555858866242</v>
      </c>
      <c r="BW1172" s="2577">
        <f>BW1171*0.5</f>
        <v>4.8072108241403564</v>
      </c>
      <c r="BX1172" s="2577">
        <f>BX1171*0.5</f>
        <v>5.3333815706723326</v>
      </c>
      <c r="BY1172" s="2604">
        <f>SUM(BU1172:BX1172)</f>
        <v>19.759517237411785</v>
      </c>
      <c r="BZ1172" s="477">
        <f t="shared" ref="BZ1172:CF1172" si="2783">BZ1171*0.5</f>
        <v>19.891417099222014</v>
      </c>
      <c r="CA1172" s="477">
        <f t="shared" si="2783"/>
        <v>19.793574927668093</v>
      </c>
      <c r="CB1172" s="477">
        <f t="shared" si="2783"/>
        <v>11.918582511655043</v>
      </c>
      <c r="CC1172" s="477">
        <f t="shared" si="2783"/>
        <v>10.073517384901454</v>
      </c>
      <c r="CD1172" s="477">
        <f t="shared" si="2783"/>
        <v>10.847491345040677</v>
      </c>
      <c r="CE1172" s="477">
        <f t="shared" si="2783"/>
        <v>11.708023339458475</v>
      </c>
      <c r="CF1172" s="477">
        <f t="shared" si="2783"/>
        <v>12.463772356705011</v>
      </c>
      <c r="CG1172" s="331"/>
      <c r="CH1172" s="331"/>
      <c r="CI1172" s="331"/>
      <c r="CJ1172" s="331"/>
      <c r="CK1172" s="331"/>
      <c r="CL1172" s="1149" t="str">
        <f t="shared" si="2764"/>
        <v>Operating Income to Penn (50%)</v>
      </c>
      <c r="CM1172" s="476"/>
      <c r="CN1172" s="476"/>
      <c r="CO1172" s="476"/>
      <c r="CP1172" s="476"/>
      <c r="CQ1172" s="476"/>
      <c r="CR1172" s="476"/>
      <c r="CS1172" s="476"/>
      <c r="CT1172" s="476"/>
      <c r="CU1172" s="476">
        <f>AU1172</f>
        <v>7.1398912066666638</v>
      </c>
      <c r="CV1172" s="476">
        <f t="shared" si="2765"/>
        <v>9.6102826160333308</v>
      </c>
      <c r="CW1172" s="476">
        <f t="shared" si="2766"/>
        <v>7.9489999999999998</v>
      </c>
      <c r="CX1172" s="476">
        <f t="shared" si="2767"/>
        <v>14.488</v>
      </c>
      <c r="CY1172" s="476">
        <f t="shared" si="2768"/>
        <v>14.337</v>
      </c>
      <c r="CZ1172" s="476">
        <f t="shared" si="2769"/>
        <v>18.670999999999999</v>
      </c>
      <c r="DA1172" s="476">
        <f t="shared" si="2770"/>
        <v>19.759517237411785</v>
      </c>
      <c r="DB1172" s="476">
        <f t="shared" si="2770"/>
        <v>19.891417099222014</v>
      </c>
      <c r="DC1172" s="682">
        <f t="shared" si="2770"/>
        <v>19.793574927668093</v>
      </c>
      <c r="DD1172" s="331"/>
      <c r="DE1172" s="331"/>
      <c r="DF1172" s="502"/>
      <c r="DG1172" s="503"/>
      <c r="DH1172" s="2577"/>
      <c r="DI1172" s="3213"/>
      <c r="DJ1172" s="502"/>
      <c r="DK1172" s="503"/>
      <c r="DL1172" s="502"/>
      <c r="DM1172" s="502"/>
      <c r="DN1172" s="502"/>
      <c r="DO1172" s="502"/>
      <c r="DP1172" s="503"/>
      <c r="DQ1172" s="503"/>
      <c r="DR1172" s="296"/>
      <c r="DS1172" s="296"/>
      <c r="DT1172" s="296"/>
    </row>
    <row r="1173" spans="1:124" ht="5.0999999999999996" customHeight="1" x14ac:dyDescent="0.25">
      <c r="A1173" s="465"/>
      <c r="B1173" s="281"/>
      <c r="C1173" s="472"/>
      <c r="D1173" s="472"/>
      <c r="E1173" s="472"/>
      <c r="F1173" s="472"/>
      <c r="G1173" s="491"/>
      <c r="H1173" s="472"/>
      <c r="I1173" s="472"/>
      <c r="J1173" s="472"/>
      <c r="K1173" s="472"/>
      <c r="L1173" s="491"/>
      <c r="M1173" s="472"/>
      <c r="N1173" s="472"/>
      <c r="O1173" s="472"/>
      <c r="P1173" s="472"/>
      <c r="Q1173" s="491"/>
      <c r="R1173" s="472"/>
      <c r="S1173" s="472"/>
      <c r="T1173" s="472"/>
      <c r="U1173" s="472"/>
      <c r="V1173" s="491"/>
      <c r="W1173" s="472"/>
      <c r="X1173" s="472"/>
      <c r="Y1173" s="472"/>
      <c r="Z1173" s="472"/>
      <c r="AA1173" s="491"/>
      <c r="AB1173" s="472"/>
      <c r="AC1173" s="472"/>
      <c r="AD1173" s="472"/>
      <c r="AE1173" s="492"/>
      <c r="AF1173" s="493"/>
      <c r="AG1173" s="472"/>
      <c r="AH1173" s="472"/>
      <c r="AI1173" s="472"/>
      <c r="AJ1173" s="492"/>
      <c r="AK1173" s="493"/>
      <c r="AL1173" s="472"/>
      <c r="AM1173" s="472"/>
      <c r="AN1173" s="472"/>
      <c r="AO1173" s="492"/>
      <c r="AP1173" s="494"/>
      <c r="AQ1173" s="494"/>
      <c r="AR1173" s="492"/>
      <c r="AS1173" s="492"/>
      <c r="AT1173" s="492"/>
      <c r="AU1173" s="493"/>
      <c r="AV1173" s="494"/>
      <c r="AW1173" s="492"/>
      <c r="AX1173" s="492"/>
      <c r="AY1173" s="1311"/>
      <c r="AZ1173" s="493"/>
      <c r="BA1173" s="494"/>
      <c r="BB1173" s="492"/>
      <c r="BC1173" s="492"/>
      <c r="BD1173" s="1311"/>
      <c r="BE1173" s="1311"/>
      <c r="BF1173" s="492"/>
      <c r="BG1173" s="492"/>
      <c r="BH1173" s="492"/>
      <c r="BI1173" s="1311"/>
      <c r="BJ1173" s="1311"/>
      <c r="BK1173" s="492"/>
      <c r="BL1173" s="492"/>
      <c r="BM1173" s="492"/>
      <c r="BN1173" s="1311"/>
      <c r="BO1173" s="1311"/>
      <c r="BP1173" s="492"/>
      <c r="BQ1173" s="492"/>
      <c r="BR1173" s="492"/>
      <c r="BS1173" s="492"/>
      <c r="BT1173" s="2693"/>
      <c r="BU1173" s="2653"/>
      <c r="BV1173" s="2653"/>
      <c r="BW1173" s="2653"/>
      <c r="BX1173" s="2653"/>
      <c r="BY1173" s="2693"/>
      <c r="BZ1173" s="493"/>
      <c r="CA1173" s="493"/>
      <c r="CB1173" s="493"/>
      <c r="CC1173" s="493"/>
      <c r="CD1173" s="493"/>
      <c r="CE1173" s="493"/>
      <c r="CF1173" s="493"/>
      <c r="CG1173" s="331"/>
      <c r="CH1173" s="331"/>
      <c r="CI1173" s="331"/>
      <c r="CJ1173" s="331"/>
      <c r="CK1173" s="331"/>
      <c r="CL1173" s="1310"/>
      <c r="CM1173" s="492"/>
      <c r="CN1173" s="492"/>
      <c r="CO1173" s="492"/>
      <c r="CP1173" s="492"/>
      <c r="CQ1173" s="492"/>
      <c r="CR1173" s="492"/>
      <c r="CS1173" s="492"/>
      <c r="CT1173" s="492"/>
      <c r="CU1173" s="492"/>
      <c r="CV1173" s="492"/>
      <c r="CW1173" s="492"/>
      <c r="CX1173" s="492"/>
      <c r="CY1173" s="492"/>
      <c r="CZ1173" s="492"/>
      <c r="DA1173" s="492"/>
      <c r="DB1173" s="492"/>
      <c r="DC1173" s="1311"/>
      <c r="DD1173" s="331"/>
      <c r="DE1173" s="331"/>
      <c r="DF1173" s="502"/>
      <c r="DG1173" s="503"/>
      <c r="DH1173" s="2653"/>
      <c r="DI1173" s="3213"/>
      <c r="DJ1173" s="502"/>
      <c r="DK1173" s="503"/>
      <c r="DL1173" s="502"/>
      <c r="DM1173" s="502"/>
      <c r="DN1173" s="502"/>
      <c r="DO1173" s="502"/>
      <c r="DP1173" s="503"/>
      <c r="DQ1173" s="503"/>
      <c r="DR1173" s="296"/>
      <c r="DS1173" s="296"/>
      <c r="DT1173" s="296"/>
    </row>
    <row r="1174" spans="1:124" ht="12" customHeight="1" x14ac:dyDescent="0.25">
      <c r="A1174" s="281" t="s">
        <v>2091</v>
      </c>
      <c r="B1174" s="281"/>
      <c r="C1174" s="570"/>
      <c r="D1174" s="570"/>
      <c r="E1174" s="570"/>
      <c r="F1174" s="570"/>
      <c r="G1174" s="475"/>
      <c r="H1174" s="570"/>
      <c r="I1174" s="570"/>
      <c r="J1174" s="570"/>
      <c r="K1174" s="570"/>
      <c r="L1174" s="475"/>
      <c r="M1174" s="570"/>
      <c r="N1174" s="570"/>
      <c r="O1174" s="570"/>
      <c r="P1174" s="570"/>
      <c r="Q1174" s="475"/>
      <c r="R1174" s="570"/>
      <c r="S1174" s="570"/>
      <c r="T1174" s="570"/>
      <c r="U1174" s="570"/>
      <c r="V1174" s="475"/>
      <c r="W1174" s="570"/>
      <c r="X1174" s="570"/>
      <c r="Y1174" s="570"/>
      <c r="Z1174" s="570"/>
      <c r="AA1174" s="475"/>
      <c r="AB1174" s="570"/>
      <c r="AC1174" s="570"/>
      <c r="AD1174" s="570"/>
      <c r="AE1174" s="572"/>
      <c r="AF1174" s="477"/>
      <c r="AG1174" s="570"/>
      <c r="AH1174" s="570"/>
      <c r="AI1174" s="570"/>
      <c r="AJ1174" s="572"/>
      <c r="AK1174" s="477"/>
      <c r="AL1174" s="570"/>
      <c r="AM1174" s="570"/>
      <c r="AN1174" s="570"/>
      <c r="AO1174" s="572"/>
      <c r="AP1174" s="478"/>
      <c r="AQ1174" s="478">
        <f>+Kansas!B69*0.25*0.5</f>
        <v>0.8125</v>
      </c>
      <c r="AR1174" s="476">
        <f>+Kansas!B69*0.25</f>
        <v>1.625</v>
      </c>
      <c r="AS1174" s="476">
        <f>+AR1174</f>
        <v>1.625</v>
      </c>
      <c r="AT1174" s="476">
        <f>+AS1174</f>
        <v>1.625</v>
      </c>
      <c r="AU1174" s="477">
        <f>+SUM(AQ1174:AT1174)</f>
        <v>5.6875</v>
      </c>
      <c r="AV1174" s="478">
        <f>AZ1174/4</f>
        <v>1.625</v>
      </c>
      <c r="AW1174" s="476">
        <f>AV1174</f>
        <v>1.625</v>
      </c>
      <c r="AX1174" s="476">
        <f>AW1174</f>
        <v>1.625</v>
      </c>
      <c r="AY1174" s="682">
        <f>AX1174</f>
        <v>1.625</v>
      </c>
      <c r="AZ1174" s="477">
        <f>Kansas!B69</f>
        <v>6.5</v>
      </c>
      <c r="BA1174" s="478">
        <f>BE1174/4</f>
        <v>1.4625000000000001</v>
      </c>
      <c r="BB1174" s="476">
        <f>BA1174</f>
        <v>1.4625000000000001</v>
      </c>
      <c r="BC1174" s="476">
        <f>BB1174</f>
        <v>1.4625000000000001</v>
      </c>
      <c r="BD1174" s="682">
        <f>BC1174</f>
        <v>1.4625000000000001</v>
      </c>
      <c r="BE1174" s="682">
        <f>Kansas!C69</f>
        <v>5.8500000000000005</v>
      </c>
      <c r="BF1174" s="476">
        <f>BJ1174/4</f>
        <v>1.1375</v>
      </c>
      <c r="BG1174" s="476">
        <f>BF1174</f>
        <v>1.1375</v>
      </c>
      <c r="BH1174" s="476">
        <f>BG1174</f>
        <v>1.1375</v>
      </c>
      <c r="BI1174" s="682">
        <f>BH1174</f>
        <v>1.1375</v>
      </c>
      <c r="BJ1174" s="682">
        <f>Kansas!D69</f>
        <v>4.55</v>
      </c>
      <c r="BK1174" s="476">
        <f>BO1174/4</f>
        <v>0.8125</v>
      </c>
      <c r="BL1174" s="476">
        <f>BK1174</f>
        <v>0.8125</v>
      </c>
      <c r="BM1174" s="476">
        <f>BL1174</f>
        <v>0.8125</v>
      </c>
      <c r="BN1174" s="682">
        <f>BM1174</f>
        <v>0.8125</v>
      </c>
      <c r="BO1174" s="682">
        <f>Kansas!E69</f>
        <v>3.25</v>
      </c>
      <c r="BP1174" s="476">
        <f>+$BT$1174/4</f>
        <v>0.8125</v>
      </c>
      <c r="BQ1174" s="476">
        <f>+$BT$1174/4</f>
        <v>0.8125</v>
      </c>
      <c r="BR1174" s="476">
        <f>+$BT$1174/4</f>
        <v>0.8125</v>
      </c>
      <c r="BS1174" s="476">
        <f>+$BT$1174/4</f>
        <v>0.8125</v>
      </c>
      <c r="BT1174" s="2604">
        <f>+BO1174</f>
        <v>3.25</v>
      </c>
      <c r="BU1174" s="2577">
        <f>+$BY$1174/4</f>
        <v>0.8125</v>
      </c>
      <c r="BV1174" s="2577">
        <f>+$BY$1174/4</f>
        <v>0.8125</v>
      </c>
      <c r="BW1174" s="2577">
        <f>+$BY$1174/4</f>
        <v>0.8125</v>
      </c>
      <c r="BX1174" s="2577">
        <f>+$BY$1174/4</f>
        <v>0.8125</v>
      </c>
      <c r="BY1174" s="2604">
        <f>+BT1174</f>
        <v>3.25</v>
      </c>
      <c r="BZ1174" s="477">
        <f t="shared" ref="BZ1174:CF1174" si="2784">BY1174</f>
        <v>3.25</v>
      </c>
      <c r="CA1174" s="477">
        <f t="shared" si="2784"/>
        <v>3.25</v>
      </c>
      <c r="CB1174" s="477">
        <f t="shared" si="2784"/>
        <v>3.25</v>
      </c>
      <c r="CC1174" s="477">
        <f t="shared" si="2784"/>
        <v>3.25</v>
      </c>
      <c r="CD1174" s="477">
        <f t="shared" si="2784"/>
        <v>3.25</v>
      </c>
      <c r="CE1174" s="477">
        <f t="shared" si="2784"/>
        <v>3.25</v>
      </c>
      <c r="CF1174" s="477">
        <f t="shared" si="2784"/>
        <v>3.25</v>
      </c>
      <c r="CG1174" s="331"/>
      <c r="CH1174" s="331"/>
      <c r="CI1174" s="331"/>
      <c r="CJ1174" s="331"/>
      <c r="CK1174" s="331"/>
      <c r="CL1174" s="520" t="str">
        <f>A1174</f>
        <v>Interest expense</v>
      </c>
      <c r="CM1174" s="476"/>
      <c r="CN1174" s="476"/>
      <c r="CO1174" s="476"/>
      <c r="CP1174" s="476"/>
      <c r="CQ1174" s="476"/>
      <c r="CR1174" s="476"/>
      <c r="CS1174" s="476"/>
      <c r="CT1174" s="476"/>
      <c r="CU1174" s="476">
        <f>AU1174</f>
        <v>5.6875</v>
      </c>
      <c r="CV1174" s="476">
        <f>AZ1174</f>
        <v>6.5</v>
      </c>
      <c r="CW1174" s="476">
        <f>BE1174</f>
        <v>5.8500000000000005</v>
      </c>
      <c r="CX1174" s="476">
        <f>BJ1174</f>
        <v>4.55</v>
      </c>
      <c r="CY1174" s="476">
        <f>BO1174</f>
        <v>3.25</v>
      </c>
      <c r="CZ1174" s="476">
        <f>BT1174</f>
        <v>3.25</v>
      </c>
      <c r="DA1174" s="476">
        <f t="shared" ref="DA1174:DC1175" si="2785">BY1174</f>
        <v>3.25</v>
      </c>
      <c r="DB1174" s="476">
        <f t="shared" si="2785"/>
        <v>3.25</v>
      </c>
      <c r="DC1174" s="682">
        <f t="shared" si="2785"/>
        <v>3.25</v>
      </c>
      <c r="DD1174" s="331"/>
      <c r="DE1174" s="331"/>
      <c r="DF1174" s="502"/>
      <c r="DG1174" s="503"/>
      <c r="DH1174" s="2577"/>
      <c r="DI1174" s="3213"/>
      <c r="DJ1174" s="502"/>
      <c r="DK1174" s="503"/>
      <c r="DL1174" s="502"/>
      <c r="DM1174" s="502"/>
      <c r="DN1174" s="502"/>
      <c r="DO1174" s="502"/>
      <c r="DP1174" s="503"/>
      <c r="DQ1174" s="503"/>
      <c r="DR1174" s="296"/>
      <c r="DS1174" s="296"/>
      <c r="DT1174" s="296"/>
    </row>
    <row r="1175" spans="1:124" ht="12" customHeight="1" x14ac:dyDescent="0.25">
      <c r="A1175" s="281" t="s">
        <v>1811</v>
      </c>
      <c r="B1175" s="281"/>
      <c r="C1175" s="570"/>
      <c r="D1175" s="570"/>
      <c r="E1175" s="570"/>
      <c r="F1175" s="570"/>
      <c r="G1175" s="475"/>
      <c r="H1175" s="570"/>
      <c r="I1175" s="570"/>
      <c r="J1175" s="570"/>
      <c r="K1175" s="570"/>
      <c r="L1175" s="475"/>
      <c r="M1175" s="570"/>
      <c r="N1175" s="570"/>
      <c r="O1175" s="570"/>
      <c r="P1175" s="570"/>
      <c r="Q1175" s="475"/>
      <c r="R1175" s="570"/>
      <c r="S1175" s="570"/>
      <c r="T1175" s="570"/>
      <c r="U1175" s="570"/>
      <c r="V1175" s="475"/>
      <c r="W1175" s="570"/>
      <c r="X1175" s="570"/>
      <c r="Y1175" s="570"/>
      <c r="Z1175" s="570"/>
      <c r="AA1175" s="475"/>
      <c r="AB1175" s="570"/>
      <c r="AC1175" s="570"/>
      <c r="AD1175" s="570"/>
      <c r="AE1175" s="572"/>
      <c r="AF1175" s="477"/>
      <c r="AG1175" s="570"/>
      <c r="AH1175" s="570"/>
      <c r="AI1175" s="570"/>
      <c r="AJ1175" s="572"/>
      <c r="AK1175" s="477"/>
      <c r="AL1175" s="570"/>
      <c r="AM1175" s="570"/>
      <c r="AN1175" s="570"/>
      <c r="AO1175" s="572"/>
      <c r="AP1175" s="478"/>
      <c r="AQ1175" s="478">
        <f>AQ1174*0.5</f>
        <v>0.40625</v>
      </c>
      <c r="AR1175" s="476">
        <f>AR1174*0.5</f>
        <v>0.8125</v>
      </c>
      <c r="AS1175" s="476">
        <f>AS1174*0.5</f>
        <v>0.8125</v>
      </c>
      <c r="AT1175" s="476">
        <f>AT1174*0.5</f>
        <v>0.8125</v>
      </c>
      <c r="AU1175" s="477">
        <f>+SUM(AQ1175:AT1175)</f>
        <v>2.84375</v>
      </c>
      <c r="AV1175" s="478">
        <f t="shared" ref="AV1175:BJ1175" si="2786">AV1174*0.5</f>
        <v>0.8125</v>
      </c>
      <c r="AW1175" s="476">
        <f t="shared" si="2786"/>
        <v>0.8125</v>
      </c>
      <c r="AX1175" s="476">
        <f t="shared" si="2786"/>
        <v>0.8125</v>
      </c>
      <c r="AY1175" s="682">
        <f t="shared" si="2786"/>
        <v>0.8125</v>
      </c>
      <c r="AZ1175" s="477">
        <f t="shared" si="2786"/>
        <v>3.25</v>
      </c>
      <c r="BA1175" s="478">
        <f t="shared" si="2786"/>
        <v>0.73125000000000007</v>
      </c>
      <c r="BB1175" s="476">
        <f t="shared" si="2786"/>
        <v>0.73125000000000007</v>
      </c>
      <c r="BC1175" s="476">
        <f t="shared" si="2786"/>
        <v>0.73125000000000007</v>
      </c>
      <c r="BD1175" s="682">
        <f t="shared" si="2786"/>
        <v>0.73125000000000007</v>
      </c>
      <c r="BE1175" s="682">
        <f t="shared" si="2786"/>
        <v>2.9250000000000003</v>
      </c>
      <c r="BF1175" s="476">
        <f t="shared" si="2786"/>
        <v>0.56874999999999998</v>
      </c>
      <c r="BG1175" s="476">
        <f t="shared" si="2786"/>
        <v>0.56874999999999998</v>
      </c>
      <c r="BH1175" s="476">
        <f t="shared" si="2786"/>
        <v>0.56874999999999998</v>
      </c>
      <c r="BI1175" s="682">
        <f t="shared" si="2786"/>
        <v>0.56874999999999998</v>
      </c>
      <c r="BJ1175" s="682">
        <f t="shared" si="2786"/>
        <v>2.2749999999999999</v>
      </c>
      <c r="BK1175" s="476">
        <f t="shared" ref="BK1175:BT1175" si="2787">BK1174*0.5</f>
        <v>0.40625</v>
      </c>
      <c r="BL1175" s="476">
        <f t="shared" si="2787"/>
        <v>0.40625</v>
      </c>
      <c r="BM1175" s="476">
        <f t="shared" si="2787"/>
        <v>0.40625</v>
      </c>
      <c r="BN1175" s="682">
        <f t="shared" si="2787"/>
        <v>0.40625</v>
      </c>
      <c r="BO1175" s="682">
        <f t="shared" si="2787"/>
        <v>1.625</v>
      </c>
      <c r="BP1175" s="476">
        <f t="shared" si="2787"/>
        <v>0.40625</v>
      </c>
      <c r="BQ1175" s="476">
        <f t="shared" si="2787"/>
        <v>0.40625</v>
      </c>
      <c r="BR1175" s="476">
        <f t="shared" si="2787"/>
        <v>0.40625</v>
      </c>
      <c r="BS1175" s="476">
        <f t="shared" si="2787"/>
        <v>0.40625</v>
      </c>
      <c r="BT1175" s="2604">
        <f t="shared" si="2787"/>
        <v>1.625</v>
      </c>
      <c r="BU1175" s="2577">
        <f t="shared" ref="BU1175:CF1175" si="2788">BU1174*0.5</f>
        <v>0.40625</v>
      </c>
      <c r="BV1175" s="2577">
        <f t="shared" si="2788"/>
        <v>0.40625</v>
      </c>
      <c r="BW1175" s="2577">
        <f t="shared" si="2788"/>
        <v>0.40625</v>
      </c>
      <c r="BX1175" s="2577">
        <f t="shared" si="2788"/>
        <v>0.40625</v>
      </c>
      <c r="BY1175" s="2604">
        <f t="shared" si="2788"/>
        <v>1.625</v>
      </c>
      <c r="BZ1175" s="477">
        <f t="shared" si="2788"/>
        <v>1.625</v>
      </c>
      <c r="CA1175" s="477">
        <f t="shared" si="2788"/>
        <v>1.625</v>
      </c>
      <c r="CB1175" s="477">
        <f t="shared" si="2788"/>
        <v>1.625</v>
      </c>
      <c r="CC1175" s="477">
        <f t="shared" si="2788"/>
        <v>1.625</v>
      </c>
      <c r="CD1175" s="477">
        <f t="shared" si="2788"/>
        <v>1.625</v>
      </c>
      <c r="CE1175" s="477">
        <f t="shared" si="2788"/>
        <v>1.625</v>
      </c>
      <c r="CF1175" s="477">
        <f t="shared" si="2788"/>
        <v>1.625</v>
      </c>
      <c r="CG1175" s="331"/>
      <c r="CH1175" s="331"/>
      <c r="CI1175" s="331"/>
      <c r="CJ1175" s="331"/>
      <c r="CK1175" s="331"/>
      <c r="CL1175" s="520" t="str">
        <f>A1175</f>
        <v>Interest expense to Penn (50%)</v>
      </c>
      <c r="CM1175" s="476"/>
      <c r="CN1175" s="476"/>
      <c r="CO1175" s="476"/>
      <c r="CP1175" s="476"/>
      <c r="CQ1175" s="476"/>
      <c r="CR1175" s="476"/>
      <c r="CS1175" s="476"/>
      <c r="CT1175" s="476"/>
      <c r="CU1175" s="476">
        <f>AU1175</f>
        <v>2.84375</v>
      </c>
      <c r="CV1175" s="476">
        <f>AZ1175</f>
        <v>3.25</v>
      </c>
      <c r="CW1175" s="476">
        <f>BE1175</f>
        <v>2.9250000000000003</v>
      </c>
      <c r="CX1175" s="476">
        <f>BJ1175</f>
        <v>2.2749999999999999</v>
      </c>
      <c r="CY1175" s="476">
        <f>BO1175</f>
        <v>1.625</v>
      </c>
      <c r="CZ1175" s="476">
        <f>BT1175</f>
        <v>1.625</v>
      </c>
      <c r="DA1175" s="476">
        <f t="shared" si="2785"/>
        <v>1.625</v>
      </c>
      <c r="DB1175" s="476">
        <f t="shared" si="2785"/>
        <v>1.625</v>
      </c>
      <c r="DC1175" s="682">
        <f t="shared" si="2785"/>
        <v>1.625</v>
      </c>
      <c r="DD1175" s="331"/>
      <c r="DE1175" s="331"/>
      <c r="DF1175" s="502"/>
      <c r="DG1175" s="503"/>
      <c r="DH1175" s="2577"/>
      <c r="DI1175" s="3213"/>
      <c r="DJ1175" s="502"/>
      <c r="DK1175" s="503"/>
      <c r="DL1175" s="502"/>
      <c r="DM1175" s="502"/>
      <c r="DN1175" s="502"/>
      <c r="DO1175" s="502"/>
      <c r="DP1175" s="503"/>
      <c r="DQ1175" s="503"/>
      <c r="DR1175" s="296"/>
      <c r="DS1175" s="296"/>
      <c r="DT1175" s="296"/>
    </row>
    <row r="1176" spans="1:124" ht="5.0999999999999996" customHeight="1" x14ac:dyDescent="0.25">
      <c r="A1176" s="281"/>
      <c r="B1176" s="281"/>
      <c r="C1176" s="570"/>
      <c r="D1176" s="570"/>
      <c r="E1176" s="570"/>
      <c r="F1176" s="570"/>
      <c r="G1176" s="475"/>
      <c r="H1176" s="570"/>
      <c r="I1176" s="570"/>
      <c r="J1176" s="570"/>
      <c r="K1176" s="570"/>
      <c r="L1176" s="475"/>
      <c r="M1176" s="570"/>
      <c r="N1176" s="570"/>
      <c r="O1176" s="570"/>
      <c r="P1176" s="570"/>
      <c r="Q1176" s="475"/>
      <c r="R1176" s="570"/>
      <c r="S1176" s="570"/>
      <c r="T1176" s="570"/>
      <c r="U1176" s="570"/>
      <c r="V1176" s="475"/>
      <c r="W1176" s="570"/>
      <c r="X1176" s="570"/>
      <c r="Y1176" s="570"/>
      <c r="Z1176" s="570"/>
      <c r="AA1176" s="475"/>
      <c r="AB1176" s="570"/>
      <c r="AC1176" s="570"/>
      <c r="AD1176" s="570"/>
      <c r="AE1176" s="572"/>
      <c r="AF1176" s="477"/>
      <c r="AG1176" s="570"/>
      <c r="AH1176" s="570"/>
      <c r="AI1176" s="570"/>
      <c r="AJ1176" s="572"/>
      <c r="AK1176" s="477"/>
      <c r="AL1176" s="570"/>
      <c r="AM1176" s="570"/>
      <c r="AN1176" s="570"/>
      <c r="AO1176" s="572"/>
      <c r="AP1176" s="478"/>
      <c r="AQ1176" s="478"/>
      <c r="AR1176" s="476"/>
      <c r="AS1176" s="476"/>
      <c r="AT1176" s="476"/>
      <c r="AU1176" s="477"/>
      <c r="AV1176" s="478"/>
      <c r="AW1176" s="476"/>
      <c r="AX1176" s="476"/>
      <c r="AY1176" s="682"/>
      <c r="AZ1176" s="477"/>
      <c r="BA1176" s="478"/>
      <c r="BB1176" s="476"/>
      <c r="BC1176" s="476"/>
      <c r="BD1176" s="682"/>
      <c r="BE1176" s="682"/>
      <c r="BF1176" s="476"/>
      <c r="BG1176" s="476"/>
      <c r="BH1176" s="476"/>
      <c r="BI1176" s="682"/>
      <c r="BJ1176" s="682"/>
      <c r="BK1176" s="476"/>
      <c r="BL1176" s="476"/>
      <c r="BM1176" s="476"/>
      <c r="BN1176" s="682"/>
      <c r="BO1176" s="682"/>
      <c r="BP1176" s="476"/>
      <c r="BQ1176" s="476"/>
      <c r="BR1176" s="476"/>
      <c r="BS1176" s="476"/>
      <c r="BT1176" s="2604"/>
      <c r="BU1176" s="2577"/>
      <c r="BV1176" s="2577"/>
      <c r="BW1176" s="2577"/>
      <c r="BX1176" s="2577"/>
      <c r="BY1176" s="2604"/>
      <c r="BZ1176" s="477"/>
      <c r="CA1176" s="477"/>
      <c r="CB1176" s="477"/>
      <c r="CC1176" s="477"/>
      <c r="CD1176" s="477"/>
      <c r="CE1176" s="477"/>
      <c r="CF1176" s="477"/>
      <c r="CG1176" s="331"/>
      <c r="CH1176" s="331"/>
      <c r="CI1176" s="331"/>
      <c r="CJ1176" s="331"/>
      <c r="CK1176" s="331"/>
      <c r="CL1176" s="520"/>
      <c r="CM1176" s="476"/>
      <c r="CN1176" s="476"/>
      <c r="CO1176" s="476"/>
      <c r="CP1176" s="476"/>
      <c r="CQ1176" s="476"/>
      <c r="CR1176" s="476"/>
      <c r="CS1176" s="476"/>
      <c r="CT1176" s="476"/>
      <c r="CU1176" s="476"/>
      <c r="CV1176" s="476"/>
      <c r="CW1176" s="476"/>
      <c r="CX1176" s="476"/>
      <c r="CY1176" s="476"/>
      <c r="CZ1176" s="476"/>
      <c r="DA1176" s="476"/>
      <c r="DB1176" s="476"/>
      <c r="DC1176" s="682"/>
      <c r="DD1176" s="331"/>
      <c r="DE1176" s="331"/>
      <c r="DF1176" s="502"/>
      <c r="DG1176" s="503"/>
      <c r="DH1176" s="2577"/>
      <c r="DI1176" s="3213"/>
      <c r="DJ1176" s="502"/>
      <c r="DK1176" s="503"/>
      <c r="DL1176" s="502"/>
      <c r="DM1176" s="502"/>
      <c r="DN1176" s="502"/>
      <c r="DO1176" s="502"/>
      <c r="DP1176" s="503"/>
      <c r="DQ1176" s="503"/>
      <c r="DR1176" s="296"/>
      <c r="DS1176" s="296"/>
      <c r="DT1176" s="296"/>
    </row>
    <row r="1177" spans="1:124" ht="12" customHeight="1" x14ac:dyDescent="0.25">
      <c r="A1177" s="281" t="s">
        <v>6</v>
      </c>
      <c r="B1177" s="281"/>
      <c r="C1177" s="570"/>
      <c r="D1177" s="570"/>
      <c r="E1177" s="570"/>
      <c r="F1177" s="570"/>
      <c r="G1177" s="475"/>
      <c r="H1177" s="570"/>
      <c r="I1177" s="570"/>
      <c r="J1177" s="570"/>
      <c r="K1177" s="570"/>
      <c r="L1177" s="475"/>
      <c r="M1177" s="570"/>
      <c r="N1177" s="570"/>
      <c r="O1177" s="570"/>
      <c r="P1177" s="570"/>
      <c r="Q1177" s="475"/>
      <c r="R1177" s="570"/>
      <c r="S1177" s="570"/>
      <c r="T1177" s="570"/>
      <c r="U1177" s="570"/>
      <c r="V1177" s="475"/>
      <c r="W1177" s="570"/>
      <c r="X1177" s="570"/>
      <c r="Y1177" s="570"/>
      <c r="Z1177" s="570"/>
      <c r="AA1177" s="475"/>
      <c r="AB1177" s="570"/>
      <c r="AC1177" s="570"/>
      <c r="AD1177" s="570"/>
      <c r="AE1177" s="572"/>
      <c r="AF1177" s="477"/>
      <c r="AG1177" s="570"/>
      <c r="AH1177" s="570"/>
      <c r="AI1177" s="570"/>
      <c r="AJ1177" s="572"/>
      <c r="AK1177" s="477"/>
      <c r="AL1177" s="570"/>
      <c r="AM1177" s="570"/>
      <c r="AN1177" s="570"/>
      <c r="AO1177" s="572"/>
      <c r="AP1177" s="478"/>
      <c r="AQ1177" s="478">
        <f t="shared" ref="AQ1177:BI1177" si="2789">0.4*(AQ1171-AQ1174)</f>
        <v>1.5447049653333342</v>
      </c>
      <c r="AR1177" s="476">
        <f t="shared" si="2789"/>
        <v>0.54207466666666526</v>
      </c>
      <c r="AS1177" s="476">
        <f t="shared" si="2789"/>
        <v>0.58738666666666506</v>
      </c>
      <c r="AT1177" s="476">
        <f t="shared" si="2789"/>
        <v>0.76274666666666713</v>
      </c>
      <c r="AU1177" s="477">
        <f t="shared" si="2789"/>
        <v>3.436912965333331</v>
      </c>
      <c r="AV1177" s="478">
        <f t="shared" si="2789"/>
        <v>1.2361922950991664</v>
      </c>
      <c r="AW1177" s="476">
        <f t="shared" si="2789"/>
        <v>1.3140515968466666</v>
      </c>
      <c r="AX1177" s="476">
        <f t="shared" si="2789"/>
        <v>1.2818409197441647</v>
      </c>
      <c r="AY1177" s="682">
        <f t="shared" si="2789"/>
        <v>1.2561412811366672</v>
      </c>
      <c r="AZ1177" s="477">
        <f t="shared" si="2789"/>
        <v>5.0882260928266678</v>
      </c>
      <c r="BA1177" s="478">
        <f>0.4*(BA1171-BA1174)</f>
        <v>1.4014</v>
      </c>
      <c r="BB1177" s="476">
        <f>0.4*(BB1171-BB1174)</f>
        <v>0.59340000000000004</v>
      </c>
      <c r="BC1177" s="476">
        <f>0.4*(BC1171-BC1174)</f>
        <v>1.2477999999999998</v>
      </c>
      <c r="BD1177" s="682">
        <f>0.4*(BD1171-BD1174)</f>
        <v>0.77659999999999996</v>
      </c>
      <c r="BE1177" s="682">
        <f t="shared" si="2789"/>
        <v>4.0191999999999997</v>
      </c>
      <c r="BF1177" s="476">
        <f t="shared" si="2789"/>
        <v>2.7306000000000004</v>
      </c>
      <c r="BG1177" s="476">
        <f t="shared" si="2789"/>
        <v>2.8681999999999999</v>
      </c>
      <c r="BH1177" s="476">
        <f t="shared" si="2789"/>
        <v>2.5522</v>
      </c>
      <c r="BI1177" s="682">
        <f t="shared" si="2789"/>
        <v>1.6194</v>
      </c>
      <c r="BJ1177" s="682">
        <f t="shared" ref="BJ1177:CF1177" si="2790">0.4*(BJ1171-BJ1174)</f>
        <v>9.7704000000000004</v>
      </c>
      <c r="BK1177" s="476">
        <f t="shared" si="2790"/>
        <v>3.3622000000000001</v>
      </c>
      <c r="BL1177" s="476">
        <f t="shared" si="2790"/>
        <v>2.5134000000000003</v>
      </c>
      <c r="BM1177" s="476">
        <f t="shared" si="2790"/>
        <v>2.4790000000000001</v>
      </c>
      <c r="BN1177" s="682">
        <f t="shared" si="2790"/>
        <v>1.8149999999999999</v>
      </c>
      <c r="BO1177" s="682">
        <f t="shared" si="2790"/>
        <v>10.169600000000006</v>
      </c>
      <c r="BP1177" s="476">
        <f t="shared" si="2790"/>
        <v>3.3134000000000001</v>
      </c>
      <c r="BQ1177" s="476">
        <f t="shared" si="2790"/>
        <v>3.6918000000000002</v>
      </c>
      <c r="BR1177" s="476">
        <f t="shared" si="2790"/>
        <v>3.4998</v>
      </c>
      <c r="BS1177" s="476">
        <f t="shared" si="2790"/>
        <v>3.1318000000000001</v>
      </c>
      <c r="BT1177" s="2604">
        <f t="shared" si="2790"/>
        <v>14.421270316668668</v>
      </c>
      <c r="BU1177" s="2577">
        <f>0.4*(BU1171-BU1174)</f>
        <v>3.3307354053699778</v>
      </c>
      <c r="BV1177" s="2577">
        <f>0.4*(BV1171-BV1174)</f>
        <v>3.7144044687092994</v>
      </c>
      <c r="BW1177" s="2577">
        <f>0.4*(BW1171-BW1174)</f>
        <v>3.5207686593122851</v>
      </c>
      <c r="BX1177" s="2577">
        <f>0.4*(BX1171-BX1174)</f>
        <v>3.9417052565378663</v>
      </c>
      <c r="BY1177" s="2604">
        <f>0.4*(BY1171-BY1174)</f>
        <v>14.507613789929431</v>
      </c>
      <c r="BZ1177" s="477">
        <f t="shared" si="2790"/>
        <v>14.613133679377611</v>
      </c>
      <c r="CA1177" s="477">
        <f t="shared" si="2790"/>
        <v>14.534859942134474</v>
      </c>
      <c r="CB1177" s="477">
        <f t="shared" si="2790"/>
        <v>8.2348660093240351</v>
      </c>
      <c r="CC1177" s="477">
        <f t="shared" si="2790"/>
        <v>6.7588139079211631</v>
      </c>
      <c r="CD1177" s="477">
        <f t="shared" si="2790"/>
        <v>7.3779930760325421</v>
      </c>
      <c r="CE1177" s="477">
        <f t="shared" si="2790"/>
        <v>8.0664186715667796</v>
      </c>
      <c r="CF1177" s="477">
        <f t="shared" si="2790"/>
        <v>8.6710178853640087</v>
      </c>
      <c r="CG1177" s="331"/>
      <c r="CH1177" s="331"/>
      <c r="CI1177" s="331"/>
      <c r="CJ1177" s="331"/>
      <c r="CK1177" s="331"/>
      <c r="CL1177" s="520" t="str">
        <f>A1177</f>
        <v>Income Taxes</v>
      </c>
      <c r="CM1177" s="476"/>
      <c r="CN1177" s="476"/>
      <c r="CO1177" s="476"/>
      <c r="CP1177" s="476"/>
      <c r="CQ1177" s="476"/>
      <c r="CR1177" s="476"/>
      <c r="CS1177" s="476"/>
      <c r="CT1177" s="476"/>
      <c r="CU1177" s="476">
        <f>AU1177</f>
        <v>3.436912965333331</v>
      </c>
      <c r="CV1177" s="476">
        <f>AZ1177</f>
        <v>5.0882260928266678</v>
      </c>
      <c r="CW1177" s="476">
        <f>BE1177</f>
        <v>4.0191999999999997</v>
      </c>
      <c r="CX1177" s="476">
        <f>BJ1177</f>
        <v>9.7704000000000004</v>
      </c>
      <c r="CY1177" s="476">
        <f>BO1177</f>
        <v>10.169600000000006</v>
      </c>
      <c r="CZ1177" s="476">
        <f>BT1177</f>
        <v>14.421270316668668</v>
      </c>
      <c r="DA1177" s="476">
        <f t="shared" ref="DA1177:DC1178" si="2791">BY1177</f>
        <v>14.507613789929431</v>
      </c>
      <c r="DB1177" s="476">
        <f t="shared" si="2791"/>
        <v>14.613133679377611</v>
      </c>
      <c r="DC1177" s="682">
        <f t="shared" si="2791"/>
        <v>14.534859942134474</v>
      </c>
      <c r="DD1177" s="331"/>
      <c r="DE1177" s="331"/>
      <c r="DF1177" s="502"/>
      <c r="DG1177" s="503"/>
      <c r="DH1177" s="2577"/>
      <c r="DI1177" s="3213"/>
      <c r="DJ1177" s="502"/>
      <c r="DK1177" s="503"/>
      <c r="DL1177" s="502"/>
      <c r="DM1177" s="502"/>
      <c r="DN1177" s="502"/>
      <c r="DO1177" s="502"/>
      <c r="DP1177" s="503"/>
      <c r="DQ1177" s="503"/>
      <c r="DR1177" s="296"/>
      <c r="DS1177" s="296"/>
      <c r="DT1177" s="296"/>
    </row>
    <row r="1178" spans="1:124" ht="12" customHeight="1" x14ac:dyDescent="0.25">
      <c r="A1178" s="281" t="s">
        <v>1423</v>
      </c>
      <c r="B1178" s="281"/>
      <c r="C1178" s="570"/>
      <c r="D1178" s="570"/>
      <c r="E1178" s="570"/>
      <c r="F1178" s="570"/>
      <c r="G1178" s="475"/>
      <c r="H1178" s="570"/>
      <c r="I1178" s="570"/>
      <c r="J1178" s="570"/>
      <c r="K1178" s="570"/>
      <c r="L1178" s="475"/>
      <c r="M1178" s="570"/>
      <c r="N1178" s="570"/>
      <c r="O1178" s="570"/>
      <c r="P1178" s="570"/>
      <c r="Q1178" s="475"/>
      <c r="R1178" s="570"/>
      <c r="S1178" s="570"/>
      <c r="T1178" s="570"/>
      <c r="U1178" s="570"/>
      <c r="V1178" s="475"/>
      <c r="W1178" s="570"/>
      <c r="X1178" s="570"/>
      <c r="Y1178" s="570"/>
      <c r="Z1178" s="570"/>
      <c r="AA1178" s="475"/>
      <c r="AB1178" s="570"/>
      <c r="AC1178" s="570"/>
      <c r="AD1178" s="570"/>
      <c r="AE1178" s="572"/>
      <c r="AF1178" s="477"/>
      <c r="AG1178" s="570"/>
      <c r="AH1178" s="570"/>
      <c r="AI1178" s="570"/>
      <c r="AJ1178" s="572"/>
      <c r="AK1178" s="477"/>
      <c r="AL1178" s="570"/>
      <c r="AM1178" s="570"/>
      <c r="AN1178" s="570"/>
      <c r="AO1178" s="572"/>
      <c r="AP1178" s="478"/>
      <c r="AQ1178" s="478">
        <f t="shared" ref="AQ1178:BK1178" si="2792">AQ1177*0.5</f>
        <v>0.77235248266666712</v>
      </c>
      <c r="AR1178" s="476">
        <f t="shared" si="2792"/>
        <v>0.27103733333333263</v>
      </c>
      <c r="AS1178" s="476">
        <f t="shared" si="2792"/>
        <v>0.29369333333333253</v>
      </c>
      <c r="AT1178" s="476">
        <f t="shared" si="2792"/>
        <v>0.38137333333333356</v>
      </c>
      <c r="AU1178" s="477">
        <f t="shared" si="2792"/>
        <v>1.7184564826666655</v>
      </c>
      <c r="AV1178" s="478">
        <f>AV1177*0.5</f>
        <v>0.6180961475495832</v>
      </c>
      <c r="AW1178" s="476">
        <f>AW1177*0.5</f>
        <v>0.65702579842333331</v>
      </c>
      <c r="AX1178" s="476">
        <f>AX1177*0.5</f>
        <v>0.64092045987208235</v>
      </c>
      <c r="AY1178" s="682">
        <f>AY1177*0.5</f>
        <v>0.62807064056833362</v>
      </c>
      <c r="AZ1178" s="477">
        <f t="shared" si="2792"/>
        <v>2.5441130464133339</v>
      </c>
      <c r="BA1178" s="478">
        <f>BA1177*0.5</f>
        <v>0.70069999999999999</v>
      </c>
      <c r="BB1178" s="476">
        <f>BB1177*0.5</f>
        <v>0.29670000000000002</v>
      </c>
      <c r="BC1178" s="476">
        <f>BC1177*0.5</f>
        <v>0.6238999999999999</v>
      </c>
      <c r="BD1178" s="682">
        <f>BD1177*0.5</f>
        <v>0.38829999999999998</v>
      </c>
      <c r="BE1178" s="682">
        <f t="shared" si="2792"/>
        <v>2.0095999999999998</v>
      </c>
      <c r="BF1178" s="476">
        <f t="shared" si="2792"/>
        <v>1.3653000000000002</v>
      </c>
      <c r="BG1178" s="476">
        <f t="shared" si="2792"/>
        <v>1.4340999999999999</v>
      </c>
      <c r="BH1178" s="476">
        <f t="shared" si="2792"/>
        <v>1.2761</v>
      </c>
      <c r="BI1178" s="682">
        <f t="shared" si="2792"/>
        <v>0.80969999999999998</v>
      </c>
      <c r="BJ1178" s="682">
        <f t="shared" si="2792"/>
        <v>4.8852000000000002</v>
      </c>
      <c r="BK1178" s="476">
        <f t="shared" si="2792"/>
        <v>1.6811</v>
      </c>
      <c r="BL1178" s="476">
        <f t="shared" ref="BL1178:CF1178" si="2793">BL1177*0.5</f>
        <v>1.2567000000000002</v>
      </c>
      <c r="BM1178" s="476">
        <f t="shared" si="2793"/>
        <v>1.2395</v>
      </c>
      <c r="BN1178" s="682">
        <f t="shared" si="2793"/>
        <v>0.90749999999999997</v>
      </c>
      <c r="BO1178" s="682">
        <f t="shared" si="2793"/>
        <v>5.0848000000000031</v>
      </c>
      <c r="BP1178" s="476">
        <f t="shared" si="2793"/>
        <v>1.6567000000000001</v>
      </c>
      <c r="BQ1178" s="476">
        <f t="shared" si="2793"/>
        <v>1.8459000000000001</v>
      </c>
      <c r="BR1178" s="476">
        <f t="shared" si="2793"/>
        <v>1.7499</v>
      </c>
      <c r="BS1178" s="476">
        <f t="shared" si="2793"/>
        <v>1.5659000000000001</v>
      </c>
      <c r="BT1178" s="2604">
        <f t="shared" si="2793"/>
        <v>7.210635158334334</v>
      </c>
      <c r="BU1178" s="2577">
        <f t="shared" si="2793"/>
        <v>1.6653677026849889</v>
      </c>
      <c r="BV1178" s="2577">
        <f t="shared" si="2793"/>
        <v>1.8572022343546497</v>
      </c>
      <c r="BW1178" s="2577">
        <f t="shared" si="2793"/>
        <v>1.7603843296561426</v>
      </c>
      <c r="BX1178" s="2577">
        <f t="shared" si="2793"/>
        <v>1.9708526282689331</v>
      </c>
      <c r="BY1178" s="2604">
        <f t="shared" si="2793"/>
        <v>7.2538068949647156</v>
      </c>
      <c r="BZ1178" s="477">
        <f t="shared" si="2793"/>
        <v>7.3065668396888057</v>
      </c>
      <c r="CA1178" s="477">
        <f t="shared" si="2793"/>
        <v>7.2674299710672372</v>
      </c>
      <c r="CB1178" s="477">
        <f t="shared" si="2793"/>
        <v>4.1174330046620176</v>
      </c>
      <c r="CC1178" s="477">
        <f t="shared" si="2793"/>
        <v>3.3794069539605815</v>
      </c>
      <c r="CD1178" s="477">
        <f t="shared" si="2793"/>
        <v>3.688996538016271</v>
      </c>
      <c r="CE1178" s="477">
        <f t="shared" si="2793"/>
        <v>4.0332093357833898</v>
      </c>
      <c r="CF1178" s="477">
        <f t="shared" si="2793"/>
        <v>4.3355089426820044</v>
      </c>
      <c r="CG1178" s="331"/>
      <c r="CH1178" s="331"/>
      <c r="CI1178" s="331"/>
      <c r="CJ1178" s="331"/>
      <c r="CK1178" s="331"/>
      <c r="CL1178" s="520" t="str">
        <f>A1178</f>
        <v>Income Taxes to Penn (50%)</v>
      </c>
      <c r="CM1178" s="476"/>
      <c r="CN1178" s="476"/>
      <c r="CO1178" s="476"/>
      <c r="CP1178" s="476"/>
      <c r="CQ1178" s="476"/>
      <c r="CR1178" s="476"/>
      <c r="CS1178" s="476"/>
      <c r="CT1178" s="476"/>
      <c r="CU1178" s="476">
        <f>AU1178</f>
        <v>1.7184564826666655</v>
      </c>
      <c r="CV1178" s="476">
        <f>AZ1178</f>
        <v>2.5441130464133339</v>
      </c>
      <c r="CW1178" s="476">
        <f>BE1178</f>
        <v>2.0095999999999998</v>
      </c>
      <c r="CX1178" s="476">
        <f>BJ1178</f>
        <v>4.8852000000000002</v>
      </c>
      <c r="CY1178" s="476">
        <f>BO1178</f>
        <v>5.0848000000000031</v>
      </c>
      <c r="CZ1178" s="476">
        <f>BT1178</f>
        <v>7.210635158334334</v>
      </c>
      <c r="DA1178" s="476">
        <f t="shared" si="2791"/>
        <v>7.2538068949647156</v>
      </c>
      <c r="DB1178" s="476">
        <f t="shared" si="2791"/>
        <v>7.3065668396888057</v>
      </c>
      <c r="DC1178" s="682">
        <f t="shared" si="2791"/>
        <v>7.2674299710672372</v>
      </c>
      <c r="DD1178" s="331"/>
      <c r="DE1178" s="331"/>
      <c r="DF1178" s="502"/>
      <c r="DG1178" s="503"/>
      <c r="DH1178" s="2577"/>
      <c r="DI1178" s="3213"/>
      <c r="DJ1178" s="502"/>
      <c r="DK1178" s="503"/>
      <c r="DL1178" s="502"/>
      <c r="DM1178" s="502"/>
      <c r="DN1178" s="502"/>
      <c r="DO1178" s="502"/>
      <c r="DP1178" s="503"/>
      <c r="DQ1178" s="503"/>
      <c r="DR1178" s="296"/>
      <c r="DS1178" s="296"/>
      <c r="DT1178" s="296"/>
    </row>
    <row r="1179" spans="1:124" ht="5.0999999999999996" customHeight="1" x14ac:dyDescent="0.25">
      <c r="A1179" s="333"/>
      <c r="B1179" s="281"/>
      <c r="C1179" s="570"/>
      <c r="D1179" s="570"/>
      <c r="E1179" s="570"/>
      <c r="F1179" s="570"/>
      <c r="G1179" s="475"/>
      <c r="H1179" s="570"/>
      <c r="I1179" s="570"/>
      <c r="J1179" s="570"/>
      <c r="K1179" s="570"/>
      <c r="L1179" s="475"/>
      <c r="M1179" s="570"/>
      <c r="N1179" s="570"/>
      <c r="O1179" s="570"/>
      <c r="P1179" s="570"/>
      <c r="Q1179" s="475"/>
      <c r="R1179" s="570"/>
      <c r="S1179" s="570"/>
      <c r="T1179" s="570"/>
      <c r="U1179" s="570"/>
      <c r="V1179" s="475"/>
      <c r="W1179" s="570"/>
      <c r="X1179" s="570"/>
      <c r="Y1179" s="570"/>
      <c r="Z1179" s="570"/>
      <c r="AA1179" s="475"/>
      <c r="AB1179" s="570"/>
      <c r="AC1179" s="570"/>
      <c r="AD1179" s="570"/>
      <c r="AE1179" s="572"/>
      <c r="AF1179" s="477"/>
      <c r="AG1179" s="570"/>
      <c r="AH1179" s="570"/>
      <c r="AI1179" s="570"/>
      <c r="AJ1179" s="572"/>
      <c r="AK1179" s="477"/>
      <c r="AL1179" s="570"/>
      <c r="AM1179" s="570"/>
      <c r="AN1179" s="570"/>
      <c r="AO1179" s="572"/>
      <c r="AP1179" s="478"/>
      <c r="AQ1179" s="478"/>
      <c r="AR1179" s="476"/>
      <c r="AS1179" s="476"/>
      <c r="AT1179" s="476"/>
      <c r="AU1179" s="477"/>
      <c r="AV1179" s="478"/>
      <c r="AW1179" s="476"/>
      <c r="AX1179" s="476"/>
      <c r="AY1179" s="682"/>
      <c r="AZ1179" s="477"/>
      <c r="BA1179" s="478"/>
      <c r="BB1179" s="476"/>
      <c r="BC1179" s="476"/>
      <c r="BD1179" s="682"/>
      <c r="BE1179" s="682"/>
      <c r="BF1179" s="476"/>
      <c r="BG1179" s="476"/>
      <c r="BH1179" s="476"/>
      <c r="BI1179" s="682"/>
      <c r="BJ1179" s="682"/>
      <c r="BK1179" s="476"/>
      <c r="BL1179" s="476"/>
      <c r="BM1179" s="476"/>
      <c r="BN1179" s="682"/>
      <c r="BO1179" s="682"/>
      <c r="BP1179" s="476"/>
      <c r="BQ1179" s="476"/>
      <c r="BR1179" s="476"/>
      <c r="BS1179" s="476"/>
      <c r="BT1179" s="2604"/>
      <c r="BU1179" s="2577"/>
      <c r="BV1179" s="2577"/>
      <c r="BW1179" s="2577"/>
      <c r="BX1179" s="2577"/>
      <c r="BY1179" s="2604"/>
      <c r="BZ1179" s="477"/>
      <c r="CA1179" s="477"/>
      <c r="CB1179" s="477"/>
      <c r="CC1179" s="477"/>
      <c r="CD1179" s="477"/>
      <c r="CE1179" s="477"/>
      <c r="CF1179" s="477"/>
      <c r="CG1179" s="331"/>
      <c r="CH1179" s="331"/>
      <c r="CI1179" s="331"/>
      <c r="CJ1179" s="331"/>
      <c r="CK1179" s="331"/>
      <c r="CL1179" s="1149"/>
      <c r="CM1179" s="476"/>
      <c r="CN1179" s="476"/>
      <c r="CO1179" s="476"/>
      <c r="CP1179" s="476"/>
      <c r="CQ1179" s="476"/>
      <c r="CR1179" s="476"/>
      <c r="CS1179" s="476"/>
      <c r="CT1179" s="476"/>
      <c r="CU1179" s="476"/>
      <c r="CV1179" s="476"/>
      <c r="CW1179" s="476"/>
      <c r="CX1179" s="476"/>
      <c r="CY1179" s="476"/>
      <c r="CZ1179" s="476"/>
      <c r="DA1179" s="476"/>
      <c r="DB1179" s="476"/>
      <c r="DC1179" s="682"/>
      <c r="DD1179" s="331"/>
      <c r="DE1179" s="331"/>
      <c r="DF1179" s="502"/>
      <c r="DG1179" s="503"/>
      <c r="DH1179" s="2577"/>
      <c r="DI1179" s="3213"/>
      <c r="DJ1179" s="502"/>
      <c r="DK1179" s="503"/>
      <c r="DL1179" s="502"/>
      <c r="DM1179" s="502"/>
      <c r="DN1179" s="502"/>
      <c r="DO1179" s="502"/>
      <c r="DP1179" s="503"/>
      <c r="DQ1179" s="503"/>
      <c r="DR1179" s="296"/>
      <c r="DS1179" s="296"/>
      <c r="DT1179" s="296"/>
    </row>
    <row r="1180" spans="1:124" ht="12" customHeight="1" x14ac:dyDescent="0.25">
      <c r="A1180" s="333" t="s">
        <v>1715</v>
      </c>
      <c r="B1180" s="281"/>
      <c r="C1180" s="570"/>
      <c r="D1180" s="570"/>
      <c r="E1180" s="570"/>
      <c r="F1180" s="570"/>
      <c r="G1180" s="475"/>
      <c r="H1180" s="570"/>
      <c r="I1180" s="570"/>
      <c r="J1180" s="570"/>
      <c r="K1180" s="570"/>
      <c r="L1180" s="475"/>
      <c r="M1180" s="570"/>
      <c r="N1180" s="570"/>
      <c r="O1180" s="570"/>
      <c r="P1180" s="570"/>
      <c r="Q1180" s="475"/>
      <c r="R1180" s="570"/>
      <c r="S1180" s="570"/>
      <c r="T1180" s="570"/>
      <c r="U1180" s="570"/>
      <c r="V1180" s="475"/>
      <c r="W1180" s="570"/>
      <c r="X1180" s="570"/>
      <c r="Y1180" s="570"/>
      <c r="Z1180" s="570"/>
      <c r="AA1180" s="475"/>
      <c r="AB1180" s="570"/>
      <c r="AC1180" s="570"/>
      <c r="AD1180" s="570"/>
      <c r="AE1180" s="572"/>
      <c r="AF1180" s="477"/>
      <c r="AG1180" s="570"/>
      <c r="AH1180" s="570"/>
      <c r="AI1180" s="570"/>
      <c r="AJ1180" s="572"/>
      <c r="AK1180" s="477"/>
      <c r="AL1180" s="570"/>
      <c r="AM1180" s="570"/>
      <c r="AN1180" s="570"/>
      <c r="AO1180" s="572"/>
      <c r="AP1180" s="478"/>
      <c r="AQ1180" s="478">
        <f>AQ1171-AQ1174-AQ1177</f>
        <v>2.3170574480000008</v>
      </c>
      <c r="AR1180" s="476">
        <f>AR1171-AR1174-AR1177</f>
        <v>0.81311199999999773</v>
      </c>
      <c r="AS1180" s="476">
        <f>AS1171-AS1174-AS1177</f>
        <v>0.88107999999999753</v>
      </c>
      <c r="AT1180" s="476">
        <f>AT1171-AT1174-AT1177</f>
        <v>1.1441200000000005</v>
      </c>
      <c r="AU1180" s="477">
        <f>+SUM(AQ1180:AT1180)</f>
        <v>5.1553694479999965</v>
      </c>
      <c r="AV1180" s="478">
        <f t="shared" ref="AV1180:BE1180" si="2794">AV1171-AV1174-AV1177</f>
        <v>1.8542884426487491</v>
      </c>
      <c r="AW1180" s="476">
        <f t="shared" si="2794"/>
        <v>1.9710773952699998</v>
      </c>
      <c r="AX1180" s="476">
        <f t="shared" si="2794"/>
        <v>1.9227613796162468</v>
      </c>
      <c r="AY1180" s="682">
        <f t="shared" si="2794"/>
        <v>1.8842119217050008</v>
      </c>
      <c r="AZ1180" s="477">
        <f t="shared" si="2794"/>
        <v>7.6323391392400008</v>
      </c>
      <c r="BA1180" s="478">
        <f t="shared" si="2794"/>
        <v>2.1021000000000001</v>
      </c>
      <c r="BB1180" s="476">
        <f t="shared" si="2794"/>
        <v>0.8901</v>
      </c>
      <c r="BC1180" s="476">
        <f t="shared" si="2794"/>
        <v>1.8716999999999997</v>
      </c>
      <c r="BD1180" s="682">
        <f t="shared" si="2794"/>
        <v>1.1648999999999998</v>
      </c>
      <c r="BE1180" s="682">
        <f t="shared" si="2794"/>
        <v>6.0287999999999986</v>
      </c>
      <c r="BF1180" s="476">
        <f t="shared" ref="BF1180:BO1180" si="2795">BF1171-BF1174-BF1177</f>
        <v>4.0959000000000003</v>
      </c>
      <c r="BG1180" s="476">
        <f t="shared" si="2795"/>
        <v>4.3022999999999998</v>
      </c>
      <c r="BH1180" s="476">
        <f t="shared" si="2795"/>
        <v>3.8282999999999996</v>
      </c>
      <c r="BI1180" s="682">
        <f t="shared" si="2795"/>
        <v>2.4291</v>
      </c>
      <c r="BJ1180" s="682">
        <f t="shared" si="2795"/>
        <v>14.655599999999998</v>
      </c>
      <c r="BK1180" s="476">
        <f t="shared" si="2795"/>
        <v>5.0433000000000003</v>
      </c>
      <c r="BL1180" s="476">
        <f t="shared" si="2795"/>
        <v>3.7700999999999998</v>
      </c>
      <c r="BM1180" s="476">
        <f t="shared" si="2795"/>
        <v>3.7184999999999997</v>
      </c>
      <c r="BN1180" s="682">
        <f t="shared" si="2795"/>
        <v>2.7224999999999997</v>
      </c>
      <c r="BO1180" s="682">
        <f t="shared" si="2795"/>
        <v>15.254400000000008</v>
      </c>
      <c r="BP1180" s="476">
        <f t="shared" ref="BP1180:CF1180" si="2796">BP1171-BP1174-BP1177</f>
        <v>4.9701000000000004</v>
      </c>
      <c r="BQ1180" s="476">
        <f t="shared" si="2796"/>
        <v>5.5376999999999992</v>
      </c>
      <c r="BR1180" s="476">
        <f t="shared" si="2796"/>
        <v>5.2496999999999989</v>
      </c>
      <c r="BS1180" s="476">
        <f t="shared" si="2796"/>
        <v>4.6976999999999993</v>
      </c>
      <c r="BT1180" s="2604">
        <f t="shared" si="2796"/>
        <v>21.631905475003002</v>
      </c>
      <c r="BU1180" s="2577">
        <f>BU1171-BU1174-BU1177</f>
        <v>4.9961031080549656</v>
      </c>
      <c r="BV1180" s="2577">
        <f>BV1171-BV1174-BV1177</f>
        <v>5.5716067030639493</v>
      </c>
      <c r="BW1180" s="2577">
        <f>BW1171-BW1174-BW1177</f>
        <v>5.2811529889684277</v>
      </c>
      <c r="BX1180" s="2577">
        <f>BX1171-BX1174-BX1177</f>
        <v>5.912557884806799</v>
      </c>
      <c r="BY1180" s="2604">
        <f>BY1171-BY1174-BY1177</f>
        <v>21.761420684894148</v>
      </c>
      <c r="BZ1180" s="477">
        <f t="shared" si="2796"/>
        <v>21.919700519066417</v>
      </c>
      <c r="CA1180" s="477">
        <f t="shared" si="2796"/>
        <v>21.802289913201712</v>
      </c>
      <c r="CB1180" s="477">
        <f t="shared" si="2796"/>
        <v>12.35229901398605</v>
      </c>
      <c r="CC1180" s="477">
        <f t="shared" si="2796"/>
        <v>10.138220861881745</v>
      </c>
      <c r="CD1180" s="477">
        <f t="shared" si="2796"/>
        <v>11.066989614048811</v>
      </c>
      <c r="CE1180" s="477">
        <f t="shared" si="2796"/>
        <v>12.099628007350169</v>
      </c>
      <c r="CF1180" s="477">
        <f t="shared" si="2796"/>
        <v>13.006526828046013</v>
      </c>
      <c r="CG1180" s="331"/>
      <c r="CH1180" s="331"/>
      <c r="CI1180" s="331"/>
      <c r="CJ1180" s="331"/>
      <c r="CK1180" s="331"/>
      <c r="CL1180" s="1149" t="str">
        <f>A1180</f>
        <v>Net Income</v>
      </c>
      <c r="CM1180" s="476"/>
      <c r="CN1180" s="476"/>
      <c r="CO1180" s="476"/>
      <c r="CP1180" s="476"/>
      <c r="CQ1180" s="476"/>
      <c r="CR1180" s="476"/>
      <c r="CS1180" s="476"/>
      <c r="CT1180" s="476"/>
      <c r="CU1180" s="476">
        <f>AU1180</f>
        <v>5.1553694479999965</v>
      </c>
      <c r="CV1180" s="476">
        <f>AZ1180</f>
        <v>7.6323391392400008</v>
      </c>
      <c r="CW1180" s="476">
        <f>BE1180</f>
        <v>6.0287999999999986</v>
      </c>
      <c r="CX1180" s="476">
        <f>BJ1180</f>
        <v>14.655599999999998</v>
      </c>
      <c r="CY1180" s="476">
        <f>BO1180</f>
        <v>15.254400000000008</v>
      </c>
      <c r="CZ1180" s="476">
        <f>BT1180</f>
        <v>21.631905475003002</v>
      </c>
      <c r="DA1180" s="476">
        <f t="shared" ref="DA1180:DC1181" si="2797">BY1180</f>
        <v>21.761420684894148</v>
      </c>
      <c r="DB1180" s="476">
        <f t="shared" si="2797"/>
        <v>21.919700519066417</v>
      </c>
      <c r="DC1180" s="682">
        <f t="shared" si="2797"/>
        <v>21.802289913201712</v>
      </c>
      <c r="DD1180" s="331"/>
      <c r="DE1180" s="331"/>
      <c r="DF1180" s="502"/>
      <c r="DG1180" s="503"/>
      <c r="DH1180" s="2577"/>
      <c r="DI1180" s="3213"/>
      <c r="DJ1180" s="502"/>
      <c r="DK1180" s="503"/>
      <c r="DL1180" s="502"/>
      <c r="DM1180" s="502"/>
      <c r="DN1180" s="502"/>
      <c r="DO1180" s="502"/>
      <c r="DP1180" s="503"/>
      <c r="DQ1180" s="503"/>
      <c r="DR1180" s="296"/>
      <c r="DS1180" s="296"/>
      <c r="DT1180" s="296"/>
    </row>
    <row r="1181" spans="1:124" ht="12" customHeight="1" x14ac:dyDescent="0.25">
      <c r="A1181" s="333" t="s">
        <v>1422</v>
      </c>
      <c r="B1181" s="281"/>
      <c r="C1181" s="570"/>
      <c r="D1181" s="570"/>
      <c r="E1181" s="570"/>
      <c r="F1181" s="570"/>
      <c r="G1181" s="475"/>
      <c r="H1181" s="570"/>
      <c r="I1181" s="570"/>
      <c r="J1181" s="570"/>
      <c r="K1181" s="570"/>
      <c r="L1181" s="475"/>
      <c r="M1181" s="570"/>
      <c r="N1181" s="570"/>
      <c r="O1181" s="570"/>
      <c r="P1181" s="570"/>
      <c r="Q1181" s="475"/>
      <c r="R1181" s="570"/>
      <c r="S1181" s="570"/>
      <c r="T1181" s="570"/>
      <c r="U1181" s="570"/>
      <c r="V1181" s="475"/>
      <c r="W1181" s="570"/>
      <c r="X1181" s="570"/>
      <c r="Y1181" s="570"/>
      <c r="Z1181" s="570"/>
      <c r="AA1181" s="475"/>
      <c r="AB1181" s="570"/>
      <c r="AC1181" s="570"/>
      <c r="AD1181" s="570"/>
      <c r="AE1181" s="572"/>
      <c r="AF1181" s="477"/>
      <c r="AG1181" s="570"/>
      <c r="AH1181" s="570"/>
      <c r="AI1181" s="570"/>
      <c r="AJ1181" s="572"/>
      <c r="AK1181" s="477"/>
      <c r="AL1181" s="570"/>
      <c r="AM1181" s="570"/>
      <c r="AN1181" s="570"/>
      <c r="AO1181" s="572"/>
      <c r="AP1181" s="478"/>
      <c r="AQ1181" s="478">
        <f>AQ1180*0.5</f>
        <v>1.1585287240000004</v>
      </c>
      <c r="AR1181" s="476">
        <f>AR1180*0.5</f>
        <v>0.40655599999999886</v>
      </c>
      <c r="AS1181" s="476">
        <f>AS1180*0.5</f>
        <v>0.44053999999999877</v>
      </c>
      <c r="AT1181" s="476">
        <f>AT1180*0.5</f>
        <v>0.57206000000000023</v>
      </c>
      <c r="AU1181" s="477">
        <f>+SUM(AQ1181:AT1181)</f>
        <v>2.5776847239999983</v>
      </c>
      <c r="AV1181" s="478">
        <f t="shared" ref="AV1181:BJ1181" si="2798">AV1180*0.5</f>
        <v>0.92714422132437457</v>
      </c>
      <c r="AW1181" s="476">
        <f t="shared" si="2798"/>
        <v>0.98553869763499991</v>
      </c>
      <c r="AX1181" s="476">
        <f t="shared" si="2798"/>
        <v>0.96138068980812341</v>
      </c>
      <c r="AY1181" s="682">
        <f t="shared" si="2798"/>
        <v>0.94210596085250042</v>
      </c>
      <c r="AZ1181" s="477">
        <f t="shared" si="2798"/>
        <v>3.8161695696200004</v>
      </c>
      <c r="BA1181" s="478">
        <f t="shared" si="2798"/>
        <v>1.05105</v>
      </c>
      <c r="BB1181" s="476">
        <f t="shared" si="2798"/>
        <v>0.44505</v>
      </c>
      <c r="BC1181" s="476">
        <f t="shared" si="2798"/>
        <v>0.93584999999999985</v>
      </c>
      <c r="BD1181" s="682">
        <f t="shared" si="2798"/>
        <v>0.58244999999999991</v>
      </c>
      <c r="BE1181" s="682">
        <f t="shared" si="2798"/>
        <v>3.0143999999999993</v>
      </c>
      <c r="BF1181" s="476">
        <f t="shared" si="2798"/>
        <v>2.0479500000000002</v>
      </c>
      <c r="BG1181" s="476">
        <f t="shared" si="2798"/>
        <v>2.1511499999999999</v>
      </c>
      <c r="BH1181" s="476">
        <f t="shared" si="2798"/>
        <v>1.9141499999999998</v>
      </c>
      <c r="BI1181" s="682">
        <f t="shared" si="2798"/>
        <v>1.21455</v>
      </c>
      <c r="BJ1181" s="682">
        <f t="shared" si="2798"/>
        <v>7.327799999999999</v>
      </c>
      <c r="BK1181" s="476">
        <f t="shared" ref="BK1181:BT1181" si="2799">BK1180*0.5</f>
        <v>2.5216500000000002</v>
      </c>
      <c r="BL1181" s="476">
        <f t="shared" si="2799"/>
        <v>1.8850499999999999</v>
      </c>
      <c r="BM1181" s="476">
        <f t="shared" si="2799"/>
        <v>1.8592499999999998</v>
      </c>
      <c r="BN1181" s="682">
        <f t="shared" si="2799"/>
        <v>1.3612499999999998</v>
      </c>
      <c r="BO1181" s="682">
        <f t="shared" si="2799"/>
        <v>7.6272000000000038</v>
      </c>
      <c r="BP1181" s="476">
        <f t="shared" si="2799"/>
        <v>2.4850500000000002</v>
      </c>
      <c r="BQ1181" s="476">
        <f t="shared" si="2799"/>
        <v>2.7688499999999996</v>
      </c>
      <c r="BR1181" s="476">
        <f t="shared" si="2799"/>
        <v>2.6248499999999995</v>
      </c>
      <c r="BS1181" s="476">
        <f t="shared" si="2799"/>
        <v>2.3488499999999997</v>
      </c>
      <c r="BT1181" s="2604">
        <f t="shared" si="2799"/>
        <v>10.815952737501501</v>
      </c>
      <c r="BU1181" s="2577">
        <f t="shared" ref="BU1181:CF1181" si="2800">BU1180*0.5</f>
        <v>2.4980515540274828</v>
      </c>
      <c r="BV1181" s="2577">
        <f t="shared" si="2800"/>
        <v>2.7858033515319747</v>
      </c>
      <c r="BW1181" s="2577">
        <f t="shared" si="2800"/>
        <v>2.6405764944842138</v>
      </c>
      <c r="BX1181" s="2577">
        <f t="shared" si="2800"/>
        <v>2.9562789424033995</v>
      </c>
      <c r="BY1181" s="2604">
        <f t="shared" si="2800"/>
        <v>10.880710342447074</v>
      </c>
      <c r="BZ1181" s="477">
        <f t="shared" si="2800"/>
        <v>10.959850259533209</v>
      </c>
      <c r="CA1181" s="477">
        <f t="shared" si="2800"/>
        <v>10.901144956600856</v>
      </c>
      <c r="CB1181" s="477">
        <f t="shared" si="2800"/>
        <v>6.176149506993025</v>
      </c>
      <c r="CC1181" s="477">
        <f t="shared" si="2800"/>
        <v>5.0691104309408725</v>
      </c>
      <c r="CD1181" s="477">
        <f t="shared" si="2800"/>
        <v>5.5334948070244057</v>
      </c>
      <c r="CE1181" s="477">
        <f t="shared" si="2800"/>
        <v>6.0498140036750847</v>
      </c>
      <c r="CF1181" s="477">
        <f t="shared" si="2800"/>
        <v>6.5032634140230066</v>
      </c>
      <c r="CG1181" s="331"/>
      <c r="CH1181" s="331"/>
      <c r="CI1181" s="331"/>
      <c r="CJ1181" s="331"/>
      <c r="CK1181" s="331"/>
      <c r="CL1181" s="1149" t="str">
        <f>A1181</f>
        <v>Net Income to Penn (50%)</v>
      </c>
      <c r="CM1181" s="476"/>
      <c r="CN1181" s="476"/>
      <c r="CO1181" s="476"/>
      <c r="CP1181" s="476"/>
      <c r="CQ1181" s="476"/>
      <c r="CR1181" s="476"/>
      <c r="CS1181" s="476"/>
      <c r="CT1181" s="476"/>
      <c r="CU1181" s="476">
        <f>AU1181</f>
        <v>2.5776847239999983</v>
      </c>
      <c r="CV1181" s="476">
        <f>AZ1181</f>
        <v>3.8161695696200004</v>
      </c>
      <c r="CW1181" s="476">
        <f>BE1181</f>
        <v>3.0143999999999993</v>
      </c>
      <c r="CX1181" s="476">
        <f>BJ1181</f>
        <v>7.327799999999999</v>
      </c>
      <c r="CY1181" s="476">
        <f>BO1181</f>
        <v>7.6272000000000038</v>
      </c>
      <c r="CZ1181" s="476">
        <f>BT1181</f>
        <v>10.815952737501501</v>
      </c>
      <c r="DA1181" s="476">
        <f t="shared" si="2797"/>
        <v>10.880710342447074</v>
      </c>
      <c r="DB1181" s="476">
        <f t="shared" si="2797"/>
        <v>10.959850259533209</v>
      </c>
      <c r="DC1181" s="682">
        <f t="shared" si="2797"/>
        <v>10.901144956600856</v>
      </c>
      <c r="DD1181" s="331"/>
      <c r="DE1181" s="331"/>
      <c r="DF1181" s="502"/>
      <c r="DG1181" s="503"/>
      <c r="DH1181" s="2577"/>
      <c r="DI1181" s="3213"/>
      <c r="DJ1181" s="502"/>
      <c r="DK1181" s="503"/>
      <c r="DL1181" s="502"/>
      <c r="DM1181" s="502"/>
      <c r="DN1181" s="502"/>
      <c r="DO1181" s="502"/>
      <c r="DP1181" s="503"/>
      <c r="DQ1181" s="503"/>
      <c r="DR1181" s="296"/>
      <c r="DS1181" s="296"/>
      <c r="DT1181" s="296"/>
    </row>
    <row r="1182" spans="1:124" ht="5.0999999999999996" customHeight="1" x14ac:dyDescent="0.25">
      <c r="A1182" s="281"/>
      <c r="B1182" s="281"/>
      <c r="C1182" s="570"/>
      <c r="D1182" s="570"/>
      <c r="E1182" s="570"/>
      <c r="F1182" s="570"/>
      <c r="G1182" s="475"/>
      <c r="H1182" s="570"/>
      <c r="I1182" s="570"/>
      <c r="J1182" s="570"/>
      <c r="K1182" s="570"/>
      <c r="L1182" s="475"/>
      <c r="M1182" s="570"/>
      <c r="N1182" s="570"/>
      <c r="O1182" s="570"/>
      <c r="P1182" s="570"/>
      <c r="Q1182" s="475"/>
      <c r="R1182" s="570"/>
      <c r="S1182" s="570"/>
      <c r="T1182" s="570"/>
      <c r="U1182" s="570"/>
      <c r="V1182" s="475"/>
      <c r="W1182" s="570"/>
      <c r="X1182" s="570"/>
      <c r="Y1182" s="570"/>
      <c r="Z1182" s="570"/>
      <c r="AA1182" s="475"/>
      <c r="AB1182" s="570"/>
      <c r="AC1182" s="570"/>
      <c r="AD1182" s="570"/>
      <c r="AE1182" s="572"/>
      <c r="AF1182" s="477"/>
      <c r="AG1182" s="570"/>
      <c r="AH1182" s="570"/>
      <c r="AI1182" s="570"/>
      <c r="AJ1182" s="572"/>
      <c r="AK1182" s="477"/>
      <c r="AL1182" s="570"/>
      <c r="AM1182" s="570"/>
      <c r="AN1182" s="570"/>
      <c r="AO1182" s="572"/>
      <c r="AP1182" s="478"/>
      <c r="AQ1182" s="478"/>
      <c r="AR1182" s="476"/>
      <c r="AS1182" s="476"/>
      <c r="AT1182" s="476"/>
      <c r="AU1182" s="477"/>
      <c r="AV1182" s="478"/>
      <c r="AW1182" s="476"/>
      <c r="AX1182" s="476"/>
      <c r="AY1182" s="682"/>
      <c r="AZ1182" s="477"/>
      <c r="BA1182" s="478"/>
      <c r="BB1182" s="476"/>
      <c r="BC1182" s="476"/>
      <c r="BD1182" s="682"/>
      <c r="BE1182" s="682"/>
      <c r="BF1182" s="476"/>
      <c r="BG1182" s="476"/>
      <c r="BH1182" s="476"/>
      <c r="BI1182" s="682"/>
      <c r="BJ1182" s="682"/>
      <c r="BK1182" s="476"/>
      <c r="BL1182" s="476"/>
      <c r="BM1182" s="476"/>
      <c r="BN1182" s="682"/>
      <c r="BO1182" s="682"/>
      <c r="BP1182" s="476"/>
      <c r="BQ1182" s="476"/>
      <c r="BR1182" s="476"/>
      <c r="BS1182" s="476"/>
      <c r="BT1182" s="2604"/>
      <c r="BU1182" s="2577"/>
      <c r="BV1182" s="2577"/>
      <c r="BW1182" s="2577"/>
      <c r="BX1182" s="2577"/>
      <c r="BY1182" s="2604"/>
      <c r="BZ1182" s="477"/>
      <c r="CA1182" s="477"/>
      <c r="CB1182" s="477"/>
      <c r="CC1182" s="477"/>
      <c r="CD1182" s="477"/>
      <c r="CE1182" s="477"/>
      <c r="CF1182" s="477"/>
      <c r="CG1182" s="331"/>
      <c r="CH1182" s="331"/>
      <c r="CI1182" s="331"/>
      <c r="CJ1182" s="331"/>
      <c r="CK1182" s="331"/>
      <c r="CL1182" s="520"/>
      <c r="CM1182" s="476"/>
      <c r="CN1182" s="476"/>
      <c r="CO1182" s="476"/>
      <c r="CP1182" s="476"/>
      <c r="CQ1182" s="476"/>
      <c r="CR1182" s="476"/>
      <c r="CS1182" s="476"/>
      <c r="CT1182" s="476"/>
      <c r="CU1182" s="476"/>
      <c r="CV1182" s="476"/>
      <c r="CW1182" s="476"/>
      <c r="CX1182" s="476"/>
      <c r="CY1182" s="476"/>
      <c r="CZ1182" s="476"/>
      <c r="DA1182" s="476"/>
      <c r="DB1182" s="476"/>
      <c r="DC1182" s="682"/>
      <c r="DD1182" s="331"/>
      <c r="DE1182" s="331"/>
      <c r="DF1182" s="331"/>
      <c r="DG1182" s="442"/>
      <c r="DH1182" s="2577"/>
      <c r="DI1182" s="3213"/>
      <c r="DJ1182" s="331"/>
      <c r="DK1182" s="442"/>
      <c r="DL1182" s="331"/>
      <c r="DM1182" s="331"/>
      <c r="DN1182" s="331"/>
      <c r="DO1182" s="331"/>
      <c r="DP1182" s="442"/>
      <c r="DQ1182" s="442"/>
      <c r="DR1182" s="296"/>
      <c r="DS1182" s="296"/>
      <c r="DT1182" s="296"/>
    </row>
    <row r="1183" spans="1:124" ht="12" customHeight="1" x14ac:dyDescent="0.25">
      <c r="A1183" s="281" t="s">
        <v>1268</v>
      </c>
      <c r="B1183" s="281"/>
      <c r="C1183" s="570"/>
      <c r="D1183" s="570"/>
      <c r="E1183" s="570"/>
      <c r="F1183" s="570"/>
      <c r="G1183" s="475"/>
      <c r="H1183" s="570"/>
      <c r="I1183" s="570"/>
      <c r="J1183" s="570"/>
      <c r="K1183" s="570"/>
      <c r="L1183" s="475"/>
      <c r="M1183" s="570"/>
      <c r="N1183" s="570"/>
      <c r="O1183" s="570"/>
      <c r="P1183" s="570"/>
      <c r="Q1183" s="475"/>
      <c r="R1183" s="570"/>
      <c r="S1183" s="570"/>
      <c r="T1183" s="570"/>
      <c r="U1183" s="570"/>
      <c r="V1183" s="475"/>
      <c r="W1183" s="570"/>
      <c r="X1183" s="570"/>
      <c r="Y1183" s="570"/>
      <c r="Z1183" s="570"/>
      <c r="AA1183" s="475"/>
      <c r="AB1183" s="570"/>
      <c r="AC1183" s="570"/>
      <c r="AD1183" s="570"/>
      <c r="AE1183" s="572"/>
      <c r="AF1183" s="477"/>
      <c r="AG1183" s="570"/>
      <c r="AH1183" s="570"/>
      <c r="AI1183" s="570"/>
      <c r="AJ1183" s="572"/>
      <c r="AK1183" s="477"/>
      <c r="AL1183" s="570"/>
      <c r="AM1183" s="570"/>
      <c r="AN1183" s="570"/>
      <c r="AO1183" s="572"/>
      <c r="AP1183" s="478"/>
      <c r="AQ1183" s="478">
        <f>AQ1180+AQ1169+(AQ1186-AP1186)</f>
        <v>5.1087241146666678</v>
      </c>
      <c r="AR1183" s="476">
        <f>AR1180+AR1169+(AR1186-AQ1186)</f>
        <v>6.3964453333333315</v>
      </c>
      <c r="AS1183" s="476">
        <f>AS1180+AS1169+(AS1186-AR1186)</f>
        <v>6.4644133333333311</v>
      </c>
      <c r="AT1183" s="476">
        <f>AT1180+AT1169+(AT1186-AS1186)</f>
        <v>6.7274533333333348</v>
      </c>
      <c r="AU1183" s="477">
        <f>+SUM(AQ1183:AT1183)</f>
        <v>24.697036114666666</v>
      </c>
      <c r="AV1183" s="478">
        <f t="shared" ref="AV1183:BA1183" si="2801">AV1180+AV1169+(AV1186-AQ1186)</f>
        <v>7.4376217759820831</v>
      </c>
      <c r="AW1183" s="476">
        <f t="shared" si="2801"/>
        <v>7.554410728603334</v>
      </c>
      <c r="AX1183" s="476">
        <f t="shared" si="2801"/>
        <v>7.5060947129495812</v>
      </c>
      <c r="AY1183" s="682">
        <f t="shared" si="2801"/>
        <v>7.4675452550383348</v>
      </c>
      <c r="AZ1183" s="477">
        <f t="shared" si="2801"/>
        <v>29.965672472573338</v>
      </c>
      <c r="BA1183" s="478">
        <f t="shared" si="2801"/>
        <v>7.685433333333334</v>
      </c>
      <c r="BB1183" s="476">
        <f>BB1180+BB1169+(BB1186-AW1186)</f>
        <v>6.4734333333333343</v>
      </c>
      <c r="BC1183" s="476">
        <f>BC1180+BC1169+(BC1186-AX1186)</f>
        <v>7.4550333333333336</v>
      </c>
      <c r="BD1183" s="682">
        <f>BD1180+BD1169+(BD1186-AY1186)</f>
        <v>-3.2517666666666667</v>
      </c>
      <c r="BE1183" s="682">
        <f>BE1180+BE1169+(BE1186-AZ1186)</f>
        <v>18.362133333333333</v>
      </c>
      <c r="BF1183" s="476">
        <f>BF1180+BF1169+(BF1186-BD1186)</f>
        <v>-10.320766666666666</v>
      </c>
      <c r="BG1183" s="476">
        <f>BG1180+BG1169+(BG1186-BF1186)</f>
        <v>9.8856333333333346</v>
      </c>
      <c r="BH1183" s="476">
        <f>BH1180+BH1169+(BH1186-BG1186)</f>
        <v>9.4116333333333344</v>
      </c>
      <c r="BI1183" s="682">
        <f>BI1180+BI1169+(BI1186-BH1186)</f>
        <v>8.012433333333334</v>
      </c>
      <c r="BJ1183" s="682">
        <f>BJ1180+BJ1169+(BJ1186-BE1186)</f>
        <v>16.988933333333335</v>
      </c>
      <c r="BK1183" s="476">
        <f>BK1180+BK1169+(BK1186-BJ1186)</f>
        <v>-9.3733666666666657</v>
      </c>
      <c r="BL1183" s="476">
        <f>BL1180+BL1169+(BL1186-BK1186)</f>
        <v>9.3534333333333333</v>
      </c>
      <c r="BM1183" s="476">
        <f>BM1180+BM1169+(BM1186-BL1186)</f>
        <v>9.3018333333333345</v>
      </c>
      <c r="BN1183" s="682">
        <f>BN1180+BN1169+(BN1186-BM1186)</f>
        <v>8.3058333333333341</v>
      </c>
      <c r="BO1183" s="682">
        <f>BO1180+BO1169+(BO1186-BJ1186)</f>
        <v>17.587733333333347</v>
      </c>
      <c r="BP1183" s="476">
        <f>BP1180+BP1169+(BP1186-BO1186)</f>
        <v>-26.946566666666666</v>
      </c>
      <c r="BQ1183" s="476">
        <f>BQ1180+BQ1169+(BQ1186-BP1186)</f>
        <v>11.121033333333333</v>
      </c>
      <c r="BR1183" s="476">
        <f>BR1180+BR1169+(BR1186-BQ1186)</f>
        <v>10.833033333333333</v>
      </c>
      <c r="BS1183" s="476">
        <f>BS1180+BS1169+(BS1186-BR1186)</f>
        <v>10.281033333333333</v>
      </c>
      <c r="BT1183" s="2604">
        <f>BT1180+BT1169+(BT1186-BO1186)</f>
        <v>43.965238808336338</v>
      </c>
      <c r="BU1183" s="2577">
        <f>BU1180+BU1169+(BU1186-BS1186)</f>
        <v>10.5794364413883</v>
      </c>
      <c r="BV1183" s="2577">
        <f>BV1180+BV1169+(BV1186-BU1186)</f>
        <v>11.154940036397283</v>
      </c>
      <c r="BW1183" s="2577">
        <f>BW1180+BW1169+(BW1186-BV1186)</f>
        <v>10.864486322301762</v>
      </c>
      <c r="BX1183" s="2577">
        <f>BX1180+BX1169+(BX1186-BW1186)</f>
        <v>11.495891218140134</v>
      </c>
      <c r="BY1183" s="2604">
        <f>BY1180+BY1169+(BY1186-BT1186)</f>
        <v>44.094754018227484</v>
      </c>
      <c r="BZ1183" s="477">
        <f t="shared" ref="BZ1183:CF1183" si="2802">BZ1180+BZ1169+(BZ1186-BY1186)</f>
        <v>44.253033852399753</v>
      </c>
      <c r="CA1183" s="477">
        <f t="shared" si="2802"/>
        <v>44.135623246535047</v>
      </c>
      <c r="CB1183" s="477">
        <f t="shared" si="2802"/>
        <v>34.685632347319384</v>
      </c>
      <c r="CC1183" s="477">
        <f t="shared" si="2802"/>
        <v>32.471554195215077</v>
      </c>
      <c r="CD1183" s="477">
        <f t="shared" si="2802"/>
        <v>33.400322947382151</v>
      </c>
      <c r="CE1183" s="477">
        <f t="shared" si="2802"/>
        <v>34.432961340683505</v>
      </c>
      <c r="CF1183" s="477">
        <f t="shared" si="2802"/>
        <v>35.339860161379349</v>
      </c>
      <c r="CG1183" s="331"/>
      <c r="CH1183" s="331"/>
      <c r="CI1183" s="331"/>
      <c r="CJ1183" s="331"/>
      <c r="CK1183" s="331"/>
      <c r="CL1183" s="520" t="str">
        <f>A1183</f>
        <v>FCF after debt service</v>
      </c>
      <c r="CM1183" s="476"/>
      <c r="CN1183" s="476"/>
      <c r="CO1183" s="476"/>
      <c r="CP1183" s="476"/>
      <c r="CQ1183" s="476"/>
      <c r="CR1183" s="476"/>
      <c r="CS1183" s="476"/>
      <c r="CT1183" s="476"/>
      <c r="CU1183" s="476">
        <f>AU1183</f>
        <v>24.697036114666666</v>
      </c>
      <c r="CV1183" s="476">
        <f>AZ1183</f>
        <v>29.965672472573338</v>
      </c>
      <c r="CW1183" s="476">
        <f>BE1183</f>
        <v>18.362133333333333</v>
      </c>
      <c r="CX1183" s="476">
        <f>BJ1183</f>
        <v>16.988933333333335</v>
      </c>
      <c r="CY1183" s="476">
        <f>BO1183</f>
        <v>17.587733333333347</v>
      </c>
      <c r="CZ1183" s="476">
        <f>BT1183</f>
        <v>43.965238808336338</v>
      </c>
      <c r="DA1183" s="476">
        <f t="shared" ref="DA1183:DC1184" si="2803">BY1183</f>
        <v>44.094754018227484</v>
      </c>
      <c r="DB1183" s="476">
        <f t="shared" si="2803"/>
        <v>44.253033852399753</v>
      </c>
      <c r="DC1183" s="682">
        <f t="shared" si="2803"/>
        <v>44.135623246535047</v>
      </c>
      <c r="DD1183" s="331"/>
      <c r="DE1183" s="331"/>
      <c r="DF1183" s="331"/>
      <c r="DG1183" s="442"/>
      <c r="DH1183" s="2577"/>
      <c r="DI1183" s="3213"/>
      <c r="DJ1183" s="331"/>
      <c r="DK1183" s="442"/>
      <c r="DL1183" s="331"/>
      <c r="DM1183" s="331"/>
      <c r="DN1183" s="331"/>
      <c r="DO1183" s="331"/>
      <c r="DP1183" s="442"/>
      <c r="DQ1183" s="442"/>
      <c r="DR1183" s="296"/>
      <c r="DS1183" s="296"/>
      <c r="DT1183" s="296"/>
    </row>
    <row r="1184" spans="1:124" ht="12" customHeight="1" x14ac:dyDescent="0.25">
      <c r="A1184" s="281" t="s">
        <v>1269</v>
      </c>
      <c r="B1184" s="281"/>
      <c r="C1184" s="570"/>
      <c r="D1184" s="570"/>
      <c r="E1184" s="570"/>
      <c r="F1184" s="570"/>
      <c r="G1184" s="475"/>
      <c r="H1184" s="570"/>
      <c r="I1184" s="570"/>
      <c r="J1184" s="570"/>
      <c r="K1184" s="570"/>
      <c r="L1184" s="475"/>
      <c r="M1184" s="570"/>
      <c r="N1184" s="570"/>
      <c r="O1184" s="570"/>
      <c r="P1184" s="570"/>
      <c r="Q1184" s="475"/>
      <c r="R1184" s="570"/>
      <c r="S1184" s="570"/>
      <c r="T1184" s="570"/>
      <c r="U1184" s="570"/>
      <c r="V1184" s="475"/>
      <c r="W1184" s="570"/>
      <c r="X1184" s="570"/>
      <c r="Y1184" s="570"/>
      <c r="Z1184" s="570"/>
      <c r="AA1184" s="475"/>
      <c r="AB1184" s="570"/>
      <c r="AC1184" s="570"/>
      <c r="AD1184" s="570"/>
      <c r="AE1184" s="572"/>
      <c r="AF1184" s="477"/>
      <c r="AG1184" s="570"/>
      <c r="AH1184" s="570"/>
      <c r="AI1184" s="570"/>
      <c r="AJ1184" s="572"/>
      <c r="AK1184" s="477"/>
      <c r="AL1184" s="570"/>
      <c r="AM1184" s="570"/>
      <c r="AN1184" s="570"/>
      <c r="AO1184" s="572"/>
      <c r="AP1184" s="478"/>
      <c r="AQ1184" s="478">
        <f>AQ1183*0.5</f>
        <v>2.5543620573333339</v>
      </c>
      <c r="AR1184" s="476">
        <f>AR1183*0.5</f>
        <v>3.1982226666666658</v>
      </c>
      <c r="AS1184" s="476">
        <f>AS1183*0.5</f>
        <v>3.2322066666666656</v>
      </c>
      <c r="AT1184" s="476">
        <f>AT1183*0.5</f>
        <v>3.3637266666666674</v>
      </c>
      <c r="AU1184" s="477">
        <f>+SUM(AQ1184:AT1184)</f>
        <v>12.348518057333333</v>
      </c>
      <c r="AV1184" s="478">
        <f t="shared" ref="AV1184:BJ1184" si="2804">AV1183*0.5</f>
        <v>3.7188108879910415</v>
      </c>
      <c r="AW1184" s="476">
        <f t="shared" si="2804"/>
        <v>3.777205364301667</v>
      </c>
      <c r="AX1184" s="476">
        <f t="shared" si="2804"/>
        <v>3.7530473564747906</v>
      </c>
      <c r="AY1184" s="682">
        <f t="shared" si="2804"/>
        <v>3.7337726275191674</v>
      </c>
      <c r="AZ1184" s="477">
        <f t="shared" si="2804"/>
        <v>14.982836236286669</v>
      </c>
      <c r="BA1184" s="478">
        <f t="shared" si="2804"/>
        <v>3.842716666666667</v>
      </c>
      <c r="BB1184" s="476">
        <f t="shared" si="2804"/>
        <v>3.2367166666666671</v>
      </c>
      <c r="BC1184" s="476">
        <f t="shared" si="2804"/>
        <v>3.7275166666666668</v>
      </c>
      <c r="BD1184" s="682">
        <f t="shared" si="2804"/>
        <v>-1.6258833333333333</v>
      </c>
      <c r="BE1184" s="682">
        <f t="shared" si="2804"/>
        <v>9.1810666666666663</v>
      </c>
      <c r="BF1184" s="476">
        <f t="shared" si="2804"/>
        <v>-5.1603833333333329</v>
      </c>
      <c r="BG1184" s="476">
        <f t="shared" si="2804"/>
        <v>4.9428166666666673</v>
      </c>
      <c r="BH1184" s="476">
        <f t="shared" si="2804"/>
        <v>4.7058166666666672</v>
      </c>
      <c r="BI1184" s="682">
        <f t="shared" si="2804"/>
        <v>4.006216666666667</v>
      </c>
      <c r="BJ1184" s="682">
        <f t="shared" si="2804"/>
        <v>8.4944666666666677</v>
      </c>
      <c r="BK1184" s="476">
        <f t="shared" ref="BK1184:BT1184" si="2805">BK1183*0.5</f>
        <v>-4.6866833333333329</v>
      </c>
      <c r="BL1184" s="476">
        <f t="shared" si="2805"/>
        <v>4.6767166666666666</v>
      </c>
      <c r="BM1184" s="476">
        <f t="shared" si="2805"/>
        <v>4.6509166666666673</v>
      </c>
      <c r="BN1184" s="682">
        <f t="shared" si="2805"/>
        <v>4.152916666666667</v>
      </c>
      <c r="BO1184" s="682">
        <f t="shared" si="2805"/>
        <v>8.7938666666666734</v>
      </c>
      <c r="BP1184" s="476">
        <f t="shared" si="2805"/>
        <v>-13.473283333333333</v>
      </c>
      <c r="BQ1184" s="476">
        <f t="shared" si="2805"/>
        <v>5.5605166666666666</v>
      </c>
      <c r="BR1184" s="476">
        <f t="shared" si="2805"/>
        <v>5.4165166666666664</v>
      </c>
      <c r="BS1184" s="476">
        <f t="shared" si="2805"/>
        <v>5.1405166666666666</v>
      </c>
      <c r="BT1184" s="2604">
        <f t="shared" si="2805"/>
        <v>21.982619404168169</v>
      </c>
      <c r="BU1184" s="2577">
        <f t="shared" ref="BU1184:CF1184" si="2806">BU1183*0.5</f>
        <v>5.2897182206941498</v>
      </c>
      <c r="BV1184" s="2577">
        <f t="shared" si="2806"/>
        <v>5.5774700181986416</v>
      </c>
      <c r="BW1184" s="2577">
        <f t="shared" si="2806"/>
        <v>5.4322431611508808</v>
      </c>
      <c r="BX1184" s="2577">
        <f t="shared" si="2806"/>
        <v>5.7479456090700669</v>
      </c>
      <c r="BY1184" s="2604">
        <f t="shared" si="2806"/>
        <v>22.047377009113742</v>
      </c>
      <c r="BZ1184" s="477">
        <f t="shared" si="2806"/>
        <v>22.126516926199876</v>
      </c>
      <c r="CA1184" s="477">
        <f t="shared" si="2806"/>
        <v>22.067811623267524</v>
      </c>
      <c r="CB1184" s="477">
        <f t="shared" si="2806"/>
        <v>17.342816173659692</v>
      </c>
      <c r="CC1184" s="477">
        <f t="shared" si="2806"/>
        <v>16.235777097607539</v>
      </c>
      <c r="CD1184" s="477">
        <f t="shared" si="2806"/>
        <v>16.700161473691075</v>
      </c>
      <c r="CE1184" s="477">
        <f t="shared" si="2806"/>
        <v>17.216480670341753</v>
      </c>
      <c r="CF1184" s="477">
        <f t="shared" si="2806"/>
        <v>17.669930080689674</v>
      </c>
      <c r="CG1184" s="331"/>
      <c r="CH1184" s="331"/>
      <c r="CI1184" s="331"/>
      <c r="CJ1184" s="331"/>
      <c r="CK1184" s="331"/>
      <c r="CL1184" s="520" t="str">
        <f>A1184</f>
        <v>FCF after debt service to Penn (50%)</v>
      </c>
      <c r="CM1184" s="476"/>
      <c r="CN1184" s="476"/>
      <c r="CO1184" s="476"/>
      <c r="CP1184" s="476"/>
      <c r="CQ1184" s="476"/>
      <c r="CR1184" s="476"/>
      <c r="CS1184" s="476"/>
      <c r="CT1184" s="476"/>
      <c r="CU1184" s="476">
        <f>AU1184</f>
        <v>12.348518057333333</v>
      </c>
      <c r="CV1184" s="476">
        <f>AZ1184</f>
        <v>14.982836236286669</v>
      </c>
      <c r="CW1184" s="476">
        <f>BE1184</f>
        <v>9.1810666666666663</v>
      </c>
      <c r="CX1184" s="476">
        <f>BJ1184</f>
        <v>8.4944666666666677</v>
      </c>
      <c r="CY1184" s="476">
        <f>BO1184</f>
        <v>8.7938666666666734</v>
      </c>
      <c r="CZ1184" s="476">
        <f>BT1184</f>
        <v>21.982619404168169</v>
      </c>
      <c r="DA1184" s="476">
        <f t="shared" si="2803"/>
        <v>22.047377009113742</v>
      </c>
      <c r="DB1184" s="476">
        <f t="shared" si="2803"/>
        <v>22.126516926199876</v>
      </c>
      <c r="DC1184" s="682">
        <f t="shared" si="2803"/>
        <v>22.067811623267524</v>
      </c>
      <c r="DD1184" s="331"/>
      <c r="DE1184" s="331"/>
      <c r="DF1184" s="331"/>
      <c r="DG1184" s="442"/>
      <c r="DH1184" s="2577"/>
      <c r="DI1184" s="3213"/>
      <c r="DJ1184" s="331"/>
      <c r="DK1184" s="442"/>
      <c r="DL1184" s="331"/>
      <c r="DM1184" s="331"/>
      <c r="DN1184" s="331"/>
      <c r="DO1184" s="331"/>
      <c r="DP1184" s="442"/>
      <c r="DQ1184" s="442"/>
      <c r="DR1184" s="296"/>
      <c r="DS1184" s="296"/>
      <c r="DT1184" s="296"/>
    </row>
    <row r="1185" spans="1:130" ht="5.0999999999999996" customHeight="1" x14ac:dyDescent="0.25">
      <c r="A1185" s="333"/>
      <c r="B1185" s="281"/>
      <c r="C1185" s="570"/>
      <c r="D1185" s="570"/>
      <c r="E1185" s="570"/>
      <c r="F1185" s="570"/>
      <c r="G1185" s="475"/>
      <c r="H1185" s="570"/>
      <c r="I1185" s="570"/>
      <c r="J1185" s="570"/>
      <c r="K1185" s="570"/>
      <c r="L1185" s="475"/>
      <c r="M1185" s="570"/>
      <c r="N1185" s="570"/>
      <c r="O1185" s="570"/>
      <c r="P1185" s="570"/>
      <c r="Q1185" s="475"/>
      <c r="R1185" s="570"/>
      <c r="S1185" s="570"/>
      <c r="T1185" s="570"/>
      <c r="U1185" s="570"/>
      <c r="V1185" s="475"/>
      <c r="W1185" s="570"/>
      <c r="X1185" s="570"/>
      <c r="Y1185" s="570"/>
      <c r="Z1185" s="570"/>
      <c r="AA1185" s="475"/>
      <c r="AB1185" s="570"/>
      <c r="AC1185" s="570"/>
      <c r="AD1185" s="570"/>
      <c r="AE1185" s="572"/>
      <c r="AF1185" s="477"/>
      <c r="AG1185" s="570"/>
      <c r="AH1185" s="570"/>
      <c r="AI1185" s="570"/>
      <c r="AJ1185" s="572"/>
      <c r="AK1185" s="477"/>
      <c r="AL1185" s="570"/>
      <c r="AM1185" s="570"/>
      <c r="AN1185" s="570"/>
      <c r="AO1185" s="572"/>
      <c r="AP1185" s="478"/>
      <c r="AQ1185" s="478"/>
      <c r="AR1185" s="476"/>
      <c r="AS1185" s="476"/>
      <c r="AT1185" s="476"/>
      <c r="AU1185" s="477"/>
      <c r="AV1185" s="478"/>
      <c r="AW1185" s="476"/>
      <c r="AX1185" s="476"/>
      <c r="AY1185" s="682"/>
      <c r="AZ1185" s="477"/>
      <c r="BA1185" s="478"/>
      <c r="BB1185" s="476"/>
      <c r="BC1185" s="476"/>
      <c r="BD1185" s="682"/>
      <c r="BE1185" s="682"/>
      <c r="BF1185" s="476"/>
      <c r="BG1185" s="476"/>
      <c r="BH1185" s="476"/>
      <c r="BI1185" s="682"/>
      <c r="BJ1185" s="682"/>
      <c r="BK1185" s="476"/>
      <c r="BL1185" s="476"/>
      <c r="BM1185" s="476"/>
      <c r="BN1185" s="682"/>
      <c r="BO1185" s="682"/>
      <c r="BP1185" s="476"/>
      <c r="BQ1185" s="476"/>
      <c r="BR1185" s="476"/>
      <c r="BS1185" s="476"/>
      <c r="BT1185" s="2604"/>
      <c r="BU1185" s="2577"/>
      <c r="BV1185" s="2577"/>
      <c r="BW1185" s="2577"/>
      <c r="BX1185" s="2577"/>
      <c r="BY1185" s="2604"/>
      <c r="BZ1185" s="477"/>
      <c r="CA1185" s="477"/>
      <c r="CB1185" s="477"/>
      <c r="CC1185" s="477"/>
      <c r="CD1185" s="477"/>
      <c r="CE1185" s="477"/>
      <c r="CF1185" s="477"/>
      <c r="CG1185" s="331"/>
      <c r="CH1185" s="331"/>
      <c r="CI1185" s="331"/>
      <c r="CJ1185" s="331"/>
      <c r="CK1185" s="331"/>
      <c r="CL1185" s="1149"/>
      <c r="CM1185" s="476"/>
      <c r="CN1185" s="476"/>
      <c r="CO1185" s="476"/>
      <c r="CP1185" s="476"/>
      <c r="CQ1185" s="476"/>
      <c r="CR1185" s="476"/>
      <c r="CS1185" s="476"/>
      <c r="CT1185" s="476"/>
      <c r="CU1185" s="476"/>
      <c r="CV1185" s="476"/>
      <c r="CW1185" s="476"/>
      <c r="CX1185" s="476"/>
      <c r="CY1185" s="476"/>
      <c r="CZ1185" s="476"/>
      <c r="DA1185" s="476"/>
      <c r="DB1185" s="476"/>
      <c r="DC1185" s="682"/>
      <c r="DD1185" s="331"/>
      <c r="DE1185" s="331"/>
      <c r="DF1185" s="502"/>
      <c r="DG1185" s="503"/>
      <c r="DH1185" s="2577"/>
      <c r="DI1185" s="3213"/>
      <c r="DJ1185" s="502"/>
      <c r="DK1185" s="503"/>
      <c r="DL1185" s="502"/>
      <c r="DM1185" s="502"/>
      <c r="DN1185" s="502"/>
      <c r="DO1185" s="502"/>
      <c r="DP1185" s="503"/>
      <c r="DQ1185" s="503"/>
      <c r="DR1185" s="296"/>
      <c r="DS1185" s="296"/>
      <c r="DT1185" s="296"/>
    </row>
    <row r="1186" spans="1:130" ht="12" customHeight="1" x14ac:dyDescent="0.25">
      <c r="A1186" s="281" t="s">
        <v>1937</v>
      </c>
      <c r="B1186" s="281"/>
      <c r="C1186" s="570"/>
      <c r="D1186" s="570"/>
      <c r="E1186" s="570"/>
      <c r="F1186" s="570"/>
      <c r="G1186" s="475"/>
      <c r="H1186" s="570"/>
      <c r="I1186" s="570"/>
      <c r="J1186" s="570"/>
      <c r="K1186" s="570"/>
      <c r="L1186" s="475"/>
      <c r="M1186" s="570"/>
      <c r="N1186" s="570"/>
      <c r="O1186" s="570"/>
      <c r="P1186" s="570"/>
      <c r="Q1186" s="475"/>
      <c r="R1186" s="570"/>
      <c r="S1186" s="570"/>
      <c r="T1186" s="570"/>
      <c r="U1186" s="570"/>
      <c r="V1186" s="475"/>
      <c r="W1186" s="570"/>
      <c r="X1186" s="570"/>
      <c r="Y1186" s="570"/>
      <c r="Z1186" s="570"/>
      <c r="AA1186" s="475"/>
      <c r="AB1186" s="570"/>
      <c r="AC1186" s="570"/>
      <c r="AD1186" s="570"/>
      <c r="AE1186" s="572"/>
      <c r="AF1186" s="477"/>
      <c r="AG1186" s="570"/>
      <c r="AH1186" s="570"/>
      <c r="AI1186" s="570"/>
      <c r="AJ1186" s="572"/>
      <c r="AK1186" s="477"/>
      <c r="AL1186" s="570"/>
      <c r="AM1186" s="570"/>
      <c r="AN1186" s="570">
        <v>20</v>
      </c>
      <c r="AO1186" s="570">
        <v>100</v>
      </c>
      <c r="AP1186" s="478">
        <f>AO1186</f>
        <v>100</v>
      </c>
      <c r="AQ1186" s="478">
        <v>100</v>
      </c>
      <c r="AR1186" s="476">
        <f>+AQ1186</f>
        <v>100</v>
      </c>
      <c r="AS1186" s="476">
        <f>+AR1186</f>
        <v>100</v>
      </c>
      <c r="AT1186" s="476">
        <f>+AS1186</f>
        <v>100</v>
      </c>
      <c r="AU1186" s="1464">
        <f>+AT1186</f>
        <v>100</v>
      </c>
      <c r="AV1186" s="1865">
        <f>AZ1186</f>
        <v>100</v>
      </c>
      <c r="AW1186" s="1771">
        <f>AZ1186</f>
        <v>100</v>
      </c>
      <c r="AX1186" s="1771">
        <f>AZ1186</f>
        <v>100</v>
      </c>
      <c r="AY1186" s="1866">
        <f>AZ1186</f>
        <v>100</v>
      </c>
      <c r="AZ1186" s="477">
        <f>Kansas!B74</f>
        <v>100</v>
      </c>
      <c r="BA1186" s="1865">
        <f>AZ1186</f>
        <v>100</v>
      </c>
      <c r="BB1186" s="1771">
        <f>BA1186</f>
        <v>100</v>
      </c>
      <c r="BC1186" s="1771">
        <f>BB1186</f>
        <v>100</v>
      </c>
      <c r="BD1186" s="1866">
        <f>BE1186</f>
        <v>90</v>
      </c>
      <c r="BE1186" s="682">
        <f>Kansas!C74</f>
        <v>90</v>
      </c>
      <c r="BF1186" s="1771">
        <f>BG1186</f>
        <v>70</v>
      </c>
      <c r="BG1186" s="1771">
        <f>BH1186</f>
        <v>70</v>
      </c>
      <c r="BH1186" s="1771">
        <f>BI1186</f>
        <v>70</v>
      </c>
      <c r="BI1186" s="1866">
        <f>BJ1186</f>
        <v>70</v>
      </c>
      <c r="BJ1186" s="682">
        <f>Kansas!D74</f>
        <v>70</v>
      </c>
      <c r="BK1186" s="1771">
        <f>BL1186</f>
        <v>50</v>
      </c>
      <c r="BL1186" s="1771">
        <f>BM1186</f>
        <v>50</v>
      </c>
      <c r="BM1186" s="1771">
        <f>BN1186</f>
        <v>50</v>
      </c>
      <c r="BN1186" s="1866">
        <f>BO1186</f>
        <v>50</v>
      </c>
      <c r="BO1186" s="682">
        <f>Kansas!E74</f>
        <v>50</v>
      </c>
      <c r="BP1186" s="1771">
        <f>+$BT$1186/4</f>
        <v>12.5</v>
      </c>
      <c r="BQ1186" s="1771">
        <f>+$BT$1186/4</f>
        <v>12.5</v>
      </c>
      <c r="BR1186" s="1771">
        <f>+$BT$1186/4</f>
        <v>12.5</v>
      </c>
      <c r="BS1186" s="1771">
        <f>+$BT$1186/4</f>
        <v>12.5</v>
      </c>
      <c r="BT1186" s="2604">
        <f>+BO1186</f>
        <v>50</v>
      </c>
      <c r="BU1186" s="1771">
        <f>+$BY$1186/4</f>
        <v>12.5</v>
      </c>
      <c r="BV1186" s="1771">
        <f>+$BY$1186/4</f>
        <v>12.5</v>
      </c>
      <c r="BW1186" s="1771">
        <f>+$BY$1186/4</f>
        <v>12.5</v>
      </c>
      <c r="BX1186" s="1771">
        <f>+$BY$1186/4</f>
        <v>12.5</v>
      </c>
      <c r="BY1186" s="2604">
        <f>+BT1186</f>
        <v>50</v>
      </c>
      <c r="BZ1186" s="2803">
        <f t="shared" ref="BZ1186:CF1186" si="2807">+BY1186</f>
        <v>50</v>
      </c>
      <c r="CA1186" s="2803">
        <f t="shared" si="2807"/>
        <v>50</v>
      </c>
      <c r="CB1186" s="2803">
        <f t="shared" si="2807"/>
        <v>50</v>
      </c>
      <c r="CC1186" s="2803">
        <f t="shared" si="2807"/>
        <v>50</v>
      </c>
      <c r="CD1186" s="2803">
        <f t="shared" si="2807"/>
        <v>50</v>
      </c>
      <c r="CE1186" s="2803">
        <f t="shared" si="2807"/>
        <v>50</v>
      </c>
      <c r="CF1186" s="2803">
        <f t="shared" si="2807"/>
        <v>50</v>
      </c>
      <c r="CG1186" s="331"/>
      <c r="CH1186" s="331"/>
      <c r="CI1186" s="331"/>
      <c r="CJ1186" s="331"/>
      <c r="CK1186" s="331"/>
      <c r="CL1186" s="520" t="str">
        <f>A1186</f>
        <v>Debt</v>
      </c>
      <c r="CM1186" s="476"/>
      <c r="CN1186" s="476"/>
      <c r="CO1186" s="476"/>
      <c r="CP1186" s="476"/>
      <c r="CQ1186" s="476"/>
      <c r="CR1186" s="476"/>
      <c r="CS1186" s="476"/>
      <c r="CT1186" s="476">
        <f>AP1186</f>
        <v>100</v>
      </c>
      <c r="CU1186" s="476">
        <f>AU1186</f>
        <v>100</v>
      </c>
      <c r="CV1186" s="476">
        <f>AZ1186</f>
        <v>100</v>
      </c>
      <c r="CW1186" s="476">
        <f>BE1186</f>
        <v>90</v>
      </c>
      <c r="CX1186" s="476">
        <f>BJ1186</f>
        <v>70</v>
      </c>
      <c r="CY1186" s="476">
        <f>BO1186</f>
        <v>50</v>
      </c>
      <c r="CZ1186" s="476">
        <f>BT1186</f>
        <v>50</v>
      </c>
      <c r="DA1186" s="476">
        <f t="shared" ref="DA1186:DC1187" si="2808">BY1186</f>
        <v>50</v>
      </c>
      <c r="DB1186" s="476">
        <f t="shared" si="2808"/>
        <v>50</v>
      </c>
      <c r="DC1186" s="682">
        <f t="shared" si="2808"/>
        <v>50</v>
      </c>
      <c r="DD1186" s="331"/>
      <c r="DE1186" s="331"/>
      <c r="DF1186" s="502"/>
      <c r="DG1186" s="503"/>
      <c r="DH1186" s="2577"/>
      <c r="DI1186" s="3213"/>
      <c r="DJ1186" s="502"/>
      <c r="DK1186" s="503"/>
      <c r="DL1186" s="502"/>
      <c r="DM1186" s="502"/>
      <c r="DN1186" s="502"/>
      <c r="DO1186" s="502"/>
      <c r="DP1186" s="503"/>
      <c r="DQ1186" s="503"/>
      <c r="DR1186" s="296"/>
      <c r="DS1186" s="296"/>
      <c r="DT1186" s="296"/>
    </row>
    <row r="1187" spans="1:130" ht="12" customHeight="1" x14ac:dyDescent="0.25">
      <c r="A1187" s="281" t="s">
        <v>2227</v>
      </c>
      <c r="B1187" s="281"/>
      <c r="C1187" s="570"/>
      <c r="D1187" s="570"/>
      <c r="E1187" s="570"/>
      <c r="F1187" s="570"/>
      <c r="G1187" s="475"/>
      <c r="H1187" s="570"/>
      <c r="I1187" s="570"/>
      <c r="J1187" s="570"/>
      <c r="K1187" s="570"/>
      <c r="L1187" s="475"/>
      <c r="M1187" s="570"/>
      <c r="N1187" s="570"/>
      <c r="O1187" s="570"/>
      <c r="P1187" s="570"/>
      <c r="Q1187" s="475"/>
      <c r="R1187" s="570"/>
      <c r="S1187" s="570"/>
      <c r="T1187" s="570"/>
      <c r="U1187" s="570"/>
      <c r="V1187" s="475"/>
      <c r="W1187" s="570"/>
      <c r="X1187" s="570"/>
      <c r="Y1187" s="570"/>
      <c r="Z1187" s="570"/>
      <c r="AA1187" s="475"/>
      <c r="AB1187" s="570"/>
      <c r="AC1187" s="570"/>
      <c r="AD1187" s="570"/>
      <c r="AE1187" s="572"/>
      <c r="AF1187" s="477"/>
      <c r="AG1187" s="570"/>
      <c r="AH1187" s="570"/>
      <c r="AI1187" s="570"/>
      <c r="AJ1187" s="572"/>
      <c r="AK1187" s="477"/>
      <c r="AL1187" s="570"/>
      <c r="AM1187" s="570"/>
      <c r="AN1187" s="570"/>
      <c r="AO1187" s="572"/>
      <c r="AP1187" s="478"/>
      <c r="AQ1187" s="478"/>
      <c r="AR1187" s="476"/>
      <c r="AS1187" s="476"/>
      <c r="AT1187" s="476"/>
      <c r="AU1187" s="1768">
        <f>AU1186/AU1166</f>
        <v>2.9567035925475498</v>
      </c>
      <c r="AV1187" s="1923">
        <f>AV1186/AV1166/4</f>
        <v>2.4274639611369646</v>
      </c>
      <c r="AW1187" s="600">
        <f>AW1186/AW1166/4</f>
        <v>2.3824357704479491</v>
      </c>
      <c r="AX1187" s="600">
        <f>AX1186/AX1166/4</f>
        <v>2.4008599382394045</v>
      </c>
      <c r="AY1187" s="1769">
        <f>AY1186/AY1166/4</f>
        <v>2.4157655092373007</v>
      </c>
      <c r="AZ1187" s="1768">
        <f>AZ1186/AZ1166</f>
        <v>2.4065130698293937</v>
      </c>
      <c r="BA1187" s="1923">
        <f>BA1186/BA1166/4</f>
        <v>2.3698179979777554</v>
      </c>
      <c r="BB1187" s="600">
        <f>BB1186/BB1166/4</f>
        <v>2.9310614350476785</v>
      </c>
      <c r="BC1187" s="600">
        <f>BC1186/BC1166/4</f>
        <v>2.459338929695698</v>
      </c>
      <c r="BD1187" s="1769">
        <f>BD1186/BD1166/4</f>
        <v>2.5035234774868331</v>
      </c>
      <c r="BE1187" s="1769">
        <f>BE1186/BE1166</f>
        <v>2.3540900134270317</v>
      </c>
      <c r="BF1187" s="600">
        <f>BF1186/BF1166/4</f>
        <v>1.2917671374440234</v>
      </c>
      <c r="BG1187" s="600">
        <f>BG1186/BG1166/4</f>
        <v>1.259778279022892</v>
      </c>
      <c r="BH1187" s="600">
        <f>BH1186/BH1166/4</f>
        <v>1.3357419092204357</v>
      </c>
      <c r="BI1187" s="1769">
        <f>BI1186/BI1166/4</f>
        <v>1.6249845239569145</v>
      </c>
      <c r="BJ1187" s="1769">
        <f>BJ1186/BJ1166</f>
        <v>1.364274206122343</v>
      </c>
      <c r="BK1187" s="600">
        <f>BK1186/BK1166/4</f>
        <v>0.84451851184577964</v>
      </c>
      <c r="BL1187" s="600">
        <f>BL1186/BL1166/4</f>
        <v>0.9858562490141437</v>
      </c>
      <c r="BM1187" s="600">
        <f>BM1186/BM1166/4</f>
        <v>0.99258867125463202</v>
      </c>
      <c r="BN1187" s="1769">
        <f>BN1186/BN1166/4</f>
        <v>1.1432926829268293</v>
      </c>
      <c r="BO1187" s="1769">
        <f>BO1186/BO1166</f>
        <v>0.98025120570898272</v>
      </c>
      <c r="BP1187" s="600">
        <f>BP1186/BP1166/4</f>
        <v>0.21288432717198782</v>
      </c>
      <c r="BQ1187" s="600">
        <f>BQ1186/BQ1166/4</f>
        <v>0.19999573342435362</v>
      </c>
      <c r="BR1187" s="600">
        <f>BR1186/BR1166/4</f>
        <v>0.20633418434721365</v>
      </c>
      <c r="BS1187" s="600">
        <f>BS1186/BS1166/4</f>
        <v>0.21967850782641296</v>
      </c>
      <c r="BT1187" s="3244">
        <f>BT1186/BT1166</f>
        <v>0.81120752472524038</v>
      </c>
      <c r="BU1187" s="3028">
        <f>BU1186/BU1166/4</f>
        <v>0.2122576684807439</v>
      </c>
      <c r="BV1187" s="3028">
        <f>BV1186/BV1166/4</f>
        <v>0.19927502781846776</v>
      </c>
      <c r="BW1187" s="3028">
        <f>BW1186/BW1166/4</f>
        <v>0.20562247541038564</v>
      </c>
      <c r="BX1187" s="3028">
        <f>BX1186/BX1166/4</f>
        <v>0.19230655060230484</v>
      </c>
      <c r="BY1187" s="3244">
        <f t="shared" ref="BY1187:CF1187" si="2809">BY1186/BY1166</f>
        <v>0.80837649021103675</v>
      </c>
      <c r="BZ1187" s="1768">
        <f t="shared" si="2809"/>
        <v>0.80494341468219233</v>
      </c>
      <c r="CA1187" s="1768">
        <f t="shared" si="2809"/>
        <v>0.80748723887783258</v>
      </c>
      <c r="CB1187" s="1768">
        <f t="shared" si="2809"/>
        <v>1.0829426101008406</v>
      </c>
      <c r="CC1187" s="1768">
        <f t="shared" si="2809"/>
        <v>1.1770142828943282</v>
      </c>
      <c r="CD1187" s="1768">
        <f t="shared" si="2809"/>
        <v>1.1356328044299835</v>
      </c>
      <c r="CE1187" s="1768">
        <f t="shared" si="2809"/>
        <v>1.0929109856048658</v>
      </c>
      <c r="CF1187" s="1768">
        <f t="shared" si="2809"/>
        <v>1.057957491829659</v>
      </c>
      <c r="CG1187" s="331"/>
      <c r="CH1187" s="331"/>
      <c r="CI1187" s="331"/>
      <c r="CJ1187" s="331"/>
      <c r="CK1187" s="331"/>
      <c r="CL1187" s="520" t="str">
        <f>A1187</f>
        <v>Debt to EBITDA</v>
      </c>
      <c r="CM1187" s="476"/>
      <c r="CN1187" s="476"/>
      <c r="CO1187" s="476"/>
      <c r="CP1187" s="476"/>
      <c r="CQ1187" s="476"/>
      <c r="CR1187" s="476"/>
      <c r="CS1187" s="476"/>
      <c r="CT1187" s="476"/>
      <c r="CU1187" s="600">
        <f>AU1187</f>
        <v>2.9567035925475498</v>
      </c>
      <c r="CV1187" s="600">
        <f>AZ1187</f>
        <v>2.4065130698293937</v>
      </c>
      <c r="CW1187" s="600">
        <f>BE1187</f>
        <v>2.3540900134270317</v>
      </c>
      <c r="CX1187" s="600">
        <f>BJ1187</f>
        <v>1.364274206122343</v>
      </c>
      <c r="CY1187" s="600">
        <f>BO1187</f>
        <v>0.98025120570898272</v>
      </c>
      <c r="CZ1187" s="600">
        <f>BT1187</f>
        <v>0.81120752472524038</v>
      </c>
      <c r="DA1187" s="600">
        <f t="shared" si="2808"/>
        <v>0.80837649021103675</v>
      </c>
      <c r="DB1187" s="600">
        <f t="shared" si="2808"/>
        <v>0.80494341468219233</v>
      </c>
      <c r="DC1187" s="1769">
        <f t="shared" si="2808"/>
        <v>0.80748723887783258</v>
      </c>
      <c r="DD1187" s="331"/>
      <c r="DE1187" s="331"/>
      <c r="DF1187" s="502"/>
      <c r="DG1187" s="503"/>
      <c r="DH1187" s="3028"/>
      <c r="DI1187" s="3213"/>
      <c r="DJ1187" s="502"/>
      <c r="DK1187" s="503"/>
      <c r="DL1187" s="502"/>
      <c r="DM1187" s="502"/>
      <c r="DN1187" s="502"/>
      <c r="DO1187" s="502"/>
      <c r="DP1187" s="503"/>
      <c r="DQ1187" s="503"/>
      <c r="DR1187" s="296"/>
      <c r="DS1187" s="296"/>
      <c r="DT1187" s="296"/>
    </row>
    <row r="1188" spans="1:130" ht="12" customHeight="1" x14ac:dyDescent="0.25">
      <c r="A1188" s="281"/>
      <c r="B1188" s="281"/>
      <c r="C1188" s="570"/>
      <c r="D1188" s="570"/>
      <c r="E1188" s="570"/>
      <c r="F1188" s="570"/>
      <c r="G1188" s="475"/>
      <c r="H1188" s="570"/>
      <c r="I1188" s="570"/>
      <c r="J1188" s="570"/>
      <c r="K1188" s="570"/>
      <c r="L1188" s="475"/>
      <c r="M1188" s="570"/>
      <c r="N1188" s="570"/>
      <c r="O1188" s="570"/>
      <c r="P1188" s="570"/>
      <c r="Q1188" s="475"/>
      <c r="R1188" s="570"/>
      <c r="S1188" s="570"/>
      <c r="T1188" s="570"/>
      <c r="U1188" s="570"/>
      <c r="V1188" s="475"/>
      <c r="W1188" s="570"/>
      <c r="X1188" s="570"/>
      <c r="Y1188" s="570"/>
      <c r="Z1188" s="570"/>
      <c r="AA1188" s="475"/>
      <c r="AB1188" s="570"/>
      <c r="AC1188" s="570"/>
      <c r="AD1188" s="570"/>
      <c r="AE1188" s="572"/>
      <c r="AF1188" s="477"/>
      <c r="AG1188" s="570"/>
      <c r="AH1188" s="570"/>
      <c r="AI1188" s="570"/>
      <c r="AJ1188" s="572"/>
      <c r="AK1188" s="477"/>
      <c r="AL1188" s="570"/>
      <c r="AM1188" s="570"/>
      <c r="AN1188" s="570"/>
      <c r="AO1188" s="572"/>
      <c r="AP1188" s="478"/>
      <c r="AQ1188" s="478"/>
      <c r="AR1188" s="476"/>
      <c r="AS1188" s="476"/>
      <c r="AT1188" s="476"/>
      <c r="AU1188" s="1768"/>
      <c r="AV1188" s="1923"/>
      <c r="AW1188" s="600"/>
      <c r="AX1188" s="600"/>
      <c r="AY1188" s="1769"/>
      <c r="AZ1188" s="1768"/>
      <c r="BA1188" s="1923"/>
      <c r="BB1188" s="600"/>
      <c r="BC1188" s="600"/>
      <c r="BD1188" s="1769"/>
      <c r="BE1188" s="1768"/>
      <c r="BF1188" s="600"/>
      <c r="BG1188" s="600"/>
      <c r="BH1188" s="600"/>
      <c r="BI1188" s="1769"/>
      <c r="BJ1188" s="1768"/>
      <c r="BK1188" s="600"/>
      <c r="BL1188" s="600"/>
      <c r="BM1188" s="600"/>
      <c r="BN1188" s="1769"/>
      <c r="BO1188" s="1768"/>
      <c r="BP1188" s="600"/>
      <c r="BQ1188" s="600"/>
      <c r="BR1188" s="600"/>
      <c r="BS1188" s="600"/>
      <c r="BT1188" s="3244"/>
      <c r="BU1188" s="3416"/>
      <c r="BV1188" s="3028"/>
      <c r="BW1188" s="3028"/>
      <c r="BX1188" s="3028"/>
      <c r="BY1188" s="3244"/>
      <c r="BZ1188" s="1768"/>
      <c r="CA1188" s="1768"/>
      <c r="CB1188" s="1768"/>
      <c r="CC1188" s="1768"/>
      <c r="CD1188" s="1768"/>
      <c r="CE1188" s="1768"/>
      <c r="CF1188" s="1768"/>
      <c r="CG1188" s="331"/>
      <c r="CH1188" s="331"/>
      <c r="CI1188" s="331"/>
      <c r="CJ1188" s="331"/>
      <c r="CK1188" s="331"/>
      <c r="CL1188" s="520"/>
      <c r="CM1188" s="476"/>
      <c r="CN1188" s="476"/>
      <c r="CO1188" s="476"/>
      <c r="CP1188" s="476"/>
      <c r="CQ1188" s="476"/>
      <c r="CR1188" s="476"/>
      <c r="CS1188" s="476"/>
      <c r="CT1188" s="476"/>
      <c r="CU1188" s="476"/>
      <c r="CV1188" s="476"/>
      <c r="CW1188" s="476"/>
      <c r="CX1188" s="476"/>
      <c r="CY1188" s="476"/>
      <c r="CZ1188" s="476"/>
      <c r="DA1188" s="476"/>
      <c r="DB1188" s="476"/>
      <c r="DC1188" s="682"/>
      <c r="DD1188" s="331"/>
      <c r="DE1188" s="331"/>
      <c r="DF1188" s="502"/>
      <c r="DG1188" s="503"/>
      <c r="DH1188" s="3028"/>
      <c r="DI1188" s="3213"/>
      <c r="DJ1188" s="502"/>
      <c r="DK1188" s="503"/>
      <c r="DL1188" s="502"/>
      <c r="DM1188" s="502"/>
      <c r="DN1188" s="502"/>
      <c r="DO1188" s="502"/>
      <c r="DP1188" s="503"/>
      <c r="DQ1188" s="503"/>
      <c r="DR1188" s="296"/>
      <c r="DS1188" s="296"/>
      <c r="DT1188" s="296"/>
    </row>
    <row r="1189" spans="1:130" s="2572" customFormat="1" ht="12" customHeight="1" x14ac:dyDescent="0.25">
      <c r="A1189" s="2125" t="s">
        <v>1025</v>
      </c>
      <c r="B1189" s="428"/>
      <c r="C1189" s="502"/>
      <c r="D1189" s="502"/>
      <c r="E1189" s="502"/>
      <c r="F1189" s="502"/>
      <c r="G1189" s="534"/>
      <c r="H1189" s="502"/>
      <c r="I1189" s="502"/>
      <c r="J1189" s="502"/>
      <c r="K1189" s="502"/>
      <c r="L1189" s="534"/>
      <c r="M1189" s="502"/>
      <c r="N1189" s="502"/>
      <c r="O1189" s="502"/>
      <c r="P1189" s="502"/>
      <c r="Q1189" s="534"/>
      <c r="R1189" s="502"/>
      <c r="S1189" s="502"/>
      <c r="T1189" s="502"/>
      <c r="U1189" s="502"/>
      <c r="V1189" s="534"/>
      <c r="W1189" s="502"/>
      <c r="X1189" s="502"/>
      <c r="Y1189" s="502"/>
      <c r="Z1189" s="502"/>
      <c r="AA1189" s="534"/>
      <c r="AB1189" s="502"/>
      <c r="AC1189" s="502"/>
      <c r="AD1189" s="502"/>
      <c r="AE1189" s="502"/>
      <c r="AF1189" s="534"/>
      <c r="AG1189" s="502"/>
      <c r="AH1189" s="502"/>
      <c r="AI1189" s="502"/>
      <c r="AJ1189" s="502"/>
      <c r="AK1189" s="534"/>
      <c r="AL1189" s="503"/>
      <c r="AM1189" s="503"/>
      <c r="AN1189" s="503"/>
      <c r="AO1189" s="503"/>
      <c r="AP1189" s="535"/>
      <c r="AQ1189" s="535"/>
      <c r="AR1189" s="537"/>
      <c r="AS1189" s="537"/>
      <c r="AT1189" s="537"/>
      <c r="AU1189" s="536"/>
      <c r="AV1189" s="535"/>
      <c r="AW1189" s="537"/>
      <c r="AX1189" s="537"/>
      <c r="AY1189" s="1926"/>
      <c r="AZ1189" s="536"/>
      <c r="BA1189" s="535"/>
      <c r="BB1189" s="537"/>
      <c r="BC1189" s="537"/>
      <c r="BD1189" s="1926"/>
      <c r="BE1189" s="536"/>
      <c r="BF1189" s="537"/>
      <c r="BG1189" s="537"/>
      <c r="BH1189" s="537"/>
      <c r="BI1189" s="1926"/>
      <c r="BJ1189" s="536"/>
      <c r="BK1189" s="537"/>
      <c r="BL1189" s="537"/>
      <c r="BM1189" s="537"/>
      <c r="BN1189" s="1926"/>
      <c r="BO1189" s="536"/>
      <c r="BP1189" s="537"/>
      <c r="BQ1189" s="537"/>
      <c r="BR1189" s="537"/>
      <c r="BS1189" s="537"/>
      <c r="BT1189" s="536"/>
      <c r="BU1189" s="535"/>
      <c r="BV1189" s="537"/>
      <c r="BW1189" s="537"/>
      <c r="BX1189" s="537"/>
      <c r="BY1189" s="536"/>
      <c r="BZ1189" s="536"/>
      <c r="CA1189" s="536"/>
      <c r="CB1189" s="536"/>
      <c r="CC1189" s="536"/>
      <c r="CD1189" s="536"/>
      <c r="CE1189" s="536"/>
      <c r="CF1189" s="536"/>
      <c r="CG1189" s="331"/>
      <c r="CH1189" s="331"/>
      <c r="CI1189" s="331"/>
      <c r="CJ1189" s="331"/>
      <c r="CK1189" s="331"/>
      <c r="CL1189" s="2036" t="str">
        <f t="shared" ref="CL1189:CL1195" si="2810">A1189</f>
        <v>Hollywood JV - Jamul Reservation</v>
      </c>
      <c r="CM1189" s="537">
        <f>G1189</f>
        <v>0</v>
      </c>
      <c r="CN1189" s="537">
        <f>L1189</f>
        <v>0</v>
      </c>
      <c r="CO1189" s="537">
        <f>Q1189</f>
        <v>0</v>
      </c>
      <c r="CP1189" s="537">
        <f>V1189</f>
        <v>0</v>
      </c>
      <c r="CQ1189" s="537">
        <f>AA1189</f>
        <v>0</v>
      </c>
      <c r="CR1189" s="537">
        <f>AF1189</f>
        <v>0</v>
      </c>
      <c r="CS1189" s="537">
        <f>AK1189</f>
        <v>0</v>
      </c>
      <c r="CT1189" s="537">
        <f>AP1189</f>
        <v>0</v>
      </c>
      <c r="CU1189" s="537">
        <f t="shared" ref="CU1189:CU1194" si="2811">AU1189</f>
        <v>0</v>
      </c>
      <c r="CV1189" s="537">
        <f t="shared" ref="CV1189:CV1195" si="2812">AZ1189</f>
        <v>0</v>
      </c>
      <c r="CW1189" s="537">
        <f t="shared" ref="CW1189:CW1195" si="2813">BE1189</f>
        <v>0</v>
      </c>
      <c r="CX1189" s="537">
        <f t="shared" ref="CX1189:CX1195" si="2814">BJ1189</f>
        <v>0</v>
      </c>
      <c r="CY1189" s="537">
        <f t="shared" ref="CY1189:CY1195" si="2815">BO1189</f>
        <v>0</v>
      </c>
      <c r="CZ1189" s="537">
        <f t="shared" ref="CZ1189:CZ1195" si="2816">BT1189</f>
        <v>0</v>
      </c>
      <c r="DA1189" s="537">
        <f t="shared" ref="DA1189:DC1195" si="2817">BY1189</f>
        <v>0</v>
      </c>
      <c r="DB1189" s="537">
        <f t="shared" si="2817"/>
        <v>0</v>
      </c>
      <c r="DC1189" s="1926">
        <f t="shared" si="2817"/>
        <v>0</v>
      </c>
      <c r="DD1189" s="331"/>
      <c r="DE1189" s="331"/>
      <c r="DF1189" s="502"/>
      <c r="DG1189" s="503"/>
      <c r="DH1189" s="537"/>
      <c r="DI1189" s="3213"/>
      <c r="DJ1189" s="502"/>
      <c r="DK1189" s="503"/>
      <c r="DL1189" s="502"/>
      <c r="DM1189" s="502"/>
      <c r="DN1189" s="502"/>
      <c r="DO1189" s="502"/>
      <c r="DP1189" s="503"/>
      <c r="DQ1189" s="503"/>
      <c r="DR1189" s="428"/>
      <c r="DS1189" s="428"/>
      <c r="DT1189" s="428"/>
      <c r="DU1189"/>
      <c r="DV1189"/>
      <c r="DW1189"/>
      <c r="DX1189"/>
      <c r="DY1189"/>
      <c r="DZ1189"/>
    </row>
    <row r="1190" spans="1:130" ht="12" customHeight="1" x14ac:dyDescent="0.25">
      <c r="A1190" s="281" t="s">
        <v>894</v>
      </c>
      <c r="B1190" s="281"/>
      <c r="C1190" s="305"/>
      <c r="D1190" s="305"/>
      <c r="E1190" s="305"/>
      <c r="F1190" s="305"/>
      <c r="G1190" s="345"/>
      <c r="H1190" s="305"/>
      <c r="I1190" s="305"/>
      <c r="J1190" s="305"/>
      <c r="K1190" s="305"/>
      <c r="L1190" s="345"/>
      <c r="M1190" s="305"/>
      <c r="N1190" s="305"/>
      <c r="O1190" s="305"/>
      <c r="P1190" s="305"/>
      <c r="Q1190" s="345"/>
      <c r="R1190" s="305"/>
      <c r="S1190" s="305"/>
      <c r="T1190" s="305"/>
      <c r="U1190" s="305"/>
      <c r="V1190" s="345"/>
      <c r="W1190" s="305"/>
      <c r="X1190" s="305"/>
      <c r="Y1190" s="305"/>
      <c r="Z1190" s="305"/>
      <c r="AA1190" s="345"/>
      <c r="AB1190" s="305"/>
      <c r="AC1190" s="305"/>
      <c r="AD1190" s="305"/>
      <c r="AE1190" s="331"/>
      <c r="AF1190" s="348"/>
      <c r="AG1190" s="305"/>
      <c r="AH1190" s="305"/>
      <c r="AI1190" s="305"/>
      <c r="AJ1190" s="331"/>
      <c r="AK1190" s="348"/>
      <c r="AL1190" s="305"/>
      <c r="AM1190" s="305"/>
      <c r="AN1190" s="305"/>
      <c r="AO1190" s="331"/>
      <c r="AP1190" s="568"/>
      <c r="AQ1190" s="568"/>
      <c r="AR1190" s="330"/>
      <c r="AS1190" s="330"/>
      <c r="AT1190" s="330"/>
      <c r="AU1190" s="349"/>
      <c r="AV1190" s="443"/>
      <c r="AW1190" s="331"/>
      <c r="AX1190" s="331"/>
      <c r="AY1190" s="1306"/>
      <c r="AZ1190" s="349"/>
      <c r="BA1190" s="443"/>
      <c r="BB1190" s="331"/>
      <c r="BC1190" s="331"/>
      <c r="BD1190" s="1306"/>
      <c r="BE1190" s="349"/>
      <c r="BF1190" s="331"/>
      <c r="BG1190" s="331"/>
      <c r="BH1190" s="331"/>
      <c r="BI1190" s="1306"/>
      <c r="BJ1190" s="349"/>
      <c r="BK1190" s="331"/>
      <c r="BL1190" s="331"/>
      <c r="BM1190" s="331"/>
      <c r="BN1190" s="331">
        <f>$BO$1190</f>
        <v>1958</v>
      </c>
      <c r="BO1190" s="2573">
        <v>1958</v>
      </c>
      <c r="BP1190" s="331">
        <f t="shared" ref="BP1190:BS1192" si="2818">+BO1190</f>
        <v>1958</v>
      </c>
      <c r="BQ1190" s="331">
        <f t="shared" si="2818"/>
        <v>1958</v>
      </c>
      <c r="BR1190" s="331">
        <f t="shared" si="2818"/>
        <v>1958</v>
      </c>
      <c r="BS1190" s="331">
        <f t="shared" si="2818"/>
        <v>1958</v>
      </c>
      <c r="BT1190" s="3452">
        <v>1958</v>
      </c>
      <c r="BU1190" s="2601">
        <f t="shared" ref="BU1190:BV1192" si="2819">+BT1190</f>
        <v>1958</v>
      </c>
      <c r="BV1190" s="2601">
        <f t="shared" si="2819"/>
        <v>1958</v>
      </c>
      <c r="BW1190" s="2601"/>
      <c r="BX1190" s="2601"/>
      <c r="BY1190" s="3452"/>
      <c r="BZ1190" s="349"/>
      <c r="CA1190" s="349"/>
      <c r="CB1190" s="349">
        <f t="shared" ref="CB1190:CF1190" si="2820">CB1191+(CB1192*CB$320)</f>
        <v>0</v>
      </c>
      <c r="CC1190" s="349">
        <f t="shared" si="2820"/>
        <v>0</v>
      </c>
      <c r="CD1190" s="349">
        <f t="shared" si="2820"/>
        <v>0</v>
      </c>
      <c r="CE1190" s="349">
        <f t="shared" si="2820"/>
        <v>0</v>
      </c>
      <c r="CF1190" s="349">
        <f t="shared" si="2820"/>
        <v>0</v>
      </c>
      <c r="CG1190" s="331"/>
      <c r="CH1190" s="331"/>
      <c r="CI1190" s="331"/>
      <c r="CJ1190" s="331"/>
      <c r="CK1190" s="331"/>
      <c r="CL1190" s="520" t="str">
        <f t="shared" si="2810"/>
        <v>Positions</v>
      </c>
      <c r="CM1190" s="330"/>
      <c r="CN1190" s="330"/>
      <c r="CO1190" s="330"/>
      <c r="CP1190" s="330"/>
      <c r="CQ1190" s="330"/>
      <c r="CR1190" s="330"/>
      <c r="CS1190" s="330"/>
      <c r="CT1190" s="330"/>
      <c r="CU1190" s="330">
        <f t="shared" si="2811"/>
        <v>0</v>
      </c>
      <c r="CV1190" s="330">
        <f t="shared" si="2812"/>
        <v>0</v>
      </c>
      <c r="CW1190" s="330">
        <f t="shared" si="2813"/>
        <v>0</v>
      </c>
      <c r="CX1190" s="330">
        <f t="shared" si="2814"/>
        <v>0</v>
      </c>
      <c r="CY1190" s="330">
        <f t="shared" si="2815"/>
        <v>1958</v>
      </c>
      <c r="CZ1190" s="330">
        <f t="shared" si="2816"/>
        <v>1958</v>
      </c>
      <c r="DA1190" s="330">
        <f t="shared" si="2817"/>
        <v>0</v>
      </c>
      <c r="DB1190" s="330">
        <f t="shared" si="2817"/>
        <v>0</v>
      </c>
      <c r="DC1190" s="1888">
        <f t="shared" si="2817"/>
        <v>0</v>
      </c>
      <c r="DD1190" s="331"/>
      <c r="DE1190" s="331"/>
      <c r="DF1190" s="502"/>
      <c r="DG1190" s="503"/>
      <c r="DH1190" s="2601"/>
      <c r="DI1190" s="3213"/>
      <c r="DJ1190" s="502"/>
      <c r="DK1190" s="503"/>
      <c r="DL1190" s="502"/>
      <c r="DM1190" s="502"/>
      <c r="DN1190" s="502"/>
      <c r="DO1190" s="502"/>
      <c r="DP1190" s="503"/>
      <c r="DQ1190" s="503"/>
      <c r="DR1190" s="296"/>
      <c r="DS1190" s="296"/>
      <c r="DT1190" s="296"/>
    </row>
    <row r="1191" spans="1:130" ht="12" customHeight="1" x14ac:dyDescent="0.25">
      <c r="A1191" s="281" t="s">
        <v>585</v>
      </c>
      <c r="B1191" s="281"/>
      <c r="C1191" s="340"/>
      <c r="D1191" s="340"/>
      <c r="E1191" s="340"/>
      <c r="F1191" s="340"/>
      <c r="G1191" s="345"/>
      <c r="H1191" s="340"/>
      <c r="I1191" s="340"/>
      <c r="J1191" s="340"/>
      <c r="K1191" s="340"/>
      <c r="L1191" s="345"/>
      <c r="M1191" s="340"/>
      <c r="N1191" s="340"/>
      <c r="O1191" s="340"/>
      <c r="P1191" s="340"/>
      <c r="Q1191" s="345"/>
      <c r="R1191" s="340"/>
      <c r="S1191" s="340"/>
      <c r="T1191" s="340"/>
      <c r="U1191" s="340"/>
      <c r="V1191" s="345"/>
      <c r="W1191" s="340"/>
      <c r="X1191" s="340"/>
      <c r="Y1191" s="340"/>
      <c r="Z1191" s="340"/>
      <c r="AA1191" s="345"/>
      <c r="AB1191" s="340"/>
      <c r="AC1191" s="340"/>
      <c r="AD1191" s="340"/>
      <c r="AE1191" s="339"/>
      <c r="AF1191" s="348"/>
      <c r="AG1191" s="340"/>
      <c r="AH1191" s="340"/>
      <c r="AI1191" s="340"/>
      <c r="AJ1191" s="339"/>
      <c r="AK1191" s="348"/>
      <c r="AL1191" s="340"/>
      <c r="AM1191" s="340"/>
      <c r="AN1191" s="340"/>
      <c r="AO1191" s="339"/>
      <c r="AP1191" s="568"/>
      <c r="AQ1191" s="1677"/>
      <c r="AR1191" s="330"/>
      <c r="AS1191" s="330"/>
      <c r="AT1191" s="330"/>
      <c r="AU1191" s="348"/>
      <c r="AV1191" s="568"/>
      <c r="AW1191" s="330"/>
      <c r="AX1191" s="330"/>
      <c r="AY1191" s="1888"/>
      <c r="AZ1191" s="348"/>
      <c r="BA1191" s="568"/>
      <c r="BB1191" s="330"/>
      <c r="BC1191" s="330"/>
      <c r="BD1191" s="1888"/>
      <c r="BE1191" s="348"/>
      <c r="BF1191" s="330"/>
      <c r="BG1191" s="330"/>
      <c r="BH1191" s="330"/>
      <c r="BI1191" s="1888"/>
      <c r="BJ1191" s="348"/>
      <c r="BK1191" s="331"/>
      <c r="BL1191" s="331"/>
      <c r="BM1191" s="331"/>
      <c r="BN1191" s="331">
        <f>+BO1191</f>
        <v>1700</v>
      </c>
      <c r="BO1191" s="2573">
        <v>1700</v>
      </c>
      <c r="BP1191" s="331">
        <f t="shared" si="2818"/>
        <v>1700</v>
      </c>
      <c r="BQ1191" s="331">
        <f t="shared" si="2818"/>
        <v>1700</v>
      </c>
      <c r="BR1191" s="331">
        <f t="shared" si="2818"/>
        <v>1700</v>
      </c>
      <c r="BS1191" s="331">
        <f t="shared" si="2818"/>
        <v>1700</v>
      </c>
      <c r="BT1191" s="3453">
        <v>1700</v>
      </c>
      <c r="BU1191" s="2601">
        <f t="shared" si="2819"/>
        <v>1700</v>
      </c>
      <c r="BV1191" s="2601">
        <f t="shared" si="2819"/>
        <v>1700</v>
      </c>
      <c r="BW1191" s="2601"/>
      <c r="BX1191" s="2601"/>
      <c r="BY1191" s="3453"/>
      <c r="BZ1191" s="348"/>
      <c r="CA1191" s="348"/>
      <c r="CB1191" s="348">
        <f t="shared" ref="CB1191:CF1192" si="2821">CA1191</f>
        <v>0</v>
      </c>
      <c r="CC1191" s="348">
        <f t="shared" si="2821"/>
        <v>0</v>
      </c>
      <c r="CD1191" s="348">
        <f t="shared" si="2821"/>
        <v>0</v>
      </c>
      <c r="CE1191" s="348">
        <f t="shared" si="2821"/>
        <v>0</v>
      </c>
      <c r="CF1191" s="348">
        <f t="shared" si="2821"/>
        <v>0</v>
      </c>
      <c r="CG1191" s="331"/>
      <c r="CH1191" s="331"/>
      <c r="CI1191" s="331"/>
      <c r="CJ1191" s="331"/>
      <c r="CK1191" s="331"/>
      <c r="CL1191" s="520" t="str">
        <f t="shared" si="2810"/>
        <v>Slots</v>
      </c>
      <c r="CM1191" s="330"/>
      <c r="CN1191" s="330"/>
      <c r="CO1191" s="330"/>
      <c r="CP1191" s="330"/>
      <c r="CQ1191" s="330"/>
      <c r="CR1191" s="330"/>
      <c r="CS1191" s="330"/>
      <c r="CT1191" s="330"/>
      <c r="CU1191" s="330">
        <f t="shared" si="2811"/>
        <v>0</v>
      </c>
      <c r="CV1191" s="330">
        <f t="shared" si="2812"/>
        <v>0</v>
      </c>
      <c r="CW1191" s="330">
        <f t="shared" si="2813"/>
        <v>0</v>
      </c>
      <c r="CX1191" s="330">
        <f t="shared" si="2814"/>
        <v>0</v>
      </c>
      <c r="CY1191" s="330">
        <f t="shared" si="2815"/>
        <v>1700</v>
      </c>
      <c r="CZ1191" s="330">
        <f t="shared" si="2816"/>
        <v>1700</v>
      </c>
      <c r="DA1191" s="330">
        <f t="shared" si="2817"/>
        <v>0</v>
      </c>
      <c r="DB1191" s="330">
        <f t="shared" si="2817"/>
        <v>0</v>
      </c>
      <c r="DC1191" s="1888">
        <f t="shared" si="2817"/>
        <v>0</v>
      </c>
      <c r="DD1191" s="331"/>
      <c r="DE1191" s="331"/>
      <c r="DF1191" s="502"/>
      <c r="DG1191" s="503"/>
      <c r="DH1191" s="2909"/>
      <c r="DI1191" s="3213"/>
      <c r="DJ1191" s="502"/>
      <c r="DK1191" s="503"/>
      <c r="DL1191" s="502"/>
      <c r="DM1191" s="502"/>
      <c r="DN1191" s="502"/>
      <c r="DO1191" s="502"/>
      <c r="DP1191" s="503"/>
      <c r="DQ1191" s="503"/>
      <c r="DR1191" s="296"/>
      <c r="DS1191" s="296"/>
      <c r="DT1191" s="296"/>
    </row>
    <row r="1192" spans="1:130" ht="12" customHeight="1" x14ac:dyDescent="0.25">
      <c r="A1192" s="281" t="s">
        <v>584</v>
      </c>
      <c r="B1192" s="281"/>
      <c r="C1192" s="340"/>
      <c r="D1192" s="340"/>
      <c r="E1192" s="340"/>
      <c r="F1192" s="340"/>
      <c r="G1192" s="345"/>
      <c r="H1192" s="340"/>
      <c r="I1192" s="340"/>
      <c r="J1192" s="340"/>
      <c r="K1192" s="340"/>
      <c r="L1192" s="345"/>
      <c r="M1192" s="340"/>
      <c r="N1192" s="340"/>
      <c r="O1192" s="340"/>
      <c r="P1192" s="340"/>
      <c r="Q1192" s="345"/>
      <c r="R1192" s="340"/>
      <c r="S1192" s="340"/>
      <c r="T1192" s="340"/>
      <c r="U1192" s="340"/>
      <c r="V1192" s="345"/>
      <c r="W1192" s="340"/>
      <c r="X1192" s="340"/>
      <c r="Y1192" s="340"/>
      <c r="Z1192" s="340"/>
      <c r="AA1192" s="345"/>
      <c r="AB1192" s="340"/>
      <c r="AC1192" s="340"/>
      <c r="AD1192" s="340"/>
      <c r="AE1192" s="339"/>
      <c r="AF1192" s="348"/>
      <c r="AG1192" s="340"/>
      <c r="AH1192" s="340"/>
      <c r="AI1192" s="340"/>
      <c r="AJ1192" s="339"/>
      <c r="AK1192" s="348"/>
      <c r="AL1192" s="340"/>
      <c r="AM1192" s="340"/>
      <c r="AN1192" s="340"/>
      <c r="AO1192" s="339"/>
      <c r="AP1192" s="568"/>
      <c r="AQ1192" s="1677"/>
      <c r="AR1192" s="330"/>
      <c r="AS1192" s="330"/>
      <c r="AT1192" s="330"/>
      <c r="AU1192" s="348"/>
      <c r="AV1192" s="568"/>
      <c r="AW1192" s="330"/>
      <c r="AX1192" s="330"/>
      <c r="AY1192" s="1888"/>
      <c r="AZ1192" s="348"/>
      <c r="BA1192" s="568"/>
      <c r="BB1192" s="330"/>
      <c r="BC1192" s="330"/>
      <c r="BD1192" s="1888"/>
      <c r="BE1192" s="348"/>
      <c r="BF1192" s="330"/>
      <c r="BG1192" s="330"/>
      <c r="BH1192" s="330"/>
      <c r="BI1192" s="1888"/>
      <c r="BJ1192" s="348"/>
      <c r="BK1192" s="331"/>
      <c r="BL1192" s="331"/>
      <c r="BM1192" s="331"/>
      <c r="BN1192" s="331">
        <f>+BO1192</f>
        <v>43</v>
      </c>
      <c r="BO1192" s="2573">
        <v>43</v>
      </c>
      <c r="BP1192" s="331">
        <f t="shared" si="2818"/>
        <v>43</v>
      </c>
      <c r="BQ1192" s="331">
        <f t="shared" si="2818"/>
        <v>43</v>
      </c>
      <c r="BR1192" s="331">
        <f t="shared" si="2818"/>
        <v>43</v>
      </c>
      <c r="BS1192" s="331">
        <f t="shared" si="2818"/>
        <v>43</v>
      </c>
      <c r="BT1192" s="3453">
        <v>43</v>
      </c>
      <c r="BU1192" s="2601">
        <f t="shared" si="2819"/>
        <v>43</v>
      </c>
      <c r="BV1192" s="2601">
        <f t="shared" si="2819"/>
        <v>43</v>
      </c>
      <c r="BW1192" s="2601"/>
      <c r="BX1192" s="2601"/>
      <c r="BY1192" s="3453"/>
      <c r="BZ1192" s="348"/>
      <c r="CA1192" s="348"/>
      <c r="CB1192" s="348">
        <f t="shared" si="2821"/>
        <v>0</v>
      </c>
      <c r="CC1192" s="348">
        <f t="shared" si="2821"/>
        <v>0</v>
      </c>
      <c r="CD1192" s="348">
        <f t="shared" si="2821"/>
        <v>0</v>
      </c>
      <c r="CE1192" s="348">
        <f t="shared" si="2821"/>
        <v>0</v>
      </c>
      <c r="CF1192" s="348">
        <f t="shared" si="2821"/>
        <v>0</v>
      </c>
      <c r="CG1192" s="331"/>
      <c r="CH1192" s="331"/>
      <c r="CI1192" s="331"/>
      <c r="CJ1192" s="331"/>
      <c r="CK1192" s="331"/>
      <c r="CL1192" s="520" t="str">
        <f t="shared" si="2810"/>
        <v>Tables</v>
      </c>
      <c r="CM1192" s="330"/>
      <c r="CN1192" s="330"/>
      <c r="CO1192" s="330"/>
      <c r="CP1192" s="330"/>
      <c r="CQ1192" s="330"/>
      <c r="CR1192" s="330"/>
      <c r="CS1192" s="330"/>
      <c r="CT1192" s="330"/>
      <c r="CU1192" s="330">
        <f t="shared" si="2811"/>
        <v>0</v>
      </c>
      <c r="CV1192" s="330">
        <f t="shared" si="2812"/>
        <v>0</v>
      </c>
      <c r="CW1192" s="330">
        <f t="shared" si="2813"/>
        <v>0</v>
      </c>
      <c r="CX1192" s="330">
        <f t="shared" si="2814"/>
        <v>0</v>
      </c>
      <c r="CY1192" s="330">
        <f t="shared" si="2815"/>
        <v>43</v>
      </c>
      <c r="CZ1192" s="330">
        <f t="shared" si="2816"/>
        <v>43</v>
      </c>
      <c r="DA1192" s="330">
        <f t="shared" si="2817"/>
        <v>0</v>
      </c>
      <c r="DB1192" s="330">
        <f t="shared" si="2817"/>
        <v>0</v>
      </c>
      <c r="DC1192" s="1888">
        <f t="shared" si="2817"/>
        <v>0</v>
      </c>
      <c r="DD1192" s="331"/>
      <c r="DE1192" s="331"/>
      <c r="DF1192" s="502"/>
      <c r="DG1192" s="503"/>
      <c r="DH1192" s="2909"/>
      <c r="DI1192" s="3213"/>
      <c r="DJ1192" s="502"/>
      <c r="DK1192" s="503"/>
      <c r="DL1192" s="502"/>
      <c r="DM1192" s="502"/>
      <c r="DN1192" s="502"/>
      <c r="DO1192" s="502"/>
      <c r="DP1192" s="503"/>
      <c r="DQ1192" s="503"/>
      <c r="DR1192" s="296"/>
      <c r="DS1192" s="296"/>
      <c r="DT1192" s="296"/>
    </row>
    <row r="1193" spans="1:130" ht="12" customHeight="1" x14ac:dyDescent="0.25">
      <c r="A1193" s="511" t="s">
        <v>2111</v>
      </c>
      <c r="B1193" s="281"/>
      <c r="C1193" s="340"/>
      <c r="D1193" s="305"/>
      <c r="E1193" s="305"/>
      <c r="F1193" s="305"/>
      <c r="G1193" s="345"/>
      <c r="H1193" s="305"/>
      <c r="I1193" s="305"/>
      <c r="J1193" s="305"/>
      <c r="K1193" s="305"/>
      <c r="L1193" s="345"/>
      <c r="M1193" s="305"/>
      <c r="N1193" s="305"/>
      <c r="O1193" s="305"/>
      <c r="P1193" s="305"/>
      <c r="Q1193" s="345"/>
      <c r="R1193" s="305"/>
      <c r="S1193" s="305"/>
      <c r="T1193" s="305"/>
      <c r="U1193" s="305"/>
      <c r="V1193" s="345"/>
      <c r="W1193" s="305"/>
      <c r="X1193" s="305"/>
      <c r="Y1193" s="305"/>
      <c r="Z1193" s="305"/>
      <c r="AA1193" s="345"/>
      <c r="AB1193" s="305"/>
      <c r="AC1193" s="305"/>
      <c r="AD1193" s="305"/>
      <c r="AE1193" s="331"/>
      <c r="AF1193" s="348"/>
      <c r="AG1193" s="305"/>
      <c r="AH1193" s="305"/>
      <c r="AI1193" s="305"/>
      <c r="AJ1193" s="331"/>
      <c r="AK1193" s="348"/>
      <c r="AL1193" s="305"/>
      <c r="AM1193" s="305"/>
      <c r="AN1193" s="305"/>
      <c r="AO1193" s="331"/>
      <c r="AP1193" s="568"/>
      <c r="AQ1193" s="568"/>
      <c r="AR1193" s="330"/>
      <c r="AS1193" s="330"/>
      <c r="AT1193" s="330"/>
      <c r="AU1193" s="349"/>
      <c r="AV1193" s="443"/>
      <c r="AW1193" s="331"/>
      <c r="AX1193" s="331"/>
      <c r="AY1193" s="1306"/>
      <c r="AZ1193" s="349"/>
      <c r="BA1193" s="443"/>
      <c r="BB1193" s="331"/>
      <c r="BC1193" s="331"/>
      <c r="BD1193" s="1306"/>
      <c r="BE1193" s="349"/>
      <c r="BF1193" s="331"/>
      <c r="BG1193" s="331"/>
      <c r="BH1193" s="331"/>
      <c r="BI1193" s="1306"/>
      <c r="BJ1193" s="349"/>
      <c r="BK1193" s="331"/>
      <c r="BL1193" s="331"/>
      <c r="BM1193" s="331"/>
      <c r="BN1193" s="1306"/>
      <c r="BO1193" s="349">
        <f>AVERAGE(BN1190:BO1190)</f>
        <v>1958</v>
      </c>
      <c r="BP1193" s="331"/>
      <c r="BQ1193" s="331"/>
      <c r="BR1193" s="331"/>
      <c r="BS1193" s="331"/>
      <c r="BT1193" s="3222">
        <f t="shared" ref="BT1193:CF1193" si="2822">AVERAGE(BS1190:BT1190)</f>
        <v>1958</v>
      </c>
      <c r="BU1193" s="3393"/>
      <c r="BV1193" s="2601"/>
      <c r="BW1193" s="2601"/>
      <c r="BX1193" s="2601"/>
      <c r="BY1193" s="3222"/>
      <c r="BZ1193" s="349"/>
      <c r="CA1193" s="349"/>
      <c r="CB1193" s="349">
        <f t="shared" si="2822"/>
        <v>0</v>
      </c>
      <c r="CC1193" s="349">
        <f t="shared" si="2822"/>
        <v>0</v>
      </c>
      <c r="CD1193" s="349">
        <f t="shared" si="2822"/>
        <v>0</v>
      </c>
      <c r="CE1193" s="349">
        <f t="shared" si="2822"/>
        <v>0</v>
      </c>
      <c r="CF1193" s="349">
        <f t="shared" si="2822"/>
        <v>0</v>
      </c>
      <c r="CG1193" s="331"/>
      <c r="CH1193" s="331"/>
      <c r="CI1193" s="331"/>
      <c r="CJ1193" s="331"/>
      <c r="CK1193" s="331"/>
      <c r="CL1193" s="1118" t="str">
        <f t="shared" si="2810"/>
        <v>Average Positions</v>
      </c>
      <c r="CM1193" s="330"/>
      <c r="CN1193" s="330"/>
      <c r="CO1193" s="330"/>
      <c r="CP1193" s="330"/>
      <c r="CQ1193" s="330"/>
      <c r="CR1193" s="330"/>
      <c r="CS1193" s="330"/>
      <c r="CT1193" s="330"/>
      <c r="CU1193" s="330">
        <f t="shared" si="2811"/>
        <v>0</v>
      </c>
      <c r="CV1193" s="330">
        <f t="shared" si="2812"/>
        <v>0</v>
      </c>
      <c r="CW1193" s="330">
        <f t="shared" si="2813"/>
        <v>0</v>
      </c>
      <c r="CX1193" s="330">
        <f t="shared" si="2814"/>
        <v>0</v>
      </c>
      <c r="CY1193" s="330">
        <f t="shared" si="2815"/>
        <v>1958</v>
      </c>
      <c r="CZ1193" s="330">
        <f t="shared" si="2816"/>
        <v>1958</v>
      </c>
      <c r="DA1193" s="330">
        <f t="shared" si="2817"/>
        <v>0</v>
      </c>
      <c r="DB1193" s="330">
        <f t="shared" si="2817"/>
        <v>0</v>
      </c>
      <c r="DC1193" s="1888">
        <f t="shared" si="2817"/>
        <v>0</v>
      </c>
      <c r="DD1193" s="331"/>
      <c r="DE1193" s="331"/>
      <c r="DF1193" s="502"/>
      <c r="DG1193" s="503"/>
      <c r="DH1193" s="2601"/>
      <c r="DI1193" s="3213"/>
      <c r="DJ1193" s="502"/>
      <c r="DK1193" s="503"/>
      <c r="DL1193" s="502"/>
      <c r="DM1193" s="502"/>
      <c r="DN1193" s="502"/>
      <c r="DO1193" s="502"/>
      <c r="DP1193" s="503"/>
      <c r="DQ1193" s="503"/>
      <c r="DR1193" s="296"/>
      <c r="DS1193" s="296"/>
      <c r="DT1193" s="296"/>
    </row>
    <row r="1194" spans="1:130" ht="12" customHeight="1" x14ac:dyDescent="0.25">
      <c r="A1194" s="557" t="s">
        <v>901</v>
      </c>
      <c r="B1194" s="558"/>
      <c r="C1194" s="318"/>
      <c r="D1194" s="318"/>
      <c r="E1194" s="318"/>
      <c r="F1194" s="318"/>
      <c r="G1194" s="559"/>
      <c r="H1194" s="318"/>
      <c r="I1194" s="318"/>
      <c r="J1194" s="318"/>
      <c r="K1194" s="318"/>
      <c r="L1194" s="559"/>
      <c r="M1194" s="318"/>
      <c r="N1194" s="318"/>
      <c r="O1194" s="318"/>
      <c r="P1194" s="318"/>
      <c r="Q1194" s="559"/>
      <c r="R1194" s="318"/>
      <c r="S1194" s="318"/>
      <c r="T1194" s="318"/>
      <c r="U1194" s="318"/>
      <c r="V1194" s="559"/>
      <c r="W1194" s="318"/>
      <c r="X1194" s="318"/>
      <c r="Y1194" s="318"/>
      <c r="Z1194" s="318"/>
      <c r="AA1194" s="559"/>
      <c r="AB1194" s="318"/>
      <c r="AC1194" s="318"/>
      <c r="AD1194" s="318"/>
      <c r="AE1194" s="560"/>
      <c r="AF1194" s="561"/>
      <c r="AG1194" s="318"/>
      <c r="AH1194" s="318"/>
      <c r="AI1194" s="318"/>
      <c r="AJ1194" s="560"/>
      <c r="AK1194" s="561"/>
      <c r="AL1194" s="318"/>
      <c r="AM1194" s="318"/>
      <c r="AN1194" s="318"/>
      <c r="AO1194" s="560"/>
      <c r="AP1194" s="562"/>
      <c r="AQ1194" s="1732"/>
      <c r="AR1194" s="1766"/>
      <c r="AS1194" s="1766"/>
      <c r="AT1194" s="1766"/>
      <c r="AU1194" s="561"/>
      <c r="AV1194" s="1766"/>
      <c r="AW1194" s="1766"/>
      <c r="AX1194" s="1766"/>
      <c r="AY1194" s="1309"/>
      <c r="AZ1194" s="561"/>
      <c r="BA1194" s="1921"/>
      <c r="BB1194" s="1308"/>
      <c r="BC1194" s="1308"/>
      <c r="BD1194" s="1309"/>
      <c r="BE1194" s="1460"/>
      <c r="BF1194" s="1308"/>
      <c r="BG1194" s="1308"/>
      <c r="BH1194" s="1308"/>
      <c r="BI1194" s="1309"/>
      <c r="BJ1194" s="1460"/>
      <c r="BK1194" s="1308"/>
      <c r="BL1194" s="1308"/>
      <c r="BM1194" s="1308"/>
      <c r="BN1194" s="1308">
        <v>180</v>
      </c>
      <c r="BO1194" s="2589">
        <f>+(BO1200*1000000)/BO1190/(BN5+BM5)</f>
        <v>87.44093351689834</v>
      </c>
      <c r="BP1194" s="1308">
        <v>165</v>
      </c>
      <c r="BQ1194" s="1308">
        <v>180</v>
      </c>
      <c r="BR1194" s="1308">
        <v>180</v>
      </c>
      <c r="BS1194" s="1308">
        <v>160</v>
      </c>
      <c r="BT1194" s="2589">
        <f>+(BT1197*1000000)/BT1190/(BT5)</f>
        <v>171.26027397260273</v>
      </c>
      <c r="BU1194" s="1308">
        <f>+BP1194*1.03</f>
        <v>169.95000000000002</v>
      </c>
      <c r="BV1194" s="1308">
        <f>+BQ1194*1.03</f>
        <v>185.4</v>
      </c>
      <c r="BW1194" s="1308"/>
      <c r="BX1194" s="1308"/>
      <c r="BY1194" s="2589"/>
      <c r="BZ1194" s="1460"/>
      <c r="CA1194" s="1460"/>
      <c r="CB1194" s="1460">
        <f>+CA1194*0.95</f>
        <v>0</v>
      </c>
      <c r="CC1194" s="1460">
        <f>+CB1194*0.95</f>
        <v>0</v>
      </c>
      <c r="CD1194" s="1460">
        <f>+CC1194*1.03</f>
        <v>0</v>
      </c>
      <c r="CE1194" s="1460">
        <f>+CD1194*1.03</f>
        <v>0</v>
      </c>
      <c r="CF1194" s="1460">
        <f>+CE1194*1.03</f>
        <v>0</v>
      </c>
      <c r="CG1194" s="560"/>
      <c r="CH1194" s="560"/>
      <c r="CI1194" s="560"/>
      <c r="CJ1194" s="560"/>
      <c r="CK1194" s="560"/>
      <c r="CL1194" s="1307" t="str">
        <f t="shared" si="2810"/>
        <v>Daily Win / Position</v>
      </c>
      <c r="CM1194" s="560"/>
      <c r="CN1194" s="560"/>
      <c r="CO1194" s="560"/>
      <c r="CP1194" s="560"/>
      <c r="CQ1194" s="560"/>
      <c r="CR1194" s="560"/>
      <c r="CS1194" s="560"/>
      <c r="CT1194" s="560"/>
      <c r="CU1194" s="560">
        <f t="shared" si="2811"/>
        <v>0</v>
      </c>
      <c r="CV1194" s="560">
        <f t="shared" si="2812"/>
        <v>0</v>
      </c>
      <c r="CW1194" s="560">
        <f t="shared" si="2813"/>
        <v>0</v>
      </c>
      <c r="CX1194" s="560">
        <f t="shared" si="2814"/>
        <v>0</v>
      </c>
      <c r="CY1194" s="560">
        <f t="shared" si="2815"/>
        <v>87.44093351689834</v>
      </c>
      <c r="CZ1194" s="560">
        <f t="shared" si="2816"/>
        <v>171.26027397260273</v>
      </c>
      <c r="DA1194" s="560">
        <f t="shared" si="2817"/>
        <v>0</v>
      </c>
      <c r="DB1194" s="560">
        <f t="shared" si="2817"/>
        <v>0</v>
      </c>
      <c r="DC1194" s="1878">
        <f t="shared" si="2817"/>
        <v>0</v>
      </c>
      <c r="DD1194" s="560"/>
      <c r="DE1194" s="560"/>
      <c r="DF1194" s="707"/>
      <c r="DG1194" s="707"/>
      <c r="DH1194" s="2588"/>
      <c r="DI1194" s="3213"/>
      <c r="DJ1194" s="707"/>
      <c r="DK1194" s="707"/>
      <c r="DL1194" s="707"/>
      <c r="DM1194" s="707"/>
      <c r="DN1194" s="707"/>
      <c r="DO1194" s="707"/>
      <c r="DP1194" s="707"/>
      <c r="DQ1194" s="707"/>
      <c r="DR1194" s="968"/>
      <c r="DS1194" s="968"/>
      <c r="DT1194" s="968"/>
    </row>
    <row r="1195" spans="1:130" ht="12" customHeight="1" x14ac:dyDescent="0.25">
      <c r="A1195" s="465" t="s">
        <v>1491</v>
      </c>
      <c r="B1195" s="579"/>
      <c r="C1195" s="467"/>
      <c r="D1195" s="467"/>
      <c r="E1195" s="467"/>
      <c r="F1195" s="467"/>
      <c r="G1195" s="468"/>
      <c r="H1195" s="467"/>
      <c r="I1195" s="467"/>
      <c r="J1195" s="467"/>
      <c r="K1195" s="467"/>
      <c r="L1195" s="468"/>
      <c r="M1195" s="467"/>
      <c r="N1195" s="467"/>
      <c r="O1195" s="467"/>
      <c r="P1195" s="467"/>
      <c r="Q1195" s="468"/>
      <c r="R1195" s="467"/>
      <c r="S1195" s="467"/>
      <c r="T1195" s="467"/>
      <c r="U1195" s="467"/>
      <c r="V1195" s="468"/>
      <c r="W1195" s="467"/>
      <c r="X1195" s="467"/>
      <c r="Y1195" s="467"/>
      <c r="Z1195" s="467"/>
      <c r="AA1195" s="468"/>
      <c r="AB1195" s="467"/>
      <c r="AC1195" s="467"/>
      <c r="AD1195" s="467"/>
      <c r="AE1195" s="469"/>
      <c r="AF1195" s="470"/>
      <c r="AG1195" s="467"/>
      <c r="AH1195" s="467"/>
      <c r="AI1195" s="467"/>
      <c r="AJ1195" s="469"/>
      <c r="AK1195" s="470"/>
      <c r="AL1195" s="467"/>
      <c r="AM1195" s="467"/>
      <c r="AN1195" s="467"/>
      <c r="AO1195" s="469"/>
      <c r="AP1195" s="471"/>
      <c r="AQ1195" s="471"/>
      <c r="AR1195" s="469"/>
      <c r="AS1195" s="469"/>
      <c r="AT1195" s="469"/>
      <c r="AU1195" s="599"/>
      <c r="AV1195" s="469"/>
      <c r="AW1195" s="469"/>
      <c r="AX1195" s="519"/>
      <c r="AY1195" s="1462"/>
      <c r="AZ1195" s="591"/>
      <c r="BA1195" s="1618"/>
      <c r="BB1195" s="519"/>
      <c r="BC1195" s="519"/>
      <c r="BD1195" s="1462"/>
      <c r="BE1195" s="591"/>
      <c r="BF1195" s="519"/>
      <c r="BG1195" s="519"/>
      <c r="BH1195" s="519"/>
      <c r="BI1195" s="1462"/>
      <c r="BJ1195" s="591"/>
      <c r="BK1195" s="519"/>
      <c r="BL1195" s="519"/>
      <c r="BM1195" s="3349"/>
      <c r="BN1195" s="1462"/>
      <c r="BO1195" s="591"/>
      <c r="BP1195" s="519"/>
      <c r="BQ1195" s="519"/>
      <c r="BR1195" s="519"/>
      <c r="BS1195" s="519">
        <f>BS1194/BN1194-1</f>
        <v>-0.11111111111111116</v>
      </c>
      <c r="BT1195" s="591">
        <f>BT1194/BO1194-1</f>
        <v>0.95858240625377067</v>
      </c>
      <c r="BU1195" s="1618"/>
      <c r="BV1195" s="519"/>
      <c r="BW1195" s="519"/>
      <c r="BX1195" s="519"/>
      <c r="BY1195" s="591"/>
      <c r="BZ1195" s="591"/>
      <c r="CA1195" s="591"/>
      <c r="CB1195" s="591" t="e">
        <f t="shared" ref="CB1195:CF1195" si="2823">(CB1194-CA1194)/CA1194</f>
        <v>#DIV/0!</v>
      </c>
      <c r="CC1195" s="591" t="e">
        <f t="shared" si="2823"/>
        <v>#DIV/0!</v>
      </c>
      <c r="CD1195" s="591" t="e">
        <f t="shared" si="2823"/>
        <v>#DIV/0!</v>
      </c>
      <c r="CE1195" s="591" t="e">
        <f t="shared" si="2823"/>
        <v>#DIV/0!</v>
      </c>
      <c r="CF1195" s="591" t="e">
        <f t="shared" si="2823"/>
        <v>#DIV/0!</v>
      </c>
      <c r="CG1195" s="972"/>
      <c r="CH1195" s="972"/>
      <c r="CI1195" s="972"/>
      <c r="CJ1195" s="972"/>
      <c r="CK1195" s="972"/>
      <c r="CL1195" s="1310" t="str">
        <f t="shared" si="2810"/>
        <v>% growth (y-o-y)</v>
      </c>
      <c r="CM1195" s="469"/>
      <c r="CN1195" s="469"/>
      <c r="CO1195" s="469"/>
      <c r="CP1195" s="469"/>
      <c r="CQ1195" s="469"/>
      <c r="CR1195" s="469"/>
      <c r="CS1195" s="469"/>
      <c r="CT1195" s="469"/>
      <c r="CU1195" s="469"/>
      <c r="CV1195" s="469">
        <f t="shared" si="2812"/>
        <v>0</v>
      </c>
      <c r="CW1195" s="469">
        <f t="shared" si="2813"/>
        <v>0</v>
      </c>
      <c r="CX1195" s="469">
        <f t="shared" si="2814"/>
        <v>0</v>
      </c>
      <c r="CY1195" s="469">
        <f t="shared" si="2815"/>
        <v>0</v>
      </c>
      <c r="CZ1195" s="469">
        <f t="shared" si="2816"/>
        <v>0.95858240625377067</v>
      </c>
      <c r="DA1195" s="469">
        <f t="shared" si="2817"/>
        <v>0</v>
      </c>
      <c r="DB1195" s="469">
        <f t="shared" si="2817"/>
        <v>0</v>
      </c>
      <c r="DC1195" s="1463">
        <f t="shared" si="2817"/>
        <v>0</v>
      </c>
      <c r="DD1195" s="972"/>
      <c r="DE1195" s="972"/>
      <c r="DF1195" s="974"/>
      <c r="DG1195" s="975"/>
      <c r="DH1195" s="519"/>
      <c r="DI1195" s="3213"/>
      <c r="DJ1195" s="974"/>
      <c r="DK1195" s="975"/>
      <c r="DL1195" s="974"/>
      <c r="DM1195" s="974"/>
      <c r="DN1195" s="974"/>
      <c r="DO1195" s="974"/>
      <c r="DP1195" s="975"/>
      <c r="DQ1195" s="975"/>
      <c r="DR1195" s="976"/>
      <c r="DS1195" s="976"/>
      <c r="DT1195" s="976"/>
    </row>
    <row r="1196" spans="1:130" ht="5.0999999999999996" customHeight="1" x14ac:dyDescent="0.25">
      <c r="A1196" s="281"/>
      <c r="B1196" s="281"/>
      <c r="C1196" s="305"/>
      <c r="D1196" s="305"/>
      <c r="E1196" s="305"/>
      <c r="F1196" s="305"/>
      <c r="G1196" s="440"/>
      <c r="H1196" s="305"/>
      <c r="I1196" s="305"/>
      <c r="J1196" s="305"/>
      <c r="K1196" s="305"/>
      <c r="L1196" s="440"/>
      <c r="M1196" s="305"/>
      <c r="N1196" s="305"/>
      <c r="O1196" s="305"/>
      <c r="P1196" s="305"/>
      <c r="Q1196" s="440"/>
      <c r="R1196" s="305"/>
      <c r="S1196" s="305"/>
      <c r="T1196" s="305"/>
      <c r="U1196" s="305"/>
      <c r="V1196" s="440"/>
      <c r="W1196" s="305"/>
      <c r="X1196" s="305"/>
      <c r="Y1196" s="305"/>
      <c r="Z1196" s="305"/>
      <c r="AA1196" s="440"/>
      <c r="AB1196" s="305"/>
      <c r="AC1196" s="305"/>
      <c r="AD1196" s="305"/>
      <c r="AE1196" s="331"/>
      <c r="AF1196" s="441"/>
      <c r="AG1196" s="305"/>
      <c r="AH1196" s="305"/>
      <c r="AI1196" s="305"/>
      <c r="AJ1196" s="331"/>
      <c r="AK1196" s="441"/>
      <c r="AL1196" s="305"/>
      <c r="AM1196" s="305"/>
      <c r="AN1196" s="305"/>
      <c r="AO1196" s="331"/>
      <c r="AP1196" s="569"/>
      <c r="AQ1196" s="569"/>
      <c r="AR1196" s="442"/>
      <c r="AS1196" s="442"/>
      <c r="AT1196" s="442"/>
      <c r="AU1196" s="441"/>
      <c r="AV1196" s="569"/>
      <c r="AW1196" s="442"/>
      <c r="AX1196" s="442"/>
      <c r="AY1196" s="1312"/>
      <c r="AZ1196" s="441"/>
      <c r="BA1196" s="569"/>
      <c r="BB1196" s="442"/>
      <c r="BC1196" s="442"/>
      <c r="BD1196" s="1312"/>
      <c r="BE1196" s="441"/>
      <c r="BF1196" s="442"/>
      <c r="BG1196" s="442"/>
      <c r="BH1196" s="442"/>
      <c r="BI1196" s="1312"/>
      <c r="BJ1196" s="441"/>
      <c r="BK1196" s="442"/>
      <c r="BL1196" s="442"/>
      <c r="BM1196" s="442"/>
      <c r="BN1196" s="1312"/>
      <c r="BO1196" s="2573"/>
      <c r="BP1196" s="442"/>
      <c r="BQ1196" s="442"/>
      <c r="BR1196" s="442"/>
      <c r="BS1196" s="442"/>
      <c r="BT1196" s="3236"/>
      <c r="BU1196" s="3409"/>
      <c r="BV1196" s="3298"/>
      <c r="BW1196" s="3298"/>
      <c r="BX1196" s="3298"/>
      <c r="BY1196" s="3236"/>
      <c r="BZ1196" s="441"/>
      <c r="CA1196" s="441"/>
      <c r="CB1196" s="441"/>
      <c r="CC1196" s="441"/>
      <c r="CD1196" s="441"/>
      <c r="CE1196" s="441"/>
      <c r="CF1196" s="441"/>
      <c r="CG1196" s="331"/>
      <c r="CH1196" s="331"/>
      <c r="CI1196" s="331"/>
      <c r="CJ1196" s="331"/>
      <c r="CK1196" s="331"/>
      <c r="CL1196" s="520"/>
      <c r="CM1196" s="442"/>
      <c r="CN1196" s="442"/>
      <c r="CO1196" s="442"/>
      <c r="CP1196" s="442"/>
      <c r="CQ1196" s="442"/>
      <c r="CR1196" s="442"/>
      <c r="CS1196" s="442"/>
      <c r="CT1196" s="442"/>
      <c r="CU1196" s="442"/>
      <c r="CV1196" s="442"/>
      <c r="CW1196" s="442"/>
      <c r="CX1196" s="442"/>
      <c r="CY1196" s="442"/>
      <c r="CZ1196" s="442"/>
      <c r="DA1196" s="442"/>
      <c r="DB1196" s="442"/>
      <c r="DC1196" s="1312"/>
      <c r="DD1196" s="331"/>
      <c r="DE1196" s="331"/>
      <c r="DF1196" s="502"/>
      <c r="DG1196" s="503"/>
      <c r="DH1196" s="3298"/>
      <c r="DI1196" s="3213"/>
      <c r="DJ1196" s="502"/>
      <c r="DK1196" s="503"/>
      <c r="DL1196" s="502"/>
      <c r="DM1196" s="502"/>
      <c r="DN1196" s="502"/>
      <c r="DO1196" s="502"/>
      <c r="DP1196" s="503"/>
      <c r="DQ1196" s="503"/>
      <c r="DR1196" s="296"/>
      <c r="DS1196" s="296"/>
      <c r="DT1196" s="296"/>
    </row>
    <row r="1197" spans="1:130" ht="12" customHeight="1" x14ac:dyDescent="0.25">
      <c r="A1197" s="281" t="s">
        <v>730</v>
      </c>
      <c r="B1197" s="281"/>
      <c r="C1197" s="570"/>
      <c r="D1197" s="570"/>
      <c r="E1197" s="570"/>
      <c r="F1197" s="452"/>
      <c r="G1197" s="571"/>
      <c r="H1197" s="570"/>
      <c r="I1197" s="570"/>
      <c r="J1197" s="570"/>
      <c r="K1197" s="452"/>
      <c r="L1197" s="571"/>
      <c r="M1197" s="570"/>
      <c r="N1197" s="570"/>
      <c r="O1197" s="570"/>
      <c r="P1197" s="452"/>
      <c r="Q1197" s="571"/>
      <c r="R1197" s="570"/>
      <c r="S1197" s="570"/>
      <c r="T1197" s="570"/>
      <c r="U1197" s="452"/>
      <c r="V1197" s="571"/>
      <c r="W1197" s="570"/>
      <c r="X1197" s="570"/>
      <c r="Y1197" s="570"/>
      <c r="Z1197" s="452"/>
      <c r="AA1197" s="571"/>
      <c r="AB1197" s="570"/>
      <c r="AC1197" s="570"/>
      <c r="AD1197" s="570"/>
      <c r="AE1197" s="476"/>
      <c r="AF1197" s="573"/>
      <c r="AG1197" s="570"/>
      <c r="AH1197" s="570"/>
      <c r="AI1197" s="570"/>
      <c r="AJ1197" s="476"/>
      <c r="AK1197" s="573"/>
      <c r="AL1197" s="570"/>
      <c r="AM1197" s="570"/>
      <c r="AN1197" s="570"/>
      <c r="AO1197" s="476"/>
      <c r="AP1197" s="573"/>
      <c r="AQ1197" s="572"/>
      <c r="AR1197" s="572"/>
      <c r="AS1197" s="572"/>
      <c r="AT1197" s="572"/>
      <c r="AU1197" s="477"/>
      <c r="AV1197" s="592"/>
      <c r="AW1197" s="572"/>
      <c r="AX1197" s="572"/>
      <c r="AY1197" s="682"/>
      <c r="AZ1197" s="477"/>
      <c r="BA1197" s="478"/>
      <c r="BB1197" s="476"/>
      <c r="BC1197" s="476"/>
      <c r="BD1197" s="682"/>
      <c r="BE1197" s="477"/>
      <c r="BF1197" s="476"/>
      <c r="BG1197" s="476"/>
      <c r="BH1197" s="476"/>
      <c r="BI1197" s="682"/>
      <c r="BJ1197" s="477"/>
      <c r="BK1197" s="3082"/>
      <c r="BL1197" s="476"/>
      <c r="BM1197" s="3138"/>
      <c r="BN1197" s="3138">
        <f>+BN1194*BN1190*(BN5-9)/1000000</f>
        <v>29.252520000000001</v>
      </c>
      <c r="BO1197" s="2604">
        <f>SUM(BK1197:BN1197)</f>
        <v>29.252520000000001</v>
      </c>
      <c r="BP1197" s="2577">
        <f>+BP1194*BP1190*BP5/1000000</f>
        <v>29.0763</v>
      </c>
      <c r="BQ1197" s="2577">
        <f>+BQ1194*BQ1190*BQ5/1000000</f>
        <v>32.072040000000001</v>
      </c>
      <c r="BR1197" s="2577">
        <f>+BR1194*BR1190*BR5/1000000</f>
        <v>32.424480000000003</v>
      </c>
      <c r="BS1197" s="2577">
        <f>+BS1194*BS1190*BS5/1000000</f>
        <v>28.821760000000001</v>
      </c>
      <c r="BT1197" s="2604">
        <f>SUM(BP1197:BS1197)</f>
        <v>122.39458</v>
      </c>
      <c r="BU1197" s="2577">
        <f>+BU1194*BU1190*BU5/1000000</f>
        <v>29.948589000000005</v>
      </c>
      <c r="BV1197" s="3506">
        <f>+BV1194*BV1190*58/1000000</f>
        <v>21.054765600000003</v>
      </c>
      <c r="BW1197" s="2577"/>
      <c r="BX1197" s="2577"/>
      <c r="BY1197" s="2604"/>
      <c r="BZ1197" s="477"/>
      <c r="CA1197" s="477"/>
      <c r="CB1197" s="477">
        <f t="shared" ref="CB1197:CF1197" si="2824">+CB1194*CB1190*CB5/1000000</f>
        <v>0</v>
      </c>
      <c r="CC1197" s="477">
        <f t="shared" si="2824"/>
        <v>0</v>
      </c>
      <c r="CD1197" s="477">
        <f t="shared" si="2824"/>
        <v>0</v>
      </c>
      <c r="CE1197" s="477">
        <f t="shared" si="2824"/>
        <v>0</v>
      </c>
      <c r="CF1197" s="477">
        <f t="shared" si="2824"/>
        <v>0</v>
      </c>
      <c r="CG1197" s="331"/>
      <c r="CH1197" s="331"/>
      <c r="CI1197" s="331"/>
      <c r="CJ1197" s="331"/>
      <c r="CK1197" s="331"/>
      <c r="CL1197" s="520" t="str">
        <f>A1197</f>
        <v>Casino revenue</v>
      </c>
      <c r="CM1197" s="1180"/>
      <c r="CN1197" s="1180"/>
      <c r="CO1197" s="1180"/>
      <c r="CP1197" s="1180"/>
      <c r="CQ1197" s="1180"/>
      <c r="CR1197" s="1180"/>
      <c r="CS1197" s="1180"/>
      <c r="CT1197" s="1180"/>
      <c r="CU1197" s="1180">
        <f>AU1197</f>
        <v>0</v>
      </c>
      <c r="CV1197" s="1180">
        <f>AZ1197</f>
        <v>0</v>
      </c>
      <c r="CW1197" s="1180">
        <f>BE1197</f>
        <v>0</v>
      </c>
      <c r="CX1197" s="1180">
        <f>BJ1197</f>
        <v>0</v>
      </c>
      <c r="CY1197" s="1180">
        <f>BO1197</f>
        <v>29.252520000000001</v>
      </c>
      <c r="CZ1197" s="1180">
        <f>BT1197</f>
        <v>122.39458</v>
      </c>
      <c r="DA1197" s="1180">
        <f t="shared" ref="DA1197:DC1201" si="2825">BY1197</f>
        <v>0</v>
      </c>
      <c r="DB1197" s="1180">
        <f t="shared" si="2825"/>
        <v>0</v>
      </c>
      <c r="DC1197" s="2016">
        <f t="shared" si="2825"/>
        <v>0</v>
      </c>
      <c r="DD1197" s="331"/>
      <c r="DE1197" s="331"/>
      <c r="DF1197" s="502"/>
      <c r="DG1197" s="503"/>
      <c r="DH1197" s="2577"/>
      <c r="DI1197" s="3213"/>
      <c r="DJ1197" s="502"/>
      <c r="DK1197" s="503"/>
      <c r="DL1197" s="502"/>
      <c r="DM1197" s="502"/>
      <c r="DN1197" s="502"/>
      <c r="DO1197" s="502"/>
      <c r="DP1197" s="503"/>
      <c r="DQ1197" s="503"/>
      <c r="DR1197" s="296"/>
      <c r="DS1197" s="296"/>
      <c r="DT1197" s="296"/>
    </row>
    <row r="1198" spans="1:130" ht="12" customHeight="1" x14ac:dyDescent="0.25">
      <c r="A1198" s="465" t="s">
        <v>1491</v>
      </c>
      <c r="B1198" s="579"/>
      <c r="C1198" s="467"/>
      <c r="D1198" s="467"/>
      <c r="E1198" s="467"/>
      <c r="F1198" s="467"/>
      <c r="G1198" s="468"/>
      <c r="H1198" s="467"/>
      <c r="I1198" s="467"/>
      <c r="J1198" s="467"/>
      <c r="K1198" s="467"/>
      <c r="L1198" s="468"/>
      <c r="M1198" s="467"/>
      <c r="N1198" s="467"/>
      <c r="O1198" s="467"/>
      <c r="P1198" s="467"/>
      <c r="Q1198" s="468"/>
      <c r="R1198" s="467"/>
      <c r="S1198" s="467"/>
      <c r="T1198" s="467"/>
      <c r="U1198" s="467"/>
      <c r="V1198" s="468"/>
      <c r="W1198" s="467"/>
      <c r="X1198" s="467"/>
      <c r="Y1198" s="467"/>
      <c r="Z1198" s="467"/>
      <c r="AA1198" s="468"/>
      <c r="AB1198" s="467"/>
      <c r="AC1198" s="467"/>
      <c r="AD1198" s="467"/>
      <c r="AE1198" s="469"/>
      <c r="AF1198" s="470"/>
      <c r="AG1198" s="467"/>
      <c r="AH1198" s="467"/>
      <c r="AI1198" s="467"/>
      <c r="AJ1198" s="469"/>
      <c r="AK1198" s="470"/>
      <c r="AL1198" s="467"/>
      <c r="AM1198" s="467"/>
      <c r="AN1198" s="467"/>
      <c r="AO1198" s="469"/>
      <c r="AP1198" s="471"/>
      <c r="AQ1198" s="471"/>
      <c r="AR1198" s="469"/>
      <c r="AS1198" s="469"/>
      <c r="AT1198" s="469"/>
      <c r="AU1198" s="599"/>
      <c r="AV1198" s="1618"/>
      <c r="AW1198" s="519"/>
      <c r="AX1198" s="519"/>
      <c r="AY1198" s="1462"/>
      <c r="AZ1198" s="591"/>
      <c r="BA1198" s="1618"/>
      <c r="BB1198" s="519"/>
      <c r="BC1198" s="519"/>
      <c r="BD1198" s="1462"/>
      <c r="BE1198" s="591"/>
      <c r="BF1198" s="519"/>
      <c r="BG1198" s="519"/>
      <c r="BH1198" s="519"/>
      <c r="BI1198" s="1462"/>
      <c r="BJ1198" s="591"/>
      <c r="BK1198" s="519"/>
      <c r="BL1198" s="519"/>
      <c r="BM1198" s="519"/>
      <c r="BN1198" s="1462"/>
      <c r="BO1198" s="3081"/>
      <c r="BP1198" s="519"/>
      <c r="BQ1198" s="519"/>
      <c r="BR1198" s="3118"/>
      <c r="BS1198" s="3118"/>
      <c r="BT1198" s="591"/>
      <c r="BU1198" s="1618"/>
      <c r="BV1198" s="519"/>
      <c r="BW1198" s="737"/>
      <c r="BX1198" s="519"/>
      <c r="BY1198" s="591"/>
      <c r="BZ1198" s="591"/>
      <c r="CA1198" s="591"/>
      <c r="CB1198" s="591" t="e">
        <f t="shared" ref="CB1198:CF1198" si="2826">(CB1197-CA1197)/CA1197</f>
        <v>#DIV/0!</v>
      </c>
      <c r="CC1198" s="591" t="e">
        <f t="shared" si="2826"/>
        <v>#DIV/0!</v>
      </c>
      <c r="CD1198" s="591" t="e">
        <f t="shared" si="2826"/>
        <v>#DIV/0!</v>
      </c>
      <c r="CE1198" s="591" t="e">
        <f t="shared" si="2826"/>
        <v>#DIV/0!</v>
      </c>
      <c r="CF1198" s="591" t="e">
        <f t="shared" si="2826"/>
        <v>#DIV/0!</v>
      </c>
      <c r="CG1198" s="972"/>
      <c r="CH1198" s="972"/>
      <c r="CI1198" s="972"/>
      <c r="CJ1198" s="972"/>
      <c r="CK1198" s="972"/>
      <c r="CL1198" s="1310" t="str">
        <f>A1198</f>
        <v>% growth (y-o-y)</v>
      </c>
      <c r="CM1198" s="469"/>
      <c r="CN1198" s="469"/>
      <c r="CO1198" s="469"/>
      <c r="CP1198" s="469"/>
      <c r="CQ1198" s="469"/>
      <c r="CR1198" s="469"/>
      <c r="CS1198" s="469"/>
      <c r="CT1198" s="469"/>
      <c r="CU1198" s="469"/>
      <c r="CV1198" s="469">
        <f>AZ1198</f>
        <v>0</v>
      </c>
      <c r="CW1198" s="469">
        <f>BE1198</f>
        <v>0</v>
      </c>
      <c r="CX1198" s="469">
        <f>BJ1198</f>
        <v>0</v>
      </c>
      <c r="CY1198" s="469">
        <f>BO1198</f>
        <v>0</v>
      </c>
      <c r="CZ1198" s="469">
        <f>BT1198</f>
        <v>0</v>
      </c>
      <c r="DA1198" s="469">
        <f t="shared" si="2825"/>
        <v>0</v>
      </c>
      <c r="DB1198" s="469">
        <f t="shared" si="2825"/>
        <v>0</v>
      </c>
      <c r="DC1198" s="1463">
        <f t="shared" si="2825"/>
        <v>0</v>
      </c>
      <c r="DD1198" s="972"/>
      <c r="DE1198" s="972"/>
      <c r="DF1198" s="974"/>
      <c r="DG1198" s="975"/>
      <c r="DH1198" s="519"/>
      <c r="DI1198" s="3213"/>
      <c r="DJ1198" s="974"/>
      <c r="DK1198" s="975"/>
      <c r="DL1198" s="974"/>
      <c r="DM1198" s="974"/>
      <c r="DN1198" s="974"/>
      <c r="DO1198" s="974"/>
      <c r="DP1198" s="975"/>
      <c r="DQ1198" s="975"/>
      <c r="DR1198" s="976"/>
      <c r="DS1198" s="976"/>
      <c r="DT1198" s="976"/>
    </row>
    <row r="1199" spans="1:130" ht="12" customHeight="1" x14ac:dyDescent="0.25">
      <c r="A1199" s="281" t="s">
        <v>645</v>
      </c>
      <c r="B1199" s="281"/>
      <c r="C1199" s="452"/>
      <c r="D1199" s="452"/>
      <c r="E1199" s="452"/>
      <c r="F1199" s="452"/>
      <c r="G1199" s="475"/>
      <c r="H1199" s="452"/>
      <c r="I1199" s="452"/>
      <c r="J1199" s="452"/>
      <c r="K1199" s="452"/>
      <c r="L1199" s="475"/>
      <c r="M1199" s="452"/>
      <c r="N1199" s="452"/>
      <c r="O1199" s="452"/>
      <c r="P1199" s="452"/>
      <c r="Q1199" s="475"/>
      <c r="R1199" s="452"/>
      <c r="S1199" s="452"/>
      <c r="T1199" s="452"/>
      <c r="U1199" s="452"/>
      <c r="V1199" s="475"/>
      <c r="W1199" s="452"/>
      <c r="X1199" s="452"/>
      <c r="Y1199" s="452"/>
      <c r="Z1199" s="452"/>
      <c r="AA1199" s="475"/>
      <c r="AB1199" s="452"/>
      <c r="AC1199" s="452"/>
      <c r="AD1199" s="452"/>
      <c r="AE1199" s="476"/>
      <c r="AF1199" s="477"/>
      <c r="AG1199" s="452"/>
      <c r="AH1199" s="452"/>
      <c r="AI1199" s="452"/>
      <c r="AJ1199" s="476"/>
      <c r="AK1199" s="477"/>
      <c r="AL1199" s="452"/>
      <c r="AM1199" s="452"/>
      <c r="AN1199" s="452"/>
      <c r="AO1199" s="476"/>
      <c r="AP1199" s="478"/>
      <c r="AQ1199" s="592"/>
      <c r="AR1199" s="476"/>
      <c r="AS1199" s="476"/>
      <c r="AT1199" s="476"/>
      <c r="AU1199" s="477"/>
      <c r="AV1199" s="478"/>
      <c r="AW1199" s="476"/>
      <c r="AX1199" s="476"/>
      <c r="AY1199" s="682"/>
      <c r="AZ1199" s="477"/>
      <c r="BA1199" s="478"/>
      <c r="BB1199" s="476"/>
      <c r="BC1199" s="476"/>
      <c r="BD1199" s="682"/>
      <c r="BE1199" s="477"/>
      <c r="BF1199" s="476"/>
      <c r="BG1199" s="476"/>
      <c r="BH1199" s="476"/>
      <c r="BI1199" s="682"/>
      <c r="BJ1199" s="477"/>
      <c r="BK1199" s="3082"/>
      <c r="BL1199" s="476"/>
      <c r="BM1199" s="3138"/>
      <c r="BN1199" s="2941">
        <v>2.25</v>
      </c>
      <c r="BO1199" s="3081">
        <f>SUM(BK1199:BN1199)</f>
        <v>2.25</v>
      </c>
      <c r="BP1199" s="2941">
        <v>3</v>
      </c>
      <c r="BQ1199" s="2941">
        <v>3.5</v>
      </c>
      <c r="BR1199" s="2941">
        <v>3.5</v>
      </c>
      <c r="BS1199" s="2941">
        <v>3</v>
      </c>
      <c r="BT1199" s="2604">
        <f>SUM(BP1199:BS1199)</f>
        <v>13</v>
      </c>
      <c r="BU1199" s="572">
        <v>3.3</v>
      </c>
      <c r="BV1199" s="572">
        <v>2</v>
      </c>
      <c r="BW1199" s="572"/>
      <c r="BX1199" s="572"/>
      <c r="BY1199" s="2604"/>
      <c r="BZ1199" s="477"/>
      <c r="CA1199" s="477"/>
      <c r="CB1199" s="477">
        <f>+CA1199</f>
        <v>0</v>
      </c>
      <c r="CC1199" s="477">
        <f>+CB1199</f>
        <v>0</v>
      </c>
      <c r="CD1199" s="477">
        <f>+CC1199</f>
        <v>0</v>
      </c>
      <c r="CE1199" s="477">
        <f>+CD1199</f>
        <v>0</v>
      </c>
      <c r="CF1199" s="477">
        <f>+CE1199</f>
        <v>0</v>
      </c>
      <c r="CG1199" s="331"/>
      <c r="CH1199" s="331"/>
      <c r="CI1199" s="331"/>
      <c r="CJ1199" s="331"/>
      <c r="CK1199" s="331"/>
      <c r="CL1199" s="520" t="str">
        <f>A1199</f>
        <v>Other revenue</v>
      </c>
      <c r="CM1199" s="476"/>
      <c r="CN1199" s="476"/>
      <c r="CO1199" s="476"/>
      <c r="CP1199" s="476"/>
      <c r="CQ1199" s="476"/>
      <c r="CR1199" s="476"/>
      <c r="CS1199" s="476"/>
      <c r="CT1199" s="476"/>
      <c r="CU1199" s="476">
        <f>AU1199</f>
        <v>0</v>
      </c>
      <c r="CV1199" s="476">
        <f>AZ1199</f>
        <v>0</v>
      </c>
      <c r="CW1199" s="476">
        <f>BE1199</f>
        <v>0</v>
      </c>
      <c r="CX1199" s="476">
        <f>BJ1199</f>
        <v>0</v>
      </c>
      <c r="CY1199" s="476">
        <f>BO1199</f>
        <v>2.25</v>
      </c>
      <c r="CZ1199" s="476">
        <f>BT1199</f>
        <v>13</v>
      </c>
      <c r="DA1199" s="476">
        <f t="shared" si="2825"/>
        <v>0</v>
      </c>
      <c r="DB1199" s="476">
        <f t="shared" si="2825"/>
        <v>0</v>
      </c>
      <c r="DC1199" s="682">
        <f t="shared" si="2825"/>
        <v>0</v>
      </c>
      <c r="DD1199" s="331"/>
      <c r="DE1199" s="331"/>
      <c r="DF1199" s="502"/>
      <c r="DG1199" s="503"/>
      <c r="DH1199" s="2577"/>
      <c r="DI1199" s="3213"/>
      <c r="DJ1199" s="502"/>
      <c r="DK1199" s="503"/>
      <c r="DL1199" s="502"/>
      <c r="DM1199" s="502"/>
      <c r="DN1199" s="502"/>
      <c r="DO1199" s="502"/>
      <c r="DP1199" s="503"/>
      <c r="DQ1199" s="503"/>
      <c r="DR1199" s="296"/>
      <c r="DS1199" s="296"/>
      <c r="DT1199" s="296"/>
    </row>
    <row r="1200" spans="1:130" ht="12" customHeight="1" x14ac:dyDescent="0.25">
      <c r="A1200" s="496" t="s">
        <v>1418</v>
      </c>
      <c r="B1200" s="1007"/>
      <c r="C1200" s="1008"/>
      <c r="D1200" s="1008"/>
      <c r="E1200" s="1008"/>
      <c r="F1200" s="1008"/>
      <c r="G1200" s="1009"/>
      <c r="H1200" s="1008"/>
      <c r="I1200" s="1008"/>
      <c r="J1200" s="1008"/>
      <c r="K1200" s="1008"/>
      <c r="L1200" s="1009"/>
      <c r="M1200" s="1008"/>
      <c r="N1200" s="1008"/>
      <c r="O1200" s="1008"/>
      <c r="P1200" s="1008"/>
      <c r="Q1200" s="1009"/>
      <c r="R1200" s="1008"/>
      <c r="S1200" s="1008"/>
      <c r="T1200" s="1008"/>
      <c r="U1200" s="1008"/>
      <c r="V1200" s="1009"/>
      <c r="W1200" s="1008"/>
      <c r="X1200" s="1008"/>
      <c r="Y1200" s="1008"/>
      <c r="Z1200" s="1008"/>
      <c r="AA1200" s="1009"/>
      <c r="AB1200" s="1014"/>
      <c r="AC1200" s="1014"/>
      <c r="AD1200" s="1014"/>
      <c r="AE1200" s="1012"/>
      <c r="AF1200" s="1011"/>
      <c r="AG1200" s="1014"/>
      <c r="AH1200" s="1014"/>
      <c r="AI1200" s="1014"/>
      <c r="AJ1200" s="1012"/>
      <c r="AK1200" s="1011"/>
      <c r="AL1200" s="1014"/>
      <c r="AM1200" s="1014"/>
      <c r="AN1200" s="1014"/>
      <c r="AO1200" s="1012"/>
      <c r="AP1200" s="1013"/>
      <c r="AQ1200" s="1013"/>
      <c r="AR1200" s="1012"/>
      <c r="AS1200" s="1012"/>
      <c r="AT1200" s="1012"/>
      <c r="AU1200" s="1011"/>
      <c r="AV1200" s="1013"/>
      <c r="AW1200" s="1012"/>
      <c r="AX1200" s="1012"/>
      <c r="AY1200" s="1877"/>
      <c r="AZ1200" s="1011"/>
      <c r="BA1200" s="1013"/>
      <c r="BB1200" s="1012"/>
      <c r="BC1200" s="1012"/>
      <c r="BD1200" s="1877"/>
      <c r="BE1200" s="1011"/>
      <c r="BF1200" s="1012"/>
      <c r="BG1200" s="1012"/>
      <c r="BH1200" s="1012"/>
      <c r="BI1200" s="1877"/>
      <c r="BJ1200" s="1011"/>
      <c r="BK1200" s="1012"/>
      <c r="BL1200" s="1012"/>
      <c r="BM1200" s="1012"/>
      <c r="BN1200" s="1877">
        <f t="shared" ref="BN1200:BV1200" si="2827">BN1199+BN1197</f>
        <v>31.502520000000001</v>
      </c>
      <c r="BO1200" s="1011">
        <f t="shared" si="2827"/>
        <v>31.502520000000001</v>
      </c>
      <c r="BP1200" s="1012">
        <f t="shared" si="2827"/>
        <v>32.076300000000003</v>
      </c>
      <c r="BQ1200" s="1012">
        <f t="shared" si="2827"/>
        <v>35.572040000000001</v>
      </c>
      <c r="BR1200" s="1012">
        <f t="shared" si="2827"/>
        <v>35.924480000000003</v>
      </c>
      <c r="BS1200" s="1012">
        <f t="shared" si="2827"/>
        <v>31.821760000000001</v>
      </c>
      <c r="BT1200" s="1011">
        <f t="shared" si="2827"/>
        <v>135.39458000000002</v>
      </c>
      <c r="BU1200" s="1012">
        <f t="shared" si="2827"/>
        <v>33.248589000000003</v>
      </c>
      <c r="BV1200" s="1012">
        <f t="shared" si="2827"/>
        <v>23.054765600000003</v>
      </c>
      <c r="BW1200" s="1012"/>
      <c r="BX1200" s="1012"/>
      <c r="BY1200" s="1011"/>
      <c r="BZ1200" s="1011"/>
      <c r="CA1200" s="1011"/>
      <c r="CB1200" s="1011">
        <f t="shared" ref="CB1200:CF1200" si="2828">CB1199+CB1197</f>
        <v>0</v>
      </c>
      <c r="CC1200" s="1011">
        <f t="shared" si="2828"/>
        <v>0</v>
      </c>
      <c r="CD1200" s="1011">
        <f t="shared" si="2828"/>
        <v>0</v>
      </c>
      <c r="CE1200" s="1011">
        <f t="shared" si="2828"/>
        <v>0</v>
      </c>
      <c r="CF1200" s="1011">
        <f t="shared" si="2828"/>
        <v>0</v>
      </c>
      <c r="CG1200" s="331"/>
      <c r="CH1200" s="331"/>
      <c r="CI1200" s="331"/>
      <c r="CJ1200" s="331"/>
      <c r="CK1200" s="331"/>
      <c r="CL1200" s="2102" t="str">
        <f>A1200</f>
        <v>Net revenue</v>
      </c>
      <c r="CM1200" s="1012"/>
      <c r="CN1200" s="1012"/>
      <c r="CO1200" s="1012"/>
      <c r="CP1200" s="1012"/>
      <c r="CQ1200" s="1012"/>
      <c r="CR1200" s="1012"/>
      <c r="CS1200" s="1012"/>
      <c r="CT1200" s="1012"/>
      <c r="CU1200" s="1012">
        <f>AU1200</f>
        <v>0</v>
      </c>
      <c r="CV1200" s="1012">
        <f>AZ1200</f>
        <v>0</v>
      </c>
      <c r="CW1200" s="1012">
        <f>BE1200</f>
        <v>0</v>
      </c>
      <c r="CX1200" s="1012">
        <f>BJ1200</f>
        <v>0</v>
      </c>
      <c r="CY1200" s="1012">
        <f>BO1200</f>
        <v>31.502520000000001</v>
      </c>
      <c r="CZ1200" s="1012">
        <f>BT1200</f>
        <v>135.39458000000002</v>
      </c>
      <c r="DA1200" s="1012">
        <f t="shared" si="2825"/>
        <v>0</v>
      </c>
      <c r="DB1200" s="1012">
        <f t="shared" si="2825"/>
        <v>0</v>
      </c>
      <c r="DC1200" s="1877">
        <f t="shared" si="2825"/>
        <v>0</v>
      </c>
      <c r="DD1200" s="331"/>
      <c r="DE1200" s="331"/>
      <c r="DF1200" s="502"/>
      <c r="DG1200" s="503"/>
      <c r="DH1200" s="598"/>
      <c r="DI1200" s="3213"/>
      <c r="DJ1200" s="502"/>
      <c r="DK1200" s="503"/>
      <c r="DL1200" s="502"/>
      <c r="DM1200" s="502"/>
      <c r="DN1200" s="502"/>
      <c r="DO1200" s="502"/>
      <c r="DP1200" s="503"/>
      <c r="DQ1200" s="503"/>
      <c r="DR1200" s="296"/>
      <c r="DS1200" s="296"/>
      <c r="DT1200" s="296"/>
    </row>
    <row r="1201" spans="1:124" ht="12" customHeight="1" x14ac:dyDescent="0.25">
      <c r="A1201" s="465" t="s">
        <v>1491</v>
      </c>
      <c r="B1201" s="579"/>
      <c r="C1201" s="467"/>
      <c r="D1201" s="467"/>
      <c r="E1201" s="467"/>
      <c r="F1201" s="467"/>
      <c r="G1201" s="468"/>
      <c r="H1201" s="467"/>
      <c r="I1201" s="467"/>
      <c r="J1201" s="467"/>
      <c r="K1201" s="467"/>
      <c r="L1201" s="468"/>
      <c r="M1201" s="467"/>
      <c r="N1201" s="467"/>
      <c r="O1201" s="467"/>
      <c r="P1201" s="467"/>
      <c r="Q1201" s="468"/>
      <c r="R1201" s="467"/>
      <c r="S1201" s="467"/>
      <c r="T1201" s="467"/>
      <c r="U1201" s="467"/>
      <c r="V1201" s="468"/>
      <c r="W1201" s="467"/>
      <c r="X1201" s="467"/>
      <c r="Y1201" s="467"/>
      <c r="Z1201" s="467"/>
      <c r="AA1201" s="468"/>
      <c r="AB1201" s="467"/>
      <c r="AC1201" s="467"/>
      <c r="AD1201" s="467"/>
      <c r="AE1201" s="469"/>
      <c r="AF1201" s="470"/>
      <c r="AG1201" s="467"/>
      <c r="AH1201" s="467"/>
      <c r="AI1201" s="467"/>
      <c r="AJ1201" s="469"/>
      <c r="AK1201" s="470"/>
      <c r="AL1201" s="467"/>
      <c r="AM1201" s="467"/>
      <c r="AN1201" s="467"/>
      <c r="AO1201" s="469"/>
      <c r="AP1201" s="471"/>
      <c r="AQ1201" s="471"/>
      <c r="AR1201" s="469"/>
      <c r="AS1201" s="469"/>
      <c r="AT1201" s="469"/>
      <c r="AU1201" s="599"/>
      <c r="AV1201" s="1618"/>
      <c r="AW1201" s="519"/>
      <c r="AX1201" s="519"/>
      <c r="AY1201" s="1462"/>
      <c r="AZ1201" s="591"/>
      <c r="BA1201" s="1618"/>
      <c r="BB1201" s="519"/>
      <c r="BC1201" s="519"/>
      <c r="BD1201" s="1462"/>
      <c r="BE1201" s="591"/>
      <c r="BF1201" s="519"/>
      <c r="BG1201" s="519"/>
      <c r="BH1201" s="519"/>
      <c r="BI1201" s="1462"/>
      <c r="BJ1201" s="591"/>
      <c r="BK1201" s="519"/>
      <c r="BL1201" s="519"/>
      <c r="BM1201" s="519"/>
      <c r="BN1201" s="1462"/>
      <c r="BO1201" s="591"/>
      <c r="BP1201" s="519"/>
      <c r="BQ1201" s="519"/>
      <c r="BR1201" s="519"/>
      <c r="BS1201" s="519"/>
      <c r="BT1201" s="591"/>
      <c r="BU1201" s="1618"/>
      <c r="BV1201" s="519"/>
      <c r="BW1201" s="519"/>
      <c r="BX1201" s="519"/>
      <c r="BY1201" s="591"/>
      <c r="BZ1201" s="591"/>
      <c r="CA1201" s="591"/>
      <c r="CB1201" s="591" t="e">
        <f t="shared" ref="CB1201:CF1201" si="2829">(CB1200-CA1200)/CA1200</f>
        <v>#DIV/0!</v>
      </c>
      <c r="CC1201" s="591" t="e">
        <f t="shared" si="2829"/>
        <v>#DIV/0!</v>
      </c>
      <c r="CD1201" s="591" t="e">
        <f t="shared" si="2829"/>
        <v>#DIV/0!</v>
      </c>
      <c r="CE1201" s="591" t="e">
        <f t="shared" si="2829"/>
        <v>#DIV/0!</v>
      </c>
      <c r="CF1201" s="591" t="e">
        <f t="shared" si="2829"/>
        <v>#DIV/0!</v>
      </c>
      <c r="CG1201" s="972"/>
      <c r="CH1201" s="972"/>
      <c r="CI1201" s="972"/>
      <c r="CJ1201" s="972"/>
      <c r="CK1201" s="972"/>
      <c r="CL1201" s="1310" t="str">
        <f>A1201</f>
        <v>% growth (y-o-y)</v>
      </c>
      <c r="CM1201" s="469"/>
      <c r="CN1201" s="469"/>
      <c r="CO1201" s="469"/>
      <c r="CP1201" s="469"/>
      <c r="CQ1201" s="469"/>
      <c r="CR1201" s="469"/>
      <c r="CS1201" s="469"/>
      <c r="CT1201" s="469"/>
      <c r="CU1201" s="469"/>
      <c r="CV1201" s="469">
        <f>AZ1201</f>
        <v>0</v>
      </c>
      <c r="CW1201" s="469">
        <f>BE1201</f>
        <v>0</v>
      </c>
      <c r="CX1201" s="469">
        <f>BJ1201</f>
        <v>0</v>
      </c>
      <c r="CY1201" s="469">
        <f>BO1201</f>
        <v>0</v>
      </c>
      <c r="CZ1201" s="469">
        <f>BT1201</f>
        <v>0</v>
      </c>
      <c r="DA1201" s="469">
        <f t="shared" si="2825"/>
        <v>0</v>
      </c>
      <c r="DB1201" s="469">
        <f t="shared" si="2825"/>
        <v>0</v>
      </c>
      <c r="DC1201" s="1463">
        <f t="shared" si="2825"/>
        <v>0</v>
      </c>
      <c r="DD1201" s="972"/>
      <c r="DE1201" s="972"/>
      <c r="DF1201" s="974"/>
      <c r="DG1201" s="975"/>
      <c r="DH1201" s="519"/>
      <c r="DI1201" s="3213"/>
      <c r="DJ1201" s="974"/>
      <c r="DK1201" s="975"/>
      <c r="DL1201" s="974"/>
      <c r="DM1201" s="974"/>
      <c r="DN1201" s="974"/>
      <c r="DO1201" s="974"/>
      <c r="DP1201" s="975"/>
      <c r="DQ1201" s="975"/>
      <c r="DR1201" s="976"/>
      <c r="DS1201" s="976"/>
      <c r="DT1201" s="976"/>
    </row>
    <row r="1202" spans="1:124" ht="5.0999999999999996" customHeight="1" x14ac:dyDescent="0.25">
      <c r="A1202" s="281"/>
      <c r="B1202" s="281"/>
      <c r="C1202" s="305"/>
      <c r="D1202" s="305"/>
      <c r="E1202" s="305"/>
      <c r="F1202" s="305"/>
      <c r="G1202" s="440"/>
      <c r="H1202" s="305"/>
      <c r="I1202" s="305"/>
      <c r="J1202" s="305"/>
      <c r="K1202" s="305"/>
      <c r="L1202" s="440"/>
      <c r="M1202" s="305"/>
      <c r="N1202" s="305"/>
      <c r="O1202" s="305"/>
      <c r="P1202" s="305"/>
      <c r="Q1202" s="440"/>
      <c r="R1202" s="305"/>
      <c r="S1202" s="305"/>
      <c r="T1202" s="305"/>
      <c r="U1202" s="305"/>
      <c r="V1202" s="440"/>
      <c r="W1202" s="305"/>
      <c r="X1202" s="305"/>
      <c r="Y1202" s="305"/>
      <c r="Z1202" s="305"/>
      <c r="AA1202" s="440"/>
      <c r="AB1202" s="305"/>
      <c r="AC1202" s="305"/>
      <c r="AD1202" s="305"/>
      <c r="AE1202" s="331"/>
      <c r="AF1202" s="441"/>
      <c r="AG1202" s="305"/>
      <c r="AH1202" s="305"/>
      <c r="AI1202" s="305"/>
      <c r="AJ1202" s="331"/>
      <c r="AK1202" s="441"/>
      <c r="AL1202" s="305"/>
      <c r="AM1202" s="305"/>
      <c r="AN1202" s="305"/>
      <c r="AO1202" s="331"/>
      <c r="AP1202" s="569"/>
      <c r="AQ1202" s="569"/>
      <c r="AR1202" s="442"/>
      <c r="AS1202" s="442"/>
      <c r="AT1202" s="442"/>
      <c r="AU1202" s="441"/>
      <c r="AV1202" s="569"/>
      <c r="AW1202" s="442"/>
      <c r="AX1202" s="442"/>
      <c r="AY1202" s="1312"/>
      <c r="AZ1202" s="441"/>
      <c r="BA1202" s="569"/>
      <c r="BB1202" s="442"/>
      <c r="BC1202" s="442"/>
      <c r="BD1202" s="1312"/>
      <c r="BE1202" s="441"/>
      <c r="BF1202" s="442"/>
      <c r="BG1202" s="442"/>
      <c r="BH1202" s="442"/>
      <c r="BI1202" s="1312"/>
      <c r="BJ1202" s="441"/>
      <c r="BK1202" s="442"/>
      <c r="BL1202" s="442"/>
      <c r="BM1202" s="442"/>
      <c r="BN1202" s="1312"/>
      <c r="BO1202" s="441"/>
      <c r="BP1202" s="442"/>
      <c r="BQ1202" s="442"/>
      <c r="BR1202" s="442"/>
      <c r="BS1202" s="442"/>
      <c r="BT1202" s="3236"/>
      <c r="BU1202" s="3409"/>
      <c r="BV1202" s="3298"/>
      <c r="BW1202" s="3298"/>
      <c r="BX1202" s="3298"/>
      <c r="BY1202" s="3236"/>
      <c r="BZ1202" s="441"/>
      <c r="CA1202" s="441"/>
      <c r="CB1202" s="441"/>
      <c r="CC1202" s="441"/>
      <c r="CD1202" s="441"/>
      <c r="CE1202" s="441"/>
      <c r="CF1202" s="441"/>
      <c r="CG1202" s="331"/>
      <c r="CH1202" s="331"/>
      <c r="CI1202" s="331"/>
      <c r="CJ1202" s="331"/>
      <c r="CK1202" s="331"/>
      <c r="CL1202" s="520"/>
      <c r="CM1202" s="442"/>
      <c r="CN1202" s="442"/>
      <c r="CO1202" s="442"/>
      <c r="CP1202" s="442"/>
      <c r="CQ1202" s="442"/>
      <c r="CR1202" s="442"/>
      <c r="CS1202" s="442"/>
      <c r="CT1202" s="442"/>
      <c r="CU1202" s="442"/>
      <c r="CV1202" s="442"/>
      <c r="CW1202" s="442"/>
      <c r="CX1202" s="442"/>
      <c r="CY1202" s="442"/>
      <c r="CZ1202" s="442"/>
      <c r="DA1202" s="442"/>
      <c r="DB1202" s="442"/>
      <c r="DC1202" s="1312"/>
      <c r="DD1202" s="331"/>
      <c r="DE1202" s="331"/>
      <c r="DF1202" s="502"/>
      <c r="DG1202" s="503"/>
      <c r="DH1202" s="3298"/>
      <c r="DI1202" s="3213"/>
      <c r="DJ1202" s="502"/>
      <c r="DK1202" s="503"/>
      <c r="DL1202" s="502"/>
      <c r="DM1202" s="502"/>
      <c r="DN1202" s="502"/>
      <c r="DO1202" s="502"/>
      <c r="DP1202" s="503"/>
      <c r="DQ1202" s="503"/>
      <c r="DR1202" s="296"/>
      <c r="DS1202" s="296"/>
      <c r="DT1202" s="296"/>
    </row>
    <row r="1203" spans="1:124" ht="12" customHeight="1" x14ac:dyDescent="0.25">
      <c r="A1203" s="281" t="s">
        <v>601</v>
      </c>
      <c r="B1203" s="281"/>
      <c r="C1203" s="452"/>
      <c r="D1203" s="452"/>
      <c r="E1203" s="452"/>
      <c r="F1203" s="452"/>
      <c r="G1203" s="475"/>
      <c r="H1203" s="452"/>
      <c r="I1203" s="452"/>
      <c r="J1203" s="452"/>
      <c r="K1203" s="452"/>
      <c r="L1203" s="475"/>
      <c r="M1203" s="452"/>
      <c r="N1203" s="452"/>
      <c r="O1203" s="452"/>
      <c r="P1203" s="452"/>
      <c r="Q1203" s="475"/>
      <c r="R1203" s="452"/>
      <c r="S1203" s="452"/>
      <c r="T1203" s="452"/>
      <c r="U1203" s="452"/>
      <c r="V1203" s="475"/>
      <c r="W1203" s="452"/>
      <c r="X1203" s="452"/>
      <c r="Y1203" s="452"/>
      <c r="Z1203" s="452"/>
      <c r="AA1203" s="475"/>
      <c r="AB1203" s="452"/>
      <c r="AC1203" s="452"/>
      <c r="AD1203" s="452"/>
      <c r="AE1203" s="476"/>
      <c r="AF1203" s="477"/>
      <c r="AG1203" s="452"/>
      <c r="AH1203" s="452"/>
      <c r="AI1203" s="452"/>
      <c r="AJ1203" s="476"/>
      <c r="AK1203" s="477"/>
      <c r="AL1203" s="452"/>
      <c r="AM1203" s="452"/>
      <c r="AN1203" s="452"/>
      <c r="AO1203" s="476"/>
      <c r="AP1203" s="478"/>
      <c r="AQ1203" s="478"/>
      <c r="AR1203" s="476"/>
      <c r="AS1203" s="476"/>
      <c r="AT1203" s="476"/>
      <c r="AU1203" s="477"/>
      <c r="AV1203" s="478"/>
      <c r="AW1203" s="476"/>
      <c r="AX1203" s="476"/>
      <c r="AY1203" s="682"/>
      <c r="AZ1203" s="477"/>
      <c r="BA1203" s="478"/>
      <c r="BB1203" s="476"/>
      <c r="BC1203" s="476"/>
      <c r="BD1203" s="682"/>
      <c r="BE1203" s="477"/>
      <c r="BF1203" s="476"/>
      <c r="BG1203" s="476"/>
      <c r="BH1203" s="476"/>
      <c r="BI1203" s="682"/>
      <c r="BJ1203" s="477"/>
      <c r="BK1203" s="478"/>
      <c r="BL1203" s="476"/>
      <c r="BM1203" s="476"/>
      <c r="BN1203" s="682">
        <f>+BN1204*BN1200</f>
        <v>17.326386000000003</v>
      </c>
      <c r="BO1203" s="477">
        <f>SUM(BK1203:BN1203)</f>
        <v>17.326386000000003</v>
      </c>
      <c r="BP1203" s="476">
        <f>+BP1204*BP1200</f>
        <v>16.679676000000001</v>
      </c>
      <c r="BQ1203" s="476">
        <f>+BQ1204*BQ1200</f>
        <v>17.074579199999999</v>
      </c>
      <c r="BR1203" s="476">
        <f>+BR1204*BR1200</f>
        <v>17.2437504</v>
      </c>
      <c r="BS1203" s="476">
        <f>+BS1204*BS1200</f>
        <v>15.910880000000001</v>
      </c>
      <c r="BT1203" s="2604">
        <f>SUM(BP1203:BS1203)</f>
        <v>66.908885600000005</v>
      </c>
      <c r="BU1203" s="2577">
        <f>+BU1204*BU1200</f>
        <v>16.29180861</v>
      </c>
      <c r="BV1203" s="2577">
        <f>+BV1204*BV1200</f>
        <v>10.37464452</v>
      </c>
      <c r="BW1203" s="2577"/>
      <c r="BX1203" s="2577"/>
      <c r="BY1203" s="2604"/>
      <c r="BZ1203" s="477"/>
      <c r="CA1203" s="477"/>
      <c r="CB1203" s="477">
        <f t="shared" ref="CB1203:CF1203" si="2830">+CB1204*CB1200</f>
        <v>0</v>
      </c>
      <c r="CC1203" s="477">
        <f t="shared" si="2830"/>
        <v>0</v>
      </c>
      <c r="CD1203" s="477">
        <f t="shared" si="2830"/>
        <v>0</v>
      </c>
      <c r="CE1203" s="477">
        <f t="shared" si="2830"/>
        <v>0</v>
      </c>
      <c r="CF1203" s="477">
        <f t="shared" si="2830"/>
        <v>0</v>
      </c>
      <c r="CG1203" s="331"/>
      <c r="CH1203" s="331"/>
      <c r="CI1203" s="331"/>
      <c r="CJ1203" s="331"/>
      <c r="CK1203" s="331"/>
      <c r="CL1203" s="520" t="str">
        <f t="shared" ref="CL1203:CL1208" si="2831">A1203</f>
        <v>Operating expenses</v>
      </c>
      <c r="CM1203" s="476"/>
      <c r="CN1203" s="476"/>
      <c r="CO1203" s="476"/>
      <c r="CP1203" s="476"/>
      <c r="CQ1203" s="476"/>
      <c r="CR1203" s="476"/>
      <c r="CS1203" s="476"/>
      <c r="CT1203" s="476"/>
      <c r="CU1203" s="476">
        <f>AU1203</f>
        <v>0</v>
      </c>
      <c r="CV1203" s="476">
        <f t="shared" ref="CV1203:CV1208" si="2832">AZ1203</f>
        <v>0</v>
      </c>
      <c r="CW1203" s="476">
        <f t="shared" ref="CW1203:CW1208" si="2833">BE1203</f>
        <v>0</v>
      </c>
      <c r="CX1203" s="476">
        <f t="shared" ref="CX1203:CX1208" si="2834">BJ1203</f>
        <v>0</v>
      </c>
      <c r="CY1203" s="476">
        <f t="shared" ref="CY1203:CY1208" si="2835">BO1203</f>
        <v>17.326386000000003</v>
      </c>
      <c r="CZ1203" s="476">
        <f t="shared" ref="CZ1203:CZ1208" si="2836">BT1203</f>
        <v>66.908885600000005</v>
      </c>
      <c r="DA1203" s="476">
        <f t="shared" ref="DA1203:DC1208" si="2837">BY1203</f>
        <v>0</v>
      </c>
      <c r="DB1203" s="476">
        <f t="shared" si="2837"/>
        <v>0</v>
      </c>
      <c r="DC1203" s="682">
        <f t="shared" si="2837"/>
        <v>0</v>
      </c>
      <c r="DD1203" s="331"/>
      <c r="DE1203" s="331"/>
      <c r="DF1203" s="502"/>
      <c r="DG1203" s="503"/>
      <c r="DH1203" s="2577"/>
      <c r="DI1203" s="3213"/>
      <c r="DJ1203" s="502"/>
      <c r="DK1203" s="503"/>
      <c r="DL1203" s="502"/>
      <c r="DM1203" s="502"/>
      <c r="DN1203" s="502"/>
      <c r="DO1203" s="502"/>
      <c r="DP1203" s="503"/>
      <c r="DQ1203" s="503"/>
      <c r="DR1203" s="296"/>
      <c r="DS1203" s="296"/>
      <c r="DT1203" s="296"/>
    </row>
    <row r="1204" spans="1:124" ht="12" customHeight="1" x14ac:dyDescent="0.25">
      <c r="A1204" s="465" t="s">
        <v>646</v>
      </c>
      <c r="B1204" s="579"/>
      <c r="C1204" s="467"/>
      <c r="D1204" s="467"/>
      <c r="E1204" s="467"/>
      <c r="F1204" s="467"/>
      <c r="G1204" s="468"/>
      <c r="H1204" s="467"/>
      <c r="I1204" s="467"/>
      <c r="J1204" s="467"/>
      <c r="K1204" s="467"/>
      <c r="L1204" s="468"/>
      <c r="M1204" s="467"/>
      <c r="N1204" s="467"/>
      <c r="O1204" s="467"/>
      <c r="P1204" s="467"/>
      <c r="Q1204" s="468"/>
      <c r="R1204" s="467"/>
      <c r="S1204" s="467"/>
      <c r="T1204" s="467"/>
      <c r="U1204" s="467"/>
      <c r="V1204" s="468"/>
      <c r="W1204" s="467"/>
      <c r="X1204" s="467"/>
      <c r="Y1204" s="467"/>
      <c r="Z1204" s="467"/>
      <c r="AA1204" s="468"/>
      <c r="AB1204" s="467"/>
      <c r="AC1204" s="467"/>
      <c r="AD1204" s="467"/>
      <c r="AE1204" s="469"/>
      <c r="AF1204" s="470"/>
      <c r="AG1204" s="467"/>
      <c r="AH1204" s="467"/>
      <c r="AI1204" s="467"/>
      <c r="AJ1204" s="469"/>
      <c r="AK1204" s="470"/>
      <c r="AL1204" s="467"/>
      <c r="AM1204" s="467"/>
      <c r="AN1204" s="467"/>
      <c r="AO1204" s="469"/>
      <c r="AP1204" s="471"/>
      <c r="AQ1204" s="1667"/>
      <c r="AR1204" s="540"/>
      <c r="AS1204" s="540"/>
      <c r="AT1204" s="540"/>
      <c r="AU1204" s="470"/>
      <c r="AV1204" s="1667"/>
      <c r="AW1204" s="540"/>
      <c r="AX1204" s="540"/>
      <c r="AY1204" s="1668"/>
      <c r="AZ1204" s="470"/>
      <c r="BA1204" s="1667"/>
      <c r="BB1204" s="540"/>
      <c r="BC1204" s="540"/>
      <c r="BD1204" s="1668"/>
      <c r="BE1204" s="470"/>
      <c r="BF1204" s="540"/>
      <c r="BG1204" s="540"/>
      <c r="BH1204" s="540"/>
      <c r="BI1204" s="1668"/>
      <c r="BJ1204" s="470"/>
      <c r="BK1204" s="540"/>
      <c r="BL1204" s="540"/>
      <c r="BM1204" s="540"/>
      <c r="BN1204" s="540">
        <v>0.55000000000000004</v>
      </c>
      <c r="BO1204" s="470">
        <f>BO1203/BO1200</f>
        <v>0.55000000000000004</v>
      </c>
      <c r="BP1204" s="540">
        <v>0.52</v>
      </c>
      <c r="BQ1204" s="540">
        <v>0.48</v>
      </c>
      <c r="BR1204" s="540">
        <v>0.48</v>
      </c>
      <c r="BS1204" s="540">
        <v>0.5</v>
      </c>
      <c r="BT1204" s="470">
        <f>BT1203/BT1200</f>
        <v>0.49417698699608209</v>
      </c>
      <c r="BU1204" s="540">
        <f>+BP1204-0.03</f>
        <v>0.49</v>
      </c>
      <c r="BV1204" s="540">
        <f t="shared" ref="BV1204" si="2838">+BQ1204-0.03</f>
        <v>0.44999999999999996</v>
      </c>
      <c r="BW1204" s="540"/>
      <c r="BX1204" s="540"/>
      <c r="BY1204" s="470"/>
      <c r="BZ1204" s="3101"/>
      <c r="CA1204" s="3101"/>
      <c r="CB1204" s="3101">
        <v>0.46</v>
      </c>
      <c r="CC1204" s="3101">
        <v>0.47</v>
      </c>
      <c r="CD1204" s="2562">
        <f>+CC1204</f>
        <v>0.47</v>
      </c>
      <c r="CE1204" s="2562">
        <f>+CD1204</f>
        <v>0.47</v>
      </c>
      <c r="CF1204" s="2562">
        <f>+CE1204</f>
        <v>0.47</v>
      </c>
      <c r="CG1204" s="972"/>
      <c r="CH1204" s="972"/>
      <c r="CI1204" s="972"/>
      <c r="CJ1204" s="972"/>
      <c r="CK1204" s="972"/>
      <c r="CL1204" s="1310" t="str">
        <f t="shared" si="2831"/>
        <v>% of Net revenue</v>
      </c>
      <c r="CM1204" s="469"/>
      <c r="CN1204" s="469"/>
      <c r="CO1204" s="469"/>
      <c r="CP1204" s="469"/>
      <c r="CQ1204" s="469"/>
      <c r="CR1204" s="469"/>
      <c r="CS1204" s="469"/>
      <c r="CT1204" s="469"/>
      <c r="CU1204" s="469">
        <f>AU1204</f>
        <v>0</v>
      </c>
      <c r="CV1204" s="469">
        <f t="shared" si="2832"/>
        <v>0</v>
      </c>
      <c r="CW1204" s="469">
        <f t="shared" si="2833"/>
        <v>0</v>
      </c>
      <c r="CX1204" s="469">
        <f t="shared" si="2834"/>
        <v>0</v>
      </c>
      <c r="CY1204" s="469">
        <f t="shared" si="2835"/>
        <v>0.55000000000000004</v>
      </c>
      <c r="CZ1204" s="469">
        <f t="shared" si="2836"/>
        <v>0.49417698699608209</v>
      </c>
      <c r="DA1204" s="469">
        <f t="shared" si="2837"/>
        <v>0</v>
      </c>
      <c r="DB1204" s="469">
        <f t="shared" si="2837"/>
        <v>0</v>
      </c>
      <c r="DC1204" s="1463">
        <f t="shared" si="2837"/>
        <v>0</v>
      </c>
      <c r="DD1204" s="972"/>
      <c r="DE1204" s="972"/>
      <c r="DF1204" s="974"/>
      <c r="DG1204" s="975"/>
      <c r="DH1204" s="469"/>
      <c r="DI1204" s="3213"/>
      <c r="DJ1204" s="974"/>
      <c r="DK1204" s="975"/>
      <c r="DL1204" s="974"/>
      <c r="DM1204" s="974"/>
      <c r="DN1204" s="974"/>
      <c r="DO1204" s="974"/>
      <c r="DP1204" s="975"/>
      <c r="DQ1204" s="975"/>
      <c r="DR1204" s="976"/>
      <c r="DS1204" s="976"/>
      <c r="DT1204" s="976"/>
    </row>
    <row r="1205" spans="1:124" ht="12" customHeight="1" x14ac:dyDescent="0.25">
      <c r="A1205" s="465" t="s">
        <v>1491</v>
      </c>
      <c r="B1205" s="579"/>
      <c r="C1205" s="467"/>
      <c r="D1205" s="467"/>
      <c r="E1205" s="467"/>
      <c r="F1205" s="467"/>
      <c r="G1205" s="468"/>
      <c r="H1205" s="467"/>
      <c r="I1205" s="467"/>
      <c r="J1205" s="467"/>
      <c r="K1205" s="467"/>
      <c r="L1205" s="468"/>
      <c r="M1205" s="467"/>
      <c r="N1205" s="467"/>
      <c r="O1205" s="467"/>
      <c r="P1205" s="467"/>
      <c r="Q1205" s="468"/>
      <c r="R1205" s="467"/>
      <c r="S1205" s="467"/>
      <c r="T1205" s="467"/>
      <c r="U1205" s="467"/>
      <c r="V1205" s="468"/>
      <c r="W1205" s="467"/>
      <c r="X1205" s="467"/>
      <c r="Y1205" s="467"/>
      <c r="Z1205" s="467"/>
      <c r="AA1205" s="468"/>
      <c r="AB1205" s="467"/>
      <c r="AC1205" s="467"/>
      <c r="AD1205" s="467"/>
      <c r="AE1205" s="469"/>
      <c r="AF1205" s="470"/>
      <c r="AG1205" s="467"/>
      <c r="AH1205" s="467"/>
      <c r="AI1205" s="467"/>
      <c r="AJ1205" s="469"/>
      <c r="AK1205" s="470"/>
      <c r="AL1205" s="467"/>
      <c r="AM1205" s="467"/>
      <c r="AN1205" s="467"/>
      <c r="AO1205" s="469"/>
      <c r="AP1205" s="471"/>
      <c r="AQ1205" s="471"/>
      <c r="AR1205" s="469"/>
      <c r="AS1205" s="469"/>
      <c r="AT1205" s="469"/>
      <c r="AU1205" s="539"/>
      <c r="AV1205" s="471"/>
      <c r="AW1205" s="469"/>
      <c r="AX1205" s="469"/>
      <c r="AY1205" s="1463"/>
      <c r="AZ1205" s="470"/>
      <c r="BA1205" s="471"/>
      <c r="BB1205" s="469"/>
      <c r="BC1205" s="469"/>
      <c r="BD1205" s="1463"/>
      <c r="BE1205" s="470"/>
      <c r="BF1205" s="469"/>
      <c r="BG1205" s="469"/>
      <c r="BH1205" s="469"/>
      <c r="BI1205" s="1463"/>
      <c r="BJ1205" s="470"/>
      <c r="BK1205" s="469"/>
      <c r="BL1205" s="469"/>
      <c r="BM1205" s="469"/>
      <c r="BN1205" s="1463"/>
      <c r="BO1205" s="470"/>
      <c r="BP1205" s="469"/>
      <c r="BQ1205" s="469"/>
      <c r="BR1205" s="469"/>
      <c r="BS1205" s="469"/>
      <c r="BT1205" s="470"/>
      <c r="BU1205" s="471"/>
      <c r="BV1205" s="469"/>
      <c r="BW1205" s="469"/>
      <c r="BX1205" s="469"/>
      <c r="BY1205" s="470"/>
      <c r="BZ1205" s="470"/>
      <c r="CA1205" s="470"/>
      <c r="CB1205" s="470" t="e">
        <f t="shared" ref="CB1205:CF1205" si="2839">(CB1203-CA1203)/CA1203</f>
        <v>#DIV/0!</v>
      </c>
      <c r="CC1205" s="470" t="e">
        <f t="shared" si="2839"/>
        <v>#DIV/0!</v>
      </c>
      <c r="CD1205" s="470" t="e">
        <f t="shared" si="2839"/>
        <v>#DIV/0!</v>
      </c>
      <c r="CE1205" s="470" t="e">
        <f t="shared" si="2839"/>
        <v>#DIV/0!</v>
      </c>
      <c r="CF1205" s="470" t="e">
        <f t="shared" si="2839"/>
        <v>#DIV/0!</v>
      </c>
      <c r="CG1205" s="972"/>
      <c r="CH1205" s="972"/>
      <c r="CI1205" s="972"/>
      <c r="CJ1205" s="972"/>
      <c r="CK1205" s="972"/>
      <c r="CL1205" s="1310" t="str">
        <f t="shared" si="2831"/>
        <v>% growth (y-o-y)</v>
      </c>
      <c r="CM1205" s="469"/>
      <c r="CN1205" s="469"/>
      <c r="CO1205" s="469"/>
      <c r="CP1205" s="469"/>
      <c r="CQ1205" s="469"/>
      <c r="CR1205" s="469"/>
      <c r="CS1205" s="469"/>
      <c r="CT1205" s="469"/>
      <c r="CU1205" s="469"/>
      <c r="CV1205" s="469">
        <f t="shared" si="2832"/>
        <v>0</v>
      </c>
      <c r="CW1205" s="469">
        <f t="shared" si="2833"/>
        <v>0</v>
      </c>
      <c r="CX1205" s="469">
        <f t="shared" si="2834"/>
        <v>0</v>
      </c>
      <c r="CY1205" s="469">
        <f t="shared" si="2835"/>
        <v>0</v>
      </c>
      <c r="CZ1205" s="469">
        <f t="shared" si="2836"/>
        <v>0</v>
      </c>
      <c r="DA1205" s="469">
        <f t="shared" si="2837"/>
        <v>0</v>
      </c>
      <c r="DB1205" s="469">
        <f t="shared" si="2837"/>
        <v>0</v>
      </c>
      <c r="DC1205" s="1463">
        <f t="shared" si="2837"/>
        <v>0</v>
      </c>
      <c r="DD1205" s="972"/>
      <c r="DE1205" s="972"/>
      <c r="DF1205" s="974"/>
      <c r="DG1205" s="975"/>
      <c r="DH1205" s="469"/>
      <c r="DI1205" s="3213"/>
      <c r="DJ1205" s="974"/>
      <c r="DK1205" s="975"/>
      <c r="DL1205" s="974"/>
      <c r="DM1205" s="974"/>
      <c r="DN1205" s="974"/>
      <c r="DO1205" s="974"/>
      <c r="DP1205" s="975"/>
      <c r="DQ1205" s="975"/>
      <c r="DR1205" s="976"/>
      <c r="DS1205" s="976"/>
      <c r="DT1205" s="976"/>
    </row>
    <row r="1206" spans="1:124" ht="12" customHeight="1" x14ac:dyDescent="0.25">
      <c r="A1206" s="281" t="s">
        <v>2161</v>
      </c>
      <c r="B1206" s="281"/>
      <c r="C1206" s="452"/>
      <c r="D1206" s="452"/>
      <c r="E1206" s="452"/>
      <c r="F1206" s="452"/>
      <c r="G1206" s="475"/>
      <c r="H1206" s="452"/>
      <c r="I1206" s="452"/>
      <c r="J1206" s="452"/>
      <c r="K1206" s="452"/>
      <c r="L1206" s="475"/>
      <c r="M1206" s="452"/>
      <c r="N1206" s="452"/>
      <c r="O1206" s="452"/>
      <c r="P1206" s="452"/>
      <c r="Q1206" s="475"/>
      <c r="R1206" s="452"/>
      <c r="S1206" s="452"/>
      <c r="T1206" s="452"/>
      <c r="U1206" s="452"/>
      <c r="V1206" s="475"/>
      <c r="W1206" s="452"/>
      <c r="X1206" s="452"/>
      <c r="Y1206" s="452"/>
      <c r="Z1206" s="452"/>
      <c r="AA1206" s="475"/>
      <c r="AB1206" s="452"/>
      <c r="AC1206" s="452"/>
      <c r="AD1206" s="452"/>
      <c r="AE1206" s="476"/>
      <c r="AF1206" s="477"/>
      <c r="AG1206" s="452"/>
      <c r="AH1206" s="452"/>
      <c r="AI1206" s="452"/>
      <c r="AJ1206" s="476"/>
      <c r="AK1206" s="477"/>
      <c r="AL1206" s="452"/>
      <c r="AM1206" s="452"/>
      <c r="AN1206" s="452"/>
      <c r="AO1206" s="476"/>
      <c r="AP1206" s="478"/>
      <c r="AQ1206" s="478"/>
      <c r="AR1206" s="476"/>
      <c r="AS1206" s="476"/>
      <c r="AT1206" s="476"/>
      <c r="AU1206" s="477"/>
      <c r="AV1206" s="478"/>
      <c r="AW1206" s="476"/>
      <c r="AX1206" s="476"/>
      <c r="AY1206" s="682"/>
      <c r="AZ1206" s="477"/>
      <c r="BA1206" s="478"/>
      <c r="BB1206" s="476"/>
      <c r="BC1206" s="476"/>
      <c r="BD1206" s="682"/>
      <c r="BE1206" s="477"/>
      <c r="BF1206" s="476"/>
      <c r="BG1206" s="476"/>
      <c r="BH1206" s="476"/>
      <c r="BI1206" s="682"/>
      <c r="BJ1206" s="477"/>
      <c r="BK1206" s="478"/>
      <c r="BL1206" s="476"/>
      <c r="BM1206" s="476"/>
      <c r="BN1206" s="682">
        <f>+BN1200*BN1207</f>
        <v>4.7253780000000001</v>
      </c>
      <c r="BO1206" s="477">
        <f>SUM(BK1206:BN1206)</f>
        <v>4.7253780000000001</v>
      </c>
      <c r="BP1206" s="476">
        <f>+BP1200*BP1207</f>
        <v>4.811445</v>
      </c>
      <c r="BQ1206" s="476">
        <f>+BQ1200*BQ1207</f>
        <v>5.3358059999999998</v>
      </c>
      <c r="BR1206" s="476">
        <f>+BR1200*BR1207</f>
        <v>5.3886720000000006</v>
      </c>
      <c r="BS1206" s="476">
        <f>+BS1200*BS1207</f>
        <v>4.7732640000000002</v>
      </c>
      <c r="BT1206" s="2604">
        <f>SUM(BP1206:BS1206)</f>
        <v>20.309187000000001</v>
      </c>
      <c r="BU1206" s="2577">
        <f>+BU1200*BU1207</f>
        <v>4.98728835</v>
      </c>
      <c r="BV1206" s="2577">
        <f>+BV1200*BV1207</f>
        <v>3.4582148400000006</v>
      </c>
      <c r="BW1206" s="2577"/>
      <c r="BX1206" s="2577"/>
      <c r="BY1206" s="2604"/>
      <c r="BZ1206" s="477"/>
      <c r="CA1206" s="477"/>
      <c r="CB1206" s="477">
        <f t="shared" ref="CB1206:CF1206" si="2840">+CB1200*CB1207</f>
        <v>0</v>
      </c>
      <c r="CC1206" s="477">
        <f t="shared" si="2840"/>
        <v>0</v>
      </c>
      <c r="CD1206" s="477">
        <f t="shared" si="2840"/>
        <v>0</v>
      </c>
      <c r="CE1206" s="477">
        <f t="shared" si="2840"/>
        <v>0</v>
      </c>
      <c r="CF1206" s="477">
        <f t="shared" si="2840"/>
        <v>0</v>
      </c>
      <c r="CG1206" s="331"/>
      <c r="CH1206" s="331"/>
      <c r="CI1206" s="331"/>
      <c r="CJ1206" s="331"/>
      <c r="CK1206" s="331"/>
      <c r="CL1206" s="520" t="str">
        <f t="shared" si="2831"/>
        <v>Tax expense</v>
      </c>
      <c r="CM1206" s="476"/>
      <c r="CN1206" s="476"/>
      <c r="CO1206" s="476"/>
      <c r="CP1206" s="476"/>
      <c r="CQ1206" s="476"/>
      <c r="CR1206" s="476"/>
      <c r="CS1206" s="476"/>
      <c r="CT1206" s="476"/>
      <c r="CU1206" s="476">
        <f>AU1206</f>
        <v>0</v>
      </c>
      <c r="CV1206" s="476">
        <f t="shared" si="2832"/>
        <v>0</v>
      </c>
      <c r="CW1206" s="476">
        <f t="shared" si="2833"/>
        <v>0</v>
      </c>
      <c r="CX1206" s="476">
        <f t="shared" si="2834"/>
        <v>0</v>
      </c>
      <c r="CY1206" s="476">
        <f t="shared" si="2835"/>
        <v>4.7253780000000001</v>
      </c>
      <c r="CZ1206" s="476">
        <f t="shared" si="2836"/>
        <v>20.309187000000001</v>
      </c>
      <c r="DA1206" s="476">
        <f t="shared" si="2837"/>
        <v>0</v>
      </c>
      <c r="DB1206" s="476">
        <f t="shared" si="2837"/>
        <v>0</v>
      </c>
      <c r="DC1206" s="682">
        <f t="shared" si="2837"/>
        <v>0</v>
      </c>
      <c r="DD1206" s="331"/>
      <c r="DE1206" s="331"/>
      <c r="DF1206" s="502"/>
      <c r="DG1206" s="503"/>
      <c r="DH1206" s="2577"/>
      <c r="DI1206" s="3213"/>
      <c r="DJ1206" s="502"/>
      <c r="DK1206" s="503"/>
      <c r="DL1206" s="502"/>
      <c r="DM1206" s="502"/>
      <c r="DN1206" s="502"/>
      <c r="DO1206" s="502"/>
      <c r="DP1206" s="503"/>
      <c r="DQ1206" s="503"/>
      <c r="DR1206" s="296"/>
      <c r="DS1206" s="296"/>
      <c r="DT1206" s="296"/>
    </row>
    <row r="1207" spans="1:124" ht="12" customHeight="1" x14ac:dyDescent="0.25">
      <c r="A1207" s="465" t="s">
        <v>1810</v>
      </c>
      <c r="B1207" s="579"/>
      <c r="C1207" s="467"/>
      <c r="D1207" s="467"/>
      <c r="E1207" s="467"/>
      <c r="F1207" s="467"/>
      <c r="G1207" s="468"/>
      <c r="H1207" s="467"/>
      <c r="I1207" s="467"/>
      <c r="J1207" s="467"/>
      <c r="K1207" s="467"/>
      <c r="L1207" s="468"/>
      <c r="M1207" s="467"/>
      <c r="N1207" s="467"/>
      <c r="O1207" s="467"/>
      <c r="P1207" s="467"/>
      <c r="Q1207" s="468"/>
      <c r="R1207" s="467"/>
      <c r="S1207" s="467"/>
      <c r="T1207" s="467"/>
      <c r="U1207" s="467"/>
      <c r="V1207" s="468"/>
      <c r="W1207" s="467"/>
      <c r="X1207" s="467"/>
      <c r="Y1207" s="467"/>
      <c r="Z1207" s="467"/>
      <c r="AA1207" s="468"/>
      <c r="AB1207" s="467"/>
      <c r="AC1207" s="467"/>
      <c r="AD1207" s="467"/>
      <c r="AE1207" s="469"/>
      <c r="AF1207" s="470"/>
      <c r="AG1207" s="467"/>
      <c r="AH1207" s="467"/>
      <c r="AI1207" s="467"/>
      <c r="AJ1207" s="469"/>
      <c r="AK1207" s="470"/>
      <c r="AL1207" s="467"/>
      <c r="AM1207" s="467"/>
      <c r="AN1207" s="467"/>
      <c r="AO1207" s="469"/>
      <c r="AP1207" s="471"/>
      <c r="AQ1207" s="1667"/>
      <c r="AR1207" s="469"/>
      <c r="AS1207" s="469"/>
      <c r="AT1207" s="469"/>
      <c r="AU1207" s="470"/>
      <c r="AV1207" s="1667"/>
      <c r="AW1207" s="540"/>
      <c r="AX1207" s="540"/>
      <c r="AY1207" s="1668"/>
      <c r="AZ1207" s="470"/>
      <c r="BA1207" s="1667"/>
      <c r="BB1207" s="540"/>
      <c r="BC1207" s="540"/>
      <c r="BD1207" s="1668"/>
      <c r="BE1207" s="470"/>
      <c r="BF1207" s="540"/>
      <c r="BG1207" s="540"/>
      <c r="BH1207" s="540"/>
      <c r="BI1207" s="1668"/>
      <c r="BJ1207" s="470"/>
      <c r="BK1207" s="540"/>
      <c r="BL1207" s="540"/>
      <c r="BM1207" s="540"/>
      <c r="BN1207" s="540">
        <v>0.15</v>
      </c>
      <c r="BO1207" s="470">
        <f>BO1206/BO1200</f>
        <v>0.15</v>
      </c>
      <c r="BP1207" s="540">
        <v>0.15</v>
      </c>
      <c r="BQ1207" s="540">
        <v>0.15</v>
      </c>
      <c r="BR1207" s="540">
        <v>0.15</v>
      </c>
      <c r="BS1207" s="540">
        <v>0.15</v>
      </c>
      <c r="BT1207" s="470">
        <f>BT1206/BT1200</f>
        <v>0.15</v>
      </c>
      <c r="BU1207" s="540">
        <v>0.15</v>
      </c>
      <c r="BV1207" s="540">
        <v>0.15</v>
      </c>
      <c r="BW1207" s="540"/>
      <c r="BX1207" s="540"/>
      <c r="BY1207" s="470"/>
      <c r="BZ1207" s="2562"/>
      <c r="CA1207" s="2562"/>
      <c r="CB1207" s="2562">
        <f t="shared" ref="CB1207:CF1207" si="2841">+CA1207</f>
        <v>0</v>
      </c>
      <c r="CC1207" s="2562">
        <f t="shared" si="2841"/>
        <v>0</v>
      </c>
      <c r="CD1207" s="2562">
        <f t="shared" si="2841"/>
        <v>0</v>
      </c>
      <c r="CE1207" s="2562">
        <f t="shared" si="2841"/>
        <v>0</v>
      </c>
      <c r="CF1207" s="2562">
        <f t="shared" si="2841"/>
        <v>0</v>
      </c>
      <c r="CG1207" s="972"/>
      <c r="CH1207" s="972"/>
      <c r="CI1207" s="972"/>
      <c r="CJ1207" s="972"/>
      <c r="CK1207" s="972"/>
      <c r="CL1207" s="1310" t="str">
        <f t="shared" si="2831"/>
        <v>% of Gaming revenue</v>
      </c>
      <c r="CM1207" s="469"/>
      <c r="CN1207" s="469"/>
      <c r="CO1207" s="469"/>
      <c r="CP1207" s="469"/>
      <c r="CQ1207" s="469"/>
      <c r="CR1207" s="469"/>
      <c r="CS1207" s="469"/>
      <c r="CT1207" s="469"/>
      <c r="CU1207" s="469">
        <f>AU1207</f>
        <v>0</v>
      </c>
      <c r="CV1207" s="469">
        <f t="shared" si="2832"/>
        <v>0</v>
      </c>
      <c r="CW1207" s="469">
        <f t="shared" si="2833"/>
        <v>0</v>
      </c>
      <c r="CX1207" s="469">
        <f t="shared" si="2834"/>
        <v>0</v>
      </c>
      <c r="CY1207" s="469">
        <f t="shared" si="2835"/>
        <v>0.15</v>
      </c>
      <c r="CZ1207" s="469">
        <f t="shared" si="2836"/>
        <v>0.15</v>
      </c>
      <c r="DA1207" s="469">
        <f t="shared" si="2837"/>
        <v>0</v>
      </c>
      <c r="DB1207" s="469">
        <f t="shared" si="2837"/>
        <v>0</v>
      </c>
      <c r="DC1207" s="1463">
        <f t="shared" si="2837"/>
        <v>0</v>
      </c>
      <c r="DD1207" s="972"/>
      <c r="DE1207" s="972"/>
      <c r="DF1207" s="974"/>
      <c r="DG1207" s="975"/>
      <c r="DH1207" s="469"/>
      <c r="DI1207" s="3213"/>
      <c r="DJ1207" s="974"/>
      <c r="DK1207" s="975"/>
      <c r="DL1207" s="974"/>
      <c r="DM1207" s="974"/>
      <c r="DN1207" s="974"/>
      <c r="DO1207" s="974"/>
      <c r="DP1207" s="975"/>
      <c r="DQ1207" s="975"/>
      <c r="DR1207" s="976"/>
      <c r="DS1207" s="976"/>
      <c r="DT1207" s="976"/>
    </row>
    <row r="1208" spans="1:124" ht="12" customHeight="1" x14ac:dyDescent="0.25">
      <c r="A1208" s="281" t="s">
        <v>2162</v>
      </c>
      <c r="B1208" s="281"/>
      <c r="C1208" s="452"/>
      <c r="D1208" s="452"/>
      <c r="E1208" s="452"/>
      <c r="F1208" s="452"/>
      <c r="G1208" s="475"/>
      <c r="H1208" s="452"/>
      <c r="I1208" s="452"/>
      <c r="J1208" s="452"/>
      <c r="K1208" s="452"/>
      <c r="L1208" s="475"/>
      <c r="M1208" s="452"/>
      <c r="N1208" s="452"/>
      <c r="O1208" s="452"/>
      <c r="P1208" s="452"/>
      <c r="Q1208" s="475"/>
      <c r="R1208" s="452"/>
      <c r="S1208" s="452"/>
      <c r="T1208" s="452"/>
      <c r="U1208" s="452"/>
      <c r="V1208" s="475"/>
      <c r="W1208" s="452"/>
      <c r="X1208" s="452"/>
      <c r="Y1208" s="452"/>
      <c r="Z1208" s="452"/>
      <c r="AA1208" s="475"/>
      <c r="AB1208" s="452"/>
      <c r="AC1208" s="452"/>
      <c r="AD1208" s="452"/>
      <c r="AE1208" s="476"/>
      <c r="AF1208" s="477"/>
      <c r="AG1208" s="452"/>
      <c r="AH1208" s="452"/>
      <c r="AI1208" s="452"/>
      <c r="AJ1208" s="476"/>
      <c r="AK1208" s="477"/>
      <c r="AL1208" s="452"/>
      <c r="AM1208" s="452"/>
      <c r="AN1208" s="452"/>
      <c r="AO1208" s="476"/>
      <c r="AP1208" s="478"/>
      <c r="AQ1208" s="478"/>
      <c r="AR1208" s="476"/>
      <c r="AS1208" s="476"/>
      <c r="AT1208" s="476"/>
      <c r="AU1208" s="477"/>
      <c r="AV1208" s="478"/>
      <c r="AW1208" s="476"/>
      <c r="AX1208" s="476"/>
      <c r="AY1208" s="682"/>
      <c r="AZ1208" s="477"/>
      <c r="BA1208" s="478"/>
      <c r="BB1208" s="476"/>
      <c r="BC1208" s="476"/>
      <c r="BD1208" s="682"/>
      <c r="BE1208" s="477"/>
      <c r="BF1208" s="476"/>
      <c r="BG1208" s="476"/>
      <c r="BH1208" s="476"/>
      <c r="BI1208" s="682"/>
      <c r="BJ1208" s="477"/>
      <c r="BK1208" s="478"/>
      <c r="BL1208" s="476"/>
      <c r="BM1208" s="476"/>
      <c r="BN1208" s="682">
        <f>+BN1206+BN1203</f>
        <v>22.051764000000002</v>
      </c>
      <c r="BO1208" s="477">
        <f>SUM(BK1208:BN1208)</f>
        <v>22.051764000000002</v>
      </c>
      <c r="BP1208" s="476">
        <f>+BP1206+BP1203</f>
        <v>21.491121</v>
      </c>
      <c r="BQ1208" s="476">
        <f>+BQ1206+BQ1203</f>
        <v>22.4103852</v>
      </c>
      <c r="BR1208" s="476">
        <f>+BR1206+BR1203</f>
        <v>22.632422399999999</v>
      </c>
      <c r="BS1208" s="476">
        <f>+BS1206+BS1203</f>
        <v>20.684144</v>
      </c>
      <c r="BT1208" s="2604">
        <f>SUM(BP1208:BS1208)</f>
        <v>87.218072599999999</v>
      </c>
      <c r="BU1208" s="2577">
        <f>+BU1206+BU1203</f>
        <v>21.27909696</v>
      </c>
      <c r="BV1208" s="2577">
        <f>+BV1206+BV1203</f>
        <v>13.83285936</v>
      </c>
      <c r="BW1208" s="2577"/>
      <c r="BX1208" s="2577"/>
      <c r="BY1208" s="2604"/>
      <c r="BZ1208" s="477"/>
      <c r="CA1208" s="477"/>
      <c r="CB1208" s="477">
        <f t="shared" ref="CB1208:CF1208" si="2842">+CB1206+CB1203</f>
        <v>0</v>
      </c>
      <c r="CC1208" s="477">
        <f t="shared" si="2842"/>
        <v>0</v>
      </c>
      <c r="CD1208" s="477">
        <f t="shared" si="2842"/>
        <v>0</v>
      </c>
      <c r="CE1208" s="477">
        <f t="shared" si="2842"/>
        <v>0</v>
      </c>
      <c r="CF1208" s="477">
        <f t="shared" si="2842"/>
        <v>0</v>
      </c>
      <c r="CG1208" s="331"/>
      <c r="CH1208" s="331"/>
      <c r="CI1208" s="331"/>
      <c r="CJ1208" s="331"/>
      <c r="CK1208" s="331"/>
      <c r="CL1208" s="520" t="str">
        <f t="shared" si="2831"/>
        <v>Total expenses</v>
      </c>
      <c r="CM1208" s="476"/>
      <c r="CN1208" s="476"/>
      <c r="CO1208" s="476"/>
      <c r="CP1208" s="476"/>
      <c r="CQ1208" s="476"/>
      <c r="CR1208" s="476"/>
      <c r="CS1208" s="476"/>
      <c r="CT1208" s="476"/>
      <c r="CU1208" s="476">
        <f>AU1208</f>
        <v>0</v>
      </c>
      <c r="CV1208" s="476">
        <f t="shared" si="2832"/>
        <v>0</v>
      </c>
      <c r="CW1208" s="476">
        <f t="shared" si="2833"/>
        <v>0</v>
      </c>
      <c r="CX1208" s="476">
        <f t="shared" si="2834"/>
        <v>0</v>
      </c>
      <c r="CY1208" s="476">
        <f t="shared" si="2835"/>
        <v>22.051764000000002</v>
      </c>
      <c r="CZ1208" s="476">
        <f t="shared" si="2836"/>
        <v>87.218072599999999</v>
      </c>
      <c r="DA1208" s="476">
        <f t="shared" si="2837"/>
        <v>0</v>
      </c>
      <c r="DB1208" s="476">
        <f t="shared" si="2837"/>
        <v>0</v>
      </c>
      <c r="DC1208" s="682">
        <f t="shared" si="2837"/>
        <v>0</v>
      </c>
      <c r="DD1208" s="331"/>
      <c r="DE1208" s="331"/>
      <c r="DF1208" s="502"/>
      <c r="DG1208" s="503"/>
      <c r="DH1208" s="2577"/>
      <c r="DI1208" s="3213"/>
      <c r="DJ1208" s="502"/>
      <c r="DK1208" s="503"/>
      <c r="DL1208" s="502"/>
      <c r="DM1208" s="502"/>
      <c r="DN1208" s="502"/>
      <c r="DO1208" s="502"/>
      <c r="DP1208" s="503"/>
      <c r="DQ1208" s="503"/>
      <c r="DR1208" s="296"/>
      <c r="DS1208" s="296"/>
      <c r="DT1208" s="296"/>
    </row>
    <row r="1209" spans="1:124" ht="5.0999999999999996" customHeight="1" x14ac:dyDescent="0.25">
      <c r="A1209" s="281"/>
      <c r="B1209" s="281"/>
      <c r="C1209" s="305"/>
      <c r="D1209" s="305"/>
      <c r="E1209" s="305"/>
      <c r="F1209" s="305"/>
      <c r="G1209" s="440"/>
      <c r="H1209" s="305"/>
      <c r="I1209" s="305"/>
      <c r="J1209" s="305"/>
      <c r="K1209" s="305"/>
      <c r="L1209" s="440"/>
      <c r="M1209" s="305"/>
      <c r="N1209" s="305"/>
      <c r="O1209" s="305"/>
      <c r="P1209" s="305"/>
      <c r="Q1209" s="440"/>
      <c r="R1209" s="305"/>
      <c r="S1209" s="305"/>
      <c r="T1209" s="305"/>
      <c r="U1209" s="305"/>
      <c r="V1209" s="440"/>
      <c r="W1209" s="305"/>
      <c r="X1209" s="305"/>
      <c r="Y1209" s="305"/>
      <c r="Z1209" s="305"/>
      <c r="AA1209" s="440"/>
      <c r="AB1209" s="305"/>
      <c r="AC1209" s="305"/>
      <c r="AD1209" s="305"/>
      <c r="AE1209" s="331"/>
      <c r="AF1209" s="441"/>
      <c r="AG1209" s="305"/>
      <c r="AH1209" s="305"/>
      <c r="AI1209" s="305"/>
      <c r="AJ1209" s="331"/>
      <c r="AK1209" s="441"/>
      <c r="AL1209" s="305"/>
      <c r="AM1209" s="305"/>
      <c r="AN1209" s="305"/>
      <c r="AO1209" s="331"/>
      <c r="AP1209" s="569"/>
      <c r="AQ1209" s="569"/>
      <c r="AR1209" s="442"/>
      <c r="AS1209" s="442"/>
      <c r="AT1209" s="442"/>
      <c r="AU1209" s="441"/>
      <c r="AV1209" s="569"/>
      <c r="AW1209" s="442"/>
      <c r="AX1209" s="442"/>
      <c r="AY1209" s="1312"/>
      <c r="AZ1209" s="441"/>
      <c r="BA1209" s="569"/>
      <c r="BB1209" s="442"/>
      <c r="BC1209" s="442"/>
      <c r="BD1209" s="1312"/>
      <c r="BE1209" s="441"/>
      <c r="BF1209" s="442"/>
      <c r="BG1209" s="442"/>
      <c r="BH1209" s="442"/>
      <c r="BI1209" s="1312"/>
      <c r="BJ1209" s="441"/>
      <c r="BK1209" s="442"/>
      <c r="BL1209" s="442"/>
      <c r="BM1209" s="442"/>
      <c r="BN1209" s="1312"/>
      <c r="BO1209" s="441"/>
      <c r="BP1209" s="442"/>
      <c r="BQ1209" s="442"/>
      <c r="BR1209" s="442"/>
      <c r="BS1209" s="442"/>
      <c r="BT1209" s="3236"/>
      <c r="BU1209" s="3298"/>
      <c r="BV1209" s="3298"/>
      <c r="BW1209" s="3298"/>
      <c r="BX1209" s="3298"/>
      <c r="BY1209" s="3236"/>
      <c r="BZ1209" s="441"/>
      <c r="CA1209" s="441"/>
      <c r="CB1209" s="441"/>
      <c r="CC1209" s="441"/>
      <c r="CD1209" s="441"/>
      <c r="CE1209" s="441"/>
      <c r="CF1209" s="441"/>
      <c r="CG1209" s="331"/>
      <c r="CH1209" s="331"/>
      <c r="CI1209" s="331"/>
      <c r="CJ1209" s="331"/>
      <c r="CK1209" s="331"/>
      <c r="CL1209" s="520"/>
      <c r="CM1209" s="442"/>
      <c r="CN1209" s="442"/>
      <c r="CO1209" s="442"/>
      <c r="CP1209" s="442"/>
      <c r="CQ1209" s="442"/>
      <c r="CR1209" s="442"/>
      <c r="CS1209" s="442"/>
      <c r="CT1209" s="442"/>
      <c r="CU1209" s="442"/>
      <c r="CV1209" s="442"/>
      <c r="CW1209" s="442"/>
      <c r="CX1209" s="442"/>
      <c r="CY1209" s="442"/>
      <c r="CZ1209" s="442"/>
      <c r="DA1209" s="442"/>
      <c r="DB1209" s="442"/>
      <c r="DC1209" s="1312"/>
      <c r="DD1209" s="331"/>
      <c r="DE1209" s="331"/>
      <c r="DF1209" s="502"/>
      <c r="DG1209" s="503"/>
      <c r="DH1209" s="3298"/>
      <c r="DI1209" s="3213"/>
      <c r="DJ1209" s="502"/>
      <c r="DK1209" s="503"/>
      <c r="DL1209" s="502"/>
      <c r="DM1209" s="502"/>
      <c r="DN1209" s="502"/>
      <c r="DO1209" s="502"/>
      <c r="DP1209" s="503"/>
      <c r="DQ1209" s="503"/>
      <c r="DR1209" s="296"/>
      <c r="DS1209" s="296"/>
      <c r="DT1209" s="296"/>
    </row>
    <row r="1210" spans="1:124" ht="12" customHeight="1" x14ac:dyDescent="0.25">
      <c r="A1210" s="496" t="s">
        <v>2010</v>
      </c>
      <c r="B1210" s="1007"/>
      <c r="C1210" s="1008"/>
      <c r="D1210" s="1008"/>
      <c r="E1210" s="1008"/>
      <c r="F1210" s="1008"/>
      <c r="G1210" s="1009"/>
      <c r="H1210" s="1008"/>
      <c r="I1210" s="1008"/>
      <c r="J1210" s="1008"/>
      <c r="K1210" s="1008"/>
      <c r="L1210" s="1009"/>
      <c r="M1210" s="1008"/>
      <c r="N1210" s="1008"/>
      <c r="O1210" s="1008"/>
      <c r="P1210" s="1008"/>
      <c r="Q1210" s="1009"/>
      <c r="R1210" s="1008"/>
      <c r="S1210" s="1008"/>
      <c r="T1210" s="1008"/>
      <c r="U1210" s="1008"/>
      <c r="V1210" s="1009"/>
      <c r="W1210" s="1008"/>
      <c r="X1210" s="1008"/>
      <c r="Y1210" s="1008"/>
      <c r="Z1210" s="1008"/>
      <c r="AA1210" s="1009"/>
      <c r="AB1210" s="1008"/>
      <c r="AC1210" s="1008"/>
      <c r="AD1210" s="1008"/>
      <c r="AE1210" s="1010"/>
      <c r="AF1210" s="1011"/>
      <c r="AG1210" s="1008"/>
      <c r="AH1210" s="1008"/>
      <c r="AI1210" s="1008"/>
      <c r="AJ1210" s="1010"/>
      <c r="AK1210" s="1011"/>
      <c r="AL1210" s="1008"/>
      <c r="AM1210" s="1008"/>
      <c r="AN1210" s="1008"/>
      <c r="AO1210" s="1010"/>
      <c r="AP1210" s="1013"/>
      <c r="AQ1210" s="1013"/>
      <c r="AR1210" s="1012"/>
      <c r="AS1210" s="1012"/>
      <c r="AT1210" s="1012"/>
      <c r="AU1210" s="1011"/>
      <c r="AV1210" s="1013"/>
      <c r="AW1210" s="1012"/>
      <c r="AX1210" s="1012"/>
      <c r="AY1210" s="1877"/>
      <c r="AZ1210" s="1011"/>
      <c r="BA1210" s="1013"/>
      <c r="BB1210" s="1012"/>
      <c r="BC1210" s="1012"/>
      <c r="BD1210" s="1877"/>
      <c r="BE1210" s="1011"/>
      <c r="BF1210" s="1012"/>
      <c r="BG1210" s="1012"/>
      <c r="BH1210" s="1012"/>
      <c r="BI1210" s="1877"/>
      <c r="BJ1210" s="1011"/>
      <c r="BK1210" s="1012"/>
      <c r="BL1210" s="1012"/>
      <c r="BM1210" s="1012"/>
      <c r="BN1210" s="1877">
        <f>+BN1200-BN1208</f>
        <v>9.4507559999999984</v>
      </c>
      <c r="BO1210" s="1011">
        <f>SUM(BK1210:BN1210)</f>
        <v>9.4507559999999984</v>
      </c>
      <c r="BP1210" s="1012">
        <f>+BP1200-BP1208</f>
        <v>10.585179000000004</v>
      </c>
      <c r="BQ1210" s="1012">
        <f>+BQ1200-BQ1208</f>
        <v>13.161654800000001</v>
      </c>
      <c r="BR1210" s="1012">
        <f>+BR1200-BR1208</f>
        <v>13.292057600000003</v>
      </c>
      <c r="BS1210" s="1012">
        <f>+BS1200-BS1208</f>
        <v>11.137616000000001</v>
      </c>
      <c r="BT1210" s="1011">
        <f>SUM(BP1210:BS1210)</f>
        <v>48.176507400000013</v>
      </c>
      <c r="BU1210" s="1012">
        <f>+BU1200-BU1208</f>
        <v>11.969492040000002</v>
      </c>
      <c r="BV1210" s="1012">
        <f>+BV1200-BV1208</f>
        <v>9.2219062400000027</v>
      </c>
      <c r="BW1210" s="1012"/>
      <c r="BX1210" s="1012"/>
      <c r="BY1210" s="1011"/>
      <c r="BZ1210" s="1011"/>
      <c r="CA1210" s="1011"/>
      <c r="CB1210" s="1011">
        <f t="shared" ref="CB1210:CF1210" si="2843">+CB1200-CB1208</f>
        <v>0</v>
      </c>
      <c r="CC1210" s="1011">
        <f t="shared" si="2843"/>
        <v>0</v>
      </c>
      <c r="CD1210" s="1011">
        <f t="shared" si="2843"/>
        <v>0</v>
      </c>
      <c r="CE1210" s="1011">
        <f t="shared" si="2843"/>
        <v>0</v>
      </c>
      <c r="CF1210" s="1011">
        <f t="shared" si="2843"/>
        <v>0</v>
      </c>
      <c r="CG1210" s="331"/>
      <c r="CH1210" s="331"/>
      <c r="CI1210" s="331"/>
      <c r="CJ1210" s="331"/>
      <c r="CK1210" s="331"/>
      <c r="CL1210" s="2102" t="str">
        <f t="shared" ref="CL1210:CL1215" si="2844">A1210</f>
        <v>Property EBITDA</v>
      </c>
      <c r="CM1210" s="1012"/>
      <c r="CN1210" s="1012"/>
      <c r="CO1210" s="1012"/>
      <c r="CP1210" s="1012"/>
      <c r="CQ1210" s="1012"/>
      <c r="CR1210" s="1012"/>
      <c r="CS1210" s="1012"/>
      <c r="CT1210" s="1012"/>
      <c r="CU1210" s="1012">
        <f>AU1210</f>
        <v>0</v>
      </c>
      <c r="CV1210" s="1012">
        <f>AZ1210</f>
        <v>0</v>
      </c>
      <c r="CW1210" s="1012">
        <f>BE1210</f>
        <v>0</v>
      </c>
      <c r="CX1210" s="1012">
        <f>BJ1210</f>
        <v>0</v>
      </c>
      <c r="CY1210" s="1012">
        <f>BO1210</f>
        <v>9.4507559999999984</v>
      </c>
      <c r="CZ1210" s="1012">
        <f>BT1210</f>
        <v>48.176507400000013</v>
      </c>
      <c r="DA1210" s="1012">
        <f t="shared" ref="DA1210:DC1218" si="2845">BY1210</f>
        <v>0</v>
      </c>
      <c r="DB1210" s="1012">
        <f t="shared" si="2845"/>
        <v>0</v>
      </c>
      <c r="DC1210" s="1877">
        <f t="shared" si="2845"/>
        <v>0</v>
      </c>
      <c r="DD1210" s="331"/>
      <c r="DE1210" s="331"/>
      <c r="DF1210" s="502"/>
      <c r="DG1210" s="503"/>
      <c r="DH1210" s="598"/>
      <c r="DI1210" s="3213"/>
      <c r="DJ1210" s="502"/>
      <c r="DK1210" s="503"/>
      <c r="DL1210" s="502"/>
      <c r="DM1210" s="502"/>
      <c r="DN1210" s="502"/>
      <c r="DO1210" s="502"/>
      <c r="DP1210" s="503"/>
      <c r="DQ1210" s="503"/>
      <c r="DR1210" s="296"/>
      <c r="DS1210" s="296"/>
      <c r="DT1210" s="296"/>
    </row>
    <row r="1211" spans="1:124" ht="12" customHeight="1" x14ac:dyDescent="0.25">
      <c r="A1211" s="465" t="s">
        <v>1892</v>
      </c>
      <c r="B1211" s="579"/>
      <c r="C1211" s="467"/>
      <c r="D1211" s="467"/>
      <c r="E1211" s="467"/>
      <c r="F1211" s="467"/>
      <c r="G1211" s="468"/>
      <c r="H1211" s="467"/>
      <c r="I1211" s="467"/>
      <c r="J1211" s="467"/>
      <c r="K1211" s="467"/>
      <c r="L1211" s="468"/>
      <c r="M1211" s="467"/>
      <c r="N1211" s="467"/>
      <c r="O1211" s="467"/>
      <c r="P1211" s="467"/>
      <c r="Q1211" s="468"/>
      <c r="R1211" s="467"/>
      <c r="S1211" s="467"/>
      <c r="T1211" s="467"/>
      <c r="U1211" s="467"/>
      <c r="V1211" s="468"/>
      <c r="W1211" s="467"/>
      <c r="X1211" s="467"/>
      <c r="Y1211" s="467"/>
      <c r="Z1211" s="467"/>
      <c r="AA1211" s="468"/>
      <c r="AB1211" s="467"/>
      <c r="AC1211" s="467"/>
      <c r="AD1211" s="467"/>
      <c r="AE1211" s="469"/>
      <c r="AF1211" s="470"/>
      <c r="AG1211" s="467"/>
      <c r="AH1211" s="467"/>
      <c r="AI1211" s="467"/>
      <c r="AJ1211" s="469"/>
      <c r="AK1211" s="470"/>
      <c r="AL1211" s="467"/>
      <c r="AM1211" s="467"/>
      <c r="AN1211" s="467"/>
      <c r="AO1211" s="469"/>
      <c r="AP1211" s="471"/>
      <c r="AQ1211" s="471"/>
      <c r="AR1211" s="469"/>
      <c r="AS1211" s="469"/>
      <c r="AT1211" s="469"/>
      <c r="AU1211" s="470"/>
      <c r="AV1211" s="471"/>
      <c r="AW1211" s="469"/>
      <c r="AX1211" s="469"/>
      <c r="AY1211" s="1463"/>
      <c r="AZ1211" s="470"/>
      <c r="BA1211" s="471"/>
      <c r="BB1211" s="469"/>
      <c r="BC1211" s="469"/>
      <c r="BD1211" s="1463"/>
      <c r="BE1211" s="470"/>
      <c r="BF1211" s="469"/>
      <c r="BG1211" s="469"/>
      <c r="BH1211" s="469"/>
      <c r="BI1211" s="1463"/>
      <c r="BJ1211" s="470"/>
      <c r="BK1211" s="469"/>
      <c r="BL1211" s="469"/>
      <c r="BM1211" s="469"/>
      <c r="BN1211" s="1463">
        <f t="shared" ref="BN1211:CF1211" si="2846">BN1210/BN1200</f>
        <v>0.29999999999999993</v>
      </c>
      <c r="BO1211" s="470">
        <f t="shared" si="2846"/>
        <v>0.29999999999999993</v>
      </c>
      <c r="BP1211" s="469">
        <f t="shared" si="2846"/>
        <v>0.33000000000000007</v>
      </c>
      <c r="BQ1211" s="469">
        <f t="shared" si="2846"/>
        <v>0.37</v>
      </c>
      <c r="BR1211" s="469">
        <f t="shared" si="2846"/>
        <v>0.37000000000000005</v>
      </c>
      <c r="BS1211" s="469">
        <f t="shared" si="2846"/>
        <v>0.35000000000000003</v>
      </c>
      <c r="BT1211" s="470">
        <f t="shared" si="2846"/>
        <v>0.35582301300391794</v>
      </c>
      <c r="BU1211" s="469">
        <f t="shared" si="2846"/>
        <v>0.36000000000000004</v>
      </c>
      <c r="BV1211" s="469">
        <f t="shared" si="2846"/>
        <v>0.40000000000000008</v>
      </c>
      <c r="BW1211" s="469"/>
      <c r="BX1211" s="469"/>
      <c r="BY1211" s="470"/>
      <c r="BZ1211" s="470"/>
      <c r="CA1211" s="470"/>
      <c r="CB1211" s="470" t="e">
        <f t="shared" si="2846"/>
        <v>#DIV/0!</v>
      </c>
      <c r="CC1211" s="470" t="e">
        <f t="shared" si="2846"/>
        <v>#DIV/0!</v>
      </c>
      <c r="CD1211" s="470" t="e">
        <f t="shared" si="2846"/>
        <v>#DIV/0!</v>
      </c>
      <c r="CE1211" s="470" t="e">
        <f t="shared" si="2846"/>
        <v>#DIV/0!</v>
      </c>
      <c r="CF1211" s="470" t="e">
        <f t="shared" si="2846"/>
        <v>#DIV/0!</v>
      </c>
      <c r="CG1211" s="972"/>
      <c r="CH1211" s="972"/>
      <c r="CI1211" s="972"/>
      <c r="CJ1211" s="972"/>
      <c r="CK1211" s="972"/>
      <c r="CL1211" s="1310" t="str">
        <f t="shared" si="2844"/>
        <v>Margin</v>
      </c>
      <c r="CM1211" s="469"/>
      <c r="CN1211" s="469"/>
      <c r="CO1211" s="469"/>
      <c r="CP1211" s="469"/>
      <c r="CQ1211" s="469"/>
      <c r="CR1211" s="469"/>
      <c r="CS1211" s="469"/>
      <c r="CT1211" s="469"/>
      <c r="CU1211" s="469">
        <f>AU1211</f>
        <v>0</v>
      </c>
      <c r="CV1211" s="469">
        <f>AZ1211</f>
        <v>0</v>
      </c>
      <c r="CW1211" s="469">
        <f>BE1211</f>
        <v>0</v>
      </c>
      <c r="CX1211" s="469">
        <f>BJ1211</f>
        <v>0</v>
      </c>
      <c r="CY1211" s="469">
        <f>BO1211</f>
        <v>0.29999999999999993</v>
      </c>
      <c r="CZ1211" s="469">
        <f>BT1211</f>
        <v>0.35582301300391794</v>
      </c>
      <c r="DA1211" s="469">
        <f t="shared" si="2845"/>
        <v>0</v>
      </c>
      <c r="DB1211" s="469">
        <f t="shared" si="2845"/>
        <v>0</v>
      </c>
      <c r="DC1211" s="1463">
        <f t="shared" si="2845"/>
        <v>0</v>
      </c>
      <c r="DD1211" s="972"/>
      <c r="DE1211" s="972"/>
      <c r="DF1211" s="974"/>
      <c r="DG1211" s="975"/>
      <c r="DH1211" s="469"/>
      <c r="DI1211" s="3213"/>
      <c r="DJ1211" s="974"/>
      <c r="DK1211" s="975"/>
      <c r="DL1211" s="974"/>
      <c r="DM1211" s="974"/>
      <c r="DN1211" s="974"/>
      <c r="DO1211" s="974"/>
      <c r="DP1211" s="975"/>
      <c r="DQ1211" s="975"/>
      <c r="DR1211" s="976"/>
      <c r="DS1211" s="976"/>
      <c r="DT1211" s="976"/>
    </row>
    <row r="1212" spans="1:124" ht="12" customHeight="1" x14ac:dyDescent="0.25">
      <c r="A1212" s="465" t="s">
        <v>1491</v>
      </c>
      <c r="B1212" s="579"/>
      <c r="C1212" s="467"/>
      <c r="D1212" s="467"/>
      <c r="E1212" s="467"/>
      <c r="F1212" s="467"/>
      <c r="G1212" s="468"/>
      <c r="H1212" s="467"/>
      <c r="I1212" s="467"/>
      <c r="J1212" s="467"/>
      <c r="K1212" s="467"/>
      <c r="L1212" s="468"/>
      <c r="M1212" s="467"/>
      <c r="N1212" s="467"/>
      <c r="O1212" s="467"/>
      <c r="P1212" s="467"/>
      <c r="Q1212" s="468"/>
      <c r="R1212" s="467"/>
      <c r="S1212" s="467"/>
      <c r="T1212" s="467"/>
      <c r="U1212" s="467"/>
      <c r="V1212" s="468"/>
      <c r="W1212" s="467"/>
      <c r="X1212" s="467"/>
      <c r="Y1212" s="467"/>
      <c r="Z1212" s="467"/>
      <c r="AA1212" s="468"/>
      <c r="AB1212" s="467"/>
      <c r="AC1212" s="467"/>
      <c r="AD1212" s="467"/>
      <c r="AE1212" s="469"/>
      <c r="AF1212" s="470"/>
      <c r="AG1212" s="467"/>
      <c r="AH1212" s="467"/>
      <c r="AI1212" s="467"/>
      <c r="AJ1212" s="469"/>
      <c r="AK1212" s="470"/>
      <c r="AL1212" s="467"/>
      <c r="AM1212" s="467"/>
      <c r="AN1212" s="467"/>
      <c r="AO1212" s="469"/>
      <c r="AP1212" s="471"/>
      <c r="AQ1212" s="471"/>
      <c r="AR1212" s="469"/>
      <c r="AS1212" s="469"/>
      <c r="AT1212" s="469"/>
      <c r="AU1212" s="539"/>
      <c r="AV1212" s="471"/>
      <c r="AW1212" s="469"/>
      <c r="AX1212" s="469"/>
      <c r="AY1212" s="1463"/>
      <c r="AZ1212" s="470"/>
      <c r="BA1212" s="471"/>
      <c r="BB1212" s="469"/>
      <c r="BC1212" s="469"/>
      <c r="BD1212" s="1463"/>
      <c r="BE1212" s="470"/>
      <c r="BF1212" s="469"/>
      <c r="BG1212" s="469"/>
      <c r="BH1212" s="469"/>
      <c r="BI1212" s="1463"/>
      <c r="BJ1212" s="470"/>
      <c r="BK1212" s="469"/>
      <c r="BL1212" s="469"/>
      <c r="BM1212" s="469"/>
      <c r="BN1212" s="1463"/>
      <c r="BO1212" s="470"/>
      <c r="BP1212" s="469"/>
      <c r="BQ1212" s="469"/>
      <c r="BR1212" s="469"/>
      <c r="BS1212" s="469"/>
      <c r="BT1212" s="470"/>
      <c r="BU1212" s="471"/>
      <c r="BV1212" s="469"/>
      <c r="BW1212" s="469"/>
      <c r="BX1212" s="469"/>
      <c r="BY1212" s="470"/>
      <c r="BZ1212" s="470"/>
      <c r="CA1212" s="470"/>
      <c r="CB1212" s="470" t="e">
        <f t="shared" ref="CB1212:CF1212" si="2847">(CB1210-CA1210)/CA1210</f>
        <v>#DIV/0!</v>
      </c>
      <c r="CC1212" s="470" t="e">
        <f t="shared" si="2847"/>
        <v>#DIV/0!</v>
      </c>
      <c r="CD1212" s="470" t="e">
        <f t="shared" si="2847"/>
        <v>#DIV/0!</v>
      </c>
      <c r="CE1212" s="470" t="e">
        <f t="shared" si="2847"/>
        <v>#DIV/0!</v>
      </c>
      <c r="CF1212" s="470" t="e">
        <f t="shared" si="2847"/>
        <v>#DIV/0!</v>
      </c>
      <c r="CG1212" s="972"/>
      <c r="CH1212" s="972"/>
      <c r="CI1212" s="972"/>
      <c r="CJ1212" s="972"/>
      <c r="CK1212" s="972"/>
      <c r="CL1212" s="1310" t="str">
        <f t="shared" si="2844"/>
        <v>% growth (y-o-y)</v>
      </c>
      <c r="CM1212" s="469"/>
      <c r="CN1212" s="469"/>
      <c r="CO1212" s="469"/>
      <c r="CP1212" s="469"/>
      <c r="CQ1212" s="469"/>
      <c r="CR1212" s="469"/>
      <c r="CS1212" s="469"/>
      <c r="CT1212" s="469"/>
      <c r="CU1212" s="469"/>
      <c r="CV1212" s="469">
        <f>AZ1212</f>
        <v>0</v>
      </c>
      <c r="CW1212" s="469">
        <f>BE1212</f>
        <v>0</v>
      </c>
      <c r="CX1212" s="469">
        <f>BJ1212</f>
        <v>0</v>
      </c>
      <c r="CY1212" s="469">
        <f>BO1212</f>
        <v>0</v>
      </c>
      <c r="CZ1212" s="469">
        <f>BT1212</f>
        <v>0</v>
      </c>
      <c r="DA1212" s="469">
        <f t="shared" si="2845"/>
        <v>0</v>
      </c>
      <c r="DB1212" s="469">
        <f t="shared" si="2845"/>
        <v>0</v>
      </c>
      <c r="DC1212" s="1463">
        <f t="shared" si="2845"/>
        <v>0</v>
      </c>
      <c r="DD1212" s="972"/>
      <c r="DE1212" s="972"/>
      <c r="DF1212" s="974"/>
      <c r="DG1212" s="975"/>
      <c r="DH1212" s="469"/>
      <c r="DI1212" s="3213"/>
      <c r="DJ1212" s="974"/>
      <c r="DK1212" s="975"/>
      <c r="DL1212" s="974"/>
      <c r="DM1212" s="974"/>
      <c r="DN1212" s="974"/>
      <c r="DO1212" s="974"/>
      <c r="DP1212" s="975"/>
      <c r="DQ1212" s="975"/>
      <c r="DR1212" s="976"/>
      <c r="DS1212" s="976"/>
      <c r="DT1212" s="976"/>
    </row>
    <row r="1213" spans="1:124" ht="12" customHeight="1" x14ac:dyDescent="0.25">
      <c r="A1213" s="281" t="s">
        <v>2197</v>
      </c>
      <c r="B1213" s="281"/>
      <c r="C1213" s="570"/>
      <c r="D1213" s="570"/>
      <c r="E1213" s="570"/>
      <c r="F1213" s="570"/>
      <c r="G1213" s="475"/>
      <c r="H1213" s="570"/>
      <c r="I1213" s="570"/>
      <c r="J1213" s="570"/>
      <c r="K1213" s="570"/>
      <c r="L1213" s="475"/>
      <c r="M1213" s="570"/>
      <c r="N1213" s="570"/>
      <c r="O1213" s="570"/>
      <c r="P1213" s="570"/>
      <c r="Q1213" s="475"/>
      <c r="R1213" s="570"/>
      <c r="S1213" s="570"/>
      <c r="T1213" s="570"/>
      <c r="U1213" s="570"/>
      <c r="V1213" s="475"/>
      <c r="W1213" s="570"/>
      <c r="X1213" s="570"/>
      <c r="Y1213" s="570"/>
      <c r="Z1213" s="570"/>
      <c r="AA1213" s="475"/>
      <c r="AB1213" s="570"/>
      <c r="AC1213" s="570"/>
      <c r="AD1213" s="570"/>
      <c r="AE1213" s="572"/>
      <c r="AF1213" s="477"/>
      <c r="AG1213" s="570"/>
      <c r="AH1213" s="570"/>
      <c r="AI1213" s="570"/>
      <c r="AJ1213" s="572"/>
      <c r="AK1213" s="477"/>
      <c r="AL1213" s="570"/>
      <c r="AM1213" s="570"/>
      <c r="AN1213" s="570"/>
      <c r="AO1213" s="572"/>
      <c r="AP1213" s="478"/>
      <c r="AQ1213" s="478"/>
      <c r="AR1213" s="476"/>
      <c r="AS1213" s="476"/>
      <c r="AT1213" s="476"/>
      <c r="AU1213" s="477"/>
      <c r="AV1213" s="478"/>
      <c r="AW1213" s="476"/>
      <c r="AX1213" s="476"/>
      <c r="AY1213" s="682"/>
      <c r="AZ1213" s="477"/>
      <c r="BA1213" s="478"/>
      <c r="BB1213" s="476"/>
      <c r="BC1213" s="476"/>
      <c r="BD1213" s="682"/>
      <c r="BE1213" s="477"/>
      <c r="BF1213" s="476"/>
      <c r="BG1213" s="476"/>
      <c r="BH1213" s="476"/>
      <c r="BI1213" s="682"/>
      <c r="BJ1213" s="477"/>
      <c r="BK1213" s="3082"/>
      <c r="BL1213" s="476"/>
      <c r="BM1213" s="3138"/>
      <c r="BN1213" s="2941">
        <f>12/4</f>
        <v>3</v>
      </c>
      <c r="BO1213" s="477">
        <f>+BN1213</f>
        <v>3</v>
      </c>
      <c r="BP1213" s="2941">
        <f>12/4</f>
        <v>3</v>
      </c>
      <c r="BQ1213" s="3030">
        <f>+BP1213</f>
        <v>3</v>
      </c>
      <c r="BR1213" s="3030">
        <f>+BQ1213</f>
        <v>3</v>
      </c>
      <c r="BS1213" s="3030">
        <f>+BR1213</f>
        <v>3</v>
      </c>
      <c r="BT1213" s="2604">
        <f>SUM(BP1213:BS1213)</f>
        <v>12</v>
      </c>
      <c r="BU1213" s="3445">
        <f>BS1213</f>
        <v>3</v>
      </c>
      <c r="BV1213" s="3506">
        <v>2</v>
      </c>
      <c r="BW1213" s="3445"/>
      <c r="BX1213" s="3445"/>
      <c r="BY1213" s="2604"/>
      <c r="BZ1213" s="2574"/>
      <c r="CA1213" s="2574"/>
      <c r="CB1213" s="2574">
        <f t="shared" ref="CB1213:CF1213" si="2848">+CA1213</f>
        <v>0</v>
      </c>
      <c r="CC1213" s="2574">
        <f t="shared" si="2848"/>
        <v>0</v>
      </c>
      <c r="CD1213" s="2574">
        <f t="shared" si="2848"/>
        <v>0</v>
      </c>
      <c r="CE1213" s="2574">
        <f t="shared" si="2848"/>
        <v>0</v>
      </c>
      <c r="CF1213" s="2574">
        <f t="shared" si="2848"/>
        <v>0</v>
      </c>
      <c r="CG1213" s="331"/>
      <c r="CH1213" s="331"/>
      <c r="CI1213" s="331"/>
      <c r="CJ1213" s="331"/>
      <c r="CK1213" s="331"/>
      <c r="CL1213" s="520" t="str">
        <f t="shared" si="2844"/>
        <v>Depreciation and amortization</v>
      </c>
      <c r="CM1213" s="476"/>
      <c r="CN1213" s="476"/>
      <c r="CO1213" s="476"/>
      <c r="CP1213" s="476"/>
      <c r="CQ1213" s="476"/>
      <c r="CR1213" s="476"/>
      <c r="CS1213" s="476"/>
      <c r="CT1213" s="476"/>
      <c r="CU1213" s="476">
        <f>AU1213</f>
        <v>0</v>
      </c>
      <c r="CV1213" s="476">
        <f>AZ1213</f>
        <v>0</v>
      </c>
      <c r="CW1213" s="476">
        <f>BE1213</f>
        <v>0</v>
      </c>
      <c r="CX1213" s="476">
        <f>BJ1213</f>
        <v>0</v>
      </c>
      <c r="CY1213" s="476">
        <f>BO1213</f>
        <v>3</v>
      </c>
      <c r="CZ1213" s="476">
        <f>BT1213</f>
        <v>12</v>
      </c>
      <c r="DA1213" s="476">
        <f t="shared" si="2845"/>
        <v>0</v>
      </c>
      <c r="DB1213" s="476">
        <f t="shared" si="2845"/>
        <v>0</v>
      </c>
      <c r="DC1213" s="682">
        <f t="shared" si="2845"/>
        <v>0</v>
      </c>
      <c r="DD1213" s="331"/>
      <c r="DE1213" s="331"/>
      <c r="DF1213" s="502"/>
      <c r="DG1213" s="503"/>
      <c r="DH1213" s="2577"/>
      <c r="DI1213" s="3213"/>
      <c r="DJ1213" s="502"/>
      <c r="DK1213" s="503"/>
      <c r="DL1213" s="502"/>
      <c r="DM1213" s="502"/>
      <c r="DN1213" s="502"/>
      <c r="DO1213" s="502"/>
      <c r="DP1213" s="503"/>
      <c r="DQ1213" s="503"/>
      <c r="DR1213" s="296"/>
      <c r="DS1213" s="296"/>
      <c r="DT1213" s="296"/>
    </row>
    <row r="1214" spans="1:124" ht="12" customHeight="1" x14ac:dyDescent="0.25">
      <c r="A1214" s="465" t="s">
        <v>646</v>
      </c>
      <c r="B1214" s="579"/>
      <c r="C1214" s="467"/>
      <c r="D1214" s="467"/>
      <c r="E1214" s="467"/>
      <c r="F1214" s="467"/>
      <c r="G1214" s="468"/>
      <c r="H1214" s="467"/>
      <c r="I1214" s="467"/>
      <c r="J1214" s="467"/>
      <c r="K1214" s="467"/>
      <c r="L1214" s="468"/>
      <c r="M1214" s="467"/>
      <c r="N1214" s="467"/>
      <c r="O1214" s="467"/>
      <c r="P1214" s="467"/>
      <c r="Q1214" s="468"/>
      <c r="R1214" s="467"/>
      <c r="S1214" s="467"/>
      <c r="T1214" s="467"/>
      <c r="U1214" s="467"/>
      <c r="V1214" s="468"/>
      <c r="W1214" s="467"/>
      <c r="X1214" s="467"/>
      <c r="Y1214" s="467"/>
      <c r="Z1214" s="467"/>
      <c r="AA1214" s="468"/>
      <c r="AB1214" s="467"/>
      <c r="AC1214" s="467"/>
      <c r="AD1214" s="467"/>
      <c r="AE1214" s="469"/>
      <c r="AF1214" s="470"/>
      <c r="AG1214" s="467"/>
      <c r="AH1214" s="467"/>
      <c r="AI1214" s="467"/>
      <c r="AJ1214" s="469"/>
      <c r="AK1214" s="470"/>
      <c r="AL1214" s="467"/>
      <c r="AM1214" s="467"/>
      <c r="AN1214" s="467"/>
      <c r="AO1214" s="469"/>
      <c r="AP1214" s="471"/>
      <c r="AQ1214" s="471"/>
      <c r="AR1214" s="469"/>
      <c r="AS1214" s="469"/>
      <c r="AT1214" s="469"/>
      <c r="AU1214" s="470"/>
      <c r="AV1214" s="471"/>
      <c r="AW1214" s="469"/>
      <c r="AX1214" s="469"/>
      <c r="AY1214" s="1463"/>
      <c r="AZ1214" s="470"/>
      <c r="BA1214" s="471"/>
      <c r="BB1214" s="469"/>
      <c r="BC1214" s="469"/>
      <c r="BD1214" s="1463"/>
      <c r="BE1214" s="470"/>
      <c r="BF1214" s="469"/>
      <c r="BG1214" s="469"/>
      <c r="BH1214" s="469"/>
      <c r="BI1214" s="1463"/>
      <c r="BJ1214" s="470"/>
      <c r="BK1214" s="469"/>
      <c r="BL1214" s="469"/>
      <c r="BM1214" s="469"/>
      <c r="BN1214" s="1463">
        <f t="shared" ref="BN1214:CF1214" si="2849">BN1213/BN1200</f>
        <v>9.5230476799951239E-2</v>
      </c>
      <c r="BO1214" s="470">
        <f t="shared" si="2849"/>
        <v>9.5230476799951239E-2</v>
      </c>
      <c r="BP1214" s="469">
        <f t="shared" si="2849"/>
        <v>9.3526996567559223E-2</v>
      </c>
      <c r="BQ1214" s="469">
        <f t="shared" si="2849"/>
        <v>8.4335899768469835E-2</v>
      </c>
      <c r="BR1214" s="469">
        <f t="shared" si="2849"/>
        <v>8.3508515641701697E-2</v>
      </c>
      <c r="BS1214" s="469">
        <f t="shared" si="2849"/>
        <v>9.4275112375933945E-2</v>
      </c>
      <c r="BT1214" s="470">
        <f t="shared" si="2849"/>
        <v>8.8629840278687658E-2</v>
      </c>
      <c r="BU1214" s="469">
        <f t="shared" si="2849"/>
        <v>9.0229392892432217E-2</v>
      </c>
      <c r="BV1214" s="469">
        <f t="shared" si="2849"/>
        <v>8.6749960277193172E-2</v>
      </c>
      <c r="BW1214" s="469"/>
      <c r="BX1214" s="469"/>
      <c r="BY1214" s="470"/>
      <c r="BZ1214" s="470"/>
      <c r="CA1214" s="470"/>
      <c r="CB1214" s="470" t="e">
        <f t="shared" si="2849"/>
        <v>#DIV/0!</v>
      </c>
      <c r="CC1214" s="470" t="e">
        <f t="shared" si="2849"/>
        <v>#DIV/0!</v>
      </c>
      <c r="CD1214" s="470" t="e">
        <f t="shared" si="2849"/>
        <v>#DIV/0!</v>
      </c>
      <c r="CE1214" s="470" t="e">
        <f t="shared" si="2849"/>
        <v>#DIV/0!</v>
      </c>
      <c r="CF1214" s="470" t="e">
        <f t="shared" si="2849"/>
        <v>#DIV/0!</v>
      </c>
      <c r="CG1214" s="972"/>
      <c r="CH1214" s="972"/>
      <c r="CI1214" s="972"/>
      <c r="CJ1214" s="972"/>
      <c r="CK1214" s="972"/>
      <c r="CL1214" s="1310" t="str">
        <f t="shared" si="2844"/>
        <v>% of Net revenue</v>
      </c>
      <c r="CM1214" s="469"/>
      <c r="CN1214" s="469"/>
      <c r="CO1214" s="469"/>
      <c r="CP1214" s="469"/>
      <c r="CQ1214" s="469"/>
      <c r="CR1214" s="469"/>
      <c r="CS1214" s="469"/>
      <c r="CT1214" s="469"/>
      <c r="CU1214" s="469">
        <f>AU1214</f>
        <v>0</v>
      </c>
      <c r="CV1214" s="469">
        <f>AZ1214</f>
        <v>0</v>
      </c>
      <c r="CW1214" s="469">
        <f>BE1214</f>
        <v>0</v>
      </c>
      <c r="CX1214" s="469">
        <f>BJ1214</f>
        <v>0</v>
      </c>
      <c r="CY1214" s="469">
        <f>BO1214</f>
        <v>9.5230476799951239E-2</v>
      </c>
      <c r="CZ1214" s="469">
        <f>BT1214</f>
        <v>8.8629840278687658E-2</v>
      </c>
      <c r="DA1214" s="469">
        <f t="shared" si="2845"/>
        <v>0</v>
      </c>
      <c r="DB1214" s="469">
        <f t="shared" si="2845"/>
        <v>0</v>
      </c>
      <c r="DC1214" s="1463">
        <f t="shared" si="2845"/>
        <v>0</v>
      </c>
      <c r="DD1214" s="972"/>
      <c r="DE1214" s="972"/>
      <c r="DF1214" s="974"/>
      <c r="DG1214" s="975"/>
      <c r="DH1214" s="469"/>
      <c r="DI1214" s="3213"/>
      <c r="DJ1214" s="974"/>
      <c r="DK1214" s="975"/>
      <c r="DL1214" s="974"/>
      <c r="DM1214" s="974"/>
      <c r="DN1214" s="974"/>
      <c r="DO1214" s="974"/>
      <c r="DP1214" s="975"/>
      <c r="DQ1214" s="975"/>
      <c r="DR1214" s="976"/>
      <c r="DS1214" s="976"/>
      <c r="DT1214" s="976"/>
    </row>
    <row r="1215" spans="1:124" ht="12" customHeight="1" x14ac:dyDescent="0.25">
      <c r="A1215" s="281" t="s">
        <v>2091</v>
      </c>
      <c r="B1215" s="579"/>
      <c r="C1215" s="467"/>
      <c r="D1215" s="467"/>
      <c r="E1215" s="467"/>
      <c r="F1215" s="467"/>
      <c r="G1215" s="468"/>
      <c r="H1215" s="467"/>
      <c r="I1215" s="467"/>
      <c r="J1215" s="467"/>
      <c r="K1215" s="467"/>
      <c r="L1215" s="468"/>
      <c r="M1215" s="467"/>
      <c r="N1215" s="467"/>
      <c r="O1215" s="467"/>
      <c r="P1215" s="467"/>
      <c r="Q1215" s="468"/>
      <c r="R1215" s="467"/>
      <c r="S1215" s="467"/>
      <c r="T1215" s="467"/>
      <c r="U1215" s="467"/>
      <c r="V1215" s="468"/>
      <c r="W1215" s="467"/>
      <c r="X1215" s="467"/>
      <c r="Y1215" s="467"/>
      <c r="Z1215" s="467"/>
      <c r="AA1215" s="468"/>
      <c r="AB1215" s="467"/>
      <c r="AC1215" s="467"/>
      <c r="AD1215" s="467"/>
      <c r="AE1215" s="469"/>
      <c r="AF1215" s="470"/>
      <c r="AG1215" s="467"/>
      <c r="AH1215" s="467"/>
      <c r="AI1215" s="467"/>
      <c r="AJ1215" s="469"/>
      <c r="AK1215" s="470"/>
      <c r="AL1215" s="467"/>
      <c r="AM1215" s="467"/>
      <c r="AN1215" s="467"/>
      <c r="AO1215" s="469"/>
      <c r="AP1215" s="471"/>
      <c r="AQ1215" s="471"/>
      <c r="AR1215" s="469"/>
      <c r="AS1215" s="469"/>
      <c r="AT1215" s="469"/>
      <c r="AU1215" s="470"/>
      <c r="AV1215" s="471"/>
      <c r="AW1215" s="469"/>
      <c r="AX1215" s="469"/>
      <c r="AY1215" s="1463"/>
      <c r="AZ1215" s="470"/>
      <c r="BA1215" s="471"/>
      <c r="BB1215" s="469"/>
      <c r="BC1215" s="469"/>
      <c r="BD1215" s="1463"/>
      <c r="BE1215" s="470"/>
      <c r="BF1215" s="469"/>
      <c r="BG1215" s="469"/>
      <c r="BH1215" s="469"/>
      <c r="BI1215" s="1463"/>
      <c r="BJ1215" s="470"/>
      <c r="BK1215" s="469"/>
      <c r="BL1215" s="469"/>
      <c r="BM1215" s="469"/>
      <c r="BN1215" s="2941">
        <f>(340*((MAX(0.01,BN1442))+0.0983)/4)+(98*((MAX(0.01,BN1442))+0.085)/4)</f>
        <v>11.532999999999999</v>
      </c>
      <c r="BO1215" s="477">
        <f>+BN1215</f>
        <v>11.532999999999999</v>
      </c>
      <c r="BP1215" s="2941">
        <f>(340*((MAX(0.01,BP1442))+0.0983)/4)+(98*((MAX(0.01,BP1442))+0.085)/4)</f>
        <v>11.532999999999999</v>
      </c>
      <c r="BQ1215" s="2941">
        <f>(340*((MAX(0.01,BQ1442))+0.0983)/4)+(98*((MAX(0.01,BQ1442))+0.085)/4)</f>
        <v>11.532999999999999</v>
      </c>
      <c r="BR1215" s="2941">
        <f>(340*((MAX(0.01,BR1442))+0.0983)/4)+(98*((MAX(0.01,BR1442))+0.085)/4)</f>
        <v>11.669875000000001</v>
      </c>
      <c r="BS1215" s="2941">
        <f>(340*((MAX(0.01,BS1442))+0.0983)/4)+(98*((MAX(0.01,BS1442))+0.085)/4)</f>
        <v>11.943625000000001</v>
      </c>
      <c r="BT1215" s="477">
        <f>SUM(BP1215:BS1215)</f>
        <v>46.679500000000004</v>
      </c>
      <c r="BU1215" s="572">
        <f>(340*((MAX(0.01,BU1442))+0.0983)/4)+(98*((MAX(0.01,BU1442))+0.085)/4)</f>
        <v>12.491125</v>
      </c>
      <c r="BV1215" s="3506">
        <f>((340*((MAX(0.01,BV1442))+0.0983)/4)+(98*((MAX(0.01,BV1442))+0.085)/4))*(58/92)</f>
        <v>8.0474211956521735</v>
      </c>
      <c r="BW1215" s="572"/>
      <c r="BX1215" s="572"/>
      <c r="BY1215" s="477"/>
      <c r="BZ1215" s="2604"/>
      <c r="CA1215" s="2604"/>
      <c r="CB1215" s="470"/>
      <c r="CC1215" s="470"/>
      <c r="CD1215" s="470"/>
      <c r="CE1215" s="470"/>
      <c r="CF1215" s="470"/>
      <c r="CG1215" s="972"/>
      <c r="CH1215" s="972"/>
      <c r="CI1215" s="972"/>
      <c r="CJ1215" s="972"/>
      <c r="CK1215" s="972"/>
      <c r="CL1215" s="1310" t="str">
        <f t="shared" si="2844"/>
        <v>Interest expense</v>
      </c>
      <c r="CM1215" s="469"/>
      <c r="CN1215" s="469"/>
      <c r="CO1215" s="469"/>
      <c r="CP1215" s="469"/>
      <c r="CQ1215" s="469"/>
      <c r="CR1215" s="469"/>
      <c r="CS1215" s="469"/>
      <c r="CT1215" s="469"/>
      <c r="CU1215" s="469"/>
      <c r="CV1215" s="469"/>
      <c r="CW1215" s="469"/>
      <c r="CX1215" s="469"/>
      <c r="CY1215" s="469"/>
      <c r="CZ1215" s="469"/>
      <c r="DA1215" s="469"/>
      <c r="DB1215" s="469"/>
      <c r="DC1215" s="1463"/>
      <c r="DD1215" s="972"/>
      <c r="DE1215" s="972"/>
      <c r="DF1215" s="974"/>
      <c r="DG1215" s="975"/>
      <c r="DH1215" s="469"/>
      <c r="DI1215" s="3213"/>
      <c r="DJ1215" s="974"/>
      <c r="DK1215" s="975"/>
      <c r="DL1215" s="974"/>
      <c r="DM1215" s="974"/>
      <c r="DN1215" s="974"/>
      <c r="DO1215" s="974"/>
      <c r="DP1215" s="975"/>
      <c r="DQ1215" s="975"/>
      <c r="DR1215" s="976"/>
      <c r="DS1215" s="976"/>
      <c r="DT1215" s="976"/>
    </row>
    <row r="1216" spans="1:124" ht="3.95" customHeight="1" x14ac:dyDescent="0.25">
      <c r="A1216" s="465"/>
      <c r="B1216" s="579"/>
      <c r="C1216" s="467"/>
      <c r="D1216" s="467"/>
      <c r="E1216" s="467"/>
      <c r="F1216" s="467"/>
      <c r="G1216" s="468"/>
      <c r="H1216" s="467"/>
      <c r="I1216" s="467"/>
      <c r="J1216" s="467"/>
      <c r="K1216" s="467"/>
      <c r="L1216" s="468"/>
      <c r="M1216" s="467"/>
      <c r="N1216" s="467"/>
      <c r="O1216" s="467"/>
      <c r="P1216" s="467"/>
      <c r="Q1216" s="468"/>
      <c r="R1216" s="467"/>
      <c r="S1216" s="467"/>
      <c r="T1216" s="467"/>
      <c r="U1216" s="467"/>
      <c r="V1216" s="468"/>
      <c r="W1216" s="467"/>
      <c r="X1216" s="467"/>
      <c r="Y1216" s="467"/>
      <c r="Z1216" s="467"/>
      <c r="AA1216" s="468"/>
      <c r="AB1216" s="467"/>
      <c r="AC1216" s="467"/>
      <c r="AD1216" s="467"/>
      <c r="AE1216" s="469"/>
      <c r="AF1216" s="470"/>
      <c r="AG1216" s="467"/>
      <c r="AH1216" s="467"/>
      <c r="AI1216" s="467"/>
      <c r="AJ1216" s="469"/>
      <c r="AK1216" s="470"/>
      <c r="AL1216" s="467"/>
      <c r="AM1216" s="467"/>
      <c r="AN1216" s="467"/>
      <c r="AO1216" s="469"/>
      <c r="AP1216" s="471"/>
      <c r="AQ1216" s="471"/>
      <c r="AR1216" s="469"/>
      <c r="AS1216" s="469"/>
      <c r="AT1216" s="469"/>
      <c r="AU1216" s="470"/>
      <c r="AV1216" s="471"/>
      <c r="AW1216" s="469"/>
      <c r="AX1216" s="469"/>
      <c r="AY1216" s="1463"/>
      <c r="AZ1216" s="470"/>
      <c r="BA1216" s="471"/>
      <c r="BB1216" s="469"/>
      <c r="BC1216" s="469"/>
      <c r="BD1216" s="1463"/>
      <c r="BE1216" s="470"/>
      <c r="BF1216" s="469"/>
      <c r="BG1216" s="469"/>
      <c r="BH1216" s="469"/>
      <c r="BI1216" s="1463"/>
      <c r="BJ1216" s="470"/>
      <c r="BK1216" s="469"/>
      <c r="BL1216" s="469"/>
      <c r="BM1216" s="469"/>
      <c r="BN1216" s="1463"/>
      <c r="BO1216" s="470"/>
      <c r="BP1216" s="469"/>
      <c r="BQ1216" s="469"/>
      <c r="BR1216" s="469"/>
      <c r="BS1216" s="469"/>
      <c r="BT1216" s="470"/>
      <c r="BU1216" s="469"/>
      <c r="BV1216" s="469"/>
      <c r="BW1216" s="469"/>
      <c r="BX1216" s="469"/>
      <c r="BY1216" s="470"/>
      <c r="BZ1216" s="470"/>
      <c r="CA1216" s="470"/>
      <c r="CB1216" s="470"/>
      <c r="CC1216" s="470"/>
      <c r="CD1216" s="470"/>
      <c r="CE1216" s="470"/>
      <c r="CF1216" s="470"/>
      <c r="CG1216" s="972"/>
      <c r="CH1216" s="972"/>
      <c r="CI1216" s="972"/>
      <c r="CJ1216" s="972"/>
      <c r="CK1216" s="972"/>
      <c r="CL1216" s="1310"/>
      <c r="CM1216" s="469"/>
      <c r="CN1216" s="469"/>
      <c r="CO1216" s="469"/>
      <c r="CP1216" s="469"/>
      <c r="CQ1216" s="469"/>
      <c r="CR1216" s="469"/>
      <c r="CS1216" s="469"/>
      <c r="CT1216" s="469"/>
      <c r="CU1216" s="469"/>
      <c r="CV1216" s="469"/>
      <c r="CW1216" s="469"/>
      <c r="CX1216" s="469"/>
      <c r="CY1216" s="469"/>
      <c r="CZ1216" s="469"/>
      <c r="DA1216" s="469"/>
      <c r="DB1216" s="469"/>
      <c r="DC1216" s="1463"/>
      <c r="DD1216" s="972"/>
      <c r="DE1216" s="972"/>
      <c r="DF1216" s="974"/>
      <c r="DG1216" s="975"/>
      <c r="DH1216" s="469"/>
      <c r="DI1216" s="3213"/>
      <c r="DJ1216" s="974"/>
      <c r="DK1216" s="975"/>
      <c r="DL1216" s="974"/>
      <c r="DM1216" s="974"/>
      <c r="DN1216" s="974"/>
      <c r="DO1216" s="974"/>
      <c r="DP1216" s="975"/>
      <c r="DQ1216" s="975"/>
      <c r="DR1216" s="976"/>
      <c r="DS1216" s="976"/>
      <c r="DT1216" s="976"/>
    </row>
    <row r="1217" spans="1:130" ht="12" customHeight="1" x14ac:dyDescent="0.25">
      <c r="A1217" s="333" t="s">
        <v>2226</v>
      </c>
      <c r="B1217" s="281"/>
      <c r="C1217" s="570"/>
      <c r="D1217" s="570"/>
      <c r="E1217" s="570"/>
      <c r="F1217" s="570"/>
      <c r="G1217" s="475"/>
      <c r="H1217" s="570"/>
      <c r="I1217" s="570"/>
      <c r="J1217" s="570"/>
      <c r="K1217" s="570"/>
      <c r="L1217" s="475"/>
      <c r="M1217" s="570"/>
      <c r="N1217" s="570"/>
      <c r="O1217" s="570"/>
      <c r="P1217" s="570"/>
      <c r="Q1217" s="475"/>
      <c r="R1217" s="570"/>
      <c r="S1217" s="570"/>
      <c r="T1217" s="570"/>
      <c r="U1217" s="570"/>
      <c r="V1217" s="475"/>
      <c r="W1217" s="570"/>
      <c r="X1217" s="570"/>
      <c r="Y1217" s="570"/>
      <c r="Z1217" s="570"/>
      <c r="AA1217" s="475"/>
      <c r="AB1217" s="570"/>
      <c r="AC1217" s="570"/>
      <c r="AD1217" s="570"/>
      <c r="AE1217" s="572"/>
      <c r="AF1217" s="477"/>
      <c r="AG1217" s="570"/>
      <c r="AH1217" s="570"/>
      <c r="AI1217" s="570"/>
      <c r="AJ1217" s="572"/>
      <c r="AK1217" s="477"/>
      <c r="AL1217" s="570"/>
      <c r="AM1217" s="570"/>
      <c r="AN1217" s="570"/>
      <c r="AO1217" s="572"/>
      <c r="AP1217" s="478"/>
      <c r="AQ1217" s="478"/>
      <c r="AR1217" s="476"/>
      <c r="AS1217" s="476"/>
      <c r="AT1217" s="476"/>
      <c r="AU1217" s="477"/>
      <c r="AV1217" s="478"/>
      <c r="AW1217" s="476"/>
      <c r="AX1217" s="476"/>
      <c r="AY1217" s="682"/>
      <c r="AZ1217" s="477"/>
      <c r="BA1217" s="478"/>
      <c r="BB1217" s="476"/>
      <c r="BC1217" s="476"/>
      <c r="BD1217" s="682"/>
      <c r="BE1217" s="477"/>
      <c r="BF1217" s="476"/>
      <c r="BG1217" s="476"/>
      <c r="BH1217" s="476"/>
      <c r="BI1217" s="682"/>
      <c r="BJ1217" s="477"/>
      <c r="BK1217" s="476"/>
      <c r="BL1217" s="476"/>
      <c r="BM1217" s="476"/>
      <c r="BN1217" s="682">
        <f>BN1210-BN1213-BN1215</f>
        <v>-5.0822440000000011</v>
      </c>
      <c r="BO1217" s="477">
        <f>SUM(BK1217:BN1217)</f>
        <v>-5.0822440000000011</v>
      </c>
      <c r="BP1217" s="476">
        <f>BP1210-BP1213-BP1215</f>
        <v>-3.9478209999999958</v>
      </c>
      <c r="BQ1217" s="476">
        <f>BQ1210-BQ1213-BQ1215</f>
        <v>-1.3713451999999986</v>
      </c>
      <c r="BR1217" s="476">
        <f>BR1210-BR1213-BR1215</f>
        <v>-1.3778173999999979</v>
      </c>
      <c r="BS1217" s="476">
        <f>BS1210-BS1213-BS1215</f>
        <v>-3.8060089999999995</v>
      </c>
      <c r="BT1217" s="477">
        <f>SUM(BP1217:BS1217)</f>
        <v>-10.502992599999992</v>
      </c>
      <c r="BU1217" s="2577">
        <f t="shared" ref="BU1217:BV1217" si="2850">BU1210-BU1213-BU1215</f>
        <v>-3.521632959999998</v>
      </c>
      <c r="BV1217" s="2577">
        <f t="shared" si="2850"/>
        <v>-0.82551495565217081</v>
      </c>
      <c r="BW1217" s="2577"/>
      <c r="BX1217" s="2577"/>
      <c r="BY1217" s="2604"/>
      <c r="BZ1217" s="477"/>
      <c r="CA1217" s="477"/>
      <c r="CB1217" s="477">
        <f>CB1210-CB1213</f>
        <v>0</v>
      </c>
      <c r="CC1217" s="477">
        <f>CC1210-CC1213</f>
        <v>0</v>
      </c>
      <c r="CD1217" s="477">
        <f>CD1210-CD1213</f>
        <v>0</v>
      </c>
      <c r="CE1217" s="477">
        <f>CE1210-CE1213</f>
        <v>0</v>
      </c>
      <c r="CF1217" s="477">
        <f>CF1210-CF1213</f>
        <v>0</v>
      </c>
      <c r="CG1217" s="331"/>
      <c r="CH1217" s="331"/>
      <c r="CI1217" s="331"/>
      <c r="CJ1217" s="331"/>
      <c r="CK1217" s="331"/>
      <c r="CL1217" s="1149" t="str">
        <f>A1217</f>
        <v>Operating Income</v>
      </c>
      <c r="CM1217" s="476"/>
      <c r="CN1217" s="476"/>
      <c r="CO1217" s="476"/>
      <c r="CP1217" s="476"/>
      <c r="CQ1217" s="476"/>
      <c r="CR1217" s="476"/>
      <c r="CS1217" s="476"/>
      <c r="CT1217" s="476"/>
      <c r="CU1217" s="476">
        <f>AU1217</f>
        <v>0</v>
      </c>
      <c r="CV1217" s="476">
        <f>AZ1217</f>
        <v>0</v>
      </c>
      <c r="CW1217" s="476">
        <f>BE1217</f>
        <v>0</v>
      </c>
      <c r="CX1217" s="476">
        <f>BJ1217</f>
        <v>0</v>
      </c>
      <c r="CY1217" s="476">
        <f>BO1217</f>
        <v>-5.0822440000000011</v>
      </c>
      <c r="CZ1217" s="476">
        <f>BT1217</f>
        <v>-10.502992599999992</v>
      </c>
      <c r="DA1217" s="476">
        <f t="shared" si="2845"/>
        <v>0</v>
      </c>
      <c r="DB1217" s="476">
        <f t="shared" si="2845"/>
        <v>0</v>
      </c>
      <c r="DC1217" s="682">
        <f t="shared" si="2845"/>
        <v>0</v>
      </c>
      <c r="DD1217" s="331"/>
      <c r="DE1217" s="331"/>
      <c r="DF1217" s="502"/>
      <c r="DG1217" s="503"/>
      <c r="DH1217" s="2577"/>
      <c r="DI1217" s="3213"/>
      <c r="DJ1217" s="502"/>
      <c r="DK1217" s="503"/>
      <c r="DL1217" s="502"/>
      <c r="DM1217" s="502"/>
      <c r="DN1217" s="502"/>
      <c r="DO1217" s="502"/>
      <c r="DP1217" s="503"/>
      <c r="DQ1217" s="503"/>
      <c r="DR1217" s="296"/>
      <c r="DS1217" s="296"/>
      <c r="DT1217" s="296"/>
    </row>
    <row r="1218" spans="1:130" ht="12" customHeight="1" x14ac:dyDescent="0.25">
      <c r="A1218" s="333" t="s">
        <v>1026</v>
      </c>
      <c r="B1218" s="281"/>
      <c r="C1218" s="570"/>
      <c r="D1218" s="570"/>
      <c r="E1218" s="570"/>
      <c r="F1218" s="570"/>
      <c r="G1218" s="475"/>
      <c r="H1218" s="570"/>
      <c r="I1218" s="570"/>
      <c r="J1218" s="570"/>
      <c r="K1218" s="570"/>
      <c r="L1218" s="475"/>
      <c r="M1218" s="570"/>
      <c r="N1218" s="570"/>
      <c r="O1218" s="570"/>
      <c r="P1218" s="570"/>
      <c r="Q1218" s="475"/>
      <c r="R1218" s="570"/>
      <c r="S1218" s="570"/>
      <c r="T1218" s="570"/>
      <c r="U1218" s="570"/>
      <c r="V1218" s="475"/>
      <c r="W1218" s="570"/>
      <c r="X1218" s="570"/>
      <c r="Y1218" s="570"/>
      <c r="Z1218" s="570"/>
      <c r="AA1218" s="475"/>
      <c r="AB1218" s="570"/>
      <c r="AC1218" s="570"/>
      <c r="AD1218" s="570"/>
      <c r="AE1218" s="572"/>
      <c r="AF1218" s="477"/>
      <c r="AG1218" s="570"/>
      <c r="AH1218" s="570"/>
      <c r="AI1218" s="570"/>
      <c r="AJ1218" s="572"/>
      <c r="AK1218" s="477"/>
      <c r="AL1218" s="570"/>
      <c r="AM1218" s="570"/>
      <c r="AN1218" s="570"/>
      <c r="AO1218" s="572"/>
      <c r="AP1218" s="478"/>
      <c r="AQ1218" s="478"/>
      <c r="AR1218" s="476"/>
      <c r="AS1218" s="476"/>
      <c r="AT1218" s="476"/>
      <c r="AU1218" s="477"/>
      <c r="AV1218" s="478"/>
      <c r="AW1218" s="476"/>
      <c r="AX1218" s="476"/>
      <c r="AY1218" s="682"/>
      <c r="AZ1218" s="477"/>
      <c r="BA1218" s="478"/>
      <c r="BB1218" s="476"/>
      <c r="BC1218" s="476"/>
      <c r="BD1218" s="682"/>
      <c r="BE1218" s="682"/>
      <c r="BF1218" s="476"/>
      <c r="BG1218" s="476"/>
      <c r="BH1218" s="476"/>
      <c r="BI1218" s="682"/>
      <c r="BJ1218" s="682"/>
      <c r="BK1218" s="476"/>
      <c r="BL1218" s="476"/>
      <c r="BM1218" s="476"/>
      <c r="BN1218" s="2954">
        <f>BN1217*0.3*(2/3)</f>
        <v>-1.0164488</v>
      </c>
      <c r="BO1218" s="477">
        <f>SUM(BK1218:BN1218)</f>
        <v>-1.0164488</v>
      </c>
      <c r="BP1218" s="476">
        <f>BP1217*0.3</f>
        <v>-1.1843462999999987</v>
      </c>
      <c r="BQ1218" s="476">
        <f>BQ1217*0.3</f>
        <v>-0.41140355999999956</v>
      </c>
      <c r="BR1218" s="476">
        <f>BR1217*0.3</f>
        <v>-0.41334521999999935</v>
      </c>
      <c r="BS1218" s="476">
        <f>BS1217*0.3</f>
        <v>-1.1418026999999997</v>
      </c>
      <c r="BT1218" s="477">
        <f>SUM(BP1218:BS1218)</f>
        <v>-3.1508977799999975</v>
      </c>
      <c r="BU1218" s="2577">
        <f>BU1217*0.3</f>
        <v>-1.0564898879999993</v>
      </c>
      <c r="BV1218" s="2577">
        <f>BV1217*0.3</f>
        <v>-0.24765448669565124</v>
      </c>
      <c r="BW1218" s="2577"/>
      <c r="BX1218" s="2577"/>
      <c r="BY1218" s="2604"/>
      <c r="BZ1218" s="477"/>
      <c r="CA1218" s="477"/>
      <c r="CB1218" s="477">
        <f t="shared" ref="CB1218:CF1218" si="2851">CB1217*0.3</f>
        <v>0</v>
      </c>
      <c r="CC1218" s="477">
        <f t="shared" si="2851"/>
        <v>0</v>
      </c>
      <c r="CD1218" s="477">
        <f t="shared" si="2851"/>
        <v>0</v>
      </c>
      <c r="CE1218" s="477">
        <f t="shared" si="2851"/>
        <v>0</v>
      </c>
      <c r="CF1218" s="477">
        <f t="shared" si="2851"/>
        <v>0</v>
      </c>
      <c r="CG1218" s="331"/>
      <c r="CH1218" s="331"/>
      <c r="CI1218" s="331"/>
      <c r="CJ1218" s="331"/>
      <c r="CK1218" s="331"/>
      <c r="CL1218" s="1149" t="str">
        <f>A1218</f>
        <v>Operating Income to Penn (30%)</v>
      </c>
      <c r="CM1218" s="476"/>
      <c r="CN1218" s="476"/>
      <c r="CO1218" s="476"/>
      <c r="CP1218" s="476"/>
      <c r="CQ1218" s="476"/>
      <c r="CR1218" s="476"/>
      <c r="CS1218" s="476"/>
      <c r="CT1218" s="476"/>
      <c r="CU1218" s="476">
        <f>AU1218</f>
        <v>0</v>
      </c>
      <c r="CV1218" s="476">
        <f>AZ1218</f>
        <v>0</v>
      </c>
      <c r="CW1218" s="476">
        <f>BE1218</f>
        <v>0</v>
      </c>
      <c r="CX1218" s="476">
        <f>BJ1218</f>
        <v>0</v>
      </c>
      <c r="CY1218" s="476">
        <f>BO1218</f>
        <v>-1.0164488</v>
      </c>
      <c r="CZ1218" s="476">
        <f>BT1218</f>
        <v>-3.1508977799999975</v>
      </c>
      <c r="DA1218" s="476">
        <f t="shared" si="2845"/>
        <v>0</v>
      </c>
      <c r="DB1218" s="476">
        <f t="shared" si="2845"/>
        <v>0</v>
      </c>
      <c r="DC1218" s="682">
        <f t="shared" si="2845"/>
        <v>0</v>
      </c>
      <c r="DD1218" s="331"/>
      <c r="DE1218" s="331"/>
      <c r="DF1218" s="502"/>
      <c r="DG1218" s="503"/>
      <c r="DH1218" s="2577"/>
      <c r="DI1218" s="3213"/>
      <c r="DJ1218" s="502"/>
      <c r="DK1218" s="503"/>
      <c r="DL1218" s="502"/>
      <c r="DM1218" s="502"/>
      <c r="DN1218" s="502"/>
      <c r="DO1218" s="502"/>
      <c r="DP1218" s="503"/>
      <c r="DQ1218" s="503"/>
      <c r="DR1218" s="296"/>
      <c r="DS1218" s="296"/>
      <c r="DT1218" s="296"/>
    </row>
    <row r="1219" spans="1:130" ht="5.0999999999999996" customHeight="1" x14ac:dyDescent="0.25">
      <c r="A1219" s="465"/>
      <c r="B1219" s="281"/>
      <c r="C1219" s="472"/>
      <c r="D1219" s="472"/>
      <c r="E1219" s="472"/>
      <c r="F1219" s="472"/>
      <c r="G1219" s="491"/>
      <c r="H1219" s="472"/>
      <c r="I1219" s="472"/>
      <c r="J1219" s="472"/>
      <c r="K1219" s="472"/>
      <c r="L1219" s="491"/>
      <c r="M1219" s="472"/>
      <c r="N1219" s="472"/>
      <c r="O1219" s="472"/>
      <c r="P1219" s="472"/>
      <c r="Q1219" s="491"/>
      <c r="R1219" s="472"/>
      <c r="S1219" s="472"/>
      <c r="T1219" s="472"/>
      <c r="U1219" s="472"/>
      <c r="V1219" s="491"/>
      <c r="W1219" s="472"/>
      <c r="X1219" s="472"/>
      <c r="Y1219" s="472"/>
      <c r="Z1219" s="472"/>
      <c r="AA1219" s="491"/>
      <c r="AB1219" s="472"/>
      <c r="AC1219" s="472"/>
      <c r="AD1219" s="472"/>
      <c r="AE1219" s="492"/>
      <c r="AF1219" s="493"/>
      <c r="AG1219" s="472"/>
      <c r="AH1219" s="472"/>
      <c r="AI1219" s="472"/>
      <c r="AJ1219" s="492"/>
      <c r="AK1219" s="493"/>
      <c r="AL1219" s="472"/>
      <c r="AM1219" s="472"/>
      <c r="AN1219" s="472"/>
      <c r="AO1219" s="492"/>
      <c r="AP1219" s="494"/>
      <c r="AQ1219" s="494"/>
      <c r="AR1219" s="492"/>
      <c r="AS1219" s="492"/>
      <c r="AT1219" s="492"/>
      <c r="AU1219" s="493"/>
      <c r="AV1219" s="494"/>
      <c r="AW1219" s="492"/>
      <c r="AX1219" s="492"/>
      <c r="AY1219" s="1311"/>
      <c r="AZ1219" s="493"/>
      <c r="BA1219" s="494"/>
      <c r="BB1219" s="492"/>
      <c r="BC1219" s="492"/>
      <c r="BD1219" s="1311"/>
      <c r="BE1219" s="1311"/>
      <c r="BF1219" s="492"/>
      <c r="BG1219" s="492"/>
      <c r="BH1219" s="492"/>
      <c r="BI1219" s="1311"/>
      <c r="BJ1219" s="1311"/>
      <c r="BK1219" s="492"/>
      <c r="BL1219" s="492"/>
      <c r="BM1219" s="492"/>
      <c r="BN1219" s="1311"/>
      <c r="BO1219" s="1311"/>
      <c r="BP1219" s="492"/>
      <c r="BQ1219" s="492"/>
      <c r="BR1219" s="492"/>
      <c r="BS1219" s="492"/>
      <c r="BT1219" s="2693"/>
      <c r="BU1219" s="2653"/>
      <c r="BV1219" s="2653"/>
      <c r="BW1219" s="2653"/>
      <c r="BX1219" s="2653"/>
      <c r="BY1219" s="2693"/>
      <c r="BZ1219" s="493"/>
      <c r="CA1219" s="493"/>
      <c r="CB1219" s="493"/>
      <c r="CC1219" s="493"/>
      <c r="CD1219" s="493"/>
      <c r="CE1219" s="493"/>
      <c r="CF1219" s="493"/>
      <c r="CG1219" s="331"/>
      <c r="CH1219" s="331"/>
      <c r="CI1219" s="331"/>
      <c r="CJ1219" s="331"/>
      <c r="CK1219" s="331"/>
      <c r="CL1219" s="1310"/>
      <c r="CM1219" s="492"/>
      <c r="CN1219" s="492"/>
      <c r="CO1219" s="492"/>
      <c r="CP1219" s="492"/>
      <c r="CQ1219" s="492"/>
      <c r="CR1219" s="492"/>
      <c r="CS1219" s="492"/>
      <c r="CT1219" s="492"/>
      <c r="CU1219" s="492"/>
      <c r="CV1219" s="492"/>
      <c r="CW1219" s="492"/>
      <c r="CX1219" s="492"/>
      <c r="CY1219" s="492"/>
      <c r="CZ1219" s="492"/>
      <c r="DA1219" s="492"/>
      <c r="DB1219" s="492"/>
      <c r="DC1219" s="1311"/>
      <c r="DD1219" s="331"/>
      <c r="DE1219" s="331"/>
      <c r="DF1219" s="502"/>
      <c r="DG1219" s="503"/>
      <c r="DH1219" s="2653"/>
      <c r="DI1219" s="3213"/>
      <c r="DJ1219" s="502"/>
      <c r="DK1219" s="503"/>
      <c r="DL1219" s="502"/>
      <c r="DM1219" s="502"/>
      <c r="DN1219" s="502"/>
      <c r="DO1219" s="502"/>
      <c r="DP1219" s="503"/>
      <c r="DQ1219" s="503"/>
      <c r="DR1219" s="296"/>
      <c r="DS1219" s="296"/>
      <c r="DT1219" s="296"/>
    </row>
    <row r="1220" spans="1:130" ht="12" customHeight="1" x14ac:dyDescent="0.25">
      <c r="A1220" s="333" t="s">
        <v>1027</v>
      </c>
      <c r="B1220" s="281"/>
      <c r="C1220" s="570"/>
      <c r="D1220" s="570"/>
      <c r="E1220" s="570"/>
      <c r="F1220" s="570"/>
      <c r="G1220" s="475"/>
      <c r="H1220" s="570"/>
      <c r="I1220" s="570"/>
      <c r="J1220" s="570"/>
      <c r="K1220" s="570"/>
      <c r="L1220" s="475"/>
      <c r="M1220" s="570"/>
      <c r="N1220" s="570"/>
      <c r="O1220" s="570"/>
      <c r="P1220" s="570"/>
      <c r="Q1220" s="475"/>
      <c r="R1220" s="570"/>
      <c r="S1220" s="570"/>
      <c r="T1220" s="570"/>
      <c r="U1220" s="570"/>
      <c r="V1220" s="475"/>
      <c r="W1220" s="570"/>
      <c r="X1220" s="570"/>
      <c r="Y1220" s="570"/>
      <c r="Z1220" s="570"/>
      <c r="AA1220" s="475"/>
      <c r="AB1220" s="570"/>
      <c r="AC1220" s="570"/>
      <c r="AD1220" s="570"/>
      <c r="AE1220" s="572"/>
      <c r="AF1220" s="477"/>
      <c r="AG1220" s="570"/>
      <c r="AH1220" s="570"/>
      <c r="AI1220" s="570"/>
      <c r="AJ1220" s="572"/>
      <c r="AK1220" s="477"/>
      <c r="AL1220" s="570"/>
      <c r="AM1220" s="570"/>
      <c r="AN1220" s="570"/>
      <c r="AO1220" s="572"/>
      <c r="AP1220" s="478"/>
      <c r="AQ1220" s="478"/>
      <c r="AR1220" s="476"/>
      <c r="AS1220" s="476"/>
      <c r="AT1220" s="476"/>
      <c r="AU1220" s="477"/>
      <c r="AV1220" s="478"/>
      <c r="AW1220" s="476"/>
      <c r="AX1220" s="476"/>
      <c r="AY1220" s="682"/>
      <c r="AZ1220" s="477"/>
      <c r="BA1220" s="478"/>
      <c r="BB1220" s="476"/>
      <c r="BC1220" s="476"/>
      <c r="BD1220" s="682"/>
      <c r="BE1220" s="682"/>
      <c r="BF1220" s="476"/>
      <c r="BG1220" s="476"/>
      <c r="BH1220" s="476"/>
      <c r="BI1220" s="682"/>
      <c r="BJ1220" s="682"/>
      <c r="BK1220" s="476"/>
      <c r="BL1220" s="476"/>
      <c r="BM1220" s="476"/>
      <c r="BN1220" s="682">
        <f>0.02*BN1200</f>
        <v>0.63005040000000001</v>
      </c>
      <c r="BO1220" s="477">
        <f>SUM(BK1220:BN1220)</f>
        <v>0.63005040000000001</v>
      </c>
      <c r="BP1220" s="476">
        <f>0.02*BP1200</f>
        <v>0.64152600000000004</v>
      </c>
      <c r="BQ1220" s="476">
        <f>0.02*BQ1200</f>
        <v>0.71144079999999998</v>
      </c>
      <c r="BR1220" s="476">
        <f>0.02*BR1200</f>
        <v>0.71848960000000006</v>
      </c>
      <c r="BS1220" s="476">
        <f>0.02*BS1200</f>
        <v>0.63643520000000009</v>
      </c>
      <c r="BT1220" s="2604">
        <f>SUM(BP1220:BS1220)</f>
        <v>2.7078916</v>
      </c>
      <c r="BU1220" s="2577">
        <f>0.02*BU1200</f>
        <v>0.66497178000000001</v>
      </c>
      <c r="BV1220" s="2577">
        <f>0.02*BV1200</f>
        <v>0.46109531200000009</v>
      </c>
      <c r="BW1220" s="2577"/>
      <c r="BX1220" s="2577"/>
      <c r="BY1220" s="2604"/>
      <c r="BZ1220" s="477"/>
      <c r="CA1220" s="477"/>
      <c r="CB1220" s="477">
        <f t="shared" ref="CB1220:CF1220" si="2852">0.02*CB1200</f>
        <v>0</v>
      </c>
      <c r="CC1220" s="477">
        <f t="shared" si="2852"/>
        <v>0</v>
      </c>
      <c r="CD1220" s="477">
        <f t="shared" si="2852"/>
        <v>0</v>
      </c>
      <c r="CE1220" s="477">
        <f t="shared" si="2852"/>
        <v>0</v>
      </c>
      <c r="CF1220" s="477">
        <f t="shared" si="2852"/>
        <v>0</v>
      </c>
      <c r="CG1220" s="331"/>
      <c r="CH1220" s="331"/>
      <c r="CI1220" s="331"/>
      <c r="CJ1220" s="331"/>
      <c r="CK1220" s="331"/>
      <c r="CL1220" s="520"/>
      <c r="CM1220" s="476"/>
      <c r="CN1220" s="476"/>
      <c r="CO1220" s="476"/>
      <c r="CP1220" s="476"/>
      <c r="CQ1220" s="476"/>
      <c r="CR1220" s="476"/>
      <c r="CS1220" s="476"/>
      <c r="CT1220" s="476"/>
      <c r="CU1220" s="476"/>
      <c r="CV1220" s="476"/>
      <c r="CW1220" s="476"/>
      <c r="CX1220" s="476"/>
      <c r="CY1220" s="476"/>
      <c r="CZ1220" s="476"/>
      <c r="DA1220" s="476"/>
      <c r="DB1220" s="476"/>
      <c r="DC1220" s="682"/>
      <c r="DD1220" s="331"/>
      <c r="DE1220" s="331"/>
      <c r="DF1220" s="502"/>
      <c r="DG1220" s="503"/>
      <c r="DH1220" s="2577"/>
      <c r="DI1220" s="3213"/>
      <c r="DJ1220" s="502"/>
      <c r="DK1220" s="503"/>
      <c r="DL1220" s="502"/>
      <c r="DM1220" s="502"/>
      <c r="DN1220" s="502"/>
      <c r="DO1220" s="502"/>
      <c r="DP1220" s="503"/>
      <c r="DQ1220" s="503"/>
      <c r="DR1220" s="296"/>
      <c r="DS1220" s="296"/>
      <c r="DT1220" s="296"/>
    </row>
    <row r="1221" spans="1:130" ht="5.0999999999999996" customHeight="1" x14ac:dyDescent="0.25">
      <c r="A1221" s="2575"/>
      <c r="B1221" s="281"/>
      <c r="C1221" s="570"/>
      <c r="D1221" s="570"/>
      <c r="E1221" s="570"/>
      <c r="F1221" s="570"/>
      <c r="G1221" s="475"/>
      <c r="H1221" s="570"/>
      <c r="I1221" s="570"/>
      <c r="J1221" s="570"/>
      <c r="K1221" s="570"/>
      <c r="L1221" s="475"/>
      <c r="M1221" s="570"/>
      <c r="N1221" s="570"/>
      <c r="O1221" s="570"/>
      <c r="P1221" s="570"/>
      <c r="Q1221" s="475"/>
      <c r="R1221" s="570"/>
      <c r="S1221" s="570"/>
      <c r="T1221" s="570"/>
      <c r="U1221" s="570"/>
      <c r="V1221" s="475"/>
      <c r="W1221" s="570"/>
      <c r="X1221" s="570"/>
      <c r="Y1221" s="570"/>
      <c r="Z1221" s="570"/>
      <c r="AA1221" s="475"/>
      <c r="AB1221" s="570"/>
      <c r="AC1221" s="570"/>
      <c r="AD1221" s="570"/>
      <c r="AE1221" s="572"/>
      <c r="AF1221" s="477"/>
      <c r="AG1221" s="570"/>
      <c r="AH1221" s="570"/>
      <c r="AI1221" s="570"/>
      <c r="AJ1221" s="572"/>
      <c r="AK1221" s="477"/>
      <c r="AL1221" s="570"/>
      <c r="AM1221" s="570"/>
      <c r="AN1221" s="570"/>
      <c r="AO1221" s="572"/>
      <c r="AP1221" s="478"/>
      <c r="AQ1221" s="478"/>
      <c r="AR1221" s="476"/>
      <c r="AS1221" s="476"/>
      <c r="AT1221" s="476"/>
      <c r="AU1221" s="477"/>
      <c r="AV1221" s="478"/>
      <c r="AW1221" s="476"/>
      <c r="AX1221" s="476"/>
      <c r="AY1221" s="682"/>
      <c r="AZ1221" s="477"/>
      <c r="BA1221" s="478"/>
      <c r="BB1221" s="476"/>
      <c r="BC1221" s="476"/>
      <c r="BD1221" s="682"/>
      <c r="BE1221" s="682"/>
      <c r="BF1221" s="476"/>
      <c r="BG1221" s="476"/>
      <c r="BH1221" s="476"/>
      <c r="BI1221" s="682"/>
      <c r="BJ1221" s="682"/>
      <c r="BK1221" s="476"/>
      <c r="BL1221" s="476"/>
      <c r="BM1221" s="476"/>
      <c r="BN1221" s="682"/>
      <c r="BO1221" s="682"/>
      <c r="BP1221" s="476"/>
      <c r="BQ1221" s="476"/>
      <c r="BR1221" s="476"/>
      <c r="BS1221" s="476"/>
      <c r="BT1221" s="2604"/>
      <c r="BU1221" s="2577"/>
      <c r="BV1221" s="2577"/>
      <c r="BW1221" s="2577"/>
      <c r="BX1221" s="2577"/>
      <c r="BY1221" s="2604"/>
      <c r="BZ1221" s="477"/>
      <c r="CA1221" s="477"/>
      <c r="CB1221" s="477"/>
      <c r="CC1221" s="477"/>
      <c r="CD1221" s="477"/>
      <c r="CE1221" s="477"/>
      <c r="CF1221" s="477"/>
      <c r="CG1221" s="331"/>
      <c r="CH1221" s="331"/>
      <c r="CI1221" s="331"/>
      <c r="CJ1221" s="331"/>
      <c r="CK1221" s="331"/>
      <c r="CL1221" s="520"/>
      <c r="CM1221" s="476"/>
      <c r="CN1221" s="476"/>
      <c r="CO1221" s="476"/>
      <c r="CP1221" s="476"/>
      <c r="CQ1221" s="476"/>
      <c r="CR1221" s="476"/>
      <c r="CS1221" s="476"/>
      <c r="CT1221" s="476"/>
      <c r="CU1221" s="476"/>
      <c r="CV1221" s="476"/>
      <c r="CW1221" s="476"/>
      <c r="CX1221" s="476"/>
      <c r="CY1221" s="476"/>
      <c r="CZ1221" s="476"/>
      <c r="DA1221" s="476"/>
      <c r="DB1221" s="476"/>
      <c r="DC1221" s="682"/>
      <c r="DD1221" s="331"/>
      <c r="DE1221" s="331"/>
      <c r="DF1221" s="502"/>
      <c r="DG1221" s="503"/>
      <c r="DH1221" s="2577"/>
      <c r="DI1221" s="3213"/>
      <c r="DJ1221" s="502"/>
      <c r="DK1221" s="503"/>
      <c r="DL1221" s="502"/>
      <c r="DM1221" s="502"/>
      <c r="DN1221" s="502"/>
      <c r="DO1221" s="502"/>
      <c r="DP1221" s="503"/>
      <c r="DQ1221" s="503"/>
      <c r="DR1221" s="296"/>
      <c r="DS1221" s="296"/>
      <c r="DT1221" s="296"/>
    </row>
    <row r="1222" spans="1:130" ht="12" customHeight="1" x14ac:dyDescent="0.25">
      <c r="A1222" s="333" t="s">
        <v>2541</v>
      </c>
      <c r="B1222" s="281"/>
      <c r="C1222" s="570"/>
      <c r="D1222" s="570"/>
      <c r="E1222" s="570"/>
      <c r="F1222" s="570"/>
      <c r="G1222" s="475"/>
      <c r="H1222" s="570"/>
      <c r="I1222" s="570"/>
      <c r="J1222" s="570"/>
      <c r="K1222" s="570"/>
      <c r="L1222" s="475"/>
      <c r="M1222" s="570"/>
      <c r="N1222" s="570"/>
      <c r="O1222" s="570"/>
      <c r="P1222" s="570"/>
      <c r="Q1222" s="475"/>
      <c r="R1222" s="570"/>
      <c r="S1222" s="570"/>
      <c r="T1222" s="570"/>
      <c r="U1222" s="570"/>
      <c r="V1222" s="475"/>
      <c r="W1222" s="570"/>
      <c r="X1222" s="570"/>
      <c r="Y1222" s="570"/>
      <c r="Z1222" s="570"/>
      <c r="AA1222" s="475"/>
      <c r="AB1222" s="570"/>
      <c r="AC1222" s="570"/>
      <c r="AD1222" s="570"/>
      <c r="AE1222" s="572"/>
      <c r="AF1222" s="477"/>
      <c r="AG1222" s="570"/>
      <c r="AH1222" s="570"/>
      <c r="AI1222" s="570"/>
      <c r="AJ1222" s="572"/>
      <c r="AK1222" s="477"/>
      <c r="AL1222" s="570"/>
      <c r="AM1222" s="570"/>
      <c r="AN1222" s="570"/>
      <c r="AO1222" s="572"/>
      <c r="AP1222" s="478"/>
      <c r="AQ1222" s="478"/>
      <c r="AR1222" s="476"/>
      <c r="AS1222" s="476"/>
      <c r="AT1222" s="476"/>
      <c r="AU1222" s="477"/>
      <c r="AV1222" s="478"/>
      <c r="AW1222" s="476"/>
      <c r="AX1222" s="476"/>
      <c r="AY1222" s="682"/>
      <c r="AZ1222" s="477"/>
      <c r="BA1222" s="478"/>
      <c r="BB1222" s="476"/>
      <c r="BC1222" s="476"/>
      <c r="BD1222" s="682"/>
      <c r="BE1222" s="682"/>
      <c r="BF1222" s="476"/>
      <c r="BG1222" s="476"/>
      <c r="BH1222" s="476"/>
      <c r="BI1222" s="682"/>
      <c r="BJ1222" s="682"/>
      <c r="BK1222" s="476"/>
      <c r="BL1222" s="476"/>
      <c r="BM1222" s="598"/>
      <c r="BN1222" s="1922">
        <f>+BN1218+BN1220</f>
        <v>-0.38639840000000003</v>
      </c>
      <c r="BO1222" s="596">
        <f>SUM(BK1222:BN1222)</f>
        <v>-0.38639840000000003</v>
      </c>
      <c r="BP1222" s="598">
        <f>+BP1218+BP1220</f>
        <v>-0.5428202999999987</v>
      </c>
      <c r="BQ1222" s="598">
        <f>+BQ1218+BQ1220</f>
        <v>0.30003724000000043</v>
      </c>
      <c r="BR1222" s="598">
        <f>+BR1218+BR1220</f>
        <v>0.30514438000000071</v>
      </c>
      <c r="BS1222" s="598">
        <f>+BS1218+BS1220</f>
        <v>-0.50536749999999964</v>
      </c>
      <c r="BT1222" s="2566">
        <f>SUM(BP1222:BS1222)</f>
        <v>-0.4430061799999972</v>
      </c>
      <c r="BU1222" s="598">
        <f>+BU1218+BU1220</f>
        <v>-0.39151810799999931</v>
      </c>
      <c r="BV1222" s="598">
        <f>+BV1218+BV1220</f>
        <v>0.21344082530434885</v>
      </c>
      <c r="BW1222" s="598"/>
      <c r="BX1222" s="598"/>
      <c r="BY1222" s="2566"/>
      <c r="BZ1222" s="2566"/>
      <c r="CA1222" s="2566"/>
      <c r="CB1222" s="2566">
        <f t="shared" ref="CB1222:CF1222" si="2853">+CB1218+CB1220</f>
        <v>0</v>
      </c>
      <c r="CC1222" s="2566">
        <f t="shared" si="2853"/>
        <v>0</v>
      </c>
      <c r="CD1222" s="2566">
        <f t="shared" si="2853"/>
        <v>0</v>
      </c>
      <c r="CE1222" s="2566">
        <f t="shared" si="2853"/>
        <v>0</v>
      </c>
      <c r="CF1222" s="2566">
        <f t="shared" si="2853"/>
        <v>0</v>
      </c>
      <c r="CG1222" s="331"/>
      <c r="CH1222" s="331"/>
      <c r="CI1222" s="331"/>
      <c r="CJ1222" s="331"/>
      <c r="CK1222" s="331"/>
      <c r="CL1222" s="520"/>
      <c r="CM1222" s="476"/>
      <c r="CN1222" s="476"/>
      <c r="CO1222" s="476"/>
      <c r="CP1222" s="476"/>
      <c r="CQ1222" s="476"/>
      <c r="CR1222" s="476"/>
      <c r="CS1222" s="476"/>
      <c r="CT1222" s="476"/>
      <c r="CU1222" s="476"/>
      <c r="CV1222" s="476"/>
      <c r="CW1222" s="476"/>
      <c r="CX1222" s="476"/>
      <c r="CY1222" s="476"/>
      <c r="CZ1222" s="476"/>
      <c r="DA1222" s="476"/>
      <c r="DB1222" s="476"/>
      <c r="DC1222" s="682"/>
      <c r="DD1222" s="331"/>
      <c r="DE1222" s="331"/>
      <c r="DF1222" s="502"/>
      <c r="DG1222" s="503"/>
      <c r="DH1222" s="2144"/>
      <c r="DI1222" s="3213"/>
      <c r="DJ1222" s="502"/>
      <c r="DK1222" s="503"/>
      <c r="DL1222" s="502"/>
      <c r="DM1222" s="502"/>
      <c r="DN1222" s="502"/>
      <c r="DO1222" s="502"/>
      <c r="DP1222" s="503"/>
      <c r="DQ1222" s="503"/>
      <c r="DR1222" s="296"/>
      <c r="DS1222" s="296"/>
      <c r="DT1222" s="296"/>
    </row>
    <row r="1223" spans="1:130" ht="5.0999999999999996" customHeight="1" x14ac:dyDescent="0.25">
      <c r="A1223" s="2575"/>
      <c r="B1223" s="281"/>
      <c r="C1223" s="570"/>
      <c r="D1223" s="570"/>
      <c r="E1223" s="570"/>
      <c r="F1223" s="570"/>
      <c r="G1223" s="475"/>
      <c r="H1223" s="570"/>
      <c r="I1223" s="570"/>
      <c r="J1223" s="570"/>
      <c r="K1223" s="570"/>
      <c r="L1223" s="475"/>
      <c r="M1223" s="570"/>
      <c r="N1223" s="570"/>
      <c r="O1223" s="570"/>
      <c r="P1223" s="570"/>
      <c r="Q1223" s="475"/>
      <c r="R1223" s="570"/>
      <c r="S1223" s="570"/>
      <c r="T1223" s="570"/>
      <c r="U1223" s="570"/>
      <c r="V1223" s="475"/>
      <c r="W1223" s="570"/>
      <c r="X1223" s="570"/>
      <c r="Y1223" s="570"/>
      <c r="Z1223" s="570"/>
      <c r="AA1223" s="475"/>
      <c r="AB1223" s="570"/>
      <c r="AC1223" s="570"/>
      <c r="AD1223" s="570"/>
      <c r="AE1223" s="572"/>
      <c r="AF1223" s="477"/>
      <c r="AG1223" s="570"/>
      <c r="AH1223" s="570"/>
      <c r="AI1223" s="570"/>
      <c r="AJ1223" s="572"/>
      <c r="AK1223" s="477"/>
      <c r="AL1223" s="570"/>
      <c r="AM1223" s="570"/>
      <c r="AN1223" s="570"/>
      <c r="AO1223" s="572"/>
      <c r="AP1223" s="478"/>
      <c r="AQ1223" s="478"/>
      <c r="AR1223" s="476"/>
      <c r="AS1223" s="476"/>
      <c r="AT1223" s="476"/>
      <c r="AU1223" s="477"/>
      <c r="AV1223" s="478"/>
      <c r="AW1223" s="476"/>
      <c r="AX1223" s="476"/>
      <c r="AY1223" s="682"/>
      <c r="AZ1223" s="477"/>
      <c r="BA1223" s="478"/>
      <c r="BB1223" s="476"/>
      <c r="BC1223" s="476"/>
      <c r="BD1223" s="682"/>
      <c r="BE1223" s="682"/>
      <c r="BF1223" s="476"/>
      <c r="BG1223" s="476"/>
      <c r="BH1223" s="476"/>
      <c r="BI1223" s="682"/>
      <c r="BJ1223" s="682"/>
      <c r="BK1223" s="476"/>
      <c r="BL1223" s="476"/>
      <c r="BM1223" s="476"/>
      <c r="BN1223" s="682"/>
      <c r="BO1223" s="682"/>
      <c r="BP1223" s="476"/>
      <c r="BQ1223" s="476"/>
      <c r="BR1223" s="476"/>
      <c r="BS1223" s="476"/>
      <c r="BT1223" s="2604"/>
      <c r="BU1223" s="2577"/>
      <c r="BV1223" s="2577"/>
      <c r="BW1223" s="2577"/>
      <c r="BX1223" s="2577"/>
      <c r="BY1223" s="2604"/>
      <c r="BZ1223" s="477"/>
      <c r="CA1223" s="477"/>
      <c r="CB1223" s="477"/>
      <c r="CC1223" s="477"/>
      <c r="CD1223" s="477"/>
      <c r="CE1223" s="477"/>
      <c r="CF1223" s="477"/>
      <c r="CG1223" s="331"/>
      <c r="CH1223" s="331"/>
      <c r="CI1223" s="331"/>
      <c r="CJ1223" s="331"/>
      <c r="CK1223" s="331"/>
      <c r="CL1223" s="520"/>
      <c r="CM1223" s="476"/>
      <c r="CN1223" s="476"/>
      <c r="CO1223" s="476"/>
      <c r="CP1223" s="476"/>
      <c r="CQ1223" s="476"/>
      <c r="CR1223" s="476"/>
      <c r="CS1223" s="476"/>
      <c r="CT1223" s="476"/>
      <c r="CU1223" s="476"/>
      <c r="CV1223" s="476"/>
      <c r="CW1223" s="476"/>
      <c r="CX1223" s="476"/>
      <c r="CY1223" s="476"/>
      <c r="CZ1223" s="476"/>
      <c r="DA1223" s="476"/>
      <c r="DB1223" s="476"/>
      <c r="DC1223" s="682"/>
      <c r="DD1223" s="331"/>
      <c r="DE1223" s="331"/>
      <c r="DF1223" s="502"/>
      <c r="DG1223" s="503"/>
      <c r="DH1223" s="2577"/>
      <c r="DI1223" s="3213"/>
      <c r="DJ1223" s="502"/>
      <c r="DK1223" s="503"/>
      <c r="DL1223" s="502"/>
      <c r="DM1223" s="502"/>
      <c r="DN1223" s="502"/>
      <c r="DO1223" s="502"/>
      <c r="DP1223" s="503"/>
      <c r="DQ1223" s="503"/>
      <c r="DR1223" s="296"/>
      <c r="DS1223" s="296"/>
      <c r="DT1223" s="296"/>
    </row>
    <row r="1224" spans="1:130" s="2502" customFormat="1" ht="12" customHeight="1" x14ac:dyDescent="0.25">
      <c r="A1224" s="567" t="s">
        <v>2540</v>
      </c>
      <c r="B1224" s="311"/>
      <c r="C1224" s="570"/>
      <c r="D1224" s="570"/>
      <c r="E1224" s="570"/>
      <c r="F1224" s="570"/>
      <c r="G1224" s="475"/>
      <c r="H1224" s="570"/>
      <c r="I1224" s="570"/>
      <c r="J1224" s="570"/>
      <c r="K1224" s="570"/>
      <c r="L1224" s="475"/>
      <c r="M1224" s="570"/>
      <c r="N1224" s="570"/>
      <c r="O1224" s="570"/>
      <c r="P1224" s="570"/>
      <c r="Q1224" s="475"/>
      <c r="R1224" s="570"/>
      <c r="S1224" s="570"/>
      <c r="T1224" s="570"/>
      <c r="U1224" s="570"/>
      <c r="V1224" s="475"/>
      <c r="W1224" s="570"/>
      <c r="X1224" s="570"/>
      <c r="Y1224" s="570"/>
      <c r="Z1224" s="570"/>
      <c r="AA1224" s="475"/>
      <c r="AB1224" s="570"/>
      <c r="AC1224" s="570"/>
      <c r="AD1224" s="570"/>
      <c r="AE1224" s="572"/>
      <c r="AF1224" s="477"/>
      <c r="AG1224" s="570"/>
      <c r="AH1224" s="570"/>
      <c r="AI1224" s="570"/>
      <c r="AJ1224" s="572"/>
      <c r="AK1224" s="477"/>
      <c r="AL1224" s="570"/>
      <c r="AM1224" s="570"/>
      <c r="AN1224" s="570"/>
      <c r="AO1224" s="572"/>
      <c r="AP1224" s="478"/>
      <c r="AQ1224" s="478"/>
      <c r="AR1224" s="476"/>
      <c r="AS1224" s="476"/>
      <c r="AT1224" s="476"/>
      <c r="AU1224" s="477"/>
      <c r="AV1224" s="478"/>
      <c r="AW1224" s="476"/>
      <c r="AX1224" s="476"/>
      <c r="AY1224" s="682"/>
      <c r="AZ1224" s="477"/>
      <c r="BA1224" s="478"/>
      <c r="BB1224" s="476"/>
      <c r="BC1224" s="476"/>
      <c r="BD1224" s="682"/>
      <c r="BE1224" s="682"/>
      <c r="BF1224" s="476"/>
      <c r="BG1224" s="476"/>
      <c r="BH1224" s="476"/>
      <c r="BI1224" s="682"/>
      <c r="BJ1224" s="682"/>
      <c r="BK1224" s="476"/>
      <c r="BL1224" s="476"/>
      <c r="BM1224" s="598"/>
      <c r="BN1224" s="1922">
        <f>+BN1203*0.4</f>
        <v>6.9305544000000019</v>
      </c>
      <c r="BO1224" s="596">
        <f>+SUM(BK1224:BN1224)</f>
        <v>6.9305544000000019</v>
      </c>
      <c r="BP1224" s="598">
        <f t="shared" ref="BP1224:BS1224" si="2854">+BP1203*0.4</f>
        <v>6.6718704000000004</v>
      </c>
      <c r="BQ1224" s="598">
        <f t="shared" si="2854"/>
        <v>6.8298316799999998</v>
      </c>
      <c r="BR1224" s="598">
        <f t="shared" si="2854"/>
        <v>6.8975001599999999</v>
      </c>
      <c r="BS1224" s="598">
        <f t="shared" si="2854"/>
        <v>6.3643520000000002</v>
      </c>
      <c r="BT1224" s="596">
        <f>+SUM(BP1224:BS1224)</f>
        <v>26.763554240000001</v>
      </c>
      <c r="BU1224" s="598">
        <f>+BU1203*0.4</f>
        <v>6.5167234440000001</v>
      </c>
      <c r="BV1224" s="598">
        <f>+BV1203*0.4</f>
        <v>4.1498578080000001</v>
      </c>
      <c r="BW1224" s="598"/>
      <c r="BX1224" s="598"/>
      <c r="BY1224" s="596"/>
      <c r="BZ1224" s="596"/>
      <c r="CA1224" s="596"/>
      <c r="CB1224" s="596"/>
      <c r="CC1224" s="596"/>
      <c r="CD1224" s="596"/>
      <c r="CE1224" s="596"/>
      <c r="CF1224" s="596"/>
      <c r="CG1224" s="476"/>
      <c r="CH1224" s="476"/>
      <c r="CI1224" s="476"/>
      <c r="CJ1224" s="476"/>
      <c r="CK1224" s="476"/>
      <c r="CL1224" s="528"/>
      <c r="CM1224" s="476"/>
      <c r="CN1224" s="476"/>
      <c r="CO1224" s="476"/>
      <c r="CP1224" s="476"/>
      <c r="CQ1224" s="476"/>
      <c r="CR1224" s="476"/>
      <c r="CS1224" s="476"/>
      <c r="CT1224" s="476"/>
      <c r="CU1224" s="476"/>
      <c r="CV1224" s="476"/>
      <c r="CW1224" s="476"/>
      <c r="CX1224" s="476"/>
      <c r="CY1224" s="476"/>
      <c r="CZ1224" s="476"/>
      <c r="DA1224" s="476"/>
      <c r="DB1224" s="476"/>
      <c r="DC1224" s="682"/>
      <c r="DD1224" s="476"/>
      <c r="DE1224" s="476"/>
      <c r="DF1224" s="598"/>
      <c r="DG1224" s="598"/>
      <c r="DH1224" s="598"/>
      <c r="DI1224" s="3356"/>
      <c r="DJ1224" s="598"/>
      <c r="DK1224" s="598"/>
      <c r="DL1224" s="598"/>
      <c r="DM1224" s="598"/>
      <c r="DN1224" s="598"/>
      <c r="DO1224" s="598"/>
      <c r="DP1224" s="598"/>
      <c r="DQ1224" s="598"/>
      <c r="DR1224" s="660"/>
      <c r="DS1224" s="660"/>
      <c r="DT1224" s="660"/>
      <c r="DU1224"/>
      <c r="DV1224"/>
      <c r="DW1224"/>
      <c r="DX1224"/>
      <c r="DY1224"/>
      <c r="DZ1224"/>
    </row>
    <row r="1225" spans="1:130" ht="12" customHeight="1" x14ac:dyDescent="0.25">
      <c r="A1225" s="281"/>
      <c r="B1225" s="281"/>
      <c r="C1225" s="570"/>
      <c r="D1225" s="570"/>
      <c r="E1225" s="570"/>
      <c r="F1225" s="570"/>
      <c r="G1225" s="475"/>
      <c r="H1225" s="570"/>
      <c r="I1225" s="570"/>
      <c r="J1225" s="570"/>
      <c r="K1225" s="570"/>
      <c r="L1225" s="475"/>
      <c r="M1225" s="570"/>
      <c r="N1225" s="570"/>
      <c r="O1225" s="570"/>
      <c r="P1225" s="570"/>
      <c r="Q1225" s="475"/>
      <c r="R1225" s="570"/>
      <c r="S1225" s="570"/>
      <c r="T1225" s="570"/>
      <c r="U1225" s="570"/>
      <c r="V1225" s="475"/>
      <c r="W1225" s="570"/>
      <c r="X1225" s="570"/>
      <c r="Y1225" s="570"/>
      <c r="Z1225" s="570"/>
      <c r="AA1225" s="475"/>
      <c r="AB1225" s="570"/>
      <c r="AC1225" s="570"/>
      <c r="AD1225" s="570"/>
      <c r="AE1225" s="572"/>
      <c r="AF1225" s="477"/>
      <c r="AG1225" s="570"/>
      <c r="AH1225" s="570"/>
      <c r="AI1225" s="570"/>
      <c r="AJ1225" s="572"/>
      <c r="AK1225" s="477"/>
      <c r="AL1225" s="570"/>
      <c r="AM1225" s="570"/>
      <c r="AN1225" s="570"/>
      <c r="AO1225" s="572"/>
      <c r="AP1225" s="478"/>
      <c r="AQ1225" s="478"/>
      <c r="AR1225" s="476"/>
      <c r="AS1225" s="476"/>
      <c r="AT1225" s="476"/>
      <c r="AU1225" s="1768"/>
      <c r="AV1225" s="1923"/>
      <c r="AW1225" s="600"/>
      <c r="AX1225" s="600"/>
      <c r="AY1225" s="1769"/>
      <c r="AZ1225" s="1768"/>
      <c r="BA1225" s="1923"/>
      <c r="BB1225" s="600"/>
      <c r="BC1225" s="600"/>
      <c r="BD1225" s="1769"/>
      <c r="BE1225" s="1769"/>
      <c r="BF1225" s="600"/>
      <c r="BG1225" s="600"/>
      <c r="BH1225" s="600"/>
      <c r="BI1225" s="1769"/>
      <c r="BJ1225" s="1769"/>
      <c r="BK1225" s="600"/>
      <c r="BL1225" s="600"/>
      <c r="BM1225" s="600"/>
      <c r="BN1225" s="1769"/>
      <c r="BO1225" s="1769"/>
      <c r="BP1225" s="600"/>
      <c r="BQ1225" s="600"/>
      <c r="BR1225" s="600"/>
      <c r="BS1225" s="600"/>
      <c r="BT1225" s="3244"/>
      <c r="BU1225" s="3416"/>
      <c r="BV1225" s="3028"/>
      <c r="BW1225" s="3028"/>
      <c r="BX1225" s="3028"/>
      <c r="BY1225" s="3244"/>
      <c r="BZ1225" s="1768"/>
      <c r="CA1225" s="1768"/>
      <c r="CB1225" s="1768"/>
      <c r="CC1225" s="1768"/>
      <c r="CD1225" s="1768"/>
      <c r="CE1225" s="1768"/>
      <c r="CF1225" s="1768"/>
      <c r="CG1225" s="331"/>
      <c r="CH1225" s="331"/>
      <c r="CI1225" s="331"/>
      <c r="CJ1225" s="331"/>
      <c r="CK1225" s="331"/>
      <c r="CL1225" s="520"/>
      <c r="CM1225" s="476"/>
      <c r="CN1225" s="476"/>
      <c r="CO1225" s="476"/>
      <c r="CP1225" s="476"/>
      <c r="CQ1225" s="476"/>
      <c r="CR1225" s="476"/>
      <c r="CS1225" s="476"/>
      <c r="CT1225" s="476"/>
      <c r="CU1225" s="600"/>
      <c r="CV1225" s="600"/>
      <c r="CW1225" s="600"/>
      <c r="CX1225" s="600"/>
      <c r="CY1225" s="600"/>
      <c r="CZ1225" s="600"/>
      <c r="DA1225" s="600"/>
      <c r="DB1225" s="600"/>
      <c r="DC1225" s="1769"/>
      <c r="DD1225" s="331"/>
      <c r="DE1225" s="331"/>
      <c r="DF1225" s="502"/>
      <c r="DG1225" s="503"/>
      <c r="DH1225" s="3028"/>
      <c r="DI1225" s="3213"/>
      <c r="DJ1225" s="502"/>
      <c r="DK1225" s="503"/>
      <c r="DL1225" s="502"/>
      <c r="DM1225" s="502"/>
      <c r="DN1225" s="502"/>
      <c r="DO1225" s="502"/>
      <c r="DP1225" s="503"/>
      <c r="DQ1225" s="503"/>
      <c r="DR1225" s="296"/>
      <c r="DS1225" s="296"/>
      <c r="DT1225" s="296"/>
    </row>
    <row r="1226" spans="1:130" ht="12" customHeight="1" x14ac:dyDescent="0.25">
      <c r="A1226" s="291" t="s">
        <v>1034</v>
      </c>
      <c r="B1226" s="281"/>
      <c r="C1226" s="570"/>
      <c r="D1226" s="570"/>
      <c r="E1226" s="570"/>
      <c r="F1226" s="570"/>
      <c r="G1226" s="475"/>
      <c r="H1226" s="570"/>
      <c r="I1226" s="570"/>
      <c r="J1226" s="570"/>
      <c r="K1226" s="570"/>
      <c r="L1226" s="475"/>
      <c r="M1226" s="570"/>
      <c r="N1226" s="570"/>
      <c r="O1226" s="570"/>
      <c r="P1226" s="570"/>
      <c r="Q1226" s="475"/>
      <c r="R1226" s="570"/>
      <c r="S1226" s="570"/>
      <c r="T1226" s="570"/>
      <c r="U1226" s="570"/>
      <c r="V1226" s="475"/>
      <c r="W1226" s="570"/>
      <c r="X1226" s="570"/>
      <c r="Y1226" s="570"/>
      <c r="Z1226" s="570"/>
      <c r="AA1226" s="475"/>
      <c r="AB1226" s="570"/>
      <c r="AC1226" s="570"/>
      <c r="AD1226" s="570"/>
      <c r="AE1226" s="572"/>
      <c r="AF1226" s="477"/>
      <c r="AG1226" s="570"/>
      <c r="AH1226" s="570"/>
      <c r="AI1226" s="570"/>
      <c r="AJ1226" s="572"/>
      <c r="AK1226" s="477"/>
      <c r="AL1226" s="570"/>
      <c r="AM1226" s="570"/>
      <c r="AN1226" s="570"/>
      <c r="AO1226" s="572"/>
      <c r="AP1226" s="478"/>
      <c r="AQ1226" s="478"/>
      <c r="AR1226" s="476"/>
      <c r="AS1226" s="476"/>
      <c r="AT1226" s="476"/>
      <c r="AU1226" s="1768"/>
      <c r="AV1226" s="1923"/>
      <c r="AW1226" s="600"/>
      <c r="AX1226" s="600"/>
      <c r="AY1226" s="1769"/>
      <c r="AZ1226" s="1768"/>
      <c r="BA1226" s="1923"/>
      <c r="BB1226" s="600"/>
      <c r="BC1226" s="600"/>
      <c r="BD1226" s="1769"/>
      <c r="BE1226" s="1769"/>
      <c r="BF1226" s="600"/>
      <c r="BG1226" s="600"/>
      <c r="BH1226" s="600"/>
      <c r="BI1226" s="1769"/>
      <c r="BJ1226" s="1769"/>
      <c r="BK1226" s="600"/>
      <c r="BL1226" s="600"/>
      <c r="BM1226" s="600"/>
      <c r="BN1226" s="1769"/>
      <c r="BO1226" s="1769"/>
      <c r="BP1226" s="600"/>
      <c r="BQ1226" s="600"/>
      <c r="BR1226" s="600"/>
      <c r="BS1226" s="600"/>
      <c r="BT1226" s="3244"/>
      <c r="BU1226" s="3416"/>
      <c r="BV1226" s="3028"/>
      <c r="BW1226" s="3028"/>
      <c r="BX1226" s="3028"/>
      <c r="BY1226" s="3244"/>
      <c r="BZ1226" s="1768"/>
      <c r="CA1226" s="1768"/>
      <c r="CB1226" s="1768"/>
      <c r="CC1226" s="1768"/>
      <c r="CD1226" s="1768"/>
      <c r="CE1226" s="1768"/>
      <c r="CF1226" s="1768"/>
      <c r="CG1226" s="331"/>
      <c r="CH1226" s="331"/>
      <c r="CI1226" s="331"/>
      <c r="CJ1226" s="331"/>
      <c r="CK1226" s="331"/>
      <c r="CL1226" s="520"/>
      <c r="CM1226" s="476"/>
      <c r="CN1226" s="476"/>
      <c r="CO1226" s="476"/>
      <c r="CP1226" s="476"/>
      <c r="CQ1226" s="476"/>
      <c r="CR1226" s="476"/>
      <c r="CS1226" s="476"/>
      <c r="CT1226" s="476"/>
      <c r="CU1226" s="600"/>
      <c r="CV1226" s="600"/>
      <c r="CW1226" s="600"/>
      <c r="CX1226" s="600"/>
      <c r="CY1226" s="600"/>
      <c r="CZ1226" s="600"/>
      <c r="DA1226" s="600"/>
      <c r="DB1226" s="600"/>
      <c r="DC1226" s="1769"/>
      <c r="DD1226" s="331"/>
      <c r="DE1226" s="331"/>
      <c r="DF1226" s="502"/>
      <c r="DG1226" s="503"/>
      <c r="DH1226" s="3028"/>
      <c r="DI1226" s="3213"/>
      <c r="DJ1226" s="502"/>
      <c r="DK1226" s="503"/>
      <c r="DL1226" s="502"/>
      <c r="DM1226" s="502"/>
      <c r="DN1226" s="502"/>
      <c r="DO1226" s="502"/>
      <c r="DP1226" s="503"/>
      <c r="DQ1226" s="503"/>
      <c r="DR1226" s="296"/>
      <c r="DS1226" s="296"/>
      <c r="DT1226" s="296"/>
    </row>
    <row r="1227" spans="1:130" s="1049" customFormat="1" ht="12" customHeight="1" x14ac:dyDescent="0.25">
      <c r="A1227" s="428" t="s">
        <v>1035</v>
      </c>
      <c r="B1227" s="428"/>
      <c r="C1227" s="572"/>
      <c r="D1227" s="572"/>
      <c r="E1227" s="572"/>
      <c r="F1227" s="572"/>
      <c r="G1227" s="477"/>
      <c r="H1227" s="572"/>
      <c r="I1227" s="572"/>
      <c r="J1227" s="572"/>
      <c r="K1227" s="572"/>
      <c r="L1227" s="477"/>
      <c r="M1227" s="572"/>
      <c r="N1227" s="572"/>
      <c r="O1227" s="572"/>
      <c r="P1227" s="572"/>
      <c r="Q1227" s="477"/>
      <c r="R1227" s="572"/>
      <c r="S1227" s="572"/>
      <c r="T1227" s="572"/>
      <c r="U1227" s="572"/>
      <c r="V1227" s="477"/>
      <c r="W1227" s="572"/>
      <c r="X1227" s="572"/>
      <c r="Y1227" s="572"/>
      <c r="Z1227" s="572"/>
      <c r="AA1227" s="477"/>
      <c r="AB1227" s="572"/>
      <c r="AC1227" s="572"/>
      <c r="AD1227" s="572"/>
      <c r="AE1227" s="572"/>
      <c r="AF1227" s="477"/>
      <c r="AG1227" s="572"/>
      <c r="AH1227" s="572"/>
      <c r="AI1227" s="572"/>
      <c r="AJ1227" s="572"/>
      <c r="AK1227" s="477"/>
      <c r="AL1227" s="572"/>
      <c r="AM1227" s="572"/>
      <c r="AN1227" s="572"/>
      <c r="AO1227" s="572"/>
      <c r="AP1227" s="478"/>
      <c r="AQ1227" s="478"/>
      <c r="AR1227" s="476"/>
      <c r="AS1227" s="476"/>
      <c r="AT1227" s="476"/>
      <c r="AU1227" s="477"/>
      <c r="AV1227" s="478"/>
      <c r="AW1227" s="476"/>
      <c r="AX1227" s="476"/>
      <c r="AY1227" s="682"/>
      <c r="AZ1227" s="451"/>
      <c r="BA1227" s="2667">
        <v>15.5</v>
      </c>
      <c r="BB1227" s="2872">
        <v>24.1</v>
      </c>
      <c r="BC1227" s="2872">
        <v>36.4</v>
      </c>
      <c r="BD1227" s="2962">
        <v>52.4</v>
      </c>
      <c r="BE1227" s="451">
        <f>+BD1227</f>
        <v>52.4</v>
      </c>
      <c r="BF1227" s="2962">
        <v>68.8</v>
      </c>
      <c r="BG1227" s="2962">
        <v>90.9</v>
      </c>
      <c r="BH1227" s="2962">
        <v>116.7</v>
      </c>
      <c r="BI1227" s="2962">
        <v>158.1</v>
      </c>
      <c r="BJ1227" s="451">
        <f>+BI1227</f>
        <v>158.1</v>
      </c>
      <c r="BK1227" s="2962">
        <v>209.9</v>
      </c>
      <c r="BL1227" s="2962">
        <v>260.3</v>
      </c>
      <c r="BM1227" s="2962">
        <v>326</v>
      </c>
      <c r="BN1227" s="2962">
        <v>98</v>
      </c>
      <c r="BO1227" s="451">
        <f>+BN1227</f>
        <v>98</v>
      </c>
      <c r="BP1227" s="450">
        <f>+BO1227-BP1305</f>
        <v>98</v>
      </c>
      <c r="BQ1227" s="450">
        <f>+BP1227-BQ1305</f>
        <v>98</v>
      </c>
      <c r="BR1227" s="2671">
        <f>+BQ1227-BR1305</f>
        <v>98</v>
      </c>
      <c r="BS1227" s="450">
        <f>+BR1227-BS1305</f>
        <v>100.345</v>
      </c>
      <c r="BT1227" s="3023">
        <f>+BS1227</f>
        <v>100.345</v>
      </c>
      <c r="BU1227" s="3556">
        <f>+BT1227-BU1305</f>
        <v>100.345</v>
      </c>
      <c r="BV1227" s="3556">
        <f>+BU1227-BV1305</f>
        <v>100.345</v>
      </c>
      <c r="BW1227" s="3556">
        <f>+BV1227-BW1305</f>
        <v>100.345</v>
      </c>
      <c r="BX1227" s="3556">
        <f>+BW1227-BX1305</f>
        <v>100.345</v>
      </c>
      <c r="BY1227" s="3557">
        <f>+BX1227</f>
        <v>100.345</v>
      </c>
      <c r="BZ1227" s="3557">
        <f>+BY1227-BZ1305</f>
        <v>100.345</v>
      </c>
      <c r="CA1227" s="3557">
        <f>+BZ1227-CA1305</f>
        <v>100.345</v>
      </c>
      <c r="CB1227" s="3023">
        <f>+CA1227-CB1306</f>
        <v>100.345</v>
      </c>
      <c r="CC1227" s="3023">
        <f>+CB1227-CC1306</f>
        <v>100.345</v>
      </c>
      <c r="CD1227" s="3023">
        <f>+CC1227-CD1306</f>
        <v>100.345</v>
      </c>
      <c r="CE1227" s="3023">
        <f>+CD1227-CE1306</f>
        <v>100.345</v>
      </c>
      <c r="CF1227" s="3023">
        <f>+CE1227-CF1306</f>
        <v>100.345</v>
      </c>
      <c r="CG1227" s="331"/>
      <c r="CH1227" s="331"/>
      <c r="CI1227" s="331"/>
      <c r="CJ1227" s="331"/>
      <c r="CK1227" s="331"/>
      <c r="CL1227" s="520"/>
      <c r="CM1227" s="476"/>
      <c r="CN1227" s="476"/>
      <c r="CO1227" s="476"/>
      <c r="CP1227" s="476"/>
      <c r="CQ1227" s="476"/>
      <c r="CR1227" s="476"/>
      <c r="CS1227" s="476"/>
      <c r="CT1227" s="476"/>
      <c r="CU1227" s="476"/>
      <c r="CV1227" s="476"/>
      <c r="CW1227" s="476"/>
      <c r="CX1227" s="476"/>
      <c r="CY1227" s="476"/>
      <c r="CZ1227" s="476"/>
      <c r="DA1227" s="476"/>
      <c r="DB1227" s="476"/>
      <c r="DC1227" s="682"/>
      <c r="DD1227" s="331"/>
      <c r="DE1227" s="331"/>
      <c r="DF1227" s="331"/>
      <c r="DG1227" s="442"/>
      <c r="DH1227" s="2671"/>
      <c r="DI1227" s="3213"/>
      <c r="DJ1227" s="331"/>
      <c r="DK1227" s="442"/>
      <c r="DL1227" s="331"/>
      <c r="DM1227" s="331"/>
      <c r="DN1227" s="331"/>
      <c r="DO1227" s="331"/>
      <c r="DP1227" s="442"/>
      <c r="DQ1227" s="442"/>
      <c r="DR1227" s="296"/>
      <c r="DS1227" s="296"/>
      <c r="DT1227" s="296"/>
      <c r="DU1227"/>
      <c r="DV1227"/>
      <c r="DW1227"/>
      <c r="DX1227"/>
      <c r="DY1227"/>
      <c r="DZ1227"/>
    </row>
    <row r="1228" spans="1:130" ht="12" customHeight="1" x14ac:dyDescent="0.25">
      <c r="A1228" s="2575" t="s">
        <v>1036</v>
      </c>
      <c r="B1228" s="281"/>
      <c r="C1228" s="570"/>
      <c r="D1228" s="570"/>
      <c r="E1228" s="570"/>
      <c r="F1228" s="570"/>
      <c r="G1228" s="475"/>
      <c r="H1228" s="570"/>
      <c r="I1228" s="570"/>
      <c r="J1228" s="570"/>
      <c r="K1228" s="570"/>
      <c r="L1228" s="475"/>
      <c r="M1228" s="570"/>
      <c r="N1228" s="570"/>
      <c r="O1228" s="570"/>
      <c r="P1228" s="570"/>
      <c r="Q1228" s="475"/>
      <c r="R1228" s="570"/>
      <c r="S1228" s="570"/>
      <c r="T1228" s="570"/>
      <c r="U1228" s="570"/>
      <c r="V1228" s="475"/>
      <c r="W1228" s="570"/>
      <c r="X1228" s="570"/>
      <c r="Y1228" s="570"/>
      <c r="Z1228" s="570"/>
      <c r="AA1228" s="475"/>
      <c r="AB1228" s="570"/>
      <c r="AC1228" s="570"/>
      <c r="AD1228" s="570"/>
      <c r="AE1228" s="572"/>
      <c r="AF1228" s="477"/>
      <c r="AG1228" s="570"/>
      <c r="AH1228" s="570"/>
      <c r="AI1228" s="570"/>
      <c r="AJ1228" s="572"/>
      <c r="AK1228" s="477"/>
      <c r="AL1228" s="570"/>
      <c r="AM1228" s="570"/>
      <c r="AN1228" s="570"/>
      <c r="AO1228" s="572"/>
      <c r="AP1228" s="478"/>
      <c r="AQ1228" s="478"/>
      <c r="AR1228" s="476"/>
      <c r="AS1228" s="476"/>
      <c r="AT1228" s="476"/>
      <c r="AU1228" s="477"/>
      <c r="AV1228" s="478"/>
      <c r="AW1228" s="476"/>
      <c r="AX1228" s="476"/>
      <c r="AY1228" s="682"/>
      <c r="AZ1228" s="477"/>
      <c r="BA1228" s="478">
        <f>+AVERAGE(BA1227,AZ1227)*((BA1442+0.11)/4)</f>
        <v>0.43593750000000003</v>
      </c>
      <c r="BB1228" s="476">
        <f>+AVERAGE(BB1227,BA1227)*((BB1442+0.11)/4)</f>
        <v>0.55687500000000001</v>
      </c>
      <c r="BC1228" s="476">
        <f>+AVERAGE(BC1227,BB1227)*((BC1442+0.11)/4)</f>
        <v>0.85078125000000004</v>
      </c>
      <c r="BD1228" s="476">
        <f>+AVERAGE(BD1227,BC1227)*((BD1442+0.11)/4)</f>
        <v>1.24875</v>
      </c>
      <c r="BE1228" s="477">
        <f>SUM(BA1228:BD1228)</f>
        <v>3.0923437500000004</v>
      </c>
      <c r="BF1228" s="476">
        <f>+AVERAGE(BF1227,BE1227)*((BF1442+0.11)/4)</f>
        <v>1.7157374999999999</v>
      </c>
      <c r="BG1228" s="476">
        <f>+AVERAGE(BG1227,BF1227)*((BG1442+0.11)/4)</f>
        <v>2.2607531249999999</v>
      </c>
      <c r="BH1228" s="476">
        <f>+AVERAGE(BH1227,BG1227)*((BH1442+0.11)/4)</f>
        <v>2.9388375000000004</v>
      </c>
      <c r="BI1228" s="476">
        <f>+AVERAGE(BI1227,BH1227)*((BI1442+0.11)/4)</f>
        <v>3.9760125000000004</v>
      </c>
      <c r="BJ1228" s="477">
        <f>SUM(BF1228:BI1228)</f>
        <v>10.891340625000002</v>
      </c>
      <c r="BK1228" s="476">
        <f>+AVERAGE(BK1227,BJ1227)*((BK1442+0.11)/4)</f>
        <v>5.2095000000000002</v>
      </c>
      <c r="BL1228" s="476">
        <f>+AVERAGE(BL1227,BK1227)*((BL1442+0.11)/4)</f>
        <v>6.8325937500000009</v>
      </c>
      <c r="BM1228" s="476">
        <f>+AVERAGE(BM1227,BL1227)*((BM1442+0.11)/4)</f>
        <v>8.5196718750000002</v>
      </c>
      <c r="BN1228" s="3138">
        <f>+BN1227*((BN1442+0.085)/4)</f>
        <v>2.296875</v>
      </c>
      <c r="BO1228" s="477">
        <f>SUM(BK1228:BN1228)</f>
        <v>22.858640625</v>
      </c>
      <c r="BP1228" s="476">
        <f>+AVERAGE(BP1227,BO1227)*((BP1442+0.085)/4)</f>
        <v>2.296875</v>
      </c>
      <c r="BQ1228" s="476">
        <f>+AVERAGE(BQ1227,BP1227)*((BQ1442+0.085)/4)</f>
        <v>2.296875</v>
      </c>
      <c r="BR1228" s="2577">
        <f>+AVERAGE(BR1227,BQ1227)*((BR1442+0.085)/4)</f>
        <v>2.3581250000000002</v>
      </c>
      <c r="BS1228" s="2577">
        <f>+AVERAGE(BS1227,BR1227)*((BS1442+0.085)/4)</f>
        <v>2.4483210937500002</v>
      </c>
      <c r="BT1228" s="2604">
        <f>SUM(BP1228:BS1228)</f>
        <v>9.4001960937500009</v>
      </c>
      <c r="BU1228" s="3558">
        <f>+AVERAGE(BU1227,BT1227)*((BU1442+0.085)/4)</f>
        <v>2.6026984375000004</v>
      </c>
      <c r="BV1228" s="3558">
        <f>+AVERAGE(BV1227,BU1227)*((BV1442+0.085)/4)</f>
        <v>2.6654140625000005</v>
      </c>
      <c r="BW1228" s="3558">
        <f>+AVERAGE(BW1227,BV1227)*((BW1442+0.085)/4)</f>
        <v>2.7281296875000005</v>
      </c>
      <c r="BX1228" s="3558">
        <f>+AVERAGE(BX1227,BW1227)*((BX1442+0.085)/4)</f>
        <v>2.7908453125000001</v>
      </c>
      <c r="BY1228" s="3559">
        <f>SUM(BU1228:BX1228)</f>
        <v>10.787087500000002</v>
      </c>
      <c r="BZ1228" s="3559">
        <f>+AVERAGE(BZ1227,BY1227)*((BZ1442+0.085))</f>
        <v>11.414243750000001</v>
      </c>
      <c r="CA1228" s="3559">
        <f>+AVERAGE(CA1227,BZ1227)*((CA1442+0.085))</f>
        <v>11.665106250000001</v>
      </c>
      <c r="CB1228" s="2604">
        <f>+AVERAGE(CB1227,CA1227)*((CB1442+0.11))</f>
        <v>14.173731249999998</v>
      </c>
      <c r="CC1228" s="2604">
        <f>+AVERAGE(CC1227,CB1227)*((CC1442+0.11))</f>
        <v>14.173731249999998</v>
      </c>
      <c r="CD1228" s="2604">
        <f>+AVERAGE(CD1227,CC1227)*((CD1442+0.11))</f>
        <v>14.173731249999998</v>
      </c>
      <c r="CE1228" s="2604">
        <f>+AVERAGE(CE1227,CD1227)*((CE1442+0.11))</f>
        <v>14.173731249999998</v>
      </c>
      <c r="CF1228" s="2604">
        <f>+AVERAGE(CF1227,CE1227)*((CF1442+0.11))</f>
        <v>14.173731249999998</v>
      </c>
      <c r="CG1228" s="331"/>
      <c r="CH1228" s="331"/>
      <c r="CI1228" s="331"/>
      <c r="CJ1228" s="331"/>
      <c r="CK1228" s="331"/>
      <c r="CL1228" s="520"/>
      <c r="CM1228" s="476"/>
      <c r="CN1228" s="476"/>
      <c r="CO1228" s="476"/>
      <c r="CP1228" s="476"/>
      <c r="CQ1228" s="476"/>
      <c r="CR1228" s="476"/>
      <c r="CS1228" s="476"/>
      <c r="CT1228" s="476"/>
      <c r="CU1228" s="476"/>
      <c r="CV1228" s="476"/>
      <c r="CW1228" s="476"/>
      <c r="CX1228" s="476"/>
      <c r="CY1228" s="476"/>
      <c r="CZ1228" s="476"/>
      <c r="DA1228" s="476"/>
      <c r="DB1228" s="476"/>
      <c r="DC1228" s="682"/>
      <c r="DD1228" s="331"/>
      <c r="DE1228" s="331"/>
      <c r="DF1228" s="331"/>
      <c r="DG1228" s="442"/>
      <c r="DH1228" s="2577"/>
      <c r="DI1228" s="3213"/>
      <c r="DJ1228" s="331"/>
      <c r="DK1228" s="442"/>
      <c r="DL1228" s="331"/>
      <c r="DM1228" s="331"/>
      <c r="DN1228" s="331"/>
      <c r="DO1228" s="331"/>
      <c r="DP1228" s="442"/>
      <c r="DQ1228" s="442"/>
      <c r="DR1228" s="296"/>
      <c r="DS1228" s="296"/>
      <c r="DT1228" s="296"/>
    </row>
    <row r="1229" spans="1:130" ht="12" customHeight="1" x14ac:dyDescent="0.25">
      <c r="A1229" s="2575" t="s">
        <v>1037</v>
      </c>
      <c r="B1229" s="281"/>
      <c r="C1229" s="570"/>
      <c r="D1229" s="570"/>
      <c r="E1229" s="570"/>
      <c r="F1229" s="570"/>
      <c r="G1229" s="475"/>
      <c r="H1229" s="570"/>
      <c r="I1229" s="570"/>
      <c r="J1229" s="570"/>
      <c r="K1229" s="570"/>
      <c r="L1229" s="475"/>
      <c r="M1229" s="570"/>
      <c r="N1229" s="570"/>
      <c r="O1229" s="570"/>
      <c r="P1229" s="570"/>
      <c r="Q1229" s="475"/>
      <c r="R1229" s="570"/>
      <c r="S1229" s="570"/>
      <c r="T1229" s="570"/>
      <c r="U1229" s="570"/>
      <c r="V1229" s="475"/>
      <c r="W1229" s="570"/>
      <c r="X1229" s="570"/>
      <c r="Y1229" s="570"/>
      <c r="Z1229" s="570"/>
      <c r="AA1229" s="475"/>
      <c r="AB1229" s="570"/>
      <c r="AC1229" s="570"/>
      <c r="AD1229" s="570"/>
      <c r="AE1229" s="572"/>
      <c r="AF1229" s="477"/>
      <c r="AG1229" s="570"/>
      <c r="AH1229" s="570"/>
      <c r="AI1229" s="570"/>
      <c r="AJ1229" s="572"/>
      <c r="AK1229" s="477"/>
      <c r="AL1229" s="570"/>
      <c r="AM1229" s="570"/>
      <c r="AN1229" s="570"/>
      <c r="AO1229" s="572"/>
      <c r="AP1229" s="478"/>
      <c r="AQ1229" s="478"/>
      <c r="AR1229" s="476"/>
      <c r="AS1229" s="476"/>
      <c r="AT1229" s="476"/>
      <c r="AU1229" s="477"/>
      <c r="AV1229" s="478"/>
      <c r="AW1229" s="476"/>
      <c r="AX1229" s="476"/>
      <c r="AY1229" s="682"/>
      <c r="AZ1229" s="477"/>
      <c r="BA1229" s="478">
        <f>+BA1228</f>
        <v>0.43593750000000003</v>
      </c>
      <c r="BB1229" s="476">
        <f>+BA1229+BB1228</f>
        <v>0.9928125000000001</v>
      </c>
      <c r="BC1229" s="476">
        <f>+BB1229+BC1228</f>
        <v>1.8435937500000001</v>
      </c>
      <c r="BD1229" s="476">
        <f>+BC1229+BD1228</f>
        <v>3.0923437500000004</v>
      </c>
      <c r="BE1229" s="477">
        <f>+BD1229</f>
        <v>3.0923437500000004</v>
      </c>
      <c r="BF1229" s="476">
        <f>+BE1229+BF1228</f>
        <v>4.8080812500000008</v>
      </c>
      <c r="BG1229" s="476">
        <f>+BF1229+BG1228</f>
        <v>7.0688343750000007</v>
      </c>
      <c r="BH1229" s="476">
        <f>+BG1229+BH1228</f>
        <v>10.007671875000002</v>
      </c>
      <c r="BI1229" s="476">
        <f>+BH1229+BI1228</f>
        <v>13.983684375000003</v>
      </c>
      <c r="BJ1229" s="477">
        <f>+BI1229</f>
        <v>13.983684375000003</v>
      </c>
      <c r="BK1229" s="476">
        <f>+BJ1229+BK1228</f>
        <v>19.193184375000001</v>
      </c>
      <c r="BL1229" s="476">
        <f>+BK1229+BL1228</f>
        <v>26.025778125000002</v>
      </c>
      <c r="BM1229" s="476">
        <f>+BL1229+BM1228</f>
        <v>34.545450000000002</v>
      </c>
      <c r="BN1229" s="2941">
        <v>0</v>
      </c>
      <c r="BO1229" s="477">
        <f>+BN1229</f>
        <v>0</v>
      </c>
      <c r="BP1229" s="3030">
        <f>+BN1229</f>
        <v>0</v>
      </c>
      <c r="BQ1229" s="3030">
        <f t="shared" ref="BQ1229:CA1229" si="2855">+BP1229</f>
        <v>0</v>
      </c>
      <c r="BR1229" s="3030">
        <f t="shared" si="2855"/>
        <v>0</v>
      </c>
      <c r="BS1229" s="3030">
        <f t="shared" si="2855"/>
        <v>0</v>
      </c>
      <c r="BT1229" s="2604">
        <f t="shared" si="2855"/>
        <v>0</v>
      </c>
      <c r="BU1229" s="3560">
        <f t="shared" si="2855"/>
        <v>0</v>
      </c>
      <c r="BV1229" s="3560">
        <f t="shared" si="2855"/>
        <v>0</v>
      </c>
      <c r="BW1229" s="3560">
        <f t="shared" si="2855"/>
        <v>0</v>
      </c>
      <c r="BX1229" s="3560">
        <f t="shared" si="2855"/>
        <v>0</v>
      </c>
      <c r="BY1229" s="3559">
        <f>+BX1229</f>
        <v>0</v>
      </c>
      <c r="BZ1229" s="3561">
        <f t="shared" si="2855"/>
        <v>0</v>
      </c>
      <c r="CA1229" s="3561">
        <f t="shared" si="2855"/>
        <v>0</v>
      </c>
      <c r="CB1229" s="477">
        <f>+CA1229+CB1228</f>
        <v>14.173731249999998</v>
      </c>
      <c r="CC1229" s="477">
        <f>+CB1229+CC1228</f>
        <v>28.347462499999995</v>
      </c>
      <c r="CD1229" s="477">
        <f>+CC1229+CD1228</f>
        <v>42.521193749999995</v>
      </c>
      <c r="CE1229" s="477">
        <f>+CD1229+CE1228</f>
        <v>56.694924999999991</v>
      </c>
      <c r="CF1229" s="477">
        <f>+CE1229+CF1228</f>
        <v>70.868656249999987</v>
      </c>
      <c r="CG1229" s="331"/>
      <c r="CH1229" s="331"/>
      <c r="CI1229" s="331"/>
      <c r="CJ1229" s="331"/>
      <c r="CK1229" s="331"/>
      <c r="CL1229" s="520"/>
      <c r="CM1229" s="476"/>
      <c r="CN1229" s="476"/>
      <c r="CO1229" s="476"/>
      <c r="CP1229" s="476"/>
      <c r="CQ1229" s="476"/>
      <c r="CR1229" s="476"/>
      <c r="CS1229" s="476"/>
      <c r="CT1229" s="476"/>
      <c r="CU1229" s="476"/>
      <c r="CV1229" s="476"/>
      <c r="CW1229" s="476"/>
      <c r="CX1229" s="476"/>
      <c r="CY1229" s="476"/>
      <c r="CZ1229" s="476"/>
      <c r="DA1229" s="476"/>
      <c r="DB1229" s="476"/>
      <c r="DC1229" s="682"/>
      <c r="DD1229" s="331"/>
      <c r="DE1229" s="331"/>
      <c r="DF1229" s="331"/>
      <c r="DG1229" s="442"/>
      <c r="DH1229" s="2577"/>
      <c r="DI1229" s="3213"/>
      <c r="DJ1229" s="331"/>
      <c r="DK1229" s="442"/>
      <c r="DL1229" s="331"/>
      <c r="DM1229" s="331"/>
      <c r="DN1229" s="331"/>
      <c r="DO1229" s="331"/>
      <c r="DP1229" s="442"/>
      <c r="DQ1229" s="442"/>
      <c r="DR1229" s="296"/>
      <c r="DS1229" s="296"/>
      <c r="DT1229" s="296"/>
    </row>
    <row r="1230" spans="1:130" ht="12" customHeight="1" x14ac:dyDescent="0.25">
      <c r="A1230" s="281"/>
      <c r="B1230" s="281"/>
      <c r="C1230" s="570"/>
      <c r="D1230" s="570"/>
      <c r="E1230" s="570"/>
      <c r="F1230" s="570"/>
      <c r="G1230" s="475"/>
      <c r="H1230" s="570"/>
      <c r="I1230" s="570"/>
      <c r="J1230" s="570"/>
      <c r="K1230" s="570"/>
      <c r="L1230" s="475"/>
      <c r="M1230" s="570"/>
      <c r="N1230" s="570"/>
      <c r="O1230" s="570"/>
      <c r="P1230" s="570"/>
      <c r="Q1230" s="475"/>
      <c r="R1230" s="570"/>
      <c r="S1230" s="570"/>
      <c r="T1230" s="570"/>
      <c r="U1230" s="570"/>
      <c r="V1230" s="475"/>
      <c r="W1230" s="570"/>
      <c r="X1230" s="570"/>
      <c r="Y1230" s="570"/>
      <c r="Z1230" s="570"/>
      <c r="AA1230" s="343"/>
      <c r="AB1230" s="1375"/>
      <c r="AC1230" s="1375"/>
      <c r="AD1230" s="1375"/>
      <c r="AE1230" s="1770"/>
      <c r="AF1230" s="987"/>
      <c r="AG1230" s="1375"/>
      <c r="AH1230" s="1375"/>
      <c r="AI1230" s="1375"/>
      <c r="AJ1230" s="1770"/>
      <c r="AK1230" s="987"/>
      <c r="AL1230" s="1375"/>
      <c r="AM1230" s="1375"/>
      <c r="AN1230" s="1375"/>
      <c r="AO1230" s="1770"/>
      <c r="AP1230" s="1461"/>
      <c r="AQ1230" s="1461"/>
      <c r="AR1230" s="1673"/>
      <c r="AS1230" s="1673"/>
      <c r="AT1230" s="1673"/>
      <c r="AU1230" s="988"/>
      <c r="AV1230" s="1924"/>
      <c r="AW1230" s="1767"/>
      <c r="AX1230" s="1767"/>
      <c r="AY1230" s="1925"/>
      <c r="AZ1230" s="988"/>
      <c r="BA1230" s="1924"/>
      <c r="BB1230" s="1767"/>
      <c r="BC1230" s="1767"/>
      <c r="BD1230" s="1925"/>
      <c r="BE1230" s="988"/>
      <c r="BF1230" s="1767"/>
      <c r="BG1230" s="1767"/>
      <c r="BH1230" s="1767"/>
      <c r="BI1230" s="1925"/>
      <c r="BJ1230" s="988"/>
      <c r="BK1230" s="1767"/>
      <c r="BL1230" s="1767"/>
      <c r="BM1230" s="1767"/>
      <c r="BN1230" s="1925"/>
      <c r="BO1230" s="988"/>
      <c r="BP1230" s="1767"/>
      <c r="BQ1230" s="1767"/>
      <c r="BR1230" s="1767"/>
      <c r="BS1230" s="1767"/>
      <c r="BT1230" s="3245"/>
      <c r="BU1230" s="3417"/>
      <c r="BV1230" s="3418"/>
      <c r="BW1230" s="3418"/>
      <c r="BX1230" s="3418"/>
      <c r="BY1230" s="3245"/>
      <c r="BZ1230" s="988"/>
      <c r="CA1230" s="988"/>
      <c r="CB1230" s="988"/>
      <c r="CC1230" s="988"/>
      <c r="CD1230" s="988"/>
      <c r="CE1230" s="988"/>
      <c r="CF1230" s="988"/>
      <c r="CG1230" s="331"/>
      <c r="CH1230" s="331"/>
      <c r="CI1230" s="331"/>
      <c r="CJ1230" s="331"/>
      <c r="CK1230" s="331"/>
      <c r="CL1230" s="520"/>
      <c r="CM1230" s="1673"/>
      <c r="CN1230" s="1673"/>
      <c r="CO1230" s="1673"/>
      <c r="CP1230" s="1673"/>
      <c r="CQ1230" s="1673"/>
      <c r="CR1230" s="1673"/>
      <c r="CS1230" s="1673"/>
      <c r="CT1230" s="1673"/>
      <c r="CU1230" s="1673"/>
      <c r="CV1230" s="1673"/>
      <c r="CW1230" s="1673"/>
      <c r="CX1230" s="1673"/>
      <c r="CY1230" s="1673"/>
      <c r="CZ1230" s="1673"/>
      <c r="DA1230" s="1673"/>
      <c r="DB1230" s="1673"/>
      <c r="DC1230" s="1199"/>
      <c r="DD1230" s="331"/>
      <c r="DE1230" s="331"/>
      <c r="DF1230" s="502"/>
      <c r="DG1230" s="503"/>
      <c r="DH1230" s="3028"/>
      <c r="DI1230" s="3213"/>
      <c r="DJ1230" s="502"/>
      <c r="DK1230" s="503"/>
      <c r="DL1230" s="502"/>
      <c r="DM1230" s="502"/>
      <c r="DN1230" s="502"/>
      <c r="DO1230" s="502"/>
      <c r="DP1230" s="503"/>
      <c r="DQ1230" s="503"/>
      <c r="DR1230" s="296"/>
      <c r="DS1230" s="296"/>
      <c r="DT1230" s="296"/>
    </row>
    <row r="1231" spans="1:130" ht="12" customHeight="1" collapsed="1" x14ac:dyDescent="0.25">
      <c r="A1231" s="462" t="s">
        <v>1243</v>
      </c>
      <c r="B1231" s="409"/>
      <c r="C1231" s="433" t="s">
        <v>1338</v>
      </c>
      <c r="D1231" s="433" t="s">
        <v>1339</v>
      </c>
      <c r="E1231" s="433" t="s">
        <v>139</v>
      </c>
      <c r="F1231" s="433" t="s">
        <v>2203</v>
      </c>
      <c r="G1231" s="434">
        <v>2004</v>
      </c>
      <c r="H1231" s="433" t="s">
        <v>628</v>
      </c>
      <c r="I1231" s="433" t="s">
        <v>1483</v>
      </c>
      <c r="J1231" s="433" t="s">
        <v>484</v>
      </c>
      <c r="K1231" s="433" t="s">
        <v>1361</v>
      </c>
      <c r="L1231" s="434">
        <v>2005</v>
      </c>
      <c r="M1231" s="433" t="s">
        <v>590</v>
      </c>
      <c r="N1231" s="433" t="s">
        <v>1827</v>
      </c>
      <c r="O1231" s="433" t="s">
        <v>2051</v>
      </c>
      <c r="P1231" s="433" t="s">
        <v>1224</v>
      </c>
      <c r="Q1231" s="434">
        <v>2006</v>
      </c>
      <c r="R1231" s="433" t="s">
        <v>1417</v>
      </c>
      <c r="S1231" s="433" t="s">
        <v>1209</v>
      </c>
      <c r="T1231" s="433" t="s">
        <v>1546</v>
      </c>
      <c r="U1231" s="433" t="s">
        <v>984</v>
      </c>
      <c r="V1231" s="434">
        <v>2007</v>
      </c>
      <c r="W1231" s="433" t="s">
        <v>2022</v>
      </c>
      <c r="X1231" s="433" t="s">
        <v>727</v>
      </c>
      <c r="Y1231" s="433" t="s">
        <v>48</v>
      </c>
      <c r="Z1231" s="433" t="s">
        <v>10</v>
      </c>
      <c r="AA1231" s="434">
        <v>2008</v>
      </c>
      <c r="AB1231" s="433" t="s">
        <v>1482</v>
      </c>
      <c r="AC1231" s="433" t="s">
        <v>133</v>
      </c>
      <c r="AD1231" s="433" t="s">
        <v>1707</v>
      </c>
      <c r="AE1231" s="433" t="s">
        <v>1398</v>
      </c>
      <c r="AF1231" s="434">
        <v>2009</v>
      </c>
      <c r="AG1231" s="433" t="s">
        <v>1671</v>
      </c>
      <c r="AH1231" s="433">
        <f>AH1163</f>
        <v>0</v>
      </c>
      <c r="AI1231" s="433">
        <f>AI1163</f>
        <v>0</v>
      </c>
      <c r="AJ1231" s="433" t="str">
        <f>AJ$6</f>
        <v>4Q10</v>
      </c>
      <c r="AK1231" s="434">
        <v>2010</v>
      </c>
      <c r="AL1231" s="435" t="str">
        <f t="shared" ref="AL1231:CF1231" si="2856">AL$6</f>
        <v>1Q11</v>
      </c>
      <c r="AM1231" s="435" t="str">
        <f t="shared" si="2856"/>
        <v>2Q11</v>
      </c>
      <c r="AN1231" s="435" t="str">
        <f t="shared" si="2856"/>
        <v>3Q11</v>
      </c>
      <c r="AO1231" s="435" t="str">
        <f t="shared" si="2856"/>
        <v>4Q11</v>
      </c>
      <c r="AP1231" s="436">
        <f t="shared" si="2856"/>
        <v>2011</v>
      </c>
      <c r="AQ1231" s="436" t="str">
        <f t="shared" si="2856"/>
        <v>1Q12</v>
      </c>
      <c r="AR1231" s="437" t="str">
        <f t="shared" si="2856"/>
        <v>2Q12</v>
      </c>
      <c r="AS1231" s="437" t="str">
        <f t="shared" si="2856"/>
        <v>3Q12</v>
      </c>
      <c r="AT1231" s="437" t="str">
        <f t="shared" si="2856"/>
        <v>4Q12</v>
      </c>
      <c r="AU1231" s="438">
        <f t="shared" si="2856"/>
        <v>2012</v>
      </c>
      <c r="AV1231" s="436" t="str">
        <f t="shared" si="2856"/>
        <v>1Q13</v>
      </c>
      <c r="AW1231" s="437" t="str">
        <f t="shared" si="2856"/>
        <v>2Q13</v>
      </c>
      <c r="AX1231" s="437" t="str">
        <f t="shared" si="2856"/>
        <v>3Q13</v>
      </c>
      <c r="AY1231" s="861" t="str">
        <f t="shared" si="2856"/>
        <v>4Q13</v>
      </c>
      <c r="AZ1231" s="438">
        <f t="shared" si="2856"/>
        <v>2013</v>
      </c>
      <c r="BA1231" s="436" t="str">
        <f t="shared" si="2856"/>
        <v>1Q14</v>
      </c>
      <c r="BB1231" s="437" t="str">
        <f t="shared" si="2856"/>
        <v>2Q14</v>
      </c>
      <c r="BC1231" s="437" t="str">
        <f t="shared" si="2856"/>
        <v>3Q14</v>
      </c>
      <c r="BD1231" s="861" t="str">
        <f t="shared" si="2856"/>
        <v>4Q14</v>
      </c>
      <c r="BE1231" s="861">
        <f t="shared" si="2856"/>
        <v>2014</v>
      </c>
      <c r="BF1231" s="437" t="str">
        <f t="shared" si="2856"/>
        <v>1Q15</v>
      </c>
      <c r="BG1231" s="437" t="str">
        <f t="shared" si="2856"/>
        <v>2Q15</v>
      </c>
      <c r="BH1231" s="437" t="str">
        <f t="shared" si="2856"/>
        <v>3Q15</v>
      </c>
      <c r="BI1231" s="861" t="str">
        <f t="shared" si="2856"/>
        <v>4Q15</v>
      </c>
      <c r="BJ1231" s="861">
        <f t="shared" si="2856"/>
        <v>2015</v>
      </c>
      <c r="BK1231" s="437" t="str">
        <f t="shared" si="2856"/>
        <v>1Q16</v>
      </c>
      <c r="BL1231" s="437" t="str">
        <f t="shared" si="2856"/>
        <v>2Q16</v>
      </c>
      <c r="BM1231" s="437" t="str">
        <f t="shared" si="2856"/>
        <v>3Q16</v>
      </c>
      <c r="BN1231" s="861" t="str">
        <f t="shared" si="2856"/>
        <v>4Q16</v>
      </c>
      <c r="BO1231" s="861">
        <f t="shared" si="2856"/>
        <v>2016</v>
      </c>
      <c r="BP1231" s="437" t="str">
        <f t="shared" si="2856"/>
        <v>1Q17</v>
      </c>
      <c r="BQ1231" s="437" t="str">
        <f t="shared" si="2856"/>
        <v>2Q17</v>
      </c>
      <c r="BR1231" s="437" t="str">
        <f t="shared" si="2856"/>
        <v>3Q17</v>
      </c>
      <c r="BS1231" s="437" t="str">
        <f t="shared" si="2856"/>
        <v>4Q17</v>
      </c>
      <c r="BT1231" s="438">
        <f t="shared" si="2856"/>
        <v>2017</v>
      </c>
      <c r="BU1231" s="437" t="str">
        <f t="shared" si="2856"/>
        <v>1Q18E</v>
      </c>
      <c r="BV1231" s="437" t="str">
        <f t="shared" si="2856"/>
        <v>2Q18E</v>
      </c>
      <c r="BW1231" s="437" t="str">
        <f t="shared" si="2856"/>
        <v>3Q18E</v>
      </c>
      <c r="BX1231" s="437" t="str">
        <f t="shared" si="2856"/>
        <v>4Q18E</v>
      </c>
      <c r="BY1231" s="438" t="str">
        <f t="shared" si="2856"/>
        <v>2018E</v>
      </c>
      <c r="BZ1231" s="438" t="str">
        <f t="shared" si="2856"/>
        <v>2019E</v>
      </c>
      <c r="CA1231" s="438" t="str">
        <f t="shared" si="2856"/>
        <v>2020E</v>
      </c>
      <c r="CB1231" s="438" t="str">
        <f t="shared" si="2856"/>
        <v>2021E</v>
      </c>
      <c r="CC1231" s="438" t="str">
        <f t="shared" si="2856"/>
        <v>2022E</v>
      </c>
      <c r="CD1231" s="438" t="str">
        <f t="shared" si="2856"/>
        <v>2023E</v>
      </c>
      <c r="CE1231" s="438" t="str">
        <f t="shared" si="2856"/>
        <v>2024E</v>
      </c>
      <c r="CF1231" s="438" t="str">
        <f t="shared" si="2856"/>
        <v>2025E</v>
      </c>
      <c r="CG1231" s="331"/>
      <c r="CH1231" s="331"/>
      <c r="CI1231" s="331"/>
      <c r="CJ1231" s="331"/>
      <c r="CK1231" s="331"/>
      <c r="CL1231" s="2225" t="str">
        <f t="shared" ref="CL1231:CL1240" si="2857">A1231</f>
        <v>RENT EXPENSE TO GLPI</v>
      </c>
      <c r="CM1231" s="2229">
        <f>G1231</f>
        <v>2004</v>
      </c>
      <c r="CN1231" s="2229">
        <f>L1231</f>
        <v>2005</v>
      </c>
      <c r="CO1231" s="2229">
        <f>Q1231</f>
        <v>2006</v>
      </c>
      <c r="CP1231" s="2229">
        <f>V1231</f>
        <v>2007</v>
      </c>
      <c r="CQ1231" s="2229">
        <f>AA1231</f>
        <v>2008</v>
      </c>
      <c r="CR1231" s="2229">
        <f>AF1231</f>
        <v>2009</v>
      </c>
      <c r="CS1231" s="2229">
        <f>AK1231</f>
        <v>2010</v>
      </c>
      <c r="CT1231" s="2229">
        <f>AP1231</f>
        <v>2011</v>
      </c>
      <c r="CU1231" s="2229">
        <f>AU1231</f>
        <v>2012</v>
      </c>
      <c r="CV1231" s="2229">
        <f t="shared" ref="CV1231:CV1240" si="2858">AZ1231</f>
        <v>2013</v>
      </c>
      <c r="CW1231" s="2229">
        <f t="shared" ref="CW1231:CW1240" si="2859">BE1231</f>
        <v>2014</v>
      </c>
      <c r="CX1231" s="2229">
        <f t="shared" ref="CX1231:CX1240" si="2860">BJ1231</f>
        <v>2015</v>
      </c>
      <c r="CY1231" s="2229">
        <f t="shared" ref="CY1231:CY1240" si="2861">BO1231</f>
        <v>2016</v>
      </c>
      <c r="CZ1231" s="2229">
        <f t="shared" ref="CZ1231:CZ1240" si="2862">BT1231</f>
        <v>2017</v>
      </c>
      <c r="DA1231" s="2229" t="str">
        <f t="shared" ref="DA1231:DA1240" si="2863">BY1231</f>
        <v>2018E</v>
      </c>
      <c r="DB1231" s="2229" t="str">
        <f t="shared" ref="DB1231:DB1240" si="2864">BZ1231</f>
        <v>2019E</v>
      </c>
      <c r="DC1231" s="2230" t="str">
        <f t="shared" ref="DC1231:DC1240" si="2865">CA1231</f>
        <v>2020E</v>
      </c>
      <c r="DD1231" s="331"/>
      <c r="DE1231" s="331"/>
      <c r="DF1231" s="502"/>
      <c r="DG1231" s="503"/>
      <c r="DH1231" s="537"/>
      <c r="DI1231" s="3213"/>
      <c r="DJ1231" s="502"/>
      <c r="DK1231" s="503"/>
      <c r="DL1231" s="502"/>
      <c r="DM1231" s="502"/>
      <c r="DN1231" s="502"/>
      <c r="DO1231" s="502"/>
      <c r="DP1231" s="503"/>
      <c r="DQ1231" s="503"/>
      <c r="DR1231" s="296"/>
      <c r="DS1231" s="296"/>
      <c r="DT1231" s="296"/>
    </row>
    <row r="1232" spans="1:130" s="2498" customFormat="1" ht="12" customHeight="1" x14ac:dyDescent="0.25">
      <c r="A1232" s="359" t="s">
        <v>2605</v>
      </c>
      <c r="B1232" s="3151"/>
      <c r="C1232" s="2671"/>
      <c r="D1232" s="2671"/>
      <c r="E1232" s="2671"/>
      <c r="F1232" s="2671"/>
      <c r="G1232" s="3023"/>
      <c r="H1232" s="2671"/>
      <c r="I1232" s="2671"/>
      <c r="J1232" s="2671"/>
      <c r="K1232" s="2671"/>
      <c r="L1232" s="3023"/>
      <c r="M1232" s="2671"/>
      <c r="N1232" s="2671"/>
      <c r="O1232" s="2671"/>
      <c r="P1232" s="2671"/>
      <c r="Q1232" s="3023"/>
      <c r="R1232" s="2671"/>
      <c r="S1232" s="2671"/>
      <c r="T1232" s="2671"/>
      <c r="U1232" s="2671"/>
      <c r="V1232" s="3023"/>
      <c r="W1232" s="2671"/>
      <c r="X1232" s="2671"/>
      <c r="Y1232" s="2671"/>
      <c r="Z1232" s="2671"/>
      <c r="AA1232" s="3023"/>
      <c r="AB1232" s="2671"/>
      <c r="AC1232" s="2671"/>
      <c r="AD1232" s="2671"/>
      <c r="AE1232" s="2671"/>
      <c r="AF1232" s="3023"/>
      <c r="AG1232" s="2671"/>
      <c r="AH1232" s="2671"/>
      <c r="AI1232" s="2671"/>
      <c r="AJ1232" s="2671"/>
      <c r="AK1232" s="3023"/>
      <c r="AL1232" s="2671"/>
      <c r="AM1232" s="2671"/>
      <c r="AN1232" s="2671"/>
      <c r="AO1232" s="2671"/>
      <c r="AP1232" s="2670"/>
      <c r="AQ1232" s="2670"/>
      <c r="AR1232" s="2671"/>
      <c r="AS1232" s="2671"/>
      <c r="AT1232" s="2671"/>
      <c r="AU1232" s="3023"/>
      <c r="AV1232" s="2670"/>
      <c r="AW1232" s="2671"/>
      <c r="AX1232" s="2671"/>
      <c r="AY1232" s="2499"/>
      <c r="AZ1232" s="3023"/>
      <c r="BA1232" s="2670"/>
      <c r="BB1232" s="2671"/>
      <c r="BC1232" s="2671"/>
      <c r="BD1232" s="2989"/>
      <c r="BE1232" s="2989"/>
      <c r="BF1232" s="2671"/>
      <c r="BG1232" s="2671"/>
      <c r="BH1232" s="2671"/>
      <c r="BI1232" s="2989"/>
      <c r="BJ1232" s="2989"/>
      <c r="BK1232" s="2671"/>
      <c r="BL1232" s="2671"/>
      <c r="BM1232" s="2671"/>
      <c r="BN1232" s="2989"/>
      <c r="BO1232" s="2989"/>
      <c r="BP1232" s="2671"/>
      <c r="BQ1232" s="2671"/>
      <c r="BR1232" s="2671"/>
      <c r="BS1232" s="2671"/>
      <c r="BT1232" s="3023"/>
      <c r="BU1232" s="2671"/>
      <c r="BV1232" s="2671"/>
      <c r="BW1232" s="2671"/>
      <c r="BX1232" s="2671"/>
      <c r="BY1232" s="3023"/>
      <c r="BZ1232" s="3023"/>
      <c r="CA1232" s="3023"/>
      <c r="CB1232" s="3023"/>
      <c r="CC1232" s="3023"/>
      <c r="CD1232" s="3023"/>
      <c r="CE1232" s="3023"/>
      <c r="CF1232" s="3023"/>
      <c r="CG1232" s="2671"/>
      <c r="CH1232" s="450"/>
      <c r="CI1232" s="450"/>
      <c r="CJ1232" s="450"/>
      <c r="CK1232" s="450"/>
      <c r="CL1232" s="885"/>
      <c r="CM1232" s="450"/>
      <c r="CN1232" s="450"/>
      <c r="CO1232" s="450"/>
      <c r="CP1232" s="450"/>
      <c r="CQ1232" s="450"/>
      <c r="CR1232" s="450"/>
      <c r="CS1232" s="450"/>
      <c r="CT1232" s="450"/>
      <c r="CU1232" s="450"/>
      <c r="CV1232" s="450"/>
      <c r="CW1232" s="450"/>
      <c r="CX1232" s="450"/>
      <c r="CY1232" s="450"/>
      <c r="CZ1232" s="450"/>
      <c r="DA1232" s="450"/>
      <c r="DB1232" s="450"/>
      <c r="DC1232" s="1861"/>
      <c r="DD1232" s="450"/>
      <c r="DE1232" s="450"/>
      <c r="DF1232" s="2144"/>
      <c r="DG1232" s="2144"/>
      <c r="DH1232" s="2671"/>
      <c r="DI1232" s="3213"/>
      <c r="DJ1232" s="2144"/>
      <c r="DK1232" s="2144"/>
      <c r="DL1232" s="2144"/>
      <c r="DM1232" s="2144"/>
      <c r="DN1232" s="2144"/>
      <c r="DO1232" s="2144"/>
      <c r="DP1232" s="2144"/>
      <c r="DQ1232" s="2144"/>
      <c r="DR1232" s="2145"/>
      <c r="DS1232" s="2145"/>
      <c r="DT1232" s="2145"/>
      <c r="DU1232"/>
      <c r="DV1232"/>
      <c r="DW1232"/>
      <c r="DX1232"/>
      <c r="DY1232"/>
      <c r="DZ1232"/>
    </row>
    <row r="1233" spans="1:130" s="2498" customFormat="1" ht="12" customHeight="1" x14ac:dyDescent="0.25">
      <c r="A1233" s="3151" t="s">
        <v>1244</v>
      </c>
      <c r="B1233" s="3151"/>
      <c r="C1233" s="2671"/>
      <c r="D1233" s="2671"/>
      <c r="E1233" s="2671"/>
      <c r="F1233" s="2671"/>
      <c r="G1233" s="3023"/>
      <c r="H1233" s="2671"/>
      <c r="I1233" s="2671"/>
      <c r="J1233" s="2671"/>
      <c r="K1233" s="2671"/>
      <c r="L1233" s="3023"/>
      <c r="M1233" s="2671"/>
      <c r="N1233" s="2671"/>
      <c r="O1233" s="2671"/>
      <c r="P1233" s="2671"/>
      <c r="Q1233" s="3023"/>
      <c r="R1233" s="2671"/>
      <c r="S1233" s="2671"/>
      <c r="T1233" s="2671"/>
      <c r="U1233" s="2671"/>
      <c r="V1233" s="3023"/>
      <c r="W1233" s="2671"/>
      <c r="X1233" s="2671"/>
      <c r="Y1233" s="2671"/>
      <c r="Z1233" s="2671"/>
      <c r="AA1233" s="3023"/>
      <c r="AB1233" s="2671"/>
      <c r="AC1233" s="2671"/>
      <c r="AD1233" s="2671"/>
      <c r="AE1233" s="2671"/>
      <c r="AF1233" s="3023"/>
      <c r="AG1233" s="2671"/>
      <c r="AH1233" s="2671"/>
      <c r="AI1233" s="2671"/>
      <c r="AJ1233" s="2671"/>
      <c r="AK1233" s="3023"/>
      <c r="AL1233" s="2671"/>
      <c r="AM1233" s="2671"/>
      <c r="AN1233" s="2671"/>
      <c r="AO1233" s="2671"/>
      <c r="AP1233" s="2670"/>
      <c r="AQ1233" s="2670"/>
      <c r="AR1233" s="2671"/>
      <c r="AS1233" s="2671"/>
      <c r="AT1233" s="2671"/>
      <c r="AU1233" s="3023"/>
      <c r="AV1233" s="2670"/>
      <c r="AW1233" s="2671"/>
      <c r="AX1233" s="2671"/>
      <c r="AY1233" s="2499"/>
      <c r="AZ1233" s="3023"/>
      <c r="BA1233" s="2670">
        <f>+(BA221+BA222)*0.2</f>
        <v>20.522766600000001</v>
      </c>
      <c r="BB1233" s="2671">
        <f>+(BB221+BB222)*0.2</f>
        <v>20.861647169999998</v>
      </c>
      <c r="BC1233" s="2671">
        <f>+(BC221+BC222)*0.2</f>
        <v>20.653098971399999</v>
      </c>
      <c r="BD1233" s="2989">
        <f>+(BD221+BD222)*0.2</f>
        <v>20.154810690000001</v>
      </c>
      <c r="BE1233" s="2989">
        <f>SUM(BA1233:BD1233)</f>
        <v>82.192323431399998</v>
      </c>
      <c r="BF1233" s="2671">
        <f>+(BF221+BF222)*0.2</f>
        <v>20.987431232000002</v>
      </c>
      <c r="BG1233" s="2671">
        <f>+(BG221+BG222)*0.2</f>
        <v>21.801096938999997</v>
      </c>
      <c r="BH1233" s="2671">
        <f>+(BH221+BH222)*0.2</f>
        <v>21.050706318715001</v>
      </c>
      <c r="BI1233" s="2989">
        <f>+(BI221+BI222)*0.2</f>
        <v>20.905119497699999</v>
      </c>
      <c r="BJ1233" s="2989">
        <f>SUM(BF1233:BI1233)</f>
        <v>84.744353987414996</v>
      </c>
      <c r="BK1233" s="2671">
        <f>+(BK221+BK222)*0.2</f>
        <v>22.317974207100004</v>
      </c>
      <c r="BL1233" s="2671">
        <f>+(BL221+BL222)*0.2</f>
        <v>22.036287999999999</v>
      </c>
      <c r="BM1233" s="2671">
        <f>+(BM221+BM222)*0.2</f>
        <v>20.606812420150749</v>
      </c>
      <c r="BN1233" s="2989">
        <f>+(BN221+BN222)*0.2</f>
        <v>20.509235949684999</v>
      </c>
      <c r="BO1233" s="2989">
        <f>SUM(BK1233:BN1233)</f>
        <v>85.470310576935759</v>
      </c>
      <c r="BP1233" s="2671">
        <f>+(BP221+BP222)*0.2</f>
        <v>22.252254658455001</v>
      </c>
      <c r="BQ1233" s="2671">
        <f>+(BQ221+BQ222)*0.2</f>
        <v>22.489537869999999</v>
      </c>
      <c r="BR1233" s="2671">
        <f>+(BR221+BR222)*0.2</f>
        <v>22.076207571558289</v>
      </c>
      <c r="BS1233" s="2671">
        <f>+(BS221+BS222)*0.2</f>
        <v>21.565550954469252</v>
      </c>
      <c r="BT1233" s="3023">
        <f>SUM(BP1233:BS1233)</f>
        <v>88.383551054482552</v>
      </c>
      <c r="BU1233" s="2671">
        <f>+(BU221+BU222)*0.2</f>
        <v>22.86610705837775</v>
      </c>
      <c r="BV1233" s="2671">
        <f>+(BV221+BV222)*0.2</f>
        <v>22.505209320365381</v>
      </c>
      <c r="BW1233" s="2671">
        <f>+(BW221+BW222)*0.2</f>
        <v>22.276736304286185</v>
      </c>
      <c r="BX1233" s="2671">
        <f>+(BX221+BX222)*0.2</f>
        <v>21.897423131390763</v>
      </c>
      <c r="BY1233" s="3023">
        <f>SUM(BU1233:BX1233)</f>
        <v>89.545475814420087</v>
      </c>
      <c r="BZ1233" s="3023">
        <f t="shared" ref="BZ1233:CF1233" si="2866">+(BZ221+BZ222)*0.2</f>
        <v>91.867047670861155</v>
      </c>
      <c r="CA1233" s="3023">
        <f t="shared" si="2866"/>
        <v>92.348226814115165</v>
      </c>
      <c r="CB1233" s="3023">
        <f t="shared" si="2866"/>
        <v>87.908527452506931</v>
      </c>
      <c r="CC1233" s="3023">
        <f t="shared" si="2866"/>
        <v>83.820728808742217</v>
      </c>
      <c r="CD1233" s="3023">
        <f t="shared" si="2866"/>
        <v>85.594046119508164</v>
      </c>
      <c r="CE1233" s="3023">
        <f t="shared" si="2866"/>
        <v>87.521602323176907</v>
      </c>
      <c r="CF1233" s="3023">
        <f t="shared" si="2866"/>
        <v>89.262663676370067</v>
      </c>
      <c r="CG1233" s="2671"/>
      <c r="CH1233" s="450"/>
      <c r="CI1233" s="450"/>
      <c r="CJ1233" s="450"/>
      <c r="CK1233" s="450"/>
      <c r="CL1233" s="885" t="str">
        <f t="shared" si="2857"/>
        <v>20% of Toledo/Columbus Revenue (Resets Monthly)</v>
      </c>
      <c r="CM1233" s="450"/>
      <c r="CN1233" s="450"/>
      <c r="CO1233" s="450"/>
      <c r="CP1233" s="450"/>
      <c r="CQ1233" s="450"/>
      <c r="CR1233" s="450"/>
      <c r="CS1233" s="450"/>
      <c r="CT1233" s="450"/>
      <c r="CU1233" s="450"/>
      <c r="CV1233" s="450">
        <f t="shared" si="2858"/>
        <v>0</v>
      </c>
      <c r="CW1233" s="450">
        <f t="shared" si="2859"/>
        <v>82.192323431399998</v>
      </c>
      <c r="CX1233" s="450">
        <f t="shared" si="2860"/>
        <v>84.744353987414996</v>
      </c>
      <c r="CY1233" s="450">
        <f t="shared" si="2861"/>
        <v>85.470310576935759</v>
      </c>
      <c r="CZ1233" s="450">
        <f t="shared" si="2862"/>
        <v>88.383551054482552</v>
      </c>
      <c r="DA1233" s="450">
        <f t="shared" si="2863"/>
        <v>89.545475814420087</v>
      </c>
      <c r="DB1233" s="450">
        <f t="shared" si="2864"/>
        <v>91.867047670861155</v>
      </c>
      <c r="DC1233" s="1861">
        <f t="shared" si="2865"/>
        <v>92.348226814115165</v>
      </c>
      <c r="DD1233" s="450"/>
      <c r="DE1233" s="450"/>
      <c r="DF1233" s="2144"/>
      <c r="DG1233" s="2144"/>
      <c r="DH1233" s="2671"/>
      <c r="DI1233" s="3213"/>
      <c r="DJ1233" s="2144"/>
      <c r="DK1233" s="2144"/>
      <c r="DL1233" s="2144"/>
      <c r="DM1233" s="2144"/>
      <c r="DN1233" s="2144"/>
      <c r="DO1233" s="2144"/>
      <c r="DP1233" s="2144"/>
      <c r="DQ1233" s="2144"/>
      <c r="DR1233" s="2145"/>
      <c r="DS1233" s="2145"/>
      <c r="DT1233" s="2145"/>
      <c r="DU1233"/>
      <c r="DV1233"/>
      <c r="DW1233"/>
      <c r="DX1233"/>
      <c r="DY1233"/>
      <c r="DZ1233"/>
    </row>
    <row r="1234" spans="1:130" s="2501" customFormat="1" ht="12" customHeight="1" x14ac:dyDescent="0.25">
      <c r="A1234" s="2500" t="s">
        <v>1491</v>
      </c>
      <c r="B1234" s="3313"/>
      <c r="C1234" s="2977"/>
      <c r="D1234" s="2977"/>
      <c r="E1234" s="2977"/>
      <c r="F1234" s="2977"/>
      <c r="G1234" s="3122"/>
      <c r="H1234" s="2977"/>
      <c r="I1234" s="2977"/>
      <c r="J1234" s="2977"/>
      <c r="K1234" s="2977"/>
      <c r="L1234" s="3122"/>
      <c r="M1234" s="2977"/>
      <c r="N1234" s="2977"/>
      <c r="O1234" s="2977"/>
      <c r="P1234" s="2977"/>
      <c r="Q1234" s="3122"/>
      <c r="R1234" s="2977"/>
      <c r="S1234" s="2977"/>
      <c r="T1234" s="2977"/>
      <c r="U1234" s="2977"/>
      <c r="V1234" s="3122"/>
      <c r="W1234" s="2977"/>
      <c r="X1234" s="2977"/>
      <c r="Y1234" s="2977"/>
      <c r="Z1234" s="2977"/>
      <c r="AA1234" s="3122"/>
      <c r="AB1234" s="2977"/>
      <c r="AC1234" s="2977"/>
      <c r="AD1234" s="2977"/>
      <c r="AE1234" s="2977"/>
      <c r="AF1234" s="3122"/>
      <c r="AG1234" s="2977"/>
      <c r="AH1234" s="2977"/>
      <c r="AI1234" s="2977"/>
      <c r="AJ1234" s="2977"/>
      <c r="AK1234" s="3122"/>
      <c r="AL1234" s="2977"/>
      <c r="AM1234" s="2977"/>
      <c r="AN1234" s="2977"/>
      <c r="AO1234" s="2977"/>
      <c r="AP1234" s="3123"/>
      <c r="AQ1234" s="3123"/>
      <c r="AR1234" s="2977"/>
      <c r="AS1234" s="2977"/>
      <c r="AT1234" s="2977"/>
      <c r="AU1234" s="3122"/>
      <c r="AV1234" s="3123"/>
      <c r="AW1234" s="2977"/>
      <c r="AX1234" s="2977"/>
      <c r="AY1234" s="2560"/>
      <c r="AZ1234" s="3122"/>
      <c r="BA1234" s="3123"/>
      <c r="BB1234" s="2977"/>
      <c r="BC1234" s="2977"/>
      <c r="BD1234" s="2560"/>
      <c r="BE1234" s="2560"/>
      <c r="BF1234" s="2977"/>
      <c r="BG1234" s="2977"/>
      <c r="BH1234" s="2977"/>
      <c r="BI1234" s="2560"/>
      <c r="BJ1234" s="2560">
        <f t="shared" ref="BJ1234:BO1234" si="2867">+BJ1233/BE1233-1</f>
        <v>3.1049500117185547E-2</v>
      </c>
      <c r="BK1234" s="2977">
        <f t="shared" si="2867"/>
        <v>6.3397133283814799E-2</v>
      </c>
      <c r="BL1234" s="2977">
        <f t="shared" si="2867"/>
        <v>1.0788037944057249E-2</v>
      </c>
      <c r="BM1234" s="2977">
        <f t="shared" si="2867"/>
        <v>-2.1086888574831875E-2</v>
      </c>
      <c r="BN1234" s="2560">
        <f t="shared" si="2867"/>
        <v>-1.8937157860233977E-2</v>
      </c>
      <c r="BO1234" s="2560">
        <f t="shared" si="2867"/>
        <v>8.5664301556722666E-3</v>
      </c>
      <c r="BP1234" s="2977">
        <f t="shared" ref="BP1234:BX1234" si="2868">+BP1233/BK1233-1</f>
        <v>-2.9446914865640661E-3</v>
      </c>
      <c r="BQ1234" s="2977">
        <f t="shared" si="2868"/>
        <v>2.056834027582144E-2</v>
      </c>
      <c r="BR1234" s="2977">
        <f t="shared" si="2868"/>
        <v>7.1306280731253002E-2</v>
      </c>
      <c r="BS1234" s="2977">
        <f t="shared" si="2868"/>
        <v>5.1504356738383272E-2</v>
      </c>
      <c r="BT1234" s="3122">
        <f t="shared" si="2868"/>
        <v>3.4084823816387777E-2</v>
      </c>
      <c r="BU1234" s="2977">
        <f t="shared" si="2868"/>
        <v>2.7586076527733372E-2</v>
      </c>
      <c r="BV1234" s="2977">
        <f t="shared" si="2868"/>
        <v>6.9683292097733052E-4</v>
      </c>
      <c r="BW1234" s="2977">
        <f t="shared" si="2868"/>
        <v>9.0834774078789593E-3</v>
      </c>
      <c r="BX1234" s="2977">
        <f t="shared" si="2868"/>
        <v>1.5388995978919517E-2</v>
      </c>
      <c r="BY1234" s="3122">
        <f>+BY1233/BT1233-1</f>
        <v>1.314639145038754E-2</v>
      </c>
      <c r="BZ1234" s="3122">
        <f t="shared" ref="BZ1234:CF1234" si="2869">+BZ1233/BY1233-1</f>
        <v>2.592617701035449E-2</v>
      </c>
      <c r="CA1234" s="3122">
        <f t="shared" si="2869"/>
        <v>5.237777369073271E-3</v>
      </c>
      <c r="CB1234" s="3122">
        <f t="shared" si="2869"/>
        <v>-4.8075631928967799E-2</v>
      </c>
      <c r="CC1234" s="3122">
        <f t="shared" si="2869"/>
        <v>-4.6500592857424139E-2</v>
      </c>
      <c r="CD1234" s="3122">
        <f t="shared" si="2869"/>
        <v>2.1156071248344954E-2</v>
      </c>
      <c r="CE1234" s="3122">
        <f t="shared" si="2869"/>
        <v>2.2519746303118371E-2</v>
      </c>
      <c r="CF1234" s="3122">
        <f t="shared" si="2869"/>
        <v>1.989293279577109E-2</v>
      </c>
      <c r="CG1234" s="2977"/>
      <c r="CH1234" s="588"/>
      <c r="CI1234" s="588"/>
      <c r="CJ1234" s="588"/>
      <c r="CK1234" s="588"/>
      <c r="CL1234" s="2178" t="str">
        <f t="shared" si="2857"/>
        <v>% growth (y-o-y)</v>
      </c>
      <c r="CM1234" s="588"/>
      <c r="CN1234" s="588"/>
      <c r="CO1234" s="588"/>
      <c r="CP1234" s="588"/>
      <c r="CQ1234" s="588"/>
      <c r="CR1234" s="588"/>
      <c r="CS1234" s="588"/>
      <c r="CT1234" s="588"/>
      <c r="CU1234" s="588"/>
      <c r="CV1234" s="588">
        <f t="shared" si="2858"/>
        <v>0</v>
      </c>
      <c r="CW1234" s="588">
        <f t="shared" si="2859"/>
        <v>0</v>
      </c>
      <c r="CX1234" s="588">
        <f t="shared" si="2860"/>
        <v>3.1049500117185547E-2</v>
      </c>
      <c r="CY1234" s="588">
        <f t="shared" si="2861"/>
        <v>8.5664301556722666E-3</v>
      </c>
      <c r="CZ1234" s="588">
        <f t="shared" si="2862"/>
        <v>3.4084823816387777E-2</v>
      </c>
      <c r="DA1234" s="588">
        <f t="shared" si="2863"/>
        <v>1.314639145038754E-2</v>
      </c>
      <c r="DB1234" s="588">
        <f t="shared" si="2864"/>
        <v>2.592617701035449E-2</v>
      </c>
      <c r="DC1234" s="1197">
        <f t="shared" si="2865"/>
        <v>5.237777369073271E-3</v>
      </c>
      <c r="DD1234" s="588"/>
      <c r="DE1234" s="588"/>
      <c r="DF1234" s="964"/>
      <c r="DG1234" s="964"/>
      <c r="DH1234" s="2977"/>
      <c r="DI1234" s="3213"/>
      <c r="DJ1234" s="964"/>
      <c r="DK1234" s="964"/>
      <c r="DL1234" s="964"/>
      <c r="DM1234" s="964"/>
      <c r="DN1234" s="964"/>
      <c r="DO1234" s="964"/>
      <c r="DP1234" s="964"/>
      <c r="DQ1234" s="964"/>
      <c r="DR1234" s="646"/>
      <c r="DS1234" s="646"/>
      <c r="DT1234" s="646"/>
      <c r="DU1234"/>
      <c r="DV1234"/>
      <c r="DW1234"/>
      <c r="DX1234"/>
      <c r="DY1234"/>
      <c r="DZ1234"/>
    </row>
    <row r="1235" spans="1:130" s="2502" customFormat="1" ht="12" customHeight="1" x14ac:dyDescent="0.25">
      <c r="A1235" s="2585" t="s">
        <v>1241</v>
      </c>
      <c r="B1235" s="2585"/>
      <c r="C1235" s="2577"/>
      <c r="D1235" s="2577"/>
      <c r="E1235" s="2577"/>
      <c r="F1235" s="2577"/>
      <c r="G1235" s="2604"/>
      <c r="H1235" s="2577"/>
      <c r="I1235" s="2577"/>
      <c r="J1235" s="2577"/>
      <c r="K1235" s="2577"/>
      <c r="L1235" s="2604"/>
      <c r="M1235" s="2577"/>
      <c r="N1235" s="2577"/>
      <c r="O1235" s="2577"/>
      <c r="P1235" s="2577"/>
      <c r="Q1235" s="2604"/>
      <c r="R1235" s="2577"/>
      <c r="S1235" s="2577"/>
      <c r="T1235" s="2577"/>
      <c r="U1235" s="2577"/>
      <c r="V1235" s="2604"/>
      <c r="W1235" s="2577"/>
      <c r="X1235" s="2577"/>
      <c r="Y1235" s="2577"/>
      <c r="Z1235" s="2577"/>
      <c r="AA1235" s="2604"/>
      <c r="AB1235" s="2577"/>
      <c r="AC1235" s="2577"/>
      <c r="AD1235" s="2577"/>
      <c r="AE1235" s="2577"/>
      <c r="AF1235" s="2604"/>
      <c r="AG1235" s="2577"/>
      <c r="AH1235" s="2577"/>
      <c r="AI1235" s="2577"/>
      <c r="AJ1235" s="2577"/>
      <c r="AK1235" s="2604"/>
      <c r="AL1235" s="2577"/>
      <c r="AM1235" s="2577"/>
      <c r="AN1235" s="2577"/>
      <c r="AO1235" s="2577"/>
      <c r="AP1235" s="2673"/>
      <c r="AQ1235" s="2673"/>
      <c r="AR1235" s="2577"/>
      <c r="AS1235" s="2577"/>
      <c r="AT1235" s="2577"/>
      <c r="AU1235" s="2604"/>
      <c r="AV1235" s="2673"/>
      <c r="AW1235" s="2577"/>
      <c r="AX1235" s="2577"/>
      <c r="AY1235" s="2503"/>
      <c r="AZ1235" s="2604"/>
      <c r="BA1235" s="592">
        <f>93.359/4</f>
        <v>23.339749999999999</v>
      </c>
      <c r="BB1235" s="572">
        <f>93.359/4</f>
        <v>23.339749999999999</v>
      </c>
      <c r="BC1235" s="3486">
        <f>+BB1235-1.2</f>
        <v>22.139749999999999</v>
      </c>
      <c r="BD1235" s="2503">
        <f>+BB1235-1.6</f>
        <v>21.739749999999997</v>
      </c>
      <c r="BE1235" s="2911">
        <f>SUM(BA1235:BD1235)</f>
        <v>90.558999999999997</v>
      </c>
      <c r="BF1235" s="3445">
        <f>BD1235</f>
        <v>21.739749999999997</v>
      </c>
      <c r="BG1235" s="3445">
        <f>BF1235</f>
        <v>21.739749999999997</v>
      </c>
      <c r="BH1235" s="3445">
        <f>BG1235</f>
        <v>21.739749999999997</v>
      </c>
      <c r="BI1235" s="3445">
        <f>BH1235</f>
        <v>21.739749999999997</v>
      </c>
      <c r="BJ1235" s="2604">
        <f>SUM(BF1235:BI1235)</f>
        <v>86.958999999999989</v>
      </c>
      <c r="BK1235" s="3445">
        <f>+BI1235</f>
        <v>21.739749999999997</v>
      </c>
      <c r="BL1235" s="3445">
        <f>BK1235</f>
        <v>21.739749999999997</v>
      </c>
      <c r="BM1235" s="3445">
        <f>BL1235</f>
        <v>21.739749999999997</v>
      </c>
      <c r="BN1235" s="3445">
        <f>BM1235</f>
        <v>21.739749999999997</v>
      </c>
      <c r="BO1235" s="2604">
        <f>SUM(BK1235:BN1235)</f>
        <v>86.958999999999989</v>
      </c>
      <c r="BP1235" s="3445">
        <f>+BN1235</f>
        <v>21.739749999999997</v>
      </c>
      <c r="BQ1235" s="3486">
        <f>BP1235+((9/4)*0.25)*2/3</f>
        <v>22.114749999999997</v>
      </c>
      <c r="BR1235" s="3486">
        <f>BQ1235+((9/4)*0.25)*1/3</f>
        <v>22.302249999999997</v>
      </c>
      <c r="BS1235" s="3445">
        <f>BR1235</f>
        <v>22.302249999999997</v>
      </c>
      <c r="BT1235" s="2604">
        <f>SUM(BP1235:BS1235)</f>
        <v>88.458999999999989</v>
      </c>
      <c r="BU1235" s="3445">
        <f>+BS1235</f>
        <v>22.302249999999997</v>
      </c>
      <c r="BV1235" s="3445">
        <f>+BU1235</f>
        <v>22.302249999999997</v>
      </c>
      <c r="BW1235" s="3445">
        <f>+BV1235</f>
        <v>22.302249999999997</v>
      </c>
      <c r="BX1235" s="572">
        <f>+BW1235-1.9</f>
        <v>20.402249999999999</v>
      </c>
      <c r="BY1235" s="2604">
        <f>SUM(BU1235:BX1235)</f>
        <v>87.308999999999983</v>
      </c>
      <c r="BZ1235" s="3460">
        <f>(BW1235*4)-11</f>
        <v>78.208999999999989</v>
      </c>
      <c r="CA1235" s="3487">
        <f>+BZ1235</f>
        <v>78.208999999999989</v>
      </c>
      <c r="CB1235" s="2604">
        <f>AVERAGE($BE$14-$BE$221-$BE$222-$BE$224-$BE$225-$BE$226-$BE$232-$BE$13,$BJ$14-$BJ$221-$BJ$222-$BJ$224-$BJ$225-$BJ$226-$BJ$232-$BJ$13,$BO$14-$BO$221-$BO$222-$BO$224-$BO$225-$BO$226-$BO$232-$BO$13,$BT$14-$BT$221-$BT$222-$BT$224-$BT$225-$BT$226-$BT$232-$BT$13,$BY$14-$BY$221-$BY$222-$BY$224-$BY$225-$BY$226-$BY$232-$BY$13)*0.04</f>
        <v>94.802167902645166</v>
      </c>
      <c r="CC1235" s="2604">
        <f>AVERAGE($BE$14-$BE$221-$BE$222-$BE$224-$BE$225-$BE$226-$BE$232-$BE$13,$BJ$14-$BJ$221-$BJ$222-$BJ$224-$BJ$225-$BJ$226-$BJ$232-$BJ$13,$BO$14-$BO$221-$BO$222-$BO$224-$BO$225-$BO$226-$BO$232-$BO$13,$BT$14-$BT$221-$BT$222-$BT$224-$BT$225-$BT$226-$BT$232-$BT$13,$BY$14-$BY$221-$BY$222-$BY$224-$BY$225-$BY$226-$BY$232-$BY$13)*0.04</f>
        <v>94.802167902645166</v>
      </c>
      <c r="CD1235" s="2604">
        <f>AVERAGE($BE$14-$BE$221-$BE$222-$BE$224-$BE$225-$BE$226-$BE$232-$BE$13,$BJ$14-$BJ$221-$BJ$222-$BJ$224-$BJ$225-$BJ$226-$BJ$232-$BJ$13,$BO$14-$BO$221-$BO$222-$BO$224-$BO$225-$BO$226-$BO$232-$BO$13,$BT$14-$BT$221-$BT$222-$BT$224-$BT$225-$BT$226-$BT$232-$BT$13,$BY$14-$BY$221-$BY$222-$BY$224-$BY$225-$BY$226-$BY$232-$BY$13)*0.04</f>
        <v>94.802167902645166</v>
      </c>
      <c r="CE1235" s="2604">
        <f>AVERAGE($BE$14-$BE$221-$BE$222-$BE$224-$BE$225-$BE$226-$BE$232-$BE$13,$BJ$14-$BJ$221-$BJ$222-$BJ$224-$BJ$225-$BJ$226-$BJ$232-$BJ$13,$BO$14-$BO$221-$BO$222-$BO$224-$BO$225-$BO$226-$BO$232-$BO$13,$BT$14-$BT$221-$BT$222-$BT$224-$BT$225-$BT$226-$BT$232-$BT$13,$BY$14-$BY$221-$BY$222-$BY$224-$BY$225-$BY$226-$BY$232-$BY$13)*0.04</f>
        <v>94.802167902645166</v>
      </c>
      <c r="CF1235" s="2604">
        <f>AVERAGE($BE$14-$BE$221-$BE$222-$BE$224-$BE$225-$BE$226-$BE$232-$BE$13,$BJ$14-$BJ$221-$BJ$222-$BJ$224-$BJ$225-$BJ$226-$BJ$232-$BJ$13,$BO$14-$BO$221-$BO$222-$BO$224-$BO$225-$BO$226-$BO$232-$BO$13,$BT$14-$BT$221-$BT$222-$BT$224-$BT$225-$BT$226-$BT$232-$BT$13,$BY$14-$BY$221-$BY$222-$BY$224-$BY$225-$BY$226-$BY$232-$BY$13)*0.04</f>
        <v>94.802167902645166</v>
      </c>
      <c r="CG1235" s="3542"/>
      <c r="CH1235" s="476"/>
      <c r="CI1235" s="476"/>
      <c r="CJ1235" s="476"/>
      <c r="CK1235" s="476"/>
      <c r="CL1235" s="528" t="str">
        <f t="shared" si="2857"/>
        <v>4% of Other Revenue Rent (Fixed for 5 years)</v>
      </c>
      <c r="CM1235" s="476"/>
      <c r="CN1235" s="476"/>
      <c r="CO1235" s="476"/>
      <c r="CP1235" s="476"/>
      <c r="CQ1235" s="476"/>
      <c r="CR1235" s="476"/>
      <c r="CS1235" s="476"/>
      <c r="CT1235" s="476"/>
      <c r="CU1235" s="476"/>
      <c r="CV1235" s="476">
        <f t="shared" si="2858"/>
        <v>0</v>
      </c>
      <c r="CW1235" s="476">
        <f t="shared" si="2859"/>
        <v>90.558999999999997</v>
      </c>
      <c r="CX1235" s="476">
        <f t="shared" si="2860"/>
        <v>86.958999999999989</v>
      </c>
      <c r="CY1235" s="476">
        <f t="shared" si="2861"/>
        <v>86.958999999999989</v>
      </c>
      <c r="CZ1235" s="476">
        <f t="shared" si="2862"/>
        <v>88.458999999999989</v>
      </c>
      <c r="DA1235" s="476">
        <f t="shared" si="2863"/>
        <v>87.308999999999983</v>
      </c>
      <c r="DB1235" s="476">
        <f t="shared" si="2864"/>
        <v>78.208999999999989</v>
      </c>
      <c r="DC1235" s="682">
        <f t="shared" si="2865"/>
        <v>78.208999999999989</v>
      </c>
      <c r="DD1235" s="476"/>
      <c r="DE1235" s="476"/>
      <c r="DF1235" s="598"/>
      <c r="DG1235" s="598"/>
      <c r="DH1235" s="2577"/>
      <c r="DI1235" s="3213"/>
      <c r="DJ1235" s="598"/>
      <c r="DK1235" s="598"/>
      <c r="DL1235" s="598"/>
      <c r="DM1235" s="598"/>
      <c r="DN1235" s="598"/>
      <c r="DO1235" s="598"/>
      <c r="DP1235" s="598"/>
      <c r="DQ1235" s="598"/>
      <c r="DR1235" s="660"/>
      <c r="DS1235" s="660"/>
      <c r="DT1235" s="660"/>
      <c r="DU1235"/>
      <c r="DV1235"/>
      <c r="DW1235"/>
      <c r="DX1235"/>
      <c r="DY1235"/>
      <c r="DZ1235"/>
    </row>
    <row r="1236" spans="1:130" s="2537" customFormat="1" ht="12" customHeight="1" x14ac:dyDescent="0.25">
      <c r="A1236" s="2535" t="s">
        <v>1491</v>
      </c>
      <c r="B1236" s="3488"/>
      <c r="C1236" s="2653"/>
      <c r="D1236" s="2653"/>
      <c r="E1236" s="2653"/>
      <c r="F1236" s="2653"/>
      <c r="G1236" s="2693"/>
      <c r="H1236" s="2653"/>
      <c r="I1236" s="2653"/>
      <c r="J1236" s="2653"/>
      <c r="K1236" s="2653"/>
      <c r="L1236" s="2693"/>
      <c r="M1236" s="2653"/>
      <c r="N1236" s="2653"/>
      <c r="O1236" s="2653"/>
      <c r="P1236" s="2653"/>
      <c r="Q1236" s="2693"/>
      <c r="R1236" s="2653"/>
      <c r="S1236" s="2653"/>
      <c r="T1236" s="2653"/>
      <c r="U1236" s="2653"/>
      <c r="V1236" s="2693"/>
      <c r="W1236" s="2653"/>
      <c r="X1236" s="2653"/>
      <c r="Y1236" s="2653"/>
      <c r="Z1236" s="2653"/>
      <c r="AA1236" s="2693"/>
      <c r="AB1236" s="2653"/>
      <c r="AC1236" s="2653"/>
      <c r="AD1236" s="2653"/>
      <c r="AE1236" s="2653"/>
      <c r="AF1236" s="2693"/>
      <c r="AG1236" s="2653"/>
      <c r="AH1236" s="2653"/>
      <c r="AI1236" s="2653"/>
      <c r="AJ1236" s="2653"/>
      <c r="AK1236" s="2693"/>
      <c r="AL1236" s="2653"/>
      <c r="AM1236" s="2653"/>
      <c r="AN1236" s="2653"/>
      <c r="AO1236" s="2653"/>
      <c r="AP1236" s="3398"/>
      <c r="AQ1236" s="3398"/>
      <c r="AR1236" s="2653"/>
      <c r="AS1236" s="2653"/>
      <c r="AT1236" s="2653"/>
      <c r="AU1236" s="2693"/>
      <c r="AV1236" s="3398"/>
      <c r="AW1236" s="2653"/>
      <c r="AX1236" s="2653"/>
      <c r="AY1236" s="2950"/>
      <c r="AZ1236" s="2693"/>
      <c r="BA1236" s="3398"/>
      <c r="BB1236" s="2653"/>
      <c r="BC1236" s="3299"/>
      <c r="BD1236" s="2950"/>
      <c r="BE1236" s="2950"/>
      <c r="BF1236" s="3299"/>
      <c r="BG1236" s="3299"/>
      <c r="BH1236" s="3299"/>
      <c r="BI1236" s="2950"/>
      <c r="BJ1236" s="2560">
        <f t="shared" ref="BJ1236:BO1236" si="2870">+BJ1235/BE1235-1</f>
        <v>-3.9753089146302489E-2</v>
      </c>
      <c r="BK1236" s="2977">
        <f t="shared" si="2870"/>
        <v>0</v>
      </c>
      <c r="BL1236" s="2977">
        <f t="shared" si="2870"/>
        <v>0</v>
      </c>
      <c r="BM1236" s="2977">
        <f t="shared" si="2870"/>
        <v>0</v>
      </c>
      <c r="BN1236" s="2560">
        <f t="shared" si="2870"/>
        <v>0</v>
      </c>
      <c r="BO1236" s="2560">
        <f t="shared" si="2870"/>
        <v>0</v>
      </c>
      <c r="BP1236" s="2977">
        <f t="shared" ref="BP1236:BX1236" si="2871">+BP1235/BK1235-1</f>
        <v>0</v>
      </c>
      <c r="BQ1236" s="2977">
        <f t="shared" si="2871"/>
        <v>1.7249508389010959E-2</v>
      </c>
      <c r="BR1236" s="2977">
        <f t="shared" si="2871"/>
        <v>2.5874262583516439E-2</v>
      </c>
      <c r="BS1236" s="2977">
        <f t="shared" si="2871"/>
        <v>2.5874262583516439E-2</v>
      </c>
      <c r="BT1236" s="3246">
        <f t="shared" si="2871"/>
        <v>1.7249508389010959E-2</v>
      </c>
      <c r="BU1236" s="2977">
        <f t="shared" si="2871"/>
        <v>2.5874262583516439E-2</v>
      </c>
      <c r="BV1236" s="2977">
        <f t="shared" si="2871"/>
        <v>8.478504165771783E-3</v>
      </c>
      <c r="BW1236" s="2977">
        <f t="shared" si="2871"/>
        <v>0</v>
      </c>
      <c r="BX1236" s="2977">
        <f t="shared" si="2871"/>
        <v>-8.5193197995717895E-2</v>
      </c>
      <c r="BY1236" s="3246">
        <f>+BY1235/BT1235-1</f>
        <v>-1.3000373054183334E-2</v>
      </c>
      <c r="BZ1236" s="3246">
        <f t="shared" ref="BZ1236:CF1236" si="2872">+BZ1235/BY1235-1</f>
        <v>-0.10422751377292139</v>
      </c>
      <c r="CA1236" s="3246">
        <f t="shared" si="2872"/>
        <v>0</v>
      </c>
      <c r="CB1236" s="3246">
        <f t="shared" si="2872"/>
        <v>0.21216442995876661</v>
      </c>
      <c r="CC1236" s="3246">
        <f t="shared" si="2872"/>
        <v>0</v>
      </c>
      <c r="CD1236" s="3246">
        <f t="shared" si="2872"/>
        <v>0</v>
      </c>
      <c r="CE1236" s="3246">
        <f t="shared" si="2872"/>
        <v>0</v>
      </c>
      <c r="CF1236" s="3246">
        <f t="shared" si="2872"/>
        <v>0</v>
      </c>
      <c r="CG1236" s="2653"/>
      <c r="CH1236" s="492"/>
      <c r="CI1236" s="492"/>
      <c r="CJ1236" s="492"/>
      <c r="CK1236" s="492"/>
      <c r="CL1236" s="872" t="str">
        <f t="shared" si="2857"/>
        <v>% growth (y-o-y)</v>
      </c>
      <c r="CM1236" s="492"/>
      <c r="CN1236" s="492"/>
      <c r="CO1236" s="492"/>
      <c r="CP1236" s="492"/>
      <c r="CQ1236" s="492"/>
      <c r="CR1236" s="492"/>
      <c r="CS1236" s="492"/>
      <c r="CT1236" s="492"/>
      <c r="CU1236" s="492"/>
      <c r="CV1236" s="492">
        <f t="shared" si="2858"/>
        <v>0</v>
      </c>
      <c r="CW1236" s="492">
        <f t="shared" si="2859"/>
        <v>0</v>
      </c>
      <c r="CX1236" s="492">
        <f t="shared" si="2860"/>
        <v>-3.9753089146302489E-2</v>
      </c>
      <c r="CY1236" s="492">
        <f t="shared" si="2861"/>
        <v>0</v>
      </c>
      <c r="CZ1236" s="492">
        <f t="shared" si="2862"/>
        <v>1.7249508389010959E-2</v>
      </c>
      <c r="DA1236" s="492">
        <f t="shared" si="2863"/>
        <v>-1.3000373054183334E-2</v>
      </c>
      <c r="DB1236" s="492">
        <f t="shared" si="2864"/>
        <v>-0.10422751377292139</v>
      </c>
      <c r="DC1236" s="1311">
        <f t="shared" si="2865"/>
        <v>0</v>
      </c>
      <c r="DD1236" s="492"/>
      <c r="DE1236" s="492"/>
      <c r="DF1236" s="962"/>
      <c r="DG1236" s="962"/>
      <c r="DH1236" s="3301"/>
      <c r="DI1236" s="3213"/>
      <c r="DJ1236" s="962"/>
      <c r="DK1236" s="962"/>
      <c r="DL1236" s="962"/>
      <c r="DM1236" s="962"/>
      <c r="DN1236" s="962"/>
      <c r="DO1236" s="962"/>
      <c r="DP1236" s="962"/>
      <c r="DQ1236" s="962"/>
      <c r="DR1236" s="963"/>
      <c r="DS1236" s="963"/>
      <c r="DT1236" s="963"/>
      <c r="DU1236"/>
      <c r="DV1236"/>
      <c r="DW1236"/>
      <c r="DX1236"/>
      <c r="DY1236"/>
      <c r="DZ1236"/>
    </row>
    <row r="1237" spans="1:130" s="2502" customFormat="1" ht="12" customHeight="1" x14ac:dyDescent="0.25">
      <c r="A1237" s="2585" t="s">
        <v>1038</v>
      </c>
      <c r="B1237" s="2585"/>
      <c r="C1237" s="2577"/>
      <c r="D1237" s="2577"/>
      <c r="E1237" s="2577"/>
      <c r="F1237" s="2577"/>
      <c r="G1237" s="2604"/>
      <c r="H1237" s="2577"/>
      <c r="I1237" s="2577"/>
      <c r="J1237" s="2577"/>
      <c r="K1237" s="2577"/>
      <c r="L1237" s="2604"/>
      <c r="M1237" s="2577"/>
      <c r="N1237" s="2577"/>
      <c r="O1237" s="2577"/>
      <c r="P1237" s="2577"/>
      <c r="Q1237" s="2604"/>
      <c r="R1237" s="2577"/>
      <c r="S1237" s="2577"/>
      <c r="T1237" s="2577"/>
      <c r="U1237" s="2577"/>
      <c r="V1237" s="2604"/>
      <c r="W1237" s="2577"/>
      <c r="X1237" s="2577"/>
      <c r="Y1237" s="2577"/>
      <c r="Z1237" s="2577"/>
      <c r="AA1237" s="2604"/>
      <c r="AB1237" s="2577"/>
      <c r="AC1237" s="2577"/>
      <c r="AD1237" s="2577"/>
      <c r="AE1237" s="2577"/>
      <c r="AF1237" s="2604"/>
      <c r="AG1237" s="2577"/>
      <c r="AH1237" s="2577"/>
      <c r="AI1237" s="2577"/>
      <c r="AJ1237" s="2577"/>
      <c r="AK1237" s="2604"/>
      <c r="AL1237" s="2577"/>
      <c r="AM1237" s="2577"/>
      <c r="AN1237" s="2577"/>
      <c r="AO1237" s="2577"/>
      <c r="AP1237" s="2673"/>
      <c r="AQ1237" s="2673"/>
      <c r="AR1237" s="2577"/>
      <c r="AS1237" s="2577"/>
      <c r="AT1237" s="2577"/>
      <c r="AU1237" s="2604"/>
      <c r="AV1237" s="2673"/>
      <c r="AW1237" s="2577"/>
      <c r="AX1237" s="2577"/>
      <c r="AY1237" s="1313"/>
      <c r="AZ1237" s="2604"/>
      <c r="BA1237" s="572">
        <v>0</v>
      </c>
      <c r="BB1237" s="572">
        <v>0</v>
      </c>
      <c r="BC1237" s="572">
        <f>(15.8/4)/3</f>
        <v>1.3166666666666667</v>
      </c>
      <c r="BD1237" s="1313">
        <f>15.8/4</f>
        <v>3.95</v>
      </c>
      <c r="BE1237" s="2911">
        <f>+SUM(BA1237:BD1237)</f>
        <v>5.2666666666666666</v>
      </c>
      <c r="BF1237" s="3445">
        <f>+BD1237</f>
        <v>3.95</v>
      </c>
      <c r="BG1237" s="3445">
        <f>+BF1237</f>
        <v>3.95</v>
      </c>
      <c r="BH1237" s="3445">
        <f>+BG1237</f>
        <v>3.95</v>
      </c>
      <c r="BI1237" s="3445">
        <f>+BH1237</f>
        <v>3.95</v>
      </c>
      <c r="BJ1237" s="2604">
        <f>+SUM(BF1237:BI1237)</f>
        <v>15.8</v>
      </c>
      <c r="BK1237" s="3445">
        <f>+BI1237</f>
        <v>3.95</v>
      </c>
      <c r="BL1237" s="3445">
        <f>+BK1237</f>
        <v>3.95</v>
      </c>
      <c r="BM1237" s="3445">
        <f>+BL1237</f>
        <v>3.95</v>
      </c>
      <c r="BN1237" s="3445">
        <f>+BM1237</f>
        <v>3.95</v>
      </c>
      <c r="BO1237" s="2604">
        <f>+SUM(BK1237:BN1237)</f>
        <v>15.8</v>
      </c>
      <c r="BP1237" s="3445">
        <f>+BN1237</f>
        <v>3.95</v>
      </c>
      <c r="BQ1237" s="3445">
        <f>+BP1237</f>
        <v>3.95</v>
      </c>
      <c r="BR1237" s="3445">
        <f>+BQ1237</f>
        <v>3.95</v>
      </c>
      <c r="BS1237" s="3445">
        <f>+BR1237</f>
        <v>3.95</v>
      </c>
      <c r="BT1237" s="3247">
        <f>+SUM(BP1237:BS1237)</f>
        <v>15.8</v>
      </c>
      <c r="BU1237" s="3445">
        <f>BS1237</f>
        <v>3.95</v>
      </c>
      <c r="BV1237" s="3445">
        <f>+BU1237</f>
        <v>3.95</v>
      </c>
      <c r="BW1237" s="3445">
        <f>+BV1237</f>
        <v>3.95</v>
      </c>
      <c r="BX1237" s="3445">
        <f>+BW1237</f>
        <v>3.95</v>
      </c>
      <c r="BY1237" s="3247">
        <f>+SUM(BU1237:BX1237)</f>
        <v>15.8</v>
      </c>
      <c r="BZ1237" s="2602">
        <f t="shared" ref="BZ1237:CF1237" si="2873">+BY1237</f>
        <v>15.8</v>
      </c>
      <c r="CA1237" s="2602">
        <f t="shared" si="2873"/>
        <v>15.8</v>
      </c>
      <c r="CB1237" s="2602">
        <f t="shared" si="2873"/>
        <v>15.8</v>
      </c>
      <c r="CC1237" s="2602">
        <f t="shared" si="2873"/>
        <v>15.8</v>
      </c>
      <c r="CD1237" s="2602">
        <f t="shared" si="2873"/>
        <v>15.8</v>
      </c>
      <c r="CE1237" s="2602">
        <f t="shared" si="2873"/>
        <v>15.8</v>
      </c>
      <c r="CF1237" s="2602">
        <f t="shared" si="2873"/>
        <v>15.8</v>
      </c>
      <c r="CG1237" s="2577"/>
      <c r="CH1237" s="476"/>
      <c r="CI1237" s="476"/>
      <c r="CJ1237" s="476"/>
      <c r="CK1237" s="476"/>
      <c r="CL1237" s="528" t="str">
        <f t="shared" si="2857"/>
        <v>Ohio Racinos Rent (Fixed)</v>
      </c>
      <c r="CM1237" s="476"/>
      <c r="CN1237" s="476"/>
      <c r="CO1237" s="476"/>
      <c r="CP1237" s="476"/>
      <c r="CQ1237" s="476"/>
      <c r="CR1237" s="476"/>
      <c r="CS1237" s="476"/>
      <c r="CT1237" s="476"/>
      <c r="CU1237" s="476"/>
      <c r="CV1237" s="476">
        <f t="shared" si="2858"/>
        <v>0</v>
      </c>
      <c r="CW1237" s="476">
        <f t="shared" si="2859"/>
        <v>5.2666666666666666</v>
      </c>
      <c r="CX1237" s="476">
        <f t="shared" si="2860"/>
        <v>15.8</v>
      </c>
      <c r="CY1237" s="476">
        <f t="shared" si="2861"/>
        <v>15.8</v>
      </c>
      <c r="CZ1237" s="476">
        <f t="shared" si="2862"/>
        <v>15.8</v>
      </c>
      <c r="DA1237" s="476">
        <f t="shared" si="2863"/>
        <v>15.8</v>
      </c>
      <c r="DB1237" s="476">
        <f t="shared" si="2864"/>
        <v>15.8</v>
      </c>
      <c r="DC1237" s="682">
        <f t="shared" si="2865"/>
        <v>15.8</v>
      </c>
      <c r="DD1237" s="476"/>
      <c r="DE1237" s="476"/>
      <c r="DF1237" s="598"/>
      <c r="DG1237" s="598"/>
      <c r="DH1237" s="3302"/>
      <c r="DI1237" s="3213"/>
      <c r="DJ1237" s="598"/>
      <c r="DK1237" s="598"/>
      <c r="DL1237" s="598"/>
      <c r="DM1237" s="598"/>
      <c r="DN1237" s="598"/>
      <c r="DO1237" s="598"/>
      <c r="DP1237" s="598"/>
      <c r="DQ1237" s="598"/>
      <c r="DR1237" s="660"/>
      <c r="DS1237" s="660"/>
      <c r="DT1237" s="660"/>
      <c r="DU1237"/>
      <c r="DV1237"/>
      <c r="DW1237"/>
      <c r="DX1237"/>
      <c r="DY1237"/>
      <c r="DZ1237"/>
    </row>
    <row r="1238" spans="1:130" s="2537" customFormat="1" ht="12" customHeight="1" x14ac:dyDescent="0.25">
      <c r="A1238" s="2535" t="s">
        <v>1491</v>
      </c>
      <c r="B1238" s="3488"/>
      <c r="C1238" s="2653"/>
      <c r="D1238" s="2653"/>
      <c r="E1238" s="2653"/>
      <c r="F1238" s="2653"/>
      <c r="G1238" s="2693"/>
      <c r="H1238" s="2653"/>
      <c r="I1238" s="2653"/>
      <c r="J1238" s="2653"/>
      <c r="K1238" s="2653"/>
      <c r="L1238" s="2693"/>
      <c r="M1238" s="2653"/>
      <c r="N1238" s="2653"/>
      <c r="O1238" s="2653"/>
      <c r="P1238" s="2653"/>
      <c r="Q1238" s="2693"/>
      <c r="R1238" s="2653"/>
      <c r="S1238" s="2653"/>
      <c r="T1238" s="2653"/>
      <c r="U1238" s="2653"/>
      <c r="V1238" s="2693"/>
      <c r="W1238" s="2653"/>
      <c r="X1238" s="2653"/>
      <c r="Y1238" s="2653"/>
      <c r="Z1238" s="2653"/>
      <c r="AA1238" s="2693"/>
      <c r="AB1238" s="2653"/>
      <c r="AC1238" s="2653"/>
      <c r="AD1238" s="2653"/>
      <c r="AE1238" s="2653"/>
      <c r="AF1238" s="2693"/>
      <c r="AG1238" s="2653"/>
      <c r="AH1238" s="2653"/>
      <c r="AI1238" s="2653"/>
      <c r="AJ1238" s="2653"/>
      <c r="AK1238" s="2693"/>
      <c r="AL1238" s="2653"/>
      <c r="AM1238" s="2653"/>
      <c r="AN1238" s="2653"/>
      <c r="AO1238" s="2653"/>
      <c r="AP1238" s="3398"/>
      <c r="AQ1238" s="3398"/>
      <c r="AR1238" s="2653"/>
      <c r="AS1238" s="2653"/>
      <c r="AT1238" s="2653"/>
      <c r="AU1238" s="2693"/>
      <c r="AV1238" s="3398"/>
      <c r="AW1238" s="2653"/>
      <c r="AX1238" s="2653"/>
      <c r="AY1238" s="2950"/>
      <c r="AZ1238" s="2693"/>
      <c r="BA1238" s="3398"/>
      <c r="BB1238" s="2653"/>
      <c r="BC1238" s="2653"/>
      <c r="BD1238" s="2950"/>
      <c r="BE1238" s="2950"/>
      <c r="BF1238" s="2653"/>
      <c r="BG1238" s="2653"/>
      <c r="BH1238" s="2653"/>
      <c r="BI1238" s="2950"/>
      <c r="BJ1238" s="2560">
        <f t="shared" ref="BJ1238:BO1238" si="2874">+BJ1237/BE1237-1</f>
        <v>2</v>
      </c>
      <c r="BK1238" s="2977">
        <f t="shared" si="2874"/>
        <v>0</v>
      </c>
      <c r="BL1238" s="2977">
        <f t="shared" si="2874"/>
        <v>0</v>
      </c>
      <c r="BM1238" s="2977">
        <f t="shared" si="2874"/>
        <v>0</v>
      </c>
      <c r="BN1238" s="2560">
        <f t="shared" si="2874"/>
        <v>0</v>
      </c>
      <c r="BO1238" s="2560">
        <f t="shared" si="2874"/>
        <v>0</v>
      </c>
      <c r="BP1238" s="2977">
        <f t="shared" ref="BP1238:BX1238" si="2875">+BP1237/BK1237-1</f>
        <v>0</v>
      </c>
      <c r="BQ1238" s="2977">
        <f t="shared" si="2875"/>
        <v>0</v>
      </c>
      <c r="BR1238" s="2977">
        <f t="shared" si="2875"/>
        <v>0</v>
      </c>
      <c r="BS1238" s="2977">
        <f t="shared" si="2875"/>
        <v>0</v>
      </c>
      <c r="BT1238" s="3246">
        <f t="shared" si="2875"/>
        <v>0</v>
      </c>
      <c r="BU1238" s="2977">
        <f t="shared" si="2875"/>
        <v>0</v>
      </c>
      <c r="BV1238" s="2977">
        <f t="shared" si="2875"/>
        <v>0</v>
      </c>
      <c r="BW1238" s="2977">
        <f t="shared" si="2875"/>
        <v>0</v>
      </c>
      <c r="BX1238" s="2977">
        <f t="shared" si="2875"/>
        <v>0</v>
      </c>
      <c r="BY1238" s="3246">
        <f>+BY1237/BT1237-1</f>
        <v>0</v>
      </c>
      <c r="BZ1238" s="3246">
        <f t="shared" ref="BZ1238:CF1238" si="2876">+BZ1237/BY1237-1</f>
        <v>0</v>
      </c>
      <c r="CA1238" s="3246">
        <f t="shared" si="2876"/>
        <v>0</v>
      </c>
      <c r="CB1238" s="3246">
        <f t="shared" si="2876"/>
        <v>0</v>
      </c>
      <c r="CC1238" s="3246">
        <f t="shared" si="2876"/>
        <v>0</v>
      </c>
      <c r="CD1238" s="3246">
        <f t="shared" si="2876"/>
        <v>0</v>
      </c>
      <c r="CE1238" s="3246">
        <f t="shared" si="2876"/>
        <v>0</v>
      </c>
      <c r="CF1238" s="3246">
        <f t="shared" si="2876"/>
        <v>0</v>
      </c>
      <c r="CG1238" s="2653"/>
      <c r="CH1238" s="492"/>
      <c r="CI1238" s="492"/>
      <c r="CJ1238" s="492"/>
      <c r="CK1238" s="492"/>
      <c r="CL1238" s="872" t="str">
        <f t="shared" si="2857"/>
        <v>% growth (y-o-y)</v>
      </c>
      <c r="CM1238" s="492"/>
      <c r="CN1238" s="492"/>
      <c r="CO1238" s="492"/>
      <c r="CP1238" s="492"/>
      <c r="CQ1238" s="492"/>
      <c r="CR1238" s="492"/>
      <c r="CS1238" s="492"/>
      <c r="CT1238" s="492"/>
      <c r="CU1238" s="492"/>
      <c r="CV1238" s="492">
        <f t="shared" si="2858"/>
        <v>0</v>
      </c>
      <c r="CW1238" s="492">
        <f t="shared" si="2859"/>
        <v>0</v>
      </c>
      <c r="CX1238" s="492">
        <f t="shared" si="2860"/>
        <v>2</v>
      </c>
      <c r="CY1238" s="492">
        <f t="shared" si="2861"/>
        <v>0</v>
      </c>
      <c r="CZ1238" s="492">
        <f t="shared" si="2862"/>
        <v>0</v>
      </c>
      <c r="DA1238" s="492">
        <f t="shared" si="2863"/>
        <v>0</v>
      </c>
      <c r="DB1238" s="492">
        <f t="shared" si="2864"/>
        <v>0</v>
      </c>
      <c r="DC1238" s="1311">
        <f t="shared" si="2865"/>
        <v>0</v>
      </c>
      <c r="DD1238" s="492"/>
      <c r="DE1238" s="492"/>
      <c r="DF1238" s="962"/>
      <c r="DG1238" s="962"/>
      <c r="DH1238" s="3301"/>
      <c r="DI1238" s="3213"/>
      <c r="DJ1238" s="962"/>
      <c r="DK1238" s="962"/>
      <c r="DL1238" s="962"/>
      <c r="DM1238" s="962"/>
      <c r="DN1238" s="962"/>
      <c r="DO1238" s="962"/>
      <c r="DP1238" s="962"/>
      <c r="DQ1238" s="962"/>
      <c r="DR1238" s="963"/>
      <c r="DS1238" s="963"/>
      <c r="DT1238" s="963"/>
      <c r="DU1238"/>
      <c r="DV1238"/>
      <c r="DW1238"/>
      <c r="DX1238"/>
      <c r="DY1238"/>
      <c r="DZ1238"/>
    </row>
    <row r="1239" spans="1:130" s="2502" customFormat="1" ht="12" customHeight="1" x14ac:dyDescent="0.25">
      <c r="A1239" s="2585" t="s">
        <v>1242</v>
      </c>
      <c r="B1239" s="2585"/>
      <c r="C1239" s="2577"/>
      <c r="D1239" s="2577"/>
      <c r="E1239" s="2577"/>
      <c r="F1239" s="2577"/>
      <c r="G1239" s="2604"/>
      <c r="H1239" s="2577"/>
      <c r="I1239" s="2577"/>
      <c r="J1239" s="2577"/>
      <c r="K1239" s="2577"/>
      <c r="L1239" s="2604"/>
      <c r="M1239" s="2577"/>
      <c r="N1239" s="2577"/>
      <c r="O1239" s="2577"/>
      <c r="P1239" s="2577"/>
      <c r="Q1239" s="2604"/>
      <c r="R1239" s="2577"/>
      <c r="S1239" s="2577"/>
      <c r="T1239" s="2577"/>
      <c r="U1239" s="2577"/>
      <c r="V1239" s="2604"/>
      <c r="W1239" s="2577"/>
      <c r="X1239" s="2577"/>
      <c r="Y1239" s="2577"/>
      <c r="Z1239" s="2577"/>
      <c r="AA1239" s="2604"/>
      <c r="AB1239" s="2577"/>
      <c r="AC1239" s="2577"/>
      <c r="AD1239" s="2577"/>
      <c r="AE1239" s="2577"/>
      <c r="AF1239" s="2604"/>
      <c r="AG1239" s="2577"/>
      <c r="AH1239" s="2577"/>
      <c r="AI1239" s="2577"/>
      <c r="AJ1239" s="2577"/>
      <c r="AK1239" s="2604"/>
      <c r="AL1239" s="2577"/>
      <c r="AM1239" s="2577"/>
      <c r="AN1239" s="2577"/>
      <c r="AO1239" s="2577"/>
      <c r="AP1239" s="2673"/>
      <c r="AQ1239" s="2673"/>
      <c r="AR1239" s="2577"/>
      <c r="AS1239" s="2577"/>
      <c r="AT1239" s="2577"/>
      <c r="AU1239" s="2604"/>
      <c r="AV1239" s="2673"/>
      <c r="AW1239" s="2577"/>
      <c r="AX1239" s="2577"/>
      <c r="AY1239" s="2503"/>
      <c r="AZ1239" s="2604"/>
      <c r="BA1239" s="592">
        <f>245/4</f>
        <v>61.25</v>
      </c>
      <c r="BB1239" s="572">
        <f>245/4</f>
        <v>61.25</v>
      </c>
      <c r="BC1239" s="572">
        <f>245/4</f>
        <v>61.25</v>
      </c>
      <c r="BD1239" s="2503">
        <f>245/4+((245*0.02*(2/12)))</f>
        <v>62.06666666666667</v>
      </c>
      <c r="BE1239" s="2911">
        <f>+SUM(BA1239:BD1239)</f>
        <v>245.81666666666666</v>
      </c>
      <c r="BF1239" s="572">
        <v>62.2</v>
      </c>
      <c r="BG1239" s="572">
        <v>62.2</v>
      </c>
      <c r="BH1239" s="572">
        <v>62.2</v>
      </c>
      <c r="BI1239" s="1313">
        <f>BH1239+(BH1239*0.02*(2/3))</f>
        <v>63.029333333333334</v>
      </c>
      <c r="BJ1239" s="2911">
        <f>SUM(BF1239:BI1239)</f>
        <v>249.62933333333336</v>
      </c>
      <c r="BK1239" s="2577">
        <f>+BF1239*(1+BK1240)</f>
        <v>63.444000000000003</v>
      </c>
      <c r="BL1239" s="2577">
        <f>+BG1239*(1+BL1240)</f>
        <v>63.444000000000003</v>
      </c>
      <c r="BM1239" s="2577">
        <f>+BH1239*(1+BM1240)</f>
        <v>63.444000000000003</v>
      </c>
      <c r="BN1239" s="2911">
        <f>+BI1239*(1+BN1240)</f>
        <v>64.289919999999995</v>
      </c>
      <c r="BO1239" s="2911">
        <f>SUM(BK1239:BN1239)</f>
        <v>254.62191999999999</v>
      </c>
      <c r="BP1239" s="2577">
        <f>+BK1239*(1+BP1240)</f>
        <v>64.712879999999998</v>
      </c>
      <c r="BQ1239" s="3486">
        <f>+BL1239*(1+BQ1240)+((9/4)*0.75)*2/3</f>
        <v>65.837879999999998</v>
      </c>
      <c r="BR1239" s="3486">
        <f>+BM1239*(1+BR1240)+((9/4)*0.75)</f>
        <v>66.400379999999998</v>
      </c>
      <c r="BS1239" s="3486">
        <f>BR1239*(1/3)+((BR1239+(2.4/4))*(2/3))</f>
        <v>66.80037999999999</v>
      </c>
      <c r="BT1239" s="2604">
        <f>SUM(BP1239:BS1239)</f>
        <v>263.75152000000003</v>
      </c>
      <c r="BU1239" s="3545">
        <f>+BR1239+(2.4/4)</f>
        <v>67.000379999999993</v>
      </c>
      <c r="BV1239" s="3456">
        <f>+BU1239</f>
        <v>67.000379999999993</v>
      </c>
      <c r="BW1239" s="3456">
        <f>+BV1239</f>
        <v>67.000379999999993</v>
      </c>
      <c r="BX1239" s="3456">
        <f>(BW1239*(1/3))+(BW1239*(1+BX1240)*(2/3))</f>
        <v>67.893718399999983</v>
      </c>
      <c r="BY1239" s="2604">
        <f>SUM(BU1239:BX1239)</f>
        <v>268.89485839999998</v>
      </c>
      <c r="BZ1239" s="2604">
        <f t="shared" ref="BZ1239:CF1239" si="2877">+BY1239*(1+BZ1240)</f>
        <v>274.27275556799998</v>
      </c>
      <c r="CA1239" s="2604">
        <f t="shared" si="2877"/>
        <v>279.75821067935999</v>
      </c>
      <c r="CB1239" s="2604">
        <f t="shared" si="2877"/>
        <v>285.35337489294722</v>
      </c>
      <c r="CC1239" s="2604">
        <f t="shared" si="2877"/>
        <v>291.06044239080614</v>
      </c>
      <c r="CD1239" s="2604">
        <f t="shared" si="2877"/>
        <v>296.88165123862228</v>
      </c>
      <c r="CE1239" s="2604">
        <f t="shared" si="2877"/>
        <v>302.81928426339471</v>
      </c>
      <c r="CF1239" s="2604">
        <f t="shared" si="2877"/>
        <v>308.87566994866262</v>
      </c>
      <c r="CG1239" s="2577"/>
      <c r="CH1239" s="476"/>
      <c r="CI1239" s="476"/>
      <c r="CJ1239" s="476"/>
      <c r="CK1239" s="476"/>
      <c r="CL1239" s="528" t="str">
        <f t="shared" si="2857"/>
        <v>Building Replacement Cost Rent (2% Annual Escalation)</v>
      </c>
      <c r="CM1239" s="476"/>
      <c r="CN1239" s="476"/>
      <c r="CO1239" s="476"/>
      <c r="CP1239" s="476"/>
      <c r="CQ1239" s="476"/>
      <c r="CR1239" s="476"/>
      <c r="CS1239" s="476"/>
      <c r="CT1239" s="476"/>
      <c r="CU1239" s="476"/>
      <c r="CV1239" s="476">
        <f t="shared" si="2858"/>
        <v>0</v>
      </c>
      <c r="CW1239" s="476">
        <f t="shared" si="2859"/>
        <v>245.81666666666666</v>
      </c>
      <c r="CX1239" s="476">
        <f t="shared" si="2860"/>
        <v>249.62933333333336</v>
      </c>
      <c r="CY1239" s="476">
        <f t="shared" si="2861"/>
        <v>254.62191999999999</v>
      </c>
      <c r="CZ1239" s="476">
        <f t="shared" si="2862"/>
        <v>263.75152000000003</v>
      </c>
      <c r="DA1239" s="476">
        <f t="shared" si="2863"/>
        <v>268.89485839999998</v>
      </c>
      <c r="DB1239" s="476">
        <f t="shared" si="2864"/>
        <v>274.27275556799998</v>
      </c>
      <c r="DC1239" s="682">
        <f t="shared" si="2865"/>
        <v>279.75821067935999</v>
      </c>
      <c r="DD1239" s="476"/>
      <c r="DE1239" s="476"/>
      <c r="DF1239" s="598"/>
      <c r="DG1239" s="598"/>
      <c r="DH1239" s="2577"/>
      <c r="DI1239" s="3213"/>
      <c r="DJ1239" s="598"/>
      <c r="DK1239" s="598"/>
      <c r="DL1239" s="598"/>
      <c r="DM1239" s="598"/>
      <c r="DN1239" s="598"/>
      <c r="DO1239" s="598"/>
      <c r="DP1239" s="598"/>
      <c r="DQ1239" s="598"/>
      <c r="DR1239" s="660"/>
      <c r="DS1239" s="660"/>
      <c r="DT1239" s="660"/>
      <c r="DU1239"/>
      <c r="DV1239"/>
      <c r="DW1239"/>
      <c r="DX1239"/>
      <c r="DY1239"/>
      <c r="DZ1239"/>
    </row>
    <row r="1240" spans="1:130" s="2537" customFormat="1" ht="12" customHeight="1" x14ac:dyDescent="0.25">
      <c r="A1240" s="2535" t="s">
        <v>1491</v>
      </c>
      <c r="B1240" s="3488"/>
      <c r="C1240" s="2653"/>
      <c r="D1240" s="2653"/>
      <c r="E1240" s="2653"/>
      <c r="F1240" s="2653"/>
      <c r="G1240" s="2693"/>
      <c r="H1240" s="2653"/>
      <c r="I1240" s="2653"/>
      <c r="J1240" s="2653"/>
      <c r="K1240" s="2653"/>
      <c r="L1240" s="2693"/>
      <c r="M1240" s="2653"/>
      <c r="N1240" s="2653"/>
      <c r="O1240" s="2653"/>
      <c r="P1240" s="2653"/>
      <c r="Q1240" s="2693"/>
      <c r="R1240" s="2653"/>
      <c r="S1240" s="2653"/>
      <c r="T1240" s="2653"/>
      <c r="U1240" s="2653"/>
      <c r="V1240" s="2693"/>
      <c r="W1240" s="2653"/>
      <c r="X1240" s="2653"/>
      <c r="Y1240" s="2653"/>
      <c r="Z1240" s="2653"/>
      <c r="AA1240" s="2693"/>
      <c r="AB1240" s="2653"/>
      <c r="AC1240" s="2653"/>
      <c r="AD1240" s="2653"/>
      <c r="AE1240" s="2653"/>
      <c r="AF1240" s="2693"/>
      <c r="AG1240" s="2653"/>
      <c r="AH1240" s="2653"/>
      <c r="AI1240" s="2653"/>
      <c r="AJ1240" s="2653"/>
      <c r="AK1240" s="2693"/>
      <c r="AL1240" s="2653"/>
      <c r="AM1240" s="2653"/>
      <c r="AN1240" s="2653"/>
      <c r="AO1240" s="2653"/>
      <c r="AP1240" s="3398"/>
      <c r="AQ1240" s="3398"/>
      <c r="AR1240" s="2653"/>
      <c r="AS1240" s="2653"/>
      <c r="AT1240" s="2653"/>
      <c r="AU1240" s="2693"/>
      <c r="AV1240" s="3398"/>
      <c r="AW1240" s="2653"/>
      <c r="AX1240" s="2653"/>
      <c r="AY1240" s="2950"/>
      <c r="AZ1240" s="2693"/>
      <c r="BA1240" s="3398"/>
      <c r="BB1240" s="2653"/>
      <c r="BC1240" s="2653"/>
      <c r="BD1240" s="2950"/>
      <c r="BE1240" s="2950"/>
      <c r="BF1240" s="2653"/>
      <c r="BG1240" s="2653"/>
      <c r="BH1240" s="2653"/>
      <c r="BI1240" s="2950"/>
      <c r="BJ1240" s="2950">
        <f>+BJ1239/BE1239-1</f>
        <v>1.5510204081632839E-2</v>
      </c>
      <c r="BK1240" s="936">
        <v>0.02</v>
      </c>
      <c r="BL1240" s="936">
        <v>0.02</v>
      </c>
      <c r="BM1240" s="936">
        <v>0.02</v>
      </c>
      <c r="BN1240" s="936">
        <v>0.02</v>
      </c>
      <c r="BO1240" s="2693">
        <f>+BO1239/BJ1239-1</f>
        <v>1.9999999999999796E-2</v>
      </c>
      <c r="BP1240" s="936">
        <v>0.02</v>
      </c>
      <c r="BQ1240" s="936">
        <v>0.02</v>
      </c>
      <c r="BR1240" s="936">
        <v>0.02</v>
      </c>
      <c r="BS1240" s="936">
        <v>1.4999999999999999E-2</v>
      </c>
      <c r="BT1240" s="3246">
        <f>+BT1239/BO1239-1</f>
        <v>3.5855514717664683E-2</v>
      </c>
      <c r="BU1240" s="2653">
        <f>+BU1239/BP1239-1</f>
        <v>3.5348449953084948E-2</v>
      </c>
      <c r="BV1240" s="2653">
        <f>+BV1239/BQ1239-1</f>
        <v>1.7657008396989582E-2</v>
      </c>
      <c r="BW1240" s="2653">
        <f>+BW1239/BR1239-1</f>
        <v>9.0360928657335915E-3</v>
      </c>
      <c r="BX1240" s="936">
        <v>0.02</v>
      </c>
      <c r="BY1240" s="3246">
        <f>+BY1239/BT1239-1</f>
        <v>1.9500696716363786E-2</v>
      </c>
      <c r="BZ1240" s="2536">
        <v>0.02</v>
      </c>
      <c r="CA1240" s="2536">
        <v>0.02</v>
      </c>
      <c r="CB1240" s="2536">
        <v>0.02</v>
      </c>
      <c r="CC1240" s="2536">
        <v>0.02</v>
      </c>
      <c r="CD1240" s="2536">
        <v>0.02</v>
      </c>
      <c r="CE1240" s="2536">
        <v>0.02</v>
      </c>
      <c r="CF1240" s="2536">
        <v>0.02</v>
      </c>
      <c r="CG1240" s="2653"/>
      <c r="CH1240" s="492"/>
      <c r="CI1240" s="492"/>
      <c r="CJ1240" s="492"/>
      <c r="CK1240" s="492"/>
      <c r="CL1240" s="872" t="str">
        <f t="shared" si="2857"/>
        <v>% growth (y-o-y)</v>
      </c>
      <c r="CM1240" s="492"/>
      <c r="CN1240" s="492"/>
      <c r="CO1240" s="492"/>
      <c r="CP1240" s="492"/>
      <c r="CQ1240" s="492"/>
      <c r="CR1240" s="492"/>
      <c r="CS1240" s="492"/>
      <c r="CT1240" s="492"/>
      <c r="CU1240" s="492"/>
      <c r="CV1240" s="492">
        <f t="shared" si="2858"/>
        <v>0</v>
      </c>
      <c r="CW1240" s="492">
        <f t="shared" si="2859"/>
        <v>0</v>
      </c>
      <c r="CX1240" s="492">
        <f t="shared" si="2860"/>
        <v>1.5510204081632839E-2</v>
      </c>
      <c r="CY1240" s="492">
        <f t="shared" si="2861"/>
        <v>1.9999999999999796E-2</v>
      </c>
      <c r="CZ1240" s="492">
        <f t="shared" si="2862"/>
        <v>3.5855514717664683E-2</v>
      </c>
      <c r="DA1240" s="492">
        <f t="shared" si="2863"/>
        <v>1.9500696716363786E-2</v>
      </c>
      <c r="DB1240" s="492">
        <f t="shared" si="2864"/>
        <v>0.02</v>
      </c>
      <c r="DC1240" s="1311">
        <f t="shared" si="2865"/>
        <v>0.02</v>
      </c>
      <c r="DD1240" s="492"/>
      <c r="DE1240" s="492"/>
      <c r="DF1240" s="962"/>
      <c r="DG1240" s="962"/>
      <c r="DH1240" s="3301"/>
      <c r="DI1240" s="3213"/>
      <c r="DJ1240" s="962"/>
      <c r="DK1240" s="962"/>
      <c r="DL1240" s="962"/>
      <c r="DM1240" s="962"/>
      <c r="DN1240" s="962"/>
      <c r="DO1240" s="962"/>
      <c r="DP1240" s="962"/>
      <c r="DQ1240" s="962"/>
      <c r="DR1240" s="963"/>
      <c r="DS1240" s="963"/>
      <c r="DT1240" s="963"/>
      <c r="DU1240"/>
      <c r="DV1240"/>
      <c r="DW1240"/>
      <c r="DX1240"/>
      <c r="DY1240"/>
      <c r="DZ1240"/>
    </row>
    <row r="1241" spans="1:130" s="2537" customFormat="1" ht="12" customHeight="1" x14ac:dyDescent="0.25">
      <c r="A1241" s="2585" t="s">
        <v>1030</v>
      </c>
      <c r="B1241" s="3488"/>
      <c r="C1241" s="2653"/>
      <c r="D1241" s="2653"/>
      <c r="E1241" s="2653"/>
      <c r="F1241" s="2653"/>
      <c r="G1241" s="2693"/>
      <c r="H1241" s="2653"/>
      <c r="I1241" s="2653"/>
      <c r="J1241" s="2653"/>
      <c r="K1241" s="2653"/>
      <c r="L1241" s="2693"/>
      <c r="M1241" s="2653"/>
      <c r="N1241" s="2653"/>
      <c r="O1241" s="2653"/>
      <c r="P1241" s="2653"/>
      <c r="Q1241" s="2693"/>
      <c r="R1241" s="2653"/>
      <c r="S1241" s="2653"/>
      <c r="T1241" s="2653"/>
      <c r="U1241" s="2653"/>
      <c r="V1241" s="2693"/>
      <c r="W1241" s="2653"/>
      <c r="X1241" s="2653"/>
      <c r="Y1241" s="2653"/>
      <c r="Z1241" s="2653"/>
      <c r="AA1241" s="2693"/>
      <c r="AB1241" s="2653"/>
      <c r="AC1241" s="2653"/>
      <c r="AD1241" s="2653"/>
      <c r="AE1241" s="2653"/>
      <c r="AF1241" s="2693"/>
      <c r="AG1241" s="2653"/>
      <c r="AH1241" s="2653"/>
      <c r="AI1241" s="2653"/>
      <c r="AJ1241" s="2653"/>
      <c r="AK1241" s="2693"/>
      <c r="AL1241" s="2653"/>
      <c r="AM1241" s="2653"/>
      <c r="AN1241" s="2653"/>
      <c r="AO1241" s="2653"/>
      <c r="AP1241" s="3398"/>
      <c r="AQ1241" s="2653"/>
      <c r="AR1241" s="2653"/>
      <c r="AS1241" s="2653"/>
      <c r="AT1241" s="2653"/>
      <c r="AU1241" s="2693"/>
      <c r="AV1241" s="2653"/>
      <c r="AW1241" s="2653"/>
      <c r="AX1241" s="2653"/>
      <c r="AY1241" s="3489"/>
      <c r="AZ1241" s="2693"/>
      <c r="BA1241" s="3490">
        <f>+BA1243-SUM(BA1239,BA1237,BA1235,BA1233)</f>
        <v>-0.8035165999999947</v>
      </c>
      <c r="BB1241" s="2169">
        <f>+BB1243-SUM(BB1239,BB1237,BB1235,BB1233)</f>
        <v>-0.83839716999999325</v>
      </c>
      <c r="BC1241" s="2169">
        <f>+BC1243-SUM(BC1239,BC1237,BC1235,BC1233)</f>
        <v>-0.73451563806666798</v>
      </c>
      <c r="BD1241" s="2169">
        <f>+BD1243-SUM(BD1239,BD1237,BD1235,BD1233)</f>
        <v>-7.0227356666677565E-2</v>
      </c>
      <c r="BE1241" s="2604">
        <f>SUM(BA1241:BD1241)</f>
        <v>-2.4466567647333335</v>
      </c>
      <c r="BF1241" s="2169">
        <f>+BF1243-SUM(BF1239,BF1237,BF1235,BF1233)</f>
        <v>-3.2181232000013438E-2</v>
      </c>
      <c r="BG1241" s="2169">
        <f>+BG1243-SUM(BG1239,BG1237,BG1235,BG1233)</f>
        <v>-0.17184693900000525</v>
      </c>
      <c r="BH1241" s="2169">
        <f>+BH1243-SUM(BH1239,BH1237,BH1235,BH1233)</f>
        <v>5.9543681284992545E-2</v>
      </c>
      <c r="BI1241" s="2653"/>
      <c r="BJ1241" s="2604">
        <f>SUM(BF1241:BI1241)</f>
        <v>-0.14448448971502614</v>
      </c>
      <c r="BK1241" s="2169">
        <f>+BK1243-SUM(BK1239,BK1237,BK1235,BK1233)</f>
        <v>-5.5724207100013246E-2</v>
      </c>
      <c r="BL1241" s="2169">
        <f>+BL1243-SUM(BL1239,BL1237,BL1235,BL1233)</f>
        <v>-0.37003800000000808</v>
      </c>
      <c r="BM1241" s="2169">
        <f>+BM1243-SUM(BM1239,BM1237,BM1235,BM1233)</f>
        <v>-3.0562420150758385E-2</v>
      </c>
      <c r="BN1241" s="2169">
        <f>+BN1243-SUM(BN1239,BN1237,BN1235,BN1233)</f>
        <v>-6.890594968500352E-2</v>
      </c>
      <c r="BO1241" s="2604">
        <f>SUM(BK1241:BN1241)</f>
        <v>-0.52523057693578323</v>
      </c>
      <c r="BP1241" s="2169">
        <f>+BP1243-SUM(BP1239,BP1237,BP1235,BP1233)</f>
        <v>-0.20488465845500059</v>
      </c>
      <c r="BQ1241" s="2169">
        <f>+BQ1243-SUM(BQ1239,BQ1237,BQ1235,BQ1233)</f>
        <v>-0.49216787000000295</v>
      </c>
      <c r="BR1241" s="2169">
        <f>+BR1243-SUM(BR1239,BR1237,BR1235,BR1233)</f>
        <v>-0.239837571558283</v>
      </c>
      <c r="BS1241" s="2169">
        <f>+BS1243-SUM(BS1239,BS1237,BS1235,BS1233)</f>
        <v>-8.618095446924201E-2</v>
      </c>
      <c r="BT1241" s="2604">
        <f>SUM(BP1241:BS1241)</f>
        <v>-1.0230710544825286</v>
      </c>
      <c r="BU1241" s="572">
        <v>-0.2</v>
      </c>
      <c r="BV1241" s="572">
        <v>-0.2</v>
      </c>
      <c r="BW1241" s="572">
        <v>-0.2</v>
      </c>
      <c r="BX1241" s="572">
        <v>-0.2</v>
      </c>
      <c r="BY1241" s="2604">
        <f>SUM(BU1241:BX1241)</f>
        <v>-0.8</v>
      </c>
      <c r="BZ1241" s="3544">
        <f>+BY1241</f>
        <v>-0.8</v>
      </c>
      <c r="CA1241" s="3544">
        <f>+BZ1241</f>
        <v>-0.8</v>
      </c>
      <c r="CB1241" s="2536"/>
      <c r="CC1241" s="2536"/>
      <c r="CD1241" s="2536"/>
      <c r="CE1241" s="2536"/>
      <c r="CF1241" s="2536"/>
      <c r="CG1241" s="2653"/>
      <c r="CH1241" s="492"/>
      <c r="CI1241" s="492"/>
      <c r="CJ1241" s="492"/>
      <c r="CK1241" s="492"/>
      <c r="CL1241" s="872"/>
      <c r="CM1241" s="492"/>
      <c r="CN1241" s="492"/>
      <c r="CO1241" s="492"/>
      <c r="CP1241" s="492"/>
      <c r="CQ1241" s="492"/>
      <c r="CR1241" s="492"/>
      <c r="CS1241" s="492"/>
      <c r="CT1241" s="492"/>
      <c r="CU1241" s="492"/>
      <c r="CV1241" s="492"/>
      <c r="CW1241" s="492"/>
      <c r="CX1241" s="492"/>
      <c r="CY1241" s="492"/>
      <c r="CZ1241" s="492"/>
      <c r="DA1241" s="492"/>
      <c r="DB1241" s="492"/>
      <c r="DC1241" s="1311"/>
      <c r="DD1241" s="492"/>
      <c r="DE1241" s="492"/>
      <c r="DF1241" s="962"/>
      <c r="DG1241" s="962"/>
      <c r="DH1241" s="3301"/>
      <c r="DI1241" s="3213"/>
      <c r="DJ1241" s="962"/>
      <c r="DK1241" s="962"/>
      <c r="DL1241" s="962"/>
      <c r="DM1241" s="962"/>
      <c r="DN1241" s="962"/>
      <c r="DO1241" s="962"/>
      <c r="DP1241" s="962"/>
      <c r="DQ1241" s="962"/>
      <c r="DR1241" s="963"/>
      <c r="DS1241" s="963"/>
      <c r="DT1241" s="963"/>
      <c r="DU1241"/>
      <c r="DV1241"/>
      <c r="DW1241"/>
      <c r="DX1241"/>
      <c r="DY1241"/>
      <c r="DZ1241"/>
    </row>
    <row r="1242" spans="1:130" ht="4.5" customHeight="1" x14ac:dyDescent="0.25">
      <c r="A1242" s="1997"/>
      <c r="B1242" s="710"/>
      <c r="C1242" s="609" t="s">
        <v>1151</v>
      </c>
      <c r="D1242" s="609" t="s">
        <v>1151</v>
      </c>
      <c r="E1242" s="609" t="s">
        <v>1151</v>
      </c>
      <c r="F1242" s="609" t="s">
        <v>1151</v>
      </c>
      <c r="G1242" s="459" t="s">
        <v>1151</v>
      </c>
      <c r="H1242" s="609" t="s">
        <v>1151</v>
      </c>
      <c r="I1242" s="609" t="s">
        <v>1151</v>
      </c>
      <c r="J1242" s="609" t="s">
        <v>1151</v>
      </c>
      <c r="K1242" s="609" t="s">
        <v>1151</v>
      </c>
      <c r="L1242" s="459" t="s">
        <v>1151</v>
      </c>
      <c r="M1242" s="609" t="s">
        <v>1151</v>
      </c>
      <c r="N1242" s="609" t="s">
        <v>1151</v>
      </c>
      <c r="O1242" s="609" t="s">
        <v>1151</v>
      </c>
      <c r="P1242" s="609" t="s">
        <v>1151</v>
      </c>
      <c r="Q1242" s="459" t="s">
        <v>1151</v>
      </c>
      <c r="R1242" s="609" t="s">
        <v>1151</v>
      </c>
      <c r="S1242" s="609" t="s">
        <v>1151</v>
      </c>
      <c r="T1242" s="609" t="s">
        <v>1151</v>
      </c>
      <c r="U1242" s="609" t="s">
        <v>1151</v>
      </c>
      <c r="V1242" s="459" t="s">
        <v>1151</v>
      </c>
      <c r="W1242" s="609" t="s">
        <v>1151</v>
      </c>
      <c r="X1242" s="609" t="s">
        <v>1151</v>
      </c>
      <c r="Y1242" s="609" t="s">
        <v>1151</v>
      </c>
      <c r="Z1242" s="609" t="s">
        <v>1151</v>
      </c>
      <c r="AA1242" s="459" t="s">
        <v>1151</v>
      </c>
      <c r="AB1242" s="609" t="s">
        <v>1151</v>
      </c>
      <c r="AC1242" s="609" t="s">
        <v>1151</v>
      </c>
      <c r="AD1242" s="609" t="s">
        <v>1151</v>
      </c>
      <c r="AE1242" s="609" t="s">
        <v>1151</v>
      </c>
      <c r="AF1242" s="459" t="s">
        <v>1151</v>
      </c>
      <c r="AG1242" s="609" t="s">
        <v>1151</v>
      </c>
      <c r="AH1242" s="609" t="s">
        <v>1151</v>
      </c>
      <c r="AI1242" s="609" t="s">
        <v>1151</v>
      </c>
      <c r="AJ1242" s="609" t="s">
        <v>1151</v>
      </c>
      <c r="AK1242" s="459" t="s">
        <v>1151</v>
      </c>
      <c r="AL1242" s="609" t="s">
        <v>1151</v>
      </c>
      <c r="AM1242" s="609" t="s">
        <v>1151</v>
      </c>
      <c r="AN1242" s="609" t="s">
        <v>1151</v>
      </c>
      <c r="AO1242" s="609" t="s">
        <v>1151</v>
      </c>
      <c r="AP1242" s="459" t="s">
        <v>1151</v>
      </c>
      <c r="AQ1242" s="609" t="s">
        <v>1151</v>
      </c>
      <c r="AR1242" s="609" t="s">
        <v>1151</v>
      </c>
      <c r="AS1242" s="609" t="s">
        <v>1151</v>
      </c>
      <c r="AT1242" s="609" t="s">
        <v>1151</v>
      </c>
      <c r="AU1242" s="459" t="s">
        <v>1151</v>
      </c>
      <c r="AV1242" s="609" t="s">
        <v>1151</v>
      </c>
      <c r="AW1242" s="609" t="s">
        <v>1151</v>
      </c>
      <c r="AX1242" s="609" t="s">
        <v>1151</v>
      </c>
      <c r="AY1242" s="609" t="s">
        <v>1151</v>
      </c>
      <c r="AZ1242" s="459" t="s">
        <v>1151</v>
      </c>
      <c r="BA1242" s="609" t="s">
        <v>1151</v>
      </c>
      <c r="BB1242" s="609" t="s">
        <v>1151</v>
      </c>
      <c r="BC1242" s="609" t="s">
        <v>1151</v>
      </c>
      <c r="BD1242" s="609" t="s">
        <v>1151</v>
      </c>
      <c r="BE1242" s="459" t="s">
        <v>1151</v>
      </c>
      <c r="BF1242" s="609" t="s">
        <v>1151</v>
      </c>
      <c r="BG1242" s="609" t="s">
        <v>1151</v>
      </c>
      <c r="BH1242" s="609" t="s">
        <v>1151</v>
      </c>
      <c r="BI1242" s="609" t="s">
        <v>1151</v>
      </c>
      <c r="BJ1242" s="459" t="s">
        <v>1151</v>
      </c>
      <c r="BK1242" s="609" t="s">
        <v>1151</v>
      </c>
      <c r="BL1242" s="609" t="s">
        <v>1151</v>
      </c>
      <c r="BM1242" s="609" t="s">
        <v>1151</v>
      </c>
      <c r="BN1242" s="609" t="s">
        <v>1151</v>
      </c>
      <c r="BO1242" s="459" t="s">
        <v>1151</v>
      </c>
      <c r="BP1242" s="609" t="s">
        <v>1151</v>
      </c>
      <c r="BQ1242" s="609" t="s">
        <v>1151</v>
      </c>
      <c r="BR1242" s="609" t="s">
        <v>1151</v>
      </c>
      <c r="BS1242" s="609" t="s">
        <v>1151</v>
      </c>
      <c r="BT1242" s="459" t="s">
        <v>1151</v>
      </c>
      <c r="BU1242" s="609" t="s">
        <v>1151</v>
      </c>
      <c r="BV1242" s="609" t="s">
        <v>1151</v>
      </c>
      <c r="BW1242" s="609" t="s">
        <v>1151</v>
      </c>
      <c r="BX1242" s="609" t="s">
        <v>1151</v>
      </c>
      <c r="BY1242" s="459" t="s">
        <v>1151</v>
      </c>
      <c r="BZ1242" s="459" t="s">
        <v>1151</v>
      </c>
      <c r="CA1242" s="459" t="s">
        <v>1151</v>
      </c>
      <c r="CB1242" s="459" t="s">
        <v>1151</v>
      </c>
      <c r="CC1242" s="459" t="s">
        <v>1151</v>
      </c>
      <c r="CD1242" s="459" t="s">
        <v>1151</v>
      </c>
      <c r="CE1242" s="459" t="s">
        <v>1151</v>
      </c>
      <c r="CF1242" s="459" t="s">
        <v>1151</v>
      </c>
      <c r="CG1242" s="2601"/>
      <c r="CH1242" s="331"/>
      <c r="CI1242" s="331"/>
      <c r="CJ1242" s="331"/>
      <c r="CK1242" s="331"/>
      <c r="CL1242" s="2032"/>
      <c r="CM1242" s="2029" t="str">
        <f>G1242</f>
        <v xml:space="preserve">                </v>
      </c>
      <c r="CN1242" s="2029" t="str">
        <f>L1242</f>
        <v xml:space="preserve">                </v>
      </c>
      <c r="CO1242" s="2029" t="str">
        <f>Q1242</f>
        <v xml:space="preserve">                </v>
      </c>
      <c r="CP1242" s="2029" t="str">
        <f>V1242</f>
        <v xml:space="preserve">                </v>
      </c>
      <c r="CQ1242" s="2029" t="str">
        <f>AA1242</f>
        <v xml:space="preserve">                </v>
      </c>
      <c r="CR1242" s="2029" t="str">
        <f>AF1242</f>
        <v xml:space="preserve">                </v>
      </c>
      <c r="CS1242" s="2029" t="str">
        <f>AK1242</f>
        <v xml:space="preserve">                </v>
      </c>
      <c r="CT1242" s="2029"/>
      <c r="CU1242" s="2029"/>
      <c r="CV1242" s="2029" t="str">
        <f>AZ1242</f>
        <v xml:space="preserve">                </v>
      </c>
      <c r="CW1242" s="2029" t="str">
        <f>BE1242</f>
        <v xml:space="preserve">                </v>
      </c>
      <c r="CX1242" s="2029" t="str">
        <f>BJ1242</f>
        <v xml:space="preserve">                </v>
      </c>
      <c r="CY1242" s="2029" t="str">
        <f>BO1242</f>
        <v xml:space="preserve">                </v>
      </c>
      <c r="CZ1242" s="2029" t="str">
        <f>BT1242</f>
        <v xml:space="preserve">                </v>
      </c>
      <c r="DA1242" s="2029" t="str">
        <f t="shared" ref="DA1242:DC1244" si="2878">BY1242</f>
        <v xml:space="preserve">                </v>
      </c>
      <c r="DB1242" s="2029" t="str">
        <f t="shared" si="2878"/>
        <v xml:space="preserve">                </v>
      </c>
      <c r="DC1242" s="2030" t="str">
        <f t="shared" si="2878"/>
        <v xml:space="preserve">                </v>
      </c>
      <c r="DD1242" s="331"/>
      <c r="DE1242" s="331"/>
      <c r="DF1242" s="502"/>
      <c r="DG1242" s="503"/>
      <c r="DH1242" s="2029"/>
      <c r="DI1242" s="3213"/>
      <c r="DJ1242" s="502"/>
      <c r="DK1242" s="503"/>
      <c r="DL1242" s="502"/>
      <c r="DM1242" s="502"/>
      <c r="DN1242" s="502"/>
      <c r="DO1242" s="502"/>
      <c r="DP1242" s="503"/>
      <c r="DQ1242" s="503"/>
      <c r="DR1242" s="296"/>
      <c r="DS1242" s="296"/>
      <c r="DT1242" s="296"/>
    </row>
    <row r="1243" spans="1:130" s="2498" customFormat="1" ht="12" customHeight="1" x14ac:dyDescent="0.25">
      <c r="A1243" s="3151" t="s">
        <v>1240</v>
      </c>
      <c r="B1243" s="3151"/>
      <c r="C1243" s="2671"/>
      <c r="D1243" s="2671"/>
      <c r="E1243" s="2671"/>
      <c r="F1243" s="2671"/>
      <c r="G1243" s="3023"/>
      <c r="H1243" s="2671"/>
      <c r="I1243" s="2671"/>
      <c r="J1243" s="2671"/>
      <c r="K1243" s="2671"/>
      <c r="L1243" s="3023"/>
      <c r="M1243" s="2671"/>
      <c r="N1243" s="2671"/>
      <c r="O1243" s="2671"/>
      <c r="P1243" s="2671"/>
      <c r="Q1243" s="3023"/>
      <c r="R1243" s="2671"/>
      <c r="S1243" s="2671"/>
      <c r="T1243" s="2671"/>
      <c r="U1243" s="2671"/>
      <c r="V1243" s="3023"/>
      <c r="W1243" s="2671"/>
      <c r="X1243" s="2671"/>
      <c r="Y1243" s="2671"/>
      <c r="Z1243" s="2671"/>
      <c r="AA1243" s="3023"/>
      <c r="AB1243" s="2671"/>
      <c r="AC1243" s="2671"/>
      <c r="AD1243" s="2671"/>
      <c r="AE1243" s="2671"/>
      <c r="AF1243" s="3023"/>
      <c r="AG1243" s="2671"/>
      <c r="AH1243" s="2671"/>
      <c r="AI1243" s="2671"/>
      <c r="AJ1243" s="2671"/>
      <c r="AK1243" s="3023"/>
      <c r="AL1243" s="2671"/>
      <c r="AM1243" s="2671"/>
      <c r="AN1243" s="2671"/>
      <c r="AO1243" s="2671"/>
      <c r="AP1243" s="2670"/>
      <c r="AQ1243" s="2670"/>
      <c r="AR1243" s="2671"/>
      <c r="AS1243" s="2671"/>
      <c r="AT1243" s="2671"/>
      <c r="AU1243" s="3023"/>
      <c r="AV1243" s="2670"/>
      <c r="AW1243" s="2671"/>
      <c r="AX1243" s="2671"/>
      <c r="AY1243" s="3491"/>
      <c r="AZ1243" s="3023"/>
      <c r="BA1243" s="2975">
        <v>104.309</v>
      </c>
      <c r="BB1243" s="1392">
        <v>104.613</v>
      </c>
      <c r="BC1243" s="1392">
        <v>104.625</v>
      </c>
      <c r="BD1243" s="1392">
        <v>107.84099999999999</v>
      </c>
      <c r="BE1243" s="3023">
        <f>+BE1239+BE1237+BE1235+BE1233+BE1241</f>
        <v>421.38799999999998</v>
      </c>
      <c r="BF1243" s="3492">
        <f>+BF47</f>
        <v>108.845</v>
      </c>
      <c r="BG1243" s="3493">
        <f>+BG47</f>
        <v>109.51900000000001</v>
      </c>
      <c r="BH1243" s="1392">
        <v>109</v>
      </c>
      <c r="BI1243" s="2989">
        <f>+BI1239+BI1237+BI1235+BI1233</f>
        <v>109.62420283103333</v>
      </c>
      <c r="BJ1243" s="2989">
        <f>+BJ1239+BJ1237+BJ1235+BJ1233+BJ1241</f>
        <v>436.98820283103333</v>
      </c>
      <c r="BK1243" s="1392">
        <v>111.396</v>
      </c>
      <c r="BL1243" s="1392">
        <v>110.8</v>
      </c>
      <c r="BM1243" s="1392">
        <v>109.71</v>
      </c>
      <c r="BN1243" s="1392">
        <v>110.42</v>
      </c>
      <c r="BO1243" s="3023">
        <f>+BO1239+BO1237+BO1235+BO1233+BO1241</f>
        <v>442.32600000000002</v>
      </c>
      <c r="BP1243" s="1392">
        <v>112.45</v>
      </c>
      <c r="BQ1243" s="1392">
        <v>113.9</v>
      </c>
      <c r="BR1243" s="1392">
        <v>114.489</v>
      </c>
      <c r="BS1243" s="1392">
        <v>114.532</v>
      </c>
      <c r="BT1243" s="3023">
        <f t="shared" ref="BT1243:CA1243" si="2879">+BT1239+BT1237+BT1235+BT1233+BT1241</f>
        <v>455.37100000000009</v>
      </c>
      <c r="BU1243" s="2671">
        <f t="shared" si="2879"/>
        <v>115.91873705837774</v>
      </c>
      <c r="BV1243" s="2671">
        <f>+BV1239+BV1237+BV1235+BV1233+BV1241</f>
        <v>115.55783932036537</v>
      </c>
      <c r="BW1243" s="2671">
        <f>+BW1239+BW1237+BW1235+BW1233+BW1241</f>
        <v>115.32936630428618</v>
      </c>
      <c r="BX1243" s="2671">
        <f>+BX1239+BX1237+BX1235+BX1233+BX1241</f>
        <v>113.94339153139074</v>
      </c>
      <c r="BY1243" s="3023">
        <f>+BY1239+BY1237+BY1235+BY1233+BY1241</f>
        <v>460.74933421442</v>
      </c>
      <c r="BZ1243" s="3023">
        <f t="shared" si="2879"/>
        <v>459.34880323886114</v>
      </c>
      <c r="CA1243" s="3023">
        <f t="shared" si="2879"/>
        <v>465.31543749347514</v>
      </c>
      <c r="CB1243" s="3023">
        <f>+CB1239+CB1237+CB1235+CB1233</f>
        <v>483.86407024809932</v>
      </c>
      <c r="CC1243" s="3023">
        <f>+CC1239+CC1237+CC1235+CC1233</f>
        <v>485.48333910219355</v>
      </c>
      <c r="CD1243" s="3023">
        <f>+CD1239+CD1237+CD1235+CD1233</f>
        <v>493.07786526077564</v>
      </c>
      <c r="CE1243" s="3023">
        <f>+CE1239+CE1237+CE1235+CE1233</f>
        <v>500.94305448921682</v>
      </c>
      <c r="CF1243" s="3023">
        <f>+CF1239+CF1237+CF1235+CF1233</f>
        <v>508.74050152767791</v>
      </c>
      <c r="CG1243" s="2671"/>
      <c r="CH1243" s="450"/>
      <c r="CI1243" s="450"/>
      <c r="CJ1243" s="450"/>
      <c r="CK1243" s="450"/>
      <c r="CL1243" s="885" t="str">
        <f>A1243</f>
        <v>Total Rent</v>
      </c>
      <c r="CM1243" s="450"/>
      <c r="CN1243" s="450"/>
      <c r="CO1243" s="450"/>
      <c r="CP1243" s="450"/>
      <c r="CQ1243" s="450"/>
      <c r="CR1243" s="450"/>
      <c r="CS1243" s="450"/>
      <c r="CT1243" s="450"/>
      <c r="CU1243" s="450"/>
      <c r="CV1243" s="450">
        <f>AZ1243</f>
        <v>0</v>
      </c>
      <c r="CW1243" s="450">
        <f>BE1243</f>
        <v>421.38799999999998</v>
      </c>
      <c r="CX1243" s="450">
        <f>BJ1243</f>
        <v>436.98820283103333</v>
      </c>
      <c r="CY1243" s="450">
        <f>BO1243</f>
        <v>442.32600000000002</v>
      </c>
      <c r="CZ1243" s="450">
        <f>BT1243</f>
        <v>455.37100000000009</v>
      </c>
      <c r="DA1243" s="450">
        <f t="shared" si="2878"/>
        <v>460.74933421442</v>
      </c>
      <c r="DB1243" s="450">
        <f t="shared" si="2878"/>
        <v>459.34880323886114</v>
      </c>
      <c r="DC1243" s="1861">
        <f t="shared" si="2878"/>
        <v>465.31543749347514</v>
      </c>
      <c r="DD1243" s="450"/>
      <c r="DE1243" s="450"/>
      <c r="DF1243" s="2144"/>
      <c r="DG1243" s="2144"/>
      <c r="DH1243" s="2671"/>
      <c r="DI1243" s="3213"/>
      <c r="DJ1243" s="2144"/>
      <c r="DK1243" s="2144"/>
      <c r="DL1243" s="2144"/>
      <c r="DM1243" s="2144"/>
      <c r="DN1243" s="2144"/>
      <c r="DO1243" s="2144"/>
      <c r="DP1243" s="2144"/>
      <c r="DQ1243" s="2144"/>
      <c r="DR1243" s="2145"/>
      <c r="DS1243" s="2145"/>
      <c r="DT1243" s="2145"/>
      <c r="DU1243"/>
      <c r="DV1243"/>
      <c r="DW1243"/>
      <c r="DX1243"/>
      <c r="DY1243"/>
      <c r="DZ1243"/>
    </row>
    <row r="1244" spans="1:130" s="2501" customFormat="1" ht="12" customHeight="1" x14ac:dyDescent="0.25">
      <c r="A1244" s="2500" t="s">
        <v>1491</v>
      </c>
      <c r="B1244" s="3313"/>
      <c r="C1244" s="2977"/>
      <c r="D1244" s="2977"/>
      <c r="E1244" s="2977"/>
      <c r="F1244" s="2977"/>
      <c r="G1244" s="3122"/>
      <c r="H1244" s="2977"/>
      <c r="I1244" s="2977"/>
      <c r="J1244" s="2977"/>
      <c r="K1244" s="2977"/>
      <c r="L1244" s="3122"/>
      <c r="M1244" s="2977"/>
      <c r="N1244" s="2977"/>
      <c r="O1244" s="2977"/>
      <c r="P1244" s="2977"/>
      <c r="Q1244" s="3122"/>
      <c r="R1244" s="2977"/>
      <c r="S1244" s="2977"/>
      <c r="T1244" s="2977"/>
      <c r="U1244" s="2977"/>
      <c r="V1244" s="3122"/>
      <c r="W1244" s="2977"/>
      <c r="X1244" s="2977"/>
      <c r="Y1244" s="2977"/>
      <c r="Z1244" s="2977"/>
      <c r="AA1244" s="3122"/>
      <c r="AB1244" s="2977"/>
      <c r="AC1244" s="2977"/>
      <c r="AD1244" s="2977"/>
      <c r="AE1244" s="2977"/>
      <c r="AF1244" s="3122"/>
      <c r="AG1244" s="2977"/>
      <c r="AH1244" s="2977"/>
      <c r="AI1244" s="2977"/>
      <c r="AJ1244" s="2977"/>
      <c r="AK1244" s="3122"/>
      <c r="AL1244" s="2977"/>
      <c r="AM1244" s="2977"/>
      <c r="AN1244" s="2977"/>
      <c r="AO1244" s="2977"/>
      <c r="AP1244" s="3123"/>
      <c r="AQ1244" s="3123"/>
      <c r="AR1244" s="2977"/>
      <c r="AS1244" s="2977"/>
      <c r="AT1244" s="2977"/>
      <c r="AU1244" s="3122"/>
      <c r="AV1244" s="3123"/>
      <c r="AW1244" s="2977"/>
      <c r="AX1244" s="2977"/>
      <c r="AY1244" s="2560"/>
      <c r="AZ1244" s="3122"/>
      <c r="BA1244" s="3123"/>
      <c r="BB1244" s="2977"/>
      <c r="BC1244" s="2977"/>
      <c r="BD1244" s="2560"/>
      <c r="BE1244" s="2560"/>
      <c r="BF1244" s="2977"/>
      <c r="BG1244" s="2977"/>
      <c r="BH1244" s="2977"/>
      <c r="BI1244" s="2560"/>
      <c r="BJ1244" s="2560">
        <f t="shared" ref="BJ1244:BO1244" si="2880">+BJ1243/BE1243-1</f>
        <v>3.7020994501583804E-2</v>
      </c>
      <c r="BK1244" s="2977">
        <f t="shared" si="2880"/>
        <v>2.343699756534523E-2</v>
      </c>
      <c r="BL1244" s="2977">
        <f t="shared" si="2880"/>
        <v>1.1696600589852002E-2</v>
      </c>
      <c r="BM1244" s="2977">
        <f t="shared" si="2880"/>
        <v>6.5137614678898448E-3</v>
      </c>
      <c r="BN1244" s="2560">
        <f t="shared" si="2880"/>
        <v>7.2593200079480447E-3</v>
      </c>
      <c r="BO1244" s="2560">
        <f t="shared" si="2880"/>
        <v>1.2214968583558417E-2</v>
      </c>
      <c r="BP1244" s="2977">
        <f t="shared" ref="BP1244:BX1244" si="2881">+BP1243/BK1243-1</f>
        <v>9.4617400983878497E-3</v>
      </c>
      <c r="BQ1244" s="2977">
        <f t="shared" si="2881"/>
        <v>2.7978339350180681E-2</v>
      </c>
      <c r="BR1244" s="2977">
        <f t="shared" si="2881"/>
        <v>4.3560295324036158E-2</v>
      </c>
      <c r="BS1244" s="2977">
        <f t="shared" si="2881"/>
        <v>3.7239630501720633E-2</v>
      </c>
      <c r="BT1244" s="3122">
        <f t="shared" si="2881"/>
        <v>2.9491822773248799E-2</v>
      </c>
      <c r="BU1244" s="2977">
        <f t="shared" si="2881"/>
        <v>3.0846928042487676E-2</v>
      </c>
      <c r="BV1244" s="2977">
        <f t="shared" si="2881"/>
        <v>1.455521791365566E-2</v>
      </c>
      <c r="BW1244" s="2977">
        <f t="shared" si="2881"/>
        <v>7.340148872696739E-3</v>
      </c>
      <c r="BX1244" s="2977">
        <f t="shared" si="2881"/>
        <v>-5.1392490186956685E-3</v>
      </c>
      <c r="BY1244" s="3122">
        <f>+BY1243/BT1243-1</f>
        <v>1.1810884343578909E-2</v>
      </c>
      <c r="BZ1244" s="3122">
        <f t="shared" ref="BZ1244:CF1244" si="2882">+BZ1243/BY1243-1</f>
        <v>-3.0396809535205849E-3</v>
      </c>
      <c r="CA1244" s="3122">
        <f t="shared" si="2882"/>
        <v>1.2989332316843738E-2</v>
      </c>
      <c r="CB1244" s="3122">
        <f t="shared" si="2882"/>
        <v>3.9862491677775669E-2</v>
      </c>
      <c r="CC1244" s="3122">
        <f t="shared" si="2882"/>
        <v>3.3465366694078735E-3</v>
      </c>
      <c r="CD1244" s="3122">
        <f t="shared" si="2882"/>
        <v>1.5643227165378581E-2</v>
      </c>
      <c r="CE1244" s="3122">
        <f t="shared" si="2882"/>
        <v>1.5951211324972903E-2</v>
      </c>
      <c r="CF1244" s="3122">
        <f t="shared" si="2882"/>
        <v>1.5565535780133199E-2</v>
      </c>
      <c r="CG1244" s="2977"/>
      <c r="CH1244" s="588"/>
      <c r="CI1244" s="588"/>
      <c r="CJ1244" s="588"/>
      <c r="CK1244" s="588"/>
      <c r="CL1244" s="2178" t="str">
        <f>A1244</f>
        <v>% growth (y-o-y)</v>
      </c>
      <c r="CM1244" s="588"/>
      <c r="CN1244" s="588"/>
      <c r="CO1244" s="588"/>
      <c r="CP1244" s="588"/>
      <c r="CQ1244" s="588"/>
      <c r="CR1244" s="588"/>
      <c r="CS1244" s="588"/>
      <c r="CT1244" s="588"/>
      <c r="CU1244" s="588"/>
      <c r="CV1244" s="588"/>
      <c r="CW1244" s="588">
        <f>BE1244</f>
        <v>0</v>
      </c>
      <c r="CX1244" s="588">
        <f>BJ1244</f>
        <v>3.7020994501583804E-2</v>
      </c>
      <c r="CY1244" s="588">
        <f>BO1244</f>
        <v>1.2214968583558417E-2</v>
      </c>
      <c r="CZ1244" s="588">
        <f>BT1244</f>
        <v>2.9491822773248799E-2</v>
      </c>
      <c r="DA1244" s="588">
        <f t="shared" si="2878"/>
        <v>1.1810884343578909E-2</v>
      </c>
      <c r="DB1244" s="588">
        <f t="shared" si="2878"/>
        <v>-3.0396809535205849E-3</v>
      </c>
      <c r="DC1244" s="1197">
        <f t="shared" si="2878"/>
        <v>1.2989332316843738E-2</v>
      </c>
      <c r="DD1244" s="588"/>
      <c r="DE1244" s="588"/>
      <c r="DF1244" s="964"/>
      <c r="DG1244" s="964"/>
      <c r="DH1244" s="2977"/>
      <c r="DI1244" s="3213"/>
      <c r="DJ1244" s="964"/>
      <c r="DK1244" s="964"/>
      <c r="DL1244" s="964"/>
      <c r="DM1244" s="964"/>
      <c r="DN1244" s="964"/>
      <c r="DO1244" s="964"/>
      <c r="DP1244" s="964"/>
      <c r="DQ1244" s="964"/>
      <c r="DR1244" s="646"/>
      <c r="DS1244" s="646"/>
      <c r="DT1244" s="646"/>
      <c r="DU1244"/>
      <c r="DV1244"/>
      <c r="DW1244"/>
      <c r="DX1244"/>
      <c r="DY1244"/>
      <c r="DZ1244"/>
    </row>
    <row r="1245" spans="1:130" ht="12.6" customHeight="1" x14ac:dyDescent="0.25">
      <c r="A1245" s="2015" t="s">
        <v>1029</v>
      </c>
      <c r="B1245" s="1978"/>
      <c r="C1245" s="1255"/>
      <c r="D1245" s="1255"/>
      <c r="E1245" s="1255"/>
      <c r="F1245" s="1255"/>
      <c r="G1245" s="1979"/>
      <c r="H1245" s="1255"/>
      <c r="I1245" s="1255"/>
      <c r="J1245" s="1255"/>
      <c r="K1245" s="1255"/>
      <c r="L1245" s="1979"/>
      <c r="M1245" s="1255"/>
      <c r="N1245" s="1255"/>
      <c r="O1245" s="1255"/>
      <c r="P1245" s="1255"/>
      <c r="Q1245" s="1979"/>
      <c r="R1245" s="1255"/>
      <c r="S1245" s="1255"/>
      <c r="T1245" s="1255"/>
      <c r="U1245" s="1255"/>
      <c r="V1245" s="1979"/>
      <c r="W1245" s="1255"/>
      <c r="X1245" s="1255"/>
      <c r="Y1245" s="1255"/>
      <c r="Z1245" s="1255"/>
      <c r="AA1245" s="1979"/>
      <c r="AB1245" s="1255"/>
      <c r="AC1245" s="1255"/>
      <c r="AD1245" s="1255"/>
      <c r="AE1245" s="1255"/>
      <c r="AF1245" s="1979"/>
      <c r="AG1245" s="1255"/>
      <c r="AH1245" s="1255"/>
      <c r="AI1245" s="1255"/>
      <c r="AJ1245" s="1255"/>
      <c r="AK1245" s="1979"/>
      <c r="AL1245" s="1255"/>
      <c r="AM1245" s="1255"/>
      <c r="AN1245" s="1255"/>
      <c r="AO1245" s="1255"/>
      <c r="AP1245" s="1979"/>
      <c r="AQ1245" s="1255"/>
      <c r="AR1245" s="1255"/>
      <c r="AS1245" s="1255"/>
      <c r="AT1245" s="1255"/>
      <c r="AU1245" s="1979"/>
      <c r="AV1245" s="1255"/>
      <c r="AW1245" s="1255"/>
      <c r="AX1245" s="1255"/>
      <c r="AY1245" s="2374"/>
      <c r="AZ1245" s="1979"/>
      <c r="BA1245" s="1255">
        <f>+BA46</f>
        <v>103.2</v>
      </c>
      <c r="BB1245" s="1255">
        <f>+BB46</f>
        <v>104.3</v>
      </c>
      <c r="BC1245" s="1255">
        <f>+BC46</f>
        <v>104</v>
      </c>
      <c r="BD1245" s="1255"/>
      <c r="BE1245" s="1979">
        <f>+BE46</f>
        <v>420.2</v>
      </c>
      <c r="BF1245" s="1255">
        <f>+BF46</f>
        <v>109.2</v>
      </c>
      <c r="BG1245" s="1255">
        <v>108.8</v>
      </c>
      <c r="BH1245" s="1255">
        <v>108.7</v>
      </c>
      <c r="BI1245" s="3494">
        <f>+BJ1245-BH1245-BG1243-BF1243</f>
        <v>109.33599999999998</v>
      </c>
      <c r="BJ1245" s="1979">
        <f>+BJ46</f>
        <v>436.4</v>
      </c>
      <c r="BK1245" s="1255"/>
      <c r="BL1245" s="1255">
        <v>111.8</v>
      </c>
      <c r="BM1245" s="1255">
        <v>110.4</v>
      </c>
      <c r="BN1245" s="1255">
        <v>110.8</v>
      </c>
      <c r="BO1245" s="1979">
        <v>442.7</v>
      </c>
      <c r="BP1245" s="1255">
        <v>111.9</v>
      </c>
      <c r="BQ1245" s="1255">
        <v>112.2</v>
      </c>
      <c r="BR1245" s="1255">
        <v>114</v>
      </c>
      <c r="BS1245" s="1255">
        <v>114.4</v>
      </c>
      <c r="BT1245" s="1979">
        <v>455.2</v>
      </c>
      <c r="BU1245" s="1255">
        <v>115.7</v>
      </c>
      <c r="BV1245" s="1255"/>
      <c r="BW1245" s="1255"/>
      <c r="BX1245" s="1255"/>
      <c r="BY1245" s="1979">
        <v>461.3</v>
      </c>
      <c r="BZ1245" s="1979"/>
      <c r="CA1245" s="1979"/>
      <c r="CB1245" s="1979"/>
      <c r="CC1245" s="1979"/>
      <c r="CD1245" s="1979"/>
      <c r="CE1245" s="1979"/>
      <c r="CF1245" s="1979"/>
      <c r="CG1245" s="469"/>
      <c r="CH1245" s="469"/>
      <c r="CI1245" s="469"/>
      <c r="CJ1245" s="469"/>
      <c r="CK1245" s="469"/>
      <c r="CL1245" s="2015"/>
      <c r="CM1245" s="1180"/>
      <c r="CN1245" s="1180"/>
      <c r="CO1245" s="1180"/>
      <c r="CP1245" s="1180"/>
      <c r="CQ1245" s="1180"/>
      <c r="CR1245" s="1180"/>
      <c r="CS1245" s="1180"/>
      <c r="CT1245" s="1180"/>
      <c r="CU1245" s="1180"/>
      <c r="CV1245" s="1180"/>
      <c r="CW1245" s="1180"/>
      <c r="CX1245" s="1180"/>
      <c r="CY1245" s="1180"/>
      <c r="CZ1245" s="1180"/>
      <c r="DA1245" s="1180"/>
      <c r="DB1245" s="1180"/>
      <c r="DC1245" s="2016"/>
      <c r="DD1245" s="469"/>
      <c r="DE1245" s="469"/>
      <c r="DF1245" s="469"/>
      <c r="DG1245" s="469"/>
      <c r="DH1245" s="1180"/>
      <c r="DI1245" s="3213"/>
      <c r="DJ1245" s="469"/>
      <c r="DK1245" s="469"/>
      <c r="DL1245" s="469"/>
      <c r="DM1245" s="469"/>
      <c r="DN1245" s="469"/>
      <c r="DO1245" s="469"/>
      <c r="DP1245" s="469"/>
      <c r="DQ1245" s="469"/>
      <c r="DR1245" s="1659"/>
      <c r="DS1245" s="1659"/>
      <c r="DT1245" s="1659"/>
    </row>
    <row r="1246" spans="1:130" s="2501" customFormat="1" ht="12" customHeight="1" x14ac:dyDescent="0.25">
      <c r="A1246" s="2500"/>
      <c r="B1246" s="3313"/>
      <c r="C1246" s="2977"/>
      <c r="D1246" s="2977"/>
      <c r="E1246" s="2977"/>
      <c r="F1246" s="2977"/>
      <c r="G1246" s="3122"/>
      <c r="H1246" s="2977"/>
      <c r="I1246" s="2977"/>
      <c r="J1246" s="2977"/>
      <c r="K1246" s="2977"/>
      <c r="L1246" s="3122"/>
      <c r="M1246" s="2977"/>
      <c r="N1246" s="2977"/>
      <c r="O1246" s="2977"/>
      <c r="P1246" s="2977"/>
      <c r="Q1246" s="3122"/>
      <c r="R1246" s="2977"/>
      <c r="S1246" s="2977"/>
      <c r="T1246" s="2977"/>
      <c r="U1246" s="2977"/>
      <c r="V1246" s="3122"/>
      <c r="W1246" s="2977"/>
      <c r="X1246" s="2977"/>
      <c r="Y1246" s="2977"/>
      <c r="Z1246" s="2977"/>
      <c r="AA1246" s="3122"/>
      <c r="AB1246" s="2977"/>
      <c r="AC1246" s="2977"/>
      <c r="AD1246" s="2977"/>
      <c r="AE1246" s="2977"/>
      <c r="AF1246" s="3122"/>
      <c r="AG1246" s="2977"/>
      <c r="AH1246" s="2977"/>
      <c r="AI1246" s="2977"/>
      <c r="AJ1246" s="2977"/>
      <c r="AK1246" s="3122"/>
      <c r="AL1246" s="2977"/>
      <c r="AM1246" s="2977"/>
      <c r="AN1246" s="2977"/>
      <c r="AO1246" s="2977"/>
      <c r="AP1246" s="3123"/>
      <c r="AQ1246" s="3123"/>
      <c r="AR1246" s="2977"/>
      <c r="AS1246" s="2977"/>
      <c r="AT1246" s="2977"/>
      <c r="AU1246" s="3122"/>
      <c r="AV1246" s="3123"/>
      <c r="AW1246" s="2977"/>
      <c r="AX1246" s="2977"/>
      <c r="AY1246" s="2560"/>
      <c r="AZ1246" s="3122"/>
      <c r="BA1246" s="3123"/>
      <c r="BB1246" s="2977"/>
      <c r="BC1246" s="2977"/>
      <c r="BD1246" s="2560"/>
      <c r="BE1246" s="2560"/>
      <c r="BF1246" s="2977"/>
      <c r="BG1246" s="2977"/>
      <c r="BH1246" s="2977"/>
      <c r="BI1246" s="2560"/>
      <c r="BJ1246" s="2560"/>
      <c r="BK1246" s="2977"/>
      <c r="BL1246" s="2977"/>
      <c r="BM1246" s="2977"/>
      <c r="BN1246" s="2560"/>
      <c r="BO1246" s="2560"/>
      <c r="BP1246" s="2977"/>
      <c r="BQ1246" s="2977"/>
      <c r="BR1246" s="2977"/>
      <c r="BS1246" s="3392"/>
      <c r="BT1246" s="3122"/>
      <c r="BU1246" s="3123"/>
      <c r="BV1246" s="3392"/>
      <c r="BW1246" s="2977"/>
      <c r="BX1246" s="2977"/>
      <c r="BY1246" s="3122"/>
      <c r="BZ1246" s="3122"/>
      <c r="CA1246" s="3122"/>
      <c r="CB1246" s="3122"/>
      <c r="CC1246" s="3122"/>
      <c r="CD1246" s="3122"/>
      <c r="CE1246" s="3122"/>
      <c r="CF1246" s="3122"/>
      <c r="CG1246" s="2977"/>
      <c r="CH1246" s="588"/>
      <c r="CI1246" s="588"/>
      <c r="CJ1246" s="588"/>
      <c r="CK1246" s="588"/>
      <c r="CL1246" s="2178"/>
      <c r="CM1246" s="588"/>
      <c r="CN1246" s="588"/>
      <c r="CO1246" s="588"/>
      <c r="CP1246" s="588"/>
      <c r="CQ1246" s="588"/>
      <c r="CR1246" s="588"/>
      <c r="CS1246" s="588"/>
      <c r="CT1246" s="588"/>
      <c r="CU1246" s="588"/>
      <c r="CV1246" s="588"/>
      <c r="CW1246" s="588"/>
      <c r="CX1246" s="588"/>
      <c r="CY1246" s="588"/>
      <c r="CZ1246" s="588"/>
      <c r="DA1246" s="588"/>
      <c r="DB1246" s="588"/>
      <c r="DC1246" s="1197"/>
      <c r="DD1246" s="588"/>
      <c r="DE1246" s="588"/>
      <c r="DF1246" s="964"/>
      <c r="DG1246" s="964"/>
      <c r="DH1246" s="2977"/>
      <c r="DI1246" s="3213"/>
      <c r="DJ1246" s="964"/>
      <c r="DK1246" s="964"/>
      <c r="DL1246" s="964"/>
      <c r="DM1246" s="964"/>
      <c r="DN1246" s="964"/>
      <c r="DO1246" s="964"/>
      <c r="DP1246" s="964"/>
      <c r="DQ1246" s="964"/>
      <c r="DR1246" s="646"/>
      <c r="DS1246" s="646"/>
      <c r="DT1246" s="646"/>
      <c r="DU1246"/>
      <c r="DV1246"/>
      <c r="DW1246"/>
      <c r="DX1246"/>
      <c r="DY1246"/>
      <c r="DZ1246"/>
    </row>
    <row r="1247" spans="1:130" s="2501" customFormat="1" ht="12" customHeight="1" x14ac:dyDescent="0.25">
      <c r="A1247" s="359" t="s">
        <v>2606</v>
      </c>
      <c r="B1247" s="3313"/>
      <c r="C1247" s="2977"/>
      <c r="D1247" s="2977"/>
      <c r="E1247" s="2977"/>
      <c r="F1247" s="2977"/>
      <c r="G1247" s="3122"/>
      <c r="H1247" s="2977"/>
      <c r="I1247" s="2977"/>
      <c r="J1247" s="2977"/>
      <c r="K1247" s="2977"/>
      <c r="L1247" s="3122"/>
      <c r="M1247" s="2977"/>
      <c r="N1247" s="2977"/>
      <c r="O1247" s="2977"/>
      <c r="P1247" s="2977"/>
      <c r="Q1247" s="3122"/>
      <c r="R1247" s="2977"/>
      <c r="S1247" s="2977"/>
      <c r="T1247" s="2977"/>
      <c r="U1247" s="2977"/>
      <c r="V1247" s="3122"/>
      <c r="W1247" s="2977"/>
      <c r="X1247" s="2977"/>
      <c r="Y1247" s="2977"/>
      <c r="Z1247" s="2977"/>
      <c r="AA1247" s="3122"/>
      <c r="AB1247" s="2977"/>
      <c r="AC1247" s="2977"/>
      <c r="AD1247" s="2977"/>
      <c r="AE1247" s="2977"/>
      <c r="AF1247" s="3122"/>
      <c r="AG1247" s="2977"/>
      <c r="AH1247" s="2977"/>
      <c r="AI1247" s="2977"/>
      <c r="AJ1247" s="2977"/>
      <c r="AK1247" s="3122"/>
      <c r="AL1247" s="2977"/>
      <c r="AM1247" s="2977"/>
      <c r="AN1247" s="2977"/>
      <c r="AO1247" s="2977"/>
      <c r="AP1247" s="3123"/>
      <c r="AQ1247" s="3123"/>
      <c r="AR1247" s="2977"/>
      <c r="AS1247" s="2977"/>
      <c r="AT1247" s="2977"/>
      <c r="AU1247" s="3122"/>
      <c r="AV1247" s="3123"/>
      <c r="AW1247" s="2977"/>
      <c r="AX1247" s="2977"/>
      <c r="AY1247" s="2560"/>
      <c r="AZ1247" s="3122"/>
      <c r="BA1247" s="3123"/>
      <c r="BB1247" s="2977"/>
      <c r="BC1247" s="2977"/>
      <c r="BD1247" s="2560"/>
      <c r="BE1247" s="2560"/>
      <c r="BF1247" s="2977"/>
      <c r="BG1247" s="2977"/>
      <c r="BH1247" s="2977"/>
      <c r="BI1247" s="2560"/>
      <c r="BJ1247" s="2560"/>
      <c r="BK1247" s="2977"/>
      <c r="BL1247" s="2977"/>
      <c r="BM1247" s="2977"/>
      <c r="BN1247" s="2560"/>
      <c r="BO1247" s="2560"/>
      <c r="BP1247" s="2977"/>
      <c r="BQ1247" s="2977"/>
      <c r="BR1247" s="2977"/>
      <c r="BS1247" s="2977"/>
      <c r="BT1247" s="3122"/>
      <c r="BU1247" s="3123"/>
      <c r="BV1247" s="2977"/>
      <c r="BW1247" s="2977"/>
      <c r="BX1247" s="2977"/>
      <c r="BY1247" s="3122"/>
      <c r="BZ1247" s="3122"/>
      <c r="CA1247" s="3122"/>
      <c r="CB1247" s="3122"/>
      <c r="CC1247" s="3122"/>
      <c r="CD1247" s="3122"/>
      <c r="CE1247" s="3122"/>
      <c r="CF1247" s="3122"/>
      <c r="CG1247" s="2977"/>
      <c r="CH1247" s="588"/>
      <c r="CI1247" s="588"/>
      <c r="CJ1247" s="588"/>
      <c r="CK1247" s="588"/>
      <c r="CL1247" s="2178"/>
      <c r="CM1247" s="588"/>
      <c r="CN1247" s="588"/>
      <c r="CO1247" s="588"/>
      <c r="CP1247" s="588"/>
      <c r="CQ1247" s="588"/>
      <c r="CR1247" s="588"/>
      <c r="CS1247" s="588"/>
      <c r="CT1247" s="588"/>
      <c r="CU1247" s="588"/>
      <c r="CV1247" s="588"/>
      <c r="CW1247" s="588"/>
      <c r="CX1247" s="588"/>
      <c r="CY1247" s="588"/>
      <c r="CZ1247" s="588"/>
      <c r="DA1247" s="588"/>
      <c r="DB1247" s="588"/>
      <c r="DC1247" s="1197"/>
      <c r="DD1247" s="588"/>
      <c r="DE1247" s="588"/>
      <c r="DF1247" s="964"/>
      <c r="DG1247" s="964"/>
      <c r="DH1247" s="2977"/>
      <c r="DI1247" s="3213"/>
      <c r="DJ1247" s="964"/>
      <c r="DK1247" s="964"/>
      <c r="DL1247" s="964"/>
      <c r="DM1247" s="964"/>
      <c r="DN1247" s="964"/>
      <c r="DO1247" s="964"/>
      <c r="DP1247" s="964"/>
      <c r="DQ1247" s="964"/>
      <c r="DR1247" s="646"/>
      <c r="DS1247" s="646"/>
      <c r="DT1247" s="646"/>
      <c r="DU1247"/>
      <c r="DV1247"/>
      <c r="DW1247"/>
      <c r="DX1247"/>
      <c r="DY1247"/>
      <c r="DZ1247"/>
    </row>
    <row r="1248" spans="1:130" s="2501" customFormat="1" ht="12" customHeight="1" x14ac:dyDescent="0.25">
      <c r="A1248" s="2725" t="s">
        <v>2607</v>
      </c>
      <c r="B1248" s="3313"/>
      <c r="C1248" s="2977"/>
      <c r="D1248" s="2977"/>
      <c r="E1248" s="2977"/>
      <c r="F1248" s="2977"/>
      <c r="G1248" s="3122"/>
      <c r="H1248" s="2977"/>
      <c r="I1248" s="2977"/>
      <c r="J1248" s="2977"/>
      <c r="K1248" s="2977"/>
      <c r="L1248" s="3122"/>
      <c r="M1248" s="2977"/>
      <c r="N1248" s="2977"/>
      <c r="O1248" s="2977"/>
      <c r="P1248" s="2977"/>
      <c r="Q1248" s="3122"/>
      <c r="R1248" s="2977"/>
      <c r="S1248" s="2977"/>
      <c r="T1248" s="2977"/>
      <c r="U1248" s="2977"/>
      <c r="V1248" s="3122"/>
      <c r="W1248" s="2977"/>
      <c r="X1248" s="2977"/>
      <c r="Y1248" s="2977"/>
      <c r="Z1248" s="2977"/>
      <c r="AA1248" s="3122"/>
      <c r="AB1248" s="2977"/>
      <c r="AC1248" s="2977"/>
      <c r="AD1248" s="2977"/>
      <c r="AE1248" s="2977"/>
      <c r="AF1248" s="3122"/>
      <c r="AG1248" s="2977"/>
      <c r="AH1248" s="2977"/>
      <c r="AI1248" s="2977"/>
      <c r="AJ1248" s="2977"/>
      <c r="AK1248" s="3122"/>
      <c r="AL1248" s="2977"/>
      <c r="AM1248" s="2977"/>
      <c r="AN1248" s="2977"/>
      <c r="AO1248" s="2977"/>
      <c r="AP1248" s="3123"/>
      <c r="AQ1248" s="3123"/>
      <c r="AR1248" s="2977"/>
      <c r="AS1248" s="2977"/>
      <c r="AT1248" s="2977"/>
      <c r="AU1248" s="3122"/>
      <c r="AV1248" s="3123"/>
      <c r="AW1248" s="2977"/>
      <c r="AX1248" s="2977"/>
      <c r="AY1248" s="2560"/>
      <c r="AZ1248" s="3122"/>
      <c r="BA1248" s="3123"/>
      <c r="BB1248" s="2977"/>
      <c r="BC1248" s="2977"/>
      <c r="BD1248" s="2560"/>
      <c r="BE1248" s="2560"/>
      <c r="BF1248" s="2977"/>
      <c r="BG1248" s="2977"/>
      <c r="BH1248" s="2977"/>
      <c r="BI1248" s="2560"/>
      <c r="BJ1248" s="2560"/>
      <c r="BK1248" s="2977"/>
      <c r="BL1248" s="1392">
        <f>289.056/4*(64/91)</f>
        <v>50.823032967032965</v>
      </c>
      <c r="BM1248" s="1392">
        <f>(289.056/365)*BM5</f>
        <v>72.857950684931495</v>
      </c>
      <c r="BN1248" s="1392">
        <f>(289.056/365)*BN5</f>
        <v>72.857950684931495</v>
      </c>
      <c r="BO1248" s="3205">
        <f>SUM(BL1248:BN1248)</f>
        <v>196.53893433689595</v>
      </c>
      <c r="BP1248" s="3465">
        <f>(289.056/365)*BP5</f>
        <v>71.27408219178082</v>
      </c>
      <c r="BQ1248" s="3465">
        <f>(289.056/365)*BQ5*1.0133</f>
        <v>73.024494456986304</v>
      </c>
      <c r="BR1248" s="3465">
        <f>(289.056/365)*BR5*1.02</f>
        <v>74.315109698630124</v>
      </c>
      <c r="BS1248" s="3465">
        <f>(289.056/365)*BS5*1.02</f>
        <v>74.315109698630124</v>
      </c>
      <c r="BT1248" s="3205">
        <f>SUM(BP1248:BS1248)</f>
        <v>292.9287960460274</v>
      </c>
      <c r="BU1248" s="3465">
        <f>BS1248</f>
        <v>74.315109698630124</v>
      </c>
      <c r="BV1248" s="3465">
        <f>BU1248</f>
        <v>74.315109698630124</v>
      </c>
      <c r="BW1248" s="3503">
        <f>(284.7/4)*(BV1248/BV1252)+(13.9/4)+(25/4)</f>
        <v>64.684786922578837</v>
      </c>
      <c r="BX1248" s="3504">
        <f>+BW1248</f>
        <v>64.684786922578837</v>
      </c>
      <c r="BY1248" s="3205">
        <f>SUM(BW1248:BX1248)</f>
        <v>129.36957384515767</v>
      </c>
      <c r="BZ1248" s="3505">
        <f>+BX1248*4</f>
        <v>258.73914769031535</v>
      </c>
      <c r="CA1248" s="3487">
        <f>+BZ1248</f>
        <v>258.73914769031535</v>
      </c>
      <c r="CB1248" s="3122"/>
      <c r="CC1248" s="3122"/>
      <c r="CD1248" s="3122"/>
      <c r="CE1248" s="3122"/>
      <c r="CF1248" s="3122"/>
      <c r="CG1248" s="2977"/>
      <c r="CH1248" s="588"/>
      <c r="CI1248" s="588"/>
      <c r="CJ1248" s="588"/>
      <c r="CK1248" s="588"/>
      <c r="CL1248" s="2178"/>
      <c r="CM1248" s="588"/>
      <c r="CN1248" s="588"/>
      <c r="CO1248" s="588"/>
      <c r="CP1248" s="588"/>
      <c r="CQ1248" s="588"/>
      <c r="CR1248" s="588"/>
      <c r="CS1248" s="588"/>
      <c r="CT1248" s="588"/>
      <c r="CU1248" s="588"/>
      <c r="CV1248" s="588"/>
      <c r="CW1248" s="588"/>
      <c r="CX1248" s="588"/>
      <c r="CY1248" s="588"/>
      <c r="CZ1248" s="588"/>
      <c r="DA1248" s="588"/>
      <c r="DB1248" s="588"/>
      <c r="DC1248" s="1197"/>
      <c r="DD1248" s="588"/>
      <c r="DE1248" s="588"/>
      <c r="DF1248" s="964"/>
      <c r="DG1248" s="964"/>
      <c r="DH1248" s="2977"/>
      <c r="DI1248" s="3213"/>
      <c r="DJ1248" s="964"/>
      <c r="DK1248" s="964"/>
      <c r="DL1248" s="964"/>
      <c r="DM1248" s="964"/>
      <c r="DN1248" s="964"/>
      <c r="DO1248" s="964"/>
      <c r="DP1248" s="964"/>
      <c r="DQ1248" s="964"/>
      <c r="DR1248" s="646"/>
      <c r="DS1248" s="646"/>
      <c r="DT1248" s="646"/>
      <c r="DU1248"/>
      <c r="DV1248"/>
      <c r="DW1248"/>
      <c r="DX1248"/>
      <c r="DY1248"/>
      <c r="DZ1248"/>
    </row>
    <row r="1249" spans="1:130" s="2501" customFormat="1" ht="12" customHeight="1" x14ac:dyDescent="0.25">
      <c r="A1249" s="2725" t="s">
        <v>2608</v>
      </c>
      <c r="B1249" s="3313"/>
      <c r="C1249" s="2977"/>
      <c r="D1249" s="2977"/>
      <c r="E1249" s="2977"/>
      <c r="F1249" s="2977"/>
      <c r="G1249" s="3122"/>
      <c r="H1249" s="2977"/>
      <c r="I1249" s="2977"/>
      <c r="J1249" s="2977"/>
      <c r="K1249" s="2977"/>
      <c r="L1249" s="3122"/>
      <c r="M1249" s="2977"/>
      <c r="N1249" s="2977"/>
      <c r="O1249" s="2977"/>
      <c r="P1249" s="2977"/>
      <c r="Q1249" s="3122"/>
      <c r="R1249" s="2977"/>
      <c r="S1249" s="2977"/>
      <c r="T1249" s="2977"/>
      <c r="U1249" s="2977"/>
      <c r="V1249" s="3122"/>
      <c r="W1249" s="2977"/>
      <c r="X1249" s="2977"/>
      <c r="Y1249" s="2977"/>
      <c r="Z1249" s="2977"/>
      <c r="AA1249" s="3122"/>
      <c r="AB1249" s="2977"/>
      <c r="AC1249" s="2977"/>
      <c r="AD1249" s="2977"/>
      <c r="AE1249" s="2977"/>
      <c r="AF1249" s="3122"/>
      <c r="AG1249" s="2977"/>
      <c r="AH1249" s="2977"/>
      <c r="AI1249" s="2977"/>
      <c r="AJ1249" s="2977"/>
      <c r="AK1249" s="3122"/>
      <c r="AL1249" s="2977"/>
      <c r="AM1249" s="2977"/>
      <c r="AN1249" s="2977"/>
      <c r="AO1249" s="2977"/>
      <c r="AP1249" s="3123"/>
      <c r="AQ1249" s="3123"/>
      <c r="AR1249" s="2977"/>
      <c r="AS1249" s="2977"/>
      <c r="AT1249" s="2977"/>
      <c r="AU1249" s="3122"/>
      <c r="AV1249" s="3123"/>
      <c r="AW1249" s="2977"/>
      <c r="AX1249" s="2977"/>
      <c r="AY1249" s="2560"/>
      <c r="AZ1249" s="3122"/>
      <c r="BA1249" s="3123"/>
      <c r="BB1249" s="2977"/>
      <c r="BC1249" s="2977"/>
      <c r="BD1249" s="2560"/>
      <c r="BE1249" s="2560"/>
      <c r="BF1249" s="2977"/>
      <c r="BG1249" s="2977"/>
      <c r="BH1249" s="2977"/>
      <c r="BI1249" s="2560"/>
      <c r="BJ1249" s="2560"/>
      <c r="BK1249" s="2977"/>
      <c r="BL1249" s="572">
        <f>43.972/4*(64/91)</f>
        <v>7.7313406593406606</v>
      </c>
      <c r="BM1249" s="572">
        <f>(43.972/365)*BM5</f>
        <v>11.083353424657535</v>
      </c>
      <c r="BN1249" s="572">
        <f>(43.972/365)*BN5</f>
        <v>11.083353424657535</v>
      </c>
      <c r="BO1249" s="2587">
        <f>SUM(BL1249:BN1249)</f>
        <v>29.898047508655729</v>
      </c>
      <c r="BP1249" s="572">
        <f>(43.972/365)*BP5</f>
        <v>10.842410958904111</v>
      </c>
      <c r="BQ1249" s="572">
        <f>(43.972/365)*BQ5</f>
        <v>10.962882191780823</v>
      </c>
      <c r="BR1249" s="572">
        <f>(43.972/365)*BR5</f>
        <v>11.083353424657535</v>
      </c>
      <c r="BS1249" s="572">
        <f>(43.972/365)*BS5</f>
        <v>11.083353424657535</v>
      </c>
      <c r="BT1249" s="2587">
        <f>SUM(BP1249:BS1249)</f>
        <v>43.971999999999994</v>
      </c>
      <c r="BU1249" s="572">
        <f>(43.972/365)*BU5</f>
        <v>10.842410958904111</v>
      </c>
      <c r="BV1249" s="572">
        <f>(43.972/365)*BV5</f>
        <v>10.962882191780823</v>
      </c>
      <c r="BW1249" s="3506">
        <f>(284.7/4)*BV1249/BV1252</f>
        <v>8.1076065387105842</v>
      </c>
      <c r="BX1249" s="3507">
        <f>+BW1249</f>
        <v>8.1076065387105842</v>
      </c>
      <c r="BY1249" s="2604">
        <f>SUM(BW1249:BX1249)</f>
        <v>16.215213077421168</v>
      </c>
      <c r="BZ1249" s="3505">
        <f>+BX1249*4</f>
        <v>32.430426154842337</v>
      </c>
      <c r="CA1249" s="3487">
        <f>+BZ1249</f>
        <v>32.430426154842337</v>
      </c>
      <c r="CB1249" s="3122"/>
      <c r="CC1249" s="3122"/>
      <c r="CD1249" s="3122"/>
      <c r="CE1249" s="3122"/>
      <c r="CF1249" s="3122"/>
      <c r="CG1249" s="2977"/>
      <c r="CH1249" s="588"/>
      <c r="CI1249" s="588"/>
      <c r="CJ1249" s="588"/>
      <c r="CK1249" s="588"/>
      <c r="CL1249" s="2178"/>
      <c r="CM1249" s="588"/>
      <c r="CN1249" s="588"/>
      <c r="CO1249" s="588"/>
      <c r="CP1249" s="588"/>
      <c r="CQ1249" s="588"/>
      <c r="CR1249" s="588"/>
      <c r="CS1249" s="588"/>
      <c r="CT1249" s="588"/>
      <c r="CU1249" s="588"/>
      <c r="CV1249" s="588"/>
      <c r="CW1249" s="588"/>
      <c r="CX1249" s="588"/>
      <c r="CY1249" s="588"/>
      <c r="CZ1249" s="588"/>
      <c r="DA1249" s="588"/>
      <c r="DB1249" s="588"/>
      <c r="DC1249" s="1197"/>
      <c r="DD1249" s="588"/>
      <c r="DE1249" s="588"/>
      <c r="DF1249" s="964"/>
      <c r="DG1249" s="964"/>
      <c r="DH1249" s="2977"/>
      <c r="DI1249" s="3213"/>
      <c r="DJ1249" s="964"/>
      <c r="DK1249" s="964"/>
      <c r="DL1249" s="964"/>
      <c r="DM1249" s="964"/>
      <c r="DN1249" s="964"/>
      <c r="DO1249" s="964"/>
      <c r="DP1249" s="964"/>
      <c r="DQ1249" s="964"/>
      <c r="DR1249" s="646"/>
      <c r="DS1249" s="646"/>
      <c r="DT1249" s="646"/>
      <c r="DU1249"/>
      <c r="DV1249"/>
      <c r="DW1249"/>
      <c r="DX1249"/>
      <c r="DY1249"/>
      <c r="DZ1249"/>
    </row>
    <row r="1250" spans="1:130" s="2501" customFormat="1" ht="12" customHeight="1" x14ac:dyDescent="0.25">
      <c r="A1250" s="2725" t="s">
        <v>2609</v>
      </c>
      <c r="B1250" s="3313"/>
      <c r="C1250" s="2977"/>
      <c r="D1250" s="2977"/>
      <c r="E1250" s="2977"/>
      <c r="F1250" s="2977"/>
      <c r="G1250" s="3122"/>
      <c r="H1250" s="2977"/>
      <c r="I1250" s="2977"/>
      <c r="J1250" s="2977"/>
      <c r="K1250" s="2977"/>
      <c r="L1250" s="3122"/>
      <c r="M1250" s="2977"/>
      <c r="N1250" s="2977"/>
      <c r="O1250" s="2977"/>
      <c r="P1250" s="2977"/>
      <c r="Q1250" s="3122"/>
      <c r="R1250" s="2977"/>
      <c r="S1250" s="2977"/>
      <c r="T1250" s="2977"/>
      <c r="U1250" s="2977"/>
      <c r="V1250" s="3122"/>
      <c r="W1250" s="2977"/>
      <c r="X1250" s="2977"/>
      <c r="Y1250" s="2977"/>
      <c r="Z1250" s="2977"/>
      <c r="AA1250" s="3122"/>
      <c r="AB1250" s="2977"/>
      <c r="AC1250" s="2977"/>
      <c r="AD1250" s="2977"/>
      <c r="AE1250" s="2977"/>
      <c r="AF1250" s="3122"/>
      <c r="AG1250" s="2977"/>
      <c r="AH1250" s="2977"/>
      <c r="AI1250" s="2977"/>
      <c r="AJ1250" s="2977"/>
      <c r="AK1250" s="3122"/>
      <c r="AL1250" s="2977"/>
      <c r="AM1250" s="2977"/>
      <c r="AN1250" s="2977"/>
      <c r="AO1250" s="2977"/>
      <c r="AP1250" s="3123"/>
      <c r="AQ1250" s="3123"/>
      <c r="AR1250" s="2977"/>
      <c r="AS1250" s="2977"/>
      <c r="AT1250" s="2977"/>
      <c r="AU1250" s="3122"/>
      <c r="AV1250" s="3123"/>
      <c r="AW1250" s="2977"/>
      <c r="AX1250" s="2977"/>
      <c r="AY1250" s="2560"/>
      <c r="AZ1250" s="3122"/>
      <c r="BA1250" s="3123"/>
      <c r="BB1250" s="2977"/>
      <c r="BC1250" s="2977"/>
      <c r="BD1250" s="2560"/>
      <c r="BE1250" s="2560"/>
      <c r="BF1250" s="2977"/>
      <c r="BG1250" s="2977"/>
      <c r="BH1250" s="2977"/>
      <c r="BI1250" s="2560"/>
      <c r="BJ1250" s="2560"/>
      <c r="BK1250" s="2977"/>
      <c r="BL1250" s="572">
        <f>43.972/4*(64/91)</f>
        <v>7.7313406593406606</v>
      </c>
      <c r="BM1250" s="572">
        <f>(43.972/365)*BM5</f>
        <v>11.083353424657535</v>
      </c>
      <c r="BN1250" s="572">
        <f>(43.972/365)*BN5</f>
        <v>11.083353424657535</v>
      </c>
      <c r="BO1250" s="2587">
        <f>SUM(BL1250:BN1250)</f>
        <v>29.898047508655729</v>
      </c>
      <c r="BP1250" s="572">
        <f>(43.972/365)*BP5</f>
        <v>10.842410958904111</v>
      </c>
      <c r="BQ1250" s="572">
        <f>(43.972/365)*BQ5</f>
        <v>10.962882191780823</v>
      </c>
      <c r="BR1250" s="572">
        <f>(43.972/365)*BR5</f>
        <v>11.083353424657535</v>
      </c>
      <c r="BS1250" s="572">
        <f>(43.972/365)*BS5</f>
        <v>11.083353424657535</v>
      </c>
      <c r="BT1250" s="2587">
        <f>SUM(BP1250:BS1250)</f>
        <v>43.971999999999994</v>
      </c>
      <c r="BU1250" s="572">
        <f>(43.972/365)*BU5</f>
        <v>10.842410958904111</v>
      </c>
      <c r="BV1250" s="572">
        <f>(43.972/365)*BV5</f>
        <v>10.962882191780823</v>
      </c>
      <c r="BW1250" s="3506">
        <f>(284.7/4)*(BV1250/BV1252)</f>
        <v>8.107606538710586</v>
      </c>
      <c r="BX1250" s="3507">
        <f>+BW1250</f>
        <v>8.107606538710586</v>
      </c>
      <c r="BY1250" s="2604">
        <f>SUM(BW1250:BX1250)</f>
        <v>16.215213077421172</v>
      </c>
      <c r="BZ1250" s="3505">
        <f>+BX1250*4</f>
        <v>32.430426154842344</v>
      </c>
      <c r="CA1250" s="3487">
        <f>+BZ1250</f>
        <v>32.430426154842344</v>
      </c>
      <c r="CB1250" s="3122"/>
      <c r="CC1250" s="3122"/>
      <c r="CD1250" s="3122"/>
      <c r="CE1250" s="3122"/>
      <c r="CF1250" s="3122"/>
      <c r="CG1250" s="2977"/>
      <c r="CH1250" s="588"/>
      <c r="CI1250" s="588"/>
      <c r="CJ1250" s="588"/>
      <c r="CK1250" s="588"/>
      <c r="CL1250" s="2178"/>
      <c r="CM1250" s="588"/>
      <c r="CN1250" s="588"/>
      <c r="CO1250" s="588"/>
      <c r="CP1250" s="588"/>
      <c r="CQ1250" s="588"/>
      <c r="CR1250" s="588"/>
      <c r="CS1250" s="588"/>
      <c r="CT1250" s="588"/>
      <c r="CU1250" s="588"/>
      <c r="CV1250" s="588"/>
      <c r="CW1250" s="588"/>
      <c r="CX1250" s="588"/>
      <c r="CY1250" s="588"/>
      <c r="CZ1250" s="588"/>
      <c r="DA1250" s="588"/>
      <c r="DB1250" s="588"/>
      <c r="DC1250" s="1197"/>
      <c r="DD1250" s="588"/>
      <c r="DE1250" s="588"/>
      <c r="DF1250" s="964"/>
      <c r="DG1250" s="964"/>
      <c r="DH1250" s="2977"/>
      <c r="DI1250" s="3213"/>
      <c r="DJ1250" s="964"/>
      <c r="DK1250" s="964"/>
      <c r="DL1250" s="964"/>
      <c r="DM1250" s="964"/>
      <c r="DN1250" s="964"/>
      <c r="DO1250" s="964"/>
      <c r="DP1250" s="964"/>
      <c r="DQ1250" s="964"/>
      <c r="DR1250" s="646"/>
      <c r="DS1250" s="646"/>
      <c r="DT1250" s="646"/>
      <c r="DU1250"/>
      <c r="DV1250"/>
      <c r="DW1250"/>
      <c r="DX1250"/>
      <c r="DY1250"/>
      <c r="DZ1250"/>
    </row>
    <row r="1251" spans="1:130" s="2501" customFormat="1" ht="3.95" customHeight="1" x14ac:dyDescent="0.25">
      <c r="A1251" s="2725"/>
      <c r="B1251" s="3313"/>
      <c r="C1251" s="2977"/>
      <c r="D1251" s="2977"/>
      <c r="E1251" s="2977"/>
      <c r="F1251" s="2977"/>
      <c r="G1251" s="3122"/>
      <c r="H1251" s="2977"/>
      <c r="I1251" s="2977"/>
      <c r="J1251" s="2977"/>
      <c r="K1251" s="2977"/>
      <c r="L1251" s="3122"/>
      <c r="M1251" s="2977"/>
      <c r="N1251" s="2977"/>
      <c r="O1251" s="2977"/>
      <c r="P1251" s="2977"/>
      <c r="Q1251" s="3122"/>
      <c r="R1251" s="2977"/>
      <c r="S1251" s="2977"/>
      <c r="T1251" s="2977"/>
      <c r="U1251" s="2977"/>
      <c r="V1251" s="3122"/>
      <c r="W1251" s="2977"/>
      <c r="X1251" s="2977"/>
      <c r="Y1251" s="2977"/>
      <c r="Z1251" s="2977"/>
      <c r="AA1251" s="3122"/>
      <c r="AB1251" s="2977"/>
      <c r="AC1251" s="2977"/>
      <c r="AD1251" s="2977"/>
      <c r="AE1251" s="2977"/>
      <c r="AF1251" s="3122"/>
      <c r="AG1251" s="2977"/>
      <c r="AH1251" s="2977"/>
      <c r="AI1251" s="2977"/>
      <c r="AJ1251" s="2977"/>
      <c r="AK1251" s="3122"/>
      <c r="AL1251" s="2977"/>
      <c r="AM1251" s="2977"/>
      <c r="AN1251" s="2977"/>
      <c r="AO1251" s="2977"/>
      <c r="AP1251" s="3123"/>
      <c r="AQ1251" s="3123"/>
      <c r="AR1251" s="2977"/>
      <c r="AS1251" s="2977"/>
      <c r="AT1251" s="2977"/>
      <c r="AU1251" s="3122"/>
      <c r="AV1251" s="3123"/>
      <c r="AW1251" s="2977"/>
      <c r="AX1251" s="2977"/>
      <c r="AY1251" s="2560"/>
      <c r="AZ1251" s="3122"/>
      <c r="BA1251" s="3123"/>
      <c r="BB1251" s="2977"/>
      <c r="BC1251" s="2977"/>
      <c r="BD1251" s="2560"/>
      <c r="BE1251" s="2560"/>
      <c r="BF1251" s="2977"/>
      <c r="BG1251" s="2977"/>
      <c r="BH1251" s="2977"/>
      <c r="BI1251" s="2560"/>
      <c r="BJ1251" s="2560"/>
      <c r="BK1251" s="2977"/>
      <c r="BL1251" s="2577" t="s">
        <v>229</v>
      </c>
      <c r="BM1251" s="2577" t="s">
        <v>229</v>
      </c>
      <c r="BN1251" s="2577" t="s">
        <v>229</v>
      </c>
      <c r="BO1251" s="3066" t="s">
        <v>229</v>
      </c>
      <c r="BP1251" s="2577" t="s">
        <v>229</v>
      </c>
      <c r="BQ1251" s="2577" t="s">
        <v>229</v>
      </c>
      <c r="BR1251" s="2577" t="s">
        <v>229</v>
      </c>
      <c r="BS1251" s="2577" t="s">
        <v>229</v>
      </c>
      <c r="BT1251" s="3066" t="s">
        <v>229</v>
      </c>
      <c r="BU1251" s="2577" t="s">
        <v>229</v>
      </c>
      <c r="BV1251" s="2577" t="s">
        <v>229</v>
      </c>
      <c r="BW1251" s="2577" t="s">
        <v>229</v>
      </c>
      <c r="BX1251" s="2577" t="s">
        <v>229</v>
      </c>
      <c r="BY1251" s="3066" t="s">
        <v>229</v>
      </c>
      <c r="BZ1251" s="3066" t="s">
        <v>229</v>
      </c>
      <c r="CA1251" s="3066" t="s">
        <v>229</v>
      </c>
      <c r="CB1251" s="3122"/>
      <c r="CC1251" s="3122"/>
      <c r="CD1251" s="3122"/>
      <c r="CE1251" s="3122"/>
      <c r="CF1251" s="3122"/>
      <c r="CG1251" s="2977"/>
      <c r="CH1251" s="588"/>
      <c r="CI1251" s="588"/>
      <c r="CJ1251" s="588"/>
      <c r="CK1251" s="588"/>
      <c r="CL1251" s="2178"/>
      <c r="CM1251" s="588"/>
      <c r="CN1251" s="588"/>
      <c r="CO1251" s="588"/>
      <c r="CP1251" s="588"/>
      <c r="CQ1251" s="588"/>
      <c r="CR1251" s="588"/>
      <c r="CS1251" s="588"/>
      <c r="CT1251" s="588"/>
      <c r="CU1251" s="588"/>
      <c r="CV1251" s="588"/>
      <c r="CW1251" s="588"/>
      <c r="CX1251" s="588"/>
      <c r="CY1251" s="588"/>
      <c r="CZ1251" s="588"/>
      <c r="DA1251" s="588"/>
      <c r="DB1251" s="588"/>
      <c r="DC1251" s="1197"/>
      <c r="DD1251" s="588"/>
      <c r="DE1251" s="588"/>
      <c r="DF1251" s="964"/>
      <c r="DG1251" s="964"/>
      <c r="DH1251" s="2977"/>
      <c r="DI1251" s="3213"/>
      <c r="DJ1251" s="964"/>
      <c r="DK1251" s="964"/>
      <c r="DL1251" s="964"/>
      <c r="DM1251" s="964"/>
      <c r="DN1251" s="964"/>
      <c r="DO1251" s="964"/>
      <c r="DP1251" s="964"/>
      <c r="DQ1251" s="964"/>
      <c r="DR1251" s="646"/>
      <c r="DS1251" s="646"/>
      <c r="DT1251" s="646"/>
      <c r="DU1251"/>
      <c r="DV1251"/>
      <c r="DW1251"/>
      <c r="DX1251"/>
      <c r="DY1251"/>
      <c r="DZ1251"/>
    </row>
    <row r="1252" spans="1:130" s="2501" customFormat="1" ht="12" customHeight="1" x14ac:dyDescent="0.25">
      <c r="A1252" s="2725" t="s">
        <v>2610</v>
      </c>
      <c r="B1252" s="3313"/>
      <c r="C1252" s="2977"/>
      <c r="D1252" s="2977"/>
      <c r="E1252" s="2977"/>
      <c r="F1252" s="2977"/>
      <c r="G1252" s="3122"/>
      <c r="H1252" s="2977"/>
      <c r="I1252" s="2977"/>
      <c r="J1252" s="2977"/>
      <c r="K1252" s="2977"/>
      <c r="L1252" s="3122"/>
      <c r="M1252" s="2977"/>
      <c r="N1252" s="2977"/>
      <c r="O1252" s="2977"/>
      <c r="P1252" s="2977"/>
      <c r="Q1252" s="3122"/>
      <c r="R1252" s="2977"/>
      <c r="S1252" s="2977"/>
      <c r="T1252" s="2977"/>
      <c r="U1252" s="2977"/>
      <c r="V1252" s="3122"/>
      <c r="W1252" s="2977"/>
      <c r="X1252" s="2977"/>
      <c r="Y1252" s="2977"/>
      <c r="Z1252" s="2977"/>
      <c r="AA1252" s="3122"/>
      <c r="AB1252" s="2977"/>
      <c r="AC1252" s="2977"/>
      <c r="AD1252" s="2977"/>
      <c r="AE1252" s="2977"/>
      <c r="AF1252" s="3122"/>
      <c r="AG1252" s="2977"/>
      <c r="AH1252" s="2977"/>
      <c r="AI1252" s="2977"/>
      <c r="AJ1252" s="2977"/>
      <c r="AK1252" s="3122"/>
      <c r="AL1252" s="2977"/>
      <c r="AM1252" s="2977"/>
      <c r="AN1252" s="2977"/>
      <c r="AO1252" s="2977"/>
      <c r="AP1252" s="3123"/>
      <c r="AQ1252" s="3123"/>
      <c r="AR1252" s="2977"/>
      <c r="AS1252" s="2977"/>
      <c r="AT1252" s="2977"/>
      <c r="AU1252" s="3122"/>
      <c r="AV1252" s="3123"/>
      <c r="AW1252" s="2977"/>
      <c r="AX1252" s="2977"/>
      <c r="AY1252" s="2560"/>
      <c r="AZ1252" s="3122"/>
      <c r="BA1252" s="3123"/>
      <c r="BB1252" s="2977"/>
      <c r="BC1252" s="2977"/>
      <c r="BD1252" s="2560"/>
      <c r="BE1252" s="2560"/>
      <c r="BF1252" s="2977"/>
      <c r="BG1252" s="2977"/>
      <c r="BH1252" s="2977"/>
      <c r="BI1252" s="2560"/>
      <c r="BJ1252" s="2560"/>
      <c r="BK1252" s="2977"/>
      <c r="BL1252" s="2671">
        <f t="shared" ref="BL1252:BT1252" si="2883">SUM(BL1248:BL1250)</f>
        <v>66.285714285714292</v>
      </c>
      <c r="BM1252" s="2671">
        <f t="shared" si="2883"/>
        <v>95.024657534246558</v>
      </c>
      <c r="BN1252" s="2671">
        <f t="shared" si="2883"/>
        <v>95.024657534246558</v>
      </c>
      <c r="BO1252" s="3205">
        <f t="shared" si="2883"/>
        <v>256.33502935420739</v>
      </c>
      <c r="BP1252" s="2671">
        <f t="shared" si="2883"/>
        <v>92.958904109589042</v>
      </c>
      <c r="BQ1252" s="2671">
        <f t="shared" si="2883"/>
        <v>94.950258840547946</v>
      </c>
      <c r="BR1252" s="2671">
        <f t="shared" si="2883"/>
        <v>96.481816547945186</v>
      </c>
      <c r="BS1252" s="2671">
        <f t="shared" si="2883"/>
        <v>96.481816547945186</v>
      </c>
      <c r="BT1252" s="3205">
        <f t="shared" si="2883"/>
        <v>380.87279604602736</v>
      </c>
      <c r="BU1252" s="2671">
        <f>SUM(BU1248:BU1250)</f>
        <v>95.999931616438346</v>
      </c>
      <c r="BV1252" s="2671">
        <f>SUM(BV1248:BV1250)</f>
        <v>96.240874082191766</v>
      </c>
      <c r="BW1252" s="2671">
        <f>SUM(BW1248:BW1250)</f>
        <v>80.900000000000006</v>
      </c>
      <c r="BX1252" s="2671">
        <f>SUM(BX1248:BX1250)</f>
        <v>80.900000000000006</v>
      </c>
      <c r="BY1252" s="3205">
        <f>SUM(BW1252:BX1252)</f>
        <v>161.80000000000001</v>
      </c>
      <c r="BZ1252" s="3205">
        <f>SUM(BZ1248:BZ1250)</f>
        <v>323.60000000000002</v>
      </c>
      <c r="CA1252" s="3205">
        <f>SUM(CA1248:CA1250)</f>
        <v>323.60000000000002</v>
      </c>
      <c r="CB1252" s="3122"/>
      <c r="CC1252" s="3122"/>
      <c r="CD1252" s="3122"/>
      <c r="CE1252" s="3122"/>
      <c r="CF1252" s="3122"/>
      <c r="CG1252" s="2977"/>
      <c r="CH1252" s="588"/>
      <c r="CI1252" s="588"/>
      <c r="CJ1252" s="588"/>
      <c r="CK1252" s="588"/>
      <c r="CL1252" s="2178"/>
      <c r="CM1252" s="588"/>
      <c r="CN1252" s="588"/>
      <c r="CO1252" s="588"/>
      <c r="CP1252" s="588"/>
      <c r="CQ1252" s="588"/>
      <c r="CR1252" s="588"/>
      <c r="CS1252" s="588"/>
      <c r="CT1252" s="588"/>
      <c r="CU1252" s="588"/>
      <c r="CV1252" s="588"/>
      <c r="CW1252" s="588"/>
      <c r="CX1252" s="588"/>
      <c r="CY1252" s="588"/>
      <c r="CZ1252" s="588"/>
      <c r="DA1252" s="588"/>
      <c r="DB1252" s="588"/>
      <c r="DC1252" s="1197"/>
      <c r="DD1252" s="588"/>
      <c r="DE1252" s="588"/>
      <c r="DF1252" s="964"/>
      <c r="DG1252" s="964"/>
      <c r="DH1252" s="2977"/>
      <c r="DI1252" s="3213"/>
      <c r="DJ1252" s="964"/>
      <c r="DK1252" s="964"/>
      <c r="DL1252" s="964"/>
      <c r="DM1252" s="964"/>
      <c r="DN1252" s="964"/>
      <c r="DO1252" s="964"/>
      <c r="DP1252" s="964"/>
      <c r="DQ1252" s="964"/>
      <c r="DR1252" s="646"/>
      <c r="DS1252" s="646"/>
      <c r="DT1252" s="646"/>
      <c r="DU1252"/>
      <c r="DV1252"/>
      <c r="DW1252"/>
      <c r="DX1252"/>
      <c r="DY1252"/>
      <c r="DZ1252"/>
    </row>
    <row r="1253" spans="1:130" s="2501" customFormat="1" ht="12" customHeight="1" x14ac:dyDescent="0.25">
      <c r="A1253" s="2500"/>
      <c r="B1253" s="3313"/>
      <c r="C1253" s="2977"/>
      <c r="D1253" s="2977"/>
      <c r="E1253" s="2977"/>
      <c r="F1253" s="2977"/>
      <c r="G1253" s="3122"/>
      <c r="H1253" s="2977"/>
      <c r="I1253" s="2977"/>
      <c r="J1253" s="2977"/>
      <c r="K1253" s="2977"/>
      <c r="L1253" s="3122"/>
      <c r="M1253" s="2977"/>
      <c r="N1253" s="2977"/>
      <c r="O1253" s="2977"/>
      <c r="P1253" s="2977"/>
      <c r="Q1253" s="3122"/>
      <c r="R1253" s="2977"/>
      <c r="S1253" s="2977"/>
      <c r="T1253" s="2977"/>
      <c r="U1253" s="2977"/>
      <c r="V1253" s="3122"/>
      <c r="W1253" s="2977"/>
      <c r="X1253" s="2977"/>
      <c r="Y1253" s="2977"/>
      <c r="Z1253" s="2977"/>
      <c r="AA1253" s="3122"/>
      <c r="AB1253" s="2977"/>
      <c r="AC1253" s="2977"/>
      <c r="AD1253" s="2977"/>
      <c r="AE1253" s="2977"/>
      <c r="AF1253" s="3122"/>
      <c r="AG1253" s="2977"/>
      <c r="AH1253" s="2977"/>
      <c r="AI1253" s="2977"/>
      <c r="AJ1253" s="2977"/>
      <c r="AK1253" s="3122"/>
      <c r="AL1253" s="2977"/>
      <c r="AM1253" s="2977"/>
      <c r="AN1253" s="2977"/>
      <c r="AO1253" s="2977"/>
      <c r="AP1253" s="3123"/>
      <c r="AQ1253" s="3123"/>
      <c r="AR1253" s="2977"/>
      <c r="AS1253" s="2977"/>
      <c r="AT1253" s="2977"/>
      <c r="AU1253" s="3122"/>
      <c r="AV1253" s="3123"/>
      <c r="AW1253" s="2977"/>
      <c r="AX1253" s="2977"/>
      <c r="AY1253" s="2560"/>
      <c r="AZ1253" s="3122"/>
      <c r="BA1253" s="3123"/>
      <c r="BB1253" s="2977"/>
      <c r="BC1253" s="2977"/>
      <c r="BD1253" s="2560"/>
      <c r="BE1253" s="2560"/>
      <c r="BF1253" s="2977"/>
      <c r="BG1253" s="2977"/>
      <c r="BH1253" s="2977"/>
      <c r="BI1253" s="2560"/>
      <c r="BJ1253" s="2560"/>
      <c r="BK1253" s="2977"/>
      <c r="BL1253" s="1454"/>
      <c r="BM1253" s="1454"/>
      <c r="BN1253" s="1454"/>
      <c r="BO1253" s="2757"/>
      <c r="BP1253" s="1454"/>
      <c r="BQ1253" s="1454"/>
      <c r="BR1253" s="1454"/>
      <c r="BS1253" s="1454"/>
      <c r="BT1253" s="2757"/>
      <c r="BU1253" s="1454"/>
      <c r="BV1253" s="1454"/>
      <c r="BW1253" s="2977"/>
      <c r="BX1253" s="2977"/>
      <c r="BY1253" s="3122"/>
      <c r="BZ1253" s="3122"/>
      <c r="CA1253" s="3122"/>
      <c r="CB1253" s="3122"/>
      <c r="CC1253" s="3122"/>
      <c r="CD1253" s="3122"/>
      <c r="CE1253" s="3122"/>
      <c r="CF1253" s="3122"/>
      <c r="CG1253" s="2977"/>
      <c r="CH1253" s="588"/>
      <c r="CI1253" s="588"/>
      <c r="CJ1253" s="588"/>
      <c r="CK1253" s="588"/>
      <c r="CL1253" s="2178"/>
      <c r="CM1253" s="588"/>
      <c r="CN1253" s="588"/>
      <c r="CO1253" s="588"/>
      <c r="CP1253" s="588"/>
      <c r="CQ1253" s="588"/>
      <c r="CR1253" s="588"/>
      <c r="CS1253" s="588"/>
      <c r="CT1253" s="588"/>
      <c r="CU1253" s="588"/>
      <c r="CV1253" s="588"/>
      <c r="CW1253" s="588"/>
      <c r="CX1253" s="588"/>
      <c r="CY1253" s="588"/>
      <c r="CZ1253" s="588"/>
      <c r="DA1253" s="588"/>
      <c r="DB1253" s="588"/>
      <c r="DC1253" s="1197"/>
      <c r="DD1253" s="588"/>
      <c r="DE1253" s="588"/>
      <c r="DF1253" s="964"/>
      <c r="DG1253" s="964"/>
      <c r="DH1253" s="2977"/>
      <c r="DI1253" s="3213"/>
      <c r="DJ1253" s="964"/>
      <c r="DK1253" s="964"/>
      <c r="DL1253" s="964"/>
      <c r="DM1253" s="964"/>
      <c r="DN1253" s="964"/>
      <c r="DO1253" s="964"/>
      <c r="DP1253" s="964"/>
      <c r="DQ1253" s="964"/>
      <c r="DR1253" s="646"/>
      <c r="DS1253" s="646"/>
      <c r="DT1253" s="646"/>
      <c r="DU1253"/>
      <c r="DV1253"/>
      <c r="DW1253"/>
      <c r="DX1253"/>
      <c r="DY1253"/>
      <c r="DZ1253"/>
    </row>
    <row r="1254" spans="1:130" s="2501" customFormat="1" ht="12" customHeight="1" x14ac:dyDescent="0.25">
      <c r="A1254" s="359" t="s">
        <v>2611</v>
      </c>
      <c r="B1254" s="3313"/>
      <c r="C1254" s="2977"/>
      <c r="D1254" s="2977"/>
      <c r="E1254" s="2977"/>
      <c r="F1254" s="2977"/>
      <c r="G1254" s="3122"/>
      <c r="H1254" s="2977"/>
      <c r="I1254" s="2977"/>
      <c r="J1254" s="2977"/>
      <c r="K1254" s="2977"/>
      <c r="L1254" s="3122"/>
      <c r="M1254" s="2977"/>
      <c r="N1254" s="2977"/>
      <c r="O1254" s="2977"/>
      <c r="P1254" s="2977"/>
      <c r="Q1254" s="3122"/>
      <c r="R1254" s="2977"/>
      <c r="S1254" s="2977"/>
      <c r="T1254" s="2977"/>
      <c r="U1254" s="2977"/>
      <c r="V1254" s="3122"/>
      <c r="W1254" s="2977"/>
      <c r="X1254" s="2977"/>
      <c r="Y1254" s="2977"/>
      <c r="Z1254" s="2977"/>
      <c r="AA1254" s="3122"/>
      <c r="AB1254" s="2977"/>
      <c r="AC1254" s="2977"/>
      <c r="AD1254" s="2977"/>
      <c r="AE1254" s="2977"/>
      <c r="AF1254" s="3122"/>
      <c r="AG1254" s="2977"/>
      <c r="AH1254" s="2977"/>
      <c r="AI1254" s="2977"/>
      <c r="AJ1254" s="2977"/>
      <c r="AK1254" s="3122"/>
      <c r="AL1254" s="2977"/>
      <c r="AM1254" s="2977"/>
      <c r="AN1254" s="2977"/>
      <c r="AO1254" s="2977"/>
      <c r="AP1254" s="3123"/>
      <c r="AQ1254" s="3123"/>
      <c r="AR1254" s="2977"/>
      <c r="AS1254" s="2977"/>
      <c r="AT1254" s="2977"/>
      <c r="AU1254" s="3122"/>
      <c r="AV1254" s="3123"/>
      <c r="AW1254" s="2977"/>
      <c r="AX1254" s="2977"/>
      <c r="AY1254" s="2560"/>
      <c r="AZ1254" s="3122"/>
      <c r="BA1254" s="3123"/>
      <c r="BB1254" s="2977"/>
      <c r="BC1254" s="2977"/>
      <c r="BD1254" s="2560"/>
      <c r="BE1254" s="2560"/>
      <c r="BF1254" s="2977"/>
      <c r="BG1254" s="2977"/>
      <c r="BH1254" s="2977"/>
      <c r="BI1254" s="2560"/>
      <c r="BJ1254" s="2560"/>
      <c r="BK1254" s="2977"/>
      <c r="BL1254" s="1454"/>
      <c r="BM1254" s="1454"/>
      <c r="BN1254" s="1454"/>
      <c r="BO1254" s="2757"/>
      <c r="BP1254" s="1454"/>
      <c r="BQ1254" s="1454"/>
      <c r="BR1254" s="1454"/>
      <c r="BS1254" s="1454"/>
      <c r="BT1254" s="2757"/>
      <c r="BU1254" s="1454"/>
      <c r="BV1254" s="1454"/>
      <c r="BW1254" s="2977"/>
      <c r="BX1254" s="2977"/>
      <c r="BY1254" s="3122"/>
      <c r="BZ1254" s="3122"/>
      <c r="CA1254" s="3122"/>
      <c r="CB1254" s="3122"/>
      <c r="CC1254" s="3122"/>
      <c r="CD1254" s="3122"/>
      <c r="CE1254" s="3122"/>
      <c r="CF1254" s="3122"/>
      <c r="CG1254" s="2977"/>
      <c r="CH1254" s="588"/>
      <c r="CI1254" s="588"/>
      <c r="CJ1254" s="588"/>
      <c r="CK1254" s="588"/>
      <c r="CL1254" s="2178"/>
      <c r="CM1254" s="588"/>
      <c r="CN1254" s="588"/>
      <c r="CO1254" s="588"/>
      <c r="CP1254" s="588"/>
      <c r="CQ1254" s="588"/>
      <c r="CR1254" s="588"/>
      <c r="CS1254" s="588"/>
      <c r="CT1254" s="588"/>
      <c r="CU1254" s="588"/>
      <c r="CV1254" s="588"/>
      <c r="CW1254" s="588"/>
      <c r="CX1254" s="588"/>
      <c r="CY1254" s="588"/>
      <c r="CZ1254" s="588"/>
      <c r="DA1254" s="588"/>
      <c r="DB1254" s="588"/>
      <c r="DC1254" s="1197"/>
      <c r="DD1254" s="588"/>
      <c r="DE1254" s="588"/>
      <c r="DF1254" s="964"/>
      <c r="DG1254" s="964"/>
      <c r="DH1254" s="2977"/>
      <c r="DI1254" s="3213"/>
      <c r="DJ1254" s="964"/>
      <c r="DK1254" s="964"/>
      <c r="DL1254" s="964"/>
      <c r="DM1254" s="964"/>
      <c r="DN1254" s="964"/>
      <c r="DO1254" s="964"/>
      <c r="DP1254" s="964"/>
      <c r="DQ1254" s="964"/>
      <c r="DR1254" s="646"/>
      <c r="DS1254" s="646"/>
      <c r="DT1254" s="646"/>
      <c r="DU1254"/>
      <c r="DV1254"/>
      <c r="DW1254"/>
      <c r="DX1254"/>
      <c r="DY1254"/>
      <c r="DZ1254"/>
    </row>
    <row r="1255" spans="1:130" s="2501" customFormat="1" ht="12" customHeight="1" x14ac:dyDescent="0.25">
      <c r="A1255" s="2725" t="s">
        <v>2612</v>
      </c>
      <c r="B1255" s="3313"/>
      <c r="C1255" s="2977"/>
      <c r="D1255" s="2977"/>
      <c r="E1255" s="2977"/>
      <c r="F1255" s="2977"/>
      <c r="G1255" s="3122"/>
      <c r="H1255" s="2977"/>
      <c r="I1255" s="2977"/>
      <c r="J1255" s="2977"/>
      <c r="K1255" s="2977"/>
      <c r="L1255" s="3122"/>
      <c r="M1255" s="2977"/>
      <c r="N1255" s="2977"/>
      <c r="O1255" s="2977"/>
      <c r="P1255" s="2977"/>
      <c r="Q1255" s="3122"/>
      <c r="R1255" s="2977"/>
      <c r="S1255" s="2977"/>
      <c r="T1255" s="2977"/>
      <c r="U1255" s="2977"/>
      <c r="V1255" s="3122"/>
      <c r="W1255" s="2977"/>
      <c r="X1255" s="2977"/>
      <c r="Y1255" s="2977"/>
      <c r="Z1255" s="2977"/>
      <c r="AA1255" s="3122"/>
      <c r="AB1255" s="2977"/>
      <c r="AC1255" s="2977"/>
      <c r="AD1255" s="2977"/>
      <c r="AE1255" s="2977"/>
      <c r="AF1255" s="3122"/>
      <c r="AG1255" s="2977"/>
      <c r="AH1255" s="2977"/>
      <c r="AI1255" s="2977"/>
      <c r="AJ1255" s="2977"/>
      <c r="AK1255" s="3122"/>
      <c r="AL1255" s="2977"/>
      <c r="AM1255" s="2977"/>
      <c r="AN1255" s="2977"/>
      <c r="AO1255" s="2977"/>
      <c r="AP1255" s="3123"/>
      <c r="AQ1255" s="3123"/>
      <c r="AR1255" s="2977"/>
      <c r="AS1255" s="2977"/>
      <c r="AT1255" s="2977"/>
      <c r="AU1255" s="3122"/>
      <c r="AV1255" s="3123"/>
      <c r="AW1255" s="2977"/>
      <c r="AX1255" s="2977"/>
      <c r="AY1255" s="2560"/>
      <c r="AZ1255" s="3122"/>
      <c r="BA1255" s="3123"/>
      <c r="BB1255" s="2977"/>
      <c r="BC1255" s="2977"/>
      <c r="BD1255" s="2560"/>
      <c r="BE1255" s="2560"/>
      <c r="BF1255" s="2977"/>
      <c r="BG1255" s="2977"/>
      <c r="BH1255" s="2977"/>
      <c r="BI1255" s="2560"/>
      <c r="BJ1255" s="2560"/>
      <c r="BK1255" s="2977"/>
      <c r="BL1255" s="1454"/>
      <c r="BM1255" s="572">
        <f>3.5*(22/92)</f>
        <v>0.83695652173913049</v>
      </c>
      <c r="BN1255" s="572">
        <v>3.5</v>
      </c>
      <c r="BO1255" s="2587">
        <f>SUM(BK1255:BN1255)</f>
        <v>4.3369565217391308</v>
      </c>
      <c r="BP1255" s="572">
        <f>(14+(3.5*1.05-3.5))/4</f>
        <v>3.5437500000000002</v>
      </c>
      <c r="BQ1255" s="572">
        <f>(14+(3.5*1.05-3.5))/4</f>
        <v>3.5437500000000002</v>
      </c>
      <c r="BR1255" s="572">
        <f>(14+(3.5*1.05-3.5))/4</f>
        <v>3.5437500000000002</v>
      </c>
      <c r="BS1255" s="572">
        <f>(14+(3.5*1.05-3.5))/4</f>
        <v>3.5437500000000002</v>
      </c>
      <c r="BT1255" s="2587">
        <f>+SUM(BP1255:BS1255)</f>
        <v>14.175000000000001</v>
      </c>
      <c r="BU1255" s="572">
        <f>BP1255*1.05</f>
        <v>3.7209375000000002</v>
      </c>
      <c r="BV1255" s="572">
        <f>BQ1255*1.05</f>
        <v>3.7209375000000002</v>
      </c>
      <c r="BW1255" s="572">
        <f>BR1255*1.05</f>
        <v>3.7209375000000002</v>
      </c>
      <c r="BX1255" s="572">
        <f>BS1255*1.05</f>
        <v>3.7209375000000002</v>
      </c>
      <c r="BY1255" s="2604">
        <f>SUM(BW1255:BX1255)</f>
        <v>7.4418750000000005</v>
      </c>
      <c r="BZ1255" s="3487">
        <f>+BX1255*4</f>
        <v>14.883750000000001</v>
      </c>
      <c r="CA1255" s="3487">
        <f>+BZ1255*1.05</f>
        <v>15.627937500000002</v>
      </c>
      <c r="CB1255" s="3122"/>
      <c r="CC1255" s="3122"/>
      <c r="CD1255" s="3122"/>
      <c r="CE1255" s="3122"/>
      <c r="CF1255" s="3122"/>
      <c r="CG1255" s="2977"/>
      <c r="CH1255" s="588"/>
      <c r="CI1255" s="588"/>
      <c r="CJ1255" s="588"/>
      <c r="CK1255" s="588"/>
      <c r="CL1255" s="2178"/>
      <c r="CM1255" s="588"/>
      <c r="CN1255" s="588"/>
      <c r="CO1255" s="588"/>
      <c r="CP1255" s="588"/>
      <c r="CQ1255" s="588"/>
      <c r="CR1255" s="588"/>
      <c r="CS1255" s="588"/>
      <c r="CT1255" s="588"/>
      <c r="CU1255" s="588"/>
      <c r="CV1255" s="588"/>
      <c r="CW1255" s="588"/>
      <c r="CX1255" s="588"/>
      <c r="CY1255" s="588"/>
      <c r="CZ1255" s="588"/>
      <c r="DA1255" s="588"/>
      <c r="DB1255" s="588"/>
      <c r="DC1255" s="1197"/>
      <c r="DD1255" s="588"/>
      <c r="DE1255" s="588"/>
      <c r="DF1255" s="964"/>
      <c r="DG1255" s="964"/>
      <c r="DH1255" s="2977"/>
      <c r="DI1255" s="3213"/>
      <c r="DJ1255" s="964"/>
      <c r="DK1255" s="964"/>
      <c r="DL1255" s="964"/>
      <c r="DM1255" s="964"/>
      <c r="DN1255" s="964"/>
      <c r="DO1255" s="964"/>
      <c r="DP1255" s="964"/>
      <c r="DQ1255" s="964"/>
      <c r="DR1255" s="646"/>
      <c r="DS1255" s="646"/>
      <c r="DT1255" s="646"/>
      <c r="DU1255"/>
      <c r="DV1255"/>
      <c r="DW1255"/>
      <c r="DX1255"/>
      <c r="DY1255"/>
      <c r="DZ1255"/>
    </row>
    <row r="1256" spans="1:130" s="2501" customFormat="1" ht="12" customHeight="1" x14ac:dyDescent="0.25">
      <c r="A1256" s="2725" t="s">
        <v>2613</v>
      </c>
      <c r="B1256" s="3313"/>
      <c r="C1256" s="2977"/>
      <c r="D1256" s="2977"/>
      <c r="E1256" s="2977"/>
      <c r="F1256" s="2977"/>
      <c r="G1256" s="3122"/>
      <c r="H1256" s="2977"/>
      <c r="I1256" s="2977"/>
      <c r="J1256" s="2977"/>
      <c r="K1256" s="2977"/>
      <c r="L1256" s="3122"/>
      <c r="M1256" s="2977"/>
      <c r="N1256" s="2977"/>
      <c r="O1256" s="2977"/>
      <c r="P1256" s="2977"/>
      <c r="Q1256" s="3122"/>
      <c r="R1256" s="2977"/>
      <c r="S1256" s="2977"/>
      <c r="T1256" s="2977"/>
      <c r="U1256" s="2977"/>
      <c r="V1256" s="3122"/>
      <c r="W1256" s="2977"/>
      <c r="X1256" s="2977"/>
      <c r="Y1256" s="2977"/>
      <c r="Z1256" s="2977"/>
      <c r="AA1256" s="3122"/>
      <c r="AB1256" s="2977"/>
      <c r="AC1256" s="2977"/>
      <c r="AD1256" s="2977"/>
      <c r="AE1256" s="2977"/>
      <c r="AF1256" s="3122"/>
      <c r="AG1256" s="2977"/>
      <c r="AH1256" s="2977"/>
      <c r="AI1256" s="2977"/>
      <c r="AJ1256" s="2977"/>
      <c r="AK1256" s="3122"/>
      <c r="AL1256" s="2977"/>
      <c r="AM1256" s="2977"/>
      <c r="AN1256" s="2977"/>
      <c r="AO1256" s="2977"/>
      <c r="AP1256" s="3123"/>
      <c r="AQ1256" s="3123"/>
      <c r="AR1256" s="2977"/>
      <c r="AS1256" s="2977"/>
      <c r="AT1256" s="2977"/>
      <c r="AU1256" s="3122"/>
      <c r="AV1256" s="3123"/>
      <c r="AW1256" s="2977"/>
      <c r="AX1256" s="2977"/>
      <c r="AY1256" s="2560"/>
      <c r="AZ1256" s="3122"/>
      <c r="BA1256" s="3123"/>
      <c r="BB1256" s="2977"/>
      <c r="BC1256" s="2977"/>
      <c r="BD1256" s="2560"/>
      <c r="BE1256" s="2560"/>
      <c r="BF1256" s="2977"/>
      <c r="BG1256" s="2977"/>
      <c r="BH1256" s="2977"/>
      <c r="BI1256" s="2560"/>
      <c r="BJ1256" s="2560"/>
      <c r="BK1256" s="2977"/>
      <c r="BL1256" s="1454"/>
      <c r="BM1256" s="572">
        <f>(11.5/4)*(22/92)</f>
        <v>0.6875</v>
      </c>
      <c r="BN1256" s="572">
        <f>11.5/4</f>
        <v>2.875</v>
      </c>
      <c r="BO1256" s="2587">
        <f>SUM(BK1256:BN1256)</f>
        <v>3.5625</v>
      </c>
      <c r="BP1256" s="3445">
        <f>+BN1256</f>
        <v>2.875</v>
      </c>
      <c r="BQ1256" s="3445">
        <f>+BP1256</f>
        <v>2.875</v>
      </c>
      <c r="BR1256" s="3445">
        <f>+BQ1256</f>
        <v>2.875</v>
      </c>
      <c r="BS1256" s="3445">
        <f>+BR1256</f>
        <v>2.875</v>
      </c>
      <c r="BT1256" s="2587">
        <f>+SUM(BP1256:BS1256)</f>
        <v>11.5</v>
      </c>
      <c r="BU1256" s="3445">
        <f>BS1256</f>
        <v>2.875</v>
      </c>
      <c r="BV1256" s="3445">
        <f>BU1256</f>
        <v>2.875</v>
      </c>
      <c r="BW1256" s="3445">
        <f>BV1256</f>
        <v>2.875</v>
      </c>
      <c r="BX1256" s="3445">
        <f>BW1256</f>
        <v>2.875</v>
      </c>
      <c r="BY1256" s="2604">
        <f>SUM(BW1256:BX1256)</f>
        <v>5.75</v>
      </c>
      <c r="BZ1256" s="3487">
        <f>+BX1256*4</f>
        <v>11.5</v>
      </c>
      <c r="CA1256" s="3487">
        <f>+BZ1256</f>
        <v>11.5</v>
      </c>
      <c r="CB1256" s="3122"/>
      <c r="CC1256" s="3122"/>
      <c r="CD1256" s="3122"/>
      <c r="CE1256" s="3122"/>
      <c r="CF1256" s="3122"/>
      <c r="CG1256" s="2977"/>
      <c r="CH1256" s="588"/>
      <c r="CI1256" s="588"/>
      <c r="CJ1256" s="588"/>
      <c r="CK1256" s="588"/>
      <c r="CL1256" s="2178"/>
      <c r="CM1256" s="588"/>
      <c r="CN1256" s="588"/>
      <c r="CO1256" s="588"/>
      <c r="CP1256" s="588"/>
      <c r="CQ1256" s="588"/>
      <c r="CR1256" s="588"/>
      <c r="CS1256" s="588"/>
      <c r="CT1256" s="588"/>
      <c r="CU1256" s="588"/>
      <c r="CV1256" s="588"/>
      <c r="CW1256" s="588"/>
      <c r="CX1256" s="588"/>
      <c r="CY1256" s="588"/>
      <c r="CZ1256" s="588"/>
      <c r="DA1256" s="588"/>
      <c r="DB1256" s="588"/>
      <c r="DC1256" s="1197"/>
      <c r="DD1256" s="588"/>
      <c r="DE1256" s="588"/>
      <c r="DF1256" s="964"/>
      <c r="DG1256" s="964"/>
      <c r="DH1256" s="2977"/>
      <c r="DI1256" s="3213"/>
      <c r="DJ1256" s="964"/>
      <c r="DK1256" s="964"/>
      <c r="DL1256" s="964"/>
      <c r="DM1256" s="964"/>
      <c r="DN1256" s="964"/>
      <c r="DO1256" s="964"/>
      <c r="DP1256" s="964"/>
      <c r="DQ1256" s="964"/>
      <c r="DR1256" s="646"/>
      <c r="DS1256" s="646"/>
      <c r="DT1256" s="646"/>
      <c r="DU1256"/>
      <c r="DV1256"/>
      <c r="DW1256"/>
      <c r="DX1256"/>
      <c r="DY1256"/>
      <c r="DZ1256"/>
    </row>
    <row r="1257" spans="1:130" s="2501" customFormat="1" ht="3.95" customHeight="1" x14ac:dyDescent="0.25">
      <c r="A1257" s="2725"/>
      <c r="B1257" s="3313"/>
      <c r="C1257" s="2977"/>
      <c r="D1257" s="2977"/>
      <c r="E1257" s="2977"/>
      <c r="F1257" s="2977"/>
      <c r="G1257" s="3122"/>
      <c r="H1257" s="2977"/>
      <c r="I1257" s="2977"/>
      <c r="J1257" s="2977"/>
      <c r="K1257" s="2977"/>
      <c r="L1257" s="3122"/>
      <c r="M1257" s="2977"/>
      <c r="N1257" s="2977"/>
      <c r="O1257" s="2977"/>
      <c r="P1257" s="2977"/>
      <c r="Q1257" s="3122"/>
      <c r="R1257" s="2977"/>
      <c r="S1257" s="2977"/>
      <c r="T1257" s="2977"/>
      <c r="U1257" s="2977"/>
      <c r="V1257" s="3122"/>
      <c r="W1257" s="2977"/>
      <c r="X1257" s="2977"/>
      <c r="Y1257" s="2977"/>
      <c r="Z1257" s="2977"/>
      <c r="AA1257" s="3122"/>
      <c r="AB1257" s="2977"/>
      <c r="AC1257" s="2977"/>
      <c r="AD1257" s="2977"/>
      <c r="AE1257" s="2977"/>
      <c r="AF1257" s="3122"/>
      <c r="AG1257" s="2977"/>
      <c r="AH1257" s="2977"/>
      <c r="AI1257" s="2977"/>
      <c r="AJ1257" s="2977"/>
      <c r="AK1257" s="3122"/>
      <c r="AL1257" s="2977"/>
      <c r="AM1257" s="2977"/>
      <c r="AN1257" s="2977"/>
      <c r="AO1257" s="2977"/>
      <c r="AP1257" s="3123"/>
      <c r="AQ1257" s="3123"/>
      <c r="AR1257" s="2977"/>
      <c r="AS1257" s="2977"/>
      <c r="AT1257" s="2977"/>
      <c r="AU1257" s="3122"/>
      <c r="AV1257" s="3123"/>
      <c r="AW1257" s="2977"/>
      <c r="AX1257" s="2977"/>
      <c r="AY1257" s="2560"/>
      <c r="AZ1257" s="3122"/>
      <c r="BA1257" s="3123"/>
      <c r="BB1257" s="2977"/>
      <c r="BC1257" s="2977"/>
      <c r="BD1257" s="2560"/>
      <c r="BE1257" s="2560"/>
      <c r="BF1257" s="2977"/>
      <c r="BG1257" s="2977"/>
      <c r="BH1257" s="2977"/>
      <c r="BI1257" s="2560"/>
      <c r="BJ1257" s="2560"/>
      <c r="BK1257" s="2977"/>
      <c r="BL1257" s="1454"/>
      <c r="BM1257" s="2915" t="s">
        <v>229</v>
      </c>
      <c r="BN1257" s="2915" t="s">
        <v>229</v>
      </c>
      <c r="BO1257" s="3066" t="s">
        <v>229</v>
      </c>
      <c r="BP1257" s="3445" t="s">
        <v>229</v>
      </c>
      <c r="BQ1257" s="3445" t="s">
        <v>229</v>
      </c>
      <c r="BR1257" s="3445" t="s">
        <v>229</v>
      </c>
      <c r="BS1257" s="3445" t="s">
        <v>229</v>
      </c>
      <c r="BT1257" s="3066" t="s">
        <v>229</v>
      </c>
      <c r="BU1257" s="3445" t="s">
        <v>229</v>
      </c>
      <c r="BV1257" s="3445" t="s">
        <v>229</v>
      </c>
      <c r="BW1257" s="3445" t="s">
        <v>229</v>
      </c>
      <c r="BX1257" s="3445" t="s">
        <v>229</v>
      </c>
      <c r="BY1257" s="3066" t="s">
        <v>229</v>
      </c>
      <c r="BZ1257" s="3066" t="s">
        <v>229</v>
      </c>
      <c r="CA1257" s="3066" t="s">
        <v>229</v>
      </c>
      <c r="CB1257" s="3122"/>
      <c r="CC1257" s="3122"/>
      <c r="CD1257" s="3122"/>
      <c r="CE1257" s="3122"/>
      <c r="CF1257" s="3122"/>
      <c r="CG1257" s="2977"/>
      <c r="CH1257" s="588"/>
      <c r="CI1257" s="588"/>
      <c r="CJ1257" s="588"/>
      <c r="CK1257" s="588"/>
      <c r="CL1257" s="2178"/>
      <c r="CM1257" s="588"/>
      <c r="CN1257" s="588"/>
      <c r="CO1257" s="588"/>
      <c r="CP1257" s="588"/>
      <c r="CQ1257" s="588"/>
      <c r="CR1257" s="588"/>
      <c r="CS1257" s="588"/>
      <c r="CT1257" s="588"/>
      <c r="CU1257" s="588"/>
      <c r="CV1257" s="588"/>
      <c r="CW1257" s="588"/>
      <c r="CX1257" s="588"/>
      <c r="CY1257" s="588"/>
      <c r="CZ1257" s="588"/>
      <c r="DA1257" s="588"/>
      <c r="DB1257" s="588"/>
      <c r="DC1257" s="1197"/>
      <c r="DD1257" s="588"/>
      <c r="DE1257" s="588"/>
      <c r="DF1257" s="964"/>
      <c r="DG1257" s="964"/>
      <c r="DH1257" s="2977"/>
      <c r="DI1257" s="3213"/>
      <c r="DJ1257" s="964"/>
      <c r="DK1257" s="964"/>
      <c r="DL1257" s="964"/>
      <c r="DM1257" s="964"/>
      <c r="DN1257" s="964"/>
      <c r="DO1257" s="964"/>
      <c r="DP1257" s="964"/>
      <c r="DQ1257" s="964"/>
      <c r="DR1257" s="646"/>
      <c r="DS1257" s="646"/>
      <c r="DT1257" s="646"/>
      <c r="DU1257"/>
      <c r="DV1257"/>
      <c r="DW1257"/>
      <c r="DX1257"/>
      <c r="DY1257"/>
      <c r="DZ1257"/>
    </row>
    <row r="1258" spans="1:130" s="2501" customFormat="1" ht="12" customHeight="1" x14ac:dyDescent="0.25">
      <c r="A1258" s="2725" t="s">
        <v>2614</v>
      </c>
      <c r="B1258" s="3313"/>
      <c r="C1258" s="2977"/>
      <c r="D1258" s="2977"/>
      <c r="E1258" s="2977"/>
      <c r="F1258" s="2977"/>
      <c r="G1258" s="3122"/>
      <c r="H1258" s="2977"/>
      <c r="I1258" s="2977"/>
      <c r="J1258" s="2977"/>
      <c r="K1258" s="2977"/>
      <c r="L1258" s="3122"/>
      <c r="M1258" s="2977"/>
      <c r="N1258" s="2977"/>
      <c r="O1258" s="2977"/>
      <c r="P1258" s="2977"/>
      <c r="Q1258" s="3122"/>
      <c r="R1258" s="2977"/>
      <c r="S1258" s="2977"/>
      <c r="T1258" s="2977"/>
      <c r="U1258" s="2977"/>
      <c r="V1258" s="3122"/>
      <c r="W1258" s="2977"/>
      <c r="X1258" s="2977"/>
      <c r="Y1258" s="2977"/>
      <c r="Z1258" s="2977"/>
      <c r="AA1258" s="3122"/>
      <c r="AB1258" s="2977"/>
      <c r="AC1258" s="2977"/>
      <c r="AD1258" s="2977"/>
      <c r="AE1258" s="2977"/>
      <c r="AF1258" s="3122"/>
      <c r="AG1258" s="2977"/>
      <c r="AH1258" s="2977"/>
      <c r="AI1258" s="2977"/>
      <c r="AJ1258" s="2977"/>
      <c r="AK1258" s="3122"/>
      <c r="AL1258" s="2977"/>
      <c r="AM1258" s="2977"/>
      <c r="AN1258" s="2977"/>
      <c r="AO1258" s="2977"/>
      <c r="AP1258" s="3123"/>
      <c r="AQ1258" s="3123"/>
      <c r="AR1258" s="2977"/>
      <c r="AS1258" s="2977"/>
      <c r="AT1258" s="2977"/>
      <c r="AU1258" s="3122"/>
      <c r="AV1258" s="3123"/>
      <c r="AW1258" s="2977"/>
      <c r="AX1258" s="2977"/>
      <c r="AY1258" s="2560"/>
      <c r="AZ1258" s="3122"/>
      <c r="BA1258" s="3123"/>
      <c r="BB1258" s="2977"/>
      <c r="BC1258" s="2977"/>
      <c r="BD1258" s="2560"/>
      <c r="BE1258" s="2560"/>
      <c r="BF1258" s="2977"/>
      <c r="BG1258" s="2977"/>
      <c r="BH1258" s="2977"/>
      <c r="BI1258" s="2560"/>
      <c r="BJ1258" s="2560"/>
      <c r="BK1258" s="2977"/>
      <c r="BL1258" s="1454"/>
      <c r="BM1258" s="2577">
        <f>+BM1255+BM1256</f>
        <v>1.5244565217391304</v>
      </c>
      <c r="BN1258" s="2577">
        <f>+BN1255+BN1256</f>
        <v>6.375</v>
      </c>
      <c r="BO1258" s="2587">
        <f>SUM(BK1258:BN1258)</f>
        <v>7.8994565217391308</v>
      </c>
      <c r="BP1258" s="2577">
        <f>+BP1255+BP1256</f>
        <v>6.4187500000000002</v>
      </c>
      <c r="BQ1258" s="2577">
        <f>+BQ1255+BQ1256</f>
        <v>6.4187500000000002</v>
      </c>
      <c r="BR1258" s="2577">
        <f>+BR1255+BR1256</f>
        <v>6.4187500000000002</v>
      </c>
      <c r="BS1258" s="2577">
        <f>+BS1255+BS1256</f>
        <v>6.4187500000000002</v>
      </c>
      <c r="BT1258" s="2587">
        <f>+SUM(BP1258:BS1258)</f>
        <v>25.675000000000001</v>
      </c>
      <c r="BU1258" s="2577">
        <f>+BU1255+BU1256</f>
        <v>6.5959374999999998</v>
      </c>
      <c r="BV1258" s="2577">
        <f>+BV1255+BV1256</f>
        <v>6.5959374999999998</v>
      </c>
      <c r="BW1258" s="2577">
        <f>+BW1255+BW1256</f>
        <v>6.5959374999999998</v>
      </c>
      <c r="BX1258" s="2577">
        <f>+BX1255+BX1256</f>
        <v>6.5959374999999998</v>
      </c>
      <c r="BY1258" s="2587">
        <f>SUM(BW1258:BX1258)</f>
        <v>13.191875</v>
      </c>
      <c r="BZ1258" s="2604">
        <f>+BZ1255+BZ1256</f>
        <v>26.383749999999999</v>
      </c>
      <c r="CA1258" s="2604">
        <f>+CA1255+CA1256</f>
        <v>27.127937500000002</v>
      </c>
      <c r="CB1258" s="3122"/>
      <c r="CC1258" s="3122"/>
      <c r="CD1258" s="3122"/>
      <c r="CE1258" s="3122"/>
      <c r="CF1258" s="3122"/>
      <c r="CG1258" s="2977"/>
      <c r="CH1258" s="588"/>
      <c r="CI1258" s="588"/>
      <c r="CJ1258" s="588"/>
      <c r="CK1258" s="588"/>
      <c r="CL1258" s="2178"/>
      <c r="CM1258" s="588"/>
      <c r="CN1258" s="588"/>
      <c r="CO1258" s="588"/>
      <c r="CP1258" s="588"/>
      <c r="CQ1258" s="588"/>
      <c r="CR1258" s="588"/>
      <c r="CS1258" s="588"/>
      <c r="CT1258" s="588"/>
      <c r="CU1258" s="588"/>
      <c r="CV1258" s="588"/>
      <c r="CW1258" s="588"/>
      <c r="CX1258" s="588"/>
      <c r="CY1258" s="588"/>
      <c r="CZ1258" s="588"/>
      <c r="DA1258" s="588"/>
      <c r="DB1258" s="588"/>
      <c r="DC1258" s="1197"/>
      <c r="DD1258" s="588"/>
      <c r="DE1258" s="588"/>
      <c r="DF1258" s="964"/>
      <c r="DG1258" s="964"/>
      <c r="DH1258" s="2977"/>
      <c r="DI1258" s="3213"/>
      <c r="DJ1258" s="964"/>
      <c r="DK1258" s="964"/>
      <c r="DL1258" s="964"/>
      <c r="DM1258" s="964"/>
      <c r="DN1258" s="964"/>
      <c r="DO1258" s="964"/>
      <c r="DP1258" s="964"/>
      <c r="DQ1258" s="964"/>
      <c r="DR1258" s="646"/>
      <c r="DS1258" s="646"/>
      <c r="DT1258" s="646"/>
      <c r="DU1258"/>
      <c r="DV1258"/>
      <c r="DW1258"/>
      <c r="DX1258"/>
      <c r="DY1258"/>
      <c r="DZ1258"/>
    </row>
    <row r="1259" spans="1:130" s="2501" customFormat="1" ht="12" customHeight="1" x14ac:dyDescent="0.25">
      <c r="A1259" s="2500"/>
      <c r="B1259" s="3313"/>
      <c r="C1259" s="2977"/>
      <c r="D1259" s="2977"/>
      <c r="E1259" s="2977"/>
      <c r="F1259" s="2977"/>
      <c r="G1259" s="3122"/>
      <c r="H1259" s="2977"/>
      <c r="I1259" s="2977"/>
      <c r="J1259" s="2977"/>
      <c r="K1259" s="2977"/>
      <c r="L1259" s="3122"/>
      <c r="M1259" s="2977"/>
      <c r="N1259" s="2977"/>
      <c r="O1259" s="2977"/>
      <c r="P1259" s="2977"/>
      <c r="Q1259" s="3122"/>
      <c r="R1259" s="2977"/>
      <c r="S1259" s="2977"/>
      <c r="T1259" s="2977"/>
      <c r="U1259" s="2977"/>
      <c r="V1259" s="3122"/>
      <c r="W1259" s="2977"/>
      <c r="X1259" s="2977"/>
      <c r="Y1259" s="2977"/>
      <c r="Z1259" s="2977"/>
      <c r="AA1259" s="3122"/>
      <c r="AB1259" s="2977"/>
      <c r="AC1259" s="2977"/>
      <c r="AD1259" s="2977"/>
      <c r="AE1259" s="2977"/>
      <c r="AF1259" s="3122"/>
      <c r="AG1259" s="2977"/>
      <c r="AH1259" s="2977"/>
      <c r="AI1259" s="2977"/>
      <c r="AJ1259" s="2977"/>
      <c r="AK1259" s="3122"/>
      <c r="AL1259" s="2977"/>
      <c r="AM1259" s="2977"/>
      <c r="AN1259" s="2977"/>
      <c r="AO1259" s="2977"/>
      <c r="AP1259" s="3123"/>
      <c r="AQ1259" s="3123"/>
      <c r="AR1259" s="2977"/>
      <c r="AS1259" s="2977"/>
      <c r="AT1259" s="2977"/>
      <c r="AU1259" s="3122"/>
      <c r="AV1259" s="3123"/>
      <c r="AW1259" s="2977"/>
      <c r="AX1259" s="2977"/>
      <c r="AY1259" s="2560"/>
      <c r="AZ1259" s="3122"/>
      <c r="BA1259" s="3123"/>
      <c r="BB1259" s="2977"/>
      <c r="BC1259" s="2977"/>
      <c r="BD1259" s="2560"/>
      <c r="BE1259" s="2560"/>
      <c r="BF1259" s="2977"/>
      <c r="BG1259" s="2977"/>
      <c r="BH1259" s="2977"/>
      <c r="BI1259" s="2560"/>
      <c r="BJ1259" s="2560"/>
      <c r="BK1259" s="2977"/>
      <c r="BL1259" s="2977"/>
      <c r="BM1259" s="2977"/>
      <c r="BN1259" s="2560"/>
      <c r="BO1259" s="2560"/>
      <c r="BP1259" s="2977"/>
      <c r="BQ1259" s="2977"/>
      <c r="BR1259" s="2977"/>
      <c r="BS1259" s="2977"/>
      <c r="BT1259" s="3122"/>
      <c r="BU1259" s="3392"/>
      <c r="BV1259" s="3392"/>
      <c r="BW1259" s="3392"/>
      <c r="BX1259" s="2977"/>
      <c r="BY1259" s="3122"/>
      <c r="BZ1259" s="3122"/>
      <c r="CA1259" s="3122"/>
      <c r="CB1259" s="3122"/>
      <c r="CC1259" s="3122"/>
      <c r="CD1259" s="3122"/>
      <c r="CE1259" s="3122"/>
      <c r="CF1259" s="3122"/>
      <c r="CG1259" s="2977"/>
      <c r="CH1259" s="588"/>
      <c r="CI1259" s="588"/>
      <c r="CJ1259" s="588"/>
      <c r="CK1259" s="588"/>
      <c r="CL1259" s="2178"/>
      <c r="CM1259" s="588"/>
      <c r="CN1259" s="588"/>
      <c r="CO1259" s="588"/>
      <c r="CP1259" s="588"/>
      <c r="CQ1259" s="588"/>
      <c r="CR1259" s="588"/>
      <c r="CS1259" s="588"/>
      <c r="CT1259" s="588"/>
      <c r="CU1259" s="588"/>
      <c r="CV1259" s="588"/>
      <c r="CW1259" s="588"/>
      <c r="CX1259" s="588"/>
      <c r="CY1259" s="588"/>
      <c r="CZ1259" s="588"/>
      <c r="DA1259" s="588"/>
      <c r="DB1259" s="588"/>
      <c r="DC1259" s="1197"/>
      <c r="DD1259" s="588"/>
      <c r="DE1259" s="588"/>
      <c r="DF1259" s="964"/>
      <c r="DG1259" s="964"/>
      <c r="DH1259" s="2977"/>
      <c r="DI1259" s="3213"/>
      <c r="DJ1259" s="964"/>
      <c r="DK1259" s="964"/>
      <c r="DL1259" s="964"/>
      <c r="DM1259" s="964"/>
      <c r="DN1259" s="964"/>
      <c r="DO1259" s="964"/>
      <c r="DP1259" s="964"/>
      <c r="DQ1259" s="964"/>
      <c r="DR1259" s="646"/>
      <c r="DS1259" s="646"/>
      <c r="DT1259" s="646"/>
      <c r="DU1259"/>
      <c r="DV1259"/>
      <c r="DW1259"/>
      <c r="DX1259"/>
      <c r="DY1259"/>
      <c r="DZ1259"/>
    </row>
    <row r="1260" spans="1:130" s="2501" customFormat="1" ht="12" customHeight="1" x14ac:dyDescent="0.25">
      <c r="A1260" s="1291" t="s">
        <v>2615</v>
      </c>
      <c r="B1260" s="3313"/>
      <c r="C1260" s="2977"/>
      <c r="D1260" s="2977"/>
      <c r="E1260" s="2977"/>
      <c r="F1260" s="2977"/>
      <c r="G1260" s="3122"/>
      <c r="H1260" s="2977"/>
      <c r="I1260" s="2977"/>
      <c r="J1260" s="2977"/>
      <c r="K1260" s="2977"/>
      <c r="L1260" s="3122"/>
      <c r="M1260" s="2977"/>
      <c r="N1260" s="2977"/>
      <c r="O1260" s="2977"/>
      <c r="P1260" s="2977"/>
      <c r="Q1260" s="3122"/>
      <c r="R1260" s="2977"/>
      <c r="S1260" s="2977"/>
      <c r="T1260" s="2977"/>
      <c r="U1260" s="2977"/>
      <c r="V1260" s="3122"/>
      <c r="W1260" s="2977"/>
      <c r="X1260" s="2977"/>
      <c r="Y1260" s="2977"/>
      <c r="Z1260" s="2977"/>
      <c r="AA1260" s="3122"/>
      <c r="AB1260" s="2977"/>
      <c r="AC1260" s="2977"/>
      <c r="AD1260" s="2977"/>
      <c r="AE1260" s="2977"/>
      <c r="AF1260" s="3122"/>
      <c r="AG1260" s="2977"/>
      <c r="AH1260" s="2977"/>
      <c r="AI1260" s="2977"/>
      <c r="AJ1260" s="2977"/>
      <c r="AK1260" s="3122"/>
      <c r="AL1260" s="2977"/>
      <c r="AM1260" s="2977"/>
      <c r="AN1260" s="2977"/>
      <c r="AO1260" s="2977"/>
      <c r="AP1260" s="3123"/>
      <c r="AQ1260" s="3123"/>
      <c r="AR1260" s="2977"/>
      <c r="AS1260" s="2977"/>
      <c r="AT1260" s="2977"/>
      <c r="AU1260" s="3122"/>
      <c r="AV1260" s="3123"/>
      <c r="AW1260" s="2977"/>
      <c r="AX1260" s="2977"/>
      <c r="AY1260" s="2560"/>
      <c r="AZ1260" s="3122"/>
      <c r="BA1260" s="2977"/>
      <c r="BB1260" s="2977"/>
      <c r="BC1260" s="2977"/>
      <c r="BD1260" s="2977"/>
      <c r="BE1260" s="3023">
        <f>+BE1243</f>
        <v>421.38799999999998</v>
      </c>
      <c r="BF1260" s="2670">
        <f t="shared" ref="BF1260:BV1260" si="2884">+BF1243</f>
        <v>108.845</v>
      </c>
      <c r="BG1260" s="2671">
        <f t="shared" si="2884"/>
        <v>109.51900000000001</v>
      </c>
      <c r="BH1260" s="2671">
        <f t="shared" si="2884"/>
        <v>109</v>
      </c>
      <c r="BI1260" s="2989">
        <f t="shared" si="2884"/>
        <v>109.62420283103333</v>
      </c>
      <c r="BJ1260" s="2989">
        <f t="shared" si="2884"/>
        <v>436.98820283103333</v>
      </c>
      <c r="BK1260" s="2671">
        <f t="shared" si="2884"/>
        <v>111.396</v>
      </c>
      <c r="BL1260" s="2671">
        <f t="shared" si="2884"/>
        <v>110.8</v>
      </c>
      <c r="BM1260" s="2671">
        <f t="shared" si="2884"/>
        <v>109.71</v>
      </c>
      <c r="BN1260" s="2671">
        <f t="shared" si="2884"/>
        <v>110.42</v>
      </c>
      <c r="BO1260" s="3023">
        <f t="shared" si="2884"/>
        <v>442.32600000000002</v>
      </c>
      <c r="BP1260" s="2671">
        <f t="shared" si="2884"/>
        <v>112.45</v>
      </c>
      <c r="BQ1260" s="2671">
        <f t="shared" si="2884"/>
        <v>113.9</v>
      </c>
      <c r="BR1260" s="2671">
        <f t="shared" si="2884"/>
        <v>114.489</v>
      </c>
      <c r="BS1260" s="2671">
        <f t="shared" si="2884"/>
        <v>114.532</v>
      </c>
      <c r="BT1260" s="3023">
        <f t="shared" si="2884"/>
        <v>455.37100000000009</v>
      </c>
      <c r="BU1260" s="2671">
        <f t="shared" si="2884"/>
        <v>115.91873705837774</v>
      </c>
      <c r="BV1260" s="2671">
        <f t="shared" si="2884"/>
        <v>115.55783932036537</v>
      </c>
      <c r="BW1260" s="2671">
        <f>+BW1243+BW1252+BW1258</f>
        <v>202.82530380428619</v>
      </c>
      <c r="BX1260" s="2671">
        <f>+BX1243+BX1252+BX1258</f>
        <v>201.43932903139074</v>
      </c>
      <c r="BY1260" s="3023">
        <f>SUM(BU1260:BX1260)</f>
        <v>635.74120921442</v>
      </c>
      <c r="BZ1260" s="3023">
        <f>+BZ1243+BZ1252+BZ1258</f>
        <v>809.33255323886112</v>
      </c>
      <c r="CA1260" s="3023">
        <f>+CA1243+CA1252+CA1258</f>
        <v>816.04337499347514</v>
      </c>
      <c r="CB1260" s="3122"/>
      <c r="CC1260" s="3122"/>
      <c r="CD1260" s="3122"/>
      <c r="CE1260" s="3122"/>
      <c r="CF1260" s="3122"/>
      <c r="CG1260" s="2977"/>
      <c r="CH1260" s="588"/>
      <c r="CI1260" s="588"/>
      <c r="CJ1260" s="588"/>
      <c r="CK1260" s="588"/>
      <c r="CL1260" s="2178"/>
      <c r="CM1260" s="588"/>
      <c r="CN1260" s="588"/>
      <c r="CO1260" s="588"/>
      <c r="CP1260" s="588"/>
      <c r="CQ1260" s="588"/>
      <c r="CR1260" s="588"/>
      <c r="CS1260" s="588"/>
      <c r="CT1260" s="588"/>
      <c r="CU1260" s="588"/>
      <c r="CV1260" s="588"/>
      <c r="CW1260" s="588"/>
      <c r="CX1260" s="588"/>
      <c r="CY1260" s="588"/>
      <c r="CZ1260" s="588"/>
      <c r="DA1260" s="588"/>
      <c r="DB1260" s="588"/>
      <c r="DC1260" s="1197"/>
      <c r="DD1260" s="588"/>
      <c r="DE1260" s="588"/>
      <c r="DF1260" s="964"/>
      <c r="DG1260" s="964"/>
      <c r="DH1260" s="2977"/>
      <c r="DI1260" s="3213"/>
      <c r="DJ1260" s="964"/>
      <c r="DK1260" s="964"/>
      <c r="DL1260" s="964"/>
      <c r="DM1260" s="964"/>
      <c r="DN1260" s="964"/>
      <c r="DO1260" s="964"/>
      <c r="DP1260" s="964"/>
      <c r="DQ1260" s="964"/>
      <c r="DR1260" s="646"/>
      <c r="DS1260" s="646"/>
      <c r="DT1260" s="646"/>
      <c r="DU1260"/>
      <c r="DV1260"/>
      <c r="DW1260"/>
      <c r="DX1260"/>
      <c r="DY1260"/>
      <c r="DZ1260"/>
    </row>
    <row r="1261" spans="1:130" s="2501" customFormat="1" ht="12" customHeight="1" x14ac:dyDescent="0.25">
      <c r="A1261" s="2500"/>
      <c r="B1261" s="3313"/>
      <c r="C1261" s="2977"/>
      <c r="D1261" s="2977"/>
      <c r="E1261" s="2977"/>
      <c r="F1261" s="2977"/>
      <c r="G1261" s="3122"/>
      <c r="H1261" s="2977"/>
      <c r="I1261" s="2977"/>
      <c r="J1261" s="2977"/>
      <c r="K1261" s="2977"/>
      <c r="L1261" s="3122"/>
      <c r="M1261" s="2977"/>
      <c r="N1261" s="2977"/>
      <c r="O1261" s="2977"/>
      <c r="P1261" s="2977"/>
      <c r="Q1261" s="3122"/>
      <c r="R1261" s="2977"/>
      <c r="S1261" s="2977"/>
      <c r="T1261" s="2977"/>
      <c r="U1261" s="2977"/>
      <c r="V1261" s="3122"/>
      <c r="W1261" s="2977"/>
      <c r="X1261" s="2977"/>
      <c r="Y1261" s="2977"/>
      <c r="Z1261" s="2977"/>
      <c r="AA1261" s="3122"/>
      <c r="AB1261" s="2977"/>
      <c r="AC1261" s="2977"/>
      <c r="AD1261" s="2977"/>
      <c r="AE1261" s="2977"/>
      <c r="AF1261" s="3122"/>
      <c r="AG1261" s="2977"/>
      <c r="AH1261" s="2977"/>
      <c r="AI1261" s="2977"/>
      <c r="AJ1261" s="2977"/>
      <c r="AK1261" s="3122"/>
      <c r="AL1261" s="2977"/>
      <c r="AM1261" s="2977"/>
      <c r="AN1261" s="2977"/>
      <c r="AO1261" s="2977"/>
      <c r="AP1261" s="3123"/>
      <c r="AQ1261" s="3123"/>
      <c r="AR1261" s="2977"/>
      <c r="AS1261" s="2977"/>
      <c r="AT1261" s="2977"/>
      <c r="AU1261" s="3122"/>
      <c r="AV1261" s="3123"/>
      <c r="AW1261" s="2977"/>
      <c r="AX1261" s="2977"/>
      <c r="AY1261" s="2560"/>
      <c r="AZ1261" s="3122"/>
      <c r="BA1261" s="2977"/>
      <c r="BB1261" s="2977"/>
      <c r="BC1261" s="2977"/>
      <c r="BD1261" s="2977"/>
      <c r="BE1261" s="3122"/>
      <c r="BF1261" s="2977"/>
      <c r="BG1261" s="2977"/>
      <c r="BH1261" s="2977"/>
      <c r="BI1261" s="2977"/>
      <c r="BJ1261" s="3122"/>
      <c r="BK1261" s="2977"/>
      <c r="BL1261" s="2977"/>
      <c r="BM1261" s="2977"/>
      <c r="BN1261" s="2977"/>
      <c r="BO1261" s="3122"/>
      <c r="BP1261" s="2977"/>
      <c r="BQ1261" s="2977"/>
      <c r="BR1261" s="2977"/>
      <c r="BS1261" s="2977"/>
      <c r="BT1261" s="3122"/>
      <c r="BU1261" s="3392"/>
      <c r="BV1261" s="3392"/>
      <c r="BW1261" s="3392"/>
      <c r="BX1261" s="2977"/>
      <c r="BY1261" s="3122"/>
      <c r="BZ1261" s="3122"/>
      <c r="CA1261" s="3122"/>
      <c r="CB1261" s="3122"/>
      <c r="CC1261" s="3122"/>
      <c r="CD1261" s="3122"/>
      <c r="CE1261" s="3122"/>
      <c r="CF1261" s="3122"/>
      <c r="CG1261" s="2977"/>
      <c r="CH1261" s="588"/>
      <c r="CI1261" s="588"/>
      <c r="CJ1261" s="588"/>
      <c r="CK1261" s="588"/>
      <c r="CL1261" s="2178"/>
      <c r="CM1261" s="588"/>
      <c r="CN1261" s="588"/>
      <c r="CO1261" s="588"/>
      <c r="CP1261" s="588"/>
      <c r="CQ1261" s="588"/>
      <c r="CR1261" s="588"/>
      <c r="CS1261" s="588"/>
      <c r="CT1261" s="588"/>
      <c r="CU1261" s="588"/>
      <c r="CV1261" s="588"/>
      <c r="CW1261" s="588"/>
      <c r="CX1261" s="588"/>
      <c r="CY1261" s="588"/>
      <c r="CZ1261" s="588"/>
      <c r="DA1261" s="588"/>
      <c r="DB1261" s="588"/>
      <c r="DC1261" s="1197"/>
      <c r="DD1261" s="588"/>
      <c r="DE1261" s="588"/>
      <c r="DF1261" s="964"/>
      <c r="DG1261" s="964"/>
      <c r="DH1261" s="2977"/>
      <c r="DI1261" s="3213"/>
      <c r="DJ1261" s="964"/>
      <c r="DK1261" s="964"/>
      <c r="DL1261" s="964"/>
      <c r="DM1261" s="964"/>
      <c r="DN1261" s="964"/>
      <c r="DO1261" s="964"/>
      <c r="DP1261" s="964"/>
      <c r="DQ1261" s="964"/>
      <c r="DR1261" s="646"/>
      <c r="DS1261" s="646"/>
      <c r="DT1261" s="646"/>
      <c r="DU1261"/>
      <c r="DV1261"/>
      <c r="DW1261"/>
      <c r="DX1261"/>
      <c r="DY1261"/>
      <c r="DZ1261"/>
    </row>
    <row r="1262" spans="1:130" s="2501" customFormat="1" ht="12" customHeight="1" x14ac:dyDescent="0.25">
      <c r="A1262" s="3151" t="s">
        <v>2439</v>
      </c>
      <c r="B1262" s="3313"/>
      <c r="C1262" s="2977"/>
      <c r="D1262" s="2977"/>
      <c r="E1262" s="2977"/>
      <c r="F1262" s="2977"/>
      <c r="G1262" s="3122"/>
      <c r="H1262" s="2977"/>
      <c r="I1262" s="2977"/>
      <c r="J1262" s="2977"/>
      <c r="K1262" s="2977"/>
      <c r="L1262" s="3122"/>
      <c r="M1262" s="2977"/>
      <c r="N1262" s="2977"/>
      <c r="O1262" s="2977"/>
      <c r="P1262" s="2977"/>
      <c r="Q1262" s="3122"/>
      <c r="R1262" s="2977"/>
      <c r="S1262" s="2977"/>
      <c r="T1262" s="2977"/>
      <c r="U1262" s="2977"/>
      <c r="V1262" s="3122"/>
      <c r="W1262" s="2977"/>
      <c r="X1262" s="2977"/>
      <c r="Y1262" s="2977"/>
      <c r="Z1262" s="2977"/>
      <c r="AA1262" s="3122"/>
      <c r="AB1262" s="2977"/>
      <c r="AC1262" s="2977"/>
      <c r="AD1262" s="2977"/>
      <c r="AE1262" s="2977"/>
      <c r="AF1262" s="3122"/>
      <c r="AG1262" s="2977"/>
      <c r="AH1262" s="2977"/>
      <c r="AI1262" s="2977"/>
      <c r="AJ1262" s="2977"/>
      <c r="AK1262" s="3122"/>
      <c r="AL1262" s="2977"/>
      <c r="AM1262" s="2977"/>
      <c r="AN1262" s="2977"/>
      <c r="AO1262" s="2977"/>
      <c r="AP1262" s="3123"/>
      <c r="AQ1262" s="3123"/>
      <c r="AR1262" s="2977"/>
      <c r="AS1262" s="2977"/>
      <c r="AT1262" s="2977"/>
      <c r="AU1262" s="3122"/>
      <c r="AV1262" s="3123"/>
      <c r="AW1262" s="2977"/>
      <c r="AX1262" s="2977"/>
      <c r="AY1262" s="2560"/>
      <c r="AZ1262" s="3122"/>
      <c r="BA1262" s="1392">
        <v>93.1</v>
      </c>
      <c r="BB1262" s="1392">
        <v>94</v>
      </c>
      <c r="BC1262" s="1392">
        <v>94.6</v>
      </c>
      <c r="BD1262" s="1392">
        <f>379.2-SUM(BA1262:BC1262)</f>
        <v>97.5</v>
      </c>
      <c r="BE1262" s="3023">
        <f>SUM(BA1262:BD1262)</f>
        <v>379.2</v>
      </c>
      <c r="BF1262" s="1392">
        <v>96.4</v>
      </c>
      <c r="BG1262" s="1392">
        <v>97.7</v>
      </c>
      <c r="BH1262" s="1392">
        <v>97.8</v>
      </c>
      <c r="BI1262" s="1392">
        <f>390.1-SUM(BF1262:BH1262)</f>
        <v>98.199999999999989</v>
      </c>
      <c r="BJ1262" s="3023">
        <f>SUM(BF1262:BI1262)</f>
        <v>390.1</v>
      </c>
      <c r="BK1262" s="2671">
        <f t="shared" ref="BK1262:BN1263" si="2885">+BK$1243*BK1265</f>
        <v>99.787153908527856</v>
      </c>
      <c r="BL1262" s="2671">
        <f t="shared" si="2885"/>
        <v>99.25326450738703</v>
      </c>
      <c r="BM1262" s="2671">
        <f t="shared" si="2885"/>
        <v>98.276856038857687</v>
      </c>
      <c r="BN1262" s="2671">
        <f t="shared" si="2885"/>
        <v>98.912865224780475</v>
      </c>
      <c r="BO1262" s="3023">
        <f>SUM(BK1262:BN1262)</f>
        <v>396.23013967955308</v>
      </c>
      <c r="BP1262" s="2671">
        <f t="shared" ref="BP1262:BS1263" si="2886">+BP$1243*BP1265</f>
        <v>97.831500000000005</v>
      </c>
      <c r="BQ1262" s="2671">
        <f t="shared" si="2886"/>
        <v>99.093000000000004</v>
      </c>
      <c r="BR1262" s="2671">
        <f t="shared" si="2886"/>
        <v>99.605429999999998</v>
      </c>
      <c r="BS1262" s="2671">
        <f t="shared" si="2886"/>
        <v>99.642839999999993</v>
      </c>
      <c r="BT1262" s="3248">
        <f>SUM(BP1262:BS1262)</f>
        <v>396.17277000000001</v>
      </c>
      <c r="BU1262" s="2671">
        <f>+BU$1243*BU1265</f>
        <v>100.84930124078862</v>
      </c>
      <c r="BV1262" s="2671">
        <f>+BV$1243*BV1265</f>
        <v>100.53532020871786</v>
      </c>
      <c r="BW1262" s="2671">
        <f>+BW$1260*BW1265</f>
        <v>176.45801430972895</v>
      </c>
      <c r="BX1262" s="2671">
        <f>+BX$1260*BX1265</f>
        <v>175.25221625730993</v>
      </c>
      <c r="BY1262" s="3248">
        <f>SUM(BU1262:BX1262)</f>
        <v>553.09485201654536</v>
      </c>
      <c r="BZ1262" s="3248">
        <f>+BZ$1260*BZ1265</f>
        <v>704.11932131780918</v>
      </c>
      <c r="CA1262" s="3248">
        <f>+CA$1260*CA1265</f>
        <v>709.95773624432331</v>
      </c>
      <c r="CB1262" s="3122"/>
      <c r="CC1262" s="3122"/>
      <c r="CD1262" s="3122"/>
      <c r="CE1262" s="3122"/>
      <c r="CF1262" s="3122"/>
      <c r="CG1262" s="2977"/>
      <c r="CH1262" s="588"/>
      <c r="CI1262" s="588"/>
      <c r="CJ1262" s="588"/>
      <c r="CK1262" s="588"/>
      <c r="CL1262" s="2178"/>
      <c r="CM1262" s="588"/>
      <c r="CN1262" s="588"/>
      <c r="CO1262" s="588"/>
      <c r="CP1262" s="588"/>
      <c r="CQ1262" s="588"/>
      <c r="CR1262" s="588"/>
      <c r="CS1262" s="588"/>
      <c r="CT1262" s="588"/>
      <c r="CU1262" s="588"/>
      <c r="CV1262" s="588"/>
      <c r="CW1262" s="588"/>
      <c r="CX1262" s="588"/>
      <c r="CY1262" s="588"/>
      <c r="CZ1262" s="588"/>
      <c r="DA1262" s="588"/>
      <c r="DB1262" s="588"/>
      <c r="DC1262" s="1197"/>
      <c r="DD1262" s="588"/>
      <c r="DE1262" s="588"/>
      <c r="DF1262" s="964"/>
      <c r="DG1262" s="964"/>
      <c r="DH1262" s="3303"/>
      <c r="DI1262" s="3213"/>
      <c r="DJ1262" s="964"/>
      <c r="DK1262" s="964"/>
      <c r="DL1262" s="964"/>
      <c r="DM1262" s="964"/>
      <c r="DN1262" s="964"/>
      <c r="DO1262" s="964"/>
      <c r="DP1262" s="964"/>
      <c r="DQ1262" s="964"/>
      <c r="DR1262" s="646"/>
      <c r="DS1262" s="646"/>
      <c r="DT1262" s="646"/>
      <c r="DU1262"/>
      <c r="DV1262"/>
      <c r="DW1262"/>
      <c r="DX1262"/>
      <c r="DY1262"/>
      <c r="DZ1262"/>
    </row>
    <row r="1263" spans="1:130" s="2501" customFormat="1" ht="12" customHeight="1" x14ac:dyDescent="0.25">
      <c r="A1263" s="3151" t="s">
        <v>2438</v>
      </c>
      <c r="B1263" s="3313"/>
      <c r="C1263" s="2977"/>
      <c r="D1263" s="2977"/>
      <c r="E1263" s="2977"/>
      <c r="F1263" s="2977"/>
      <c r="G1263" s="3122"/>
      <c r="H1263" s="2977"/>
      <c r="I1263" s="2977"/>
      <c r="J1263" s="2977"/>
      <c r="K1263" s="2977"/>
      <c r="L1263" s="3122"/>
      <c r="M1263" s="2977"/>
      <c r="N1263" s="2977"/>
      <c r="O1263" s="2977"/>
      <c r="P1263" s="2977"/>
      <c r="Q1263" s="3122"/>
      <c r="R1263" s="2977"/>
      <c r="S1263" s="2977"/>
      <c r="T1263" s="2977"/>
      <c r="U1263" s="2977"/>
      <c r="V1263" s="3122"/>
      <c r="W1263" s="2977"/>
      <c r="X1263" s="2977"/>
      <c r="Y1263" s="2977"/>
      <c r="Z1263" s="2977"/>
      <c r="AA1263" s="3122"/>
      <c r="AB1263" s="2977"/>
      <c r="AC1263" s="2977"/>
      <c r="AD1263" s="2977"/>
      <c r="AE1263" s="2977"/>
      <c r="AF1263" s="3122"/>
      <c r="AG1263" s="2977"/>
      <c r="AH1263" s="2977"/>
      <c r="AI1263" s="2977"/>
      <c r="AJ1263" s="2977"/>
      <c r="AK1263" s="3122"/>
      <c r="AL1263" s="2977"/>
      <c r="AM1263" s="2977"/>
      <c r="AN1263" s="2977"/>
      <c r="AO1263" s="2977"/>
      <c r="AP1263" s="3123"/>
      <c r="AQ1263" s="3123"/>
      <c r="AR1263" s="2977"/>
      <c r="AS1263" s="2977"/>
      <c r="AT1263" s="2977"/>
      <c r="AU1263" s="3122"/>
      <c r="AV1263" s="3123"/>
      <c r="AW1263" s="2977"/>
      <c r="AX1263" s="2977"/>
      <c r="AY1263" s="2560"/>
      <c r="AZ1263" s="3122"/>
      <c r="BA1263" s="2169">
        <f>+BA1243-BA1262</f>
        <v>11.209000000000003</v>
      </c>
      <c r="BB1263" s="2169">
        <f>+BB1243-BB1262</f>
        <v>10.613</v>
      </c>
      <c r="BC1263" s="2169">
        <f>+BC1243-BC1262</f>
        <v>10.025000000000006</v>
      </c>
      <c r="BD1263" s="2169">
        <f>+BD1243-BD1262</f>
        <v>10.340999999999994</v>
      </c>
      <c r="BE1263" s="2604">
        <f>SUM(BA1263:BD1263)</f>
        <v>42.188000000000002</v>
      </c>
      <c r="BF1263" s="2169">
        <f>+BF1243-BF1262</f>
        <v>12.444999999999993</v>
      </c>
      <c r="BG1263" s="2169">
        <f>+BG1243-BG1262</f>
        <v>11.819000000000003</v>
      </c>
      <c r="BH1263" s="2169">
        <f>+BH1243-BH1262</f>
        <v>11.200000000000003</v>
      </c>
      <c r="BI1263" s="2169">
        <f>+BI1243-BI1262</f>
        <v>11.424202831033341</v>
      </c>
      <c r="BJ1263" s="2604">
        <f>SUM(BF1263:BI1263)</f>
        <v>46.88820283103334</v>
      </c>
      <c r="BK1263" s="2577">
        <f t="shared" si="2885"/>
        <v>11.608846091472143</v>
      </c>
      <c r="BL1263" s="2577">
        <f t="shared" si="2885"/>
        <v>11.546735492612962</v>
      </c>
      <c r="BM1263" s="2577">
        <f t="shared" si="2885"/>
        <v>11.43314396114231</v>
      </c>
      <c r="BN1263" s="2577">
        <f t="shared" si="2885"/>
        <v>11.507134775219523</v>
      </c>
      <c r="BO1263" s="2604">
        <f>SUM(BK1263:BN1263)</f>
        <v>46.095860320446945</v>
      </c>
      <c r="BP1263" s="2577">
        <f t="shared" si="2886"/>
        <v>14.618500000000001</v>
      </c>
      <c r="BQ1263" s="2577">
        <f t="shared" si="2886"/>
        <v>14.807</v>
      </c>
      <c r="BR1263" s="2577">
        <f t="shared" si="2886"/>
        <v>14.883570000000001</v>
      </c>
      <c r="BS1263" s="2577">
        <f t="shared" si="2886"/>
        <v>14.88916</v>
      </c>
      <c r="BT1263" s="3247">
        <f>SUM(BP1263:BS1263)</f>
        <v>59.198229999999995</v>
      </c>
      <c r="BU1263" s="2577">
        <f>+BU$1243*BU1266</f>
        <v>15.06943581758912</v>
      </c>
      <c r="BV1263" s="2577">
        <f>+BV$1243*BV1266</f>
        <v>15.022519111647512</v>
      </c>
      <c r="BW1263" s="2577">
        <f>+BW$1260*BW1266</f>
        <v>26.36728949455723</v>
      </c>
      <c r="BX1263" s="2577">
        <f>+BX$1260*BX1266</f>
        <v>26.18711277408082</v>
      </c>
      <c r="BY1263" s="3247">
        <f>SUM(BU1263:BX1263)</f>
        <v>82.646357197874678</v>
      </c>
      <c r="BZ1263" s="3247">
        <f>+BZ$1260*BZ1266</f>
        <v>105.21323192105194</v>
      </c>
      <c r="CA1263" s="3247">
        <f>+CA$1260*CA1266</f>
        <v>106.08563874915177</v>
      </c>
      <c r="CB1263" s="3122"/>
      <c r="CC1263" s="3122"/>
      <c r="CD1263" s="3122"/>
      <c r="CE1263" s="3122"/>
      <c r="CF1263" s="3122"/>
      <c r="CG1263" s="2977"/>
      <c r="CH1263" s="588"/>
      <c r="CI1263" s="588"/>
      <c r="CJ1263" s="588"/>
      <c r="CK1263" s="588"/>
      <c r="CL1263" s="2178"/>
      <c r="CM1263" s="588"/>
      <c r="CN1263" s="588"/>
      <c r="CO1263" s="588"/>
      <c r="CP1263" s="588"/>
      <c r="CQ1263" s="588"/>
      <c r="CR1263" s="588"/>
      <c r="CS1263" s="588"/>
      <c r="CT1263" s="588"/>
      <c r="CU1263" s="588"/>
      <c r="CV1263" s="588"/>
      <c r="CW1263" s="588"/>
      <c r="CX1263" s="588"/>
      <c r="CY1263" s="588"/>
      <c r="CZ1263" s="588"/>
      <c r="DA1263" s="588"/>
      <c r="DB1263" s="588"/>
      <c r="DC1263" s="1197"/>
      <c r="DD1263" s="588"/>
      <c r="DE1263" s="588"/>
      <c r="DF1263" s="964"/>
      <c r="DG1263" s="964"/>
      <c r="DH1263" s="3302"/>
      <c r="DI1263" s="3213"/>
      <c r="DJ1263" s="964"/>
      <c r="DK1263" s="964"/>
      <c r="DL1263" s="964"/>
      <c r="DM1263" s="964"/>
      <c r="DN1263" s="964"/>
      <c r="DO1263" s="964"/>
      <c r="DP1263" s="964"/>
      <c r="DQ1263" s="964"/>
      <c r="DR1263" s="646"/>
      <c r="DS1263" s="646"/>
      <c r="DT1263" s="646"/>
      <c r="DU1263"/>
      <c r="DV1263"/>
      <c r="DW1263"/>
      <c r="DX1263"/>
      <c r="DY1263"/>
      <c r="DZ1263"/>
    </row>
    <row r="1264" spans="1:130" s="2501" customFormat="1" ht="12" customHeight="1" x14ac:dyDescent="0.25">
      <c r="A1264" s="2500"/>
      <c r="B1264" s="3313"/>
      <c r="C1264" s="2977"/>
      <c r="D1264" s="2977"/>
      <c r="E1264" s="2977"/>
      <c r="F1264" s="2977"/>
      <c r="G1264" s="3122"/>
      <c r="H1264" s="2977"/>
      <c r="I1264" s="2977"/>
      <c r="J1264" s="2977"/>
      <c r="K1264" s="2977"/>
      <c r="L1264" s="3122"/>
      <c r="M1264" s="2977"/>
      <c r="N1264" s="2977"/>
      <c r="O1264" s="2977"/>
      <c r="P1264" s="2977"/>
      <c r="Q1264" s="3122"/>
      <c r="R1264" s="2977"/>
      <c r="S1264" s="2977"/>
      <c r="T1264" s="2977"/>
      <c r="U1264" s="2977"/>
      <c r="V1264" s="3122"/>
      <c r="W1264" s="2977"/>
      <c r="X1264" s="2977"/>
      <c r="Y1264" s="2977"/>
      <c r="Z1264" s="2977"/>
      <c r="AA1264" s="3122"/>
      <c r="AB1264" s="2977"/>
      <c r="AC1264" s="2977"/>
      <c r="AD1264" s="2977"/>
      <c r="AE1264" s="2977"/>
      <c r="AF1264" s="3122"/>
      <c r="AG1264" s="2977"/>
      <c r="AH1264" s="2977"/>
      <c r="AI1264" s="2977"/>
      <c r="AJ1264" s="2977"/>
      <c r="AK1264" s="3122"/>
      <c r="AL1264" s="2977"/>
      <c r="AM1264" s="2977"/>
      <c r="AN1264" s="2977"/>
      <c r="AO1264" s="2977"/>
      <c r="AP1264" s="3123"/>
      <c r="AQ1264" s="3123"/>
      <c r="AR1264" s="2977"/>
      <c r="AS1264" s="2977"/>
      <c r="AT1264" s="2977"/>
      <c r="AU1264" s="3122"/>
      <c r="AV1264" s="3123"/>
      <c r="AW1264" s="2977"/>
      <c r="AX1264" s="2977"/>
      <c r="AY1264" s="2560"/>
      <c r="AZ1264" s="3122"/>
      <c r="BA1264" s="3123"/>
      <c r="BB1264" s="2977"/>
      <c r="BC1264" s="2977"/>
      <c r="BD1264" s="2560"/>
      <c r="BE1264" s="2560"/>
      <c r="BF1264" s="2977"/>
      <c r="BG1264" s="2977"/>
      <c r="BH1264" s="2977"/>
      <c r="BI1264" s="2560"/>
      <c r="BJ1264" s="2560"/>
      <c r="BK1264" s="2977"/>
      <c r="BL1264" s="2977"/>
      <c r="BM1264" s="2977"/>
      <c r="BN1264" s="2560"/>
      <c r="BO1264" s="2560"/>
      <c r="BP1264" s="2977"/>
      <c r="BQ1264" s="2977"/>
      <c r="BR1264" s="2977"/>
      <c r="BS1264" s="2977"/>
      <c r="BT1264" s="3122"/>
      <c r="BU1264" s="2977"/>
      <c r="BV1264" s="2977"/>
      <c r="BW1264" s="2977"/>
      <c r="BX1264" s="2977"/>
      <c r="BY1264" s="3122"/>
      <c r="BZ1264" s="3122"/>
      <c r="CA1264" s="3122"/>
      <c r="CB1264" s="3122"/>
      <c r="CC1264" s="3122"/>
      <c r="CD1264" s="3122"/>
      <c r="CE1264" s="3122"/>
      <c r="CF1264" s="3122"/>
      <c r="CG1264" s="2977"/>
      <c r="CH1264" s="588"/>
      <c r="CI1264" s="588"/>
      <c r="CJ1264" s="588"/>
      <c r="CK1264" s="588"/>
      <c r="CL1264" s="2178"/>
      <c r="CM1264" s="588"/>
      <c r="CN1264" s="588"/>
      <c r="CO1264" s="588"/>
      <c r="CP1264" s="588"/>
      <c r="CQ1264" s="588"/>
      <c r="CR1264" s="588"/>
      <c r="CS1264" s="588"/>
      <c r="CT1264" s="588"/>
      <c r="CU1264" s="588"/>
      <c r="CV1264" s="588"/>
      <c r="CW1264" s="588"/>
      <c r="CX1264" s="588"/>
      <c r="CY1264" s="588"/>
      <c r="CZ1264" s="588"/>
      <c r="DA1264" s="588"/>
      <c r="DB1264" s="588"/>
      <c r="DC1264" s="1197"/>
      <c r="DD1264" s="588"/>
      <c r="DE1264" s="588"/>
      <c r="DF1264" s="964"/>
      <c r="DG1264" s="964"/>
      <c r="DH1264" s="2977"/>
      <c r="DI1264" s="3213"/>
      <c r="DJ1264" s="964"/>
      <c r="DK1264" s="964"/>
      <c r="DL1264" s="964"/>
      <c r="DM1264" s="964"/>
      <c r="DN1264" s="964"/>
      <c r="DO1264" s="964"/>
      <c r="DP1264" s="964"/>
      <c r="DQ1264" s="964"/>
      <c r="DR1264" s="646"/>
      <c r="DS1264" s="646"/>
      <c r="DT1264" s="646"/>
      <c r="DU1264"/>
      <c r="DV1264"/>
      <c r="DW1264"/>
      <c r="DX1264"/>
      <c r="DY1264"/>
      <c r="DZ1264"/>
    </row>
    <row r="1265" spans="1:130" s="2501" customFormat="1" ht="12" customHeight="1" x14ac:dyDescent="0.25">
      <c r="A1265" s="2500" t="s">
        <v>2440</v>
      </c>
      <c r="B1265" s="3313"/>
      <c r="C1265" s="2977"/>
      <c r="D1265" s="2977"/>
      <c r="E1265" s="2977"/>
      <c r="F1265" s="2977"/>
      <c r="G1265" s="3122"/>
      <c r="H1265" s="2977"/>
      <c r="I1265" s="2977"/>
      <c r="J1265" s="2977"/>
      <c r="K1265" s="2977"/>
      <c r="L1265" s="3122"/>
      <c r="M1265" s="2977"/>
      <c r="N1265" s="2977"/>
      <c r="O1265" s="2977"/>
      <c r="P1265" s="2977"/>
      <c r="Q1265" s="3122"/>
      <c r="R1265" s="2977"/>
      <c r="S1265" s="2977"/>
      <c r="T1265" s="2977"/>
      <c r="U1265" s="2977"/>
      <c r="V1265" s="3122"/>
      <c r="W1265" s="2977"/>
      <c r="X1265" s="2977"/>
      <c r="Y1265" s="2977"/>
      <c r="Z1265" s="2977"/>
      <c r="AA1265" s="3122"/>
      <c r="AB1265" s="2977"/>
      <c r="AC1265" s="2977"/>
      <c r="AD1265" s="2977"/>
      <c r="AE1265" s="2977"/>
      <c r="AF1265" s="3122"/>
      <c r="AG1265" s="2977"/>
      <c r="AH1265" s="2977"/>
      <c r="AI1265" s="2977"/>
      <c r="AJ1265" s="2977"/>
      <c r="AK1265" s="3122"/>
      <c r="AL1265" s="2977"/>
      <c r="AM1265" s="2977"/>
      <c r="AN1265" s="2977"/>
      <c r="AO1265" s="2977"/>
      <c r="AP1265" s="3123"/>
      <c r="AQ1265" s="3123"/>
      <c r="AR1265" s="2977"/>
      <c r="AS1265" s="2977"/>
      <c r="AT1265" s="2977"/>
      <c r="AU1265" s="3122"/>
      <c r="AV1265" s="3123"/>
      <c r="AW1265" s="2977"/>
      <c r="AX1265" s="2977"/>
      <c r="AY1265" s="2560"/>
      <c r="AZ1265" s="3122"/>
      <c r="BA1265" s="3123">
        <f t="shared" ref="BA1265:BJ1265" si="2887">+BA1262/BA1243</f>
        <v>0.89254043275268669</v>
      </c>
      <c r="BB1265" s="2977">
        <f t="shared" si="2887"/>
        <v>0.89854989341668823</v>
      </c>
      <c r="BC1265" s="2977">
        <f t="shared" si="2887"/>
        <v>0.90418160095579447</v>
      </c>
      <c r="BD1265" s="2560">
        <f t="shared" si="2887"/>
        <v>0.90410882688402372</v>
      </c>
      <c r="BE1265" s="2560">
        <f t="shared" si="2887"/>
        <v>0.89988324299695299</v>
      </c>
      <c r="BF1265" s="2977">
        <f t="shared" si="2887"/>
        <v>0.88566309890210859</v>
      </c>
      <c r="BG1265" s="2977">
        <f t="shared" si="2887"/>
        <v>0.89208265232516726</v>
      </c>
      <c r="BH1265" s="2977">
        <f t="shared" si="2887"/>
        <v>0.89724770642201834</v>
      </c>
      <c r="BI1265" s="2977">
        <f t="shared" si="2887"/>
        <v>0.89578758580674223</v>
      </c>
      <c r="BJ1265" s="3122">
        <f t="shared" si="2887"/>
        <v>0.8927014447363395</v>
      </c>
      <c r="BK1265" s="3447">
        <f>+BI1265</f>
        <v>0.89578758580674223</v>
      </c>
      <c r="BL1265" s="3447">
        <f>+BK1265</f>
        <v>0.89578758580674223</v>
      </c>
      <c r="BM1265" s="3447">
        <f>+BL1265</f>
        <v>0.89578758580674223</v>
      </c>
      <c r="BN1265" s="3447">
        <f>+BM1265</f>
        <v>0.89578758580674223</v>
      </c>
      <c r="BO1265" s="3122">
        <f>+BO1262/BO1243</f>
        <v>0.89578758580674223</v>
      </c>
      <c r="BP1265" s="737">
        <v>0.87</v>
      </c>
      <c r="BQ1265" s="3447">
        <f>+BP1265</f>
        <v>0.87</v>
      </c>
      <c r="BR1265" s="3447">
        <f>+BQ1265</f>
        <v>0.87</v>
      </c>
      <c r="BS1265" s="3447">
        <f>+BR1265</f>
        <v>0.87</v>
      </c>
      <c r="BT1265" s="3122">
        <f>+BT1262/BT1243</f>
        <v>0.86999999999999988</v>
      </c>
      <c r="BU1265" s="3447">
        <f>+BT1265</f>
        <v>0.86999999999999988</v>
      </c>
      <c r="BV1265" s="3447">
        <f>+BU1265</f>
        <v>0.86999999999999988</v>
      </c>
      <c r="BW1265" s="3447">
        <f>+BV1265</f>
        <v>0.86999999999999988</v>
      </c>
      <c r="BX1265" s="3447">
        <f>+BW1265</f>
        <v>0.86999999999999988</v>
      </c>
      <c r="BY1265" s="3122">
        <f>+BY1262/BY1260</f>
        <v>0.87</v>
      </c>
      <c r="BZ1265" s="3495">
        <f>+BY1265</f>
        <v>0.87</v>
      </c>
      <c r="CA1265" s="3495">
        <f>+BZ1265</f>
        <v>0.87</v>
      </c>
      <c r="CB1265" s="3122"/>
      <c r="CC1265" s="3122"/>
      <c r="CD1265" s="3122"/>
      <c r="CE1265" s="3122"/>
      <c r="CF1265" s="3122"/>
      <c r="CG1265" s="2977"/>
      <c r="CH1265" s="588"/>
      <c r="CI1265" s="588"/>
      <c r="CJ1265" s="588"/>
      <c r="CK1265" s="588"/>
      <c r="CL1265" s="2178"/>
      <c r="CM1265" s="588"/>
      <c r="CN1265" s="588"/>
      <c r="CO1265" s="588"/>
      <c r="CP1265" s="588"/>
      <c r="CQ1265" s="588"/>
      <c r="CR1265" s="588"/>
      <c r="CS1265" s="588"/>
      <c r="CT1265" s="588"/>
      <c r="CU1265" s="588"/>
      <c r="CV1265" s="588"/>
      <c r="CW1265" s="588"/>
      <c r="CX1265" s="588"/>
      <c r="CY1265" s="588"/>
      <c r="CZ1265" s="588"/>
      <c r="DA1265" s="588"/>
      <c r="DB1265" s="588"/>
      <c r="DC1265" s="1197"/>
      <c r="DD1265" s="588"/>
      <c r="DE1265" s="588"/>
      <c r="DF1265" s="964"/>
      <c r="DG1265" s="964"/>
      <c r="DH1265" s="2977"/>
      <c r="DI1265" s="3213"/>
      <c r="DJ1265" s="964"/>
      <c r="DK1265" s="964"/>
      <c r="DL1265" s="964"/>
      <c r="DM1265" s="964"/>
      <c r="DN1265" s="964"/>
      <c r="DO1265" s="964"/>
      <c r="DP1265" s="964"/>
      <c r="DQ1265" s="964"/>
      <c r="DR1265" s="646"/>
      <c r="DS1265" s="646"/>
      <c r="DT1265" s="646"/>
      <c r="DU1265"/>
      <c r="DV1265"/>
      <c r="DW1265"/>
      <c r="DX1265"/>
      <c r="DY1265"/>
      <c r="DZ1265"/>
    </row>
    <row r="1266" spans="1:130" s="2501" customFormat="1" ht="12" customHeight="1" x14ac:dyDescent="0.25">
      <c r="A1266" s="2500" t="s">
        <v>2441</v>
      </c>
      <c r="B1266" s="3313"/>
      <c r="C1266" s="2977"/>
      <c r="D1266" s="2977"/>
      <c r="E1266" s="2977"/>
      <c r="F1266" s="2977"/>
      <c r="G1266" s="3122"/>
      <c r="H1266" s="2977"/>
      <c r="I1266" s="2977"/>
      <c r="J1266" s="2977"/>
      <c r="K1266" s="2977"/>
      <c r="L1266" s="3122"/>
      <c r="M1266" s="2977"/>
      <c r="N1266" s="2977"/>
      <c r="O1266" s="2977"/>
      <c r="P1266" s="2977"/>
      <c r="Q1266" s="3122"/>
      <c r="R1266" s="2977"/>
      <c r="S1266" s="2977"/>
      <c r="T1266" s="2977"/>
      <c r="U1266" s="2977"/>
      <c r="V1266" s="3122"/>
      <c r="W1266" s="2977"/>
      <c r="X1266" s="2977"/>
      <c r="Y1266" s="2977"/>
      <c r="Z1266" s="2977"/>
      <c r="AA1266" s="3122"/>
      <c r="AB1266" s="2977"/>
      <c r="AC1266" s="2977"/>
      <c r="AD1266" s="2977"/>
      <c r="AE1266" s="2977"/>
      <c r="AF1266" s="3122"/>
      <c r="AG1266" s="2977"/>
      <c r="AH1266" s="2977"/>
      <c r="AI1266" s="2977"/>
      <c r="AJ1266" s="2977"/>
      <c r="AK1266" s="3122"/>
      <c r="AL1266" s="2977"/>
      <c r="AM1266" s="2977"/>
      <c r="AN1266" s="2977"/>
      <c r="AO1266" s="2977"/>
      <c r="AP1266" s="3123"/>
      <c r="AQ1266" s="3123"/>
      <c r="AR1266" s="2977"/>
      <c r="AS1266" s="2977"/>
      <c r="AT1266" s="2977"/>
      <c r="AU1266" s="3122"/>
      <c r="AV1266" s="3123"/>
      <c r="AW1266" s="2977"/>
      <c r="AX1266" s="2977"/>
      <c r="AY1266" s="2560"/>
      <c r="AZ1266" s="3122"/>
      <c r="BA1266" s="3123">
        <f t="shared" ref="BA1266:BJ1266" si="2888">+BA1263/BA1243</f>
        <v>0.1074595672473133</v>
      </c>
      <c r="BB1266" s="2977">
        <f t="shared" si="2888"/>
        <v>0.10145010658331183</v>
      </c>
      <c r="BC1266" s="2977">
        <f t="shared" si="2888"/>
        <v>9.5818399044205554E-2</v>
      </c>
      <c r="BD1266" s="2560">
        <f t="shared" si="2888"/>
        <v>9.5891173115976253E-2</v>
      </c>
      <c r="BE1266" s="2560">
        <f t="shared" si="2888"/>
        <v>0.10011675700304709</v>
      </c>
      <c r="BF1266" s="2977">
        <f t="shared" si="2888"/>
        <v>0.11433690109789144</v>
      </c>
      <c r="BG1266" s="2977">
        <f t="shared" si="2888"/>
        <v>0.1079173476748327</v>
      </c>
      <c r="BH1266" s="2977">
        <f t="shared" si="2888"/>
        <v>0.10275229357798167</v>
      </c>
      <c r="BI1266" s="2977">
        <f t="shared" si="2888"/>
        <v>0.10421241419325772</v>
      </c>
      <c r="BJ1266" s="3122">
        <f t="shared" si="2888"/>
        <v>0.10729855526366056</v>
      </c>
      <c r="BK1266" s="3448">
        <f>1-BK1265</f>
        <v>0.10421241419325777</v>
      </c>
      <c r="BL1266" s="3448">
        <f>1-BL1265</f>
        <v>0.10421241419325777</v>
      </c>
      <c r="BM1266" s="3448">
        <f>1-BM1265</f>
        <v>0.10421241419325777</v>
      </c>
      <c r="BN1266" s="3448">
        <f>1-BN1265</f>
        <v>0.10421241419325777</v>
      </c>
      <c r="BO1266" s="3122">
        <f>+BO1263/BO1243</f>
        <v>0.10421241419325779</v>
      </c>
      <c r="BP1266" s="3448">
        <f>1-BP1265</f>
        <v>0.13</v>
      </c>
      <c r="BQ1266" s="3448">
        <f>1-BQ1265</f>
        <v>0.13</v>
      </c>
      <c r="BR1266" s="3448">
        <f>1-BR1265</f>
        <v>0.13</v>
      </c>
      <c r="BS1266" s="3448">
        <f>1-BS1265</f>
        <v>0.13</v>
      </c>
      <c r="BT1266" s="3122">
        <f>+BT1263/BT1243</f>
        <v>0.12999999999999995</v>
      </c>
      <c r="BU1266" s="3448">
        <f t="shared" ref="BU1266:CA1266" si="2889">1-BU1265</f>
        <v>0.13000000000000012</v>
      </c>
      <c r="BV1266" s="3448">
        <f t="shared" si="2889"/>
        <v>0.13000000000000012</v>
      </c>
      <c r="BW1266" s="3448">
        <f t="shared" si="2889"/>
        <v>0.13000000000000012</v>
      </c>
      <c r="BX1266" s="3448">
        <f t="shared" si="2889"/>
        <v>0.13000000000000012</v>
      </c>
      <c r="BY1266" s="3122">
        <f>+BY1263/BY1260</f>
        <v>0.13000000000000012</v>
      </c>
      <c r="BZ1266" s="3496">
        <f t="shared" si="2889"/>
        <v>0.13</v>
      </c>
      <c r="CA1266" s="3496">
        <f t="shared" si="2889"/>
        <v>0.13</v>
      </c>
      <c r="CB1266" s="3122"/>
      <c r="CC1266" s="3122"/>
      <c r="CD1266" s="3122"/>
      <c r="CE1266" s="3122"/>
      <c r="CF1266" s="3122"/>
      <c r="CG1266" s="2977"/>
      <c r="CH1266" s="588"/>
      <c r="CI1266" s="588"/>
      <c r="CJ1266" s="588"/>
      <c r="CK1266" s="588"/>
      <c r="CL1266" s="2178"/>
      <c r="CM1266" s="588"/>
      <c r="CN1266" s="588"/>
      <c r="CO1266" s="588"/>
      <c r="CP1266" s="588"/>
      <c r="CQ1266" s="588"/>
      <c r="CR1266" s="588"/>
      <c r="CS1266" s="588"/>
      <c r="CT1266" s="588"/>
      <c r="CU1266" s="588"/>
      <c r="CV1266" s="588"/>
      <c r="CW1266" s="588"/>
      <c r="CX1266" s="588"/>
      <c r="CY1266" s="588"/>
      <c r="CZ1266" s="588"/>
      <c r="DA1266" s="588"/>
      <c r="DB1266" s="588"/>
      <c r="DC1266" s="1197"/>
      <c r="DD1266" s="588"/>
      <c r="DE1266" s="588"/>
      <c r="DF1266" s="964"/>
      <c r="DG1266" s="964"/>
      <c r="DH1266" s="2977"/>
      <c r="DI1266" s="3213"/>
      <c r="DJ1266" s="964"/>
      <c r="DK1266" s="964"/>
      <c r="DL1266" s="964"/>
      <c r="DM1266" s="964"/>
      <c r="DN1266" s="964"/>
      <c r="DO1266" s="964"/>
      <c r="DP1266" s="964"/>
      <c r="DQ1266" s="964"/>
      <c r="DR1266" s="646"/>
      <c r="DS1266" s="646"/>
      <c r="DT1266" s="646"/>
      <c r="DU1266"/>
      <c r="DV1266"/>
      <c r="DW1266"/>
      <c r="DX1266"/>
      <c r="DY1266"/>
      <c r="DZ1266"/>
    </row>
    <row r="1267" spans="1:130" s="2501" customFormat="1" ht="12" customHeight="1" x14ac:dyDescent="0.25">
      <c r="A1267" s="2576"/>
      <c r="B1267" s="3313"/>
      <c r="C1267" s="2977"/>
      <c r="D1267" s="2977"/>
      <c r="E1267" s="2977"/>
      <c r="F1267" s="2977"/>
      <c r="G1267" s="3122"/>
      <c r="H1267" s="2977"/>
      <c r="I1267" s="2977"/>
      <c r="J1267" s="2977"/>
      <c r="K1267" s="2977"/>
      <c r="L1267" s="3122"/>
      <c r="M1267" s="2977"/>
      <c r="N1267" s="2977"/>
      <c r="O1267" s="2977"/>
      <c r="P1267" s="2977"/>
      <c r="Q1267" s="3122"/>
      <c r="R1267" s="2977"/>
      <c r="S1267" s="2977"/>
      <c r="T1267" s="2977"/>
      <c r="U1267" s="2977"/>
      <c r="V1267" s="3122"/>
      <c r="W1267" s="2977"/>
      <c r="X1267" s="2977"/>
      <c r="Y1267" s="2977"/>
      <c r="Z1267" s="2977"/>
      <c r="AA1267" s="3122"/>
      <c r="AB1267" s="2977"/>
      <c r="AC1267" s="2977"/>
      <c r="AD1267" s="2977"/>
      <c r="AE1267" s="2977"/>
      <c r="AF1267" s="3122"/>
      <c r="AG1267" s="2977"/>
      <c r="AH1267" s="2977"/>
      <c r="AI1267" s="2977"/>
      <c r="AJ1267" s="2977"/>
      <c r="AK1267" s="3122"/>
      <c r="AL1267" s="2977"/>
      <c r="AM1267" s="2977"/>
      <c r="AN1267" s="2977"/>
      <c r="AO1267" s="2977"/>
      <c r="AP1267" s="3123"/>
      <c r="AQ1267" s="3123"/>
      <c r="AR1267" s="2977"/>
      <c r="AS1267" s="2977"/>
      <c r="AT1267" s="2977"/>
      <c r="AU1267" s="3122"/>
      <c r="AV1267" s="3123"/>
      <c r="AW1267" s="2977"/>
      <c r="AX1267" s="2977"/>
      <c r="AY1267" s="2560"/>
      <c r="AZ1267" s="3122"/>
      <c r="BA1267" s="3123"/>
      <c r="BB1267" s="2977"/>
      <c r="BC1267" s="2977"/>
      <c r="BD1267" s="2560"/>
      <c r="BE1267" s="2560"/>
      <c r="BF1267" s="2977"/>
      <c r="BG1267" s="2977"/>
      <c r="BH1267" s="2977"/>
      <c r="BI1267" s="2560"/>
      <c r="BJ1267" s="2560"/>
      <c r="BK1267" s="2977"/>
      <c r="BL1267" s="2977"/>
      <c r="BM1267" s="2977"/>
      <c r="BN1267" s="2560"/>
      <c r="BO1267" s="2560"/>
      <c r="BP1267" s="2977"/>
      <c r="BQ1267" s="2977"/>
      <c r="BR1267" s="2977"/>
      <c r="BS1267" s="2977"/>
      <c r="BT1267" s="3122"/>
      <c r="BU1267" s="3123"/>
      <c r="BV1267" s="2977"/>
      <c r="BW1267" s="2977"/>
      <c r="BX1267" s="2977"/>
      <c r="BY1267" s="3122"/>
      <c r="BZ1267" s="3122"/>
      <c r="CA1267" s="3122"/>
      <c r="CB1267" s="3122"/>
      <c r="CC1267" s="3122"/>
      <c r="CD1267" s="3122"/>
      <c r="CE1267" s="3122"/>
      <c r="CF1267" s="3122"/>
      <c r="CG1267" s="2977"/>
      <c r="CH1267" s="588"/>
      <c r="CI1267" s="588"/>
      <c r="CJ1267" s="588"/>
      <c r="CK1267" s="588"/>
      <c r="CL1267" s="2178"/>
      <c r="CM1267" s="588"/>
      <c r="CN1267" s="588"/>
      <c r="CO1267" s="588"/>
      <c r="CP1267" s="588"/>
      <c r="CQ1267" s="588"/>
      <c r="CR1267" s="588"/>
      <c r="CS1267" s="588"/>
      <c r="CT1267" s="588"/>
      <c r="CU1267" s="588"/>
      <c r="CV1267" s="588"/>
      <c r="CW1267" s="588"/>
      <c r="CX1267" s="588"/>
      <c r="CY1267" s="588"/>
      <c r="CZ1267" s="588"/>
      <c r="DA1267" s="588"/>
      <c r="DB1267" s="588"/>
      <c r="DC1267" s="1197"/>
      <c r="DD1267" s="588"/>
      <c r="DE1267" s="588"/>
      <c r="DF1267" s="964"/>
      <c r="DG1267" s="964"/>
      <c r="DH1267" s="2977"/>
      <c r="DI1267" s="3213"/>
      <c r="DJ1267" s="964"/>
      <c r="DK1267" s="964"/>
      <c r="DL1267" s="964"/>
      <c r="DM1267" s="964"/>
      <c r="DN1267" s="964"/>
      <c r="DO1267" s="964"/>
      <c r="DP1267" s="964"/>
      <c r="DQ1267" s="964"/>
      <c r="DR1267" s="646"/>
      <c r="DS1267" s="646"/>
      <c r="DT1267" s="646"/>
      <c r="DU1267"/>
      <c r="DV1267"/>
      <c r="DW1267"/>
      <c r="DX1267"/>
      <c r="DY1267"/>
      <c r="DZ1267"/>
    </row>
    <row r="1268" spans="1:130" s="2501" customFormat="1" ht="12" customHeight="1" x14ac:dyDescent="0.25">
      <c r="A1268" s="2576"/>
      <c r="B1268" s="3313"/>
      <c r="C1268" s="2977"/>
      <c r="D1268" s="2977"/>
      <c r="E1268" s="2977"/>
      <c r="F1268" s="2977"/>
      <c r="G1268" s="3122"/>
      <c r="H1268" s="2977"/>
      <c r="I1268" s="2977"/>
      <c r="J1268" s="2977"/>
      <c r="K1268" s="2977"/>
      <c r="L1268" s="3122"/>
      <c r="M1268" s="2977"/>
      <c r="N1268" s="2977"/>
      <c r="O1268" s="2977"/>
      <c r="P1268" s="2977"/>
      <c r="Q1268" s="3122"/>
      <c r="R1268" s="2977"/>
      <c r="S1268" s="2977"/>
      <c r="T1268" s="2977"/>
      <c r="U1268" s="2977"/>
      <c r="V1268" s="3122"/>
      <c r="W1268" s="2977"/>
      <c r="X1268" s="2977"/>
      <c r="Y1268" s="2977"/>
      <c r="Z1268" s="2977"/>
      <c r="AA1268" s="3122"/>
      <c r="AB1268" s="2977"/>
      <c r="AC1268" s="2977"/>
      <c r="AD1268" s="2977"/>
      <c r="AE1268" s="2977"/>
      <c r="AF1268" s="3122"/>
      <c r="AG1268" s="2977"/>
      <c r="AH1268" s="2977"/>
      <c r="AI1268" s="2977"/>
      <c r="AJ1268" s="2977"/>
      <c r="AK1268" s="3122"/>
      <c r="AL1268" s="2977"/>
      <c r="AM1268" s="2977"/>
      <c r="AN1268" s="2977"/>
      <c r="AO1268" s="2977"/>
      <c r="AP1268" s="3123"/>
      <c r="AQ1268" s="3123"/>
      <c r="AR1268" s="2977"/>
      <c r="AS1268" s="2977"/>
      <c r="AT1268" s="2977"/>
      <c r="AU1268" s="3122"/>
      <c r="AV1268" s="3123"/>
      <c r="AW1268" s="2977"/>
      <c r="AX1268" s="2977"/>
      <c r="AY1268" s="2560"/>
      <c r="AZ1268" s="3122"/>
      <c r="BA1268" s="3123"/>
      <c r="BB1268" s="2977"/>
      <c r="BC1268" s="2977"/>
      <c r="BD1268" s="2560"/>
      <c r="BE1268" s="2560"/>
      <c r="BF1268" s="2977"/>
      <c r="BG1268" s="2977"/>
      <c r="BH1268" s="2977"/>
      <c r="BI1268" s="2560"/>
      <c r="BJ1268" s="2560"/>
      <c r="BK1268" s="2977"/>
      <c r="BL1268" s="2977"/>
      <c r="BM1268" s="2977"/>
      <c r="BN1268" s="2560"/>
      <c r="BO1268" s="2560"/>
      <c r="BP1268" s="2977"/>
      <c r="BQ1268" s="2977"/>
      <c r="BR1268" s="2977"/>
      <c r="BS1268" s="2977"/>
      <c r="BT1268" s="3122"/>
      <c r="BU1268" s="3123"/>
      <c r="BV1268" s="2977"/>
      <c r="BW1268" s="2977"/>
      <c r="BX1268" s="2977"/>
      <c r="BY1268" s="3122"/>
      <c r="BZ1268" s="3122"/>
      <c r="CA1268" s="3122"/>
      <c r="CB1268" s="3122"/>
      <c r="CC1268" s="3122"/>
      <c r="CD1268" s="3122"/>
      <c r="CE1268" s="3122"/>
      <c r="CF1268" s="3122"/>
      <c r="CG1268" s="2977"/>
      <c r="CH1268" s="588"/>
      <c r="CI1268" s="588"/>
      <c r="CJ1268" s="588"/>
      <c r="CK1268" s="588"/>
      <c r="CL1268" s="2178"/>
      <c r="CM1268" s="588"/>
      <c r="CN1268" s="588"/>
      <c r="CO1268" s="588"/>
      <c r="CP1268" s="588"/>
      <c r="CQ1268" s="588"/>
      <c r="CR1268" s="588"/>
      <c r="CS1268" s="588"/>
      <c r="CT1268" s="588"/>
      <c r="CU1268" s="588"/>
      <c r="CV1268" s="588"/>
      <c r="CW1268" s="588"/>
      <c r="CX1268" s="588"/>
      <c r="CY1268" s="588"/>
      <c r="CZ1268" s="588"/>
      <c r="DA1268" s="588"/>
      <c r="DB1268" s="588"/>
      <c r="DC1268" s="1197"/>
      <c r="DD1268" s="588"/>
      <c r="DE1268" s="588"/>
      <c r="DF1268" s="964"/>
      <c r="DG1268" s="964"/>
      <c r="DH1268" s="2977"/>
      <c r="DI1268" s="3213"/>
      <c r="DJ1268" s="964"/>
      <c r="DK1268" s="964"/>
      <c r="DL1268" s="964"/>
      <c r="DM1268" s="964"/>
      <c r="DN1268" s="964"/>
      <c r="DO1268" s="964"/>
      <c r="DP1268" s="964"/>
      <c r="DQ1268" s="964"/>
      <c r="DR1268" s="646"/>
      <c r="DS1268" s="646"/>
      <c r="DT1268" s="646"/>
      <c r="DU1268"/>
      <c r="DV1268"/>
      <c r="DW1268"/>
      <c r="DX1268"/>
      <c r="DY1268"/>
      <c r="DZ1268"/>
    </row>
    <row r="1269" spans="1:130" s="2498" customFormat="1" ht="12" customHeight="1" x14ac:dyDescent="0.25">
      <c r="A1269" s="3151" t="s">
        <v>1325</v>
      </c>
      <c r="B1269" s="3151"/>
      <c r="C1269" s="2671"/>
      <c r="D1269" s="2671"/>
      <c r="E1269" s="2671"/>
      <c r="F1269" s="2671"/>
      <c r="G1269" s="3023"/>
      <c r="H1269" s="2671"/>
      <c r="I1269" s="2671"/>
      <c r="J1269" s="2671"/>
      <c r="K1269" s="2671"/>
      <c r="L1269" s="3023"/>
      <c r="M1269" s="2671"/>
      <c r="N1269" s="2671"/>
      <c r="O1269" s="2671"/>
      <c r="P1269" s="2671"/>
      <c r="Q1269" s="3023"/>
      <c r="R1269" s="2671"/>
      <c r="S1269" s="2671"/>
      <c r="T1269" s="2671"/>
      <c r="U1269" s="2671"/>
      <c r="V1269" s="3023"/>
      <c r="W1269" s="2671"/>
      <c r="X1269" s="2671"/>
      <c r="Y1269" s="2671"/>
      <c r="Z1269" s="2671"/>
      <c r="AA1269" s="3023"/>
      <c r="AB1269" s="2671"/>
      <c r="AC1269" s="2671"/>
      <c r="AD1269" s="2671"/>
      <c r="AE1269" s="2671"/>
      <c r="AF1269" s="3023"/>
      <c r="AG1269" s="2671"/>
      <c r="AH1269" s="2671"/>
      <c r="AI1269" s="2671"/>
      <c r="AJ1269" s="2671"/>
      <c r="AK1269" s="3023"/>
      <c r="AL1269" s="2671"/>
      <c r="AM1269" s="2671"/>
      <c r="AN1269" s="2671"/>
      <c r="AO1269" s="2671"/>
      <c r="AP1269" s="2670"/>
      <c r="AQ1269" s="2670"/>
      <c r="AR1269" s="2671"/>
      <c r="AS1269" s="2671"/>
      <c r="AT1269" s="2671"/>
      <c r="AU1269" s="3023"/>
      <c r="AV1269" s="2670"/>
      <c r="AW1269" s="2671"/>
      <c r="AX1269" s="2671"/>
      <c r="AY1269" s="2989"/>
      <c r="AZ1269" s="3023"/>
      <c r="BA1269" s="2670"/>
      <c r="BB1269" s="2671"/>
      <c r="BC1269" s="2671"/>
      <c r="BD1269" s="2989"/>
      <c r="BE1269" s="2989">
        <f>+BE24-BE23</f>
        <v>782.28</v>
      </c>
      <c r="BF1269" s="2671"/>
      <c r="BG1269" s="2671"/>
      <c r="BH1269" s="2671"/>
      <c r="BI1269" s="2989"/>
      <c r="BJ1269" s="2989">
        <f>+BJ24-BJ23-BJ273-BJ283-BJ302-16.796</f>
        <v>838.6604205933827</v>
      </c>
      <c r="BK1269" s="2671"/>
      <c r="BL1269" s="2671"/>
      <c r="BM1269" s="2671"/>
      <c r="BN1269" s="2989"/>
      <c r="BO1269" s="2989">
        <f>+BO24-BO23-BO273-BO283-BO302-BO282</f>
        <v>834.96606583181904</v>
      </c>
      <c r="BP1269" s="2671"/>
      <c r="BQ1269" s="2671"/>
      <c r="BR1269" s="2671"/>
      <c r="BS1269" s="2671"/>
      <c r="BT1269" s="3023">
        <f>+BT24-BT23-BT273-BT283-BT302-BT282</f>
        <v>851.01268203483585</v>
      </c>
      <c r="BU1269" s="2670"/>
      <c r="BV1269" s="2671"/>
      <c r="BW1269" s="2671"/>
      <c r="BX1269" s="2671"/>
      <c r="BY1269" s="3023">
        <f>+BY24-BY23-BY273-BY283-BY302-BY282</f>
        <v>1185.247345954336</v>
      </c>
      <c r="BZ1269" s="3023">
        <f>+BZ24-BZ23-BZ273-BZ283-BZ302-BZ282</f>
        <v>1556.8926513304289</v>
      </c>
      <c r="CA1269" s="3023">
        <f>+CA24-CA23-CA273-CA283-CA302-CA282</f>
        <v>1547.6022244484957</v>
      </c>
      <c r="CB1269" s="3023">
        <f>+CB24-CB23-CB273</f>
        <v>868.069163555204</v>
      </c>
      <c r="CC1269" s="3023">
        <f>+CC24-CC23-CC273</f>
        <v>807.4577950940652</v>
      </c>
      <c r="CD1269" s="3023">
        <f>+CD24-CD23-CD273</f>
        <v>833.42279314451969</v>
      </c>
      <c r="CE1269" s="3023">
        <f>+CE24-CE23-CE273</f>
        <v>860.87120695590818</v>
      </c>
      <c r="CF1269" s="3023">
        <f>+CF24-CF23-CF273</f>
        <v>887.28085810812513</v>
      </c>
      <c r="CG1269" s="2671"/>
      <c r="CH1269" s="450"/>
      <c r="CI1269" s="450"/>
      <c r="CJ1269" s="450"/>
      <c r="CK1269" s="450"/>
      <c r="CL1269" s="885" t="str">
        <f>A1269</f>
        <v>EBITDAR used for Rent Coverage</v>
      </c>
      <c r="CM1269" s="450"/>
      <c r="CN1269" s="450"/>
      <c r="CO1269" s="450"/>
      <c r="CP1269" s="450"/>
      <c r="CQ1269" s="450"/>
      <c r="CR1269" s="450"/>
      <c r="CS1269" s="450"/>
      <c r="CT1269" s="450"/>
      <c r="CU1269" s="450"/>
      <c r="CV1269" s="450"/>
      <c r="CW1269" s="450">
        <f>BE1269</f>
        <v>782.28</v>
      </c>
      <c r="CX1269" s="450">
        <f>BJ1269</f>
        <v>838.6604205933827</v>
      </c>
      <c r="CY1269" s="450">
        <f>BO1269</f>
        <v>834.96606583181904</v>
      </c>
      <c r="CZ1269" s="450">
        <f>BT1269</f>
        <v>851.01268203483585</v>
      </c>
      <c r="DA1269" s="450">
        <f t="shared" ref="DA1269:DC1272" si="2890">BY1269</f>
        <v>1185.247345954336</v>
      </c>
      <c r="DB1269" s="450">
        <f t="shared" si="2890"/>
        <v>1556.8926513304289</v>
      </c>
      <c r="DC1269" s="1861">
        <f t="shared" si="2890"/>
        <v>1547.6022244484957</v>
      </c>
      <c r="DD1269" s="450"/>
      <c r="DE1269" s="450"/>
      <c r="DF1269" s="2144"/>
      <c r="DG1269" s="2144"/>
      <c r="DH1269" s="2671"/>
      <c r="DI1269" s="3213"/>
      <c r="DJ1269" s="2144"/>
      <c r="DK1269" s="2144"/>
      <c r="DL1269" s="2144"/>
      <c r="DM1269" s="2144"/>
      <c r="DN1269" s="2144"/>
      <c r="DO1269" s="2144"/>
      <c r="DP1269" s="2144"/>
      <c r="DQ1269" s="2144"/>
      <c r="DR1269" s="2145"/>
      <c r="DS1269" s="2145"/>
      <c r="DT1269" s="2145"/>
      <c r="DU1269"/>
      <c r="DV1269"/>
      <c r="DW1269"/>
      <c r="DX1269"/>
      <c r="DY1269"/>
      <c r="DZ1269"/>
    </row>
    <row r="1270" spans="1:130" s="2517" customFormat="1" ht="12" customHeight="1" x14ac:dyDescent="0.25">
      <c r="A1270" s="3497" t="s">
        <v>1323</v>
      </c>
      <c r="B1270" s="3498"/>
      <c r="C1270" s="3304"/>
      <c r="D1270" s="3304"/>
      <c r="E1270" s="3304"/>
      <c r="F1270" s="3304"/>
      <c r="G1270" s="3249"/>
      <c r="H1270" s="3304"/>
      <c r="I1270" s="3304"/>
      <c r="J1270" s="3304"/>
      <c r="K1270" s="3304"/>
      <c r="L1270" s="3249"/>
      <c r="M1270" s="3304"/>
      <c r="N1270" s="3304"/>
      <c r="O1270" s="3304"/>
      <c r="P1270" s="3304"/>
      <c r="Q1270" s="3249"/>
      <c r="R1270" s="3304"/>
      <c r="S1270" s="3304"/>
      <c r="T1270" s="3304"/>
      <c r="U1270" s="3304"/>
      <c r="V1270" s="3249"/>
      <c r="W1270" s="3304"/>
      <c r="X1270" s="3304"/>
      <c r="Y1270" s="3304"/>
      <c r="Z1270" s="3304"/>
      <c r="AA1270" s="3249"/>
      <c r="AB1270" s="3304"/>
      <c r="AC1270" s="3304"/>
      <c r="AD1270" s="3304"/>
      <c r="AE1270" s="3304"/>
      <c r="AF1270" s="3249"/>
      <c r="AG1270" s="3304"/>
      <c r="AH1270" s="3304"/>
      <c r="AI1270" s="3304"/>
      <c r="AJ1270" s="3304"/>
      <c r="AK1270" s="3249"/>
      <c r="AL1270" s="3304"/>
      <c r="AM1270" s="3304"/>
      <c r="AN1270" s="3304"/>
      <c r="AO1270" s="3304"/>
      <c r="AP1270" s="3419"/>
      <c r="AQ1270" s="3419"/>
      <c r="AR1270" s="3304"/>
      <c r="AS1270" s="3304"/>
      <c r="AT1270" s="3304"/>
      <c r="AU1270" s="3249"/>
      <c r="AV1270" s="3419"/>
      <c r="AW1270" s="3304"/>
      <c r="AX1270" s="3304"/>
      <c r="AY1270" s="3499"/>
      <c r="AZ1270" s="2513"/>
      <c r="BA1270" s="3419"/>
      <c r="BB1270" s="3304"/>
      <c r="BC1270" s="3304"/>
      <c r="BD1270" s="3499"/>
      <c r="BE1270" s="3499">
        <f>+BE1269/BE1243</f>
        <v>1.8564363484484609</v>
      </c>
      <c r="BF1270" s="3304"/>
      <c r="BG1270" s="3304"/>
      <c r="BH1270" s="3304"/>
      <c r="BI1270" s="3499"/>
      <c r="BJ1270" s="3499">
        <f>+BJ1269/BJ1243</f>
        <v>1.9191832071440627</v>
      </c>
      <c r="BK1270" s="3304"/>
      <c r="BL1270" s="3304"/>
      <c r="BM1270" s="3304"/>
      <c r="BN1270" s="3499"/>
      <c r="BO1270" s="3499">
        <f>+BO1269/BO1243</f>
        <v>1.8876712330539445</v>
      </c>
      <c r="BP1270" s="3304"/>
      <c r="BQ1270" s="3304"/>
      <c r="BR1270" s="3304"/>
      <c r="BS1270" s="3304"/>
      <c r="BT1270" s="3249">
        <f>+BT1269/BT1243</f>
        <v>1.8688337246659004</v>
      </c>
      <c r="BU1270" s="3419"/>
      <c r="BV1270" s="3304"/>
      <c r="BW1270" s="3304"/>
      <c r="BX1270" s="3304"/>
      <c r="BY1270" s="3249">
        <f>+BY1269/BY1260</f>
        <v>1.864355068973641</v>
      </c>
      <c r="BZ1270" s="3249">
        <f>+BZ1269/BZ1260</f>
        <v>1.9236748171069029</v>
      </c>
      <c r="CA1270" s="3249">
        <f>+CA1269/CA1260</f>
        <v>1.8964705454055919</v>
      </c>
      <c r="CB1270" s="3249">
        <f>+CB1269/CB1243</f>
        <v>1.7940351783303627</v>
      </c>
      <c r="CC1270" s="3249">
        <f>+CC1269/CC1243</f>
        <v>1.6632039249530177</v>
      </c>
      <c r="CD1270" s="3249">
        <f>+CD1269/CD1243</f>
        <v>1.6902458046940412</v>
      </c>
      <c r="CE1270" s="3249">
        <f>+CE1269/CE1243</f>
        <v>1.718501133494484</v>
      </c>
      <c r="CF1270" s="3249">
        <f>+CF1269/CF1243</f>
        <v>1.7440735609681999</v>
      </c>
      <c r="CG1270" s="3304"/>
      <c r="CH1270" s="2511"/>
      <c r="CI1270" s="2511"/>
      <c r="CJ1270" s="2511"/>
      <c r="CK1270" s="2511"/>
      <c r="CL1270" s="2514" t="str">
        <f>A1270</f>
        <v>Rent Coverage</v>
      </c>
      <c r="CM1270" s="2511"/>
      <c r="CN1270" s="2511"/>
      <c r="CO1270" s="2511"/>
      <c r="CP1270" s="2511"/>
      <c r="CQ1270" s="2511"/>
      <c r="CR1270" s="2511"/>
      <c r="CS1270" s="2511"/>
      <c r="CT1270" s="2511"/>
      <c r="CU1270" s="2511"/>
      <c r="CV1270" s="2511"/>
      <c r="CW1270" s="2511">
        <f>BE1270</f>
        <v>1.8564363484484609</v>
      </c>
      <c r="CX1270" s="2511">
        <f>BJ1270</f>
        <v>1.9191832071440627</v>
      </c>
      <c r="CY1270" s="2511">
        <f>BO1270</f>
        <v>1.8876712330539445</v>
      </c>
      <c r="CZ1270" s="2511">
        <f>BT1270</f>
        <v>1.8688337246659004</v>
      </c>
      <c r="DA1270" s="2511">
        <f t="shared" si="2890"/>
        <v>1.864355068973641</v>
      </c>
      <c r="DB1270" s="2511">
        <f t="shared" si="2890"/>
        <v>1.9236748171069029</v>
      </c>
      <c r="DC1270" s="2512">
        <f t="shared" si="2890"/>
        <v>1.8964705454055919</v>
      </c>
      <c r="DD1270" s="2511"/>
      <c r="DE1270" s="2511"/>
      <c r="DF1270" s="2515"/>
      <c r="DG1270" s="2515"/>
      <c r="DH1270" s="3304"/>
      <c r="DI1270" s="3213"/>
      <c r="DJ1270" s="2515"/>
      <c r="DK1270" s="2515"/>
      <c r="DL1270" s="2515"/>
      <c r="DM1270" s="2515"/>
      <c r="DN1270" s="2515"/>
      <c r="DO1270" s="2515"/>
      <c r="DP1270" s="2515"/>
      <c r="DQ1270" s="2515"/>
      <c r="DR1270" s="2516"/>
      <c r="DS1270" s="2516"/>
      <c r="DT1270" s="2516"/>
      <c r="DU1270"/>
      <c r="DV1270"/>
      <c r="DW1270"/>
      <c r="DX1270"/>
      <c r="DY1270"/>
      <c r="DZ1270"/>
    </row>
    <row r="1271" spans="1:130" s="2517" customFormat="1" ht="12" customHeight="1" x14ac:dyDescent="0.25">
      <c r="A1271" s="3497" t="s">
        <v>1326</v>
      </c>
      <c r="B1271" s="3498"/>
      <c r="C1271" s="3304"/>
      <c r="D1271" s="3304"/>
      <c r="E1271" s="3304"/>
      <c r="F1271" s="3304"/>
      <c r="G1271" s="3249"/>
      <c r="H1271" s="3304"/>
      <c r="I1271" s="3304"/>
      <c r="J1271" s="3304"/>
      <c r="K1271" s="3304"/>
      <c r="L1271" s="3249"/>
      <c r="M1271" s="3304"/>
      <c r="N1271" s="3304"/>
      <c r="O1271" s="3304"/>
      <c r="P1271" s="3304"/>
      <c r="Q1271" s="3249"/>
      <c r="R1271" s="3304"/>
      <c r="S1271" s="3304"/>
      <c r="T1271" s="3304"/>
      <c r="U1271" s="3304"/>
      <c r="V1271" s="3249"/>
      <c r="W1271" s="3304"/>
      <c r="X1271" s="3304"/>
      <c r="Y1271" s="3304"/>
      <c r="Z1271" s="3304"/>
      <c r="AA1271" s="3249"/>
      <c r="AB1271" s="3304"/>
      <c r="AC1271" s="3304"/>
      <c r="AD1271" s="3304"/>
      <c r="AE1271" s="3304"/>
      <c r="AF1271" s="3249"/>
      <c r="AG1271" s="3304"/>
      <c r="AH1271" s="3304"/>
      <c r="AI1271" s="3304"/>
      <c r="AJ1271" s="3304"/>
      <c r="AK1271" s="3249"/>
      <c r="AL1271" s="3304"/>
      <c r="AM1271" s="3304"/>
      <c r="AN1271" s="3304"/>
      <c r="AO1271" s="3304"/>
      <c r="AP1271" s="3419"/>
      <c r="AQ1271" s="3419"/>
      <c r="AR1271" s="3304"/>
      <c r="AS1271" s="3304"/>
      <c r="AT1271" s="3304"/>
      <c r="AU1271" s="3249"/>
      <c r="AV1271" s="3419"/>
      <c r="AW1271" s="3304"/>
      <c r="AX1271" s="3304"/>
      <c r="AY1271" s="3499"/>
      <c r="AZ1271" s="2513"/>
      <c r="BA1271" s="3419"/>
      <c r="BB1271" s="3304"/>
      <c r="BC1271" s="3304"/>
      <c r="BD1271" s="3499"/>
      <c r="BE1271" s="2518">
        <v>1.8</v>
      </c>
      <c r="BF1271" s="3304"/>
      <c r="BG1271" s="3304"/>
      <c r="BH1271" s="3304"/>
      <c r="BI1271" s="3499"/>
      <c r="BJ1271" s="2518">
        <v>1.8</v>
      </c>
      <c r="BK1271" s="3304"/>
      <c r="BL1271" s="3304"/>
      <c r="BM1271" s="3304"/>
      <c r="BN1271" s="3499"/>
      <c r="BO1271" s="2518">
        <f>BJ1271</f>
        <v>1.8</v>
      </c>
      <c r="BP1271" s="3304"/>
      <c r="BQ1271" s="3304"/>
      <c r="BR1271" s="3304"/>
      <c r="BS1271" s="3304"/>
      <c r="BT1271" s="3249">
        <f>BO1271</f>
        <v>1.8</v>
      </c>
      <c r="BU1271" s="3419"/>
      <c r="BV1271" s="3304"/>
      <c r="BW1271" s="3304"/>
      <c r="BX1271" s="3304"/>
      <c r="BY1271" s="3249">
        <f>BT1271</f>
        <v>1.8</v>
      </c>
      <c r="BZ1271" s="2519">
        <f t="shared" ref="BZ1271:CF1271" si="2891">+BY1271</f>
        <v>1.8</v>
      </c>
      <c r="CA1271" s="2519">
        <f t="shared" si="2891"/>
        <v>1.8</v>
      </c>
      <c r="CB1271" s="2519">
        <f t="shared" si="2891"/>
        <v>1.8</v>
      </c>
      <c r="CC1271" s="2519">
        <f t="shared" si="2891"/>
        <v>1.8</v>
      </c>
      <c r="CD1271" s="2519">
        <f t="shared" si="2891"/>
        <v>1.8</v>
      </c>
      <c r="CE1271" s="2519">
        <f t="shared" si="2891"/>
        <v>1.8</v>
      </c>
      <c r="CF1271" s="2519">
        <f t="shared" si="2891"/>
        <v>1.8</v>
      </c>
      <c r="CG1271" s="3304"/>
      <c r="CH1271" s="2511"/>
      <c r="CI1271" s="2511"/>
      <c r="CJ1271" s="2511"/>
      <c r="CK1271" s="2511"/>
      <c r="CL1271" s="2514" t="str">
        <f>A1271</f>
        <v>Minimum Rent Coverage (if drops below, no 2% escalation)</v>
      </c>
      <c r="CM1271" s="2511"/>
      <c r="CN1271" s="2511"/>
      <c r="CO1271" s="2511"/>
      <c r="CP1271" s="2511"/>
      <c r="CQ1271" s="2511"/>
      <c r="CR1271" s="2511"/>
      <c r="CS1271" s="2511"/>
      <c r="CT1271" s="2511"/>
      <c r="CU1271" s="2511"/>
      <c r="CV1271" s="2511"/>
      <c r="CW1271" s="2511">
        <f>BE1271</f>
        <v>1.8</v>
      </c>
      <c r="CX1271" s="2511">
        <f>BJ1271</f>
        <v>1.8</v>
      </c>
      <c r="CY1271" s="2511">
        <f>BO1271</f>
        <v>1.8</v>
      </c>
      <c r="CZ1271" s="2511">
        <f>BT1271</f>
        <v>1.8</v>
      </c>
      <c r="DA1271" s="2511">
        <f t="shared" si="2890"/>
        <v>1.8</v>
      </c>
      <c r="DB1271" s="2511">
        <f t="shared" si="2890"/>
        <v>1.8</v>
      </c>
      <c r="DC1271" s="2512">
        <f t="shared" si="2890"/>
        <v>1.8</v>
      </c>
      <c r="DD1271" s="2511"/>
      <c r="DE1271" s="2511"/>
      <c r="DF1271" s="2515"/>
      <c r="DG1271" s="2515"/>
      <c r="DH1271" s="3304"/>
      <c r="DI1271" s="3213"/>
      <c r="DJ1271" s="2515"/>
      <c r="DK1271" s="2515"/>
      <c r="DL1271" s="2515"/>
      <c r="DM1271" s="2515"/>
      <c r="DN1271" s="2515"/>
      <c r="DO1271" s="2515"/>
      <c r="DP1271" s="2515"/>
      <c r="DQ1271" s="2515"/>
      <c r="DR1271" s="2516"/>
      <c r="DS1271" s="2516"/>
      <c r="DT1271" s="2516"/>
      <c r="DU1271"/>
      <c r="DV1271"/>
      <c r="DW1271"/>
      <c r="DX1271"/>
      <c r="DY1271"/>
      <c r="DZ1271"/>
    </row>
    <row r="1272" spans="1:130" s="2510" customFormat="1" ht="12" customHeight="1" x14ac:dyDescent="0.25">
      <c r="A1272" s="3500" t="s">
        <v>1327</v>
      </c>
      <c r="B1272" s="3501"/>
      <c r="C1272" s="3305"/>
      <c r="D1272" s="3305"/>
      <c r="E1272" s="3305"/>
      <c r="F1272" s="3305"/>
      <c r="G1272" s="3250"/>
      <c r="H1272" s="3305"/>
      <c r="I1272" s="3305"/>
      <c r="J1272" s="3305"/>
      <c r="K1272" s="3305"/>
      <c r="L1272" s="3250"/>
      <c r="M1272" s="3305"/>
      <c r="N1272" s="3305"/>
      <c r="O1272" s="3305"/>
      <c r="P1272" s="3305"/>
      <c r="Q1272" s="3250"/>
      <c r="R1272" s="3305"/>
      <c r="S1272" s="3305"/>
      <c r="T1272" s="3305"/>
      <c r="U1272" s="3305"/>
      <c r="V1272" s="3250"/>
      <c r="W1272" s="3305"/>
      <c r="X1272" s="3305"/>
      <c r="Y1272" s="3305"/>
      <c r="Z1272" s="3305"/>
      <c r="AA1272" s="3250"/>
      <c r="AB1272" s="3305"/>
      <c r="AC1272" s="3305"/>
      <c r="AD1272" s="3305"/>
      <c r="AE1272" s="3305"/>
      <c r="AF1272" s="3250"/>
      <c r="AG1272" s="3305"/>
      <c r="AH1272" s="3305"/>
      <c r="AI1272" s="3305"/>
      <c r="AJ1272" s="3305"/>
      <c r="AK1272" s="3250"/>
      <c r="AL1272" s="3305"/>
      <c r="AM1272" s="3305"/>
      <c r="AN1272" s="3305"/>
      <c r="AO1272" s="3305"/>
      <c r="AP1272" s="3420"/>
      <c r="AQ1272" s="3420"/>
      <c r="AR1272" s="3305"/>
      <c r="AS1272" s="3305"/>
      <c r="AT1272" s="3305"/>
      <c r="AU1272" s="3250"/>
      <c r="AV1272" s="3420"/>
      <c r="AW1272" s="3305"/>
      <c r="AX1272" s="3305"/>
      <c r="AY1272" s="3502"/>
      <c r="AZ1272" s="3250"/>
      <c r="BA1272" s="3420"/>
      <c r="BB1272" s="3305"/>
      <c r="BC1272" s="3305"/>
      <c r="BD1272" s="3502"/>
      <c r="BE1272" s="3502" t="str">
        <f>IF(BE1270&gt;BE1271,"","FAIL")</f>
        <v/>
      </c>
      <c r="BF1272" s="3305"/>
      <c r="BG1272" s="3305"/>
      <c r="BH1272" s="3305"/>
      <c r="BI1272" s="3502"/>
      <c r="BJ1272" s="3502" t="str">
        <f>IF(BJ1270&gt;BJ1271,"","FAIL")</f>
        <v/>
      </c>
      <c r="BK1272" s="3305"/>
      <c r="BL1272" s="3305"/>
      <c r="BM1272" s="3305"/>
      <c r="BN1272" s="3502"/>
      <c r="BO1272" s="3502" t="str">
        <f>IF(BO1270&gt;BO1271,"","FAIL")</f>
        <v/>
      </c>
      <c r="BP1272" s="3305"/>
      <c r="BQ1272" s="3305"/>
      <c r="BR1272" s="3305"/>
      <c r="BS1272" s="3305"/>
      <c r="BT1272" s="3250" t="str">
        <f t="shared" ref="BT1272:CF1272" si="2892">IF(BT1270&gt;BT1271,"","FAIL")</f>
        <v/>
      </c>
      <c r="BU1272" s="3420"/>
      <c r="BV1272" s="3305"/>
      <c r="BW1272" s="3305"/>
      <c r="BX1272" s="3305"/>
      <c r="BY1272" s="3250" t="str">
        <f>IF(BY1270&gt;BY1271,"","FAIL")</f>
        <v/>
      </c>
      <c r="BZ1272" s="3250" t="str">
        <f t="shared" si="2892"/>
        <v/>
      </c>
      <c r="CA1272" s="3250" t="str">
        <f t="shared" si="2892"/>
        <v/>
      </c>
      <c r="CB1272" s="3250" t="str">
        <f t="shared" si="2892"/>
        <v>FAIL</v>
      </c>
      <c r="CC1272" s="3250" t="str">
        <f t="shared" si="2892"/>
        <v>FAIL</v>
      </c>
      <c r="CD1272" s="3250" t="str">
        <f t="shared" si="2892"/>
        <v>FAIL</v>
      </c>
      <c r="CE1272" s="3250" t="str">
        <f t="shared" si="2892"/>
        <v>FAIL</v>
      </c>
      <c r="CF1272" s="3250" t="str">
        <f t="shared" si="2892"/>
        <v>FAIL</v>
      </c>
      <c r="CG1272" s="3305"/>
      <c r="CH1272" s="2504"/>
      <c r="CI1272" s="2504"/>
      <c r="CJ1272" s="2504"/>
      <c r="CK1272" s="2504"/>
      <c r="CL1272" s="2506" t="str">
        <f>A1272</f>
        <v>Fail?</v>
      </c>
      <c r="CM1272" s="2504"/>
      <c r="CN1272" s="2504"/>
      <c r="CO1272" s="2504"/>
      <c r="CP1272" s="2504"/>
      <c r="CQ1272" s="2504"/>
      <c r="CR1272" s="2504"/>
      <c r="CS1272" s="2504"/>
      <c r="CT1272" s="2504"/>
      <c r="CU1272" s="2504"/>
      <c r="CV1272" s="2504"/>
      <c r="CW1272" s="2504" t="str">
        <f>BE1272</f>
        <v/>
      </c>
      <c r="CX1272" s="2504" t="str">
        <f>BJ1272</f>
        <v/>
      </c>
      <c r="CY1272" s="2504" t="str">
        <f>BO1272</f>
        <v/>
      </c>
      <c r="CZ1272" s="2504" t="str">
        <f>BT1272</f>
        <v/>
      </c>
      <c r="DA1272" s="2504" t="str">
        <f t="shared" si="2890"/>
        <v/>
      </c>
      <c r="DB1272" s="2504" t="str">
        <f t="shared" si="2890"/>
        <v/>
      </c>
      <c r="DC1272" s="2505" t="str">
        <f t="shared" si="2890"/>
        <v/>
      </c>
      <c r="DD1272" s="2504"/>
      <c r="DE1272" s="2504"/>
      <c r="DF1272" s="2507"/>
      <c r="DG1272" s="2507"/>
      <c r="DH1272" s="3305"/>
      <c r="DI1272" s="3213"/>
      <c r="DJ1272" s="2507"/>
      <c r="DK1272" s="2507"/>
      <c r="DL1272" s="2507"/>
      <c r="DM1272" s="2507"/>
      <c r="DN1272" s="2507"/>
      <c r="DO1272" s="2507"/>
      <c r="DP1272" s="2507"/>
      <c r="DQ1272" s="2507"/>
      <c r="DR1272" s="2308"/>
      <c r="DS1272" s="2308"/>
      <c r="DT1272" s="2308"/>
      <c r="DU1272"/>
      <c r="DV1272"/>
      <c r="DW1272"/>
      <c r="DX1272"/>
      <c r="DY1272"/>
      <c r="DZ1272"/>
    </row>
    <row r="1273" spans="1:130" ht="12" customHeight="1" x14ac:dyDescent="0.25">
      <c r="A1273" s="3011"/>
      <c r="B1273" s="3011"/>
      <c r="C1273" s="2601"/>
      <c r="D1273" s="2601"/>
      <c r="E1273" s="2601"/>
      <c r="F1273" s="2601"/>
      <c r="G1273" s="3222"/>
      <c r="H1273" s="2601"/>
      <c r="I1273" s="2601"/>
      <c r="J1273" s="2601"/>
      <c r="K1273" s="2601"/>
      <c r="L1273" s="3222"/>
      <c r="M1273" s="2601"/>
      <c r="N1273" s="2601"/>
      <c r="O1273" s="2601"/>
      <c r="P1273" s="2601"/>
      <c r="Q1273" s="3222"/>
      <c r="R1273" s="2601"/>
      <c r="S1273" s="2601"/>
      <c r="T1273" s="2601"/>
      <c r="U1273" s="2601"/>
      <c r="V1273" s="3222"/>
      <c r="W1273" s="2601"/>
      <c r="X1273" s="2601"/>
      <c r="Y1273" s="2601"/>
      <c r="Z1273" s="2601"/>
      <c r="AA1273" s="3222"/>
      <c r="AB1273" s="2601"/>
      <c r="AC1273" s="2601"/>
      <c r="AD1273" s="2601"/>
      <c r="AE1273" s="2601"/>
      <c r="AF1273" s="3222"/>
      <c r="AG1273" s="2601"/>
      <c r="AH1273" s="2601"/>
      <c r="AI1273" s="2601"/>
      <c r="AJ1273" s="2601"/>
      <c r="AK1273" s="3222"/>
      <c r="AL1273" s="2601"/>
      <c r="AM1273" s="2601"/>
      <c r="AN1273" s="2601"/>
      <c r="AO1273" s="2601"/>
      <c r="AP1273" s="3393"/>
      <c r="AQ1273" s="3393"/>
      <c r="AR1273" s="2601"/>
      <c r="AS1273" s="2601"/>
      <c r="AT1273" s="2601"/>
      <c r="AU1273" s="3222"/>
      <c r="AV1273" s="3393"/>
      <c r="AW1273" s="2601"/>
      <c r="AX1273" s="2601"/>
      <c r="AY1273" s="3217"/>
      <c r="AZ1273" s="3222"/>
      <c r="BA1273" s="3393"/>
      <c r="BB1273" s="2601"/>
      <c r="BC1273" s="2601"/>
      <c r="BD1273" s="3217"/>
      <c r="BE1273" s="3217"/>
      <c r="BF1273" s="2601"/>
      <c r="BG1273" s="2601"/>
      <c r="BH1273" s="2601"/>
      <c r="BI1273" s="3217"/>
      <c r="BJ1273" s="3217"/>
      <c r="BK1273" s="2601"/>
      <c r="BL1273" s="2601"/>
      <c r="BM1273" s="2601"/>
      <c r="BN1273" s="3217"/>
      <c r="BO1273" s="3217"/>
      <c r="BP1273" s="2601"/>
      <c r="BQ1273" s="2601"/>
      <c r="BR1273" s="2601"/>
      <c r="BS1273" s="2601"/>
      <c r="BT1273" s="3222"/>
      <c r="BU1273" s="3393"/>
      <c r="BV1273" s="2601"/>
      <c r="BW1273" s="2601"/>
      <c r="BX1273" s="2601"/>
      <c r="BY1273" s="3222"/>
      <c r="BZ1273" s="3222"/>
      <c r="CA1273" s="3222"/>
      <c r="CB1273" s="3222"/>
      <c r="CC1273" s="3222"/>
      <c r="CD1273" s="3222"/>
      <c r="CE1273" s="3222"/>
      <c r="CF1273" s="3222"/>
      <c r="CG1273" s="2601"/>
      <c r="CH1273" s="331"/>
      <c r="CI1273" s="331"/>
      <c r="CJ1273" s="331"/>
      <c r="CK1273" s="331"/>
      <c r="CL1273" s="520"/>
      <c r="CM1273" s="331"/>
      <c r="CN1273" s="331"/>
      <c r="CO1273" s="331"/>
      <c r="CP1273" s="331"/>
      <c r="CQ1273" s="331"/>
      <c r="CR1273" s="331"/>
      <c r="CS1273" s="331"/>
      <c r="CT1273" s="331"/>
      <c r="CU1273" s="331"/>
      <c r="CV1273" s="331"/>
      <c r="CW1273" s="331"/>
      <c r="CX1273" s="331"/>
      <c r="CY1273" s="331"/>
      <c r="CZ1273" s="331"/>
      <c r="DA1273" s="331"/>
      <c r="DB1273" s="331"/>
      <c r="DC1273" s="1306"/>
      <c r="DD1273" s="331"/>
      <c r="DE1273" s="331"/>
      <c r="DF1273" s="502"/>
      <c r="DG1273" s="503"/>
      <c r="DH1273" s="2601"/>
      <c r="DI1273" s="3213"/>
      <c r="DJ1273" s="502"/>
      <c r="DK1273" s="503"/>
      <c r="DL1273" s="502"/>
      <c r="DM1273" s="502"/>
      <c r="DN1273" s="502"/>
      <c r="DO1273" s="502"/>
      <c r="DP1273" s="503"/>
      <c r="DQ1273" s="503"/>
      <c r="DR1273" s="296"/>
      <c r="DS1273" s="296"/>
      <c r="DT1273" s="296"/>
    </row>
    <row r="1274" spans="1:130" ht="12" customHeight="1" x14ac:dyDescent="0.25">
      <c r="A1274" s="3011" t="s">
        <v>2006</v>
      </c>
      <c r="B1274" s="3011"/>
      <c r="C1274" s="2601"/>
      <c r="D1274" s="2601"/>
      <c r="E1274" s="2601"/>
      <c r="F1274" s="2601"/>
      <c r="G1274" s="3222"/>
      <c r="H1274" s="2601"/>
      <c r="I1274" s="2601"/>
      <c r="J1274" s="2601"/>
      <c r="K1274" s="2601"/>
      <c r="L1274" s="3222"/>
      <c r="M1274" s="2601"/>
      <c r="N1274" s="2601"/>
      <c r="O1274" s="2601"/>
      <c r="P1274" s="2601"/>
      <c r="Q1274" s="3222"/>
      <c r="R1274" s="2601"/>
      <c r="S1274" s="2601"/>
      <c r="T1274" s="2601"/>
      <c r="U1274" s="2601"/>
      <c r="V1274" s="3222"/>
      <c r="W1274" s="2601"/>
      <c r="X1274" s="2601"/>
      <c r="Y1274" s="2601"/>
      <c r="Z1274" s="2601"/>
      <c r="AA1274" s="3222"/>
      <c r="AB1274" s="2601"/>
      <c r="AC1274" s="2601"/>
      <c r="AD1274" s="2601"/>
      <c r="AE1274" s="2601"/>
      <c r="AF1274" s="3222"/>
      <c r="AG1274" s="2601"/>
      <c r="AH1274" s="2601"/>
      <c r="AI1274" s="2601"/>
      <c r="AJ1274" s="2601"/>
      <c r="AK1274" s="3222"/>
      <c r="AL1274" s="2601"/>
      <c r="AM1274" s="2601"/>
      <c r="AN1274" s="2601"/>
      <c r="AO1274" s="2601"/>
      <c r="AP1274" s="3393"/>
      <c r="AQ1274" s="3393"/>
      <c r="AR1274" s="2601"/>
      <c r="AS1274" s="2601"/>
      <c r="AT1274" s="2601"/>
      <c r="AU1274" s="3222"/>
      <c r="AV1274" s="3393"/>
      <c r="AW1274" s="2601"/>
      <c r="AX1274" s="2601"/>
      <c r="AY1274" s="3217"/>
      <c r="AZ1274" s="3222"/>
      <c r="BA1274" s="3393"/>
      <c r="BB1274" s="2601"/>
      <c r="BC1274" s="2601"/>
      <c r="BD1274" s="3217"/>
      <c r="BE1274" s="3217"/>
      <c r="BF1274" s="2601"/>
      <c r="BG1274" s="2601"/>
      <c r="BH1274" s="2601"/>
      <c r="BI1274" s="3217"/>
      <c r="BJ1274" s="3217"/>
      <c r="BK1274" s="2601"/>
      <c r="BL1274" s="2601"/>
      <c r="BM1274" s="2601"/>
      <c r="BN1274" s="3217"/>
      <c r="BO1274" s="3217"/>
      <c r="BP1274" s="2601"/>
      <c r="BQ1274" s="2601"/>
      <c r="BR1274" s="2601"/>
      <c r="BS1274" s="2601"/>
      <c r="BT1274" s="3222"/>
      <c r="BU1274" s="3393"/>
      <c r="BV1274" s="2601"/>
      <c r="BW1274" s="2601"/>
      <c r="BX1274" s="2601"/>
      <c r="BY1274" s="3222"/>
      <c r="BZ1274" s="3222"/>
      <c r="CA1274" s="3222"/>
      <c r="CB1274" s="3222"/>
      <c r="CC1274" s="3222"/>
      <c r="CD1274" s="3222"/>
      <c r="CE1274" s="3222"/>
      <c r="CF1274" s="3222"/>
      <c r="CG1274" s="2601"/>
      <c r="CH1274" s="331"/>
      <c r="CI1274" s="331"/>
      <c r="CJ1274" s="331"/>
      <c r="CK1274" s="331"/>
      <c r="CL1274" s="520"/>
      <c r="CM1274" s="331"/>
      <c r="CN1274" s="331"/>
      <c r="CO1274" s="331"/>
      <c r="CP1274" s="331"/>
      <c r="CQ1274" s="331"/>
      <c r="CR1274" s="331"/>
      <c r="CS1274" s="331"/>
      <c r="CT1274" s="331"/>
      <c r="CU1274" s="331"/>
      <c r="CV1274" s="331"/>
      <c r="CW1274" s="331"/>
      <c r="CX1274" s="331"/>
      <c r="CY1274" s="331"/>
      <c r="CZ1274" s="331"/>
      <c r="DA1274" s="331"/>
      <c r="DB1274" s="331"/>
      <c r="DC1274" s="1306"/>
      <c r="DD1274" s="331"/>
      <c r="DE1274" s="331"/>
      <c r="DF1274" s="502"/>
      <c r="DG1274" s="503"/>
      <c r="DH1274" s="2601"/>
      <c r="DI1274" s="3213"/>
      <c r="DJ1274" s="502"/>
      <c r="DK1274" s="503"/>
      <c r="DL1274" s="502"/>
      <c r="DM1274" s="502"/>
      <c r="DN1274" s="502"/>
      <c r="DO1274" s="502"/>
      <c r="DP1274" s="503"/>
      <c r="DQ1274" s="503"/>
      <c r="DR1274" s="296"/>
      <c r="DS1274" s="296"/>
      <c r="DT1274" s="296"/>
    </row>
    <row r="1275" spans="1:130" ht="12.75" customHeight="1" x14ac:dyDescent="0.25">
      <c r="A1275" s="432" t="s">
        <v>2031</v>
      </c>
      <c r="B1275" s="409"/>
      <c r="C1275" s="433" t="str">
        <f>C$6</f>
        <v>1Q04</v>
      </c>
      <c r="D1275" s="433" t="str">
        <f t="shared" ref="D1275:CB1275" si="2893">D$6</f>
        <v>2Q04</v>
      </c>
      <c r="E1275" s="433" t="str">
        <f t="shared" si="2893"/>
        <v>3Q04</v>
      </c>
      <c r="F1275" s="433" t="str">
        <f t="shared" si="2893"/>
        <v>4Q04</v>
      </c>
      <c r="G1275" s="434">
        <f t="shared" si="2893"/>
        <v>2004</v>
      </c>
      <c r="H1275" s="433" t="str">
        <f t="shared" si="2893"/>
        <v>1Q05</v>
      </c>
      <c r="I1275" s="433" t="str">
        <f t="shared" si="2893"/>
        <v>2Q05</v>
      </c>
      <c r="J1275" s="433" t="str">
        <f t="shared" si="2893"/>
        <v>3Q05</v>
      </c>
      <c r="K1275" s="433" t="str">
        <f t="shared" si="2893"/>
        <v>4Q05</v>
      </c>
      <c r="L1275" s="434">
        <f t="shared" si="2893"/>
        <v>2005</v>
      </c>
      <c r="M1275" s="433" t="str">
        <f t="shared" si="2893"/>
        <v>1Q06</v>
      </c>
      <c r="N1275" s="433" t="str">
        <f t="shared" si="2893"/>
        <v>2Q06</v>
      </c>
      <c r="O1275" s="433" t="str">
        <f t="shared" si="2893"/>
        <v>3Q06</v>
      </c>
      <c r="P1275" s="433" t="str">
        <f t="shared" si="2893"/>
        <v>4Q06</v>
      </c>
      <c r="Q1275" s="434">
        <f t="shared" si="2893"/>
        <v>2006</v>
      </c>
      <c r="R1275" s="433" t="str">
        <f t="shared" si="2893"/>
        <v>1Q07</v>
      </c>
      <c r="S1275" s="433" t="str">
        <f t="shared" si="2893"/>
        <v>2Q07</v>
      </c>
      <c r="T1275" s="433" t="str">
        <f t="shared" si="2893"/>
        <v>3Q07</v>
      </c>
      <c r="U1275" s="433" t="str">
        <f t="shared" si="2893"/>
        <v>4Q07</v>
      </c>
      <c r="V1275" s="434">
        <f t="shared" si="2893"/>
        <v>2007</v>
      </c>
      <c r="W1275" s="433" t="str">
        <f t="shared" si="2893"/>
        <v>1Q08</v>
      </c>
      <c r="X1275" s="433" t="str">
        <f t="shared" si="2893"/>
        <v>2Q08</v>
      </c>
      <c r="Y1275" s="433" t="str">
        <f t="shared" si="2893"/>
        <v>3Q08</v>
      </c>
      <c r="Z1275" s="433" t="str">
        <f t="shared" si="2893"/>
        <v>4Q08</v>
      </c>
      <c r="AA1275" s="434">
        <f t="shared" si="2893"/>
        <v>2008</v>
      </c>
      <c r="AB1275" s="433" t="str">
        <f t="shared" si="2893"/>
        <v>1Q09</v>
      </c>
      <c r="AC1275" s="433" t="str">
        <f t="shared" si="2893"/>
        <v>2Q09</v>
      </c>
      <c r="AD1275" s="433" t="str">
        <f t="shared" si="2893"/>
        <v>3Q09</v>
      </c>
      <c r="AE1275" s="433" t="str">
        <f t="shared" si="2893"/>
        <v>4Q09</v>
      </c>
      <c r="AF1275" s="434">
        <f t="shared" si="2893"/>
        <v>2009</v>
      </c>
      <c r="AG1275" s="433" t="str">
        <f t="shared" si="2893"/>
        <v>1Q10</v>
      </c>
      <c r="AH1275" s="433" t="str">
        <f t="shared" si="2893"/>
        <v>2Q10</v>
      </c>
      <c r="AI1275" s="433" t="str">
        <f t="shared" si="2893"/>
        <v>3Q10</v>
      </c>
      <c r="AJ1275" s="433" t="str">
        <f t="shared" si="2893"/>
        <v>4Q10</v>
      </c>
      <c r="AK1275" s="434">
        <f t="shared" si="2893"/>
        <v>2010</v>
      </c>
      <c r="AL1275" s="435" t="str">
        <f t="shared" si="2893"/>
        <v>1Q11</v>
      </c>
      <c r="AM1275" s="435" t="str">
        <f t="shared" si="2893"/>
        <v>2Q11</v>
      </c>
      <c r="AN1275" s="435" t="str">
        <f t="shared" si="2893"/>
        <v>3Q11</v>
      </c>
      <c r="AO1275" s="435" t="str">
        <f t="shared" si="2893"/>
        <v>4Q11</v>
      </c>
      <c r="AP1275" s="436">
        <f t="shared" si="2893"/>
        <v>2011</v>
      </c>
      <c r="AQ1275" s="436" t="str">
        <f t="shared" si="2893"/>
        <v>1Q12</v>
      </c>
      <c r="AR1275" s="437" t="str">
        <f t="shared" si="2893"/>
        <v>2Q12</v>
      </c>
      <c r="AS1275" s="437" t="str">
        <f t="shared" si="2893"/>
        <v>3Q12</v>
      </c>
      <c r="AT1275" s="437" t="str">
        <f t="shared" si="2893"/>
        <v>4Q12</v>
      </c>
      <c r="AU1275" s="438">
        <f t="shared" si="2893"/>
        <v>2012</v>
      </c>
      <c r="AV1275" s="436" t="str">
        <f t="shared" si="2893"/>
        <v>1Q13</v>
      </c>
      <c r="AW1275" s="437" t="str">
        <f t="shared" si="2893"/>
        <v>2Q13</v>
      </c>
      <c r="AX1275" s="437" t="str">
        <f t="shared" si="2893"/>
        <v>3Q13</v>
      </c>
      <c r="AY1275" s="861" t="str">
        <f t="shared" si="2893"/>
        <v>4Q13</v>
      </c>
      <c r="AZ1275" s="438">
        <f t="shared" si="2893"/>
        <v>2013</v>
      </c>
      <c r="BA1275" s="436" t="str">
        <f t="shared" si="2893"/>
        <v>1Q14</v>
      </c>
      <c r="BB1275" s="437" t="str">
        <f t="shared" si="2893"/>
        <v>2Q14</v>
      </c>
      <c r="BC1275" s="437" t="str">
        <f t="shared" si="2893"/>
        <v>3Q14</v>
      </c>
      <c r="BD1275" s="861" t="str">
        <f t="shared" si="2893"/>
        <v>4Q14</v>
      </c>
      <c r="BE1275" s="861">
        <f t="shared" si="2893"/>
        <v>2014</v>
      </c>
      <c r="BF1275" s="437" t="str">
        <f t="shared" si="2893"/>
        <v>1Q15</v>
      </c>
      <c r="BG1275" s="437" t="str">
        <f t="shared" si="2893"/>
        <v>2Q15</v>
      </c>
      <c r="BH1275" s="437" t="str">
        <f t="shared" si="2893"/>
        <v>3Q15</v>
      </c>
      <c r="BI1275" s="861" t="str">
        <f t="shared" si="2893"/>
        <v>4Q15</v>
      </c>
      <c r="BJ1275" s="861">
        <f t="shared" si="2893"/>
        <v>2015</v>
      </c>
      <c r="BK1275" s="437" t="str">
        <f t="shared" si="2893"/>
        <v>1Q16</v>
      </c>
      <c r="BL1275" s="437" t="str">
        <f t="shared" si="2893"/>
        <v>2Q16</v>
      </c>
      <c r="BM1275" s="437" t="str">
        <f t="shared" si="2893"/>
        <v>3Q16</v>
      </c>
      <c r="BN1275" s="861" t="str">
        <f t="shared" si="2893"/>
        <v>4Q16</v>
      </c>
      <c r="BO1275" s="861">
        <f t="shared" si="2893"/>
        <v>2016</v>
      </c>
      <c r="BP1275" s="437" t="str">
        <f t="shared" si="2893"/>
        <v>1Q17</v>
      </c>
      <c r="BQ1275" s="437" t="str">
        <f t="shared" si="2893"/>
        <v>2Q17</v>
      </c>
      <c r="BR1275" s="437" t="str">
        <f t="shared" si="2893"/>
        <v>3Q17</v>
      </c>
      <c r="BS1275" s="437" t="str">
        <f t="shared" si="2893"/>
        <v>4Q17</v>
      </c>
      <c r="BT1275" s="438">
        <f t="shared" si="2893"/>
        <v>2017</v>
      </c>
      <c r="BU1275" s="437" t="str">
        <f t="shared" si="2893"/>
        <v>1Q18E</v>
      </c>
      <c r="BV1275" s="437" t="str">
        <f t="shared" si="2893"/>
        <v>2Q18E</v>
      </c>
      <c r="BW1275" s="437" t="str">
        <f t="shared" si="2893"/>
        <v>3Q18E</v>
      </c>
      <c r="BX1275" s="437" t="str">
        <f t="shared" si="2893"/>
        <v>4Q18E</v>
      </c>
      <c r="BY1275" s="438" t="str">
        <f t="shared" si="2893"/>
        <v>2018E</v>
      </c>
      <c r="BZ1275" s="438" t="str">
        <f t="shared" si="2893"/>
        <v>2019E</v>
      </c>
      <c r="CA1275" s="438" t="str">
        <f t="shared" si="2893"/>
        <v>2020E</v>
      </c>
      <c r="CB1275" s="438" t="str">
        <f t="shared" si="2893"/>
        <v>2021E</v>
      </c>
      <c r="CC1275" s="438" t="str">
        <f>CC$6</f>
        <v>2022E</v>
      </c>
      <c r="CD1275" s="438" t="str">
        <f>CD$6</f>
        <v>2023E</v>
      </c>
      <c r="CE1275" s="438" t="str">
        <f>CE$6</f>
        <v>2024E</v>
      </c>
      <c r="CF1275" s="438" t="str">
        <f>CF$6</f>
        <v>2025E</v>
      </c>
      <c r="CG1275" s="502"/>
      <c r="CH1275" s="502"/>
      <c r="CI1275" s="502"/>
      <c r="CJ1275" s="502"/>
      <c r="CK1275" s="502"/>
      <c r="CL1275" s="2102" t="str">
        <f>A1275</f>
        <v>CASH FLOW STATEMENT</v>
      </c>
      <c r="CM1275" s="2229">
        <f>G1275</f>
        <v>2004</v>
      </c>
      <c r="CN1275" s="2229">
        <f>L1275</f>
        <v>2005</v>
      </c>
      <c r="CO1275" s="2229">
        <f>Q1275</f>
        <v>2006</v>
      </c>
      <c r="CP1275" s="2229">
        <f>V1275</f>
        <v>2007</v>
      </c>
      <c r="CQ1275" s="2229">
        <f>AA1275</f>
        <v>2008</v>
      </c>
      <c r="CR1275" s="2229">
        <f>AF1275</f>
        <v>2009</v>
      </c>
      <c r="CS1275" s="2229">
        <f>AK1275</f>
        <v>2010</v>
      </c>
      <c r="CT1275" s="2229">
        <f>AP1275</f>
        <v>2011</v>
      </c>
      <c r="CU1275" s="2229">
        <f>AU1275</f>
        <v>2012</v>
      </c>
      <c r="CV1275" s="2229">
        <f>AZ1275</f>
        <v>2013</v>
      </c>
      <c r="CW1275" s="2229">
        <f>BE1275</f>
        <v>2014</v>
      </c>
      <c r="CX1275" s="2229">
        <f>BJ1275</f>
        <v>2015</v>
      </c>
      <c r="CY1275" s="2229">
        <f>BO1275</f>
        <v>2016</v>
      </c>
      <c r="CZ1275" s="2229">
        <f>BT1275</f>
        <v>2017</v>
      </c>
      <c r="DA1275" s="2229" t="str">
        <f>BY1275</f>
        <v>2018E</v>
      </c>
      <c r="DB1275" s="2229" t="str">
        <f>BZ1275</f>
        <v>2019E</v>
      </c>
      <c r="DC1275" s="2230" t="str">
        <f>CA1275</f>
        <v>2020E</v>
      </c>
      <c r="DD1275" s="502"/>
      <c r="DE1275" s="502"/>
      <c r="DF1275" s="502"/>
      <c r="DG1275" s="503"/>
      <c r="DH1275" s="537"/>
      <c r="DI1275" s="3213"/>
      <c r="DJ1275" s="502"/>
      <c r="DK1275" s="503"/>
      <c r="DL1275" s="502"/>
      <c r="DM1275" s="502"/>
      <c r="DN1275" s="502"/>
      <c r="DO1275" s="502"/>
      <c r="DP1275" s="503"/>
      <c r="DQ1275" s="503"/>
      <c r="DR1275" s="296"/>
      <c r="DS1275" s="296"/>
      <c r="DT1275" s="296"/>
    </row>
    <row r="1276" spans="1:130" ht="12.75" customHeight="1" x14ac:dyDescent="0.25">
      <c r="A1276" s="864"/>
      <c r="B1276" s="479"/>
      <c r="C1276" s="444" t="s">
        <v>641</v>
      </c>
      <c r="D1276" s="444" t="s">
        <v>640</v>
      </c>
      <c r="E1276" s="444" t="s">
        <v>642</v>
      </c>
      <c r="F1276" s="444" t="s">
        <v>642</v>
      </c>
      <c r="G1276" s="484"/>
      <c r="H1276" s="480"/>
      <c r="I1276" s="480"/>
      <c r="J1276" s="482"/>
      <c r="K1276" s="480"/>
      <c r="L1276" s="484"/>
      <c r="M1276" s="480"/>
      <c r="N1276" s="480"/>
      <c r="O1276" s="480"/>
      <c r="P1276" s="480"/>
      <c r="Q1276" s="484"/>
      <c r="R1276" s="482"/>
      <c r="S1276" s="480"/>
      <c r="T1276" s="480"/>
      <c r="U1276" s="480"/>
      <c r="V1276" s="484"/>
      <c r="W1276" s="480"/>
      <c r="X1276" s="480"/>
      <c r="Y1276" s="480"/>
      <c r="Z1276" s="480"/>
      <c r="AA1276" s="484"/>
      <c r="AB1276" s="480"/>
      <c r="AC1276" s="480"/>
      <c r="AD1276" s="480"/>
      <c r="AE1276" s="430"/>
      <c r="AF1276" s="481"/>
      <c r="AG1276" s="430"/>
      <c r="AH1276" s="430"/>
      <c r="AI1276" s="430"/>
      <c r="AJ1276" s="430"/>
      <c r="AK1276" s="481"/>
      <c r="AL1276" s="430"/>
      <c r="AM1276" s="430"/>
      <c r="AN1276" s="430"/>
      <c r="AO1276" s="430"/>
      <c r="AP1276" s="483"/>
      <c r="AQ1276" s="483"/>
      <c r="AR1276" s="430"/>
      <c r="AS1276" s="430"/>
      <c r="AT1276" s="430"/>
      <c r="AU1276" s="1703"/>
      <c r="AV1276" s="430"/>
      <c r="AW1276" s="430"/>
      <c r="AX1276" s="430"/>
      <c r="AY1276" s="853"/>
      <c r="AZ1276" s="853"/>
      <c r="BA1276" s="430"/>
      <c r="BB1276" s="3157"/>
      <c r="BC1276" s="3157"/>
      <c r="BD1276" s="853"/>
      <c r="BE1276" s="481"/>
      <c r="BF1276" s="430"/>
      <c r="BG1276" s="428"/>
      <c r="BH1276" s="428"/>
      <c r="BI1276" s="853"/>
      <c r="BJ1276" s="481"/>
      <c r="BK1276" s="430"/>
      <c r="BL1276" s="430"/>
      <c r="BM1276" s="430"/>
      <c r="BN1276" s="853"/>
      <c r="BO1276" s="481"/>
      <c r="BP1276" s="430"/>
      <c r="BQ1276" s="430"/>
      <c r="BR1276" s="430"/>
      <c r="BS1276" s="430"/>
      <c r="BT1276" s="2587"/>
      <c r="BU1276" s="3397"/>
      <c r="BV1276" s="2840"/>
      <c r="BW1276" s="2840"/>
      <c r="BX1276" s="2840"/>
      <c r="BY1276" s="2587"/>
      <c r="BZ1276" s="481"/>
      <c r="CA1276" s="481"/>
      <c r="CB1276" s="481"/>
      <c r="CC1276" s="481"/>
      <c r="CD1276" s="481"/>
      <c r="CE1276" s="481"/>
      <c r="CF1276" s="481"/>
      <c r="CG1276" s="331"/>
      <c r="CH1276" s="331"/>
      <c r="CI1276" s="331"/>
      <c r="CJ1276" s="331"/>
      <c r="CK1276" s="331"/>
      <c r="CL1276" s="1149"/>
      <c r="CM1276" s="430"/>
      <c r="CN1276" s="430"/>
      <c r="CO1276" s="430"/>
      <c r="CP1276" s="430"/>
      <c r="CQ1276" s="430"/>
      <c r="CR1276" s="430"/>
      <c r="CS1276" s="430"/>
      <c r="CT1276" s="430"/>
      <c r="CU1276" s="430"/>
      <c r="CV1276" s="430"/>
      <c r="CW1276" s="430"/>
      <c r="CX1276" s="430"/>
      <c r="CY1276" s="430"/>
      <c r="CZ1276" s="430"/>
      <c r="DA1276" s="430"/>
      <c r="DB1276" s="430"/>
      <c r="DC1276" s="853"/>
      <c r="DD1276" s="331"/>
      <c r="DE1276" s="331"/>
      <c r="DF1276" s="502"/>
      <c r="DG1276" s="503"/>
      <c r="DH1276" s="2840"/>
      <c r="DI1276" s="3213"/>
      <c r="DJ1276" s="502"/>
      <c r="DK1276" s="503"/>
      <c r="DL1276" s="502"/>
      <c r="DM1276" s="502"/>
      <c r="DN1276" s="502"/>
      <c r="DO1276" s="502"/>
      <c r="DP1276" s="503"/>
      <c r="DQ1276" s="503"/>
      <c r="DR1276" s="296"/>
      <c r="DS1276" s="296"/>
      <c r="DT1276" s="296"/>
    </row>
    <row r="1277" spans="1:130" ht="12.75" customHeight="1" x14ac:dyDescent="0.25">
      <c r="A1277" s="943" t="s">
        <v>1680</v>
      </c>
      <c r="B1277" s="479"/>
      <c r="C1277" s="480"/>
      <c r="D1277" s="480"/>
      <c r="E1277" s="480"/>
      <c r="F1277" s="480"/>
      <c r="G1277" s="484"/>
      <c r="H1277" s="480"/>
      <c r="I1277" s="480"/>
      <c r="J1277" s="482"/>
      <c r="K1277" s="480"/>
      <c r="L1277" s="484"/>
      <c r="M1277" s="480"/>
      <c r="N1277" s="480"/>
      <c r="O1277" s="480"/>
      <c r="P1277" s="480"/>
      <c r="Q1277" s="484"/>
      <c r="R1277" s="482"/>
      <c r="S1277" s="480"/>
      <c r="T1277" s="480"/>
      <c r="U1277" s="480"/>
      <c r="V1277" s="484"/>
      <c r="W1277" s="480"/>
      <c r="X1277" s="480"/>
      <c r="Y1277" s="480"/>
      <c r="Z1277" s="480"/>
      <c r="AA1277" s="484"/>
      <c r="AB1277" s="480"/>
      <c r="AC1277" s="480"/>
      <c r="AD1277" s="480"/>
      <c r="AE1277" s="430"/>
      <c r="AF1277" s="481"/>
      <c r="AG1277" s="430"/>
      <c r="AH1277" s="430"/>
      <c r="AI1277" s="430"/>
      <c r="AJ1277" s="430"/>
      <c r="AK1277" s="481"/>
      <c r="AL1277" s="430"/>
      <c r="AM1277" s="430"/>
      <c r="AN1277" s="430"/>
      <c r="AO1277" s="430"/>
      <c r="AP1277" s="483"/>
      <c r="AQ1277" s="483"/>
      <c r="AR1277" s="430"/>
      <c r="AS1277" s="430"/>
      <c r="AT1277" s="430"/>
      <c r="AU1277" s="481"/>
      <c r="AV1277" s="430"/>
      <c r="AW1277" s="430"/>
      <c r="AX1277" s="430"/>
      <c r="AY1277" s="853"/>
      <c r="AZ1277" s="853"/>
      <c r="BA1277" s="430"/>
      <c r="BB1277" s="430"/>
      <c r="BC1277" s="430"/>
      <c r="BD1277" s="853"/>
      <c r="BE1277" s="481"/>
      <c r="BF1277" s="430"/>
      <c r="BG1277" s="430"/>
      <c r="BH1277" s="430"/>
      <c r="BI1277" s="853"/>
      <c r="BJ1277" s="481"/>
      <c r="BK1277" s="430"/>
      <c r="BL1277" s="430"/>
      <c r="BM1277" s="430"/>
      <c r="BN1277" s="853"/>
      <c r="BO1277" s="481"/>
      <c r="BP1277" s="430"/>
      <c r="BQ1277" s="430"/>
      <c r="BR1277" s="430"/>
      <c r="BS1277" s="430"/>
      <c r="BT1277" s="2587"/>
      <c r="BU1277" s="3397"/>
      <c r="BV1277" s="2840"/>
      <c r="BW1277" s="2840"/>
      <c r="BX1277" s="2840"/>
      <c r="BY1277" s="2587"/>
      <c r="BZ1277" s="481"/>
      <c r="CA1277" s="481"/>
      <c r="CB1277" s="481"/>
      <c r="CC1277" s="481"/>
      <c r="CD1277" s="481"/>
      <c r="CE1277" s="481"/>
      <c r="CF1277" s="481"/>
      <c r="CG1277" s="331"/>
      <c r="CH1277" s="331"/>
      <c r="CI1277" s="331"/>
      <c r="CJ1277" s="331"/>
      <c r="CK1277" s="331"/>
      <c r="CL1277" s="944" t="str">
        <f t="shared" ref="CL1277:CL1301" si="2894">A1277</f>
        <v>Cash flows from operations</v>
      </c>
      <c r="CM1277" s="430"/>
      <c r="CN1277" s="430"/>
      <c r="CO1277" s="430"/>
      <c r="CP1277" s="430"/>
      <c r="CQ1277" s="430"/>
      <c r="CR1277" s="430"/>
      <c r="CS1277" s="430"/>
      <c r="CT1277" s="430"/>
      <c r="CU1277" s="430"/>
      <c r="CV1277" s="430"/>
      <c r="CW1277" s="430"/>
      <c r="CX1277" s="430"/>
      <c r="CY1277" s="430"/>
      <c r="CZ1277" s="430"/>
      <c r="DA1277" s="430"/>
      <c r="DB1277" s="430"/>
      <c r="DC1277" s="853"/>
      <c r="DD1277" s="331"/>
      <c r="DE1277" s="331"/>
      <c r="DF1277" s="502"/>
      <c r="DG1277" s="503"/>
      <c r="DH1277" s="2840"/>
      <c r="DI1277" s="3213"/>
      <c r="DJ1277" s="502"/>
      <c r="DK1277" s="503"/>
      <c r="DL1277" s="502"/>
      <c r="DM1277" s="502"/>
      <c r="DN1277" s="502"/>
      <c r="DO1277" s="502"/>
      <c r="DP1277" s="503"/>
      <c r="DQ1277" s="503"/>
      <c r="DR1277" s="296"/>
      <c r="DS1277" s="296"/>
      <c r="DT1277" s="296"/>
    </row>
    <row r="1278" spans="1:130" ht="12.75" customHeight="1" x14ac:dyDescent="0.25">
      <c r="A1278" s="952" t="s">
        <v>1715</v>
      </c>
      <c r="B1278" s="603"/>
      <c r="C1278" s="430">
        <v>0</v>
      </c>
      <c r="D1278" s="482">
        <v>37.436999999999998</v>
      </c>
      <c r="E1278" s="482">
        <f>54.626-D1278</f>
        <v>17.189</v>
      </c>
      <c r="F1278" s="430">
        <v>16.899999999999999</v>
      </c>
      <c r="G1278" s="484">
        <v>71.483999999999995</v>
      </c>
      <c r="H1278" s="430">
        <f>H77</f>
        <v>15.802000000000003</v>
      </c>
      <c r="I1278" s="430">
        <f>I77</f>
        <v>12.118999999999982</v>
      </c>
      <c r="J1278" s="430">
        <f>J77</f>
        <v>55.400999999999996</v>
      </c>
      <c r="K1278" s="430">
        <f>K77</f>
        <v>37.589000000000027</v>
      </c>
      <c r="L1278" s="481">
        <f>SUM(H1278:K1278)</f>
        <v>120.911</v>
      </c>
      <c r="M1278" s="430">
        <f>M77</f>
        <v>41.982999999999997</v>
      </c>
      <c r="N1278" s="430">
        <f>N77</f>
        <v>42.695000000000014</v>
      </c>
      <c r="O1278" s="430">
        <f>O77</f>
        <v>155.06</v>
      </c>
      <c r="P1278" s="430">
        <f>P77</f>
        <v>87.350000000000023</v>
      </c>
      <c r="Q1278" s="481">
        <f>SUM(M1278:P1278)</f>
        <v>327.08800000000002</v>
      </c>
      <c r="R1278" s="430">
        <f>R77</f>
        <v>42.940999999999995</v>
      </c>
      <c r="S1278" s="430">
        <f>S77</f>
        <v>38.298999999999985</v>
      </c>
      <c r="T1278" s="430">
        <f>T77</f>
        <v>46.589999999999996</v>
      </c>
      <c r="U1278" s="430">
        <f>U77</f>
        <v>32.222999999999999</v>
      </c>
      <c r="V1278" s="481">
        <f t="shared" ref="V1278:V1289" si="2895">SUM(R1278:U1278)</f>
        <v>160.053</v>
      </c>
      <c r="W1278" s="430">
        <f>W77</f>
        <v>40.73599999999999</v>
      </c>
      <c r="X1278" s="430">
        <f>X77</f>
        <v>37.022999999999946</v>
      </c>
      <c r="Y1278" s="430">
        <f>Y77</f>
        <v>147.49100000000004</v>
      </c>
      <c r="Z1278" s="430">
        <f>Z77</f>
        <v>-378.57300000000004</v>
      </c>
      <c r="AA1278" s="884">
        <f>SUM(W1278:Z1278)</f>
        <v>-153.32300000000006</v>
      </c>
      <c r="AB1278" s="883">
        <f>AB77</f>
        <v>40.661000000000016</v>
      </c>
      <c r="AC1278" s="883">
        <f>AC77</f>
        <v>28.480000000000004</v>
      </c>
      <c r="AD1278" s="883">
        <f>AD77</f>
        <v>21.350999999999981</v>
      </c>
      <c r="AE1278" s="883">
        <f>AE77</f>
        <v>-357.90499999999997</v>
      </c>
      <c r="AF1278" s="884">
        <f>SUM(AB1278:AE1278)</f>
        <v>-267.41299999999995</v>
      </c>
      <c r="AG1278" s="883">
        <f>AG77</f>
        <v>36.160000000000039</v>
      </c>
      <c r="AH1278" s="883">
        <f>AH77</f>
        <v>6.9719999999999978</v>
      </c>
      <c r="AI1278" s="883">
        <f>AI77</f>
        <v>48.345000000000013</v>
      </c>
      <c r="AJ1278" s="883">
        <f>AJ77</f>
        <v>-153.13200000000003</v>
      </c>
      <c r="AK1278" s="884">
        <f>SUM(AG1278:AJ1278)</f>
        <v>-61.654999999999987</v>
      </c>
      <c r="AL1278" s="883">
        <f>AL77</f>
        <v>51.527999999999999</v>
      </c>
      <c r="AM1278" s="883">
        <f>AM77</f>
        <v>75.989000000000033</v>
      </c>
      <c r="AN1278" s="883">
        <f>AN77</f>
        <v>70.803000000000054</v>
      </c>
      <c r="AO1278" s="883">
        <f>AO77</f>
        <v>44.03099999999997</v>
      </c>
      <c r="AP1278" s="885">
        <f t="shared" ref="AP1278:AP1289" si="2896">SUM(AL1278:AO1278)</f>
        <v>242.35100000000006</v>
      </c>
      <c r="AQ1278" s="885">
        <f>AQ77</f>
        <v>78.618999999999957</v>
      </c>
      <c r="AR1278" s="883">
        <f>AR77</f>
        <v>66.66700000000003</v>
      </c>
      <c r="AS1278" s="883">
        <f>AS77</f>
        <v>46.446000000000033</v>
      </c>
      <c r="AT1278" s="883">
        <f>AT77</f>
        <v>20.238999999999955</v>
      </c>
      <c r="AU1278" s="884">
        <f t="shared" ref="AU1278:AU1300" si="2897">SUM(AQ1278:AT1278)</f>
        <v>211.97099999999998</v>
      </c>
      <c r="AV1278" s="885">
        <f>AV77</f>
        <v>65.270999999999987</v>
      </c>
      <c r="AW1278" s="883">
        <f>AW77</f>
        <v>-12.180000000000014</v>
      </c>
      <c r="AX1278" s="883">
        <f>AX77</f>
        <v>41.317000000000007</v>
      </c>
      <c r="AY1278" s="883">
        <f>AY77</f>
        <v>-888.74699999999996</v>
      </c>
      <c r="AZ1278" s="884">
        <f t="shared" ref="AZ1278:AZ1283" si="2898">SUM(AV1278:AY1278)</f>
        <v>-794.33899999999994</v>
      </c>
      <c r="BA1278" s="883">
        <f>BA77</f>
        <v>0.58000000000001295</v>
      </c>
      <c r="BB1278" s="883">
        <f>BB77</f>
        <v>-19.273000000000028</v>
      </c>
      <c r="BC1278" s="883">
        <f>BC77</f>
        <v>-15.347999999999995</v>
      </c>
      <c r="BD1278" s="886">
        <f>BD77</f>
        <v>-149.78099999999995</v>
      </c>
      <c r="BE1278" s="884">
        <f t="shared" ref="BE1278:BE1300" si="2899">SUM(BA1278:BD1278)</f>
        <v>-183.82199999999995</v>
      </c>
      <c r="BF1278" s="883">
        <f>BF77</f>
        <v>1.868999999999966</v>
      </c>
      <c r="BG1278" s="883">
        <f>BG77</f>
        <v>2.9830000000000005</v>
      </c>
      <c r="BH1278" s="883">
        <f>BH77</f>
        <v>4.8999999999999559</v>
      </c>
      <c r="BI1278" s="886">
        <f>0.686-SUM(BF1278:BH1278)</f>
        <v>-9.0659999999999226</v>
      </c>
      <c r="BJ1278" s="884">
        <f t="shared" ref="BJ1278:BJ1287" si="2900">SUM(BF1278:BI1278)</f>
        <v>0.68599999999999994</v>
      </c>
      <c r="BK1278" s="430">
        <f>BK77</f>
        <v>23.708000000000013</v>
      </c>
      <c r="BL1278" s="430">
        <f>BL77</f>
        <v>34.034999999999997</v>
      </c>
      <c r="BM1278" s="883">
        <f>BM77</f>
        <v>46.535000000000011</v>
      </c>
      <c r="BN1278" s="886">
        <f>BN77</f>
        <v>5.03200000000004</v>
      </c>
      <c r="BO1278" s="884">
        <f t="shared" ref="BO1278:BO1300" si="2901">SUM(BK1278:BN1278)</f>
        <v>109.31000000000006</v>
      </c>
      <c r="BP1278" s="883">
        <f>BP77</f>
        <v>5.1039999999999708</v>
      </c>
      <c r="BQ1278" s="883">
        <f>BQ77</f>
        <v>17.07900000000005</v>
      </c>
      <c r="BR1278" s="883">
        <f>BR77</f>
        <v>789.33999999999992</v>
      </c>
      <c r="BS1278" s="883">
        <f>BS77</f>
        <v>-338.05999999999995</v>
      </c>
      <c r="BT1278" s="3205">
        <f t="shared" ref="BT1278:BT1300" si="2902">SUM(BP1278:BS1278)</f>
        <v>473.46299999999997</v>
      </c>
      <c r="BU1278" s="3151">
        <f>BU77</f>
        <v>37.417630578189765</v>
      </c>
      <c r="BV1278" s="3151">
        <f>BV77</f>
        <v>43.737531994913326</v>
      </c>
      <c r="BW1278" s="3151">
        <f>BW77</f>
        <v>73.989563670452384</v>
      </c>
      <c r="BX1278" s="3151">
        <f>BX77</f>
        <v>51.509941485934185</v>
      </c>
      <c r="BY1278" s="3205">
        <f t="shared" ref="BY1278:BY1300" si="2903">SUM(BU1278:BX1278)</f>
        <v>206.65466772948966</v>
      </c>
      <c r="BZ1278" s="3205">
        <f t="shared" ref="BZ1278:CF1278" si="2904">BZ77</f>
        <v>318.96686755926441</v>
      </c>
      <c r="CA1278" s="3205">
        <f t="shared" si="2904"/>
        <v>305.22874612427006</v>
      </c>
      <c r="CB1278" s="884">
        <f t="shared" si="2904"/>
        <v>75.342537362887441</v>
      </c>
      <c r="CC1278" s="884">
        <f t="shared" si="2904"/>
        <v>15.058142214570019</v>
      </c>
      <c r="CD1278" s="884">
        <f t="shared" si="2904"/>
        <v>19.345930035594286</v>
      </c>
      <c r="CE1278" s="884">
        <f t="shared" si="2904"/>
        <v>32.855198015132828</v>
      </c>
      <c r="CF1278" s="884">
        <f t="shared" si="2904"/>
        <v>45.391601031299473</v>
      </c>
      <c r="CG1278" s="331"/>
      <c r="CH1278" s="331"/>
      <c r="CI1278" s="331"/>
      <c r="CJ1278" s="331"/>
      <c r="CK1278" s="331"/>
      <c r="CL1278" s="952" t="str">
        <f t="shared" si="2894"/>
        <v>Net Income</v>
      </c>
      <c r="CM1278" s="883">
        <f t="shared" ref="CM1278:CM1301" si="2905">G1278</f>
        <v>71.483999999999995</v>
      </c>
      <c r="CN1278" s="883">
        <f t="shared" ref="CN1278:CN1301" si="2906">L1278</f>
        <v>120.911</v>
      </c>
      <c r="CO1278" s="883">
        <f t="shared" ref="CO1278:CO1301" si="2907">Q1278</f>
        <v>327.08800000000002</v>
      </c>
      <c r="CP1278" s="883">
        <f t="shared" ref="CP1278:CP1301" si="2908">V1278</f>
        <v>160.053</v>
      </c>
      <c r="CQ1278" s="883">
        <f t="shared" ref="CQ1278:CQ1301" si="2909">AA1278</f>
        <v>-153.32300000000006</v>
      </c>
      <c r="CR1278" s="883">
        <f t="shared" ref="CR1278:CR1301" si="2910">AF1278</f>
        <v>-267.41299999999995</v>
      </c>
      <c r="CS1278" s="883">
        <f t="shared" ref="CS1278:CS1301" si="2911">AK1278</f>
        <v>-61.654999999999987</v>
      </c>
      <c r="CT1278" s="883">
        <f t="shared" ref="CT1278:CT1301" si="2912">AP1278</f>
        <v>242.35100000000006</v>
      </c>
      <c r="CU1278" s="883">
        <f t="shared" ref="CU1278:CU1301" si="2913">AU1278</f>
        <v>211.97099999999998</v>
      </c>
      <c r="CV1278" s="883">
        <f t="shared" ref="CV1278:CV1301" si="2914">AZ1278</f>
        <v>-794.33899999999994</v>
      </c>
      <c r="CW1278" s="883">
        <f t="shared" ref="CW1278:CW1301" si="2915">BE1278</f>
        <v>-183.82199999999995</v>
      </c>
      <c r="CX1278" s="883">
        <f t="shared" ref="CX1278:CX1301" si="2916">BJ1278</f>
        <v>0.68599999999999994</v>
      </c>
      <c r="CY1278" s="883">
        <f t="shared" ref="CY1278:CY1301" si="2917">BO1278</f>
        <v>109.31000000000006</v>
      </c>
      <c r="CZ1278" s="883">
        <f t="shared" ref="CZ1278:CZ1301" si="2918">BT1278</f>
        <v>473.46299999999997</v>
      </c>
      <c r="DA1278" s="883">
        <f t="shared" ref="DA1278:DA1301" si="2919">BY1278</f>
        <v>206.65466772948966</v>
      </c>
      <c r="DB1278" s="883">
        <f t="shared" ref="DB1278:DB1301" si="2920">BZ1278</f>
        <v>318.96686755926441</v>
      </c>
      <c r="DC1278" s="886">
        <f t="shared" ref="DC1278:DC1301" si="2921">CA1278</f>
        <v>305.22874612427006</v>
      </c>
      <c r="DD1278" s="331"/>
      <c r="DE1278" s="331"/>
      <c r="DF1278" s="502"/>
      <c r="DG1278" s="503"/>
      <c r="DH1278" s="3151"/>
      <c r="DI1278" s="3213"/>
      <c r="DJ1278" s="502"/>
      <c r="DK1278" s="503"/>
      <c r="DL1278" s="502"/>
      <c r="DM1278" s="502"/>
      <c r="DN1278" s="502"/>
      <c r="DO1278" s="502"/>
      <c r="DP1278" s="503"/>
      <c r="DQ1278" s="503"/>
      <c r="DR1278" s="296"/>
      <c r="DS1278" s="296"/>
      <c r="DT1278" s="296"/>
    </row>
    <row r="1279" spans="1:130" ht="12.75" hidden="1" customHeight="1" outlineLevel="1" x14ac:dyDescent="0.25">
      <c r="A1279" s="952" t="s">
        <v>923</v>
      </c>
      <c r="B1279" s="603"/>
      <c r="C1279" s="482">
        <v>0</v>
      </c>
      <c r="D1279" s="482">
        <v>8.9779999999999998</v>
      </c>
      <c r="E1279" s="482">
        <f>13.918-D1279</f>
        <v>4.9399999999999995</v>
      </c>
      <c r="F1279" s="430">
        <f t="shared" ref="F1279:F1288" si="2922">G1279-E1279-D1279</f>
        <v>1.9380000000000006</v>
      </c>
      <c r="G1279" s="484">
        <v>15.856</v>
      </c>
      <c r="H1279" s="482">
        <v>0.45200000000000001</v>
      </c>
      <c r="I1279" s="482">
        <v>2.7690000000000001</v>
      </c>
      <c r="J1279" s="482">
        <v>-35.596999999999994</v>
      </c>
      <c r="K1279" s="482">
        <v>32.375999999999998</v>
      </c>
      <c r="L1279" s="481">
        <f t="shared" ref="L1279:L1288" si="2923">SUM(H1279:K1279)</f>
        <v>0</v>
      </c>
      <c r="M1279" s="482">
        <v>-7.0999999999999994E-2</v>
      </c>
      <c r="N1279" s="482">
        <v>-5.800000000000001E-2</v>
      </c>
      <c r="O1279" s="482">
        <v>0.14100000000000001</v>
      </c>
      <c r="P1279" s="482">
        <v>0</v>
      </c>
      <c r="Q1279" s="481">
        <f t="shared" ref="Q1279:Q1288" si="2924">SUM(M1279:P1279)</f>
        <v>1.2000000000000011E-2</v>
      </c>
      <c r="R1279" s="482">
        <v>0</v>
      </c>
      <c r="S1279" s="482">
        <v>0</v>
      </c>
      <c r="T1279" s="482">
        <v>0</v>
      </c>
      <c r="U1279" s="482">
        <v>0</v>
      </c>
      <c r="V1279" s="481">
        <f t="shared" si="2895"/>
        <v>0</v>
      </c>
      <c r="W1279" s="482">
        <v>0</v>
      </c>
      <c r="X1279" s="482">
        <v>0</v>
      </c>
      <c r="Y1279" s="482">
        <v>0</v>
      </c>
      <c r="Z1279" s="482">
        <v>0</v>
      </c>
      <c r="AA1279" s="481">
        <f t="shared" ref="AA1279:AA1288" si="2925">SUM(W1279:Z1279)</f>
        <v>0</v>
      </c>
      <c r="AB1279" s="482">
        <v>0</v>
      </c>
      <c r="AC1279" s="482">
        <v>0</v>
      </c>
      <c r="AD1279" s="482">
        <v>0</v>
      </c>
      <c r="AE1279" s="482">
        <v>0</v>
      </c>
      <c r="AF1279" s="481">
        <f t="shared" ref="AF1279:AF1288" si="2926">SUM(AB1279:AE1279)</f>
        <v>0</v>
      </c>
      <c r="AG1279" s="430"/>
      <c r="AH1279" s="430"/>
      <c r="AI1279" s="430"/>
      <c r="AJ1279" s="430"/>
      <c r="AK1279" s="481">
        <f t="shared" ref="AK1279:AK1288" si="2927">SUM(AG1279:AJ1279)</f>
        <v>0</v>
      </c>
      <c r="AL1279" s="430"/>
      <c r="AM1279" s="430"/>
      <c r="AN1279" s="430"/>
      <c r="AO1279" s="430"/>
      <c r="AP1279" s="483">
        <f t="shared" si="2896"/>
        <v>0</v>
      </c>
      <c r="AQ1279" s="885"/>
      <c r="AR1279" s="430"/>
      <c r="AS1279" s="430"/>
      <c r="AT1279" s="430"/>
      <c r="AU1279" s="481">
        <f t="shared" si="2897"/>
        <v>0</v>
      </c>
      <c r="AV1279" s="885"/>
      <c r="AW1279" s="482">
        <v>0</v>
      </c>
      <c r="AX1279" s="482">
        <v>0</v>
      </c>
      <c r="AY1279" s="430">
        <v>0</v>
      </c>
      <c r="AZ1279" s="481">
        <f t="shared" si="2898"/>
        <v>0</v>
      </c>
      <c r="BA1279" s="482">
        <v>0</v>
      </c>
      <c r="BB1279" s="482">
        <v>0</v>
      </c>
      <c r="BC1279" s="482">
        <v>0</v>
      </c>
      <c r="BD1279" s="482">
        <v>0</v>
      </c>
      <c r="BE1279" s="481">
        <f t="shared" si="2899"/>
        <v>0</v>
      </c>
      <c r="BF1279" s="482">
        <v>0</v>
      </c>
      <c r="BG1279" s="482">
        <v>0</v>
      </c>
      <c r="BH1279" s="482">
        <v>0</v>
      </c>
      <c r="BI1279" s="482">
        <v>0</v>
      </c>
      <c r="BJ1279" s="481">
        <f t="shared" si="2900"/>
        <v>0</v>
      </c>
      <c r="BK1279" s="482">
        <v>0</v>
      </c>
      <c r="BL1279" s="482">
        <v>0</v>
      </c>
      <c r="BM1279" s="482">
        <v>0</v>
      </c>
      <c r="BN1279" s="482">
        <v>0</v>
      </c>
      <c r="BO1279" s="481">
        <f t="shared" si="2901"/>
        <v>0</v>
      </c>
      <c r="BP1279" s="482">
        <v>0</v>
      </c>
      <c r="BQ1279" s="482">
        <v>0</v>
      </c>
      <c r="BR1279" s="482">
        <v>0</v>
      </c>
      <c r="BS1279" s="482">
        <v>0</v>
      </c>
      <c r="BT1279" s="2587">
        <f t="shared" si="2902"/>
        <v>0</v>
      </c>
      <c r="BU1279" s="482">
        <v>0</v>
      </c>
      <c r="BV1279" s="482">
        <v>0</v>
      </c>
      <c r="BW1279" s="482">
        <v>0</v>
      </c>
      <c r="BX1279" s="482">
        <v>0</v>
      </c>
      <c r="BY1279" s="2587">
        <f t="shared" si="2903"/>
        <v>0</v>
      </c>
      <c r="BZ1279" s="484">
        <v>0</v>
      </c>
      <c r="CA1279" s="484">
        <v>0</v>
      </c>
      <c r="CB1279" s="484">
        <v>0</v>
      </c>
      <c r="CC1279" s="484">
        <v>0</v>
      </c>
      <c r="CD1279" s="484">
        <v>0</v>
      </c>
      <c r="CE1279" s="484">
        <v>0</v>
      </c>
      <c r="CF1279" s="484">
        <v>0</v>
      </c>
      <c r="CG1279" s="331"/>
      <c r="CH1279" s="331"/>
      <c r="CI1279" s="331"/>
      <c r="CJ1279" s="331"/>
      <c r="CK1279" s="331"/>
      <c r="CL1279" s="952" t="str">
        <f t="shared" si="2894"/>
        <v>Loss (income) from discontinued operations</v>
      </c>
      <c r="CM1279" s="430">
        <f t="shared" si="2905"/>
        <v>15.856</v>
      </c>
      <c r="CN1279" s="430">
        <f t="shared" si="2906"/>
        <v>0</v>
      </c>
      <c r="CO1279" s="430">
        <f t="shared" si="2907"/>
        <v>1.2000000000000011E-2</v>
      </c>
      <c r="CP1279" s="430">
        <f t="shared" si="2908"/>
        <v>0</v>
      </c>
      <c r="CQ1279" s="430">
        <f t="shared" si="2909"/>
        <v>0</v>
      </c>
      <c r="CR1279" s="430">
        <f t="shared" si="2910"/>
        <v>0</v>
      </c>
      <c r="CS1279" s="430">
        <f t="shared" si="2911"/>
        <v>0</v>
      </c>
      <c r="CT1279" s="430">
        <f t="shared" si="2912"/>
        <v>0</v>
      </c>
      <c r="CU1279" s="430">
        <f t="shared" si="2913"/>
        <v>0</v>
      </c>
      <c r="CV1279" s="430">
        <f t="shared" si="2914"/>
        <v>0</v>
      </c>
      <c r="CW1279" s="430">
        <f t="shared" si="2915"/>
        <v>0</v>
      </c>
      <c r="CX1279" s="430">
        <f t="shared" si="2916"/>
        <v>0</v>
      </c>
      <c r="CY1279" s="430">
        <f t="shared" si="2917"/>
        <v>0</v>
      </c>
      <c r="CZ1279" s="430">
        <f t="shared" si="2918"/>
        <v>0</v>
      </c>
      <c r="DA1279" s="430">
        <f t="shared" si="2919"/>
        <v>0</v>
      </c>
      <c r="DB1279" s="430">
        <f t="shared" si="2920"/>
        <v>0</v>
      </c>
      <c r="DC1279" s="853">
        <f t="shared" si="2921"/>
        <v>0</v>
      </c>
      <c r="DD1279" s="331"/>
      <c r="DE1279" s="331"/>
      <c r="DF1279" s="502"/>
      <c r="DG1279" s="503"/>
      <c r="DH1279" s="2840"/>
      <c r="DI1279" s="3213"/>
      <c r="DJ1279" s="502"/>
      <c r="DK1279" s="503"/>
      <c r="DL1279" s="502"/>
      <c r="DM1279" s="502"/>
      <c r="DN1279" s="502"/>
      <c r="DO1279" s="502"/>
      <c r="DP1279" s="503"/>
      <c r="DQ1279" s="503"/>
      <c r="DR1279" s="296"/>
      <c r="DS1279" s="296"/>
      <c r="DT1279" s="296"/>
    </row>
    <row r="1280" spans="1:130" ht="12.75" customHeight="1" collapsed="1" x14ac:dyDescent="0.25">
      <c r="A1280" s="952" t="s">
        <v>2197</v>
      </c>
      <c r="B1280" s="603"/>
      <c r="C1280" s="482">
        <v>0</v>
      </c>
      <c r="D1280" s="482">
        <v>33.673000000000002</v>
      </c>
      <c r="E1280" s="482">
        <f>49.413-D1280</f>
        <v>15.739999999999995</v>
      </c>
      <c r="F1280" s="430">
        <f t="shared" si="2922"/>
        <v>16.372</v>
      </c>
      <c r="G1280" s="484">
        <v>65.784999999999997</v>
      </c>
      <c r="H1280" s="482">
        <v>15.494999999999999</v>
      </c>
      <c r="I1280" s="482">
        <v>15.968999999999999</v>
      </c>
      <c r="J1280" s="482">
        <v>14.887999999999996</v>
      </c>
      <c r="K1280" s="482">
        <v>26.125</v>
      </c>
      <c r="L1280" s="481">
        <f t="shared" si="2923"/>
        <v>72.477000000000004</v>
      </c>
      <c r="M1280" s="482">
        <v>29.718</v>
      </c>
      <c r="N1280" s="482">
        <v>27.727999999999998</v>
      </c>
      <c r="O1280" s="482">
        <v>31.196000000000002</v>
      </c>
      <c r="P1280" s="482">
        <v>35.308999999999997</v>
      </c>
      <c r="Q1280" s="481">
        <f t="shared" si="2924"/>
        <v>123.95099999999999</v>
      </c>
      <c r="R1280" s="482">
        <v>35.357999999999997</v>
      </c>
      <c r="S1280" s="482">
        <v>37.622000000000007</v>
      </c>
      <c r="T1280" s="482">
        <v>37.240999999999993</v>
      </c>
      <c r="U1280" s="482">
        <v>37.693999999999996</v>
      </c>
      <c r="V1280" s="481">
        <f t="shared" si="2895"/>
        <v>147.91499999999999</v>
      </c>
      <c r="W1280" s="482">
        <v>39.792000000000002</v>
      </c>
      <c r="X1280" s="482">
        <v>45.182000000000002</v>
      </c>
      <c r="Y1280" s="482">
        <v>44.224000000000004</v>
      </c>
      <c r="Z1280" s="482">
        <f>173.545-W1280-X1280-Y1280</f>
        <v>44.34699999999998</v>
      </c>
      <c r="AA1280" s="481">
        <f t="shared" si="2925"/>
        <v>173.54499999999999</v>
      </c>
      <c r="AB1280" s="482">
        <v>44.43</v>
      </c>
      <c r="AC1280" s="482">
        <f>91.372-AB1280</f>
        <v>46.942</v>
      </c>
      <c r="AD1280" s="482">
        <f>141.427-AC1280-AB1280</f>
        <v>50.054999999999986</v>
      </c>
      <c r="AE1280" s="430">
        <f>AE1556</f>
        <v>53.009000000000007</v>
      </c>
      <c r="AF1280" s="481">
        <f t="shared" si="2926"/>
        <v>194.43600000000001</v>
      </c>
      <c r="AG1280" s="430">
        <f>AG1556</f>
        <v>51.18</v>
      </c>
      <c r="AH1280" s="430">
        <f>AH1556</f>
        <v>52.652999999999999</v>
      </c>
      <c r="AI1280" s="430">
        <f>AI1556</f>
        <v>53.841999999999999</v>
      </c>
      <c r="AJ1280" s="430">
        <f>AJ1556</f>
        <v>54.712000000000003</v>
      </c>
      <c r="AK1280" s="481">
        <f t="shared" si="2927"/>
        <v>212.387</v>
      </c>
      <c r="AL1280" s="430">
        <f>AL1556</f>
        <v>53.158000000000001</v>
      </c>
      <c r="AM1280" s="430">
        <f>AM1556</f>
        <v>54.23</v>
      </c>
      <c r="AN1280" s="430">
        <f>AN1556</f>
        <v>52.195</v>
      </c>
      <c r="AO1280" s="430">
        <f>AO1556</f>
        <v>51.893000000000001</v>
      </c>
      <c r="AP1280" s="481">
        <f t="shared" si="2896"/>
        <v>211.476</v>
      </c>
      <c r="AQ1280" s="430">
        <f>AQ1556</f>
        <v>53.337000000000003</v>
      </c>
      <c r="AR1280" s="430">
        <f>AR1556</f>
        <v>56.790999999999997</v>
      </c>
      <c r="AS1280" s="430">
        <f>AS1556</f>
        <v>62.399000000000001</v>
      </c>
      <c r="AT1280" s="430">
        <f>AT1556</f>
        <v>72.820999999999998</v>
      </c>
      <c r="AU1280" s="481">
        <f t="shared" si="2897"/>
        <v>245.34799999999998</v>
      </c>
      <c r="AV1280" s="430">
        <f>AV1556</f>
        <v>77.070999999999998</v>
      </c>
      <c r="AW1280" s="430">
        <f>AW1556</f>
        <v>80.614999999999995</v>
      </c>
      <c r="AX1280" s="430">
        <f>AX1556</f>
        <v>79.968000000000004</v>
      </c>
      <c r="AY1280" s="430">
        <f>AY1556</f>
        <v>60.671999999999997</v>
      </c>
      <c r="AZ1280" s="481">
        <f t="shared" si="2898"/>
        <v>298.32600000000002</v>
      </c>
      <c r="BA1280" s="430">
        <f>BA1556</f>
        <v>70.185000000000002</v>
      </c>
      <c r="BB1280" s="430">
        <f>BB1556</f>
        <v>69.873999999999995</v>
      </c>
      <c r="BC1280" s="430">
        <f>BC1556</f>
        <v>62.021000000000001</v>
      </c>
      <c r="BD1280" s="430">
        <f>BD1556</f>
        <v>64.662000000000035</v>
      </c>
      <c r="BE1280" s="481">
        <f t="shared" si="2899"/>
        <v>266.74200000000002</v>
      </c>
      <c r="BF1280" s="430">
        <f>BF1556</f>
        <v>63.369</v>
      </c>
      <c r="BG1280" s="430">
        <f>BG1556</f>
        <v>62.274999999999999</v>
      </c>
      <c r="BH1280" s="430">
        <f>BH1556</f>
        <v>66.141000000000005</v>
      </c>
      <c r="BI1280" s="430">
        <f>BI1556</f>
        <v>67.675999999999988</v>
      </c>
      <c r="BJ1280" s="481">
        <f t="shared" si="2900"/>
        <v>259.46100000000001</v>
      </c>
      <c r="BK1280" s="430">
        <f>BK1556</f>
        <v>66.02</v>
      </c>
      <c r="BL1280" s="430">
        <f>BL1556</f>
        <v>66.182000000000002</v>
      </c>
      <c r="BM1280" s="430">
        <f>BM1556</f>
        <v>67.903000000000006</v>
      </c>
      <c r="BN1280" s="430">
        <f>BN1556</f>
        <v>71.108999999999995</v>
      </c>
      <c r="BO1280" s="481">
        <f t="shared" si="2901"/>
        <v>271.214</v>
      </c>
      <c r="BP1280" s="430">
        <f>BP1556</f>
        <v>70.236000000000004</v>
      </c>
      <c r="BQ1280" s="430">
        <f>BQ1556</f>
        <v>68.968999999999994</v>
      </c>
      <c r="BR1280" s="430">
        <f>BR1556</f>
        <v>66.483000000000004</v>
      </c>
      <c r="BS1280" s="430">
        <f>BS1556</f>
        <v>61.374000000000002</v>
      </c>
      <c r="BT1280" s="2587">
        <f t="shared" si="2902"/>
        <v>267.06200000000001</v>
      </c>
      <c r="BU1280" s="2840">
        <f>BU1556</f>
        <v>61.554275817589122</v>
      </c>
      <c r="BV1280" s="2840">
        <f>BV1556</f>
        <v>61.50735911164751</v>
      </c>
      <c r="BW1280" s="2840">
        <f>BW1556</f>
        <v>72.852129494557232</v>
      </c>
      <c r="BX1280" s="2840">
        <f>BX1556</f>
        <v>72.671952774080808</v>
      </c>
      <c r="BY1280" s="2587">
        <f t="shared" si="2903"/>
        <v>268.58571719787466</v>
      </c>
      <c r="BZ1280" s="2587">
        <f t="shared" ref="BZ1280:CF1280" si="2928">BZ1556</f>
        <v>291.15259192105191</v>
      </c>
      <c r="CA1280" s="2587">
        <f t="shared" si="2928"/>
        <v>292.02499874915179</v>
      </c>
      <c r="CB1280" s="481">
        <f t="shared" si="2928"/>
        <v>169.16602666666674</v>
      </c>
      <c r="CC1280" s="481">
        <f t="shared" si="2928"/>
        <v>169.16602666666674</v>
      </c>
      <c r="CD1280" s="481">
        <f t="shared" si="2928"/>
        <v>169.16602666666674</v>
      </c>
      <c r="CE1280" s="481">
        <f t="shared" si="2928"/>
        <v>169.16602666666674</v>
      </c>
      <c r="CF1280" s="481">
        <f t="shared" si="2928"/>
        <v>169.16602666666674</v>
      </c>
      <c r="CG1280" s="331"/>
      <c r="CH1280" s="331"/>
      <c r="CI1280" s="331"/>
      <c r="CJ1280" s="331"/>
      <c r="CK1280" s="331"/>
      <c r="CL1280" s="952" t="str">
        <f t="shared" si="2894"/>
        <v>Depreciation and amortization</v>
      </c>
      <c r="CM1280" s="430">
        <f t="shared" si="2905"/>
        <v>65.784999999999997</v>
      </c>
      <c r="CN1280" s="430">
        <f t="shared" si="2906"/>
        <v>72.477000000000004</v>
      </c>
      <c r="CO1280" s="430">
        <f t="shared" si="2907"/>
        <v>123.95099999999999</v>
      </c>
      <c r="CP1280" s="430">
        <f t="shared" si="2908"/>
        <v>147.91499999999999</v>
      </c>
      <c r="CQ1280" s="430">
        <f t="shared" si="2909"/>
        <v>173.54499999999999</v>
      </c>
      <c r="CR1280" s="430">
        <f t="shared" si="2910"/>
        <v>194.43600000000001</v>
      </c>
      <c r="CS1280" s="430">
        <f t="shared" si="2911"/>
        <v>212.387</v>
      </c>
      <c r="CT1280" s="430">
        <f t="shared" si="2912"/>
        <v>211.476</v>
      </c>
      <c r="CU1280" s="430">
        <f t="shared" si="2913"/>
        <v>245.34799999999998</v>
      </c>
      <c r="CV1280" s="430">
        <f t="shared" si="2914"/>
        <v>298.32600000000002</v>
      </c>
      <c r="CW1280" s="430">
        <f t="shared" si="2915"/>
        <v>266.74200000000002</v>
      </c>
      <c r="CX1280" s="430">
        <f t="shared" si="2916"/>
        <v>259.46100000000001</v>
      </c>
      <c r="CY1280" s="430">
        <f t="shared" si="2917"/>
        <v>271.214</v>
      </c>
      <c r="CZ1280" s="430">
        <f t="shared" si="2918"/>
        <v>267.06200000000001</v>
      </c>
      <c r="DA1280" s="430">
        <f t="shared" si="2919"/>
        <v>268.58571719787466</v>
      </c>
      <c r="DB1280" s="430">
        <f t="shared" si="2920"/>
        <v>291.15259192105191</v>
      </c>
      <c r="DC1280" s="853">
        <f t="shared" si="2921"/>
        <v>292.02499874915179</v>
      </c>
      <c r="DD1280" s="331"/>
      <c r="DE1280" s="331"/>
      <c r="DF1280" s="502"/>
      <c r="DG1280" s="503"/>
      <c r="DH1280" s="2840"/>
      <c r="DI1280" s="3213"/>
      <c r="DJ1280" s="502"/>
      <c r="DK1280" s="503"/>
      <c r="DL1280" s="502"/>
      <c r="DM1280" s="502"/>
      <c r="DN1280" s="502"/>
      <c r="DO1280" s="502"/>
      <c r="DP1280" s="503"/>
      <c r="DQ1280" s="503"/>
      <c r="DR1280" s="296"/>
      <c r="DS1280" s="296"/>
      <c r="DT1280" s="296"/>
    </row>
    <row r="1281" spans="1:124" ht="12.75" customHeight="1" x14ac:dyDescent="0.25">
      <c r="A1281" s="952" t="s">
        <v>725</v>
      </c>
      <c r="B1281" s="603"/>
      <c r="C1281" s="482">
        <v>0</v>
      </c>
      <c r="D1281" s="482">
        <f>2.694+0.067</f>
        <v>2.7610000000000001</v>
      </c>
      <c r="E1281" s="482">
        <f>4.032+0.081-D1281</f>
        <v>1.3520000000000003</v>
      </c>
      <c r="F1281" s="430">
        <f t="shared" si="2922"/>
        <v>1.4119999999999999</v>
      </c>
      <c r="G1281" s="484">
        <f>5.163+0.082+0.28</f>
        <v>5.5250000000000004</v>
      </c>
      <c r="H1281" s="482">
        <v>1.1160000000000001</v>
      </c>
      <c r="I1281" s="482">
        <v>0.7729999999999998</v>
      </c>
      <c r="J1281" s="482">
        <v>0.78700000000000037</v>
      </c>
      <c r="K1281" s="482">
        <v>3.0709999999999993</v>
      </c>
      <c r="L1281" s="481">
        <f t="shared" si="2923"/>
        <v>5.7469999999999999</v>
      </c>
      <c r="M1281" s="482">
        <v>2.9279999999999999</v>
      </c>
      <c r="N1281" s="482">
        <v>2.8120000000000003</v>
      </c>
      <c r="O1281" s="482">
        <v>2.8109999999999999</v>
      </c>
      <c r="P1281" s="482">
        <v>2.81</v>
      </c>
      <c r="Q1281" s="481">
        <f t="shared" si="2924"/>
        <v>11.361000000000001</v>
      </c>
      <c r="R1281" s="482">
        <v>3.2509999999999999</v>
      </c>
      <c r="S1281" s="482">
        <v>3.26</v>
      </c>
      <c r="T1281" s="482">
        <v>3.2659999999999996</v>
      </c>
      <c r="U1281" s="482">
        <v>3.2339999999999995</v>
      </c>
      <c r="V1281" s="481">
        <f t="shared" si="2895"/>
        <v>13.010999999999999</v>
      </c>
      <c r="W1281" s="482">
        <v>3.1589999999999998</v>
      </c>
      <c r="X1281" s="482">
        <v>3.1660000000000004</v>
      </c>
      <c r="Y1281" s="482">
        <v>3.1640000000000006</v>
      </c>
      <c r="Z1281" s="482">
        <f>12.625-0.912-W1281-X1281-Y1281</f>
        <v>2.2239999999999975</v>
      </c>
      <c r="AA1281" s="481">
        <f t="shared" si="2925"/>
        <v>11.712999999999997</v>
      </c>
      <c r="AB1281" s="482">
        <f>2.975-0.874</f>
        <v>2.101</v>
      </c>
      <c r="AC1281" s="482">
        <f>5.785-1.295-AB1281</f>
        <v>2.3890000000000002</v>
      </c>
      <c r="AD1281" s="482">
        <f>8.746-1.408-AC1281-AB1281</f>
        <v>2.8480000000000008</v>
      </c>
      <c r="AE1281" s="482">
        <f>12.255-AD1281-AC1281-AB1281-1.522</f>
        <v>3.3949999999999996</v>
      </c>
      <c r="AF1281" s="481">
        <f t="shared" si="2926"/>
        <v>10.733000000000001</v>
      </c>
      <c r="AG1281" s="482">
        <f>3.422-0.113</f>
        <v>3.3090000000000002</v>
      </c>
      <c r="AH1281" s="482">
        <f>6.494-AG1281</f>
        <v>3.1849999999999996</v>
      </c>
      <c r="AI1281" s="482">
        <f>9.52-AH1281-AG1281</f>
        <v>3.0259999999999998</v>
      </c>
      <c r="AJ1281" s="482">
        <f>12.581-AI1281-AH1281-AG1281</f>
        <v>3.0609999999999999</v>
      </c>
      <c r="AK1281" s="481">
        <f t="shared" si="2927"/>
        <v>12.581</v>
      </c>
      <c r="AL1281" s="482">
        <v>3.1</v>
      </c>
      <c r="AM1281" s="482">
        <f>6.189-AL1281</f>
        <v>3.089</v>
      </c>
      <c r="AN1281" s="482">
        <f>7.964-AM1281-AL1281</f>
        <v>1.7749999999999999</v>
      </c>
      <c r="AO1281" s="482">
        <f>9.601-AN1281-AM1281-AL1281</f>
        <v>1.637</v>
      </c>
      <c r="AP1281" s="481">
        <f t="shared" si="2896"/>
        <v>9.6010000000000009</v>
      </c>
      <c r="AQ1281" s="482">
        <v>1.649</v>
      </c>
      <c r="AR1281" s="482">
        <f>3.29-AQ1281</f>
        <v>1.641</v>
      </c>
      <c r="AS1281" s="482">
        <f>4.904-AQ1281-AR1281</f>
        <v>1.6139999999999999</v>
      </c>
      <c r="AT1281" s="482">
        <f>6.898-SUM(AQ1281:AS1281)</f>
        <v>1.9939999999999998</v>
      </c>
      <c r="AU1281" s="481">
        <f t="shared" si="2897"/>
        <v>6.8979999999999997</v>
      </c>
      <c r="AV1281" s="482">
        <v>2.149</v>
      </c>
      <c r="AW1281" s="482">
        <f>4.3-AV1281</f>
        <v>2.1509999999999998</v>
      </c>
      <c r="AX1281" s="482">
        <f>6.45-AW1281-AV1281</f>
        <v>2.1500000000000004</v>
      </c>
      <c r="AY1281" s="482">
        <f>8.112-SUM(AV1281:AX1281)</f>
        <v>1.6619999999999999</v>
      </c>
      <c r="AZ1281" s="481">
        <f t="shared" si="2898"/>
        <v>8.1120000000000001</v>
      </c>
      <c r="BA1281" s="482">
        <v>1.5069999999999999</v>
      </c>
      <c r="BB1281" s="482">
        <f>3.022-BA1281</f>
        <v>1.5149999999999999</v>
      </c>
      <c r="BC1281" s="482">
        <f>4.532-BB1281-BA1281</f>
        <v>1.5100000000000005</v>
      </c>
      <c r="BD1281" s="862">
        <f>6.04-SUM(BA1281:BC1281)</f>
        <v>1.508</v>
      </c>
      <c r="BE1281" s="481">
        <f t="shared" si="2899"/>
        <v>6.04</v>
      </c>
      <c r="BF1281" s="482">
        <v>1.5049999999999999</v>
      </c>
      <c r="BG1281" s="482">
        <f>3.008-BF1281</f>
        <v>1.5030000000000001</v>
      </c>
      <c r="BH1281" s="482">
        <f>4.73-BG1281-BF1281</f>
        <v>1.7220000000000004</v>
      </c>
      <c r="BI1281" s="862">
        <f>6.599-SUM(BF1281:BH1281)</f>
        <v>1.8689999999999998</v>
      </c>
      <c r="BJ1281" s="481">
        <f t="shared" si="2900"/>
        <v>6.5990000000000002</v>
      </c>
      <c r="BK1281" s="482">
        <v>1.8759999999999999</v>
      </c>
      <c r="BL1281" s="482">
        <f>3.701-BK1281</f>
        <v>1.8250000000000002</v>
      </c>
      <c r="BM1281" s="2953">
        <v>1.8219999999999996</v>
      </c>
      <c r="BN1281" s="2953">
        <f>7.2-SUM(BK1281:BM1281)</f>
        <v>1.6770000000000005</v>
      </c>
      <c r="BO1281" s="481">
        <f t="shared" si="2901"/>
        <v>7.2</v>
      </c>
      <c r="BP1281" s="482">
        <v>1.675</v>
      </c>
      <c r="BQ1281" s="482">
        <f>3.275-BP1281</f>
        <v>1.5999999999999999</v>
      </c>
      <c r="BR1281" s="482">
        <f>5.333-BQ1281-BP1281</f>
        <v>2.0580000000000007</v>
      </c>
      <c r="BS1281" s="482">
        <f>6.96-SUM(BP1281:BR1281)</f>
        <v>1.6269999999999998</v>
      </c>
      <c r="BT1281" s="2587">
        <f t="shared" si="2902"/>
        <v>6.96</v>
      </c>
      <c r="BU1281" s="482">
        <v>0.25</v>
      </c>
      <c r="BV1281" s="482">
        <v>0.25</v>
      </c>
      <c r="BW1281" s="482">
        <v>0.25</v>
      </c>
      <c r="BX1281" s="482">
        <v>0.25</v>
      </c>
      <c r="BY1281" s="2587">
        <f t="shared" si="2903"/>
        <v>1</v>
      </c>
      <c r="BZ1281" s="484">
        <v>1</v>
      </c>
      <c r="CA1281" s="484">
        <v>1</v>
      </c>
      <c r="CB1281" s="484">
        <v>1</v>
      </c>
      <c r="CC1281" s="484">
        <v>1</v>
      </c>
      <c r="CD1281" s="484">
        <v>1</v>
      </c>
      <c r="CE1281" s="484">
        <v>1</v>
      </c>
      <c r="CF1281" s="484">
        <v>1</v>
      </c>
      <c r="CG1281" s="331"/>
      <c r="CH1281" s="331"/>
      <c r="CI1281" s="331"/>
      <c r="CJ1281" s="331"/>
      <c r="CK1281" s="331"/>
      <c r="CL1281" s="952" t="str">
        <f t="shared" si="2894"/>
        <v>Amortization of deferred financing costs</v>
      </c>
      <c r="CM1281" s="430">
        <f t="shared" si="2905"/>
        <v>5.5250000000000004</v>
      </c>
      <c r="CN1281" s="430">
        <f t="shared" si="2906"/>
        <v>5.7469999999999999</v>
      </c>
      <c r="CO1281" s="430">
        <f t="shared" si="2907"/>
        <v>11.361000000000001</v>
      </c>
      <c r="CP1281" s="430">
        <f t="shared" si="2908"/>
        <v>13.010999999999999</v>
      </c>
      <c r="CQ1281" s="430">
        <f t="shared" si="2909"/>
        <v>11.712999999999997</v>
      </c>
      <c r="CR1281" s="430">
        <f t="shared" si="2910"/>
        <v>10.733000000000001</v>
      </c>
      <c r="CS1281" s="430">
        <f t="shared" si="2911"/>
        <v>12.581</v>
      </c>
      <c r="CT1281" s="430">
        <f t="shared" si="2912"/>
        <v>9.6010000000000009</v>
      </c>
      <c r="CU1281" s="430">
        <f t="shared" si="2913"/>
        <v>6.8979999999999997</v>
      </c>
      <c r="CV1281" s="430">
        <f t="shared" si="2914"/>
        <v>8.1120000000000001</v>
      </c>
      <c r="CW1281" s="430">
        <f t="shared" si="2915"/>
        <v>6.04</v>
      </c>
      <c r="CX1281" s="430">
        <f t="shared" si="2916"/>
        <v>6.5990000000000002</v>
      </c>
      <c r="CY1281" s="430">
        <f t="shared" si="2917"/>
        <v>7.2</v>
      </c>
      <c r="CZ1281" s="430">
        <f t="shared" si="2918"/>
        <v>6.96</v>
      </c>
      <c r="DA1281" s="430">
        <f t="shared" si="2919"/>
        <v>1</v>
      </c>
      <c r="DB1281" s="430">
        <f t="shared" si="2920"/>
        <v>1</v>
      </c>
      <c r="DC1281" s="853">
        <f t="shared" si="2921"/>
        <v>1</v>
      </c>
      <c r="DD1281" s="331"/>
      <c r="DE1281" s="331"/>
      <c r="DF1281" s="502"/>
      <c r="DG1281" s="503"/>
      <c r="DH1281" s="2840"/>
      <c r="DI1281" s="3213"/>
      <c r="DJ1281" s="502"/>
      <c r="DK1281" s="503"/>
      <c r="DL1281" s="502"/>
      <c r="DM1281" s="502"/>
      <c r="DN1281" s="502"/>
      <c r="DO1281" s="502"/>
      <c r="DP1281" s="503"/>
      <c r="DQ1281" s="503"/>
      <c r="DR1281" s="296"/>
      <c r="DS1281" s="296"/>
      <c r="DT1281" s="296"/>
    </row>
    <row r="1282" spans="1:124" ht="12.75" customHeight="1" x14ac:dyDescent="0.25">
      <c r="A1282" s="952" t="s">
        <v>726</v>
      </c>
      <c r="B1282" s="603"/>
      <c r="C1282" s="482">
        <v>0</v>
      </c>
      <c r="D1282" s="482">
        <f>1.08+2.707</f>
        <v>3.7869999999999999</v>
      </c>
      <c r="E1282" s="482">
        <f>1.325-D1282+7.126</f>
        <v>4.6640000000000006</v>
      </c>
      <c r="F1282" s="430">
        <f t="shared" si="2922"/>
        <v>5.4839999999999973</v>
      </c>
      <c r="G1282" s="484">
        <f>1.824+3.767+8.344</f>
        <v>13.934999999999999</v>
      </c>
      <c r="H1282" s="482">
        <v>20.202000000000002</v>
      </c>
      <c r="I1282" s="482">
        <v>3.5259999999999998</v>
      </c>
      <c r="J1282" s="482">
        <v>32.227000000000004</v>
      </c>
      <c r="K1282" s="482">
        <v>-23.926000000000002</v>
      </c>
      <c r="L1282" s="481">
        <f t="shared" si="2923"/>
        <v>32.029000000000003</v>
      </c>
      <c r="M1282" s="482">
        <v>8.0380000000000003</v>
      </c>
      <c r="N1282" s="482">
        <v>4.9950000000000001</v>
      </c>
      <c r="O1282" s="482">
        <v>-109.41200000000001</v>
      </c>
      <c r="P1282" s="482">
        <v>-53.21</v>
      </c>
      <c r="Q1282" s="481">
        <f t="shared" si="2924"/>
        <v>-149.589</v>
      </c>
      <c r="R1282" s="482">
        <v>7.5209999999999999</v>
      </c>
      <c r="S1282" s="482">
        <v>6.3909999999999991</v>
      </c>
      <c r="T1282" s="482">
        <v>6.6380000000000026</v>
      </c>
      <c r="U1282" s="482">
        <v>6.5520000000000005</v>
      </c>
      <c r="V1282" s="481">
        <f t="shared" si="2895"/>
        <v>27.102</v>
      </c>
      <c r="W1282" s="482">
        <v>4.2569999999999997</v>
      </c>
      <c r="X1282" s="482">
        <v>5.6280000000000001</v>
      </c>
      <c r="Y1282" s="482">
        <v>9.5950000000000006</v>
      </c>
      <c r="Z1282" s="482">
        <f>1.61+481.333+26.857-W1282-X1282-Y1282</f>
        <v>490.32000000000005</v>
      </c>
      <c r="AA1282" s="481">
        <f t="shared" si="2925"/>
        <v>509.80000000000007</v>
      </c>
      <c r="AB1282" s="482">
        <f>0.012+4.318-1.305</f>
        <v>3.0249999999999995</v>
      </c>
      <c r="AC1282" s="482">
        <f>-0.296+4.854-1.305-6.598+11.689-AB1282</f>
        <v>5.3190000000000017</v>
      </c>
      <c r="AD1282" s="482">
        <f>-0.34-AC1282-AB1282+3.599+5.064-1.305-6.598+11.689</f>
        <v>3.7649999999999997</v>
      </c>
      <c r="AE1282" s="602">
        <f>0.332+5.186-AD1282-AC1282-AB1282-1.305-6.598+532.377+4.793</f>
        <v>522.67599999999993</v>
      </c>
      <c r="AF1282" s="481">
        <f t="shared" si="2926"/>
        <v>534.78499999999997</v>
      </c>
      <c r="AG1282" s="482">
        <f>0.064+0.059+0.136</f>
        <v>0.25900000000000001</v>
      </c>
      <c r="AH1282" s="482">
        <f>0.937+0.519+6.624-AG1282+30.726</f>
        <v>38.546999999999997</v>
      </c>
      <c r="AI1282" s="482">
        <f>0.923+0.519+6.624+31.542-AH1282-AG1282</f>
        <v>0.80200000000000704</v>
      </c>
      <c r="AJ1282" s="482">
        <f>3.104+0.519+6.624+224.709-9.619+0.265-AI1282-AH1282-AG1282</f>
        <v>185.994</v>
      </c>
      <c r="AK1282" s="481">
        <f t="shared" si="2927"/>
        <v>225.602</v>
      </c>
      <c r="AL1282" s="482">
        <f>-0.035</f>
        <v>-3.5000000000000003E-2</v>
      </c>
      <c r="AM1282" s="482">
        <f>-0.234-AL1282</f>
        <v>-0.19900000000000001</v>
      </c>
      <c r="AN1282" s="482">
        <f>-0.089-AM1282-AL1282+12.212</f>
        <v>12.356999999999999</v>
      </c>
      <c r="AO1282" s="482">
        <f>0.34+12.212-AN1282-AM1282-AL1282</f>
        <v>0.42900000000000027</v>
      </c>
      <c r="AP1282" s="481">
        <f t="shared" si="2896"/>
        <v>12.552</v>
      </c>
      <c r="AQ1282" s="482">
        <v>-0.94499999999999995</v>
      </c>
      <c r="AR1282" s="482">
        <f>-1.037-AQ1282</f>
        <v>-9.1999999999999971E-2</v>
      </c>
      <c r="AS1282" s="482">
        <f>-1.206-AQ1282-AR1282</f>
        <v>-0.16900000000000004</v>
      </c>
      <c r="AT1282" s="482">
        <f>-1.69-SUM(AQ1282:AS1282)</f>
        <v>-0.48399999999999999</v>
      </c>
      <c r="AU1282" s="481">
        <f t="shared" si="2897"/>
        <v>-1.69</v>
      </c>
      <c r="AV1282" s="482">
        <v>2.39</v>
      </c>
      <c r="AW1282" s="482">
        <f>71.846+1.217+2.675+2.5-1.325-AV1282</f>
        <v>74.522999999999996</v>
      </c>
      <c r="AX1282" s="482">
        <f>2.833+1.217+2.5+71.846-1.325-0.444-AW1282-AV1282</f>
        <v>-0.28600000000000092</v>
      </c>
      <c r="AY1282" s="482">
        <f>3.652+5.024+26.782+1132.417-1.516-0.444-SUM(AV1282:AX1282)</f>
        <v>1089.288</v>
      </c>
      <c r="AZ1282" s="481">
        <f t="shared" si="2898"/>
        <v>1165.915</v>
      </c>
      <c r="BA1282" s="482">
        <f>+-0.049</f>
        <v>-4.9000000000000002E-2</v>
      </c>
      <c r="BB1282" s="482">
        <f>-0.047+7.86-BA1282</f>
        <v>7.862000000000001</v>
      </c>
      <c r="BC1282" s="482">
        <f>0.098+7.86-BB1282-BA1282</f>
        <v>0.14499999999999919</v>
      </c>
      <c r="BD1282" s="482">
        <f>0.689+0.738-SUM(BA1282:BC1282)</f>
        <v>-6.5310000000000006</v>
      </c>
      <c r="BE1282" s="481">
        <f t="shared" si="2899"/>
        <v>1.4269999999999996</v>
      </c>
      <c r="BF1282" s="482">
        <f>0.153+0.351</f>
        <v>0.504</v>
      </c>
      <c r="BG1282" s="482">
        <f>0.525-BF1282</f>
        <v>2.1000000000000019E-2</v>
      </c>
      <c r="BH1282" s="482">
        <f>0.801-BG1282-BF1282</f>
        <v>0.27600000000000002</v>
      </c>
      <c r="BI1282" s="482">
        <f>-5.374+1.286-SUM(BF1282:BH1282)</f>
        <v>-4.8889999999999993</v>
      </c>
      <c r="BJ1282" s="481">
        <f t="shared" si="2900"/>
        <v>-4.0879999999999992</v>
      </c>
      <c r="BK1282" s="2953">
        <f>+-1.201-1.101</f>
        <v>-2.302</v>
      </c>
      <c r="BL1282" s="482">
        <f>-0.66-BK1282</f>
        <v>1.6419999999999999</v>
      </c>
      <c r="BM1282" s="2953">
        <v>-2.78</v>
      </c>
      <c r="BN1282" s="2953">
        <f>1.277-2.471-SUM(BK1282:BM1282)</f>
        <v>2.2459999999999996</v>
      </c>
      <c r="BO1282" s="481">
        <f t="shared" si="2901"/>
        <v>-1.1940000000000004</v>
      </c>
      <c r="BP1282" s="482">
        <f>2.56-0.045</f>
        <v>2.5150000000000001</v>
      </c>
      <c r="BQ1282" s="482">
        <f>3.922+0.007-BP1282</f>
        <v>1.4140000000000001</v>
      </c>
      <c r="BR1282" s="482">
        <f>0.103-16.794-BQ1282-BP1282</f>
        <v>-20.62</v>
      </c>
      <c r="BS1282" s="482">
        <f>-6.84+0.172-SUM(BP1282:BR1282)</f>
        <v>10.023000000000003</v>
      </c>
      <c r="BT1282" s="2587">
        <f t="shared" si="2902"/>
        <v>-6.6679999999999993</v>
      </c>
      <c r="BU1282" s="482">
        <v>0</v>
      </c>
      <c r="BV1282" s="482">
        <v>0</v>
      </c>
      <c r="BW1282" s="482">
        <v>0</v>
      </c>
      <c r="BX1282" s="482">
        <v>0</v>
      </c>
      <c r="BY1282" s="2587">
        <f t="shared" si="2903"/>
        <v>0</v>
      </c>
      <c r="BZ1282" s="484">
        <v>0</v>
      </c>
      <c r="CA1282" s="484">
        <v>0</v>
      </c>
      <c r="CB1282" s="484">
        <v>0</v>
      </c>
      <c r="CC1282" s="484">
        <v>0</v>
      </c>
      <c r="CD1282" s="484">
        <v>0</v>
      </c>
      <c r="CE1282" s="484">
        <v>0</v>
      </c>
      <c r="CF1282" s="484">
        <v>0</v>
      </c>
      <c r="CG1282" s="331"/>
      <c r="CH1282" s="331"/>
      <c r="CI1282" s="331"/>
      <c r="CJ1282" s="331"/>
      <c r="CK1282" s="331"/>
      <c r="CL1282" s="952" t="str">
        <f t="shared" si="2894"/>
        <v>Other loss/(gain) on assets</v>
      </c>
      <c r="CM1282" s="430">
        <f t="shared" si="2905"/>
        <v>13.934999999999999</v>
      </c>
      <c r="CN1282" s="430">
        <f t="shared" si="2906"/>
        <v>32.029000000000003</v>
      </c>
      <c r="CO1282" s="430">
        <f t="shared" si="2907"/>
        <v>-149.589</v>
      </c>
      <c r="CP1282" s="430">
        <f t="shared" si="2908"/>
        <v>27.102</v>
      </c>
      <c r="CQ1282" s="430">
        <f t="shared" si="2909"/>
        <v>509.80000000000007</v>
      </c>
      <c r="CR1282" s="430">
        <f t="shared" si="2910"/>
        <v>534.78499999999997</v>
      </c>
      <c r="CS1282" s="430">
        <f t="shared" si="2911"/>
        <v>225.602</v>
      </c>
      <c r="CT1282" s="430">
        <f t="shared" si="2912"/>
        <v>12.552</v>
      </c>
      <c r="CU1282" s="430">
        <f t="shared" si="2913"/>
        <v>-1.69</v>
      </c>
      <c r="CV1282" s="430">
        <f t="shared" si="2914"/>
        <v>1165.915</v>
      </c>
      <c r="CW1282" s="430">
        <f t="shared" si="2915"/>
        <v>1.4269999999999996</v>
      </c>
      <c r="CX1282" s="430">
        <f t="shared" si="2916"/>
        <v>-4.0879999999999992</v>
      </c>
      <c r="CY1282" s="430">
        <f t="shared" si="2917"/>
        <v>-1.1940000000000004</v>
      </c>
      <c r="CZ1282" s="430">
        <f t="shared" si="2918"/>
        <v>-6.6679999999999993</v>
      </c>
      <c r="DA1282" s="430">
        <f t="shared" si="2919"/>
        <v>0</v>
      </c>
      <c r="DB1282" s="430">
        <f t="shared" si="2920"/>
        <v>0</v>
      </c>
      <c r="DC1282" s="853">
        <f t="shared" si="2921"/>
        <v>0</v>
      </c>
      <c r="DD1282" s="331"/>
      <c r="DE1282" s="331"/>
      <c r="DF1282" s="502"/>
      <c r="DG1282" s="503"/>
      <c r="DH1282" s="2840"/>
      <c r="DI1282" s="3213"/>
      <c r="DJ1282" s="502"/>
      <c r="DK1282" s="503"/>
      <c r="DL1282" s="502"/>
      <c r="DM1282" s="502"/>
      <c r="DN1282" s="502"/>
      <c r="DO1282" s="502"/>
      <c r="DP1282" s="503"/>
      <c r="DQ1282" s="503"/>
      <c r="DR1282" s="296"/>
      <c r="DS1282" s="296"/>
      <c r="DT1282" s="296"/>
    </row>
    <row r="1283" spans="1:124" ht="12.75" customHeight="1" x14ac:dyDescent="0.25">
      <c r="A1283" s="952" t="s">
        <v>1440</v>
      </c>
      <c r="B1283" s="603"/>
      <c r="C1283" s="482"/>
      <c r="D1283" s="482"/>
      <c r="E1283" s="482"/>
      <c r="F1283" s="430"/>
      <c r="G1283" s="484">
        <f>SUM(C1283:F1283)</f>
        <v>0</v>
      </c>
      <c r="H1283" s="482"/>
      <c r="I1283" s="482"/>
      <c r="J1283" s="482"/>
      <c r="K1283" s="482"/>
      <c r="L1283" s="481">
        <f t="shared" si="2923"/>
        <v>0</v>
      </c>
      <c r="M1283" s="482"/>
      <c r="N1283" s="482"/>
      <c r="O1283" s="482"/>
      <c r="P1283" s="482"/>
      <c r="Q1283" s="481">
        <f t="shared" si="2924"/>
        <v>0</v>
      </c>
      <c r="R1283" s="482"/>
      <c r="S1283" s="482"/>
      <c r="T1283" s="482"/>
      <c r="U1283" s="482"/>
      <c r="V1283" s="481">
        <f t="shared" si="2895"/>
        <v>0</v>
      </c>
      <c r="W1283" s="482"/>
      <c r="X1283" s="482"/>
      <c r="Y1283" s="482"/>
      <c r="Z1283" s="482"/>
      <c r="AA1283" s="481">
        <f t="shared" si="2925"/>
        <v>0</v>
      </c>
      <c r="AB1283" s="482">
        <v>8.4849999999999994</v>
      </c>
      <c r="AC1283" s="482">
        <f>15.272-AB1283</f>
        <v>6.7870000000000008</v>
      </c>
      <c r="AD1283" s="482">
        <f>21.904-AC1283-AB1283</f>
        <v>6.6319999999999997</v>
      </c>
      <c r="AE1283" s="430">
        <f>AE59</f>
        <v>6.4560000000000004</v>
      </c>
      <c r="AF1283" s="481">
        <f t="shared" si="2926"/>
        <v>28.36</v>
      </c>
      <c r="AG1283" s="482">
        <v>6.3840000000000003</v>
      </c>
      <c r="AH1283" s="482">
        <f>13.053-AG1283</f>
        <v>6.6690000000000005</v>
      </c>
      <c r="AI1283" s="482">
        <f>19.757-AH1283-AG1283</f>
        <v>6.7040000000000006</v>
      </c>
      <c r="AJ1283" s="482">
        <f>25.954-AI1283-AH1283-AG1283</f>
        <v>6.1969999999999992</v>
      </c>
      <c r="AK1283" s="481">
        <f>SUM(AG1283:AJ1283)</f>
        <v>25.954000000000001</v>
      </c>
      <c r="AL1283" s="482">
        <v>6.2249999999999996</v>
      </c>
      <c r="AM1283" s="482">
        <f>12.349-AL1283</f>
        <v>6.1240000000000006</v>
      </c>
      <c r="AN1283" s="482">
        <f>18.456-AM1283-AL1283</f>
        <v>6.1069999999999993</v>
      </c>
      <c r="AO1283" s="482">
        <f>24.33-AN1283-AM1283-AL1283</f>
        <v>5.8739999999999988</v>
      </c>
      <c r="AP1283" s="481">
        <f t="shared" si="2896"/>
        <v>24.33</v>
      </c>
      <c r="AQ1283" s="482">
        <v>7.9109999999999996</v>
      </c>
      <c r="AR1283" s="482">
        <f>15.307-AQ1283</f>
        <v>7.3960000000000008</v>
      </c>
      <c r="AS1283" s="482">
        <f>22.195-AQ1283-AR1283</f>
        <v>6.8879999999999999</v>
      </c>
      <c r="AT1283" s="482">
        <f>28.609-SUM(AQ1283:AS1283)</f>
        <v>6.4140000000000015</v>
      </c>
      <c r="AU1283" s="481">
        <f t="shared" si="2897"/>
        <v>28.609000000000002</v>
      </c>
      <c r="AV1283" s="482">
        <v>6.2510000000000003</v>
      </c>
      <c r="AW1283" s="482">
        <f>11.701-AV1283</f>
        <v>5.45</v>
      </c>
      <c r="AX1283" s="482">
        <f>18.07-AW1283-AV1283</f>
        <v>6.3690000000000007</v>
      </c>
      <c r="AY1283" s="482">
        <f>22.809-SUM(AV1283:AX1283)</f>
        <v>4.7390000000000008</v>
      </c>
      <c r="AZ1283" s="481">
        <f t="shared" si="2898"/>
        <v>22.809000000000001</v>
      </c>
      <c r="BA1283" s="2675">
        <v>2.5790000000000002</v>
      </c>
      <c r="BB1283" s="482">
        <f>5.096-BA1283</f>
        <v>2.5169999999999999</v>
      </c>
      <c r="BC1283" s="482">
        <f>8.012-BB1283-BA1283</f>
        <v>2.9160000000000008</v>
      </c>
      <c r="BD1283" s="482">
        <f>10.666-SUM(BA1283:BC1283)</f>
        <v>2.6539999999999999</v>
      </c>
      <c r="BE1283" s="481">
        <f t="shared" si="2899"/>
        <v>10.666</v>
      </c>
      <c r="BF1283" s="2675">
        <v>2.0840000000000001</v>
      </c>
      <c r="BG1283" s="482">
        <f>4.421-BF1283</f>
        <v>2.3370000000000002</v>
      </c>
      <c r="BH1283" s="482">
        <f>6.446-BG1283-BF1283</f>
        <v>2.0249999999999999</v>
      </c>
      <c r="BI1283" s="482">
        <f>8.223-SUM(BF1283:BH1283)</f>
        <v>1.777000000000001</v>
      </c>
      <c r="BJ1283" s="481">
        <f t="shared" si="2900"/>
        <v>8.2230000000000008</v>
      </c>
      <c r="BK1283" s="2953">
        <v>1.4550000000000001</v>
      </c>
      <c r="BL1283" s="482">
        <f>3.037-BK1283</f>
        <v>1.5819999999999999</v>
      </c>
      <c r="BM1283" s="2953">
        <v>1.5170000000000003</v>
      </c>
      <c r="BN1283" s="2953">
        <f>6.871-SUM(BK1283:BM1283)</f>
        <v>2.3170000000000002</v>
      </c>
      <c r="BO1283" s="481">
        <f t="shared" si="2901"/>
        <v>6.8710000000000004</v>
      </c>
      <c r="BP1283" s="2953">
        <v>2.173</v>
      </c>
      <c r="BQ1283" s="482">
        <f>3.974-BP1283</f>
        <v>1.8010000000000002</v>
      </c>
      <c r="BR1283" s="482">
        <f>5.827-BQ1283-BP1283</f>
        <v>1.8529999999999998</v>
      </c>
      <c r="BS1283" s="3508">
        <f>7.78-SUM(BP1283:BR1283)</f>
        <v>1.9530000000000003</v>
      </c>
      <c r="BT1283" s="2587">
        <f t="shared" si="2902"/>
        <v>7.78</v>
      </c>
      <c r="BU1283" s="2840">
        <f>BU59</f>
        <v>2.8</v>
      </c>
      <c r="BV1283" s="2840">
        <f>BV59</f>
        <v>2.8</v>
      </c>
      <c r="BW1283" s="2840">
        <f>BW59</f>
        <v>2.8</v>
      </c>
      <c r="BX1283" s="2840">
        <f>BX59</f>
        <v>3</v>
      </c>
      <c r="BY1283" s="2587">
        <f t="shared" si="2903"/>
        <v>11.399999999999999</v>
      </c>
      <c r="BZ1283" s="2587">
        <f t="shared" ref="BZ1283:CF1283" si="2929">BZ59</f>
        <v>11.899999999999999</v>
      </c>
      <c r="CA1283" s="2587">
        <f t="shared" si="2929"/>
        <v>12.399999999999999</v>
      </c>
      <c r="CB1283" s="481">
        <f t="shared" si="2929"/>
        <v>12.899999999999999</v>
      </c>
      <c r="CC1283" s="481">
        <f t="shared" si="2929"/>
        <v>13.399999999999999</v>
      </c>
      <c r="CD1283" s="481">
        <f t="shared" si="2929"/>
        <v>13.899999999999999</v>
      </c>
      <c r="CE1283" s="481">
        <f t="shared" si="2929"/>
        <v>14.399999999999999</v>
      </c>
      <c r="CF1283" s="481">
        <f t="shared" si="2929"/>
        <v>14.899999999999999</v>
      </c>
      <c r="CG1283" s="331"/>
      <c r="CH1283" s="331"/>
      <c r="CI1283" s="331"/>
      <c r="CJ1283" s="331"/>
      <c r="CK1283" s="331"/>
      <c r="CL1283" s="952" t="str">
        <f t="shared" si="2894"/>
        <v>Charge for stock compensation</v>
      </c>
      <c r="CM1283" s="430">
        <f t="shared" si="2905"/>
        <v>0</v>
      </c>
      <c r="CN1283" s="430">
        <f t="shared" si="2906"/>
        <v>0</v>
      </c>
      <c r="CO1283" s="430">
        <f t="shared" si="2907"/>
        <v>0</v>
      </c>
      <c r="CP1283" s="430">
        <f t="shared" si="2908"/>
        <v>0</v>
      </c>
      <c r="CQ1283" s="430">
        <f t="shared" si="2909"/>
        <v>0</v>
      </c>
      <c r="CR1283" s="430">
        <f t="shared" si="2910"/>
        <v>28.36</v>
      </c>
      <c r="CS1283" s="430">
        <f t="shared" si="2911"/>
        <v>25.954000000000001</v>
      </c>
      <c r="CT1283" s="430">
        <f t="shared" si="2912"/>
        <v>24.33</v>
      </c>
      <c r="CU1283" s="430">
        <f t="shared" si="2913"/>
        <v>28.609000000000002</v>
      </c>
      <c r="CV1283" s="430">
        <f t="shared" si="2914"/>
        <v>22.809000000000001</v>
      </c>
      <c r="CW1283" s="430">
        <f t="shared" si="2915"/>
        <v>10.666</v>
      </c>
      <c r="CX1283" s="430">
        <f t="shared" si="2916"/>
        <v>8.2230000000000008</v>
      </c>
      <c r="CY1283" s="430">
        <f t="shared" si="2917"/>
        <v>6.8710000000000004</v>
      </c>
      <c r="CZ1283" s="430">
        <f t="shared" si="2918"/>
        <v>7.78</v>
      </c>
      <c r="DA1283" s="430">
        <f t="shared" si="2919"/>
        <v>11.399999999999999</v>
      </c>
      <c r="DB1283" s="430">
        <f t="shared" si="2920"/>
        <v>11.899999999999999</v>
      </c>
      <c r="DC1283" s="853">
        <f t="shared" si="2921"/>
        <v>12.399999999999999</v>
      </c>
      <c r="DD1283" s="331"/>
      <c r="DE1283" s="331"/>
      <c r="DF1283" s="502"/>
      <c r="DG1283" s="503"/>
      <c r="DH1283" s="2840"/>
      <c r="DI1283" s="3213"/>
      <c r="DJ1283" s="502"/>
      <c r="DK1283" s="503"/>
      <c r="DL1283" s="502"/>
      <c r="DM1283" s="502"/>
      <c r="DN1283" s="502"/>
      <c r="DO1283" s="502"/>
      <c r="DP1283" s="503"/>
      <c r="DQ1283" s="503"/>
      <c r="DR1283" s="296"/>
      <c r="DS1283" s="296"/>
      <c r="DT1283" s="296"/>
    </row>
    <row r="1284" spans="1:124" ht="12.75" customHeight="1" x14ac:dyDescent="0.25">
      <c r="A1284" s="952" t="s">
        <v>1427</v>
      </c>
      <c r="B1284" s="603"/>
      <c r="C1284" s="482">
        <v>0</v>
      </c>
      <c r="D1284" s="482">
        <v>-1.0920000000000001</v>
      </c>
      <c r="E1284" s="482">
        <f>-1.298-D1284</f>
        <v>-0.20599999999999996</v>
      </c>
      <c r="F1284" s="430">
        <f t="shared" si="2922"/>
        <v>-0.33599999999999985</v>
      </c>
      <c r="G1284" s="484">
        <f>-1.634</f>
        <v>-1.6339999999999999</v>
      </c>
      <c r="H1284" s="482">
        <v>3.6999999999999998E-2</v>
      </c>
      <c r="I1284" s="482">
        <v>-1.022</v>
      </c>
      <c r="J1284" s="482">
        <v>-0.23</v>
      </c>
      <c r="K1284" s="482">
        <v>-0.24</v>
      </c>
      <c r="L1284" s="481">
        <f t="shared" si="2923"/>
        <v>-1.4550000000000001</v>
      </c>
      <c r="M1284" s="482">
        <v>-0.41299999999999998</v>
      </c>
      <c r="N1284" s="482">
        <v>-0.57400000000000007</v>
      </c>
      <c r="O1284" s="482">
        <v>1.665</v>
      </c>
      <c r="P1284" s="482">
        <v>0.11</v>
      </c>
      <c r="Q1284" s="481">
        <f t="shared" si="2924"/>
        <v>0.78799999999999992</v>
      </c>
      <c r="R1284" s="482">
        <v>-0.04</v>
      </c>
      <c r="S1284" s="482">
        <v>-0.32500000000000001</v>
      </c>
      <c r="T1284" s="482">
        <v>0.12200000000000003</v>
      </c>
      <c r="U1284" s="482">
        <v>0.34199999999999997</v>
      </c>
      <c r="V1284" s="481">
        <f t="shared" si="2895"/>
        <v>9.9000000000000005E-2</v>
      </c>
      <c r="W1284" s="482">
        <v>0.75900000000000001</v>
      </c>
      <c r="X1284" s="482">
        <v>0.15200000000000002</v>
      </c>
      <c r="Y1284" s="482">
        <v>0.13900000000000001</v>
      </c>
      <c r="Z1284" s="482">
        <f>1.526-W1284-X1284-Y1284</f>
        <v>0.47599999999999998</v>
      </c>
      <c r="AA1284" s="481">
        <f t="shared" si="2925"/>
        <v>1.526</v>
      </c>
      <c r="AB1284" s="482">
        <f>0.303</f>
        <v>0.30299999999999999</v>
      </c>
      <c r="AC1284" s="482">
        <f>0.719-AB1284</f>
        <v>0.41599999999999998</v>
      </c>
      <c r="AD1284" s="482">
        <f>0.755-AC1284-AB1284</f>
        <v>3.6000000000000032E-2</v>
      </c>
      <c r="AE1284" s="482">
        <f>1.121-AD1284-AC1284-AB1284</f>
        <v>0.36600000000000005</v>
      </c>
      <c r="AF1284" s="481">
        <f t="shared" si="2926"/>
        <v>1.121</v>
      </c>
      <c r="AG1284" s="482">
        <v>1.4119999999999999</v>
      </c>
      <c r="AH1284" s="482">
        <f>1.837-AG1284</f>
        <v>0.42500000000000004</v>
      </c>
      <c r="AI1284" s="482">
        <f>5.762-AH1284-AG1284</f>
        <v>3.9249999999999998</v>
      </c>
      <c r="AJ1284" s="482">
        <f>25.974-AI1284-AH1284-AG1284</f>
        <v>20.212</v>
      </c>
      <c r="AK1284" s="481">
        <f t="shared" si="2927"/>
        <v>25.974</v>
      </c>
      <c r="AL1284" s="482">
        <v>2.3540000000000001</v>
      </c>
      <c r="AM1284" s="482">
        <f>1.923-AL1284</f>
        <v>-0.43100000000000005</v>
      </c>
      <c r="AN1284" s="482">
        <f>-15.37-AM1284-AL1284</f>
        <v>-17.292999999999999</v>
      </c>
      <c r="AO1284" s="482">
        <f>-7.364-AN1284-AM1284-AL1284</f>
        <v>8.0060000000000002</v>
      </c>
      <c r="AP1284" s="481">
        <f>SUM(AL1284:AO1284)</f>
        <v>-7.363999999999999</v>
      </c>
      <c r="AQ1284" s="482">
        <v>-1.6850000000000001</v>
      </c>
      <c r="AR1284" s="482">
        <f>-2.739-AQ1284</f>
        <v>-1.0539999999999998</v>
      </c>
      <c r="AS1284" s="482">
        <f>-3.546-AQ1284-AR1284</f>
        <v>-0.80699999999999994</v>
      </c>
      <c r="AT1284" s="482">
        <f>-3.804-SUM(AQ1284:AS1284)</f>
        <v>-0.25800000000000001</v>
      </c>
      <c r="AU1284" s="481">
        <f>SUM(AQ1284:AT1284)</f>
        <v>-3.8039999999999998</v>
      </c>
      <c r="AV1284" s="482">
        <v>-1.7210000000000001</v>
      </c>
      <c r="AW1284" s="482">
        <f>+-5.542-AV1284</f>
        <v>-3.8209999999999997</v>
      </c>
      <c r="AX1284" s="482">
        <f>-7.838-AW1284-AV1284</f>
        <v>-2.2960000000000003</v>
      </c>
      <c r="AY1284" s="482">
        <f>-9.657-SUM(AV1284:AX1284)</f>
        <v>-1.819</v>
      </c>
      <c r="AZ1284" s="481">
        <f>SUM(AV1284:AY1284)</f>
        <v>-9.657</v>
      </c>
      <c r="BA1284" s="2675">
        <v>-2.4830000000000001</v>
      </c>
      <c r="BB1284" s="482">
        <f>+-3.956-BA1284</f>
        <v>-1.4729999999999999</v>
      </c>
      <c r="BC1284" s="482">
        <f>-6.247-BB1284-BA1284</f>
        <v>-2.2909999999999999</v>
      </c>
      <c r="BD1284" s="482">
        <f>-7.949-SUM(BA1284:BC1284)</f>
        <v>-1.702</v>
      </c>
      <c r="BE1284" s="481">
        <f>SUM(BA1284:BD1284)</f>
        <v>-7.9489999999999998</v>
      </c>
      <c r="BF1284" s="2675">
        <v>-3.9820000000000002</v>
      </c>
      <c r="BG1284" s="482">
        <f>-8.136-BF1284</f>
        <v>-4.153999999999999</v>
      </c>
      <c r="BH1284" s="482">
        <f>-11.895-BG1284-BF1284</f>
        <v>-3.7590000000000003</v>
      </c>
      <c r="BI1284" s="482">
        <f>-14.488-SUM(BF1284:BH1284)</f>
        <v>-2.593</v>
      </c>
      <c r="BJ1284" s="481">
        <f t="shared" si="2900"/>
        <v>-14.488</v>
      </c>
      <c r="BK1284" s="2953">
        <v>-4.609</v>
      </c>
      <c r="BL1284" s="482">
        <f>-8.157-BK1284</f>
        <v>-3.548</v>
      </c>
      <c r="BM1284" s="2953">
        <v>-3.5050000000000008</v>
      </c>
      <c r="BN1284" s="2953">
        <f>-14.337-SUM(BK1284:BM1284)</f>
        <v>-2.6749999999999989</v>
      </c>
      <c r="BO1284" s="481">
        <f t="shared" si="2901"/>
        <v>-14.337</v>
      </c>
      <c r="BP1284" s="2953">
        <v>-4.548</v>
      </c>
      <c r="BQ1284" s="482">
        <f>-9.569-BP1284</f>
        <v>-5.0210000000000008</v>
      </c>
      <c r="BR1284" s="482">
        <f>-14.35-BQ1284-BP1284</f>
        <v>-4.7809999999999988</v>
      </c>
      <c r="BS1284" s="3508">
        <f>-18.671-SUM(BP1284:BR1284)</f>
        <v>-4.3209999999999997</v>
      </c>
      <c r="BT1284" s="2587">
        <f t="shared" si="2902"/>
        <v>-18.670999999999999</v>
      </c>
      <c r="BU1284" s="2840">
        <f>-BU1114-BU1172+BU1175</f>
        <v>-3.4134192567124719</v>
      </c>
      <c r="BV1284" s="2840">
        <f>-BV1114-BV1172+BV1175</f>
        <v>-4.1430055858866242</v>
      </c>
      <c r="BW1284" s="2840">
        <f>-BW1114-BW1172+BW1175</f>
        <v>-3.6009608241403566</v>
      </c>
      <c r="BX1284" s="2840">
        <f>-BX1114-BX1172+BX1175</f>
        <v>-4.1771315706723326</v>
      </c>
      <c r="BY1284" s="2587">
        <f t="shared" si="2903"/>
        <v>-15.334517237411784</v>
      </c>
      <c r="BZ1284" s="2587">
        <f t="shared" ref="BZ1284:CF1284" si="2930">-BZ1114-BZ1172+BZ1175</f>
        <v>-15.466417099222014</v>
      </c>
      <c r="CA1284" s="2587">
        <f t="shared" si="2930"/>
        <v>-15.368574927668092</v>
      </c>
      <c r="CB1284" s="481">
        <f t="shared" si="2930"/>
        <v>-7.4935825116550419</v>
      </c>
      <c r="CC1284" s="481">
        <f t="shared" si="2930"/>
        <v>-5.6485173849014538</v>
      </c>
      <c r="CD1284" s="481">
        <f t="shared" si="2930"/>
        <v>-6.422491345040676</v>
      </c>
      <c r="CE1284" s="481">
        <f t="shared" si="2930"/>
        <v>-7.2830233394584738</v>
      </c>
      <c r="CF1284" s="481">
        <f t="shared" si="2930"/>
        <v>-8.0387723567050102</v>
      </c>
      <c r="CG1284" s="331"/>
      <c r="CH1284" s="331"/>
      <c r="CI1284" s="331"/>
      <c r="CJ1284" s="331"/>
      <c r="CK1284" s="331"/>
      <c r="CL1284" s="952" t="str">
        <f t="shared" si="2894"/>
        <v>Loss/(Gain) from joint ventures</v>
      </c>
      <c r="CM1284" s="430">
        <f t="shared" si="2905"/>
        <v>-1.6339999999999999</v>
      </c>
      <c r="CN1284" s="430">
        <f t="shared" si="2906"/>
        <v>-1.4550000000000001</v>
      </c>
      <c r="CO1284" s="430">
        <f t="shared" si="2907"/>
        <v>0.78799999999999992</v>
      </c>
      <c r="CP1284" s="430">
        <f t="shared" si="2908"/>
        <v>9.9000000000000005E-2</v>
      </c>
      <c r="CQ1284" s="430">
        <f t="shared" si="2909"/>
        <v>1.526</v>
      </c>
      <c r="CR1284" s="430">
        <f t="shared" si="2910"/>
        <v>1.121</v>
      </c>
      <c r="CS1284" s="430">
        <f t="shared" si="2911"/>
        <v>25.974</v>
      </c>
      <c r="CT1284" s="430">
        <f t="shared" si="2912"/>
        <v>-7.363999999999999</v>
      </c>
      <c r="CU1284" s="430">
        <f t="shared" si="2913"/>
        <v>-3.8039999999999998</v>
      </c>
      <c r="CV1284" s="430">
        <f t="shared" si="2914"/>
        <v>-9.657</v>
      </c>
      <c r="CW1284" s="430">
        <f t="shared" si="2915"/>
        <v>-7.9489999999999998</v>
      </c>
      <c r="CX1284" s="430">
        <f t="shared" si="2916"/>
        <v>-14.488</v>
      </c>
      <c r="CY1284" s="430">
        <f t="shared" si="2917"/>
        <v>-14.337</v>
      </c>
      <c r="CZ1284" s="430">
        <f t="shared" si="2918"/>
        <v>-18.670999999999999</v>
      </c>
      <c r="DA1284" s="430">
        <f t="shared" si="2919"/>
        <v>-15.334517237411784</v>
      </c>
      <c r="DB1284" s="430">
        <f t="shared" si="2920"/>
        <v>-15.466417099222014</v>
      </c>
      <c r="DC1284" s="853">
        <f t="shared" si="2921"/>
        <v>-15.368574927668092</v>
      </c>
      <c r="DD1284" s="331"/>
      <c r="DE1284" s="331"/>
      <c r="DF1284" s="502"/>
      <c r="DG1284" s="503"/>
      <c r="DH1284" s="2840"/>
      <c r="DI1284" s="3213"/>
      <c r="DJ1284" s="502"/>
      <c r="DK1284" s="503"/>
      <c r="DL1284" s="502"/>
      <c r="DM1284" s="502"/>
      <c r="DN1284" s="502"/>
      <c r="DO1284" s="502"/>
      <c r="DP1284" s="503"/>
      <c r="DQ1284" s="503"/>
      <c r="DR1284" s="296"/>
      <c r="DS1284" s="296"/>
      <c r="DT1284" s="296"/>
    </row>
    <row r="1285" spans="1:124" ht="12.75" customHeight="1" x14ac:dyDescent="0.25">
      <c r="A1285" s="952" t="s">
        <v>1421</v>
      </c>
      <c r="B1285" s="603"/>
      <c r="C1285" s="482"/>
      <c r="D1285" s="482"/>
      <c r="E1285" s="482"/>
      <c r="F1285" s="430"/>
      <c r="G1285" s="484">
        <f>SUM(C1285:F1285)</f>
        <v>0</v>
      </c>
      <c r="H1285" s="482"/>
      <c r="I1285" s="482"/>
      <c r="J1285" s="482"/>
      <c r="K1285" s="482"/>
      <c r="L1285" s="481">
        <f t="shared" si="2923"/>
        <v>0</v>
      </c>
      <c r="M1285" s="482"/>
      <c r="N1285" s="482"/>
      <c r="O1285" s="482"/>
      <c r="P1285" s="482"/>
      <c r="Q1285" s="481">
        <f t="shared" si="2924"/>
        <v>0</v>
      </c>
      <c r="R1285" s="482"/>
      <c r="S1285" s="482"/>
      <c r="T1285" s="482"/>
      <c r="U1285" s="482"/>
      <c r="V1285" s="481">
        <f t="shared" si="2895"/>
        <v>0</v>
      </c>
      <c r="W1285" s="482"/>
      <c r="X1285" s="482"/>
      <c r="Y1285" s="482"/>
      <c r="Z1285" s="482"/>
      <c r="AA1285" s="481">
        <f t="shared" si="2925"/>
        <v>0</v>
      </c>
      <c r="AB1285" s="482"/>
      <c r="AC1285" s="482"/>
      <c r="AD1285" s="482"/>
      <c r="AE1285" s="430"/>
      <c r="AF1285" s="481">
        <f t="shared" si="2926"/>
        <v>0</v>
      </c>
      <c r="AG1285" s="430"/>
      <c r="AH1285" s="430"/>
      <c r="AI1285" s="430"/>
      <c r="AJ1285" s="482"/>
      <c r="AK1285" s="481">
        <f t="shared" si="2927"/>
        <v>0</v>
      </c>
      <c r="AL1285" s="430"/>
      <c r="AM1285" s="430"/>
      <c r="AN1285" s="430"/>
      <c r="AO1285" s="482"/>
      <c r="AP1285" s="481">
        <f t="shared" si="2896"/>
        <v>0</v>
      </c>
      <c r="AQ1285" s="430">
        <v>0</v>
      </c>
      <c r="AR1285" s="430">
        <v>0</v>
      </c>
      <c r="AS1285" s="482">
        <f>8.5-AQ1285-AR1285</f>
        <v>8.5</v>
      </c>
      <c r="AT1285" s="482">
        <f>9.4-SUM(AQ1285:AS1285)</f>
        <v>0.90000000000000036</v>
      </c>
      <c r="AU1285" s="481">
        <f t="shared" si="2897"/>
        <v>9.4</v>
      </c>
      <c r="AV1285" s="482">
        <v>5</v>
      </c>
      <c r="AW1285" s="482">
        <f>9-AV1285</f>
        <v>4</v>
      </c>
      <c r="AX1285" s="482">
        <f>17-AW1285-AV1285</f>
        <v>8</v>
      </c>
      <c r="AY1285" s="482">
        <f>21.5-SUM(AV1285:AX1285)</f>
        <v>4.5</v>
      </c>
      <c r="AZ1285" s="481">
        <f>SUM(AV1285:AY1285)</f>
        <v>21.5</v>
      </c>
      <c r="BA1285" s="482">
        <v>5.5</v>
      </c>
      <c r="BB1285" s="482">
        <f>11-BA1285</f>
        <v>5.5</v>
      </c>
      <c r="BC1285" s="482">
        <f>17.5-BB1285-BA1285</f>
        <v>6.5</v>
      </c>
      <c r="BD1285" s="482">
        <f>23-SUM(BA1285:BC1285)</f>
        <v>5.5</v>
      </c>
      <c r="BE1285" s="481">
        <f t="shared" si="2899"/>
        <v>23</v>
      </c>
      <c r="BF1285" s="482">
        <v>8</v>
      </c>
      <c r="BG1285" s="482">
        <f>14-BF1285</f>
        <v>6</v>
      </c>
      <c r="BH1285" s="482">
        <f>22.05-BG1285-BF1285</f>
        <v>8.0500000000000007</v>
      </c>
      <c r="BI1285" s="482">
        <f>28.15-SUM(BF1285:BH1285)</f>
        <v>6.0999999999999979</v>
      </c>
      <c r="BJ1285" s="481">
        <f t="shared" si="2900"/>
        <v>28.15</v>
      </c>
      <c r="BK1285" s="2953">
        <v>7.4</v>
      </c>
      <c r="BL1285" s="482">
        <f>13.35-BK1285</f>
        <v>5.9499999999999993</v>
      </c>
      <c r="BM1285" s="2953">
        <v>8.15</v>
      </c>
      <c r="BN1285" s="482">
        <f>26.3-SUM(BK1285:BM1285)</f>
        <v>4.8000000000000007</v>
      </c>
      <c r="BO1285" s="481">
        <f t="shared" si="2901"/>
        <v>26.3</v>
      </c>
      <c r="BP1285" s="2953">
        <v>5.75</v>
      </c>
      <c r="BQ1285" s="482">
        <f>13-BP1285</f>
        <v>7.25</v>
      </c>
      <c r="BR1285" s="482">
        <f>21.2-BQ1285-BP1285</f>
        <v>8.1999999999999993</v>
      </c>
      <c r="BS1285" s="482">
        <f>26.45-SUM(BP1285:BR1285)</f>
        <v>5.25</v>
      </c>
      <c r="BT1285" s="2587">
        <f t="shared" si="2902"/>
        <v>26.45</v>
      </c>
      <c r="BU1285" s="482">
        <v>0</v>
      </c>
      <c r="BV1285" s="482">
        <v>0</v>
      </c>
      <c r="BW1285" s="482">
        <v>0</v>
      </c>
      <c r="BX1285" s="482">
        <v>0</v>
      </c>
      <c r="BY1285" s="2587">
        <f t="shared" si="2903"/>
        <v>0</v>
      </c>
      <c r="BZ1285" s="484">
        <v>0</v>
      </c>
      <c r="CA1285" s="484">
        <v>0</v>
      </c>
      <c r="CB1285" s="484">
        <v>0</v>
      </c>
      <c r="CC1285" s="484">
        <v>0</v>
      </c>
      <c r="CD1285" s="484">
        <v>0</v>
      </c>
      <c r="CE1285" s="484">
        <v>0</v>
      </c>
      <c r="CF1285" s="484">
        <v>0</v>
      </c>
      <c r="CG1285" s="331"/>
      <c r="CH1285" s="331"/>
      <c r="CI1285" s="331"/>
      <c r="CJ1285" s="331"/>
      <c r="CK1285" s="331"/>
      <c r="CL1285" s="952" t="str">
        <f t="shared" si="2894"/>
        <v>Distributions from joint ventures</v>
      </c>
      <c r="CM1285" s="430">
        <f t="shared" si="2905"/>
        <v>0</v>
      </c>
      <c r="CN1285" s="430">
        <f t="shared" si="2906"/>
        <v>0</v>
      </c>
      <c r="CO1285" s="430">
        <f t="shared" si="2907"/>
        <v>0</v>
      </c>
      <c r="CP1285" s="430">
        <f t="shared" si="2908"/>
        <v>0</v>
      </c>
      <c r="CQ1285" s="430">
        <f t="shared" si="2909"/>
        <v>0</v>
      </c>
      <c r="CR1285" s="430">
        <f t="shared" si="2910"/>
        <v>0</v>
      </c>
      <c r="CS1285" s="430">
        <f t="shared" si="2911"/>
        <v>0</v>
      </c>
      <c r="CT1285" s="430">
        <f t="shared" si="2912"/>
        <v>0</v>
      </c>
      <c r="CU1285" s="430">
        <f t="shared" si="2913"/>
        <v>9.4</v>
      </c>
      <c r="CV1285" s="430">
        <f t="shared" si="2914"/>
        <v>21.5</v>
      </c>
      <c r="CW1285" s="430">
        <f t="shared" si="2915"/>
        <v>23</v>
      </c>
      <c r="CX1285" s="430">
        <f t="shared" si="2916"/>
        <v>28.15</v>
      </c>
      <c r="CY1285" s="430">
        <f t="shared" si="2917"/>
        <v>26.3</v>
      </c>
      <c r="CZ1285" s="430">
        <f t="shared" si="2918"/>
        <v>26.45</v>
      </c>
      <c r="DA1285" s="430">
        <f t="shared" si="2919"/>
        <v>0</v>
      </c>
      <c r="DB1285" s="430">
        <f t="shared" si="2920"/>
        <v>0</v>
      </c>
      <c r="DC1285" s="853">
        <f t="shared" si="2921"/>
        <v>0</v>
      </c>
      <c r="DD1285" s="331"/>
      <c r="DE1285" s="331"/>
      <c r="DF1285" s="502"/>
      <c r="DG1285" s="503"/>
      <c r="DH1285" s="2840"/>
      <c r="DI1285" s="3213"/>
      <c r="DJ1285" s="502"/>
      <c r="DK1285" s="503"/>
      <c r="DL1285" s="502"/>
      <c r="DM1285" s="502"/>
      <c r="DN1285" s="502"/>
      <c r="DO1285" s="502"/>
      <c r="DP1285" s="503"/>
      <c r="DQ1285" s="503"/>
      <c r="DR1285" s="296"/>
      <c r="DS1285" s="296"/>
      <c r="DT1285" s="296"/>
    </row>
    <row r="1286" spans="1:124" ht="12.75" customHeight="1" x14ac:dyDescent="0.25">
      <c r="A1286" s="952" t="s">
        <v>1623</v>
      </c>
      <c r="B1286" s="603"/>
      <c r="C1286" s="482"/>
      <c r="D1286" s="482"/>
      <c r="E1286" s="482"/>
      <c r="F1286" s="430"/>
      <c r="G1286" s="484"/>
      <c r="H1286" s="482"/>
      <c r="I1286" s="482"/>
      <c r="J1286" s="482"/>
      <c r="K1286" s="482"/>
      <c r="L1286" s="481"/>
      <c r="M1286" s="482"/>
      <c r="N1286" s="482"/>
      <c r="O1286" s="482"/>
      <c r="P1286" s="482"/>
      <c r="Q1286" s="481"/>
      <c r="R1286" s="482"/>
      <c r="S1286" s="482"/>
      <c r="T1286" s="482"/>
      <c r="U1286" s="482"/>
      <c r="V1286" s="481"/>
      <c r="W1286" s="482"/>
      <c r="X1286" s="482"/>
      <c r="Y1286" s="482"/>
      <c r="Z1286" s="482"/>
      <c r="AA1286" s="481"/>
      <c r="AB1286" s="482"/>
      <c r="AC1286" s="482"/>
      <c r="AD1286" s="482"/>
      <c r="AE1286" s="602"/>
      <c r="AF1286" s="481">
        <v>0</v>
      </c>
      <c r="AG1286" s="430"/>
      <c r="AH1286" s="430"/>
      <c r="AI1286" s="430"/>
      <c r="AJ1286" s="482"/>
      <c r="AK1286" s="481">
        <v>0</v>
      </c>
      <c r="AL1286" s="430"/>
      <c r="AM1286" s="430"/>
      <c r="AN1286" s="430"/>
      <c r="AO1286" s="482"/>
      <c r="AP1286" s="481">
        <v>0</v>
      </c>
      <c r="AQ1286" s="430">
        <v>0</v>
      </c>
      <c r="AR1286" s="430">
        <v>0</v>
      </c>
      <c r="AS1286" s="482">
        <v>0</v>
      </c>
      <c r="AT1286" s="482">
        <f>0-SUM(AQ1286:AS1286)</f>
        <v>0</v>
      </c>
      <c r="AU1286" s="481">
        <f t="shared" si="2897"/>
        <v>0</v>
      </c>
      <c r="AV1286" s="482">
        <v>0</v>
      </c>
      <c r="AW1286" s="482">
        <v>0</v>
      </c>
      <c r="AX1286" s="482">
        <f>0-AW1286-AV1286</f>
        <v>0</v>
      </c>
      <c r="AY1286" s="482">
        <f>0-SUM(AV1286:AX1286)</f>
        <v>0</v>
      </c>
      <c r="AZ1286" s="481">
        <f>SUM(AV1286:AY1286)</f>
        <v>0</v>
      </c>
      <c r="BA1286" s="482">
        <v>0</v>
      </c>
      <c r="BB1286" s="482">
        <v>0</v>
      </c>
      <c r="BC1286" s="482">
        <f>0-BB1286-BA1286</f>
        <v>0</v>
      </c>
      <c r="BD1286" s="482">
        <f>163.184-BC1286-BB1286-BA1286</f>
        <v>163.184</v>
      </c>
      <c r="BE1286" s="481">
        <f t="shared" si="2899"/>
        <v>163.184</v>
      </c>
      <c r="BF1286" s="482">
        <v>0</v>
      </c>
      <c r="BG1286" s="482">
        <f>0.707-BF1286</f>
        <v>0.70699999999999996</v>
      </c>
      <c r="BH1286" s="482">
        <f>-5.944-BG1286-BF1286</f>
        <v>-6.6509999999999998</v>
      </c>
      <c r="BI1286" s="482">
        <f>40.042-BH1286-BG1286-BF1286</f>
        <v>45.985999999999997</v>
      </c>
      <c r="BJ1286" s="481">
        <f t="shared" si="2900"/>
        <v>40.041999999999994</v>
      </c>
      <c r="BK1286" s="2953">
        <v>0</v>
      </c>
      <c r="BL1286" s="482">
        <f>-1.081-BK1286</f>
        <v>-1.081</v>
      </c>
      <c r="BM1286" s="2953">
        <v>-3.0000000000000027E-2</v>
      </c>
      <c r="BN1286" s="482">
        <f>0-SUM(BK1286:BM1286)</f>
        <v>1.111</v>
      </c>
      <c r="BO1286" s="481">
        <f t="shared" si="2901"/>
        <v>0</v>
      </c>
      <c r="BP1286" s="2953">
        <v>5.3769999999999998</v>
      </c>
      <c r="BQ1286" s="482">
        <f>5.635+5.377-BP1286</f>
        <v>5.6350000000000007</v>
      </c>
      <c r="BR1286" s="482">
        <f>29.952+5.377-BQ1286-BP1286</f>
        <v>24.317</v>
      </c>
      <c r="BS1286" s="482">
        <f>107.81+5.951-SUM(BP1286:BR1286)</f>
        <v>78.431999999999988</v>
      </c>
      <c r="BT1286" s="2587">
        <f t="shared" si="2902"/>
        <v>113.761</v>
      </c>
      <c r="BU1286" s="482">
        <v>0</v>
      </c>
      <c r="BV1286" s="482">
        <v>0</v>
      </c>
      <c r="BW1286" s="482">
        <v>0</v>
      </c>
      <c r="BX1286" s="482">
        <v>0</v>
      </c>
      <c r="BY1286" s="2587">
        <f t="shared" si="2903"/>
        <v>0</v>
      </c>
      <c r="BZ1286" s="484">
        <v>0</v>
      </c>
      <c r="CA1286" s="484">
        <v>0</v>
      </c>
      <c r="CB1286" s="484">
        <v>0</v>
      </c>
      <c r="CC1286" s="484">
        <v>0</v>
      </c>
      <c r="CD1286" s="484">
        <v>0</v>
      </c>
      <c r="CE1286" s="484">
        <v>0</v>
      </c>
      <c r="CF1286" s="484">
        <v>0</v>
      </c>
      <c r="CG1286" s="331"/>
      <c r="CH1286" s="331"/>
      <c r="CI1286" s="331"/>
      <c r="CJ1286" s="331"/>
      <c r="CK1286" s="331"/>
      <c r="CL1286" s="952" t="str">
        <f t="shared" si="2894"/>
        <v>Other</v>
      </c>
      <c r="CM1286" s="430">
        <f t="shared" si="2905"/>
        <v>0</v>
      </c>
      <c r="CN1286" s="430">
        <f t="shared" si="2906"/>
        <v>0</v>
      </c>
      <c r="CO1286" s="430">
        <f t="shared" si="2907"/>
        <v>0</v>
      </c>
      <c r="CP1286" s="430">
        <f t="shared" si="2908"/>
        <v>0</v>
      </c>
      <c r="CQ1286" s="430">
        <f t="shared" si="2909"/>
        <v>0</v>
      </c>
      <c r="CR1286" s="430">
        <f t="shared" si="2910"/>
        <v>0</v>
      </c>
      <c r="CS1286" s="430">
        <f t="shared" si="2911"/>
        <v>0</v>
      </c>
      <c r="CT1286" s="430">
        <f t="shared" si="2912"/>
        <v>0</v>
      </c>
      <c r="CU1286" s="430">
        <f t="shared" si="2913"/>
        <v>0</v>
      </c>
      <c r="CV1286" s="430">
        <f t="shared" si="2914"/>
        <v>0</v>
      </c>
      <c r="CW1286" s="430">
        <f t="shared" si="2915"/>
        <v>163.184</v>
      </c>
      <c r="CX1286" s="430">
        <f t="shared" si="2916"/>
        <v>40.041999999999994</v>
      </c>
      <c r="CY1286" s="430">
        <f t="shared" si="2917"/>
        <v>0</v>
      </c>
      <c r="CZ1286" s="430">
        <f t="shared" si="2918"/>
        <v>113.761</v>
      </c>
      <c r="DA1286" s="430">
        <f t="shared" si="2919"/>
        <v>0</v>
      </c>
      <c r="DB1286" s="430">
        <f t="shared" si="2920"/>
        <v>0</v>
      </c>
      <c r="DC1286" s="853">
        <f t="shared" si="2921"/>
        <v>0</v>
      </c>
      <c r="DD1286" s="331"/>
      <c r="DE1286" s="331"/>
      <c r="DF1286" s="502"/>
      <c r="DG1286" s="503"/>
      <c r="DH1286" s="2840"/>
      <c r="DI1286" s="3213"/>
      <c r="DJ1286" s="502"/>
      <c r="DK1286" s="503"/>
      <c r="DL1286" s="502"/>
      <c r="DM1286" s="502"/>
      <c r="DN1286" s="502"/>
      <c r="DO1286" s="502"/>
      <c r="DP1286" s="503"/>
      <c r="DQ1286" s="503"/>
      <c r="DR1286" s="296"/>
      <c r="DS1286" s="296"/>
      <c r="DT1286" s="296"/>
    </row>
    <row r="1287" spans="1:124" ht="12.75" customHeight="1" x14ac:dyDescent="0.25">
      <c r="A1287" s="952" t="s">
        <v>961</v>
      </c>
      <c r="B1287" s="603"/>
      <c r="C1287" s="482">
        <v>0</v>
      </c>
      <c r="D1287" s="482">
        <v>3.6739999999999999</v>
      </c>
      <c r="E1287" s="482">
        <f>5.479-D1287</f>
        <v>1.8050000000000002</v>
      </c>
      <c r="F1287" s="430">
        <f t="shared" si="2922"/>
        <v>12.705000000000002</v>
      </c>
      <c r="G1287" s="484">
        <v>18.184000000000001</v>
      </c>
      <c r="H1287" s="482">
        <v>-107.85599999999999</v>
      </c>
      <c r="I1287" s="482">
        <v>-12.262</v>
      </c>
      <c r="J1287" s="482">
        <v>23.645</v>
      </c>
      <c r="K1287" s="482">
        <v>67.8</v>
      </c>
      <c r="L1287" s="481">
        <f t="shared" si="2923"/>
        <v>-28.673000000000002</v>
      </c>
      <c r="M1287" s="482">
        <v>1.613</v>
      </c>
      <c r="N1287" s="482">
        <v>-3.4239999999999999</v>
      </c>
      <c r="O1287" s="482">
        <v>-12.955</v>
      </c>
      <c r="P1287" s="482">
        <v>29.16</v>
      </c>
      <c r="Q1287" s="481">
        <f t="shared" si="2924"/>
        <v>14.394</v>
      </c>
      <c r="R1287" s="482">
        <v>3.161</v>
      </c>
      <c r="S1287" s="482">
        <v>1.2719999999999998</v>
      </c>
      <c r="T1287" s="482">
        <v>7.4950000000000001</v>
      </c>
      <c r="U1287" s="482">
        <v>6.3369999999999997</v>
      </c>
      <c r="V1287" s="481">
        <f t="shared" si="2895"/>
        <v>18.265000000000001</v>
      </c>
      <c r="W1287" s="482">
        <v>3.4609999999999999</v>
      </c>
      <c r="X1287" s="482">
        <v>2.073</v>
      </c>
      <c r="Y1287" s="482">
        <v>-2.5979999999999999</v>
      </c>
      <c r="Z1287" s="482">
        <v>-94.033999999999992</v>
      </c>
      <c r="AA1287" s="481">
        <f t="shared" si="2925"/>
        <v>-91.097999999999985</v>
      </c>
      <c r="AB1287" s="482">
        <f>0.982</f>
        <v>0.98199999999999998</v>
      </c>
      <c r="AC1287" s="482">
        <f>3.108-AB1287</f>
        <v>2.1260000000000003</v>
      </c>
      <c r="AD1287" s="482">
        <f>-13.091-AC1287-AB1287</f>
        <v>-16.198999999999998</v>
      </c>
      <c r="AE1287" s="602">
        <f>-146.408-AD1287-AC1287-AB1287</f>
        <v>-133.31700000000001</v>
      </c>
      <c r="AF1287" s="481">
        <f t="shared" si="2926"/>
        <v>-146.40800000000002</v>
      </c>
      <c r="AG1287" s="482">
        <v>4.782</v>
      </c>
      <c r="AH1287" s="482">
        <f>-9.394-AG1287</f>
        <v>-14.176</v>
      </c>
      <c r="AI1287" s="482">
        <f>-5.631-AH1287-AG1287</f>
        <v>3.7629999999999999</v>
      </c>
      <c r="AJ1287" s="482">
        <f>-2.204-AI1287-AH1287-AG1287</f>
        <v>3.4269999999999996</v>
      </c>
      <c r="AK1287" s="481">
        <f t="shared" si="2927"/>
        <v>-2.2040000000000006</v>
      </c>
      <c r="AL1287" s="482">
        <v>7.8419999999999996</v>
      </c>
      <c r="AM1287" s="482">
        <f>27.592-AL1287</f>
        <v>19.75</v>
      </c>
      <c r="AN1287" s="482">
        <f>38.906-AM1287-AL1287</f>
        <v>11.314</v>
      </c>
      <c r="AO1287" s="482">
        <f>21.56-AN1287-AM1287-AL1287</f>
        <v>-17.346</v>
      </c>
      <c r="AP1287" s="481">
        <f t="shared" si="2896"/>
        <v>21.56</v>
      </c>
      <c r="AQ1287" s="482">
        <v>-3.1429999999999998</v>
      </c>
      <c r="AR1287" s="482">
        <f>-14.383-AQ1287</f>
        <v>-11.239999999999998</v>
      </c>
      <c r="AS1287" s="482">
        <f>4.447-AQ1287-AR1287</f>
        <v>18.829999999999998</v>
      </c>
      <c r="AT1287" s="482">
        <f>44.983-SUM(AQ1287:AS1287)</f>
        <v>40.536000000000001</v>
      </c>
      <c r="AU1287" s="481">
        <f t="shared" si="2897"/>
        <v>44.983000000000004</v>
      </c>
      <c r="AV1287" s="482">
        <v>8.1739999999999995</v>
      </c>
      <c r="AW1287" s="482">
        <f>10.72-AV1287</f>
        <v>2.5460000000000012</v>
      </c>
      <c r="AX1287" s="482">
        <f>-16.567-AW1287-AV1287</f>
        <v>-27.286999999999999</v>
      </c>
      <c r="AY1287" s="482">
        <f>-224.983-SUM(AV1287:AX1287)</f>
        <v>-208.416</v>
      </c>
      <c r="AZ1287" s="481">
        <f>SUM(AV1287:AY1287)</f>
        <v>-224.983</v>
      </c>
      <c r="BA1287" s="482">
        <v>0.28799999999999998</v>
      </c>
      <c r="BB1287" s="482">
        <f>3.83-BA1287</f>
        <v>3.5420000000000003</v>
      </c>
      <c r="BC1287" s="482">
        <f>-0.87-BB1287-BA1287</f>
        <v>-4.7</v>
      </c>
      <c r="BD1287" s="482">
        <f>2.908-SUM(BA1287:BC1287)</f>
        <v>3.778</v>
      </c>
      <c r="BE1287" s="481">
        <f t="shared" si="2899"/>
        <v>2.9079999999999999</v>
      </c>
      <c r="BF1287" s="482">
        <v>18.648</v>
      </c>
      <c r="BG1287" s="482">
        <f>18.143-BF1287</f>
        <v>-0.50499999999999901</v>
      </c>
      <c r="BH1287" s="482">
        <f>50.46-BG1287-BF1287</f>
        <v>32.317000000000007</v>
      </c>
      <c r="BI1287" s="482">
        <f>57.236-SUM(BF1287:BH1287)</f>
        <v>6.7759999999999891</v>
      </c>
      <c r="BJ1287" s="481">
        <f t="shared" si="2900"/>
        <v>57.235999999999997</v>
      </c>
      <c r="BK1287" s="2953">
        <v>-0.74</v>
      </c>
      <c r="BL1287" s="482">
        <f>3.54-BK1287</f>
        <v>4.28</v>
      </c>
      <c r="BM1287" s="2953">
        <v>-1.4810000000000001</v>
      </c>
      <c r="BN1287" s="2953">
        <f>8.736-SUM(BK1287:BM1287)</f>
        <v>6.6770000000000005</v>
      </c>
      <c r="BO1287" s="481">
        <f t="shared" si="2901"/>
        <v>8.7360000000000007</v>
      </c>
      <c r="BP1287" s="2953">
        <v>0.65200000000000002</v>
      </c>
      <c r="BQ1287" s="2953">
        <f>2.087-BP1287</f>
        <v>1.4350000000000001</v>
      </c>
      <c r="BR1287" s="482">
        <f>-762.788-BQ1287-BP1287</f>
        <v>-764.875</v>
      </c>
      <c r="BS1287" s="482">
        <f>-517.906-SUM(BP1287:BR1287)</f>
        <v>244.88200000000006</v>
      </c>
      <c r="BT1287" s="2587">
        <f t="shared" si="2902"/>
        <v>-517.90599999999995</v>
      </c>
      <c r="BU1287" s="482">
        <f>-BU1344+BT1344</f>
        <v>0</v>
      </c>
      <c r="BV1287" s="482">
        <f>-BV1344+BU1344</f>
        <v>0</v>
      </c>
      <c r="BW1287" s="482">
        <f>-BW1344+BV1344</f>
        <v>0</v>
      </c>
      <c r="BX1287" s="482">
        <f>-BX1344+BW1344</f>
        <v>0</v>
      </c>
      <c r="BY1287" s="2587">
        <f t="shared" si="2903"/>
        <v>0</v>
      </c>
      <c r="BZ1287" s="2587">
        <f>-BZ1344+BY1344</f>
        <v>0</v>
      </c>
      <c r="CA1287" s="2587">
        <f>-CA1344+BZ1344</f>
        <v>0</v>
      </c>
      <c r="CB1287" s="484">
        <v>0</v>
      </c>
      <c r="CC1287" s="484">
        <v>0</v>
      </c>
      <c r="CD1287" s="484">
        <v>0</v>
      </c>
      <c r="CE1287" s="484">
        <v>0</v>
      </c>
      <c r="CF1287" s="484">
        <v>0</v>
      </c>
      <c r="CG1287" s="331"/>
      <c r="CH1287" s="331"/>
      <c r="CI1287" s="331"/>
      <c r="CJ1287" s="331"/>
      <c r="CK1287" s="331"/>
      <c r="CL1287" s="952" t="str">
        <f t="shared" si="2894"/>
        <v>Deferred income taxes</v>
      </c>
      <c r="CM1287" s="430">
        <f t="shared" si="2905"/>
        <v>18.184000000000001</v>
      </c>
      <c r="CN1287" s="430">
        <f t="shared" si="2906"/>
        <v>-28.673000000000002</v>
      </c>
      <c r="CO1287" s="430">
        <f t="shared" si="2907"/>
        <v>14.394</v>
      </c>
      <c r="CP1287" s="430">
        <f t="shared" si="2908"/>
        <v>18.265000000000001</v>
      </c>
      <c r="CQ1287" s="430">
        <f t="shared" si="2909"/>
        <v>-91.097999999999985</v>
      </c>
      <c r="CR1287" s="430">
        <f t="shared" si="2910"/>
        <v>-146.40800000000002</v>
      </c>
      <c r="CS1287" s="430">
        <f t="shared" si="2911"/>
        <v>-2.2040000000000006</v>
      </c>
      <c r="CT1287" s="430">
        <f t="shared" si="2912"/>
        <v>21.56</v>
      </c>
      <c r="CU1287" s="430">
        <f t="shared" si="2913"/>
        <v>44.983000000000004</v>
      </c>
      <c r="CV1287" s="430">
        <f t="shared" si="2914"/>
        <v>-224.983</v>
      </c>
      <c r="CW1287" s="430">
        <f t="shared" si="2915"/>
        <v>2.9079999999999999</v>
      </c>
      <c r="CX1287" s="430">
        <f t="shared" si="2916"/>
        <v>57.235999999999997</v>
      </c>
      <c r="CY1287" s="430">
        <f t="shared" si="2917"/>
        <v>8.7360000000000007</v>
      </c>
      <c r="CZ1287" s="430">
        <f t="shared" si="2918"/>
        <v>-517.90599999999995</v>
      </c>
      <c r="DA1287" s="430">
        <f t="shared" si="2919"/>
        <v>0</v>
      </c>
      <c r="DB1287" s="430">
        <f t="shared" si="2920"/>
        <v>0</v>
      </c>
      <c r="DC1287" s="853">
        <f t="shared" si="2921"/>
        <v>0</v>
      </c>
      <c r="DD1287" s="331"/>
      <c r="DE1287" s="331"/>
      <c r="DF1287" s="502"/>
      <c r="DG1287" s="503"/>
      <c r="DH1287" s="2840"/>
      <c r="DI1287" s="3213"/>
      <c r="DJ1287" s="502"/>
      <c r="DK1287" s="503"/>
      <c r="DL1287" s="502"/>
      <c r="DM1287" s="502"/>
      <c r="DN1287" s="502"/>
      <c r="DO1287" s="502"/>
      <c r="DP1287" s="503"/>
      <c r="DQ1287" s="503"/>
      <c r="DR1287" s="296"/>
      <c r="DS1287" s="296"/>
      <c r="DT1287" s="296"/>
    </row>
    <row r="1288" spans="1:124" ht="12.75" customHeight="1" x14ac:dyDescent="0.25">
      <c r="A1288" s="952" t="s">
        <v>1946</v>
      </c>
      <c r="B1288" s="603"/>
      <c r="C1288" s="482">
        <v>0</v>
      </c>
      <c r="D1288" s="482">
        <f>-6.696+9.168+0.01-19.305</f>
        <v>-16.823</v>
      </c>
      <c r="E1288" s="482">
        <f>-8.735+6.783+0.01-20.843-D1288</f>
        <v>-5.9619999999999997</v>
      </c>
      <c r="F1288" s="430">
        <f t="shared" si="2922"/>
        <v>-18.913999999999994</v>
      </c>
      <c r="G1288" s="484">
        <f>-15.073-0.387+5.965-32.204</f>
        <v>-41.698999999999998</v>
      </c>
      <c r="H1288" s="482">
        <v>3.5279999999999996</v>
      </c>
      <c r="I1288" s="482">
        <v>-17.295999999999996</v>
      </c>
      <c r="J1288" s="482">
        <v>-28.298999999999996</v>
      </c>
      <c r="K1288" s="482">
        <v>9.5509999999999948</v>
      </c>
      <c r="L1288" s="481">
        <f t="shared" si="2923"/>
        <v>-32.515999999999998</v>
      </c>
      <c r="M1288" s="482"/>
      <c r="N1288" s="482"/>
      <c r="O1288" s="482"/>
      <c r="P1288" s="482"/>
      <c r="Q1288" s="481">
        <f t="shared" si="2924"/>
        <v>0</v>
      </c>
      <c r="R1288" s="482"/>
      <c r="S1288" s="482"/>
      <c r="T1288" s="482"/>
      <c r="U1288" s="482"/>
      <c r="V1288" s="481">
        <f t="shared" si="2895"/>
        <v>0</v>
      </c>
      <c r="W1288" s="482"/>
      <c r="X1288" s="482"/>
      <c r="Y1288" s="482"/>
      <c r="Z1288" s="482"/>
      <c r="AA1288" s="481">
        <f t="shared" si="2925"/>
        <v>0</v>
      </c>
      <c r="AB1288" s="482"/>
      <c r="AC1288" s="482"/>
      <c r="AD1288" s="482"/>
      <c r="AE1288" s="482"/>
      <c r="AF1288" s="481">
        <f t="shared" si="2926"/>
        <v>0</v>
      </c>
      <c r="AG1288" s="482"/>
      <c r="AH1288" s="482"/>
      <c r="AI1288" s="482"/>
      <c r="AJ1288" s="482"/>
      <c r="AK1288" s="481">
        <f t="shared" si="2927"/>
        <v>0</v>
      </c>
      <c r="AL1288" s="430"/>
      <c r="AM1288" s="482"/>
      <c r="AN1288" s="430"/>
      <c r="AO1288" s="482"/>
      <c r="AP1288" s="481"/>
      <c r="AQ1288" s="430"/>
      <c r="AR1288" s="482"/>
      <c r="AS1288" s="482"/>
      <c r="AT1288" s="482"/>
      <c r="AU1288" s="481"/>
      <c r="AV1288" s="430"/>
      <c r="AW1288" s="482"/>
      <c r="AX1288" s="482"/>
      <c r="AY1288" s="482"/>
      <c r="AZ1288" s="481"/>
      <c r="BA1288" s="482"/>
      <c r="BB1288" s="482"/>
      <c r="BC1288" s="482"/>
      <c r="BD1288" s="862"/>
      <c r="BE1288" s="481"/>
      <c r="BF1288" s="482"/>
      <c r="BG1288" s="482"/>
      <c r="BH1288" s="482"/>
      <c r="BI1288" s="862"/>
      <c r="BJ1288" s="481"/>
      <c r="BK1288" s="482"/>
      <c r="BL1288" s="482"/>
      <c r="BM1288" s="2953"/>
      <c r="BN1288" s="862"/>
      <c r="BO1288" s="481">
        <f t="shared" si="2901"/>
        <v>0</v>
      </c>
      <c r="BP1288" s="482"/>
      <c r="BQ1288" s="482"/>
      <c r="BR1288" s="482"/>
      <c r="BS1288" s="482"/>
      <c r="BT1288" s="2587">
        <f t="shared" si="2902"/>
        <v>0</v>
      </c>
      <c r="BU1288" s="482"/>
      <c r="BV1288" s="482"/>
      <c r="BW1288" s="482"/>
      <c r="BX1288" s="482"/>
      <c r="BY1288" s="2587">
        <f t="shared" si="2903"/>
        <v>0</v>
      </c>
      <c r="BZ1288" s="484"/>
      <c r="CA1288" s="484"/>
      <c r="CB1288" s="484"/>
      <c r="CC1288" s="484"/>
      <c r="CD1288" s="484"/>
      <c r="CE1288" s="484"/>
      <c r="CF1288" s="484"/>
      <c r="CG1288" s="331"/>
      <c r="CH1288" s="331"/>
      <c r="CI1288" s="331"/>
      <c r="CJ1288" s="331"/>
      <c r="CK1288" s="331"/>
      <c r="CL1288" s="952" t="str">
        <f t="shared" si="2894"/>
        <v>(Increase) decrease in current assets</v>
      </c>
      <c r="CM1288" s="430">
        <f t="shared" si="2905"/>
        <v>-41.698999999999998</v>
      </c>
      <c r="CN1288" s="430">
        <f t="shared" si="2906"/>
        <v>-32.515999999999998</v>
      </c>
      <c r="CO1288" s="430">
        <f t="shared" si="2907"/>
        <v>0</v>
      </c>
      <c r="CP1288" s="430">
        <f t="shared" si="2908"/>
        <v>0</v>
      </c>
      <c r="CQ1288" s="430">
        <f t="shared" si="2909"/>
        <v>0</v>
      </c>
      <c r="CR1288" s="430">
        <f t="shared" si="2910"/>
        <v>0</v>
      </c>
      <c r="CS1288" s="430">
        <f t="shared" si="2911"/>
        <v>0</v>
      </c>
      <c r="CT1288" s="430">
        <f t="shared" si="2912"/>
        <v>0</v>
      </c>
      <c r="CU1288" s="430">
        <f t="shared" si="2913"/>
        <v>0</v>
      </c>
      <c r="CV1288" s="430">
        <f t="shared" si="2914"/>
        <v>0</v>
      </c>
      <c r="CW1288" s="430">
        <f t="shared" si="2915"/>
        <v>0</v>
      </c>
      <c r="CX1288" s="430">
        <f t="shared" si="2916"/>
        <v>0</v>
      </c>
      <c r="CY1288" s="430">
        <f t="shared" si="2917"/>
        <v>0</v>
      </c>
      <c r="CZ1288" s="430">
        <f t="shared" si="2918"/>
        <v>0</v>
      </c>
      <c r="DA1288" s="430">
        <f t="shared" si="2919"/>
        <v>0</v>
      </c>
      <c r="DB1288" s="430">
        <f t="shared" si="2920"/>
        <v>0</v>
      </c>
      <c r="DC1288" s="853">
        <f t="shared" si="2921"/>
        <v>0</v>
      </c>
      <c r="DD1288" s="331"/>
      <c r="DE1288" s="331"/>
      <c r="DF1288" s="502"/>
      <c r="DG1288" s="503"/>
      <c r="DH1288" s="2840"/>
      <c r="DI1288" s="3213"/>
      <c r="DJ1288" s="502"/>
      <c r="DK1288" s="503"/>
      <c r="DL1288" s="502"/>
      <c r="DM1288" s="502"/>
      <c r="DN1288" s="502"/>
      <c r="DO1288" s="502"/>
      <c r="DP1288" s="503"/>
      <c r="DQ1288" s="503"/>
      <c r="DR1288" s="296"/>
      <c r="DS1288" s="296"/>
      <c r="DT1288" s="296"/>
    </row>
    <row r="1289" spans="1:124" ht="12.75" customHeight="1" x14ac:dyDescent="0.25">
      <c r="A1289" s="871" t="s">
        <v>1614</v>
      </c>
      <c r="B1289" s="603"/>
      <c r="C1289" s="482"/>
      <c r="D1289" s="482"/>
      <c r="E1289" s="482"/>
      <c r="F1289" s="482"/>
      <c r="G1289" s="484"/>
      <c r="H1289" s="482"/>
      <c r="I1289" s="482"/>
      <c r="J1289" s="482"/>
      <c r="K1289" s="482"/>
      <c r="L1289" s="481"/>
      <c r="M1289" s="482">
        <v>1.369</v>
      </c>
      <c r="N1289" s="482">
        <v>-7.0419999999999998</v>
      </c>
      <c r="O1289" s="482">
        <v>-5.5519999999999996</v>
      </c>
      <c r="P1289" s="482">
        <v>5.0279999999999996</v>
      </c>
      <c r="Q1289" s="481">
        <f>SUM(M1289:P1289)</f>
        <v>-6.1970000000000001</v>
      </c>
      <c r="R1289" s="482">
        <v>8.7539999999999996</v>
      </c>
      <c r="S1289" s="482">
        <v>4.2680000000000007</v>
      </c>
      <c r="T1289" s="482">
        <v>-9.4139999999999997</v>
      </c>
      <c r="U1289" s="482">
        <v>-5.7760000000000007</v>
      </c>
      <c r="V1289" s="481">
        <f t="shared" si="2895"/>
        <v>-2.1680000000000001</v>
      </c>
      <c r="W1289" s="482">
        <v>-3.645</v>
      </c>
      <c r="X1289" s="482">
        <v>5.391</v>
      </c>
      <c r="Y1289" s="482">
        <v>0.12200000000000033</v>
      </c>
      <c r="Z1289" s="482">
        <v>10.984999999999999</v>
      </c>
      <c r="AA1289" s="481">
        <f>SUM(W1289:Z1289)</f>
        <v>12.853</v>
      </c>
      <c r="AB1289" s="482">
        <v>3.8279999999999998</v>
      </c>
      <c r="AC1289" s="482">
        <f>-13.407-AB1289</f>
        <v>-17.234999999999999</v>
      </c>
      <c r="AD1289" s="482">
        <f>-18.331-AC1289-AB1289</f>
        <v>-4.9239999999999995</v>
      </c>
      <c r="AE1289" s="482">
        <f>-16.091-AD1289-AC1289-AB1289</f>
        <v>2.239999999999998</v>
      </c>
      <c r="AF1289" s="481">
        <f>SUM(AB1289:AE1289)</f>
        <v>-16.091000000000001</v>
      </c>
      <c r="AG1289" s="482">
        <v>6.6539999999999999</v>
      </c>
      <c r="AH1289" s="482">
        <f>-2.323-AG1289</f>
        <v>-8.9770000000000003</v>
      </c>
      <c r="AI1289" s="482">
        <f>-0.447-AH1289-AG1289</f>
        <v>1.8760000000000012</v>
      </c>
      <c r="AJ1289" s="482">
        <f>-1.338-AI1289-AH1289-AG1289</f>
        <v>-0.8910000000000009</v>
      </c>
      <c r="AK1289" s="481">
        <f>SUM(AG1289:AJ1289)</f>
        <v>-1.3380000000000001</v>
      </c>
      <c r="AL1289" s="482">
        <v>2.9510000000000001</v>
      </c>
      <c r="AM1289" s="482">
        <f>-2.431-AL1289</f>
        <v>-5.3819999999999997</v>
      </c>
      <c r="AN1289" s="482">
        <f>6.522-AM1289-AL1289</f>
        <v>8.9529999999999994</v>
      </c>
      <c r="AO1289" s="482">
        <f>-6.064-AN1289-AM1289-AL1289</f>
        <v>-12.586</v>
      </c>
      <c r="AP1289" s="481">
        <f t="shared" si="2896"/>
        <v>-6.0640000000000001</v>
      </c>
      <c r="AQ1289" s="482">
        <v>-0.114</v>
      </c>
      <c r="AR1289" s="482">
        <f>-0.505-AQ1289</f>
        <v>-0.39100000000000001</v>
      </c>
      <c r="AS1289" s="482">
        <f>-3.754-AQ1289-AR1289</f>
        <v>-3.2490000000000001</v>
      </c>
      <c r="AT1289" s="482">
        <f>1.887-SUM(AQ1289:AS1289)</f>
        <v>5.641</v>
      </c>
      <c r="AU1289" s="481">
        <f t="shared" si="2897"/>
        <v>1.887</v>
      </c>
      <c r="AV1289" s="482">
        <v>-3.8069999999999999</v>
      </c>
      <c r="AW1289" s="482">
        <f>+-0.188-AV1289</f>
        <v>3.6189999999999998</v>
      </c>
      <c r="AX1289" s="482">
        <f>9.443-AW1289-AV1289</f>
        <v>9.6310000000000002</v>
      </c>
      <c r="AY1289" s="482">
        <f>5.034-SUM(AV1289:AX1289)</f>
        <v>-4.4089999999999998</v>
      </c>
      <c r="AZ1289" s="481">
        <f>SUM(AV1289:AY1289)</f>
        <v>5.0339999999999998</v>
      </c>
      <c r="BA1289" s="482">
        <v>-0.59899999999999998</v>
      </c>
      <c r="BB1289" s="2924">
        <f>+-16.983-BA1289</f>
        <v>-16.384</v>
      </c>
      <c r="BC1289" s="482">
        <f>9.469-BB1289-BA1289</f>
        <v>26.452000000000002</v>
      </c>
      <c r="BD1289" s="482">
        <f>10.046-SUM(BA1289:BC1289)</f>
        <v>0.57699999999999818</v>
      </c>
      <c r="BE1289" s="2587">
        <f t="shared" si="2899"/>
        <v>10.045999999999999</v>
      </c>
      <c r="BF1289" s="482">
        <v>0.72699999999999998</v>
      </c>
      <c r="BG1289" s="2924">
        <f>-3.462-BF1289</f>
        <v>-4.1890000000000001</v>
      </c>
      <c r="BH1289" s="482">
        <f>5.015-BG1289-BF1289</f>
        <v>8.4770000000000003</v>
      </c>
      <c r="BI1289" s="482">
        <f>0.71-SUM(BF1289:BH1289)</f>
        <v>-4.3050000000000006</v>
      </c>
      <c r="BJ1289" s="2587">
        <f>SUM(BF1289:BI1289)</f>
        <v>0.71</v>
      </c>
      <c r="BK1289" s="2953">
        <v>-1.8029999999999999</v>
      </c>
      <c r="BL1289" s="2924">
        <f>-1.8-BK1289</f>
        <v>2.9999999999998916E-3</v>
      </c>
      <c r="BM1289" s="2953">
        <v>7.1049999999999995</v>
      </c>
      <c r="BN1289" s="2953">
        <f>-5.911-SUM(BK1289:BM1289)</f>
        <v>-11.215999999999999</v>
      </c>
      <c r="BO1289" s="2587">
        <f t="shared" si="2901"/>
        <v>-5.9109999999999996</v>
      </c>
      <c r="BP1289" s="2953">
        <v>6.5330000000000004</v>
      </c>
      <c r="BQ1289" s="482">
        <f>7.378-BP1289</f>
        <v>0.84499999999999975</v>
      </c>
      <c r="BR1289" s="482">
        <f>2.334-BQ1289-BP1289</f>
        <v>-5.0440000000000005</v>
      </c>
      <c r="BS1289" s="3508">
        <f>-9.186-SUM(BP1289:BR1289)</f>
        <v>-11.52</v>
      </c>
      <c r="BT1289" s="2587">
        <f t="shared" si="2902"/>
        <v>-9.1859999999999999</v>
      </c>
      <c r="BU1289" s="2840">
        <f>+BT1341-BU1341</f>
        <v>0</v>
      </c>
      <c r="BV1289" s="2840">
        <f>+BU1341-BV1341</f>
        <v>0</v>
      </c>
      <c r="BW1289" s="2840">
        <f>+BV1341-BW1341</f>
        <v>0</v>
      </c>
      <c r="BX1289" s="2840">
        <f>+BW1341-BX1341</f>
        <v>0</v>
      </c>
      <c r="BY1289" s="2587">
        <f t="shared" si="2903"/>
        <v>0</v>
      </c>
      <c r="BZ1289" s="2587">
        <f t="shared" ref="BZ1289:CF1289" si="2931">+BY1341-BZ1341</f>
        <v>0</v>
      </c>
      <c r="CA1289" s="2587">
        <f t="shared" si="2931"/>
        <v>0</v>
      </c>
      <c r="CB1289" s="2587">
        <f t="shared" si="2931"/>
        <v>-14.173731249999996</v>
      </c>
      <c r="CC1289" s="2587">
        <f t="shared" si="2931"/>
        <v>-14.173731250000003</v>
      </c>
      <c r="CD1289" s="2587">
        <f t="shared" si="2931"/>
        <v>-14.173731250000003</v>
      </c>
      <c r="CE1289" s="2587">
        <f t="shared" si="2931"/>
        <v>-14.173731249999989</v>
      </c>
      <c r="CF1289" s="2587">
        <f t="shared" si="2931"/>
        <v>-14.173731250000003</v>
      </c>
      <c r="CG1289" s="331"/>
      <c r="CH1289" s="331"/>
      <c r="CI1289" s="331"/>
      <c r="CJ1289" s="331"/>
      <c r="CK1289" s="331"/>
      <c r="CL1289" s="871" t="str">
        <f t="shared" si="2894"/>
        <v>Accounts receivable</v>
      </c>
      <c r="CM1289" s="430">
        <f t="shared" si="2905"/>
        <v>0</v>
      </c>
      <c r="CN1289" s="430">
        <f t="shared" si="2906"/>
        <v>0</v>
      </c>
      <c r="CO1289" s="430">
        <f t="shared" si="2907"/>
        <v>-6.1970000000000001</v>
      </c>
      <c r="CP1289" s="430">
        <f t="shared" si="2908"/>
        <v>-2.1680000000000001</v>
      </c>
      <c r="CQ1289" s="430">
        <f t="shared" si="2909"/>
        <v>12.853</v>
      </c>
      <c r="CR1289" s="430">
        <f t="shared" si="2910"/>
        <v>-16.091000000000001</v>
      </c>
      <c r="CS1289" s="430">
        <f t="shared" si="2911"/>
        <v>-1.3380000000000001</v>
      </c>
      <c r="CT1289" s="430">
        <f t="shared" si="2912"/>
        <v>-6.0640000000000001</v>
      </c>
      <c r="CU1289" s="430">
        <f t="shared" si="2913"/>
        <v>1.887</v>
      </c>
      <c r="CV1289" s="430">
        <f t="shared" si="2914"/>
        <v>5.0339999999999998</v>
      </c>
      <c r="CW1289" s="430">
        <f t="shared" si="2915"/>
        <v>10.045999999999999</v>
      </c>
      <c r="CX1289" s="430">
        <f t="shared" si="2916"/>
        <v>0.71</v>
      </c>
      <c r="CY1289" s="430">
        <f t="shared" si="2917"/>
        <v>-5.9109999999999996</v>
      </c>
      <c r="CZ1289" s="430">
        <f t="shared" si="2918"/>
        <v>-9.1859999999999999</v>
      </c>
      <c r="DA1289" s="430">
        <f t="shared" si="2919"/>
        <v>0</v>
      </c>
      <c r="DB1289" s="430">
        <f t="shared" si="2920"/>
        <v>0</v>
      </c>
      <c r="DC1289" s="853">
        <f t="shared" si="2921"/>
        <v>0</v>
      </c>
      <c r="DD1289" s="331"/>
      <c r="DE1289" s="331"/>
      <c r="DF1289" s="502"/>
      <c r="DG1289" s="503"/>
      <c r="DH1289" s="2840"/>
      <c r="DI1289" s="3213"/>
      <c r="DJ1289" s="502"/>
      <c r="DK1289" s="503"/>
      <c r="DL1289" s="502"/>
      <c r="DM1289" s="502"/>
      <c r="DN1289" s="502"/>
      <c r="DO1289" s="502"/>
      <c r="DP1289" s="503"/>
      <c r="DQ1289" s="503"/>
      <c r="DR1289" s="296"/>
      <c r="DS1289" s="296"/>
      <c r="DT1289" s="296"/>
    </row>
    <row r="1290" spans="1:124" ht="12.75" customHeight="1" x14ac:dyDescent="0.25">
      <c r="A1290" s="871" t="s">
        <v>1615</v>
      </c>
      <c r="B1290" s="603"/>
      <c r="C1290" s="482"/>
      <c r="D1290" s="482"/>
      <c r="E1290" s="482"/>
      <c r="F1290" s="482"/>
      <c r="G1290" s="484"/>
      <c r="H1290" s="482"/>
      <c r="I1290" s="482"/>
      <c r="J1290" s="482"/>
      <c r="K1290" s="482"/>
      <c r="L1290" s="481"/>
      <c r="M1290" s="482">
        <v>16.995999999999999</v>
      </c>
      <c r="N1290" s="482">
        <v>-38.111999999999995</v>
      </c>
      <c r="O1290" s="482">
        <v>-1.6930000000000049</v>
      </c>
      <c r="P1290" s="482">
        <v>-0.23899999999999721</v>
      </c>
      <c r="Q1290" s="481">
        <f t="shared" ref="Q1290:Q1300" si="2932">SUM(M1290:P1290)</f>
        <v>-23.047999999999998</v>
      </c>
      <c r="R1290" s="482">
        <v>100</v>
      </c>
      <c r="S1290" s="482">
        <v>0</v>
      </c>
      <c r="T1290" s="482">
        <v>0</v>
      </c>
      <c r="U1290" s="482">
        <v>0</v>
      </c>
      <c r="V1290" s="481">
        <f t="shared" ref="V1290:V1300" si="2933">SUM(R1290:U1290)</f>
        <v>100</v>
      </c>
      <c r="W1290" s="482">
        <v>0</v>
      </c>
      <c r="X1290" s="482">
        <v>0</v>
      </c>
      <c r="Y1290" s="482">
        <v>0</v>
      </c>
      <c r="Z1290" s="482">
        <v>0</v>
      </c>
      <c r="AA1290" s="481">
        <f t="shared" ref="AA1290:AA1300" si="2934">SUM(W1290:Z1290)</f>
        <v>0</v>
      </c>
      <c r="AB1290" s="482">
        <v>0</v>
      </c>
      <c r="AC1290" s="482">
        <v>0</v>
      </c>
      <c r="AD1290" s="482">
        <v>0</v>
      </c>
      <c r="AE1290" s="482">
        <v>0</v>
      </c>
      <c r="AF1290" s="481">
        <f t="shared" ref="AF1290:AF1300" si="2935">SUM(AB1290:AE1290)</f>
        <v>0</v>
      </c>
      <c r="AG1290" s="482">
        <v>15.019</v>
      </c>
      <c r="AH1290" s="482">
        <f>14.811-AG1290</f>
        <v>-0.20800000000000018</v>
      </c>
      <c r="AI1290" s="482">
        <f>28.674-AH1290-AG1290</f>
        <v>13.862999999999998</v>
      </c>
      <c r="AJ1290" s="482">
        <f>28.673-AI1290-AH1290-AG1290</f>
        <v>-9.9999999999944578E-4</v>
      </c>
      <c r="AK1290" s="481">
        <f t="shared" ref="AK1290:AK1300" si="2936">SUM(AG1290:AJ1290)</f>
        <v>28.673000000000002</v>
      </c>
      <c r="AL1290" s="430">
        <v>0</v>
      </c>
      <c r="AM1290" s="482">
        <f>-0.709-AL1290</f>
        <v>-0.70899999999999996</v>
      </c>
      <c r="AN1290" s="482">
        <f>-0.955-AM1290-AL1290</f>
        <v>-0.246</v>
      </c>
      <c r="AO1290" s="482">
        <f>-1.073-AN1290-AM1290-AL1290</f>
        <v>-0.11799999999999999</v>
      </c>
      <c r="AP1290" s="481">
        <f t="shared" ref="AP1290:AP1300" si="2937">SUM(AL1290:AO1290)</f>
        <v>-1.073</v>
      </c>
      <c r="AQ1290" s="482">
        <v>1.0720000000000001</v>
      </c>
      <c r="AR1290" s="482">
        <f>1.072-AQ1290</f>
        <v>0</v>
      </c>
      <c r="AS1290" s="482">
        <f>1.072-AQ1290-AR1290</f>
        <v>0</v>
      </c>
      <c r="AT1290" s="482">
        <f>1.072-SUM(AQ1290:AS1290)</f>
        <v>0</v>
      </c>
      <c r="AU1290" s="481">
        <f t="shared" si="2897"/>
        <v>1.0720000000000001</v>
      </c>
      <c r="AV1290" s="482">
        <v>0</v>
      </c>
      <c r="AW1290" s="482">
        <f>+-0.51-AV1290</f>
        <v>-0.51</v>
      </c>
      <c r="AX1290" s="482">
        <f>-1.062-AW1290-AV1290</f>
        <v>-0.55200000000000005</v>
      </c>
      <c r="AY1290" s="482">
        <f>0-SUM(AV1290:AX1290)</f>
        <v>1.0620000000000001</v>
      </c>
      <c r="AZ1290" s="481">
        <f>SUM(AV1290:AY1290)</f>
        <v>0</v>
      </c>
      <c r="BA1290" s="482">
        <v>0</v>
      </c>
      <c r="BB1290" s="482">
        <v>0</v>
      </c>
      <c r="BC1290" s="482">
        <f>0-BB1290-BA1290</f>
        <v>0</v>
      </c>
      <c r="BD1290" s="482">
        <v>0</v>
      </c>
      <c r="BE1290" s="481">
        <f t="shared" si="2899"/>
        <v>0</v>
      </c>
      <c r="BF1290" s="482">
        <v>0</v>
      </c>
      <c r="BG1290" s="482">
        <v>0</v>
      </c>
      <c r="BH1290" s="482">
        <f>0-BG1290-BF1290</f>
        <v>0</v>
      </c>
      <c r="BI1290" s="482">
        <v>0</v>
      </c>
      <c r="BJ1290" s="481">
        <f>SUM(BF1290:BI1290)</f>
        <v>0</v>
      </c>
      <c r="BK1290" s="2953">
        <v>0</v>
      </c>
      <c r="BL1290" s="482">
        <f>0-BK1290</f>
        <v>0</v>
      </c>
      <c r="BM1290" s="2953">
        <v>0</v>
      </c>
      <c r="BN1290" s="2953">
        <v>0</v>
      </c>
      <c r="BO1290" s="481">
        <f t="shared" si="2901"/>
        <v>0</v>
      </c>
      <c r="BP1290" s="2953">
        <v>0</v>
      </c>
      <c r="BQ1290" s="482">
        <v>0</v>
      </c>
      <c r="BR1290" s="482">
        <f>0-BQ1290-BP1290</f>
        <v>0</v>
      </c>
      <c r="BS1290" s="482">
        <f>0-SUM(BP1290:BR1290)</f>
        <v>0</v>
      </c>
      <c r="BT1290" s="2587">
        <f t="shared" si="2902"/>
        <v>0</v>
      </c>
      <c r="BU1290" s="482">
        <v>0</v>
      </c>
      <c r="BV1290" s="482">
        <v>0</v>
      </c>
      <c r="BW1290" s="482">
        <v>0</v>
      </c>
      <c r="BX1290" s="482">
        <v>0</v>
      </c>
      <c r="BY1290" s="2587">
        <f t="shared" si="2903"/>
        <v>0</v>
      </c>
      <c r="BZ1290" s="484">
        <v>0</v>
      </c>
      <c r="CA1290" s="484">
        <v>0</v>
      </c>
      <c r="CB1290" s="484">
        <v>0</v>
      </c>
      <c r="CC1290" s="484">
        <v>0</v>
      </c>
      <c r="CD1290" s="484">
        <v>0</v>
      </c>
      <c r="CE1290" s="484">
        <v>0</v>
      </c>
      <c r="CF1290" s="484">
        <v>0</v>
      </c>
      <c r="CG1290" s="331"/>
      <c r="CH1290" s="331"/>
      <c r="CI1290" s="331"/>
      <c r="CJ1290" s="331"/>
      <c r="CK1290" s="331"/>
      <c r="CL1290" s="871" t="str">
        <f t="shared" si="2894"/>
        <v>Insurance receivable</v>
      </c>
      <c r="CM1290" s="430">
        <f t="shared" si="2905"/>
        <v>0</v>
      </c>
      <c r="CN1290" s="430">
        <f t="shared" si="2906"/>
        <v>0</v>
      </c>
      <c r="CO1290" s="430">
        <f t="shared" si="2907"/>
        <v>-23.047999999999998</v>
      </c>
      <c r="CP1290" s="430">
        <f t="shared" si="2908"/>
        <v>100</v>
      </c>
      <c r="CQ1290" s="430">
        <f t="shared" si="2909"/>
        <v>0</v>
      </c>
      <c r="CR1290" s="430">
        <f t="shared" si="2910"/>
        <v>0</v>
      </c>
      <c r="CS1290" s="430">
        <f t="shared" si="2911"/>
        <v>28.673000000000002</v>
      </c>
      <c r="CT1290" s="430">
        <f t="shared" si="2912"/>
        <v>-1.073</v>
      </c>
      <c r="CU1290" s="430">
        <f t="shared" si="2913"/>
        <v>1.0720000000000001</v>
      </c>
      <c r="CV1290" s="430">
        <f t="shared" si="2914"/>
        <v>0</v>
      </c>
      <c r="CW1290" s="430">
        <f t="shared" si="2915"/>
        <v>0</v>
      </c>
      <c r="CX1290" s="430">
        <f t="shared" si="2916"/>
        <v>0</v>
      </c>
      <c r="CY1290" s="430">
        <f t="shared" si="2917"/>
        <v>0</v>
      </c>
      <c r="CZ1290" s="430">
        <f t="shared" si="2918"/>
        <v>0</v>
      </c>
      <c r="DA1290" s="430">
        <f t="shared" si="2919"/>
        <v>0</v>
      </c>
      <c r="DB1290" s="430">
        <f t="shared" si="2920"/>
        <v>0</v>
      </c>
      <c r="DC1290" s="853">
        <f t="shared" si="2921"/>
        <v>0</v>
      </c>
      <c r="DD1290" s="331"/>
      <c r="DE1290" s="331"/>
      <c r="DF1290" s="502"/>
      <c r="DG1290" s="503"/>
      <c r="DH1290" s="2840"/>
      <c r="DI1290" s="3213"/>
      <c r="DJ1290" s="502"/>
      <c r="DK1290" s="503"/>
      <c r="DL1290" s="502"/>
      <c r="DM1290" s="502"/>
      <c r="DN1290" s="502"/>
      <c r="DO1290" s="502"/>
      <c r="DP1290" s="503"/>
      <c r="DQ1290" s="503"/>
      <c r="DR1290" s="296"/>
      <c r="DS1290" s="296"/>
      <c r="DT1290" s="296"/>
    </row>
    <row r="1291" spans="1:124" ht="12.75" customHeight="1" x14ac:dyDescent="0.25">
      <c r="A1291" s="871" t="s">
        <v>1163</v>
      </c>
      <c r="B1291" s="603"/>
      <c r="C1291" s="482"/>
      <c r="D1291" s="482"/>
      <c r="E1291" s="482"/>
      <c r="F1291" s="482"/>
      <c r="G1291" s="484"/>
      <c r="H1291" s="482"/>
      <c r="I1291" s="482"/>
      <c r="J1291" s="482"/>
      <c r="K1291" s="482"/>
      <c r="L1291" s="481"/>
      <c r="M1291" s="482">
        <v>-10.914999999999999</v>
      </c>
      <c r="N1291" s="482">
        <v>15.245999999999999</v>
      </c>
      <c r="O1291" s="482">
        <v>-27.771000000000001</v>
      </c>
      <c r="P1291" s="482">
        <v>-3.4929999999999986</v>
      </c>
      <c r="Q1291" s="481">
        <f t="shared" si="2932"/>
        <v>-26.933</v>
      </c>
      <c r="R1291" s="482">
        <v>6.8650000000000002</v>
      </c>
      <c r="S1291" s="482">
        <v>21.308</v>
      </c>
      <c r="T1291" s="482">
        <v>-22.605</v>
      </c>
      <c r="U1291" s="482">
        <v>-4.6440000000000001</v>
      </c>
      <c r="V1291" s="481">
        <f t="shared" si="2933"/>
        <v>0.92400000000000126</v>
      </c>
      <c r="W1291" s="482">
        <v>3.6920000000000002</v>
      </c>
      <c r="X1291" s="482">
        <v>-44.838999999999999</v>
      </c>
      <c r="Y1291" s="482">
        <v>10.732999999999997</v>
      </c>
      <c r="Z1291" s="482">
        <v>2.6920000000000002</v>
      </c>
      <c r="AA1291" s="481">
        <f t="shared" si="2934"/>
        <v>-27.722000000000001</v>
      </c>
      <c r="AB1291" s="482">
        <v>13.714</v>
      </c>
      <c r="AC1291" s="482">
        <f>3.11-AB1291</f>
        <v>-10.604000000000001</v>
      </c>
      <c r="AD1291" s="482">
        <f>-1.52-AC1291-AB1291</f>
        <v>-4.629999999999999</v>
      </c>
      <c r="AE1291" s="482">
        <f>-13.16-AD1291-AC1291-AB1291</f>
        <v>-11.64</v>
      </c>
      <c r="AF1291" s="481">
        <f t="shared" si="2935"/>
        <v>-13.16</v>
      </c>
      <c r="AG1291" s="482">
        <v>16.635999999999999</v>
      </c>
      <c r="AH1291" s="482">
        <f>34.085-AG1291</f>
        <v>17.449000000000002</v>
      </c>
      <c r="AI1291" s="482">
        <f>31.665-AH1291-AG1291</f>
        <v>-2.4200000000000017</v>
      </c>
      <c r="AJ1291" s="482">
        <f>3.585-AI1291-AH1291-AG1291</f>
        <v>-28.08</v>
      </c>
      <c r="AK1291" s="481">
        <f t="shared" si="2936"/>
        <v>3.5850000000000009</v>
      </c>
      <c r="AL1291" s="482">
        <v>25.082999999999998</v>
      </c>
      <c r="AM1291" s="482">
        <f>42.808-AL1291</f>
        <v>17.725000000000001</v>
      </c>
      <c r="AN1291" s="482">
        <f>25.43-AM1291-AL1291</f>
        <v>-17.378</v>
      </c>
      <c r="AO1291" s="482">
        <f>-4.648-AN1291-AM1291-AL1291</f>
        <v>-30.077999999999999</v>
      </c>
      <c r="AP1291" s="481">
        <f t="shared" si="2937"/>
        <v>-4.6479999999999997</v>
      </c>
      <c r="AQ1291" s="482">
        <v>3.4590000000000001</v>
      </c>
      <c r="AR1291" s="482">
        <f>11.316-AQ1291</f>
        <v>7.8570000000000011</v>
      </c>
      <c r="AS1291" s="482">
        <f>12.002-AQ1291-AR1291</f>
        <v>0.68599999999999994</v>
      </c>
      <c r="AT1291" s="482">
        <f>14.445-SUM(AQ1291:AS1291)</f>
        <v>2.4429999999999996</v>
      </c>
      <c r="AU1291" s="481">
        <f t="shared" si="2897"/>
        <v>14.445</v>
      </c>
      <c r="AV1291" s="482">
        <v>21.878</v>
      </c>
      <c r="AW1291" s="482">
        <f>31.614-AV1291</f>
        <v>9.7360000000000007</v>
      </c>
      <c r="AX1291" s="482">
        <f>58.245-AW1291-AV1291</f>
        <v>26.631</v>
      </c>
      <c r="AY1291" s="482">
        <f>0.912-SUM(AV1291:AX1291)</f>
        <v>-57.333000000000006</v>
      </c>
      <c r="AZ1291" s="481">
        <f>SUM(AV1291:AY1291)</f>
        <v>0.91199999999999903</v>
      </c>
      <c r="BA1291" s="482">
        <v>-13.103999999999999</v>
      </c>
      <c r="BB1291" s="482">
        <f>+-5.956-BA1291</f>
        <v>7.1479999999999988</v>
      </c>
      <c r="BC1291" s="482">
        <f>-4.457-BB1291-BA1291</f>
        <v>1.4990000000000006</v>
      </c>
      <c r="BD1291" s="482">
        <f>-13.305-SUM(BA1291:BC1291)</f>
        <v>-8.847999999999999</v>
      </c>
      <c r="BE1291" s="481">
        <f t="shared" si="2899"/>
        <v>-13.305</v>
      </c>
      <c r="BF1291" s="482">
        <v>-2.742</v>
      </c>
      <c r="BG1291" s="482">
        <f>2.537-BF1291</f>
        <v>5.2789999999999999</v>
      </c>
      <c r="BH1291" s="482">
        <f>6.288-BG1291-BF1291</f>
        <v>3.7510000000000003</v>
      </c>
      <c r="BI1291" s="482">
        <f>10.345-SUM(BF1291:BH1291)</f>
        <v>4.0570000000000004</v>
      </c>
      <c r="BJ1291" s="481">
        <f>SUM(BF1291:BI1291)</f>
        <v>10.345000000000001</v>
      </c>
      <c r="BK1291" s="2953">
        <v>-11.579000000000001</v>
      </c>
      <c r="BL1291" s="482">
        <f>-6.855-BK1291</f>
        <v>4.7240000000000002</v>
      </c>
      <c r="BM1291" s="2953">
        <v>2.6240000000000006</v>
      </c>
      <c r="BN1291" s="2953">
        <f>-0.485-SUM(BK1291:BM1291)</f>
        <v>3.746</v>
      </c>
      <c r="BO1291" s="481">
        <f t="shared" si="2901"/>
        <v>-0.48499999999999988</v>
      </c>
      <c r="BP1291" s="2953">
        <v>-8.4320000000000004</v>
      </c>
      <c r="BQ1291" s="482">
        <f>+-4.829-BP1291</f>
        <v>3.6030000000000006</v>
      </c>
      <c r="BR1291" s="482">
        <f>-6.632-BQ1291-BP1291</f>
        <v>-1.802999999999999</v>
      </c>
      <c r="BS1291" s="482">
        <f>-7.239-SUM(BP1291:BR1291)</f>
        <v>-0.60700000000000109</v>
      </c>
      <c r="BT1291" s="2587">
        <f t="shared" si="2902"/>
        <v>-7.2389999999999999</v>
      </c>
      <c r="BU1291" s="482">
        <v>0</v>
      </c>
      <c r="BV1291" s="482">
        <v>0</v>
      </c>
      <c r="BW1291" s="482">
        <v>0</v>
      </c>
      <c r="BX1291" s="482">
        <v>0</v>
      </c>
      <c r="BY1291" s="2587">
        <f t="shared" si="2903"/>
        <v>0</v>
      </c>
      <c r="BZ1291" s="484">
        <v>0</v>
      </c>
      <c r="CA1291" s="484">
        <v>0</v>
      </c>
      <c r="CB1291" s="484">
        <v>0</v>
      </c>
      <c r="CC1291" s="484">
        <v>0</v>
      </c>
      <c r="CD1291" s="484">
        <v>0</v>
      </c>
      <c r="CE1291" s="484">
        <v>0</v>
      </c>
      <c r="CF1291" s="484">
        <v>0</v>
      </c>
      <c r="CG1291" s="331"/>
      <c r="CH1291" s="331"/>
      <c r="CI1291" s="331"/>
      <c r="CJ1291" s="331"/>
      <c r="CK1291" s="331"/>
      <c r="CL1291" s="871" t="str">
        <f t="shared" si="2894"/>
        <v>Prepaid Expenses and other current assets</v>
      </c>
      <c r="CM1291" s="430">
        <f t="shared" si="2905"/>
        <v>0</v>
      </c>
      <c r="CN1291" s="430">
        <f t="shared" si="2906"/>
        <v>0</v>
      </c>
      <c r="CO1291" s="430">
        <f t="shared" si="2907"/>
        <v>-26.933</v>
      </c>
      <c r="CP1291" s="430">
        <f t="shared" si="2908"/>
        <v>0.92400000000000126</v>
      </c>
      <c r="CQ1291" s="430">
        <f t="shared" si="2909"/>
        <v>-27.722000000000001</v>
      </c>
      <c r="CR1291" s="430">
        <f t="shared" si="2910"/>
        <v>-13.16</v>
      </c>
      <c r="CS1291" s="430">
        <f t="shared" si="2911"/>
        <v>3.5850000000000009</v>
      </c>
      <c r="CT1291" s="430">
        <f t="shared" si="2912"/>
        <v>-4.6479999999999997</v>
      </c>
      <c r="CU1291" s="430">
        <f t="shared" si="2913"/>
        <v>14.445</v>
      </c>
      <c r="CV1291" s="430">
        <f t="shared" si="2914"/>
        <v>0.91199999999999903</v>
      </c>
      <c r="CW1291" s="430">
        <f t="shared" si="2915"/>
        <v>-13.305</v>
      </c>
      <c r="CX1291" s="430">
        <f t="shared" si="2916"/>
        <v>10.345000000000001</v>
      </c>
      <c r="CY1291" s="430">
        <f t="shared" si="2917"/>
        <v>-0.48499999999999988</v>
      </c>
      <c r="CZ1291" s="430">
        <f t="shared" si="2918"/>
        <v>-7.2389999999999999</v>
      </c>
      <c r="DA1291" s="430">
        <f t="shared" si="2919"/>
        <v>0</v>
      </c>
      <c r="DB1291" s="430">
        <f t="shared" si="2920"/>
        <v>0</v>
      </c>
      <c r="DC1291" s="853">
        <f t="shared" si="2921"/>
        <v>0</v>
      </c>
      <c r="DD1291" s="331"/>
      <c r="DE1291" s="331"/>
      <c r="DF1291" s="502"/>
      <c r="DG1291" s="503"/>
      <c r="DH1291" s="2840"/>
      <c r="DI1291" s="3213"/>
      <c r="DJ1291" s="502"/>
      <c r="DK1291" s="503"/>
      <c r="DL1291" s="502"/>
      <c r="DM1291" s="502"/>
      <c r="DN1291" s="502"/>
      <c r="DO1291" s="502"/>
      <c r="DP1291" s="503"/>
      <c r="DQ1291" s="503"/>
      <c r="DR1291" s="296"/>
      <c r="DS1291" s="296"/>
      <c r="DT1291" s="296"/>
    </row>
    <row r="1292" spans="1:124" ht="12.75" customHeight="1" x14ac:dyDescent="0.25">
      <c r="A1292" s="871" t="s">
        <v>483</v>
      </c>
      <c r="B1292" s="603"/>
      <c r="C1292" s="482"/>
      <c r="D1292" s="482"/>
      <c r="E1292" s="482"/>
      <c r="F1292" s="482"/>
      <c r="G1292" s="484"/>
      <c r="H1292" s="482"/>
      <c r="I1292" s="482"/>
      <c r="J1292" s="482"/>
      <c r="K1292" s="482"/>
      <c r="L1292" s="481"/>
      <c r="M1292" s="482">
        <v>5.4930000000000003</v>
      </c>
      <c r="N1292" s="482">
        <v>-4.4140000000000006</v>
      </c>
      <c r="O1292" s="482">
        <v>18.079000000000001</v>
      </c>
      <c r="P1292" s="482">
        <v>-5.6220000000000008</v>
      </c>
      <c r="Q1292" s="481">
        <f t="shared" si="2932"/>
        <v>13.536000000000001</v>
      </c>
      <c r="R1292" s="482">
        <v>-0.70599999999999996</v>
      </c>
      <c r="S1292" s="482">
        <v>-5.6419999999999995</v>
      </c>
      <c r="T1292" s="482">
        <v>-12.246000000000002</v>
      </c>
      <c r="U1292" s="482">
        <v>11.435</v>
      </c>
      <c r="V1292" s="481">
        <f t="shared" si="2933"/>
        <v>-7.1590000000000007</v>
      </c>
      <c r="W1292" s="482">
        <v>-6.8280000000000003</v>
      </c>
      <c r="X1292" s="482">
        <v>-3.8579999999999997</v>
      </c>
      <c r="Y1292" s="482">
        <v>0.11899999999999977</v>
      </c>
      <c r="Z1292" s="482">
        <v>36.314</v>
      </c>
      <c r="AA1292" s="481">
        <f t="shared" si="2934"/>
        <v>25.747</v>
      </c>
      <c r="AB1292" s="482">
        <v>4.2750000000000004</v>
      </c>
      <c r="AC1292" s="482">
        <f>-3.303-AB1292</f>
        <v>-7.5780000000000003</v>
      </c>
      <c r="AD1292" s="482">
        <f>2.645-AC1292-AB1292</f>
        <v>5.9480000000000004</v>
      </c>
      <c r="AE1292" s="482">
        <f>-8.138-AD1292-AC1292-AB1292</f>
        <v>-10.783000000000001</v>
      </c>
      <c r="AF1292" s="481">
        <f t="shared" si="2935"/>
        <v>-8.1380000000000017</v>
      </c>
      <c r="AG1292" s="482">
        <v>9.59</v>
      </c>
      <c r="AH1292" s="482">
        <f>7.552-AG1292</f>
        <v>-2.0380000000000003</v>
      </c>
      <c r="AI1292" s="482">
        <f>11.894-AH1292-AG1292</f>
        <v>4.3420000000000005</v>
      </c>
      <c r="AJ1292" s="482">
        <f>10.16-AI1292-AH1292-AG1292</f>
        <v>-1.734</v>
      </c>
      <c r="AK1292" s="481">
        <f t="shared" si="2936"/>
        <v>10.16</v>
      </c>
      <c r="AL1292" s="482">
        <v>0.56100000000000005</v>
      </c>
      <c r="AM1292" s="482">
        <f>-1.515-AL1292</f>
        <v>-2.0760000000000001</v>
      </c>
      <c r="AN1292" s="482">
        <f>-1.646-AM1292-AL1292</f>
        <v>-0.13099999999999989</v>
      </c>
      <c r="AO1292" s="482">
        <f>-2.556-AN1292-AM1292-AL1292</f>
        <v>-0.91000000000000025</v>
      </c>
      <c r="AP1292" s="481">
        <f t="shared" si="2937"/>
        <v>-2.556</v>
      </c>
      <c r="AQ1292" s="482">
        <v>-2.3279999999999998</v>
      </c>
      <c r="AR1292" s="482">
        <f>-5.191-AQ1292</f>
        <v>-2.863</v>
      </c>
      <c r="AS1292" s="482">
        <f>-7.714-AQ1292-AR1292</f>
        <v>-2.523000000000001</v>
      </c>
      <c r="AT1292" s="482">
        <f>-12.331-SUM(AQ1292:AS1292)</f>
        <v>-4.6169999999999991</v>
      </c>
      <c r="AU1292" s="481">
        <f t="shared" si="2897"/>
        <v>-12.331</v>
      </c>
      <c r="AV1292" s="482">
        <f>-11.544</f>
        <v>-11.544</v>
      </c>
      <c r="AW1292" s="482">
        <f>+-23.33-AV1292</f>
        <v>-11.785999999999998</v>
      </c>
      <c r="AX1292" s="482">
        <f>-35.391-AW1292-AV1292</f>
        <v>-12.061</v>
      </c>
      <c r="AY1292" s="482">
        <f>-42.567-SUM(AV1292:AX1292)</f>
        <v>-7.1760000000000019</v>
      </c>
      <c r="AZ1292" s="481">
        <f>SUM(AV1292:AY1292)</f>
        <v>-42.567</v>
      </c>
      <c r="BA1292" s="482">
        <v>7.0869999999999997</v>
      </c>
      <c r="BB1292" s="482">
        <f>4.511-BA1292</f>
        <v>-2.5759999999999996</v>
      </c>
      <c r="BC1292" s="482">
        <f>4.315-BB1292-BA1292</f>
        <v>-0.19599999999999973</v>
      </c>
      <c r="BD1292" s="482">
        <f>0.141-SUM(BA1292:BC1292)</f>
        <v>-4.1740000000000004</v>
      </c>
      <c r="BE1292" s="481">
        <f>SUM(BA1292:BD1292)</f>
        <v>0.14100000000000001</v>
      </c>
      <c r="BF1292" s="482">
        <v>6.4</v>
      </c>
      <c r="BG1292" s="482">
        <f>5.75-BF1292</f>
        <v>-0.65000000000000036</v>
      </c>
      <c r="BH1292" s="482">
        <f>8.869-BG1292-BF1292</f>
        <v>3.1189999999999998</v>
      </c>
      <c r="BI1292" s="482">
        <f>4.363-SUM(BF1292:BH1292)</f>
        <v>-4.5059999999999993</v>
      </c>
      <c r="BJ1292" s="481">
        <f>SUM(BF1292:BI1292)</f>
        <v>4.3630000000000004</v>
      </c>
      <c r="BK1292" s="482">
        <v>3.0390000000000001</v>
      </c>
      <c r="BL1292" s="482">
        <f>-0.321-BK1292</f>
        <v>-3.3600000000000003</v>
      </c>
      <c r="BM1292" s="2953">
        <v>-0.83599999999999985</v>
      </c>
      <c r="BN1292" s="2953">
        <f>-4.879-SUM(BK1292:BM1292)</f>
        <v>-3.7219999999999995</v>
      </c>
      <c r="BO1292" s="481">
        <f t="shared" si="2901"/>
        <v>-4.8789999999999996</v>
      </c>
      <c r="BP1292" s="482">
        <v>-1.746</v>
      </c>
      <c r="BQ1292" s="482">
        <f>+-2.876-BP1292</f>
        <v>-1.1299999999999999</v>
      </c>
      <c r="BR1292" s="482">
        <f>1.316-BQ1292-BP1292</f>
        <v>4.1920000000000002</v>
      </c>
      <c r="BS1292" s="482">
        <f>1.662-SUM(BP1292:BR1292)</f>
        <v>0.34599999999999964</v>
      </c>
      <c r="BT1292" s="2587">
        <f t="shared" si="2902"/>
        <v>1.6619999999999999</v>
      </c>
      <c r="BU1292" s="482">
        <v>0</v>
      </c>
      <c r="BV1292" s="482">
        <v>0</v>
      </c>
      <c r="BW1292" s="482">
        <v>0</v>
      </c>
      <c r="BX1292" s="482">
        <v>0</v>
      </c>
      <c r="BY1292" s="2587">
        <f t="shared" si="2903"/>
        <v>0</v>
      </c>
      <c r="BZ1292" s="484">
        <v>0</v>
      </c>
      <c r="CA1292" s="484">
        <v>0</v>
      </c>
      <c r="CB1292" s="484">
        <v>0</v>
      </c>
      <c r="CC1292" s="484">
        <v>0</v>
      </c>
      <c r="CD1292" s="484">
        <v>0</v>
      </c>
      <c r="CE1292" s="484">
        <v>0</v>
      </c>
      <c r="CF1292" s="484">
        <v>0</v>
      </c>
      <c r="CG1292" s="331"/>
      <c r="CH1292" s="331"/>
      <c r="CI1292" s="331"/>
      <c r="CJ1292" s="331"/>
      <c r="CK1292" s="331"/>
      <c r="CL1292" s="871" t="str">
        <f t="shared" si="2894"/>
        <v>Other Assets</v>
      </c>
      <c r="CM1292" s="430">
        <f t="shared" si="2905"/>
        <v>0</v>
      </c>
      <c r="CN1292" s="430">
        <f t="shared" si="2906"/>
        <v>0</v>
      </c>
      <c r="CO1292" s="430">
        <f t="shared" si="2907"/>
        <v>13.536000000000001</v>
      </c>
      <c r="CP1292" s="430">
        <f t="shared" si="2908"/>
        <v>-7.1590000000000007</v>
      </c>
      <c r="CQ1292" s="430">
        <f t="shared" si="2909"/>
        <v>25.747</v>
      </c>
      <c r="CR1292" s="430">
        <f t="shared" si="2910"/>
        <v>-8.1380000000000017</v>
      </c>
      <c r="CS1292" s="430">
        <f t="shared" si="2911"/>
        <v>10.16</v>
      </c>
      <c r="CT1292" s="430">
        <f t="shared" si="2912"/>
        <v>-2.556</v>
      </c>
      <c r="CU1292" s="430">
        <f t="shared" si="2913"/>
        <v>-12.331</v>
      </c>
      <c r="CV1292" s="430">
        <f t="shared" si="2914"/>
        <v>-42.567</v>
      </c>
      <c r="CW1292" s="430">
        <f t="shared" si="2915"/>
        <v>0.14100000000000001</v>
      </c>
      <c r="CX1292" s="430">
        <f t="shared" si="2916"/>
        <v>4.3630000000000004</v>
      </c>
      <c r="CY1292" s="430">
        <f t="shared" si="2917"/>
        <v>-4.8789999999999996</v>
      </c>
      <c r="CZ1292" s="430">
        <f t="shared" si="2918"/>
        <v>1.6619999999999999</v>
      </c>
      <c r="DA1292" s="430">
        <f t="shared" si="2919"/>
        <v>0</v>
      </c>
      <c r="DB1292" s="430">
        <f t="shared" si="2920"/>
        <v>0</v>
      </c>
      <c r="DC1292" s="853">
        <f t="shared" si="2921"/>
        <v>0</v>
      </c>
      <c r="DD1292" s="331"/>
      <c r="DE1292" s="331"/>
      <c r="DF1292" s="502"/>
      <c r="DG1292" s="503"/>
      <c r="DH1292" s="2840"/>
      <c r="DI1292" s="3213"/>
      <c r="DJ1292" s="502"/>
      <c r="DK1292" s="503"/>
      <c r="DL1292" s="502"/>
      <c r="DM1292" s="502"/>
      <c r="DN1292" s="502"/>
      <c r="DO1292" s="502"/>
      <c r="DP1292" s="503"/>
      <c r="DQ1292" s="503"/>
      <c r="DR1292" s="296"/>
      <c r="DS1292" s="296"/>
      <c r="DT1292" s="296"/>
    </row>
    <row r="1293" spans="1:124" ht="12.75" customHeight="1" x14ac:dyDescent="0.25">
      <c r="A1293" s="952" t="s">
        <v>1945</v>
      </c>
      <c r="B1293" s="603"/>
      <c r="C1293" s="482">
        <v>0</v>
      </c>
      <c r="D1293" s="482">
        <f>3.661-4.144-1.525-3.604+3.615+15.348+1.553</f>
        <v>14.904</v>
      </c>
      <c r="E1293" s="482">
        <f>-1.724-1.765-7.187-1.367+2.549+16.42+3.087-D1293</f>
        <v>-4.8909999999999982</v>
      </c>
      <c r="F1293" s="430">
        <f>G1293-E1293-D1293</f>
        <v>38.004999999999995</v>
      </c>
      <c r="G1293" s="484">
        <f>15.209+3.001+13.068+16.74</f>
        <v>48.018000000000001</v>
      </c>
      <c r="H1293" s="482">
        <v>73.406999999999996</v>
      </c>
      <c r="I1293" s="482">
        <v>35.251000000000005</v>
      </c>
      <c r="J1293" s="482">
        <v>-26.169000000000011</v>
      </c>
      <c r="K1293" s="482">
        <v>-100.55299999999998</v>
      </c>
      <c r="L1293" s="481">
        <f>SUM(H1293:K1293)</f>
        <v>-18.063999999999993</v>
      </c>
      <c r="M1293" s="482"/>
      <c r="N1293" s="482"/>
      <c r="O1293" s="482"/>
      <c r="P1293" s="482"/>
      <c r="Q1293" s="481">
        <f t="shared" si="2932"/>
        <v>0</v>
      </c>
      <c r="R1293" s="482"/>
      <c r="S1293" s="482"/>
      <c r="T1293" s="482"/>
      <c r="U1293" s="482"/>
      <c r="V1293" s="481">
        <f t="shared" si="2933"/>
        <v>0</v>
      </c>
      <c r="W1293" s="482"/>
      <c r="X1293" s="482"/>
      <c r="Y1293" s="482"/>
      <c r="Z1293" s="482"/>
      <c r="AA1293" s="481">
        <f t="shared" si="2934"/>
        <v>0</v>
      </c>
      <c r="AB1293" s="482"/>
      <c r="AC1293" s="482"/>
      <c r="AD1293" s="482"/>
      <c r="AE1293" s="482"/>
      <c r="AF1293" s="481">
        <f t="shared" si="2935"/>
        <v>0</v>
      </c>
      <c r="AG1293" s="430"/>
      <c r="AH1293" s="482"/>
      <c r="AI1293" s="482"/>
      <c r="AJ1293" s="482"/>
      <c r="AK1293" s="481"/>
      <c r="AL1293" s="430"/>
      <c r="AM1293" s="482"/>
      <c r="AN1293" s="430"/>
      <c r="AO1293" s="482"/>
      <c r="AP1293" s="481"/>
      <c r="AQ1293" s="430"/>
      <c r="AR1293" s="482"/>
      <c r="AS1293" s="482"/>
      <c r="AT1293" s="482"/>
      <c r="AU1293" s="481"/>
      <c r="AV1293" s="430"/>
      <c r="AW1293" s="482"/>
      <c r="AX1293" s="482"/>
      <c r="AY1293" s="482"/>
      <c r="AZ1293" s="481"/>
      <c r="BA1293" s="482"/>
      <c r="BB1293" s="482"/>
      <c r="BC1293" s="482"/>
      <c r="BD1293" s="862"/>
      <c r="BE1293" s="481"/>
      <c r="BF1293" s="482"/>
      <c r="BG1293" s="482"/>
      <c r="BH1293" s="482"/>
      <c r="BI1293" s="862"/>
      <c r="BJ1293" s="481"/>
      <c r="BK1293" s="482"/>
      <c r="BL1293" s="482"/>
      <c r="BM1293" s="2953"/>
      <c r="BN1293" s="862"/>
      <c r="BO1293" s="481">
        <f t="shared" si="2901"/>
        <v>0</v>
      </c>
      <c r="BP1293" s="482"/>
      <c r="BQ1293" s="482"/>
      <c r="BR1293" s="482"/>
      <c r="BS1293" s="482"/>
      <c r="BT1293" s="2587">
        <f t="shared" si="2902"/>
        <v>0</v>
      </c>
      <c r="BU1293" s="482"/>
      <c r="BV1293" s="482"/>
      <c r="BW1293" s="482"/>
      <c r="BX1293" s="482"/>
      <c r="BY1293" s="2587">
        <f t="shared" si="2903"/>
        <v>0</v>
      </c>
      <c r="BZ1293" s="484"/>
      <c r="CA1293" s="484"/>
      <c r="CB1293" s="484"/>
      <c r="CC1293" s="484"/>
      <c r="CD1293" s="484"/>
      <c r="CE1293" s="484"/>
      <c r="CF1293" s="484"/>
      <c r="CG1293" s="331"/>
      <c r="CH1293" s="331"/>
      <c r="CI1293" s="331"/>
      <c r="CJ1293" s="331"/>
      <c r="CK1293" s="331"/>
      <c r="CL1293" s="952" t="str">
        <f t="shared" si="2894"/>
        <v>(Decrease) increase in current liabilities</v>
      </c>
      <c r="CM1293" s="430">
        <f t="shared" si="2905"/>
        <v>48.018000000000001</v>
      </c>
      <c r="CN1293" s="430">
        <f t="shared" si="2906"/>
        <v>-18.063999999999993</v>
      </c>
      <c r="CO1293" s="430">
        <f t="shared" si="2907"/>
        <v>0</v>
      </c>
      <c r="CP1293" s="430">
        <f t="shared" si="2908"/>
        <v>0</v>
      </c>
      <c r="CQ1293" s="430">
        <f t="shared" si="2909"/>
        <v>0</v>
      </c>
      <c r="CR1293" s="430">
        <f t="shared" si="2910"/>
        <v>0</v>
      </c>
      <c r="CS1293" s="430">
        <f t="shared" si="2911"/>
        <v>0</v>
      </c>
      <c r="CT1293" s="430">
        <f t="shared" si="2912"/>
        <v>0</v>
      </c>
      <c r="CU1293" s="430">
        <f t="shared" si="2913"/>
        <v>0</v>
      </c>
      <c r="CV1293" s="430">
        <f t="shared" si="2914"/>
        <v>0</v>
      </c>
      <c r="CW1293" s="430">
        <f t="shared" si="2915"/>
        <v>0</v>
      </c>
      <c r="CX1293" s="430">
        <f t="shared" si="2916"/>
        <v>0</v>
      </c>
      <c r="CY1293" s="430">
        <f t="shared" si="2917"/>
        <v>0</v>
      </c>
      <c r="CZ1293" s="430">
        <f t="shared" si="2918"/>
        <v>0</v>
      </c>
      <c r="DA1293" s="430">
        <f t="shared" si="2919"/>
        <v>0</v>
      </c>
      <c r="DB1293" s="430">
        <f t="shared" si="2920"/>
        <v>0</v>
      </c>
      <c r="DC1293" s="853">
        <f t="shared" si="2921"/>
        <v>0</v>
      </c>
      <c r="DD1293" s="331"/>
      <c r="DE1293" s="331"/>
      <c r="DF1293" s="502"/>
      <c r="DG1293" s="503"/>
      <c r="DH1293" s="2840"/>
      <c r="DI1293" s="3213"/>
      <c r="DJ1293" s="502"/>
      <c r="DK1293" s="503"/>
      <c r="DL1293" s="502"/>
      <c r="DM1293" s="502"/>
      <c r="DN1293" s="502"/>
      <c r="DO1293" s="502"/>
      <c r="DP1293" s="503"/>
      <c r="DQ1293" s="503"/>
      <c r="DR1293" s="296"/>
      <c r="DS1293" s="296"/>
      <c r="DT1293" s="296"/>
    </row>
    <row r="1294" spans="1:124" ht="12.75" customHeight="1" x14ac:dyDescent="0.25">
      <c r="A1294" s="871" t="s">
        <v>1164</v>
      </c>
      <c r="B1294" s="603"/>
      <c r="C1294" s="482"/>
      <c r="D1294" s="482"/>
      <c r="E1294" s="482"/>
      <c r="F1294" s="482"/>
      <c r="G1294" s="484"/>
      <c r="H1294" s="482"/>
      <c r="I1294" s="482"/>
      <c r="J1294" s="482"/>
      <c r="K1294" s="482"/>
      <c r="L1294" s="481"/>
      <c r="M1294" s="482">
        <v>-10.035</v>
      </c>
      <c r="N1294" s="482">
        <v>4.649</v>
      </c>
      <c r="O1294" s="482">
        <v>23.308999999999997</v>
      </c>
      <c r="P1294" s="482">
        <v>-5.5439999999999969</v>
      </c>
      <c r="Q1294" s="481">
        <f t="shared" si="2932"/>
        <v>12.379000000000001</v>
      </c>
      <c r="R1294" s="482">
        <v>-20.584</v>
      </c>
      <c r="S1294" s="482">
        <v>-5.1030000000000015</v>
      </c>
      <c r="T1294" s="482">
        <v>-1.6379999999999981</v>
      </c>
      <c r="U1294" s="482">
        <v>5.0909999999999975</v>
      </c>
      <c r="V1294" s="481">
        <f t="shared" si="2933"/>
        <v>-22.234000000000002</v>
      </c>
      <c r="W1294" s="482">
        <v>-3.0209999999999999</v>
      </c>
      <c r="X1294" s="482">
        <v>3.8780000000000001</v>
      </c>
      <c r="Y1294" s="482">
        <v>-2.9630000000000001</v>
      </c>
      <c r="Z1294" s="482">
        <v>1.7559999999999998</v>
      </c>
      <c r="AA1294" s="481">
        <f t="shared" si="2934"/>
        <v>-0.35000000000000009</v>
      </c>
      <c r="AB1294" s="482">
        <v>-3.4089999999999998</v>
      </c>
      <c r="AC1294" s="482">
        <f>-2.697-AB1294</f>
        <v>0.71199999999999974</v>
      </c>
      <c r="AD1294" s="482">
        <f>-2.648-AC1294-AB1294</f>
        <v>4.8999999999999932E-2</v>
      </c>
      <c r="AE1294" s="482">
        <f>-5.292-AD1294-AC1294-AB1294</f>
        <v>-2.6439999999999992</v>
      </c>
      <c r="AF1294" s="481">
        <f t="shared" si="2935"/>
        <v>-5.2919999999999998</v>
      </c>
      <c r="AG1294" s="482">
        <v>1.476</v>
      </c>
      <c r="AH1294" s="482">
        <f>1.923-AG1294</f>
        <v>0.44700000000000006</v>
      </c>
      <c r="AI1294" s="482">
        <f>2.606-AH1294-AG1294</f>
        <v>0.68299999999999983</v>
      </c>
      <c r="AJ1294" s="482">
        <f>0.477-AI1294-AH1294-AG1294</f>
        <v>-2.129</v>
      </c>
      <c r="AK1294" s="481">
        <f t="shared" si="2936"/>
        <v>0.47699999999999987</v>
      </c>
      <c r="AL1294" s="482">
        <v>1.1240000000000001</v>
      </c>
      <c r="AM1294" s="482">
        <f>1.138-AL1294</f>
        <v>1.399999999999979E-2</v>
      </c>
      <c r="AN1294" s="482">
        <f>3.599-AM1294-AL1294</f>
        <v>2.4610000000000003</v>
      </c>
      <c r="AO1294" s="482">
        <f>0.397-AN1294-AM1294-AL1294</f>
        <v>-3.202</v>
      </c>
      <c r="AP1294" s="481">
        <f t="shared" si="2937"/>
        <v>0.39700000000000024</v>
      </c>
      <c r="AQ1294" s="482">
        <v>0.19700000000000001</v>
      </c>
      <c r="AR1294" s="482">
        <f>-2.647-AQ1294</f>
        <v>-2.8439999999999999</v>
      </c>
      <c r="AS1294" s="482">
        <f>-2.269-AQ1294-AR1294</f>
        <v>0.37799999999999967</v>
      </c>
      <c r="AT1294" s="482">
        <f>1.334-SUM(AQ1294:AS1294)</f>
        <v>3.6030000000000002</v>
      </c>
      <c r="AU1294" s="481">
        <f t="shared" si="2897"/>
        <v>1.3340000000000001</v>
      </c>
      <c r="AV1294" s="482">
        <v>3.9220000000000002</v>
      </c>
      <c r="AW1294" s="482">
        <f>+-3.272-AV1294</f>
        <v>-7.194</v>
      </c>
      <c r="AX1294" s="482">
        <f>-2.672-AW1294-AV1294</f>
        <v>0.60000000000000009</v>
      </c>
      <c r="AY1294" s="482">
        <f>-2.175-SUM(AV1294:AX1294)</f>
        <v>0.49699999999999989</v>
      </c>
      <c r="AZ1294" s="481">
        <f t="shared" ref="AZ1294:AZ1300" si="2938">SUM(AV1294:AY1294)</f>
        <v>-2.1749999999999998</v>
      </c>
      <c r="BA1294" s="482">
        <v>2.1859999999999999</v>
      </c>
      <c r="BB1294" s="482">
        <f>24.115-BA1294</f>
        <v>21.928999999999998</v>
      </c>
      <c r="BC1294" s="482">
        <f>4.019-BB1294-BA1294</f>
        <v>-20.095999999999997</v>
      </c>
      <c r="BD1294" s="862">
        <f>2.028-SUM(BA1294:BC1294)</f>
        <v>-1.9910000000000019</v>
      </c>
      <c r="BE1294" s="481">
        <f t="shared" si="2899"/>
        <v>2.028</v>
      </c>
      <c r="BF1294" s="482">
        <v>2.887</v>
      </c>
      <c r="BG1294" s="482">
        <f>6.633-BF1294</f>
        <v>3.746</v>
      </c>
      <c r="BH1294" s="482">
        <f>4.763-BG1294-BF1294</f>
        <v>-1.87</v>
      </c>
      <c r="BI1294" s="862">
        <f>2.113-SUM(BF1294:BH1294)</f>
        <v>-2.65</v>
      </c>
      <c r="BJ1294" s="481">
        <f t="shared" ref="BJ1294:BJ1300" si="2939">SUM(BF1294:BI1294)</f>
        <v>2.113</v>
      </c>
      <c r="BK1294" s="482">
        <v>-1.9510000000000001</v>
      </c>
      <c r="BL1294" s="482">
        <f>-6.025-BK1294</f>
        <v>-4.0739999999999998</v>
      </c>
      <c r="BM1294" s="2953">
        <v>-2.467000000000001</v>
      </c>
      <c r="BN1294" s="2953">
        <f>-7.5-SUM(BK1294:BM1294)</f>
        <v>0.99200000000000088</v>
      </c>
      <c r="BO1294" s="481">
        <f t="shared" si="2901"/>
        <v>-7.5</v>
      </c>
      <c r="BP1294" s="482">
        <v>-2.4700000000000002</v>
      </c>
      <c r="BQ1294" s="482">
        <f>+-3.929-BP1294</f>
        <v>-1.4589999999999996</v>
      </c>
      <c r="BR1294" s="482">
        <f>-1.753-BQ1294-BP1294</f>
        <v>2.1760000000000002</v>
      </c>
      <c r="BS1294" s="482">
        <f>-0.342-SUM(BP1294:BR1294)</f>
        <v>1.4109999999999996</v>
      </c>
      <c r="BT1294" s="2587">
        <f t="shared" si="2902"/>
        <v>-0.34200000000000008</v>
      </c>
      <c r="BU1294" s="482">
        <v>0</v>
      </c>
      <c r="BV1294" s="482">
        <v>0</v>
      </c>
      <c r="BW1294" s="482">
        <v>0</v>
      </c>
      <c r="BX1294" s="482">
        <v>0</v>
      </c>
      <c r="BY1294" s="2587">
        <f t="shared" si="2903"/>
        <v>0</v>
      </c>
      <c r="BZ1294" s="484">
        <v>0</v>
      </c>
      <c r="CA1294" s="484">
        <v>0</v>
      </c>
      <c r="CB1294" s="484">
        <v>0</v>
      </c>
      <c r="CC1294" s="484">
        <v>0</v>
      </c>
      <c r="CD1294" s="484">
        <v>0</v>
      </c>
      <c r="CE1294" s="484">
        <v>0</v>
      </c>
      <c r="CF1294" s="484">
        <v>0</v>
      </c>
      <c r="CG1294" s="331"/>
      <c r="CH1294" s="331"/>
      <c r="CI1294" s="331"/>
      <c r="CJ1294" s="331"/>
      <c r="CK1294" s="331"/>
      <c r="CL1294" s="871" t="str">
        <f t="shared" si="2894"/>
        <v>Accounts payable</v>
      </c>
      <c r="CM1294" s="430">
        <f t="shared" si="2905"/>
        <v>0</v>
      </c>
      <c r="CN1294" s="430">
        <f t="shared" si="2906"/>
        <v>0</v>
      </c>
      <c r="CO1294" s="430">
        <f t="shared" si="2907"/>
        <v>12.379000000000001</v>
      </c>
      <c r="CP1294" s="430">
        <f t="shared" si="2908"/>
        <v>-22.234000000000002</v>
      </c>
      <c r="CQ1294" s="430">
        <f t="shared" si="2909"/>
        <v>-0.35000000000000009</v>
      </c>
      <c r="CR1294" s="430">
        <f t="shared" si="2910"/>
        <v>-5.2919999999999998</v>
      </c>
      <c r="CS1294" s="430">
        <f t="shared" si="2911"/>
        <v>0.47699999999999987</v>
      </c>
      <c r="CT1294" s="430">
        <f t="shared" si="2912"/>
        <v>0.39700000000000024</v>
      </c>
      <c r="CU1294" s="430">
        <f t="shared" si="2913"/>
        <v>1.3340000000000001</v>
      </c>
      <c r="CV1294" s="430">
        <f t="shared" si="2914"/>
        <v>-2.1749999999999998</v>
      </c>
      <c r="CW1294" s="430">
        <f t="shared" si="2915"/>
        <v>2.028</v>
      </c>
      <c r="CX1294" s="430">
        <f t="shared" si="2916"/>
        <v>2.113</v>
      </c>
      <c r="CY1294" s="430">
        <f t="shared" si="2917"/>
        <v>-7.5</v>
      </c>
      <c r="CZ1294" s="430">
        <f t="shared" si="2918"/>
        <v>-0.34200000000000008</v>
      </c>
      <c r="DA1294" s="430">
        <f t="shared" si="2919"/>
        <v>0</v>
      </c>
      <c r="DB1294" s="430">
        <f t="shared" si="2920"/>
        <v>0</v>
      </c>
      <c r="DC1294" s="853">
        <f t="shared" si="2921"/>
        <v>0</v>
      </c>
      <c r="DD1294" s="331"/>
      <c r="DE1294" s="331"/>
      <c r="DF1294" s="502"/>
      <c r="DG1294" s="503"/>
      <c r="DH1294" s="2840"/>
      <c r="DI1294" s="3213"/>
      <c r="DJ1294" s="502"/>
      <c r="DK1294" s="503"/>
      <c r="DL1294" s="502"/>
      <c r="DM1294" s="502"/>
      <c r="DN1294" s="502"/>
      <c r="DO1294" s="502"/>
      <c r="DP1294" s="503"/>
      <c r="DQ1294" s="503"/>
      <c r="DR1294" s="296"/>
      <c r="DS1294" s="296"/>
      <c r="DT1294" s="296"/>
    </row>
    <row r="1295" spans="1:124" ht="12.75" customHeight="1" x14ac:dyDescent="0.25">
      <c r="A1295" s="871" t="s">
        <v>1332</v>
      </c>
      <c r="B1295" s="603"/>
      <c r="C1295" s="482"/>
      <c r="D1295" s="482"/>
      <c r="E1295" s="482"/>
      <c r="F1295" s="482"/>
      <c r="G1295" s="484"/>
      <c r="H1295" s="482"/>
      <c r="I1295" s="482"/>
      <c r="J1295" s="482"/>
      <c r="K1295" s="482"/>
      <c r="L1295" s="481"/>
      <c r="M1295" s="482">
        <v>-60.612000000000002</v>
      </c>
      <c r="N1295" s="482">
        <v>34.06</v>
      </c>
      <c r="O1295" s="482">
        <v>17.041000000000004</v>
      </c>
      <c r="P1295" s="482">
        <v>13.665999999999997</v>
      </c>
      <c r="Q1295" s="481">
        <f t="shared" si="2932"/>
        <v>4.1550000000000011</v>
      </c>
      <c r="R1295" s="482">
        <v>-44.250999999999998</v>
      </c>
      <c r="S1295" s="482">
        <v>9.1490000000000009</v>
      </c>
      <c r="T1295" s="482">
        <v>13.617999999999995</v>
      </c>
      <c r="U1295" s="482">
        <v>9.0480000000000018</v>
      </c>
      <c r="V1295" s="481">
        <f t="shared" si="2933"/>
        <v>-12.436</v>
      </c>
      <c r="W1295" s="482">
        <v>-30.911999999999999</v>
      </c>
      <c r="X1295" s="482">
        <v>7.6419999999999995</v>
      </c>
      <c r="Y1295" s="482">
        <v>5.3120000000000012</v>
      </c>
      <c r="Z1295" s="482">
        <v>5.9130000000000003</v>
      </c>
      <c r="AA1295" s="481">
        <f t="shared" si="2934"/>
        <v>-12.044999999999998</v>
      </c>
      <c r="AB1295" s="482">
        <v>-26.710999999999999</v>
      </c>
      <c r="AC1295" s="482">
        <f>-14.815-AB1295</f>
        <v>11.895999999999999</v>
      </c>
      <c r="AD1295" s="482">
        <f>-4.065-AC1295-AB1295</f>
        <v>10.75</v>
      </c>
      <c r="AE1295" s="482">
        <f>4.837-AD1295-AC1295-AB1295</f>
        <v>8.902000000000001</v>
      </c>
      <c r="AF1295" s="481">
        <f t="shared" si="2935"/>
        <v>4.8370000000000015</v>
      </c>
      <c r="AG1295" s="482">
        <v>-26.167000000000002</v>
      </c>
      <c r="AH1295" s="482">
        <f>-13.021-AG1295</f>
        <v>13.146000000000001</v>
      </c>
      <c r="AI1295" s="482">
        <f>-21.345-AH1295-AG1295</f>
        <v>-8.3239999999999981</v>
      </c>
      <c r="AJ1295" s="482">
        <f>0.505-AI1295-AH1295-AG1295</f>
        <v>21.85</v>
      </c>
      <c r="AK1295" s="481">
        <f t="shared" si="2936"/>
        <v>0.50500000000000256</v>
      </c>
      <c r="AL1295" s="482">
        <v>-23.431000000000001</v>
      </c>
      <c r="AM1295" s="482">
        <f>-12.531-AL1295</f>
        <v>10.9</v>
      </c>
      <c r="AN1295" s="482">
        <f>-3.229-AM1295-AL1295</f>
        <v>9.3019999999999996</v>
      </c>
      <c r="AO1295" s="482">
        <f>8.382-AN1295-AM1295-AL1295</f>
        <v>11.611000000000001</v>
      </c>
      <c r="AP1295" s="481">
        <f t="shared" si="2937"/>
        <v>8.3819999999999997</v>
      </c>
      <c r="AQ1295" s="482">
        <v>-23.896999999999998</v>
      </c>
      <c r="AR1295" s="482">
        <f>-7.026-AQ1295</f>
        <v>16.870999999999999</v>
      </c>
      <c r="AS1295" s="482">
        <f>-5.111-AQ1295-AR1295</f>
        <v>1.9149999999999991</v>
      </c>
      <c r="AT1295" s="482">
        <f>12.77-SUM(AQ1295:AS1295)</f>
        <v>17.881</v>
      </c>
      <c r="AU1295" s="481">
        <f t="shared" si="2897"/>
        <v>12.77</v>
      </c>
      <c r="AV1295" s="482">
        <v>-30.503</v>
      </c>
      <c r="AW1295" s="482">
        <f>+-30.99-AV1295</f>
        <v>-0.48699999999999832</v>
      </c>
      <c r="AX1295" s="482">
        <f>-30.7-AW1295-AV1295</f>
        <v>0.28999999999999915</v>
      </c>
      <c r="AY1295" s="482">
        <f>-30.147-SUM(AV1295:AX1295)</f>
        <v>0.55300000000000082</v>
      </c>
      <c r="AZ1295" s="481">
        <f t="shared" si="2938"/>
        <v>-30.146999999999998</v>
      </c>
      <c r="BA1295" s="482">
        <v>-14.266</v>
      </c>
      <c r="BB1295" s="482">
        <f>-11.803-BA1295</f>
        <v>2.4629999999999992</v>
      </c>
      <c r="BC1295" s="482">
        <f>-14.447-BB1295-BA1295</f>
        <v>-2.6439999999999966</v>
      </c>
      <c r="BD1295" s="862">
        <f>-19.512-SUM(BA1295:BC1295)</f>
        <v>-5.0650000000000031</v>
      </c>
      <c r="BE1295" s="481">
        <f t="shared" si="2899"/>
        <v>-19.512</v>
      </c>
      <c r="BF1295" s="482">
        <v>4.931</v>
      </c>
      <c r="BG1295" s="482">
        <f>6.059-BF1295</f>
        <v>1.1280000000000001</v>
      </c>
      <c r="BH1295" s="482">
        <f>1.248-BG1295-BF1295</f>
        <v>-4.8109999999999999</v>
      </c>
      <c r="BI1295" s="862">
        <f>7.243-SUM(BF1295:BH1295)</f>
        <v>5.9950000000000001</v>
      </c>
      <c r="BJ1295" s="481">
        <f t="shared" si="2939"/>
        <v>7.2430000000000003</v>
      </c>
      <c r="BK1295" s="482">
        <v>0.64800000000000002</v>
      </c>
      <c r="BL1295" s="482">
        <f>7.231-BK1295</f>
        <v>6.5830000000000002</v>
      </c>
      <c r="BM1295" s="2953">
        <v>-9.7199999999999989</v>
      </c>
      <c r="BN1295" s="2953">
        <f>1.519-SUM(BK1295:BM1295)</f>
        <v>4.0079999999999991</v>
      </c>
      <c r="BO1295" s="481">
        <f t="shared" si="2901"/>
        <v>1.5190000000000001</v>
      </c>
      <c r="BP1295" s="482">
        <v>5.351</v>
      </c>
      <c r="BQ1295" s="482">
        <f>8.895-BP1295</f>
        <v>3.5439999999999996</v>
      </c>
      <c r="BR1295" s="482">
        <f>7.27-BQ1295-BP1295</f>
        <v>-1.625</v>
      </c>
      <c r="BS1295" s="482">
        <f>23.761-SUM(BP1295:BR1295)</f>
        <v>16.491</v>
      </c>
      <c r="BT1295" s="2587">
        <f t="shared" si="2902"/>
        <v>23.760999999999999</v>
      </c>
      <c r="BU1295" s="482">
        <v>0</v>
      </c>
      <c r="BV1295" s="482">
        <v>0</v>
      </c>
      <c r="BW1295" s="482">
        <v>0</v>
      </c>
      <c r="BX1295" s="482">
        <v>0</v>
      </c>
      <c r="BY1295" s="2587">
        <f t="shared" si="2903"/>
        <v>0</v>
      </c>
      <c r="BZ1295" s="484">
        <v>0</v>
      </c>
      <c r="CA1295" s="484">
        <v>0</v>
      </c>
      <c r="CB1295" s="484">
        <v>0</v>
      </c>
      <c r="CC1295" s="484">
        <v>0</v>
      </c>
      <c r="CD1295" s="484">
        <v>0</v>
      </c>
      <c r="CE1295" s="484">
        <v>0</v>
      </c>
      <c r="CF1295" s="484">
        <v>0</v>
      </c>
      <c r="CG1295" s="331"/>
      <c r="CH1295" s="331"/>
      <c r="CI1295" s="331"/>
      <c r="CJ1295" s="331"/>
      <c r="CK1295" s="331"/>
      <c r="CL1295" s="871" t="str">
        <f t="shared" si="2894"/>
        <v>Accrued expenses</v>
      </c>
      <c r="CM1295" s="430">
        <f t="shared" si="2905"/>
        <v>0</v>
      </c>
      <c r="CN1295" s="430">
        <f t="shared" si="2906"/>
        <v>0</v>
      </c>
      <c r="CO1295" s="430">
        <f t="shared" si="2907"/>
        <v>4.1550000000000011</v>
      </c>
      <c r="CP1295" s="430">
        <f t="shared" si="2908"/>
        <v>-12.436</v>
      </c>
      <c r="CQ1295" s="430">
        <f t="shared" si="2909"/>
        <v>-12.044999999999998</v>
      </c>
      <c r="CR1295" s="430">
        <f t="shared" si="2910"/>
        <v>4.8370000000000015</v>
      </c>
      <c r="CS1295" s="430">
        <f t="shared" si="2911"/>
        <v>0.50500000000000256</v>
      </c>
      <c r="CT1295" s="430">
        <f t="shared" si="2912"/>
        <v>8.3819999999999997</v>
      </c>
      <c r="CU1295" s="430">
        <f t="shared" si="2913"/>
        <v>12.77</v>
      </c>
      <c r="CV1295" s="430">
        <f t="shared" si="2914"/>
        <v>-30.146999999999998</v>
      </c>
      <c r="CW1295" s="430">
        <f t="shared" si="2915"/>
        <v>-19.512</v>
      </c>
      <c r="CX1295" s="430">
        <f t="shared" si="2916"/>
        <v>7.2430000000000003</v>
      </c>
      <c r="CY1295" s="430">
        <f t="shared" si="2917"/>
        <v>1.5190000000000001</v>
      </c>
      <c r="CZ1295" s="430">
        <f t="shared" si="2918"/>
        <v>23.760999999999999</v>
      </c>
      <c r="DA1295" s="430">
        <f t="shared" si="2919"/>
        <v>0</v>
      </c>
      <c r="DB1295" s="430">
        <f t="shared" si="2920"/>
        <v>0</v>
      </c>
      <c r="DC1295" s="853">
        <f t="shared" si="2921"/>
        <v>0</v>
      </c>
      <c r="DD1295" s="331"/>
      <c r="DE1295" s="331"/>
      <c r="DF1295" s="502"/>
      <c r="DG1295" s="503"/>
      <c r="DH1295" s="2840"/>
      <c r="DI1295" s="3213"/>
      <c r="DJ1295" s="502"/>
      <c r="DK1295" s="503"/>
      <c r="DL1295" s="502"/>
      <c r="DM1295" s="502"/>
      <c r="DN1295" s="502"/>
      <c r="DO1295" s="502"/>
      <c r="DP1295" s="503"/>
      <c r="DQ1295" s="503"/>
      <c r="DR1295" s="296"/>
      <c r="DS1295" s="296"/>
      <c r="DT1295" s="296"/>
    </row>
    <row r="1296" spans="1:124" ht="12.75" customHeight="1" x14ac:dyDescent="0.25">
      <c r="A1296" s="871" t="s">
        <v>1165</v>
      </c>
      <c r="B1296" s="603"/>
      <c r="C1296" s="482"/>
      <c r="D1296" s="482"/>
      <c r="E1296" s="482"/>
      <c r="F1296" s="482"/>
      <c r="G1296" s="484"/>
      <c r="H1296" s="482"/>
      <c r="I1296" s="482"/>
      <c r="J1296" s="482"/>
      <c r="K1296" s="482"/>
      <c r="L1296" s="481"/>
      <c r="M1296" s="482">
        <v>2.4950000000000001</v>
      </c>
      <c r="N1296" s="482">
        <v>-5.5440000000000005</v>
      </c>
      <c r="O1296" s="482">
        <v>0.19500000000000001</v>
      </c>
      <c r="P1296" s="482">
        <v>0.88</v>
      </c>
      <c r="Q1296" s="481">
        <f t="shared" si="2932"/>
        <v>-1.9740000000000006</v>
      </c>
      <c r="R1296" s="482">
        <v>-2.1110000000000002</v>
      </c>
      <c r="S1296" s="482">
        <v>3.7370000000000001</v>
      </c>
      <c r="T1296" s="482">
        <v>-0.61699999999999999</v>
      </c>
      <c r="U1296" s="482">
        <v>-2.6030000000000002</v>
      </c>
      <c r="V1296" s="481">
        <f t="shared" si="2933"/>
        <v>-1.5940000000000003</v>
      </c>
      <c r="W1296" s="482">
        <v>-1.72</v>
      </c>
      <c r="X1296" s="482">
        <v>-2.9279999999999999</v>
      </c>
      <c r="Y1296" s="482">
        <v>-3.5550000000000002</v>
      </c>
      <c r="Z1296" s="482">
        <v>-4.5259999999999998</v>
      </c>
      <c r="AA1296" s="481">
        <f t="shared" si="2934"/>
        <v>-12.728999999999999</v>
      </c>
      <c r="AB1296" s="482">
        <v>-1.8180000000000001</v>
      </c>
      <c r="AC1296" s="482">
        <f>-4.767-AB1296</f>
        <v>-2.9490000000000003</v>
      </c>
      <c r="AD1296" s="482">
        <f>-4.307-AC1296-AB1296</f>
        <v>0.45999999999999996</v>
      </c>
      <c r="AE1296" s="482">
        <f>4.332-AD1296-AC1296-AB1296</f>
        <v>8.6389999999999993</v>
      </c>
      <c r="AF1296" s="481">
        <f t="shared" si="2935"/>
        <v>4.331999999999999</v>
      </c>
      <c r="AG1296" s="482">
        <v>-11.35</v>
      </c>
      <c r="AH1296" s="482">
        <f>0.032-AG1296</f>
        <v>11.382</v>
      </c>
      <c r="AI1296" s="482">
        <f>-11.058-AH1296-AG1296</f>
        <v>-11.089999999999998</v>
      </c>
      <c r="AJ1296" s="482">
        <f>0.648-AI1296-AH1296-AG1296</f>
        <v>11.705999999999998</v>
      </c>
      <c r="AK1296" s="481">
        <f t="shared" si="2936"/>
        <v>0.64799999999999969</v>
      </c>
      <c r="AL1296" s="482">
        <v>-11.746</v>
      </c>
      <c r="AM1296" s="482">
        <f>-2.731-AL1296</f>
        <v>9.0150000000000006</v>
      </c>
      <c r="AN1296" s="482">
        <f>-11.496-AM1296-AL1296</f>
        <v>-8.7650000000000023</v>
      </c>
      <c r="AO1296" s="482">
        <f>-4.038-AN1296-AM1296-AL1296</f>
        <v>7.458000000000002</v>
      </c>
      <c r="AP1296" s="481">
        <f t="shared" si="2937"/>
        <v>-4.0380000000000003</v>
      </c>
      <c r="AQ1296" s="482">
        <v>-7.7110000000000003</v>
      </c>
      <c r="AR1296" s="482">
        <f>-0.646-AQ1296</f>
        <v>7.0650000000000004</v>
      </c>
      <c r="AS1296" s="482">
        <f>-6.538-AQ1296-AR1296</f>
        <v>-5.8920000000000003</v>
      </c>
      <c r="AT1296" s="482">
        <f>3.925-SUM(AQ1296:AS1296)</f>
        <v>10.463000000000001</v>
      </c>
      <c r="AU1296" s="481">
        <f t="shared" si="2897"/>
        <v>3.9250000000000007</v>
      </c>
      <c r="AV1296" s="482">
        <v>-6.99</v>
      </c>
      <c r="AW1296" s="482">
        <f>+-2.041-AV1296</f>
        <v>4.9489999999999998</v>
      </c>
      <c r="AX1296" s="482">
        <f>-9.288-AW1296-AV1296</f>
        <v>-7.2469999999999999</v>
      </c>
      <c r="AY1296" s="482">
        <f>-15.03-SUM(AV1296:AX1296)</f>
        <v>-5.7419999999999991</v>
      </c>
      <c r="AZ1296" s="481">
        <f t="shared" si="2938"/>
        <v>-15.03</v>
      </c>
      <c r="BA1296" s="482">
        <v>2.484</v>
      </c>
      <c r="BB1296" s="482">
        <f>+-2.03-BA1296</f>
        <v>-4.5139999999999993</v>
      </c>
      <c r="BC1296" s="482">
        <f>2.886-BB1296-BA1296</f>
        <v>4.9159999999999995</v>
      </c>
      <c r="BD1296" s="862">
        <f>0.136-SUM(BA1296:BC1296)</f>
        <v>-2.75</v>
      </c>
      <c r="BE1296" s="481">
        <f t="shared" si="2899"/>
        <v>0.13600000000000012</v>
      </c>
      <c r="BF1296" s="482">
        <v>6.2640000000000002</v>
      </c>
      <c r="BG1296" s="482">
        <f>3.618-BF1296</f>
        <v>-2.6460000000000004</v>
      </c>
      <c r="BH1296" s="482">
        <f>3.68-BG1296-BF1296</f>
        <v>6.2000000000000277E-2</v>
      </c>
      <c r="BI1296" s="862">
        <f>1.91-SUM(BF1296:BH1296)</f>
        <v>-1.7700000000000002</v>
      </c>
      <c r="BJ1296" s="481">
        <f t="shared" si="2939"/>
        <v>1.91</v>
      </c>
      <c r="BK1296" s="482">
        <v>1.55</v>
      </c>
      <c r="BL1296" s="482">
        <f>-1.386-BK1296</f>
        <v>-2.9359999999999999</v>
      </c>
      <c r="BM1296" s="2953">
        <v>2.9969999999999999</v>
      </c>
      <c r="BN1296" s="2953">
        <f>-0.746-SUM(BK1296:BM1296)</f>
        <v>-2.3570000000000002</v>
      </c>
      <c r="BO1296" s="481">
        <f t="shared" si="2901"/>
        <v>-0.74600000000000022</v>
      </c>
      <c r="BP1296" s="482">
        <v>-0.91900000000000004</v>
      </c>
      <c r="BQ1296" s="482">
        <f>6.751-BP1296</f>
        <v>7.67</v>
      </c>
      <c r="BR1296" s="482">
        <f>-0.489-BQ1296-BP1296</f>
        <v>-7.24</v>
      </c>
      <c r="BS1296" s="482">
        <f>7.183-SUM(BP1296:BR1296)</f>
        <v>7.6720000000000006</v>
      </c>
      <c r="BT1296" s="2587">
        <f t="shared" si="2902"/>
        <v>7.1829999999999998</v>
      </c>
      <c r="BU1296" s="482">
        <v>0</v>
      </c>
      <c r="BV1296" s="482">
        <v>0</v>
      </c>
      <c r="BW1296" s="482">
        <v>0</v>
      </c>
      <c r="BX1296" s="482">
        <v>0</v>
      </c>
      <c r="BY1296" s="2587">
        <f t="shared" si="2903"/>
        <v>0</v>
      </c>
      <c r="BZ1296" s="484">
        <v>0</v>
      </c>
      <c r="CA1296" s="484">
        <v>0</v>
      </c>
      <c r="CB1296" s="484">
        <v>0</v>
      </c>
      <c r="CC1296" s="484">
        <v>0</v>
      </c>
      <c r="CD1296" s="484">
        <v>0</v>
      </c>
      <c r="CE1296" s="484">
        <v>0</v>
      </c>
      <c r="CF1296" s="484">
        <v>0</v>
      </c>
      <c r="CG1296" s="331"/>
      <c r="CH1296" s="331"/>
      <c r="CI1296" s="331"/>
      <c r="CJ1296" s="331"/>
      <c r="CK1296" s="331"/>
      <c r="CL1296" s="871" t="str">
        <f t="shared" si="2894"/>
        <v>Accrued interest</v>
      </c>
      <c r="CM1296" s="430">
        <f t="shared" si="2905"/>
        <v>0</v>
      </c>
      <c r="CN1296" s="430">
        <f t="shared" si="2906"/>
        <v>0</v>
      </c>
      <c r="CO1296" s="430">
        <f t="shared" si="2907"/>
        <v>-1.9740000000000006</v>
      </c>
      <c r="CP1296" s="430">
        <f t="shared" si="2908"/>
        <v>-1.5940000000000003</v>
      </c>
      <c r="CQ1296" s="430">
        <f t="shared" si="2909"/>
        <v>-12.728999999999999</v>
      </c>
      <c r="CR1296" s="430">
        <f t="shared" si="2910"/>
        <v>4.331999999999999</v>
      </c>
      <c r="CS1296" s="430">
        <f t="shared" si="2911"/>
        <v>0.64799999999999969</v>
      </c>
      <c r="CT1296" s="430">
        <f t="shared" si="2912"/>
        <v>-4.0380000000000003</v>
      </c>
      <c r="CU1296" s="430">
        <f t="shared" si="2913"/>
        <v>3.9250000000000007</v>
      </c>
      <c r="CV1296" s="430">
        <f t="shared" si="2914"/>
        <v>-15.03</v>
      </c>
      <c r="CW1296" s="430">
        <f t="shared" si="2915"/>
        <v>0.13600000000000012</v>
      </c>
      <c r="CX1296" s="430">
        <f t="shared" si="2916"/>
        <v>1.91</v>
      </c>
      <c r="CY1296" s="430">
        <f t="shared" si="2917"/>
        <v>-0.74600000000000022</v>
      </c>
      <c r="CZ1296" s="430">
        <f t="shared" si="2918"/>
        <v>7.1829999999999998</v>
      </c>
      <c r="DA1296" s="430">
        <f t="shared" si="2919"/>
        <v>0</v>
      </c>
      <c r="DB1296" s="430">
        <f t="shared" si="2920"/>
        <v>0</v>
      </c>
      <c r="DC1296" s="853">
        <f t="shared" si="2921"/>
        <v>0</v>
      </c>
      <c r="DD1296" s="331"/>
      <c r="DE1296" s="331"/>
      <c r="DF1296" s="502"/>
      <c r="DG1296" s="503"/>
      <c r="DH1296" s="2840"/>
      <c r="DI1296" s="3213"/>
      <c r="DJ1296" s="502"/>
      <c r="DK1296" s="503"/>
      <c r="DL1296" s="502"/>
      <c r="DM1296" s="502"/>
      <c r="DN1296" s="502"/>
      <c r="DO1296" s="502"/>
      <c r="DP1296" s="503"/>
      <c r="DQ1296" s="503"/>
      <c r="DR1296" s="296"/>
      <c r="DS1296" s="296"/>
      <c r="DT1296" s="296"/>
    </row>
    <row r="1297" spans="1:124" ht="12.75" customHeight="1" x14ac:dyDescent="0.25">
      <c r="A1297" s="871" t="s">
        <v>1166</v>
      </c>
      <c r="B1297" s="603"/>
      <c r="C1297" s="482"/>
      <c r="D1297" s="482"/>
      <c r="E1297" s="482"/>
      <c r="F1297" s="482"/>
      <c r="G1297" s="484"/>
      <c r="H1297" s="482"/>
      <c r="I1297" s="482"/>
      <c r="J1297" s="482"/>
      <c r="K1297" s="482"/>
      <c r="L1297" s="481"/>
      <c r="M1297" s="482">
        <v>-4.4359999999999999</v>
      </c>
      <c r="N1297" s="482">
        <v>1.657</v>
      </c>
      <c r="O1297" s="482">
        <v>7.3079999999999998</v>
      </c>
      <c r="P1297" s="482">
        <v>1.056</v>
      </c>
      <c r="Q1297" s="481">
        <f t="shared" si="2932"/>
        <v>5.585</v>
      </c>
      <c r="R1297" s="482">
        <v>-7.76</v>
      </c>
      <c r="S1297" s="482">
        <v>2.8769999999999998</v>
      </c>
      <c r="T1297" s="482">
        <v>8.3000000000000007</v>
      </c>
      <c r="U1297" s="482">
        <v>-9.42</v>
      </c>
      <c r="V1297" s="481">
        <f t="shared" si="2933"/>
        <v>-6.0029999999999992</v>
      </c>
      <c r="W1297" s="482">
        <v>-3.028</v>
      </c>
      <c r="X1297" s="482">
        <v>5.77</v>
      </c>
      <c r="Y1297" s="482">
        <v>3.7970000000000002</v>
      </c>
      <c r="Z1297" s="482">
        <v>-5.3079999999999981</v>
      </c>
      <c r="AA1297" s="481">
        <f t="shared" si="2934"/>
        <v>1.2310000000000016</v>
      </c>
      <c r="AB1297" s="482">
        <v>-1.454</v>
      </c>
      <c r="AC1297" s="482">
        <f>2.469-AB1297</f>
        <v>3.923</v>
      </c>
      <c r="AD1297" s="482">
        <f>12.155-AC1297-AB1297</f>
        <v>9.6859999999999999</v>
      </c>
      <c r="AE1297" s="482">
        <f>10.228-AD1297-AC1297-AB1297</f>
        <v>-1.9270000000000003</v>
      </c>
      <c r="AF1297" s="481">
        <f t="shared" si="2935"/>
        <v>10.228000000000002</v>
      </c>
      <c r="AG1297" s="482">
        <v>-14.42</v>
      </c>
      <c r="AH1297" s="482">
        <f>-10.285-AG1297</f>
        <v>4.1349999999999998</v>
      </c>
      <c r="AI1297" s="482">
        <f>0.605-AH1297-AG1297</f>
        <v>10.89</v>
      </c>
      <c r="AJ1297" s="482">
        <f>7.824-AI1297-AH1297-AG1297</f>
        <v>7.2189999999999994</v>
      </c>
      <c r="AK1297" s="481">
        <f t="shared" si="2936"/>
        <v>7.8239999999999998</v>
      </c>
      <c r="AL1297" s="482">
        <v>-17.402999999999999</v>
      </c>
      <c r="AM1297" s="482">
        <f>-7.053-AL1297</f>
        <v>10.349999999999998</v>
      </c>
      <c r="AN1297" s="482">
        <f>-3.455-AM1297-AL1297</f>
        <v>3.5980000000000008</v>
      </c>
      <c r="AO1297" s="482">
        <f>8.961-AN1297-AM1297-AL1297</f>
        <v>12.416</v>
      </c>
      <c r="AP1297" s="481">
        <f t="shared" si="2937"/>
        <v>8.9610000000000003</v>
      </c>
      <c r="AQ1297" s="482">
        <v>-22.201000000000001</v>
      </c>
      <c r="AR1297" s="482">
        <f>-9.895-AQ1297</f>
        <v>12.306000000000001</v>
      </c>
      <c r="AS1297" s="482">
        <f>2.876-AQ1297-AR1297</f>
        <v>12.771000000000001</v>
      </c>
      <c r="AT1297" s="482">
        <f>10.285-SUM(AQ1297:AS1297)</f>
        <v>7.4089999999999989</v>
      </c>
      <c r="AU1297" s="481">
        <f t="shared" si="2897"/>
        <v>10.285</v>
      </c>
      <c r="AV1297" s="482">
        <v>-18.096</v>
      </c>
      <c r="AW1297" s="482">
        <f>+-15.605-AV1297</f>
        <v>2.4909999999999997</v>
      </c>
      <c r="AX1297" s="482">
        <f>-11.124-AW1297-AV1297</f>
        <v>4.4809999999999999</v>
      </c>
      <c r="AY1297" s="482">
        <f>-2.383-SUM(AV1297:AX1297)</f>
        <v>8.7409999999999997</v>
      </c>
      <c r="AZ1297" s="481">
        <f t="shared" si="2938"/>
        <v>-2.3830000000000009</v>
      </c>
      <c r="BA1297" s="482">
        <v>-15.63</v>
      </c>
      <c r="BB1297" s="482">
        <f>-6.295-BA1297</f>
        <v>9.3350000000000009</v>
      </c>
      <c r="BC1297" s="482">
        <f>-3.059-BB1297-BA1297</f>
        <v>3.2359999999999989</v>
      </c>
      <c r="BD1297" s="862">
        <f>-2.53-BC1297-BB1297-BA1297</f>
        <v>0.52900000000000169</v>
      </c>
      <c r="BE1297" s="481">
        <f t="shared" si="2899"/>
        <v>-2.5299999999999994</v>
      </c>
      <c r="BF1297" s="482">
        <v>-14.363</v>
      </c>
      <c r="BG1297" s="482">
        <f>2.035-BF1297</f>
        <v>16.398</v>
      </c>
      <c r="BH1297" s="482">
        <f>-0.862-BG1297-BF1297</f>
        <v>-2.8969999999999985</v>
      </c>
      <c r="BI1297" s="862">
        <f>8.454-BH1297-BG1297-BF1297</f>
        <v>9.3159999999999989</v>
      </c>
      <c r="BJ1297" s="481">
        <f t="shared" si="2939"/>
        <v>8.4540000000000006</v>
      </c>
      <c r="BK1297" s="482">
        <v>-22.22</v>
      </c>
      <c r="BL1297" s="482">
        <f>-17.927-BK1297</f>
        <v>4.2929999999999993</v>
      </c>
      <c r="BM1297" s="2953">
        <v>-0.33500000000000085</v>
      </c>
      <c r="BN1297" s="2953">
        <f>-6.721-SUM(BK1297:BM1297)</f>
        <v>11.541</v>
      </c>
      <c r="BO1297" s="481">
        <f t="shared" si="2901"/>
        <v>-6.7210000000000001</v>
      </c>
      <c r="BP1297" s="482">
        <v>-19.547000000000001</v>
      </c>
      <c r="BQ1297" s="482">
        <f>+-9.177-BP1297</f>
        <v>10.370000000000001</v>
      </c>
      <c r="BR1297" s="482">
        <f>-1.311-BQ1297-BP1297</f>
        <v>7.8659999999999997</v>
      </c>
      <c r="BS1297" s="482">
        <f>15.783-SUM(BP1297:BR1297)</f>
        <v>17.094000000000001</v>
      </c>
      <c r="BT1297" s="2587">
        <f t="shared" si="2902"/>
        <v>15.783000000000001</v>
      </c>
      <c r="BU1297" s="482">
        <v>0</v>
      </c>
      <c r="BV1297" s="482">
        <v>0</v>
      </c>
      <c r="BW1297" s="482">
        <v>0</v>
      </c>
      <c r="BX1297" s="482">
        <v>0</v>
      </c>
      <c r="BY1297" s="2587">
        <f t="shared" si="2903"/>
        <v>0</v>
      </c>
      <c r="BZ1297" s="484">
        <v>0</v>
      </c>
      <c r="CA1297" s="484">
        <v>0</v>
      </c>
      <c r="CB1297" s="484">
        <v>0</v>
      </c>
      <c r="CC1297" s="484">
        <v>0</v>
      </c>
      <c r="CD1297" s="484">
        <v>0</v>
      </c>
      <c r="CE1297" s="484">
        <v>0</v>
      </c>
      <c r="CF1297" s="484">
        <v>0</v>
      </c>
      <c r="CG1297" s="331"/>
      <c r="CH1297" s="331"/>
      <c r="CI1297" s="331"/>
      <c r="CJ1297" s="331"/>
      <c r="CK1297" s="331"/>
      <c r="CL1297" s="871" t="str">
        <f t="shared" si="2894"/>
        <v>Accrued salaries and wages</v>
      </c>
      <c r="CM1297" s="430">
        <f t="shared" si="2905"/>
        <v>0</v>
      </c>
      <c r="CN1297" s="430">
        <f t="shared" si="2906"/>
        <v>0</v>
      </c>
      <c r="CO1297" s="430">
        <f t="shared" si="2907"/>
        <v>5.585</v>
      </c>
      <c r="CP1297" s="430">
        <f t="shared" si="2908"/>
        <v>-6.0029999999999992</v>
      </c>
      <c r="CQ1297" s="430">
        <f t="shared" si="2909"/>
        <v>1.2310000000000016</v>
      </c>
      <c r="CR1297" s="430">
        <f t="shared" si="2910"/>
        <v>10.228000000000002</v>
      </c>
      <c r="CS1297" s="430">
        <f t="shared" si="2911"/>
        <v>7.8239999999999998</v>
      </c>
      <c r="CT1297" s="430">
        <f t="shared" si="2912"/>
        <v>8.9610000000000003</v>
      </c>
      <c r="CU1297" s="430">
        <f t="shared" si="2913"/>
        <v>10.285</v>
      </c>
      <c r="CV1297" s="430">
        <f t="shared" si="2914"/>
        <v>-2.3830000000000009</v>
      </c>
      <c r="CW1297" s="430">
        <f t="shared" si="2915"/>
        <v>-2.5299999999999994</v>
      </c>
      <c r="CX1297" s="430">
        <f t="shared" si="2916"/>
        <v>8.4540000000000006</v>
      </c>
      <c r="CY1297" s="430">
        <f t="shared" si="2917"/>
        <v>-6.7210000000000001</v>
      </c>
      <c r="CZ1297" s="430">
        <f t="shared" si="2918"/>
        <v>15.783000000000001</v>
      </c>
      <c r="DA1297" s="430">
        <f t="shared" si="2919"/>
        <v>0</v>
      </c>
      <c r="DB1297" s="430">
        <f t="shared" si="2920"/>
        <v>0</v>
      </c>
      <c r="DC1297" s="853">
        <f t="shared" si="2921"/>
        <v>0</v>
      </c>
      <c r="DD1297" s="331"/>
      <c r="DE1297" s="331"/>
      <c r="DF1297" s="502"/>
      <c r="DG1297" s="503"/>
      <c r="DH1297" s="2840"/>
      <c r="DI1297" s="3213"/>
      <c r="DJ1297" s="502"/>
      <c r="DK1297" s="503"/>
      <c r="DL1297" s="502"/>
      <c r="DM1297" s="502"/>
      <c r="DN1297" s="502"/>
      <c r="DO1297" s="502"/>
      <c r="DP1297" s="503"/>
      <c r="DQ1297" s="503"/>
      <c r="DR1297" s="296"/>
      <c r="DS1297" s="296"/>
      <c r="DT1297" s="296"/>
    </row>
    <row r="1298" spans="1:124" ht="12.75" customHeight="1" x14ac:dyDescent="0.25">
      <c r="A1298" s="871" t="s">
        <v>644</v>
      </c>
      <c r="B1298" s="603"/>
      <c r="C1298" s="482"/>
      <c r="D1298" s="482"/>
      <c r="E1298" s="482"/>
      <c r="F1298" s="482"/>
      <c r="G1298" s="484"/>
      <c r="H1298" s="482"/>
      <c r="I1298" s="482"/>
      <c r="J1298" s="482"/>
      <c r="K1298" s="482"/>
      <c r="L1298" s="481"/>
      <c r="M1298" s="482">
        <v>16.798999999999999</v>
      </c>
      <c r="N1298" s="482">
        <v>-23.216000000000001</v>
      </c>
      <c r="O1298" s="482">
        <v>14.285</v>
      </c>
      <c r="P1298" s="482">
        <v>-7.9950000000000001</v>
      </c>
      <c r="Q1298" s="481">
        <f t="shared" si="2932"/>
        <v>-0.12700000000000156</v>
      </c>
      <c r="R1298" s="482">
        <v>11.318</v>
      </c>
      <c r="S1298" s="482">
        <v>-6.7319999999999993</v>
      </c>
      <c r="T1298" s="482">
        <v>11.04</v>
      </c>
      <c r="U1298" s="482">
        <v>-20.254999999999999</v>
      </c>
      <c r="V1298" s="481">
        <f t="shared" si="2933"/>
        <v>-4.6289999999999996</v>
      </c>
      <c r="W1298" s="482">
        <v>11.077999999999999</v>
      </c>
      <c r="X1298" s="482">
        <v>0.43400000000000105</v>
      </c>
      <c r="Y1298" s="482">
        <v>5.7859999999999978</v>
      </c>
      <c r="Z1298" s="482">
        <v>-16.415999999999997</v>
      </c>
      <c r="AA1298" s="481">
        <f t="shared" si="2934"/>
        <v>0.88200000000000145</v>
      </c>
      <c r="AB1298" s="482">
        <v>-2.4E-2</v>
      </c>
      <c r="AC1298" s="482">
        <f>-2.292-AB1298</f>
        <v>-2.2679999999999998</v>
      </c>
      <c r="AD1298" s="482">
        <f>6.278-AC1298-AB1298</f>
        <v>8.5699999999999985</v>
      </c>
      <c r="AE1298" s="482">
        <f>-5.56-AD1298-AC1298-AB1298</f>
        <v>-11.837999999999999</v>
      </c>
      <c r="AF1298" s="481">
        <f t="shared" si="2935"/>
        <v>-5.5600000000000005</v>
      </c>
      <c r="AG1298" s="482">
        <v>0.79100000000000004</v>
      </c>
      <c r="AH1298" s="482">
        <f>-1.562-AG1298</f>
        <v>-2.3530000000000002</v>
      </c>
      <c r="AI1298" s="482">
        <f>13.002-AH1298-AG1298</f>
        <v>14.564</v>
      </c>
      <c r="AJ1298" s="482">
        <f>7.506-AI1298-AH1298-AG1298</f>
        <v>-5.4960000000000004</v>
      </c>
      <c r="AK1298" s="481">
        <f t="shared" si="2936"/>
        <v>7.5059999999999985</v>
      </c>
      <c r="AL1298" s="482">
        <v>-5.2060000000000004</v>
      </c>
      <c r="AM1298" s="482">
        <f>-7.995-AL1298</f>
        <v>-2.7889999999999997</v>
      </c>
      <c r="AN1298" s="482">
        <f>4.367-AM1298-AL1298</f>
        <v>12.362</v>
      </c>
      <c r="AO1298" s="482">
        <f>2.047-AN1298-AM1298-AL1298</f>
        <v>-2.3199999999999994</v>
      </c>
      <c r="AP1298" s="481">
        <f t="shared" si="2937"/>
        <v>2.0470000000000006</v>
      </c>
      <c r="AQ1298" s="482">
        <v>-0.219</v>
      </c>
      <c r="AR1298" s="482">
        <f>-4.008-AQ1298</f>
        <v>-3.7890000000000001</v>
      </c>
      <c r="AS1298" s="482">
        <f>9.921-AQ1298-AR1298</f>
        <v>13.928999999999998</v>
      </c>
      <c r="AT1298" s="482">
        <f>6.051-SUM(AQ1298:AS1298)</f>
        <v>-3.8699999999999992</v>
      </c>
      <c r="AU1298" s="481">
        <f t="shared" si="2897"/>
        <v>6.0510000000000002</v>
      </c>
      <c r="AV1298" s="482">
        <v>5.7030000000000003</v>
      </c>
      <c r="AW1298" s="482">
        <f>10.247-AV1298</f>
        <v>4.5439999999999996</v>
      </c>
      <c r="AX1298" s="482">
        <f>16.472-AW1298-AV1298</f>
        <v>6.2250000000000005</v>
      </c>
      <c r="AY1298" s="482">
        <f>-1.555-SUM(AV1298:AX1298)</f>
        <v>-18.027000000000001</v>
      </c>
      <c r="AZ1298" s="481">
        <f t="shared" si="2938"/>
        <v>-1.5549999999999997</v>
      </c>
      <c r="BA1298" s="482">
        <v>2.7410000000000001</v>
      </c>
      <c r="BB1298" s="482">
        <f>4.024-BA1298</f>
        <v>1.2829999999999999</v>
      </c>
      <c r="BC1298" s="482">
        <f>13.298-BB1298-BA1298</f>
        <v>9.2740000000000009</v>
      </c>
      <c r="BD1298" s="862">
        <f>-0.044-BC1298-BA1298-BB1298</f>
        <v>-13.342000000000001</v>
      </c>
      <c r="BE1298" s="481">
        <f t="shared" si="2899"/>
        <v>-4.3999999999998707E-2</v>
      </c>
      <c r="BF1298" s="482">
        <v>3.754</v>
      </c>
      <c r="BG1298" s="482">
        <f>10.993-BF1298</f>
        <v>7.2390000000000008</v>
      </c>
      <c r="BH1298" s="482">
        <f>15.041-BG1298-BF1298</f>
        <v>4.048</v>
      </c>
      <c r="BI1298" s="862">
        <f>3.933-BH1298-BF1298-BG1298</f>
        <v>-11.108000000000001</v>
      </c>
      <c r="BJ1298" s="481">
        <f t="shared" si="2939"/>
        <v>3.9329999999999998</v>
      </c>
      <c r="BK1298" s="482">
        <v>-4.92</v>
      </c>
      <c r="BL1298" s="482">
        <f>-7.601-BK1298</f>
        <v>-2.681</v>
      </c>
      <c r="BM1298" s="2953">
        <v>13.1</v>
      </c>
      <c r="BN1298" s="2953">
        <f>3.379-SUM(BK1298:BM1298)</f>
        <v>-2.1199999999999997</v>
      </c>
      <c r="BO1298" s="481">
        <f t="shared" si="2901"/>
        <v>3.379</v>
      </c>
      <c r="BP1298" s="482">
        <v>-6.5439999999999996</v>
      </c>
      <c r="BQ1298" s="482">
        <f>+-3.997-BP1298</f>
        <v>2.5469999999999997</v>
      </c>
      <c r="BR1298" s="482">
        <f>11.433-BQ1298-BP1298</f>
        <v>15.43</v>
      </c>
      <c r="BS1298" s="482">
        <f>8.495-SUM(BP1298:BR1298)</f>
        <v>-2.9380000000000006</v>
      </c>
      <c r="BT1298" s="2587">
        <f t="shared" si="2902"/>
        <v>8.4949999999999992</v>
      </c>
      <c r="BU1298" s="482">
        <v>0</v>
      </c>
      <c r="BV1298" s="482">
        <v>0</v>
      </c>
      <c r="BW1298" s="482">
        <v>0</v>
      </c>
      <c r="BX1298" s="482">
        <v>0</v>
      </c>
      <c r="BY1298" s="2587">
        <f t="shared" si="2903"/>
        <v>0</v>
      </c>
      <c r="BZ1298" s="484">
        <v>0</v>
      </c>
      <c r="CA1298" s="484">
        <v>0</v>
      </c>
      <c r="CB1298" s="484">
        <v>0</v>
      </c>
      <c r="CC1298" s="484">
        <v>0</v>
      </c>
      <c r="CD1298" s="484">
        <v>0</v>
      </c>
      <c r="CE1298" s="484">
        <v>0</v>
      </c>
      <c r="CF1298" s="484">
        <v>0</v>
      </c>
      <c r="CG1298" s="331"/>
      <c r="CH1298" s="331"/>
      <c r="CI1298" s="331"/>
      <c r="CJ1298" s="331"/>
      <c r="CK1298" s="331"/>
      <c r="CL1298" s="871" t="str">
        <f t="shared" si="2894"/>
        <v>Gaming, property, and other taxes</v>
      </c>
      <c r="CM1298" s="430">
        <f t="shared" si="2905"/>
        <v>0</v>
      </c>
      <c r="CN1298" s="430">
        <f t="shared" si="2906"/>
        <v>0</v>
      </c>
      <c r="CO1298" s="430">
        <f t="shared" si="2907"/>
        <v>-0.12700000000000156</v>
      </c>
      <c r="CP1298" s="430">
        <f t="shared" si="2908"/>
        <v>-4.6289999999999996</v>
      </c>
      <c r="CQ1298" s="430">
        <f t="shared" si="2909"/>
        <v>0.88200000000000145</v>
      </c>
      <c r="CR1298" s="430">
        <f t="shared" si="2910"/>
        <v>-5.5600000000000005</v>
      </c>
      <c r="CS1298" s="430">
        <f t="shared" si="2911"/>
        <v>7.5059999999999985</v>
      </c>
      <c r="CT1298" s="430">
        <f t="shared" si="2912"/>
        <v>2.0470000000000006</v>
      </c>
      <c r="CU1298" s="430">
        <f t="shared" si="2913"/>
        <v>6.0510000000000002</v>
      </c>
      <c r="CV1298" s="430">
        <f t="shared" si="2914"/>
        <v>-1.5549999999999997</v>
      </c>
      <c r="CW1298" s="430">
        <f t="shared" si="2915"/>
        <v>-4.3999999999998707E-2</v>
      </c>
      <c r="CX1298" s="430">
        <f t="shared" si="2916"/>
        <v>3.9329999999999998</v>
      </c>
      <c r="CY1298" s="430">
        <f t="shared" si="2917"/>
        <v>3.379</v>
      </c>
      <c r="CZ1298" s="430">
        <f t="shared" si="2918"/>
        <v>8.4949999999999992</v>
      </c>
      <c r="DA1298" s="430">
        <f t="shared" si="2919"/>
        <v>0</v>
      </c>
      <c r="DB1298" s="430">
        <f t="shared" si="2920"/>
        <v>0</v>
      </c>
      <c r="DC1298" s="853">
        <f t="shared" si="2921"/>
        <v>0</v>
      </c>
      <c r="DD1298" s="331"/>
      <c r="DE1298" s="331"/>
      <c r="DF1298" s="502"/>
      <c r="DG1298" s="503"/>
      <c r="DH1298" s="2840"/>
      <c r="DI1298" s="3213"/>
      <c r="DJ1298" s="502"/>
      <c r="DK1298" s="503"/>
      <c r="DL1298" s="502"/>
      <c r="DM1298" s="502"/>
      <c r="DN1298" s="502"/>
      <c r="DO1298" s="502"/>
      <c r="DP1298" s="503"/>
      <c r="DQ1298" s="503"/>
      <c r="DR1298" s="296"/>
      <c r="DS1298" s="296"/>
      <c r="DT1298" s="296"/>
    </row>
    <row r="1299" spans="1:124" ht="12.75" customHeight="1" x14ac:dyDescent="0.25">
      <c r="A1299" s="871" t="s">
        <v>2016</v>
      </c>
      <c r="B1299" s="603"/>
      <c r="C1299" s="482"/>
      <c r="D1299" s="482"/>
      <c r="E1299" s="482"/>
      <c r="F1299" s="482"/>
      <c r="G1299" s="484"/>
      <c r="H1299" s="482"/>
      <c r="I1299" s="482"/>
      <c r="J1299" s="482"/>
      <c r="K1299" s="482"/>
      <c r="L1299" s="481"/>
      <c r="M1299" s="482">
        <v>21.713999999999999</v>
      </c>
      <c r="N1299" s="482">
        <v>-35.706000000000003</v>
      </c>
      <c r="O1299" s="482">
        <v>22.655000000000001</v>
      </c>
      <c r="P1299" s="482">
        <v>-37.411000000000001</v>
      </c>
      <c r="Q1299" s="481">
        <f t="shared" si="2932"/>
        <v>-28.748000000000005</v>
      </c>
      <c r="R1299" s="482">
        <v>19.465</v>
      </c>
      <c r="S1299" s="482">
        <v>-5.5489999999999995</v>
      </c>
      <c r="T1299" s="482">
        <v>-18.271999999999998</v>
      </c>
      <c r="U1299" s="482">
        <v>0.77199999999999847</v>
      </c>
      <c r="V1299" s="481">
        <f t="shared" si="2933"/>
        <v>-3.5839999999999996</v>
      </c>
      <c r="W1299" s="482">
        <v>23.23</v>
      </c>
      <c r="X1299" s="482">
        <v>22.174000000000003</v>
      </c>
      <c r="Y1299" s="482">
        <v>-21.412000000000003</v>
      </c>
      <c r="Z1299" s="482">
        <v>-30.786000000000001</v>
      </c>
      <c r="AA1299" s="481">
        <f t="shared" si="2934"/>
        <v>-6.7940000000000005</v>
      </c>
      <c r="AB1299" s="482">
        <v>14.718</v>
      </c>
      <c r="AC1299" s="482">
        <f>0-AB1299</f>
        <v>-14.718</v>
      </c>
      <c r="AD1299" s="482">
        <f>13.184-AC1299-AB1299</f>
        <v>13.184000000000001</v>
      </c>
      <c r="AE1299" s="482">
        <f>0-AD1299-AC1299-AB1299</f>
        <v>-13.184000000000001</v>
      </c>
      <c r="AF1299" s="481">
        <f t="shared" si="2935"/>
        <v>0</v>
      </c>
      <c r="AG1299" s="430">
        <v>0</v>
      </c>
      <c r="AH1299" s="482"/>
      <c r="AI1299" s="482"/>
      <c r="AJ1299" s="482">
        <v>0</v>
      </c>
      <c r="AK1299" s="481">
        <f t="shared" si="2936"/>
        <v>0</v>
      </c>
      <c r="AL1299" s="430"/>
      <c r="AM1299" s="482"/>
      <c r="AN1299" s="430"/>
      <c r="AO1299" s="482">
        <v>49.284999999999997</v>
      </c>
      <c r="AP1299" s="481">
        <f t="shared" si="2937"/>
        <v>49.284999999999997</v>
      </c>
      <c r="AQ1299" s="482">
        <v>31.434000000000001</v>
      </c>
      <c r="AR1299" s="482">
        <f>-15.278-AQ1299</f>
        <v>-46.712000000000003</v>
      </c>
      <c r="AS1299" s="482">
        <f>-56.533-AQ1299-AR1299</f>
        <v>-41.254999999999995</v>
      </c>
      <c r="AT1299" s="482">
        <f>-70.721-SUM(AQ1299:AS1299)</f>
        <v>-14.188000000000002</v>
      </c>
      <c r="AU1299" s="481">
        <f t="shared" si="2897"/>
        <v>-70.721000000000004</v>
      </c>
      <c r="AV1299" s="482">
        <v>0</v>
      </c>
      <c r="AW1299" s="482">
        <v>0</v>
      </c>
      <c r="AX1299" s="482">
        <f>0-AW1299-AV1299</f>
        <v>0</v>
      </c>
      <c r="AY1299" s="482">
        <f>29.058-SUM(AV1299:AX1299)</f>
        <v>29.058</v>
      </c>
      <c r="AZ1299" s="481">
        <f t="shared" si="2938"/>
        <v>29.058</v>
      </c>
      <c r="BA1299" s="482">
        <v>-7.5819999999999999</v>
      </c>
      <c r="BB1299" s="482">
        <f>-0.152-BA1299</f>
        <v>7.43</v>
      </c>
      <c r="BC1299" s="482">
        <f>23.717-BB1299-BA1299</f>
        <v>23.869</v>
      </c>
      <c r="BD1299" s="862">
        <f>5.193-BC1299-BB1299-BA1299</f>
        <v>-18.524000000000001</v>
      </c>
      <c r="BE1299" s="481">
        <f t="shared" si="2899"/>
        <v>5.1929999999999978</v>
      </c>
      <c r="BF1299" s="482">
        <v>-11.738</v>
      </c>
      <c r="BG1299" s="482">
        <f>2.461-BF1299</f>
        <v>14.199</v>
      </c>
      <c r="BH1299" s="482">
        <f>1.666-BG1299-BF1299</f>
        <v>-0.79499999999999993</v>
      </c>
      <c r="BI1299" s="862">
        <f>-13.383-BH1299-BG1299-BF1299</f>
        <v>-15.048999999999999</v>
      </c>
      <c r="BJ1299" s="481">
        <f t="shared" si="2939"/>
        <v>-13.382999999999999</v>
      </c>
      <c r="BK1299" s="482">
        <v>22.826000000000001</v>
      </c>
      <c r="BL1299" s="482">
        <f>22.965-BK1299</f>
        <v>0.13899999999999935</v>
      </c>
      <c r="BM1299" s="2953">
        <v>-0.25400000000000134</v>
      </c>
      <c r="BN1299" s="2953">
        <f>19.112-SUM(BK1299:BM1299)</f>
        <v>-3.5990000000000002</v>
      </c>
      <c r="BO1299" s="481">
        <f t="shared" si="2901"/>
        <v>19.111999999999998</v>
      </c>
      <c r="BP1299" s="482">
        <v>10.09</v>
      </c>
      <c r="BQ1299" s="482">
        <f>14.657-BP1299</f>
        <v>4.5670000000000002</v>
      </c>
      <c r="BR1299" s="482">
        <f>6.818-BQ1299-BP1299</f>
        <v>-7.8390000000000004</v>
      </c>
      <c r="BS1299" s="482">
        <f>20.448-SUM(BP1299:BR1299)</f>
        <v>13.63</v>
      </c>
      <c r="BT1299" s="2587">
        <f t="shared" si="2902"/>
        <v>20.448</v>
      </c>
      <c r="BU1299" s="482">
        <v>0</v>
      </c>
      <c r="BV1299" s="482">
        <v>0</v>
      </c>
      <c r="BW1299" s="482">
        <v>0</v>
      </c>
      <c r="BX1299" s="482">
        <v>0</v>
      </c>
      <c r="BY1299" s="2587">
        <f t="shared" si="2903"/>
        <v>0</v>
      </c>
      <c r="BZ1299" s="484">
        <v>0</v>
      </c>
      <c r="CA1299" s="484">
        <v>0</v>
      </c>
      <c r="CB1299" s="484">
        <v>0</v>
      </c>
      <c r="CC1299" s="484">
        <v>0</v>
      </c>
      <c r="CD1299" s="484">
        <v>0</v>
      </c>
      <c r="CE1299" s="484">
        <v>0</v>
      </c>
      <c r="CF1299" s="484">
        <v>0</v>
      </c>
      <c r="CG1299" s="331"/>
      <c r="CH1299" s="331"/>
      <c r="CI1299" s="331"/>
      <c r="CJ1299" s="331"/>
      <c r="CK1299" s="331"/>
      <c r="CL1299" s="871" t="str">
        <f t="shared" si="2894"/>
        <v>Income taxes payable</v>
      </c>
      <c r="CM1299" s="430">
        <f t="shared" si="2905"/>
        <v>0</v>
      </c>
      <c r="CN1299" s="430">
        <f t="shared" si="2906"/>
        <v>0</v>
      </c>
      <c r="CO1299" s="430">
        <f t="shared" si="2907"/>
        <v>-28.748000000000005</v>
      </c>
      <c r="CP1299" s="430">
        <f t="shared" si="2908"/>
        <v>-3.5839999999999996</v>
      </c>
      <c r="CQ1299" s="430">
        <f t="shared" si="2909"/>
        <v>-6.7940000000000005</v>
      </c>
      <c r="CR1299" s="430">
        <f t="shared" si="2910"/>
        <v>0</v>
      </c>
      <c r="CS1299" s="430">
        <f t="shared" si="2911"/>
        <v>0</v>
      </c>
      <c r="CT1299" s="430">
        <f t="shared" si="2912"/>
        <v>49.284999999999997</v>
      </c>
      <c r="CU1299" s="430">
        <f t="shared" si="2913"/>
        <v>-70.721000000000004</v>
      </c>
      <c r="CV1299" s="430">
        <f t="shared" si="2914"/>
        <v>29.058</v>
      </c>
      <c r="CW1299" s="430">
        <f t="shared" si="2915"/>
        <v>5.1929999999999978</v>
      </c>
      <c r="CX1299" s="430">
        <f t="shared" si="2916"/>
        <v>-13.382999999999999</v>
      </c>
      <c r="CY1299" s="430">
        <f t="shared" si="2917"/>
        <v>19.111999999999998</v>
      </c>
      <c r="CZ1299" s="430">
        <f t="shared" si="2918"/>
        <v>20.448</v>
      </c>
      <c r="DA1299" s="430">
        <f t="shared" si="2919"/>
        <v>0</v>
      </c>
      <c r="DB1299" s="430">
        <f t="shared" si="2920"/>
        <v>0</v>
      </c>
      <c r="DC1299" s="853">
        <f t="shared" si="2921"/>
        <v>0</v>
      </c>
      <c r="DD1299" s="331"/>
      <c r="DE1299" s="331"/>
      <c r="DF1299" s="502"/>
      <c r="DG1299" s="503"/>
      <c r="DH1299" s="2840"/>
      <c r="DI1299" s="3213"/>
      <c r="DJ1299" s="502"/>
      <c r="DK1299" s="503"/>
      <c r="DL1299" s="502"/>
      <c r="DM1299" s="502"/>
      <c r="DN1299" s="502"/>
      <c r="DO1299" s="502"/>
      <c r="DP1299" s="503"/>
      <c r="DQ1299" s="503"/>
      <c r="DR1299" s="296"/>
      <c r="DS1299" s="296"/>
      <c r="DT1299" s="296"/>
    </row>
    <row r="1300" spans="1:124" ht="12.75" customHeight="1" x14ac:dyDescent="0.25">
      <c r="A1300" s="871" t="s">
        <v>1640</v>
      </c>
      <c r="B1300" s="603"/>
      <c r="C1300" s="482">
        <v>0</v>
      </c>
      <c r="D1300" s="482">
        <v>0</v>
      </c>
      <c r="E1300" s="482">
        <v>0</v>
      </c>
      <c r="F1300" s="482">
        <v>0</v>
      </c>
      <c r="G1300" s="484">
        <v>0</v>
      </c>
      <c r="H1300" s="482">
        <v>0</v>
      </c>
      <c r="I1300" s="482">
        <v>0</v>
      </c>
      <c r="J1300" s="482">
        <f>-(83.322-83.326)</f>
        <v>3.9999999999906777E-3</v>
      </c>
      <c r="K1300" s="482">
        <f>(-120.911+120.93)-J1300</f>
        <v>1.5000000000014779E-2</v>
      </c>
      <c r="L1300" s="481">
        <f>SUM(H1300:K1300)</f>
        <v>1.9000000000005457E-2</v>
      </c>
      <c r="M1300" s="482">
        <v>21.113</v>
      </c>
      <c r="N1300" s="482">
        <v>-24.721</v>
      </c>
      <c r="O1300" s="482">
        <v>5.9280000000000008</v>
      </c>
      <c r="P1300" s="482">
        <v>2.8560000000000016</v>
      </c>
      <c r="Q1300" s="481">
        <f t="shared" si="2932"/>
        <v>5.1760000000000019</v>
      </c>
      <c r="R1300" s="482">
        <v>5.5570000000000004</v>
      </c>
      <c r="S1300" s="482">
        <v>3.3259999999999987</v>
      </c>
      <c r="T1300" s="482">
        <v>-0.27999999999999936</v>
      </c>
      <c r="U1300" s="482">
        <v>15.053999999999997</v>
      </c>
      <c r="V1300" s="481">
        <f t="shared" si="2933"/>
        <v>23.656999999999996</v>
      </c>
      <c r="W1300" s="482">
        <v>5.6219999999999999</v>
      </c>
      <c r="X1300" s="482">
        <v>6.09</v>
      </c>
      <c r="Y1300" s="482">
        <v>-8.8189999999999991</v>
      </c>
      <c r="Z1300" s="482">
        <f>1.014-13.787-W1300-X1300-Y1300</f>
        <v>-15.666000000000004</v>
      </c>
      <c r="AA1300" s="481">
        <f t="shared" si="2934"/>
        <v>-12.773000000000003</v>
      </c>
      <c r="AB1300" s="482">
        <f>-0.611+1.618</f>
        <v>1.0070000000000001</v>
      </c>
      <c r="AC1300" s="482">
        <f>5.82+2.75-AB1300</f>
        <v>7.5630000000000006</v>
      </c>
      <c r="AD1300" s="482">
        <f>8.402+4.109-AC1300-AB1300</f>
        <v>3.9409999999999985</v>
      </c>
      <c r="AE1300" s="482">
        <f>11.401+0.075-AD1300-AC1300-AB1300</f>
        <v>-1.0350000000000006</v>
      </c>
      <c r="AF1300" s="481">
        <f t="shared" si="2935"/>
        <v>11.475999999999999</v>
      </c>
      <c r="AG1300" s="482">
        <f>1.646-9.62+(36.155-36.16)</f>
        <v>-7.9789999999999948</v>
      </c>
      <c r="AH1300" s="482">
        <f>2.694-8.313+(36.155-36.16)-AG1300</f>
        <v>2.3549999999999986</v>
      </c>
      <c r="AI1300" s="482">
        <f>2.749-6.802+(36.155-36.16)-AH1300-AG1300</f>
        <v>1.5660000000000016</v>
      </c>
      <c r="AJ1300" s="482">
        <f>6.827-10.323+(36.155-36.16)-AI1300-AH1300-AG1300</f>
        <v>0.55699999999999861</v>
      </c>
      <c r="AK1300" s="481">
        <f t="shared" si="2936"/>
        <v>-3.5009999999999959</v>
      </c>
      <c r="AL1300" s="482">
        <f>5.503+0.682</f>
        <v>6.1850000000000005</v>
      </c>
      <c r="AM1300" s="482">
        <f>5.32-6.048-AL1300</f>
        <v>-6.9130000000000003</v>
      </c>
      <c r="AN1300" s="482">
        <f>2.493-3.54-AM1300-AL1300</f>
        <v>-0.31900000000000084</v>
      </c>
      <c r="AO1300" s="482">
        <f>2.849-0.683-AN1300-AM1300-AL1300</f>
        <v>3.213000000000001</v>
      </c>
      <c r="AP1300" s="481">
        <f t="shared" si="2937"/>
        <v>2.1660000000000004</v>
      </c>
      <c r="AQ1300" s="482">
        <f>5.465+1.724</f>
        <v>7.1890000000000001</v>
      </c>
      <c r="AR1300" s="482">
        <f>4.506+3.336-AQ1300</f>
        <v>0.65300000000000047</v>
      </c>
      <c r="AS1300" s="482">
        <f>7.525-13.27-AQ1300-AR1300</f>
        <v>-13.587</v>
      </c>
      <c r="AT1300" s="482">
        <f>12.903-16.146-SUM(AQ1300:AS1300)</f>
        <v>2.5019999999999989</v>
      </c>
      <c r="AU1300" s="481">
        <f t="shared" si="2897"/>
        <v>-3.2430000000000003</v>
      </c>
      <c r="AV1300" s="482">
        <f>6.669+1.971</f>
        <v>8.64</v>
      </c>
      <c r="AW1300" s="482">
        <f>3.552+4.084-AV1300</f>
        <v>-1.0040000000000013</v>
      </c>
      <c r="AX1300" s="482">
        <f>5.777+2.454-AW1300-AV1300</f>
        <v>0.59500000000000064</v>
      </c>
      <c r="AY1300" s="482">
        <f>10.576+1.396-SUM(AV1300:AX1300)</f>
        <v>3.7410000000000014</v>
      </c>
      <c r="AZ1300" s="481">
        <f t="shared" si="2938"/>
        <v>11.972000000000001</v>
      </c>
      <c r="BA1300" s="482">
        <f>0.807+1.205</f>
        <v>2.012</v>
      </c>
      <c r="BB1300" s="482">
        <f>3.606+2.52-BA1300</f>
        <v>4.113999999999999</v>
      </c>
      <c r="BC1300" s="482">
        <f>5.065-3.147-BB1300-BA1300</f>
        <v>-4.2079999999999984</v>
      </c>
      <c r="BD1300" s="482">
        <f>9.923-12.049-BC1300-BB1300-BA1300</f>
        <v>-4.0440000000000005</v>
      </c>
      <c r="BE1300" s="481">
        <f t="shared" si="2899"/>
        <v>-2.1259999999999994</v>
      </c>
      <c r="BF1300" s="482">
        <f>-11.69+1.609</f>
        <v>-10.081</v>
      </c>
      <c r="BG1300" s="482">
        <f>-3.043+2.947-BF1300</f>
        <v>9.9849999999999994</v>
      </c>
      <c r="BH1300" s="482">
        <f>-11.756+4.008-BG1300-BF1300</f>
        <v>-7.652000000000001</v>
      </c>
      <c r="BI1300" s="482">
        <f>-6.404-2.123-BH1300-BG1300-BF1300</f>
        <v>-0.77899999999999991</v>
      </c>
      <c r="BJ1300" s="481">
        <f t="shared" si="2939"/>
        <v>-8.527000000000001</v>
      </c>
      <c r="BK1300" s="2953">
        <v>-7.0650000000000004</v>
      </c>
      <c r="BL1300" s="482">
        <f>-2.293-BK1300</f>
        <v>4.7720000000000002</v>
      </c>
      <c r="BM1300" s="2953">
        <v>-8.4869999999999983</v>
      </c>
      <c r="BN1300" s="2953">
        <f>-7.045-SUM(BK1300:BM1300)</f>
        <v>3.7349999999999977</v>
      </c>
      <c r="BO1300" s="481">
        <f t="shared" si="2901"/>
        <v>-7.0449999999999999</v>
      </c>
      <c r="BP1300" s="2953">
        <v>-4.43</v>
      </c>
      <c r="BQ1300" s="482">
        <f>+-6.063-BP1300</f>
        <v>-1.633</v>
      </c>
      <c r="BR1300" s="482">
        <f>27.272-BQ1300-BP1300</f>
        <v>33.334999999999994</v>
      </c>
      <c r="BS1300" s="3508">
        <f>46.283-SUM(BP1300:BR1300)</f>
        <v>19.011000000000006</v>
      </c>
      <c r="BT1300" s="3251">
        <f t="shared" si="2902"/>
        <v>46.283000000000001</v>
      </c>
      <c r="BU1300" s="482">
        <v>0</v>
      </c>
      <c r="BV1300" s="482">
        <v>0</v>
      </c>
      <c r="BW1300" s="482">
        <v>0</v>
      </c>
      <c r="BX1300" s="482">
        <v>0</v>
      </c>
      <c r="BY1300" s="3251">
        <f t="shared" si="2903"/>
        <v>0</v>
      </c>
      <c r="BZ1300" s="1772">
        <v>0</v>
      </c>
      <c r="CA1300" s="1772">
        <v>0</v>
      </c>
      <c r="CB1300" s="1772">
        <v>0</v>
      </c>
      <c r="CC1300" s="1772">
        <v>0</v>
      </c>
      <c r="CD1300" s="1772">
        <v>0</v>
      </c>
      <c r="CE1300" s="1772">
        <v>0</v>
      </c>
      <c r="CF1300" s="1772">
        <v>0</v>
      </c>
      <c r="CG1300" s="741"/>
      <c r="CH1300" s="741"/>
      <c r="CI1300" s="741"/>
      <c r="CJ1300" s="741"/>
      <c r="CK1300" s="741"/>
      <c r="CL1300" s="871" t="str">
        <f t="shared" si="2894"/>
        <v>Other current liabilities</v>
      </c>
      <c r="CM1300" s="430">
        <f t="shared" si="2905"/>
        <v>0</v>
      </c>
      <c r="CN1300" s="430">
        <f t="shared" si="2906"/>
        <v>1.9000000000005457E-2</v>
      </c>
      <c r="CO1300" s="430">
        <f t="shared" si="2907"/>
        <v>5.1760000000000019</v>
      </c>
      <c r="CP1300" s="430">
        <f t="shared" si="2908"/>
        <v>23.656999999999996</v>
      </c>
      <c r="CQ1300" s="430">
        <f t="shared" si="2909"/>
        <v>-12.773000000000003</v>
      </c>
      <c r="CR1300" s="430">
        <f t="shared" si="2910"/>
        <v>11.475999999999999</v>
      </c>
      <c r="CS1300" s="430">
        <f t="shared" si="2911"/>
        <v>-3.5009999999999959</v>
      </c>
      <c r="CT1300" s="430">
        <f t="shared" si="2912"/>
        <v>2.1660000000000004</v>
      </c>
      <c r="CU1300" s="430">
        <f t="shared" si="2913"/>
        <v>-3.2430000000000003</v>
      </c>
      <c r="CV1300" s="430">
        <f t="shared" si="2914"/>
        <v>11.972000000000001</v>
      </c>
      <c r="CW1300" s="430">
        <f t="shared" si="2915"/>
        <v>-2.1259999999999994</v>
      </c>
      <c r="CX1300" s="430">
        <f t="shared" si="2916"/>
        <v>-8.527000000000001</v>
      </c>
      <c r="CY1300" s="430">
        <f t="shared" si="2917"/>
        <v>-7.0449999999999999</v>
      </c>
      <c r="CZ1300" s="430">
        <f t="shared" si="2918"/>
        <v>46.283000000000001</v>
      </c>
      <c r="DA1300" s="430">
        <f t="shared" si="2919"/>
        <v>0</v>
      </c>
      <c r="DB1300" s="430">
        <f t="shared" si="2920"/>
        <v>0</v>
      </c>
      <c r="DC1300" s="853">
        <f t="shared" si="2921"/>
        <v>0</v>
      </c>
      <c r="DD1300" s="741"/>
      <c r="DE1300" s="741"/>
      <c r="DF1300" s="742"/>
      <c r="DG1300" s="743"/>
      <c r="DH1300" s="2840"/>
      <c r="DI1300" s="3215"/>
      <c r="DJ1300" s="742"/>
      <c r="DK1300" s="743"/>
      <c r="DL1300" s="742"/>
      <c r="DM1300" s="742"/>
      <c r="DN1300" s="742"/>
      <c r="DO1300" s="742"/>
      <c r="DP1300" s="743"/>
      <c r="DQ1300" s="743"/>
      <c r="DR1300" s="740"/>
      <c r="DS1300" s="740"/>
      <c r="DT1300" s="740"/>
    </row>
    <row r="1301" spans="1:124" ht="12.75" customHeight="1" x14ac:dyDescent="0.25">
      <c r="A1301" s="946" t="s">
        <v>1681</v>
      </c>
      <c r="B1301" s="947"/>
      <c r="C1301" s="499">
        <v>0</v>
      </c>
      <c r="D1301" s="499">
        <f t="shared" ref="D1301:AK1301" si="2940">SUM(D1278:D1300)</f>
        <v>87.299000000000007</v>
      </c>
      <c r="E1301" s="499">
        <f t="shared" si="2940"/>
        <v>34.630999999999993</v>
      </c>
      <c r="F1301" s="499">
        <f t="shared" si="2940"/>
        <v>73.566000000000003</v>
      </c>
      <c r="G1301" s="500">
        <f t="shared" si="2940"/>
        <v>195.45400000000004</v>
      </c>
      <c r="H1301" s="499">
        <f t="shared" si="2940"/>
        <v>22.183000000000007</v>
      </c>
      <c r="I1301" s="499">
        <f t="shared" si="2940"/>
        <v>39.826999999999984</v>
      </c>
      <c r="J1301" s="499">
        <f t="shared" si="2940"/>
        <v>36.656999999999982</v>
      </c>
      <c r="K1301" s="499">
        <f t="shared" si="2940"/>
        <v>51.808000000000035</v>
      </c>
      <c r="L1301" s="500">
        <f t="shared" si="2940"/>
        <v>150.47499999999999</v>
      </c>
      <c r="M1301" s="499">
        <f t="shared" si="2940"/>
        <v>83.776999999999973</v>
      </c>
      <c r="N1301" s="499">
        <f t="shared" si="2940"/>
        <v>-8.9689999999999976</v>
      </c>
      <c r="O1301" s="499">
        <f t="shared" si="2940"/>
        <v>142.28999999999996</v>
      </c>
      <c r="P1301" s="499">
        <f t="shared" si="2940"/>
        <v>64.711000000000013</v>
      </c>
      <c r="Q1301" s="500">
        <f t="shared" si="2940"/>
        <v>281.80900000000003</v>
      </c>
      <c r="R1301" s="499">
        <f t="shared" si="2940"/>
        <v>168.73900000000003</v>
      </c>
      <c r="S1301" s="499">
        <f t="shared" si="2940"/>
        <v>108.15799999999999</v>
      </c>
      <c r="T1301" s="499">
        <f t="shared" si="2940"/>
        <v>69.238</v>
      </c>
      <c r="U1301" s="499">
        <f t="shared" si="2940"/>
        <v>85.084000000000003</v>
      </c>
      <c r="V1301" s="500">
        <f t="shared" si="2940"/>
        <v>431.21899999999994</v>
      </c>
      <c r="W1301" s="499">
        <f t="shared" si="2940"/>
        <v>86.632000000000019</v>
      </c>
      <c r="X1301" s="499">
        <f t="shared" si="2940"/>
        <v>92.977999999999966</v>
      </c>
      <c r="Y1301" s="499">
        <f t="shared" si="2940"/>
        <v>191.13500000000005</v>
      </c>
      <c r="Z1301" s="499">
        <f t="shared" si="2940"/>
        <v>49.717999999999982</v>
      </c>
      <c r="AA1301" s="500">
        <f t="shared" si="2940"/>
        <v>420.46300000000002</v>
      </c>
      <c r="AB1301" s="499">
        <f t="shared" si="2940"/>
        <v>104.11300000000003</v>
      </c>
      <c r="AC1301" s="499">
        <f t="shared" si="2940"/>
        <v>61.201000000000008</v>
      </c>
      <c r="AD1301" s="499">
        <f t="shared" si="2940"/>
        <v>111.52199999999996</v>
      </c>
      <c r="AE1301" s="499">
        <f>SUM(AE1278:AE1300)</f>
        <v>61.409999999999933</v>
      </c>
      <c r="AF1301" s="500">
        <f t="shared" si="2940"/>
        <v>338.24600000000004</v>
      </c>
      <c r="AG1301" s="499">
        <f t="shared" si="2940"/>
        <v>93.736000000000047</v>
      </c>
      <c r="AH1301" s="499">
        <f t="shared" si="2940"/>
        <v>129.613</v>
      </c>
      <c r="AI1301" s="499">
        <f>SUM(AI1278:AI1300)</f>
        <v>146.35700000000003</v>
      </c>
      <c r="AJ1301" s="499">
        <f t="shared" si="2940"/>
        <v>123.47199999999998</v>
      </c>
      <c r="AK1301" s="500">
        <f t="shared" si="2940"/>
        <v>493.178</v>
      </c>
      <c r="AL1301" s="499">
        <f t="shared" ref="AL1301:BE1301" si="2941">SUM(AL1278:AL1300)</f>
        <v>102.28999999999998</v>
      </c>
      <c r="AM1301" s="499">
        <f t="shared" si="2941"/>
        <v>188.68699999999998</v>
      </c>
      <c r="AN1301" s="499">
        <f t="shared" si="2941"/>
        <v>147.09500000000006</v>
      </c>
      <c r="AO1301" s="499">
        <f t="shared" si="2941"/>
        <v>129.29299999999998</v>
      </c>
      <c r="AP1301" s="500">
        <f t="shared" si="2941"/>
        <v>567.36500000000012</v>
      </c>
      <c r="AQ1301" s="499">
        <f t="shared" si="2941"/>
        <v>122.62399999999997</v>
      </c>
      <c r="AR1301" s="499">
        <f t="shared" si="2941"/>
        <v>108.26200000000006</v>
      </c>
      <c r="AS1301" s="499">
        <f t="shared" si="2941"/>
        <v>106.87400000000004</v>
      </c>
      <c r="AT1301" s="499">
        <f t="shared" si="2941"/>
        <v>169.42899999999997</v>
      </c>
      <c r="AU1301" s="500">
        <f t="shared" si="2941"/>
        <v>507.18899999999979</v>
      </c>
      <c r="AV1301" s="499">
        <f t="shared" si="2941"/>
        <v>133.78800000000001</v>
      </c>
      <c r="AW1301" s="499">
        <f t="shared" ref="AW1301:BD1301" si="2942">SUM(AW1278:AW1300)</f>
        <v>157.642</v>
      </c>
      <c r="AX1301" s="499">
        <f t="shared" si="2942"/>
        <v>136.52800000000002</v>
      </c>
      <c r="AY1301" s="499">
        <f t="shared" si="2942"/>
        <v>12.844000000000067</v>
      </c>
      <c r="AZ1301" s="500">
        <f t="shared" si="2942"/>
        <v>440.80200000000002</v>
      </c>
      <c r="BA1301" s="499">
        <f>SUM(BA1278:BA1300)</f>
        <v>43.435999999999993</v>
      </c>
      <c r="BB1301" s="499">
        <f t="shared" si="2942"/>
        <v>100.29199999999997</v>
      </c>
      <c r="BC1301" s="499">
        <f t="shared" si="2942"/>
        <v>92.85499999999999</v>
      </c>
      <c r="BD1301" s="948">
        <f t="shared" si="2942"/>
        <v>25.640000000000068</v>
      </c>
      <c r="BE1301" s="500">
        <f t="shared" si="2941"/>
        <v>262.22300000000018</v>
      </c>
      <c r="BF1301" s="499">
        <f t="shared" ref="BF1301:CF1301" si="2943">SUM(BF1278:BF1300)</f>
        <v>78.035999999999973</v>
      </c>
      <c r="BG1301" s="499">
        <f t="shared" si="2943"/>
        <v>121.65599999999999</v>
      </c>
      <c r="BH1301" s="499">
        <f t="shared" si="2943"/>
        <v>106.45299999999997</v>
      </c>
      <c r="BI1301" s="948">
        <f t="shared" si="2943"/>
        <v>92.837000000000018</v>
      </c>
      <c r="BJ1301" s="500">
        <f t="shared" si="2943"/>
        <v>398.98199999999997</v>
      </c>
      <c r="BK1301" s="499">
        <f t="shared" si="2943"/>
        <v>71.333000000000027</v>
      </c>
      <c r="BL1301" s="499">
        <f t="shared" si="2943"/>
        <v>118.33</v>
      </c>
      <c r="BM1301" s="499">
        <f t="shared" si="2943"/>
        <v>121.85800000000003</v>
      </c>
      <c r="BN1301" s="948">
        <f t="shared" si="2943"/>
        <v>93.302000000000035</v>
      </c>
      <c r="BO1301" s="500">
        <f t="shared" si="2943"/>
        <v>404.82300000000004</v>
      </c>
      <c r="BP1301" s="499">
        <f t="shared" si="2943"/>
        <v>66.819999999999993</v>
      </c>
      <c r="BQ1301" s="499">
        <f t="shared" si="2943"/>
        <v>129.08600000000004</v>
      </c>
      <c r="BR1301" s="499">
        <f t="shared" si="2943"/>
        <v>141.42299999999989</v>
      </c>
      <c r="BS1301" s="499">
        <f t="shared" si="2943"/>
        <v>121.75000000000011</v>
      </c>
      <c r="BT1301" s="500">
        <f t="shared" si="2943"/>
        <v>459.07900000000006</v>
      </c>
      <c r="BU1301" s="499">
        <f t="shared" si="2943"/>
        <v>98.608487139066412</v>
      </c>
      <c r="BV1301" s="499">
        <f t="shared" si="2943"/>
        <v>104.1518855206742</v>
      </c>
      <c r="BW1301" s="499">
        <f t="shared" si="2943"/>
        <v>146.29073234086928</v>
      </c>
      <c r="BX1301" s="499">
        <f t="shared" si="2943"/>
        <v>123.25476268934266</v>
      </c>
      <c r="BY1301" s="500">
        <f t="shared" si="2943"/>
        <v>472.30586768995249</v>
      </c>
      <c r="BZ1301" s="500">
        <f t="shared" si="2943"/>
        <v>607.55304238109431</v>
      </c>
      <c r="CA1301" s="500">
        <f t="shared" si="2943"/>
        <v>595.28516994575375</v>
      </c>
      <c r="CB1301" s="500">
        <f t="shared" si="2943"/>
        <v>236.74125026789912</v>
      </c>
      <c r="CC1301" s="500">
        <f t="shared" si="2943"/>
        <v>178.8019202463353</v>
      </c>
      <c r="CD1301" s="500">
        <f t="shared" si="2943"/>
        <v>182.81573410722035</v>
      </c>
      <c r="CE1301" s="500">
        <f t="shared" si="2943"/>
        <v>195.96447009234112</v>
      </c>
      <c r="CF1301" s="500">
        <f t="shared" si="2943"/>
        <v>208.2451240912612</v>
      </c>
      <c r="CG1301" s="331"/>
      <c r="CH1301" s="331"/>
      <c r="CI1301" s="331"/>
      <c r="CJ1301" s="331"/>
      <c r="CK1301" s="331"/>
      <c r="CL1301" s="946" t="str">
        <f t="shared" si="2894"/>
        <v>Net cash provided by operating activities</v>
      </c>
      <c r="CM1301" s="499">
        <f t="shared" si="2905"/>
        <v>195.45400000000004</v>
      </c>
      <c r="CN1301" s="499">
        <f t="shared" si="2906"/>
        <v>150.47499999999999</v>
      </c>
      <c r="CO1301" s="499">
        <f t="shared" si="2907"/>
        <v>281.80900000000003</v>
      </c>
      <c r="CP1301" s="499">
        <f t="shared" si="2908"/>
        <v>431.21899999999994</v>
      </c>
      <c r="CQ1301" s="499">
        <f t="shared" si="2909"/>
        <v>420.46300000000002</v>
      </c>
      <c r="CR1301" s="499">
        <f t="shared" si="2910"/>
        <v>338.24600000000004</v>
      </c>
      <c r="CS1301" s="499">
        <f t="shared" si="2911"/>
        <v>493.178</v>
      </c>
      <c r="CT1301" s="499">
        <f t="shared" si="2912"/>
        <v>567.36500000000012</v>
      </c>
      <c r="CU1301" s="499">
        <f t="shared" si="2913"/>
        <v>507.18899999999979</v>
      </c>
      <c r="CV1301" s="499">
        <f t="shared" si="2914"/>
        <v>440.80200000000002</v>
      </c>
      <c r="CW1301" s="499">
        <f t="shared" si="2915"/>
        <v>262.22300000000018</v>
      </c>
      <c r="CX1301" s="499">
        <f t="shared" si="2916"/>
        <v>398.98199999999997</v>
      </c>
      <c r="CY1301" s="499">
        <f t="shared" si="2917"/>
        <v>404.82300000000004</v>
      </c>
      <c r="CZ1301" s="499">
        <f t="shared" si="2918"/>
        <v>459.07900000000006</v>
      </c>
      <c r="DA1301" s="499">
        <f t="shared" si="2919"/>
        <v>472.30586768995249</v>
      </c>
      <c r="DB1301" s="499">
        <f t="shared" si="2920"/>
        <v>607.55304238109431</v>
      </c>
      <c r="DC1301" s="948">
        <f t="shared" si="2921"/>
        <v>595.28516994575375</v>
      </c>
      <c r="DD1301" s="331"/>
      <c r="DE1301" s="331"/>
      <c r="DF1301" s="502"/>
      <c r="DG1301" s="503"/>
      <c r="DH1301" s="485"/>
      <c r="DI1301" s="3213"/>
      <c r="DJ1301" s="502"/>
      <c r="DK1301" s="503"/>
      <c r="DL1301" s="502"/>
      <c r="DM1301" s="502"/>
      <c r="DN1301" s="502"/>
      <c r="DO1301" s="502"/>
      <c r="DP1301" s="503"/>
      <c r="DQ1301" s="503"/>
      <c r="DR1301" s="296"/>
      <c r="DS1301" s="296"/>
      <c r="DT1301" s="296"/>
    </row>
    <row r="1302" spans="1:124" ht="12.75" customHeight="1" x14ac:dyDescent="0.25">
      <c r="A1302" s="872"/>
      <c r="B1302" s="603"/>
      <c r="C1302" s="482"/>
      <c r="D1302" s="482"/>
      <c r="E1302" s="482"/>
      <c r="F1302" s="482"/>
      <c r="G1302" s="484"/>
      <c r="H1302" s="482"/>
      <c r="I1302" s="482"/>
      <c r="J1302" s="482"/>
      <c r="K1302" s="482"/>
      <c r="L1302" s="484"/>
      <c r="M1302" s="482"/>
      <c r="N1302" s="482"/>
      <c r="O1302" s="482"/>
      <c r="P1302" s="482"/>
      <c r="Q1302" s="484"/>
      <c r="R1302" s="482"/>
      <c r="S1302" s="482"/>
      <c r="T1302" s="482"/>
      <c r="U1302" s="482"/>
      <c r="V1302" s="484"/>
      <c r="W1302" s="482"/>
      <c r="X1302" s="482"/>
      <c r="Y1302" s="482"/>
      <c r="Z1302" s="482"/>
      <c r="AA1302" s="484"/>
      <c r="AB1302" s="482"/>
      <c r="AC1302" s="482"/>
      <c r="AD1302" s="482"/>
      <c r="AE1302" s="430"/>
      <c r="AF1302" s="481"/>
      <c r="AG1302" s="430"/>
      <c r="AH1302" s="430"/>
      <c r="AI1302" s="430"/>
      <c r="AJ1302" s="430"/>
      <c r="AK1302" s="481"/>
      <c r="AL1302" s="430"/>
      <c r="AM1302" s="430"/>
      <c r="AN1302" s="430"/>
      <c r="AO1302" s="430"/>
      <c r="AP1302" s="1703"/>
      <c r="AQ1302" s="430"/>
      <c r="AR1302" s="430"/>
      <c r="AS1302" s="430"/>
      <c r="AT1302" s="430"/>
      <c r="AU1302" s="481"/>
      <c r="AV1302" s="430"/>
      <c r="AW1302" s="430"/>
      <c r="AX1302" s="430"/>
      <c r="AY1302" s="853"/>
      <c r="AZ1302" s="481"/>
      <c r="BA1302" s="430"/>
      <c r="BB1302" s="430"/>
      <c r="BC1302" s="430"/>
      <c r="BD1302" s="853"/>
      <c r="BE1302" s="481"/>
      <c r="BF1302" s="430"/>
      <c r="BG1302" s="430"/>
      <c r="BH1302" s="430"/>
      <c r="BI1302" s="853"/>
      <c r="BJ1302" s="481"/>
      <c r="BK1302" s="430"/>
      <c r="BL1302" s="430"/>
      <c r="BM1302" s="430"/>
      <c r="BN1302" s="853"/>
      <c r="BO1302" s="481"/>
      <c r="BP1302" s="430"/>
      <c r="BQ1302" s="430"/>
      <c r="BR1302" s="430"/>
      <c r="BS1302" s="430"/>
      <c r="BT1302" s="3206"/>
      <c r="BU1302" s="3423"/>
      <c r="BV1302" s="3403"/>
      <c r="BW1302" s="2840"/>
      <c r="BX1302" s="3403"/>
      <c r="BY1302" s="3206"/>
      <c r="BZ1302" s="3206"/>
      <c r="CA1302" s="3206"/>
      <c r="CB1302" s="1703"/>
      <c r="CC1302" s="1703"/>
      <c r="CD1302" s="1703"/>
      <c r="CE1302" s="1703"/>
      <c r="CF1302" s="1703"/>
      <c r="CG1302" s="331"/>
      <c r="CH1302" s="331"/>
      <c r="CI1302" s="331"/>
      <c r="CJ1302" s="331"/>
      <c r="CK1302" s="331"/>
      <c r="CL1302" s="872"/>
      <c r="CM1302" s="430"/>
      <c r="CN1302" s="430"/>
      <c r="CO1302" s="430"/>
      <c r="CP1302" s="430"/>
      <c r="CQ1302" s="430"/>
      <c r="CR1302" s="430"/>
      <c r="CS1302" s="430"/>
      <c r="CT1302" s="430"/>
      <c r="CU1302" s="430"/>
      <c r="CV1302" s="430"/>
      <c r="CW1302" s="430"/>
      <c r="CX1302" s="430"/>
      <c r="CY1302" s="430"/>
      <c r="CZ1302" s="430"/>
      <c r="DA1302" s="430"/>
      <c r="DB1302" s="430"/>
      <c r="DC1302" s="853"/>
      <c r="DD1302" s="331"/>
      <c r="DE1302" s="331"/>
      <c r="DF1302" s="502"/>
      <c r="DG1302" s="503"/>
      <c r="DH1302" s="2840"/>
      <c r="DI1302" s="3213"/>
      <c r="DJ1302" s="502"/>
      <c r="DK1302" s="503"/>
      <c r="DL1302" s="502"/>
      <c r="DM1302" s="502"/>
      <c r="DN1302" s="502"/>
      <c r="DO1302" s="502"/>
      <c r="DP1302" s="503"/>
      <c r="DQ1302" s="503"/>
      <c r="DR1302" s="296"/>
      <c r="DS1302" s="296"/>
      <c r="DT1302" s="296"/>
    </row>
    <row r="1303" spans="1:124" ht="12.75" customHeight="1" x14ac:dyDescent="0.25">
      <c r="A1303" s="944" t="s">
        <v>1682</v>
      </c>
      <c r="B1303" s="603"/>
      <c r="C1303" s="482"/>
      <c r="D1303" s="482"/>
      <c r="E1303" s="482"/>
      <c r="F1303" s="482"/>
      <c r="G1303" s="484"/>
      <c r="H1303" s="482"/>
      <c r="I1303" s="482"/>
      <c r="J1303" s="482"/>
      <c r="K1303" s="482"/>
      <c r="L1303" s="484"/>
      <c r="M1303" s="482"/>
      <c r="N1303" s="482"/>
      <c r="O1303" s="482"/>
      <c r="P1303" s="482"/>
      <c r="Q1303" s="484"/>
      <c r="R1303" s="482"/>
      <c r="S1303" s="482"/>
      <c r="T1303" s="482"/>
      <c r="U1303" s="482"/>
      <c r="V1303" s="484"/>
      <c r="W1303" s="482"/>
      <c r="X1303" s="482"/>
      <c r="Y1303" s="482"/>
      <c r="Z1303" s="482"/>
      <c r="AA1303" s="484"/>
      <c r="AB1303" s="482"/>
      <c r="AC1303" s="482"/>
      <c r="AD1303" s="482"/>
      <c r="AE1303" s="430"/>
      <c r="AF1303" s="481"/>
      <c r="AG1303" s="430"/>
      <c r="AH1303" s="430"/>
      <c r="AI1303" s="430"/>
      <c r="AJ1303" s="430"/>
      <c r="AK1303" s="481"/>
      <c r="AL1303" s="430"/>
      <c r="AM1303" s="430"/>
      <c r="AN1303" s="430"/>
      <c r="AO1303" s="430"/>
      <c r="AP1303" s="481"/>
      <c r="AQ1303" s="430"/>
      <c r="AR1303" s="430"/>
      <c r="AS1303" s="430"/>
      <c r="AT1303" s="430"/>
      <c r="AU1303" s="481"/>
      <c r="AV1303" s="430"/>
      <c r="AW1303" s="430"/>
      <c r="AX1303" s="430"/>
      <c r="AY1303" s="853"/>
      <c r="AZ1303" s="481"/>
      <c r="BA1303" s="430"/>
      <c r="BB1303" s="430"/>
      <c r="BC1303" s="430"/>
      <c r="BD1303" s="853"/>
      <c r="BE1303" s="481"/>
      <c r="BF1303" s="430"/>
      <c r="BG1303" s="430"/>
      <c r="BH1303" s="430"/>
      <c r="BI1303" s="853"/>
      <c r="BJ1303" s="481"/>
      <c r="BK1303" s="430"/>
      <c r="BL1303" s="430"/>
      <c r="BM1303" s="430"/>
      <c r="BN1303" s="853"/>
      <c r="BO1303" s="481"/>
      <c r="BP1303" s="430"/>
      <c r="BQ1303" s="430"/>
      <c r="BR1303" s="430"/>
      <c r="BS1303" s="430"/>
      <c r="BT1303" s="2587"/>
      <c r="BU1303" s="3397"/>
      <c r="BV1303" s="2840"/>
      <c r="BW1303" s="2840"/>
      <c r="BX1303" s="2840"/>
      <c r="BY1303" s="2587"/>
      <c r="BZ1303" s="2587"/>
      <c r="CA1303" s="2587"/>
      <c r="CB1303" s="481"/>
      <c r="CC1303" s="481"/>
      <c r="CD1303" s="481"/>
      <c r="CE1303" s="481"/>
      <c r="CF1303" s="481"/>
      <c r="CG1303" s="331"/>
      <c r="CH1303" s="331"/>
      <c r="CI1303" s="331"/>
      <c r="CJ1303" s="331"/>
      <c r="CK1303" s="331"/>
      <c r="CL1303" s="944" t="str">
        <f>A1303</f>
        <v>Cash flows from investing activities</v>
      </c>
      <c r="CM1303" s="430"/>
      <c r="CN1303" s="430"/>
      <c r="CO1303" s="430"/>
      <c r="CP1303" s="430"/>
      <c r="CQ1303" s="430"/>
      <c r="CR1303" s="430"/>
      <c r="CS1303" s="430"/>
      <c r="CT1303" s="430"/>
      <c r="CU1303" s="430"/>
      <c r="CV1303" s="430"/>
      <c r="CW1303" s="430"/>
      <c r="CX1303" s="430"/>
      <c r="CY1303" s="430"/>
      <c r="CZ1303" s="430"/>
      <c r="DA1303" s="430"/>
      <c r="DB1303" s="430"/>
      <c r="DC1303" s="853"/>
      <c r="DD1303" s="331"/>
      <c r="DE1303" s="331"/>
      <c r="DF1303" s="502"/>
      <c r="DG1303" s="503"/>
      <c r="DH1303" s="2840"/>
      <c r="DI1303" s="3213"/>
      <c r="DJ1303" s="502"/>
      <c r="DK1303" s="503"/>
      <c r="DL1303" s="502"/>
      <c r="DM1303" s="502"/>
      <c r="DN1303" s="502"/>
      <c r="DO1303" s="502"/>
      <c r="DP1303" s="503"/>
      <c r="DQ1303" s="503"/>
      <c r="DR1303" s="296"/>
      <c r="DS1303" s="296"/>
      <c r="DT1303" s="296"/>
    </row>
    <row r="1304" spans="1:124" ht="12.75" customHeight="1" x14ac:dyDescent="0.25">
      <c r="A1304" s="952" t="s">
        <v>1641</v>
      </c>
      <c r="B1304" s="603"/>
      <c r="C1304" s="482">
        <v>0</v>
      </c>
      <c r="D1304" s="482">
        <v>-28.827000000000002</v>
      </c>
      <c r="E1304" s="482">
        <f>-48.133-D1304</f>
        <v>-19.306000000000001</v>
      </c>
      <c r="F1304" s="430">
        <f>G1304-E1304-D1304</f>
        <v>-20.823999999999995</v>
      </c>
      <c r="G1304" s="484">
        <v>-68.956999999999994</v>
      </c>
      <c r="H1304" s="482">
        <v>-15.153</v>
      </c>
      <c r="I1304" s="482">
        <v>-36.54</v>
      </c>
      <c r="J1304" s="482">
        <v>-16.102000000000004</v>
      </c>
      <c r="K1304" s="482">
        <v>-53.34</v>
      </c>
      <c r="L1304" s="481">
        <f>SUM(H1304:K1304)</f>
        <v>-121.13500000000001</v>
      </c>
      <c r="M1304" s="482">
        <v>-54.228000000000002</v>
      </c>
      <c r="N1304" s="482">
        <v>-63.827000000000005</v>
      </c>
      <c r="O1304" s="482">
        <v>-128.61799999999999</v>
      </c>
      <c r="P1304" s="482">
        <v>-162.21</v>
      </c>
      <c r="Q1304" s="481">
        <f>SUM(M1304:P1304)</f>
        <v>-408.88300000000004</v>
      </c>
      <c r="R1304" s="482">
        <v>-74.185000000000002</v>
      </c>
      <c r="S1304" s="482">
        <v>-80.917000000000002</v>
      </c>
      <c r="T1304" s="482">
        <v>-76.959000000000003</v>
      </c>
      <c r="U1304" s="482">
        <v>-129.09399999999997</v>
      </c>
      <c r="V1304" s="481">
        <f>SUM(R1304:U1304)</f>
        <v>-361.15499999999997</v>
      </c>
      <c r="W1304" s="482">
        <v>-120.39</v>
      </c>
      <c r="X1304" s="482">
        <v>-76.214000000000013</v>
      </c>
      <c r="Y1304" s="482">
        <v>-76.347000000000023</v>
      </c>
      <c r="Z1304" s="482">
        <v>-71.942999999999969</v>
      </c>
      <c r="AA1304" s="481">
        <f>SUM(W1304:Z1304)</f>
        <v>-344.89400000000001</v>
      </c>
      <c r="AB1304" s="482">
        <v>-63.575000000000003</v>
      </c>
      <c r="AC1304" s="482">
        <f>-139.021-AB1304</f>
        <v>-75.445999999999984</v>
      </c>
      <c r="AD1304" s="482">
        <f>-227.575-AC1304-AB1304-11.3</f>
        <v>-99.854000000000013</v>
      </c>
      <c r="AE1304" s="482">
        <f>-289.551-AD1304-AC1304-AB1304</f>
        <v>-50.675999999999988</v>
      </c>
      <c r="AF1304" s="481">
        <f>SUM(AB1304:AE1304)</f>
        <v>-289.55099999999999</v>
      </c>
      <c r="AG1304" s="482">
        <v>-120.38500000000001</v>
      </c>
      <c r="AH1304" s="482">
        <f>-210.987-AG1304</f>
        <v>-90.60199999999999</v>
      </c>
      <c r="AI1304" s="482">
        <f>-285.284-AH1304-AG1304</f>
        <v>-74.297000000000011</v>
      </c>
      <c r="AJ1304" s="482">
        <f>-362.955-AI1304-AH1304-AG1304</f>
        <v>-77.670999999999978</v>
      </c>
      <c r="AK1304" s="481">
        <f>SUM(AG1304:AJ1304)</f>
        <v>-362.95499999999998</v>
      </c>
      <c r="AL1304" s="482">
        <v>-54.524000000000001</v>
      </c>
      <c r="AM1304" s="482">
        <f>-107.25-AL1304</f>
        <v>-52.725999999999999</v>
      </c>
      <c r="AN1304" s="482">
        <f>-203.509-AM1304-AL1304</f>
        <v>-96.258999999999986</v>
      </c>
      <c r="AO1304" s="482">
        <f>-293.081-AN1304-AM1304-AL1304</f>
        <v>-89.572000000000031</v>
      </c>
      <c r="AP1304" s="481">
        <f>SUM(AL1304:AO1304)</f>
        <v>-293.08100000000002</v>
      </c>
      <c r="AQ1304" s="482">
        <v>-119.65900000000001</v>
      </c>
      <c r="AR1304" s="482">
        <f>-254.178-AQ1304</f>
        <v>-134.51900000000001</v>
      </c>
      <c r="AS1304" s="482">
        <f>-364.952-AQ1304-AR1304</f>
        <v>-110.774</v>
      </c>
      <c r="AT1304" s="482">
        <f>-472.985-SUM(AQ1304:AS1304)</f>
        <v>-108.03300000000002</v>
      </c>
      <c r="AU1304" s="481">
        <f>SUM(AQ1304:AT1304)</f>
        <v>-472.98500000000001</v>
      </c>
      <c r="AV1304" s="482">
        <v>-62.703000000000003</v>
      </c>
      <c r="AW1304" s="482">
        <f>+-70.771-45.846-AV1304</f>
        <v>-53.913999999999987</v>
      </c>
      <c r="AX1304" s="482">
        <f>-96.967-62.106-AW1304-AV1304</f>
        <v>-42.456000000000017</v>
      </c>
      <c r="AY1304" s="482">
        <f>-119.051-80.862-SUM(AV1304:AX1304)</f>
        <v>-40.840000000000003</v>
      </c>
      <c r="AZ1304" s="481">
        <f>SUM(AV1304:AY1304)</f>
        <v>-199.91300000000001</v>
      </c>
      <c r="BA1304" s="2675">
        <f>+-12.957-24.084</f>
        <v>-37.040999999999997</v>
      </c>
      <c r="BB1304" s="2924">
        <f>+-36.041-44.273-BA1304</f>
        <v>-43.272999999999996</v>
      </c>
      <c r="BC1304" s="482">
        <f>-95.568-65.699-BB1304-BA1304</f>
        <v>-80.953000000000003</v>
      </c>
      <c r="BD1304" s="482">
        <f>-144.707-83.438-SUM(BA1304:BC1304)</f>
        <v>-66.877999999999986</v>
      </c>
      <c r="BE1304" s="481">
        <f>SUM(BA1304:BD1304)</f>
        <v>-228.14499999999998</v>
      </c>
      <c r="BF1304" s="2675">
        <f>-36.929-11.86</f>
        <v>-48.789000000000001</v>
      </c>
      <c r="BG1304" s="2924">
        <f>-90.324-30.165-BF1304</f>
        <v>-71.7</v>
      </c>
      <c r="BH1304" s="482">
        <f>-125.169-41.866-BG1304-BF1304</f>
        <v>-46.545999999999992</v>
      </c>
      <c r="BI1304" s="482">
        <f>-136.548-62.692-SUM(BF1304:BH1304)</f>
        <v>-32.205000000000013</v>
      </c>
      <c r="BJ1304" s="481">
        <f>SUM(BF1304:BI1304)</f>
        <v>-199.24</v>
      </c>
      <c r="BK1304" s="2953">
        <f>+-6.496-14.873</f>
        <v>-21.369</v>
      </c>
      <c r="BL1304" s="2924">
        <f>-10.991-32.543-BK1304</f>
        <v>-22.164999999999999</v>
      </c>
      <c r="BM1304" s="482">
        <f>-14.482-51.431-BL1304-BK1304</f>
        <v>-22.378999999999998</v>
      </c>
      <c r="BN1304" s="482">
        <f>-18.74-78.505-SUM(BK1304:BM1304)</f>
        <v>-31.331999999999994</v>
      </c>
      <c r="BO1304" s="481">
        <f t="shared" ref="BO1304:BO1313" si="2944">SUM(BK1304:BN1304)</f>
        <v>-97.24499999999999</v>
      </c>
      <c r="BP1304" s="2953">
        <f>-6.178-10.978</f>
        <v>-17.155999999999999</v>
      </c>
      <c r="BQ1304" s="482">
        <f>+-14.673-28.287-BP1304</f>
        <v>-25.804000000000002</v>
      </c>
      <c r="BR1304" s="482">
        <f>-23.611-46.631-BQ1304-BP1304</f>
        <v>-27.282000000000004</v>
      </c>
      <c r="BS1304" s="3508">
        <f>-25.033-74.228-SUM(BP1304:BR1304)</f>
        <v>-29.018999999999991</v>
      </c>
      <c r="BT1304" s="2587">
        <f t="shared" ref="BT1304:BT1313" si="2945">SUM(BP1304:BS1304)</f>
        <v>-99.260999999999996</v>
      </c>
      <c r="BU1304" s="2840">
        <f>-BU134</f>
        <v>-37.12127609694933</v>
      </c>
      <c r="BV1304" s="2840">
        <f>-BV134</f>
        <v>-20.361277754346851</v>
      </c>
      <c r="BW1304" s="2840">
        <f>-BW134</f>
        <v>-36.912780289162669</v>
      </c>
      <c r="BX1304" s="2840">
        <f>-BX134</f>
        <v>-28.106546639286464</v>
      </c>
      <c r="BY1304" s="2587">
        <f t="shared" ref="BY1304:BY1313" si="2946">SUM(BU1304:BX1304)</f>
        <v>-122.50188077974532</v>
      </c>
      <c r="BZ1304" s="2587">
        <f t="shared" ref="BZ1304:CF1304" si="2947">-BZ134</f>
        <v>-158.38879107635361</v>
      </c>
      <c r="CA1304" s="2587">
        <f t="shared" si="2947"/>
        <v>-173.20732659840104</v>
      </c>
      <c r="CB1304" s="481">
        <f t="shared" si="2947"/>
        <v>-105.94455258537209</v>
      </c>
      <c r="CC1304" s="481">
        <f t="shared" si="2947"/>
        <v>-101.94575926467661</v>
      </c>
      <c r="CD1304" s="481">
        <f t="shared" si="2947"/>
        <v>-103.53446061701499</v>
      </c>
      <c r="CE1304" s="481">
        <f t="shared" si="2947"/>
        <v>-105.19764047500385</v>
      </c>
      <c r="CF1304" s="481">
        <f t="shared" si="2947"/>
        <v>-87.608140580652176</v>
      </c>
      <c r="CG1304" s="331"/>
      <c r="CH1304" s="331"/>
      <c r="CI1304" s="331"/>
      <c r="CJ1304" s="331"/>
      <c r="CK1304" s="331"/>
      <c r="CL1304" s="952" t="str">
        <f>A1304</f>
        <v>Expenditures for property and equipment</v>
      </c>
      <c r="CM1304" s="430">
        <f>G1304</f>
        <v>-68.956999999999994</v>
      </c>
      <c r="CN1304" s="430">
        <f>L1304</f>
        <v>-121.13500000000001</v>
      </c>
      <c r="CO1304" s="430">
        <f>Q1304</f>
        <v>-408.88300000000004</v>
      </c>
      <c r="CP1304" s="430">
        <f>V1304</f>
        <v>-361.15499999999997</v>
      </c>
      <c r="CQ1304" s="430">
        <f>AA1304</f>
        <v>-344.89400000000001</v>
      </c>
      <c r="CR1304" s="430">
        <f>AF1304</f>
        <v>-289.55099999999999</v>
      </c>
      <c r="CS1304" s="430">
        <f>AK1304</f>
        <v>-362.95499999999998</v>
      </c>
      <c r="CT1304" s="430">
        <f t="shared" ref="CT1304:CT1314" si="2948">AP1304</f>
        <v>-293.08100000000002</v>
      </c>
      <c r="CU1304" s="430">
        <f t="shared" ref="CU1304:CU1314" si="2949">AU1304</f>
        <v>-472.98500000000001</v>
      </c>
      <c r="CV1304" s="430">
        <f t="shared" ref="CV1304:CV1314" si="2950">AZ1304</f>
        <v>-199.91300000000001</v>
      </c>
      <c r="CW1304" s="430">
        <f t="shared" ref="CW1304:CW1314" si="2951">BE1304</f>
        <v>-228.14499999999998</v>
      </c>
      <c r="CX1304" s="430">
        <f t="shared" ref="CX1304:CX1314" si="2952">BJ1304</f>
        <v>-199.24</v>
      </c>
      <c r="CY1304" s="430">
        <f t="shared" ref="CY1304:CY1314" si="2953">BO1304</f>
        <v>-97.24499999999999</v>
      </c>
      <c r="CZ1304" s="430">
        <f t="shared" ref="CZ1304:CZ1314" si="2954">BT1304</f>
        <v>-99.260999999999996</v>
      </c>
      <c r="DA1304" s="430">
        <f t="shared" ref="DA1304:DA1314" si="2955">BY1304</f>
        <v>-122.50188077974532</v>
      </c>
      <c r="DB1304" s="430">
        <f t="shared" ref="DB1304:DB1314" si="2956">BZ1304</f>
        <v>-158.38879107635361</v>
      </c>
      <c r="DC1304" s="853">
        <f t="shared" ref="DC1304:DC1314" si="2957">CA1304</f>
        <v>-173.20732659840104</v>
      </c>
      <c r="DD1304" s="331"/>
      <c r="DE1304" s="331"/>
      <c r="DF1304" s="502"/>
      <c r="DG1304" s="503"/>
      <c r="DH1304" s="2840"/>
      <c r="DI1304" s="3213"/>
      <c r="DJ1304" s="502"/>
      <c r="DK1304" s="503"/>
      <c r="DL1304" s="502"/>
      <c r="DM1304" s="502"/>
      <c r="DN1304" s="502"/>
      <c r="DO1304" s="502"/>
      <c r="DP1304" s="503"/>
      <c r="DQ1304" s="503"/>
      <c r="DR1304" s="296"/>
      <c r="DS1304" s="296"/>
      <c r="DT1304" s="296"/>
    </row>
    <row r="1305" spans="1:124" ht="12.75" customHeight="1" x14ac:dyDescent="0.25">
      <c r="A1305" s="2925" t="s">
        <v>1379</v>
      </c>
      <c r="B1305" s="603"/>
      <c r="C1305" s="482"/>
      <c r="D1305" s="482"/>
      <c r="E1305" s="482"/>
      <c r="F1305" s="430"/>
      <c r="G1305" s="484"/>
      <c r="H1305" s="482"/>
      <c r="I1305" s="482"/>
      <c r="J1305" s="482"/>
      <c r="K1305" s="482"/>
      <c r="L1305" s="481"/>
      <c r="M1305" s="482"/>
      <c r="N1305" s="482"/>
      <c r="O1305" s="482"/>
      <c r="P1305" s="482"/>
      <c r="Q1305" s="481"/>
      <c r="R1305" s="482"/>
      <c r="S1305" s="482"/>
      <c r="T1305" s="482"/>
      <c r="U1305" s="482"/>
      <c r="V1305" s="481"/>
      <c r="W1305" s="482"/>
      <c r="X1305" s="482"/>
      <c r="Y1305" s="482"/>
      <c r="Z1305" s="482"/>
      <c r="AA1305" s="481"/>
      <c r="AB1305" s="482"/>
      <c r="AC1305" s="482"/>
      <c r="AD1305" s="482"/>
      <c r="AE1305" s="482"/>
      <c r="AF1305" s="481"/>
      <c r="AG1305" s="482"/>
      <c r="AH1305" s="482"/>
      <c r="AI1305" s="482"/>
      <c r="AJ1305" s="482"/>
      <c r="AK1305" s="481"/>
      <c r="AL1305" s="482"/>
      <c r="AM1305" s="482"/>
      <c r="AN1305" s="482"/>
      <c r="AO1305" s="482"/>
      <c r="AP1305" s="481"/>
      <c r="AQ1305" s="482"/>
      <c r="AR1305" s="482"/>
      <c r="AS1305" s="482"/>
      <c r="AT1305" s="482"/>
      <c r="AU1305" s="481"/>
      <c r="AV1305" s="482"/>
      <c r="AW1305" s="482"/>
      <c r="AX1305" s="482"/>
      <c r="AY1305" s="482"/>
      <c r="AZ1305" s="481"/>
      <c r="BA1305" s="482">
        <v>-8.5730000000000004</v>
      </c>
      <c r="BB1305" s="2924">
        <f>-18.856-BA1305</f>
        <v>-10.283000000000001</v>
      </c>
      <c r="BC1305" s="482">
        <f>-30.499-BB1305-BA1305</f>
        <v>-11.642999999999997</v>
      </c>
      <c r="BD1305" s="482">
        <f>-47.093-SUM(BA1305:BC1305)</f>
        <v>-16.594000000000005</v>
      </c>
      <c r="BE1305" s="481">
        <f>SUM(BA1305:BD1305)</f>
        <v>-47.093000000000004</v>
      </c>
      <c r="BF1305" s="482">
        <v>-16.341000000000001</v>
      </c>
      <c r="BG1305" s="2924">
        <f>-38.452-BF1305</f>
        <v>-22.110999999999997</v>
      </c>
      <c r="BH1305" s="482">
        <f>-64.228-BG1305-BF1305</f>
        <v>-25.775999999999996</v>
      </c>
      <c r="BI1305" s="482">
        <f>-105.658-SUM(BF1305:BH1305)</f>
        <v>-41.430000000000007</v>
      </c>
      <c r="BJ1305" s="481">
        <f>SUM(BF1305:BI1305)</f>
        <v>-105.658</v>
      </c>
      <c r="BK1305" s="2953">
        <v>-51.780999999999999</v>
      </c>
      <c r="BL1305" s="2924">
        <f>-102.22-BK1305</f>
        <v>-50.439</v>
      </c>
      <c r="BM1305" s="482">
        <f>-167.863-BL1305-BK1305</f>
        <v>-65.643000000000001</v>
      </c>
      <c r="BN1305" s="482">
        <f>-184.193-98+341.864-3.065+30-SUM(BK1305:BM1305)</f>
        <v>254.46899999999999</v>
      </c>
      <c r="BO1305" s="481">
        <f t="shared" si="2944"/>
        <v>86.605999999999995</v>
      </c>
      <c r="BP1305" s="2953">
        <v>0</v>
      </c>
      <c r="BQ1305" s="2924">
        <v>0</v>
      </c>
      <c r="BR1305" s="482">
        <v>0</v>
      </c>
      <c r="BS1305" s="2924">
        <f>-0.845+0+0-1.5+0-SUM(BP1305:BR1305)</f>
        <v>-2.3449999999999998</v>
      </c>
      <c r="BT1305" s="2587">
        <f t="shared" si="2945"/>
        <v>-2.3449999999999998</v>
      </c>
      <c r="BU1305" s="482">
        <v>0</v>
      </c>
      <c r="BV1305" s="482">
        <v>0</v>
      </c>
      <c r="BW1305" s="482">
        <v>0</v>
      </c>
      <c r="BX1305" s="482">
        <v>0</v>
      </c>
      <c r="BY1305" s="2587">
        <f t="shared" si="2946"/>
        <v>0</v>
      </c>
      <c r="BZ1305" s="484">
        <v>0</v>
      </c>
      <c r="CA1305" s="484">
        <v>0</v>
      </c>
      <c r="CB1305" s="484">
        <v>0</v>
      </c>
      <c r="CC1305" s="484">
        <v>0</v>
      </c>
      <c r="CD1305" s="484">
        <v>0</v>
      </c>
      <c r="CE1305" s="484">
        <v>0</v>
      </c>
      <c r="CF1305" s="484">
        <v>0</v>
      </c>
      <c r="CG1305" s="331"/>
      <c r="CH1305" s="331"/>
      <c r="CI1305" s="331"/>
      <c r="CJ1305" s="331"/>
      <c r="CK1305" s="331"/>
      <c r="CL1305" s="2925" t="s">
        <v>1379</v>
      </c>
      <c r="CM1305" s="430"/>
      <c r="CN1305" s="430"/>
      <c r="CO1305" s="430"/>
      <c r="CP1305" s="430"/>
      <c r="CQ1305" s="430"/>
      <c r="CR1305" s="430"/>
      <c r="CS1305" s="430"/>
      <c r="CT1305" s="430">
        <f t="shared" si="2948"/>
        <v>0</v>
      </c>
      <c r="CU1305" s="430">
        <f t="shared" si="2949"/>
        <v>0</v>
      </c>
      <c r="CV1305" s="430">
        <f t="shared" si="2950"/>
        <v>0</v>
      </c>
      <c r="CW1305" s="430">
        <f t="shared" si="2951"/>
        <v>-47.093000000000004</v>
      </c>
      <c r="CX1305" s="430">
        <f t="shared" si="2952"/>
        <v>-105.658</v>
      </c>
      <c r="CY1305" s="430">
        <f t="shared" si="2953"/>
        <v>86.605999999999995</v>
      </c>
      <c r="CZ1305" s="430">
        <f t="shared" si="2954"/>
        <v>-2.3449999999999998</v>
      </c>
      <c r="DA1305" s="430">
        <f t="shared" si="2955"/>
        <v>0</v>
      </c>
      <c r="DB1305" s="430">
        <f t="shared" si="2956"/>
        <v>0</v>
      </c>
      <c r="DC1305" s="853">
        <f t="shared" si="2957"/>
        <v>0</v>
      </c>
      <c r="DD1305" s="331"/>
      <c r="DE1305" s="331"/>
      <c r="DF1305" s="502"/>
      <c r="DG1305" s="503"/>
      <c r="DH1305" s="2840"/>
      <c r="DI1305" s="3213"/>
      <c r="DJ1305" s="502"/>
      <c r="DK1305" s="503"/>
      <c r="DL1305" s="502"/>
      <c r="DM1305" s="502"/>
      <c r="DN1305" s="502"/>
      <c r="DO1305" s="502"/>
      <c r="DP1305" s="503"/>
      <c r="DQ1305" s="503"/>
      <c r="DR1305" s="296"/>
      <c r="DS1305" s="296"/>
      <c r="DT1305" s="296"/>
    </row>
    <row r="1306" spans="1:124" ht="12.75" customHeight="1" x14ac:dyDescent="0.25">
      <c r="A1306" s="952" t="s">
        <v>1798</v>
      </c>
      <c r="B1306" s="603"/>
      <c r="C1306" s="482"/>
      <c r="D1306" s="482"/>
      <c r="E1306" s="482"/>
      <c r="F1306" s="430"/>
      <c r="G1306" s="484"/>
      <c r="H1306" s="482"/>
      <c r="I1306" s="482"/>
      <c r="J1306" s="482"/>
      <c r="K1306" s="482"/>
      <c r="L1306" s="481"/>
      <c r="M1306" s="482"/>
      <c r="N1306" s="482"/>
      <c r="O1306" s="482"/>
      <c r="P1306" s="482"/>
      <c r="Q1306" s="481"/>
      <c r="R1306" s="482"/>
      <c r="S1306" s="482"/>
      <c r="T1306" s="482"/>
      <c r="U1306" s="482"/>
      <c r="V1306" s="481"/>
      <c r="W1306" s="482"/>
      <c r="X1306" s="482"/>
      <c r="Y1306" s="482"/>
      <c r="Z1306" s="482"/>
      <c r="AA1306" s="481"/>
      <c r="AB1306" s="482"/>
      <c r="AC1306" s="482"/>
      <c r="AD1306" s="482"/>
      <c r="AE1306" s="482">
        <f>-12.895</f>
        <v>-12.895</v>
      </c>
      <c r="AF1306" s="481">
        <f>SUM(AB1306:AE1306)</f>
        <v>-12.895</v>
      </c>
      <c r="AG1306" s="482">
        <v>-13.55</v>
      </c>
      <c r="AH1306" s="482">
        <f>-13.55-AG1306</f>
        <v>0</v>
      </c>
      <c r="AI1306" s="482">
        <f>-50.266-AH1306-AG1306</f>
        <v>-36.715999999999994</v>
      </c>
      <c r="AJ1306" s="482">
        <f>-63.632-AI1306-AH1306-AG1306</f>
        <v>-13.366000000000003</v>
      </c>
      <c r="AK1306" s="481">
        <f>SUM(AG1306:AJ1306)</f>
        <v>-63.631999999999991</v>
      </c>
      <c r="AL1306" s="482">
        <v>-10.199999999999999</v>
      </c>
      <c r="AM1306" s="482">
        <f>-80.725-AL1306</f>
        <v>-70.524999999999991</v>
      </c>
      <c r="AN1306" s="482">
        <f>-74.198-AM1306-AL1306</f>
        <v>6.5269999999999975</v>
      </c>
      <c r="AO1306" s="482">
        <f>-100.398-AN1306-AM1306-AL1306</f>
        <v>-26.200000000000006</v>
      </c>
      <c r="AP1306" s="481">
        <f>SUM(AL1306:AO1306)</f>
        <v>-100.398</v>
      </c>
      <c r="AQ1306" s="482">
        <v>-39.6</v>
      </c>
      <c r="AR1306" s="482">
        <f>-39.6-AQ1306</f>
        <v>0</v>
      </c>
      <c r="AS1306" s="482">
        <f>-39.6-AQ1306-AR1306</f>
        <v>0</v>
      </c>
      <c r="AT1306" s="482">
        <f>-36-SUM(AQ1306:AS1306)</f>
        <v>3.6000000000000014</v>
      </c>
      <c r="AU1306" s="481">
        <f>SUM(AQ1306:AT1306)</f>
        <v>-36</v>
      </c>
      <c r="AV1306" s="482">
        <v>-0.5</v>
      </c>
      <c r="AW1306" s="482">
        <f>+-0.5-AV1306</f>
        <v>0</v>
      </c>
      <c r="AX1306" s="482">
        <f>-0.5-AW1306-AV1306</f>
        <v>0</v>
      </c>
      <c r="AY1306" s="482">
        <f>-0.675-SUM(AV1306:AX1306)</f>
        <v>-0.17500000000000004</v>
      </c>
      <c r="AZ1306" s="481">
        <f>SUM(AV1306:AY1306)</f>
        <v>-0.67500000000000004</v>
      </c>
      <c r="BA1306" s="482">
        <v>0</v>
      </c>
      <c r="BB1306" s="482">
        <v>0</v>
      </c>
      <c r="BC1306" s="482">
        <f>-1-BB1306-BA1306</f>
        <v>-1</v>
      </c>
      <c r="BD1306" s="482">
        <f>-1.285-SUM(BA1306:BC1306)</f>
        <v>-0.28499999999999992</v>
      </c>
      <c r="BE1306" s="481">
        <f>SUM(BA1306:BD1306)</f>
        <v>-1.2849999999999999</v>
      </c>
      <c r="BF1306" s="482">
        <v>-0.32800000000000001</v>
      </c>
      <c r="BG1306" s="482">
        <f>-0.328-BF1306</f>
        <v>0</v>
      </c>
      <c r="BH1306" s="482">
        <f>-2.799-BG1306-BF1306</f>
        <v>-2.4710000000000001</v>
      </c>
      <c r="BI1306" s="482">
        <f>-2.555-SUM(BF1306:BH1306)</f>
        <v>0.24399999999999977</v>
      </c>
      <c r="BJ1306" s="481">
        <f>SUM(BF1306:BI1306)</f>
        <v>-2.5550000000000002</v>
      </c>
      <c r="BK1306" s="2953">
        <v>0</v>
      </c>
      <c r="BL1306" s="482">
        <f>0-BK1306</f>
        <v>0</v>
      </c>
      <c r="BM1306" s="482">
        <f>0-BL1306-BK1306</f>
        <v>0</v>
      </c>
      <c r="BN1306" s="482">
        <v>0</v>
      </c>
      <c r="BO1306" s="481">
        <f t="shared" si="2944"/>
        <v>0</v>
      </c>
      <c r="BP1306" s="2953">
        <v>-0.16800000000000001</v>
      </c>
      <c r="BQ1306" s="482">
        <f>+-0.372-BP1306</f>
        <v>-0.20399999999999999</v>
      </c>
      <c r="BR1306" s="482">
        <f>-0.739-0.25-BQ1306-BP1306</f>
        <v>-0.61699999999999999</v>
      </c>
      <c r="BS1306" s="482">
        <f>-0.5-SUM(BP1306:BR1306)</f>
        <v>0.48899999999999999</v>
      </c>
      <c r="BT1306" s="2587">
        <f t="shared" si="2945"/>
        <v>-0.5</v>
      </c>
      <c r="BU1306" s="482">
        <v>0</v>
      </c>
      <c r="BV1306" s="482">
        <v>0</v>
      </c>
      <c r="BW1306" s="482">
        <v>0</v>
      </c>
      <c r="BX1306" s="482">
        <v>0</v>
      </c>
      <c r="BY1306" s="2587">
        <f t="shared" si="2946"/>
        <v>0</v>
      </c>
      <c r="BZ1306" s="484">
        <v>0</v>
      </c>
      <c r="CA1306" s="484">
        <v>0</v>
      </c>
      <c r="CB1306" s="484">
        <v>0</v>
      </c>
      <c r="CC1306" s="484">
        <v>0</v>
      </c>
      <c r="CD1306" s="484">
        <v>0</v>
      </c>
      <c r="CE1306" s="484">
        <v>0</v>
      </c>
      <c r="CF1306" s="484">
        <v>0</v>
      </c>
      <c r="CG1306" s="331"/>
      <c r="CH1306" s="331"/>
      <c r="CI1306" s="331"/>
      <c r="CJ1306" s="331"/>
      <c r="CK1306" s="331"/>
      <c r="CL1306" s="952" t="str">
        <f t="shared" ref="CL1306:CL1314" si="2958">A1306</f>
        <v>Investment in joint ventures</v>
      </c>
      <c r="CM1306" s="430">
        <f t="shared" ref="CM1306:CM1314" si="2959">G1306</f>
        <v>0</v>
      </c>
      <c r="CN1306" s="430">
        <f t="shared" ref="CN1306:CN1314" si="2960">L1306</f>
        <v>0</v>
      </c>
      <c r="CO1306" s="430">
        <f t="shared" ref="CO1306:CO1314" si="2961">Q1306</f>
        <v>0</v>
      </c>
      <c r="CP1306" s="430">
        <f t="shared" ref="CP1306:CP1314" si="2962">V1306</f>
        <v>0</v>
      </c>
      <c r="CQ1306" s="430">
        <f t="shared" ref="CQ1306:CQ1314" si="2963">AA1306</f>
        <v>0</v>
      </c>
      <c r="CR1306" s="430">
        <f t="shared" ref="CR1306:CR1314" si="2964">AF1306</f>
        <v>-12.895</v>
      </c>
      <c r="CS1306" s="430">
        <f t="shared" ref="CS1306:CS1314" si="2965">AK1306</f>
        <v>-63.631999999999991</v>
      </c>
      <c r="CT1306" s="430">
        <f t="shared" si="2948"/>
        <v>-100.398</v>
      </c>
      <c r="CU1306" s="430">
        <f t="shared" si="2949"/>
        <v>-36</v>
      </c>
      <c r="CV1306" s="430">
        <f t="shared" si="2950"/>
        <v>-0.67500000000000004</v>
      </c>
      <c r="CW1306" s="430">
        <f t="shared" si="2951"/>
        <v>-1.2849999999999999</v>
      </c>
      <c r="CX1306" s="430">
        <f t="shared" si="2952"/>
        <v>-2.5550000000000002</v>
      </c>
      <c r="CY1306" s="430">
        <f t="shared" si="2953"/>
        <v>0</v>
      </c>
      <c r="CZ1306" s="430">
        <f t="shared" si="2954"/>
        <v>-0.5</v>
      </c>
      <c r="DA1306" s="430">
        <f t="shared" si="2955"/>
        <v>0</v>
      </c>
      <c r="DB1306" s="430">
        <f t="shared" si="2956"/>
        <v>0</v>
      </c>
      <c r="DC1306" s="853">
        <f t="shared" si="2957"/>
        <v>0</v>
      </c>
      <c r="DD1306" s="331"/>
      <c r="DE1306" s="331"/>
      <c r="DF1306" s="502"/>
      <c r="DG1306" s="503"/>
      <c r="DH1306" s="2840"/>
      <c r="DI1306" s="3213"/>
      <c r="DJ1306" s="502"/>
      <c r="DK1306" s="503"/>
      <c r="DL1306" s="502"/>
      <c r="DM1306" s="502"/>
      <c r="DN1306" s="502"/>
      <c r="DO1306" s="502"/>
      <c r="DP1306" s="503"/>
      <c r="DQ1306" s="503"/>
      <c r="DR1306" s="296"/>
      <c r="DS1306" s="296"/>
      <c r="DT1306" s="296"/>
    </row>
    <row r="1307" spans="1:124" ht="12.75" customHeight="1" outlineLevel="1" x14ac:dyDescent="0.25">
      <c r="A1307" s="952" t="s">
        <v>1140</v>
      </c>
      <c r="B1307" s="603"/>
      <c r="C1307" s="482">
        <v>0</v>
      </c>
      <c r="D1307" s="482">
        <v>0</v>
      </c>
      <c r="E1307" s="482">
        <v>0</v>
      </c>
      <c r="F1307" s="482">
        <v>0</v>
      </c>
      <c r="G1307" s="484">
        <v>0</v>
      </c>
      <c r="H1307" s="482">
        <v>0</v>
      </c>
      <c r="I1307" s="482">
        <v>0</v>
      </c>
      <c r="J1307" s="482">
        <v>0</v>
      </c>
      <c r="K1307" s="482">
        <v>0</v>
      </c>
      <c r="L1307" s="481">
        <f t="shared" ref="L1307:L1313" si="2966">SUM(H1307:K1307)</f>
        <v>0</v>
      </c>
      <c r="M1307" s="482">
        <v>0</v>
      </c>
      <c r="N1307" s="482">
        <v>0</v>
      </c>
      <c r="O1307" s="482">
        <v>0</v>
      </c>
      <c r="P1307" s="482">
        <v>104.136</v>
      </c>
      <c r="Q1307" s="481">
        <f t="shared" ref="Q1307:Q1313" si="2967">SUM(M1307:P1307)</f>
        <v>104.136</v>
      </c>
      <c r="R1307" s="482">
        <v>0</v>
      </c>
      <c r="S1307" s="482">
        <v>0</v>
      </c>
      <c r="T1307" s="482">
        <v>0</v>
      </c>
      <c r="U1307" s="482">
        <v>0</v>
      </c>
      <c r="V1307" s="481">
        <f t="shared" ref="V1307:V1313" si="2968">SUM(R1307:U1307)</f>
        <v>0</v>
      </c>
      <c r="W1307" s="482">
        <v>0</v>
      </c>
      <c r="X1307" s="482">
        <v>0</v>
      </c>
      <c r="Y1307" s="482">
        <v>0</v>
      </c>
      <c r="Z1307" s="482">
        <v>0</v>
      </c>
      <c r="AA1307" s="481">
        <f t="shared" ref="AA1307:AA1313" si="2969">SUM(W1307:Z1307)</f>
        <v>0</v>
      </c>
      <c r="AB1307" s="482">
        <v>0</v>
      </c>
      <c r="AC1307" s="482">
        <v>0</v>
      </c>
      <c r="AD1307" s="482">
        <v>0</v>
      </c>
      <c r="AE1307" s="430"/>
      <c r="AF1307" s="481">
        <f t="shared" ref="AF1307:AF1313" si="2970">SUM(AB1307:AE1307)</f>
        <v>0</v>
      </c>
      <c r="AG1307" s="430"/>
      <c r="AH1307" s="430"/>
      <c r="AI1307" s="430"/>
      <c r="AJ1307" s="482"/>
      <c r="AK1307" s="481">
        <f t="shared" ref="AK1307:AK1313" si="2971">SUM(AG1307:AJ1307)</f>
        <v>0</v>
      </c>
      <c r="AL1307" s="430"/>
      <c r="AM1307" s="430"/>
      <c r="AN1307" s="430"/>
      <c r="AO1307" s="482"/>
      <c r="AP1307" s="481">
        <f t="shared" ref="AP1307:AP1313" si="2972">SUM(AL1307:AO1307)</f>
        <v>0</v>
      </c>
      <c r="AQ1307" s="482">
        <v>0</v>
      </c>
      <c r="AR1307" s="482">
        <f>0-AQ1307</f>
        <v>0</v>
      </c>
      <c r="AS1307" s="482">
        <f>0-AR1307-AQ1307</f>
        <v>0</v>
      </c>
      <c r="AT1307" s="482">
        <f>0-SUM(AQ1307:AS1307)</f>
        <v>0</v>
      </c>
      <c r="AU1307" s="481">
        <f t="shared" ref="AU1307:AU1313" si="2973">SUM(AQ1307:AT1307)</f>
        <v>0</v>
      </c>
      <c r="AV1307" s="482">
        <v>0</v>
      </c>
      <c r="AW1307" s="482">
        <v>0</v>
      </c>
      <c r="AX1307" s="482">
        <v>0</v>
      </c>
      <c r="AY1307" s="482">
        <f>0-SUM(AV1307:AX1307)</f>
        <v>0</v>
      </c>
      <c r="AZ1307" s="481">
        <f t="shared" ref="AZ1307:AZ1313" si="2974">SUM(AV1307:AY1307)</f>
        <v>0</v>
      </c>
      <c r="BA1307" s="482">
        <v>0</v>
      </c>
      <c r="BB1307" s="482">
        <v>0</v>
      </c>
      <c r="BC1307" s="482">
        <f>0-BB1307-BA1307</f>
        <v>0</v>
      </c>
      <c r="BD1307" s="862">
        <v>0</v>
      </c>
      <c r="BE1307" s="481">
        <f t="shared" ref="BE1307:BE1313" si="2975">SUM(BA1307:BD1307)</f>
        <v>0</v>
      </c>
      <c r="BF1307" s="482">
        <v>0</v>
      </c>
      <c r="BG1307" s="482">
        <f>0-BF1307</f>
        <v>0</v>
      </c>
      <c r="BH1307" s="482">
        <f>0-BG1307-BF1307</f>
        <v>0</v>
      </c>
      <c r="BI1307" s="862">
        <v>0</v>
      </c>
      <c r="BJ1307" s="481">
        <f t="shared" ref="BJ1307:BJ1313" si="2976">SUM(BF1307:BI1307)</f>
        <v>0</v>
      </c>
      <c r="BK1307" s="2953">
        <v>0</v>
      </c>
      <c r="BL1307" s="482">
        <f>0-BK1307</f>
        <v>0</v>
      </c>
      <c r="BM1307" s="482">
        <f>0-BL1307-BK1307</f>
        <v>0</v>
      </c>
      <c r="BN1307" s="862">
        <v>0</v>
      </c>
      <c r="BO1307" s="481">
        <f t="shared" si="2944"/>
        <v>0</v>
      </c>
      <c r="BP1307" s="2953">
        <v>0</v>
      </c>
      <c r="BQ1307" s="482">
        <v>0</v>
      </c>
      <c r="BR1307" s="482">
        <v>0</v>
      </c>
      <c r="BS1307" s="482">
        <f>0-SUM(BP1307:BR1307)</f>
        <v>0</v>
      </c>
      <c r="BT1307" s="2587">
        <f t="shared" si="2945"/>
        <v>0</v>
      </c>
      <c r="BU1307" s="482">
        <v>0</v>
      </c>
      <c r="BV1307" s="482">
        <v>0</v>
      </c>
      <c r="BW1307" s="482">
        <v>0</v>
      </c>
      <c r="BX1307" s="482">
        <v>0</v>
      </c>
      <c r="BY1307" s="2587">
        <f t="shared" si="2946"/>
        <v>0</v>
      </c>
      <c r="BZ1307" s="484">
        <v>0</v>
      </c>
      <c r="CA1307" s="484">
        <v>0</v>
      </c>
      <c r="CB1307" s="484">
        <v>0</v>
      </c>
      <c r="CC1307" s="484">
        <v>0</v>
      </c>
      <c r="CD1307" s="484">
        <v>0</v>
      </c>
      <c r="CE1307" s="484">
        <v>0</v>
      </c>
      <c r="CF1307" s="484">
        <v>0</v>
      </c>
      <c r="CG1307" s="331"/>
      <c r="CH1307" s="331"/>
      <c r="CI1307" s="331"/>
      <c r="CJ1307" s="331"/>
      <c r="CK1307" s="331"/>
      <c r="CL1307" s="952" t="str">
        <f t="shared" si="2958"/>
        <v>Proceeds from hurricane</v>
      </c>
      <c r="CM1307" s="430">
        <f t="shared" si="2959"/>
        <v>0</v>
      </c>
      <c r="CN1307" s="430">
        <f t="shared" si="2960"/>
        <v>0</v>
      </c>
      <c r="CO1307" s="430">
        <f t="shared" si="2961"/>
        <v>104.136</v>
      </c>
      <c r="CP1307" s="430">
        <f t="shared" si="2962"/>
        <v>0</v>
      </c>
      <c r="CQ1307" s="430">
        <f t="shared" si="2963"/>
        <v>0</v>
      </c>
      <c r="CR1307" s="430">
        <f t="shared" si="2964"/>
        <v>0</v>
      </c>
      <c r="CS1307" s="430">
        <f t="shared" si="2965"/>
        <v>0</v>
      </c>
      <c r="CT1307" s="430">
        <f t="shared" si="2948"/>
        <v>0</v>
      </c>
      <c r="CU1307" s="430">
        <f t="shared" si="2949"/>
        <v>0</v>
      </c>
      <c r="CV1307" s="430">
        <f t="shared" si="2950"/>
        <v>0</v>
      </c>
      <c r="CW1307" s="430">
        <f t="shared" si="2951"/>
        <v>0</v>
      </c>
      <c r="CX1307" s="430">
        <f t="shared" si="2952"/>
        <v>0</v>
      </c>
      <c r="CY1307" s="430">
        <f t="shared" si="2953"/>
        <v>0</v>
      </c>
      <c r="CZ1307" s="430">
        <f t="shared" si="2954"/>
        <v>0</v>
      </c>
      <c r="DA1307" s="430">
        <f t="shared" si="2955"/>
        <v>0</v>
      </c>
      <c r="DB1307" s="430">
        <f t="shared" si="2956"/>
        <v>0</v>
      </c>
      <c r="DC1307" s="853">
        <f t="shared" si="2957"/>
        <v>0</v>
      </c>
      <c r="DD1307" s="331"/>
      <c r="DE1307" s="331"/>
      <c r="DF1307" s="502"/>
      <c r="DG1307" s="503"/>
      <c r="DH1307" s="2840"/>
      <c r="DI1307" s="3213"/>
      <c r="DJ1307" s="502"/>
      <c r="DK1307" s="503"/>
      <c r="DL1307" s="502"/>
      <c r="DM1307" s="502"/>
      <c r="DN1307" s="502"/>
      <c r="DO1307" s="502"/>
      <c r="DP1307" s="503"/>
      <c r="DQ1307" s="503"/>
      <c r="DR1307" s="296"/>
      <c r="DS1307" s="296"/>
      <c r="DT1307" s="296"/>
    </row>
    <row r="1308" spans="1:124" ht="12.75" customHeight="1" x14ac:dyDescent="0.25">
      <c r="A1308" s="952" t="s">
        <v>1141</v>
      </c>
      <c r="B1308" s="603"/>
      <c r="C1308" s="482">
        <v>0</v>
      </c>
      <c r="D1308" s="482">
        <v>0.434</v>
      </c>
      <c r="E1308" s="482">
        <f>0.458-D1308</f>
        <v>2.4000000000000021E-2</v>
      </c>
      <c r="F1308" s="430">
        <f>G1308-E1308-D1308</f>
        <v>0.93700000000000006</v>
      </c>
      <c r="G1308" s="484">
        <v>1.395</v>
      </c>
      <c r="H1308" s="482">
        <v>0</v>
      </c>
      <c r="I1308" s="482">
        <v>0</v>
      </c>
      <c r="J1308" s="482">
        <v>0</v>
      </c>
      <c r="K1308" s="482">
        <v>0</v>
      </c>
      <c r="L1308" s="481">
        <f t="shared" si="2966"/>
        <v>0</v>
      </c>
      <c r="M1308" s="482">
        <v>0</v>
      </c>
      <c r="N1308" s="482">
        <v>0.84</v>
      </c>
      <c r="O1308" s="482">
        <v>1.43</v>
      </c>
      <c r="P1308" s="482">
        <v>0.13600000000000001</v>
      </c>
      <c r="Q1308" s="481">
        <f t="shared" si="2967"/>
        <v>2.4060000000000001</v>
      </c>
      <c r="R1308" s="482">
        <v>0.80200000000000005</v>
      </c>
      <c r="S1308" s="482">
        <v>13.079000000000001</v>
      </c>
      <c r="T1308" s="482">
        <v>0.36999999999999877</v>
      </c>
      <c r="U1308" s="482">
        <v>0.76899999999999968</v>
      </c>
      <c r="V1308" s="481">
        <f t="shared" si="2968"/>
        <v>15.02</v>
      </c>
      <c r="W1308" s="482">
        <v>0.17899999999999999</v>
      </c>
      <c r="X1308" s="482">
        <v>0.40199999999999997</v>
      </c>
      <c r="Y1308" s="482">
        <v>0.30100000000000005</v>
      </c>
      <c r="Z1308" s="482">
        <v>0.18400000000000005</v>
      </c>
      <c r="AA1308" s="481">
        <f t="shared" si="2969"/>
        <v>1.0660000000000001</v>
      </c>
      <c r="AB1308" s="482">
        <v>1.212</v>
      </c>
      <c r="AC1308" s="482">
        <f>8.788-AB1308</f>
        <v>7.5760000000000005</v>
      </c>
      <c r="AD1308" s="482">
        <f>2.12-AC1308-AB1308</f>
        <v>-6.6680000000000001</v>
      </c>
      <c r="AE1308" s="430">
        <f>2.628-AD1308-AC1308-AB1308</f>
        <v>0.5079999999999989</v>
      </c>
      <c r="AF1308" s="481">
        <f t="shared" si="2970"/>
        <v>2.6279999999999992</v>
      </c>
      <c r="AG1308" s="482">
        <v>1.103</v>
      </c>
      <c r="AH1308" s="482">
        <f>1.312-AG1308</f>
        <v>0.20900000000000007</v>
      </c>
      <c r="AI1308" s="482">
        <f>1.425-AH1308-AG1308</f>
        <v>0.11299999999999999</v>
      </c>
      <c r="AJ1308" s="482">
        <f>1.627-AI1308-AH1308-AG1308</f>
        <v>0.20199999999999996</v>
      </c>
      <c r="AK1308" s="481">
        <f t="shared" si="2971"/>
        <v>1.627</v>
      </c>
      <c r="AL1308" s="482">
        <v>0.158</v>
      </c>
      <c r="AM1308" s="482">
        <f>0.61-AL1308</f>
        <v>0.45199999999999996</v>
      </c>
      <c r="AN1308" s="482">
        <f>11.643-AM1308-AL1308</f>
        <v>11.033000000000001</v>
      </c>
      <c r="AO1308" s="482">
        <f>12.966-AN1308-AM1308-AL1308</f>
        <v>1.3229999999999982</v>
      </c>
      <c r="AP1308" s="481">
        <f t="shared" si="2972"/>
        <v>12.965999999999999</v>
      </c>
      <c r="AQ1308" s="482">
        <v>1.2829999999999999</v>
      </c>
      <c r="AR1308" s="482">
        <f>2.803-AQ1308</f>
        <v>1.52</v>
      </c>
      <c r="AS1308" s="482">
        <f>3.144-AQ1308-AR1308</f>
        <v>0.34100000000000019</v>
      </c>
      <c r="AT1308" s="482">
        <f>5.323-SUM(AQ1308:AS1308)</f>
        <v>2.1790000000000003</v>
      </c>
      <c r="AU1308" s="481">
        <f t="shared" si="2973"/>
        <v>5.3230000000000004</v>
      </c>
      <c r="AV1308" s="482">
        <v>2.5169999999999999</v>
      </c>
      <c r="AW1308" s="482">
        <f>2.818-AV1308</f>
        <v>0.30100000000000016</v>
      </c>
      <c r="AX1308" s="482">
        <f>3.272-AW1308-AV1308</f>
        <v>0.45399999999999974</v>
      </c>
      <c r="AY1308" s="482">
        <f>3.837+2.203+4.996-SUM(AV1308:AX1308)</f>
        <v>7.7640000000000011</v>
      </c>
      <c r="AZ1308" s="481">
        <f t="shared" si="2974"/>
        <v>11.036000000000001</v>
      </c>
      <c r="BA1308" s="482">
        <v>0.129</v>
      </c>
      <c r="BB1308" s="482">
        <f>0.176-BA1308</f>
        <v>4.6999999999999986E-2</v>
      </c>
      <c r="BC1308" s="482">
        <f>1.172-BB1308-BA1308</f>
        <v>0.996</v>
      </c>
      <c r="BD1308" s="862">
        <f>1.665-SUM(BA1308:BC1308)</f>
        <v>0.4930000000000001</v>
      </c>
      <c r="BE1308" s="481">
        <f t="shared" si="2975"/>
        <v>1.665</v>
      </c>
      <c r="BF1308" s="482">
        <v>0.14599999999999999</v>
      </c>
      <c r="BG1308" s="482">
        <f>0.375-BF1308</f>
        <v>0.22900000000000001</v>
      </c>
      <c r="BH1308" s="482">
        <f>0.389-BG1308-BF1308</f>
        <v>1.4000000000000012E-2</v>
      </c>
      <c r="BI1308" s="862">
        <f>0.561-SUM(BF1308:BH1308)</f>
        <v>0.17200000000000004</v>
      </c>
      <c r="BJ1308" s="481">
        <f t="shared" si="2976"/>
        <v>0.56100000000000005</v>
      </c>
      <c r="BK1308" s="2953">
        <v>2.0910000000000002</v>
      </c>
      <c r="BL1308" s="482">
        <f>2.272-BK1308</f>
        <v>0.18099999999999961</v>
      </c>
      <c r="BM1308" s="482">
        <f>13.212-BL1308-BK1308</f>
        <v>10.940000000000001</v>
      </c>
      <c r="BN1308" s="862">
        <f>18.21-SUM(BK1308:BM1308)</f>
        <v>4.9979999999999993</v>
      </c>
      <c r="BO1308" s="481">
        <f t="shared" si="2944"/>
        <v>18.21</v>
      </c>
      <c r="BP1308" s="2953">
        <v>0.309</v>
      </c>
      <c r="BQ1308" s="482">
        <f>0.477-BP1308</f>
        <v>0.16799999999999998</v>
      </c>
      <c r="BR1308" s="482">
        <f>0.762-BQ1308-BP1308</f>
        <v>0.28500000000000009</v>
      </c>
      <c r="BS1308" s="482">
        <f>1.013-SUM(BP1308:BR1308)</f>
        <v>0.25099999999999989</v>
      </c>
      <c r="BT1308" s="2587">
        <f t="shared" si="2945"/>
        <v>1.0129999999999999</v>
      </c>
      <c r="BU1308" s="482">
        <v>0</v>
      </c>
      <c r="BV1308" s="482">
        <v>0</v>
      </c>
      <c r="BW1308" s="482">
        <f>575+315-53</f>
        <v>837</v>
      </c>
      <c r="BX1308" s="482">
        <v>0</v>
      </c>
      <c r="BY1308" s="2587">
        <f t="shared" si="2946"/>
        <v>837</v>
      </c>
      <c r="BZ1308" s="484">
        <v>0</v>
      </c>
      <c r="CA1308" s="484">
        <v>0</v>
      </c>
      <c r="CB1308" s="484">
        <v>0</v>
      </c>
      <c r="CC1308" s="484">
        <v>0</v>
      </c>
      <c r="CD1308" s="484">
        <v>0</v>
      </c>
      <c r="CE1308" s="484">
        <v>0</v>
      </c>
      <c r="CF1308" s="484">
        <v>0</v>
      </c>
      <c r="CG1308" s="331"/>
      <c r="CH1308" s="331"/>
      <c r="CI1308" s="331"/>
      <c r="CJ1308" s="331"/>
      <c r="CK1308" s="331"/>
      <c r="CL1308" s="952" t="str">
        <f t="shared" si="2958"/>
        <v>Proceeds from sale of PP&amp;E</v>
      </c>
      <c r="CM1308" s="430">
        <f t="shared" si="2959"/>
        <v>1.395</v>
      </c>
      <c r="CN1308" s="430">
        <f t="shared" si="2960"/>
        <v>0</v>
      </c>
      <c r="CO1308" s="430">
        <f t="shared" si="2961"/>
        <v>2.4060000000000001</v>
      </c>
      <c r="CP1308" s="430">
        <f t="shared" si="2962"/>
        <v>15.02</v>
      </c>
      <c r="CQ1308" s="430">
        <f t="shared" si="2963"/>
        <v>1.0660000000000001</v>
      </c>
      <c r="CR1308" s="430">
        <f t="shared" si="2964"/>
        <v>2.6279999999999992</v>
      </c>
      <c r="CS1308" s="430">
        <f t="shared" si="2965"/>
        <v>1.627</v>
      </c>
      <c r="CT1308" s="430">
        <f t="shared" si="2948"/>
        <v>12.965999999999999</v>
      </c>
      <c r="CU1308" s="430">
        <f t="shared" si="2949"/>
        <v>5.3230000000000004</v>
      </c>
      <c r="CV1308" s="430">
        <f t="shared" si="2950"/>
        <v>11.036000000000001</v>
      </c>
      <c r="CW1308" s="430">
        <f t="shared" si="2951"/>
        <v>1.665</v>
      </c>
      <c r="CX1308" s="430">
        <f t="shared" si="2952"/>
        <v>0.56100000000000005</v>
      </c>
      <c r="CY1308" s="430">
        <f t="shared" si="2953"/>
        <v>18.21</v>
      </c>
      <c r="CZ1308" s="430">
        <f t="shared" si="2954"/>
        <v>1.0129999999999999</v>
      </c>
      <c r="DA1308" s="430">
        <f t="shared" si="2955"/>
        <v>837</v>
      </c>
      <c r="DB1308" s="430">
        <f t="shared" si="2956"/>
        <v>0</v>
      </c>
      <c r="DC1308" s="853">
        <f t="shared" si="2957"/>
        <v>0</v>
      </c>
      <c r="DD1308" s="331"/>
      <c r="DE1308" s="331"/>
      <c r="DF1308" s="502"/>
      <c r="DG1308" s="503"/>
      <c r="DH1308" s="2840"/>
      <c r="DI1308" s="3213"/>
      <c r="DJ1308" s="502"/>
      <c r="DK1308" s="503"/>
      <c r="DL1308" s="502"/>
      <c r="DM1308" s="502"/>
      <c r="DN1308" s="502"/>
      <c r="DO1308" s="502"/>
      <c r="DP1308" s="503"/>
      <c r="DQ1308" s="503"/>
      <c r="DR1308" s="296"/>
      <c r="DS1308" s="296"/>
      <c r="DT1308" s="296"/>
    </row>
    <row r="1309" spans="1:124" ht="12.75" customHeight="1" x14ac:dyDescent="0.25">
      <c r="A1309" s="952" t="s">
        <v>1531</v>
      </c>
      <c r="B1309" s="603"/>
      <c r="C1309" s="482">
        <v>0</v>
      </c>
      <c r="D1309" s="482">
        <v>0</v>
      </c>
      <c r="E1309" s="482">
        <v>0</v>
      </c>
      <c r="F1309" s="482">
        <v>0</v>
      </c>
      <c r="G1309" s="484">
        <v>0</v>
      </c>
      <c r="H1309" s="482">
        <v>0</v>
      </c>
      <c r="I1309" s="482">
        <v>0</v>
      </c>
      <c r="J1309" s="482">
        <v>0</v>
      </c>
      <c r="K1309" s="482">
        <v>0</v>
      </c>
      <c r="L1309" s="481">
        <f t="shared" si="2966"/>
        <v>0</v>
      </c>
      <c r="M1309" s="482">
        <v>0</v>
      </c>
      <c r="N1309" s="482">
        <v>0</v>
      </c>
      <c r="O1309" s="482">
        <v>0</v>
      </c>
      <c r="P1309" s="482">
        <v>0</v>
      </c>
      <c r="Q1309" s="481">
        <f t="shared" si="2967"/>
        <v>0</v>
      </c>
      <c r="R1309" s="482">
        <v>0</v>
      </c>
      <c r="S1309" s="482">
        <v>0</v>
      </c>
      <c r="T1309" s="482">
        <v>0</v>
      </c>
      <c r="U1309" s="482">
        <v>0</v>
      </c>
      <c r="V1309" s="481">
        <f t="shared" si="2968"/>
        <v>0</v>
      </c>
      <c r="W1309" s="482">
        <v>0</v>
      </c>
      <c r="X1309" s="482">
        <v>0</v>
      </c>
      <c r="Y1309" s="482">
        <v>-5.1100000000000003</v>
      </c>
      <c r="Z1309" s="482">
        <v>-42.176000000000002</v>
      </c>
      <c r="AA1309" s="481">
        <f t="shared" si="2969"/>
        <v>-47.286000000000001</v>
      </c>
      <c r="AB1309" s="482">
        <v>0</v>
      </c>
      <c r="AC1309" s="482">
        <f>50.603-AB1309</f>
        <v>50.603000000000002</v>
      </c>
      <c r="AD1309" s="482">
        <f>50.602-AC1309-AB1309</f>
        <v>-1.0000000000047748E-3</v>
      </c>
      <c r="AE1309" s="430">
        <f>0-AD1309-AC1309-AB1309</f>
        <v>-50.601999999999997</v>
      </c>
      <c r="AF1309" s="481">
        <f t="shared" si="2970"/>
        <v>0</v>
      </c>
      <c r="AG1309" s="430"/>
      <c r="AH1309" s="430"/>
      <c r="AI1309" s="430"/>
      <c r="AJ1309" s="482">
        <v>0</v>
      </c>
      <c r="AK1309" s="481">
        <f t="shared" si="2971"/>
        <v>0</v>
      </c>
      <c r="AL1309" s="482">
        <v>0</v>
      </c>
      <c r="AM1309" s="430">
        <v>0</v>
      </c>
      <c r="AN1309" s="430">
        <v>0</v>
      </c>
      <c r="AO1309" s="482">
        <v>0</v>
      </c>
      <c r="AP1309" s="481">
        <f t="shared" si="2972"/>
        <v>0</v>
      </c>
      <c r="AQ1309" s="482">
        <v>0</v>
      </c>
      <c r="AR1309" s="430">
        <v>0</v>
      </c>
      <c r="AS1309" s="482">
        <v>0</v>
      </c>
      <c r="AT1309" s="482">
        <f>0-SUM(AQ1309:AS1309)</f>
        <v>0</v>
      </c>
      <c r="AU1309" s="481">
        <f t="shared" si="2973"/>
        <v>0</v>
      </c>
      <c r="AV1309" s="482">
        <v>0</v>
      </c>
      <c r="AW1309" s="482">
        <f>6.679-AV1309</f>
        <v>6.6790000000000003</v>
      </c>
      <c r="AX1309" s="482">
        <f>6.679-AW1309-AV1309</f>
        <v>0</v>
      </c>
      <c r="AY1309" s="482">
        <f>6.87-SUM(AV1309:AX1309)</f>
        <v>0.19099999999999984</v>
      </c>
      <c r="AZ1309" s="481">
        <f t="shared" si="2974"/>
        <v>6.87</v>
      </c>
      <c r="BA1309" s="482">
        <v>0</v>
      </c>
      <c r="BB1309" s="482">
        <v>0</v>
      </c>
      <c r="BC1309" s="482">
        <f>0-BB1309-BA1309</f>
        <v>0</v>
      </c>
      <c r="BD1309" s="862">
        <v>0</v>
      </c>
      <c r="BE1309" s="481">
        <f t="shared" si="2975"/>
        <v>0</v>
      </c>
      <c r="BF1309" s="482">
        <v>0</v>
      </c>
      <c r="BG1309" s="482">
        <v>0</v>
      </c>
      <c r="BH1309" s="482">
        <f>0-BG1309-BF1309</f>
        <v>0</v>
      </c>
      <c r="BI1309" s="862">
        <v>0</v>
      </c>
      <c r="BJ1309" s="481">
        <f t="shared" si="2976"/>
        <v>0</v>
      </c>
      <c r="BK1309" s="2953">
        <v>0</v>
      </c>
      <c r="BL1309" s="482">
        <f>0-BK1309</f>
        <v>0</v>
      </c>
      <c r="BM1309" s="482">
        <f>0-BL1309-BK1309</f>
        <v>0</v>
      </c>
      <c r="BN1309" s="862">
        <v>0</v>
      </c>
      <c r="BO1309" s="481">
        <f t="shared" si="2944"/>
        <v>0</v>
      </c>
      <c r="BP1309" s="2953">
        <v>0</v>
      </c>
      <c r="BQ1309" s="482">
        <v>0</v>
      </c>
      <c r="BR1309" s="482">
        <v>0</v>
      </c>
      <c r="BS1309" s="482">
        <f>0-SUM(BP1309:BR1309)</f>
        <v>0</v>
      </c>
      <c r="BT1309" s="2587">
        <f t="shared" si="2945"/>
        <v>0</v>
      </c>
      <c r="BU1309" s="482">
        <v>0</v>
      </c>
      <c r="BV1309" s="482">
        <v>0</v>
      </c>
      <c r="BW1309" s="482">
        <v>0</v>
      </c>
      <c r="BX1309" s="482">
        <v>0</v>
      </c>
      <c r="BY1309" s="2587">
        <f t="shared" si="2946"/>
        <v>0</v>
      </c>
      <c r="BZ1309" s="484">
        <v>0</v>
      </c>
      <c r="CA1309" s="484">
        <v>0</v>
      </c>
      <c r="CB1309" s="484">
        <v>0</v>
      </c>
      <c r="CC1309" s="484">
        <v>0</v>
      </c>
      <c r="CD1309" s="484">
        <v>0</v>
      </c>
      <c r="CE1309" s="484">
        <v>0</v>
      </c>
      <c r="CF1309" s="484">
        <v>0</v>
      </c>
      <c r="CG1309" s="331"/>
      <c r="CH1309" s="331"/>
      <c r="CI1309" s="331"/>
      <c r="CJ1309" s="331"/>
      <c r="CK1309" s="331"/>
      <c r="CL1309" s="952" t="str">
        <f t="shared" si="2958"/>
        <v>Investment in corporate debt securities</v>
      </c>
      <c r="CM1309" s="430">
        <f t="shared" si="2959"/>
        <v>0</v>
      </c>
      <c r="CN1309" s="430">
        <f t="shared" si="2960"/>
        <v>0</v>
      </c>
      <c r="CO1309" s="430">
        <f t="shared" si="2961"/>
        <v>0</v>
      </c>
      <c r="CP1309" s="430">
        <f t="shared" si="2962"/>
        <v>0</v>
      </c>
      <c r="CQ1309" s="430">
        <f t="shared" si="2963"/>
        <v>-47.286000000000001</v>
      </c>
      <c r="CR1309" s="430">
        <f t="shared" si="2964"/>
        <v>0</v>
      </c>
      <c r="CS1309" s="430">
        <f t="shared" si="2965"/>
        <v>0</v>
      </c>
      <c r="CT1309" s="430">
        <f t="shared" si="2948"/>
        <v>0</v>
      </c>
      <c r="CU1309" s="430">
        <f t="shared" si="2949"/>
        <v>0</v>
      </c>
      <c r="CV1309" s="430">
        <f t="shared" si="2950"/>
        <v>6.87</v>
      </c>
      <c r="CW1309" s="430">
        <f t="shared" si="2951"/>
        <v>0</v>
      </c>
      <c r="CX1309" s="430">
        <f t="shared" si="2952"/>
        <v>0</v>
      </c>
      <c r="CY1309" s="430">
        <f t="shared" si="2953"/>
        <v>0</v>
      </c>
      <c r="CZ1309" s="430">
        <f t="shared" si="2954"/>
        <v>0</v>
      </c>
      <c r="DA1309" s="430">
        <f t="shared" si="2955"/>
        <v>0</v>
      </c>
      <c r="DB1309" s="430">
        <f t="shared" si="2956"/>
        <v>0</v>
      </c>
      <c r="DC1309" s="853">
        <f t="shared" si="2957"/>
        <v>0</v>
      </c>
      <c r="DD1309" s="331"/>
      <c r="DE1309" s="331"/>
      <c r="DF1309" s="502"/>
      <c r="DG1309" s="503"/>
      <c r="DH1309" s="2840"/>
      <c r="DI1309" s="3213"/>
      <c r="DJ1309" s="502"/>
      <c r="DK1309" s="503"/>
      <c r="DL1309" s="502"/>
      <c r="DM1309" s="502"/>
      <c r="DN1309" s="502"/>
      <c r="DO1309" s="502"/>
      <c r="DP1309" s="503"/>
      <c r="DQ1309" s="503"/>
      <c r="DR1309" s="296"/>
      <c r="DS1309" s="296"/>
      <c r="DT1309" s="296"/>
    </row>
    <row r="1310" spans="1:124" ht="12.75" customHeight="1" outlineLevel="1" x14ac:dyDescent="0.25">
      <c r="A1310" s="952" t="s">
        <v>1532</v>
      </c>
      <c r="B1310" s="603"/>
      <c r="C1310" s="482">
        <v>0</v>
      </c>
      <c r="D1310" s="482">
        <v>0</v>
      </c>
      <c r="E1310" s="482">
        <v>0</v>
      </c>
      <c r="F1310" s="482">
        <v>0</v>
      </c>
      <c r="G1310" s="484">
        <v>0</v>
      </c>
      <c r="H1310" s="482">
        <v>0</v>
      </c>
      <c r="I1310" s="482">
        <v>0.19700000000000001</v>
      </c>
      <c r="J1310" s="482">
        <v>-0.19700000000000001</v>
      </c>
      <c r="K1310" s="482">
        <v>0</v>
      </c>
      <c r="L1310" s="481">
        <f t="shared" si="2966"/>
        <v>0</v>
      </c>
      <c r="M1310" s="482">
        <v>0</v>
      </c>
      <c r="N1310" s="482">
        <v>0</v>
      </c>
      <c r="O1310" s="482">
        <v>0</v>
      </c>
      <c r="P1310" s="482">
        <v>0</v>
      </c>
      <c r="Q1310" s="481">
        <f t="shared" si="2967"/>
        <v>0</v>
      </c>
      <c r="R1310" s="482">
        <v>0</v>
      </c>
      <c r="S1310" s="482">
        <v>0</v>
      </c>
      <c r="T1310" s="482">
        <v>0</v>
      </c>
      <c r="U1310" s="482">
        <v>0</v>
      </c>
      <c r="V1310" s="481">
        <f t="shared" si="2968"/>
        <v>0</v>
      </c>
      <c r="W1310" s="482">
        <v>0</v>
      </c>
      <c r="X1310" s="482">
        <v>0</v>
      </c>
      <c r="Y1310" s="482">
        <v>0</v>
      </c>
      <c r="Z1310" s="482">
        <v>0</v>
      </c>
      <c r="AA1310" s="481">
        <f t="shared" si="2969"/>
        <v>0</v>
      </c>
      <c r="AB1310" s="482">
        <v>0</v>
      </c>
      <c r="AC1310" s="482">
        <v>0</v>
      </c>
      <c r="AD1310" s="482">
        <v>0</v>
      </c>
      <c r="AE1310" s="430"/>
      <c r="AF1310" s="481">
        <f t="shared" si="2970"/>
        <v>0</v>
      </c>
      <c r="AG1310" s="430"/>
      <c r="AH1310" s="430"/>
      <c r="AI1310" s="430"/>
      <c r="AJ1310" s="482"/>
      <c r="AK1310" s="481">
        <f t="shared" si="2971"/>
        <v>0</v>
      </c>
      <c r="AL1310" s="430"/>
      <c r="AM1310" s="430"/>
      <c r="AN1310" s="430"/>
      <c r="AO1310" s="482"/>
      <c r="AP1310" s="481">
        <f t="shared" si="2972"/>
        <v>0</v>
      </c>
      <c r="AQ1310" s="430"/>
      <c r="AR1310" s="430"/>
      <c r="AS1310" s="482">
        <v>0</v>
      </c>
      <c r="AT1310" s="482">
        <f>0-SUM(AQ1310:AS1310)</f>
        <v>0</v>
      </c>
      <c r="AU1310" s="481">
        <f t="shared" si="2973"/>
        <v>0</v>
      </c>
      <c r="AV1310" s="430">
        <v>0</v>
      </c>
      <c r="AW1310" s="482">
        <v>0</v>
      </c>
      <c r="AX1310" s="482">
        <v>0</v>
      </c>
      <c r="AY1310" s="482">
        <f>0-SUM(AV1310:AX1310)</f>
        <v>0</v>
      </c>
      <c r="AZ1310" s="481">
        <f t="shared" si="2974"/>
        <v>0</v>
      </c>
      <c r="BA1310" s="482">
        <v>0</v>
      </c>
      <c r="BB1310" s="482">
        <v>0</v>
      </c>
      <c r="BC1310" s="482">
        <f>0-BB1310-BA1310</f>
        <v>0</v>
      </c>
      <c r="BD1310" s="862">
        <v>0</v>
      </c>
      <c r="BE1310" s="481">
        <f t="shared" si="2975"/>
        <v>0</v>
      </c>
      <c r="BF1310" s="482">
        <v>0</v>
      </c>
      <c r="BG1310" s="482">
        <v>0</v>
      </c>
      <c r="BH1310" s="482">
        <f>0-BG1310-BF1310</f>
        <v>0</v>
      </c>
      <c r="BI1310" s="862">
        <v>0</v>
      </c>
      <c r="BJ1310" s="481">
        <f t="shared" si="2976"/>
        <v>0</v>
      </c>
      <c r="BK1310" s="2953">
        <v>0</v>
      </c>
      <c r="BL1310" s="482">
        <f>0-BK1310</f>
        <v>0</v>
      </c>
      <c r="BM1310" s="482">
        <f>0-BL1310-BK1310</f>
        <v>0</v>
      </c>
      <c r="BN1310" s="862">
        <v>0</v>
      </c>
      <c r="BO1310" s="481">
        <f t="shared" si="2944"/>
        <v>0</v>
      </c>
      <c r="BP1310" s="2953">
        <v>0</v>
      </c>
      <c r="BQ1310" s="482">
        <v>0</v>
      </c>
      <c r="BR1310" s="482">
        <v>0</v>
      </c>
      <c r="BS1310" s="482">
        <f>0-SUM(BP1310:BR1310)</f>
        <v>0</v>
      </c>
      <c r="BT1310" s="2587">
        <f t="shared" si="2945"/>
        <v>0</v>
      </c>
      <c r="BU1310" s="482">
        <v>0</v>
      </c>
      <c r="BV1310" s="482">
        <v>0</v>
      </c>
      <c r="BW1310" s="482">
        <v>0</v>
      </c>
      <c r="BX1310" s="482">
        <v>0</v>
      </c>
      <c r="BY1310" s="2587">
        <f t="shared" si="2946"/>
        <v>0</v>
      </c>
      <c r="BZ1310" s="484">
        <v>0</v>
      </c>
      <c r="CA1310" s="484">
        <v>0</v>
      </c>
      <c r="CB1310" s="484">
        <v>0</v>
      </c>
      <c r="CC1310" s="484">
        <v>0</v>
      </c>
      <c r="CD1310" s="484">
        <v>0</v>
      </c>
      <c r="CE1310" s="484">
        <v>0</v>
      </c>
      <c r="CF1310" s="484">
        <v>0</v>
      </c>
      <c r="CG1310" s="331"/>
      <c r="CH1310" s="331"/>
      <c r="CI1310" s="331"/>
      <c r="CJ1310" s="331"/>
      <c r="CK1310" s="331"/>
      <c r="CL1310" s="952" t="str">
        <f t="shared" si="2958"/>
        <v>Payments to terminate swap contract</v>
      </c>
      <c r="CM1310" s="430">
        <f t="shared" si="2959"/>
        <v>0</v>
      </c>
      <c r="CN1310" s="430">
        <f t="shared" si="2960"/>
        <v>0</v>
      </c>
      <c r="CO1310" s="430">
        <f t="shared" si="2961"/>
        <v>0</v>
      </c>
      <c r="CP1310" s="430">
        <f t="shared" si="2962"/>
        <v>0</v>
      </c>
      <c r="CQ1310" s="430">
        <f t="shared" si="2963"/>
        <v>0</v>
      </c>
      <c r="CR1310" s="430">
        <f t="shared" si="2964"/>
        <v>0</v>
      </c>
      <c r="CS1310" s="430">
        <f t="shared" si="2965"/>
        <v>0</v>
      </c>
      <c r="CT1310" s="430">
        <f t="shared" si="2948"/>
        <v>0</v>
      </c>
      <c r="CU1310" s="430">
        <f t="shared" si="2949"/>
        <v>0</v>
      </c>
      <c r="CV1310" s="430">
        <f t="shared" si="2950"/>
        <v>0</v>
      </c>
      <c r="CW1310" s="430">
        <f t="shared" si="2951"/>
        <v>0</v>
      </c>
      <c r="CX1310" s="430">
        <f t="shared" si="2952"/>
        <v>0</v>
      </c>
      <c r="CY1310" s="430">
        <f t="shared" si="2953"/>
        <v>0</v>
      </c>
      <c r="CZ1310" s="430">
        <f t="shared" si="2954"/>
        <v>0</v>
      </c>
      <c r="DA1310" s="430">
        <f t="shared" si="2955"/>
        <v>0</v>
      </c>
      <c r="DB1310" s="430">
        <f t="shared" si="2956"/>
        <v>0</v>
      </c>
      <c r="DC1310" s="853">
        <f t="shared" si="2957"/>
        <v>0</v>
      </c>
      <c r="DD1310" s="331"/>
      <c r="DE1310" s="331"/>
      <c r="DF1310" s="502"/>
      <c r="DG1310" s="503"/>
      <c r="DH1310" s="2840"/>
      <c r="DI1310" s="3213"/>
      <c r="DJ1310" s="502"/>
      <c r="DK1310" s="503"/>
      <c r="DL1310" s="502"/>
      <c r="DM1310" s="502"/>
      <c r="DN1310" s="502"/>
      <c r="DO1310" s="502"/>
      <c r="DP1310" s="503"/>
      <c r="DQ1310" s="503"/>
      <c r="DR1310" s="296"/>
      <c r="DS1310" s="296"/>
      <c r="DT1310" s="296"/>
    </row>
    <row r="1311" spans="1:124" ht="12.75" customHeight="1" x14ac:dyDescent="0.25">
      <c r="A1311" s="952" t="s">
        <v>1533</v>
      </c>
      <c r="B1311" s="603"/>
      <c r="C1311" s="482">
        <v>0</v>
      </c>
      <c r="D1311" s="482">
        <v>-0.95399999999999996</v>
      </c>
      <c r="E1311" s="482">
        <f>-0.954-D1311</f>
        <v>0</v>
      </c>
      <c r="F1311" s="430">
        <f>G1311-E1311-D1311</f>
        <v>0</v>
      </c>
      <c r="G1311" s="484">
        <v>-0.95399999999999996</v>
      </c>
      <c r="H1311" s="482">
        <v>274.173</v>
      </c>
      <c r="I1311" s="482">
        <v>2.2759572004815709E-14</v>
      </c>
      <c r="J1311" s="482">
        <v>-0.69999999999998863</v>
      </c>
      <c r="K1311" s="482">
        <v>-2100.9899999999998</v>
      </c>
      <c r="L1311" s="481">
        <f t="shared" si="2966"/>
        <v>-1827.5169999999998</v>
      </c>
      <c r="M1311" s="482">
        <v>0</v>
      </c>
      <c r="N1311" s="482">
        <v>0</v>
      </c>
      <c r="O1311" s="482">
        <v>0</v>
      </c>
      <c r="P1311" s="482">
        <v>0</v>
      </c>
      <c r="Q1311" s="481">
        <f t="shared" si="2967"/>
        <v>0</v>
      </c>
      <c r="R1311" s="482">
        <v>-51.112000000000002</v>
      </c>
      <c r="S1311" s="482">
        <v>-201.86500000000001</v>
      </c>
      <c r="T1311" s="482">
        <v>-0.10099999999999199</v>
      </c>
      <c r="U1311" s="482">
        <v>-12.404000000000018</v>
      </c>
      <c r="V1311" s="481">
        <f t="shared" si="2968"/>
        <v>-265.48200000000003</v>
      </c>
      <c r="W1311" s="482">
        <v>-0.26600000000000001</v>
      </c>
      <c r="X1311" s="482">
        <v>-8.5000000000000006E-2</v>
      </c>
      <c r="Y1311" s="482">
        <v>-3.1000000000000028E-2</v>
      </c>
      <c r="Z1311" s="482">
        <v>-2.0000000000000018E-3</v>
      </c>
      <c r="AA1311" s="481">
        <f t="shared" si="2969"/>
        <v>-0.38400000000000006</v>
      </c>
      <c r="AB1311" s="482">
        <v>0</v>
      </c>
      <c r="AC1311" s="482"/>
      <c r="AD1311" s="482">
        <f>-12.5-AC1311-AB1311</f>
        <v>-12.5</v>
      </c>
      <c r="AE1311" s="430">
        <f>-9-AD1311-AC1311-AB1311</f>
        <v>3.5</v>
      </c>
      <c r="AF1311" s="481">
        <f t="shared" si="2970"/>
        <v>-9</v>
      </c>
      <c r="AG1311" s="430"/>
      <c r="AH1311" s="430"/>
      <c r="AI1311" s="430"/>
      <c r="AJ1311" s="482">
        <v>-230.5</v>
      </c>
      <c r="AK1311" s="481">
        <f t="shared" si="2971"/>
        <v>-230.5</v>
      </c>
      <c r="AL1311" s="482">
        <v>0</v>
      </c>
      <c r="AM1311" s="430"/>
      <c r="AN1311" s="430">
        <v>0</v>
      </c>
      <c r="AO1311" s="482">
        <v>0</v>
      </c>
      <c r="AP1311" s="481">
        <f t="shared" si="2972"/>
        <v>0</v>
      </c>
      <c r="AQ1311" s="482">
        <v>0</v>
      </c>
      <c r="AR1311" s="430"/>
      <c r="AS1311" s="482">
        <v>0</v>
      </c>
      <c r="AT1311" s="482">
        <f>-709.45-SUM(AQ1311:AS1311)</f>
        <v>-709.45</v>
      </c>
      <c r="AU1311" s="481">
        <f t="shared" si="2973"/>
        <v>-709.45</v>
      </c>
      <c r="AV1311" s="482">
        <v>-1.125</v>
      </c>
      <c r="AW1311" s="482">
        <f>+-0.052-AV1311</f>
        <v>1.073</v>
      </c>
      <c r="AX1311" s="482">
        <f>-0.59-AW1311-AV1311</f>
        <v>-0.53799999999999981</v>
      </c>
      <c r="AY1311" s="482">
        <f>-0.073-SUM(AV1311:AX1311)</f>
        <v>0.5169999999999999</v>
      </c>
      <c r="AZ1311" s="481">
        <f t="shared" si="2974"/>
        <v>-7.2999999999999954E-2</v>
      </c>
      <c r="BA1311" s="482">
        <v>-25.585999999999999</v>
      </c>
      <c r="BB1311" s="482">
        <f>+-88.185-BA1311</f>
        <v>-62.599000000000004</v>
      </c>
      <c r="BC1311" s="482">
        <f>-118.678-BB1311-BA1311</f>
        <v>-30.492999999999995</v>
      </c>
      <c r="BD1311" s="862">
        <f>-118.678-SUM(BA1311:BC1311)</f>
        <v>0</v>
      </c>
      <c r="BE1311" s="481">
        <f t="shared" si="2975"/>
        <v>-118.678</v>
      </c>
      <c r="BF1311" s="482">
        <v>0</v>
      </c>
      <c r="BG1311" s="482">
        <f>-0.248-BF1311</f>
        <v>-0.248</v>
      </c>
      <c r="BH1311" s="482">
        <f>-450.17-BG1311-BF1311</f>
        <v>-449.92200000000003</v>
      </c>
      <c r="BI1311" s="862">
        <f>-50.605-399.508-SUM(BF1311:BH1311)</f>
        <v>5.7000000000016371E-2</v>
      </c>
      <c r="BJ1311" s="481">
        <f t="shared" si="2976"/>
        <v>-450.113</v>
      </c>
      <c r="BK1311" s="2953">
        <v>-0.14799999999999999</v>
      </c>
      <c r="BL1311" s="482">
        <f>-0.28-BK1311</f>
        <v>-0.13200000000000003</v>
      </c>
      <c r="BM1311" s="482">
        <f>-56.748-BL1311-BK1311</f>
        <v>-56.467999999999996</v>
      </c>
      <c r="BN1311" s="862">
        <f>-86.859-SUM(BK1311:BM1311)</f>
        <v>-30.110999999999997</v>
      </c>
      <c r="BO1311" s="481">
        <f t="shared" si="2944"/>
        <v>-86.858999999999995</v>
      </c>
      <c r="BP1311" s="2953">
        <v>-2.4409999999999998</v>
      </c>
      <c r="BQ1311" s="482">
        <f>+-126.653-BP1311</f>
        <v>-124.212</v>
      </c>
      <c r="BR1311" s="482">
        <f>-128.032-BQ1311-BP1311</f>
        <v>-1.3790000000000076</v>
      </c>
      <c r="BS1311" s="482">
        <f>-129.318-SUM(BP1311:BR1311)</f>
        <v>-1.2860000000000014</v>
      </c>
      <c r="BT1311" s="2587">
        <f t="shared" si="2945"/>
        <v>-129.31800000000001</v>
      </c>
      <c r="BU1311" s="482">
        <v>0</v>
      </c>
      <c r="BV1311" s="482">
        <v>0</v>
      </c>
      <c r="BW1311" s="482">
        <f>-'Exhibits 3'!EM477-'Exhibits 3'!EM481-'Exhibits 3'!EM480</f>
        <v>-2851.9146000000001</v>
      </c>
      <c r="BX1311" s="482">
        <v>0</v>
      </c>
      <c r="BY1311" s="2587">
        <f t="shared" si="2946"/>
        <v>-2851.9146000000001</v>
      </c>
      <c r="BZ1311" s="484">
        <v>0</v>
      </c>
      <c r="CA1311" s="484">
        <v>0</v>
      </c>
      <c r="CB1311" s="484">
        <v>0</v>
      </c>
      <c r="CC1311" s="484">
        <v>0</v>
      </c>
      <c r="CD1311" s="484">
        <v>0</v>
      </c>
      <c r="CE1311" s="484">
        <v>0</v>
      </c>
      <c r="CF1311" s="484">
        <v>0</v>
      </c>
      <c r="CG1311" s="331"/>
      <c r="CH1311" s="331"/>
      <c r="CI1311" s="331"/>
      <c r="CJ1311" s="331"/>
      <c r="CK1311" s="331"/>
      <c r="CL1311" s="952" t="str">
        <f t="shared" si="2958"/>
        <v>Acquisitions and Investments</v>
      </c>
      <c r="CM1311" s="430">
        <f t="shared" si="2959"/>
        <v>-0.95399999999999996</v>
      </c>
      <c r="CN1311" s="430">
        <f t="shared" si="2960"/>
        <v>-1827.5169999999998</v>
      </c>
      <c r="CO1311" s="430">
        <f t="shared" si="2961"/>
        <v>0</v>
      </c>
      <c r="CP1311" s="430">
        <f t="shared" si="2962"/>
        <v>-265.48200000000003</v>
      </c>
      <c r="CQ1311" s="430">
        <f t="shared" si="2963"/>
        <v>-0.38400000000000006</v>
      </c>
      <c r="CR1311" s="430">
        <f t="shared" si="2964"/>
        <v>-9</v>
      </c>
      <c r="CS1311" s="430">
        <f t="shared" si="2965"/>
        <v>-230.5</v>
      </c>
      <c r="CT1311" s="430">
        <f t="shared" si="2948"/>
        <v>0</v>
      </c>
      <c r="CU1311" s="430">
        <f t="shared" si="2949"/>
        <v>-709.45</v>
      </c>
      <c r="CV1311" s="430">
        <f t="shared" si="2950"/>
        <v>-7.2999999999999954E-2</v>
      </c>
      <c r="CW1311" s="430">
        <f t="shared" si="2951"/>
        <v>-118.678</v>
      </c>
      <c r="CX1311" s="430">
        <f t="shared" si="2952"/>
        <v>-450.113</v>
      </c>
      <c r="CY1311" s="430">
        <f t="shared" si="2953"/>
        <v>-86.858999999999995</v>
      </c>
      <c r="CZ1311" s="430">
        <f t="shared" si="2954"/>
        <v>-129.31800000000001</v>
      </c>
      <c r="DA1311" s="430">
        <f t="shared" si="2955"/>
        <v>-2851.9146000000001</v>
      </c>
      <c r="DB1311" s="430">
        <f t="shared" si="2956"/>
        <v>0</v>
      </c>
      <c r="DC1311" s="853">
        <f t="shared" si="2957"/>
        <v>0</v>
      </c>
      <c r="DD1311" s="331"/>
      <c r="DE1311" s="331"/>
      <c r="DF1311" s="502"/>
      <c r="DG1311" s="503"/>
      <c r="DH1311" s="2840"/>
      <c r="DI1311" s="3213"/>
      <c r="DJ1311" s="502"/>
      <c r="DK1311" s="503"/>
      <c r="DL1311" s="502"/>
      <c r="DM1311" s="502"/>
      <c r="DN1311" s="502"/>
      <c r="DO1311" s="502"/>
      <c r="DP1311" s="503"/>
      <c r="DQ1311" s="503"/>
      <c r="DR1311" s="296"/>
      <c r="DS1311" s="296"/>
      <c r="DT1311" s="296"/>
    </row>
    <row r="1312" spans="1:124" ht="12.75" customHeight="1" x14ac:dyDescent="0.25">
      <c r="A1312" s="952" t="s">
        <v>1623</v>
      </c>
      <c r="B1312" s="603"/>
      <c r="C1312" s="482">
        <v>0</v>
      </c>
      <c r="D1312" s="482">
        <f>-0.043+0.4</f>
        <v>0.35700000000000004</v>
      </c>
      <c r="E1312" s="482">
        <f>0-D1312</f>
        <v>-0.35700000000000004</v>
      </c>
      <c r="F1312" s="430">
        <f>G1312-E1312-D1312</f>
        <v>0</v>
      </c>
      <c r="G1312" s="484">
        <v>0</v>
      </c>
      <c r="H1312" s="482">
        <v>0</v>
      </c>
      <c r="I1312" s="482">
        <v>0</v>
      </c>
      <c r="J1312" s="482">
        <v>0</v>
      </c>
      <c r="K1312" s="482">
        <v>-30</v>
      </c>
      <c r="L1312" s="481">
        <f t="shared" si="2966"/>
        <v>-30</v>
      </c>
      <c r="M1312" s="482">
        <v>0</v>
      </c>
      <c r="N1312" s="482">
        <v>0</v>
      </c>
      <c r="O1312" s="482">
        <v>0</v>
      </c>
      <c r="P1312" s="482">
        <v>0</v>
      </c>
      <c r="Q1312" s="481">
        <f t="shared" si="2967"/>
        <v>0</v>
      </c>
      <c r="R1312" s="482">
        <v>0</v>
      </c>
      <c r="S1312" s="482">
        <v>0</v>
      </c>
      <c r="T1312" s="482">
        <v>0</v>
      </c>
      <c r="U1312" s="482">
        <v>0</v>
      </c>
      <c r="V1312" s="481">
        <f t="shared" si="2968"/>
        <v>0</v>
      </c>
      <c r="W1312" s="482">
        <v>0</v>
      </c>
      <c r="X1312" s="482">
        <v>0</v>
      </c>
      <c r="Y1312" s="482">
        <v>0</v>
      </c>
      <c r="Z1312" s="482">
        <v>0</v>
      </c>
      <c r="AA1312" s="481">
        <f t="shared" si="2969"/>
        <v>0</v>
      </c>
      <c r="AB1312" s="482">
        <v>0</v>
      </c>
      <c r="AC1312" s="482">
        <f>16-AB1312</f>
        <v>16</v>
      </c>
      <c r="AD1312" s="482">
        <f>17-AC1312-AB1312-25+11.3</f>
        <v>-12.7</v>
      </c>
      <c r="AE1312" s="430">
        <f>50.602+20.593-25.036-AD1312-AC1312-AB1312</f>
        <v>42.858999999999995</v>
      </c>
      <c r="AF1312" s="481">
        <f t="shared" si="2970"/>
        <v>46.158999999999992</v>
      </c>
      <c r="AG1312" s="482">
        <f>4.821+10.982</f>
        <v>15.802999999999999</v>
      </c>
      <c r="AH1312" s="482">
        <f>4.821-19.15-37.616-AG1312</f>
        <v>-67.748000000000005</v>
      </c>
      <c r="AI1312" s="482">
        <f>4.821-30.264-55.895-AH1312-AG1312</f>
        <v>-29.392999999999986</v>
      </c>
      <c r="AJ1312" s="482">
        <f>4.821-30.224-55.895-AI1312-AH1312-AG1312</f>
        <v>3.9999999999990266E-2</v>
      </c>
      <c r="AK1312" s="481">
        <f t="shared" si="2971"/>
        <v>-81.298000000000002</v>
      </c>
      <c r="AL1312" s="482">
        <v>-15.012</v>
      </c>
      <c r="AM1312" s="482">
        <f>30+12.585-AL1312</f>
        <v>57.597000000000001</v>
      </c>
      <c r="AN1312" s="482">
        <f>3.862+29.9+9.585-AM1312-AL1312</f>
        <v>0.76200000000000045</v>
      </c>
      <c r="AO1312" s="482">
        <f>3.862+28.975+8.874-AN1312-AM1312-AL1312</f>
        <v>-1.6359999999999957</v>
      </c>
      <c r="AP1312" s="481">
        <f t="shared" si="2972"/>
        <v>41.711000000000006</v>
      </c>
      <c r="AQ1312" s="482">
        <v>25.65</v>
      </c>
      <c r="AR1312" s="482">
        <f>15.5-50-AQ1312</f>
        <v>-60.15</v>
      </c>
      <c r="AS1312" s="482">
        <f>15.8-105.016-AQ1312-AR1312</f>
        <v>-54.716000000000015</v>
      </c>
      <c r="AT1312" s="482">
        <f>24.625-SUM(AQ1312:AS1312)</f>
        <v>113.84100000000001</v>
      </c>
      <c r="AU1312" s="481">
        <f t="shared" si="2973"/>
        <v>24.625</v>
      </c>
      <c r="AV1312" s="482">
        <v>26</v>
      </c>
      <c r="AW1312" s="482">
        <f>26-AV1312</f>
        <v>0</v>
      </c>
      <c r="AX1312" s="482">
        <f>4.996+26-AW1312-AV1312</f>
        <v>4.9960000000000022</v>
      </c>
      <c r="AY1312" s="482">
        <f>8-240.202-SUM(AV1312:AX1312)</f>
        <v>-263.19799999999998</v>
      </c>
      <c r="AZ1312" s="481">
        <f t="shared" si="2974"/>
        <v>-232.20199999999997</v>
      </c>
      <c r="BA1312" s="482">
        <v>18</v>
      </c>
      <c r="BB1312" s="482">
        <f>18-1-BA1312</f>
        <v>-1</v>
      </c>
      <c r="BC1312" s="482">
        <f>18-BB1312-BA1312</f>
        <v>1</v>
      </c>
      <c r="BD1312" s="862">
        <f>18-SUM(BA1312:BC1312)</f>
        <v>0</v>
      </c>
      <c r="BE1312" s="481">
        <f t="shared" si="2975"/>
        <v>18</v>
      </c>
      <c r="BF1312" s="482">
        <v>0</v>
      </c>
      <c r="BG1312" s="482">
        <f>-4-BF1312</f>
        <v>-4</v>
      </c>
      <c r="BH1312" s="482">
        <f>0-BG1312-BF1312</f>
        <v>4</v>
      </c>
      <c r="BI1312" s="862">
        <f>-24-SUM(BF1312:BH1312)</f>
        <v>-24</v>
      </c>
      <c r="BJ1312" s="481">
        <f t="shared" si="2976"/>
        <v>-24</v>
      </c>
      <c r="BK1312" s="2953">
        <v>0</v>
      </c>
      <c r="BL1312" s="482">
        <f>0-BK1312</f>
        <v>0</v>
      </c>
      <c r="BM1312" s="482">
        <f>0-BL1312-BK1312</f>
        <v>0</v>
      </c>
      <c r="BN1312" s="862">
        <v>0</v>
      </c>
      <c r="BO1312" s="481">
        <f t="shared" si="2944"/>
        <v>0</v>
      </c>
      <c r="BP1312" s="2953">
        <f>-4.432+0.577</f>
        <v>-3.8550000000000004</v>
      </c>
      <c r="BQ1312" s="482">
        <f>0.577+2.72-BP1312</f>
        <v>7.152000000000001</v>
      </c>
      <c r="BR1312" s="482">
        <f>0.577+5.472-BQ1312-BP1312</f>
        <v>2.7519999999999998</v>
      </c>
      <c r="BS1312" s="482">
        <f>0.577+8.226-SUM(BP1312:BR1312)</f>
        <v>2.7540000000000004</v>
      </c>
      <c r="BT1312" s="2587">
        <f t="shared" si="2945"/>
        <v>8.8030000000000008</v>
      </c>
      <c r="BU1312" s="482">
        <v>0</v>
      </c>
      <c r="BV1312" s="482">
        <v>0</v>
      </c>
      <c r="BW1312" s="482">
        <v>0</v>
      </c>
      <c r="BX1312" s="482">
        <v>0</v>
      </c>
      <c r="BY1312" s="2587">
        <f t="shared" si="2946"/>
        <v>0</v>
      </c>
      <c r="BZ1312" s="484">
        <v>0</v>
      </c>
      <c r="CA1312" s="484">
        <v>0</v>
      </c>
      <c r="CB1312" s="484">
        <v>0</v>
      </c>
      <c r="CC1312" s="484">
        <v>0</v>
      </c>
      <c r="CD1312" s="484">
        <v>0</v>
      </c>
      <c r="CE1312" s="484">
        <v>0</v>
      </c>
      <c r="CF1312" s="484">
        <v>0</v>
      </c>
      <c r="CG1312" s="331"/>
      <c r="CH1312" s="331"/>
      <c r="CI1312" s="331"/>
      <c r="CJ1312" s="331"/>
      <c r="CK1312" s="331"/>
      <c r="CL1312" s="952" t="str">
        <f t="shared" si="2958"/>
        <v>Other</v>
      </c>
      <c r="CM1312" s="430">
        <f t="shared" si="2959"/>
        <v>0</v>
      </c>
      <c r="CN1312" s="430">
        <f t="shared" si="2960"/>
        <v>-30</v>
      </c>
      <c r="CO1312" s="430">
        <f t="shared" si="2961"/>
        <v>0</v>
      </c>
      <c r="CP1312" s="430">
        <f t="shared" si="2962"/>
        <v>0</v>
      </c>
      <c r="CQ1312" s="430">
        <f t="shared" si="2963"/>
        <v>0</v>
      </c>
      <c r="CR1312" s="430">
        <f t="shared" si="2964"/>
        <v>46.158999999999992</v>
      </c>
      <c r="CS1312" s="430">
        <f t="shared" si="2965"/>
        <v>-81.298000000000002</v>
      </c>
      <c r="CT1312" s="430">
        <f t="shared" si="2948"/>
        <v>41.711000000000006</v>
      </c>
      <c r="CU1312" s="430">
        <f t="shared" si="2949"/>
        <v>24.625</v>
      </c>
      <c r="CV1312" s="430">
        <f t="shared" si="2950"/>
        <v>-232.20199999999997</v>
      </c>
      <c r="CW1312" s="430">
        <f t="shared" si="2951"/>
        <v>18</v>
      </c>
      <c r="CX1312" s="430">
        <f t="shared" si="2952"/>
        <v>-24</v>
      </c>
      <c r="CY1312" s="430">
        <f t="shared" si="2953"/>
        <v>0</v>
      </c>
      <c r="CZ1312" s="430">
        <f t="shared" si="2954"/>
        <v>8.8030000000000008</v>
      </c>
      <c r="DA1312" s="430">
        <f t="shared" si="2955"/>
        <v>0</v>
      </c>
      <c r="DB1312" s="430">
        <f t="shared" si="2956"/>
        <v>0</v>
      </c>
      <c r="DC1312" s="853">
        <f t="shared" si="2957"/>
        <v>0</v>
      </c>
      <c r="DD1312" s="331"/>
      <c r="DE1312" s="331"/>
      <c r="DF1312" s="502"/>
      <c r="DG1312" s="503"/>
      <c r="DH1312" s="2840"/>
      <c r="DI1312" s="3213"/>
      <c r="DJ1312" s="502"/>
      <c r="DK1312" s="503"/>
      <c r="DL1312" s="502"/>
      <c r="DM1312" s="502"/>
      <c r="DN1312" s="502"/>
      <c r="DO1312" s="502"/>
      <c r="DP1312" s="503"/>
      <c r="DQ1312" s="503"/>
      <c r="DR1312" s="296"/>
      <c r="DS1312" s="296"/>
      <c r="DT1312" s="296"/>
    </row>
    <row r="1313" spans="1:130" ht="12.75" customHeight="1" x14ac:dyDescent="0.25">
      <c r="A1313" s="952" t="s">
        <v>1534</v>
      </c>
      <c r="B1313" s="603"/>
      <c r="C1313" s="482">
        <v>0</v>
      </c>
      <c r="D1313" s="482">
        <v>3.1120000000000001</v>
      </c>
      <c r="E1313" s="482">
        <f>3.112-D1313</f>
        <v>0</v>
      </c>
      <c r="F1313" s="430">
        <f>G1313-E1313-D1313</f>
        <v>0</v>
      </c>
      <c r="G1313" s="484">
        <v>3.1120000000000001</v>
      </c>
      <c r="H1313" s="482">
        <v>0</v>
      </c>
      <c r="I1313" s="482">
        <v>-0.02</v>
      </c>
      <c r="J1313" s="482">
        <v>0</v>
      </c>
      <c r="K1313" s="482">
        <v>-0.128</v>
      </c>
      <c r="L1313" s="481">
        <f t="shared" si="2966"/>
        <v>-0.14799999999999999</v>
      </c>
      <c r="M1313" s="482">
        <v>0</v>
      </c>
      <c r="N1313" s="482">
        <v>0.153</v>
      </c>
      <c r="O1313" s="482">
        <v>-0.153</v>
      </c>
      <c r="P1313" s="482">
        <v>0</v>
      </c>
      <c r="Q1313" s="481">
        <f t="shared" si="2967"/>
        <v>0</v>
      </c>
      <c r="R1313" s="482">
        <v>0</v>
      </c>
      <c r="S1313" s="482">
        <v>0</v>
      </c>
      <c r="T1313" s="482">
        <v>0</v>
      </c>
      <c r="U1313" s="482">
        <v>0</v>
      </c>
      <c r="V1313" s="481">
        <f t="shared" si="2968"/>
        <v>0</v>
      </c>
      <c r="W1313" s="482">
        <v>0</v>
      </c>
      <c r="X1313" s="482">
        <v>0</v>
      </c>
      <c r="Y1313" s="482">
        <v>0</v>
      </c>
      <c r="Z1313" s="482">
        <v>0</v>
      </c>
      <c r="AA1313" s="481">
        <f t="shared" si="2969"/>
        <v>0</v>
      </c>
      <c r="AB1313" s="482">
        <v>0</v>
      </c>
      <c r="AC1313" s="482">
        <v>0</v>
      </c>
      <c r="AD1313" s="482">
        <v>0</v>
      </c>
      <c r="AE1313" s="482">
        <v>0</v>
      </c>
      <c r="AF1313" s="481">
        <f t="shared" si="2970"/>
        <v>0</v>
      </c>
      <c r="AG1313" s="482">
        <v>0</v>
      </c>
      <c r="AH1313" s="482">
        <v>0</v>
      </c>
      <c r="AI1313" s="482">
        <v>0</v>
      </c>
      <c r="AJ1313" s="482">
        <v>0</v>
      </c>
      <c r="AK1313" s="481">
        <f t="shared" si="2971"/>
        <v>0</v>
      </c>
      <c r="AL1313" s="482">
        <v>0</v>
      </c>
      <c r="AM1313" s="482">
        <v>0</v>
      </c>
      <c r="AN1313" s="482">
        <v>0</v>
      </c>
      <c r="AO1313" s="1054">
        <v>0</v>
      </c>
      <c r="AP1313" s="481">
        <f t="shared" si="2972"/>
        <v>0</v>
      </c>
      <c r="AQ1313" s="482">
        <v>0</v>
      </c>
      <c r="AR1313" s="482">
        <v>0</v>
      </c>
      <c r="AS1313" s="482">
        <v>0</v>
      </c>
      <c r="AT1313" s="482">
        <f>0-SUM(AQ1313:AS1313)</f>
        <v>0</v>
      </c>
      <c r="AU1313" s="481">
        <f t="shared" si="2973"/>
        <v>0</v>
      </c>
      <c r="AV1313" s="482">
        <v>0</v>
      </c>
      <c r="AW1313" s="482">
        <v>0</v>
      </c>
      <c r="AX1313" s="482">
        <f>0-AW1313-AV1313</f>
        <v>0</v>
      </c>
      <c r="AY1313" s="482">
        <f>0-SUM(AV1313:AX1313)</f>
        <v>0</v>
      </c>
      <c r="AZ1313" s="481">
        <f t="shared" si="2974"/>
        <v>0</v>
      </c>
      <c r="BA1313" s="2675">
        <v>0</v>
      </c>
      <c r="BB1313" s="2675">
        <v>0</v>
      </c>
      <c r="BC1313" s="482">
        <f>0-BB1313-BA1313</f>
        <v>0</v>
      </c>
      <c r="BD1313" s="482">
        <f>0-BC1313-BB1313</f>
        <v>0</v>
      </c>
      <c r="BE1313" s="481">
        <f t="shared" si="2975"/>
        <v>0</v>
      </c>
      <c r="BF1313" s="2675">
        <v>0</v>
      </c>
      <c r="BG1313" s="2675">
        <v>0</v>
      </c>
      <c r="BH1313" s="482">
        <f>0-BG1313-BF1313</f>
        <v>0</v>
      </c>
      <c r="BI1313" s="482">
        <f>0-BH1313-BG1313</f>
        <v>0</v>
      </c>
      <c r="BJ1313" s="481">
        <f t="shared" si="2976"/>
        <v>0</v>
      </c>
      <c r="BK1313" s="2953">
        <v>0</v>
      </c>
      <c r="BL1313" s="2675">
        <v>0</v>
      </c>
      <c r="BM1313" s="482">
        <f>0-BL1313-BK1313</f>
        <v>0</v>
      </c>
      <c r="BN1313" s="862">
        <v>0</v>
      </c>
      <c r="BO1313" s="481">
        <f t="shared" si="2944"/>
        <v>0</v>
      </c>
      <c r="BP1313" s="2953">
        <v>0</v>
      </c>
      <c r="BQ1313" s="482">
        <v>0</v>
      </c>
      <c r="BR1313" s="482">
        <v>0</v>
      </c>
      <c r="BS1313" s="482">
        <f>0-SUM(BP1313:BR1313)</f>
        <v>0</v>
      </c>
      <c r="BT1313" s="2587">
        <f t="shared" si="2945"/>
        <v>0</v>
      </c>
      <c r="BU1313" s="482">
        <v>0</v>
      </c>
      <c r="BV1313" s="482">
        <v>0</v>
      </c>
      <c r="BW1313" s="482">
        <v>0</v>
      </c>
      <c r="BX1313" s="482">
        <v>0</v>
      </c>
      <c r="BY1313" s="2587">
        <f t="shared" si="2946"/>
        <v>0</v>
      </c>
      <c r="BZ1313" s="484">
        <v>0</v>
      </c>
      <c r="CA1313" s="484">
        <v>0</v>
      </c>
      <c r="CB1313" s="481">
        <f>CB1184</f>
        <v>17.342816173659692</v>
      </c>
      <c r="CC1313" s="481">
        <f>CC1184</f>
        <v>16.235777097607539</v>
      </c>
      <c r="CD1313" s="481">
        <f>CD1184</f>
        <v>16.700161473691075</v>
      </c>
      <c r="CE1313" s="481">
        <f>CE1184</f>
        <v>17.216480670341753</v>
      </c>
      <c r="CF1313" s="481">
        <f>CF1184</f>
        <v>17.669930080689674</v>
      </c>
      <c r="CG1313" s="741"/>
      <c r="CH1313" s="741"/>
      <c r="CI1313" s="741"/>
      <c r="CJ1313" s="741"/>
      <c r="CK1313" s="741"/>
      <c r="CL1313" s="952" t="str">
        <f t="shared" si="2958"/>
        <v>Distributions from joint venture</v>
      </c>
      <c r="CM1313" s="430">
        <f t="shared" si="2959"/>
        <v>3.1120000000000001</v>
      </c>
      <c r="CN1313" s="430">
        <f t="shared" si="2960"/>
        <v>-0.14799999999999999</v>
      </c>
      <c r="CO1313" s="430">
        <f t="shared" si="2961"/>
        <v>0</v>
      </c>
      <c r="CP1313" s="430">
        <f t="shared" si="2962"/>
        <v>0</v>
      </c>
      <c r="CQ1313" s="430">
        <f t="shared" si="2963"/>
        <v>0</v>
      </c>
      <c r="CR1313" s="430">
        <f t="shared" si="2964"/>
        <v>0</v>
      </c>
      <c r="CS1313" s="430">
        <f t="shared" si="2965"/>
        <v>0</v>
      </c>
      <c r="CT1313" s="430">
        <f t="shared" si="2948"/>
        <v>0</v>
      </c>
      <c r="CU1313" s="430">
        <f t="shared" si="2949"/>
        <v>0</v>
      </c>
      <c r="CV1313" s="430">
        <f t="shared" si="2950"/>
        <v>0</v>
      </c>
      <c r="CW1313" s="430">
        <f t="shared" si="2951"/>
        <v>0</v>
      </c>
      <c r="CX1313" s="430">
        <f t="shared" si="2952"/>
        <v>0</v>
      </c>
      <c r="CY1313" s="430">
        <f t="shared" si="2953"/>
        <v>0</v>
      </c>
      <c r="CZ1313" s="430">
        <f t="shared" si="2954"/>
        <v>0</v>
      </c>
      <c r="DA1313" s="430">
        <f t="shared" si="2955"/>
        <v>0</v>
      </c>
      <c r="DB1313" s="430">
        <f t="shared" si="2956"/>
        <v>0</v>
      </c>
      <c r="DC1313" s="853">
        <f t="shared" si="2957"/>
        <v>0</v>
      </c>
      <c r="DD1313" s="741"/>
      <c r="DE1313" s="741"/>
      <c r="DF1313" s="742"/>
      <c r="DG1313" s="743"/>
      <c r="DH1313" s="2840"/>
      <c r="DI1313" s="3215"/>
      <c r="DJ1313" s="742"/>
      <c r="DK1313" s="743"/>
      <c r="DL1313" s="742"/>
      <c r="DM1313" s="742"/>
      <c r="DN1313" s="742"/>
      <c r="DO1313" s="742"/>
      <c r="DP1313" s="743"/>
      <c r="DQ1313" s="743"/>
      <c r="DR1313" s="740"/>
      <c r="DS1313" s="740"/>
      <c r="DT1313" s="740"/>
    </row>
    <row r="1314" spans="1:130" ht="12.75" customHeight="1" x14ac:dyDescent="0.25">
      <c r="A1314" s="946" t="s">
        <v>2131</v>
      </c>
      <c r="B1314" s="947"/>
      <c r="C1314" s="499">
        <v>0</v>
      </c>
      <c r="D1314" s="499">
        <f t="shared" ref="D1314:AK1314" si="2977">SUM(D1304:D1313)</f>
        <v>-25.878</v>
      </c>
      <c r="E1314" s="499">
        <f t="shared" si="2977"/>
        <v>-19.638999999999999</v>
      </c>
      <c r="F1314" s="499">
        <f t="shared" si="2977"/>
        <v>-19.886999999999993</v>
      </c>
      <c r="G1314" s="500">
        <f t="shared" si="2977"/>
        <v>-65.403999999999996</v>
      </c>
      <c r="H1314" s="499">
        <f t="shared" si="2977"/>
        <v>259.02</v>
      </c>
      <c r="I1314" s="499">
        <f t="shared" si="2977"/>
        <v>-36.362999999999978</v>
      </c>
      <c r="J1314" s="499">
        <f t="shared" si="2977"/>
        <v>-16.998999999999992</v>
      </c>
      <c r="K1314" s="499">
        <f t="shared" si="2977"/>
        <v>-2184.4580000000001</v>
      </c>
      <c r="L1314" s="500">
        <f t="shared" si="2977"/>
        <v>-1978.7999999999997</v>
      </c>
      <c r="M1314" s="499">
        <f t="shared" si="2977"/>
        <v>-54.228000000000002</v>
      </c>
      <c r="N1314" s="499">
        <f t="shared" si="2977"/>
        <v>-62.834000000000003</v>
      </c>
      <c r="O1314" s="499">
        <f t="shared" si="2977"/>
        <v>-127.34099999999999</v>
      </c>
      <c r="P1314" s="499">
        <f t="shared" si="2977"/>
        <v>-57.938000000000009</v>
      </c>
      <c r="Q1314" s="500">
        <f t="shared" si="2977"/>
        <v>-302.34100000000007</v>
      </c>
      <c r="R1314" s="499">
        <f t="shared" si="2977"/>
        <v>-124.495</v>
      </c>
      <c r="S1314" s="499">
        <f t="shared" si="2977"/>
        <v>-269.70299999999997</v>
      </c>
      <c r="T1314" s="499">
        <f t="shared" si="2977"/>
        <v>-76.69</v>
      </c>
      <c r="U1314" s="499">
        <f t="shared" si="2977"/>
        <v>-140.72899999999998</v>
      </c>
      <c r="V1314" s="500">
        <f t="shared" si="2977"/>
        <v>-611.61699999999996</v>
      </c>
      <c r="W1314" s="499">
        <f t="shared" si="2977"/>
        <v>-120.477</v>
      </c>
      <c r="X1314" s="499">
        <f t="shared" si="2977"/>
        <v>-75.897000000000006</v>
      </c>
      <c r="Y1314" s="499">
        <f t="shared" si="2977"/>
        <v>-81.187000000000026</v>
      </c>
      <c r="Z1314" s="499">
        <f t="shared" si="2977"/>
        <v>-113.93699999999997</v>
      </c>
      <c r="AA1314" s="500">
        <f t="shared" si="2977"/>
        <v>-391.49800000000005</v>
      </c>
      <c r="AB1314" s="499">
        <f t="shared" si="2977"/>
        <v>-62.363</v>
      </c>
      <c r="AC1314" s="499">
        <f t="shared" si="2977"/>
        <v>-1.2669999999999746</v>
      </c>
      <c r="AD1314" s="499">
        <f t="shared" si="2977"/>
        <v>-131.72300000000001</v>
      </c>
      <c r="AE1314" s="499">
        <f t="shared" si="2977"/>
        <v>-67.305999999999997</v>
      </c>
      <c r="AF1314" s="500">
        <f t="shared" si="2977"/>
        <v>-262.65899999999999</v>
      </c>
      <c r="AG1314" s="499">
        <f t="shared" si="2977"/>
        <v>-117.029</v>
      </c>
      <c r="AH1314" s="499">
        <f t="shared" si="2977"/>
        <v>-158.14099999999999</v>
      </c>
      <c r="AI1314" s="499">
        <f t="shared" si="2977"/>
        <v>-140.29300000000001</v>
      </c>
      <c r="AJ1314" s="499">
        <f t="shared" si="2977"/>
        <v>-321.29500000000002</v>
      </c>
      <c r="AK1314" s="500">
        <f t="shared" si="2977"/>
        <v>-736.75800000000004</v>
      </c>
      <c r="AL1314" s="499">
        <f t="shared" ref="AL1314:BF1314" si="2978">SUM(AL1304:AL1313)</f>
        <v>-79.578000000000003</v>
      </c>
      <c r="AM1314" s="499">
        <f t="shared" si="2978"/>
        <v>-65.201999999999998</v>
      </c>
      <c r="AN1314" s="499">
        <f t="shared" si="2978"/>
        <v>-77.936999999999983</v>
      </c>
      <c r="AO1314" s="499">
        <f t="shared" si="2978"/>
        <v>-116.08500000000004</v>
      </c>
      <c r="AP1314" s="500">
        <f t="shared" si="2978"/>
        <v>-338.80200000000002</v>
      </c>
      <c r="AQ1314" s="499">
        <f t="shared" si="2978"/>
        <v>-132.32600000000002</v>
      </c>
      <c r="AR1314" s="499">
        <f t="shared" si="2978"/>
        <v>-193.149</v>
      </c>
      <c r="AS1314" s="499">
        <f t="shared" si="2978"/>
        <v>-165.14900000000003</v>
      </c>
      <c r="AT1314" s="499">
        <f t="shared" si="2978"/>
        <v>-697.86300000000006</v>
      </c>
      <c r="AU1314" s="500">
        <f t="shared" si="2978"/>
        <v>-1188.4870000000001</v>
      </c>
      <c r="AV1314" s="499">
        <f t="shared" si="2978"/>
        <v>-35.811</v>
      </c>
      <c r="AW1314" s="499">
        <f t="shared" ref="AW1314:BD1314" si="2979">SUM(AW1304:AW1313)</f>
        <v>-45.860999999999983</v>
      </c>
      <c r="AX1314" s="499">
        <f t="shared" si="2979"/>
        <v>-37.544000000000011</v>
      </c>
      <c r="AY1314" s="499">
        <f t="shared" si="2979"/>
        <v>-295.74099999999999</v>
      </c>
      <c r="AZ1314" s="500">
        <f t="shared" si="2979"/>
        <v>-414.95699999999999</v>
      </c>
      <c r="BA1314" s="499">
        <f t="shared" si="2979"/>
        <v>-53.070999999999998</v>
      </c>
      <c r="BB1314" s="499">
        <f t="shared" si="2979"/>
        <v>-117.108</v>
      </c>
      <c r="BC1314" s="499">
        <f t="shared" si="2979"/>
        <v>-122.093</v>
      </c>
      <c r="BD1314" s="948">
        <f t="shared" si="2979"/>
        <v>-83.263999999999996</v>
      </c>
      <c r="BE1314" s="500">
        <f t="shared" si="2978"/>
        <v>-375.536</v>
      </c>
      <c r="BF1314" s="499">
        <f t="shared" si="2978"/>
        <v>-65.311999999999998</v>
      </c>
      <c r="BG1314" s="499">
        <f t="shared" ref="BG1314:BO1314" si="2980">SUM(BG1304:BG1313)</f>
        <v>-97.830000000000013</v>
      </c>
      <c r="BH1314" s="499">
        <f t="shared" si="2980"/>
        <v>-520.70100000000002</v>
      </c>
      <c r="BI1314" s="948">
        <f t="shared" si="2980"/>
        <v>-97.162000000000006</v>
      </c>
      <c r="BJ1314" s="500">
        <f t="shared" si="2980"/>
        <v>-781.00500000000011</v>
      </c>
      <c r="BK1314" s="499">
        <f t="shared" si="2980"/>
        <v>-71.207000000000008</v>
      </c>
      <c r="BL1314" s="499">
        <f t="shared" si="2980"/>
        <v>-72.555000000000007</v>
      </c>
      <c r="BM1314" s="499">
        <f t="shared" si="2980"/>
        <v>-133.54999999999998</v>
      </c>
      <c r="BN1314" s="948">
        <f t="shared" si="2980"/>
        <v>198.024</v>
      </c>
      <c r="BO1314" s="500">
        <f t="shared" si="2980"/>
        <v>-79.287999999999982</v>
      </c>
      <c r="BP1314" s="499">
        <f t="shared" ref="BP1314:BY1314" si="2981">SUM(BP1304:BP1313)</f>
        <v>-23.310999999999996</v>
      </c>
      <c r="BQ1314" s="499">
        <f t="shared" si="2981"/>
        <v>-142.90000000000003</v>
      </c>
      <c r="BR1314" s="499">
        <f t="shared" si="2981"/>
        <v>-26.241000000000014</v>
      </c>
      <c r="BS1314" s="499">
        <f t="shared" si="2981"/>
        <v>-29.155999999999988</v>
      </c>
      <c r="BT1314" s="500">
        <f t="shared" si="2981"/>
        <v>-221.608</v>
      </c>
      <c r="BU1314" s="499">
        <f t="shared" si="2981"/>
        <v>-37.12127609694933</v>
      </c>
      <c r="BV1314" s="499">
        <f t="shared" si="2981"/>
        <v>-20.361277754346851</v>
      </c>
      <c r="BW1314" s="499">
        <f t="shared" si="2981"/>
        <v>-2051.8273802891626</v>
      </c>
      <c r="BX1314" s="499">
        <f t="shared" si="2981"/>
        <v>-28.106546639286464</v>
      </c>
      <c r="BY1314" s="500">
        <f t="shared" si="2981"/>
        <v>-2137.4164807797451</v>
      </c>
      <c r="BZ1314" s="500">
        <f t="shared" ref="BZ1314:CF1314" si="2982">SUM(BZ1304:BZ1313)</f>
        <v>-158.38879107635361</v>
      </c>
      <c r="CA1314" s="500">
        <f t="shared" si="2982"/>
        <v>-173.20732659840104</v>
      </c>
      <c r="CB1314" s="500">
        <f t="shared" si="2982"/>
        <v>-88.601736411712409</v>
      </c>
      <c r="CC1314" s="500">
        <f t="shared" si="2982"/>
        <v>-85.709982167069072</v>
      </c>
      <c r="CD1314" s="500">
        <f t="shared" si="2982"/>
        <v>-86.834299143323904</v>
      </c>
      <c r="CE1314" s="500">
        <f t="shared" si="2982"/>
        <v>-87.981159804662099</v>
      </c>
      <c r="CF1314" s="500">
        <f t="shared" si="2982"/>
        <v>-69.938210499962508</v>
      </c>
      <c r="CG1314" s="331"/>
      <c r="CH1314" s="331"/>
      <c r="CI1314" s="331"/>
      <c r="CJ1314" s="331"/>
      <c r="CK1314" s="331"/>
      <c r="CL1314" s="946" t="str">
        <f t="shared" si="2958"/>
        <v>Net cash provided by investing activities</v>
      </c>
      <c r="CM1314" s="499">
        <f t="shared" si="2959"/>
        <v>-65.403999999999996</v>
      </c>
      <c r="CN1314" s="499">
        <f t="shared" si="2960"/>
        <v>-1978.7999999999997</v>
      </c>
      <c r="CO1314" s="499">
        <f t="shared" si="2961"/>
        <v>-302.34100000000007</v>
      </c>
      <c r="CP1314" s="499">
        <f t="shared" si="2962"/>
        <v>-611.61699999999996</v>
      </c>
      <c r="CQ1314" s="499">
        <f t="shared" si="2963"/>
        <v>-391.49800000000005</v>
      </c>
      <c r="CR1314" s="499">
        <f t="shared" si="2964"/>
        <v>-262.65899999999999</v>
      </c>
      <c r="CS1314" s="499">
        <f t="shared" si="2965"/>
        <v>-736.75800000000004</v>
      </c>
      <c r="CT1314" s="499">
        <f t="shared" si="2948"/>
        <v>-338.80200000000002</v>
      </c>
      <c r="CU1314" s="499">
        <f t="shared" si="2949"/>
        <v>-1188.4870000000001</v>
      </c>
      <c r="CV1314" s="499">
        <f t="shared" si="2950"/>
        <v>-414.95699999999999</v>
      </c>
      <c r="CW1314" s="499">
        <f t="shared" si="2951"/>
        <v>-375.536</v>
      </c>
      <c r="CX1314" s="499">
        <f t="shared" si="2952"/>
        <v>-781.00500000000011</v>
      </c>
      <c r="CY1314" s="499">
        <f t="shared" si="2953"/>
        <v>-79.287999999999982</v>
      </c>
      <c r="CZ1314" s="499">
        <f t="shared" si="2954"/>
        <v>-221.608</v>
      </c>
      <c r="DA1314" s="499">
        <f t="shared" si="2955"/>
        <v>-2137.4164807797451</v>
      </c>
      <c r="DB1314" s="499">
        <f t="shared" si="2956"/>
        <v>-158.38879107635361</v>
      </c>
      <c r="DC1314" s="948">
        <f t="shared" si="2957"/>
        <v>-173.20732659840104</v>
      </c>
      <c r="DD1314" s="331"/>
      <c r="DE1314" s="331"/>
      <c r="DF1314" s="502"/>
      <c r="DG1314" s="503"/>
      <c r="DH1314" s="485"/>
      <c r="DI1314" s="3213"/>
      <c r="DJ1314" s="502"/>
      <c r="DK1314" s="503"/>
      <c r="DL1314" s="502"/>
      <c r="DM1314" s="502"/>
      <c r="DN1314" s="502"/>
      <c r="DO1314" s="502"/>
      <c r="DP1314" s="503"/>
      <c r="DQ1314" s="503"/>
      <c r="DR1314" s="296"/>
      <c r="DS1314" s="296"/>
      <c r="DT1314" s="296"/>
    </row>
    <row r="1315" spans="1:130" ht="12.75" customHeight="1" x14ac:dyDescent="0.25">
      <c r="A1315" s="872"/>
      <c r="B1315" s="603"/>
      <c r="C1315" s="482"/>
      <c r="D1315" s="482"/>
      <c r="E1315" s="482"/>
      <c r="F1315" s="482"/>
      <c r="G1315" s="484"/>
      <c r="H1315" s="482"/>
      <c r="I1315" s="482"/>
      <c r="J1315" s="482"/>
      <c r="K1315" s="482"/>
      <c r="L1315" s="484"/>
      <c r="M1315" s="482"/>
      <c r="N1315" s="482"/>
      <c r="O1315" s="482"/>
      <c r="P1315" s="482"/>
      <c r="Q1315" s="484"/>
      <c r="R1315" s="482"/>
      <c r="S1315" s="482"/>
      <c r="T1315" s="482"/>
      <c r="U1315" s="482"/>
      <c r="V1315" s="484"/>
      <c r="W1315" s="482"/>
      <c r="X1315" s="482"/>
      <c r="Y1315" s="482"/>
      <c r="Z1315" s="482"/>
      <c r="AA1315" s="484"/>
      <c r="AB1315" s="482"/>
      <c r="AC1315" s="482"/>
      <c r="AD1315" s="482"/>
      <c r="AE1315" s="430"/>
      <c r="AF1315" s="481"/>
      <c r="AG1315" s="430"/>
      <c r="AH1315" s="430"/>
      <c r="AI1315" s="430"/>
      <c r="AJ1315" s="430"/>
      <c r="AK1315" s="481"/>
      <c r="AL1315" s="430"/>
      <c r="AM1315" s="430"/>
      <c r="AN1315" s="430"/>
      <c r="AO1315" s="430"/>
      <c r="AP1315" s="481"/>
      <c r="AQ1315" s="430"/>
      <c r="AR1315" s="430"/>
      <c r="AS1315" s="430"/>
      <c r="AT1315" s="430"/>
      <c r="AU1315" s="481"/>
      <c r="AV1315" s="430"/>
      <c r="AW1315" s="430"/>
      <c r="AX1315" s="430"/>
      <c r="AY1315" s="853"/>
      <c r="AZ1315" s="481"/>
      <c r="BA1315" s="430"/>
      <c r="BB1315" s="430"/>
      <c r="BC1315" s="430"/>
      <c r="BD1315" s="853"/>
      <c r="BE1315" s="481"/>
      <c r="BF1315" s="430"/>
      <c r="BG1315" s="430"/>
      <c r="BH1315" s="430"/>
      <c r="BI1315" s="853"/>
      <c r="BJ1315" s="481"/>
      <c r="BK1315" s="430"/>
      <c r="BL1315" s="430"/>
      <c r="BM1315" s="430"/>
      <c r="BN1315" s="853"/>
      <c r="BO1315" s="481"/>
      <c r="BP1315" s="430"/>
      <c r="BQ1315" s="430"/>
      <c r="BR1315" s="430"/>
      <c r="BS1315" s="430"/>
      <c r="BT1315" s="2587"/>
      <c r="BU1315" s="3397"/>
      <c r="BV1315" s="2840"/>
      <c r="BW1315" s="2840"/>
      <c r="BX1315" s="2840"/>
      <c r="BY1315" s="2587"/>
      <c r="BZ1315" s="2587"/>
      <c r="CA1315" s="2587"/>
      <c r="CB1315" s="481"/>
      <c r="CC1315" s="481"/>
      <c r="CD1315" s="481"/>
      <c r="CE1315" s="481"/>
      <c r="CF1315" s="481"/>
      <c r="CG1315" s="331"/>
      <c r="CH1315" s="331"/>
      <c r="CI1315" s="331"/>
      <c r="CJ1315" s="331"/>
      <c r="CK1315" s="331"/>
      <c r="CL1315" s="872"/>
      <c r="CM1315" s="430"/>
      <c r="CN1315" s="430"/>
      <c r="CO1315" s="430"/>
      <c r="CP1315" s="430"/>
      <c r="CQ1315" s="430"/>
      <c r="CR1315" s="430"/>
      <c r="CS1315" s="430"/>
      <c r="CT1315" s="430"/>
      <c r="CU1315" s="430"/>
      <c r="CV1315" s="430"/>
      <c r="CW1315" s="430"/>
      <c r="CX1315" s="430"/>
      <c r="CY1315" s="430"/>
      <c r="CZ1315" s="430"/>
      <c r="DA1315" s="430"/>
      <c r="DB1315" s="430"/>
      <c r="DC1315" s="853"/>
      <c r="DD1315" s="331"/>
      <c r="DE1315" s="331"/>
      <c r="DF1315" s="502"/>
      <c r="DG1315" s="503"/>
      <c r="DH1315" s="2840"/>
      <c r="DI1315" s="3213"/>
      <c r="DJ1315" s="502"/>
      <c r="DK1315" s="503"/>
      <c r="DL1315" s="502"/>
      <c r="DM1315" s="502"/>
      <c r="DN1315" s="502"/>
      <c r="DO1315" s="502"/>
      <c r="DP1315" s="503"/>
      <c r="DQ1315" s="503"/>
      <c r="DR1315" s="296"/>
      <c r="DS1315" s="296"/>
      <c r="DT1315" s="296"/>
    </row>
    <row r="1316" spans="1:130" ht="12.75" customHeight="1" x14ac:dyDescent="0.25">
      <c r="A1316" s="944" t="s">
        <v>30</v>
      </c>
      <c r="B1316" s="603"/>
      <c r="C1316" s="482"/>
      <c r="D1316" s="482"/>
      <c r="E1316" s="482"/>
      <c r="F1316" s="482"/>
      <c r="G1316" s="484"/>
      <c r="H1316" s="482"/>
      <c r="I1316" s="482"/>
      <c r="J1316" s="482"/>
      <c r="K1316" s="482"/>
      <c r="L1316" s="484"/>
      <c r="M1316" s="482"/>
      <c r="N1316" s="482"/>
      <c r="O1316" s="482"/>
      <c r="P1316" s="482"/>
      <c r="Q1316" s="484"/>
      <c r="R1316" s="482"/>
      <c r="S1316" s="482"/>
      <c r="T1316" s="482"/>
      <c r="U1316" s="482"/>
      <c r="V1316" s="484"/>
      <c r="W1316" s="482"/>
      <c r="X1316" s="482"/>
      <c r="Y1316" s="482"/>
      <c r="Z1316" s="482"/>
      <c r="AA1316" s="484"/>
      <c r="AB1316" s="482"/>
      <c r="AC1316" s="482"/>
      <c r="AD1316" s="482"/>
      <c r="AE1316" s="430"/>
      <c r="AF1316" s="481"/>
      <c r="AG1316" s="430"/>
      <c r="AH1316" s="430"/>
      <c r="AI1316" s="430"/>
      <c r="AJ1316" s="430"/>
      <c r="AK1316" s="481"/>
      <c r="AL1316" s="430"/>
      <c r="AM1316" s="430"/>
      <c r="AN1316" s="430"/>
      <c r="AO1316" s="430"/>
      <c r="AP1316" s="481"/>
      <c r="AQ1316" s="430"/>
      <c r="AR1316" s="430"/>
      <c r="AS1316" s="430"/>
      <c r="AT1316" s="430"/>
      <c r="AU1316" s="481"/>
      <c r="AV1316" s="430"/>
      <c r="AW1316" s="430"/>
      <c r="AX1316" s="430"/>
      <c r="AY1316" s="853"/>
      <c r="AZ1316" s="481"/>
      <c r="BA1316" s="430"/>
      <c r="BB1316" s="430"/>
      <c r="BC1316" s="430"/>
      <c r="BD1316" s="853"/>
      <c r="BE1316" s="481"/>
      <c r="BF1316" s="430"/>
      <c r="BG1316" s="430"/>
      <c r="BH1316" s="430"/>
      <c r="BI1316" s="853"/>
      <c r="BJ1316" s="481"/>
      <c r="BK1316" s="430"/>
      <c r="BL1316" s="430"/>
      <c r="BM1316" s="430"/>
      <c r="BN1316" s="853"/>
      <c r="BO1316" s="481"/>
      <c r="BP1316" s="430"/>
      <c r="BQ1316" s="430"/>
      <c r="BR1316" s="430"/>
      <c r="BS1316" s="430"/>
      <c r="BT1316" s="2587"/>
      <c r="BU1316" s="3397"/>
      <c r="BV1316" s="2840"/>
      <c r="BW1316" s="2840"/>
      <c r="BX1316" s="2840"/>
      <c r="BY1316" s="2587"/>
      <c r="BZ1316" s="2587"/>
      <c r="CA1316" s="2587"/>
      <c r="CB1316" s="481"/>
      <c r="CC1316" s="481"/>
      <c r="CD1316" s="481"/>
      <c r="CE1316" s="481"/>
      <c r="CF1316" s="481"/>
      <c r="CG1316" s="331"/>
      <c r="CH1316" s="331"/>
      <c r="CI1316" s="331"/>
      <c r="CJ1316" s="331"/>
      <c r="CK1316" s="331"/>
      <c r="CL1316" s="944" t="str">
        <f>A1316</f>
        <v>Cash flows from financing activities</v>
      </c>
      <c r="CM1316" s="430"/>
      <c r="CN1316" s="430"/>
      <c r="CO1316" s="430"/>
      <c r="CP1316" s="430"/>
      <c r="CQ1316" s="430"/>
      <c r="CR1316" s="430"/>
      <c r="CS1316" s="430"/>
      <c r="CT1316" s="430"/>
      <c r="CU1316" s="430"/>
      <c r="CV1316" s="430"/>
      <c r="CW1316" s="430"/>
      <c r="CX1316" s="430"/>
      <c r="CY1316" s="430"/>
      <c r="CZ1316" s="430"/>
      <c r="DA1316" s="430"/>
      <c r="DB1316" s="430"/>
      <c r="DC1316" s="853"/>
      <c r="DD1316" s="331"/>
      <c r="DE1316" s="331"/>
      <c r="DF1316" s="502"/>
      <c r="DG1316" s="503"/>
      <c r="DH1316" s="2840"/>
      <c r="DI1316" s="3213"/>
      <c r="DJ1316" s="502"/>
      <c r="DK1316" s="503"/>
      <c r="DL1316" s="502"/>
      <c r="DM1316" s="502"/>
      <c r="DN1316" s="502"/>
      <c r="DO1316" s="502"/>
      <c r="DP1316" s="503"/>
      <c r="DQ1316" s="503"/>
      <c r="DR1316" s="296"/>
      <c r="DS1316" s="296"/>
      <c r="DT1316" s="296"/>
    </row>
    <row r="1317" spans="1:130" ht="12.75" customHeight="1" x14ac:dyDescent="0.25">
      <c r="A1317" s="952" t="s">
        <v>1947</v>
      </c>
      <c r="B1317" s="603"/>
      <c r="C1317" s="482">
        <v>0</v>
      </c>
      <c r="D1317" s="482">
        <v>3.9449999999999998</v>
      </c>
      <c r="E1317" s="482">
        <f>6.279-D1317</f>
        <v>2.3340000000000001</v>
      </c>
      <c r="F1317" s="430">
        <f>G1317-E1317-D1317</f>
        <v>1.5369999999999995</v>
      </c>
      <c r="G1317" s="484">
        <v>7.8159999999999998</v>
      </c>
      <c r="H1317" s="482">
        <v>5.516</v>
      </c>
      <c r="I1317" s="482">
        <v>4.4850000000000003</v>
      </c>
      <c r="J1317" s="482">
        <v>0.375</v>
      </c>
      <c r="K1317" s="482">
        <v>0.5</v>
      </c>
      <c r="L1317" s="481">
        <f>SUM(H1317:K1317)</f>
        <v>10.876000000000001</v>
      </c>
      <c r="M1317" s="482">
        <v>8.7720000000000002</v>
      </c>
      <c r="N1317" s="482">
        <v>0.78100000000000058</v>
      </c>
      <c r="O1317" s="482">
        <v>0.35799999999999876</v>
      </c>
      <c r="P1317" s="482">
        <v>2.29</v>
      </c>
      <c r="Q1317" s="481">
        <f>SUM(M1317:P1317)</f>
        <v>12.201000000000001</v>
      </c>
      <c r="R1317" s="482">
        <v>4.9619999999999997</v>
      </c>
      <c r="S1317" s="482">
        <v>2.367</v>
      </c>
      <c r="T1317" s="482">
        <v>14.061</v>
      </c>
      <c r="U1317" s="482">
        <v>3.5210000000000008</v>
      </c>
      <c r="V1317" s="481">
        <f>SUM(R1317:U1317)</f>
        <v>24.911000000000001</v>
      </c>
      <c r="W1317" s="482">
        <v>0.745</v>
      </c>
      <c r="X1317" s="482">
        <v>4.9000000000000044E-2</v>
      </c>
      <c r="Y1317" s="482">
        <v>1.1479999999999997</v>
      </c>
      <c r="Z1317" s="482">
        <v>0.45500000000000002</v>
      </c>
      <c r="AA1317" s="481">
        <f>SUM(W1317:Z1317)</f>
        <v>2.3969999999999998</v>
      </c>
      <c r="AB1317" s="482">
        <f>0.776+0.327</f>
        <v>1.103</v>
      </c>
      <c r="AC1317" s="482">
        <f>3.473-AB1317+1.457</f>
        <v>3.827</v>
      </c>
      <c r="AD1317" s="482">
        <f>4.299-AC1317-AB1317+1.885</f>
        <v>1.2540000000000004</v>
      </c>
      <c r="AE1317" s="430">
        <f>5.431-AD1317-AC1317-AB1317</f>
        <v>-0.75300000000000034</v>
      </c>
      <c r="AF1317" s="481">
        <f>SUM(AB1317:AE1317)</f>
        <v>5.431</v>
      </c>
      <c r="AG1317" s="482">
        <v>0.746</v>
      </c>
      <c r="AH1317" s="482">
        <f>2.842+0.288-AG1317</f>
        <v>2.3839999999999999</v>
      </c>
      <c r="AI1317" s="482">
        <f>3.989-AH1317-AG1317</f>
        <v>0.85899999999999999</v>
      </c>
      <c r="AJ1317" s="482">
        <f>11.488-AI1317-AH1317-AG1317</f>
        <v>7.4989999999999988</v>
      </c>
      <c r="AK1317" s="481">
        <f>SUM(AG1317:AJ1317)</f>
        <v>11.488</v>
      </c>
      <c r="AL1317" s="482">
        <v>3.3210000000000002</v>
      </c>
      <c r="AM1317" s="482">
        <f>7.695-AL1317</f>
        <v>4.3740000000000006</v>
      </c>
      <c r="AN1317" s="482">
        <f>10.265-AM1317-AL1317</f>
        <v>2.57</v>
      </c>
      <c r="AO1317" s="482">
        <f>16.719-AN1317-AM1317-AL1317</f>
        <v>6.4540000000000006</v>
      </c>
      <c r="AP1317" s="481">
        <f>SUM(AL1317:AO1317)</f>
        <v>16.719000000000001</v>
      </c>
      <c r="AQ1317" s="482">
        <v>4.6399999999999997</v>
      </c>
      <c r="AR1317" s="482">
        <f>8.534-AQ1317</f>
        <v>3.894000000000001</v>
      </c>
      <c r="AS1317" s="482">
        <f>9.692-AQ1317-AR1317</f>
        <v>1.1579999999999995</v>
      </c>
      <c r="AT1317" s="482">
        <f>31.933-SUM(AQ1317:AS1317)</f>
        <v>22.241</v>
      </c>
      <c r="AU1317" s="481">
        <f>SUM(AQ1317:AT1317)</f>
        <v>31.933</v>
      </c>
      <c r="AV1317" s="482">
        <v>15.461</v>
      </c>
      <c r="AW1317" s="482">
        <f>32.805-AV1317</f>
        <v>17.344000000000001</v>
      </c>
      <c r="AX1317" s="482">
        <f>45.379-AW1317-AV1317</f>
        <v>12.573999999999996</v>
      </c>
      <c r="AY1317" s="482">
        <f>51.535-SUM(AV1317:AX1317)</f>
        <v>6.1559999999999988</v>
      </c>
      <c r="AZ1317" s="481">
        <f>SUM(AV1317:AY1317)</f>
        <v>51.534999999999997</v>
      </c>
      <c r="BA1317" s="2675">
        <v>5.5810000000000004</v>
      </c>
      <c r="BB1317" s="482">
        <f>6.034-BA1317</f>
        <v>0.4529999999999994</v>
      </c>
      <c r="BC1317" s="482">
        <f>6.223-BB1317-BA1317</f>
        <v>0.18900000000000006</v>
      </c>
      <c r="BD1317" s="482">
        <f>9.799-SUM(BA1317:BC1317)</f>
        <v>3.5759999999999996</v>
      </c>
      <c r="BE1317" s="481">
        <f>SUM(BA1317:BD1317)</f>
        <v>9.7989999999999995</v>
      </c>
      <c r="BF1317" s="2675">
        <v>2.7429999999999999</v>
      </c>
      <c r="BG1317" s="482">
        <f>5.518-BF1317</f>
        <v>2.7749999999999999</v>
      </c>
      <c r="BH1317" s="482">
        <f>8.069-BG1317-BF1317</f>
        <v>2.5510000000000006</v>
      </c>
      <c r="BI1317" s="482">
        <f>9.399-SUM(BF1317:BH1317)</f>
        <v>1.3299999999999983</v>
      </c>
      <c r="BJ1317" s="481">
        <f>SUM(BF1317:BI1317)</f>
        <v>9.3989999999999991</v>
      </c>
      <c r="BK1317" s="2953">
        <v>1.742</v>
      </c>
      <c r="BL1317" s="482">
        <f>4.609-BK1317</f>
        <v>2.867</v>
      </c>
      <c r="BM1317" s="482">
        <f>5.654-BL1317-BK1317</f>
        <v>1.0449999999999999</v>
      </c>
      <c r="BN1317" s="482">
        <f>11.601-SUM(BK1317:BM1317)</f>
        <v>5.947000000000001</v>
      </c>
      <c r="BO1317" s="481">
        <f t="shared" ref="BO1317:BO1325" si="2983">SUM(BK1317:BN1317)</f>
        <v>11.601000000000001</v>
      </c>
      <c r="BP1317" s="482">
        <v>0.61199999999999999</v>
      </c>
      <c r="BQ1317" s="482">
        <f>3.721-BP1317</f>
        <v>3.109</v>
      </c>
      <c r="BR1317" s="482">
        <f>7.23-BQ1317-BP1317</f>
        <v>3.5090000000000003</v>
      </c>
      <c r="BS1317" s="482">
        <f>10.447-SUM(BP1317:BR1317)</f>
        <v>3.2169999999999987</v>
      </c>
      <c r="BT1317" s="2587">
        <f t="shared" ref="BT1317:BT1325" si="2984">SUM(BP1317:BS1317)</f>
        <v>10.446999999999999</v>
      </c>
      <c r="BU1317" s="482">
        <v>0</v>
      </c>
      <c r="BV1317" s="482">
        <v>0</v>
      </c>
      <c r="BW1317" s="482">
        <v>0</v>
      </c>
      <c r="BX1317" s="482">
        <v>0</v>
      </c>
      <c r="BY1317" s="2587">
        <f t="shared" ref="BY1317:BY1325" si="2985">SUM(BU1317:BX1317)</f>
        <v>0</v>
      </c>
      <c r="BZ1317" s="484">
        <v>0</v>
      </c>
      <c r="CA1317" s="484">
        <v>0</v>
      </c>
      <c r="CB1317" s="484">
        <v>0</v>
      </c>
      <c r="CC1317" s="484">
        <v>0</v>
      </c>
      <c r="CD1317" s="484">
        <v>0</v>
      </c>
      <c r="CE1317" s="484">
        <v>0</v>
      </c>
      <c r="CF1317" s="484">
        <v>0</v>
      </c>
      <c r="CG1317" s="331"/>
      <c r="CH1317" s="331"/>
      <c r="CI1317" s="331"/>
      <c r="CJ1317" s="331"/>
      <c r="CK1317" s="331"/>
      <c r="CL1317" s="952" t="str">
        <f>A1317</f>
        <v>Proceeds from exercise of options</v>
      </c>
      <c r="CM1317" s="430">
        <f>G1317</f>
        <v>7.8159999999999998</v>
      </c>
      <c r="CN1317" s="430">
        <f>L1317</f>
        <v>10.876000000000001</v>
      </c>
      <c r="CO1317" s="430">
        <f>Q1317</f>
        <v>12.201000000000001</v>
      </c>
      <c r="CP1317" s="430">
        <f>V1317</f>
        <v>24.911000000000001</v>
      </c>
      <c r="CQ1317" s="430">
        <f>AA1317</f>
        <v>2.3969999999999998</v>
      </c>
      <c r="CR1317" s="430">
        <f>AF1317</f>
        <v>5.431</v>
      </c>
      <c r="CS1317" s="430">
        <f>AK1317</f>
        <v>11.488</v>
      </c>
      <c r="CT1317" s="430">
        <f>AP1317</f>
        <v>16.719000000000001</v>
      </c>
      <c r="CU1317" s="430">
        <f>AU1317</f>
        <v>31.933</v>
      </c>
      <c r="CV1317" s="430">
        <f>AZ1317</f>
        <v>51.534999999999997</v>
      </c>
      <c r="CW1317" s="430">
        <f>BE1317</f>
        <v>9.7989999999999995</v>
      </c>
      <c r="CX1317" s="430">
        <f>BJ1317</f>
        <v>9.3989999999999991</v>
      </c>
      <c r="CY1317" s="430">
        <f>BO1317</f>
        <v>11.601000000000001</v>
      </c>
      <c r="CZ1317" s="430">
        <f>BT1317</f>
        <v>10.446999999999999</v>
      </c>
      <c r="DA1317" s="430">
        <f t="shared" ref="DA1317:DC1326" si="2986">BY1317</f>
        <v>0</v>
      </c>
      <c r="DB1317" s="430">
        <f t="shared" si="2986"/>
        <v>0</v>
      </c>
      <c r="DC1317" s="853">
        <f t="shared" si="2986"/>
        <v>0</v>
      </c>
      <c r="DD1317" s="331"/>
      <c r="DE1317" s="331"/>
      <c r="DF1317" s="502"/>
      <c r="DG1317" s="503"/>
      <c r="DH1317" s="2840"/>
      <c r="DI1317" s="3213"/>
      <c r="DJ1317" s="502"/>
      <c r="DK1317" s="503"/>
      <c r="DL1317" s="502"/>
      <c r="DM1317" s="502"/>
      <c r="DN1317" s="502"/>
      <c r="DO1317" s="502"/>
      <c r="DP1317" s="503"/>
      <c r="DQ1317" s="503"/>
      <c r="DR1317" s="296"/>
      <c r="DS1317" s="296"/>
      <c r="DT1317" s="296"/>
    </row>
    <row r="1318" spans="1:130" ht="12.75" customHeight="1" x14ac:dyDescent="0.25">
      <c r="A1318" s="952" t="s">
        <v>1386</v>
      </c>
      <c r="B1318" s="603"/>
      <c r="C1318" s="482">
        <v>0</v>
      </c>
      <c r="D1318" s="482">
        <v>0</v>
      </c>
      <c r="E1318" s="482">
        <v>0</v>
      </c>
      <c r="F1318" s="482">
        <v>0</v>
      </c>
      <c r="G1318" s="484">
        <v>0</v>
      </c>
      <c r="H1318" s="482">
        <v>0</v>
      </c>
      <c r="I1318" s="482">
        <v>0</v>
      </c>
      <c r="J1318" s="482">
        <v>0</v>
      </c>
      <c r="K1318" s="482">
        <v>0</v>
      </c>
      <c r="L1318" s="481">
        <f t="shared" ref="L1318:L1325" si="2987">SUM(H1318:K1318)</f>
        <v>0</v>
      </c>
      <c r="M1318" s="482">
        <v>0</v>
      </c>
      <c r="N1318" s="482">
        <v>0</v>
      </c>
      <c r="O1318" s="482">
        <v>0</v>
      </c>
      <c r="P1318" s="482">
        <v>0</v>
      </c>
      <c r="Q1318" s="481">
        <f t="shared" ref="Q1318:Q1325" si="2988">SUM(M1318:P1318)</f>
        <v>0</v>
      </c>
      <c r="R1318" s="482">
        <v>0</v>
      </c>
      <c r="S1318" s="482">
        <v>0</v>
      </c>
      <c r="T1318" s="482">
        <v>0</v>
      </c>
      <c r="U1318" s="482">
        <v>0</v>
      </c>
      <c r="V1318" s="481">
        <f t="shared" ref="V1318:V1325" si="2989">SUM(R1318:U1318)</f>
        <v>0</v>
      </c>
      <c r="W1318" s="482">
        <v>0</v>
      </c>
      <c r="X1318" s="482">
        <v>0</v>
      </c>
      <c r="Y1318" s="482">
        <v>471.4</v>
      </c>
      <c r="Z1318" s="482">
        <v>775</v>
      </c>
      <c r="AA1318" s="481">
        <f t="shared" ref="AA1318:AA1325" si="2990">SUM(W1318:Z1318)</f>
        <v>1246.4000000000001</v>
      </c>
      <c r="AB1318" s="482">
        <v>0</v>
      </c>
      <c r="AC1318" s="482">
        <v>0</v>
      </c>
      <c r="AD1318" s="482">
        <v>0</v>
      </c>
      <c r="AE1318" s="430">
        <v>0</v>
      </c>
      <c r="AF1318" s="481">
        <f t="shared" ref="AF1318:AF1325" si="2991">SUM(AB1318:AE1318)</f>
        <v>0</v>
      </c>
      <c r="AG1318" s="482">
        <v>0</v>
      </c>
      <c r="AH1318" s="482">
        <v>0</v>
      </c>
      <c r="AI1318" s="482">
        <v>0</v>
      </c>
      <c r="AJ1318" s="482">
        <v>0</v>
      </c>
      <c r="AK1318" s="481">
        <f t="shared" ref="AK1318:AK1325" si="2992">SUM(AG1318:AJ1318)</f>
        <v>0</v>
      </c>
      <c r="AL1318" s="482">
        <v>0</v>
      </c>
      <c r="AM1318" s="482">
        <v>0</v>
      </c>
      <c r="AN1318" s="430">
        <v>0</v>
      </c>
      <c r="AO1318" s="482">
        <v>0</v>
      </c>
      <c r="AP1318" s="481">
        <f t="shared" ref="AP1318:AP1325" si="2993">SUM(AL1318:AO1318)</f>
        <v>0</v>
      </c>
      <c r="AQ1318" s="482">
        <v>0</v>
      </c>
      <c r="AR1318" s="482">
        <v>0</v>
      </c>
      <c r="AS1318" s="482">
        <v>0</v>
      </c>
      <c r="AT1318" s="482">
        <f>0-SUM(AQ1318:AS1318)</f>
        <v>0</v>
      </c>
      <c r="AU1318" s="481">
        <f t="shared" ref="AU1318:AU1325" si="2994">SUM(AQ1318:AT1318)</f>
        <v>0</v>
      </c>
      <c r="AV1318" s="482">
        <v>-22.274999999999999</v>
      </c>
      <c r="AW1318" s="482">
        <f>+-22.275-AV1318</f>
        <v>0</v>
      </c>
      <c r="AX1318" s="482">
        <f>-22.275-AW1318-AV1318</f>
        <v>0</v>
      </c>
      <c r="AY1318" s="482">
        <f>-649.518-SUM(AV1318:AX1318)</f>
        <v>-627.24300000000005</v>
      </c>
      <c r="AZ1318" s="481">
        <f t="shared" ref="AZ1318:AZ1325" si="2995">SUM(AV1318:AY1318)</f>
        <v>-649.51800000000003</v>
      </c>
      <c r="BA1318" s="2675">
        <v>0</v>
      </c>
      <c r="BB1318" s="482">
        <v>0</v>
      </c>
      <c r="BC1318" s="482">
        <f>0-BB1318-BA1318</f>
        <v>0</v>
      </c>
      <c r="BD1318" s="482">
        <v>0</v>
      </c>
      <c r="BE1318" s="481">
        <f t="shared" ref="BE1318:BE1325" si="2996">SUM(BA1318:BD1318)</f>
        <v>0</v>
      </c>
      <c r="BF1318" s="2675">
        <v>0</v>
      </c>
      <c r="BG1318" s="482">
        <v>0</v>
      </c>
      <c r="BH1318" s="482">
        <f>0-BG1318-BF1318</f>
        <v>0</v>
      </c>
      <c r="BI1318" s="482">
        <v>0</v>
      </c>
      <c r="BJ1318" s="481">
        <f t="shared" ref="BJ1318:BJ1325" si="2997">SUM(BF1318:BI1318)</f>
        <v>0</v>
      </c>
      <c r="BK1318" s="2953">
        <v>0</v>
      </c>
      <c r="BL1318" s="482">
        <f>0-BK1318</f>
        <v>0</v>
      </c>
      <c r="BM1318" s="482">
        <f>0-BL1318-BK1318</f>
        <v>0</v>
      </c>
      <c r="BN1318" s="482">
        <v>0</v>
      </c>
      <c r="BO1318" s="481">
        <f t="shared" si="2983"/>
        <v>0</v>
      </c>
      <c r="BP1318" s="482">
        <v>0</v>
      </c>
      <c r="BQ1318" s="482">
        <v>0</v>
      </c>
      <c r="BR1318" s="482">
        <v>0</v>
      </c>
      <c r="BS1318" s="482">
        <f>0-SUM(BP1318:BR1318)</f>
        <v>0</v>
      </c>
      <c r="BT1318" s="2587">
        <f t="shared" si="2984"/>
        <v>0</v>
      </c>
      <c r="BU1318" s="482">
        <v>0</v>
      </c>
      <c r="BV1318" s="482">
        <v>0</v>
      </c>
      <c r="BW1318" s="482">
        <v>0</v>
      </c>
      <c r="BX1318" s="482">
        <v>0</v>
      </c>
      <c r="BY1318" s="2587">
        <f t="shared" si="2985"/>
        <v>0</v>
      </c>
      <c r="BZ1318" s="484">
        <v>0</v>
      </c>
      <c r="CA1318" s="484">
        <v>0</v>
      </c>
      <c r="CB1318" s="484">
        <v>0</v>
      </c>
      <c r="CC1318" s="484">
        <v>0</v>
      </c>
      <c r="CD1318" s="484">
        <v>0</v>
      </c>
      <c r="CE1318" s="484">
        <v>0</v>
      </c>
      <c r="CF1318" s="484">
        <v>0</v>
      </c>
      <c r="CG1318" s="331"/>
      <c r="CH1318" s="331"/>
      <c r="CI1318" s="331"/>
      <c r="CJ1318" s="331"/>
      <c r="CK1318" s="331"/>
      <c r="CL1318" s="952" t="str">
        <f>A1318</f>
        <v>Proceeds from issuance of preferred stock</v>
      </c>
      <c r="CM1318" s="430">
        <f>G1318</f>
        <v>0</v>
      </c>
      <c r="CN1318" s="430">
        <f>L1318</f>
        <v>0</v>
      </c>
      <c r="CO1318" s="430">
        <f>Q1318</f>
        <v>0</v>
      </c>
      <c r="CP1318" s="430">
        <f>V1318</f>
        <v>0</v>
      </c>
      <c r="CQ1318" s="430">
        <f>AA1318</f>
        <v>1246.4000000000001</v>
      </c>
      <c r="CR1318" s="430">
        <f>AF1318</f>
        <v>0</v>
      </c>
      <c r="CS1318" s="430">
        <f>AK1318</f>
        <v>0</v>
      </c>
      <c r="CT1318" s="430">
        <f>AP1318</f>
        <v>0</v>
      </c>
      <c r="CU1318" s="430">
        <f>AU1318</f>
        <v>0</v>
      </c>
      <c r="CV1318" s="430">
        <f>AZ1318</f>
        <v>-649.51800000000003</v>
      </c>
      <c r="CW1318" s="430">
        <f>BE1318</f>
        <v>0</v>
      </c>
      <c r="CX1318" s="430">
        <f>BJ1318</f>
        <v>0</v>
      </c>
      <c r="CY1318" s="430">
        <f>BO1318</f>
        <v>0</v>
      </c>
      <c r="CZ1318" s="430">
        <f>BT1318</f>
        <v>0</v>
      </c>
      <c r="DA1318" s="430">
        <f t="shared" si="2986"/>
        <v>0</v>
      </c>
      <c r="DB1318" s="430">
        <f t="shared" si="2986"/>
        <v>0</v>
      </c>
      <c r="DC1318" s="853">
        <f t="shared" si="2986"/>
        <v>0</v>
      </c>
      <c r="DD1318" s="331"/>
      <c r="DE1318" s="331"/>
      <c r="DF1318" s="502"/>
      <c r="DG1318" s="503"/>
      <c r="DH1318" s="2840"/>
      <c r="DI1318" s="3213"/>
      <c r="DJ1318" s="502"/>
      <c r="DK1318" s="503"/>
      <c r="DL1318" s="502"/>
      <c r="DM1318" s="502"/>
      <c r="DN1318" s="502"/>
      <c r="DO1318" s="502"/>
      <c r="DP1318" s="503"/>
      <c r="DQ1318" s="503"/>
      <c r="DR1318" s="296"/>
      <c r="DS1318" s="296"/>
      <c r="DT1318" s="296"/>
    </row>
    <row r="1319" spans="1:130" ht="12.75" customHeight="1" x14ac:dyDescent="0.25">
      <c r="A1319" s="952" t="s">
        <v>2206</v>
      </c>
      <c r="B1319" s="603"/>
      <c r="C1319" s="482">
        <v>0</v>
      </c>
      <c r="D1319" s="482">
        <v>-22.585999999999999</v>
      </c>
      <c r="E1319" s="482">
        <f>0.146-80.475-D1319</f>
        <v>-57.742999999999995</v>
      </c>
      <c r="F1319" s="430">
        <f>G1319-E1319-D1319</f>
        <v>-50.885000000000005</v>
      </c>
      <c r="G1319" s="484">
        <f>0.156-131.37</f>
        <v>-131.214</v>
      </c>
      <c r="H1319" s="482">
        <v>-60.942000000000007</v>
      </c>
      <c r="I1319" s="482">
        <v>-159.58500000000001</v>
      </c>
      <c r="J1319" s="482">
        <v>-0.27000000000003865</v>
      </c>
      <c r="K1319" s="482">
        <v>2147.9189999999999</v>
      </c>
      <c r="L1319" s="481">
        <f t="shared" si="2987"/>
        <v>1927.1219999999998</v>
      </c>
      <c r="M1319" s="482">
        <v>-40.399000000000001</v>
      </c>
      <c r="N1319" s="482">
        <v>61.575000000000003</v>
      </c>
      <c r="O1319" s="482">
        <v>-29.817999999999984</v>
      </c>
      <c r="P1319" s="482">
        <v>27.253999999999991</v>
      </c>
      <c r="Q1319" s="481">
        <f t="shared" si="2988"/>
        <v>18.612000000000009</v>
      </c>
      <c r="R1319" s="482">
        <v>-36.450999999999993</v>
      </c>
      <c r="S1319" s="482">
        <v>151.56299999999999</v>
      </c>
      <c r="T1319" s="482">
        <v>-19.942999999999984</v>
      </c>
      <c r="U1319" s="482">
        <v>48.535999999999973</v>
      </c>
      <c r="V1319" s="481">
        <f t="shared" si="2989"/>
        <v>143.70499999999998</v>
      </c>
      <c r="W1319" s="482">
        <v>34.292000000000002</v>
      </c>
      <c r="X1319" s="482">
        <v>-52.711999999999989</v>
      </c>
      <c r="Y1319" s="482">
        <v>-563.80700000000002</v>
      </c>
      <c r="Z1319" s="482">
        <v>36.093999999999966</v>
      </c>
      <c r="AA1319" s="481">
        <f t="shared" si="2990"/>
        <v>-546.13300000000004</v>
      </c>
      <c r="AB1319" s="482">
        <f>25.919-70.744</f>
        <v>-44.825000000000003</v>
      </c>
      <c r="AC1319" s="482">
        <f>122.684-172.366-AB1319</f>
        <v>-4.8570000000000135</v>
      </c>
      <c r="AD1319" s="482">
        <f>650.214-697.65-AC1319-AB1319</f>
        <v>2.2460000000000946</v>
      </c>
      <c r="AE1319" s="430">
        <f>784.929-879.193-AD1319-AC1319-AB1319</f>
        <v>-46.828000000000088</v>
      </c>
      <c r="AF1319" s="481">
        <f t="shared" si="2991"/>
        <v>-94.26400000000001</v>
      </c>
      <c r="AG1319" s="482">
        <f>33.925-65.874</f>
        <v>-31.948999999999998</v>
      </c>
      <c r="AH1319" s="482">
        <f>56.75-295.923-AG1319</f>
        <v>-207.22399999999999</v>
      </c>
      <c r="AI1319" s="482">
        <f>56.733-297.466-AH1319-AG1319</f>
        <v>-1.5600000000000165</v>
      </c>
      <c r="AJ1319" s="482">
        <f>212.732-383.476-AI1319-AH1319-AG1319</f>
        <v>69.989000000000019</v>
      </c>
      <c r="AK1319" s="481">
        <f t="shared" si="2992"/>
        <v>-170.74399999999997</v>
      </c>
      <c r="AL1319" s="482">
        <f>30-66.044</f>
        <v>-36.043999999999997</v>
      </c>
      <c r="AM1319" s="482">
        <f>28.67-103.095-AL1319</f>
        <v>-38.381</v>
      </c>
      <c r="AN1319" s="482">
        <f>-1881.872+1651.61-AM1319-AL1319</f>
        <v>-155.83700000000016</v>
      </c>
      <c r="AO1319" s="482">
        <f>1773.232-1928.571-AN1319-AM1319-AL1319</f>
        <v>74.923000000000215</v>
      </c>
      <c r="AP1319" s="481">
        <f t="shared" si="2993"/>
        <v>-155.33899999999994</v>
      </c>
      <c r="AQ1319" s="482">
        <f>47.932-60.656</f>
        <v>-12.723999999999997</v>
      </c>
      <c r="AR1319" s="482">
        <f>151.932-93.305-AQ1319</f>
        <v>71.350999999999971</v>
      </c>
      <c r="AS1319" s="482">
        <f>256.984-133.95+10-AQ1319-AR1319</f>
        <v>74.407000000000011</v>
      </c>
      <c r="AT1319" s="482">
        <f>1162.709-494.891-SUM(AQ1319:AS1319)</f>
        <v>534.78399999999999</v>
      </c>
      <c r="AU1319" s="481">
        <f t="shared" si="2994"/>
        <v>667.81799999999998</v>
      </c>
      <c r="AV1319" s="482">
        <f>19.954-136.949</f>
        <v>-116.995</v>
      </c>
      <c r="AW1319" s="482">
        <f>20.064-275.713-AV1319</f>
        <v>-138.65400000000002</v>
      </c>
      <c r="AX1319" s="482">
        <f>-351.361+20.064-AW1319-AV1319</f>
        <v>-75.647999999999939</v>
      </c>
      <c r="AY1319" s="482">
        <f>4745.79-4135.059-SUM(AV1319:AX1319)</f>
        <v>942.02799999999979</v>
      </c>
      <c r="AZ1319" s="481">
        <f t="shared" si="2995"/>
        <v>610.73099999999977</v>
      </c>
      <c r="BA1319" s="2675">
        <f>+-0.327-6.898</f>
        <v>-7.2249999999999996</v>
      </c>
      <c r="BB1319" s="482">
        <f>+-13.866-BA1319</f>
        <v>-6.641</v>
      </c>
      <c r="BC1319" s="482">
        <f>-40.703+64.935-15-BB1319-BA1319</f>
        <v>23.097999999999999</v>
      </c>
      <c r="BD1319" s="482">
        <f>104.935-49.541-15-SUM(BA1319:BC1319)</f>
        <v>31.162000000000006</v>
      </c>
      <c r="BE1319" s="481">
        <f t="shared" si="2996"/>
        <v>40.394000000000005</v>
      </c>
      <c r="BF1319" s="2675">
        <f>45-21.886</f>
        <v>23.114000000000001</v>
      </c>
      <c r="BG1319" s="482">
        <f>60-53.773-BF1319</f>
        <v>-16.887000000000004</v>
      </c>
      <c r="BH1319" s="482">
        <f>517.29-92.885-3.307-BG1319-BF1319</f>
        <v>414.87099999999998</v>
      </c>
      <c r="BI1319" s="482">
        <f>562.076-115.195-3.307-SUM(BF1319:BH1319)</f>
        <v>22.476000000000056</v>
      </c>
      <c r="BJ1319" s="481">
        <f t="shared" si="2997"/>
        <v>443.57400000000001</v>
      </c>
      <c r="BK1319" s="2953">
        <f>12.214-23.404-6.899</f>
        <v>-18.088999999999999</v>
      </c>
      <c r="BL1319" s="482">
        <f>24.204-63.815-6.899-BK1319</f>
        <v>-28.420999999999999</v>
      </c>
      <c r="BM1319" s="482">
        <f>74.17-102.234-13.387-BL1319-BK1319</f>
        <v>5.0590000000000046</v>
      </c>
      <c r="BN1319" s="482">
        <f>122.747-407.662-13.772-SUM(BK1319:BM1319)</f>
        <v>-257.23599999999999</v>
      </c>
      <c r="BO1319" s="481">
        <f t="shared" si="2983"/>
        <v>-298.68700000000001</v>
      </c>
      <c r="BP1319" s="2953">
        <f>1359.71-1330.719-28.033</f>
        <v>0.9579999999999842</v>
      </c>
      <c r="BQ1319" s="482">
        <f>1370.797+82.603-1429.161-28.189-BP1319</f>
        <v>-4.9079999999999515</v>
      </c>
      <c r="BR1319" s="482">
        <f>1418.797+82.6-1492.49-35.227-BQ1319-BP1319</f>
        <v>-22.370000000000104</v>
      </c>
      <c r="BS1319" s="3508">
        <f>1430.796-1574.918-35.453-SUM(BP1319:BR1319)</f>
        <v>-153.25499999999977</v>
      </c>
      <c r="BT1319" s="2587">
        <f t="shared" si="2984"/>
        <v>-179.57499999999985</v>
      </c>
      <c r="BU1319" s="2840">
        <f>BU1406-BT1406-BU1281</f>
        <v>-15.069435817589692</v>
      </c>
      <c r="BV1319" s="2840">
        <f>BV1406-BU1406-BV1281</f>
        <v>-15.022519111646943</v>
      </c>
      <c r="BW1319" s="3511">
        <f>BW1406-BV1406-BW1281-+(((BW1252+BW1258)*4*BW1265)*8)</f>
        <v>1223.6327105054411</v>
      </c>
      <c r="BX1319" s="2840">
        <f>BX1406-BW1406-BX1281</f>
        <v>-26.187112774079651</v>
      </c>
      <c r="BY1319" s="2587">
        <f t="shared" si="2985"/>
        <v>1167.3536428021248</v>
      </c>
      <c r="BZ1319" s="2587">
        <f t="shared" ref="BZ1319:CF1319" si="2998">BZ1406-BY1406-BZ1281</f>
        <v>-355.21323192105046</v>
      </c>
      <c r="CA1319" s="2587">
        <f t="shared" si="2998"/>
        <v>-106.08563874915308</v>
      </c>
      <c r="CB1319" s="481">
        <f t="shared" si="2998"/>
        <v>-7024.5146721319206</v>
      </c>
      <c r="CC1319" s="481">
        <f t="shared" si="2998"/>
        <v>0</v>
      </c>
      <c r="CD1319" s="481">
        <f t="shared" si="2998"/>
        <v>0</v>
      </c>
      <c r="CE1319" s="481">
        <f t="shared" si="2998"/>
        <v>0</v>
      </c>
      <c r="CF1319" s="481">
        <f t="shared" si="2998"/>
        <v>0</v>
      </c>
      <c r="CG1319" s="331"/>
      <c r="CH1319" s="331"/>
      <c r="CI1319" s="331"/>
      <c r="CJ1319" s="331"/>
      <c r="CK1319" s="331"/>
      <c r="CL1319" s="952" t="str">
        <f>A1319</f>
        <v>Proceeds/payments from long-term debt</v>
      </c>
      <c r="CM1319" s="430">
        <f>G1319</f>
        <v>-131.214</v>
      </c>
      <c r="CN1319" s="430">
        <f>L1319</f>
        <v>1927.1219999999998</v>
      </c>
      <c r="CO1319" s="430">
        <f>Q1319</f>
        <v>18.612000000000009</v>
      </c>
      <c r="CP1319" s="430">
        <f>V1319</f>
        <v>143.70499999999998</v>
      </c>
      <c r="CQ1319" s="430">
        <f>AA1319</f>
        <v>-546.13300000000004</v>
      </c>
      <c r="CR1319" s="430">
        <f>AF1319</f>
        <v>-94.26400000000001</v>
      </c>
      <c r="CS1319" s="430">
        <f>AK1319</f>
        <v>-170.74399999999997</v>
      </c>
      <c r="CT1319" s="430">
        <f>AP1319</f>
        <v>-155.33899999999994</v>
      </c>
      <c r="CU1319" s="430">
        <f>AU1319</f>
        <v>667.81799999999998</v>
      </c>
      <c r="CV1319" s="430">
        <f>AZ1319</f>
        <v>610.73099999999977</v>
      </c>
      <c r="CW1319" s="430">
        <f>BE1319</f>
        <v>40.394000000000005</v>
      </c>
      <c r="CX1319" s="430">
        <f>BJ1319</f>
        <v>443.57400000000001</v>
      </c>
      <c r="CY1319" s="430">
        <f>BO1319</f>
        <v>-298.68700000000001</v>
      </c>
      <c r="CZ1319" s="430">
        <f>BT1319</f>
        <v>-179.57499999999985</v>
      </c>
      <c r="DA1319" s="430">
        <f t="shared" si="2986"/>
        <v>1167.3536428021248</v>
      </c>
      <c r="DB1319" s="430">
        <f t="shared" si="2986"/>
        <v>-355.21323192105046</v>
      </c>
      <c r="DC1319" s="853">
        <f t="shared" si="2986"/>
        <v>-106.08563874915308</v>
      </c>
      <c r="DD1319" s="331"/>
      <c r="DE1319" s="331"/>
      <c r="DF1319" s="502"/>
      <c r="DG1319" s="503"/>
      <c r="DH1319" s="2840"/>
      <c r="DI1319" s="3213"/>
      <c r="DJ1319" s="502"/>
      <c r="DK1319" s="503"/>
      <c r="DL1319" s="502"/>
      <c r="DM1319" s="502"/>
      <c r="DN1319" s="502"/>
      <c r="DO1319" s="502"/>
      <c r="DP1319" s="503"/>
      <c r="DQ1319" s="503"/>
      <c r="DR1319" s="296"/>
      <c r="DS1319" s="296"/>
      <c r="DT1319" s="296"/>
    </row>
    <row r="1320" spans="1:130" s="1049" customFormat="1" ht="12.75" customHeight="1" x14ac:dyDescent="0.25">
      <c r="A1320" s="952" t="s">
        <v>2444</v>
      </c>
      <c r="B1320" s="603"/>
      <c r="C1320" s="482"/>
      <c r="D1320" s="482"/>
      <c r="E1320" s="482"/>
      <c r="F1320" s="430"/>
      <c r="G1320" s="484"/>
      <c r="H1320" s="482"/>
      <c r="I1320" s="482"/>
      <c r="J1320" s="482"/>
      <c r="K1320" s="482"/>
      <c r="L1320" s="481"/>
      <c r="M1320" s="482"/>
      <c r="N1320" s="482"/>
      <c r="O1320" s="482"/>
      <c r="P1320" s="482"/>
      <c r="Q1320" s="481"/>
      <c r="R1320" s="482"/>
      <c r="S1320" s="482"/>
      <c r="T1320" s="482"/>
      <c r="U1320" s="482"/>
      <c r="V1320" s="481"/>
      <c r="W1320" s="482"/>
      <c r="X1320" s="482"/>
      <c r="Y1320" s="482"/>
      <c r="Z1320" s="482"/>
      <c r="AA1320" s="481"/>
      <c r="AB1320" s="482"/>
      <c r="AC1320" s="482"/>
      <c r="AD1320" s="482"/>
      <c r="AE1320" s="430"/>
      <c r="AF1320" s="481"/>
      <c r="AG1320" s="482"/>
      <c r="AH1320" s="482"/>
      <c r="AI1320" s="482"/>
      <c r="AJ1320" s="482"/>
      <c r="AK1320" s="481"/>
      <c r="AL1320" s="482"/>
      <c r="AM1320" s="482"/>
      <c r="AN1320" s="482"/>
      <c r="AO1320" s="482"/>
      <c r="AP1320" s="481"/>
      <c r="AQ1320" s="482"/>
      <c r="AR1320" s="482"/>
      <c r="AS1320" s="482"/>
      <c r="AT1320" s="482"/>
      <c r="AU1320" s="481"/>
      <c r="AV1320" s="482"/>
      <c r="AW1320" s="482"/>
      <c r="AX1320" s="482"/>
      <c r="AY1320" s="482"/>
      <c r="AZ1320" s="481"/>
      <c r="BA1320" s="2675">
        <v>-11.255000000000001</v>
      </c>
      <c r="BB1320" s="482">
        <f>-21.855-BA1320</f>
        <v>-10.6</v>
      </c>
      <c r="BC1320" s="482">
        <f>-31.899-BB1320-BA1320</f>
        <v>-10.043999999999999</v>
      </c>
      <c r="BD1320" s="482">
        <f>-42.222-BC1320-BA1320-BB1320</f>
        <v>-10.323000000000002</v>
      </c>
      <c r="BE1320" s="481">
        <f t="shared" si="2996"/>
        <v>-42.222000000000001</v>
      </c>
      <c r="BF1320" s="2675">
        <v>-12.475</v>
      </c>
      <c r="BG1320" s="482">
        <f>-24.298-BF1320</f>
        <v>-11.822999999999999</v>
      </c>
      <c r="BH1320" s="482">
        <f>-35.452-BG1320-BF1320</f>
        <v>-11.153999999999998</v>
      </c>
      <c r="BI1320" s="482">
        <f>-46.885-BH1320-BF1320-BG1320</f>
        <v>-11.433000000000002</v>
      </c>
      <c r="BJ1320" s="481">
        <f t="shared" si="2997"/>
        <v>-46.884999999999998</v>
      </c>
      <c r="BK1320" s="2953">
        <v>-12.648</v>
      </c>
      <c r="BL1320" s="482">
        <f>-25.598-BK1320</f>
        <v>-12.95</v>
      </c>
      <c r="BM1320" s="482">
        <f>-37.92-BL1320-BK1320</f>
        <v>-12.322000000000003</v>
      </c>
      <c r="BN1320" s="482">
        <f>-50.548-SUM(BK1320:BM1320)</f>
        <v>-12.628</v>
      </c>
      <c r="BO1320" s="481">
        <f t="shared" si="2983"/>
        <v>-50.548000000000002</v>
      </c>
      <c r="BP1320" s="2953">
        <v>-14.785</v>
      </c>
      <c r="BQ1320" s="482">
        <f>+-29.328-BP1320</f>
        <v>-14.542999999999999</v>
      </c>
      <c r="BR1320" s="482">
        <f>-43.421-BQ1320-BP1320</f>
        <v>-14.093</v>
      </c>
      <c r="BS1320" s="3508">
        <f>-57.859-SUM(BP1320:BR1320)</f>
        <v>-14.438000000000002</v>
      </c>
      <c r="BT1320" s="2587">
        <f t="shared" si="2984"/>
        <v>-57.859000000000002</v>
      </c>
      <c r="BU1320" s="2840">
        <f>-BU1263</f>
        <v>-15.06943581758912</v>
      </c>
      <c r="BV1320" s="2840">
        <f>-BV1263</f>
        <v>-15.022519111647512</v>
      </c>
      <c r="BW1320" s="2840">
        <f>-BW1263</f>
        <v>-26.36728949455723</v>
      </c>
      <c r="BX1320" s="2840">
        <f>-BX1263</f>
        <v>-26.18711277408082</v>
      </c>
      <c r="BY1320" s="2587">
        <f t="shared" si="2985"/>
        <v>-82.646357197874678</v>
      </c>
      <c r="BZ1320" s="2587">
        <f>-BZ1263</f>
        <v>-105.21323192105194</v>
      </c>
      <c r="CA1320" s="2587">
        <f>-CA1263</f>
        <v>-106.08563874915177</v>
      </c>
      <c r="CB1320" s="481"/>
      <c r="CC1320" s="481"/>
      <c r="CD1320" s="481"/>
      <c r="CE1320" s="481"/>
      <c r="CF1320" s="481"/>
      <c r="CG1320" s="331"/>
      <c r="CH1320" s="331"/>
      <c r="CI1320" s="331"/>
      <c r="CJ1320" s="331"/>
      <c r="CK1320" s="331"/>
      <c r="CL1320" s="952"/>
      <c r="CM1320" s="430"/>
      <c r="CN1320" s="430"/>
      <c r="CO1320" s="430"/>
      <c r="CP1320" s="430"/>
      <c r="CQ1320" s="430"/>
      <c r="CR1320" s="430"/>
      <c r="CS1320" s="430"/>
      <c r="CT1320" s="430"/>
      <c r="CU1320" s="430"/>
      <c r="CV1320" s="430"/>
      <c r="CW1320" s="430"/>
      <c r="CX1320" s="430"/>
      <c r="CY1320" s="430"/>
      <c r="CZ1320" s="430"/>
      <c r="DA1320" s="430"/>
      <c r="DB1320" s="430"/>
      <c r="DC1320" s="853"/>
      <c r="DD1320" s="331"/>
      <c r="DE1320" s="331"/>
      <c r="DF1320" s="502"/>
      <c r="DG1320" s="503"/>
      <c r="DH1320" s="2840"/>
      <c r="DI1320" s="3213"/>
      <c r="DJ1320" s="502"/>
      <c r="DK1320" s="503"/>
      <c r="DL1320" s="502"/>
      <c r="DM1320" s="502"/>
      <c r="DN1320" s="502"/>
      <c r="DO1320" s="502"/>
      <c r="DP1320" s="503"/>
      <c r="DQ1320" s="503"/>
      <c r="DR1320" s="296"/>
      <c r="DS1320" s="296"/>
      <c r="DT1320" s="296"/>
      <c r="DU1320"/>
      <c r="DV1320"/>
      <c r="DW1320"/>
      <c r="DX1320"/>
      <c r="DY1320"/>
      <c r="DZ1320"/>
    </row>
    <row r="1321" spans="1:130" ht="12.75" hidden="1" customHeight="1" outlineLevel="1" x14ac:dyDescent="0.25">
      <c r="A1321" s="952" t="s">
        <v>2207</v>
      </c>
      <c r="B1321" s="603"/>
      <c r="C1321" s="482">
        <v>0</v>
      </c>
      <c r="D1321" s="482">
        <v>0</v>
      </c>
      <c r="E1321" s="482">
        <v>0</v>
      </c>
      <c r="F1321" s="482">
        <v>0</v>
      </c>
      <c r="G1321" s="484">
        <v>0</v>
      </c>
      <c r="H1321" s="482">
        <v>0</v>
      </c>
      <c r="I1321" s="482">
        <v>0</v>
      </c>
      <c r="J1321" s="482">
        <v>0</v>
      </c>
      <c r="K1321" s="482">
        <v>0</v>
      </c>
      <c r="L1321" s="481">
        <f t="shared" si="2987"/>
        <v>0</v>
      </c>
      <c r="M1321" s="482">
        <v>0</v>
      </c>
      <c r="N1321" s="482">
        <v>0</v>
      </c>
      <c r="O1321" s="482">
        <v>0</v>
      </c>
      <c r="P1321" s="482">
        <v>0</v>
      </c>
      <c r="Q1321" s="481">
        <f t="shared" si="2988"/>
        <v>0</v>
      </c>
      <c r="R1321" s="482">
        <v>0</v>
      </c>
      <c r="S1321" s="482">
        <v>0</v>
      </c>
      <c r="T1321" s="482">
        <v>0</v>
      </c>
      <c r="U1321" s="482">
        <v>0</v>
      </c>
      <c r="V1321" s="481">
        <f t="shared" si="2989"/>
        <v>0</v>
      </c>
      <c r="W1321" s="482">
        <v>0</v>
      </c>
      <c r="X1321" s="482">
        <v>0</v>
      </c>
      <c r="Y1321" s="482">
        <v>0</v>
      </c>
      <c r="Z1321" s="482">
        <v>0</v>
      </c>
      <c r="AA1321" s="481">
        <f t="shared" si="2990"/>
        <v>0</v>
      </c>
      <c r="AB1321" s="482">
        <v>0</v>
      </c>
      <c r="AC1321" s="482">
        <v>0</v>
      </c>
      <c r="AD1321" s="482"/>
      <c r="AE1321" s="430"/>
      <c r="AF1321" s="481">
        <f t="shared" si="2991"/>
        <v>0</v>
      </c>
      <c r="AG1321" s="430"/>
      <c r="AH1321" s="430"/>
      <c r="AI1321" s="430"/>
      <c r="AJ1321" s="482"/>
      <c r="AK1321" s="481">
        <f t="shared" si="2992"/>
        <v>0</v>
      </c>
      <c r="AL1321" s="430"/>
      <c r="AM1321" s="430"/>
      <c r="AN1321" s="430"/>
      <c r="AO1321" s="482"/>
      <c r="AP1321" s="481">
        <f t="shared" si="2993"/>
        <v>0</v>
      </c>
      <c r="AQ1321" s="430"/>
      <c r="AR1321" s="430"/>
      <c r="AS1321" s="482">
        <v>0</v>
      </c>
      <c r="AT1321" s="482">
        <f>0-SUM(AQ1321:AS1321)</f>
        <v>0</v>
      </c>
      <c r="AU1321" s="481">
        <f t="shared" si="2994"/>
        <v>0</v>
      </c>
      <c r="AV1321" s="430"/>
      <c r="AW1321" s="430">
        <f>-AW98*AW100</f>
        <v>0</v>
      </c>
      <c r="AX1321" s="430">
        <f>0-AW1321-AV1321</f>
        <v>0</v>
      </c>
      <c r="AY1321" s="482">
        <f>0-SUM(AV1321:AX1321)</f>
        <v>0</v>
      </c>
      <c r="AZ1321" s="481">
        <f t="shared" si="2995"/>
        <v>0</v>
      </c>
      <c r="BA1321" s="2675">
        <f>-BA98*BA100</f>
        <v>0</v>
      </c>
      <c r="BB1321" s="430">
        <v>0</v>
      </c>
      <c r="BC1321" s="430">
        <f>0-BB1321-BA1321</f>
        <v>0</v>
      </c>
      <c r="BD1321" s="430">
        <f>-BD98*BD100</f>
        <v>0</v>
      </c>
      <c r="BE1321" s="481">
        <f t="shared" si="2996"/>
        <v>0</v>
      </c>
      <c r="BF1321" s="2675">
        <v>0</v>
      </c>
      <c r="BG1321" s="430">
        <v>0</v>
      </c>
      <c r="BH1321" s="430">
        <v>0</v>
      </c>
      <c r="BI1321" s="430">
        <f>-BI98*BI100</f>
        <v>0</v>
      </c>
      <c r="BJ1321" s="481">
        <f t="shared" si="2997"/>
        <v>0</v>
      </c>
      <c r="BK1321" s="2953">
        <f>-BK98*BK100</f>
        <v>0</v>
      </c>
      <c r="BL1321" s="430">
        <f>0-BK1321</f>
        <v>0</v>
      </c>
      <c r="BM1321" s="2840">
        <v>0</v>
      </c>
      <c r="BN1321" s="430">
        <f>-BN98*BN100</f>
        <v>0</v>
      </c>
      <c r="BO1321" s="481">
        <f t="shared" si="2983"/>
        <v>0</v>
      </c>
      <c r="BP1321" s="430">
        <v>0</v>
      </c>
      <c r="BQ1321" s="430">
        <f>-BQ98*BQ100</f>
        <v>0</v>
      </c>
      <c r="BR1321" s="2840">
        <v>0</v>
      </c>
      <c r="BS1321" s="430">
        <f>-BS98*BS100</f>
        <v>0</v>
      </c>
      <c r="BT1321" s="2587">
        <f t="shared" si="2984"/>
        <v>0</v>
      </c>
      <c r="BU1321" s="2840">
        <f>-BU98*BU100</f>
        <v>0</v>
      </c>
      <c r="BV1321" s="2840">
        <f>-BV98*BV100</f>
        <v>0</v>
      </c>
      <c r="BW1321" s="2840">
        <f>-BW98*BW100</f>
        <v>0</v>
      </c>
      <c r="BX1321" s="2840">
        <f>-BX98*BX100</f>
        <v>0</v>
      </c>
      <c r="BY1321" s="2587">
        <f t="shared" si="2985"/>
        <v>0</v>
      </c>
      <c r="BZ1321" s="2587">
        <f t="shared" ref="BZ1321:CF1321" si="2999">-BZ98*BZ100</f>
        <v>0</v>
      </c>
      <c r="CA1321" s="2587">
        <f t="shared" si="2999"/>
        <v>0</v>
      </c>
      <c r="CB1321" s="481">
        <f t="shared" si="2999"/>
        <v>0</v>
      </c>
      <c r="CC1321" s="481">
        <f t="shared" si="2999"/>
        <v>0</v>
      </c>
      <c r="CD1321" s="481">
        <f t="shared" si="2999"/>
        <v>0</v>
      </c>
      <c r="CE1321" s="481">
        <f t="shared" si="2999"/>
        <v>0</v>
      </c>
      <c r="CF1321" s="481">
        <f t="shared" si="2999"/>
        <v>0</v>
      </c>
      <c r="CG1321" s="331"/>
      <c r="CH1321" s="331"/>
      <c r="CI1321" s="331"/>
      <c r="CJ1321" s="331"/>
      <c r="CK1321" s="331"/>
      <c r="CL1321" s="952" t="str">
        <f t="shared" ref="CL1321:CL1326" si="3000">A1321</f>
        <v>Cash Dividends</v>
      </c>
      <c r="CM1321" s="430">
        <f>G1321</f>
        <v>0</v>
      </c>
      <c r="CN1321" s="430">
        <f>L1321</f>
        <v>0</v>
      </c>
      <c r="CO1321" s="430">
        <f>Q1321</f>
        <v>0</v>
      </c>
      <c r="CP1321" s="430">
        <f>V1321</f>
        <v>0</v>
      </c>
      <c r="CQ1321" s="430">
        <f>AA1321</f>
        <v>0</v>
      </c>
      <c r="CR1321" s="430">
        <f>AF1321</f>
        <v>0</v>
      </c>
      <c r="CS1321" s="430">
        <f>AK1321</f>
        <v>0</v>
      </c>
      <c r="CT1321" s="430">
        <f>AP1321</f>
        <v>0</v>
      </c>
      <c r="CU1321" s="430">
        <f>AU1321</f>
        <v>0</v>
      </c>
      <c r="CV1321" s="430">
        <f>AZ1321</f>
        <v>0</v>
      </c>
      <c r="CW1321" s="430">
        <f>BE1321</f>
        <v>0</v>
      </c>
      <c r="CX1321" s="430">
        <f>BJ1321</f>
        <v>0</v>
      </c>
      <c r="CY1321" s="430">
        <f>BO1321</f>
        <v>0</v>
      </c>
      <c r="CZ1321" s="430">
        <f>BT1321</f>
        <v>0</v>
      </c>
      <c r="DA1321" s="430">
        <f t="shared" si="2986"/>
        <v>0</v>
      </c>
      <c r="DB1321" s="430">
        <f t="shared" si="2986"/>
        <v>0</v>
      </c>
      <c r="DC1321" s="853">
        <f t="shared" si="2986"/>
        <v>0</v>
      </c>
      <c r="DD1321" s="331"/>
      <c r="DE1321" s="331"/>
      <c r="DF1321" s="502"/>
      <c r="DG1321" s="503"/>
      <c r="DH1321" s="2840"/>
      <c r="DI1321" s="3213"/>
      <c r="DJ1321" s="502"/>
      <c r="DK1321" s="503"/>
      <c r="DL1321" s="502"/>
      <c r="DM1321" s="502"/>
      <c r="DN1321" s="502"/>
      <c r="DO1321" s="502"/>
      <c r="DP1321" s="503"/>
      <c r="DQ1321" s="503"/>
      <c r="DR1321" s="296"/>
      <c r="DS1321" s="296"/>
      <c r="DT1321" s="296"/>
    </row>
    <row r="1322" spans="1:130" ht="12.75" customHeight="1" collapsed="1" x14ac:dyDescent="0.25">
      <c r="A1322" s="952" t="s">
        <v>87</v>
      </c>
      <c r="B1322" s="603"/>
      <c r="C1322" s="482">
        <v>0</v>
      </c>
      <c r="D1322" s="482">
        <v>-0.65</v>
      </c>
      <c r="E1322" s="482">
        <f>-0.765-D1322</f>
        <v>-0.11499999999999999</v>
      </c>
      <c r="F1322" s="430">
        <f>G1322-E1322-D1322</f>
        <v>-1.4000000000000012E-2</v>
      </c>
      <c r="G1322" s="484">
        <f>-0.779</f>
        <v>-0.77900000000000003</v>
      </c>
      <c r="H1322" s="482">
        <v>-5.9180000000000001</v>
      </c>
      <c r="I1322" s="482">
        <v>-0.47499999999999998</v>
      </c>
      <c r="J1322" s="482">
        <v>-1.2940000000000005</v>
      </c>
      <c r="K1322" s="482">
        <v>-57.09</v>
      </c>
      <c r="L1322" s="481">
        <f t="shared" si="2987"/>
        <v>-64.777000000000001</v>
      </c>
      <c r="M1322" s="482">
        <v>7.5770000000000008</v>
      </c>
      <c r="N1322" s="482">
        <v>1.6459999999999999</v>
      </c>
      <c r="O1322" s="482">
        <v>0.13999999999999879</v>
      </c>
      <c r="P1322" s="482">
        <v>3.03</v>
      </c>
      <c r="Q1322" s="481">
        <f t="shared" si="2988"/>
        <v>12.392999999999999</v>
      </c>
      <c r="R1322" s="482">
        <v>3.766</v>
      </c>
      <c r="S1322" s="482">
        <v>1.095</v>
      </c>
      <c r="T1322" s="482">
        <v>12.036</v>
      </c>
      <c r="U1322" s="482">
        <v>3.5630000000000015</v>
      </c>
      <c r="V1322" s="481">
        <f t="shared" si="2989"/>
        <v>20.46</v>
      </c>
      <c r="W1322" s="482">
        <v>0.39600000000000002</v>
      </c>
      <c r="X1322" s="482">
        <v>1.799999999999996E-2</v>
      </c>
      <c r="Y1322" s="482">
        <v>0.55100000000000005</v>
      </c>
      <c r="Z1322" s="482">
        <v>9.5000000000000001E-2</v>
      </c>
      <c r="AA1322" s="481">
        <f t="shared" si="2990"/>
        <v>1.06</v>
      </c>
      <c r="AB1322" s="482">
        <v>0</v>
      </c>
      <c r="AC1322" s="482"/>
      <c r="AD1322" s="482">
        <f>-22.106-AC1322-AB1322</f>
        <v>-22.106000000000002</v>
      </c>
      <c r="AE1322" s="430">
        <f>-22.861-AD1322-AC1322-AB1322</f>
        <v>-0.75499999999999901</v>
      </c>
      <c r="AF1322" s="481">
        <f t="shared" si="2991"/>
        <v>-22.861000000000001</v>
      </c>
      <c r="AG1322" s="482">
        <v>-0.04</v>
      </c>
      <c r="AH1322" s="482">
        <f>0-AG1322</f>
        <v>0.04</v>
      </c>
      <c r="AI1322" s="482">
        <v>0</v>
      </c>
      <c r="AJ1322" s="482">
        <v>0</v>
      </c>
      <c r="AK1322" s="481">
        <f t="shared" si="2992"/>
        <v>0</v>
      </c>
      <c r="AL1322" s="482">
        <v>0</v>
      </c>
      <c r="AM1322" s="482">
        <v>0</v>
      </c>
      <c r="AN1322" s="430">
        <v>0</v>
      </c>
      <c r="AO1322" s="482"/>
      <c r="AP1322" s="481">
        <f t="shared" si="2993"/>
        <v>0</v>
      </c>
      <c r="AQ1322" s="482">
        <v>0</v>
      </c>
      <c r="AR1322" s="482">
        <v>0</v>
      </c>
      <c r="AS1322" s="482">
        <v>0</v>
      </c>
      <c r="AT1322" s="482">
        <f>0-SUM(AQ1322:AS1322)</f>
        <v>0</v>
      </c>
      <c r="AU1322" s="481">
        <f t="shared" si="2994"/>
        <v>0</v>
      </c>
      <c r="AV1322" s="482">
        <v>0</v>
      </c>
      <c r="AW1322" s="482">
        <v>0</v>
      </c>
      <c r="AX1322" s="482">
        <f>0-AW1322-AV1322</f>
        <v>0</v>
      </c>
      <c r="AY1322" s="482">
        <f>0-SUM(AV1322:AX1322)</f>
        <v>0</v>
      </c>
      <c r="AZ1322" s="481">
        <f t="shared" si="2995"/>
        <v>0</v>
      </c>
      <c r="BA1322" s="2675">
        <v>0</v>
      </c>
      <c r="BB1322" s="482">
        <v>0</v>
      </c>
      <c r="BC1322" s="482">
        <f>0-BB1322-BA1322</f>
        <v>0</v>
      </c>
      <c r="BD1322" s="482">
        <v>0</v>
      </c>
      <c r="BE1322" s="481">
        <f t="shared" si="2996"/>
        <v>0</v>
      </c>
      <c r="BF1322" s="2675">
        <v>0</v>
      </c>
      <c r="BG1322" s="482">
        <v>0</v>
      </c>
      <c r="BH1322" s="482">
        <f>0.885-12.212-BG1322-BF1322</f>
        <v>-11.327</v>
      </c>
      <c r="BI1322" s="482">
        <f>0-BH1322-BF1322-BG1322</f>
        <v>11.327</v>
      </c>
      <c r="BJ1322" s="481">
        <f t="shared" si="2997"/>
        <v>0</v>
      </c>
      <c r="BK1322" s="2953">
        <v>0</v>
      </c>
      <c r="BL1322" s="482">
        <f>0-BK1322</f>
        <v>0</v>
      </c>
      <c r="BM1322" s="482">
        <f>9.614-12.064-BL1322-BK1322</f>
        <v>-2.4499999999999993</v>
      </c>
      <c r="BN1322" s="482">
        <f>-1.807-SUM(BK1322:BM1322)</f>
        <v>0.64299999999999935</v>
      </c>
      <c r="BO1322" s="481">
        <f t="shared" si="2983"/>
        <v>-1.8069999999999999</v>
      </c>
      <c r="BP1322" s="482">
        <v>0</v>
      </c>
      <c r="BQ1322" s="482">
        <v>0</v>
      </c>
      <c r="BR1322" s="482">
        <v>0</v>
      </c>
      <c r="BS1322" s="482">
        <f>-19.613-SUM(BP1322:BR1322)</f>
        <v>-19.613</v>
      </c>
      <c r="BT1322" s="2587">
        <f t="shared" si="2984"/>
        <v>-19.613</v>
      </c>
      <c r="BU1322" s="482">
        <v>0</v>
      </c>
      <c r="BV1322" s="482">
        <v>0</v>
      </c>
      <c r="BW1322" s="482">
        <v>0</v>
      </c>
      <c r="BX1322" s="482">
        <v>0</v>
      </c>
      <c r="BY1322" s="2587">
        <f t="shared" si="2985"/>
        <v>0</v>
      </c>
      <c r="BZ1322" s="484">
        <v>0</v>
      </c>
      <c r="CA1322" s="484">
        <v>0</v>
      </c>
      <c r="CB1322" s="484">
        <v>0</v>
      </c>
      <c r="CC1322" s="484">
        <v>0</v>
      </c>
      <c r="CD1322" s="484">
        <v>0</v>
      </c>
      <c r="CE1322" s="484">
        <v>0</v>
      </c>
      <c r="CF1322" s="484">
        <v>0</v>
      </c>
      <c r="CG1322" s="331"/>
      <c r="CH1322" s="331"/>
      <c r="CI1322" s="331"/>
      <c r="CJ1322" s="331"/>
      <c r="CK1322" s="331"/>
      <c r="CL1322" s="952" t="str">
        <f t="shared" si="3000"/>
        <v>(Increase) in unamortized financing cost</v>
      </c>
      <c r="CM1322" s="430">
        <f>G1322</f>
        <v>-0.77900000000000003</v>
      </c>
      <c r="CN1322" s="430">
        <f>L1322</f>
        <v>-64.777000000000001</v>
      </c>
      <c r="CO1322" s="430">
        <f>Q1322</f>
        <v>12.392999999999999</v>
      </c>
      <c r="CP1322" s="430">
        <f>V1322</f>
        <v>20.46</v>
      </c>
      <c r="CQ1322" s="430">
        <f>AA1322</f>
        <v>1.06</v>
      </c>
      <c r="CR1322" s="430">
        <f>AF1322</f>
        <v>-22.861000000000001</v>
      </c>
      <c r="CS1322" s="430">
        <f>AK1322</f>
        <v>0</v>
      </c>
      <c r="CT1322" s="430">
        <f>AP1322</f>
        <v>0</v>
      </c>
      <c r="CU1322" s="430">
        <f>AU1322</f>
        <v>0</v>
      </c>
      <c r="CV1322" s="430">
        <f>AZ1322</f>
        <v>0</v>
      </c>
      <c r="CW1322" s="430">
        <f>BE1322</f>
        <v>0</v>
      </c>
      <c r="CX1322" s="430">
        <f>BJ1322</f>
        <v>0</v>
      </c>
      <c r="CY1322" s="430">
        <f>BO1322</f>
        <v>-1.8069999999999999</v>
      </c>
      <c r="CZ1322" s="430">
        <f>BT1322</f>
        <v>-19.613</v>
      </c>
      <c r="DA1322" s="430">
        <f t="shared" si="2986"/>
        <v>0</v>
      </c>
      <c r="DB1322" s="430">
        <f t="shared" si="2986"/>
        <v>0</v>
      </c>
      <c r="DC1322" s="853">
        <f t="shared" si="2986"/>
        <v>0</v>
      </c>
      <c r="DD1322" s="331"/>
      <c r="DE1322" s="331"/>
      <c r="DF1322" s="502"/>
      <c r="DG1322" s="503"/>
      <c r="DH1322" s="2840"/>
      <c r="DI1322" s="3213"/>
      <c r="DJ1322" s="502"/>
      <c r="DK1322" s="503"/>
      <c r="DL1322" s="502"/>
      <c r="DM1322" s="502"/>
      <c r="DN1322" s="502"/>
      <c r="DO1322" s="502"/>
      <c r="DP1322" s="503"/>
      <c r="DQ1322" s="503"/>
      <c r="DR1322" s="296"/>
      <c r="DS1322" s="296"/>
      <c r="DT1322" s="296"/>
    </row>
    <row r="1323" spans="1:130" ht="12.75" customHeight="1" x14ac:dyDescent="0.25">
      <c r="A1323" s="2925" t="s">
        <v>2647</v>
      </c>
      <c r="B1323" s="603"/>
      <c r="C1323" s="482"/>
      <c r="D1323" s="482"/>
      <c r="E1323" s="482"/>
      <c r="F1323" s="430"/>
      <c r="G1323" s="484"/>
      <c r="H1323" s="482"/>
      <c r="I1323" s="482"/>
      <c r="J1323" s="482"/>
      <c r="K1323" s="482"/>
      <c r="L1323" s="481"/>
      <c r="M1323" s="482"/>
      <c r="N1323" s="482"/>
      <c r="O1323" s="482"/>
      <c r="P1323" s="482"/>
      <c r="Q1323" s="481"/>
      <c r="R1323" s="482"/>
      <c r="S1323" s="482"/>
      <c r="T1323" s="482"/>
      <c r="U1323" s="482"/>
      <c r="V1323" s="481"/>
      <c r="W1323" s="482"/>
      <c r="X1323" s="482"/>
      <c r="Y1323" s="482"/>
      <c r="Z1323" s="482"/>
      <c r="AA1323" s="481"/>
      <c r="AB1323" s="482"/>
      <c r="AC1323" s="482"/>
      <c r="AD1323" s="482"/>
      <c r="AE1323" s="430"/>
      <c r="AF1323" s="481"/>
      <c r="AG1323" s="482"/>
      <c r="AH1323" s="482"/>
      <c r="AI1323" s="482"/>
      <c r="AJ1323" s="482"/>
      <c r="AK1323" s="481"/>
      <c r="AL1323" s="482"/>
      <c r="AM1323" s="482"/>
      <c r="AN1323" s="430"/>
      <c r="AO1323" s="482"/>
      <c r="AP1323" s="481"/>
      <c r="AQ1323" s="482"/>
      <c r="AR1323" s="482"/>
      <c r="AS1323" s="482"/>
      <c r="AT1323" s="482"/>
      <c r="AU1323" s="481"/>
      <c r="AV1323" s="482"/>
      <c r="AW1323" s="482"/>
      <c r="AX1323" s="482"/>
      <c r="AY1323" s="482"/>
      <c r="AZ1323" s="481"/>
      <c r="BA1323" s="2675"/>
      <c r="BB1323" s="482"/>
      <c r="BC1323" s="482"/>
      <c r="BD1323" s="482"/>
      <c r="BE1323" s="481"/>
      <c r="BF1323" s="2675"/>
      <c r="BG1323" s="482"/>
      <c r="BH1323" s="482"/>
      <c r="BI1323" s="482"/>
      <c r="BJ1323" s="481"/>
      <c r="BK1323" s="2953"/>
      <c r="BL1323" s="482"/>
      <c r="BM1323" s="482"/>
      <c r="BN1323" s="482"/>
      <c r="BO1323" s="481"/>
      <c r="BP1323" s="482">
        <v>-5.7939999999999996</v>
      </c>
      <c r="BQ1323" s="482">
        <f>+-5.794-BP1323</f>
        <v>0</v>
      </c>
      <c r="BR1323" s="482">
        <f>-24.796-BQ1323-BP1323</f>
        <v>-19.001999999999999</v>
      </c>
      <c r="BS1323" s="482">
        <f>-24.796-SUM(BP1323:BR1323)</f>
        <v>0</v>
      </c>
      <c r="BT1323" s="2587">
        <f t="shared" si="2984"/>
        <v>-24.795999999999999</v>
      </c>
      <c r="BU1323" s="482">
        <v>0</v>
      </c>
      <c r="BV1323" s="482">
        <v>0</v>
      </c>
      <c r="BW1323" s="3509">
        <f>+'Exhibits 3'!EM472</f>
        <v>727.91459999999995</v>
      </c>
      <c r="BX1323" s="482">
        <v>0</v>
      </c>
      <c r="BY1323" s="2587">
        <f t="shared" si="2985"/>
        <v>727.91459999999995</v>
      </c>
      <c r="BZ1323" s="484">
        <v>0</v>
      </c>
      <c r="CA1323" s="484">
        <v>0</v>
      </c>
      <c r="CB1323" s="484"/>
      <c r="CC1323" s="484"/>
      <c r="CD1323" s="484"/>
      <c r="CE1323" s="484"/>
      <c r="CF1323" s="484"/>
      <c r="CG1323" s="331"/>
      <c r="CH1323" s="331"/>
      <c r="CI1323" s="331"/>
      <c r="CJ1323" s="331"/>
      <c r="CK1323" s="331"/>
      <c r="CL1323" s="952" t="str">
        <f t="shared" si="3000"/>
        <v>Proceeds / (Repurchase) of common stock</v>
      </c>
      <c r="CM1323" s="430"/>
      <c r="CN1323" s="430"/>
      <c r="CO1323" s="430"/>
      <c r="CP1323" s="430"/>
      <c r="CQ1323" s="430"/>
      <c r="CR1323" s="430"/>
      <c r="CS1323" s="430"/>
      <c r="CT1323" s="430"/>
      <c r="CU1323" s="430"/>
      <c r="CV1323" s="430"/>
      <c r="CW1323" s="430"/>
      <c r="CX1323" s="430"/>
      <c r="CY1323" s="430"/>
      <c r="CZ1323" s="430"/>
      <c r="DA1323" s="430"/>
      <c r="DB1323" s="430"/>
      <c r="DC1323" s="853"/>
      <c r="DD1323" s="331"/>
      <c r="DE1323" s="331"/>
      <c r="DF1323" s="502"/>
      <c r="DG1323" s="503"/>
      <c r="DH1323" s="2840"/>
      <c r="DI1323" s="3213"/>
      <c r="DJ1323" s="502"/>
      <c r="DK1323" s="503"/>
      <c r="DL1323" s="502"/>
      <c r="DM1323" s="502"/>
      <c r="DN1323" s="502"/>
      <c r="DO1323" s="502"/>
      <c r="DP1323" s="503"/>
      <c r="DQ1323" s="503"/>
      <c r="DR1323" s="296"/>
      <c r="DS1323" s="296"/>
      <c r="DT1323" s="296"/>
    </row>
    <row r="1324" spans="1:130" ht="12.75" customHeight="1" x14ac:dyDescent="0.25">
      <c r="A1324" s="953" t="s">
        <v>1948</v>
      </c>
      <c r="B1324" s="479"/>
      <c r="C1324" s="480">
        <v>0</v>
      </c>
      <c r="D1324" s="480"/>
      <c r="E1324" s="480">
        <v>0</v>
      </c>
      <c r="F1324" s="480">
        <v>0</v>
      </c>
      <c r="G1324" s="601">
        <v>0</v>
      </c>
      <c r="H1324" s="480">
        <v>0</v>
      </c>
      <c r="I1324" s="480">
        <v>0</v>
      </c>
      <c r="J1324" s="482">
        <v>0</v>
      </c>
      <c r="K1324" s="480">
        <v>0</v>
      </c>
      <c r="L1324" s="481">
        <f t="shared" si="2987"/>
        <v>0</v>
      </c>
      <c r="M1324" s="480">
        <v>0</v>
      </c>
      <c r="N1324" s="480">
        <v>0</v>
      </c>
      <c r="O1324" s="480">
        <v>20.375</v>
      </c>
      <c r="P1324" s="480">
        <v>-7.1539999999999999</v>
      </c>
      <c r="Q1324" s="481">
        <f t="shared" si="2988"/>
        <v>13.221</v>
      </c>
      <c r="R1324" s="482">
        <v>-14.214</v>
      </c>
      <c r="S1324" s="480">
        <v>-4.7080000000000002</v>
      </c>
      <c r="T1324" s="480">
        <v>20.841000000000001</v>
      </c>
      <c r="U1324" s="480">
        <v>-4.74</v>
      </c>
      <c r="V1324" s="481">
        <f t="shared" si="2989"/>
        <v>-2.8209999999999997</v>
      </c>
      <c r="W1324" s="480">
        <v>-8.0609999999999999</v>
      </c>
      <c r="X1324" s="480">
        <v>-7.9639999999999986</v>
      </c>
      <c r="Y1324" s="480">
        <v>13.671999999999997</v>
      </c>
      <c r="Z1324" s="480">
        <v>-6.0689999999999991</v>
      </c>
      <c r="AA1324" s="481">
        <f t="shared" si="2990"/>
        <v>-8.4220000000000006</v>
      </c>
      <c r="AB1324" s="480">
        <v>-6.07</v>
      </c>
      <c r="AC1324" s="480">
        <f>-8.093-AB1324</f>
        <v>-2.0229999999999997</v>
      </c>
      <c r="AD1324" s="480">
        <f>12.727-AC1324-AB1324-12.721</f>
        <v>8.0990000000000002</v>
      </c>
      <c r="AE1324" s="430">
        <f>15.454-16.795-AD1324-AC1324-AB1324</f>
        <v>-1.3470000000000013</v>
      </c>
      <c r="AF1324" s="481">
        <f t="shared" si="2991"/>
        <v>-1.3410000000000011</v>
      </c>
      <c r="AG1324" s="482">
        <f>-4.215</f>
        <v>-4.2149999999999999</v>
      </c>
      <c r="AH1324" s="482">
        <f>-5.938-AG1324</f>
        <v>-1.7229999999999999</v>
      </c>
      <c r="AI1324" s="482">
        <f>-9.741+6.222-AH1324-AG1324</f>
        <v>2.4190000000000005</v>
      </c>
      <c r="AJ1324" s="482">
        <f>18.271-13.421-AI1324-AH1324-AG1324-11.2</f>
        <v>-2.8309999999999995</v>
      </c>
      <c r="AK1324" s="481">
        <f t="shared" si="2992"/>
        <v>-6.3499999999999988</v>
      </c>
      <c r="AL1324" s="482">
        <v>-3.472</v>
      </c>
      <c r="AM1324" s="482">
        <f>0.892-6.817-AL1324</f>
        <v>-2.4529999999999998</v>
      </c>
      <c r="AN1324" s="482">
        <f>-10.095+0.892-AM1324-AL1324</f>
        <v>-3.2780000000000018</v>
      </c>
      <c r="AO1324" s="482">
        <f>17.406-12.645-AN1324-AM1324-AL1324</f>
        <v>13.964</v>
      </c>
      <c r="AP1324" s="481">
        <f t="shared" si="2993"/>
        <v>4.7609999999999992</v>
      </c>
      <c r="AQ1324" s="482">
        <v>-4.6820000000000004</v>
      </c>
      <c r="AR1324" s="482">
        <f>-9.364-AQ1324</f>
        <v>-4.6820000000000004</v>
      </c>
      <c r="AS1324" s="482">
        <f>-13.802-AQ1324-AR1324</f>
        <v>-4.4379999999999988</v>
      </c>
      <c r="AT1324" s="482">
        <f>4.746-17.253-SUM(AQ1324:AS1324)</f>
        <v>1.2949999999999999</v>
      </c>
      <c r="AU1324" s="481">
        <f t="shared" si="2994"/>
        <v>-12.507</v>
      </c>
      <c r="AV1324" s="482">
        <f>15.306-5.706</f>
        <v>9.5999999999999979</v>
      </c>
      <c r="AW1324" s="482">
        <f>15.306-11.037-AV1324</f>
        <v>-5.3309999999999995</v>
      </c>
      <c r="AX1324" s="482">
        <f>15.306-16.256-AW1324-AV1324</f>
        <v>-5.2189999999999994</v>
      </c>
      <c r="AY1324" s="482">
        <f>19.233-20.069-SUM(AV1324:AX1324)</f>
        <v>0.11400000000000254</v>
      </c>
      <c r="AZ1324" s="481">
        <f t="shared" si="2995"/>
        <v>-0.83599999999999852</v>
      </c>
      <c r="BA1324" s="2675">
        <f>14.335-4.853</f>
        <v>9.4820000000000011</v>
      </c>
      <c r="BB1324" s="482">
        <f>14.816-9.965-BA1324</f>
        <v>-4.6310000000000002</v>
      </c>
      <c r="BC1324" s="482">
        <f>14.816-14.801-BB1324-BA1324</f>
        <v>-4.8360000000000003</v>
      </c>
      <c r="BD1324" s="482">
        <f>28.888-18.228-SUM(BA1324:BC1324)</f>
        <v>10.645</v>
      </c>
      <c r="BE1324" s="481">
        <f t="shared" si="2996"/>
        <v>10.66</v>
      </c>
      <c r="BF1324" s="2675">
        <f>0.885-4.314</f>
        <v>-3.4290000000000003</v>
      </c>
      <c r="BG1324" s="482">
        <f>0.885-8.473-BF1324</f>
        <v>-4.1590000000000007</v>
      </c>
      <c r="BH1324" s="482">
        <f>0-BG1324-BF1324</f>
        <v>7.588000000000001</v>
      </c>
      <c r="BI1324" s="482">
        <f>4.72-15.275-SUM(BF1324:BH1324)</f>
        <v>-10.555</v>
      </c>
      <c r="BJ1324" s="481">
        <f t="shared" si="2997"/>
        <v>-10.555</v>
      </c>
      <c r="BK1324" s="2953">
        <f>9.193-3.784</f>
        <v>5.4089999999999998</v>
      </c>
      <c r="BL1324" s="482">
        <f>9.524-7.95-BK1324</f>
        <v>-3.8350000000000009</v>
      </c>
      <c r="BM1324" s="482">
        <f>-1.793-BL1324-BK1324</f>
        <v>-3.3669999999999991</v>
      </c>
      <c r="BN1324" s="482">
        <f>13.119-13.608-SUM(BK1324:BM1324)</f>
        <v>1.3039999999999994</v>
      </c>
      <c r="BO1324" s="481">
        <f t="shared" si="2983"/>
        <v>-0.48900000000000077</v>
      </c>
      <c r="BP1324" s="482">
        <f>8.768-3.269</f>
        <v>5.4990000000000006</v>
      </c>
      <c r="BQ1324" s="482">
        <f>8.768-8.182-BP1324</f>
        <v>-4.9130000000000003</v>
      </c>
      <c r="BR1324" s="482">
        <f>8.768-11.404-BQ1324-BP1324</f>
        <v>-3.2219999999999995</v>
      </c>
      <c r="BS1324" s="482">
        <f>11.948-12.18-SUM(BP1324:BR1324)</f>
        <v>2.4039999999999999</v>
      </c>
      <c r="BT1324" s="2587">
        <f t="shared" si="2984"/>
        <v>-0.23199999999999932</v>
      </c>
      <c r="BU1324" s="482">
        <v>0</v>
      </c>
      <c r="BV1324" s="482">
        <v>0</v>
      </c>
      <c r="BW1324" s="482">
        <v>0</v>
      </c>
      <c r="BX1324" s="482">
        <v>0</v>
      </c>
      <c r="BY1324" s="2587">
        <f t="shared" si="2985"/>
        <v>0</v>
      </c>
      <c r="BZ1324" s="484">
        <v>0</v>
      </c>
      <c r="CA1324" s="484">
        <v>0</v>
      </c>
      <c r="CB1324" s="484">
        <v>0</v>
      </c>
      <c r="CC1324" s="484">
        <v>0</v>
      </c>
      <c r="CD1324" s="484">
        <v>0</v>
      </c>
      <c r="CE1324" s="484">
        <v>0</v>
      </c>
      <c r="CF1324" s="484">
        <v>0</v>
      </c>
      <c r="CG1324" s="331"/>
      <c r="CH1324" s="331"/>
      <c r="CI1324" s="331"/>
      <c r="CJ1324" s="331"/>
      <c r="CK1324" s="331"/>
      <c r="CL1324" s="952" t="str">
        <f t="shared" si="3000"/>
        <v>Proceeds/payments from insurance fin.</v>
      </c>
      <c r="CM1324" s="430">
        <f>G1324</f>
        <v>0</v>
      </c>
      <c r="CN1324" s="430">
        <f>L1324</f>
        <v>0</v>
      </c>
      <c r="CO1324" s="430">
        <f>Q1324</f>
        <v>13.221</v>
      </c>
      <c r="CP1324" s="430">
        <f>V1324</f>
        <v>-2.8209999999999997</v>
      </c>
      <c r="CQ1324" s="430">
        <f>AA1324</f>
        <v>-8.4220000000000006</v>
      </c>
      <c r="CR1324" s="430">
        <f>AF1324</f>
        <v>-1.3410000000000011</v>
      </c>
      <c r="CS1324" s="430">
        <f>AK1324</f>
        <v>-6.3499999999999988</v>
      </c>
      <c r="CT1324" s="430">
        <f>AP1324</f>
        <v>4.7609999999999992</v>
      </c>
      <c r="CU1324" s="430">
        <f>AU1324</f>
        <v>-12.507</v>
      </c>
      <c r="CV1324" s="430">
        <f>AZ1324</f>
        <v>-0.83599999999999852</v>
      </c>
      <c r="CW1324" s="430">
        <f>BE1324</f>
        <v>10.66</v>
      </c>
      <c r="CX1324" s="430">
        <f>BJ1324</f>
        <v>-10.555</v>
      </c>
      <c r="CY1324" s="430">
        <f>BO1324</f>
        <v>-0.48900000000000077</v>
      </c>
      <c r="CZ1324" s="430">
        <f>BT1324</f>
        <v>-0.23199999999999932</v>
      </c>
      <c r="DA1324" s="430">
        <f t="shared" si="2986"/>
        <v>0</v>
      </c>
      <c r="DB1324" s="430">
        <f t="shared" si="2986"/>
        <v>0</v>
      </c>
      <c r="DC1324" s="853">
        <f t="shared" si="2986"/>
        <v>0</v>
      </c>
      <c r="DD1324" s="331"/>
      <c r="DE1324" s="331"/>
      <c r="DF1324" s="502"/>
      <c r="DG1324" s="503"/>
      <c r="DH1324" s="2840"/>
      <c r="DI1324" s="3213"/>
      <c r="DJ1324" s="502"/>
      <c r="DK1324" s="503"/>
      <c r="DL1324" s="502"/>
      <c r="DM1324" s="502"/>
      <c r="DN1324" s="502"/>
      <c r="DO1324" s="502"/>
      <c r="DP1324" s="503"/>
      <c r="DQ1324" s="503"/>
      <c r="DR1324" s="296"/>
      <c r="DS1324" s="296"/>
      <c r="DT1324" s="296"/>
    </row>
    <row r="1325" spans="1:130" ht="12.75" customHeight="1" x14ac:dyDescent="0.25">
      <c r="A1325" s="953" t="s">
        <v>1623</v>
      </c>
      <c r="B1325" s="479"/>
      <c r="C1325" s="480">
        <v>0</v>
      </c>
      <c r="D1325" s="480">
        <v>-1.0029999999999999</v>
      </c>
      <c r="E1325" s="480">
        <f>0-D1325</f>
        <v>1.0029999999999999</v>
      </c>
      <c r="F1325" s="509">
        <f>G1325-E1325-D1325</f>
        <v>0</v>
      </c>
      <c r="G1325" s="510">
        <v>0</v>
      </c>
      <c r="H1325" s="480">
        <f>-(87.64-87.62)</f>
        <v>-1.9999999999996021E-2</v>
      </c>
      <c r="I1325" s="480">
        <v>0</v>
      </c>
      <c r="J1325" s="482">
        <v>0</v>
      </c>
      <c r="K1325" s="480">
        <v>0</v>
      </c>
      <c r="L1325" s="481">
        <f t="shared" si="2987"/>
        <v>-1.9999999999996021E-2</v>
      </c>
      <c r="M1325" s="480">
        <v>0</v>
      </c>
      <c r="N1325" s="480">
        <v>0</v>
      </c>
      <c r="O1325" s="480">
        <v>0</v>
      </c>
      <c r="P1325" s="480">
        <v>0</v>
      </c>
      <c r="Q1325" s="481">
        <f t="shared" si="2988"/>
        <v>0</v>
      </c>
      <c r="R1325" s="482">
        <v>0</v>
      </c>
      <c r="S1325" s="480">
        <v>0</v>
      </c>
      <c r="T1325" s="480">
        <v>0</v>
      </c>
      <c r="U1325" s="480">
        <v>0</v>
      </c>
      <c r="V1325" s="481">
        <f t="shared" si="2989"/>
        <v>0</v>
      </c>
      <c r="W1325" s="480">
        <v>0</v>
      </c>
      <c r="X1325" s="480">
        <v>0</v>
      </c>
      <c r="Y1325" s="480">
        <v>-31.626999999999999</v>
      </c>
      <c r="Z1325" s="480">
        <v>-120.73399999999999</v>
      </c>
      <c r="AA1325" s="481">
        <f t="shared" si="2990"/>
        <v>-152.36099999999999</v>
      </c>
      <c r="AB1325" s="480">
        <v>0</v>
      </c>
      <c r="AC1325" s="480">
        <v>0</v>
      </c>
      <c r="AD1325" s="480">
        <v>0</v>
      </c>
      <c r="AE1325" s="482">
        <f>1.9+2.388</f>
        <v>4.2880000000000003</v>
      </c>
      <c r="AF1325" s="481">
        <f t="shared" si="2991"/>
        <v>4.2880000000000003</v>
      </c>
      <c r="AG1325" s="482">
        <f>-0.66-11.2</f>
        <v>-11.86</v>
      </c>
      <c r="AH1325" s="482">
        <f>-9.912-11.2-AG1325</f>
        <v>-9.2520000000000024</v>
      </c>
      <c r="AI1325" s="482">
        <f>-25+0.402-35.858-11.2-AH1325-AG1325</f>
        <v>-50.54399999999999</v>
      </c>
      <c r="AJ1325" s="482">
        <f>-35.858-25+3.311-AI1325-AH1325-AG1325</f>
        <v>14.108999999999995</v>
      </c>
      <c r="AK1325" s="481">
        <f t="shared" si="2992"/>
        <v>-57.546999999999997</v>
      </c>
      <c r="AL1325" s="482">
        <v>1.5760000000000001</v>
      </c>
      <c r="AM1325" s="482">
        <f>2.058-AL1325</f>
        <v>0.48199999999999976</v>
      </c>
      <c r="AN1325" s="482">
        <f>-27.036+2.317-AM1325-AL1325</f>
        <v>-26.777000000000001</v>
      </c>
      <c r="AO1325" s="482">
        <f>-105.206+2.557-AN1325-AM1325-AL1325</f>
        <v>-77.929999999999993</v>
      </c>
      <c r="AP1325" s="481">
        <f t="shared" si="2993"/>
        <v>-102.649</v>
      </c>
      <c r="AQ1325" s="482">
        <v>1.4790000000000001</v>
      </c>
      <c r="AR1325" s="482">
        <f>2.478-AQ1325</f>
        <v>0.99900000000000011</v>
      </c>
      <c r="AS1325" s="482">
        <f>2.932-AQ1325-AR1325</f>
        <v>0.45399999999999974</v>
      </c>
      <c r="AT1325" s="482">
        <f>6.081+10-SUM(AQ1325:AS1325)</f>
        <v>13.148999999999999</v>
      </c>
      <c r="AU1325" s="481">
        <f t="shared" si="2994"/>
        <v>16.081</v>
      </c>
      <c r="AV1325" s="482">
        <v>3.4670000000000001</v>
      </c>
      <c r="AW1325" s="482">
        <f>5.76-AV1325</f>
        <v>2.2929999999999997</v>
      </c>
      <c r="AX1325" s="482">
        <f>7.805-AW1325-AV1325</f>
        <v>2.0450000000000004</v>
      </c>
      <c r="AY1325" s="482">
        <f>10.771-16-SUM(AV1325:AX1325)</f>
        <v>-13.033999999999999</v>
      </c>
      <c r="AZ1325" s="481">
        <f t="shared" si="2995"/>
        <v>-5.2289999999999992</v>
      </c>
      <c r="BA1325" s="2675">
        <v>7.7519999999999998</v>
      </c>
      <c r="BB1325" s="482">
        <f>9.591-BA1325</f>
        <v>1.8389999999999995</v>
      </c>
      <c r="BC1325" s="482">
        <f>9.83-BB1325-BA1325</f>
        <v>0.23900000000000077</v>
      </c>
      <c r="BD1325" s="482">
        <f>10.36-SUM(BA1325:BC1325)</f>
        <v>0.52999999999999936</v>
      </c>
      <c r="BE1325" s="481">
        <f t="shared" si="2996"/>
        <v>10.36</v>
      </c>
      <c r="BF1325" s="2675">
        <v>6.3789999999999996</v>
      </c>
      <c r="BG1325" s="482">
        <f>8.036-BF1325</f>
        <v>1.657</v>
      </c>
      <c r="BH1325" s="482">
        <f>10.126-BG1325-BF1325</f>
        <v>2.09</v>
      </c>
      <c r="BI1325" s="482">
        <f>14.826-SUM(BF1325:BH1325)</f>
        <v>4.7000000000000011</v>
      </c>
      <c r="BJ1325" s="481">
        <f t="shared" si="2997"/>
        <v>14.826000000000001</v>
      </c>
      <c r="BK1325" s="2953">
        <v>0.68899999999999995</v>
      </c>
      <c r="BL1325" s="482">
        <f>4.375-BK1325</f>
        <v>3.6859999999999999</v>
      </c>
      <c r="BM1325" s="482">
        <f>8.51-BL1325-BK1325</f>
        <v>4.1349999999999998</v>
      </c>
      <c r="BN1325" s="482">
        <f>6.896-SUM(BK1325:BM1325)</f>
        <v>-1.6139999999999999</v>
      </c>
      <c r="BO1325" s="481">
        <f t="shared" si="2983"/>
        <v>6.8959999999999999</v>
      </c>
      <c r="BP1325" s="482">
        <v>-2.1000000000000001E-2</v>
      </c>
      <c r="BQ1325" s="482">
        <f>+-0.041-BP1325</f>
        <v>-0.02</v>
      </c>
      <c r="BR1325" s="482">
        <f>-19.537-BQ1325-BP1325</f>
        <v>-19.495999999999999</v>
      </c>
      <c r="BS1325" s="482">
        <f>82.6-SUM(BP1325:BR1325)</f>
        <v>102.137</v>
      </c>
      <c r="BT1325" s="2587">
        <f t="shared" si="2984"/>
        <v>82.6</v>
      </c>
      <c r="BU1325" s="482">
        <v>0</v>
      </c>
      <c r="BV1325" s="482">
        <v>0</v>
      </c>
      <c r="BW1325" s="482">
        <v>0</v>
      </c>
      <c r="BX1325" s="482">
        <v>0</v>
      </c>
      <c r="BY1325" s="2587">
        <f t="shared" si="2985"/>
        <v>0</v>
      </c>
      <c r="BZ1325" s="484">
        <v>0</v>
      </c>
      <c r="CA1325" s="1772">
        <v>0</v>
      </c>
      <c r="CB1325" s="1772">
        <v>0</v>
      </c>
      <c r="CC1325" s="1772">
        <v>0</v>
      </c>
      <c r="CD1325" s="1772">
        <v>0</v>
      </c>
      <c r="CE1325" s="1772">
        <v>0</v>
      </c>
      <c r="CF1325" s="1772">
        <v>0</v>
      </c>
      <c r="CG1325" s="741"/>
      <c r="CH1325" s="741"/>
      <c r="CI1325" s="741"/>
      <c r="CJ1325" s="741"/>
      <c r="CK1325" s="741"/>
      <c r="CL1325" s="952" t="str">
        <f t="shared" si="3000"/>
        <v>Other</v>
      </c>
      <c r="CM1325" s="430">
        <f>G1325</f>
        <v>0</v>
      </c>
      <c r="CN1325" s="430">
        <f>L1325</f>
        <v>-1.9999999999996021E-2</v>
      </c>
      <c r="CO1325" s="430">
        <f>Q1325</f>
        <v>0</v>
      </c>
      <c r="CP1325" s="430">
        <f>V1325</f>
        <v>0</v>
      </c>
      <c r="CQ1325" s="430">
        <f>AA1325</f>
        <v>-152.36099999999999</v>
      </c>
      <c r="CR1325" s="430">
        <f>AF1325</f>
        <v>4.2880000000000003</v>
      </c>
      <c r="CS1325" s="430">
        <f>AK1325</f>
        <v>-57.546999999999997</v>
      </c>
      <c r="CT1325" s="430">
        <f>AP1325</f>
        <v>-102.649</v>
      </c>
      <c r="CU1325" s="430">
        <f>AU1325</f>
        <v>16.081</v>
      </c>
      <c r="CV1325" s="430">
        <f>AZ1325</f>
        <v>-5.2289999999999992</v>
      </c>
      <c r="CW1325" s="430">
        <f>BE1325</f>
        <v>10.36</v>
      </c>
      <c r="CX1325" s="430">
        <f>BJ1325</f>
        <v>14.826000000000001</v>
      </c>
      <c r="CY1325" s="430">
        <f>BO1325</f>
        <v>6.8959999999999999</v>
      </c>
      <c r="CZ1325" s="430">
        <f>BT1325</f>
        <v>82.6</v>
      </c>
      <c r="DA1325" s="430">
        <f t="shared" si="2986"/>
        <v>0</v>
      </c>
      <c r="DB1325" s="430">
        <f t="shared" si="2986"/>
        <v>0</v>
      </c>
      <c r="DC1325" s="853">
        <f t="shared" si="2986"/>
        <v>0</v>
      </c>
      <c r="DD1325" s="741"/>
      <c r="DE1325" s="741"/>
      <c r="DF1325" s="742"/>
      <c r="DG1325" s="743"/>
      <c r="DH1325" s="2840"/>
      <c r="DI1325" s="3215"/>
      <c r="DJ1325" s="742"/>
      <c r="DK1325" s="743"/>
      <c r="DL1325" s="742"/>
      <c r="DM1325" s="742"/>
      <c r="DN1325" s="742"/>
      <c r="DO1325" s="742"/>
      <c r="DP1325" s="743"/>
      <c r="DQ1325" s="743"/>
      <c r="DR1325" s="740"/>
      <c r="DS1325" s="740"/>
      <c r="DT1325" s="740"/>
    </row>
    <row r="1326" spans="1:130" ht="12.75" customHeight="1" x14ac:dyDescent="0.25">
      <c r="A1326" s="949" t="s">
        <v>31</v>
      </c>
      <c r="B1326" s="950"/>
      <c r="C1326" s="951">
        <v>0</v>
      </c>
      <c r="D1326" s="497">
        <f t="shared" ref="D1326:AK1326" si="3001">SUM(D1317:D1325)</f>
        <v>-20.293999999999997</v>
      </c>
      <c r="E1326" s="497">
        <f t="shared" si="3001"/>
        <v>-54.520999999999994</v>
      </c>
      <c r="F1326" s="497">
        <f t="shared" si="3001"/>
        <v>-49.362000000000009</v>
      </c>
      <c r="G1326" s="498">
        <f t="shared" si="3001"/>
        <v>-124.17699999999999</v>
      </c>
      <c r="H1326" s="497">
        <f t="shared" si="3001"/>
        <v>-61.364000000000004</v>
      </c>
      <c r="I1326" s="497">
        <f t="shared" si="3001"/>
        <v>-155.57499999999999</v>
      </c>
      <c r="J1326" s="497">
        <f t="shared" si="3001"/>
        <v>-1.1890000000000391</v>
      </c>
      <c r="K1326" s="497">
        <f t="shared" si="3001"/>
        <v>2091.3289999999997</v>
      </c>
      <c r="L1326" s="498">
        <f t="shared" si="3001"/>
        <v>1873.2009999999998</v>
      </c>
      <c r="M1326" s="497">
        <f t="shared" si="3001"/>
        <v>-24.05</v>
      </c>
      <c r="N1326" s="497">
        <f t="shared" si="3001"/>
        <v>64.001999999999995</v>
      </c>
      <c r="O1326" s="497">
        <f t="shared" si="3001"/>
        <v>-8.9449999999999861</v>
      </c>
      <c r="P1326" s="497">
        <f t="shared" si="3001"/>
        <v>25.419999999999991</v>
      </c>
      <c r="Q1326" s="498">
        <f t="shared" si="3001"/>
        <v>56.427000000000007</v>
      </c>
      <c r="R1326" s="497">
        <f t="shared" si="3001"/>
        <v>-41.936999999999991</v>
      </c>
      <c r="S1326" s="497">
        <f t="shared" si="3001"/>
        <v>150.31699999999998</v>
      </c>
      <c r="T1326" s="497">
        <f t="shared" si="3001"/>
        <v>26.995000000000019</v>
      </c>
      <c r="U1326" s="497">
        <f t="shared" si="3001"/>
        <v>50.879999999999974</v>
      </c>
      <c r="V1326" s="498">
        <f t="shared" si="3001"/>
        <v>186.255</v>
      </c>
      <c r="W1326" s="497">
        <f t="shared" si="3001"/>
        <v>27.372</v>
      </c>
      <c r="X1326" s="497">
        <f t="shared" si="3001"/>
        <v>-60.608999999999988</v>
      </c>
      <c r="Y1326" s="497">
        <f t="shared" si="3001"/>
        <v>-108.66300000000001</v>
      </c>
      <c r="Z1326" s="497">
        <f t="shared" si="3001"/>
        <v>684.84100000000001</v>
      </c>
      <c r="AA1326" s="498">
        <f t="shared" si="3001"/>
        <v>542.94099999999992</v>
      </c>
      <c r="AB1326" s="497">
        <f t="shared" si="3001"/>
        <v>-49.792000000000002</v>
      </c>
      <c r="AC1326" s="497">
        <f t="shared" si="3001"/>
        <v>-3.0530000000000133</v>
      </c>
      <c r="AD1326" s="497">
        <f t="shared" si="3001"/>
        <v>-10.506999999999906</v>
      </c>
      <c r="AE1326" s="499">
        <f t="shared" si="3001"/>
        <v>-45.395000000000081</v>
      </c>
      <c r="AF1326" s="500">
        <f t="shared" si="3001"/>
        <v>-108.74700000000003</v>
      </c>
      <c r="AG1326" s="499">
        <f t="shared" si="3001"/>
        <v>-47.317999999999998</v>
      </c>
      <c r="AH1326" s="499">
        <f t="shared" si="3001"/>
        <v>-215.77500000000003</v>
      </c>
      <c r="AI1326" s="499">
        <f t="shared" si="3001"/>
        <v>-48.826000000000008</v>
      </c>
      <c r="AJ1326" s="499">
        <f t="shared" si="3001"/>
        <v>88.766000000000005</v>
      </c>
      <c r="AK1326" s="500">
        <f t="shared" si="3001"/>
        <v>-223.15299999999996</v>
      </c>
      <c r="AL1326" s="499">
        <f t="shared" ref="AL1326:BF1326" si="3002">SUM(AL1317:AL1325)</f>
        <v>-34.619</v>
      </c>
      <c r="AM1326" s="499">
        <f t="shared" si="3002"/>
        <v>-35.978000000000002</v>
      </c>
      <c r="AN1326" s="499">
        <f t="shared" si="3002"/>
        <v>-183.32200000000017</v>
      </c>
      <c r="AO1326" s="499">
        <f t="shared" si="3002"/>
        <v>17.411000000000215</v>
      </c>
      <c r="AP1326" s="500">
        <f t="shared" si="3002"/>
        <v>-236.50799999999995</v>
      </c>
      <c r="AQ1326" s="499">
        <f t="shared" si="3002"/>
        <v>-11.286999999999995</v>
      </c>
      <c r="AR1326" s="499">
        <f t="shared" si="3002"/>
        <v>71.561999999999969</v>
      </c>
      <c r="AS1326" s="499">
        <f t="shared" si="3002"/>
        <v>71.581000000000003</v>
      </c>
      <c r="AT1326" s="499">
        <f t="shared" si="3002"/>
        <v>571.46899999999994</v>
      </c>
      <c r="AU1326" s="500">
        <f t="shared" si="3002"/>
        <v>703.32500000000005</v>
      </c>
      <c r="AV1326" s="499">
        <f t="shared" si="3002"/>
        <v>-110.742</v>
      </c>
      <c r="AW1326" s="499">
        <f t="shared" ref="AW1326:BD1326" si="3003">SUM(AW1317:AW1325)</f>
        <v>-124.34800000000003</v>
      </c>
      <c r="AX1326" s="499">
        <f t="shared" si="3003"/>
        <v>-66.247999999999934</v>
      </c>
      <c r="AY1326" s="499">
        <f t="shared" si="3003"/>
        <v>308.02099999999967</v>
      </c>
      <c r="AZ1326" s="500">
        <f t="shared" si="3003"/>
        <v>6.6829999999997085</v>
      </c>
      <c r="BA1326" s="499">
        <f t="shared" si="3003"/>
        <v>4.335</v>
      </c>
      <c r="BB1326" s="499">
        <f t="shared" si="3003"/>
        <v>-19.580000000000002</v>
      </c>
      <c r="BC1326" s="499">
        <f t="shared" si="3003"/>
        <v>8.6460000000000008</v>
      </c>
      <c r="BD1326" s="948">
        <f t="shared" si="3003"/>
        <v>35.590000000000003</v>
      </c>
      <c r="BE1326" s="500">
        <f t="shared" si="3002"/>
        <v>28.991000000000003</v>
      </c>
      <c r="BF1326" s="499">
        <f t="shared" si="3002"/>
        <v>16.332000000000001</v>
      </c>
      <c r="BG1326" s="499">
        <f t="shared" ref="BG1326:CF1326" si="3004">SUM(BG1317:BG1325)</f>
        <v>-28.437000000000001</v>
      </c>
      <c r="BH1326" s="499">
        <f t="shared" si="3004"/>
        <v>404.61899999999997</v>
      </c>
      <c r="BI1326" s="948">
        <f t="shared" si="3004"/>
        <v>17.845000000000056</v>
      </c>
      <c r="BJ1326" s="500">
        <f t="shared" si="3004"/>
        <v>410.35900000000004</v>
      </c>
      <c r="BK1326" s="499">
        <f t="shared" si="3004"/>
        <v>-22.896999999999998</v>
      </c>
      <c r="BL1326" s="499">
        <f t="shared" si="3004"/>
        <v>-38.652999999999999</v>
      </c>
      <c r="BM1326" s="499">
        <f t="shared" si="3004"/>
        <v>-7.8999999999999968</v>
      </c>
      <c r="BN1326" s="948">
        <f t="shared" si="3004"/>
        <v>-263.584</v>
      </c>
      <c r="BO1326" s="500">
        <f t="shared" si="3004"/>
        <v>-333.03399999999999</v>
      </c>
      <c r="BP1326" s="499">
        <f t="shared" si="3004"/>
        <v>-13.531000000000015</v>
      </c>
      <c r="BQ1326" s="499">
        <f t="shared" si="3004"/>
        <v>-21.274999999999949</v>
      </c>
      <c r="BR1326" s="499">
        <f t="shared" si="3004"/>
        <v>-74.674000000000106</v>
      </c>
      <c r="BS1326" s="499">
        <f t="shared" si="3004"/>
        <v>-79.547999999999774</v>
      </c>
      <c r="BT1326" s="500">
        <f t="shared" si="3004"/>
        <v>-189.02799999999982</v>
      </c>
      <c r="BU1326" s="499">
        <f t="shared" si="3004"/>
        <v>-30.138871635178813</v>
      </c>
      <c r="BV1326" s="499">
        <f t="shared" si="3004"/>
        <v>-30.045038223294455</v>
      </c>
      <c r="BW1326" s="499">
        <f t="shared" si="3004"/>
        <v>1925.1800210108836</v>
      </c>
      <c r="BX1326" s="499">
        <f t="shared" si="3004"/>
        <v>-52.374225548160467</v>
      </c>
      <c r="BY1326" s="500">
        <f t="shared" si="3004"/>
        <v>1812.6218856042501</v>
      </c>
      <c r="BZ1326" s="500">
        <f t="shared" si="3004"/>
        <v>-460.42646384210241</v>
      </c>
      <c r="CA1326" s="948">
        <f t="shared" si="3004"/>
        <v>-212.17127749830485</v>
      </c>
      <c r="CB1326" s="948">
        <f t="shared" si="3004"/>
        <v>-7024.5146721319206</v>
      </c>
      <c r="CC1326" s="948">
        <f t="shared" si="3004"/>
        <v>0</v>
      </c>
      <c r="CD1326" s="948">
        <f t="shared" si="3004"/>
        <v>0</v>
      </c>
      <c r="CE1326" s="948">
        <f t="shared" si="3004"/>
        <v>0</v>
      </c>
      <c r="CF1326" s="948">
        <f t="shared" si="3004"/>
        <v>0</v>
      </c>
      <c r="CG1326" s="331"/>
      <c r="CH1326" s="331"/>
      <c r="CI1326" s="331"/>
      <c r="CJ1326" s="331"/>
      <c r="CK1326" s="331"/>
      <c r="CL1326" s="946" t="str">
        <f t="shared" si="3000"/>
        <v>Net cash provided by financing activities</v>
      </c>
      <c r="CM1326" s="499">
        <f>G1326</f>
        <v>-124.17699999999999</v>
      </c>
      <c r="CN1326" s="499">
        <f>L1326</f>
        <v>1873.2009999999998</v>
      </c>
      <c r="CO1326" s="499">
        <f>Q1326</f>
        <v>56.427000000000007</v>
      </c>
      <c r="CP1326" s="499">
        <f>V1326</f>
        <v>186.255</v>
      </c>
      <c r="CQ1326" s="499">
        <f>AA1326</f>
        <v>542.94099999999992</v>
      </c>
      <c r="CR1326" s="499">
        <f>AF1326</f>
        <v>-108.74700000000003</v>
      </c>
      <c r="CS1326" s="499">
        <f>AK1326</f>
        <v>-223.15299999999996</v>
      </c>
      <c r="CT1326" s="499">
        <f>AP1326</f>
        <v>-236.50799999999995</v>
      </c>
      <c r="CU1326" s="499">
        <f>AU1326</f>
        <v>703.32500000000005</v>
      </c>
      <c r="CV1326" s="499">
        <f>AZ1326</f>
        <v>6.6829999999997085</v>
      </c>
      <c r="CW1326" s="499">
        <f>BE1326</f>
        <v>28.991000000000003</v>
      </c>
      <c r="CX1326" s="499">
        <f>BJ1326</f>
        <v>410.35900000000004</v>
      </c>
      <c r="CY1326" s="499">
        <f>BO1326</f>
        <v>-333.03399999999999</v>
      </c>
      <c r="CZ1326" s="499">
        <f>BT1326</f>
        <v>-189.02799999999982</v>
      </c>
      <c r="DA1326" s="499">
        <f t="shared" si="2986"/>
        <v>1812.6218856042501</v>
      </c>
      <c r="DB1326" s="499">
        <f t="shared" si="2986"/>
        <v>-460.42646384210241</v>
      </c>
      <c r="DC1326" s="948">
        <f t="shared" si="2986"/>
        <v>-212.17127749830485</v>
      </c>
      <c r="DD1326" s="331"/>
      <c r="DE1326" s="331"/>
      <c r="DF1326" s="502"/>
      <c r="DG1326" s="503"/>
      <c r="DH1326" s="485"/>
      <c r="DI1326" s="3213"/>
      <c r="DJ1326" s="502"/>
      <c r="DK1326" s="503"/>
      <c r="DL1326" s="502"/>
      <c r="DM1326" s="502"/>
      <c r="DN1326" s="502"/>
      <c r="DO1326" s="502"/>
      <c r="DP1326" s="503"/>
      <c r="DQ1326" s="503"/>
      <c r="DR1326" s="296"/>
      <c r="DS1326" s="296"/>
      <c r="DT1326" s="296"/>
    </row>
    <row r="1327" spans="1:130" ht="12.75" customHeight="1" x14ac:dyDescent="0.25">
      <c r="A1327" s="867"/>
      <c r="B1327" s="479"/>
      <c r="C1327" s="480"/>
      <c r="D1327" s="480"/>
      <c r="E1327" s="480"/>
      <c r="F1327" s="480"/>
      <c r="G1327" s="484"/>
      <c r="H1327" s="480"/>
      <c r="I1327" s="480"/>
      <c r="J1327" s="482"/>
      <c r="K1327" s="480"/>
      <c r="L1327" s="484"/>
      <c r="M1327" s="480"/>
      <c r="N1327" s="480"/>
      <c r="O1327" s="480"/>
      <c r="P1327" s="480"/>
      <c r="Q1327" s="484"/>
      <c r="R1327" s="482"/>
      <c r="S1327" s="480"/>
      <c r="T1327" s="480"/>
      <c r="U1327" s="480"/>
      <c r="V1327" s="484"/>
      <c r="W1327" s="480"/>
      <c r="X1327" s="480"/>
      <c r="Y1327" s="480"/>
      <c r="Z1327" s="480"/>
      <c r="AA1327" s="484"/>
      <c r="AB1327" s="480"/>
      <c r="AC1327" s="480"/>
      <c r="AD1327" s="480"/>
      <c r="AE1327" s="430"/>
      <c r="AF1327" s="481"/>
      <c r="AG1327" s="430"/>
      <c r="AH1327" s="430"/>
      <c r="AI1327" s="430"/>
      <c r="AJ1327" s="430"/>
      <c r="AK1327" s="481"/>
      <c r="AL1327" s="430"/>
      <c r="AM1327" s="430"/>
      <c r="AN1327" s="430"/>
      <c r="AO1327" s="430"/>
      <c r="AP1327" s="481"/>
      <c r="AQ1327" s="430"/>
      <c r="AR1327" s="430"/>
      <c r="AS1327" s="430"/>
      <c r="AT1327" s="430"/>
      <c r="AU1327" s="481"/>
      <c r="AV1327" s="430"/>
      <c r="AW1327" s="430"/>
      <c r="AX1327" s="430"/>
      <c r="AY1327" s="430"/>
      <c r="AZ1327" s="481"/>
      <c r="BA1327" s="430"/>
      <c r="BB1327" s="430"/>
      <c r="BC1327" s="430"/>
      <c r="BD1327" s="853"/>
      <c r="BE1327" s="481"/>
      <c r="BF1327" s="430"/>
      <c r="BG1327" s="430"/>
      <c r="BH1327" s="430"/>
      <c r="BI1327" s="853"/>
      <c r="BJ1327" s="481"/>
      <c r="BK1327" s="430"/>
      <c r="BL1327" s="430"/>
      <c r="BM1327" s="430"/>
      <c r="BN1327" s="853"/>
      <c r="BO1327" s="481"/>
      <c r="BP1327" s="430"/>
      <c r="BQ1327" s="430"/>
      <c r="BR1327" s="430"/>
      <c r="BS1327" s="430"/>
      <c r="BT1327" s="2587"/>
      <c r="BU1327" s="2840"/>
      <c r="BV1327" s="2840"/>
      <c r="BW1327" s="2840"/>
      <c r="BX1327" s="2840"/>
      <c r="BY1327" s="2587"/>
      <c r="BZ1327" s="2587"/>
      <c r="CA1327" s="3065"/>
      <c r="CB1327" s="853"/>
      <c r="CC1327" s="853"/>
      <c r="CD1327" s="853"/>
      <c r="CE1327" s="853"/>
      <c r="CF1327" s="853"/>
      <c r="CG1327" s="331"/>
      <c r="CH1327" s="331"/>
      <c r="CI1327" s="331"/>
      <c r="CJ1327" s="331"/>
      <c r="CK1327" s="331"/>
      <c r="CL1327" s="872"/>
      <c r="CM1327" s="430"/>
      <c r="CN1327" s="430"/>
      <c r="CO1327" s="430"/>
      <c r="CP1327" s="430"/>
      <c r="CQ1327" s="430"/>
      <c r="CR1327" s="430"/>
      <c r="CS1327" s="430"/>
      <c r="CT1327" s="430"/>
      <c r="CU1327" s="430"/>
      <c r="CV1327" s="430"/>
      <c r="CW1327" s="430"/>
      <c r="CX1327" s="430"/>
      <c r="CY1327" s="430"/>
      <c r="CZ1327" s="430"/>
      <c r="DA1327" s="430"/>
      <c r="DB1327" s="430"/>
      <c r="DC1327" s="853"/>
      <c r="DD1327" s="331"/>
      <c r="DE1327" s="331"/>
      <c r="DF1327" s="502"/>
      <c r="DG1327" s="503"/>
      <c r="DH1327" s="2840"/>
      <c r="DI1327" s="3213"/>
      <c r="DJ1327" s="502"/>
      <c r="DK1327" s="503"/>
      <c r="DL1327" s="502"/>
      <c r="DM1327" s="502"/>
      <c r="DN1327" s="502"/>
      <c r="DO1327" s="502"/>
      <c r="DP1327" s="503"/>
      <c r="DQ1327" s="503"/>
      <c r="DR1327" s="296"/>
      <c r="DS1327" s="296"/>
      <c r="DT1327" s="296"/>
    </row>
    <row r="1328" spans="1:130" ht="12.75" customHeight="1" x14ac:dyDescent="0.25">
      <c r="A1328" s="867" t="s">
        <v>852</v>
      </c>
      <c r="B1328" s="479"/>
      <c r="C1328" s="480">
        <v>0</v>
      </c>
      <c r="D1328" s="480">
        <v>-5.5E-2</v>
      </c>
      <c r="E1328" s="480">
        <f>0.035-D1328</f>
        <v>0.09</v>
      </c>
      <c r="F1328" s="509">
        <f>G1328-E1328-D1328-0.1</f>
        <v>6.5000000000000002E-2</v>
      </c>
      <c r="G1328" s="484">
        <v>0.2</v>
      </c>
      <c r="H1328" s="480">
        <v>-1.6E-2</v>
      </c>
      <c r="I1328" s="480">
        <v>-4.9000000000000002E-2</v>
      </c>
      <c r="J1328" s="482">
        <v>0.17099999999999999</v>
      </c>
      <c r="K1328" s="480">
        <v>-1.9999999999999879E-3</v>
      </c>
      <c r="L1328" s="481">
        <f>SUM(H1328:K1328)</f>
        <v>0.104</v>
      </c>
      <c r="M1328" s="480">
        <v>1E-3</v>
      </c>
      <c r="N1328" s="480">
        <v>-1E-3</v>
      </c>
      <c r="O1328" s="480">
        <v>0</v>
      </c>
      <c r="P1328" s="480">
        <v>0</v>
      </c>
      <c r="Q1328" s="481">
        <f>SUM(M1328:P1328)</f>
        <v>0</v>
      </c>
      <c r="R1328" s="482">
        <v>0</v>
      </c>
      <c r="S1328" s="480">
        <v>0</v>
      </c>
      <c r="T1328" s="480">
        <v>0</v>
      </c>
      <c r="U1328" s="480">
        <v>0</v>
      </c>
      <c r="V1328" s="481">
        <f>SUM(R1328:U1328)</f>
        <v>0</v>
      </c>
      <c r="W1328" s="480">
        <v>0</v>
      </c>
      <c r="X1328" s="480">
        <v>0</v>
      </c>
      <c r="Y1328" s="480">
        <v>0</v>
      </c>
      <c r="Z1328" s="480">
        <v>0</v>
      </c>
      <c r="AA1328" s="481">
        <f>SUM(W1328:Z1328)</f>
        <v>0</v>
      </c>
      <c r="AB1328" s="480">
        <v>0</v>
      </c>
      <c r="AC1328" s="480">
        <v>0</v>
      </c>
      <c r="AD1328" s="480">
        <v>0</v>
      </c>
      <c r="AE1328" s="482">
        <v>0</v>
      </c>
      <c r="AF1328" s="481">
        <f>SUM(AB1328:AE1328)</f>
        <v>0</v>
      </c>
      <c r="AG1328" s="482">
        <v>0</v>
      </c>
      <c r="AH1328" s="482">
        <v>0</v>
      </c>
      <c r="AI1328" s="482">
        <v>0</v>
      </c>
      <c r="AJ1328" s="482">
        <v>0</v>
      </c>
      <c r="AK1328" s="481">
        <f>SUM(AG1328:AJ1328)</f>
        <v>0</v>
      </c>
      <c r="AL1328" s="482">
        <v>0</v>
      </c>
      <c r="AM1328" s="482">
        <v>0</v>
      </c>
      <c r="AN1328" s="482">
        <v>0</v>
      </c>
      <c r="AO1328" s="482">
        <v>0</v>
      </c>
      <c r="AP1328" s="481">
        <f>SUM(AL1328:AO1328)</f>
        <v>0</v>
      </c>
      <c r="AQ1328" s="482">
        <v>0</v>
      </c>
      <c r="AR1328" s="430">
        <v>0</v>
      </c>
      <c r="AS1328" s="430">
        <v>0</v>
      </c>
      <c r="AT1328" s="482">
        <f>0-SUM(AQ1328:AS1328)</f>
        <v>0</v>
      </c>
      <c r="AU1328" s="481">
        <f>SUM(AQ1328:AT1328)</f>
        <v>0</v>
      </c>
      <c r="AV1328" s="482">
        <v>0</v>
      </c>
      <c r="AW1328" s="482">
        <v>0</v>
      </c>
      <c r="AX1328" s="482">
        <f>0-AW1328-AV1328</f>
        <v>0</v>
      </c>
      <c r="AY1328" s="482">
        <f>0-SUM(AV1328:AX1328)</f>
        <v>0</v>
      </c>
      <c r="AZ1328" s="481">
        <f>SUM(AV1328:AY1328)</f>
        <v>0</v>
      </c>
      <c r="BA1328" s="482">
        <v>0</v>
      </c>
      <c r="BB1328" s="482">
        <v>0</v>
      </c>
      <c r="BC1328" s="482">
        <v>0</v>
      </c>
      <c r="BD1328" s="482">
        <v>0</v>
      </c>
      <c r="BE1328" s="481">
        <f>SUM(BA1328:BD1328)</f>
        <v>0</v>
      </c>
      <c r="BF1328" s="482">
        <v>0</v>
      </c>
      <c r="BG1328" s="482">
        <v>0</v>
      </c>
      <c r="BH1328" s="482">
        <v>0</v>
      </c>
      <c r="BI1328" s="482">
        <v>0</v>
      </c>
      <c r="BJ1328" s="481">
        <f>SUM(BF1328:BI1328)</f>
        <v>0</v>
      </c>
      <c r="BK1328" s="482">
        <v>0</v>
      </c>
      <c r="BL1328" s="482">
        <v>0</v>
      </c>
      <c r="BM1328" s="482">
        <v>0</v>
      </c>
      <c r="BN1328" s="482">
        <v>0</v>
      </c>
      <c r="BO1328" s="481">
        <f>SUM(BK1328:BN1328)</f>
        <v>0</v>
      </c>
      <c r="BP1328" s="482">
        <v>0</v>
      </c>
      <c r="BQ1328" s="482">
        <v>0</v>
      </c>
      <c r="BR1328" s="482">
        <v>0</v>
      </c>
      <c r="BS1328" s="482">
        <v>0</v>
      </c>
      <c r="BT1328" s="2587">
        <f>SUM(BP1328:BS1328)</f>
        <v>0</v>
      </c>
      <c r="BU1328" s="482">
        <v>0</v>
      </c>
      <c r="BV1328" s="482">
        <v>0</v>
      </c>
      <c r="BW1328" s="482">
        <v>0</v>
      </c>
      <c r="BX1328" s="482">
        <v>0</v>
      </c>
      <c r="BY1328" s="2587">
        <f>SUM(BU1328:BX1328)</f>
        <v>0</v>
      </c>
      <c r="BZ1328" s="484">
        <v>0</v>
      </c>
      <c r="CA1328" s="862">
        <v>0</v>
      </c>
      <c r="CB1328" s="862">
        <v>0</v>
      </c>
      <c r="CC1328" s="862">
        <v>0</v>
      </c>
      <c r="CD1328" s="862">
        <v>0</v>
      </c>
      <c r="CE1328" s="862">
        <v>0</v>
      </c>
      <c r="CF1328" s="862">
        <v>0</v>
      </c>
      <c r="CG1328" s="331"/>
      <c r="CH1328" s="331"/>
      <c r="CI1328" s="331"/>
      <c r="CJ1328" s="331"/>
      <c r="CK1328" s="331"/>
      <c r="CL1328" s="872" t="str">
        <f>A1328</f>
        <v>Effect of exchange rate fluctuations on cash</v>
      </c>
      <c r="CM1328" s="430">
        <f>G1328</f>
        <v>0.2</v>
      </c>
      <c r="CN1328" s="430">
        <f>L1328</f>
        <v>0.104</v>
      </c>
      <c r="CO1328" s="430">
        <f>Q1328</f>
        <v>0</v>
      </c>
      <c r="CP1328" s="430">
        <f>V1328</f>
        <v>0</v>
      </c>
      <c r="CQ1328" s="430">
        <f>AA1328</f>
        <v>0</v>
      </c>
      <c r="CR1328" s="430">
        <f>AF1328</f>
        <v>0</v>
      </c>
      <c r="CS1328" s="430">
        <f>AK1328</f>
        <v>0</v>
      </c>
      <c r="CT1328" s="430">
        <f>AP1328</f>
        <v>0</v>
      </c>
      <c r="CU1328" s="430">
        <f>AU1328</f>
        <v>0</v>
      </c>
      <c r="CV1328" s="430">
        <f>AZ1328</f>
        <v>0</v>
      </c>
      <c r="CW1328" s="430">
        <f>BE1328</f>
        <v>0</v>
      </c>
      <c r="CX1328" s="430">
        <f>BJ1328</f>
        <v>0</v>
      </c>
      <c r="CY1328" s="430">
        <f>BO1328</f>
        <v>0</v>
      </c>
      <c r="CZ1328" s="430">
        <f>BT1328</f>
        <v>0</v>
      </c>
      <c r="DA1328" s="430">
        <f>BY1328</f>
        <v>0</v>
      </c>
      <c r="DB1328" s="430">
        <f>BZ1328</f>
        <v>0</v>
      </c>
      <c r="DC1328" s="853">
        <f>CA1328</f>
        <v>0</v>
      </c>
      <c r="DD1328" s="331"/>
      <c r="DE1328" s="331"/>
      <c r="DF1328" s="502"/>
      <c r="DG1328" s="503"/>
      <c r="DH1328" s="2840"/>
      <c r="DI1328" s="3213"/>
      <c r="DJ1328" s="502"/>
      <c r="DK1328" s="503"/>
      <c r="DL1328" s="502"/>
      <c r="DM1328" s="502"/>
      <c r="DN1328" s="502"/>
      <c r="DO1328" s="502"/>
      <c r="DP1328" s="503"/>
      <c r="DQ1328" s="503"/>
      <c r="DR1328" s="296"/>
      <c r="DS1328" s="296"/>
      <c r="DT1328" s="296"/>
    </row>
    <row r="1329" spans="1:130" ht="12.75" customHeight="1" x14ac:dyDescent="0.25">
      <c r="A1329" s="867"/>
      <c r="B1329" s="479"/>
      <c r="C1329" s="480"/>
      <c r="D1329" s="480"/>
      <c r="E1329" s="480"/>
      <c r="F1329" s="480"/>
      <c r="G1329" s="484"/>
      <c r="H1329" s="480"/>
      <c r="I1329" s="480"/>
      <c r="J1329" s="482"/>
      <c r="K1329" s="480"/>
      <c r="L1329" s="484"/>
      <c r="M1329" s="480"/>
      <c r="N1329" s="480"/>
      <c r="O1329" s="480"/>
      <c r="P1329" s="480"/>
      <c r="Q1329" s="484"/>
      <c r="R1329" s="482"/>
      <c r="S1329" s="480"/>
      <c r="T1329" s="480"/>
      <c r="U1329" s="480"/>
      <c r="V1329" s="484"/>
      <c r="W1329" s="480"/>
      <c r="X1329" s="480"/>
      <c r="Y1329" s="480"/>
      <c r="Z1329" s="480"/>
      <c r="AA1329" s="484"/>
      <c r="AB1329" s="480"/>
      <c r="AC1329" s="480"/>
      <c r="AD1329" s="480"/>
      <c r="AE1329" s="430"/>
      <c r="AF1329" s="481"/>
      <c r="AG1329" s="430"/>
      <c r="AH1329" s="430"/>
      <c r="AI1329" s="430"/>
      <c r="AJ1329" s="430"/>
      <c r="AK1329" s="481"/>
      <c r="AL1329" s="430"/>
      <c r="AM1329" s="430"/>
      <c r="AN1329" s="430"/>
      <c r="AO1329" s="430"/>
      <c r="AP1329" s="481"/>
      <c r="AQ1329" s="430"/>
      <c r="AR1329" s="430"/>
      <c r="AS1329" s="430"/>
      <c r="AT1329" s="430"/>
      <c r="AU1329" s="481"/>
      <c r="AV1329" s="430"/>
      <c r="AW1329" s="430"/>
      <c r="AX1329" s="430"/>
      <c r="AY1329" s="430"/>
      <c r="AZ1329" s="481"/>
      <c r="BA1329" s="430"/>
      <c r="BB1329" s="430"/>
      <c r="BC1329" s="430"/>
      <c r="BD1329" s="853"/>
      <c r="BE1329" s="481"/>
      <c r="BF1329" s="430"/>
      <c r="BG1329" s="430"/>
      <c r="BH1329" s="430"/>
      <c r="BI1329" s="853"/>
      <c r="BJ1329" s="481"/>
      <c r="BK1329" s="430"/>
      <c r="BL1329" s="430"/>
      <c r="BM1329" s="430"/>
      <c r="BN1329" s="853"/>
      <c r="BO1329" s="481"/>
      <c r="BP1329" s="430"/>
      <c r="BQ1329" s="430"/>
      <c r="BR1329" s="430"/>
      <c r="BS1329" s="430"/>
      <c r="BT1329" s="2587"/>
      <c r="BU1329" s="2840"/>
      <c r="BV1329" s="2840"/>
      <c r="BW1329" s="2840"/>
      <c r="BX1329" s="2840"/>
      <c r="BY1329" s="2587"/>
      <c r="BZ1329" s="2587"/>
      <c r="CA1329" s="3065"/>
      <c r="CB1329" s="853"/>
      <c r="CC1329" s="853"/>
      <c r="CD1329" s="853"/>
      <c r="CE1329" s="853"/>
      <c r="CF1329" s="853"/>
      <c r="CG1329" s="331"/>
      <c r="CH1329" s="331"/>
      <c r="CI1329" s="331"/>
      <c r="CJ1329" s="331"/>
      <c r="CK1329" s="331"/>
      <c r="CL1329" s="872"/>
      <c r="CM1329" s="430"/>
      <c r="CN1329" s="430"/>
      <c r="CO1329" s="430"/>
      <c r="CP1329" s="430"/>
      <c r="CQ1329" s="430"/>
      <c r="CR1329" s="430"/>
      <c r="CS1329" s="430"/>
      <c r="CT1329" s="430"/>
      <c r="CU1329" s="430"/>
      <c r="CV1329" s="430"/>
      <c r="CW1329" s="430"/>
      <c r="CX1329" s="430"/>
      <c r="CY1329" s="430"/>
      <c r="CZ1329" s="430"/>
      <c r="DA1329" s="430"/>
      <c r="DB1329" s="430"/>
      <c r="DC1329" s="853"/>
      <c r="DD1329" s="331"/>
      <c r="DE1329" s="331"/>
      <c r="DF1329" s="502"/>
      <c r="DG1329" s="503"/>
      <c r="DH1329" s="2840"/>
      <c r="DI1329" s="3213"/>
      <c r="DJ1329" s="502"/>
      <c r="DK1329" s="503"/>
      <c r="DL1329" s="502"/>
      <c r="DM1329" s="502"/>
      <c r="DN1329" s="502"/>
      <c r="DO1329" s="502"/>
      <c r="DP1329" s="503"/>
      <c r="DQ1329" s="503"/>
      <c r="DR1329" s="296"/>
      <c r="DS1329" s="296"/>
      <c r="DT1329" s="296"/>
    </row>
    <row r="1330" spans="1:130" s="2498" customFormat="1" ht="12.75" customHeight="1" x14ac:dyDescent="0.25">
      <c r="A1330" s="2155" t="s">
        <v>853</v>
      </c>
      <c r="B1330" s="512"/>
      <c r="C1330" s="2599">
        <v>0</v>
      </c>
      <c r="D1330" s="512">
        <f>D1301+D1314+D1326+D1328</f>
        <v>41.07200000000001</v>
      </c>
      <c r="E1330" s="512">
        <f t="shared" ref="E1330:AK1330" si="3005">E1301+E1314+E1326+E1328</f>
        <v>-39.438999999999993</v>
      </c>
      <c r="F1330" s="512">
        <f t="shared" si="3005"/>
        <v>4.3820000000000006</v>
      </c>
      <c r="G1330" s="513">
        <f t="shared" si="3005"/>
        <v>6.0730000000000475</v>
      </c>
      <c r="H1330" s="512">
        <f t="shared" si="3005"/>
        <v>219.82299999999998</v>
      </c>
      <c r="I1330" s="512">
        <f t="shared" si="3005"/>
        <v>-152.16</v>
      </c>
      <c r="J1330" s="512">
        <f t="shared" si="3005"/>
        <v>18.639999999999951</v>
      </c>
      <c r="K1330" s="512">
        <f t="shared" si="3005"/>
        <v>-41.32300000000037</v>
      </c>
      <c r="L1330" s="513">
        <f t="shared" si="3005"/>
        <v>44.979999999999976</v>
      </c>
      <c r="M1330" s="512">
        <f t="shared" si="3005"/>
        <v>5.4999999999999707</v>
      </c>
      <c r="N1330" s="512">
        <f t="shared" si="3005"/>
        <v>-7.8020000000000023</v>
      </c>
      <c r="O1330" s="512">
        <f t="shared" si="3005"/>
        <v>6.0039999999999836</v>
      </c>
      <c r="P1330" s="512">
        <f t="shared" si="3005"/>
        <v>32.192999999999998</v>
      </c>
      <c r="Q1330" s="513">
        <f t="shared" si="3005"/>
        <v>35.894999999999968</v>
      </c>
      <c r="R1330" s="512">
        <f t="shared" si="3005"/>
        <v>2.3070000000000377</v>
      </c>
      <c r="S1330" s="512">
        <f t="shared" si="3005"/>
        <v>-11.228000000000009</v>
      </c>
      <c r="T1330" s="512">
        <f t="shared" si="3005"/>
        <v>19.543000000000021</v>
      </c>
      <c r="U1330" s="512">
        <f t="shared" si="3005"/>
        <v>-4.7650000000000077</v>
      </c>
      <c r="V1330" s="513">
        <f t="shared" si="3005"/>
        <v>5.8569999999999709</v>
      </c>
      <c r="W1330" s="512">
        <f t="shared" si="3005"/>
        <v>-6.4729999999999848</v>
      </c>
      <c r="X1330" s="512">
        <f t="shared" si="3005"/>
        <v>-43.528000000000027</v>
      </c>
      <c r="Y1330" s="512">
        <f t="shared" si="3005"/>
        <v>1.2850000000000108</v>
      </c>
      <c r="Z1330" s="512">
        <f t="shared" si="3005"/>
        <v>620.62200000000007</v>
      </c>
      <c r="AA1330" s="513">
        <f t="shared" si="3005"/>
        <v>571.90599999999995</v>
      </c>
      <c r="AB1330" s="512">
        <f t="shared" si="3005"/>
        <v>-8.0419999999999732</v>
      </c>
      <c r="AC1330" s="512">
        <f t="shared" si="3005"/>
        <v>56.881000000000022</v>
      </c>
      <c r="AD1330" s="512">
        <f t="shared" si="3005"/>
        <v>-30.707999999999956</v>
      </c>
      <c r="AE1330" s="514">
        <f t="shared" si="3005"/>
        <v>-51.291000000000146</v>
      </c>
      <c r="AF1330" s="515">
        <f t="shared" si="3005"/>
        <v>-33.159999999999982</v>
      </c>
      <c r="AG1330" s="514">
        <f>AG1301+AG1314+AG1326+AG1328</f>
        <v>-70.610999999999947</v>
      </c>
      <c r="AH1330" s="514">
        <f t="shared" si="3005"/>
        <v>-244.30300000000003</v>
      </c>
      <c r="AI1330" s="514">
        <f t="shared" si="3005"/>
        <v>-42.761999999999986</v>
      </c>
      <c r="AJ1330" s="514">
        <f t="shared" si="3005"/>
        <v>-109.05700000000003</v>
      </c>
      <c r="AK1330" s="515">
        <f t="shared" si="3005"/>
        <v>-466.733</v>
      </c>
      <c r="AL1330" s="514">
        <f t="shared" ref="AL1330:BE1330" si="3006">AL1301+AL1314+AL1326+AL1328</f>
        <v>-11.907000000000025</v>
      </c>
      <c r="AM1330" s="514">
        <f t="shared" si="3006"/>
        <v>87.506999999999977</v>
      </c>
      <c r="AN1330" s="514">
        <f t="shared" si="3006"/>
        <v>-114.1640000000001</v>
      </c>
      <c r="AO1330" s="514">
        <f t="shared" si="3006"/>
        <v>30.619000000000156</v>
      </c>
      <c r="AP1330" s="515">
        <f t="shared" si="3006"/>
        <v>-7.9449999999998511</v>
      </c>
      <c r="AQ1330" s="514">
        <f t="shared" si="3006"/>
        <v>-20.989000000000051</v>
      </c>
      <c r="AR1330" s="514">
        <f t="shared" si="3006"/>
        <v>-13.324999999999974</v>
      </c>
      <c r="AS1330" s="514">
        <f t="shared" si="3006"/>
        <v>13.306000000000012</v>
      </c>
      <c r="AT1330" s="514">
        <f t="shared" si="3006"/>
        <v>43.034999999999854</v>
      </c>
      <c r="AU1330" s="515">
        <f t="shared" si="3006"/>
        <v>22.026999999999816</v>
      </c>
      <c r="AV1330" s="514">
        <f t="shared" si="3006"/>
        <v>-12.765000000000001</v>
      </c>
      <c r="AW1330" s="514">
        <f t="shared" si="3006"/>
        <v>-12.567000000000021</v>
      </c>
      <c r="AX1330" s="514">
        <f t="shared" si="3006"/>
        <v>32.736000000000075</v>
      </c>
      <c r="AY1330" s="514">
        <f>AY1301+AY1314+AY1326+AY1328</f>
        <v>25.123999999999739</v>
      </c>
      <c r="AZ1330" s="515">
        <f>AZ1301+AZ1314+AZ1326+AZ1328</f>
        <v>32.527999999999736</v>
      </c>
      <c r="BA1330" s="514">
        <f t="shared" si="3006"/>
        <v>-5.3000000000000052</v>
      </c>
      <c r="BB1330" s="514">
        <f t="shared" si="3006"/>
        <v>-36.396000000000029</v>
      </c>
      <c r="BC1330" s="514">
        <f t="shared" si="3006"/>
        <v>-20.592000000000013</v>
      </c>
      <c r="BD1330" s="514">
        <f t="shared" si="3006"/>
        <v>-22.033999999999921</v>
      </c>
      <c r="BE1330" s="515">
        <f t="shared" si="3006"/>
        <v>-84.321999999999818</v>
      </c>
      <c r="BF1330" s="514">
        <f t="shared" ref="BF1330:CA1330" si="3007">BF1301+BF1314+BF1326+BF1328</f>
        <v>29.055999999999976</v>
      </c>
      <c r="BG1330" s="514">
        <f t="shared" si="3007"/>
        <v>-4.611000000000022</v>
      </c>
      <c r="BH1330" s="514">
        <f t="shared" si="3007"/>
        <v>-9.6290000000000759</v>
      </c>
      <c r="BI1330" s="514">
        <f t="shared" si="3007"/>
        <v>13.520000000000067</v>
      </c>
      <c r="BJ1330" s="515">
        <f t="shared" si="3007"/>
        <v>28.335999999999899</v>
      </c>
      <c r="BK1330" s="514">
        <f t="shared" si="3007"/>
        <v>-22.770999999999979</v>
      </c>
      <c r="BL1330" s="514">
        <f t="shared" si="3007"/>
        <v>7.1219999999999928</v>
      </c>
      <c r="BM1330" s="514">
        <f t="shared" si="3007"/>
        <v>-19.591999999999949</v>
      </c>
      <c r="BN1330" s="514">
        <f t="shared" si="3007"/>
        <v>27.742000000000019</v>
      </c>
      <c r="BO1330" s="515">
        <f t="shared" ref="BO1330:BU1330" si="3008">BO1301+BO1314+BO1326+BO1328</f>
        <v>-7.49899999999991</v>
      </c>
      <c r="BP1330" s="514">
        <f t="shared" si="3008"/>
        <v>29.977999999999987</v>
      </c>
      <c r="BQ1330" s="514">
        <f>BQ1301+BQ1314+BQ1326+BQ1328</f>
        <v>-35.088999999999942</v>
      </c>
      <c r="BR1330" s="514">
        <f t="shared" si="3008"/>
        <v>40.507999999999768</v>
      </c>
      <c r="BS1330" s="514">
        <f t="shared" si="3008"/>
        <v>13.046000000000348</v>
      </c>
      <c r="BT1330" s="515">
        <f t="shared" si="3008"/>
        <v>48.443000000000239</v>
      </c>
      <c r="BU1330" s="514">
        <f t="shared" si="3008"/>
        <v>31.348339406938269</v>
      </c>
      <c r="BV1330" s="514">
        <f>BV1301+BV1314+BV1326+BV1328</f>
        <v>53.7455695430329</v>
      </c>
      <c r="BW1330" s="514">
        <f>BW1301+BW1314+BW1326+BW1328</f>
        <v>19.643373062590172</v>
      </c>
      <c r="BX1330" s="514">
        <f>BX1301+BX1314+BX1326+BX1328</f>
        <v>42.773990501895724</v>
      </c>
      <c r="BY1330" s="515">
        <f>BY1301+BY1314+BY1326+BY1328</f>
        <v>147.51127251445746</v>
      </c>
      <c r="BZ1330" s="515">
        <f t="shared" si="3007"/>
        <v>-11.262212537361734</v>
      </c>
      <c r="CA1330" s="1590">
        <f t="shared" si="3007"/>
        <v>209.90656584904787</v>
      </c>
      <c r="CB1330" s="1590">
        <f>CB1301+CB1314+CB1326+CB1328</f>
        <v>-6876.3751582757341</v>
      </c>
      <c r="CC1330" s="1590">
        <f>CC1301+CC1314+CC1326+CC1328</f>
        <v>93.091938079266228</v>
      </c>
      <c r="CD1330" s="1590">
        <f>CD1301+CD1314+CD1326+CD1328</f>
        <v>95.981434963896447</v>
      </c>
      <c r="CE1330" s="1590">
        <f>CE1301+CE1314+CE1326+CE1328</f>
        <v>107.98331028767902</v>
      </c>
      <c r="CF1330" s="1590">
        <f>CF1301+CF1314+CF1326+CF1328</f>
        <v>138.3069135912987</v>
      </c>
      <c r="CG1330" s="450"/>
      <c r="CH1330" s="450"/>
      <c r="CI1330" s="450"/>
      <c r="CJ1330" s="450"/>
      <c r="CK1330" s="450"/>
      <c r="CL1330" s="516" t="str">
        <f>A1330</f>
        <v>Net increase in cash &amp; cash equivalents</v>
      </c>
      <c r="CM1330" s="514">
        <f>G1330</f>
        <v>6.0730000000000475</v>
      </c>
      <c r="CN1330" s="514">
        <f>L1330</f>
        <v>44.979999999999976</v>
      </c>
      <c r="CO1330" s="514">
        <f>Q1330</f>
        <v>35.894999999999968</v>
      </c>
      <c r="CP1330" s="514">
        <f>V1330</f>
        <v>5.8569999999999709</v>
      </c>
      <c r="CQ1330" s="514">
        <f>AA1330</f>
        <v>571.90599999999995</v>
      </c>
      <c r="CR1330" s="514">
        <f>AF1330</f>
        <v>-33.159999999999982</v>
      </c>
      <c r="CS1330" s="514">
        <f>AK1330</f>
        <v>-466.733</v>
      </c>
      <c r="CT1330" s="514">
        <f>AP1330</f>
        <v>-7.9449999999998511</v>
      </c>
      <c r="CU1330" s="514">
        <f>AU1330</f>
        <v>22.026999999999816</v>
      </c>
      <c r="CV1330" s="514">
        <f>AZ1330</f>
        <v>32.527999999999736</v>
      </c>
      <c r="CW1330" s="514">
        <f>BE1330</f>
        <v>-84.321999999999818</v>
      </c>
      <c r="CX1330" s="514">
        <f>BJ1330</f>
        <v>28.335999999999899</v>
      </c>
      <c r="CY1330" s="514">
        <f>BO1330</f>
        <v>-7.49899999999991</v>
      </c>
      <c r="CZ1330" s="514">
        <f>BT1330</f>
        <v>48.443000000000239</v>
      </c>
      <c r="DA1330" s="514">
        <f>BY1330</f>
        <v>147.51127251445746</v>
      </c>
      <c r="DB1330" s="514">
        <f>BZ1330</f>
        <v>-11.262212537361734</v>
      </c>
      <c r="DC1330" s="1590">
        <f>CA1330</f>
        <v>209.90656584904787</v>
      </c>
      <c r="DD1330" s="450"/>
      <c r="DE1330" s="450"/>
      <c r="DF1330" s="2144"/>
      <c r="DG1330" s="2144"/>
      <c r="DH1330" s="514"/>
      <c r="DI1330" s="3213"/>
      <c r="DJ1330" s="2144"/>
      <c r="DK1330" s="2144"/>
      <c r="DL1330" s="2144"/>
      <c r="DM1330" s="2144"/>
      <c r="DN1330" s="2144"/>
      <c r="DO1330" s="2144"/>
      <c r="DP1330" s="2144"/>
      <c r="DQ1330" s="2144"/>
      <c r="DR1330" s="2145"/>
      <c r="DS1330" s="2145"/>
      <c r="DT1330" s="2145"/>
      <c r="DU1330"/>
      <c r="DV1330"/>
      <c r="DW1330"/>
      <c r="DX1330"/>
      <c r="DY1330"/>
      <c r="DZ1330"/>
    </row>
    <row r="1331" spans="1:130" ht="12.75" customHeight="1" x14ac:dyDescent="0.25">
      <c r="A1331" s="867"/>
      <c r="B1331" s="479"/>
      <c r="C1331" s="480"/>
      <c r="D1331" s="509"/>
      <c r="E1331" s="509"/>
      <c r="F1331" s="509"/>
      <c r="G1331" s="510"/>
      <c r="H1331" s="509"/>
      <c r="I1331" s="509"/>
      <c r="J1331" s="509"/>
      <c r="K1331" s="509"/>
      <c r="L1331" s="510"/>
      <c r="M1331" s="509"/>
      <c r="N1331" s="509"/>
      <c r="O1331" s="509"/>
      <c r="P1331" s="509"/>
      <c r="Q1331" s="510"/>
      <c r="R1331" s="509"/>
      <c r="S1331" s="509"/>
      <c r="T1331" s="509"/>
      <c r="U1331" s="509"/>
      <c r="V1331" s="510"/>
      <c r="W1331" s="509"/>
      <c r="X1331" s="509"/>
      <c r="Y1331" s="509"/>
      <c r="Z1331" s="509"/>
      <c r="AA1331" s="510"/>
      <c r="AB1331" s="509"/>
      <c r="AC1331" s="509"/>
      <c r="AD1331" s="509"/>
      <c r="AE1331" s="430"/>
      <c r="AF1331" s="481"/>
      <c r="AG1331" s="430"/>
      <c r="AH1331" s="430"/>
      <c r="AI1331" s="430"/>
      <c r="AJ1331" s="430"/>
      <c r="AK1331" s="481"/>
      <c r="AL1331" s="430"/>
      <c r="AM1331" s="430"/>
      <c r="AN1331" s="430"/>
      <c r="AO1331" s="430"/>
      <c r="AP1331" s="481"/>
      <c r="AQ1331" s="430"/>
      <c r="AR1331" s="430"/>
      <c r="AS1331" s="430"/>
      <c r="AT1331" s="430"/>
      <c r="AU1331" s="481"/>
      <c r="AV1331" s="430"/>
      <c r="AW1331" s="430"/>
      <c r="AX1331" s="430"/>
      <c r="AY1331" s="430"/>
      <c r="AZ1331" s="481"/>
      <c r="BA1331" s="430"/>
      <c r="BB1331" s="430"/>
      <c r="BC1331" s="430"/>
      <c r="BD1331" s="430"/>
      <c r="BE1331" s="481"/>
      <c r="BF1331" s="430"/>
      <c r="BG1331" s="430"/>
      <c r="BH1331" s="430"/>
      <c r="BI1331" s="430"/>
      <c r="BJ1331" s="481"/>
      <c r="BK1331" s="430"/>
      <c r="BL1331" s="430"/>
      <c r="BM1331" s="430"/>
      <c r="BN1331" s="430"/>
      <c r="BO1331" s="481"/>
      <c r="BP1331" s="430"/>
      <c r="BQ1331" s="430"/>
      <c r="BR1331" s="430"/>
      <c r="BS1331" s="430"/>
      <c r="BT1331" s="2587"/>
      <c r="BU1331" s="2840"/>
      <c r="BV1331" s="2840"/>
      <c r="BW1331" s="2840"/>
      <c r="BX1331" s="2840"/>
      <c r="BY1331" s="2587"/>
      <c r="BZ1331" s="2587"/>
      <c r="CA1331" s="3065"/>
      <c r="CB1331" s="853"/>
      <c r="CC1331" s="853"/>
      <c r="CD1331" s="853"/>
      <c r="CE1331" s="853"/>
      <c r="CF1331" s="853"/>
      <c r="CG1331" s="331"/>
      <c r="CH1331" s="331"/>
      <c r="CI1331" s="331"/>
      <c r="CJ1331" s="331"/>
      <c r="CK1331" s="331"/>
      <c r="CL1331" s="872"/>
      <c r="CM1331" s="430"/>
      <c r="CN1331" s="430"/>
      <c r="CO1331" s="430"/>
      <c r="CP1331" s="430"/>
      <c r="CQ1331" s="430"/>
      <c r="CR1331" s="430"/>
      <c r="CS1331" s="430"/>
      <c r="CT1331" s="430"/>
      <c r="CU1331" s="430"/>
      <c r="CV1331" s="430"/>
      <c r="CW1331" s="430"/>
      <c r="CX1331" s="430"/>
      <c r="CY1331" s="430"/>
      <c r="CZ1331" s="430"/>
      <c r="DA1331" s="430"/>
      <c r="DB1331" s="430"/>
      <c r="DC1331" s="853"/>
      <c r="DD1331" s="331"/>
      <c r="DE1331" s="331"/>
      <c r="DF1331" s="502"/>
      <c r="DG1331" s="503"/>
      <c r="DH1331" s="2840"/>
      <c r="DI1331" s="3213"/>
      <c r="DJ1331" s="502"/>
      <c r="DK1331" s="503"/>
      <c r="DL1331" s="502"/>
      <c r="DM1331" s="502"/>
      <c r="DN1331" s="502"/>
      <c r="DO1331" s="502"/>
      <c r="DP1331" s="503"/>
      <c r="DQ1331" s="503"/>
      <c r="DR1331" s="296"/>
      <c r="DS1331" s="296"/>
      <c r="DT1331" s="296"/>
    </row>
    <row r="1332" spans="1:130" ht="12.75" customHeight="1" x14ac:dyDescent="0.25">
      <c r="A1332" s="867" t="s">
        <v>1949</v>
      </c>
      <c r="B1332" s="479"/>
      <c r="C1332" s="480">
        <v>0</v>
      </c>
      <c r="D1332" s="480">
        <v>81.566999999999993</v>
      </c>
      <c r="E1332" s="509">
        <f>D1333</f>
        <v>122.63900000000001</v>
      </c>
      <c r="F1332" s="509">
        <f>E1333</f>
        <v>83.200000000000017</v>
      </c>
      <c r="G1332" s="481">
        <f>D1332</f>
        <v>81.566999999999993</v>
      </c>
      <c r="H1332" s="509">
        <f>G1333</f>
        <v>87.640000000000043</v>
      </c>
      <c r="I1332" s="509">
        <f>H1333</f>
        <v>307.46300000000002</v>
      </c>
      <c r="J1332" s="509">
        <f>I1333</f>
        <v>155.30300000000003</v>
      </c>
      <c r="K1332" s="509">
        <f>J1333</f>
        <v>173.94299999999998</v>
      </c>
      <c r="L1332" s="481">
        <f>G1333</f>
        <v>87.640000000000043</v>
      </c>
      <c r="M1332" s="509">
        <f>L1333</f>
        <v>132.62</v>
      </c>
      <c r="N1332" s="509">
        <f>M1333</f>
        <v>138.11999999999998</v>
      </c>
      <c r="O1332" s="509">
        <f>N1333</f>
        <v>130.31799999999998</v>
      </c>
      <c r="P1332" s="509">
        <f>O1333</f>
        <v>136.32199999999997</v>
      </c>
      <c r="Q1332" s="481">
        <f>L1333</f>
        <v>132.62</v>
      </c>
      <c r="R1332" s="509">
        <f>Q1333</f>
        <v>168.51499999999999</v>
      </c>
      <c r="S1332" s="509">
        <f>R1333</f>
        <v>170.82200000000003</v>
      </c>
      <c r="T1332" s="509">
        <f>S1333</f>
        <v>159.59400000000002</v>
      </c>
      <c r="U1332" s="509">
        <f>T1333</f>
        <v>179.13700000000006</v>
      </c>
      <c r="V1332" s="481">
        <f>Q1333</f>
        <v>168.51499999999999</v>
      </c>
      <c r="W1332" s="509">
        <f>V1333</f>
        <v>174.37199999999996</v>
      </c>
      <c r="X1332" s="509">
        <f>W1333</f>
        <v>167.89899999999997</v>
      </c>
      <c r="Y1332" s="509">
        <f>X1333</f>
        <v>124.37099999999995</v>
      </c>
      <c r="Z1332" s="509">
        <f>Y1333</f>
        <v>125.65599999999996</v>
      </c>
      <c r="AA1332" s="481">
        <f>V1333</f>
        <v>174.37199999999996</v>
      </c>
      <c r="AB1332" s="509">
        <f>AA1333</f>
        <v>746.27799999999991</v>
      </c>
      <c r="AC1332" s="509">
        <f>AB1333</f>
        <v>738.23599999999988</v>
      </c>
      <c r="AD1332" s="509">
        <f>AC1333</f>
        <v>795.11699999999985</v>
      </c>
      <c r="AE1332" s="430">
        <f>AD1333</f>
        <v>764.40899999999988</v>
      </c>
      <c r="AF1332" s="481">
        <f>AA1333</f>
        <v>746.27799999999991</v>
      </c>
      <c r="AG1332" s="430">
        <f>AF1333</f>
        <v>713.11799999999994</v>
      </c>
      <c r="AH1332" s="430">
        <f>AG1333</f>
        <v>642.50699999999995</v>
      </c>
      <c r="AI1332" s="430">
        <f>AH1333</f>
        <v>398.20399999999995</v>
      </c>
      <c r="AJ1332" s="430">
        <f>AI1333</f>
        <v>355.44199999999995</v>
      </c>
      <c r="AK1332" s="481">
        <f>AF1333</f>
        <v>713.11799999999994</v>
      </c>
      <c r="AL1332" s="430">
        <f>AK1333</f>
        <v>246.38499999999993</v>
      </c>
      <c r="AM1332" s="430">
        <f>AL1333</f>
        <v>234.47799999999989</v>
      </c>
      <c r="AN1332" s="430">
        <f>AM1333</f>
        <v>321.9849999999999</v>
      </c>
      <c r="AO1332" s="430">
        <f>AN1333</f>
        <v>207.8209999999998</v>
      </c>
      <c r="AP1332" s="481">
        <f>AK1333</f>
        <v>246.38499999999993</v>
      </c>
      <c r="AQ1332" s="430">
        <f>AP1333</f>
        <v>238.44000000000008</v>
      </c>
      <c r="AR1332" s="430">
        <f>AQ1333</f>
        <v>217.45100000000002</v>
      </c>
      <c r="AS1332" s="430">
        <f>AR1333</f>
        <v>204.12600000000003</v>
      </c>
      <c r="AT1332" s="430">
        <f>AS1333</f>
        <v>217.43200000000004</v>
      </c>
      <c r="AU1332" s="481">
        <f>AP1333</f>
        <v>238.44000000000008</v>
      </c>
      <c r="AV1332" s="430">
        <f>AU1333</f>
        <v>260.46699999999987</v>
      </c>
      <c r="AW1332" s="430">
        <f>AV1333</f>
        <v>247.70199999999988</v>
      </c>
      <c r="AX1332" s="430">
        <f>AW1333</f>
        <v>235.13499999999988</v>
      </c>
      <c r="AY1332" s="430">
        <f>AX1333</f>
        <v>267.87099999999998</v>
      </c>
      <c r="AZ1332" s="481">
        <f>AU1333</f>
        <v>260.46699999999987</v>
      </c>
      <c r="BA1332" s="430">
        <f>AZ1333</f>
        <v>292.99499999999961</v>
      </c>
      <c r="BB1332" s="430">
        <f>BA1333</f>
        <v>287.6949999999996</v>
      </c>
      <c r="BC1332" s="430">
        <f>BB1333</f>
        <v>251.29899999999958</v>
      </c>
      <c r="BD1332" s="430">
        <f>BC1333</f>
        <v>230.70699999999957</v>
      </c>
      <c r="BE1332" s="481">
        <f>AZ1333</f>
        <v>292.99499999999961</v>
      </c>
      <c r="BF1332" s="430">
        <f>BE1333</f>
        <v>208.67299999999977</v>
      </c>
      <c r="BG1332" s="430">
        <f>BF1333</f>
        <v>237.72899999999976</v>
      </c>
      <c r="BH1332" s="430">
        <f>BG1333</f>
        <v>233.11799999999974</v>
      </c>
      <c r="BI1332" s="430">
        <f>BH1333</f>
        <v>223.48899999999966</v>
      </c>
      <c r="BJ1332" s="481">
        <f>BE1333</f>
        <v>208.67299999999977</v>
      </c>
      <c r="BK1332" s="430">
        <f>BJ1333</f>
        <v>237.00899999999967</v>
      </c>
      <c r="BL1332" s="430">
        <f>BK1333</f>
        <v>214.23799999999969</v>
      </c>
      <c r="BM1332" s="430">
        <f>BL1333</f>
        <v>221.35999999999967</v>
      </c>
      <c r="BN1332" s="430">
        <f>BM1333</f>
        <v>201.76799999999972</v>
      </c>
      <c r="BO1332" s="481">
        <f>BJ1333</f>
        <v>237.00899999999967</v>
      </c>
      <c r="BP1332" s="430">
        <f>BO1333</f>
        <v>229.50999999999976</v>
      </c>
      <c r="BQ1332" s="430">
        <f>BP1333</f>
        <v>259.48799999999977</v>
      </c>
      <c r="BR1332" s="430">
        <f>BQ1333</f>
        <v>224.39899999999983</v>
      </c>
      <c r="BS1332" s="430">
        <f>BR1333</f>
        <v>264.90699999999958</v>
      </c>
      <c r="BT1332" s="2587">
        <f>BO1333</f>
        <v>229.50999999999976</v>
      </c>
      <c r="BU1332" s="2840">
        <f>BT1333</f>
        <v>277.95299999999997</v>
      </c>
      <c r="BV1332" s="2840">
        <f>BU1333</f>
        <v>309.30133940693827</v>
      </c>
      <c r="BW1332" s="2840">
        <f>BV1333</f>
        <v>363.04690894997117</v>
      </c>
      <c r="BX1332" s="2840">
        <f>BW1333</f>
        <v>382.69028201256134</v>
      </c>
      <c r="BY1332" s="2587">
        <f>BT1333</f>
        <v>277.95299999999997</v>
      </c>
      <c r="BZ1332" s="2587">
        <f t="shared" ref="BZ1332:CF1332" si="3009">BY1333</f>
        <v>425.46427251445743</v>
      </c>
      <c r="CA1332" s="3065">
        <f t="shared" si="3009"/>
        <v>414.2020599770957</v>
      </c>
      <c r="CB1332" s="853">
        <f t="shared" si="3009"/>
        <v>624.10862582614357</v>
      </c>
      <c r="CC1332" s="853">
        <f t="shared" si="3009"/>
        <v>-6252.2665324495902</v>
      </c>
      <c r="CD1332" s="853">
        <f t="shared" si="3009"/>
        <v>-6159.1745943703236</v>
      </c>
      <c r="CE1332" s="853">
        <f t="shared" si="3009"/>
        <v>-6063.1931594064272</v>
      </c>
      <c r="CF1332" s="853">
        <f t="shared" si="3009"/>
        <v>-5955.209849118748</v>
      </c>
      <c r="CG1332" s="331"/>
      <c r="CH1332" s="331"/>
      <c r="CI1332" s="331"/>
      <c r="CJ1332" s="331"/>
      <c r="CK1332" s="331"/>
      <c r="CL1332" s="872" t="str">
        <f>A1332</f>
        <v>Cash and cash equivalents, beginning</v>
      </c>
      <c r="CM1332" s="430">
        <f>G1332</f>
        <v>81.566999999999993</v>
      </c>
      <c r="CN1332" s="430">
        <f>L1332</f>
        <v>87.640000000000043</v>
      </c>
      <c r="CO1332" s="430">
        <f>Q1332</f>
        <v>132.62</v>
      </c>
      <c r="CP1332" s="430">
        <f>V1332</f>
        <v>168.51499999999999</v>
      </c>
      <c r="CQ1332" s="430">
        <f>AA1332</f>
        <v>174.37199999999996</v>
      </c>
      <c r="CR1332" s="430">
        <f>AF1332</f>
        <v>746.27799999999991</v>
      </c>
      <c r="CS1332" s="430">
        <f>AK1332</f>
        <v>713.11799999999994</v>
      </c>
      <c r="CT1332" s="430">
        <f>AP1332</f>
        <v>246.38499999999993</v>
      </c>
      <c r="CU1332" s="430">
        <f>AU1332</f>
        <v>238.44000000000008</v>
      </c>
      <c r="CV1332" s="430">
        <f>AZ1332</f>
        <v>260.46699999999987</v>
      </c>
      <c r="CW1332" s="430">
        <f>BE1332</f>
        <v>292.99499999999961</v>
      </c>
      <c r="CX1332" s="430">
        <f>BJ1332</f>
        <v>208.67299999999977</v>
      </c>
      <c r="CY1332" s="430">
        <f>BO1332</f>
        <v>237.00899999999967</v>
      </c>
      <c r="CZ1332" s="430">
        <f>BT1332</f>
        <v>229.50999999999976</v>
      </c>
      <c r="DA1332" s="430">
        <f t="shared" ref="DA1332:DC1333" si="3010">BY1332</f>
        <v>277.95299999999997</v>
      </c>
      <c r="DB1332" s="430">
        <f t="shared" si="3010"/>
        <v>425.46427251445743</v>
      </c>
      <c r="DC1332" s="853">
        <f t="shared" si="3010"/>
        <v>414.2020599770957</v>
      </c>
      <c r="DD1332" s="331"/>
      <c r="DE1332" s="331"/>
      <c r="DF1332" s="502"/>
      <c r="DG1332" s="503"/>
      <c r="DH1332" s="2840"/>
      <c r="DI1332" s="3213"/>
      <c r="DJ1332" s="502"/>
      <c r="DK1332" s="503"/>
      <c r="DL1332" s="502"/>
      <c r="DM1332" s="502"/>
      <c r="DN1332" s="502"/>
      <c r="DO1332" s="502"/>
      <c r="DP1332" s="503"/>
      <c r="DQ1332" s="503"/>
      <c r="DR1332" s="296"/>
      <c r="DS1332" s="296"/>
      <c r="DT1332" s="296"/>
    </row>
    <row r="1333" spans="1:130" s="2498" customFormat="1" ht="12.75" customHeight="1" x14ac:dyDescent="0.25">
      <c r="A1333" s="2591" t="s">
        <v>1950</v>
      </c>
      <c r="B1333" s="2592"/>
      <c r="C1333" s="2593">
        <v>0</v>
      </c>
      <c r="D1333" s="2592">
        <f t="shared" ref="D1333:AK1333" si="3011">D1330+D1332</f>
        <v>122.63900000000001</v>
      </c>
      <c r="E1333" s="2592">
        <f t="shared" si="3011"/>
        <v>83.200000000000017</v>
      </c>
      <c r="F1333" s="2592">
        <f t="shared" si="3011"/>
        <v>87.582000000000022</v>
      </c>
      <c r="G1333" s="2594">
        <f t="shared" si="3011"/>
        <v>87.640000000000043</v>
      </c>
      <c r="H1333" s="2592">
        <f t="shared" si="3011"/>
        <v>307.46300000000002</v>
      </c>
      <c r="I1333" s="2592">
        <f t="shared" si="3011"/>
        <v>155.30300000000003</v>
      </c>
      <c r="J1333" s="2592">
        <f t="shared" si="3011"/>
        <v>173.94299999999998</v>
      </c>
      <c r="K1333" s="2592">
        <f t="shared" si="3011"/>
        <v>132.61999999999961</v>
      </c>
      <c r="L1333" s="2594">
        <f t="shared" si="3011"/>
        <v>132.62</v>
      </c>
      <c r="M1333" s="2592">
        <f t="shared" si="3011"/>
        <v>138.11999999999998</v>
      </c>
      <c r="N1333" s="2592">
        <f t="shared" si="3011"/>
        <v>130.31799999999998</v>
      </c>
      <c r="O1333" s="2592">
        <f t="shared" si="3011"/>
        <v>136.32199999999997</v>
      </c>
      <c r="P1333" s="2592">
        <f t="shared" si="3011"/>
        <v>168.51499999999999</v>
      </c>
      <c r="Q1333" s="2594">
        <f t="shared" si="3011"/>
        <v>168.51499999999999</v>
      </c>
      <c r="R1333" s="2592">
        <f t="shared" si="3011"/>
        <v>170.82200000000003</v>
      </c>
      <c r="S1333" s="2592">
        <f t="shared" si="3011"/>
        <v>159.59400000000002</v>
      </c>
      <c r="T1333" s="2592">
        <f t="shared" si="3011"/>
        <v>179.13700000000006</v>
      </c>
      <c r="U1333" s="2592">
        <f t="shared" si="3011"/>
        <v>174.37200000000004</v>
      </c>
      <c r="V1333" s="2594">
        <f t="shared" si="3011"/>
        <v>174.37199999999996</v>
      </c>
      <c r="W1333" s="2592">
        <f t="shared" si="3011"/>
        <v>167.89899999999997</v>
      </c>
      <c r="X1333" s="2592">
        <f t="shared" si="3011"/>
        <v>124.37099999999995</v>
      </c>
      <c r="Y1333" s="2592">
        <f t="shared" si="3011"/>
        <v>125.65599999999996</v>
      </c>
      <c r="Z1333" s="2592">
        <f t="shared" si="3011"/>
        <v>746.27800000000002</v>
      </c>
      <c r="AA1333" s="2594">
        <f t="shared" si="3011"/>
        <v>746.27799999999991</v>
      </c>
      <c r="AB1333" s="2592">
        <f t="shared" si="3011"/>
        <v>738.23599999999988</v>
      </c>
      <c r="AC1333" s="2592">
        <f t="shared" si="3011"/>
        <v>795.11699999999985</v>
      </c>
      <c r="AD1333" s="2592">
        <f t="shared" si="3011"/>
        <v>764.40899999999988</v>
      </c>
      <c r="AE1333" s="2595">
        <f t="shared" si="3011"/>
        <v>713.11799999999971</v>
      </c>
      <c r="AF1333" s="2596">
        <f t="shared" si="3011"/>
        <v>713.11799999999994</v>
      </c>
      <c r="AG1333" s="2595">
        <f t="shared" si="3011"/>
        <v>642.50699999999995</v>
      </c>
      <c r="AH1333" s="2595">
        <f t="shared" si="3011"/>
        <v>398.20399999999995</v>
      </c>
      <c r="AI1333" s="2595">
        <f t="shared" si="3011"/>
        <v>355.44199999999995</v>
      </c>
      <c r="AJ1333" s="2595">
        <f t="shared" si="3011"/>
        <v>246.38499999999993</v>
      </c>
      <c r="AK1333" s="2596">
        <f t="shared" si="3011"/>
        <v>246.38499999999993</v>
      </c>
      <c r="AL1333" s="2595">
        <f t="shared" ref="AL1333:AU1333" si="3012">AL1330+AL1332</f>
        <v>234.47799999999989</v>
      </c>
      <c r="AM1333" s="2595">
        <f t="shared" si="3012"/>
        <v>321.9849999999999</v>
      </c>
      <c r="AN1333" s="2595">
        <f t="shared" si="3012"/>
        <v>207.8209999999998</v>
      </c>
      <c r="AO1333" s="2595">
        <f t="shared" si="3012"/>
        <v>238.43999999999994</v>
      </c>
      <c r="AP1333" s="2596">
        <f t="shared" si="3012"/>
        <v>238.44000000000008</v>
      </c>
      <c r="AQ1333" s="2595">
        <f t="shared" si="3012"/>
        <v>217.45100000000002</v>
      </c>
      <c r="AR1333" s="2595">
        <f t="shared" si="3012"/>
        <v>204.12600000000003</v>
      </c>
      <c r="AS1333" s="2595">
        <f t="shared" si="3012"/>
        <v>217.43200000000004</v>
      </c>
      <c r="AT1333" s="2595">
        <f t="shared" si="3012"/>
        <v>260.46699999999987</v>
      </c>
      <c r="AU1333" s="2596">
        <f t="shared" si="3012"/>
        <v>260.46699999999987</v>
      </c>
      <c r="AV1333" s="2595">
        <f t="shared" ref="AV1333:BE1333" si="3013">AV1330+AV1332</f>
        <v>247.70199999999988</v>
      </c>
      <c r="AW1333" s="2595">
        <f t="shared" si="3013"/>
        <v>235.13499999999988</v>
      </c>
      <c r="AX1333" s="2595">
        <f t="shared" si="3013"/>
        <v>267.87099999999998</v>
      </c>
      <c r="AY1333" s="2595">
        <f t="shared" si="3013"/>
        <v>292.99499999999972</v>
      </c>
      <c r="AZ1333" s="2596">
        <f t="shared" si="3013"/>
        <v>292.99499999999961</v>
      </c>
      <c r="BA1333" s="2595">
        <f t="shared" si="3013"/>
        <v>287.6949999999996</v>
      </c>
      <c r="BB1333" s="2595">
        <f t="shared" si="3013"/>
        <v>251.29899999999958</v>
      </c>
      <c r="BC1333" s="2595">
        <f t="shared" si="3013"/>
        <v>230.70699999999957</v>
      </c>
      <c r="BD1333" s="2595">
        <f t="shared" si="3013"/>
        <v>208.67299999999966</v>
      </c>
      <c r="BE1333" s="2596">
        <f t="shared" si="3013"/>
        <v>208.67299999999977</v>
      </c>
      <c r="BF1333" s="2595">
        <f t="shared" ref="BF1333:BK1333" si="3014">BF1330+BF1332</f>
        <v>237.72899999999976</v>
      </c>
      <c r="BG1333" s="2595">
        <f t="shared" si="3014"/>
        <v>233.11799999999974</v>
      </c>
      <c r="BH1333" s="2595">
        <f t="shared" si="3014"/>
        <v>223.48899999999966</v>
      </c>
      <c r="BI1333" s="941">
        <f t="shared" si="3014"/>
        <v>237.00899999999973</v>
      </c>
      <c r="BJ1333" s="2596">
        <f t="shared" si="3014"/>
        <v>237.00899999999967</v>
      </c>
      <c r="BK1333" s="2595">
        <f t="shared" si="3014"/>
        <v>214.23799999999969</v>
      </c>
      <c r="BL1333" s="941">
        <f t="shared" ref="BL1333:CF1333" si="3015">BL1330+BL1332</f>
        <v>221.35999999999967</v>
      </c>
      <c r="BM1333" s="2595">
        <f t="shared" si="3015"/>
        <v>201.76799999999972</v>
      </c>
      <c r="BN1333" s="2595">
        <f t="shared" si="3015"/>
        <v>229.50999999999974</v>
      </c>
      <c r="BO1333" s="2596">
        <f t="shared" si="3015"/>
        <v>229.50999999999976</v>
      </c>
      <c r="BP1333" s="2595">
        <f t="shared" si="3015"/>
        <v>259.48799999999977</v>
      </c>
      <c r="BQ1333" s="2595">
        <f t="shared" si="3015"/>
        <v>224.39899999999983</v>
      </c>
      <c r="BR1333" s="2595">
        <f t="shared" si="3015"/>
        <v>264.90699999999958</v>
      </c>
      <c r="BS1333" s="2595">
        <f t="shared" si="3015"/>
        <v>277.95299999999992</v>
      </c>
      <c r="BT1333" s="2596">
        <f t="shared" ref="BT1333:BY1333" si="3016">BT1330+BT1332</f>
        <v>277.95299999999997</v>
      </c>
      <c r="BU1333" s="2595">
        <f t="shared" si="3016"/>
        <v>309.30133940693827</v>
      </c>
      <c r="BV1333" s="2595">
        <f t="shared" si="3016"/>
        <v>363.04690894997117</v>
      </c>
      <c r="BW1333" s="2595">
        <f t="shared" si="3016"/>
        <v>382.69028201256134</v>
      </c>
      <c r="BX1333" s="2595">
        <f t="shared" si="3016"/>
        <v>425.46427251445709</v>
      </c>
      <c r="BY1333" s="2596">
        <f t="shared" si="3016"/>
        <v>425.46427251445743</v>
      </c>
      <c r="BZ1333" s="2596">
        <f t="shared" si="3015"/>
        <v>414.2020599770957</v>
      </c>
      <c r="CA1333" s="2597">
        <f t="shared" si="3015"/>
        <v>624.10862582614357</v>
      </c>
      <c r="CB1333" s="2597">
        <f t="shared" si="3015"/>
        <v>-6252.2665324495902</v>
      </c>
      <c r="CC1333" s="2597">
        <f t="shared" si="3015"/>
        <v>-6159.1745943703236</v>
      </c>
      <c r="CD1333" s="2597">
        <f t="shared" si="3015"/>
        <v>-6063.1931594064272</v>
      </c>
      <c r="CE1333" s="2597">
        <f t="shared" si="3015"/>
        <v>-5955.209849118748</v>
      </c>
      <c r="CF1333" s="2597">
        <f t="shared" si="3015"/>
        <v>-5816.9029355274497</v>
      </c>
      <c r="CG1333" s="450"/>
      <c r="CH1333" s="450"/>
      <c r="CI1333" s="450"/>
      <c r="CJ1333" s="450"/>
      <c r="CK1333" s="450"/>
      <c r="CL1333" s="2598" t="str">
        <f>A1333</f>
        <v>Cash and cash equivalents, end</v>
      </c>
      <c r="CM1333" s="2595">
        <f>G1333</f>
        <v>87.640000000000043</v>
      </c>
      <c r="CN1333" s="2595">
        <f>L1333</f>
        <v>132.62</v>
      </c>
      <c r="CO1333" s="2595">
        <f>Q1333</f>
        <v>168.51499999999999</v>
      </c>
      <c r="CP1333" s="2595">
        <f>V1333</f>
        <v>174.37199999999996</v>
      </c>
      <c r="CQ1333" s="2595">
        <f>AA1333</f>
        <v>746.27799999999991</v>
      </c>
      <c r="CR1333" s="2595">
        <f>AF1333</f>
        <v>713.11799999999994</v>
      </c>
      <c r="CS1333" s="2595">
        <f>AK1333</f>
        <v>246.38499999999993</v>
      </c>
      <c r="CT1333" s="2595">
        <f>AP1333</f>
        <v>238.44000000000008</v>
      </c>
      <c r="CU1333" s="2595">
        <f>AU1333</f>
        <v>260.46699999999987</v>
      </c>
      <c r="CV1333" s="2595">
        <f>AZ1333</f>
        <v>292.99499999999961</v>
      </c>
      <c r="CW1333" s="2595">
        <f>BE1333</f>
        <v>208.67299999999977</v>
      </c>
      <c r="CX1333" s="2595">
        <f>BJ1333</f>
        <v>237.00899999999967</v>
      </c>
      <c r="CY1333" s="2595">
        <f>BO1333</f>
        <v>229.50999999999976</v>
      </c>
      <c r="CZ1333" s="2595">
        <f>BT1333</f>
        <v>277.95299999999997</v>
      </c>
      <c r="DA1333" s="2595">
        <f t="shared" si="3010"/>
        <v>425.46427251445743</v>
      </c>
      <c r="DB1333" s="2595">
        <f t="shared" si="3010"/>
        <v>414.2020599770957</v>
      </c>
      <c r="DC1333" s="2597">
        <f t="shared" si="3010"/>
        <v>624.10862582614357</v>
      </c>
      <c r="DD1333" s="450"/>
      <c r="DE1333" s="450"/>
      <c r="DF1333" s="2144"/>
      <c r="DG1333" s="2144"/>
      <c r="DH1333" s="514"/>
      <c r="DI1333" s="3213"/>
      <c r="DJ1333" s="2144"/>
      <c r="DK1333" s="2144"/>
      <c r="DL1333" s="2144"/>
      <c r="DM1333" s="2144"/>
      <c r="DN1333" s="2144"/>
      <c r="DO1333" s="2144"/>
      <c r="DP1333" s="2144"/>
      <c r="DQ1333" s="2144"/>
      <c r="DR1333" s="2145"/>
      <c r="DS1333" s="2145"/>
      <c r="DT1333" s="2145"/>
      <c r="DU1333"/>
      <c r="DV1333"/>
      <c r="DW1333"/>
      <c r="DX1333"/>
      <c r="DY1333"/>
      <c r="DZ1333"/>
    </row>
    <row r="1334" spans="1:130" ht="12.75" customHeight="1" x14ac:dyDescent="0.25">
      <c r="A1334" s="479"/>
      <c r="B1334" s="479"/>
      <c r="C1334" s="480"/>
      <c r="D1334" s="480"/>
      <c r="E1334" s="480"/>
      <c r="F1334" s="480"/>
      <c r="G1334" s="1963"/>
      <c r="H1334" s="480"/>
      <c r="I1334" s="480"/>
      <c r="J1334" s="482"/>
      <c r="K1334" s="480"/>
      <c r="L1334" s="1963"/>
      <c r="M1334" s="480"/>
      <c r="N1334" s="480"/>
      <c r="O1334" s="480"/>
      <c r="P1334" s="480"/>
      <c r="Q1334" s="1963"/>
      <c r="R1334" s="482"/>
      <c r="S1334" s="480"/>
      <c r="T1334" s="480"/>
      <c r="U1334" s="480"/>
      <c r="V1334" s="1963"/>
      <c r="W1334" s="480"/>
      <c r="X1334" s="480"/>
      <c r="Y1334" s="480"/>
      <c r="Z1334" s="480"/>
      <c r="AA1334" s="1963"/>
      <c r="AB1334" s="480"/>
      <c r="AC1334" s="480"/>
      <c r="AD1334" s="480"/>
      <c r="AE1334" s="430"/>
      <c r="AF1334" s="1703"/>
      <c r="AG1334" s="430"/>
      <c r="AH1334" s="430"/>
      <c r="AI1334" s="430"/>
      <c r="AJ1334" s="430"/>
      <c r="AK1334" s="1703"/>
      <c r="AL1334" s="430"/>
      <c r="AM1334" s="430"/>
      <c r="AN1334" s="430"/>
      <c r="AO1334" s="430"/>
      <c r="AP1334" s="1703"/>
      <c r="AQ1334" s="430"/>
      <c r="AR1334" s="430"/>
      <c r="AS1334" s="430"/>
      <c r="AT1334" s="430"/>
      <c r="AU1334" s="1703"/>
      <c r="AV1334" s="430"/>
      <c r="AW1334" s="430"/>
      <c r="AX1334" s="430"/>
      <c r="AY1334" s="430"/>
      <c r="AZ1334" s="1703"/>
      <c r="BA1334" s="430"/>
      <c r="BB1334" s="430"/>
      <c r="BC1334" s="430"/>
      <c r="BD1334" s="430"/>
      <c r="BE1334" s="1703"/>
      <c r="BF1334" s="430"/>
      <c r="BG1334" s="430"/>
      <c r="BH1334" s="430"/>
      <c r="BI1334" s="430"/>
      <c r="BJ1334" s="1703"/>
      <c r="BK1334" s="430"/>
      <c r="BL1334" s="430"/>
      <c r="BM1334" s="430"/>
      <c r="BN1334" s="430"/>
      <c r="BO1334" s="1703"/>
      <c r="BP1334" s="430"/>
      <c r="BQ1334" s="430"/>
      <c r="BR1334" s="430"/>
      <c r="BS1334" s="430"/>
      <c r="BT1334" s="3206"/>
      <c r="BU1334" s="3423"/>
      <c r="BV1334" s="3403"/>
      <c r="BW1334" s="3403"/>
      <c r="BX1334" s="3403"/>
      <c r="BY1334" s="3206"/>
      <c r="BZ1334" s="1703"/>
      <c r="CA1334" s="1703"/>
      <c r="CB1334" s="1703"/>
      <c r="CC1334" s="1703"/>
      <c r="CD1334" s="1703"/>
      <c r="CE1334" s="1703"/>
      <c r="CF1334" s="1703"/>
      <c r="CG1334" s="331"/>
      <c r="CH1334" s="331"/>
      <c r="CI1334" s="331"/>
      <c r="CJ1334" s="331"/>
      <c r="CK1334" s="331"/>
      <c r="CL1334" s="872"/>
      <c r="CM1334" s="430"/>
      <c r="CN1334" s="430"/>
      <c r="CO1334" s="430"/>
      <c r="CP1334" s="430"/>
      <c r="CQ1334" s="430"/>
      <c r="CR1334" s="430"/>
      <c r="CS1334" s="430"/>
      <c r="CT1334" s="430"/>
      <c r="CU1334" s="430"/>
      <c r="CV1334" s="430"/>
      <c r="CW1334" s="430"/>
      <c r="CX1334" s="430"/>
      <c r="CY1334" s="430"/>
      <c r="CZ1334" s="430"/>
      <c r="DA1334" s="430"/>
      <c r="DB1334" s="430"/>
      <c r="DC1334" s="853"/>
      <c r="DD1334" s="331"/>
      <c r="DE1334" s="331"/>
      <c r="DF1334" s="502"/>
      <c r="DG1334" s="503"/>
      <c r="DH1334" s="2840"/>
      <c r="DI1334" s="3213"/>
      <c r="DJ1334" s="502"/>
      <c r="DK1334" s="503"/>
      <c r="DL1334" s="502"/>
      <c r="DM1334" s="502"/>
      <c r="DN1334" s="502"/>
      <c r="DO1334" s="502"/>
      <c r="DP1334" s="503"/>
      <c r="DQ1334" s="503"/>
      <c r="DR1334" s="296"/>
      <c r="DS1334" s="296"/>
      <c r="DT1334" s="296"/>
    </row>
    <row r="1335" spans="1:130" ht="12.75" customHeight="1" x14ac:dyDescent="0.25">
      <c r="A1335" s="281" t="s">
        <v>2132</v>
      </c>
      <c r="B1335" s="479"/>
      <c r="C1335" s="480"/>
      <c r="D1335" s="1958"/>
      <c r="E1335" s="1958"/>
      <c r="F1335" s="1958"/>
      <c r="G1335" s="1964"/>
      <c r="H1335" s="1958"/>
      <c r="I1335" s="1958"/>
      <c r="J1335" s="1958"/>
      <c r="K1335" s="1958"/>
      <c r="L1335" s="1964"/>
      <c r="M1335" s="1958"/>
      <c r="N1335" s="1958"/>
      <c r="O1335" s="1958"/>
      <c r="P1335" s="1958"/>
      <c r="Q1335" s="1964"/>
      <c r="R1335" s="1958"/>
      <c r="S1335" s="1958"/>
      <c r="T1335" s="1958"/>
      <c r="U1335" s="1958"/>
      <c r="V1335" s="1964"/>
      <c r="W1335" s="1958"/>
      <c r="X1335" s="1958"/>
      <c r="Y1335" s="1958"/>
      <c r="Z1335" s="1958"/>
      <c r="AA1335" s="1964"/>
      <c r="AB1335" s="1958"/>
      <c r="AC1335" s="1958"/>
      <c r="AD1335" s="1958"/>
      <c r="AE1335" s="1958"/>
      <c r="AF1335" s="1964"/>
      <c r="AG1335" s="1958"/>
      <c r="AH1335" s="1958"/>
      <c r="AI1335" s="1958"/>
      <c r="AJ1335" s="1958"/>
      <c r="AK1335" s="1964"/>
      <c r="AL1335" s="1958"/>
      <c r="AM1335" s="1958"/>
      <c r="AN1335" s="1958"/>
      <c r="AO1335" s="1958"/>
      <c r="AP1335" s="1964"/>
      <c r="AQ1335" s="1958"/>
      <c r="AR1335" s="1958"/>
      <c r="AS1335" s="1958"/>
      <c r="AT1335" s="430"/>
      <c r="AU1335" s="1773"/>
      <c r="AV1335" s="430"/>
      <c r="AW1335" s="430"/>
      <c r="AX1335" s="430"/>
      <c r="AY1335" s="430"/>
      <c r="AZ1335" s="1773"/>
      <c r="BA1335" s="430"/>
      <c r="BB1335" s="430"/>
      <c r="BC1335" s="430"/>
      <c r="BD1335" s="430"/>
      <c r="BE1335" s="1773"/>
      <c r="BF1335" s="430"/>
      <c r="BG1335" s="430"/>
      <c r="BH1335" s="430"/>
      <c r="BI1335" s="430"/>
      <c r="BJ1335" s="1773"/>
      <c r="BK1335" s="430"/>
      <c r="BL1335" s="430"/>
      <c r="BM1335" s="430"/>
      <c r="BN1335" s="430"/>
      <c r="BO1335" s="1773"/>
      <c r="BP1335" s="430"/>
      <c r="BQ1335" s="430"/>
      <c r="BR1335" s="430"/>
      <c r="BS1335" s="430"/>
      <c r="BT1335" s="3251"/>
      <c r="BU1335" s="3421"/>
      <c r="BV1335" s="3422"/>
      <c r="BW1335" s="3422"/>
      <c r="BX1335" s="3422"/>
      <c r="BY1335" s="3251"/>
      <c r="BZ1335" s="1773"/>
      <c r="CA1335" s="1773"/>
      <c r="CB1335" s="1773"/>
      <c r="CC1335" s="1773"/>
      <c r="CD1335" s="1773"/>
      <c r="CE1335" s="1773"/>
      <c r="CF1335" s="1773"/>
      <c r="CG1335" s="331"/>
      <c r="CH1335" s="331"/>
      <c r="CI1335" s="331"/>
      <c r="CJ1335" s="331"/>
      <c r="CK1335" s="331"/>
      <c r="CL1335" s="520" t="str">
        <f>A1335</f>
        <v>(US$ in millions, except per-share data)</v>
      </c>
      <c r="CM1335" s="2012"/>
      <c r="CN1335" s="2012"/>
      <c r="CO1335" s="2012"/>
      <c r="CP1335" s="2012"/>
      <c r="CQ1335" s="2012"/>
      <c r="CR1335" s="2012"/>
      <c r="CS1335" s="2012"/>
      <c r="CT1335" s="2012"/>
      <c r="CU1335" s="2012"/>
      <c r="CV1335" s="2012"/>
      <c r="CW1335" s="2012"/>
      <c r="CX1335" s="2012"/>
      <c r="CY1335" s="2012"/>
      <c r="CZ1335" s="2012"/>
      <c r="DA1335" s="2012"/>
      <c r="DB1335" s="2012"/>
      <c r="DC1335" s="2034"/>
      <c r="DD1335" s="331"/>
      <c r="DE1335" s="331"/>
      <c r="DF1335" s="502"/>
      <c r="DG1335" s="503"/>
      <c r="DH1335" s="2840"/>
      <c r="DI1335" s="3213"/>
      <c r="DJ1335" s="502"/>
      <c r="DK1335" s="503"/>
      <c r="DL1335" s="502"/>
      <c r="DM1335" s="502"/>
      <c r="DN1335" s="502"/>
      <c r="DO1335" s="502"/>
      <c r="DP1335" s="503"/>
      <c r="DQ1335" s="503"/>
      <c r="DR1335" s="296"/>
      <c r="DS1335" s="296"/>
      <c r="DT1335" s="296"/>
    </row>
    <row r="1336" spans="1:130" ht="12.75" customHeight="1" x14ac:dyDescent="0.25">
      <c r="A1336" s="432" t="s">
        <v>2030</v>
      </c>
      <c r="B1336" s="522"/>
      <c r="C1336" s="433" t="str">
        <f>C$6</f>
        <v>1Q04</v>
      </c>
      <c r="D1336" s="433" t="str">
        <f t="shared" ref="D1336:CB1336" si="3017">D$6</f>
        <v>2Q04</v>
      </c>
      <c r="E1336" s="433" t="str">
        <f t="shared" si="3017"/>
        <v>3Q04</v>
      </c>
      <c r="F1336" s="433" t="str">
        <f t="shared" si="3017"/>
        <v>4Q04</v>
      </c>
      <c r="G1336" s="434">
        <f t="shared" si="3017"/>
        <v>2004</v>
      </c>
      <c r="H1336" s="433" t="str">
        <f t="shared" si="3017"/>
        <v>1Q05</v>
      </c>
      <c r="I1336" s="433" t="str">
        <f t="shared" si="3017"/>
        <v>2Q05</v>
      </c>
      <c r="J1336" s="433" t="str">
        <f t="shared" si="3017"/>
        <v>3Q05</v>
      </c>
      <c r="K1336" s="433" t="str">
        <f t="shared" si="3017"/>
        <v>4Q05</v>
      </c>
      <c r="L1336" s="434">
        <f t="shared" si="3017"/>
        <v>2005</v>
      </c>
      <c r="M1336" s="433" t="str">
        <f t="shared" si="3017"/>
        <v>1Q06</v>
      </c>
      <c r="N1336" s="433" t="str">
        <f t="shared" si="3017"/>
        <v>2Q06</v>
      </c>
      <c r="O1336" s="433" t="str">
        <f t="shared" si="3017"/>
        <v>3Q06</v>
      </c>
      <c r="P1336" s="433" t="str">
        <f t="shared" si="3017"/>
        <v>4Q06</v>
      </c>
      <c r="Q1336" s="434">
        <f t="shared" si="3017"/>
        <v>2006</v>
      </c>
      <c r="R1336" s="433" t="str">
        <f t="shared" si="3017"/>
        <v>1Q07</v>
      </c>
      <c r="S1336" s="433" t="str">
        <f t="shared" si="3017"/>
        <v>2Q07</v>
      </c>
      <c r="T1336" s="433" t="str">
        <f t="shared" si="3017"/>
        <v>3Q07</v>
      </c>
      <c r="U1336" s="433" t="str">
        <f t="shared" si="3017"/>
        <v>4Q07</v>
      </c>
      <c r="V1336" s="434">
        <f t="shared" si="3017"/>
        <v>2007</v>
      </c>
      <c r="W1336" s="433" t="str">
        <f t="shared" si="3017"/>
        <v>1Q08</v>
      </c>
      <c r="X1336" s="433" t="str">
        <f t="shared" si="3017"/>
        <v>2Q08</v>
      </c>
      <c r="Y1336" s="433" t="str">
        <f t="shared" si="3017"/>
        <v>3Q08</v>
      </c>
      <c r="Z1336" s="433" t="str">
        <f t="shared" si="3017"/>
        <v>4Q08</v>
      </c>
      <c r="AA1336" s="434">
        <f t="shared" si="3017"/>
        <v>2008</v>
      </c>
      <c r="AB1336" s="433" t="str">
        <f t="shared" si="3017"/>
        <v>1Q09</v>
      </c>
      <c r="AC1336" s="433" t="str">
        <f t="shared" si="3017"/>
        <v>2Q09</v>
      </c>
      <c r="AD1336" s="433" t="str">
        <f t="shared" si="3017"/>
        <v>3Q09</v>
      </c>
      <c r="AE1336" s="433" t="str">
        <f t="shared" si="3017"/>
        <v>4Q09</v>
      </c>
      <c r="AF1336" s="434">
        <f t="shared" si="3017"/>
        <v>2009</v>
      </c>
      <c r="AG1336" s="433" t="str">
        <f t="shared" si="3017"/>
        <v>1Q10</v>
      </c>
      <c r="AH1336" s="433" t="str">
        <f t="shared" si="3017"/>
        <v>2Q10</v>
      </c>
      <c r="AI1336" s="433" t="str">
        <f t="shared" si="3017"/>
        <v>3Q10</v>
      </c>
      <c r="AJ1336" s="433" t="str">
        <f t="shared" si="3017"/>
        <v>4Q10</v>
      </c>
      <c r="AK1336" s="434">
        <f t="shared" si="3017"/>
        <v>2010</v>
      </c>
      <c r="AL1336" s="435" t="str">
        <f t="shared" si="3017"/>
        <v>1Q11</v>
      </c>
      <c r="AM1336" s="435" t="str">
        <f t="shared" si="3017"/>
        <v>2Q11</v>
      </c>
      <c r="AN1336" s="435" t="str">
        <f t="shared" si="3017"/>
        <v>3Q11</v>
      </c>
      <c r="AO1336" s="435" t="str">
        <f t="shared" si="3017"/>
        <v>4Q11</v>
      </c>
      <c r="AP1336" s="436">
        <f t="shared" si="3017"/>
        <v>2011</v>
      </c>
      <c r="AQ1336" s="436" t="str">
        <f t="shared" si="3017"/>
        <v>1Q12</v>
      </c>
      <c r="AR1336" s="437" t="str">
        <f t="shared" si="3017"/>
        <v>2Q12</v>
      </c>
      <c r="AS1336" s="437" t="str">
        <f t="shared" si="3017"/>
        <v>3Q12</v>
      </c>
      <c r="AT1336" s="437" t="str">
        <f t="shared" si="3017"/>
        <v>4Q12</v>
      </c>
      <c r="AU1336" s="438">
        <f t="shared" si="3017"/>
        <v>2012</v>
      </c>
      <c r="AV1336" s="436" t="str">
        <f t="shared" si="3017"/>
        <v>1Q13</v>
      </c>
      <c r="AW1336" s="437" t="str">
        <f t="shared" si="3017"/>
        <v>2Q13</v>
      </c>
      <c r="AX1336" s="437" t="str">
        <f t="shared" si="3017"/>
        <v>3Q13</v>
      </c>
      <c r="AY1336" s="861" t="str">
        <f t="shared" si="3017"/>
        <v>4Q13</v>
      </c>
      <c r="AZ1336" s="438">
        <f t="shared" si="3017"/>
        <v>2013</v>
      </c>
      <c r="BA1336" s="436" t="str">
        <f t="shared" si="3017"/>
        <v>1Q14</v>
      </c>
      <c r="BB1336" s="437" t="str">
        <f t="shared" si="3017"/>
        <v>2Q14</v>
      </c>
      <c r="BC1336" s="437" t="str">
        <f t="shared" si="3017"/>
        <v>3Q14</v>
      </c>
      <c r="BD1336" s="861" t="str">
        <f t="shared" si="3017"/>
        <v>4Q14</v>
      </c>
      <c r="BE1336" s="861">
        <f t="shared" si="3017"/>
        <v>2014</v>
      </c>
      <c r="BF1336" s="437" t="str">
        <f t="shared" si="3017"/>
        <v>1Q15</v>
      </c>
      <c r="BG1336" s="437" t="str">
        <f t="shared" si="3017"/>
        <v>2Q15</v>
      </c>
      <c r="BH1336" s="437" t="str">
        <f t="shared" si="3017"/>
        <v>3Q15</v>
      </c>
      <c r="BI1336" s="861" t="str">
        <f t="shared" si="3017"/>
        <v>4Q15</v>
      </c>
      <c r="BJ1336" s="861">
        <f t="shared" si="3017"/>
        <v>2015</v>
      </c>
      <c r="BK1336" s="437" t="str">
        <f t="shared" si="3017"/>
        <v>1Q16</v>
      </c>
      <c r="BL1336" s="437" t="str">
        <f t="shared" si="3017"/>
        <v>2Q16</v>
      </c>
      <c r="BM1336" s="437" t="str">
        <f t="shared" si="3017"/>
        <v>3Q16</v>
      </c>
      <c r="BN1336" s="861" t="str">
        <f t="shared" si="3017"/>
        <v>4Q16</v>
      </c>
      <c r="BO1336" s="861">
        <f t="shared" si="3017"/>
        <v>2016</v>
      </c>
      <c r="BP1336" s="437" t="str">
        <f t="shared" si="3017"/>
        <v>1Q17</v>
      </c>
      <c r="BQ1336" s="437" t="str">
        <f t="shared" si="3017"/>
        <v>2Q17</v>
      </c>
      <c r="BR1336" s="437" t="str">
        <f t="shared" si="3017"/>
        <v>3Q17</v>
      </c>
      <c r="BS1336" s="437" t="str">
        <f t="shared" si="3017"/>
        <v>4Q17</v>
      </c>
      <c r="BT1336" s="438">
        <f t="shared" si="3017"/>
        <v>2017</v>
      </c>
      <c r="BU1336" s="437" t="str">
        <f t="shared" si="3017"/>
        <v>1Q18E</v>
      </c>
      <c r="BV1336" s="437" t="str">
        <f t="shared" si="3017"/>
        <v>2Q18E</v>
      </c>
      <c r="BW1336" s="437" t="str">
        <f t="shared" si="3017"/>
        <v>3Q18E</v>
      </c>
      <c r="BX1336" s="437" t="str">
        <f t="shared" si="3017"/>
        <v>4Q18E</v>
      </c>
      <c r="BY1336" s="438" t="str">
        <f t="shared" si="3017"/>
        <v>2018E</v>
      </c>
      <c r="BZ1336" s="438" t="str">
        <f t="shared" si="3017"/>
        <v>2019E</v>
      </c>
      <c r="CA1336" s="438" t="str">
        <f t="shared" si="3017"/>
        <v>2020E</v>
      </c>
      <c r="CB1336" s="438" t="str">
        <f t="shared" si="3017"/>
        <v>2021E</v>
      </c>
      <c r="CC1336" s="438" t="str">
        <f>CC$6</f>
        <v>2022E</v>
      </c>
      <c r="CD1336" s="438" t="str">
        <f>CD$6</f>
        <v>2023E</v>
      </c>
      <c r="CE1336" s="438" t="str">
        <f>CE$6</f>
        <v>2024E</v>
      </c>
      <c r="CF1336" s="438" t="str">
        <f>CF$6</f>
        <v>2025E</v>
      </c>
      <c r="CG1336" s="331"/>
      <c r="CH1336" s="331"/>
      <c r="CI1336" s="331"/>
      <c r="CJ1336" s="331"/>
      <c r="CK1336" s="331"/>
      <c r="CL1336" s="2102" t="str">
        <f>A1336</f>
        <v>BALANCE SHEET</v>
      </c>
      <c r="CM1336" s="2229">
        <f>G1336</f>
        <v>2004</v>
      </c>
      <c r="CN1336" s="2229">
        <f>L1336</f>
        <v>2005</v>
      </c>
      <c r="CO1336" s="2229">
        <f>Q1336</f>
        <v>2006</v>
      </c>
      <c r="CP1336" s="2229">
        <f>V1336</f>
        <v>2007</v>
      </c>
      <c r="CQ1336" s="2229">
        <f>AA1336</f>
        <v>2008</v>
      </c>
      <c r="CR1336" s="2229">
        <f>AF1336</f>
        <v>2009</v>
      </c>
      <c r="CS1336" s="2229">
        <f>AK1336</f>
        <v>2010</v>
      </c>
      <c r="CT1336" s="2229">
        <f>AP1336</f>
        <v>2011</v>
      </c>
      <c r="CU1336" s="2229">
        <f>AU1336</f>
        <v>2012</v>
      </c>
      <c r="CV1336" s="2229">
        <f>AZ1336</f>
        <v>2013</v>
      </c>
      <c r="CW1336" s="2229">
        <f>BE1336</f>
        <v>2014</v>
      </c>
      <c r="CX1336" s="2229">
        <f>BJ1336</f>
        <v>2015</v>
      </c>
      <c r="CY1336" s="2229">
        <f>BO1336</f>
        <v>2016</v>
      </c>
      <c r="CZ1336" s="2229">
        <f>BT1336</f>
        <v>2017</v>
      </c>
      <c r="DA1336" s="2229" t="str">
        <f>BY1336</f>
        <v>2018E</v>
      </c>
      <c r="DB1336" s="2229" t="str">
        <f>BZ1336</f>
        <v>2019E</v>
      </c>
      <c r="DC1336" s="2230" t="str">
        <f>CA1336</f>
        <v>2020E</v>
      </c>
      <c r="DD1336" s="331"/>
      <c r="DE1336" s="331"/>
      <c r="DF1336" s="502"/>
      <c r="DG1336" s="503"/>
      <c r="DH1336" s="537"/>
      <c r="DI1336" s="3213"/>
      <c r="DJ1336" s="502"/>
      <c r="DK1336" s="503"/>
      <c r="DL1336" s="502"/>
      <c r="DM1336" s="502"/>
      <c r="DN1336" s="502"/>
      <c r="DO1336" s="502"/>
      <c r="DP1336" s="503"/>
      <c r="DQ1336" s="503"/>
      <c r="DR1336" s="296"/>
      <c r="DS1336" s="296"/>
      <c r="DT1336" s="296"/>
    </row>
    <row r="1337" spans="1:130" ht="12.75" customHeight="1" x14ac:dyDescent="0.25">
      <c r="A1337" s="283"/>
      <c r="B1337" s="283"/>
      <c r="C1337" s="575" t="s">
        <v>641</v>
      </c>
      <c r="D1337" s="855"/>
      <c r="E1337" s="855"/>
      <c r="F1337" s="855"/>
      <c r="G1337" s="852"/>
      <c r="H1337" s="855"/>
      <c r="I1337" s="855"/>
      <c r="J1337" s="855"/>
      <c r="K1337" s="855"/>
      <c r="L1337" s="852"/>
      <c r="M1337" s="855"/>
      <c r="N1337" s="855"/>
      <c r="O1337" s="855"/>
      <c r="P1337" s="855"/>
      <c r="Q1337" s="852"/>
      <c r="R1337" s="855"/>
      <c r="S1337" s="855"/>
      <c r="T1337" s="855"/>
      <c r="U1337" s="855"/>
      <c r="V1337" s="852"/>
      <c r="W1337" s="855"/>
      <c r="X1337" s="855"/>
      <c r="Y1337" s="855"/>
      <c r="Z1337" s="855"/>
      <c r="AA1337" s="852"/>
      <c r="AB1337" s="855"/>
      <c r="AC1337" s="855"/>
      <c r="AD1337" s="855"/>
      <c r="AE1337" s="855"/>
      <c r="AF1337" s="524"/>
      <c r="AG1337" s="523"/>
      <c r="AH1337" s="523"/>
      <c r="AI1337" s="523"/>
      <c r="AJ1337" s="523"/>
      <c r="AK1337" s="524"/>
      <c r="AL1337" s="523"/>
      <c r="AM1337" s="523"/>
      <c r="AN1337" s="523"/>
      <c r="AO1337" s="523"/>
      <c r="AP1337" s="525"/>
      <c r="AQ1337" s="520"/>
      <c r="AR1337" s="428"/>
      <c r="AS1337" s="428"/>
      <c r="AT1337" s="428"/>
      <c r="AU1337" s="429"/>
      <c r="AV1337" s="520"/>
      <c r="AW1337" s="428"/>
      <c r="AX1337" s="428"/>
      <c r="AY1337" s="840"/>
      <c r="AZ1337" s="429"/>
      <c r="BA1337" s="428"/>
      <c r="BB1337" s="428"/>
      <c r="BC1337" s="428"/>
      <c r="BD1337" s="428"/>
      <c r="BE1337" s="429"/>
      <c r="BF1337" s="430"/>
      <c r="BG1337" s="428"/>
      <c r="BH1337" s="428"/>
      <c r="BI1337" s="428"/>
      <c r="BJ1337" s="429"/>
      <c r="BK1337" s="428"/>
      <c r="BL1337" s="428"/>
      <c r="BM1337" s="428"/>
      <c r="BN1337" s="428"/>
      <c r="BO1337" s="429"/>
      <c r="BP1337" s="428"/>
      <c r="BQ1337" s="428"/>
      <c r="BR1337" s="428"/>
      <c r="BS1337" s="428"/>
      <c r="BT1337" s="3252"/>
      <c r="BU1337" s="2774"/>
      <c r="BV1337" s="3011"/>
      <c r="BW1337" s="3011"/>
      <c r="BX1337" s="3011"/>
      <c r="BY1337" s="3252"/>
      <c r="BZ1337" s="429"/>
      <c r="CA1337" s="429"/>
      <c r="CB1337" s="429"/>
      <c r="CC1337" s="429"/>
      <c r="CD1337" s="429"/>
      <c r="CE1337" s="429"/>
      <c r="CF1337" s="429"/>
      <c r="CG1337" s="331"/>
      <c r="CH1337" s="331"/>
      <c r="CI1337" s="331"/>
      <c r="CJ1337" s="331"/>
      <c r="CK1337" s="331"/>
      <c r="CL1337" s="525"/>
      <c r="CM1337" s="428"/>
      <c r="CN1337" s="428"/>
      <c r="CO1337" s="428"/>
      <c r="CP1337" s="428"/>
      <c r="CQ1337" s="428"/>
      <c r="CR1337" s="428"/>
      <c r="CS1337" s="428"/>
      <c r="CT1337" s="428"/>
      <c r="CU1337" s="428"/>
      <c r="CV1337" s="428"/>
      <c r="CW1337" s="428"/>
      <c r="CX1337" s="428"/>
      <c r="CY1337" s="428"/>
      <c r="CZ1337" s="428"/>
      <c r="DA1337" s="428"/>
      <c r="DB1337" s="428"/>
      <c r="DC1337" s="840"/>
      <c r="DD1337" s="331"/>
      <c r="DE1337" s="331"/>
      <c r="DF1337" s="502"/>
      <c r="DG1337" s="503"/>
      <c r="DH1337" s="3011"/>
      <c r="DI1337" s="3213"/>
      <c r="DJ1337" s="502"/>
      <c r="DK1337" s="503"/>
      <c r="DL1337" s="502"/>
      <c r="DM1337" s="502"/>
      <c r="DN1337" s="502"/>
      <c r="DO1337" s="502"/>
      <c r="DP1337" s="503"/>
      <c r="DQ1337" s="503"/>
      <c r="DR1337" s="296"/>
      <c r="DS1337" s="296"/>
      <c r="DT1337" s="296"/>
    </row>
    <row r="1338" spans="1:130" ht="12.75" customHeight="1" x14ac:dyDescent="0.25">
      <c r="A1338" s="604" t="s">
        <v>1716</v>
      </c>
      <c r="B1338" s="281"/>
      <c r="C1338" s="281"/>
      <c r="D1338" s="281"/>
      <c r="E1338" s="281"/>
      <c r="F1338" s="281"/>
      <c r="G1338" s="419"/>
      <c r="H1338" s="281"/>
      <c r="I1338" s="281"/>
      <c r="J1338" s="281"/>
      <c r="K1338" s="281"/>
      <c r="L1338" s="419"/>
      <c r="M1338" s="281"/>
      <c r="N1338" s="281"/>
      <c r="O1338" s="281"/>
      <c r="P1338" s="281"/>
      <c r="Q1338" s="419"/>
      <c r="R1338" s="281"/>
      <c r="S1338" s="281"/>
      <c r="T1338" s="281"/>
      <c r="U1338" s="281"/>
      <c r="V1338" s="419"/>
      <c r="W1338" s="281"/>
      <c r="X1338" s="281"/>
      <c r="Y1338" s="281"/>
      <c r="Z1338" s="281"/>
      <c r="AA1338" s="419"/>
      <c r="AB1338" s="281"/>
      <c r="AC1338" s="281"/>
      <c r="AD1338" s="281"/>
      <c r="AE1338" s="428"/>
      <c r="AF1338" s="429"/>
      <c r="AG1338" s="428"/>
      <c r="AH1338" s="428"/>
      <c r="AI1338" s="428"/>
      <c r="AJ1338" s="428"/>
      <c r="AK1338" s="429"/>
      <c r="AL1338" s="428"/>
      <c r="AM1338" s="428"/>
      <c r="AN1338" s="428"/>
      <c r="AO1338" s="428"/>
      <c r="AP1338" s="520"/>
      <c r="AQ1338" s="520"/>
      <c r="AR1338" s="428"/>
      <c r="AS1338" s="428"/>
      <c r="AT1338" s="428"/>
      <c r="AU1338" s="429"/>
      <c r="AV1338" s="520"/>
      <c r="AW1338" s="428"/>
      <c r="AX1338" s="428"/>
      <c r="AY1338" s="2496" t="s">
        <v>1324</v>
      </c>
      <c r="AZ1338" s="429"/>
      <c r="BA1338" s="428"/>
      <c r="BB1338" s="428"/>
      <c r="BC1338" s="428"/>
      <c r="BD1338" s="428"/>
      <c r="BE1338" s="429"/>
      <c r="BF1338" s="428"/>
      <c r="BG1338" s="428"/>
      <c r="BH1338" s="428"/>
      <c r="BI1338" s="428"/>
      <c r="BJ1338" s="429"/>
      <c r="BK1338" s="428"/>
      <c r="BL1338" s="428"/>
      <c r="BM1338" s="428"/>
      <c r="BN1338" s="428"/>
      <c r="BO1338" s="429"/>
      <c r="BP1338" s="428"/>
      <c r="BQ1338" s="428"/>
      <c r="BR1338" s="428"/>
      <c r="BS1338" s="428"/>
      <c r="BT1338" s="3252"/>
      <c r="BU1338" s="2774"/>
      <c r="BV1338" s="3011"/>
      <c r="BW1338" s="3011"/>
      <c r="BX1338" s="3011"/>
      <c r="BY1338" s="3252"/>
      <c r="BZ1338" s="429"/>
      <c r="CA1338" s="429"/>
      <c r="CB1338" s="429"/>
      <c r="CC1338" s="429"/>
      <c r="CD1338" s="429"/>
      <c r="CE1338" s="429"/>
      <c r="CF1338" s="429"/>
      <c r="CG1338" s="331"/>
      <c r="CH1338" s="331"/>
      <c r="CI1338" s="331"/>
      <c r="CJ1338" s="331"/>
      <c r="CK1338" s="331"/>
      <c r="CL1338" s="2232" t="str">
        <f t="shared" ref="CL1338:CL1344" si="3018">A1338</f>
        <v>Assets</v>
      </c>
      <c r="CM1338" s="428"/>
      <c r="CN1338" s="428"/>
      <c r="CO1338" s="428"/>
      <c r="CP1338" s="428"/>
      <c r="CQ1338" s="428"/>
      <c r="CR1338" s="428"/>
      <c r="CS1338" s="428"/>
      <c r="CT1338" s="428"/>
      <c r="CU1338" s="428"/>
      <c r="CV1338" s="428"/>
      <c r="CW1338" s="428"/>
      <c r="CX1338" s="428"/>
      <c r="CY1338" s="428"/>
      <c r="CZ1338" s="428"/>
      <c r="DA1338" s="428"/>
      <c r="DB1338" s="428"/>
      <c r="DC1338" s="840"/>
      <c r="DD1338" s="331"/>
      <c r="DE1338" s="331"/>
      <c r="DF1338" s="502"/>
      <c r="DG1338" s="503"/>
      <c r="DH1338" s="3011"/>
      <c r="DI1338" s="3213"/>
      <c r="DJ1338" s="502"/>
      <c r="DK1338" s="503"/>
      <c r="DL1338" s="502"/>
      <c r="DM1338" s="502"/>
      <c r="DN1338" s="502"/>
      <c r="DO1338" s="502"/>
      <c r="DP1338" s="503"/>
      <c r="DQ1338" s="503"/>
      <c r="DR1338" s="296"/>
      <c r="DS1338" s="296"/>
      <c r="DT1338" s="296"/>
    </row>
    <row r="1339" spans="1:130" ht="12.75" customHeight="1" x14ac:dyDescent="0.25">
      <c r="A1339" s="354" t="s">
        <v>22</v>
      </c>
      <c r="B1339" s="281"/>
      <c r="C1339" s="480">
        <v>0</v>
      </c>
      <c r="D1339" s="480">
        <v>122.57300000000005</v>
      </c>
      <c r="E1339" s="480">
        <v>83.2</v>
      </c>
      <c r="F1339" s="480">
        <v>87.62</v>
      </c>
      <c r="G1339" s="510">
        <f t="shared" ref="G1339:G1344" si="3019">F1339</f>
        <v>87.62</v>
      </c>
      <c r="H1339" s="480">
        <v>307.46300000000002</v>
      </c>
      <c r="I1339" s="480">
        <v>155.30300000000005</v>
      </c>
      <c r="J1339" s="480">
        <v>173.94300000000004</v>
      </c>
      <c r="K1339" s="480">
        <v>132.62</v>
      </c>
      <c r="L1339" s="510">
        <f t="shared" ref="L1339:L1344" si="3020">K1339</f>
        <v>132.62</v>
      </c>
      <c r="M1339" s="480">
        <v>138.12</v>
      </c>
      <c r="N1339" s="480">
        <v>130.31799999999993</v>
      </c>
      <c r="O1339" s="480">
        <v>136.32199999999992</v>
      </c>
      <c r="P1339" s="480">
        <v>168.51499999999999</v>
      </c>
      <c r="Q1339" s="510">
        <f t="shared" ref="Q1339:Q1344" si="3021">P1339</f>
        <v>168.51499999999999</v>
      </c>
      <c r="R1339" s="480">
        <v>170.82200000000006</v>
      </c>
      <c r="S1339" s="480">
        <v>159.59400000000011</v>
      </c>
      <c r="T1339" s="480">
        <v>179.13700000000011</v>
      </c>
      <c r="U1339" s="480">
        <v>174.3720000000001</v>
      </c>
      <c r="V1339" s="510">
        <f t="shared" ref="V1339:V1344" si="3022">U1339</f>
        <v>174.3720000000001</v>
      </c>
      <c r="W1339" s="480">
        <v>167.89900000000006</v>
      </c>
      <c r="X1339" s="480">
        <v>124.37100000000004</v>
      </c>
      <c r="Y1339" s="480">
        <v>125.65599999999999</v>
      </c>
      <c r="Z1339" s="480">
        <v>746.27800000000013</v>
      </c>
      <c r="AA1339" s="881">
        <f t="shared" ref="AA1339:AA1344" si="3023">Z1339</f>
        <v>746.27800000000013</v>
      </c>
      <c r="AB1339" s="887">
        <v>738.23599999999999</v>
      </c>
      <c r="AC1339" s="887">
        <v>795.11699999999996</v>
      </c>
      <c r="AD1339" s="887">
        <v>764.40899999999999</v>
      </c>
      <c r="AE1339" s="888">
        <v>713.11800000000005</v>
      </c>
      <c r="AF1339" s="884">
        <f t="shared" ref="AF1339:AF1344" si="3024">AE1339</f>
        <v>713.11800000000005</v>
      </c>
      <c r="AG1339" s="883">
        <f>AG1333</f>
        <v>642.50699999999995</v>
      </c>
      <c r="AH1339" s="883">
        <f>AH1333</f>
        <v>398.20399999999995</v>
      </c>
      <c r="AI1339" s="883">
        <f>AI1333</f>
        <v>355.44199999999995</v>
      </c>
      <c r="AJ1339" s="883">
        <f>AJ1333</f>
        <v>246.38499999999993</v>
      </c>
      <c r="AK1339" s="884">
        <f t="shared" ref="AK1339:AK1344" si="3025">AJ1339</f>
        <v>246.38499999999993</v>
      </c>
      <c r="AL1339" s="883">
        <f>AL1333</f>
        <v>234.47799999999989</v>
      </c>
      <c r="AM1339" s="883">
        <f>AM1333</f>
        <v>321.9849999999999</v>
      </c>
      <c r="AN1339" s="883">
        <f>AN1333</f>
        <v>207.8209999999998</v>
      </c>
      <c r="AO1339" s="883">
        <f>AO1333</f>
        <v>238.43999999999994</v>
      </c>
      <c r="AP1339" s="885">
        <f t="shared" ref="AP1339:AP1344" si="3026">AO1339</f>
        <v>238.43999999999994</v>
      </c>
      <c r="AQ1339" s="885">
        <f>AQ1333</f>
        <v>217.45100000000002</v>
      </c>
      <c r="AR1339" s="883">
        <f>AR1333</f>
        <v>204.12600000000003</v>
      </c>
      <c r="AS1339" s="883">
        <f>AS1333</f>
        <v>217.43200000000004</v>
      </c>
      <c r="AT1339" s="883">
        <f>AT1333</f>
        <v>260.46699999999987</v>
      </c>
      <c r="AU1339" s="884">
        <f t="shared" ref="AU1339:AU1344" si="3027">AT1339</f>
        <v>260.46699999999987</v>
      </c>
      <c r="AV1339" s="883">
        <f>AV1333</f>
        <v>247.70199999999988</v>
      </c>
      <c r="AW1339" s="883">
        <f>AW1333</f>
        <v>235.13499999999988</v>
      </c>
      <c r="AX1339" s="883">
        <f>AX1333</f>
        <v>267.87099999999998</v>
      </c>
      <c r="AY1339" s="883">
        <f>AY1333</f>
        <v>292.99499999999972</v>
      </c>
      <c r="AZ1339" s="884">
        <f t="shared" ref="AZ1339:AZ1344" si="3028">AY1339</f>
        <v>292.99499999999972</v>
      </c>
      <c r="BA1339" s="883">
        <f>BA1333</f>
        <v>287.6949999999996</v>
      </c>
      <c r="BB1339" s="883">
        <f>BB1333</f>
        <v>251.29899999999958</v>
      </c>
      <c r="BC1339" s="883">
        <f>BC1333</f>
        <v>230.70699999999957</v>
      </c>
      <c r="BD1339" s="883">
        <f>BD1333</f>
        <v>208.67299999999966</v>
      </c>
      <c r="BE1339" s="884">
        <f>+BD1339</f>
        <v>208.67299999999966</v>
      </c>
      <c r="BF1339" s="883">
        <f>BF1333</f>
        <v>237.72899999999976</v>
      </c>
      <c r="BG1339" s="883">
        <f>BG1333</f>
        <v>233.11799999999974</v>
      </c>
      <c r="BH1339" s="883">
        <f>BH1333</f>
        <v>223.48899999999966</v>
      </c>
      <c r="BI1339" s="883">
        <f>BI1333</f>
        <v>237.00899999999973</v>
      </c>
      <c r="BJ1339" s="884">
        <f>+BI1339</f>
        <v>237.00899999999973</v>
      </c>
      <c r="BK1339" s="883">
        <f>BK1333</f>
        <v>214.23799999999969</v>
      </c>
      <c r="BL1339" s="883">
        <f>BL1333</f>
        <v>221.35999999999967</v>
      </c>
      <c r="BM1339" s="883">
        <f>BM1333</f>
        <v>201.76799999999972</v>
      </c>
      <c r="BN1339" s="883">
        <f>BN1333</f>
        <v>229.50999999999974</v>
      </c>
      <c r="BO1339" s="884">
        <f>+BN1339</f>
        <v>229.50999999999974</v>
      </c>
      <c r="BP1339" s="883">
        <f>BP1333</f>
        <v>259.48799999999977</v>
      </c>
      <c r="BQ1339" s="883">
        <f>BQ1333</f>
        <v>224.39899999999983</v>
      </c>
      <c r="BR1339" s="883">
        <f>BR1333</f>
        <v>264.90699999999958</v>
      </c>
      <c r="BS1339" s="883">
        <f>BS1333</f>
        <v>277.95299999999992</v>
      </c>
      <c r="BT1339" s="3205">
        <f>+BS1339</f>
        <v>277.95299999999992</v>
      </c>
      <c r="BU1339" s="3151">
        <f>BU1333</f>
        <v>309.30133940693827</v>
      </c>
      <c r="BV1339" s="3151">
        <f>BV1333</f>
        <v>363.04690894997117</v>
      </c>
      <c r="BW1339" s="3151">
        <f>BW1333</f>
        <v>382.69028201256134</v>
      </c>
      <c r="BX1339" s="3151">
        <f>BX1333</f>
        <v>425.46427251445709</v>
      </c>
      <c r="BY1339" s="3205">
        <f>+BX1339</f>
        <v>425.46427251445709</v>
      </c>
      <c r="BZ1339" s="3205">
        <f t="shared" ref="BZ1339:CF1339" si="3029">BZ1333</f>
        <v>414.2020599770957</v>
      </c>
      <c r="CA1339" s="3205">
        <f t="shared" si="3029"/>
        <v>624.10862582614357</v>
      </c>
      <c r="CB1339" s="884">
        <f t="shared" si="3029"/>
        <v>-6252.2665324495902</v>
      </c>
      <c r="CC1339" s="884">
        <f t="shared" si="3029"/>
        <v>-6159.1745943703236</v>
      </c>
      <c r="CD1339" s="884">
        <f t="shared" si="3029"/>
        <v>-6063.1931594064272</v>
      </c>
      <c r="CE1339" s="884">
        <f t="shared" si="3029"/>
        <v>-5955.209849118748</v>
      </c>
      <c r="CF1339" s="884">
        <f t="shared" si="3029"/>
        <v>-5816.9029355274497</v>
      </c>
      <c r="CG1339" s="331"/>
      <c r="CH1339" s="331"/>
      <c r="CI1339" s="331"/>
      <c r="CJ1339" s="331"/>
      <c r="CK1339" s="331"/>
      <c r="CL1339" s="1277" t="str">
        <f t="shared" si="3018"/>
        <v>Cash and equivalents</v>
      </c>
      <c r="CM1339" s="883">
        <f t="shared" ref="CM1339:CM1346" si="3030">G1339</f>
        <v>87.62</v>
      </c>
      <c r="CN1339" s="883">
        <f t="shared" ref="CN1339:CN1346" si="3031">L1339</f>
        <v>132.62</v>
      </c>
      <c r="CO1339" s="883">
        <f t="shared" ref="CO1339:CO1346" si="3032">Q1339</f>
        <v>168.51499999999999</v>
      </c>
      <c r="CP1339" s="883">
        <f t="shared" ref="CP1339:CP1346" si="3033">V1339</f>
        <v>174.3720000000001</v>
      </c>
      <c r="CQ1339" s="883">
        <f t="shared" ref="CQ1339:CQ1346" si="3034">AA1339</f>
        <v>746.27800000000013</v>
      </c>
      <c r="CR1339" s="883">
        <f t="shared" ref="CR1339:CR1346" si="3035">AF1339</f>
        <v>713.11800000000005</v>
      </c>
      <c r="CS1339" s="883">
        <f t="shared" ref="CS1339:CS1346" si="3036">AK1339</f>
        <v>246.38499999999993</v>
      </c>
      <c r="CT1339" s="883">
        <f t="shared" ref="CT1339:CT1346" si="3037">AP1339</f>
        <v>238.43999999999994</v>
      </c>
      <c r="CU1339" s="883">
        <f t="shared" ref="CU1339:CU1346" si="3038">AU1339</f>
        <v>260.46699999999987</v>
      </c>
      <c r="CV1339" s="883">
        <f t="shared" ref="CV1339:CV1346" si="3039">AZ1339</f>
        <v>292.99499999999972</v>
      </c>
      <c r="CW1339" s="883">
        <f t="shared" ref="CW1339:CW1346" si="3040">BE1339</f>
        <v>208.67299999999966</v>
      </c>
      <c r="CX1339" s="883">
        <f t="shared" ref="CX1339:CX1346" si="3041">BJ1339</f>
        <v>237.00899999999973</v>
      </c>
      <c r="CY1339" s="883">
        <f t="shared" ref="CY1339:CY1346" si="3042">BO1339</f>
        <v>229.50999999999974</v>
      </c>
      <c r="CZ1339" s="883">
        <f t="shared" ref="CZ1339:CZ1346" si="3043">BT1339</f>
        <v>277.95299999999992</v>
      </c>
      <c r="DA1339" s="883">
        <f t="shared" ref="DA1339:DC1346" si="3044">BY1339</f>
        <v>425.46427251445709</v>
      </c>
      <c r="DB1339" s="883">
        <f t="shared" si="3044"/>
        <v>414.2020599770957</v>
      </c>
      <c r="DC1339" s="886">
        <f t="shared" si="3044"/>
        <v>624.10862582614357</v>
      </c>
      <c r="DD1339" s="331"/>
      <c r="DE1339" s="331"/>
      <c r="DF1339" s="502"/>
      <c r="DG1339" s="503"/>
      <c r="DH1339" s="3151"/>
      <c r="DI1339" s="3213"/>
      <c r="DJ1339" s="502"/>
      <c r="DK1339" s="503"/>
      <c r="DL1339" s="502"/>
      <c r="DM1339" s="502"/>
      <c r="DN1339" s="502"/>
      <c r="DO1339" s="502"/>
      <c r="DP1339" s="503"/>
      <c r="DQ1339" s="503"/>
      <c r="DR1339" s="296"/>
      <c r="DS1339" s="296"/>
      <c r="DT1339" s="296"/>
    </row>
    <row r="1340" spans="1:130" ht="12.75" customHeight="1" x14ac:dyDescent="0.25">
      <c r="A1340" s="354" t="s">
        <v>23</v>
      </c>
      <c r="B1340" s="281"/>
      <c r="C1340" s="480">
        <v>0</v>
      </c>
      <c r="D1340" s="480">
        <v>0</v>
      </c>
      <c r="E1340" s="480">
        <v>0</v>
      </c>
      <c r="F1340" s="480">
        <v>0</v>
      </c>
      <c r="G1340" s="510">
        <f t="shared" si="3019"/>
        <v>0</v>
      </c>
      <c r="H1340" s="480">
        <v>0</v>
      </c>
      <c r="I1340" s="480">
        <v>0</v>
      </c>
      <c r="J1340" s="480">
        <v>0</v>
      </c>
      <c r="K1340" s="480">
        <v>0</v>
      </c>
      <c r="L1340" s="510">
        <f t="shared" si="3020"/>
        <v>0</v>
      </c>
      <c r="M1340" s="480">
        <v>0</v>
      </c>
      <c r="N1340" s="480">
        <v>0</v>
      </c>
      <c r="O1340" s="480">
        <v>0</v>
      </c>
      <c r="P1340" s="480">
        <v>0</v>
      </c>
      <c r="Q1340" s="510">
        <f t="shared" si="3021"/>
        <v>0</v>
      </c>
      <c r="R1340" s="480">
        <v>0</v>
      </c>
      <c r="S1340" s="480">
        <v>0</v>
      </c>
      <c r="T1340" s="480">
        <v>0</v>
      </c>
      <c r="U1340" s="480">
        <v>0</v>
      </c>
      <c r="V1340" s="510">
        <f t="shared" si="3022"/>
        <v>0</v>
      </c>
      <c r="W1340" s="480">
        <v>0</v>
      </c>
      <c r="X1340" s="480">
        <v>0</v>
      </c>
      <c r="Y1340" s="480">
        <v>0</v>
      </c>
      <c r="Z1340" s="480">
        <v>0</v>
      </c>
      <c r="AA1340" s="510">
        <f t="shared" si="3023"/>
        <v>0</v>
      </c>
      <c r="AB1340" s="480">
        <v>0</v>
      </c>
      <c r="AC1340" s="480">
        <v>0</v>
      </c>
      <c r="AD1340" s="480">
        <v>0</v>
      </c>
      <c r="AE1340" s="430">
        <f>AD1340</f>
        <v>0</v>
      </c>
      <c r="AF1340" s="481">
        <f t="shared" si="3024"/>
        <v>0</v>
      </c>
      <c r="AG1340" s="482"/>
      <c r="AH1340" s="482"/>
      <c r="AI1340" s="482"/>
      <c r="AJ1340" s="482"/>
      <c r="AK1340" s="481">
        <f t="shared" si="3025"/>
        <v>0</v>
      </c>
      <c r="AL1340" s="482"/>
      <c r="AM1340" s="482"/>
      <c r="AN1340" s="482"/>
      <c r="AO1340" s="482"/>
      <c r="AP1340" s="483">
        <f t="shared" si="3026"/>
        <v>0</v>
      </c>
      <c r="AQ1340" s="482">
        <v>0</v>
      </c>
      <c r="AR1340" s="482">
        <v>0</v>
      </c>
      <c r="AS1340" s="482">
        <v>0</v>
      </c>
      <c r="AT1340" s="482">
        <v>0</v>
      </c>
      <c r="AU1340" s="481">
        <f t="shared" si="3027"/>
        <v>0</v>
      </c>
      <c r="AV1340" s="482">
        <v>0</v>
      </c>
      <c r="AW1340" s="482">
        <v>0</v>
      </c>
      <c r="AX1340" s="482"/>
      <c r="AY1340" s="482">
        <v>0</v>
      </c>
      <c r="AZ1340" s="484">
        <f t="shared" si="3028"/>
        <v>0</v>
      </c>
      <c r="BA1340" s="430"/>
      <c r="BB1340" s="430"/>
      <c r="BC1340" s="430"/>
      <c r="BD1340" s="430"/>
      <c r="BE1340" s="484"/>
      <c r="BF1340" s="430"/>
      <c r="BG1340" s="430"/>
      <c r="BH1340" s="430"/>
      <c r="BI1340" s="430"/>
      <c r="BJ1340" s="484"/>
      <c r="BK1340" s="430"/>
      <c r="BL1340" s="430"/>
      <c r="BM1340" s="430"/>
      <c r="BN1340" s="430"/>
      <c r="BO1340" s="484"/>
      <c r="BP1340" s="430"/>
      <c r="BQ1340" s="430"/>
      <c r="BR1340" s="430"/>
      <c r="BS1340" s="430"/>
      <c r="BT1340" s="2587"/>
      <c r="BU1340" s="3397"/>
      <c r="BV1340" s="2840"/>
      <c r="BW1340" s="2840"/>
      <c r="BX1340" s="2840"/>
      <c r="BY1340" s="2587"/>
      <c r="BZ1340" s="484"/>
      <c r="CA1340" s="484"/>
      <c r="CB1340" s="484"/>
      <c r="CC1340" s="484"/>
      <c r="CD1340" s="484"/>
      <c r="CE1340" s="484"/>
      <c r="CF1340" s="484"/>
      <c r="CG1340" s="331"/>
      <c r="CH1340" s="331"/>
      <c r="CI1340" s="331"/>
      <c r="CJ1340" s="331"/>
      <c r="CK1340" s="331"/>
      <c r="CL1340" s="1277" t="str">
        <f t="shared" si="3018"/>
        <v xml:space="preserve">Restricted cash </v>
      </c>
      <c r="CM1340" s="430">
        <f t="shared" si="3030"/>
        <v>0</v>
      </c>
      <c r="CN1340" s="430">
        <f t="shared" si="3031"/>
        <v>0</v>
      </c>
      <c r="CO1340" s="430">
        <f t="shared" si="3032"/>
        <v>0</v>
      </c>
      <c r="CP1340" s="430">
        <f t="shared" si="3033"/>
        <v>0</v>
      </c>
      <c r="CQ1340" s="430">
        <f t="shared" si="3034"/>
        <v>0</v>
      </c>
      <c r="CR1340" s="430">
        <f t="shared" si="3035"/>
        <v>0</v>
      </c>
      <c r="CS1340" s="430">
        <f t="shared" si="3036"/>
        <v>0</v>
      </c>
      <c r="CT1340" s="430">
        <f t="shared" si="3037"/>
        <v>0</v>
      </c>
      <c r="CU1340" s="430">
        <f t="shared" si="3038"/>
        <v>0</v>
      </c>
      <c r="CV1340" s="430">
        <f t="shared" si="3039"/>
        <v>0</v>
      </c>
      <c r="CW1340" s="430">
        <f t="shared" si="3040"/>
        <v>0</v>
      </c>
      <c r="CX1340" s="430">
        <f t="shared" si="3041"/>
        <v>0</v>
      </c>
      <c r="CY1340" s="430">
        <f t="shared" si="3042"/>
        <v>0</v>
      </c>
      <c r="CZ1340" s="430">
        <f t="shared" si="3043"/>
        <v>0</v>
      </c>
      <c r="DA1340" s="430">
        <f t="shared" si="3044"/>
        <v>0</v>
      </c>
      <c r="DB1340" s="430">
        <f t="shared" si="3044"/>
        <v>0</v>
      </c>
      <c r="DC1340" s="853">
        <f t="shared" si="3044"/>
        <v>0</v>
      </c>
      <c r="DD1340" s="331"/>
      <c r="DE1340" s="331"/>
      <c r="DF1340" s="502"/>
      <c r="DG1340" s="503"/>
      <c r="DH1340" s="2840"/>
      <c r="DI1340" s="3213"/>
      <c r="DJ1340" s="502"/>
      <c r="DK1340" s="503"/>
      <c r="DL1340" s="502"/>
      <c r="DM1340" s="502"/>
      <c r="DN1340" s="502"/>
      <c r="DO1340" s="502"/>
      <c r="DP1340" s="503"/>
      <c r="DQ1340" s="503"/>
      <c r="DR1340" s="296"/>
      <c r="DS1340" s="296"/>
      <c r="DT1340" s="296"/>
    </row>
    <row r="1341" spans="1:130" ht="12.75" customHeight="1" x14ac:dyDescent="0.25">
      <c r="A1341" s="272" t="s">
        <v>1454</v>
      </c>
      <c r="B1341" s="281"/>
      <c r="C1341" s="480">
        <v>0</v>
      </c>
      <c r="D1341" s="480">
        <v>32.445999999999998</v>
      </c>
      <c r="E1341" s="480">
        <v>34.475000000000001</v>
      </c>
      <c r="F1341" s="480">
        <v>40.811999999999998</v>
      </c>
      <c r="G1341" s="510">
        <f t="shared" si="3019"/>
        <v>40.811999999999998</v>
      </c>
      <c r="H1341" s="480">
        <v>36.002000000000002</v>
      </c>
      <c r="I1341" s="480">
        <v>45.615000000000002</v>
      </c>
      <c r="J1341" s="480">
        <v>76.818999999999988</v>
      </c>
      <c r="K1341" s="480">
        <v>47.631999999999998</v>
      </c>
      <c r="L1341" s="510">
        <f t="shared" si="3020"/>
        <v>47.631999999999998</v>
      </c>
      <c r="M1341" s="480">
        <v>46.262999999999998</v>
      </c>
      <c r="N1341" s="480">
        <v>53.305</v>
      </c>
      <c r="O1341" s="480">
        <v>58.856999999999999</v>
      </c>
      <c r="P1341" s="480">
        <v>53.829000000000001</v>
      </c>
      <c r="Q1341" s="510">
        <f t="shared" si="3021"/>
        <v>53.829000000000001</v>
      </c>
      <c r="R1341" s="480">
        <v>45.075000000000003</v>
      </c>
      <c r="S1341" s="480">
        <v>41.237000000000002</v>
      </c>
      <c r="T1341" s="480">
        <v>50.651000000000003</v>
      </c>
      <c r="U1341" s="480">
        <v>56.427</v>
      </c>
      <c r="V1341" s="510">
        <f t="shared" si="3022"/>
        <v>56.427</v>
      </c>
      <c r="W1341" s="480">
        <v>60.072000000000003</v>
      </c>
      <c r="X1341" s="480">
        <v>54.680999999999997</v>
      </c>
      <c r="Y1341" s="480">
        <v>54.558999999999997</v>
      </c>
      <c r="Z1341" s="480">
        <v>43.573999999999998</v>
      </c>
      <c r="AA1341" s="510">
        <f t="shared" si="3023"/>
        <v>43.573999999999998</v>
      </c>
      <c r="AB1341" s="480">
        <v>39.746000000000002</v>
      </c>
      <c r="AC1341" s="480">
        <v>45.463000000000001</v>
      </c>
      <c r="AD1341" s="480">
        <v>49.073999999999998</v>
      </c>
      <c r="AE1341" s="482">
        <v>46.671999999999997</v>
      </c>
      <c r="AF1341" s="481">
        <f t="shared" si="3024"/>
        <v>46.671999999999997</v>
      </c>
      <c r="AG1341" s="482">
        <f>37.846+13.654</f>
        <v>51.5</v>
      </c>
      <c r="AH1341" s="482">
        <v>46.253</v>
      </c>
      <c r="AI1341" s="482">
        <v>43.917000000000002</v>
      </c>
      <c r="AJ1341" s="482">
        <v>44.463000000000001</v>
      </c>
      <c r="AK1341" s="481">
        <f t="shared" si="3025"/>
        <v>44.463000000000001</v>
      </c>
      <c r="AL1341" s="482">
        <v>41.512</v>
      </c>
      <c r="AM1341" s="482">
        <v>51.822000000000003</v>
      </c>
      <c r="AN1341" s="482">
        <v>41.811999999999998</v>
      </c>
      <c r="AO1341" s="482">
        <v>55.454999999999998</v>
      </c>
      <c r="AP1341" s="481">
        <f t="shared" si="3026"/>
        <v>55.454999999999998</v>
      </c>
      <c r="AQ1341" s="482">
        <v>55.569000000000003</v>
      </c>
      <c r="AR1341" s="482">
        <v>53.601999999999997</v>
      </c>
      <c r="AS1341" s="482">
        <v>56.850999999999999</v>
      </c>
      <c r="AT1341" s="482">
        <v>53.72</v>
      </c>
      <c r="AU1341" s="481">
        <f t="shared" si="3027"/>
        <v>53.72</v>
      </c>
      <c r="AV1341" s="482">
        <v>56.887999999999998</v>
      </c>
      <c r="AW1341" s="482">
        <v>52.134999999999998</v>
      </c>
      <c r="AX1341" s="482">
        <v>42.453000000000003</v>
      </c>
      <c r="AY1341" s="482">
        <v>52.537999999999997</v>
      </c>
      <c r="AZ1341" s="481">
        <f t="shared" si="3028"/>
        <v>52.537999999999997</v>
      </c>
      <c r="BA1341" s="2675">
        <v>53.137</v>
      </c>
      <c r="BB1341" s="2675">
        <v>69.521000000000001</v>
      </c>
      <c r="BC1341" s="2675">
        <v>42.302999999999997</v>
      </c>
      <c r="BD1341" s="2675">
        <v>41.618000000000002</v>
      </c>
      <c r="BE1341" s="481">
        <f>+BD1341</f>
        <v>41.618000000000002</v>
      </c>
      <c r="BF1341" s="2675">
        <v>40.917999999999999</v>
      </c>
      <c r="BG1341" s="2675">
        <v>45.134999999999998</v>
      </c>
      <c r="BH1341" s="2675">
        <v>40.929000000000002</v>
      </c>
      <c r="BI1341" s="2675">
        <v>45.186</v>
      </c>
      <c r="BJ1341" s="481">
        <f>+BI1341</f>
        <v>45.186</v>
      </c>
      <c r="BK1341" s="2953">
        <v>47.029000000000003</v>
      </c>
      <c r="BL1341" s="2675">
        <v>47.069000000000003</v>
      </c>
      <c r="BM1341" s="482">
        <v>43.209000000000003</v>
      </c>
      <c r="BN1341" s="482">
        <v>61.854999999999997</v>
      </c>
      <c r="BO1341" s="481">
        <f>+BN1341</f>
        <v>61.854999999999997</v>
      </c>
      <c r="BP1341" s="482">
        <v>49.49</v>
      </c>
      <c r="BQ1341" s="482">
        <v>48.984000000000002</v>
      </c>
      <c r="BR1341" s="482">
        <v>54.081000000000003</v>
      </c>
      <c r="BS1341" s="3508">
        <v>62.805</v>
      </c>
      <c r="BT1341" s="2587">
        <f>+BS1341</f>
        <v>62.805</v>
      </c>
      <c r="BU1341" s="2840">
        <f>+BT1341+(BU1229-BT1229)</f>
        <v>62.805</v>
      </c>
      <c r="BV1341" s="2840">
        <f>+BU1341+(BV1229-BU1229)</f>
        <v>62.805</v>
      </c>
      <c r="BW1341" s="2840">
        <f>+BV1341+(BW1229-BV1229)</f>
        <v>62.805</v>
      </c>
      <c r="BX1341" s="2840">
        <f>+BW1341+(BX1229-BW1229)</f>
        <v>62.805</v>
      </c>
      <c r="BY1341" s="2587">
        <f>+BX1341</f>
        <v>62.805</v>
      </c>
      <c r="BZ1341" s="2587">
        <f t="shared" ref="BZ1341:CF1341" si="3045">+BY1341+(BZ1229-BY1229)</f>
        <v>62.805</v>
      </c>
      <c r="CA1341" s="2587">
        <f t="shared" si="3045"/>
        <v>62.805</v>
      </c>
      <c r="CB1341" s="481">
        <f t="shared" si="3045"/>
        <v>76.978731249999996</v>
      </c>
      <c r="CC1341" s="481">
        <f t="shared" si="3045"/>
        <v>91.152462499999999</v>
      </c>
      <c r="CD1341" s="481">
        <f t="shared" si="3045"/>
        <v>105.32619375</v>
      </c>
      <c r="CE1341" s="481">
        <f t="shared" si="3045"/>
        <v>119.49992499999999</v>
      </c>
      <c r="CF1341" s="481">
        <f t="shared" si="3045"/>
        <v>133.67365624999999</v>
      </c>
      <c r="CG1341" s="331"/>
      <c r="CH1341" s="331"/>
      <c r="CI1341" s="331"/>
      <c r="CJ1341" s="331"/>
      <c r="CK1341" s="331"/>
      <c r="CL1341" s="995" t="str">
        <f t="shared" si="3018"/>
        <v>Receivables</v>
      </c>
      <c r="CM1341" s="430">
        <f t="shared" si="3030"/>
        <v>40.811999999999998</v>
      </c>
      <c r="CN1341" s="430">
        <f t="shared" si="3031"/>
        <v>47.631999999999998</v>
      </c>
      <c r="CO1341" s="430">
        <f t="shared" si="3032"/>
        <v>53.829000000000001</v>
      </c>
      <c r="CP1341" s="430">
        <f t="shared" si="3033"/>
        <v>56.427</v>
      </c>
      <c r="CQ1341" s="430">
        <f t="shared" si="3034"/>
        <v>43.573999999999998</v>
      </c>
      <c r="CR1341" s="430">
        <f t="shared" si="3035"/>
        <v>46.671999999999997</v>
      </c>
      <c r="CS1341" s="430">
        <f t="shared" si="3036"/>
        <v>44.463000000000001</v>
      </c>
      <c r="CT1341" s="430">
        <f t="shared" si="3037"/>
        <v>55.454999999999998</v>
      </c>
      <c r="CU1341" s="430">
        <f t="shared" si="3038"/>
        <v>53.72</v>
      </c>
      <c r="CV1341" s="430">
        <f t="shared" si="3039"/>
        <v>52.537999999999997</v>
      </c>
      <c r="CW1341" s="430">
        <f t="shared" si="3040"/>
        <v>41.618000000000002</v>
      </c>
      <c r="CX1341" s="430">
        <f t="shared" si="3041"/>
        <v>45.186</v>
      </c>
      <c r="CY1341" s="430">
        <f t="shared" si="3042"/>
        <v>61.854999999999997</v>
      </c>
      <c r="CZ1341" s="430">
        <f t="shared" si="3043"/>
        <v>62.805</v>
      </c>
      <c r="DA1341" s="430">
        <f t="shared" si="3044"/>
        <v>62.805</v>
      </c>
      <c r="DB1341" s="430">
        <f t="shared" si="3044"/>
        <v>62.805</v>
      </c>
      <c r="DC1341" s="853">
        <f t="shared" si="3044"/>
        <v>62.805</v>
      </c>
      <c r="DD1341" s="331"/>
      <c r="DE1341" s="331"/>
      <c r="DF1341" s="502"/>
      <c r="DG1341" s="503"/>
      <c r="DH1341" s="2840"/>
      <c r="DI1341" s="3213"/>
      <c r="DJ1341" s="502"/>
      <c r="DK1341" s="503"/>
      <c r="DL1341" s="502"/>
      <c r="DM1341" s="502"/>
      <c r="DN1341" s="502"/>
      <c r="DO1341" s="502"/>
      <c r="DP1341" s="503"/>
      <c r="DQ1341" s="503"/>
      <c r="DR1341" s="296"/>
      <c r="DS1341" s="296"/>
      <c r="DT1341" s="296"/>
    </row>
    <row r="1342" spans="1:130" ht="12.75" customHeight="1" x14ac:dyDescent="0.25">
      <c r="A1342" s="272" t="s">
        <v>24</v>
      </c>
      <c r="B1342" s="281"/>
      <c r="C1342" s="480">
        <v>0</v>
      </c>
      <c r="D1342" s="480">
        <v>7.5830000000000002</v>
      </c>
      <c r="E1342" s="480">
        <v>7.5830000000000002</v>
      </c>
      <c r="F1342" s="480">
        <v>19.516999999999999</v>
      </c>
      <c r="G1342" s="510">
        <f t="shared" si="3019"/>
        <v>19.516999999999999</v>
      </c>
      <c r="H1342" s="480">
        <v>2.2770000000000001</v>
      </c>
      <c r="I1342" s="480">
        <v>2.2730000000000001</v>
      </c>
      <c r="J1342" s="480">
        <v>2.274</v>
      </c>
      <c r="K1342" s="480">
        <v>0</v>
      </c>
      <c r="L1342" s="510">
        <f t="shared" si="3020"/>
        <v>0</v>
      </c>
      <c r="M1342" s="480">
        <v>0</v>
      </c>
      <c r="N1342" s="480">
        <v>0</v>
      </c>
      <c r="O1342" s="480">
        <v>0</v>
      </c>
      <c r="P1342" s="480">
        <v>0</v>
      </c>
      <c r="Q1342" s="510">
        <f t="shared" si="3021"/>
        <v>0</v>
      </c>
      <c r="R1342" s="480">
        <v>0</v>
      </c>
      <c r="S1342" s="480">
        <v>0</v>
      </c>
      <c r="T1342" s="480">
        <v>0</v>
      </c>
      <c r="U1342" s="480">
        <v>0</v>
      </c>
      <c r="V1342" s="510">
        <f t="shared" si="3022"/>
        <v>0</v>
      </c>
      <c r="W1342" s="480">
        <v>0</v>
      </c>
      <c r="X1342" s="480">
        <v>0</v>
      </c>
      <c r="Y1342" s="480">
        <v>0</v>
      </c>
      <c r="Z1342" s="480">
        <v>0</v>
      </c>
      <c r="AA1342" s="510">
        <f t="shared" si="3023"/>
        <v>0</v>
      </c>
      <c r="AB1342" s="480">
        <v>0</v>
      </c>
      <c r="AC1342" s="480">
        <v>0</v>
      </c>
      <c r="AD1342" s="480">
        <v>0</v>
      </c>
      <c r="AE1342" s="430">
        <f>AD1342</f>
        <v>0</v>
      </c>
      <c r="AF1342" s="481">
        <f t="shared" si="3024"/>
        <v>0</v>
      </c>
      <c r="AG1342" s="430">
        <f>AF1342</f>
        <v>0</v>
      </c>
      <c r="AH1342" s="430">
        <f>AG1342</f>
        <v>0</v>
      </c>
      <c r="AI1342" s="482">
        <v>0</v>
      </c>
      <c r="AJ1342" s="482">
        <v>0</v>
      </c>
      <c r="AK1342" s="481">
        <f t="shared" si="3025"/>
        <v>0</v>
      </c>
      <c r="AL1342" s="430">
        <f>AK1342</f>
        <v>0</v>
      </c>
      <c r="AM1342" s="430">
        <f>AL1342</f>
        <v>0</v>
      </c>
      <c r="AN1342" s="430">
        <v>0</v>
      </c>
      <c r="AO1342" s="430">
        <v>1.0720000000000001</v>
      </c>
      <c r="AP1342" s="481">
        <f t="shared" si="3026"/>
        <v>1.0720000000000001</v>
      </c>
      <c r="AQ1342" s="482">
        <v>0</v>
      </c>
      <c r="AR1342" s="482">
        <v>0</v>
      </c>
      <c r="AS1342" s="482">
        <v>0</v>
      </c>
      <c r="AT1342" s="482">
        <v>0</v>
      </c>
      <c r="AU1342" s="481">
        <f t="shared" si="3027"/>
        <v>0</v>
      </c>
      <c r="AV1342" s="482">
        <v>0</v>
      </c>
      <c r="AW1342" s="482">
        <v>0</v>
      </c>
      <c r="AX1342" s="482">
        <v>0</v>
      </c>
      <c r="AY1342" s="482">
        <v>0</v>
      </c>
      <c r="AZ1342" s="481">
        <f t="shared" si="3028"/>
        <v>0</v>
      </c>
      <c r="BA1342" s="2675">
        <f>AZ1342</f>
        <v>0</v>
      </c>
      <c r="BB1342" s="2675">
        <v>0</v>
      </c>
      <c r="BC1342" s="2675">
        <v>0</v>
      </c>
      <c r="BD1342" s="2675">
        <v>0</v>
      </c>
      <c r="BE1342" s="481">
        <f>+BD1342</f>
        <v>0</v>
      </c>
      <c r="BF1342" s="2675">
        <v>0</v>
      </c>
      <c r="BG1342" s="2675">
        <v>0</v>
      </c>
      <c r="BH1342" s="2675">
        <f>BG1342</f>
        <v>0</v>
      </c>
      <c r="BI1342" s="2675">
        <v>0</v>
      </c>
      <c r="BJ1342" s="481">
        <f>+BI1342</f>
        <v>0</v>
      </c>
      <c r="BK1342" s="2953">
        <v>0</v>
      </c>
      <c r="BL1342" s="2675">
        <v>0</v>
      </c>
      <c r="BM1342" s="482">
        <v>0</v>
      </c>
      <c r="BN1342" s="430">
        <f>BM1342</f>
        <v>0</v>
      </c>
      <c r="BO1342" s="481">
        <f>+BN1342</f>
        <v>0</v>
      </c>
      <c r="BP1342" s="2953">
        <v>0</v>
      </c>
      <c r="BQ1342" s="2953">
        <v>0</v>
      </c>
      <c r="BR1342" s="482">
        <v>0</v>
      </c>
      <c r="BS1342" s="430">
        <f>BR1342</f>
        <v>0</v>
      </c>
      <c r="BT1342" s="2587">
        <f>+BS1342</f>
        <v>0</v>
      </c>
      <c r="BU1342" s="2840">
        <f t="shared" ref="BU1342:BX1343" si="3046">BT1342</f>
        <v>0</v>
      </c>
      <c r="BV1342" s="2840">
        <f t="shared" si="3046"/>
        <v>0</v>
      </c>
      <c r="BW1342" s="2840">
        <f t="shared" si="3046"/>
        <v>0</v>
      </c>
      <c r="BX1342" s="2840">
        <f t="shared" si="3046"/>
        <v>0</v>
      </c>
      <c r="BY1342" s="2587">
        <f>+BX1342</f>
        <v>0</v>
      </c>
      <c r="BZ1342" s="2587">
        <f>BY1342</f>
        <v>0</v>
      </c>
      <c r="CA1342" s="2587">
        <f>BZ1342</f>
        <v>0</v>
      </c>
      <c r="CB1342" s="481">
        <f t="shared" ref="CB1342:CF1344" si="3047">CA1342</f>
        <v>0</v>
      </c>
      <c r="CC1342" s="481">
        <f t="shared" si="3047"/>
        <v>0</v>
      </c>
      <c r="CD1342" s="481">
        <f t="shared" si="3047"/>
        <v>0</v>
      </c>
      <c r="CE1342" s="481">
        <f t="shared" si="3047"/>
        <v>0</v>
      </c>
      <c r="CF1342" s="481">
        <f t="shared" si="3047"/>
        <v>0</v>
      </c>
      <c r="CG1342" s="331"/>
      <c r="CH1342" s="331"/>
      <c r="CI1342" s="331"/>
      <c r="CJ1342" s="331"/>
      <c r="CK1342" s="331"/>
      <c r="CL1342" s="995" t="str">
        <f t="shared" si="3018"/>
        <v>Prepaid income taxes</v>
      </c>
      <c r="CM1342" s="430">
        <f t="shared" si="3030"/>
        <v>19.516999999999999</v>
      </c>
      <c r="CN1342" s="430">
        <f t="shared" si="3031"/>
        <v>0</v>
      </c>
      <c r="CO1342" s="430">
        <f t="shared" si="3032"/>
        <v>0</v>
      </c>
      <c r="CP1342" s="430">
        <f t="shared" si="3033"/>
        <v>0</v>
      </c>
      <c r="CQ1342" s="430">
        <f t="shared" si="3034"/>
        <v>0</v>
      </c>
      <c r="CR1342" s="430">
        <f t="shared" si="3035"/>
        <v>0</v>
      </c>
      <c r="CS1342" s="430">
        <f t="shared" si="3036"/>
        <v>0</v>
      </c>
      <c r="CT1342" s="430">
        <f t="shared" si="3037"/>
        <v>1.0720000000000001</v>
      </c>
      <c r="CU1342" s="430">
        <f t="shared" si="3038"/>
        <v>0</v>
      </c>
      <c r="CV1342" s="430">
        <f t="shared" si="3039"/>
        <v>0</v>
      </c>
      <c r="CW1342" s="430">
        <f t="shared" si="3040"/>
        <v>0</v>
      </c>
      <c r="CX1342" s="430">
        <f t="shared" si="3041"/>
        <v>0</v>
      </c>
      <c r="CY1342" s="430">
        <f t="shared" si="3042"/>
        <v>0</v>
      </c>
      <c r="CZ1342" s="430">
        <f t="shared" si="3043"/>
        <v>0</v>
      </c>
      <c r="DA1342" s="430">
        <f t="shared" si="3044"/>
        <v>0</v>
      </c>
      <c r="DB1342" s="430">
        <f t="shared" si="3044"/>
        <v>0</v>
      </c>
      <c r="DC1342" s="853">
        <f t="shared" si="3044"/>
        <v>0</v>
      </c>
      <c r="DD1342" s="331"/>
      <c r="DE1342" s="331"/>
      <c r="DF1342" s="502"/>
      <c r="DG1342" s="503"/>
      <c r="DH1342" s="2840"/>
      <c r="DI1342" s="3213"/>
      <c r="DJ1342" s="502"/>
      <c r="DK1342" s="503"/>
      <c r="DL1342" s="502"/>
      <c r="DM1342" s="502"/>
      <c r="DN1342" s="502"/>
      <c r="DO1342" s="502"/>
      <c r="DP1342" s="503"/>
      <c r="DQ1342" s="503"/>
      <c r="DR1342" s="296"/>
      <c r="DS1342" s="296"/>
      <c r="DT1342" s="296"/>
    </row>
    <row r="1343" spans="1:130" ht="12.75" customHeight="1" x14ac:dyDescent="0.25">
      <c r="A1343" s="272" t="s">
        <v>25</v>
      </c>
      <c r="B1343" s="281"/>
      <c r="C1343" s="480">
        <v>0</v>
      </c>
      <c r="D1343" s="480">
        <v>16.484999999999999</v>
      </c>
      <c r="E1343" s="480">
        <v>18.699000000000002</v>
      </c>
      <c r="F1343" s="480">
        <v>7.98</v>
      </c>
      <c r="G1343" s="510">
        <f t="shared" si="3019"/>
        <v>7.98</v>
      </c>
      <c r="H1343" s="480">
        <v>26.687000000000001</v>
      </c>
      <c r="I1343" s="480">
        <v>25.016999999999999</v>
      </c>
      <c r="J1343" s="480">
        <v>23.043000000000003</v>
      </c>
      <c r="K1343" s="480">
        <v>77.94</v>
      </c>
      <c r="L1343" s="510">
        <f t="shared" si="3020"/>
        <v>77.94</v>
      </c>
      <c r="M1343" s="480">
        <v>73.212999999999994</v>
      </c>
      <c r="N1343" s="480">
        <v>67.390999999999991</v>
      </c>
      <c r="O1343" s="480">
        <v>53.082999999999998</v>
      </c>
      <c r="P1343" s="480">
        <v>157.43200000000002</v>
      </c>
      <c r="Q1343" s="510">
        <f t="shared" si="3021"/>
        <v>157.43200000000002</v>
      </c>
      <c r="R1343" s="480">
        <v>46.531999999999996</v>
      </c>
      <c r="S1343" s="480">
        <v>37.009</v>
      </c>
      <c r="T1343" s="480">
        <v>58.405000000000001</v>
      </c>
      <c r="U1343" s="480">
        <v>52.825000000000003</v>
      </c>
      <c r="V1343" s="510">
        <f t="shared" si="3022"/>
        <v>52.825000000000003</v>
      </c>
      <c r="W1343" s="480">
        <v>49.133000000000003</v>
      </c>
      <c r="X1343" s="480">
        <v>93.403000000000006</v>
      </c>
      <c r="Y1343" s="480">
        <v>82.67</v>
      </c>
      <c r="Z1343" s="480">
        <v>95.385999999999996</v>
      </c>
      <c r="AA1343" s="510">
        <f t="shared" si="3023"/>
        <v>95.385999999999996</v>
      </c>
      <c r="AB1343" s="480">
        <f>31.175+81.51</f>
        <v>112.685</v>
      </c>
      <c r="AC1343" s="480">
        <f>94.114+32.545</f>
        <v>126.65900000000001</v>
      </c>
      <c r="AD1343" s="480">
        <f>96.514+36.359</f>
        <v>132.87299999999999</v>
      </c>
      <c r="AE1343" s="482">
        <f>33.494+121.545</f>
        <v>155.03899999999999</v>
      </c>
      <c r="AF1343" s="481">
        <f t="shared" si="3024"/>
        <v>155.03899999999999</v>
      </c>
      <c r="AG1343" s="482">
        <v>105.586</v>
      </c>
      <c r="AH1343" s="482">
        <f>13.862+38.6+77.83</f>
        <v>130.292</v>
      </c>
      <c r="AI1343" s="482">
        <f>42.841+78.215</f>
        <v>121.05600000000001</v>
      </c>
      <c r="AJ1343" s="482">
        <f>72.393+77.506</f>
        <v>149.899</v>
      </c>
      <c r="AK1343" s="481">
        <f t="shared" si="3025"/>
        <v>149.899</v>
      </c>
      <c r="AL1343" s="482">
        <f>45.813+77.727</f>
        <v>123.54</v>
      </c>
      <c r="AM1343" s="482">
        <f>32.883+52.494+0.842</f>
        <v>86.219000000000008</v>
      </c>
      <c r="AN1343" s="482">
        <f>52.079+38.834+0.953</f>
        <v>91.866000000000014</v>
      </c>
      <c r="AO1343" s="482">
        <f>39.801+32.306</f>
        <v>72.106999999999999</v>
      </c>
      <c r="AP1343" s="481">
        <f t="shared" si="3026"/>
        <v>72.106999999999999</v>
      </c>
      <c r="AQ1343" s="482">
        <f>36.468+38.039</f>
        <v>74.507000000000005</v>
      </c>
      <c r="AR1343" s="482">
        <f>40.536+47.289</f>
        <v>87.825000000000003</v>
      </c>
      <c r="AS1343" s="482">
        <f>81.658+47.04</f>
        <v>128.69800000000001</v>
      </c>
      <c r="AT1343" s="482">
        <f>94.62+38.54</f>
        <v>133.16</v>
      </c>
      <c r="AU1343" s="481">
        <f t="shared" si="3027"/>
        <v>133.16</v>
      </c>
      <c r="AV1343" s="482">
        <f>74.525+11.48</f>
        <v>86.00500000000001</v>
      </c>
      <c r="AW1343" s="482">
        <f>65.482+11.646+0.21</f>
        <v>77.337999999999994</v>
      </c>
      <c r="AX1343" s="482">
        <f>0.729+37.306+13.889</f>
        <v>51.923999999999992</v>
      </c>
      <c r="AY1343" s="482">
        <f>62.724+29.511</f>
        <v>92.234999999999999</v>
      </c>
      <c r="AZ1343" s="481">
        <f t="shared" si="3028"/>
        <v>92.234999999999999</v>
      </c>
      <c r="BA1343" s="2675">
        <f>84.84+10.25</f>
        <v>95.09</v>
      </c>
      <c r="BB1343" s="2675">
        <f>70.056+30.036</f>
        <v>100.092</v>
      </c>
      <c r="BC1343" s="2675">
        <f>45.807+10.667</f>
        <v>56.474000000000004</v>
      </c>
      <c r="BD1343" s="2675">
        <f>70.785+11.189</f>
        <v>81.97399999999999</v>
      </c>
      <c r="BE1343" s="481">
        <f>+BD1343</f>
        <v>81.97399999999999</v>
      </c>
      <c r="BF1343" s="2675">
        <f>86.42+10.913</f>
        <v>97.332999999999998</v>
      </c>
      <c r="BG1343" s="2675">
        <f>67.281+15.452</f>
        <v>82.733000000000004</v>
      </c>
      <c r="BH1343" s="2675">
        <f>66.15+12.819</f>
        <v>78.969000000000008</v>
      </c>
      <c r="BI1343" s="2675">
        <f>76.784+13.497</f>
        <v>90.281000000000006</v>
      </c>
      <c r="BJ1343" s="481">
        <f>+BI1343</f>
        <v>90.281000000000006</v>
      </c>
      <c r="BK1343" s="2953">
        <f>65.976+13.177</f>
        <v>79.152999999999992</v>
      </c>
      <c r="BL1343" s="2675">
        <f>61.189+13.091</f>
        <v>74.28</v>
      </c>
      <c r="BM1343" s="482">
        <f>59.538+48.515</f>
        <v>108.053</v>
      </c>
      <c r="BN1343" s="482">
        <f>59.707+48.193</f>
        <v>107.9</v>
      </c>
      <c r="BO1343" s="481">
        <f>+BN1343</f>
        <v>107.9</v>
      </c>
      <c r="BP1343" s="2953">
        <f>55.631+52.508</f>
        <v>108.13900000000001</v>
      </c>
      <c r="BQ1343" s="2953">
        <f>48.213+51.957</f>
        <v>100.17</v>
      </c>
      <c r="BR1343" s="482">
        <f>54.965+28.375</f>
        <v>83.34</v>
      </c>
      <c r="BS1343" s="3508">
        <f>43.78+16.494</f>
        <v>60.274000000000001</v>
      </c>
      <c r="BT1343" s="2587">
        <f>+BS1343</f>
        <v>60.274000000000001</v>
      </c>
      <c r="BU1343" s="2840">
        <f t="shared" si="3046"/>
        <v>60.274000000000001</v>
      </c>
      <c r="BV1343" s="2840">
        <f t="shared" si="3046"/>
        <v>60.274000000000001</v>
      </c>
      <c r="BW1343" s="2840">
        <f t="shared" si="3046"/>
        <v>60.274000000000001</v>
      </c>
      <c r="BX1343" s="2840">
        <f t="shared" si="3046"/>
        <v>60.274000000000001</v>
      </c>
      <c r="BY1343" s="2587">
        <f>+BX1343</f>
        <v>60.274000000000001</v>
      </c>
      <c r="BZ1343" s="2587">
        <f>BY1343</f>
        <v>60.274000000000001</v>
      </c>
      <c r="CA1343" s="2587">
        <f>BZ1343</f>
        <v>60.274000000000001</v>
      </c>
      <c r="CB1343" s="481">
        <f t="shared" si="3047"/>
        <v>60.274000000000001</v>
      </c>
      <c r="CC1343" s="481">
        <f t="shared" si="3047"/>
        <v>60.274000000000001</v>
      </c>
      <c r="CD1343" s="481">
        <f t="shared" si="3047"/>
        <v>60.274000000000001</v>
      </c>
      <c r="CE1343" s="481">
        <f t="shared" si="3047"/>
        <v>60.274000000000001</v>
      </c>
      <c r="CF1343" s="481">
        <f t="shared" si="3047"/>
        <v>60.274000000000001</v>
      </c>
      <c r="CG1343" s="331"/>
      <c r="CH1343" s="331"/>
      <c r="CI1343" s="331"/>
      <c r="CJ1343" s="331"/>
      <c r="CK1343" s="331"/>
      <c r="CL1343" s="995" t="str">
        <f t="shared" si="3018"/>
        <v>Prepaid expenses &amp; other</v>
      </c>
      <c r="CM1343" s="430">
        <f t="shared" si="3030"/>
        <v>7.98</v>
      </c>
      <c r="CN1343" s="430">
        <f t="shared" si="3031"/>
        <v>77.94</v>
      </c>
      <c r="CO1343" s="430">
        <f t="shared" si="3032"/>
        <v>157.43200000000002</v>
      </c>
      <c r="CP1343" s="430">
        <f t="shared" si="3033"/>
        <v>52.825000000000003</v>
      </c>
      <c r="CQ1343" s="430">
        <f t="shared" si="3034"/>
        <v>95.385999999999996</v>
      </c>
      <c r="CR1343" s="430">
        <f t="shared" si="3035"/>
        <v>155.03899999999999</v>
      </c>
      <c r="CS1343" s="430">
        <f t="shared" si="3036"/>
        <v>149.899</v>
      </c>
      <c r="CT1343" s="430">
        <f t="shared" si="3037"/>
        <v>72.106999999999999</v>
      </c>
      <c r="CU1343" s="430">
        <f t="shared" si="3038"/>
        <v>133.16</v>
      </c>
      <c r="CV1343" s="430">
        <f t="shared" si="3039"/>
        <v>92.234999999999999</v>
      </c>
      <c r="CW1343" s="430">
        <f t="shared" si="3040"/>
        <v>81.97399999999999</v>
      </c>
      <c r="CX1343" s="430">
        <f t="shared" si="3041"/>
        <v>90.281000000000006</v>
      </c>
      <c r="CY1343" s="430">
        <f t="shared" si="3042"/>
        <v>107.9</v>
      </c>
      <c r="CZ1343" s="430">
        <f t="shared" si="3043"/>
        <v>60.274000000000001</v>
      </c>
      <c r="DA1343" s="430">
        <f t="shared" si="3044"/>
        <v>60.274000000000001</v>
      </c>
      <c r="DB1343" s="430">
        <f t="shared" si="3044"/>
        <v>60.274000000000001</v>
      </c>
      <c r="DC1343" s="853">
        <f t="shared" si="3044"/>
        <v>60.274000000000001</v>
      </c>
      <c r="DD1343" s="331"/>
      <c r="DE1343" s="331"/>
      <c r="DF1343" s="502"/>
      <c r="DG1343" s="503"/>
      <c r="DH1343" s="2840"/>
      <c r="DI1343" s="3213"/>
      <c r="DJ1343" s="502"/>
      <c r="DK1343" s="503"/>
      <c r="DL1343" s="502"/>
      <c r="DM1343" s="502"/>
      <c r="DN1343" s="502"/>
      <c r="DO1343" s="502"/>
      <c r="DP1343" s="503"/>
      <c r="DQ1343" s="503"/>
      <c r="DR1343" s="296"/>
      <c r="DS1343" s="296"/>
      <c r="DT1343" s="296"/>
    </row>
    <row r="1344" spans="1:130" ht="12.75" customHeight="1" x14ac:dyDescent="0.25">
      <c r="A1344" s="355" t="s">
        <v>961</v>
      </c>
      <c r="B1344" s="428"/>
      <c r="C1344" s="482">
        <v>0</v>
      </c>
      <c r="D1344" s="482">
        <v>18.026</v>
      </c>
      <c r="E1344" s="482">
        <v>17.568000000000001</v>
      </c>
      <c r="F1344" s="482">
        <v>18.274000000000001</v>
      </c>
      <c r="G1344" s="481">
        <f t="shared" si="3019"/>
        <v>18.274000000000001</v>
      </c>
      <c r="H1344" s="482">
        <v>19.923999999999999</v>
      </c>
      <c r="I1344" s="482">
        <v>31.324000000000002</v>
      </c>
      <c r="J1344" s="482">
        <v>31.687000000000001</v>
      </c>
      <c r="K1344" s="482">
        <v>48.15</v>
      </c>
      <c r="L1344" s="481">
        <f t="shared" si="3020"/>
        <v>48.15</v>
      </c>
      <c r="M1344" s="482">
        <v>48.369</v>
      </c>
      <c r="N1344" s="482">
        <v>32.152999999999999</v>
      </c>
      <c r="O1344" s="482">
        <v>33.991999999999997</v>
      </c>
      <c r="P1344" s="482">
        <v>22.187000000000001</v>
      </c>
      <c r="Q1344" s="481">
        <f t="shared" si="3021"/>
        <v>22.187000000000001</v>
      </c>
      <c r="R1344" s="482">
        <v>23.856000000000002</v>
      </c>
      <c r="S1344" s="482">
        <v>24.356999999999999</v>
      </c>
      <c r="T1344" s="482">
        <v>16.244</v>
      </c>
      <c r="U1344" s="482">
        <v>19.079000000000001</v>
      </c>
      <c r="V1344" s="481">
        <f t="shared" si="3022"/>
        <v>19.079000000000001</v>
      </c>
      <c r="W1344" s="482">
        <v>19.257000000000001</v>
      </c>
      <c r="X1344" s="482">
        <v>18.908999999999999</v>
      </c>
      <c r="Y1344" s="482">
        <v>21.715</v>
      </c>
      <c r="Z1344" s="482">
        <v>21.065000000000001</v>
      </c>
      <c r="AA1344" s="481">
        <f t="shared" si="3023"/>
        <v>21.065000000000001</v>
      </c>
      <c r="AB1344" s="482">
        <f>20.635</f>
        <v>20.635000000000002</v>
      </c>
      <c r="AC1344" s="482">
        <v>21.541</v>
      </c>
      <c r="AD1344" s="482">
        <v>22.9</v>
      </c>
      <c r="AE1344" s="482">
        <v>23.619</v>
      </c>
      <c r="AF1344" s="481">
        <f t="shared" si="3024"/>
        <v>23.619</v>
      </c>
      <c r="AG1344" s="482">
        <v>20.375</v>
      </c>
      <c r="AH1344" s="482">
        <v>22.753</v>
      </c>
      <c r="AI1344" s="482">
        <v>21.478999999999999</v>
      </c>
      <c r="AJ1344" s="482">
        <v>25.206</v>
      </c>
      <c r="AK1344" s="481">
        <f t="shared" si="3025"/>
        <v>25.206</v>
      </c>
      <c r="AL1344" s="482">
        <v>21.623999999999999</v>
      </c>
      <c r="AM1344" s="482">
        <v>25.459</v>
      </c>
      <c r="AN1344" s="482">
        <v>28.832999999999998</v>
      </c>
      <c r="AO1344" s="482">
        <v>48.715000000000003</v>
      </c>
      <c r="AP1344" s="481">
        <f t="shared" si="3026"/>
        <v>48.715000000000003</v>
      </c>
      <c r="AQ1344" s="482">
        <v>29.678999999999998</v>
      </c>
      <c r="AR1344" s="482">
        <v>31.856000000000002</v>
      </c>
      <c r="AS1344" s="482">
        <v>36.146000000000001</v>
      </c>
      <c r="AT1344" s="482">
        <v>39.792999999999999</v>
      </c>
      <c r="AU1344" s="481">
        <f t="shared" si="3027"/>
        <v>39.792999999999999</v>
      </c>
      <c r="AV1344" s="482">
        <v>36.863</v>
      </c>
      <c r="AW1344" s="482">
        <v>36.673999999999999</v>
      </c>
      <c r="AX1344" s="482">
        <v>38.987000000000002</v>
      </c>
      <c r="AY1344" s="482">
        <v>71.093000000000004</v>
      </c>
      <c r="AZ1344" s="481">
        <f t="shared" si="3028"/>
        <v>71.093000000000004</v>
      </c>
      <c r="BA1344" s="2675">
        <v>71.715000000000003</v>
      </c>
      <c r="BB1344" s="2675">
        <v>76.188999999999993</v>
      </c>
      <c r="BC1344" s="2675">
        <v>74.588999999999999</v>
      </c>
      <c r="BD1344" s="2675">
        <v>40.343000000000004</v>
      </c>
      <c r="BE1344" s="481">
        <f>+BD1344</f>
        <v>40.343000000000004</v>
      </c>
      <c r="BF1344" s="2675">
        <v>33.906999999999996</v>
      </c>
      <c r="BG1344" s="2675">
        <v>36.603000000000002</v>
      </c>
      <c r="BH1344" s="2675">
        <v>30.266999999999999</v>
      </c>
      <c r="BI1344" s="2675">
        <v>0</v>
      </c>
      <c r="BJ1344" s="481">
        <f>+BI1344</f>
        <v>0</v>
      </c>
      <c r="BK1344" s="2953">
        <v>0</v>
      </c>
      <c r="BL1344" s="2675">
        <v>0</v>
      </c>
      <c r="BM1344" s="482">
        <v>0</v>
      </c>
      <c r="BN1344" s="430">
        <f>+BM1344</f>
        <v>0</v>
      </c>
      <c r="BO1344" s="481">
        <f>+BN1344</f>
        <v>0</v>
      </c>
      <c r="BP1344" s="430">
        <f>+BO1344</f>
        <v>0</v>
      </c>
      <c r="BQ1344" s="430">
        <f>+BP1344</f>
        <v>0</v>
      </c>
      <c r="BR1344" s="2840">
        <v>0</v>
      </c>
      <c r="BS1344" s="430">
        <f>+BR1344</f>
        <v>0</v>
      </c>
      <c r="BT1344" s="2587">
        <f>+BS1344</f>
        <v>0</v>
      </c>
      <c r="BU1344" s="2840">
        <f>+BT1344</f>
        <v>0</v>
      </c>
      <c r="BV1344" s="2840">
        <f>+BU1344</f>
        <v>0</v>
      </c>
      <c r="BW1344" s="2840">
        <f>+BV1344</f>
        <v>0</v>
      </c>
      <c r="BX1344" s="2840">
        <f>+BW1344</f>
        <v>0</v>
      </c>
      <c r="BY1344" s="2587">
        <f>+BX1344</f>
        <v>0</v>
      </c>
      <c r="BZ1344" s="2587">
        <f>+BY1344</f>
        <v>0</v>
      </c>
      <c r="CA1344" s="2587">
        <f>+BZ1344</f>
        <v>0</v>
      </c>
      <c r="CB1344" s="481">
        <f t="shared" si="3047"/>
        <v>0</v>
      </c>
      <c r="CC1344" s="481">
        <f t="shared" si="3047"/>
        <v>0</v>
      </c>
      <c r="CD1344" s="481">
        <f t="shared" si="3047"/>
        <v>0</v>
      </c>
      <c r="CE1344" s="481">
        <f t="shared" si="3047"/>
        <v>0</v>
      </c>
      <c r="CF1344" s="481">
        <f t="shared" si="3047"/>
        <v>0</v>
      </c>
      <c r="CG1344" s="331"/>
      <c r="CH1344" s="331"/>
      <c r="CI1344" s="331"/>
      <c r="CJ1344" s="331"/>
      <c r="CK1344" s="331"/>
      <c r="CL1344" s="995" t="str">
        <f t="shared" si="3018"/>
        <v>Deferred income taxes</v>
      </c>
      <c r="CM1344" s="430">
        <f t="shared" si="3030"/>
        <v>18.274000000000001</v>
      </c>
      <c r="CN1344" s="430">
        <f t="shared" si="3031"/>
        <v>48.15</v>
      </c>
      <c r="CO1344" s="430">
        <f t="shared" si="3032"/>
        <v>22.187000000000001</v>
      </c>
      <c r="CP1344" s="430">
        <f t="shared" si="3033"/>
        <v>19.079000000000001</v>
      </c>
      <c r="CQ1344" s="430">
        <f t="shared" si="3034"/>
        <v>21.065000000000001</v>
      </c>
      <c r="CR1344" s="430">
        <f t="shared" si="3035"/>
        <v>23.619</v>
      </c>
      <c r="CS1344" s="430">
        <f t="shared" si="3036"/>
        <v>25.206</v>
      </c>
      <c r="CT1344" s="430">
        <f t="shared" si="3037"/>
        <v>48.715000000000003</v>
      </c>
      <c r="CU1344" s="430">
        <f t="shared" si="3038"/>
        <v>39.792999999999999</v>
      </c>
      <c r="CV1344" s="430">
        <f t="shared" si="3039"/>
        <v>71.093000000000004</v>
      </c>
      <c r="CW1344" s="430">
        <f t="shared" si="3040"/>
        <v>40.343000000000004</v>
      </c>
      <c r="CX1344" s="430">
        <f t="shared" si="3041"/>
        <v>0</v>
      </c>
      <c r="CY1344" s="430">
        <f t="shared" si="3042"/>
        <v>0</v>
      </c>
      <c r="CZ1344" s="430">
        <f t="shared" si="3043"/>
        <v>0</v>
      </c>
      <c r="DA1344" s="430">
        <f t="shared" si="3044"/>
        <v>0</v>
      </c>
      <c r="DB1344" s="430">
        <f t="shared" si="3044"/>
        <v>0</v>
      </c>
      <c r="DC1344" s="853">
        <f t="shared" si="3044"/>
        <v>0</v>
      </c>
      <c r="DD1344" s="331"/>
      <c r="DE1344" s="331"/>
      <c r="DF1344" s="502"/>
      <c r="DG1344" s="503"/>
      <c r="DH1344" s="2840"/>
      <c r="DI1344" s="3213"/>
      <c r="DJ1344" s="502"/>
      <c r="DK1344" s="503"/>
      <c r="DL1344" s="502"/>
      <c r="DM1344" s="502"/>
      <c r="DN1344" s="502"/>
      <c r="DO1344" s="502"/>
      <c r="DP1344" s="503"/>
      <c r="DQ1344" s="503"/>
      <c r="DR1344" s="296"/>
      <c r="DS1344" s="296"/>
      <c r="DT1344" s="296"/>
    </row>
    <row r="1345" spans="1:130" ht="4.5" customHeight="1" x14ac:dyDescent="0.25">
      <c r="A1345" s="1192"/>
      <c r="B1345" s="428"/>
      <c r="C1345" s="609" t="s">
        <v>1151</v>
      </c>
      <c r="D1345" s="609" t="s">
        <v>1151</v>
      </c>
      <c r="E1345" s="609" t="s">
        <v>1151</v>
      </c>
      <c r="F1345" s="609" t="s">
        <v>1151</v>
      </c>
      <c r="G1345" s="459" t="s">
        <v>1151</v>
      </c>
      <c r="H1345" s="609" t="s">
        <v>1151</v>
      </c>
      <c r="I1345" s="609" t="s">
        <v>1151</v>
      </c>
      <c r="J1345" s="609" t="s">
        <v>1151</v>
      </c>
      <c r="K1345" s="609" t="s">
        <v>1151</v>
      </c>
      <c r="L1345" s="459" t="s">
        <v>1151</v>
      </c>
      <c r="M1345" s="609" t="s">
        <v>1151</v>
      </c>
      <c r="N1345" s="609" t="s">
        <v>1151</v>
      </c>
      <c r="O1345" s="609" t="s">
        <v>1151</v>
      </c>
      <c r="P1345" s="609" t="s">
        <v>1151</v>
      </c>
      <c r="Q1345" s="459" t="s">
        <v>1151</v>
      </c>
      <c r="R1345" s="609" t="s">
        <v>1151</v>
      </c>
      <c r="S1345" s="609" t="s">
        <v>1151</v>
      </c>
      <c r="T1345" s="609" t="s">
        <v>1151</v>
      </c>
      <c r="U1345" s="609" t="s">
        <v>1151</v>
      </c>
      <c r="V1345" s="459" t="s">
        <v>1151</v>
      </c>
      <c r="W1345" s="609" t="s">
        <v>1151</v>
      </c>
      <c r="X1345" s="609" t="s">
        <v>1151</v>
      </c>
      <c r="Y1345" s="609" t="s">
        <v>1151</v>
      </c>
      <c r="Z1345" s="609" t="s">
        <v>1151</v>
      </c>
      <c r="AA1345" s="459" t="s">
        <v>1151</v>
      </c>
      <c r="AB1345" s="609" t="s">
        <v>1151</v>
      </c>
      <c r="AC1345" s="609" t="s">
        <v>1151</v>
      </c>
      <c r="AD1345" s="609" t="s">
        <v>1151</v>
      </c>
      <c r="AE1345" s="609" t="s">
        <v>1151</v>
      </c>
      <c r="AF1345" s="459" t="s">
        <v>1151</v>
      </c>
      <c r="AG1345" s="609" t="s">
        <v>1151</v>
      </c>
      <c r="AH1345" s="609" t="s">
        <v>1151</v>
      </c>
      <c r="AI1345" s="609" t="s">
        <v>1151</v>
      </c>
      <c r="AJ1345" s="609" t="s">
        <v>1151</v>
      </c>
      <c r="AK1345" s="459" t="s">
        <v>1151</v>
      </c>
      <c r="AL1345" s="609" t="s">
        <v>1151</v>
      </c>
      <c r="AM1345" s="609" t="s">
        <v>1151</v>
      </c>
      <c r="AN1345" s="609" t="s">
        <v>1151</v>
      </c>
      <c r="AO1345" s="609" t="s">
        <v>1151</v>
      </c>
      <c r="AP1345" s="459" t="s">
        <v>1151</v>
      </c>
      <c r="AQ1345" s="609" t="s">
        <v>1151</v>
      </c>
      <c r="AR1345" s="609" t="s">
        <v>1151</v>
      </c>
      <c r="AS1345" s="609" t="s">
        <v>1151</v>
      </c>
      <c r="AT1345" s="609" t="s">
        <v>1151</v>
      </c>
      <c r="AU1345" s="459" t="s">
        <v>1151</v>
      </c>
      <c r="AV1345" s="609" t="s">
        <v>1151</v>
      </c>
      <c r="AW1345" s="609" t="s">
        <v>1151</v>
      </c>
      <c r="AX1345" s="609" t="s">
        <v>1151</v>
      </c>
      <c r="AY1345" s="609" t="s">
        <v>1151</v>
      </c>
      <c r="AZ1345" s="459" t="s">
        <v>1151</v>
      </c>
      <c r="BA1345" s="609" t="s">
        <v>1151</v>
      </c>
      <c r="BB1345" s="609" t="s">
        <v>1151</v>
      </c>
      <c r="BC1345" s="609" t="s">
        <v>1151</v>
      </c>
      <c r="BD1345" s="609" t="s">
        <v>1151</v>
      </c>
      <c r="BE1345" s="459" t="s">
        <v>1151</v>
      </c>
      <c r="BF1345" s="609" t="s">
        <v>1151</v>
      </c>
      <c r="BG1345" s="609" t="s">
        <v>1151</v>
      </c>
      <c r="BH1345" s="609" t="s">
        <v>1151</v>
      </c>
      <c r="BI1345" s="609" t="s">
        <v>1151</v>
      </c>
      <c r="BJ1345" s="459" t="s">
        <v>1151</v>
      </c>
      <c r="BK1345" s="609" t="s">
        <v>1151</v>
      </c>
      <c r="BL1345" s="609" t="s">
        <v>1151</v>
      </c>
      <c r="BM1345" s="609" t="s">
        <v>1151</v>
      </c>
      <c r="BN1345" s="609" t="s">
        <v>1151</v>
      </c>
      <c r="BO1345" s="459" t="s">
        <v>1151</v>
      </c>
      <c r="BP1345" s="609" t="s">
        <v>1151</v>
      </c>
      <c r="BQ1345" s="609" t="s">
        <v>1151</v>
      </c>
      <c r="BR1345" s="609" t="s">
        <v>1151</v>
      </c>
      <c r="BS1345" s="609" t="s">
        <v>1151</v>
      </c>
      <c r="BT1345" s="459" t="s">
        <v>1151</v>
      </c>
      <c r="BU1345" s="609" t="s">
        <v>1151</v>
      </c>
      <c r="BV1345" s="609" t="s">
        <v>1151</v>
      </c>
      <c r="BW1345" s="609" t="s">
        <v>1151</v>
      </c>
      <c r="BX1345" s="609" t="s">
        <v>1151</v>
      </c>
      <c r="BY1345" s="459" t="s">
        <v>1151</v>
      </c>
      <c r="BZ1345" s="459" t="s">
        <v>1151</v>
      </c>
      <c r="CA1345" s="459" t="s">
        <v>1151</v>
      </c>
      <c r="CB1345" s="459" t="s">
        <v>1151</v>
      </c>
      <c r="CC1345" s="459" t="s">
        <v>1151</v>
      </c>
      <c r="CD1345" s="459" t="s">
        <v>1151</v>
      </c>
      <c r="CE1345" s="459" t="s">
        <v>1151</v>
      </c>
      <c r="CF1345" s="459" t="s">
        <v>1151</v>
      </c>
      <c r="CG1345" s="331"/>
      <c r="CH1345" s="331"/>
      <c r="CI1345" s="331"/>
      <c r="CJ1345" s="331"/>
      <c r="CK1345" s="331"/>
      <c r="CL1345" s="2035"/>
      <c r="CM1345" s="2029" t="str">
        <f t="shared" si="3030"/>
        <v xml:space="preserve">                </v>
      </c>
      <c r="CN1345" s="2029" t="str">
        <f t="shared" si="3031"/>
        <v xml:space="preserve">                </v>
      </c>
      <c r="CO1345" s="2029" t="str">
        <f t="shared" si="3032"/>
        <v xml:space="preserve">                </v>
      </c>
      <c r="CP1345" s="2029" t="str">
        <f t="shared" si="3033"/>
        <v xml:space="preserve">                </v>
      </c>
      <c r="CQ1345" s="2029" t="str">
        <f t="shared" si="3034"/>
        <v xml:space="preserve">                </v>
      </c>
      <c r="CR1345" s="2029" t="str">
        <f t="shared" si="3035"/>
        <v xml:space="preserve">                </v>
      </c>
      <c r="CS1345" s="2029" t="str">
        <f t="shared" si="3036"/>
        <v xml:space="preserve">                </v>
      </c>
      <c r="CT1345" s="2029" t="str">
        <f t="shared" si="3037"/>
        <v xml:space="preserve">                </v>
      </c>
      <c r="CU1345" s="2029" t="str">
        <f t="shared" si="3038"/>
        <v xml:space="preserve">                </v>
      </c>
      <c r="CV1345" s="2029" t="str">
        <f t="shared" si="3039"/>
        <v xml:space="preserve">                </v>
      </c>
      <c r="CW1345" s="2029" t="str">
        <f t="shared" si="3040"/>
        <v xml:space="preserve">                </v>
      </c>
      <c r="CX1345" s="2029" t="str">
        <f t="shared" si="3041"/>
        <v xml:space="preserve">                </v>
      </c>
      <c r="CY1345" s="2029" t="str">
        <f t="shared" si="3042"/>
        <v xml:space="preserve">                </v>
      </c>
      <c r="CZ1345" s="2029" t="str">
        <f t="shared" si="3043"/>
        <v xml:space="preserve">                </v>
      </c>
      <c r="DA1345" s="2029" t="str">
        <f t="shared" si="3044"/>
        <v xml:space="preserve">                </v>
      </c>
      <c r="DB1345" s="2029" t="str">
        <f t="shared" si="3044"/>
        <v xml:space="preserve">                </v>
      </c>
      <c r="DC1345" s="2030" t="str">
        <f t="shared" si="3044"/>
        <v xml:space="preserve">                </v>
      </c>
      <c r="DD1345" s="331"/>
      <c r="DE1345" s="331"/>
      <c r="DF1345" s="502"/>
      <c r="DG1345" s="503"/>
      <c r="DH1345" s="2029"/>
      <c r="DI1345" s="3213"/>
      <c r="DJ1345" s="502"/>
      <c r="DK1345" s="503"/>
      <c r="DL1345" s="502"/>
      <c r="DM1345" s="502"/>
      <c r="DN1345" s="502"/>
      <c r="DO1345" s="502"/>
      <c r="DP1345" s="503"/>
      <c r="DQ1345" s="503"/>
      <c r="DR1345" s="296"/>
      <c r="DS1345" s="296"/>
      <c r="DT1345" s="296"/>
    </row>
    <row r="1346" spans="1:130" ht="12.75" customHeight="1" x14ac:dyDescent="0.25">
      <c r="A1346" s="1998" t="s">
        <v>962</v>
      </c>
      <c r="B1346" s="533"/>
      <c r="C1346" s="1999">
        <v>0</v>
      </c>
      <c r="D1346" s="485">
        <f t="shared" ref="D1346:AB1346" si="3048">SUM(D1339:D1344)</f>
        <v>197.11300000000006</v>
      </c>
      <c r="E1346" s="485">
        <f t="shared" si="3048"/>
        <v>161.52500000000003</v>
      </c>
      <c r="F1346" s="485">
        <f t="shared" si="3048"/>
        <v>174.203</v>
      </c>
      <c r="G1346" s="486">
        <f t="shared" si="3048"/>
        <v>174.203</v>
      </c>
      <c r="H1346" s="485">
        <f t="shared" si="3048"/>
        <v>392.35300000000001</v>
      </c>
      <c r="I1346" s="485">
        <f t="shared" si="3048"/>
        <v>259.53200000000004</v>
      </c>
      <c r="J1346" s="485">
        <f t="shared" si="3048"/>
        <v>307.76600000000002</v>
      </c>
      <c r="K1346" s="485">
        <f t="shared" si="3048"/>
        <v>306.34199999999998</v>
      </c>
      <c r="L1346" s="486">
        <f t="shared" si="3048"/>
        <v>306.34199999999998</v>
      </c>
      <c r="M1346" s="485">
        <f t="shared" si="3048"/>
        <v>305.96500000000003</v>
      </c>
      <c r="N1346" s="485">
        <f t="shared" si="3048"/>
        <v>283.16699999999992</v>
      </c>
      <c r="O1346" s="485">
        <f t="shared" si="3048"/>
        <v>282.25399999999991</v>
      </c>
      <c r="P1346" s="485">
        <f t="shared" si="3048"/>
        <v>401.96300000000002</v>
      </c>
      <c r="Q1346" s="486">
        <f t="shared" si="3048"/>
        <v>401.96300000000002</v>
      </c>
      <c r="R1346" s="485">
        <f t="shared" si="3048"/>
        <v>286.28500000000003</v>
      </c>
      <c r="S1346" s="485">
        <f t="shared" si="3048"/>
        <v>262.19700000000012</v>
      </c>
      <c r="T1346" s="485">
        <f t="shared" si="3048"/>
        <v>304.43700000000013</v>
      </c>
      <c r="U1346" s="485">
        <f t="shared" si="3048"/>
        <v>302.70300000000009</v>
      </c>
      <c r="V1346" s="486">
        <f t="shared" si="3048"/>
        <v>302.70300000000009</v>
      </c>
      <c r="W1346" s="485">
        <f t="shared" si="3048"/>
        <v>296.36100000000005</v>
      </c>
      <c r="X1346" s="485">
        <f t="shared" si="3048"/>
        <v>291.36400000000003</v>
      </c>
      <c r="Y1346" s="485">
        <f t="shared" si="3048"/>
        <v>284.59999999999997</v>
      </c>
      <c r="Z1346" s="485">
        <f t="shared" si="3048"/>
        <v>906.30300000000011</v>
      </c>
      <c r="AA1346" s="486">
        <f t="shared" si="3048"/>
        <v>906.30300000000011</v>
      </c>
      <c r="AB1346" s="485">
        <f t="shared" si="3048"/>
        <v>911.30199999999991</v>
      </c>
      <c r="AC1346" s="485">
        <f t="shared" ref="AC1346:BI1346" si="3049">SUM(AC1339:AC1344)</f>
        <v>988.78</v>
      </c>
      <c r="AD1346" s="485">
        <f t="shared" si="3049"/>
        <v>969.25599999999997</v>
      </c>
      <c r="AE1346" s="485">
        <f t="shared" si="3049"/>
        <v>938.44800000000009</v>
      </c>
      <c r="AF1346" s="486">
        <f t="shared" si="3049"/>
        <v>938.44800000000009</v>
      </c>
      <c r="AG1346" s="485">
        <f t="shared" si="3049"/>
        <v>819.96799999999996</v>
      </c>
      <c r="AH1346" s="485">
        <f t="shared" si="3049"/>
        <v>597.50199999999995</v>
      </c>
      <c r="AI1346" s="485">
        <f>SUM(AI1339:AI1344)</f>
        <v>541.89400000000001</v>
      </c>
      <c r="AJ1346" s="485">
        <f t="shared" si="3049"/>
        <v>465.95299999999997</v>
      </c>
      <c r="AK1346" s="486">
        <f t="shared" si="3049"/>
        <v>465.95299999999997</v>
      </c>
      <c r="AL1346" s="485">
        <f t="shared" si="3049"/>
        <v>421.15399999999994</v>
      </c>
      <c r="AM1346" s="485">
        <f t="shared" si="3049"/>
        <v>485.4849999999999</v>
      </c>
      <c r="AN1346" s="485">
        <f t="shared" si="3049"/>
        <v>370.33199999999977</v>
      </c>
      <c r="AO1346" s="485">
        <f t="shared" si="3049"/>
        <v>415.78899999999999</v>
      </c>
      <c r="AP1346" s="486">
        <f t="shared" si="3049"/>
        <v>415.78899999999999</v>
      </c>
      <c r="AQ1346" s="485">
        <f t="shared" si="3049"/>
        <v>377.20600000000002</v>
      </c>
      <c r="AR1346" s="485">
        <f t="shared" si="3049"/>
        <v>377.40899999999999</v>
      </c>
      <c r="AS1346" s="485">
        <f t="shared" si="3049"/>
        <v>439.12700000000001</v>
      </c>
      <c r="AT1346" s="485">
        <f t="shared" si="3049"/>
        <v>487.13999999999987</v>
      </c>
      <c r="AU1346" s="486">
        <f t="shared" si="3049"/>
        <v>487.13999999999987</v>
      </c>
      <c r="AV1346" s="485">
        <f t="shared" ref="AV1346:BD1346" si="3050">SUM(AV1339:AV1344)</f>
        <v>427.45799999999986</v>
      </c>
      <c r="AW1346" s="485">
        <f t="shared" si="3050"/>
        <v>401.28199999999981</v>
      </c>
      <c r="AX1346" s="485">
        <f t="shared" si="3050"/>
        <v>401.23499999999996</v>
      </c>
      <c r="AY1346" s="485">
        <f t="shared" si="3050"/>
        <v>508.86099999999976</v>
      </c>
      <c r="AZ1346" s="486">
        <f t="shared" si="3050"/>
        <v>508.86099999999976</v>
      </c>
      <c r="BA1346" s="485">
        <f t="shared" si="3050"/>
        <v>507.6369999999996</v>
      </c>
      <c r="BB1346" s="485">
        <f t="shared" si="3050"/>
        <v>497.10099999999954</v>
      </c>
      <c r="BC1346" s="485">
        <f>SUM(BC1339:BC1344)</f>
        <v>404.07299999999952</v>
      </c>
      <c r="BD1346" s="485">
        <f t="shared" si="3050"/>
        <v>372.60799999999966</v>
      </c>
      <c r="BE1346" s="486">
        <f t="shared" si="3049"/>
        <v>372.60799999999966</v>
      </c>
      <c r="BF1346" s="485">
        <f t="shared" si="3049"/>
        <v>409.88699999999977</v>
      </c>
      <c r="BG1346" s="485">
        <f t="shared" si="3049"/>
        <v>397.58899999999977</v>
      </c>
      <c r="BH1346" s="485">
        <f t="shared" si="3049"/>
        <v>373.65399999999966</v>
      </c>
      <c r="BI1346" s="485">
        <f t="shared" si="3049"/>
        <v>372.47599999999971</v>
      </c>
      <c r="BJ1346" s="486">
        <f t="shared" ref="BJ1346:CF1346" si="3051">SUM(BJ1339:BJ1344)</f>
        <v>372.47599999999971</v>
      </c>
      <c r="BK1346" s="485">
        <f t="shared" si="3051"/>
        <v>340.41999999999973</v>
      </c>
      <c r="BL1346" s="485">
        <f t="shared" si="3051"/>
        <v>342.70899999999972</v>
      </c>
      <c r="BM1346" s="485">
        <f t="shared" si="3051"/>
        <v>353.02999999999975</v>
      </c>
      <c r="BN1346" s="485">
        <f t="shared" si="3051"/>
        <v>399.26499999999976</v>
      </c>
      <c r="BO1346" s="486">
        <f t="shared" si="3051"/>
        <v>399.26499999999976</v>
      </c>
      <c r="BP1346" s="485">
        <f>SUM(BP1339:BP1344)</f>
        <v>417.11699999999979</v>
      </c>
      <c r="BQ1346" s="485">
        <f t="shared" si="3051"/>
        <v>373.55299999999983</v>
      </c>
      <c r="BR1346" s="485">
        <f t="shared" si="3051"/>
        <v>402.32799999999963</v>
      </c>
      <c r="BS1346" s="485">
        <f t="shared" si="3051"/>
        <v>401.03199999999993</v>
      </c>
      <c r="BT1346" s="486">
        <f t="shared" si="3051"/>
        <v>401.03199999999993</v>
      </c>
      <c r="BU1346" s="485">
        <f t="shared" si="3051"/>
        <v>432.38033940693828</v>
      </c>
      <c r="BV1346" s="485">
        <f>SUM(BV1339:BV1344)</f>
        <v>486.12590894997118</v>
      </c>
      <c r="BW1346" s="485">
        <f>SUM(BW1339:BW1344)</f>
        <v>505.76928201256135</v>
      </c>
      <c r="BX1346" s="485">
        <f>SUM(BX1339:BX1344)</f>
        <v>548.54327251445716</v>
      </c>
      <c r="BY1346" s="486">
        <f>SUM(BY1339:BY1344)</f>
        <v>548.54327251445716</v>
      </c>
      <c r="BZ1346" s="486">
        <f t="shared" si="3051"/>
        <v>537.28105997709577</v>
      </c>
      <c r="CA1346" s="486">
        <f t="shared" si="3051"/>
        <v>747.18762582614352</v>
      </c>
      <c r="CB1346" s="486">
        <f t="shared" si="3051"/>
        <v>-6115.0138011995896</v>
      </c>
      <c r="CC1346" s="486">
        <f t="shared" si="3051"/>
        <v>-6007.748131870323</v>
      </c>
      <c r="CD1346" s="486">
        <f t="shared" si="3051"/>
        <v>-5897.5929656564267</v>
      </c>
      <c r="CE1346" s="486">
        <f t="shared" si="3051"/>
        <v>-5775.4359241187476</v>
      </c>
      <c r="CF1346" s="486">
        <f t="shared" si="3051"/>
        <v>-5622.9552792774493</v>
      </c>
      <c r="CG1346" s="331"/>
      <c r="CH1346" s="331"/>
      <c r="CI1346" s="331"/>
      <c r="CJ1346" s="331"/>
      <c r="CK1346" s="331"/>
      <c r="CL1346" s="2036" t="str">
        <f>A1346</f>
        <v>Total Current Assets</v>
      </c>
      <c r="CM1346" s="485">
        <f t="shared" si="3030"/>
        <v>174.203</v>
      </c>
      <c r="CN1346" s="485">
        <f t="shared" si="3031"/>
        <v>306.34199999999998</v>
      </c>
      <c r="CO1346" s="485">
        <f t="shared" si="3032"/>
        <v>401.96300000000002</v>
      </c>
      <c r="CP1346" s="485">
        <f t="shared" si="3033"/>
        <v>302.70300000000009</v>
      </c>
      <c r="CQ1346" s="485">
        <f t="shared" si="3034"/>
        <v>906.30300000000011</v>
      </c>
      <c r="CR1346" s="485">
        <f t="shared" si="3035"/>
        <v>938.44800000000009</v>
      </c>
      <c r="CS1346" s="485">
        <f t="shared" si="3036"/>
        <v>465.95299999999997</v>
      </c>
      <c r="CT1346" s="485">
        <f t="shared" si="3037"/>
        <v>415.78899999999999</v>
      </c>
      <c r="CU1346" s="485">
        <f t="shared" si="3038"/>
        <v>487.13999999999987</v>
      </c>
      <c r="CV1346" s="485">
        <f t="shared" si="3039"/>
        <v>508.86099999999976</v>
      </c>
      <c r="CW1346" s="485">
        <f t="shared" si="3040"/>
        <v>372.60799999999966</v>
      </c>
      <c r="CX1346" s="485">
        <f t="shared" si="3041"/>
        <v>372.47599999999971</v>
      </c>
      <c r="CY1346" s="485">
        <f t="shared" si="3042"/>
        <v>399.26499999999976</v>
      </c>
      <c r="CZ1346" s="485">
        <f t="shared" si="3043"/>
        <v>401.03199999999993</v>
      </c>
      <c r="DA1346" s="485">
        <f t="shared" si="3044"/>
        <v>548.54327251445716</v>
      </c>
      <c r="DB1346" s="485">
        <f t="shared" si="3044"/>
        <v>537.28105997709577</v>
      </c>
      <c r="DC1346" s="854">
        <f t="shared" si="3044"/>
        <v>747.18762582614352</v>
      </c>
      <c r="DD1346" s="331"/>
      <c r="DE1346" s="331"/>
      <c r="DF1346" s="502"/>
      <c r="DG1346" s="503"/>
      <c r="DH1346" s="485"/>
      <c r="DI1346" s="3213"/>
      <c r="DJ1346" s="502"/>
      <c r="DK1346" s="503"/>
      <c r="DL1346" s="502"/>
      <c r="DM1346" s="502"/>
      <c r="DN1346" s="502"/>
      <c r="DO1346" s="502"/>
      <c r="DP1346" s="503"/>
      <c r="DQ1346" s="503"/>
      <c r="DR1346" s="296"/>
      <c r="DS1346" s="296"/>
      <c r="DT1346" s="296"/>
    </row>
    <row r="1347" spans="1:130" ht="12.75" customHeight="1" x14ac:dyDescent="0.25">
      <c r="A1347" s="354"/>
      <c r="B1347" s="281"/>
      <c r="C1347" s="480"/>
      <c r="D1347" s="480"/>
      <c r="E1347" s="480"/>
      <c r="F1347" s="480"/>
      <c r="G1347" s="510"/>
      <c r="H1347" s="480"/>
      <c r="I1347" s="480"/>
      <c r="J1347" s="480"/>
      <c r="K1347" s="480"/>
      <c r="L1347" s="510"/>
      <c r="M1347" s="480"/>
      <c r="N1347" s="480"/>
      <c r="O1347" s="480"/>
      <c r="P1347" s="480"/>
      <c r="Q1347" s="510"/>
      <c r="R1347" s="480"/>
      <c r="S1347" s="480"/>
      <c r="T1347" s="480"/>
      <c r="U1347" s="480"/>
      <c r="V1347" s="510"/>
      <c r="W1347" s="480"/>
      <c r="X1347" s="480"/>
      <c r="Y1347" s="480"/>
      <c r="Z1347" s="480"/>
      <c r="AA1347" s="510"/>
      <c r="AB1347" s="480"/>
      <c r="AC1347" s="480"/>
      <c r="AD1347" s="480"/>
      <c r="AE1347" s="482"/>
      <c r="AF1347" s="481"/>
      <c r="AG1347" s="430"/>
      <c r="AH1347" s="430"/>
      <c r="AI1347" s="430"/>
      <c r="AJ1347" s="430"/>
      <c r="AK1347" s="481"/>
      <c r="AL1347" s="430"/>
      <c r="AM1347" s="430"/>
      <c r="AN1347" s="430"/>
      <c r="AO1347" s="430"/>
      <c r="AP1347" s="481"/>
      <c r="AQ1347" s="430"/>
      <c r="AR1347" s="430"/>
      <c r="AS1347" s="430"/>
      <c r="AT1347" s="430"/>
      <c r="AU1347" s="481"/>
      <c r="AV1347" s="430"/>
      <c r="AW1347" s="430"/>
      <c r="AX1347" s="430"/>
      <c r="AY1347" s="430"/>
      <c r="AZ1347" s="481"/>
      <c r="BA1347" s="430"/>
      <c r="BB1347" s="430"/>
      <c r="BC1347" s="430"/>
      <c r="BD1347" s="430"/>
      <c r="BE1347" s="481"/>
      <c r="BF1347" s="430"/>
      <c r="BG1347" s="430"/>
      <c r="BH1347" s="430"/>
      <c r="BI1347" s="430"/>
      <c r="BJ1347" s="481"/>
      <c r="BK1347" s="430"/>
      <c r="BL1347" s="430"/>
      <c r="BM1347" s="430"/>
      <c r="BN1347" s="430"/>
      <c r="BO1347" s="481"/>
      <c r="BP1347" s="430"/>
      <c r="BQ1347" s="430"/>
      <c r="BR1347" s="430"/>
      <c r="BS1347" s="430"/>
      <c r="BT1347" s="2587"/>
      <c r="BU1347" s="2840"/>
      <c r="BV1347" s="2840"/>
      <c r="BW1347" s="2840"/>
      <c r="BX1347" s="2840"/>
      <c r="BY1347" s="2587"/>
      <c r="BZ1347" s="2587"/>
      <c r="CA1347" s="2587"/>
      <c r="CB1347" s="481"/>
      <c r="CC1347" s="481"/>
      <c r="CD1347" s="481"/>
      <c r="CE1347" s="481"/>
      <c r="CF1347" s="481"/>
      <c r="CG1347" s="331"/>
      <c r="CH1347" s="331"/>
      <c r="CI1347" s="331"/>
      <c r="CJ1347" s="331"/>
      <c r="CK1347" s="331"/>
      <c r="CL1347" s="1277"/>
      <c r="CM1347" s="430"/>
      <c r="CN1347" s="430"/>
      <c r="CO1347" s="430"/>
      <c r="CP1347" s="430"/>
      <c r="CQ1347" s="430"/>
      <c r="CR1347" s="430"/>
      <c r="CS1347" s="430"/>
      <c r="CT1347" s="430"/>
      <c r="CU1347" s="430"/>
      <c r="CV1347" s="430"/>
      <c r="CW1347" s="430"/>
      <c r="CX1347" s="430"/>
      <c r="CY1347" s="430"/>
      <c r="CZ1347" s="430"/>
      <c r="DA1347" s="430"/>
      <c r="DB1347" s="430"/>
      <c r="DC1347" s="853"/>
      <c r="DD1347" s="331"/>
      <c r="DE1347" s="331"/>
      <c r="DF1347" s="502"/>
      <c r="DG1347" s="503"/>
      <c r="DH1347" s="2840"/>
      <c r="DI1347" s="3213"/>
      <c r="DJ1347" s="502"/>
      <c r="DK1347" s="503"/>
      <c r="DL1347" s="502"/>
      <c r="DM1347" s="502"/>
      <c r="DN1347" s="502"/>
      <c r="DO1347" s="502"/>
      <c r="DP1347" s="503"/>
      <c r="DQ1347" s="503"/>
      <c r="DR1347" s="296"/>
      <c r="DS1347" s="296"/>
      <c r="DT1347" s="296"/>
    </row>
    <row r="1348" spans="1:130" ht="12.75" customHeight="1" x14ac:dyDescent="0.25">
      <c r="A1348" s="272" t="s">
        <v>963</v>
      </c>
      <c r="B1348" s="281"/>
      <c r="C1348" s="480">
        <v>0</v>
      </c>
      <c r="D1348" s="480">
        <v>799.61</v>
      </c>
      <c r="E1348" s="480">
        <v>770.827</v>
      </c>
      <c r="F1348" s="480">
        <v>788.81</v>
      </c>
      <c r="G1348" s="510">
        <f>F1348</f>
        <v>788.81</v>
      </c>
      <c r="H1348" s="480">
        <v>802.15200000000004</v>
      </c>
      <c r="I1348" s="480">
        <v>834.34900000000005</v>
      </c>
      <c r="J1348" s="480">
        <v>784.87</v>
      </c>
      <c r="K1348" s="480">
        <v>1267.607</v>
      </c>
      <c r="L1348" s="510">
        <f>K1348</f>
        <v>1267.607</v>
      </c>
      <c r="M1348" s="480">
        <v>1337.8720000000001</v>
      </c>
      <c r="N1348" s="480">
        <v>1453.9970000000001</v>
      </c>
      <c r="O1348" s="480">
        <v>1603.9349999999999</v>
      </c>
      <c r="P1348" s="480">
        <v>1684.316</v>
      </c>
      <c r="Q1348" s="510">
        <f>P1348</f>
        <v>1684.316</v>
      </c>
      <c r="R1348" s="480">
        <v>1752.338</v>
      </c>
      <c r="S1348" s="480">
        <v>1879.576</v>
      </c>
      <c r="T1348" s="480">
        <v>1970.2829999999999</v>
      </c>
      <c r="U1348" s="480">
        <v>2130.6120000000001</v>
      </c>
      <c r="V1348" s="510">
        <f>U1348</f>
        <v>2130.6120000000001</v>
      </c>
      <c r="W1348" s="480">
        <v>2207.8510000000001</v>
      </c>
      <c r="X1348" s="480">
        <v>2292.5630000000001</v>
      </c>
      <c r="Y1348" s="480">
        <v>2348.067</v>
      </c>
      <c r="Z1348" s="480">
        <v>2408.3820000000001</v>
      </c>
      <c r="AA1348" s="510">
        <f>Z1348</f>
        <v>2408.3820000000001</v>
      </c>
      <c r="AB1348" s="480">
        <v>2416.7330000000002</v>
      </c>
      <c r="AC1348" s="480">
        <v>2476.2800000000002</v>
      </c>
      <c r="AD1348" s="480">
        <v>2524.3510000000001</v>
      </c>
      <c r="AE1348" s="482">
        <v>2587.1179999999999</v>
      </c>
      <c r="AF1348" s="481">
        <f>AE1348</f>
        <v>2587.1179999999999</v>
      </c>
      <c r="AG1348" s="482">
        <v>2706.11</v>
      </c>
      <c r="AH1348" s="482">
        <v>2751.9969999999998</v>
      </c>
      <c r="AI1348" s="482">
        <v>2837.9409999999998</v>
      </c>
      <c r="AJ1348" s="482">
        <v>2895.0940000000001</v>
      </c>
      <c r="AK1348" s="481">
        <f>AJ1348</f>
        <v>2895.0940000000001</v>
      </c>
      <c r="AL1348" s="482">
        <v>2953.9690000000001</v>
      </c>
      <c r="AM1348" s="482">
        <v>3203.3780000000002</v>
      </c>
      <c r="AN1348" s="482">
        <v>3288.0070000000001</v>
      </c>
      <c r="AO1348" s="482">
        <v>3372.277</v>
      </c>
      <c r="AP1348" s="481">
        <f>AO1348</f>
        <v>3372.277</v>
      </c>
      <c r="AQ1348" s="482">
        <v>3476.654</v>
      </c>
      <c r="AR1348" s="482">
        <v>3601.3649999999998</v>
      </c>
      <c r="AS1348" s="482">
        <v>3728.6170000000002</v>
      </c>
      <c r="AT1348" s="482">
        <v>4014.77</v>
      </c>
      <c r="AU1348" s="481">
        <f>AT1348</f>
        <v>4014.77</v>
      </c>
      <c r="AV1348" s="482">
        <v>4063.8510000000001</v>
      </c>
      <c r="AW1348" s="482">
        <v>4104.1509999999998</v>
      </c>
      <c r="AX1348" s="482">
        <v>4119.9620000000004</v>
      </c>
      <c r="AY1348" s="482">
        <v>1411.0989999999999</v>
      </c>
      <c r="AZ1348" s="481">
        <f>AY1348</f>
        <v>1411.0989999999999</v>
      </c>
      <c r="BA1348" s="2675">
        <v>1499.1859999999999</v>
      </c>
      <c r="BB1348" s="2675">
        <v>1539.6990000000001</v>
      </c>
      <c r="BC1348" s="2675">
        <v>1694.9110000000001</v>
      </c>
      <c r="BD1348" s="2675">
        <f>1618.887+2601.72</f>
        <v>4220.607</v>
      </c>
      <c r="BE1348" s="481">
        <f>+BD1348</f>
        <v>4220.607</v>
      </c>
      <c r="BF1348" s="2675">
        <f>1685.901+2601.72</f>
        <v>4287.6210000000001</v>
      </c>
      <c r="BG1348" s="2675">
        <f>1742.732+2601.584</f>
        <v>4344.3159999999998</v>
      </c>
      <c r="BH1348" s="2675">
        <f>2142.277+2601.554</f>
        <v>4743.8310000000001</v>
      </c>
      <c r="BI1348" s="2675">
        <f>2126.747+2601.264</f>
        <v>4728.0110000000004</v>
      </c>
      <c r="BJ1348" s="481">
        <f>+BI1348</f>
        <v>4728.0110000000004</v>
      </c>
      <c r="BK1348" s="2953">
        <f>2143.47+2601.264</f>
        <v>4744.7340000000004</v>
      </c>
      <c r="BL1348" s="2675">
        <f>2158.842+2601.264</f>
        <v>4760.1059999999998</v>
      </c>
      <c r="BM1348" s="482">
        <f>2167.825+2601.264</f>
        <v>4769.0889999999999</v>
      </c>
      <c r="BN1348" s="2953">
        <f>2189.678+2601.264</f>
        <v>4790.942</v>
      </c>
      <c r="BO1348" s="481">
        <f>+BN1348</f>
        <v>4790.942</v>
      </c>
      <c r="BP1348" s="2953">
        <f>2203.774+2600.697</f>
        <v>4804.4709999999995</v>
      </c>
      <c r="BQ1348" s="2953">
        <f>2232.792+2683.3</f>
        <v>4916.0920000000006</v>
      </c>
      <c r="BR1348" s="482">
        <f>2244.969+2683.297</f>
        <v>4928.2659999999996</v>
      </c>
      <c r="BS1348" s="3508">
        <f>2256.017+2683.277</f>
        <v>4939.2939999999999</v>
      </c>
      <c r="BT1348" s="2587">
        <f>+BS1348</f>
        <v>4939.2939999999999</v>
      </c>
      <c r="BU1348" s="2840">
        <f>BT1348-BU1304-BU1311</f>
        <v>4976.4152760969491</v>
      </c>
      <c r="BV1348" s="2840">
        <f>BU1348-BV1304-BV1311</f>
        <v>4996.7765538512958</v>
      </c>
      <c r="BW1348" s="3511">
        <f>BV1348-BW1304-BW1311-BW1308+(((BW1252+BW1258)*4*BW1265)*8)</f>
        <v>9484.4908341404589</v>
      </c>
      <c r="BX1348" s="2840">
        <f>BW1348-BX1304-BX1311</f>
        <v>9512.5973807797454</v>
      </c>
      <c r="BY1348" s="2587">
        <f>+BX1348</f>
        <v>9512.5973807797454</v>
      </c>
      <c r="BZ1348" s="2587">
        <f>BY1348-BZ1304-BZ1311</f>
        <v>9670.9861718560987</v>
      </c>
      <c r="CA1348" s="2587">
        <f>BZ1348-CA1304-CA1311</f>
        <v>9844.1934984545005</v>
      </c>
      <c r="CB1348" s="481">
        <f>CA1348-CB1304</f>
        <v>9950.1380510398722</v>
      </c>
      <c r="CC1348" s="481">
        <f>CB1348-CC1304</f>
        <v>10052.083810304548</v>
      </c>
      <c r="CD1348" s="481">
        <f>CC1348-CD1304</f>
        <v>10155.618270921563</v>
      </c>
      <c r="CE1348" s="481">
        <f>CD1348-CE1304</f>
        <v>10260.815911396567</v>
      </c>
      <c r="CF1348" s="481">
        <f>CE1348-CF1304</f>
        <v>10348.424051977219</v>
      </c>
      <c r="CG1348" s="331"/>
      <c r="CH1348" s="331"/>
      <c r="CI1348" s="331"/>
      <c r="CJ1348" s="331"/>
      <c r="CK1348" s="331"/>
      <c r="CL1348" s="995" t="str">
        <f>A1348</f>
        <v>Gross PP&amp;E</v>
      </c>
      <c r="CM1348" s="430">
        <f>G1348</f>
        <v>788.81</v>
      </c>
      <c r="CN1348" s="430">
        <f>L1348</f>
        <v>1267.607</v>
      </c>
      <c r="CO1348" s="430">
        <f>Q1348</f>
        <v>1684.316</v>
      </c>
      <c r="CP1348" s="430">
        <f>V1348</f>
        <v>2130.6120000000001</v>
      </c>
      <c r="CQ1348" s="430">
        <f>AA1348</f>
        <v>2408.3820000000001</v>
      </c>
      <c r="CR1348" s="430">
        <f>AF1348</f>
        <v>2587.1179999999999</v>
      </c>
      <c r="CS1348" s="430">
        <f>AK1348</f>
        <v>2895.0940000000001</v>
      </c>
      <c r="CT1348" s="430">
        <f>AP1348</f>
        <v>3372.277</v>
      </c>
      <c r="CU1348" s="430">
        <f>AU1348</f>
        <v>4014.77</v>
      </c>
      <c r="CV1348" s="430">
        <f>AZ1348</f>
        <v>1411.0989999999999</v>
      </c>
      <c r="CW1348" s="430">
        <f>BE1348</f>
        <v>4220.607</v>
      </c>
      <c r="CX1348" s="430">
        <f>BJ1348</f>
        <v>4728.0110000000004</v>
      </c>
      <c r="CY1348" s="430">
        <f>BO1348</f>
        <v>4790.942</v>
      </c>
      <c r="CZ1348" s="430">
        <f>BT1348</f>
        <v>4939.2939999999999</v>
      </c>
      <c r="DA1348" s="430">
        <f t="shared" ref="DA1348:DC1351" si="3052">BY1348</f>
        <v>9512.5973807797454</v>
      </c>
      <c r="DB1348" s="430">
        <f t="shared" si="3052"/>
        <v>9670.9861718560987</v>
      </c>
      <c r="DC1348" s="853">
        <f t="shared" si="3052"/>
        <v>9844.1934984545005</v>
      </c>
      <c r="DD1348" s="331"/>
      <c r="DE1348" s="331"/>
      <c r="DF1348" s="502"/>
      <c r="DG1348" s="503"/>
      <c r="DH1348" s="2840"/>
      <c r="DI1348" s="3213"/>
      <c r="DJ1348" s="502"/>
      <c r="DK1348" s="503"/>
      <c r="DL1348" s="502"/>
      <c r="DM1348" s="502"/>
      <c r="DN1348" s="502"/>
      <c r="DO1348" s="502"/>
      <c r="DP1348" s="503"/>
      <c r="DQ1348" s="503"/>
      <c r="DR1348" s="296"/>
      <c r="DS1348" s="296"/>
      <c r="DT1348" s="296"/>
    </row>
    <row r="1349" spans="1:130" ht="12.75" customHeight="1" x14ac:dyDescent="0.25">
      <c r="A1349" s="355" t="s">
        <v>2129</v>
      </c>
      <c r="B1349" s="281"/>
      <c r="C1349" s="480">
        <v>0</v>
      </c>
      <c r="D1349" s="480">
        <v>-174.101</v>
      </c>
      <c r="E1349" s="480">
        <v>-176.89400000000001</v>
      </c>
      <c r="F1349" s="480">
        <v>-191.416</v>
      </c>
      <c r="G1349" s="510">
        <f>F1349</f>
        <v>-191.416</v>
      </c>
      <c r="H1349" s="480">
        <v>-204.47</v>
      </c>
      <c r="I1349" s="480">
        <v>-215.744</v>
      </c>
      <c r="J1349" s="480">
        <v>-196.01599999999999</v>
      </c>
      <c r="K1349" s="480">
        <v>-207.715</v>
      </c>
      <c r="L1349" s="510">
        <f>K1349</f>
        <v>-207.715</v>
      </c>
      <c r="M1349" s="480">
        <v>-234.17500000000001</v>
      </c>
      <c r="N1349" s="480">
        <v>-259.33300000000003</v>
      </c>
      <c r="O1349" s="480">
        <v>-286.32100000000003</v>
      </c>
      <c r="P1349" s="480">
        <v>-318.44499999999999</v>
      </c>
      <c r="Q1349" s="510">
        <f>P1349</f>
        <v>-318.44499999999999</v>
      </c>
      <c r="R1349" s="480">
        <v>-347.59800000000001</v>
      </c>
      <c r="S1349" s="480">
        <v>-381.923</v>
      </c>
      <c r="T1349" s="480">
        <v>-415.87299999999999</v>
      </c>
      <c r="U1349" s="480">
        <v>-442.21899999999999</v>
      </c>
      <c r="V1349" s="510">
        <f>U1349</f>
        <v>-442.21899999999999</v>
      </c>
      <c r="W1349" s="480">
        <v>-474.78300000000002</v>
      </c>
      <c r="X1349" s="480">
        <v>-518.67700000000002</v>
      </c>
      <c r="Y1349" s="480">
        <v>-557.05799999999999</v>
      </c>
      <c r="Z1349" s="480">
        <v>-596.25099999999998</v>
      </c>
      <c r="AA1349" s="510">
        <f>Z1349</f>
        <v>-596.25099999999998</v>
      </c>
      <c r="AB1349" s="480">
        <v>-624.53200000000004</v>
      </c>
      <c r="AC1349" s="480">
        <v>-657.81299999999999</v>
      </c>
      <c r="AD1349" s="480">
        <v>-703.96</v>
      </c>
      <c r="AE1349" s="482">
        <v>-749.61400000000003</v>
      </c>
      <c r="AF1349" s="481">
        <f>AE1349</f>
        <v>-749.61400000000003</v>
      </c>
      <c r="AG1349" s="482">
        <v>-796.91800000000001</v>
      </c>
      <c r="AH1349" s="482">
        <v>-843.49800000000005</v>
      </c>
      <c r="AI1349" s="482">
        <v>-892.40300000000002</v>
      </c>
      <c r="AJ1349" s="482">
        <v>-929.32</v>
      </c>
      <c r="AK1349" s="481">
        <f>AJ1349</f>
        <v>-929.32</v>
      </c>
      <c r="AL1349" s="482">
        <v>-979.26400000000001</v>
      </c>
      <c r="AM1349" s="482">
        <v>-1023.641</v>
      </c>
      <c r="AN1349" s="482">
        <v>-1066.54</v>
      </c>
      <c r="AO1349" s="482">
        <v>-1095.077</v>
      </c>
      <c r="AP1349" s="481">
        <f>AO1349</f>
        <v>-1095.077</v>
      </c>
      <c r="AQ1349" s="482">
        <v>-1136.873</v>
      </c>
      <c r="AR1349" s="482">
        <v>-1181.278</v>
      </c>
      <c r="AS1349" s="482">
        <v>-1233.4949999999999</v>
      </c>
      <c r="AT1349" s="482">
        <v>-1283.973</v>
      </c>
      <c r="AU1349" s="481">
        <f>AT1349</f>
        <v>-1283.973</v>
      </c>
      <c r="AV1349" s="482">
        <v>-1356.6790000000001</v>
      </c>
      <c r="AW1349" s="482">
        <v>-1426.1479999999999</v>
      </c>
      <c r="AX1349" s="482">
        <v>-1477.665</v>
      </c>
      <c r="AY1349" s="482">
        <v>-913.64200000000005</v>
      </c>
      <c r="AZ1349" s="481">
        <f>AY1349</f>
        <v>-913.64200000000005</v>
      </c>
      <c r="BA1349" s="2675">
        <v>-948.75900000000001</v>
      </c>
      <c r="BB1349" s="2675">
        <v>-982.65499999999997</v>
      </c>
      <c r="BC1349" s="2675">
        <v>-949.55600000000004</v>
      </c>
      <c r="BD1349" s="2675">
        <f>-988.49-562.385</f>
        <v>-1550.875</v>
      </c>
      <c r="BE1349" s="481">
        <f>+BD1349</f>
        <v>-1550.875</v>
      </c>
      <c r="BF1349" s="2675">
        <f>-1019.401-585.559</f>
        <v>-1604.96</v>
      </c>
      <c r="BG1349" s="2675">
        <f>-1040.643-608.731</f>
        <v>-1649.374</v>
      </c>
      <c r="BH1349" s="2675">
        <f>-1082.611-631.845</f>
        <v>-1714.4560000000001</v>
      </c>
      <c r="BI1349" s="2675">
        <f>-1093.115-654.828</f>
        <v>-1747.943</v>
      </c>
      <c r="BJ1349" s="481">
        <f>+BI1349</f>
        <v>-1747.943</v>
      </c>
      <c r="BK1349" s="2953">
        <f>+-1131.767-677.697</f>
        <v>-1809.4639999999999</v>
      </c>
      <c r="BL1349" s="2675">
        <f>-1164.816-700.548</f>
        <v>-1865.364</v>
      </c>
      <c r="BM1349" s="482">
        <f>-1200.804-723.293</f>
        <v>-1924.0970000000002</v>
      </c>
      <c r="BN1349" s="2953">
        <f>-1224.596-745.963</f>
        <v>-1970.559</v>
      </c>
      <c r="BO1349" s="481">
        <f>+BN1349</f>
        <v>-1970.559</v>
      </c>
      <c r="BP1349" s="2953">
        <f>-1261.519-768.629</f>
        <v>-2030.1480000000001</v>
      </c>
      <c r="BQ1349" s="2953">
        <f>+-1296.962-791.413</f>
        <v>-2088.375</v>
      </c>
      <c r="BR1349" s="482">
        <f>-1327.812-814.496</f>
        <v>-2142.308</v>
      </c>
      <c r="BS1349" s="3508">
        <f>-1345.147-837.478</f>
        <v>-2182.625</v>
      </c>
      <c r="BT1349" s="2587">
        <f>+BS1349</f>
        <v>-2182.625</v>
      </c>
      <c r="BU1349" s="2840">
        <f>BT1349-BU1280-BU1320</f>
        <v>-2229.1098400000001</v>
      </c>
      <c r="BV1349" s="2840">
        <f>BU1349-BV1280-BV1320</f>
        <v>-2275.5946800000002</v>
      </c>
      <c r="BW1349" s="2840">
        <f>BV1349-BW1280-BW1320</f>
        <v>-2322.0795200000002</v>
      </c>
      <c r="BX1349" s="2840">
        <f>BW1349-BX1280-BX1320</f>
        <v>-2368.5643599999999</v>
      </c>
      <c r="BY1349" s="2587">
        <f>+BX1349</f>
        <v>-2368.5643599999999</v>
      </c>
      <c r="BZ1349" s="2587">
        <f>BY1349-BZ1280-BZ1320</f>
        <v>-2554.5037200000002</v>
      </c>
      <c r="CA1349" s="2587">
        <f>BZ1349-CA1280-CA1320</f>
        <v>-2740.4430800000005</v>
      </c>
      <c r="CB1349" s="481">
        <f>CA1349-CB63</f>
        <v>-2909.6091066666672</v>
      </c>
      <c r="CC1349" s="481">
        <f>CB1349-CC63</f>
        <v>-3078.775133333334</v>
      </c>
      <c r="CD1349" s="481">
        <f>CC1349-CD63</f>
        <v>-3247.9411600000008</v>
      </c>
      <c r="CE1349" s="481">
        <f>CD1349-CE63</f>
        <v>-3417.1071866666675</v>
      </c>
      <c r="CF1349" s="481">
        <f>CE1349-CF63</f>
        <v>-3586.2732133333343</v>
      </c>
      <c r="CG1349" s="741"/>
      <c r="CH1349" s="741"/>
      <c r="CI1349" s="741"/>
      <c r="CJ1349" s="741"/>
      <c r="CK1349" s="741"/>
      <c r="CL1349" s="995" t="str">
        <f>A1349</f>
        <v>Less: Accumulated depreciation</v>
      </c>
      <c r="CM1349" s="430">
        <f>G1349</f>
        <v>-191.416</v>
      </c>
      <c r="CN1349" s="430">
        <f>L1349</f>
        <v>-207.715</v>
      </c>
      <c r="CO1349" s="430">
        <f>Q1349</f>
        <v>-318.44499999999999</v>
      </c>
      <c r="CP1349" s="430">
        <f>V1349</f>
        <v>-442.21899999999999</v>
      </c>
      <c r="CQ1349" s="430">
        <f>AA1349</f>
        <v>-596.25099999999998</v>
      </c>
      <c r="CR1349" s="430">
        <f>AF1349</f>
        <v>-749.61400000000003</v>
      </c>
      <c r="CS1349" s="430">
        <f>AK1349</f>
        <v>-929.32</v>
      </c>
      <c r="CT1349" s="430">
        <f>AP1349</f>
        <v>-1095.077</v>
      </c>
      <c r="CU1349" s="430">
        <f>AU1349</f>
        <v>-1283.973</v>
      </c>
      <c r="CV1349" s="430">
        <f>AZ1349</f>
        <v>-913.64200000000005</v>
      </c>
      <c r="CW1349" s="430">
        <f>BE1349</f>
        <v>-1550.875</v>
      </c>
      <c r="CX1349" s="430">
        <f>BJ1349</f>
        <v>-1747.943</v>
      </c>
      <c r="CY1349" s="430">
        <f>BO1349</f>
        <v>-1970.559</v>
      </c>
      <c r="CZ1349" s="430">
        <f>BT1349</f>
        <v>-2182.625</v>
      </c>
      <c r="DA1349" s="430">
        <f t="shared" si="3052"/>
        <v>-2368.5643599999999</v>
      </c>
      <c r="DB1349" s="430">
        <f t="shared" si="3052"/>
        <v>-2554.5037200000002</v>
      </c>
      <c r="DC1349" s="853">
        <f t="shared" si="3052"/>
        <v>-2740.4430800000005</v>
      </c>
      <c r="DD1349" s="741"/>
      <c r="DE1349" s="741"/>
      <c r="DF1349" s="742"/>
      <c r="DG1349" s="743"/>
      <c r="DH1349" s="2840"/>
      <c r="DI1349" s="3215"/>
      <c r="DJ1349" s="742"/>
      <c r="DK1349" s="743"/>
      <c r="DL1349" s="742"/>
      <c r="DM1349" s="742"/>
      <c r="DN1349" s="742"/>
      <c r="DO1349" s="742"/>
      <c r="DP1349" s="743"/>
      <c r="DQ1349" s="743"/>
      <c r="DR1349" s="740"/>
      <c r="DS1349" s="740"/>
      <c r="DT1349" s="740"/>
    </row>
    <row r="1350" spans="1:130" ht="4.5" customHeight="1" x14ac:dyDescent="0.25">
      <c r="A1350" s="1192"/>
      <c r="B1350" s="291"/>
      <c r="C1350" s="544" t="s">
        <v>1151</v>
      </c>
      <c r="D1350" s="544" t="s">
        <v>1151</v>
      </c>
      <c r="E1350" s="544" t="s">
        <v>1151</v>
      </c>
      <c r="F1350" s="544" t="s">
        <v>1151</v>
      </c>
      <c r="G1350" s="461" t="s">
        <v>1151</v>
      </c>
      <c r="H1350" s="544" t="s">
        <v>1151</v>
      </c>
      <c r="I1350" s="544" t="s">
        <v>1151</v>
      </c>
      <c r="J1350" s="544" t="s">
        <v>1151</v>
      </c>
      <c r="K1350" s="544" t="s">
        <v>1151</v>
      </c>
      <c r="L1350" s="461" t="s">
        <v>1151</v>
      </c>
      <c r="M1350" s="544" t="s">
        <v>1151</v>
      </c>
      <c r="N1350" s="544" t="s">
        <v>1151</v>
      </c>
      <c r="O1350" s="544" t="s">
        <v>1151</v>
      </c>
      <c r="P1350" s="544" t="s">
        <v>1151</v>
      </c>
      <c r="Q1350" s="461" t="s">
        <v>1151</v>
      </c>
      <c r="R1350" s="544" t="s">
        <v>1151</v>
      </c>
      <c r="S1350" s="544" t="s">
        <v>1151</v>
      </c>
      <c r="T1350" s="544" t="s">
        <v>1151</v>
      </c>
      <c r="U1350" s="544" t="s">
        <v>1151</v>
      </c>
      <c r="V1350" s="461" t="s">
        <v>1151</v>
      </c>
      <c r="W1350" s="544" t="s">
        <v>1151</v>
      </c>
      <c r="X1350" s="544" t="s">
        <v>1151</v>
      </c>
      <c r="Y1350" s="544" t="s">
        <v>1151</v>
      </c>
      <c r="Z1350" s="544" t="s">
        <v>1151</v>
      </c>
      <c r="AA1350" s="461" t="s">
        <v>1151</v>
      </c>
      <c r="AB1350" s="544" t="s">
        <v>1151</v>
      </c>
      <c r="AC1350" s="544" t="s">
        <v>1151</v>
      </c>
      <c r="AD1350" s="544" t="s">
        <v>1151</v>
      </c>
      <c r="AE1350" s="544" t="s">
        <v>1151</v>
      </c>
      <c r="AF1350" s="461" t="s">
        <v>1151</v>
      </c>
      <c r="AG1350" s="544" t="s">
        <v>1151</v>
      </c>
      <c r="AH1350" s="544" t="s">
        <v>1151</v>
      </c>
      <c r="AI1350" s="544" t="s">
        <v>1151</v>
      </c>
      <c r="AJ1350" s="544" t="s">
        <v>1151</v>
      </c>
      <c r="AK1350" s="461" t="s">
        <v>1151</v>
      </c>
      <c r="AL1350" s="544" t="s">
        <v>1151</v>
      </c>
      <c r="AM1350" s="544" t="s">
        <v>1151</v>
      </c>
      <c r="AN1350" s="544" t="s">
        <v>1151</v>
      </c>
      <c r="AO1350" s="544" t="s">
        <v>1151</v>
      </c>
      <c r="AP1350" s="461" t="s">
        <v>1151</v>
      </c>
      <c r="AQ1350" s="544" t="s">
        <v>1151</v>
      </c>
      <c r="AR1350" s="544" t="s">
        <v>1151</v>
      </c>
      <c r="AS1350" s="544" t="s">
        <v>1151</v>
      </c>
      <c r="AT1350" s="544" t="s">
        <v>1151</v>
      </c>
      <c r="AU1350" s="461" t="s">
        <v>1151</v>
      </c>
      <c r="AV1350" s="544" t="s">
        <v>1151</v>
      </c>
      <c r="AW1350" s="544" t="s">
        <v>1151</v>
      </c>
      <c r="AX1350" s="544" t="s">
        <v>1151</v>
      </c>
      <c r="AY1350" s="544" t="s">
        <v>1151</v>
      </c>
      <c r="AZ1350" s="461" t="s">
        <v>1151</v>
      </c>
      <c r="BA1350" s="544" t="s">
        <v>1151</v>
      </c>
      <c r="BB1350" s="544" t="s">
        <v>1151</v>
      </c>
      <c r="BC1350" s="544" t="s">
        <v>1151</v>
      </c>
      <c r="BD1350" s="544" t="s">
        <v>1151</v>
      </c>
      <c r="BE1350" s="461" t="s">
        <v>1151</v>
      </c>
      <c r="BF1350" s="544" t="s">
        <v>1151</v>
      </c>
      <c r="BG1350" s="544" t="s">
        <v>1151</v>
      </c>
      <c r="BH1350" s="544" t="s">
        <v>1151</v>
      </c>
      <c r="BI1350" s="544" t="s">
        <v>1151</v>
      </c>
      <c r="BJ1350" s="461" t="s">
        <v>1151</v>
      </c>
      <c r="BK1350" s="609" t="s">
        <v>1151</v>
      </c>
      <c r="BL1350" s="544" t="s">
        <v>1151</v>
      </c>
      <c r="BM1350" s="544" t="s">
        <v>1151</v>
      </c>
      <c r="BN1350" s="544" t="s">
        <v>1151</v>
      </c>
      <c r="BO1350" s="461" t="s">
        <v>1151</v>
      </c>
      <c r="BP1350" s="544" t="s">
        <v>1151</v>
      </c>
      <c r="BQ1350" s="544" t="s">
        <v>1151</v>
      </c>
      <c r="BR1350" s="544" t="s">
        <v>1151</v>
      </c>
      <c r="BS1350" s="544" t="s">
        <v>1151</v>
      </c>
      <c r="BT1350" s="461" t="s">
        <v>1151</v>
      </c>
      <c r="BU1350" s="544" t="s">
        <v>1151</v>
      </c>
      <c r="BV1350" s="544" t="s">
        <v>1151</v>
      </c>
      <c r="BW1350" s="544" t="s">
        <v>1151</v>
      </c>
      <c r="BX1350" s="544" t="s">
        <v>1151</v>
      </c>
      <c r="BY1350" s="461" t="s">
        <v>1151</v>
      </c>
      <c r="BZ1350" s="461" t="s">
        <v>1151</v>
      </c>
      <c r="CA1350" s="461" t="s">
        <v>1151</v>
      </c>
      <c r="CB1350" s="461" t="s">
        <v>1151</v>
      </c>
      <c r="CC1350" s="461" t="s">
        <v>1151</v>
      </c>
      <c r="CD1350" s="461" t="s">
        <v>1151</v>
      </c>
      <c r="CE1350" s="461" t="s">
        <v>1151</v>
      </c>
      <c r="CF1350" s="461" t="s">
        <v>1151</v>
      </c>
      <c r="CG1350" s="741"/>
      <c r="CH1350" s="741"/>
      <c r="CI1350" s="741"/>
      <c r="CJ1350" s="741"/>
      <c r="CK1350" s="741"/>
      <c r="CL1350" s="2035"/>
      <c r="CM1350" s="2029" t="str">
        <f>G1350</f>
        <v xml:space="preserve">                </v>
      </c>
      <c r="CN1350" s="2029" t="str">
        <f>L1350</f>
        <v xml:space="preserve">                </v>
      </c>
      <c r="CO1350" s="2029" t="str">
        <f>Q1350</f>
        <v xml:space="preserve">                </v>
      </c>
      <c r="CP1350" s="2029" t="str">
        <f>V1350</f>
        <v xml:space="preserve">                </v>
      </c>
      <c r="CQ1350" s="2029" t="str">
        <f>AA1350</f>
        <v xml:space="preserve">                </v>
      </c>
      <c r="CR1350" s="2029" t="str">
        <f>AF1350</f>
        <v xml:space="preserve">                </v>
      </c>
      <c r="CS1350" s="2029" t="str">
        <f>AK1350</f>
        <v xml:space="preserve">                </v>
      </c>
      <c r="CT1350" s="2029" t="str">
        <f>AP1350</f>
        <v xml:space="preserve">                </v>
      </c>
      <c r="CU1350" s="2029" t="str">
        <f>AU1350</f>
        <v xml:space="preserve">                </v>
      </c>
      <c r="CV1350" s="2029" t="str">
        <f>AZ1350</f>
        <v xml:space="preserve">                </v>
      </c>
      <c r="CW1350" s="2029" t="str">
        <f>BE1350</f>
        <v xml:space="preserve">                </v>
      </c>
      <c r="CX1350" s="2029" t="str">
        <f>BJ1350</f>
        <v xml:space="preserve">                </v>
      </c>
      <c r="CY1350" s="2029" t="str">
        <f>BO1350</f>
        <v xml:space="preserve">                </v>
      </c>
      <c r="CZ1350" s="2029" t="str">
        <f>BT1350</f>
        <v xml:space="preserve">                </v>
      </c>
      <c r="DA1350" s="2029" t="str">
        <f t="shared" si="3052"/>
        <v xml:space="preserve">                </v>
      </c>
      <c r="DB1350" s="2029" t="str">
        <f t="shared" si="3052"/>
        <v xml:space="preserve">                </v>
      </c>
      <c r="DC1350" s="2030" t="str">
        <f t="shared" si="3052"/>
        <v xml:space="preserve">                </v>
      </c>
      <c r="DD1350" s="741"/>
      <c r="DE1350" s="741"/>
      <c r="DF1350" s="742"/>
      <c r="DG1350" s="743"/>
      <c r="DH1350" s="2029"/>
      <c r="DI1350" s="3215"/>
      <c r="DJ1350" s="742"/>
      <c r="DK1350" s="743"/>
      <c r="DL1350" s="742"/>
      <c r="DM1350" s="742"/>
      <c r="DN1350" s="742"/>
      <c r="DO1350" s="742"/>
      <c r="DP1350" s="743"/>
      <c r="DQ1350" s="743"/>
      <c r="DR1350" s="740"/>
      <c r="DS1350" s="740"/>
      <c r="DT1350" s="740"/>
    </row>
    <row r="1351" spans="1:130" ht="12.75" customHeight="1" x14ac:dyDescent="0.25">
      <c r="A1351" s="2000" t="s">
        <v>2062</v>
      </c>
      <c r="B1351" s="281"/>
      <c r="C1351" s="480">
        <v>0</v>
      </c>
      <c r="D1351" s="509">
        <f t="shared" ref="D1351:AB1351" si="3053">SUM(D1348:D1349)</f>
        <v>625.50900000000001</v>
      </c>
      <c r="E1351" s="509">
        <f t="shared" si="3053"/>
        <v>593.93299999999999</v>
      </c>
      <c r="F1351" s="509">
        <f t="shared" si="3053"/>
        <v>597.39400000000001</v>
      </c>
      <c r="G1351" s="510">
        <f t="shared" si="3053"/>
        <v>597.39400000000001</v>
      </c>
      <c r="H1351" s="509">
        <f t="shared" si="3053"/>
        <v>597.68200000000002</v>
      </c>
      <c r="I1351" s="509">
        <f t="shared" si="3053"/>
        <v>618.60500000000002</v>
      </c>
      <c r="J1351" s="509">
        <f t="shared" si="3053"/>
        <v>588.85400000000004</v>
      </c>
      <c r="K1351" s="509">
        <f t="shared" si="3053"/>
        <v>1059.8920000000001</v>
      </c>
      <c r="L1351" s="510">
        <f t="shared" si="3053"/>
        <v>1059.8920000000001</v>
      </c>
      <c r="M1351" s="509">
        <f t="shared" si="3053"/>
        <v>1103.6970000000001</v>
      </c>
      <c r="N1351" s="509">
        <f t="shared" si="3053"/>
        <v>1194.664</v>
      </c>
      <c r="O1351" s="509">
        <f t="shared" si="3053"/>
        <v>1317.614</v>
      </c>
      <c r="P1351" s="509">
        <f t="shared" si="3053"/>
        <v>1365.8710000000001</v>
      </c>
      <c r="Q1351" s="510">
        <f t="shared" si="3053"/>
        <v>1365.8710000000001</v>
      </c>
      <c r="R1351" s="509">
        <f t="shared" si="3053"/>
        <v>1404.74</v>
      </c>
      <c r="S1351" s="509">
        <f t="shared" si="3053"/>
        <v>1497.653</v>
      </c>
      <c r="T1351" s="509">
        <f t="shared" si="3053"/>
        <v>1554.4099999999999</v>
      </c>
      <c r="U1351" s="509">
        <f t="shared" si="3053"/>
        <v>1688.393</v>
      </c>
      <c r="V1351" s="510">
        <f t="shared" si="3053"/>
        <v>1688.393</v>
      </c>
      <c r="W1351" s="509">
        <f t="shared" si="3053"/>
        <v>1733.0680000000002</v>
      </c>
      <c r="X1351" s="509">
        <f t="shared" si="3053"/>
        <v>1773.886</v>
      </c>
      <c r="Y1351" s="509">
        <f t="shared" si="3053"/>
        <v>1791.009</v>
      </c>
      <c r="Z1351" s="509">
        <f t="shared" si="3053"/>
        <v>1812.1310000000001</v>
      </c>
      <c r="AA1351" s="510">
        <f t="shared" si="3053"/>
        <v>1812.1310000000001</v>
      </c>
      <c r="AB1351" s="509">
        <f t="shared" si="3053"/>
        <v>1792.201</v>
      </c>
      <c r="AC1351" s="509">
        <f t="shared" ref="AC1351:BI1351" si="3054">SUM(AC1348:AC1349)</f>
        <v>1818.4670000000001</v>
      </c>
      <c r="AD1351" s="509">
        <f t="shared" si="3054"/>
        <v>1820.3910000000001</v>
      </c>
      <c r="AE1351" s="430">
        <f t="shared" si="3054"/>
        <v>1837.5039999999999</v>
      </c>
      <c r="AF1351" s="481">
        <f t="shared" si="3054"/>
        <v>1837.5039999999999</v>
      </c>
      <c r="AG1351" s="430">
        <f t="shared" si="3054"/>
        <v>1909.192</v>
      </c>
      <c r="AH1351" s="430">
        <f t="shared" si="3054"/>
        <v>1908.4989999999998</v>
      </c>
      <c r="AI1351" s="430">
        <f t="shared" si="3054"/>
        <v>1945.5379999999998</v>
      </c>
      <c r="AJ1351" s="430">
        <f t="shared" si="3054"/>
        <v>1965.7739999999999</v>
      </c>
      <c r="AK1351" s="481">
        <f t="shared" si="3054"/>
        <v>1965.7739999999999</v>
      </c>
      <c r="AL1351" s="430">
        <f t="shared" si="3054"/>
        <v>1974.7049999999999</v>
      </c>
      <c r="AM1351" s="430">
        <f t="shared" si="3054"/>
        <v>2179.7370000000001</v>
      </c>
      <c r="AN1351" s="430">
        <f t="shared" si="3054"/>
        <v>2221.4670000000001</v>
      </c>
      <c r="AO1351" s="430">
        <f t="shared" si="3054"/>
        <v>2277.1999999999998</v>
      </c>
      <c r="AP1351" s="481">
        <f t="shared" si="3054"/>
        <v>2277.1999999999998</v>
      </c>
      <c r="AQ1351" s="430">
        <f t="shared" si="3054"/>
        <v>2339.7809999999999</v>
      </c>
      <c r="AR1351" s="430">
        <f t="shared" si="3054"/>
        <v>2420.0869999999995</v>
      </c>
      <c r="AS1351" s="430">
        <f t="shared" si="3054"/>
        <v>2495.1220000000003</v>
      </c>
      <c r="AT1351" s="430">
        <f t="shared" si="3054"/>
        <v>2730.797</v>
      </c>
      <c r="AU1351" s="481">
        <f t="shared" si="3054"/>
        <v>2730.797</v>
      </c>
      <c r="AV1351" s="430">
        <f t="shared" ref="AV1351:BD1351" si="3055">SUM(AV1348:AV1349)</f>
        <v>2707.172</v>
      </c>
      <c r="AW1351" s="430">
        <f t="shared" si="3055"/>
        <v>2678.0029999999997</v>
      </c>
      <c r="AX1351" s="430">
        <f t="shared" si="3055"/>
        <v>2642.2970000000005</v>
      </c>
      <c r="AY1351" s="430">
        <f t="shared" si="3055"/>
        <v>497.45699999999988</v>
      </c>
      <c r="AZ1351" s="481">
        <f t="shared" si="3055"/>
        <v>497.45699999999988</v>
      </c>
      <c r="BA1351" s="430">
        <f t="shared" si="3055"/>
        <v>550.42699999999991</v>
      </c>
      <c r="BB1351" s="430">
        <f t="shared" si="3055"/>
        <v>557.0440000000001</v>
      </c>
      <c r="BC1351" s="430">
        <f>SUM(BC1348:BC1349)</f>
        <v>745.35500000000002</v>
      </c>
      <c r="BD1351" s="430">
        <f t="shared" si="3055"/>
        <v>2669.732</v>
      </c>
      <c r="BE1351" s="481">
        <f t="shared" si="3054"/>
        <v>2669.732</v>
      </c>
      <c r="BF1351" s="430">
        <f t="shared" si="3054"/>
        <v>2682.6610000000001</v>
      </c>
      <c r="BG1351" s="430">
        <f t="shared" si="3054"/>
        <v>2694.942</v>
      </c>
      <c r="BH1351" s="430">
        <f t="shared" si="3054"/>
        <v>3029.375</v>
      </c>
      <c r="BI1351" s="430">
        <f t="shared" si="3054"/>
        <v>2980.0680000000002</v>
      </c>
      <c r="BJ1351" s="481">
        <f t="shared" ref="BJ1351:CF1351" si="3056">SUM(BJ1348:BJ1349)</f>
        <v>2980.0680000000002</v>
      </c>
      <c r="BK1351" s="430">
        <f t="shared" si="3056"/>
        <v>2935.2700000000004</v>
      </c>
      <c r="BL1351" s="430">
        <f t="shared" si="3056"/>
        <v>2894.7419999999997</v>
      </c>
      <c r="BM1351" s="430">
        <f t="shared" si="3056"/>
        <v>2844.9919999999997</v>
      </c>
      <c r="BN1351" s="430">
        <f t="shared" si="3056"/>
        <v>2820.3829999999998</v>
      </c>
      <c r="BO1351" s="481">
        <f t="shared" si="3056"/>
        <v>2820.3829999999998</v>
      </c>
      <c r="BP1351" s="430">
        <f t="shared" si="3056"/>
        <v>2774.3229999999994</v>
      </c>
      <c r="BQ1351" s="430">
        <f t="shared" si="3056"/>
        <v>2827.7170000000006</v>
      </c>
      <c r="BR1351" s="430">
        <f t="shared" si="3056"/>
        <v>2785.9579999999996</v>
      </c>
      <c r="BS1351" s="2840">
        <f>SUM(BS1348:BS1349)</f>
        <v>2756.6689999999999</v>
      </c>
      <c r="BT1351" s="2587">
        <f t="shared" si="3056"/>
        <v>2756.6689999999999</v>
      </c>
      <c r="BU1351" s="2840">
        <f t="shared" si="3056"/>
        <v>2747.3054360969491</v>
      </c>
      <c r="BV1351" s="2840">
        <f>SUM(BV1348:BV1349)</f>
        <v>2721.1818738512957</v>
      </c>
      <c r="BW1351" s="2840">
        <f>SUM(BW1348:BW1349)</f>
        <v>7162.4113141404587</v>
      </c>
      <c r="BX1351" s="2840">
        <f>SUM(BX1348:BX1349)</f>
        <v>7144.0330207797451</v>
      </c>
      <c r="BY1351" s="2587">
        <f>SUM(BY1348:BY1349)</f>
        <v>7144.0330207797451</v>
      </c>
      <c r="BZ1351" s="2587">
        <f t="shared" si="3056"/>
        <v>7116.4824518560981</v>
      </c>
      <c r="CA1351" s="2587">
        <f t="shared" si="3056"/>
        <v>7103.7504184544996</v>
      </c>
      <c r="CB1351" s="481">
        <f t="shared" si="3056"/>
        <v>7040.5289443732054</v>
      </c>
      <c r="CC1351" s="481">
        <f t="shared" si="3056"/>
        <v>6973.3086769712136</v>
      </c>
      <c r="CD1351" s="481">
        <f t="shared" si="3056"/>
        <v>6907.6771109215624</v>
      </c>
      <c r="CE1351" s="481">
        <f t="shared" si="3056"/>
        <v>6843.7087247298987</v>
      </c>
      <c r="CF1351" s="481">
        <f t="shared" si="3056"/>
        <v>6762.1508386438854</v>
      </c>
      <c r="CG1351" s="331"/>
      <c r="CH1351" s="331"/>
      <c r="CI1351" s="331"/>
      <c r="CJ1351" s="331"/>
      <c r="CK1351" s="331"/>
      <c r="CL1351" s="2037" t="str">
        <f>A1351</f>
        <v>Net property and equipment, at cost</v>
      </c>
      <c r="CM1351" s="430">
        <f>G1351</f>
        <v>597.39400000000001</v>
      </c>
      <c r="CN1351" s="430">
        <f>L1351</f>
        <v>1059.8920000000001</v>
      </c>
      <c r="CO1351" s="430">
        <f>Q1351</f>
        <v>1365.8710000000001</v>
      </c>
      <c r="CP1351" s="430">
        <f>V1351</f>
        <v>1688.393</v>
      </c>
      <c r="CQ1351" s="430">
        <f>AA1351</f>
        <v>1812.1310000000001</v>
      </c>
      <c r="CR1351" s="430">
        <f>AF1351</f>
        <v>1837.5039999999999</v>
      </c>
      <c r="CS1351" s="430">
        <f>AK1351</f>
        <v>1965.7739999999999</v>
      </c>
      <c r="CT1351" s="430">
        <f>AP1351</f>
        <v>2277.1999999999998</v>
      </c>
      <c r="CU1351" s="430">
        <f>AU1351</f>
        <v>2730.797</v>
      </c>
      <c r="CV1351" s="430">
        <f>AZ1351</f>
        <v>497.45699999999988</v>
      </c>
      <c r="CW1351" s="430">
        <f>BE1351</f>
        <v>2669.732</v>
      </c>
      <c r="CX1351" s="430">
        <f>BJ1351</f>
        <v>2980.0680000000002</v>
      </c>
      <c r="CY1351" s="430">
        <f>BO1351</f>
        <v>2820.3829999999998</v>
      </c>
      <c r="CZ1351" s="430">
        <f>BT1351</f>
        <v>2756.6689999999999</v>
      </c>
      <c r="DA1351" s="430">
        <f t="shared" si="3052"/>
        <v>7144.0330207797451</v>
      </c>
      <c r="DB1351" s="430">
        <f t="shared" si="3052"/>
        <v>7116.4824518560981</v>
      </c>
      <c r="DC1351" s="853">
        <f t="shared" si="3052"/>
        <v>7103.7504184544996</v>
      </c>
      <c r="DD1351" s="331"/>
      <c r="DE1351" s="331"/>
      <c r="DF1351" s="502"/>
      <c r="DG1351" s="503"/>
      <c r="DH1351" s="2840"/>
      <c r="DI1351" s="3213"/>
      <c r="DJ1351" s="502"/>
      <c r="DK1351" s="503"/>
      <c r="DL1351" s="502"/>
      <c r="DM1351" s="502"/>
      <c r="DN1351" s="502"/>
      <c r="DO1351" s="502"/>
      <c r="DP1351" s="503"/>
      <c r="DQ1351" s="503"/>
      <c r="DR1351" s="296"/>
      <c r="DS1351" s="296"/>
      <c r="DT1351" s="296"/>
    </row>
    <row r="1352" spans="1:130" ht="12.75" customHeight="1" x14ac:dyDescent="0.25">
      <c r="A1352" s="354"/>
      <c r="B1352" s="281"/>
      <c r="C1352" s="480"/>
      <c r="D1352" s="480"/>
      <c r="E1352" s="480"/>
      <c r="F1352" s="480"/>
      <c r="G1352" s="510"/>
      <c r="H1352" s="480"/>
      <c r="I1352" s="480"/>
      <c r="J1352" s="480"/>
      <c r="K1352" s="480"/>
      <c r="L1352" s="510"/>
      <c r="M1352" s="480"/>
      <c r="N1352" s="480"/>
      <c r="O1352" s="480"/>
      <c r="P1352" s="480"/>
      <c r="Q1352" s="510"/>
      <c r="R1352" s="480"/>
      <c r="S1352" s="480"/>
      <c r="T1352" s="480"/>
      <c r="U1352" s="480"/>
      <c r="V1352" s="510"/>
      <c r="W1352" s="480"/>
      <c r="X1352" s="480"/>
      <c r="Y1352" s="480"/>
      <c r="Z1352" s="480"/>
      <c r="AA1352" s="510"/>
      <c r="AB1352" s="480"/>
      <c r="AC1352" s="480"/>
      <c r="AD1352" s="480"/>
      <c r="AE1352" s="482"/>
      <c r="AF1352" s="481"/>
      <c r="AG1352" s="430"/>
      <c r="AH1352" s="430"/>
      <c r="AI1352" s="430"/>
      <c r="AJ1352" s="430"/>
      <c r="AK1352" s="481"/>
      <c r="AL1352" s="430"/>
      <c r="AM1352" s="430"/>
      <c r="AN1352" s="430"/>
      <c r="AO1352" s="430"/>
      <c r="AP1352" s="481"/>
      <c r="AQ1352" s="430"/>
      <c r="AR1352" s="430"/>
      <c r="AS1352" s="430"/>
      <c r="AT1352" s="430"/>
      <c r="AU1352" s="481"/>
      <c r="AV1352" s="430"/>
      <c r="AW1352" s="430"/>
      <c r="AX1352" s="430"/>
      <c r="AY1352" s="430"/>
      <c r="AZ1352" s="481"/>
      <c r="BA1352" s="430"/>
      <c r="BB1352" s="430"/>
      <c r="BC1352" s="430"/>
      <c r="BD1352" s="430"/>
      <c r="BE1352" s="481"/>
      <c r="BF1352" s="430"/>
      <c r="BG1352" s="430"/>
      <c r="BH1352" s="430"/>
      <c r="BI1352" s="430"/>
      <c r="BJ1352" s="481"/>
      <c r="BK1352" s="430"/>
      <c r="BL1352" s="430"/>
      <c r="BM1352" s="430"/>
      <c r="BN1352" s="430"/>
      <c r="BO1352" s="481"/>
      <c r="BP1352" s="430"/>
      <c r="BQ1352" s="430"/>
      <c r="BR1352" s="430"/>
      <c r="BS1352" s="430"/>
      <c r="BT1352" s="2587"/>
      <c r="BU1352" s="2840"/>
      <c r="BV1352" s="2840"/>
      <c r="BW1352" s="2840"/>
      <c r="BX1352" s="2840"/>
      <c r="BY1352" s="2587"/>
      <c r="BZ1352" s="2587"/>
      <c r="CA1352" s="2587"/>
      <c r="CB1352" s="481"/>
      <c r="CC1352" s="481"/>
      <c r="CD1352" s="481"/>
      <c r="CE1352" s="481"/>
      <c r="CF1352" s="481"/>
      <c r="CG1352" s="331"/>
      <c r="CH1352" s="331"/>
      <c r="CI1352" s="331"/>
      <c r="CJ1352" s="331"/>
      <c r="CK1352" s="331"/>
      <c r="CL1352" s="1277"/>
      <c r="CM1352" s="430"/>
      <c r="CN1352" s="430"/>
      <c r="CO1352" s="430"/>
      <c r="CP1352" s="430"/>
      <c r="CQ1352" s="430"/>
      <c r="CR1352" s="430"/>
      <c r="CS1352" s="430"/>
      <c r="CT1352" s="430"/>
      <c r="CU1352" s="430"/>
      <c r="CV1352" s="430"/>
      <c r="CW1352" s="430"/>
      <c r="CX1352" s="430"/>
      <c r="CY1352" s="430"/>
      <c r="CZ1352" s="430"/>
      <c r="DA1352" s="430"/>
      <c r="DB1352" s="430"/>
      <c r="DC1352" s="853"/>
      <c r="DD1352" s="331"/>
      <c r="DE1352" s="331"/>
      <c r="DF1352" s="502"/>
      <c r="DG1352" s="503"/>
      <c r="DH1352" s="2840"/>
      <c r="DI1352" s="3213"/>
      <c r="DJ1352" s="502"/>
      <c r="DK1352" s="503"/>
      <c r="DL1352" s="502"/>
      <c r="DM1352" s="502"/>
      <c r="DN1352" s="502"/>
      <c r="DO1352" s="502"/>
      <c r="DP1352" s="503"/>
      <c r="DQ1352" s="503"/>
      <c r="DR1352" s="296"/>
      <c r="DS1352" s="296"/>
      <c r="DT1352" s="296"/>
    </row>
    <row r="1353" spans="1:130" ht="12.75" customHeight="1" x14ac:dyDescent="0.25">
      <c r="A1353" s="354" t="s">
        <v>26</v>
      </c>
      <c r="B1353" s="281"/>
      <c r="C1353" s="480">
        <v>0</v>
      </c>
      <c r="D1353" s="480">
        <v>15.167</v>
      </c>
      <c r="E1353" s="480">
        <v>15.372</v>
      </c>
      <c r="F1353" s="480">
        <v>15.709</v>
      </c>
      <c r="G1353" s="510">
        <f>F1353</f>
        <v>15.709</v>
      </c>
      <c r="H1353" s="480">
        <v>16.071999999999999</v>
      </c>
      <c r="I1353" s="480">
        <v>16.713999999999999</v>
      </c>
      <c r="J1353" s="480">
        <v>16.943999999999999</v>
      </c>
      <c r="K1353" s="480">
        <v>17.184000000000001</v>
      </c>
      <c r="L1353" s="510">
        <f>K1353</f>
        <v>17.184000000000001</v>
      </c>
      <c r="M1353" s="480">
        <v>17.597000000000001</v>
      </c>
      <c r="N1353" s="480">
        <v>18.018000000000001</v>
      </c>
      <c r="O1353" s="480">
        <v>16.277000000000001</v>
      </c>
      <c r="P1353" s="480">
        <v>16.138000000000002</v>
      </c>
      <c r="Q1353" s="510">
        <f>P1353</f>
        <v>16.138000000000002</v>
      </c>
      <c r="R1353" s="480">
        <v>16.134</v>
      </c>
      <c r="S1353" s="480">
        <v>16.481000000000002</v>
      </c>
      <c r="T1353" s="480">
        <v>15.935</v>
      </c>
      <c r="U1353" s="480">
        <v>15.548</v>
      </c>
      <c r="V1353" s="510">
        <f>U1353</f>
        <v>15.548</v>
      </c>
      <c r="W1353" s="480">
        <v>14.747999999999999</v>
      </c>
      <c r="X1353" s="480">
        <v>15.114000000000001</v>
      </c>
      <c r="Y1353" s="480">
        <v>14.945</v>
      </c>
      <c r="Z1353" s="480">
        <v>14.419</v>
      </c>
      <c r="AA1353" s="510">
        <f>Z1353</f>
        <v>14.419</v>
      </c>
      <c r="AB1353" s="480">
        <v>14.135999999999999</v>
      </c>
      <c r="AC1353" s="480">
        <v>13.754</v>
      </c>
      <c r="AD1353" s="480">
        <v>26.236999999999998</v>
      </c>
      <c r="AE1353" s="482">
        <v>26.305</v>
      </c>
      <c r="AF1353" s="481">
        <f>AE1353</f>
        <v>26.305</v>
      </c>
      <c r="AG1353" s="482">
        <v>38.503</v>
      </c>
      <c r="AH1353" s="482">
        <v>38.085999999999999</v>
      </c>
      <c r="AI1353" s="482">
        <v>70.936000000000007</v>
      </c>
      <c r="AJ1353" s="482">
        <v>64.12</v>
      </c>
      <c r="AK1353" s="481">
        <f>AJ1353</f>
        <v>64.12</v>
      </c>
      <c r="AL1353" s="482">
        <v>72.006</v>
      </c>
      <c r="AM1353" s="482">
        <v>142.97800000000001</v>
      </c>
      <c r="AN1353" s="482">
        <v>153.762</v>
      </c>
      <c r="AO1353" s="482">
        <v>174.11600000000001</v>
      </c>
      <c r="AP1353" s="481">
        <f t="shared" ref="AP1353:AP1361" si="3057">AO1353</f>
        <v>174.11600000000001</v>
      </c>
      <c r="AQ1353" s="482">
        <v>215.416</v>
      </c>
      <c r="AR1353" s="482">
        <v>216.47800000000001</v>
      </c>
      <c r="AS1353" s="482">
        <v>208.74799999999999</v>
      </c>
      <c r="AT1353" s="482">
        <v>204.506</v>
      </c>
      <c r="AU1353" s="481">
        <f t="shared" ref="AU1353:AU1361" si="3058">AT1353</f>
        <v>204.506</v>
      </c>
      <c r="AV1353" s="482">
        <v>201.727</v>
      </c>
      <c r="AW1353" s="482">
        <v>201.547</v>
      </c>
      <c r="AX1353" s="482">
        <v>195.82499999999999</v>
      </c>
      <c r="AY1353" s="482">
        <v>193.33099999999999</v>
      </c>
      <c r="AZ1353" s="481">
        <f t="shared" ref="AZ1353:AZ1361" si="3059">AY1353</f>
        <v>193.33099999999999</v>
      </c>
      <c r="BA1353" s="2675">
        <v>190.31200000000001</v>
      </c>
      <c r="BB1353" s="2675">
        <v>187.30699999999999</v>
      </c>
      <c r="BC1353" s="2675">
        <v>183.06700000000001</v>
      </c>
      <c r="BD1353" s="2675">
        <v>179.55099999999999</v>
      </c>
      <c r="BE1353" s="481">
        <f>+BD1353</f>
        <v>179.55099999999999</v>
      </c>
      <c r="BF1353" s="2675">
        <v>175.57400000000001</v>
      </c>
      <c r="BG1353" s="2675">
        <v>173.726</v>
      </c>
      <c r="BH1353" s="2675">
        <v>171.904</v>
      </c>
      <c r="BI1353" s="2675">
        <v>168.149</v>
      </c>
      <c r="BJ1353" s="481">
        <f>+BI1353</f>
        <v>168.149</v>
      </c>
      <c r="BK1353" s="2953">
        <v>165.35599999999999</v>
      </c>
      <c r="BL1353" s="2675">
        <v>162.95099999999999</v>
      </c>
      <c r="BM1353" s="482">
        <v>158.304</v>
      </c>
      <c r="BN1353" s="482">
        <v>156.17599999999999</v>
      </c>
      <c r="BO1353" s="481">
        <f>+BN1353</f>
        <v>156.17599999999999</v>
      </c>
      <c r="BP1353" s="2953">
        <v>154.97399999999999</v>
      </c>
      <c r="BQ1353" s="2953">
        <v>152.91300000000001</v>
      </c>
      <c r="BR1353" s="482">
        <v>149.57</v>
      </c>
      <c r="BS1353" s="3508">
        <v>148.91200000000001</v>
      </c>
      <c r="BT1353" s="2587">
        <f>+BS1353</f>
        <v>148.91200000000001</v>
      </c>
      <c r="BU1353" s="2840">
        <f>BT1353+BU1114+BU1172-BU1175-BU1285-BU1306-BU1313</f>
        <v>152.32541925671248</v>
      </c>
      <c r="BV1353" s="2840">
        <f>BU1353+BV1114+BV1172-BV1175-BV1285-BV1306-BV1313</f>
        <v>156.46842484259909</v>
      </c>
      <c r="BW1353" s="2840">
        <f>BV1353+BW1114+BW1172-BW1175-BW1285-BW1306-BW1313</f>
        <v>160.06938566673944</v>
      </c>
      <c r="BX1353" s="2840">
        <f>BW1353+BX1114+BX1172-BX1175-BX1285-BX1306-BX1313</f>
        <v>164.24651723741178</v>
      </c>
      <c r="BY1353" s="2587">
        <f t="shared" ref="BY1353:BY1361" si="3060">+BX1353</f>
        <v>164.24651723741178</v>
      </c>
      <c r="BZ1353" s="2587">
        <f t="shared" ref="BZ1353:CF1353" si="3061">BY1353+BZ1114+BZ1172-BZ1175-BZ1285-BZ1306-BZ1313</f>
        <v>179.71293433663379</v>
      </c>
      <c r="CA1353" s="2587">
        <f t="shared" si="3061"/>
        <v>195.08150926430187</v>
      </c>
      <c r="CB1353" s="481">
        <f t="shared" si="3061"/>
        <v>185.23227560229722</v>
      </c>
      <c r="CC1353" s="481">
        <f t="shared" si="3061"/>
        <v>174.64501588959115</v>
      </c>
      <c r="CD1353" s="481">
        <f t="shared" si="3061"/>
        <v>164.36734576094074</v>
      </c>
      <c r="CE1353" s="481">
        <f t="shared" si="3061"/>
        <v>154.43388843005744</v>
      </c>
      <c r="CF1353" s="481">
        <f t="shared" si="3061"/>
        <v>144.80273070607277</v>
      </c>
      <c r="CG1353" s="331"/>
      <c r="CH1353" s="331"/>
      <c r="CI1353" s="331"/>
      <c r="CJ1353" s="331"/>
      <c r="CK1353" s="331"/>
      <c r="CL1353" s="1277" t="str">
        <f>A1353</f>
        <v>Investment / advances to JVs</v>
      </c>
      <c r="CM1353" s="430">
        <f>G1353</f>
        <v>15.709</v>
      </c>
      <c r="CN1353" s="430">
        <f>L1353</f>
        <v>17.184000000000001</v>
      </c>
      <c r="CO1353" s="430">
        <f>Q1353</f>
        <v>16.138000000000002</v>
      </c>
      <c r="CP1353" s="430">
        <f>V1353</f>
        <v>15.548</v>
      </c>
      <c r="CQ1353" s="430">
        <f>AA1353</f>
        <v>14.419</v>
      </c>
      <c r="CR1353" s="430">
        <f>AF1353</f>
        <v>26.305</v>
      </c>
      <c r="CS1353" s="430">
        <f>AK1353</f>
        <v>64.12</v>
      </c>
      <c r="CT1353" s="430">
        <f>AP1353</f>
        <v>174.11600000000001</v>
      </c>
      <c r="CU1353" s="430">
        <f>AU1353</f>
        <v>204.506</v>
      </c>
      <c r="CV1353" s="430">
        <f>AZ1353</f>
        <v>193.33099999999999</v>
      </c>
      <c r="CW1353" s="430">
        <f>BE1353</f>
        <v>179.55099999999999</v>
      </c>
      <c r="CX1353" s="430">
        <f>BJ1353</f>
        <v>168.149</v>
      </c>
      <c r="CY1353" s="430">
        <f>BO1353</f>
        <v>156.17599999999999</v>
      </c>
      <c r="CZ1353" s="430">
        <f>BT1353</f>
        <v>148.91200000000001</v>
      </c>
      <c r="DA1353" s="430">
        <f t="shared" ref="DA1353:DA1362" si="3062">BY1353</f>
        <v>164.24651723741178</v>
      </c>
      <c r="DB1353" s="430">
        <f t="shared" ref="DB1353:DB1362" si="3063">BZ1353</f>
        <v>179.71293433663379</v>
      </c>
      <c r="DC1353" s="853">
        <f t="shared" ref="DC1353:DC1362" si="3064">CA1353</f>
        <v>195.08150926430187</v>
      </c>
      <c r="DD1353" s="331"/>
      <c r="DE1353" s="331"/>
      <c r="DF1353" s="502"/>
      <c r="DG1353" s="503"/>
      <c r="DH1353" s="2840"/>
      <c r="DI1353" s="3213"/>
      <c r="DJ1353" s="502"/>
      <c r="DK1353" s="503"/>
      <c r="DL1353" s="502"/>
      <c r="DM1353" s="502"/>
      <c r="DN1353" s="502"/>
      <c r="DO1353" s="502"/>
      <c r="DP1353" s="503"/>
      <c r="DQ1353" s="503"/>
      <c r="DR1353" s="296"/>
      <c r="DS1353" s="296"/>
      <c r="DT1353" s="296"/>
    </row>
    <row r="1354" spans="1:130" ht="12.75" customHeight="1" x14ac:dyDescent="0.25">
      <c r="A1354" s="354" t="s">
        <v>794</v>
      </c>
      <c r="B1354" s="281"/>
      <c r="C1354" s="480">
        <v>0</v>
      </c>
      <c r="D1354" s="480">
        <v>604.25699999999995</v>
      </c>
      <c r="E1354" s="480">
        <v>587.75699999999995</v>
      </c>
      <c r="F1354" s="480">
        <v>588.08500000000004</v>
      </c>
      <c r="G1354" s="510">
        <f t="shared" ref="G1354:G1361" si="3065">F1354</f>
        <v>588.08500000000004</v>
      </c>
      <c r="H1354" s="480">
        <v>588.08500000000004</v>
      </c>
      <c r="I1354" s="480">
        <v>590.26</v>
      </c>
      <c r="J1354" s="480">
        <v>590.28200000000004</v>
      </c>
      <c r="K1354" s="480">
        <v>1848.6610000000001</v>
      </c>
      <c r="L1354" s="510">
        <f t="shared" ref="L1354:L1361" si="3066">K1354</f>
        <v>1848.6610000000001</v>
      </c>
      <c r="M1354" s="480">
        <v>1828.069</v>
      </c>
      <c r="N1354" s="480">
        <v>1832.9860000000001</v>
      </c>
      <c r="O1354" s="480">
        <v>1894.0740000000001</v>
      </c>
      <c r="P1354" s="480">
        <v>1869.444</v>
      </c>
      <c r="Q1354" s="510">
        <f t="shared" ref="Q1354:Q1361" si="3067">P1354</f>
        <v>1869.444</v>
      </c>
      <c r="R1354" s="480">
        <v>1866.4870000000001</v>
      </c>
      <c r="S1354" s="480">
        <v>2010.1690000000001</v>
      </c>
      <c r="T1354" s="480">
        <v>2010.7270000000001</v>
      </c>
      <c r="U1354" s="480">
        <v>2013.1389999999999</v>
      </c>
      <c r="V1354" s="510">
        <f t="shared" ref="V1354:V1361" si="3068">U1354</f>
        <v>2013.1389999999999</v>
      </c>
      <c r="W1354" s="480">
        <v>2012.33</v>
      </c>
      <c r="X1354" s="480">
        <v>2013.454</v>
      </c>
      <c r="Y1354" s="480">
        <v>2013.2840000000001</v>
      </c>
      <c r="Z1354" s="480">
        <v>1598.5709999999999</v>
      </c>
      <c r="AA1354" s="510">
        <f t="shared" ref="AA1354:AA1361" si="3069">Z1354</f>
        <v>1598.5709999999999</v>
      </c>
      <c r="AB1354" s="480">
        <v>1598.5709999999999</v>
      </c>
      <c r="AC1354" s="480">
        <v>1595.875</v>
      </c>
      <c r="AD1354" s="480">
        <v>1595.875</v>
      </c>
      <c r="AE1354" s="482">
        <v>1379.961</v>
      </c>
      <c r="AF1354" s="481">
        <f t="shared" ref="AF1354:AF1361" si="3070">AE1354</f>
        <v>1379.961</v>
      </c>
      <c r="AG1354" s="482">
        <v>1378.623</v>
      </c>
      <c r="AH1354" s="482">
        <v>1377.2860000000001</v>
      </c>
      <c r="AI1354" s="482">
        <v>1375.9480000000001</v>
      </c>
      <c r="AJ1354" s="482">
        <v>1185.7560000000001</v>
      </c>
      <c r="AK1354" s="481">
        <f t="shared" ref="AK1354:AK1361" si="3071">AJ1354</f>
        <v>1185.7560000000001</v>
      </c>
      <c r="AL1354" s="482">
        <v>1184.4179999999999</v>
      </c>
      <c r="AM1354" s="482">
        <v>1183.057</v>
      </c>
      <c r="AN1354" s="482">
        <v>1181.7080000000001</v>
      </c>
      <c r="AO1354" s="482">
        <v>1180.3589999999999</v>
      </c>
      <c r="AP1354" s="481">
        <f t="shared" si="3057"/>
        <v>1180.3589999999999</v>
      </c>
      <c r="AQ1354" s="482">
        <v>1179.0250000000001</v>
      </c>
      <c r="AR1354" s="482">
        <v>1178.136</v>
      </c>
      <c r="AS1354" s="482">
        <v>1176.3579999999999</v>
      </c>
      <c r="AT1354" s="482">
        <v>1380.6890000000001</v>
      </c>
      <c r="AU1354" s="481">
        <f t="shared" si="3058"/>
        <v>1380.6890000000001</v>
      </c>
      <c r="AV1354" s="482">
        <v>1379.355</v>
      </c>
      <c r="AW1354" s="482">
        <v>1309.413</v>
      </c>
      <c r="AX1354" s="482">
        <v>1308.079</v>
      </c>
      <c r="AY1354" s="482">
        <v>492.39800000000002</v>
      </c>
      <c r="AZ1354" s="481">
        <f t="shared" si="3059"/>
        <v>492.39800000000002</v>
      </c>
      <c r="BA1354" s="2675">
        <v>493.92500000000001</v>
      </c>
      <c r="BB1354" s="2675">
        <v>492.51499999999999</v>
      </c>
      <c r="BC1354" s="2675">
        <v>491.048</v>
      </c>
      <c r="BD1354" s="2675">
        <v>874.18399999999997</v>
      </c>
      <c r="BE1354" s="481">
        <f t="shared" ref="BE1354:BE1361" si="3072">+BD1354</f>
        <v>874.18399999999997</v>
      </c>
      <c r="BF1354" s="2675">
        <v>874.18399999999997</v>
      </c>
      <c r="BG1354" s="2675">
        <v>874.18399999999997</v>
      </c>
      <c r="BH1354" s="2675">
        <v>911.923</v>
      </c>
      <c r="BI1354" s="2675">
        <v>911.94200000000001</v>
      </c>
      <c r="BJ1354" s="481">
        <f t="shared" ref="BJ1354:BJ1361" si="3073">+BI1354</f>
        <v>911.94200000000001</v>
      </c>
      <c r="BK1354" s="2953">
        <v>911.94200000000001</v>
      </c>
      <c r="BL1354" s="2675">
        <v>911.94200000000001</v>
      </c>
      <c r="BM1354" s="482">
        <v>993.63300000000004</v>
      </c>
      <c r="BN1354" s="482">
        <v>989.68499999999995</v>
      </c>
      <c r="BO1354" s="481">
        <f t="shared" ref="BO1354:BO1361" si="3074">+BN1354</f>
        <v>989.68499999999995</v>
      </c>
      <c r="BP1354" s="2953">
        <v>989.85900000000004</v>
      </c>
      <c r="BQ1354" s="2953">
        <v>1025.8869999999999</v>
      </c>
      <c r="BR1354" s="482">
        <v>1007.701</v>
      </c>
      <c r="BS1354" s="3508">
        <v>1008.097</v>
      </c>
      <c r="BT1354" s="2587">
        <f t="shared" ref="BT1354:BT1361" si="3075">+BS1354</f>
        <v>1008.097</v>
      </c>
      <c r="BU1354" s="2840">
        <f t="shared" ref="BU1354:BX1355" si="3076">BT1354</f>
        <v>1008.097</v>
      </c>
      <c r="BV1354" s="2840">
        <f t="shared" si="3076"/>
        <v>1008.097</v>
      </c>
      <c r="BW1354" s="2840">
        <f t="shared" si="3076"/>
        <v>1008.097</v>
      </c>
      <c r="BX1354" s="2840">
        <f t="shared" si="3076"/>
        <v>1008.097</v>
      </c>
      <c r="BY1354" s="2587">
        <f t="shared" si="3060"/>
        <v>1008.097</v>
      </c>
      <c r="BZ1354" s="2587">
        <f t="shared" ref="BZ1354:CA1361" si="3077">BY1354</f>
        <v>1008.097</v>
      </c>
      <c r="CA1354" s="2587">
        <f t="shared" si="3077"/>
        <v>1008.097</v>
      </c>
      <c r="CB1354" s="481">
        <f t="shared" ref="CB1354:CF1357" si="3078">CA1354</f>
        <v>1008.097</v>
      </c>
      <c r="CC1354" s="481">
        <f t="shared" si="3078"/>
        <v>1008.097</v>
      </c>
      <c r="CD1354" s="481">
        <f t="shared" si="3078"/>
        <v>1008.097</v>
      </c>
      <c r="CE1354" s="481">
        <f t="shared" si="3078"/>
        <v>1008.097</v>
      </c>
      <c r="CF1354" s="481">
        <f t="shared" si="3078"/>
        <v>1008.097</v>
      </c>
      <c r="CG1354" s="331"/>
      <c r="CH1354" s="331"/>
      <c r="CI1354" s="331"/>
      <c r="CJ1354" s="331"/>
      <c r="CK1354" s="331"/>
      <c r="CL1354" s="1277" t="str">
        <f>A1354</f>
        <v>Goodwill</v>
      </c>
      <c r="CM1354" s="430">
        <f>G1354</f>
        <v>588.08500000000004</v>
      </c>
      <c r="CN1354" s="430">
        <f>L1354</f>
        <v>1848.6610000000001</v>
      </c>
      <c r="CO1354" s="430">
        <f>Q1354</f>
        <v>1869.444</v>
      </c>
      <c r="CP1354" s="430">
        <f>V1354</f>
        <v>2013.1389999999999</v>
      </c>
      <c r="CQ1354" s="430">
        <f>AA1354</f>
        <v>1598.5709999999999</v>
      </c>
      <c r="CR1354" s="430">
        <f>AF1354</f>
        <v>1379.961</v>
      </c>
      <c r="CS1354" s="430">
        <f>AK1354</f>
        <v>1185.7560000000001</v>
      </c>
      <c r="CT1354" s="430">
        <f>AP1354</f>
        <v>1180.3589999999999</v>
      </c>
      <c r="CU1354" s="430">
        <f>AU1354</f>
        <v>1380.6890000000001</v>
      </c>
      <c r="CV1354" s="430">
        <f>AZ1354</f>
        <v>492.39800000000002</v>
      </c>
      <c r="CW1354" s="430">
        <f>BE1354</f>
        <v>874.18399999999997</v>
      </c>
      <c r="CX1354" s="430">
        <f>BJ1354</f>
        <v>911.94200000000001</v>
      </c>
      <c r="CY1354" s="430">
        <f>BO1354</f>
        <v>989.68499999999995</v>
      </c>
      <c r="CZ1354" s="430">
        <f>BT1354</f>
        <v>1008.097</v>
      </c>
      <c r="DA1354" s="430">
        <f t="shared" si="3062"/>
        <v>1008.097</v>
      </c>
      <c r="DB1354" s="430">
        <f t="shared" si="3063"/>
        <v>1008.097</v>
      </c>
      <c r="DC1354" s="853">
        <f t="shared" si="3064"/>
        <v>1008.097</v>
      </c>
      <c r="DD1354" s="331"/>
      <c r="DE1354" s="331"/>
      <c r="DF1354" s="331"/>
      <c r="DG1354" s="442"/>
      <c r="DH1354" s="2840"/>
      <c r="DI1354" s="3213"/>
      <c r="DJ1354" s="331"/>
      <c r="DK1354" s="442"/>
      <c r="DL1354" s="331"/>
      <c r="DM1354" s="331"/>
      <c r="DN1354" s="331"/>
      <c r="DO1354" s="331"/>
      <c r="DP1354" s="442"/>
      <c r="DQ1354" s="442"/>
      <c r="DR1354" s="296"/>
      <c r="DS1354" s="296"/>
      <c r="DT1354" s="296"/>
    </row>
    <row r="1355" spans="1:130" ht="12.75" hidden="1" customHeight="1" outlineLevel="1" x14ac:dyDescent="0.25">
      <c r="A1355" s="272" t="s">
        <v>27</v>
      </c>
      <c r="B1355" s="281"/>
      <c r="C1355" s="480">
        <v>0</v>
      </c>
      <c r="D1355" s="480">
        <v>17.771000000000001</v>
      </c>
      <c r="E1355" s="480">
        <v>17.143000000000001</v>
      </c>
      <c r="F1355" s="480">
        <v>16.515000000000001</v>
      </c>
      <c r="G1355" s="510">
        <f t="shared" si="3065"/>
        <v>16.515000000000001</v>
      </c>
      <c r="H1355" s="480">
        <v>15.887</v>
      </c>
      <c r="I1355" s="480">
        <v>15.259</v>
      </c>
      <c r="J1355" s="480">
        <v>14.631</v>
      </c>
      <c r="K1355" s="480">
        <v>0</v>
      </c>
      <c r="L1355" s="510">
        <f t="shared" si="3066"/>
        <v>0</v>
      </c>
      <c r="M1355" s="480">
        <v>0</v>
      </c>
      <c r="N1355" s="480">
        <v>0</v>
      </c>
      <c r="O1355" s="480">
        <v>0</v>
      </c>
      <c r="P1355" s="480">
        <v>0</v>
      </c>
      <c r="Q1355" s="510">
        <f t="shared" si="3067"/>
        <v>0</v>
      </c>
      <c r="R1355" s="480">
        <v>0</v>
      </c>
      <c r="S1355" s="480">
        <v>0</v>
      </c>
      <c r="T1355" s="480">
        <v>0</v>
      </c>
      <c r="U1355" s="480">
        <v>0</v>
      </c>
      <c r="V1355" s="510">
        <f t="shared" si="3068"/>
        <v>0</v>
      </c>
      <c r="W1355" s="480">
        <v>0</v>
      </c>
      <c r="X1355" s="480">
        <v>0</v>
      </c>
      <c r="Y1355" s="480">
        <v>0</v>
      </c>
      <c r="Z1355" s="480">
        <v>0</v>
      </c>
      <c r="AA1355" s="510">
        <f t="shared" si="3069"/>
        <v>0</v>
      </c>
      <c r="AB1355" s="480">
        <v>0</v>
      </c>
      <c r="AC1355" s="480">
        <v>0</v>
      </c>
      <c r="AD1355" s="480">
        <v>0</v>
      </c>
      <c r="AE1355" s="430">
        <f>AD1355</f>
        <v>0</v>
      </c>
      <c r="AF1355" s="481">
        <f t="shared" si="3070"/>
        <v>0</v>
      </c>
      <c r="AG1355" s="430">
        <f>AF1355</f>
        <v>0</v>
      </c>
      <c r="AH1355" s="430">
        <f>AG1355</f>
        <v>0</v>
      </c>
      <c r="AI1355" s="430">
        <f>AH1355</f>
        <v>0</v>
      </c>
      <c r="AJ1355" s="482">
        <f>AI1355</f>
        <v>0</v>
      </c>
      <c r="AK1355" s="481">
        <f t="shared" si="3071"/>
        <v>0</v>
      </c>
      <c r="AL1355" s="430">
        <f>AK1355</f>
        <v>0</v>
      </c>
      <c r="AM1355" s="430">
        <f>AL1355</f>
        <v>0</v>
      </c>
      <c r="AN1355" s="482">
        <f>AM1355</f>
        <v>0</v>
      </c>
      <c r="AO1355" s="482">
        <f>AN1355</f>
        <v>0</v>
      </c>
      <c r="AP1355" s="481">
        <f t="shared" si="3057"/>
        <v>0</v>
      </c>
      <c r="AQ1355" s="430">
        <f>AP1355</f>
        <v>0</v>
      </c>
      <c r="AR1355" s="430">
        <f>AQ1355</f>
        <v>0</v>
      </c>
      <c r="AS1355" s="482">
        <v>0</v>
      </c>
      <c r="AT1355" s="482">
        <v>0</v>
      </c>
      <c r="AU1355" s="481">
        <f t="shared" si="3058"/>
        <v>0</v>
      </c>
      <c r="AV1355" s="482">
        <v>0</v>
      </c>
      <c r="AW1355" s="430">
        <f>AV1355</f>
        <v>0</v>
      </c>
      <c r="AX1355" s="430">
        <v>0</v>
      </c>
      <c r="AY1355" s="482">
        <v>0</v>
      </c>
      <c r="AZ1355" s="481">
        <f t="shared" si="3059"/>
        <v>0</v>
      </c>
      <c r="BA1355" s="2675">
        <f>AZ1355</f>
        <v>0</v>
      </c>
      <c r="BB1355" s="2675">
        <f>BA1355</f>
        <v>0</v>
      </c>
      <c r="BC1355" s="2675">
        <v>0</v>
      </c>
      <c r="BD1355" s="2675">
        <v>0</v>
      </c>
      <c r="BE1355" s="481">
        <f t="shared" si="3072"/>
        <v>0</v>
      </c>
      <c r="BF1355" s="2675">
        <v>0</v>
      </c>
      <c r="BG1355" s="2675">
        <v>0</v>
      </c>
      <c r="BH1355" s="2675">
        <v>0</v>
      </c>
      <c r="BI1355" s="2675">
        <v>0</v>
      </c>
      <c r="BJ1355" s="481">
        <f t="shared" si="3073"/>
        <v>0</v>
      </c>
      <c r="BK1355" s="2953">
        <f>BJ1355</f>
        <v>0</v>
      </c>
      <c r="BL1355" s="2675">
        <v>0</v>
      </c>
      <c r="BM1355" s="482">
        <v>0</v>
      </c>
      <c r="BN1355" s="430">
        <f>BM1355</f>
        <v>0</v>
      </c>
      <c r="BO1355" s="481">
        <f t="shared" si="3074"/>
        <v>0</v>
      </c>
      <c r="BP1355" s="430">
        <f t="shared" ref="BP1355:BS1355" si="3079">BO1355</f>
        <v>0</v>
      </c>
      <c r="BQ1355" s="430">
        <f t="shared" si="3079"/>
        <v>0</v>
      </c>
      <c r="BR1355" s="2840">
        <v>0</v>
      </c>
      <c r="BS1355" s="430">
        <f t="shared" si="3079"/>
        <v>0</v>
      </c>
      <c r="BT1355" s="2587">
        <f t="shared" si="3075"/>
        <v>0</v>
      </c>
      <c r="BU1355" s="2840">
        <f t="shared" si="3076"/>
        <v>0</v>
      </c>
      <c r="BV1355" s="2840">
        <f t="shared" si="3076"/>
        <v>0</v>
      </c>
      <c r="BW1355" s="2840">
        <f t="shared" si="3076"/>
        <v>0</v>
      </c>
      <c r="BX1355" s="2840">
        <f t="shared" si="3076"/>
        <v>0</v>
      </c>
      <c r="BY1355" s="2587">
        <f t="shared" si="3060"/>
        <v>0</v>
      </c>
      <c r="BZ1355" s="2587">
        <f t="shared" si="3077"/>
        <v>0</v>
      </c>
      <c r="CA1355" s="2587">
        <f t="shared" si="3077"/>
        <v>0</v>
      </c>
      <c r="CB1355" s="481">
        <f t="shared" si="3078"/>
        <v>0</v>
      </c>
      <c r="CC1355" s="481">
        <f t="shared" si="3078"/>
        <v>0</v>
      </c>
      <c r="CD1355" s="481">
        <f t="shared" si="3078"/>
        <v>0</v>
      </c>
      <c r="CE1355" s="481">
        <f t="shared" si="3078"/>
        <v>0</v>
      </c>
      <c r="CF1355" s="481">
        <f t="shared" si="3078"/>
        <v>0</v>
      </c>
      <c r="CG1355" s="331"/>
      <c r="CH1355" s="331"/>
      <c r="CI1355" s="331"/>
      <c r="CJ1355" s="331"/>
      <c r="CK1355" s="331"/>
      <c r="CL1355" s="995" t="str">
        <f>A1355</f>
        <v>Management service contracts</v>
      </c>
      <c r="CM1355" s="430">
        <f>G1355</f>
        <v>16.515000000000001</v>
      </c>
      <c r="CN1355" s="430">
        <f>L1355</f>
        <v>0</v>
      </c>
      <c r="CO1355" s="430">
        <f>Q1355</f>
        <v>0</v>
      </c>
      <c r="CP1355" s="430">
        <f>V1355</f>
        <v>0</v>
      </c>
      <c r="CQ1355" s="430">
        <f>AA1355</f>
        <v>0</v>
      </c>
      <c r="CR1355" s="430">
        <f>AF1355</f>
        <v>0</v>
      </c>
      <c r="CS1355" s="430">
        <f>AK1355</f>
        <v>0</v>
      </c>
      <c r="CT1355" s="430">
        <f>AP1355</f>
        <v>0</v>
      </c>
      <c r="CU1355" s="430">
        <f>AU1355</f>
        <v>0</v>
      </c>
      <c r="CV1355" s="430">
        <f>AZ1355</f>
        <v>0</v>
      </c>
      <c r="CW1355" s="430">
        <f>BE1355</f>
        <v>0</v>
      </c>
      <c r="CX1355" s="430">
        <f>BJ1355</f>
        <v>0</v>
      </c>
      <c r="CY1355" s="430">
        <f>BO1355</f>
        <v>0</v>
      </c>
      <c r="CZ1355" s="430">
        <f>BT1355</f>
        <v>0</v>
      </c>
      <c r="DA1355" s="430">
        <f t="shared" si="3062"/>
        <v>0</v>
      </c>
      <c r="DB1355" s="430">
        <f t="shared" si="3063"/>
        <v>0</v>
      </c>
      <c r="DC1355" s="853">
        <f t="shared" si="3064"/>
        <v>0</v>
      </c>
      <c r="DD1355" s="331"/>
      <c r="DE1355" s="331"/>
      <c r="DF1355" s="502"/>
      <c r="DG1355" s="503"/>
      <c r="DH1355" s="2840"/>
      <c r="DI1355" s="3213"/>
      <c r="DJ1355" s="502"/>
      <c r="DK1355" s="503"/>
      <c r="DL1355" s="502"/>
      <c r="DM1355" s="502"/>
      <c r="DN1355" s="502"/>
      <c r="DO1355" s="502"/>
      <c r="DP1355" s="503"/>
      <c r="DQ1355" s="503"/>
      <c r="DR1355" s="296"/>
      <c r="DS1355" s="296"/>
      <c r="DT1355" s="296"/>
    </row>
    <row r="1356" spans="1:130" ht="12.75" customHeight="1" collapsed="1" x14ac:dyDescent="0.25">
      <c r="A1356" s="272" t="s">
        <v>28</v>
      </c>
      <c r="B1356" s="281"/>
      <c r="C1356" s="480">
        <v>0</v>
      </c>
      <c r="D1356" s="480">
        <v>26.17</v>
      </c>
      <c r="E1356" s="480">
        <v>24.946999999999999</v>
      </c>
      <c r="F1356" s="480">
        <v>20.062999999999999</v>
      </c>
      <c r="G1356" s="510">
        <f t="shared" si="3065"/>
        <v>20.062999999999999</v>
      </c>
      <c r="H1356" s="480">
        <v>20.305</v>
      </c>
      <c r="I1356" s="480">
        <v>17.559999999999999</v>
      </c>
      <c r="J1356" s="480">
        <v>18.186</v>
      </c>
      <c r="K1356" s="480">
        <v>70.959999999999994</v>
      </c>
      <c r="L1356" s="510">
        <f t="shared" si="3066"/>
        <v>70.959999999999994</v>
      </c>
      <c r="M1356" s="480">
        <v>65.789000000000001</v>
      </c>
      <c r="N1356" s="480">
        <v>63.000999999999998</v>
      </c>
      <c r="O1356" s="480">
        <v>60.195999999999998</v>
      </c>
      <c r="P1356" s="480">
        <v>57.386000000000003</v>
      </c>
      <c r="Q1356" s="510">
        <f t="shared" si="3067"/>
        <v>57.386000000000003</v>
      </c>
      <c r="R1356" s="480">
        <v>54.576000000000001</v>
      </c>
      <c r="S1356" s="480">
        <v>51.764000000000003</v>
      </c>
      <c r="T1356" s="480">
        <v>48.954000000000001</v>
      </c>
      <c r="U1356" s="480">
        <v>46.143999999999998</v>
      </c>
      <c r="V1356" s="510">
        <f t="shared" si="3068"/>
        <v>46.143999999999998</v>
      </c>
      <c r="W1356" s="480">
        <v>43.334000000000003</v>
      </c>
      <c r="X1356" s="480">
        <v>40.523000000000003</v>
      </c>
      <c r="Y1356" s="480">
        <v>37.72</v>
      </c>
      <c r="Z1356" s="480">
        <v>34.909999999999997</v>
      </c>
      <c r="AA1356" s="510">
        <f t="shared" si="3069"/>
        <v>34.909999999999997</v>
      </c>
      <c r="AB1356" s="480">
        <v>32.100999999999999</v>
      </c>
      <c r="AC1356" s="480">
        <v>29.291</v>
      </c>
      <c r="AD1356" s="480">
        <v>44.837000000000003</v>
      </c>
      <c r="AE1356" s="482">
        <v>40.889000000000003</v>
      </c>
      <c r="AF1356" s="481">
        <f t="shared" si="3070"/>
        <v>40.889000000000003</v>
      </c>
      <c r="AG1356" s="482">
        <v>37.506999999999998</v>
      </c>
      <c r="AH1356" s="482">
        <v>33.805</v>
      </c>
      <c r="AI1356" s="482">
        <v>30.782</v>
      </c>
      <c r="AJ1356" s="482">
        <v>27.742000000000001</v>
      </c>
      <c r="AK1356" s="481">
        <f t="shared" si="3071"/>
        <v>27.742000000000001</v>
      </c>
      <c r="AL1356" s="482">
        <v>24.701000000000001</v>
      </c>
      <c r="AM1356" s="482">
        <v>22.991</v>
      </c>
      <c r="AN1356" s="482">
        <v>34.478000000000002</v>
      </c>
      <c r="AO1356" s="482">
        <v>33.31</v>
      </c>
      <c r="AP1356" s="481">
        <f t="shared" si="3057"/>
        <v>33.31</v>
      </c>
      <c r="AQ1356" s="482">
        <v>31.82</v>
      </c>
      <c r="AR1356" s="482">
        <v>30.260999999999999</v>
      </c>
      <c r="AS1356" s="482">
        <v>28.655999999999999</v>
      </c>
      <c r="AT1356" s="482">
        <v>35.999000000000002</v>
      </c>
      <c r="AU1356" s="481">
        <f t="shared" si="3058"/>
        <v>35.999000000000002</v>
      </c>
      <c r="AV1356" s="482">
        <v>33.959000000000003</v>
      </c>
      <c r="AW1356" s="482">
        <v>31.760999999999999</v>
      </c>
      <c r="AX1356" s="482">
        <v>29.696000000000002</v>
      </c>
      <c r="AY1356" s="482">
        <v>30.734000000000002</v>
      </c>
      <c r="AZ1356" s="481">
        <f t="shared" si="3059"/>
        <v>30.734000000000002</v>
      </c>
      <c r="BA1356" s="2675">
        <v>29.596</v>
      </c>
      <c r="BB1356" s="2675">
        <v>28.085000000000001</v>
      </c>
      <c r="BC1356" s="2675">
        <v>26.617000000000001</v>
      </c>
      <c r="BD1356" s="2675">
        <v>0</v>
      </c>
      <c r="BE1356" s="481">
        <f t="shared" si="3072"/>
        <v>0</v>
      </c>
      <c r="BF1356" s="2675">
        <v>0</v>
      </c>
      <c r="BG1356" s="2675">
        <v>0</v>
      </c>
      <c r="BH1356" s="2675">
        <v>0</v>
      </c>
      <c r="BI1356" s="2675">
        <v>0</v>
      </c>
      <c r="BJ1356" s="481">
        <f t="shared" si="3073"/>
        <v>0</v>
      </c>
      <c r="BK1356" s="2953">
        <v>0</v>
      </c>
      <c r="BL1356" s="2675">
        <v>0</v>
      </c>
      <c r="BM1356" s="482">
        <v>0</v>
      </c>
      <c r="BN1356" s="430">
        <f>+BM1356</f>
        <v>0</v>
      </c>
      <c r="BO1356" s="481">
        <f t="shared" si="3074"/>
        <v>0</v>
      </c>
      <c r="BP1356" s="430">
        <f>+BO1356</f>
        <v>0</v>
      </c>
      <c r="BQ1356" s="430">
        <f>+BP1356</f>
        <v>0</v>
      </c>
      <c r="BR1356" s="2840">
        <v>0</v>
      </c>
      <c r="BS1356" s="430">
        <f>+BR1356</f>
        <v>0</v>
      </c>
      <c r="BT1356" s="2587">
        <f t="shared" si="3075"/>
        <v>0</v>
      </c>
      <c r="BU1356" s="2840">
        <f>+BT1356</f>
        <v>0</v>
      </c>
      <c r="BV1356" s="2840">
        <f>+BU1356</f>
        <v>0</v>
      </c>
      <c r="BW1356" s="2840">
        <f>+BV1356</f>
        <v>0</v>
      </c>
      <c r="BX1356" s="2840">
        <f>+BW1356</f>
        <v>0</v>
      </c>
      <c r="BY1356" s="2587">
        <f t="shared" si="3060"/>
        <v>0</v>
      </c>
      <c r="BZ1356" s="2587">
        <f t="shared" si="3077"/>
        <v>0</v>
      </c>
      <c r="CA1356" s="2587">
        <f t="shared" si="3077"/>
        <v>0</v>
      </c>
      <c r="CB1356" s="481">
        <f t="shared" si="3078"/>
        <v>0</v>
      </c>
      <c r="CC1356" s="481">
        <f t="shared" si="3078"/>
        <v>0</v>
      </c>
      <c r="CD1356" s="481">
        <f t="shared" si="3078"/>
        <v>0</v>
      </c>
      <c r="CE1356" s="481">
        <f t="shared" si="3078"/>
        <v>0</v>
      </c>
      <c r="CF1356" s="481">
        <f t="shared" si="3078"/>
        <v>0</v>
      </c>
      <c r="CG1356" s="331"/>
      <c r="CH1356" s="331"/>
      <c r="CI1356" s="331"/>
      <c r="CJ1356" s="331"/>
      <c r="CK1356" s="331"/>
      <c r="CL1356" s="995" t="str">
        <f>A1356</f>
        <v>Deferred financing fees</v>
      </c>
      <c r="CM1356" s="430">
        <f>G1356</f>
        <v>20.062999999999999</v>
      </c>
      <c r="CN1356" s="430">
        <f>L1356</f>
        <v>70.959999999999994</v>
      </c>
      <c r="CO1356" s="430">
        <f>Q1356</f>
        <v>57.386000000000003</v>
      </c>
      <c r="CP1356" s="430">
        <f>V1356</f>
        <v>46.143999999999998</v>
      </c>
      <c r="CQ1356" s="430">
        <f>AA1356</f>
        <v>34.909999999999997</v>
      </c>
      <c r="CR1356" s="430">
        <f>AF1356</f>
        <v>40.889000000000003</v>
      </c>
      <c r="CS1356" s="430">
        <f>AK1356</f>
        <v>27.742000000000001</v>
      </c>
      <c r="CT1356" s="430">
        <f>AP1356</f>
        <v>33.31</v>
      </c>
      <c r="CU1356" s="430">
        <f>AU1356</f>
        <v>35.999000000000002</v>
      </c>
      <c r="CV1356" s="430">
        <f>AZ1356</f>
        <v>30.734000000000002</v>
      </c>
      <c r="CW1356" s="430">
        <f>BE1356</f>
        <v>0</v>
      </c>
      <c r="CX1356" s="430">
        <f>BJ1356</f>
        <v>0</v>
      </c>
      <c r="CY1356" s="430">
        <f>BO1356</f>
        <v>0</v>
      </c>
      <c r="CZ1356" s="430">
        <f>BT1356</f>
        <v>0</v>
      </c>
      <c r="DA1356" s="430">
        <f t="shared" si="3062"/>
        <v>0</v>
      </c>
      <c r="DB1356" s="430">
        <f t="shared" si="3063"/>
        <v>0</v>
      </c>
      <c r="DC1356" s="853">
        <f t="shared" si="3064"/>
        <v>0</v>
      </c>
      <c r="DD1356" s="331"/>
      <c r="DE1356" s="331"/>
      <c r="DF1356" s="502"/>
      <c r="DG1356" s="503"/>
      <c r="DH1356" s="2840"/>
      <c r="DI1356" s="3213"/>
      <c r="DJ1356" s="502"/>
      <c r="DK1356" s="503"/>
      <c r="DL1356" s="502"/>
      <c r="DM1356" s="502"/>
      <c r="DN1356" s="502"/>
      <c r="DO1356" s="502"/>
      <c r="DP1356" s="503"/>
      <c r="DQ1356" s="503"/>
      <c r="DR1356" s="296"/>
      <c r="DS1356" s="296"/>
      <c r="DT1356" s="296"/>
    </row>
    <row r="1357" spans="1:130" ht="12.75" customHeight="1" x14ac:dyDescent="0.25">
      <c r="A1357" s="272" t="s">
        <v>29</v>
      </c>
      <c r="B1357" s="281"/>
      <c r="C1357" s="480">
        <v>0</v>
      </c>
      <c r="D1357" s="480">
        <v>0</v>
      </c>
      <c r="E1357" s="480">
        <v>0</v>
      </c>
      <c r="F1357" s="480">
        <v>0</v>
      </c>
      <c r="G1357" s="510">
        <f t="shared" si="3065"/>
        <v>0</v>
      </c>
      <c r="H1357" s="480">
        <v>97.65</v>
      </c>
      <c r="I1357" s="480">
        <v>97.65</v>
      </c>
      <c r="J1357" s="480">
        <v>73.233999999999995</v>
      </c>
      <c r="K1357" s="480">
        <v>0</v>
      </c>
      <c r="L1357" s="510">
        <f t="shared" si="3066"/>
        <v>0</v>
      </c>
      <c r="M1357" s="480">
        <v>0</v>
      </c>
      <c r="N1357" s="480">
        <v>0</v>
      </c>
      <c r="O1357" s="480">
        <v>0</v>
      </c>
      <c r="P1357" s="480">
        <v>0</v>
      </c>
      <c r="Q1357" s="510">
        <f t="shared" si="3067"/>
        <v>0</v>
      </c>
      <c r="R1357" s="480">
        <v>0</v>
      </c>
      <c r="S1357" s="480">
        <v>0</v>
      </c>
      <c r="T1357" s="480">
        <v>0</v>
      </c>
      <c r="U1357" s="480">
        <v>0</v>
      </c>
      <c r="V1357" s="510">
        <f t="shared" si="3068"/>
        <v>0</v>
      </c>
      <c r="W1357" s="480">
        <v>0</v>
      </c>
      <c r="X1357" s="480">
        <v>0</v>
      </c>
      <c r="Y1357" s="480">
        <v>0</v>
      </c>
      <c r="Z1357" s="480">
        <v>0</v>
      </c>
      <c r="AA1357" s="510">
        <f t="shared" si="3069"/>
        <v>0</v>
      </c>
      <c r="AB1357" s="480">
        <v>0</v>
      </c>
      <c r="AC1357" s="480">
        <v>0</v>
      </c>
      <c r="AD1357" s="480">
        <v>0</v>
      </c>
      <c r="AE1357" s="430">
        <f>AD1357</f>
        <v>0</v>
      </c>
      <c r="AF1357" s="481">
        <f t="shared" si="3070"/>
        <v>0</v>
      </c>
      <c r="AG1357" s="430">
        <f t="shared" ref="AG1357:AJ1361" si="3080">AF1357</f>
        <v>0</v>
      </c>
      <c r="AH1357" s="430">
        <f t="shared" si="3080"/>
        <v>0</v>
      </c>
      <c r="AI1357" s="482">
        <f t="shared" si="3080"/>
        <v>0</v>
      </c>
      <c r="AJ1357" s="482">
        <f t="shared" si="3080"/>
        <v>0</v>
      </c>
      <c r="AK1357" s="481">
        <f t="shared" si="3071"/>
        <v>0</v>
      </c>
      <c r="AL1357" s="430">
        <f t="shared" ref="AL1357:AO1361" si="3081">AK1357</f>
        <v>0</v>
      </c>
      <c r="AM1357" s="430">
        <f t="shared" si="3081"/>
        <v>0</v>
      </c>
      <c r="AN1357" s="482">
        <f t="shared" si="3081"/>
        <v>0</v>
      </c>
      <c r="AO1357" s="482">
        <f t="shared" si="3081"/>
        <v>0</v>
      </c>
      <c r="AP1357" s="481">
        <f t="shared" si="3057"/>
        <v>0</v>
      </c>
      <c r="AQ1357" s="430">
        <f>AP1357</f>
        <v>0</v>
      </c>
      <c r="AR1357" s="430">
        <f>AQ1357</f>
        <v>0</v>
      </c>
      <c r="AS1357" s="482">
        <v>0</v>
      </c>
      <c r="AT1357" s="482">
        <v>0</v>
      </c>
      <c r="AU1357" s="481">
        <f t="shared" si="3058"/>
        <v>0</v>
      </c>
      <c r="AV1357" s="482">
        <v>0</v>
      </c>
      <c r="AW1357" s="482">
        <f>AV1357</f>
        <v>0</v>
      </c>
      <c r="AX1357" s="482">
        <v>0</v>
      </c>
      <c r="AY1357" s="482">
        <v>0</v>
      </c>
      <c r="AZ1357" s="481">
        <f t="shared" si="3059"/>
        <v>0</v>
      </c>
      <c r="BA1357" s="2675">
        <f>AZ1357</f>
        <v>0</v>
      </c>
      <c r="BB1357" s="2675">
        <f>BA1357</f>
        <v>0</v>
      </c>
      <c r="BC1357" s="2675">
        <v>8.8979999999999997</v>
      </c>
      <c r="BD1357" s="2675">
        <v>0</v>
      </c>
      <c r="BE1357" s="481">
        <f t="shared" si="3072"/>
        <v>0</v>
      </c>
      <c r="BF1357" s="2675">
        <v>0</v>
      </c>
      <c r="BG1357" s="2675">
        <v>0</v>
      </c>
      <c r="BH1357" s="2675">
        <v>0</v>
      </c>
      <c r="BI1357" s="2675">
        <v>0</v>
      </c>
      <c r="BJ1357" s="481">
        <f t="shared" si="3073"/>
        <v>0</v>
      </c>
      <c r="BK1357" s="2953">
        <v>0</v>
      </c>
      <c r="BL1357" s="2675">
        <v>0</v>
      </c>
      <c r="BM1357" s="482">
        <v>0</v>
      </c>
      <c r="BN1357" s="430">
        <f>BM1357</f>
        <v>0</v>
      </c>
      <c r="BO1357" s="481">
        <f t="shared" si="3074"/>
        <v>0</v>
      </c>
      <c r="BP1357" s="430">
        <f>BO1357</f>
        <v>0</v>
      </c>
      <c r="BQ1357" s="430">
        <f>BP1357</f>
        <v>0</v>
      </c>
      <c r="BR1357" s="482">
        <v>635.86400000000003</v>
      </c>
      <c r="BS1357" s="3508">
        <v>390.94299999999998</v>
      </c>
      <c r="BT1357" s="2587">
        <f t="shared" si="3075"/>
        <v>390.94299999999998</v>
      </c>
      <c r="BU1357" s="2840">
        <f>BT1357</f>
        <v>390.94299999999998</v>
      </c>
      <c r="BV1357" s="2840">
        <f>BU1357</f>
        <v>390.94299999999998</v>
      </c>
      <c r="BW1357" s="2840">
        <f>BV1357</f>
        <v>390.94299999999998</v>
      </c>
      <c r="BX1357" s="2840">
        <f>BW1357</f>
        <v>390.94299999999998</v>
      </c>
      <c r="BY1357" s="2587">
        <f t="shared" si="3060"/>
        <v>390.94299999999998</v>
      </c>
      <c r="BZ1357" s="2587">
        <f t="shared" si="3077"/>
        <v>390.94299999999998</v>
      </c>
      <c r="CA1357" s="2587">
        <f t="shared" si="3077"/>
        <v>390.94299999999998</v>
      </c>
      <c r="CB1357" s="481">
        <f t="shared" si="3078"/>
        <v>390.94299999999998</v>
      </c>
      <c r="CC1357" s="481">
        <f t="shared" si="3078"/>
        <v>390.94299999999998</v>
      </c>
      <c r="CD1357" s="481">
        <f t="shared" si="3078"/>
        <v>390.94299999999998</v>
      </c>
      <c r="CE1357" s="481">
        <f t="shared" si="3078"/>
        <v>390.94299999999998</v>
      </c>
      <c r="CF1357" s="481">
        <f t="shared" si="3078"/>
        <v>390.94299999999998</v>
      </c>
      <c r="CG1357" s="331"/>
      <c r="CH1357" s="331"/>
      <c r="CI1357" s="331"/>
      <c r="CJ1357" s="331"/>
      <c r="CK1357" s="331"/>
      <c r="CL1357" s="995" t="str">
        <f>A1357</f>
        <v>Deferred income taxes, non-current</v>
      </c>
      <c r="CM1357" s="430">
        <f>G1357</f>
        <v>0</v>
      </c>
      <c r="CN1357" s="430">
        <f>L1357</f>
        <v>0</v>
      </c>
      <c r="CO1357" s="430">
        <f>Q1357</f>
        <v>0</v>
      </c>
      <c r="CP1357" s="430">
        <f>V1357</f>
        <v>0</v>
      </c>
      <c r="CQ1357" s="430">
        <f>AA1357</f>
        <v>0</v>
      </c>
      <c r="CR1357" s="430">
        <f>AF1357</f>
        <v>0</v>
      </c>
      <c r="CS1357" s="430">
        <f>AK1357</f>
        <v>0</v>
      </c>
      <c r="CT1357" s="430">
        <f>AP1357</f>
        <v>0</v>
      </c>
      <c r="CU1357" s="430">
        <f>AU1357</f>
        <v>0</v>
      </c>
      <c r="CV1357" s="430">
        <f>AZ1357</f>
        <v>0</v>
      </c>
      <c r="CW1357" s="430">
        <f>BE1357</f>
        <v>0</v>
      </c>
      <c r="CX1357" s="430">
        <f>BJ1357</f>
        <v>0</v>
      </c>
      <c r="CY1357" s="430">
        <f>BO1357</f>
        <v>0</v>
      </c>
      <c r="CZ1357" s="430">
        <f>BT1357</f>
        <v>390.94299999999998</v>
      </c>
      <c r="DA1357" s="430">
        <f t="shared" si="3062"/>
        <v>390.94299999999998</v>
      </c>
      <c r="DB1357" s="430">
        <f t="shared" si="3063"/>
        <v>390.94299999999998</v>
      </c>
      <c r="DC1357" s="853">
        <f t="shared" si="3064"/>
        <v>390.94299999999998</v>
      </c>
      <c r="DD1357" s="331"/>
      <c r="DE1357" s="331"/>
      <c r="DF1357" s="502"/>
      <c r="DG1357" s="503"/>
      <c r="DH1357" s="2840"/>
      <c r="DI1357" s="3213"/>
      <c r="DJ1357" s="502"/>
      <c r="DK1357" s="503"/>
      <c r="DL1357" s="502"/>
      <c r="DM1357" s="502"/>
      <c r="DN1357" s="502"/>
      <c r="DO1357" s="502"/>
      <c r="DP1357" s="503"/>
      <c r="DQ1357" s="503"/>
      <c r="DR1357" s="296"/>
      <c r="DS1357" s="296"/>
      <c r="DT1357" s="296"/>
    </row>
    <row r="1358" spans="1:130" s="1049" customFormat="1" ht="12.75" customHeight="1" x14ac:dyDescent="0.25">
      <c r="A1358" s="355" t="s">
        <v>2445</v>
      </c>
      <c r="B1358" s="428"/>
      <c r="C1358" s="482"/>
      <c r="D1358" s="482"/>
      <c r="E1358" s="482"/>
      <c r="F1358" s="482"/>
      <c r="G1358" s="481"/>
      <c r="H1358" s="482"/>
      <c r="I1358" s="482"/>
      <c r="J1358" s="482"/>
      <c r="K1358" s="482"/>
      <c r="L1358" s="481"/>
      <c r="M1358" s="482"/>
      <c r="N1358" s="482"/>
      <c r="O1358" s="482"/>
      <c r="P1358" s="482"/>
      <c r="Q1358" s="481"/>
      <c r="R1358" s="482"/>
      <c r="S1358" s="482"/>
      <c r="T1358" s="482"/>
      <c r="U1358" s="482"/>
      <c r="V1358" s="481"/>
      <c r="W1358" s="482"/>
      <c r="X1358" s="482"/>
      <c r="Y1358" s="482"/>
      <c r="Z1358" s="482"/>
      <c r="AA1358" s="481"/>
      <c r="AB1358" s="482"/>
      <c r="AC1358" s="482"/>
      <c r="AD1358" s="482"/>
      <c r="AE1358" s="430"/>
      <c r="AF1358" s="481"/>
      <c r="AG1358" s="430"/>
      <c r="AH1358" s="430"/>
      <c r="AI1358" s="482"/>
      <c r="AJ1358" s="482"/>
      <c r="AK1358" s="481"/>
      <c r="AL1358" s="430"/>
      <c r="AM1358" s="430"/>
      <c r="AN1358" s="482"/>
      <c r="AO1358" s="482"/>
      <c r="AP1358" s="481"/>
      <c r="AQ1358" s="430"/>
      <c r="AR1358" s="430"/>
      <c r="AS1358" s="482"/>
      <c r="AT1358" s="482"/>
      <c r="AU1358" s="481"/>
      <c r="AV1358" s="482"/>
      <c r="AW1358" s="482"/>
      <c r="AX1358" s="482"/>
      <c r="AY1358" s="482"/>
      <c r="AZ1358" s="481"/>
      <c r="BA1358" s="2675">
        <v>0</v>
      </c>
      <c r="BB1358" s="2675">
        <v>0</v>
      </c>
      <c r="BC1358" s="2675">
        <v>0</v>
      </c>
      <c r="BD1358" s="2675">
        <v>62.048000000000002</v>
      </c>
      <c r="BE1358" s="481">
        <f t="shared" si="3072"/>
        <v>62.048000000000002</v>
      </c>
      <c r="BF1358" s="2675">
        <v>86.442999999999998</v>
      </c>
      <c r="BG1358" s="2675">
        <v>108.142</v>
      </c>
      <c r="BH1358" s="2675">
        <v>143.86600000000001</v>
      </c>
      <c r="BI1358" s="2675">
        <v>197.72200000000001</v>
      </c>
      <c r="BJ1358" s="481">
        <f t="shared" si="3073"/>
        <v>197.72200000000001</v>
      </c>
      <c r="BK1358" s="2953">
        <v>246.792</v>
      </c>
      <c r="BL1358" s="2675">
        <v>299.09199999999998</v>
      </c>
      <c r="BM1358" s="482">
        <v>360.93799999999999</v>
      </c>
      <c r="BN1358" s="482">
        <v>91.400999999999996</v>
      </c>
      <c r="BO1358" s="481">
        <f t="shared" si="3074"/>
        <v>91.400999999999996</v>
      </c>
      <c r="BP1358" s="2953">
        <v>91.843000000000004</v>
      </c>
      <c r="BQ1358" s="2953">
        <v>84.152000000000001</v>
      </c>
      <c r="BR1358" s="482">
        <v>75.477999999999994</v>
      </c>
      <c r="BS1358" s="3508">
        <v>20.9</v>
      </c>
      <c r="BT1358" s="2587">
        <f t="shared" si="3075"/>
        <v>20.9</v>
      </c>
      <c r="BU1358" s="2840">
        <f>BT1358-BU1305</f>
        <v>20.9</v>
      </c>
      <c r="BV1358" s="2840">
        <f>BU1358-BV1305</f>
        <v>20.9</v>
      </c>
      <c r="BW1358" s="2840">
        <f>BV1358-BW1305</f>
        <v>20.9</v>
      </c>
      <c r="BX1358" s="2840">
        <f>BW1358-BX1305</f>
        <v>20.9</v>
      </c>
      <c r="BY1358" s="2587">
        <f t="shared" si="3060"/>
        <v>20.9</v>
      </c>
      <c r="BZ1358" s="2587">
        <f>BY1358-BZ1305</f>
        <v>20.9</v>
      </c>
      <c r="CA1358" s="2587">
        <f>BZ1358-CA1305</f>
        <v>20.9</v>
      </c>
      <c r="CB1358" s="481"/>
      <c r="CC1358" s="481"/>
      <c r="CD1358" s="481"/>
      <c r="CE1358" s="481"/>
      <c r="CF1358" s="481"/>
      <c r="CG1358" s="331"/>
      <c r="CH1358" s="331"/>
      <c r="CI1358" s="331"/>
      <c r="CJ1358" s="331"/>
      <c r="CK1358" s="331"/>
      <c r="CL1358" s="995"/>
      <c r="CM1358" s="430"/>
      <c r="CN1358" s="430"/>
      <c r="CO1358" s="430"/>
      <c r="CP1358" s="430"/>
      <c r="CQ1358" s="430"/>
      <c r="CR1358" s="430"/>
      <c r="CS1358" s="430"/>
      <c r="CT1358" s="430"/>
      <c r="CU1358" s="430"/>
      <c r="CV1358" s="430"/>
      <c r="CW1358" s="430"/>
      <c r="CX1358" s="430"/>
      <c r="CY1358" s="430"/>
      <c r="CZ1358" s="430"/>
      <c r="DA1358" s="430"/>
      <c r="DB1358" s="430"/>
      <c r="DC1358" s="853"/>
      <c r="DD1358" s="331"/>
      <c r="DE1358" s="331"/>
      <c r="DF1358" s="502"/>
      <c r="DG1358" s="503"/>
      <c r="DH1358" s="2840"/>
      <c r="DI1358" s="3213"/>
      <c r="DJ1358" s="502"/>
      <c r="DK1358" s="503"/>
      <c r="DL1358" s="502"/>
      <c r="DM1358" s="502"/>
      <c r="DN1358" s="502"/>
      <c r="DO1358" s="502"/>
      <c r="DP1358" s="503"/>
      <c r="DQ1358" s="503"/>
      <c r="DR1358" s="296"/>
      <c r="DS1358" s="296"/>
      <c r="DT1358" s="296"/>
      <c r="DU1358"/>
      <c r="DV1358"/>
      <c r="DW1358"/>
      <c r="DX1358"/>
      <c r="DY1358"/>
      <c r="DZ1358"/>
    </row>
    <row r="1359" spans="1:130" ht="12.75" customHeight="1" x14ac:dyDescent="0.25">
      <c r="A1359" s="355" t="s">
        <v>477</v>
      </c>
      <c r="B1359" s="281"/>
      <c r="C1359" s="480">
        <v>0</v>
      </c>
      <c r="D1359" s="480">
        <v>33.299999999999997</v>
      </c>
      <c r="E1359" s="480">
        <f>31.1+0.1</f>
        <v>31.200000000000003</v>
      </c>
      <c r="F1359" s="480">
        <v>42.8</v>
      </c>
      <c r="G1359" s="510">
        <f t="shared" si="3065"/>
        <v>42.8</v>
      </c>
      <c r="H1359" s="480">
        <v>32.533999999999999</v>
      </c>
      <c r="I1359" s="480">
        <v>39.475000000000001</v>
      </c>
      <c r="J1359" s="480">
        <v>40.530999999999999</v>
      </c>
      <c r="K1359" s="480">
        <v>836.38199999999995</v>
      </c>
      <c r="L1359" s="510">
        <f t="shared" si="3066"/>
        <v>836.38199999999995</v>
      </c>
      <c r="M1359" s="480">
        <v>829.41200000000003</v>
      </c>
      <c r="N1359" s="480">
        <v>831.04099999999994</v>
      </c>
      <c r="O1359" s="480">
        <v>800.5089999999999</v>
      </c>
      <c r="P1359" s="480">
        <v>803.28</v>
      </c>
      <c r="Q1359" s="510">
        <f t="shared" si="3067"/>
        <v>803.28</v>
      </c>
      <c r="R1359" s="480">
        <v>881.59699999999998</v>
      </c>
      <c r="S1359" s="480">
        <v>894.67799999999988</v>
      </c>
      <c r="T1359" s="480">
        <v>909.08899999999994</v>
      </c>
      <c r="U1359" s="480">
        <v>901.10500000000002</v>
      </c>
      <c r="V1359" s="510">
        <f t="shared" si="3068"/>
        <v>901.10500000000002</v>
      </c>
      <c r="W1359" s="480">
        <v>905.73200000000008</v>
      </c>
      <c r="X1359" s="480">
        <v>905.83299999999997</v>
      </c>
      <c r="Y1359" s="480">
        <v>908.23599999999999</v>
      </c>
      <c r="Z1359" s="480">
        <v>823.34199999999998</v>
      </c>
      <c r="AA1359" s="510">
        <f t="shared" si="3069"/>
        <v>823.34199999999998</v>
      </c>
      <c r="AB1359" s="480">
        <f>692.104+126</f>
        <v>818.10400000000004</v>
      </c>
      <c r="AC1359" s="480">
        <f>690.443+80.394</f>
        <v>770.83699999999999</v>
      </c>
      <c r="AD1359" s="480">
        <f>685.843+108.8</f>
        <v>794.64299999999992</v>
      </c>
      <c r="AE1359" s="482">
        <f>376.954+112.555</f>
        <v>489.50900000000001</v>
      </c>
      <c r="AF1359" s="481">
        <f t="shared" si="3070"/>
        <v>489.50900000000001</v>
      </c>
      <c r="AG1359" s="482">
        <f>375.294+96.661</f>
        <v>471.95499999999998</v>
      </c>
      <c r="AH1359" s="482">
        <f>402.254+117.054</f>
        <v>519.30799999999999</v>
      </c>
      <c r="AI1359" s="482">
        <f>420.304+104.277</f>
        <v>524.58100000000002</v>
      </c>
      <c r="AJ1359" s="482">
        <f>415.152+230.5+107.882</f>
        <v>753.53400000000011</v>
      </c>
      <c r="AK1359" s="481">
        <f t="shared" si="3071"/>
        <v>753.53400000000011</v>
      </c>
      <c r="AL1359" s="482">
        <f>418.05+230.5+109.253</f>
        <v>757.803</v>
      </c>
      <c r="AM1359" s="482">
        <f>418.923+114.297</f>
        <v>533.22</v>
      </c>
      <c r="AN1359" s="482">
        <f>421.117+101.397</f>
        <v>522.51400000000001</v>
      </c>
      <c r="AO1359" s="482">
        <f>421.593+103.979</f>
        <v>525.572</v>
      </c>
      <c r="AP1359" s="481">
        <f t="shared" si="3057"/>
        <v>525.572</v>
      </c>
      <c r="AQ1359" s="482">
        <f>421.42+85.295</f>
        <v>506.71500000000003</v>
      </c>
      <c r="AR1359" s="482">
        <f>471.38+89.238</f>
        <v>560.61799999999994</v>
      </c>
      <c r="AS1359" s="482">
        <f>526.382+93.803</f>
        <v>620.18499999999995</v>
      </c>
      <c r="AT1359" s="482">
        <f>706.477+98.449</f>
        <v>804.92599999999993</v>
      </c>
      <c r="AU1359" s="481">
        <f t="shared" si="3058"/>
        <v>804.92599999999993</v>
      </c>
      <c r="AV1359" s="482">
        <f>706.718+109.187</f>
        <v>815.90499999999997</v>
      </c>
      <c r="AW1359" s="482">
        <f>698.467+112.897</f>
        <v>811.36400000000003</v>
      </c>
      <c r="AX1359" s="482">
        <f>693.932+125.694</f>
        <v>819.62599999999998</v>
      </c>
      <c r="AY1359" s="482">
        <f>359.648+101.562</f>
        <v>461.21000000000004</v>
      </c>
      <c r="AZ1359" s="481">
        <f t="shared" si="3059"/>
        <v>461.21000000000004</v>
      </c>
      <c r="BA1359" s="2675">
        <f>379.852+101.691</f>
        <v>481.54300000000001</v>
      </c>
      <c r="BB1359" s="2675">
        <f>375.2+116.606</f>
        <v>491.80599999999998</v>
      </c>
      <c r="BC1359" s="2675">
        <f>475.096+128.945</f>
        <v>604.04099999999994</v>
      </c>
      <c r="BD1359" s="2675">
        <f>419.453+87.318</f>
        <v>506.77099999999996</v>
      </c>
      <c r="BE1359" s="481">
        <f t="shared" si="3072"/>
        <v>506.77099999999996</v>
      </c>
      <c r="BF1359" s="2675">
        <f>418.105+77.631</f>
        <v>495.73599999999999</v>
      </c>
      <c r="BG1359" s="2675">
        <f>416.935+79.358</f>
        <v>496.29300000000001</v>
      </c>
      <c r="BH1359" s="2675">
        <f>431.876+79.408</f>
        <v>511.28399999999999</v>
      </c>
      <c r="BI1359" s="2675">
        <f>391.442+116.953</f>
        <v>508.39499999999998</v>
      </c>
      <c r="BJ1359" s="481">
        <f t="shared" si="3073"/>
        <v>508.39499999999998</v>
      </c>
      <c r="BK1359" s="2953">
        <f>391.149+137.759</f>
        <v>528.90800000000002</v>
      </c>
      <c r="BL1359" s="2675">
        <f>390.769+140.548</f>
        <v>531.31700000000001</v>
      </c>
      <c r="BM1359" s="482">
        <f>431.989+108.793</f>
        <v>540.78199999999993</v>
      </c>
      <c r="BN1359" s="482">
        <f>435.494+82.08</f>
        <v>517.57400000000007</v>
      </c>
      <c r="BO1359" s="481">
        <f t="shared" si="3074"/>
        <v>517.57400000000007</v>
      </c>
      <c r="BP1359" s="2953">
        <f>432.558+86.366</f>
        <v>518.92399999999998</v>
      </c>
      <c r="BQ1359" s="2953">
        <f>430.332+89.465</f>
        <v>519.79700000000003</v>
      </c>
      <c r="BR1359" s="482">
        <f>426.35+86.152</f>
        <v>512.50200000000007</v>
      </c>
      <c r="BS1359" s="3508">
        <f>422.606+85.653</f>
        <v>508.25900000000001</v>
      </c>
      <c r="BT1359" s="2587">
        <f t="shared" si="3075"/>
        <v>508.25900000000001</v>
      </c>
      <c r="BU1359" s="2840">
        <f t="shared" ref="BU1359:BV1361" si="3082">BT1359</f>
        <v>508.25900000000001</v>
      </c>
      <c r="BV1359" s="2840">
        <f t="shared" si="3082"/>
        <v>508.25900000000001</v>
      </c>
      <c r="BW1359" s="2840">
        <f t="shared" ref="BW1359:BX1361" si="3083">BV1359</f>
        <v>508.25900000000001</v>
      </c>
      <c r="BX1359" s="2840">
        <f t="shared" si="3083"/>
        <v>508.25900000000001</v>
      </c>
      <c r="BY1359" s="2587">
        <f t="shared" si="3060"/>
        <v>508.25900000000001</v>
      </c>
      <c r="BZ1359" s="2587">
        <f>+BY1359</f>
        <v>508.25900000000001</v>
      </c>
      <c r="CA1359" s="2587">
        <f>+BZ1359</f>
        <v>508.25900000000001</v>
      </c>
      <c r="CB1359" s="481">
        <f>CA1359-CB1305</f>
        <v>508.25900000000001</v>
      </c>
      <c r="CC1359" s="481">
        <f>CB1359-CC1305</f>
        <v>508.25900000000001</v>
      </c>
      <c r="CD1359" s="481">
        <f>CC1359-CD1305</f>
        <v>508.25900000000001</v>
      </c>
      <c r="CE1359" s="481">
        <f>CD1359-CE1305</f>
        <v>508.25900000000001</v>
      </c>
      <c r="CF1359" s="481">
        <f>CE1359-CF1305</f>
        <v>508.25900000000001</v>
      </c>
      <c r="CG1359" s="331"/>
      <c r="CH1359" s="331"/>
      <c r="CI1359" s="331"/>
      <c r="CJ1359" s="331"/>
      <c r="CK1359" s="331"/>
      <c r="CL1359" s="995" t="str">
        <f>A1359</f>
        <v>Miscellaneous and other Intangibles</v>
      </c>
      <c r="CM1359" s="430">
        <f>G1359</f>
        <v>42.8</v>
      </c>
      <c r="CN1359" s="430">
        <f>L1359</f>
        <v>836.38199999999995</v>
      </c>
      <c r="CO1359" s="430">
        <f>Q1359</f>
        <v>803.28</v>
      </c>
      <c r="CP1359" s="430">
        <f>V1359</f>
        <v>901.10500000000002</v>
      </c>
      <c r="CQ1359" s="430">
        <f>AA1359</f>
        <v>823.34199999999998</v>
      </c>
      <c r="CR1359" s="430">
        <f>AF1359</f>
        <v>489.50900000000001</v>
      </c>
      <c r="CS1359" s="430">
        <f>AK1359</f>
        <v>753.53400000000011</v>
      </c>
      <c r="CT1359" s="430">
        <f>AP1359</f>
        <v>525.572</v>
      </c>
      <c r="CU1359" s="430">
        <f>AU1359</f>
        <v>804.92599999999993</v>
      </c>
      <c r="CV1359" s="430">
        <f>AZ1359</f>
        <v>461.21000000000004</v>
      </c>
      <c r="CW1359" s="430">
        <f>BE1359</f>
        <v>506.77099999999996</v>
      </c>
      <c r="CX1359" s="430">
        <f>BJ1359</f>
        <v>508.39499999999998</v>
      </c>
      <c r="CY1359" s="430">
        <f>BO1359</f>
        <v>517.57400000000007</v>
      </c>
      <c r="CZ1359" s="430">
        <f>BT1359</f>
        <v>508.25900000000001</v>
      </c>
      <c r="DA1359" s="430">
        <f t="shared" si="3062"/>
        <v>508.25900000000001</v>
      </c>
      <c r="DB1359" s="430">
        <f t="shared" si="3063"/>
        <v>508.25900000000001</v>
      </c>
      <c r="DC1359" s="853">
        <f t="shared" si="3064"/>
        <v>508.25900000000001</v>
      </c>
      <c r="DD1359" s="331"/>
      <c r="DE1359" s="331"/>
      <c r="DF1359" s="502"/>
      <c r="DG1359" s="503"/>
      <c r="DH1359" s="2840"/>
      <c r="DI1359" s="3213"/>
      <c r="DJ1359" s="502"/>
      <c r="DK1359" s="503"/>
      <c r="DL1359" s="502"/>
      <c r="DM1359" s="502"/>
      <c r="DN1359" s="502"/>
      <c r="DO1359" s="502"/>
      <c r="DP1359" s="503"/>
      <c r="DQ1359" s="503"/>
      <c r="DR1359" s="296"/>
      <c r="DS1359" s="296"/>
      <c r="DT1359" s="296"/>
    </row>
    <row r="1360" spans="1:130" ht="12.75" hidden="1" customHeight="1" outlineLevel="1" x14ac:dyDescent="0.25">
      <c r="A1360" s="355" t="s">
        <v>2063</v>
      </c>
      <c r="B1360" s="281"/>
      <c r="C1360" s="480">
        <v>0</v>
      </c>
      <c r="D1360" s="480">
        <v>145.1</v>
      </c>
      <c r="E1360" s="480">
        <v>196.3</v>
      </c>
      <c r="F1360" s="480">
        <v>188.6</v>
      </c>
      <c r="G1360" s="510">
        <f t="shared" si="3065"/>
        <v>188.6</v>
      </c>
      <c r="H1360" s="480">
        <v>139.124</v>
      </c>
      <c r="I1360" s="480">
        <v>136.88300000000001</v>
      </c>
      <c r="J1360" s="480">
        <v>0</v>
      </c>
      <c r="K1360" s="480">
        <v>0</v>
      </c>
      <c r="L1360" s="510">
        <f t="shared" si="3066"/>
        <v>0</v>
      </c>
      <c r="M1360" s="480">
        <v>0</v>
      </c>
      <c r="N1360" s="480">
        <v>0</v>
      </c>
      <c r="O1360" s="480">
        <v>0</v>
      </c>
      <c r="P1360" s="480">
        <v>0</v>
      </c>
      <c r="Q1360" s="510">
        <f t="shared" si="3067"/>
        <v>0</v>
      </c>
      <c r="R1360" s="480">
        <v>0</v>
      </c>
      <c r="S1360" s="480">
        <v>0</v>
      </c>
      <c r="T1360" s="480">
        <v>0</v>
      </c>
      <c r="U1360" s="480">
        <v>0</v>
      </c>
      <c r="V1360" s="510">
        <f t="shared" si="3068"/>
        <v>0</v>
      </c>
      <c r="W1360" s="480">
        <v>0</v>
      </c>
      <c r="X1360" s="480">
        <v>0</v>
      </c>
      <c r="Y1360" s="480">
        <v>0</v>
      </c>
      <c r="Z1360" s="480">
        <v>0</v>
      </c>
      <c r="AA1360" s="510">
        <f t="shared" si="3069"/>
        <v>0</v>
      </c>
      <c r="AB1360" s="480">
        <v>0</v>
      </c>
      <c r="AC1360" s="480">
        <v>0</v>
      </c>
      <c r="AD1360" s="480">
        <v>0</v>
      </c>
      <c r="AE1360" s="430">
        <f>AD1360</f>
        <v>0</v>
      </c>
      <c r="AF1360" s="481">
        <f t="shared" si="3070"/>
        <v>0</v>
      </c>
      <c r="AG1360" s="430">
        <f t="shared" si="3080"/>
        <v>0</v>
      </c>
      <c r="AH1360" s="430">
        <f t="shared" si="3080"/>
        <v>0</v>
      </c>
      <c r="AI1360" s="430">
        <f t="shared" si="3080"/>
        <v>0</v>
      </c>
      <c r="AJ1360" s="430">
        <f t="shared" si="3080"/>
        <v>0</v>
      </c>
      <c r="AK1360" s="481">
        <f t="shared" si="3071"/>
        <v>0</v>
      </c>
      <c r="AL1360" s="430">
        <f t="shared" si="3081"/>
        <v>0</v>
      </c>
      <c r="AM1360" s="430">
        <f t="shared" si="3081"/>
        <v>0</v>
      </c>
      <c r="AN1360" s="430">
        <f t="shared" si="3081"/>
        <v>0</v>
      </c>
      <c r="AO1360" s="430">
        <f t="shared" si="3081"/>
        <v>0</v>
      </c>
      <c r="AP1360" s="481">
        <f t="shared" si="3057"/>
        <v>0</v>
      </c>
      <c r="AQ1360" s="430">
        <f>AP1360</f>
        <v>0</v>
      </c>
      <c r="AR1360" s="430">
        <f>AQ1360</f>
        <v>0</v>
      </c>
      <c r="AS1360" s="482">
        <v>0</v>
      </c>
      <c r="AT1360" s="482">
        <v>0</v>
      </c>
      <c r="AU1360" s="481">
        <f t="shared" si="3058"/>
        <v>0</v>
      </c>
      <c r="AV1360" s="482">
        <v>0</v>
      </c>
      <c r="AW1360" s="430">
        <f>AV1360</f>
        <v>0</v>
      </c>
      <c r="AX1360" s="430">
        <v>0</v>
      </c>
      <c r="AY1360" s="482">
        <v>0</v>
      </c>
      <c r="AZ1360" s="481">
        <f t="shared" si="3059"/>
        <v>0</v>
      </c>
      <c r="BA1360" s="430">
        <v>0</v>
      </c>
      <c r="BB1360" s="430">
        <v>0</v>
      </c>
      <c r="BC1360" s="430">
        <v>0</v>
      </c>
      <c r="BD1360" s="430">
        <v>0</v>
      </c>
      <c r="BE1360" s="481">
        <f t="shared" si="3072"/>
        <v>0</v>
      </c>
      <c r="BF1360" s="430">
        <f t="shared" ref="BF1360:BH1361" si="3084">BE1360</f>
        <v>0</v>
      </c>
      <c r="BG1360" s="430">
        <f t="shared" si="3084"/>
        <v>0</v>
      </c>
      <c r="BH1360" s="430">
        <f t="shared" si="3084"/>
        <v>0</v>
      </c>
      <c r="BI1360" s="430">
        <v>0</v>
      </c>
      <c r="BJ1360" s="481">
        <f t="shared" si="3073"/>
        <v>0</v>
      </c>
      <c r="BK1360" s="430">
        <f t="shared" ref="BK1360:BN1361" si="3085">BJ1360</f>
        <v>0</v>
      </c>
      <c r="BL1360" s="430">
        <v>0</v>
      </c>
      <c r="BM1360" s="430">
        <f t="shared" si="3085"/>
        <v>0</v>
      </c>
      <c r="BN1360" s="430">
        <f t="shared" si="3085"/>
        <v>0</v>
      </c>
      <c r="BO1360" s="481">
        <f t="shared" si="3074"/>
        <v>0</v>
      </c>
      <c r="BP1360" s="430">
        <f t="shared" ref="BP1360:BS1361" si="3086">BO1360</f>
        <v>0</v>
      </c>
      <c r="BQ1360" s="430">
        <f t="shared" si="3086"/>
        <v>0</v>
      </c>
      <c r="BR1360" s="430">
        <f t="shared" si="3086"/>
        <v>0</v>
      </c>
      <c r="BS1360" s="430">
        <f t="shared" si="3086"/>
        <v>0</v>
      </c>
      <c r="BT1360" s="2587">
        <f t="shared" si="3075"/>
        <v>0</v>
      </c>
      <c r="BU1360" s="2840">
        <f t="shared" si="3082"/>
        <v>0</v>
      </c>
      <c r="BV1360" s="2840">
        <f t="shared" si="3082"/>
        <v>0</v>
      </c>
      <c r="BW1360" s="2840">
        <f t="shared" si="3083"/>
        <v>0</v>
      </c>
      <c r="BX1360" s="2840">
        <f t="shared" si="3083"/>
        <v>0</v>
      </c>
      <c r="BY1360" s="2587">
        <f t="shared" si="3060"/>
        <v>0</v>
      </c>
      <c r="BZ1360" s="2587">
        <f t="shared" si="3077"/>
        <v>0</v>
      </c>
      <c r="CA1360" s="2587">
        <f t="shared" si="3077"/>
        <v>0</v>
      </c>
      <c r="CB1360" s="481">
        <f t="shared" ref="CB1360:CF1361" si="3087">CA1360</f>
        <v>0</v>
      </c>
      <c r="CC1360" s="481">
        <f t="shared" si="3087"/>
        <v>0</v>
      </c>
      <c r="CD1360" s="481">
        <f t="shared" si="3087"/>
        <v>0</v>
      </c>
      <c r="CE1360" s="481">
        <f t="shared" si="3087"/>
        <v>0</v>
      </c>
      <c r="CF1360" s="481">
        <f t="shared" si="3087"/>
        <v>0</v>
      </c>
      <c r="CG1360" s="331"/>
      <c r="CH1360" s="331"/>
      <c r="CI1360" s="331"/>
      <c r="CJ1360" s="331"/>
      <c r="CK1360" s="331"/>
      <c r="CL1360" s="995" t="str">
        <f>A1360</f>
        <v>Assets held for sale</v>
      </c>
      <c r="CM1360" s="430">
        <f>G1360</f>
        <v>188.6</v>
      </c>
      <c r="CN1360" s="430">
        <f>L1360</f>
        <v>0</v>
      </c>
      <c r="CO1360" s="430">
        <f>Q1360</f>
        <v>0</v>
      </c>
      <c r="CP1360" s="430">
        <f>V1360</f>
        <v>0</v>
      </c>
      <c r="CQ1360" s="430">
        <f>AA1360</f>
        <v>0</v>
      </c>
      <c r="CR1360" s="430">
        <f>AF1360</f>
        <v>0</v>
      </c>
      <c r="CS1360" s="430">
        <f>AK1360</f>
        <v>0</v>
      </c>
      <c r="CT1360" s="430">
        <f>AP1360</f>
        <v>0</v>
      </c>
      <c r="CU1360" s="430">
        <f>AU1360</f>
        <v>0</v>
      </c>
      <c r="CV1360" s="430">
        <f>AZ1360</f>
        <v>0</v>
      </c>
      <c r="CW1360" s="430">
        <f>BE1360</f>
        <v>0</v>
      </c>
      <c r="CX1360" s="430">
        <f>BJ1360</f>
        <v>0</v>
      </c>
      <c r="CY1360" s="430">
        <f>BO1360</f>
        <v>0</v>
      </c>
      <c r="CZ1360" s="430">
        <f>BT1360</f>
        <v>0</v>
      </c>
      <c r="DA1360" s="430">
        <f t="shared" si="3062"/>
        <v>0</v>
      </c>
      <c r="DB1360" s="430">
        <f t="shared" si="3063"/>
        <v>0</v>
      </c>
      <c r="DC1360" s="853">
        <f t="shared" si="3064"/>
        <v>0</v>
      </c>
      <c r="DD1360" s="331"/>
      <c r="DE1360" s="331"/>
      <c r="DF1360" s="502"/>
      <c r="DG1360" s="503"/>
      <c r="DH1360" s="2840"/>
      <c r="DI1360" s="3213"/>
      <c r="DJ1360" s="502"/>
      <c r="DK1360" s="503"/>
      <c r="DL1360" s="502"/>
      <c r="DM1360" s="502"/>
      <c r="DN1360" s="502"/>
      <c r="DO1360" s="502"/>
      <c r="DP1360" s="503"/>
      <c r="DQ1360" s="503"/>
      <c r="DR1360" s="296"/>
      <c r="DS1360" s="296"/>
      <c r="DT1360" s="296"/>
    </row>
    <row r="1361" spans="1:130" ht="12.75" hidden="1" customHeight="1" outlineLevel="1" x14ac:dyDescent="0.25">
      <c r="A1361" s="355" t="s">
        <v>1668</v>
      </c>
      <c r="B1361" s="291"/>
      <c r="C1361" s="480">
        <v>0</v>
      </c>
      <c r="D1361" s="480">
        <v>0</v>
      </c>
      <c r="E1361" s="480">
        <v>0</v>
      </c>
      <c r="F1361" s="480">
        <v>0</v>
      </c>
      <c r="G1361" s="510">
        <f t="shared" si="3065"/>
        <v>0</v>
      </c>
      <c r="H1361" s="480">
        <v>50.982999999999997</v>
      </c>
      <c r="I1361" s="480">
        <v>50.982999999999997</v>
      </c>
      <c r="J1361" s="480">
        <v>50.982999999999997</v>
      </c>
      <c r="K1361" s="480">
        <v>50.982999999999997</v>
      </c>
      <c r="L1361" s="510">
        <f t="shared" si="3066"/>
        <v>50.982999999999997</v>
      </c>
      <c r="M1361" s="480">
        <v>50.982999999999997</v>
      </c>
      <c r="N1361" s="480">
        <v>50.972000000000001</v>
      </c>
      <c r="O1361" s="480">
        <v>0</v>
      </c>
      <c r="P1361" s="480">
        <v>0</v>
      </c>
      <c r="Q1361" s="510">
        <f t="shared" si="3067"/>
        <v>0</v>
      </c>
      <c r="R1361" s="480">
        <v>0</v>
      </c>
      <c r="S1361" s="480">
        <v>0</v>
      </c>
      <c r="T1361" s="480">
        <v>0</v>
      </c>
      <c r="U1361" s="480">
        <v>0</v>
      </c>
      <c r="V1361" s="510">
        <f t="shared" si="3068"/>
        <v>0</v>
      </c>
      <c r="W1361" s="480">
        <v>0</v>
      </c>
      <c r="X1361" s="480">
        <v>0</v>
      </c>
      <c r="Y1361" s="480">
        <v>0</v>
      </c>
      <c r="Z1361" s="480">
        <v>0</v>
      </c>
      <c r="AA1361" s="510">
        <f t="shared" si="3069"/>
        <v>0</v>
      </c>
      <c r="AB1361" s="480">
        <v>0</v>
      </c>
      <c r="AC1361" s="480">
        <v>0</v>
      </c>
      <c r="AD1361" s="480">
        <v>0</v>
      </c>
      <c r="AE1361" s="430">
        <f>AD1361</f>
        <v>0</v>
      </c>
      <c r="AF1361" s="481">
        <f t="shared" si="3070"/>
        <v>0</v>
      </c>
      <c r="AG1361" s="430">
        <f t="shared" si="3080"/>
        <v>0</v>
      </c>
      <c r="AH1361" s="430">
        <f t="shared" si="3080"/>
        <v>0</v>
      </c>
      <c r="AI1361" s="430">
        <f t="shared" si="3080"/>
        <v>0</v>
      </c>
      <c r="AJ1361" s="430">
        <f t="shared" si="3080"/>
        <v>0</v>
      </c>
      <c r="AK1361" s="481">
        <f t="shared" si="3071"/>
        <v>0</v>
      </c>
      <c r="AL1361" s="430">
        <f t="shared" si="3081"/>
        <v>0</v>
      </c>
      <c r="AM1361" s="430">
        <f t="shared" si="3081"/>
        <v>0</v>
      </c>
      <c r="AN1361" s="430">
        <f t="shared" si="3081"/>
        <v>0</v>
      </c>
      <c r="AO1361" s="430">
        <f t="shared" si="3081"/>
        <v>0</v>
      </c>
      <c r="AP1361" s="481">
        <f t="shared" si="3057"/>
        <v>0</v>
      </c>
      <c r="AQ1361" s="430">
        <f>AP1361</f>
        <v>0</v>
      </c>
      <c r="AR1361" s="430">
        <f>AQ1361</f>
        <v>0</v>
      </c>
      <c r="AS1361" s="482">
        <v>0</v>
      </c>
      <c r="AT1361" s="482">
        <v>0</v>
      </c>
      <c r="AU1361" s="481">
        <f t="shared" si="3058"/>
        <v>0</v>
      </c>
      <c r="AV1361" s="482">
        <v>0</v>
      </c>
      <c r="AW1361" s="430">
        <f>AV1361</f>
        <v>0</v>
      </c>
      <c r="AX1361" s="430">
        <v>0</v>
      </c>
      <c r="AY1361" s="482">
        <v>0</v>
      </c>
      <c r="AZ1361" s="481">
        <f t="shared" si="3059"/>
        <v>0</v>
      </c>
      <c r="BA1361" s="430">
        <v>0</v>
      </c>
      <c r="BB1361" s="430">
        <v>0</v>
      </c>
      <c r="BC1361" s="430">
        <v>0</v>
      </c>
      <c r="BD1361" s="430">
        <v>0</v>
      </c>
      <c r="BE1361" s="481">
        <f t="shared" si="3072"/>
        <v>0</v>
      </c>
      <c r="BF1361" s="430">
        <f t="shared" si="3084"/>
        <v>0</v>
      </c>
      <c r="BG1361" s="430">
        <f t="shared" si="3084"/>
        <v>0</v>
      </c>
      <c r="BH1361" s="430">
        <f t="shared" si="3084"/>
        <v>0</v>
      </c>
      <c r="BI1361" s="430">
        <v>0</v>
      </c>
      <c r="BJ1361" s="481">
        <f t="shared" si="3073"/>
        <v>0</v>
      </c>
      <c r="BK1361" s="430">
        <f t="shared" si="3085"/>
        <v>0</v>
      </c>
      <c r="BL1361" s="430">
        <v>0</v>
      </c>
      <c r="BM1361" s="430">
        <f t="shared" si="3085"/>
        <v>0</v>
      </c>
      <c r="BN1361" s="430">
        <f t="shared" si="3085"/>
        <v>0</v>
      </c>
      <c r="BO1361" s="481">
        <f t="shared" si="3074"/>
        <v>0</v>
      </c>
      <c r="BP1361" s="430">
        <f t="shared" si="3086"/>
        <v>0</v>
      </c>
      <c r="BQ1361" s="430">
        <f t="shared" si="3086"/>
        <v>0</v>
      </c>
      <c r="BR1361" s="430">
        <f t="shared" si="3086"/>
        <v>0</v>
      </c>
      <c r="BS1361" s="430">
        <f t="shared" si="3086"/>
        <v>0</v>
      </c>
      <c r="BT1361" s="2587">
        <f t="shared" si="3075"/>
        <v>0</v>
      </c>
      <c r="BU1361" s="2840">
        <f t="shared" si="3082"/>
        <v>0</v>
      </c>
      <c r="BV1361" s="2840">
        <f t="shared" si="3082"/>
        <v>0</v>
      </c>
      <c r="BW1361" s="2840">
        <f t="shared" si="3083"/>
        <v>0</v>
      </c>
      <c r="BX1361" s="2840">
        <f t="shared" si="3083"/>
        <v>0</v>
      </c>
      <c r="BY1361" s="2587">
        <f t="shared" si="3060"/>
        <v>0</v>
      </c>
      <c r="BZ1361" s="2587">
        <f t="shared" si="3077"/>
        <v>0</v>
      </c>
      <c r="CA1361" s="2587">
        <f t="shared" si="3077"/>
        <v>0</v>
      </c>
      <c r="CB1361" s="481">
        <f t="shared" si="3087"/>
        <v>0</v>
      </c>
      <c r="CC1361" s="481">
        <f t="shared" si="3087"/>
        <v>0</v>
      </c>
      <c r="CD1361" s="481">
        <f t="shared" si="3087"/>
        <v>0</v>
      </c>
      <c r="CE1361" s="481">
        <f t="shared" si="3087"/>
        <v>0</v>
      </c>
      <c r="CF1361" s="481">
        <f t="shared" si="3087"/>
        <v>0</v>
      </c>
      <c r="CG1361" s="741"/>
      <c r="CH1361" s="741"/>
      <c r="CI1361" s="741"/>
      <c r="CJ1361" s="741"/>
      <c r="CK1361" s="741"/>
      <c r="CL1361" s="995" t="str">
        <f>A1361</f>
        <v>Restricted assets for sale</v>
      </c>
      <c r="CM1361" s="430">
        <f>G1361</f>
        <v>0</v>
      </c>
      <c r="CN1361" s="430">
        <f>L1361</f>
        <v>50.982999999999997</v>
      </c>
      <c r="CO1361" s="430">
        <f>Q1361</f>
        <v>0</v>
      </c>
      <c r="CP1361" s="430">
        <f>V1361</f>
        <v>0</v>
      </c>
      <c r="CQ1361" s="430">
        <f>AA1361</f>
        <v>0</v>
      </c>
      <c r="CR1361" s="430">
        <f>AF1361</f>
        <v>0</v>
      </c>
      <c r="CS1361" s="430">
        <f>AK1361</f>
        <v>0</v>
      </c>
      <c r="CT1361" s="430">
        <f>AP1361</f>
        <v>0</v>
      </c>
      <c r="CU1361" s="430">
        <f>AU1361</f>
        <v>0</v>
      </c>
      <c r="CV1361" s="430">
        <f>AZ1361</f>
        <v>0</v>
      </c>
      <c r="CW1361" s="430">
        <f>BE1361</f>
        <v>0</v>
      </c>
      <c r="CX1361" s="430">
        <f>BJ1361</f>
        <v>0</v>
      </c>
      <c r="CY1361" s="430">
        <f>BO1361</f>
        <v>0</v>
      </c>
      <c r="CZ1361" s="430">
        <f>BT1361</f>
        <v>0</v>
      </c>
      <c r="DA1361" s="430">
        <f t="shared" si="3062"/>
        <v>0</v>
      </c>
      <c r="DB1361" s="430">
        <f t="shared" si="3063"/>
        <v>0</v>
      </c>
      <c r="DC1361" s="853">
        <f t="shared" si="3064"/>
        <v>0</v>
      </c>
      <c r="DD1361" s="741"/>
      <c r="DE1361" s="741"/>
      <c r="DF1361" s="742"/>
      <c r="DG1361" s="743"/>
      <c r="DH1361" s="2840"/>
      <c r="DI1361" s="3215"/>
      <c r="DJ1361" s="742"/>
      <c r="DK1361" s="743"/>
      <c r="DL1361" s="742"/>
      <c r="DM1361" s="742"/>
      <c r="DN1361" s="742"/>
      <c r="DO1361" s="742"/>
      <c r="DP1361" s="743"/>
      <c r="DQ1361" s="743"/>
      <c r="DR1361" s="740"/>
      <c r="DS1361" s="740"/>
      <c r="DT1361" s="740"/>
    </row>
    <row r="1362" spans="1:130" ht="4.5" hidden="1" customHeight="1" outlineLevel="1" x14ac:dyDescent="0.25">
      <c r="A1362" s="355"/>
      <c r="B1362" s="291"/>
      <c r="C1362" s="544" t="s">
        <v>1151</v>
      </c>
      <c r="D1362" s="544" t="s">
        <v>1151</v>
      </c>
      <c r="E1362" s="544" t="s">
        <v>1151</v>
      </c>
      <c r="F1362" s="544" t="s">
        <v>1151</v>
      </c>
      <c r="G1362" s="461" t="s">
        <v>1151</v>
      </c>
      <c r="H1362" s="544" t="s">
        <v>1151</v>
      </c>
      <c r="I1362" s="544" t="s">
        <v>1151</v>
      </c>
      <c r="J1362" s="544" t="s">
        <v>1151</v>
      </c>
      <c r="K1362" s="544" t="s">
        <v>1151</v>
      </c>
      <c r="L1362" s="461" t="s">
        <v>1151</v>
      </c>
      <c r="M1362" s="544" t="s">
        <v>1151</v>
      </c>
      <c r="N1362" s="544" t="s">
        <v>1151</v>
      </c>
      <c r="O1362" s="544" t="s">
        <v>1151</v>
      </c>
      <c r="P1362" s="544" t="s">
        <v>1151</v>
      </c>
      <c r="Q1362" s="461" t="s">
        <v>1151</v>
      </c>
      <c r="R1362" s="544" t="s">
        <v>1151</v>
      </c>
      <c r="S1362" s="544" t="s">
        <v>1151</v>
      </c>
      <c r="T1362" s="544" t="s">
        <v>1151</v>
      </c>
      <c r="U1362" s="544" t="s">
        <v>1151</v>
      </c>
      <c r="V1362" s="461" t="s">
        <v>1151</v>
      </c>
      <c r="W1362" s="544" t="s">
        <v>1151</v>
      </c>
      <c r="X1362" s="544" t="s">
        <v>1151</v>
      </c>
      <c r="Y1362" s="544" t="s">
        <v>1151</v>
      </c>
      <c r="Z1362" s="544" t="s">
        <v>1151</v>
      </c>
      <c r="AA1362" s="461" t="s">
        <v>1151</v>
      </c>
      <c r="AB1362" s="544" t="s">
        <v>1151</v>
      </c>
      <c r="AC1362" s="544" t="s">
        <v>1151</v>
      </c>
      <c r="AD1362" s="544" t="s">
        <v>1151</v>
      </c>
      <c r="AE1362" s="544" t="s">
        <v>1151</v>
      </c>
      <c r="AF1362" s="461" t="s">
        <v>1151</v>
      </c>
      <c r="AG1362" s="544" t="s">
        <v>1151</v>
      </c>
      <c r="AH1362" s="544" t="s">
        <v>1151</v>
      </c>
      <c r="AI1362" s="544" t="s">
        <v>1151</v>
      </c>
      <c r="AJ1362" s="544" t="s">
        <v>1151</v>
      </c>
      <c r="AK1362" s="461" t="s">
        <v>1151</v>
      </c>
      <c r="AL1362" s="544" t="s">
        <v>1151</v>
      </c>
      <c r="AM1362" s="544" t="s">
        <v>1151</v>
      </c>
      <c r="AN1362" s="544" t="s">
        <v>1151</v>
      </c>
      <c r="AO1362" s="544" t="s">
        <v>1151</v>
      </c>
      <c r="AP1362" s="461" t="s">
        <v>1151</v>
      </c>
      <c r="AQ1362" s="544" t="s">
        <v>1151</v>
      </c>
      <c r="AR1362" s="544" t="s">
        <v>1151</v>
      </c>
      <c r="AS1362" s="544" t="s">
        <v>1151</v>
      </c>
      <c r="AT1362" s="544" t="s">
        <v>1151</v>
      </c>
      <c r="AU1362" s="461" t="s">
        <v>1151</v>
      </c>
      <c r="AV1362" s="544" t="s">
        <v>1151</v>
      </c>
      <c r="AW1362" s="544" t="s">
        <v>1151</v>
      </c>
      <c r="AX1362" s="544" t="s">
        <v>1151</v>
      </c>
      <c r="AY1362" s="544" t="s">
        <v>1151</v>
      </c>
      <c r="AZ1362" s="461" t="s">
        <v>1151</v>
      </c>
      <c r="BA1362" s="544" t="s">
        <v>1151</v>
      </c>
      <c r="BB1362" s="544" t="s">
        <v>1151</v>
      </c>
      <c r="BC1362" s="544" t="s">
        <v>1151</v>
      </c>
      <c r="BD1362" s="544" t="s">
        <v>1151</v>
      </c>
      <c r="BE1362" s="461" t="s">
        <v>1151</v>
      </c>
      <c r="BF1362" s="544" t="s">
        <v>1151</v>
      </c>
      <c r="BG1362" s="544" t="s">
        <v>1151</v>
      </c>
      <c r="BH1362" s="544" t="s">
        <v>1151</v>
      </c>
      <c r="BI1362" s="544" t="s">
        <v>1151</v>
      </c>
      <c r="BJ1362" s="461" t="s">
        <v>1151</v>
      </c>
      <c r="BK1362" s="609" t="s">
        <v>1151</v>
      </c>
      <c r="BL1362" s="544" t="s">
        <v>1151</v>
      </c>
      <c r="BM1362" s="544" t="s">
        <v>1151</v>
      </c>
      <c r="BN1362" s="544" t="s">
        <v>1151</v>
      </c>
      <c r="BO1362" s="461" t="s">
        <v>1151</v>
      </c>
      <c r="BP1362" s="544" t="s">
        <v>1151</v>
      </c>
      <c r="BQ1362" s="544" t="s">
        <v>1151</v>
      </c>
      <c r="BR1362" s="544" t="s">
        <v>1151</v>
      </c>
      <c r="BS1362" s="544" t="s">
        <v>1151</v>
      </c>
      <c r="BT1362" s="461" t="s">
        <v>1151</v>
      </c>
      <c r="BU1362" s="544" t="s">
        <v>1151</v>
      </c>
      <c r="BV1362" s="544" t="s">
        <v>1151</v>
      </c>
      <c r="BW1362" s="544" t="s">
        <v>1151</v>
      </c>
      <c r="BX1362" s="544" t="s">
        <v>1151</v>
      </c>
      <c r="BY1362" s="461" t="s">
        <v>1151</v>
      </c>
      <c r="BZ1362" s="461" t="s">
        <v>1151</v>
      </c>
      <c r="CA1362" s="461" t="s">
        <v>1151</v>
      </c>
      <c r="CB1362" s="461" t="s">
        <v>1151</v>
      </c>
      <c r="CC1362" s="461" t="s">
        <v>1151</v>
      </c>
      <c r="CD1362" s="461" t="s">
        <v>1151</v>
      </c>
      <c r="CE1362" s="461" t="s">
        <v>1151</v>
      </c>
      <c r="CF1362" s="461" t="s">
        <v>1151</v>
      </c>
      <c r="CG1362" s="741"/>
      <c r="CH1362" s="741"/>
      <c r="CI1362" s="741"/>
      <c r="CJ1362" s="741"/>
      <c r="CK1362" s="741"/>
      <c r="CL1362" s="995"/>
      <c r="CM1362" s="2029" t="str">
        <f>G1362</f>
        <v xml:space="preserve">                </v>
      </c>
      <c r="CN1362" s="2029" t="str">
        <f>L1362</f>
        <v xml:space="preserve">                </v>
      </c>
      <c r="CO1362" s="2029" t="str">
        <f>Q1362</f>
        <v xml:space="preserve">                </v>
      </c>
      <c r="CP1362" s="2029" t="str">
        <f>V1362</f>
        <v xml:space="preserve">                </v>
      </c>
      <c r="CQ1362" s="2029" t="str">
        <f>AA1362</f>
        <v xml:space="preserve">                </v>
      </c>
      <c r="CR1362" s="2029" t="str">
        <f>AF1362</f>
        <v xml:space="preserve">                </v>
      </c>
      <c r="CS1362" s="2029" t="str">
        <f>AK1362</f>
        <v xml:space="preserve">                </v>
      </c>
      <c r="CT1362" s="2029" t="str">
        <f>AP1362</f>
        <v xml:space="preserve">                </v>
      </c>
      <c r="CU1362" s="2029" t="str">
        <f>AU1362</f>
        <v xml:space="preserve">                </v>
      </c>
      <c r="CV1362" s="2029" t="str">
        <f>AZ1362</f>
        <v xml:space="preserve">                </v>
      </c>
      <c r="CW1362" s="2029" t="str">
        <f>BE1362</f>
        <v xml:space="preserve">                </v>
      </c>
      <c r="CX1362" s="2029" t="str">
        <f>BJ1362</f>
        <v xml:space="preserve">                </v>
      </c>
      <c r="CY1362" s="2029" t="str">
        <f>BO1362</f>
        <v xml:space="preserve">                </v>
      </c>
      <c r="CZ1362" s="2029" t="str">
        <f>BT1362</f>
        <v xml:space="preserve">                </v>
      </c>
      <c r="DA1362" s="2029" t="str">
        <f t="shared" si="3062"/>
        <v xml:space="preserve">                </v>
      </c>
      <c r="DB1362" s="2029" t="str">
        <f t="shared" si="3063"/>
        <v xml:space="preserve">                </v>
      </c>
      <c r="DC1362" s="2030" t="str">
        <f t="shared" si="3064"/>
        <v xml:space="preserve">                </v>
      </c>
      <c r="DD1362" s="741"/>
      <c r="DE1362" s="741"/>
      <c r="DF1362" s="742"/>
      <c r="DG1362" s="743"/>
      <c r="DH1362" s="2029"/>
      <c r="DI1362" s="3215"/>
      <c r="DJ1362" s="742"/>
      <c r="DK1362" s="743"/>
      <c r="DL1362" s="742"/>
      <c r="DM1362" s="742"/>
      <c r="DN1362" s="742"/>
      <c r="DO1362" s="742"/>
      <c r="DP1362" s="743"/>
      <c r="DQ1362" s="743"/>
      <c r="DR1362" s="740"/>
      <c r="DS1362" s="740"/>
      <c r="DT1362" s="740"/>
    </row>
    <row r="1363" spans="1:130" ht="4.5" hidden="1" customHeight="1" outlineLevel="1" x14ac:dyDescent="0.25">
      <c r="A1363" s="355"/>
      <c r="B1363" s="291"/>
      <c r="C1363" s="544"/>
      <c r="D1363" s="544"/>
      <c r="E1363" s="544"/>
      <c r="F1363" s="544"/>
      <c r="G1363" s="461"/>
      <c r="H1363" s="544"/>
      <c r="I1363" s="544"/>
      <c r="J1363" s="544"/>
      <c r="K1363" s="544"/>
      <c r="L1363" s="461"/>
      <c r="M1363" s="544"/>
      <c r="N1363" s="544"/>
      <c r="O1363" s="544"/>
      <c r="P1363" s="544"/>
      <c r="Q1363" s="461"/>
      <c r="R1363" s="544"/>
      <c r="S1363" s="544"/>
      <c r="T1363" s="544"/>
      <c r="U1363" s="544"/>
      <c r="V1363" s="461"/>
      <c r="W1363" s="544"/>
      <c r="X1363" s="544"/>
      <c r="Y1363" s="544"/>
      <c r="Z1363" s="544"/>
      <c r="AA1363" s="461"/>
      <c r="AB1363" s="544"/>
      <c r="AC1363" s="544"/>
      <c r="AD1363" s="544"/>
      <c r="AE1363" s="544"/>
      <c r="AF1363" s="461"/>
      <c r="AG1363" s="544"/>
      <c r="AH1363" s="544"/>
      <c r="AI1363" s="544"/>
      <c r="AJ1363" s="544"/>
      <c r="AK1363" s="461"/>
      <c r="AL1363" s="544"/>
      <c r="AM1363" s="544"/>
      <c r="AN1363" s="544"/>
      <c r="AO1363" s="544"/>
      <c r="AP1363" s="461"/>
      <c r="AQ1363" s="544"/>
      <c r="AR1363" s="544"/>
      <c r="AS1363" s="544"/>
      <c r="AT1363" s="544"/>
      <c r="AU1363" s="2838" t="s">
        <v>229</v>
      </c>
      <c r="AV1363" s="2839" t="s">
        <v>229</v>
      </c>
      <c r="AW1363" s="2839" t="s">
        <v>229</v>
      </c>
      <c r="AX1363" s="2839" t="s">
        <v>229</v>
      </c>
      <c r="AY1363" s="2839" t="s">
        <v>229</v>
      </c>
      <c r="AZ1363" s="2838" t="s">
        <v>229</v>
      </c>
      <c r="BA1363" s="2839" t="s">
        <v>229</v>
      </c>
      <c r="BB1363" s="2839" t="s">
        <v>229</v>
      </c>
      <c r="BC1363" s="2839" t="s">
        <v>229</v>
      </c>
      <c r="BD1363" s="2839" t="s">
        <v>229</v>
      </c>
      <c r="BE1363" s="2838" t="s">
        <v>229</v>
      </c>
      <c r="BF1363" s="2839" t="s">
        <v>229</v>
      </c>
      <c r="BG1363" s="2839" t="s">
        <v>229</v>
      </c>
      <c r="BH1363" s="2839" t="s">
        <v>229</v>
      </c>
      <c r="BI1363" s="2839" t="s">
        <v>229</v>
      </c>
      <c r="BJ1363" s="2838" t="s">
        <v>229</v>
      </c>
      <c r="BK1363" s="3083" t="s">
        <v>229</v>
      </c>
      <c r="BL1363" s="2839" t="s">
        <v>229</v>
      </c>
      <c r="BM1363" s="2839" t="s">
        <v>229</v>
      </c>
      <c r="BN1363" s="2839" t="s">
        <v>229</v>
      </c>
      <c r="BO1363" s="2838" t="s">
        <v>229</v>
      </c>
      <c r="BP1363" s="2839" t="s">
        <v>229</v>
      </c>
      <c r="BQ1363" s="2839" t="s">
        <v>229</v>
      </c>
      <c r="BR1363" s="2839" t="s">
        <v>229</v>
      </c>
      <c r="BS1363" s="2839" t="s">
        <v>229</v>
      </c>
      <c r="BT1363" s="2838" t="s">
        <v>229</v>
      </c>
      <c r="BU1363" s="2839" t="s">
        <v>229</v>
      </c>
      <c r="BV1363" s="2839" t="s">
        <v>229</v>
      </c>
      <c r="BW1363" s="2839" t="s">
        <v>229</v>
      </c>
      <c r="BX1363" s="2839" t="s">
        <v>229</v>
      </c>
      <c r="BY1363" s="2838" t="s">
        <v>229</v>
      </c>
      <c r="BZ1363" s="2838" t="s">
        <v>229</v>
      </c>
      <c r="CA1363" s="2838" t="s">
        <v>229</v>
      </c>
      <c r="CB1363" s="2838" t="s">
        <v>229</v>
      </c>
      <c r="CC1363" s="2838" t="s">
        <v>229</v>
      </c>
      <c r="CD1363" s="2838" t="s">
        <v>229</v>
      </c>
      <c r="CE1363" s="2838" t="s">
        <v>229</v>
      </c>
      <c r="CF1363" s="2838" t="s">
        <v>229</v>
      </c>
      <c r="CG1363" s="741"/>
      <c r="CH1363" s="741"/>
      <c r="CI1363" s="741"/>
      <c r="CJ1363" s="741"/>
      <c r="CK1363" s="741"/>
      <c r="CL1363" s="995"/>
      <c r="CM1363" s="2029"/>
      <c r="CN1363" s="2029"/>
      <c r="CO1363" s="2029"/>
      <c r="CP1363" s="2029"/>
      <c r="CQ1363" s="2029"/>
      <c r="CR1363" s="2029"/>
      <c r="CS1363" s="2029"/>
      <c r="CT1363" s="2029"/>
      <c r="CU1363" s="2029"/>
      <c r="CV1363" s="2029"/>
      <c r="CW1363" s="2029"/>
      <c r="CX1363" s="2029"/>
      <c r="CY1363" s="2029"/>
      <c r="CZ1363" s="2029"/>
      <c r="DA1363" s="2029"/>
      <c r="DB1363" s="2029"/>
      <c r="DC1363" s="2030"/>
      <c r="DD1363" s="741"/>
      <c r="DE1363" s="741"/>
      <c r="DF1363" s="742"/>
      <c r="DG1363" s="743"/>
      <c r="DH1363" s="673"/>
      <c r="DI1363" s="3215"/>
      <c r="DJ1363" s="742"/>
      <c r="DK1363" s="743"/>
      <c r="DL1363" s="742"/>
      <c r="DM1363" s="742"/>
      <c r="DN1363" s="742"/>
      <c r="DO1363" s="742"/>
      <c r="DP1363" s="743"/>
      <c r="DQ1363" s="743"/>
      <c r="DR1363" s="740"/>
      <c r="DS1363" s="740"/>
      <c r="DT1363" s="740"/>
    </row>
    <row r="1364" spans="1:130" ht="12.75" customHeight="1" collapsed="1" x14ac:dyDescent="0.25">
      <c r="A1364" s="2837" t="s">
        <v>323</v>
      </c>
      <c r="B1364" s="281"/>
      <c r="C1364" s="509">
        <v>0</v>
      </c>
      <c r="D1364" s="509">
        <f t="shared" ref="D1364:AB1364" si="3088">SUM(D1353:D1361)</f>
        <v>841.76499999999987</v>
      </c>
      <c r="E1364" s="509">
        <f t="shared" si="3088"/>
        <v>872.71900000000005</v>
      </c>
      <c r="F1364" s="509">
        <f t="shared" si="3088"/>
        <v>871.77199999999993</v>
      </c>
      <c r="G1364" s="510">
        <f t="shared" si="3088"/>
        <v>871.77199999999993</v>
      </c>
      <c r="H1364" s="509">
        <f t="shared" si="3088"/>
        <v>960.64</v>
      </c>
      <c r="I1364" s="509">
        <f t="shared" si="3088"/>
        <v>964.78399999999988</v>
      </c>
      <c r="J1364" s="509">
        <f t="shared" si="3088"/>
        <v>804.79099999999994</v>
      </c>
      <c r="K1364" s="509">
        <f t="shared" si="3088"/>
        <v>2824.17</v>
      </c>
      <c r="L1364" s="510">
        <f t="shared" si="3088"/>
        <v>2824.17</v>
      </c>
      <c r="M1364" s="509">
        <f t="shared" si="3088"/>
        <v>2791.8500000000004</v>
      </c>
      <c r="N1364" s="509">
        <f t="shared" si="3088"/>
        <v>2796.0180000000005</v>
      </c>
      <c r="O1364" s="509">
        <f t="shared" si="3088"/>
        <v>2771.056</v>
      </c>
      <c r="P1364" s="509">
        <f t="shared" si="3088"/>
        <v>2746.2479999999996</v>
      </c>
      <c r="Q1364" s="510">
        <f t="shared" si="3088"/>
        <v>2746.2479999999996</v>
      </c>
      <c r="R1364" s="509">
        <f t="shared" si="3088"/>
        <v>2818.7939999999999</v>
      </c>
      <c r="S1364" s="509">
        <f t="shared" si="3088"/>
        <v>2973.0920000000001</v>
      </c>
      <c r="T1364" s="509">
        <f t="shared" si="3088"/>
        <v>2984.7049999999999</v>
      </c>
      <c r="U1364" s="509">
        <f t="shared" si="3088"/>
        <v>2975.9359999999997</v>
      </c>
      <c r="V1364" s="510">
        <f t="shared" si="3088"/>
        <v>2975.9359999999997</v>
      </c>
      <c r="W1364" s="509">
        <f t="shared" si="3088"/>
        <v>2976.1439999999998</v>
      </c>
      <c r="X1364" s="509">
        <f t="shared" si="3088"/>
        <v>2974.924</v>
      </c>
      <c r="Y1364" s="509">
        <f t="shared" si="3088"/>
        <v>2974.1849999999999</v>
      </c>
      <c r="Z1364" s="509">
        <f t="shared" si="3088"/>
        <v>2471.2420000000002</v>
      </c>
      <c r="AA1364" s="510">
        <f t="shared" si="3088"/>
        <v>2471.2420000000002</v>
      </c>
      <c r="AB1364" s="509">
        <f t="shared" si="3088"/>
        <v>2462.9120000000003</v>
      </c>
      <c r="AC1364" s="509">
        <f t="shared" ref="AC1364:BI1364" si="3089">SUM(AC1353:AC1361)</f>
        <v>2409.7569999999996</v>
      </c>
      <c r="AD1364" s="509">
        <f t="shared" si="3089"/>
        <v>2461.5920000000001</v>
      </c>
      <c r="AE1364" s="430">
        <f t="shared" si="3089"/>
        <v>1936.664</v>
      </c>
      <c r="AF1364" s="481">
        <f t="shared" si="3089"/>
        <v>1936.664</v>
      </c>
      <c r="AG1364" s="430">
        <f t="shared" si="3089"/>
        <v>1926.588</v>
      </c>
      <c r="AH1364" s="430">
        <f t="shared" si="3089"/>
        <v>1968.4850000000001</v>
      </c>
      <c r="AI1364" s="430">
        <f t="shared" si="3089"/>
        <v>2002.2469999999998</v>
      </c>
      <c r="AJ1364" s="430">
        <f t="shared" si="3089"/>
        <v>2031.1520000000003</v>
      </c>
      <c r="AK1364" s="481">
        <f t="shared" si="3089"/>
        <v>2031.1520000000003</v>
      </c>
      <c r="AL1364" s="430">
        <f t="shared" si="3089"/>
        <v>2038.9279999999999</v>
      </c>
      <c r="AM1364" s="430">
        <f t="shared" si="3089"/>
        <v>1882.2460000000001</v>
      </c>
      <c r="AN1364" s="430">
        <f t="shared" si="3089"/>
        <v>1892.462</v>
      </c>
      <c r="AO1364" s="430">
        <f t="shared" si="3089"/>
        <v>1913.357</v>
      </c>
      <c r="AP1364" s="481">
        <f t="shared" si="3089"/>
        <v>1913.357</v>
      </c>
      <c r="AQ1364" s="430">
        <f t="shared" si="3089"/>
        <v>1932.9760000000001</v>
      </c>
      <c r="AR1364" s="430">
        <f t="shared" si="3089"/>
        <v>1985.4929999999999</v>
      </c>
      <c r="AS1364" s="430">
        <f t="shared" si="3089"/>
        <v>2033.9469999999999</v>
      </c>
      <c r="AT1364" s="430">
        <f t="shared" si="3089"/>
        <v>2426.12</v>
      </c>
      <c r="AU1364" s="481">
        <f t="shared" si="3089"/>
        <v>2426.12</v>
      </c>
      <c r="AV1364" s="430">
        <f t="shared" ref="AV1364:BD1364" si="3090">SUM(AV1353:AV1361)</f>
        <v>2430.9459999999999</v>
      </c>
      <c r="AW1364" s="430">
        <f t="shared" si="3090"/>
        <v>2354.085</v>
      </c>
      <c r="AX1364" s="430">
        <f t="shared" si="3090"/>
        <v>2353.2259999999997</v>
      </c>
      <c r="AY1364" s="430">
        <f t="shared" si="3090"/>
        <v>1177.6730000000002</v>
      </c>
      <c r="AZ1364" s="481">
        <f t="shared" si="3090"/>
        <v>1177.6730000000002</v>
      </c>
      <c r="BA1364" s="430">
        <f t="shared" si="3090"/>
        <v>1195.3760000000002</v>
      </c>
      <c r="BB1364" s="430">
        <f t="shared" si="3090"/>
        <v>1199.713</v>
      </c>
      <c r="BC1364" s="430">
        <f>SUM(BC1353:BC1361)</f>
        <v>1313.6709999999998</v>
      </c>
      <c r="BD1364" s="430">
        <f t="shared" si="3090"/>
        <v>1622.5539999999999</v>
      </c>
      <c r="BE1364" s="481">
        <f t="shared" si="3089"/>
        <v>1622.5539999999999</v>
      </c>
      <c r="BF1364" s="430">
        <f t="shared" si="3089"/>
        <v>1631.9369999999999</v>
      </c>
      <c r="BG1364" s="430">
        <f t="shared" si="3089"/>
        <v>1652.3449999999998</v>
      </c>
      <c r="BH1364" s="430">
        <f t="shared" si="3089"/>
        <v>1738.9769999999999</v>
      </c>
      <c r="BI1364" s="430">
        <f t="shared" si="3089"/>
        <v>1786.2079999999999</v>
      </c>
      <c r="BJ1364" s="481">
        <f t="shared" ref="BJ1364:CF1364" si="3091">SUM(BJ1353:BJ1361)</f>
        <v>1786.2079999999999</v>
      </c>
      <c r="BK1364" s="430">
        <f t="shared" si="3091"/>
        <v>1852.998</v>
      </c>
      <c r="BL1364" s="430">
        <f t="shared" si="3091"/>
        <v>1905.3020000000001</v>
      </c>
      <c r="BM1364" s="430">
        <f t="shared" si="3091"/>
        <v>2053.6570000000002</v>
      </c>
      <c r="BN1364" s="430">
        <f t="shared" si="3091"/>
        <v>1754.836</v>
      </c>
      <c r="BO1364" s="481">
        <f t="shared" si="3091"/>
        <v>1754.836</v>
      </c>
      <c r="BP1364" s="430">
        <f t="shared" si="3091"/>
        <v>1755.6000000000001</v>
      </c>
      <c r="BQ1364" s="430">
        <f t="shared" si="3091"/>
        <v>1782.749</v>
      </c>
      <c r="BR1364" s="430">
        <f t="shared" si="3091"/>
        <v>2381.1150000000002</v>
      </c>
      <c r="BS1364" s="430">
        <f t="shared" si="3091"/>
        <v>2077.1109999999999</v>
      </c>
      <c r="BT1364" s="2587">
        <f t="shared" si="3091"/>
        <v>2077.1109999999999</v>
      </c>
      <c r="BU1364" s="2840">
        <f t="shared" si="3091"/>
        <v>2080.5244192567125</v>
      </c>
      <c r="BV1364" s="2840">
        <f>SUM(BV1353:BV1361)</f>
        <v>2084.6674248425988</v>
      </c>
      <c r="BW1364" s="2840">
        <f>SUM(BW1353:BW1361)</f>
        <v>2088.2683856667395</v>
      </c>
      <c r="BX1364" s="2840">
        <f>SUM(BX1353:BX1361)</f>
        <v>2092.4455172374119</v>
      </c>
      <c r="BY1364" s="2587">
        <f>SUM(BY1353:BY1361)</f>
        <v>2092.4455172374119</v>
      </c>
      <c r="BZ1364" s="2587">
        <f t="shared" si="3091"/>
        <v>2107.9119343366337</v>
      </c>
      <c r="CA1364" s="2587">
        <f t="shared" si="3091"/>
        <v>2123.2805092643021</v>
      </c>
      <c r="CB1364" s="481">
        <f t="shared" si="3091"/>
        <v>2092.5312756022972</v>
      </c>
      <c r="CC1364" s="481">
        <f t="shared" si="3091"/>
        <v>2081.9440158895914</v>
      </c>
      <c r="CD1364" s="481">
        <f t="shared" si="3091"/>
        <v>2071.6663457609407</v>
      </c>
      <c r="CE1364" s="481">
        <f t="shared" si="3091"/>
        <v>2061.7328884300578</v>
      </c>
      <c r="CF1364" s="481">
        <f t="shared" si="3091"/>
        <v>2052.1017307060729</v>
      </c>
      <c r="CG1364" s="331"/>
      <c r="CH1364" s="331"/>
      <c r="CI1364" s="331"/>
      <c r="CJ1364" s="331"/>
      <c r="CK1364" s="331"/>
      <c r="CL1364" s="2037" t="str">
        <f>A1364</f>
        <v>Total Other Assets</v>
      </c>
      <c r="CM1364" s="430">
        <f>G1364</f>
        <v>871.77199999999993</v>
      </c>
      <c r="CN1364" s="430">
        <f>L1364</f>
        <v>2824.17</v>
      </c>
      <c r="CO1364" s="430">
        <f>Q1364</f>
        <v>2746.2479999999996</v>
      </c>
      <c r="CP1364" s="430">
        <f>V1364</f>
        <v>2975.9359999999997</v>
      </c>
      <c r="CQ1364" s="430">
        <f>AA1364</f>
        <v>2471.2420000000002</v>
      </c>
      <c r="CR1364" s="430">
        <f>AF1364</f>
        <v>1936.664</v>
      </c>
      <c r="CS1364" s="430">
        <f>AK1364</f>
        <v>2031.1520000000003</v>
      </c>
      <c r="CT1364" s="430">
        <f>AP1364</f>
        <v>1913.357</v>
      </c>
      <c r="CU1364" s="430">
        <f>AU1364</f>
        <v>2426.12</v>
      </c>
      <c r="CV1364" s="430">
        <f>AZ1364</f>
        <v>1177.6730000000002</v>
      </c>
      <c r="CW1364" s="430">
        <f>BE1364</f>
        <v>1622.5539999999999</v>
      </c>
      <c r="CX1364" s="430">
        <f>BJ1364</f>
        <v>1786.2079999999999</v>
      </c>
      <c r="CY1364" s="430">
        <f>BO1364</f>
        <v>1754.836</v>
      </c>
      <c r="CZ1364" s="430">
        <f>BT1364</f>
        <v>2077.1109999999999</v>
      </c>
      <c r="DA1364" s="430">
        <f t="shared" ref="DA1364:DC1366" si="3092">BY1364</f>
        <v>2092.4455172374119</v>
      </c>
      <c r="DB1364" s="430">
        <f t="shared" si="3092"/>
        <v>2107.9119343366337</v>
      </c>
      <c r="DC1364" s="853">
        <f t="shared" si="3092"/>
        <v>2123.2805092643021</v>
      </c>
      <c r="DD1364" s="331"/>
      <c r="DE1364" s="331"/>
      <c r="DF1364" s="502"/>
      <c r="DG1364" s="503"/>
      <c r="DH1364" s="2840"/>
      <c r="DI1364" s="3213"/>
      <c r="DJ1364" s="502"/>
      <c r="DK1364" s="503"/>
      <c r="DL1364" s="502"/>
      <c r="DM1364" s="502"/>
      <c r="DN1364" s="502"/>
      <c r="DO1364" s="502"/>
      <c r="DP1364" s="503"/>
      <c r="DQ1364" s="503"/>
      <c r="DR1364" s="296"/>
      <c r="DS1364" s="296"/>
      <c r="DT1364" s="296"/>
    </row>
    <row r="1365" spans="1:130" ht="4.5" customHeight="1" x14ac:dyDescent="0.25">
      <c r="A1365" s="1192"/>
      <c r="B1365" s="291"/>
      <c r="C1365" s="544" t="s">
        <v>1151</v>
      </c>
      <c r="D1365" s="544" t="s">
        <v>1151</v>
      </c>
      <c r="E1365" s="544" t="s">
        <v>1151</v>
      </c>
      <c r="F1365" s="544" t="s">
        <v>1151</v>
      </c>
      <c r="G1365" s="461" t="s">
        <v>1151</v>
      </c>
      <c r="H1365" s="544" t="s">
        <v>1151</v>
      </c>
      <c r="I1365" s="544" t="s">
        <v>1151</v>
      </c>
      <c r="J1365" s="544" t="s">
        <v>1151</v>
      </c>
      <c r="K1365" s="544" t="s">
        <v>1151</v>
      </c>
      <c r="L1365" s="461" t="s">
        <v>1151</v>
      </c>
      <c r="M1365" s="544" t="s">
        <v>1151</v>
      </c>
      <c r="N1365" s="544" t="s">
        <v>1151</v>
      </c>
      <c r="O1365" s="544" t="s">
        <v>1151</v>
      </c>
      <c r="P1365" s="544" t="s">
        <v>1151</v>
      </c>
      <c r="Q1365" s="461" t="s">
        <v>1151</v>
      </c>
      <c r="R1365" s="544" t="s">
        <v>1151</v>
      </c>
      <c r="S1365" s="544" t="s">
        <v>1151</v>
      </c>
      <c r="T1365" s="544" t="s">
        <v>1151</v>
      </c>
      <c r="U1365" s="544" t="s">
        <v>1151</v>
      </c>
      <c r="V1365" s="461" t="s">
        <v>1151</v>
      </c>
      <c r="W1365" s="544" t="s">
        <v>1151</v>
      </c>
      <c r="X1365" s="544" t="s">
        <v>1151</v>
      </c>
      <c r="Y1365" s="544" t="s">
        <v>1151</v>
      </c>
      <c r="Z1365" s="544" t="s">
        <v>1151</v>
      </c>
      <c r="AA1365" s="461" t="s">
        <v>1151</v>
      </c>
      <c r="AB1365" s="544" t="s">
        <v>1151</v>
      </c>
      <c r="AC1365" s="544" t="s">
        <v>1151</v>
      </c>
      <c r="AD1365" s="544" t="s">
        <v>1151</v>
      </c>
      <c r="AE1365" s="544" t="s">
        <v>1151</v>
      </c>
      <c r="AF1365" s="461" t="s">
        <v>1151</v>
      </c>
      <c r="AG1365" s="544" t="s">
        <v>1151</v>
      </c>
      <c r="AH1365" s="544" t="s">
        <v>1151</v>
      </c>
      <c r="AI1365" s="544" t="s">
        <v>1151</v>
      </c>
      <c r="AJ1365" s="544" t="s">
        <v>1151</v>
      </c>
      <c r="AK1365" s="461" t="s">
        <v>1151</v>
      </c>
      <c r="AL1365" s="544" t="s">
        <v>1151</v>
      </c>
      <c r="AM1365" s="544" t="s">
        <v>1151</v>
      </c>
      <c r="AN1365" s="544" t="s">
        <v>1151</v>
      </c>
      <c r="AO1365" s="544" t="s">
        <v>1151</v>
      </c>
      <c r="AP1365" s="461" t="s">
        <v>1151</v>
      </c>
      <c r="AQ1365" s="544" t="s">
        <v>1151</v>
      </c>
      <c r="AR1365" s="544" t="s">
        <v>1151</v>
      </c>
      <c r="AS1365" s="544" t="s">
        <v>1151</v>
      </c>
      <c r="AT1365" s="544" t="s">
        <v>1151</v>
      </c>
      <c r="AU1365" s="461" t="s">
        <v>1151</v>
      </c>
      <c r="AV1365" s="544" t="s">
        <v>1151</v>
      </c>
      <c r="AW1365" s="544" t="s">
        <v>1151</v>
      </c>
      <c r="AX1365" s="544" t="s">
        <v>1151</v>
      </c>
      <c r="AY1365" s="544" t="s">
        <v>1151</v>
      </c>
      <c r="AZ1365" s="461" t="s">
        <v>1151</v>
      </c>
      <c r="BA1365" s="544" t="s">
        <v>1151</v>
      </c>
      <c r="BB1365" s="544" t="s">
        <v>1151</v>
      </c>
      <c r="BC1365" s="544" t="s">
        <v>1151</v>
      </c>
      <c r="BD1365" s="544" t="s">
        <v>1151</v>
      </c>
      <c r="BE1365" s="461" t="s">
        <v>1151</v>
      </c>
      <c r="BF1365" s="544" t="s">
        <v>1151</v>
      </c>
      <c r="BG1365" s="544" t="s">
        <v>1151</v>
      </c>
      <c r="BH1365" s="544" t="s">
        <v>1151</v>
      </c>
      <c r="BI1365" s="544" t="s">
        <v>1151</v>
      </c>
      <c r="BJ1365" s="461" t="s">
        <v>1151</v>
      </c>
      <c r="BK1365" s="609" t="s">
        <v>1151</v>
      </c>
      <c r="BL1365" s="544" t="s">
        <v>1151</v>
      </c>
      <c r="BM1365" s="544" t="s">
        <v>1151</v>
      </c>
      <c r="BN1365" s="544" t="s">
        <v>1151</v>
      </c>
      <c r="BO1365" s="461" t="s">
        <v>1151</v>
      </c>
      <c r="BP1365" s="544" t="s">
        <v>1151</v>
      </c>
      <c r="BQ1365" s="544" t="s">
        <v>1151</v>
      </c>
      <c r="BR1365" s="544" t="s">
        <v>1151</v>
      </c>
      <c r="BS1365" s="544" t="s">
        <v>1151</v>
      </c>
      <c r="BT1365" s="461" t="s">
        <v>1151</v>
      </c>
      <c r="BU1365" s="544" t="s">
        <v>1151</v>
      </c>
      <c r="BV1365" s="544" t="s">
        <v>1151</v>
      </c>
      <c r="BW1365" s="544" t="s">
        <v>1151</v>
      </c>
      <c r="BX1365" s="544" t="s">
        <v>1151</v>
      </c>
      <c r="BY1365" s="461" t="s">
        <v>1151</v>
      </c>
      <c r="BZ1365" s="461" t="s">
        <v>1151</v>
      </c>
      <c r="CA1365" s="461" t="s">
        <v>1151</v>
      </c>
      <c r="CB1365" s="461" t="s">
        <v>1151</v>
      </c>
      <c r="CC1365" s="461" t="s">
        <v>1151</v>
      </c>
      <c r="CD1365" s="461" t="s">
        <v>1151</v>
      </c>
      <c r="CE1365" s="461" t="s">
        <v>1151</v>
      </c>
      <c r="CF1365" s="461" t="s">
        <v>1151</v>
      </c>
      <c r="CG1365" s="741"/>
      <c r="CH1365" s="741"/>
      <c r="CI1365" s="741"/>
      <c r="CJ1365" s="741"/>
      <c r="CK1365" s="741"/>
      <c r="CL1365" s="2035"/>
      <c r="CM1365" s="2029" t="str">
        <f>G1365</f>
        <v xml:space="preserve">                </v>
      </c>
      <c r="CN1365" s="2029" t="str">
        <f>L1365</f>
        <v xml:space="preserve">                </v>
      </c>
      <c r="CO1365" s="2029" t="str">
        <f>Q1365</f>
        <v xml:space="preserve">                </v>
      </c>
      <c r="CP1365" s="2029" t="str">
        <f>V1365</f>
        <v xml:space="preserve">                </v>
      </c>
      <c r="CQ1365" s="2029" t="str">
        <f>AA1365</f>
        <v xml:space="preserve">                </v>
      </c>
      <c r="CR1365" s="2029" t="str">
        <f>AF1365</f>
        <v xml:space="preserve">                </v>
      </c>
      <c r="CS1365" s="2029" t="str">
        <f>AK1365</f>
        <v xml:space="preserve">                </v>
      </c>
      <c r="CT1365" s="2029" t="str">
        <f>AP1365</f>
        <v xml:space="preserve">                </v>
      </c>
      <c r="CU1365" s="2029" t="str">
        <f>AU1365</f>
        <v xml:space="preserve">                </v>
      </c>
      <c r="CV1365" s="2029" t="str">
        <f>AZ1365</f>
        <v xml:space="preserve">                </v>
      </c>
      <c r="CW1365" s="2029" t="str">
        <f>BE1365</f>
        <v xml:space="preserve">                </v>
      </c>
      <c r="CX1365" s="2029" t="str">
        <f>BJ1365</f>
        <v xml:space="preserve">                </v>
      </c>
      <c r="CY1365" s="2029" t="str">
        <f>BO1365</f>
        <v xml:space="preserve">                </v>
      </c>
      <c r="CZ1365" s="2029" t="str">
        <f>BT1365</f>
        <v xml:space="preserve">                </v>
      </c>
      <c r="DA1365" s="2029" t="str">
        <f t="shared" si="3092"/>
        <v xml:space="preserve">                </v>
      </c>
      <c r="DB1365" s="2029" t="str">
        <f t="shared" si="3092"/>
        <v xml:space="preserve">                </v>
      </c>
      <c r="DC1365" s="2030" t="str">
        <f t="shared" si="3092"/>
        <v xml:space="preserve">                </v>
      </c>
      <c r="DD1365" s="741"/>
      <c r="DE1365" s="741"/>
      <c r="DF1365" s="742"/>
      <c r="DG1365" s="743"/>
      <c r="DH1365" s="2029"/>
      <c r="DI1365" s="3215"/>
      <c r="DJ1365" s="742"/>
      <c r="DK1365" s="743"/>
      <c r="DL1365" s="742"/>
      <c r="DM1365" s="742"/>
      <c r="DN1365" s="742"/>
      <c r="DO1365" s="742"/>
      <c r="DP1365" s="743"/>
      <c r="DQ1365" s="743"/>
      <c r="DR1365" s="740"/>
      <c r="DS1365" s="740"/>
      <c r="DT1365" s="740"/>
    </row>
    <row r="1366" spans="1:130" ht="12.75" customHeight="1" x14ac:dyDescent="0.25">
      <c r="A1366" s="585" t="s">
        <v>1932</v>
      </c>
      <c r="B1366" s="333"/>
      <c r="C1366" s="480">
        <v>0</v>
      </c>
      <c r="D1366" s="488">
        <f t="shared" ref="D1366:AG1366" si="3093">D1346+D1351+D1364</f>
        <v>1664.3869999999999</v>
      </c>
      <c r="E1366" s="488">
        <f t="shared" si="3093"/>
        <v>1628.1770000000001</v>
      </c>
      <c r="F1366" s="488">
        <f t="shared" si="3093"/>
        <v>1643.3689999999999</v>
      </c>
      <c r="G1366" s="489">
        <f t="shared" si="3093"/>
        <v>1643.3689999999999</v>
      </c>
      <c r="H1366" s="488">
        <f t="shared" si="3093"/>
        <v>1950.6750000000002</v>
      </c>
      <c r="I1366" s="488">
        <f t="shared" si="3093"/>
        <v>1842.9209999999998</v>
      </c>
      <c r="J1366" s="488">
        <f t="shared" si="3093"/>
        <v>1701.4110000000001</v>
      </c>
      <c r="K1366" s="488">
        <f t="shared" si="3093"/>
        <v>4190.4040000000005</v>
      </c>
      <c r="L1366" s="489">
        <f t="shared" si="3093"/>
        <v>4190.4040000000005</v>
      </c>
      <c r="M1366" s="488">
        <f t="shared" si="3093"/>
        <v>4201.5120000000006</v>
      </c>
      <c r="N1366" s="488">
        <f t="shared" si="3093"/>
        <v>4273.8490000000002</v>
      </c>
      <c r="O1366" s="488">
        <f t="shared" si="3093"/>
        <v>4370.924</v>
      </c>
      <c r="P1366" s="488">
        <f t="shared" si="3093"/>
        <v>4514.0819999999994</v>
      </c>
      <c r="Q1366" s="489">
        <f t="shared" si="3093"/>
        <v>4514.0819999999994</v>
      </c>
      <c r="R1366" s="488">
        <f t="shared" si="3093"/>
        <v>4509.8189999999995</v>
      </c>
      <c r="S1366" s="488">
        <f t="shared" si="3093"/>
        <v>4732.942</v>
      </c>
      <c r="T1366" s="488">
        <f t="shared" si="3093"/>
        <v>4843.5519999999997</v>
      </c>
      <c r="U1366" s="488">
        <f t="shared" si="3093"/>
        <v>4967.0319999999992</v>
      </c>
      <c r="V1366" s="489">
        <f t="shared" si="3093"/>
        <v>4967.0319999999992</v>
      </c>
      <c r="W1366" s="488">
        <f t="shared" si="3093"/>
        <v>5005.5730000000003</v>
      </c>
      <c r="X1366" s="488">
        <f t="shared" si="3093"/>
        <v>5040.174</v>
      </c>
      <c r="Y1366" s="488">
        <f t="shared" si="3093"/>
        <v>5049.7939999999999</v>
      </c>
      <c r="Z1366" s="488">
        <f t="shared" si="3093"/>
        <v>5189.6760000000004</v>
      </c>
      <c r="AA1366" s="489">
        <f t="shared" si="3093"/>
        <v>5189.6760000000004</v>
      </c>
      <c r="AB1366" s="488">
        <f t="shared" si="3093"/>
        <v>5166.415</v>
      </c>
      <c r="AC1366" s="488">
        <f t="shared" si="3093"/>
        <v>5217.0039999999999</v>
      </c>
      <c r="AD1366" s="488">
        <f t="shared" si="3093"/>
        <v>5251.2389999999996</v>
      </c>
      <c r="AE1366" s="485">
        <f t="shared" si="3093"/>
        <v>4712.616</v>
      </c>
      <c r="AF1366" s="486">
        <f t="shared" si="3093"/>
        <v>4712.616</v>
      </c>
      <c r="AG1366" s="485">
        <f t="shared" si="3093"/>
        <v>4655.7479999999996</v>
      </c>
      <c r="AH1366" s="485">
        <f t="shared" ref="AH1366:BH1366" si="3094">AH1346+AH1351+AH1364</f>
        <v>4474.4859999999999</v>
      </c>
      <c r="AI1366" s="485">
        <f t="shared" si="3094"/>
        <v>4489.6790000000001</v>
      </c>
      <c r="AJ1366" s="485">
        <f t="shared" si="3094"/>
        <v>4462.8789999999999</v>
      </c>
      <c r="AK1366" s="486">
        <f t="shared" si="3094"/>
        <v>4462.8789999999999</v>
      </c>
      <c r="AL1366" s="485">
        <f t="shared" si="3094"/>
        <v>4434.7870000000003</v>
      </c>
      <c r="AM1366" s="485">
        <f t="shared" si="3094"/>
        <v>4547.4679999999998</v>
      </c>
      <c r="AN1366" s="485">
        <f t="shared" si="3094"/>
        <v>4484.2610000000004</v>
      </c>
      <c r="AO1366" s="485">
        <f t="shared" si="3094"/>
        <v>4606.3459999999995</v>
      </c>
      <c r="AP1366" s="486">
        <f t="shared" si="3094"/>
        <v>4606.3459999999995</v>
      </c>
      <c r="AQ1366" s="485">
        <f t="shared" ref="AQ1366:AX1366" si="3095">AQ1346+AQ1351+AQ1364</f>
        <v>4649.9629999999997</v>
      </c>
      <c r="AR1366" s="485">
        <f t="shared" si="3095"/>
        <v>4782.9889999999996</v>
      </c>
      <c r="AS1366" s="485">
        <f t="shared" si="3095"/>
        <v>4968.1959999999999</v>
      </c>
      <c r="AT1366" s="485">
        <f t="shared" si="3095"/>
        <v>5644.0569999999998</v>
      </c>
      <c r="AU1366" s="486">
        <f t="shared" si="3095"/>
        <v>5644.0569999999998</v>
      </c>
      <c r="AV1366" s="485">
        <f t="shared" si="3095"/>
        <v>5565.576</v>
      </c>
      <c r="AW1366" s="485">
        <f t="shared" si="3095"/>
        <v>5433.369999999999</v>
      </c>
      <c r="AX1366" s="485">
        <f t="shared" si="3095"/>
        <v>5396.7579999999998</v>
      </c>
      <c r="AY1366" s="485">
        <f>AY1346+AY1351+AY1364</f>
        <v>2183.991</v>
      </c>
      <c r="AZ1366" s="486">
        <f>AZ1346+AZ1351+AZ1364</f>
        <v>2183.991</v>
      </c>
      <c r="BA1366" s="485">
        <f t="shared" si="3094"/>
        <v>2253.4399999999996</v>
      </c>
      <c r="BB1366" s="485">
        <f t="shared" si="3094"/>
        <v>2253.8579999999993</v>
      </c>
      <c r="BC1366" s="485">
        <f>BC1346+BC1351+BC1364</f>
        <v>2463.0989999999993</v>
      </c>
      <c r="BD1366" s="485">
        <f>BD1346+BD1351+BD1364</f>
        <v>4664.8939999999993</v>
      </c>
      <c r="BE1366" s="486">
        <f t="shared" si="3094"/>
        <v>4664.8939999999993</v>
      </c>
      <c r="BF1366" s="485">
        <f>BF1346+BF1351+BF1364</f>
        <v>4724.4849999999997</v>
      </c>
      <c r="BG1366" s="485">
        <f t="shared" si="3094"/>
        <v>4744.8760000000002</v>
      </c>
      <c r="BH1366" s="485">
        <f t="shared" si="3094"/>
        <v>5142.0059999999994</v>
      </c>
      <c r="BI1366" s="485">
        <f t="shared" ref="BI1366:CF1366" si="3096">BI1346+BI1351+BI1364</f>
        <v>5138.7519999999995</v>
      </c>
      <c r="BJ1366" s="486">
        <f t="shared" si="3096"/>
        <v>5138.7519999999995</v>
      </c>
      <c r="BK1366" s="485">
        <f t="shared" si="3096"/>
        <v>5128.6880000000001</v>
      </c>
      <c r="BL1366" s="485">
        <f t="shared" si="3096"/>
        <v>5142.7529999999997</v>
      </c>
      <c r="BM1366" s="485">
        <f t="shared" si="3096"/>
        <v>5251.6790000000001</v>
      </c>
      <c r="BN1366" s="485">
        <f t="shared" si="3096"/>
        <v>4974.4839999999995</v>
      </c>
      <c r="BO1366" s="486">
        <f t="shared" si="3096"/>
        <v>4974.4839999999995</v>
      </c>
      <c r="BP1366" s="485">
        <f t="shared" si="3096"/>
        <v>4947.0399999999991</v>
      </c>
      <c r="BQ1366" s="485">
        <f t="shared" si="3096"/>
        <v>4984.0190000000002</v>
      </c>
      <c r="BR1366" s="485">
        <f t="shared" si="3096"/>
        <v>5569.4009999999998</v>
      </c>
      <c r="BS1366" s="485">
        <f t="shared" si="3096"/>
        <v>5234.8119999999999</v>
      </c>
      <c r="BT1366" s="486">
        <f t="shared" si="3096"/>
        <v>5234.8119999999999</v>
      </c>
      <c r="BU1366" s="485">
        <f t="shared" si="3096"/>
        <v>5260.2101947605997</v>
      </c>
      <c r="BV1366" s="485">
        <f>BV1346+BV1351+BV1364</f>
        <v>5291.9752076438654</v>
      </c>
      <c r="BW1366" s="485">
        <f>BW1346+BW1351+BW1364</f>
        <v>9756.4489818197599</v>
      </c>
      <c r="BX1366" s="485">
        <f>BX1346+BX1351+BX1364</f>
        <v>9785.0218105316144</v>
      </c>
      <c r="BY1366" s="486">
        <f>BY1346+BY1351+BY1364</f>
        <v>9785.0218105316144</v>
      </c>
      <c r="BZ1366" s="486">
        <f t="shared" si="3096"/>
        <v>9761.6754461698274</v>
      </c>
      <c r="CA1366" s="486">
        <f t="shared" si="3096"/>
        <v>9974.2185535449462</v>
      </c>
      <c r="CB1366" s="486">
        <f t="shared" si="3096"/>
        <v>3018.046418775913</v>
      </c>
      <c r="CC1366" s="486">
        <f t="shared" si="3096"/>
        <v>3047.5045609904819</v>
      </c>
      <c r="CD1366" s="486">
        <f t="shared" si="3096"/>
        <v>3081.7504910260764</v>
      </c>
      <c r="CE1366" s="486">
        <f t="shared" si="3096"/>
        <v>3130.0056890412088</v>
      </c>
      <c r="CF1366" s="486">
        <f t="shared" si="3096"/>
        <v>3191.297290072509</v>
      </c>
      <c r="CG1366" s="502"/>
      <c r="CH1366" s="502"/>
      <c r="CI1366" s="502"/>
      <c r="CJ1366" s="502"/>
      <c r="CK1366" s="502"/>
      <c r="CL1366" s="2036" t="str">
        <f>A1366</f>
        <v>Total Assets</v>
      </c>
      <c r="CM1366" s="485">
        <f>G1366</f>
        <v>1643.3689999999999</v>
      </c>
      <c r="CN1366" s="485">
        <f>L1366</f>
        <v>4190.4040000000005</v>
      </c>
      <c r="CO1366" s="485">
        <f>Q1366</f>
        <v>4514.0819999999994</v>
      </c>
      <c r="CP1366" s="485">
        <f>V1366</f>
        <v>4967.0319999999992</v>
      </c>
      <c r="CQ1366" s="485">
        <f>AA1366</f>
        <v>5189.6760000000004</v>
      </c>
      <c r="CR1366" s="485">
        <f>AF1366</f>
        <v>4712.616</v>
      </c>
      <c r="CS1366" s="485">
        <f>AK1366</f>
        <v>4462.8789999999999</v>
      </c>
      <c r="CT1366" s="485">
        <f>AP1366</f>
        <v>4606.3459999999995</v>
      </c>
      <c r="CU1366" s="485">
        <f>AU1366</f>
        <v>5644.0569999999998</v>
      </c>
      <c r="CV1366" s="485">
        <f>AZ1366</f>
        <v>2183.991</v>
      </c>
      <c r="CW1366" s="485">
        <f>BE1366</f>
        <v>4664.8939999999993</v>
      </c>
      <c r="CX1366" s="485">
        <f>BJ1366</f>
        <v>5138.7519999999995</v>
      </c>
      <c r="CY1366" s="485">
        <f>BO1366</f>
        <v>4974.4839999999995</v>
      </c>
      <c r="CZ1366" s="485">
        <f>BT1366</f>
        <v>5234.8119999999999</v>
      </c>
      <c r="DA1366" s="485">
        <f t="shared" si="3092"/>
        <v>9785.0218105316144</v>
      </c>
      <c r="DB1366" s="485">
        <f t="shared" si="3092"/>
        <v>9761.6754461698274</v>
      </c>
      <c r="DC1366" s="854">
        <f t="shared" si="3092"/>
        <v>9974.2185535449462</v>
      </c>
      <c r="DD1366" s="502"/>
      <c r="DE1366" s="502"/>
      <c r="DF1366" s="502"/>
      <c r="DG1366" s="503"/>
      <c r="DH1366" s="485"/>
      <c r="DI1366" s="3213"/>
      <c r="DJ1366" s="502"/>
      <c r="DK1366" s="503"/>
      <c r="DL1366" s="502"/>
      <c r="DM1366" s="502"/>
      <c r="DN1366" s="502"/>
      <c r="DO1366" s="502"/>
      <c r="DP1366" s="503"/>
      <c r="DQ1366" s="503"/>
      <c r="DR1366" s="719"/>
      <c r="DS1366" s="719"/>
      <c r="DT1366" s="719"/>
    </row>
    <row r="1367" spans="1:130" ht="12.75" customHeight="1" x14ac:dyDescent="0.25">
      <c r="A1367" s="272"/>
      <c r="B1367" s="281"/>
      <c r="C1367" s="509"/>
      <c r="D1367" s="509"/>
      <c r="E1367" s="509"/>
      <c r="F1367" s="509"/>
      <c r="G1367" s="510"/>
      <c r="H1367" s="509"/>
      <c r="I1367" s="509"/>
      <c r="J1367" s="509"/>
      <c r="K1367" s="509"/>
      <c r="L1367" s="510"/>
      <c r="M1367" s="509"/>
      <c r="N1367" s="509"/>
      <c r="O1367" s="509"/>
      <c r="P1367" s="509"/>
      <c r="Q1367" s="510"/>
      <c r="R1367" s="509"/>
      <c r="S1367" s="509"/>
      <c r="T1367" s="509"/>
      <c r="U1367" s="509"/>
      <c r="V1367" s="510"/>
      <c r="W1367" s="509"/>
      <c r="X1367" s="509"/>
      <c r="Y1367" s="509"/>
      <c r="Z1367" s="509"/>
      <c r="AA1367" s="510"/>
      <c r="AB1367" s="509"/>
      <c r="AC1367" s="509"/>
      <c r="AD1367" s="509"/>
      <c r="AE1367" s="430"/>
      <c r="AF1367" s="481"/>
      <c r="AG1367" s="430"/>
      <c r="AH1367" s="430"/>
      <c r="AI1367" s="430"/>
      <c r="AJ1367" s="430"/>
      <c r="AK1367" s="481"/>
      <c r="AL1367" s="430"/>
      <c r="AM1367" s="430"/>
      <c r="AN1367" s="430"/>
      <c r="AO1367" s="430"/>
      <c r="AP1367" s="481"/>
      <c r="AQ1367" s="430"/>
      <c r="AR1367" s="430"/>
      <c r="AS1367" s="430"/>
      <c r="AT1367" s="430"/>
      <c r="AU1367" s="481"/>
      <c r="AV1367" s="483"/>
      <c r="AW1367" s="430"/>
      <c r="AX1367" s="430"/>
      <c r="AY1367" s="430"/>
      <c r="AZ1367" s="481"/>
      <c r="BA1367" s="430"/>
      <c r="BB1367" s="430"/>
      <c r="BC1367" s="430"/>
      <c r="BD1367" s="430"/>
      <c r="BE1367" s="481"/>
      <c r="BF1367" s="430"/>
      <c r="BG1367" s="430"/>
      <c r="BH1367" s="430"/>
      <c r="BI1367" s="430"/>
      <c r="BJ1367" s="481"/>
      <c r="BK1367" s="430"/>
      <c r="BL1367" s="430"/>
      <c r="BM1367" s="430"/>
      <c r="BN1367" s="430"/>
      <c r="BO1367" s="481"/>
      <c r="BP1367" s="430"/>
      <c r="BQ1367" s="430"/>
      <c r="BR1367" s="430"/>
      <c r="BS1367" s="430"/>
      <c r="BT1367" s="2587"/>
      <c r="BU1367" s="2840"/>
      <c r="BV1367" s="2840"/>
      <c r="BW1367" s="2840"/>
      <c r="BX1367" s="2840"/>
      <c r="BY1367" s="2587"/>
      <c r="BZ1367" s="2587"/>
      <c r="CA1367" s="2587"/>
      <c r="CB1367" s="481"/>
      <c r="CC1367" s="481"/>
      <c r="CD1367" s="481"/>
      <c r="CE1367" s="481"/>
      <c r="CF1367" s="481"/>
      <c r="CG1367" s="331"/>
      <c r="CH1367" s="331"/>
      <c r="CI1367" s="331"/>
      <c r="CJ1367" s="331"/>
      <c r="CK1367" s="331"/>
      <c r="CL1367" s="995"/>
      <c r="CM1367" s="430"/>
      <c r="CN1367" s="430"/>
      <c r="CO1367" s="430"/>
      <c r="CP1367" s="430"/>
      <c r="CQ1367" s="430"/>
      <c r="CR1367" s="430"/>
      <c r="CS1367" s="430"/>
      <c r="CT1367" s="430"/>
      <c r="CU1367" s="430"/>
      <c r="CV1367" s="430"/>
      <c r="CW1367" s="430"/>
      <c r="CX1367" s="430"/>
      <c r="CY1367" s="430"/>
      <c r="CZ1367" s="430"/>
      <c r="DA1367" s="430"/>
      <c r="DB1367" s="430"/>
      <c r="DC1367" s="853"/>
      <c r="DD1367" s="331"/>
      <c r="DE1367" s="331"/>
      <c r="DF1367" s="502"/>
      <c r="DG1367" s="503"/>
      <c r="DH1367" s="2840"/>
      <c r="DI1367" s="3213"/>
      <c r="DJ1367" s="502"/>
      <c r="DK1367" s="503"/>
      <c r="DL1367" s="502"/>
      <c r="DM1367" s="502"/>
      <c r="DN1367" s="502"/>
      <c r="DO1367" s="502"/>
      <c r="DP1367" s="503"/>
      <c r="DQ1367" s="503"/>
      <c r="DR1367" s="296"/>
      <c r="DS1367" s="296"/>
      <c r="DT1367" s="296"/>
    </row>
    <row r="1368" spans="1:130" ht="12.75" customHeight="1" x14ac:dyDescent="0.25">
      <c r="A1368" s="604" t="s">
        <v>1933</v>
      </c>
      <c r="B1368" s="281"/>
      <c r="C1368" s="509"/>
      <c r="D1368" s="509"/>
      <c r="E1368" s="509"/>
      <c r="F1368" s="509"/>
      <c r="G1368" s="510"/>
      <c r="H1368" s="509"/>
      <c r="I1368" s="509"/>
      <c r="J1368" s="509"/>
      <c r="K1368" s="509"/>
      <c r="L1368" s="510"/>
      <c r="M1368" s="509"/>
      <c r="N1368" s="509"/>
      <c r="O1368" s="509"/>
      <c r="P1368" s="509"/>
      <c r="Q1368" s="510"/>
      <c r="R1368" s="509"/>
      <c r="S1368" s="509"/>
      <c r="T1368" s="509"/>
      <c r="U1368" s="509"/>
      <c r="V1368" s="510"/>
      <c r="W1368" s="509"/>
      <c r="X1368" s="509"/>
      <c r="Y1368" s="509"/>
      <c r="Z1368" s="509"/>
      <c r="AA1368" s="510"/>
      <c r="AB1368" s="509"/>
      <c r="AC1368" s="509"/>
      <c r="AD1368" s="509"/>
      <c r="AE1368" s="430"/>
      <c r="AF1368" s="481"/>
      <c r="AG1368" s="430"/>
      <c r="AH1368" s="430"/>
      <c r="AI1368" s="430"/>
      <c r="AJ1368" s="430"/>
      <c r="AK1368" s="481"/>
      <c r="AL1368" s="430"/>
      <c r="AM1368" s="430"/>
      <c r="AN1368" s="430"/>
      <c r="AO1368" s="430"/>
      <c r="AP1368" s="481"/>
      <c r="AQ1368" s="430"/>
      <c r="AR1368" s="430"/>
      <c r="AS1368" s="430"/>
      <c r="AT1368" s="430"/>
      <c r="AU1368" s="481"/>
      <c r="AV1368" s="483"/>
      <c r="AW1368" s="430"/>
      <c r="AX1368" s="430"/>
      <c r="AY1368" s="430"/>
      <c r="AZ1368" s="481"/>
      <c r="BA1368" s="430"/>
      <c r="BB1368" s="430"/>
      <c r="BC1368" s="430"/>
      <c r="BD1368" s="430"/>
      <c r="BE1368" s="481"/>
      <c r="BF1368" s="430"/>
      <c r="BG1368" s="430"/>
      <c r="BH1368" s="430"/>
      <c r="BI1368" s="430"/>
      <c r="BJ1368" s="481"/>
      <c r="BK1368" s="430"/>
      <c r="BL1368" s="430"/>
      <c r="BM1368" s="430"/>
      <c r="BN1368" s="430"/>
      <c r="BO1368" s="481"/>
      <c r="BP1368" s="430"/>
      <c r="BQ1368" s="430"/>
      <c r="BR1368" s="430"/>
      <c r="BS1368" s="430"/>
      <c r="BT1368" s="2587"/>
      <c r="BU1368" s="3397"/>
      <c r="BV1368" s="2840"/>
      <c r="BW1368" s="2840"/>
      <c r="BX1368" s="2840"/>
      <c r="BY1368" s="2587"/>
      <c r="BZ1368" s="2587"/>
      <c r="CA1368" s="2587"/>
      <c r="CB1368" s="481"/>
      <c r="CC1368" s="481"/>
      <c r="CD1368" s="481"/>
      <c r="CE1368" s="481"/>
      <c r="CF1368" s="481"/>
      <c r="CG1368" s="331"/>
      <c r="CH1368" s="331"/>
      <c r="CI1368" s="331"/>
      <c r="CJ1368" s="331"/>
      <c r="CK1368" s="331"/>
      <c r="CL1368" s="2232" t="str">
        <f>A1368</f>
        <v>Liabilities</v>
      </c>
      <c r="CM1368" s="430"/>
      <c r="CN1368" s="430"/>
      <c r="CO1368" s="430"/>
      <c r="CP1368" s="430"/>
      <c r="CQ1368" s="430"/>
      <c r="CR1368" s="430"/>
      <c r="CS1368" s="430"/>
      <c r="CT1368" s="430"/>
      <c r="CU1368" s="430"/>
      <c r="CV1368" s="430"/>
      <c r="CW1368" s="430"/>
      <c r="CX1368" s="430"/>
      <c r="CY1368" s="430"/>
      <c r="CZ1368" s="430"/>
      <c r="DA1368" s="430"/>
      <c r="DB1368" s="430"/>
      <c r="DC1368" s="853"/>
      <c r="DD1368" s="331"/>
      <c r="DE1368" s="331"/>
      <c r="DF1368" s="502"/>
      <c r="DG1368" s="503"/>
      <c r="DH1368" s="2840"/>
      <c r="DI1368" s="3213"/>
      <c r="DJ1368" s="502"/>
      <c r="DK1368" s="503"/>
      <c r="DL1368" s="502"/>
      <c r="DM1368" s="502"/>
      <c r="DN1368" s="502"/>
      <c r="DO1368" s="502"/>
      <c r="DP1368" s="503"/>
      <c r="DQ1368" s="503"/>
      <c r="DR1368" s="296"/>
      <c r="DS1368" s="296"/>
      <c r="DT1368" s="296"/>
    </row>
    <row r="1369" spans="1:130" ht="12.75" customHeight="1" x14ac:dyDescent="0.25">
      <c r="A1369" s="272" t="s">
        <v>2085</v>
      </c>
      <c r="B1369" s="281"/>
      <c r="C1369" s="480">
        <v>0</v>
      </c>
      <c r="D1369" s="480">
        <v>16.457000000000001</v>
      </c>
      <c r="E1369" s="480">
        <v>9.0609999999999999</v>
      </c>
      <c r="F1369" s="480">
        <v>13.629</v>
      </c>
      <c r="G1369" s="510">
        <f>F1369</f>
        <v>13.629</v>
      </c>
      <c r="H1369" s="480">
        <v>15.574999999999999</v>
      </c>
      <c r="I1369" s="480">
        <v>12.375999999999999</v>
      </c>
      <c r="J1369" s="480">
        <v>8.7650000000000006</v>
      </c>
      <c r="K1369" s="480">
        <v>32.320999999999998</v>
      </c>
      <c r="L1369" s="510">
        <f>K1369</f>
        <v>32.320999999999998</v>
      </c>
      <c r="M1369" s="480">
        <v>22.286000000000001</v>
      </c>
      <c r="N1369" s="480">
        <v>20.163</v>
      </c>
      <c r="O1369" s="480">
        <v>43.472000000000001</v>
      </c>
      <c r="P1369" s="480">
        <v>37.927999999999997</v>
      </c>
      <c r="Q1369" s="510">
        <f>P1369</f>
        <v>37.927999999999997</v>
      </c>
      <c r="R1369" s="480">
        <v>17.344000000000001</v>
      </c>
      <c r="S1369" s="480">
        <v>20.016999999999999</v>
      </c>
      <c r="T1369" s="480">
        <v>34.073999999999998</v>
      </c>
      <c r="U1369" s="480">
        <v>28.581</v>
      </c>
      <c r="V1369" s="510">
        <f>U1369</f>
        <v>28.581</v>
      </c>
      <c r="W1369" s="480">
        <v>32.262999999999998</v>
      </c>
      <c r="X1369" s="480">
        <v>44.966000000000001</v>
      </c>
      <c r="Y1369" s="480">
        <v>26.753</v>
      </c>
      <c r="Z1369" s="480">
        <v>35.54</v>
      </c>
      <c r="AA1369" s="510">
        <f>Z1369</f>
        <v>35.54</v>
      </c>
      <c r="AB1369" s="480">
        <v>27.899000000000001</v>
      </c>
      <c r="AC1369" s="480">
        <v>49.774000000000001</v>
      </c>
      <c r="AD1369" s="480">
        <v>15.438000000000001</v>
      </c>
      <c r="AE1369" s="482">
        <v>19.850000000000001</v>
      </c>
      <c r="AF1369" s="481">
        <f>AE1369</f>
        <v>19.850000000000001</v>
      </c>
      <c r="AG1369" s="482">
        <v>23.23</v>
      </c>
      <c r="AH1369" s="482">
        <v>23.852</v>
      </c>
      <c r="AI1369" s="482">
        <v>19.867000000000001</v>
      </c>
      <c r="AJ1369" s="482">
        <v>17.312000000000001</v>
      </c>
      <c r="AK1369" s="481">
        <f>AJ1369</f>
        <v>17.312000000000001</v>
      </c>
      <c r="AL1369" s="482">
        <v>14.173999999999999</v>
      </c>
      <c r="AM1369" s="482">
        <v>19.390999999999998</v>
      </c>
      <c r="AN1369" s="482">
        <v>23.221</v>
      </c>
      <c r="AO1369" s="482">
        <v>39.582000000000001</v>
      </c>
      <c r="AP1369" s="481">
        <f>AO1369</f>
        <v>39.582000000000001</v>
      </c>
      <c r="AQ1369" s="482">
        <v>29.446999999999999</v>
      </c>
      <c r="AR1369" s="482">
        <v>30.332000000000001</v>
      </c>
      <c r="AS1369" s="482">
        <v>57.604999999999997</v>
      </c>
      <c r="AT1369" s="482">
        <v>38.268000000000001</v>
      </c>
      <c r="AU1369" s="481">
        <f>AT1369</f>
        <v>38.268000000000001</v>
      </c>
      <c r="AV1369" s="1676">
        <v>37.198</v>
      </c>
      <c r="AW1369" s="482">
        <v>25.256</v>
      </c>
      <c r="AX1369" s="482">
        <v>28.317</v>
      </c>
      <c r="AY1369" s="482">
        <v>22.58</v>
      </c>
      <c r="AZ1369" s="481">
        <f>AY1369</f>
        <v>22.58</v>
      </c>
      <c r="BA1369" s="2675">
        <v>24.887</v>
      </c>
      <c r="BB1369" s="2675">
        <v>60.773000000000003</v>
      </c>
      <c r="BC1369" s="2675">
        <v>41.689</v>
      </c>
      <c r="BD1369" s="2675">
        <v>43.136000000000003</v>
      </c>
      <c r="BE1369" s="481">
        <f>+BD1369</f>
        <v>43.136000000000003</v>
      </c>
      <c r="BF1369" s="2675">
        <v>66.587000000000003</v>
      </c>
      <c r="BG1369" s="2675">
        <v>73.393000000000001</v>
      </c>
      <c r="BH1369" s="2675">
        <v>68.19</v>
      </c>
      <c r="BI1369" s="2675">
        <v>72.816000000000003</v>
      </c>
      <c r="BJ1369" s="481">
        <f>+BI1369</f>
        <v>72.816000000000003</v>
      </c>
      <c r="BK1369" s="2953">
        <v>68.058999999999997</v>
      </c>
      <c r="BL1369" s="2675">
        <v>68.948999999999998</v>
      </c>
      <c r="BM1369" s="482">
        <v>60.823</v>
      </c>
      <c r="BN1369" s="482">
        <v>35.091000000000001</v>
      </c>
      <c r="BO1369" s="481">
        <f>+BN1369</f>
        <v>35.091000000000001</v>
      </c>
      <c r="BP1369" s="2953">
        <v>29.292000000000002</v>
      </c>
      <c r="BQ1369" s="2953">
        <v>28.975000000000001</v>
      </c>
      <c r="BR1369" s="482">
        <v>24.103999999999999</v>
      </c>
      <c r="BS1369" s="3508">
        <v>26.047999999999998</v>
      </c>
      <c r="BT1369" s="2587">
        <f>+BS1369</f>
        <v>26.047999999999998</v>
      </c>
      <c r="BU1369" s="2840">
        <f t="shared" ref="BU1369:BX1370" si="3097">BT1369</f>
        <v>26.047999999999998</v>
      </c>
      <c r="BV1369" s="2840">
        <f t="shared" si="3097"/>
        <v>26.047999999999998</v>
      </c>
      <c r="BW1369" s="2840">
        <f t="shared" si="3097"/>
        <v>26.047999999999998</v>
      </c>
      <c r="BX1369" s="2840">
        <f t="shared" si="3097"/>
        <v>26.047999999999998</v>
      </c>
      <c r="BY1369" s="2587">
        <f>+BX1369</f>
        <v>26.047999999999998</v>
      </c>
      <c r="BZ1369" s="2587">
        <f t="shared" ref="BZ1369:CA1373" si="3098">BY1369</f>
        <v>26.047999999999998</v>
      </c>
      <c r="CA1369" s="2587">
        <f t="shared" si="3098"/>
        <v>26.047999999999998</v>
      </c>
      <c r="CB1369" s="481">
        <f t="shared" ref="CB1369:CF1373" si="3099">CA1369</f>
        <v>26.047999999999998</v>
      </c>
      <c r="CC1369" s="481">
        <f t="shared" si="3099"/>
        <v>26.047999999999998</v>
      </c>
      <c r="CD1369" s="481">
        <f t="shared" si="3099"/>
        <v>26.047999999999998</v>
      </c>
      <c r="CE1369" s="481">
        <f t="shared" si="3099"/>
        <v>26.047999999999998</v>
      </c>
      <c r="CF1369" s="481">
        <f t="shared" si="3099"/>
        <v>26.047999999999998</v>
      </c>
      <c r="CG1369" s="331"/>
      <c r="CH1369" s="331"/>
      <c r="CI1369" s="331"/>
      <c r="CJ1369" s="331"/>
      <c r="CK1369" s="331"/>
      <c r="CL1369" s="995" t="str">
        <f>A1369</f>
        <v xml:space="preserve">Accounts payable  </v>
      </c>
      <c r="CM1369" s="430">
        <f>G1369</f>
        <v>13.629</v>
      </c>
      <c r="CN1369" s="430">
        <f>L1369</f>
        <v>32.320999999999998</v>
      </c>
      <c r="CO1369" s="430">
        <f>Q1369</f>
        <v>37.927999999999997</v>
      </c>
      <c r="CP1369" s="430">
        <f>V1369</f>
        <v>28.581</v>
      </c>
      <c r="CQ1369" s="430">
        <f>AA1369</f>
        <v>35.54</v>
      </c>
      <c r="CR1369" s="430">
        <f>AF1369</f>
        <v>19.850000000000001</v>
      </c>
      <c r="CS1369" s="430">
        <f>AK1369</f>
        <v>17.312000000000001</v>
      </c>
      <c r="CT1369" s="430">
        <f>AP1369</f>
        <v>39.582000000000001</v>
      </c>
      <c r="CU1369" s="430">
        <f>AU1369</f>
        <v>38.268000000000001</v>
      </c>
      <c r="CV1369" s="430">
        <f>AZ1369</f>
        <v>22.58</v>
      </c>
      <c r="CW1369" s="430">
        <f>BE1369</f>
        <v>43.136000000000003</v>
      </c>
      <c r="CX1369" s="430">
        <f>BJ1369</f>
        <v>72.816000000000003</v>
      </c>
      <c r="CY1369" s="430">
        <f>BO1369</f>
        <v>35.091000000000001</v>
      </c>
      <c r="CZ1369" s="430">
        <f>BT1369</f>
        <v>26.047999999999998</v>
      </c>
      <c r="DA1369" s="430">
        <f t="shared" ref="DA1369:DC1375" si="3100">BY1369</f>
        <v>26.047999999999998</v>
      </c>
      <c r="DB1369" s="430">
        <f t="shared" si="3100"/>
        <v>26.047999999999998</v>
      </c>
      <c r="DC1369" s="853">
        <f t="shared" si="3100"/>
        <v>26.047999999999998</v>
      </c>
      <c r="DD1369" s="331"/>
      <c r="DE1369" s="331"/>
      <c r="DF1369" s="502"/>
      <c r="DG1369" s="503"/>
      <c r="DH1369" s="2840"/>
      <c r="DI1369" s="3213"/>
      <c r="DJ1369" s="502"/>
      <c r="DK1369" s="503"/>
      <c r="DL1369" s="502"/>
      <c r="DM1369" s="502"/>
      <c r="DN1369" s="502"/>
      <c r="DO1369" s="502"/>
      <c r="DP1369" s="503"/>
      <c r="DQ1369" s="503"/>
      <c r="DR1369" s="296"/>
      <c r="DS1369" s="296"/>
      <c r="DT1369" s="296"/>
    </row>
    <row r="1370" spans="1:130" ht="12.75" customHeight="1" x14ac:dyDescent="0.25">
      <c r="A1370" s="272" t="s">
        <v>1332</v>
      </c>
      <c r="B1370" s="281"/>
      <c r="C1370" s="480">
        <v>0</v>
      </c>
      <c r="D1370" s="480">
        <v>74.945999999999998</v>
      </c>
      <c r="E1370" s="480">
        <v>73.346000000000004</v>
      </c>
      <c r="F1370" s="480">
        <v>97.503999999999991</v>
      </c>
      <c r="G1370" s="510">
        <f>F1370</f>
        <v>97.503999999999991</v>
      </c>
      <c r="H1370" s="480">
        <v>68.790999999999997</v>
      </c>
      <c r="I1370" s="480">
        <v>110.303</v>
      </c>
      <c r="J1370" s="480">
        <v>62.238999999999997</v>
      </c>
      <c r="K1370" s="480">
        <v>125.291</v>
      </c>
      <c r="L1370" s="510">
        <f>K1370</f>
        <v>125.291</v>
      </c>
      <c r="M1370" s="480">
        <v>64.012</v>
      </c>
      <c r="N1370" s="480">
        <v>89.221000000000004</v>
      </c>
      <c r="O1370" s="480">
        <v>105.821</v>
      </c>
      <c r="P1370" s="480">
        <v>130.87700000000001</v>
      </c>
      <c r="Q1370" s="510">
        <f>P1370</f>
        <v>130.87700000000001</v>
      </c>
      <c r="R1370" s="480">
        <v>85.965000000000003</v>
      </c>
      <c r="S1370" s="480">
        <v>95.322000000000003</v>
      </c>
      <c r="T1370" s="480">
        <v>108.94</v>
      </c>
      <c r="U1370" s="480">
        <v>163.57900000000001</v>
      </c>
      <c r="V1370" s="510">
        <f>U1370</f>
        <v>163.57900000000001</v>
      </c>
      <c r="W1370" s="480">
        <v>88.043999999999997</v>
      </c>
      <c r="X1370" s="480">
        <v>94.376000000000005</v>
      </c>
      <c r="Y1370" s="480">
        <v>101.29300000000001</v>
      </c>
      <c r="Z1370" s="480">
        <v>106.76900000000001</v>
      </c>
      <c r="AA1370" s="510">
        <f>Z1370</f>
        <v>106.76900000000001</v>
      </c>
      <c r="AB1370" s="480">
        <v>79.629000000000005</v>
      </c>
      <c r="AC1370" s="480">
        <v>91.2</v>
      </c>
      <c r="AD1370" s="480">
        <v>101.52200000000001</v>
      </c>
      <c r="AE1370" s="482">
        <v>110.108</v>
      </c>
      <c r="AF1370" s="481">
        <f>AE1370</f>
        <v>110.108</v>
      </c>
      <c r="AG1370" s="482">
        <f>83.533</f>
        <v>83.533000000000001</v>
      </c>
      <c r="AH1370" s="482">
        <v>96.528999999999996</v>
      </c>
      <c r="AI1370" s="482">
        <v>89.605000000000004</v>
      </c>
      <c r="AJ1370" s="482">
        <v>101.447</v>
      </c>
      <c r="AK1370" s="481">
        <f>AJ1370</f>
        <v>101.447</v>
      </c>
      <c r="AL1370" s="482">
        <v>73.805999999999997</v>
      </c>
      <c r="AM1370" s="482">
        <v>92.786000000000001</v>
      </c>
      <c r="AN1370" s="482">
        <v>102.08799999999999</v>
      </c>
      <c r="AO1370" s="482">
        <v>113.699</v>
      </c>
      <c r="AP1370" s="481">
        <f>AO1370</f>
        <v>113.699</v>
      </c>
      <c r="AQ1370" s="482">
        <v>89.802000000000007</v>
      </c>
      <c r="AR1370" s="482">
        <v>106.673</v>
      </c>
      <c r="AS1370" s="482">
        <v>108.58799999999999</v>
      </c>
      <c r="AT1370" s="482">
        <f>133.316</f>
        <v>133.316</v>
      </c>
      <c r="AU1370" s="481">
        <f>AT1370</f>
        <v>133.316</v>
      </c>
      <c r="AV1370" s="1676">
        <v>103.30800000000001</v>
      </c>
      <c r="AW1370" s="482">
        <v>102.821</v>
      </c>
      <c r="AX1370" s="482">
        <v>102.604</v>
      </c>
      <c r="AY1370" s="482">
        <v>98.009</v>
      </c>
      <c r="AZ1370" s="481">
        <f>AY1370</f>
        <v>98.009</v>
      </c>
      <c r="BA1370" s="2675">
        <v>86.625</v>
      </c>
      <c r="BB1370" s="2675">
        <v>89.171999999999997</v>
      </c>
      <c r="BC1370" s="2675">
        <v>136.58199999999999</v>
      </c>
      <c r="BD1370" s="2675">
        <v>133.09200000000001</v>
      </c>
      <c r="BE1370" s="481">
        <f>+BD1370</f>
        <v>133.09200000000001</v>
      </c>
      <c r="BF1370" s="2675">
        <v>137.739</v>
      </c>
      <c r="BG1370" s="2675">
        <v>138.86600000000001</v>
      </c>
      <c r="BH1370" s="2675">
        <v>87.671000000000006</v>
      </c>
      <c r="BI1370" s="2675">
        <v>93.665999999999997</v>
      </c>
      <c r="BJ1370" s="481">
        <f>+BI1370</f>
        <v>93.665999999999997</v>
      </c>
      <c r="BK1370" s="2953">
        <v>94.317999999999998</v>
      </c>
      <c r="BL1370" s="2675">
        <v>100.901</v>
      </c>
      <c r="BM1370" s="482">
        <v>94.510999999999996</v>
      </c>
      <c r="BN1370" s="482">
        <v>101.90600000000001</v>
      </c>
      <c r="BO1370" s="481">
        <f>+BN1370</f>
        <v>101.90600000000001</v>
      </c>
      <c r="BP1370" s="2953">
        <v>107.699</v>
      </c>
      <c r="BQ1370" s="2953">
        <v>113.529</v>
      </c>
      <c r="BR1370" s="482">
        <v>110.72499999999999</v>
      </c>
      <c r="BS1370" s="3508">
        <v>125.688</v>
      </c>
      <c r="BT1370" s="2587">
        <f>+BS1370</f>
        <v>125.688</v>
      </c>
      <c r="BU1370" s="2840">
        <f t="shared" si="3097"/>
        <v>125.688</v>
      </c>
      <c r="BV1370" s="2840">
        <f t="shared" si="3097"/>
        <v>125.688</v>
      </c>
      <c r="BW1370" s="2840">
        <f t="shared" si="3097"/>
        <v>125.688</v>
      </c>
      <c r="BX1370" s="2840">
        <f t="shared" si="3097"/>
        <v>125.688</v>
      </c>
      <c r="BY1370" s="2587">
        <f>+BX1370</f>
        <v>125.688</v>
      </c>
      <c r="BZ1370" s="2587">
        <f t="shared" si="3098"/>
        <v>125.688</v>
      </c>
      <c r="CA1370" s="2587">
        <f t="shared" si="3098"/>
        <v>125.688</v>
      </c>
      <c r="CB1370" s="481">
        <f t="shared" si="3099"/>
        <v>125.688</v>
      </c>
      <c r="CC1370" s="481">
        <f t="shared" si="3099"/>
        <v>125.688</v>
      </c>
      <c r="CD1370" s="481">
        <f t="shared" si="3099"/>
        <v>125.688</v>
      </c>
      <c r="CE1370" s="481">
        <f t="shared" si="3099"/>
        <v>125.688</v>
      </c>
      <c r="CF1370" s="481">
        <f t="shared" si="3099"/>
        <v>125.688</v>
      </c>
      <c r="CG1370" s="331"/>
      <c r="CH1370" s="331"/>
      <c r="CI1370" s="331"/>
      <c r="CJ1370" s="331"/>
      <c r="CK1370" s="331"/>
      <c r="CL1370" s="995" t="str">
        <f>A1370</f>
        <v>Accrued expenses</v>
      </c>
      <c r="CM1370" s="430">
        <f>G1370</f>
        <v>97.503999999999991</v>
      </c>
      <c r="CN1370" s="430">
        <f>L1370</f>
        <v>125.291</v>
      </c>
      <c r="CO1370" s="430">
        <f>Q1370</f>
        <v>130.87700000000001</v>
      </c>
      <c r="CP1370" s="430">
        <f>V1370</f>
        <v>163.57900000000001</v>
      </c>
      <c r="CQ1370" s="430">
        <f>AA1370</f>
        <v>106.76900000000001</v>
      </c>
      <c r="CR1370" s="430">
        <f>AF1370</f>
        <v>110.108</v>
      </c>
      <c r="CS1370" s="430">
        <f>AK1370</f>
        <v>101.447</v>
      </c>
      <c r="CT1370" s="430">
        <f>AP1370</f>
        <v>113.699</v>
      </c>
      <c r="CU1370" s="430">
        <f>AU1370</f>
        <v>133.316</v>
      </c>
      <c r="CV1370" s="430">
        <f>AZ1370</f>
        <v>98.009</v>
      </c>
      <c r="CW1370" s="430">
        <f>BE1370</f>
        <v>133.09200000000001</v>
      </c>
      <c r="CX1370" s="430">
        <f>BJ1370</f>
        <v>93.665999999999997</v>
      </c>
      <c r="CY1370" s="430">
        <f>BO1370</f>
        <v>101.90600000000001</v>
      </c>
      <c r="CZ1370" s="430">
        <f>BT1370</f>
        <v>125.688</v>
      </c>
      <c r="DA1370" s="430">
        <f t="shared" si="3100"/>
        <v>125.688</v>
      </c>
      <c r="DB1370" s="430">
        <f t="shared" si="3100"/>
        <v>125.688</v>
      </c>
      <c r="DC1370" s="853">
        <f t="shared" si="3100"/>
        <v>125.688</v>
      </c>
      <c r="DD1370" s="331"/>
      <c r="DE1370" s="331"/>
      <c r="DF1370" s="502"/>
      <c r="DG1370" s="503"/>
      <c r="DH1370" s="2840"/>
      <c r="DI1370" s="3213"/>
      <c r="DJ1370" s="502"/>
      <c r="DK1370" s="503"/>
      <c r="DL1370" s="502"/>
      <c r="DM1370" s="502"/>
      <c r="DN1370" s="502"/>
      <c r="DO1370" s="502"/>
      <c r="DP1370" s="503"/>
      <c r="DQ1370" s="503"/>
      <c r="DR1370" s="296"/>
      <c r="DS1370" s="296"/>
      <c r="DT1370" s="296"/>
    </row>
    <row r="1371" spans="1:130" ht="12.75" customHeight="1" x14ac:dyDescent="0.25">
      <c r="A1371" s="272" t="s">
        <v>1640</v>
      </c>
      <c r="B1371" s="281"/>
      <c r="C1371" s="480">
        <v>0</v>
      </c>
      <c r="D1371" s="480">
        <v>24.515999999999998</v>
      </c>
      <c r="E1371" s="480">
        <v>40.222000000000001</v>
      </c>
      <c r="F1371" s="480">
        <v>38.045999999999999</v>
      </c>
      <c r="G1371" s="510">
        <f>F1371</f>
        <v>38.045999999999999</v>
      </c>
      <c r="H1371" s="480">
        <v>148.458</v>
      </c>
      <c r="I1371" s="480">
        <v>138.023</v>
      </c>
      <c r="J1371" s="480">
        <v>68.23599999999999</v>
      </c>
      <c r="K1371" s="480">
        <v>146.846</v>
      </c>
      <c r="L1371" s="510">
        <f>K1371</f>
        <v>146.846</v>
      </c>
      <c r="M1371" s="480">
        <v>174.34399999999999</v>
      </c>
      <c r="N1371" s="480">
        <v>146.50400000000002</v>
      </c>
      <c r="O1371" s="480">
        <v>200.08</v>
      </c>
      <c r="P1371" s="480">
        <v>185.78799999999998</v>
      </c>
      <c r="Q1371" s="510">
        <f>P1371</f>
        <v>185.78799999999998</v>
      </c>
      <c r="R1371" s="480">
        <v>178.14100000000002</v>
      </c>
      <c r="S1371" s="480">
        <v>174.86799999999999</v>
      </c>
      <c r="T1371" s="480">
        <v>220.19499999999999</v>
      </c>
      <c r="U1371" s="480">
        <v>204.62</v>
      </c>
      <c r="V1371" s="510">
        <f>U1371</f>
        <v>204.62</v>
      </c>
      <c r="W1371" s="480">
        <v>237.46300000000002</v>
      </c>
      <c r="X1371" s="480">
        <v>208.02800000000002</v>
      </c>
      <c r="Y1371" s="480">
        <v>221.05800000000002</v>
      </c>
      <c r="Z1371" s="480">
        <v>222.89599999999996</v>
      </c>
      <c r="AA1371" s="510">
        <f>Z1371</f>
        <v>222.89599999999996</v>
      </c>
      <c r="AB1371" s="480">
        <f>74.652+53.926+44.479+2.023+33.378</f>
        <v>208.45800000000003</v>
      </c>
      <c r="AC1371" s="480">
        <f>62.05+57.849+42.211+36.758</f>
        <v>198.86800000000002</v>
      </c>
      <c r="AD1371" s="480">
        <f>60.751+67.535+50.781+8.099+38.739</f>
        <v>225.905</v>
      </c>
      <c r="AE1371" s="482">
        <f>61.786+65.608+38.943+6.752+41.138</f>
        <v>214.227</v>
      </c>
      <c r="AF1371" s="481">
        <f>AE1371</f>
        <v>214.227</v>
      </c>
      <c r="AG1371" s="482">
        <f>39.734+2.537+42.184+47.08+51.188</f>
        <v>182.72300000000001</v>
      </c>
      <c r="AH1371" s="482">
        <f>50.644+55.323+37.381+0.814+42.631</f>
        <v>186.79300000000001</v>
      </c>
      <c r="AI1371" s="482">
        <f>32.408+66.213+51.945+3.233+42.686</f>
        <v>196.48500000000001</v>
      </c>
      <c r="AJ1371" s="482">
        <f>36.597+73.432+46.449+11.602+46.763</f>
        <v>214.84300000000002</v>
      </c>
      <c r="AK1371" s="481">
        <f>AJ1371</f>
        <v>214.84300000000002</v>
      </c>
      <c r="AL1371" s="482">
        <f>18.757+56.029+41.243+8.13+52.267</f>
        <v>176.42599999999999</v>
      </c>
      <c r="AM1371" s="482">
        <f>23.851+69.271+39.517+5.677+55.472</f>
        <v>193.78800000000001</v>
      </c>
      <c r="AN1371" s="482">
        <f>12.339+72.869+51.879+2.399+53.294</f>
        <v>192.77999999999997</v>
      </c>
      <c r="AO1371" s="482">
        <f>17.947+85.285+49.559+5.696+16.363+53.65</f>
        <v>228.5</v>
      </c>
      <c r="AP1371" s="481">
        <f>AO1371</f>
        <v>228.5</v>
      </c>
      <c r="AQ1371" s="482">
        <f>10.236+63.084+49.34+36.646+11.681+59.763</f>
        <v>230.75000000000003</v>
      </c>
      <c r="AR1371" s="482">
        <f>17.301+75.39+45.551+6.999+58.791</f>
        <v>204.03200000000001</v>
      </c>
      <c r="AS1371" s="482">
        <f>11.409+88.161+59.48+2.561+61.81</f>
        <v>223.42100000000002</v>
      </c>
      <c r="AT1371" s="482">
        <f>68.774+3.856+55.61+21.872+96.426</f>
        <v>246.53800000000001</v>
      </c>
      <c r="AU1371" s="481">
        <f>AT1371</f>
        <v>246.53800000000001</v>
      </c>
      <c r="AV1371" s="1676">
        <f>14.882+78.076+61.313+13.456+75.114</f>
        <v>242.84100000000001</v>
      </c>
      <c r="AW1371" s="482">
        <f>19.831+80.567+65.857+8.125+71.997</f>
        <v>246.37700000000001</v>
      </c>
      <c r="AX1371" s="482">
        <f>12.584+84.984+71.883+2.906+74.197</f>
        <v>246.554</v>
      </c>
      <c r="AY1371" s="482">
        <f>66.684+3.02+52.053+5.027+86.498</f>
        <v>213.28199999999998</v>
      </c>
      <c r="AZ1371" s="481">
        <f>AY1371</f>
        <v>213.28199999999998</v>
      </c>
      <c r="BA1371" s="2675">
        <f>7.511+70.908+54.821+12.502+109.979</f>
        <v>255.721</v>
      </c>
      <c r="BB1371" s="2675">
        <f>2.997+80.205+56.062+7.871+70.777</f>
        <v>217.91200000000003</v>
      </c>
      <c r="BC1371" s="2675">
        <f>7.457+83.505+65.29+3.035+72.166</f>
        <v>231.453</v>
      </c>
      <c r="BD1371" s="2675">
        <f>5.163+84.034+51.972+13.68+75.773</f>
        <v>230.62200000000001</v>
      </c>
      <c r="BE1371" s="481">
        <f>+BD1371</f>
        <v>230.62200000000001</v>
      </c>
      <c r="BF1371" s="2675">
        <f>11.427+69.671+55.726+10.251+64.771</f>
        <v>211.846</v>
      </c>
      <c r="BG1371" s="2675">
        <f>8.781+86.069+62.965+6.092+73.528</f>
        <v>237.435</v>
      </c>
      <c r="BH1371" s="2675">
        <f>72.677+2.353+68.594+89.355+8.861</f>
        <v>241.83999999999997</v>
      </c>
      <c r="BI1371" s="2675">
        <f>7.091+98.671+57.486+3.125+82.263</f>
        <v>248.636</v>
      </c>
      <c r="BJ1371" s="481">
        <f>+BI1371</f>
        <v>248.636</v>
      </c>
      <c r="BK1371" s="2953">
        <f>8.641+76.451+52.382+8.534+72.661</f>
        <v>218.66899999999998</v>
      </c>
      <c r="BL1371" s="2675">
        <f>5.705+80.744+49.701+4.699+75.242</f>
        <v>216.09100000000001</v>
      </c>
      <c r="BM1371" s="482">
        <f>8.702+80.697+62.683+0.675+107.809</f>
        <v>260.56600000000003</v>
      </c>
      <c r="BN1371" s="482">
        <f>6.345+92.238+60.384+2.636+95.526</f>
        <v>257.12899999999996</v>
      </c>
      <c r="BO1371" s="481">
        <f>+BN1371</f>
        <v>257.12899999999996</v>
      </c>
      <c r="BP1371" s="2953">
        <f>5.426+72.691+53.84+8.135+96.542+35.561</f>
        <v>272.19499999999999</v>
      </c>
      <c r="BQ1371" s="2953">
        <f>35.675+13.096+86.292+56.757+3.222+101.728</f>
        <v>296.77</v>
      </c>
      <c r="BR1371" s="482">
        <f>5.856+94.158+72.187+86.155</f>
        <v>258.35599999999999</v>
      </c>
      <c r="BS1371" s="3508">
        <f>13.528+111.252+69.645+2.404+89.584</f>
        <v>286.41300000000001</v>
      </c>
      <c r="BT1371" s="2587">
        <f>+BS1371</f>
        <v>286.41300000000001</v>
      </c>
      <c r="BU1371" s="2840">
        <f t="shared" ref="BU1371:BV1373" si="3101">BT1371</f>
        <v>286.41300000000001</v>
      </c>
      <c r="BV1371" s="2840">
        <f t="shared" si="3101"/>
        <v>286.41300000000001</v>
      </c>
      <c r="BW1371" s="2840">
        <f t="shared" ref="BW1371:BX1373" si="3102">BV1371</f>
        <v>286.41300000000001</v>
      </c>
      <c r="BX1371" s="2840">
        <f t="shared" si="3102"/>
        <v>286.41300000000001</v>
      </c>
      <c r="BY1371" s="2587">
        <f>+BX1371</f>
        <v>286.41300000000001</v>
      </c>
      <c r="BZ1371" s="2587">
        <f t="shared" si="3098"/>
        <v>286.41300000000001</v>
      </c>
      <c r="CA1371" s="2587">
        <f t="shared" si="3098"/>
        <v>286.41300000000001</v>
      </c>
      <c r="CB1371" s="481">
        <f t="shared" si="3099"/>
        <v>286.41300000000001</v>
      </c>
      <c r="CC1371" s="481">
        <f t="shared" si="3099"/>
        <v>286.41300000000001</v>
      </c>
      <c r="CD1371" s="481">
        <f t="shared" si="3099"/>
        <v>286.41300000000001</v>
      </c>
      <c r="CE1371" s="481">
        <f t="shared" si="3099"/>
        <v>286.41300000000001</v>
      </c>
      <c r="CF1371" s="481">
        <f t="shared" si="3099"/>
        <v>286.41300000000001</v>
      </c>
      <c r="CG1371" s="331"/>
      <c r="CH1371" s="331"/>
      <c r="CI1371" s="331"/>
      <c r="CJ1371" s="331"/>
      <c r="CK1371" s="331"/>
      <c r="CL1371" s="995" t="str">
        <f>A1371</f>
        <v>Other current liabilities</v>
      </c>
      <c r="CM1371" s="430">
        <f>G1371</f>
        <v>38.045999999999999</v>
      </c>
      <c r="CN1371" s="430">
        <f>L1371</f>
        <v>146.846</v>
      </c>
      <c r="CO1371" s="430">
        <f>Q1371</f>
        <v>185.78799999999998</v>
      </c>
      <c r="CP1371" s="430">
        <f>V1371</f>
        <v>204.62</v>
      </c>
      <c r="CQ1371" s="430">
        <f>AA1371</f>
        <v>222.89599999999996</v>
      </c>
      <c r="CR1371" s="430">
        <f>AF1371</f>
        <v>214.227</v>
      </c>
      <c r="CS1371" s="430">
        <f>AK1371</f>
        <v>214.84300000000002</v>
      </c>
      <c r="CT1371" s="430">
        <f>AP1371</f>
        <v>228.5</v>
      </c>
      <c r="CU1371" s="430">
        <f>AU1371</f>
        <v>246.53800000000001</v>
      </c>
      <c r="CV1371" s="430">
        <f>AZ1371</f>
        <v>213.28199999999998</v>
      </c>
      <c r="CW1371" s="430">
        <f>BE1371</f>
        <v>230.62200000000001</v>
      </c>
      <c r="CX1371" s="430">
        <f>BJ1371</f>
        <v>248.636</v>
      </c>
      <c r="CY1371" s="430">
        <f>BO1371</f>
        <v>257.12899999999996</v>
      </c>
      <c r="CZ1371" s="430">
        <f>BT1371</f>
        <v>286.41300000000001</v>
      </c>
      <c r="DA1371" s="430">
        <f t="shared" si="3100"/>
        <v>286.41300000000001</v>
      </c>
      <c r="DB1371" s="430">
        <f t="shared" si="3100"/>
        <v>286.41300000000001</v>
      </c>
      <c r="DC1371" s="853">
        <f t="shared" si="3100"/>
        <v>286.41300000000001</v>
      </c>
      <c r="DD1371" s="331"/>
      <c r="DE1371" s="331"/>
      <c r="DF1371" s="502"/>
      <c r="DG1371" s="503"/>
      <c r="DH1371" s="2840"/>
      <c r="DI1371" s="3213"/>
      <c r="DJ1371" s="502"/>
      <c r="DK1371" s="503"/>
      <c r="DL1371" s="502"/>
      <c r="DM1371" s="502"/>
      <c r="DN1371" s="502"/>
      <c r="DO1371" s="502"/>
      <c r="DP1371" s="503"/>
      <c r="DQ1371" s="503"/>
      <c r="DR1371" s="296"/>
      <c r="DS1371" s="296"/>
      <c r="DT1371" s="296"/>
    </row>
    <row r="1372" spans="1:130" s="1049" customFormat="1" ht="12.75" customHeight="1" x14ac:dyDescent="0.25">
      <c r="A1372" s="355" t="s">
        <v>2443</v>
      </c>
      <c r="B1372" s="428"/>
      <c r="C1372" s="482"/>
      <c r="D1372" s="482"/>
      <c r="E1372" s="482"/>
      <c r="F1372" s="482"/>
      <c r="G1372" s="481"/>
      <c r="H1372" s="482"/>
      <c r="I1372" s="482"/>
      <c r="J1372" s="482"/>
      <c r="K1372" s="482"/>
      <c r="L1372" s="481"/>
      <c r="M1372" s="482"/>
      <c r="N1372" s="482"/>
      <c r="O1372" s="482"/>
      <c r="P1372" s="482"/>
      <c r="Q1372" s="481"/>
      <c r="R1372" s="482"/>
      <c r="S1372" s="482"/>
      <c r="T1372" s="482"/>
      <c r="U1372" s="482"/>
      <c r="V1372" s="481"/>
      <c r="W1372" s="482"/>
      <c r="X1372" s="482"/>
      <c r="Y1372" s="482"/>
      <c r="Z1372" s="482"/>
      <c r="AA1372" s="481"/>
      <c r="AB1372" s="482"/>
      <c r="AC1372" s="482"/>
      <c r="AD1372" s="482"/>
      <c r="AE1372" s="482"/>
      <c r="AF1372" s="481"/>
      <c r="AG1372" s="482"/>
      <c r="AH1372" s="482"/>
      <c r="AI1372" s="482"/>
      <c r="AJ1372" s="482"/>
      <c r="AK1372" s="481"/>
      <c r="AL1372" s="482"/>
      <c r="AM1372" s="482"/>
      <c r="AN1372" s="482"/>
      <c r="AO1372" s="482"/>
      <c r="AP1372" s="481"/>
      <c r="AQ1372" s="482"/>
      <c r="AR1372" s="482"/>
      <c r="AS1372" s="482"/>
      <c r="AT1372" s="482"/>
      <c r="AU1372" s="481"/>
      <c r="AV1372" s="1676"/>
      <c r="AW1372" s="482"/>
      <c r="AX1372" s="482"/>
      <c r="AY1372" s="482"/>
      <c r="AZ1372" s="481"/>
      <c r="BA1372" s="2675"/>
      <c r="BB1372" s="2675"/>
      <c r="BC1372" s="2675"/>
      <c r="BD1372" s="2675">
        <v>46.884</v>
      </c>
      <c r="BE1372" s="481">
        <f>+BD1372</f>
        <v>46.884</v>
      </c>
      <c r="BF1372" s="2675">
        <v>47.057000000000002</v>
      </c>
      <c r="BG1372" s="2675">
        <v>48.185000000000002</v>
      </c>
      <c r="BH1372" s="2675">
        <v>49.351999999999997</v>
      </c>
      <c r="BI1372" s="2675">
        <v>50.548000000000002</v>
      </c>
      <c r="BJ1372" s="481">
        <f>+BI1372</f>
        <v>50.548000000000002</v>
      </c>
      <c r="BK1372" s="2953">
        <v>52.685000000000002</v>
      </c>
      <c r="BL1372" s="2675">
        <v>53.948</v>
      </c>
      <c r="BM1372" s="482">
        <v>55.256</v>
      </c>
      <c r="BN1372" s="482">
        <v>56.594999999999999</v>
      </c>
      <c r="BO1372" s="481">
        <f>+BN1372</f>
        <v>56.594999999999999</v>
      </c>
      <c r="BP1372" s="2953">
        <v>57.936</v>
      </c>
      <c r="BQ1372" s="2953">
        <v>61.302</v>
      </c>
      <c r="BR1372" s="482">
        <v>62.783000000000001</v>
      </c>
      <c r="BS1372" s="3508">
        <v>56.247999999999998</v>
      </c>
      <c r="BT1372" s="2587">
        <f>+BS1372</f>
        <v>56.247999999999998</v>
      </c>
      <c r="BU1372" s="2840">
        <f t="shared" si="3101"/>
        <v>56.247999999999998</v>
      </c>
      <c r="BV1372" s="2840">
        <f t="shared" si="3101"/>
        <v>56.247999999999998</v>
      </c>
      <c r="BW1372" s="2840">
        <f t="shared" si="3102"/>
        <v>56.247999999999998</v>
      </c>
      <c r="BX1372" s="2840">
        <f t="shared" si="3102"/>
        <v>56.247999999999998</v>
      </c>
      <c r="BY1372" s="2587">
        <f>+BX1372</f>
        <v>56.247999999999998</v>
      </c>
      <c r="BZ1372" s="2587">
        <f>BY1372</f>
        <v>56.247999999999998</v>
      </c>
      <c r="CA1372" s="2587">
        <f>BZ1372</f>
        <v>56.247999999999998</v>
      </c>
      <c r="CB1372" s="481"/>
      <c r="CC1372" s="481"/>
      <c r="CD1372" s="481"/>
      <c r="CE1372" s="481"/>
      <c r="CF1372" s="481"/>
      <c r="CG1372" s="331"/>
      <c r="CH1372" s="331"/>
      <c r="CI1372" s="331"/>
      <c r="CJ1372" s="331"/>
      <c r="CK1372" s="331"/>
      <c r="CL1372" s="995"/>
      <c r="CM1372" s="430"/>
      <c r="CN1372" s="430"/>
      <c r="CO1372" s="430"/>
      <c r="CP1372" s="430"/>
      <c r="CQ1372" s="430"/>
      <c r="CR1372" s="430"/>
      <c r="CS1372" s="430"/>
      <c r="CT1372" s="430"/>
      <c r="CU1372" s="430"/>
      <c r="CV1372" s="430"/>
      <c r="CW1372" s="430"/>
      <c r="CX1372" s="430"/>
      <c r="CY1372" s="430"/>
      <c r="CZ1372" s="430"/>
      <c r="DA1372" s="430"/>
      <c r="DB1372" s="430"/>
      <c r="DC1372" s="853"/>
      <c r="DD1372" s="331"/>
      <c r="DE1372" s="331"/>
      <c r="DF1372" s="502"/>
      <c r="DG1372" s="503"/>
      <c r="DH1372" s="2840"/>
      <c r="DI1372" s="3213"/>
      <c r="DJ1372" s="502"/>
      <c r="DK1372" s="503"/>
      <c r="DL1372" s="502"/>
      <c r="DM1372" s="502"/>
      <c r="DN1372" s="502"/>
      <c r="DO1372" s="502"/>
      <c r="DP1372" s="503"/>
      <c r="DQ1372" s="503"/>
      <c r="DR1372" s="296"/>
      <c r="DS1372" s="296"/>
      <c r="DT1372" s="296"/>
      <c r="DU1372"/>
      <c r="DV1372"/>
      <c r="DW1372"/>
      <c r="DX1372"/>
      <c r="DY1372"/>
      <c r="DZ1372"/>
    </row>
    <row r="1373" spans="1:130" ht="12.75" customHeight="1" x14ac:dyDescent="0.25">
      <c r="A1373" s="355" t="s">
        <v>2016</v>
      </c>
      <c r="B1373" s="281"/>
      <c r="C1373" s="480">
        <v>0</v>
      </c>
      <c r="D1373" s="480">
        <v>11.196999999999999</v>
      </c>
      <c r="E1373" s="480">
        <v>10.785</v>
      </c>
      <c r="F1373" s="480">
        <v>24.437999999999999</v>
      </c>
      <c r="G1373" s="510">
        <f>F1373</f>
        <v>24.437999999999999</v>
      </c>
      <c r="H1373" s="480">
        <v>13.122</v>
      </c>
      <c r="I1373" s="480">
        <v>17.257999999999999</v>
      </c>
      <c r="J1373" s="480">
        <v>110.28100000000001</v>
      </c>
      <c r="K1373" s="480">
        <v>18.283999999999999</v>
      </c>
      <c r="L1373" s="510">
        <f>K1373</f>
        <v>18.283999999999999</v>
      </c>
      <c r="M1373" s="480">
        <v>39.997999999999998</v>
      </c>
      <c r="N1373" s="480">
        <v>4.5419999999999998</v>
      </c>
      <c r="O1373" s="480">
        <v>26.167999999999999</v>
      </c>
      <c r="P1373" s="480">
        <v>21.02</v>
      </c>
      <c r="Q1373" s="510">
        <f>P1373</f>
        <v>21.02</v>
      </c>
      <c r="R1373" s="480">
        <v>23.367000000000001</v>
      </c>
      <c r="S1373" s="480">
        <v>16.7</v>
      </c>
      <c r="T1373" s="480">
        <v>0</v>
      </c>
      <c r="U1373" s="480">
        <v>3.6419999999999999</v>
      </c>
      <c r="V1373" s="510">
        <f>U1373</f>
        <v>3.6419999999999999</v>
      </c>
      <c r="W1373" s="480">
        <v>26.872</v>
      </c>
      <c r="X1373" s="480">
        <v>49.045999999999999</v>
      </c>
      <c r="Y1373" s="480">
        <v>38.149000000000001</v>
      </c>
      <c r="Z1373" s="480">
        <v>0</v>
      </c>
      <c r="AA1373" s="510">
        <f>Z1373</f>
        <v>0</v>
      </c>
      <c r="AB1373" s="480">
        <v>14.718</v>
      </c>
      <c r="AC1373" s="480">
        <v>0</v>
      </c>
      <c r="AD1373" s="480">
        <v>1.956</v>
      </c>
      <c r="AE1373" s="430">
        <v>0</v>
      </c>
      <c r="AF1373" s="481">
        <f t="shared" ref="AF1373:AR1373" si="3103">AE1373</f>
        <v>0</v>
      </c>
      <c r="AG1373" s="430">
        <f t="shared" si="3103"/>
        <v>0</v>
      </c>
      <c r="AH1373" s="430">
        <f t="shared" si="3103"/>
        <v>0</v>
      </c>
      <c r="AI1373" s="482">
        <f t="shared" si="3103"/>
        <v>0</v>
      </c>
      <c r="AJ1373" s="482">
        <f t="shared" si="3103"/>
        <v>0</v>
      </c>
      <c r="AK1373" s="481">
        <f t="shared" si="3103"/>
        <v>0</v>
      </c>
      <c r="AL1373" s="430">
        <f t="shared" si="3103"/>
        <v>0</v>
      </c>
      <c r="AM1373" s="430">
        <f t="shared" si="3103"/>
        <v>0</v>
      </c>
      <c r="AN1373" s="430">
        <f t="shared" si="3103"/>
        <v>0</v>
      </c>
      <c r="AO1373" s="482">
        <f t="shared" si="3103"/>
        <v>0</v>
      </c>
      <c r="AP1373" s="481">
        <f t="shared" si="3103"/>
        <v>0</v>
      </c>
      <c r="AQ1373" s="430">
        <f t="shared" si="3103"/>
        <v>0</v>
      </c>
      <c r="AR1373" s="430">
        <f t="shared" si="3103"/>
        <v>0</v>
      </c>
      <c r="AS1373" s="482">
        <v>0</v>
      </c>
      <c r="AT1373" s="482">
        <v>0</v>
      </c>
      <c r="AU1373" s="481">
        <f>AT1373</f>
        <v>0</v>
      </c>
      <c r="AV1373" s="483">
        <v>0</v>
      </c>
      <c r="AW1373" s="430">
        <f>AV1373</f>
        <v>0</v>
      </c>
      <c r="AX1373" s="430">
        <v>0</v>
      </c>
      <c r="AY1373" s="482">
        <v>0</v>
      </c>
      <c r="AZ1373" s="481">
        <f>AY1373</f>
        <v>0</v>
      </c>
      <c r="BA1373" s="430">
        <f>AZ1373</f>
        <v>0</v>
      </c>
      <c r="BB1373" s="430">
        <f>BA1373</f>
        <v>0</v>
      </c>
      <c r="BC1373" s="430">
        <f>BB1373</f>
        <v>0</v>
      </c>
      <c r="BD1373" s="430">
        <f>BC1373</f>
        <v>0</v>
      </c>
      <c r="BE1373" s="481">
        <f>+BD1373</f>
        <v>0</v>
      </c>
      <c r="BF1373" s="430">
        <v>0</v>
      </c>
      <c r="BG1373" s="430">
        <v>0</v>
      </c>
      <c r="BH1373" s="430">
        <f>BG1373</f>
        <v>0</v>
      </c>
      <c r="BI1373" s="430">
        <f>BH1373</f>
        <v>0</v>
      </c>
      <c r="BJ1373" s="481">
        <f>+BI1373</f>
        <v>0</v>
      </c>
      <c r="BK1373" s="2953">
        <v>0</v>
      </c>
      <c r="BL1373" s="430">
        <f>BK1373</f>
        <v>0</v>
      </c>
      <c r="BM1373" s="430">
        <f>BL1373</f>
        <v>0</v>
      </c>
      <c r="BN1373" s="430">
        <f>BM1373</f>
        <v>0</v>
      </c>
      <c r="BO1373" s="481">
        <f>+BN1373</f>
        <v>0</v>
      </c>
      <c r="BP1373" s="430">
        <f t="shared" ref="BP1373:BS1373" si="3104">BO1373</f>
        <v>0</v>
      </c>
      <c r="BQ1373" s="430">
        <f t="shared" si="3104"/>
        <v>0</v>
      </c>
      <c r="BR1373" s="430">
        <f t="shared" si="3104"/>
        <v>0</v>
      </c>
      <c r="BS1373" s="430">
        <f t="shared" si="3104"/>
        <v>0</v>
      </c>
      <c r="BT1373" s="2587">
        <f>+BS1373</f>
        <v>0</v>
      </c>
      <c r="BU1373" s="2840">
        <f t="shared" si="3101"/>
        <v>0</v>
      </c>
      <c r="BV1373" s="2840">
        <f t="shared" si="3101"/>
        <v>0</v>
      </c>
      <c r="BW1373" s="2840">
        <f t="shared" si="3102"/>
        <v>0</v>
      </c>
      <c r="BX1373" s="2840">
        <f t="shared" si="3102"/>
        <v>0</v>
      </c>
      <c r="BY1373" s="2587">
        <f>+BX1373</f>
        <v>0</v>
      </c>
      <c r="BZ1373" s="2587">
        <f t="shared" si="3098"/>
        <v>0</v>
      </c>
      <c r="CA1373" s="2587">
        <f t="shared" si="3098"/>
        <v>0</v>
      </c>
      <c r="CB1373" s="481">
        <f t="shared" si="3099"/>
        <v>0</v>
      </c>
      <c r="CC1373" s="481">
        <f t="shared" si="3099"/>
        <v>0</v>
      </c>
      <c r="CD1373" s="481">
        <f t="shared" si="3099"/>
        <v>0</v>
      </c>
      <c r="CE1373" s="481">
        <f t="shared" si="3099"/>
        <v>0</v>
      </c>
      <c r="CF1373" s="481">
        <f t="shared" si="3099"/>
        <v>0</v>
      </c>
      <c r="CG1373" s="741"/>
      <c r="CH1373" s="741"/>
      <c r="CI1373" s="741"/>
      <c r="CJ1373" s="741"/>
      <c r="CK1373" s="741"/>
      <c r="CL1373" s="995" t="str">
        <f>A1373</f>
        <v>Income taxes payable</v>
      </c>
      <c r="CM1373" s="430">
        <f>G1373</f>
        <v>24.437999999999999</v>
      </c>
      <c r="CN1373" s="430">
        <f>L1373</f>
        <v>18.283999999999999</v>
      </c>
      <c r="CO1373" s="430">
        <f>Q1373</f>
        <v>21.02</v>
      </c>
      <c r="CP1373" s="430">
        <f>V1373</f>
        <v>3.6419999999999999</v>
      </c>
      <c r="CQ1373" s="430">
        <f>AA1373</f>
        <v>0</v>
      </c>
      <c r="CR1373" s="430">
        <f>AF1373</f>
        <v>0</v>
      </c>
      <c r="CS1373" s="430">
        <f>AK1373</f>
        <v>0</v>
      </c>
      <c r="CT1373" s="430">
        <f>AP1373</f>
        <v>0</v>
      </c>
      <c r="CU1373" s="430">
        <f>AU1373</f>
        <v>0</v>
      </c>
      <c r="CV1373" s="430">
        <f>AZ1373</f>
        <v>0</v>
      </c>
      <c r="CW1373" s="430">
        <f>BE1373</f>
        <v>0</v>
      </c>
      <c r="CX1373" s="430">
        <f>BJ1373</f>
        <v>0</v>
      </c>
      <c r="CY1373" s="430">
        <f>BO1373</f>
        <v>0</v>
      </c>
      <c r="CZ1373" s="430">
        <f>BT1373</f>
        <v>0</v>
      </c>
      <c r="DA1373" s="430">
        <f t="shared" si="3100"/>
        <v>0</v>
      </c>
      <c r="DB1373" s="430">
        <f t="shared" si="3100"/>
        <v>0</v>
      </c>
      <c r="DC1373" s="853">
        <f t="shared" si="3100"/>
        <v>0</v>
      </c>
      <c r="DD1373" s="741"/>
      <c r="DE1373" s="741"/>
      <c r="DF1373" s="742"/>
      <c r="DG1373" s="743"/>
      <c r="DH1373" s="2840"/>
      <c r="DI1373" s="3215"/>
      <c r="DJ1373" s="742"/>
      <c r="DK1373" s="743"/>
      <c r="DL1373" s="742"/>
      <c r="DM1373" s="742"/>
      <c r="DN1373" s="742"/>
      <c r="DO1373" s="742"/>
      <c r="DP1373" s="743"/>
      <c r="DQ1373" s="743"/>
      <c r="DR1373" s="740"/>
      <c r="DS1373" s="740"/>
      <c r="DT1373" s="740"/>
    </row>
    <row r="1374" spans="1:130" ht="4.5" customHeight="1" x14ac:dyDescent="0.25">
      <c r="A1374" s="1192"/>
      <c r="B1374" s="291"/>
      <c r="C1374" s="544" t="s">
        <v>1151</v>
      </c>
      <c r="D1374" s="544" t="s">
        <v>1151</v>
      </c>
      <c r="E1374" s="544" t="s">
        <v>1151</v>
      </c>
      <c r="F1374" s="544" t="s">
        <v>1151</v>
      </c>
      <c r="G1374" s="461" t="s">
        <v>1151</v>
      </c>
      <c r="H1374" s="544" t="s">
        <v>1151</v>
      </c>
      <c r="I1374" s="544" t="s">
        <v>1151</v>
      </c>
      <c r="J1374" s="544" t="s">
        <v>1151</v>
      </c>
      <c r="K1374" s="544" t="s">
        <v>1151</v>
      </c>
      <c r="L1374" s="461" t="s">
        <v>1151</v>
      </c>
      <c r="M1374" s="544" t="s">
        <v>1151</v>
      </c>
      <c r="N1374" s="544" t="s">
        <v>1151</v>
      </c>
      <c r="O1374" s="544" t="s">
        <v>1151</v>
      </c>
      <c r="P1374" s="544" t="s">
        <v>1151</v>
      </c>
      <c r="Q1374" s="461" t="s">
        <v>1151</v>
      </c>
      <c r="R1374" s="544" t="s">
        <v>1151</v>
      </c>
      <c r="S1374" s="544" t="s">
        <v>1151</v>
      </c>
      <c r="T1374" s="544" t="s">
        <v>1151</v>
      </c>
      <c r="U1374" s="544" t="s">
        <v>1151</v>
      </c>
      <c r="V1374" s="461" t="s">
        <v>1151</v>
      </c>
      <c r="W1374" s="544" t="s">
        <v>1151</v>
      </c>
      <c r="X1374" s="544" t="s">
        <v>1151</v>
      </c>
      <c r="Y1374" s="544" t="s">
        <v>1151</v>
      </c>
      <c r="Z1374" s="544" t="s">
        <v>1151</v>
      </c>
      <c r="AA1374" s="461" t="s">
        <v>1151</v>
      </c>
      <c r="AB1374" s="544" t="s">
        <v>1151</v>
      </c>
      <c r="AC1374" s="544" t="s">
        <v>1151</v>
      </c>
      <c r="AD1374" s="544" t="s">
        <v>1151</v>
      </c>
      <c r="AE1374" s="544" t="s">
        <v>1151</v>
      </c>
      <c r="AF1374" s="461" t="s">
        <v>1151</v>
      </c>
      <c r="AG1374" s="544" t="s">
        <v>1151</v>
      </c>
      <c r="AH1374" s="544" t="s">
        <v>1151</v>
      </c>
      <c r="AI1374" s="544" t="s">
        <v>1151</v>
      </c>
      <c r="AJ1374" s="544" t="s">
        <v>1151</v>
      </c>
      <c r="AK1374" s="461" t="s">
        <v>1151</v>
      </c>
      <c r="AL1374" s="544" t="s">
        <v>1151</v>
      </c>
      <c r="AM1374" s="544" t="s">
        <v>1151</v>
      </c>
      <c r="AN1374" s="544" t="s">
        <v>1151</v>
      </c>
      <c r="AO1374" s="544" t="s">
        <v>1151</v>
      </c>
      <c r="AP1374" s="461" t="s">
        <v>1151</v>
      </c>
      <c r="AQ1374" s="544" t="s">
        <v>1151</v>
      </c>
      <c r="AR1374" s="544" t="s">
        <v>1151</v>
      </c>
      <c r="AS1374" s="544" t="s">
        <v>1151</v>
      </c>
      <c r="AT1374" s="544" t="s">
        <v>1151</v>
      </c>
      <c r="AU1374" s="461" t="s">
        <v>1151</v>
      </c>
      <c r="AV1374" s="544" t="s">
        <v>1151</v>
      </c>
      <c r="AW1374" s="544" t="s">
        <v>1151</v>
      </c>
      <c r="AX1374" s="544" t="s">
        <v>1151</v>
      </c>
      <c r="AY1374" s="544" t="s">
        <v>1151</v>
      </c>
      <c r="AZ1374" s="461" t="s">
        <v>1151</v>
      </c>
      <c r="BA1374" s="544" t="s">
        <v>1151</v>
      </c>
      <c r="BB1374" s="544" t="s">
        <v>1151</v>
      </c>
      <c r="BC1374" s="544" t="s">
        <v>1151</v>
      </c>
      <c r="BD1374" s="544" t="s">
        <v>1151</v>
      </c>
      <c r="BE1374" s="461" t="s">
        <v>1151</v>
      </c>
      <c r="BF1374" s="544" t="s">
        <v>1151</v>
      </c>
      <c r="BG1374" s="544" t="s">
        <v>1151</v>
      </c>
      <c r="BH1374" s="544" t="s">
        <v>1151</v>
      </c>
      <c r="BI1374" s="544" t="s">
        <v>1151</v>
      </c>
      <c r="BJ1374" s="461" t="s">
        <v>1151</v>
      </c>
      <c r="BK1374" s="609" t="s">
        <v>1151</v>
      </c>
      <c r="BL1374" s="544" t="s">
        <v>1151</v>
      </c>
      <c r="BM1374" s="544" t="s">
        <v>1151</v>
      </c>
      <c r="BN1374" s="544" t="s">
        <v>1151</v>
      </c>
      <c r="BO1374" s="461" t="s">
        <v>1151</v>
      </c>
      <c r="BP1374" s="544" t="s">
        <v>1151</v>
      </c>
      <c r="BQ1374" s="544" t="s">
        <v>1151</v>
      </c>
      <c r="BR1374" s="544" t="s">
        <v>1151</v>
      </c>
      <c r="BS1374" s="544" t="s">
        <v>1151</v>
      </c>
      <c r="BT1374" s="461" t="s">
        <v>1151</v>
      </c>
      <c r="BU1374" s="544" t="s">
        <v>1151</v>
      </c>
      <c r="BV1374" s="544" t="s">
        <v>1151</v>
      </c>
      <c r="BW1374" s="544" t="s">
        <v>1151</v>
      </c>
      <c r="BX1374" s="544" t="s">
        <v>1151</v>
      </c>
      <c r="BY1374" s="461" t="s">
        <v>1151</v>
      </c>
      <c r="BZ1374" s="461" t="s">
        <v>1151</v>
      </c>
      <c r="CA1374" s="461" t="s">
        <v>1151</v>
      </c>
      <c r="CB1374" s="461" t="s">
        <v>1151</v>
      </c>
      <c r="CC1374" s="461" t="s">
        <v>1151</v>
      </c>
      <c r="CD1374" s="461" t="s">
        <v>1151</v>
      </c>
      <c r="CE1374" s="461" t="s">
        <v>1151</v>
      </c>
      <c r="CF1374" s="461" t="s">
        <v>1151</v>
      </c>
      <c r="CG1374" s="741"/>
      <c r="CH1374" s="741"/>
      <c r="CI1374" s="741"/>
      <c r="CJ1374" s="741"/>
      <c r="CK1374" s="741"/>
      <c r="CL1374" s="2035"/>
      <c r="CM1374" s="2029" t="str">
        <f>G1374</f>
        <v xml:space="preserve">                </v>
      </c>
      <c r="CN1374" s="2029" t="str">
        <f>L1374</f>
        <v xml:space="preserve">                </v>
      </c>
      <c r="CO1374" s="2029" t="str">
        <f>Q1374</f>
        <v xml:space="preserve">                </v>
      </c>
      <c r="CP1374" s="2029" t="str">
        <f>V1374</f>
        <v xml:space="preserve">                </v>
      </c>
      <c r="CQ1374" s="2029" t="str">
        <f>AA1374</f>
        <v xml:space="preserve">                </v>
      </c>
      <c r="CR1374" s="2029" t="str">
        <f>AF1374</f>
        <v xml:space="preserve">                </v>
      </c>
      <c r="CS1374" s="2029" t="str">
        <f>AK1374</f>
        <v xml:space="preserve">                </v>
      </c>
      <c r="CT1374" s="2029" t="str">
        <f>AP1374</f>
        <v xml:space="preserve">                </v>
      </c>
      <c r="CU1374" s="2029" t="str">
        <f>AU1374</f>
        <v xml:space="preserve">                </v>
      </c>
      <c r="CV1374" s="2029" t="str">
        <f>AZ1374</f>
        <v xml:space="preserve">                </v>
      </c>
      <c r="CW1374" s="2029" t="str">
        <f>BE1374</f>
        <v xml:space="preserve">                </v>
      </c>
      <c r="CX1374" s="2029" t="str">
        <f>BJ1374</f>
        <v xml:space="preserve">                </v>
      </c>
      <c r="CY1374" s="2029" t="str">
        <f>BO1374</f>
        <v xml:space="preserve">                </v>
      </c>
      <c r="CZ1374" s="2029" t="str">
        <f>BT1374</f>
        <v xml:space="preserve">                </v>
      </c>
      <c r="DA1374" s="2029" t="str">
        <f t="shared" si="3100"/>
        <v xml:space="preserve">                </v>
      </c>
      <c r="DB1374" s="2029" t="str">
        <f t="shared" si="3100"/>
        <v xml:space="preserve">                </v>
      </c>
      <c r="DC1374" s="2030" t="str">
        <f t="shared" si="3100"/>
        <v xml:space="preserve">                </v>
      </c>
      <c r="DD1374" s="741"/>
      <c r="DE1374" s="741"/>
      <c r="DF1374" s="742"/>
      <c r="DG1374" s="743"/>
      <c r="DH1374" s="2029"/>
      <c r="DI1374" s="3215"/>
      <c r="DJ1374" s="742"/>
      <c r="DK1374" s="743"/>
      <c r="DL1374" s="742"/>
      <c r="DM1374" s="742"/>
      <c r="DN1374" s="742"/>
      <c r="DO1374" s="742"/>
      <c r="DP1374" s="743"/>
      <c r="DQ1374" s="743"/>
      <c r="DR1374" s="740"/>
      <c r="DS1374" s="740"/>
      <c r="DT1374" s="740"/>
    </row>
    <row r="1375" spans="1:130" ht="12.75" customHeight="1" x14ac:dyDescent="0.25">
      <c r="A1375" s="1998" t="s">
        <v>2086</v>
      </c>
      <c r="B1375" s="333"/>
      <c r="C1375" s="901">
        <v>0</v>
      </c>
      <c r="D1375" s="488">
        <f t="shared" ref="D1375:BI1375" si="3105">SUM(D1369:D1373)</f>
        <v>127.11599999999999</v>
      </c>
      <c r="E1375" s="488">
        <f t="shared" si="3105"/>
        <v>133.41400000000002</v>
      </c>
      <c r="F1375" s="488">
        <f t="shared" si="3105"/>
        <v>173.61699999999999</v>
      </c>
      <c r="G1375" s="489">
        <f t="shared" si="3105"/>
        <v>173.61699999999999</v>
      </c>
      <c r="H1375" s="488">
        <f t="shared" si="3105"/>
        <v>245.94600000000003</v>
      </c>
      <c r="I1375" s="488">
        <f t="shared" si="3105"/>
        <v>277.95999999999998</v>
      </c>
      <c r="J1375" s="488">
        <f t="shared" si="3105"/>
        <v>249.52099999999999</v>
      </c>
      <c r="K1375" s="488">
        <f t="shared" si="3105"/>
        <v>322.74199999999996</v>
      </c>
      <c r="L1375" s="489">
        <f t="shared" si="3105"/>
        <v>322.74199999999996</v>
      </c>
      <c r="M1375" s="488">
        <f t="shared" si="3105"/>
        <v>300.64</v>
      </c>
      <c r="N1375" s="488">
        <f t="shared" si="3105"/>
        <v>260.43</v>
      </c>
      <c r="O1375" s="488">
        <f t="shared" si="3105"/>
        <v>375.54100000000005</v>
      </c>
      <c r="P1375" s="488">
        <f t="shared" si="3105"/>
        <v>375.61299999999994</v>
      </c>
      <c r="Q1375" s="489">
        <f t="shared" si="3105"/>
        <v>375.61299999999994</v>
      </c>
      <c r="R1375" s="488">
        <f t="shared" si="3105"/>
        <v>304.81700000000006</v>
      </c>
      <c r="S1375" s="488">
        <f t="shared" si="3105"/>
        <v>306.90699999999998</v>
      </c>
      <c r="T1375" s="488">
        <f t="shared" si="3105"/>
        <v>363.209</v>
      </c>
      <c r="U1375" s="488">
        <f t="shared" si="3105"/>
        <v>400.42199999999997</v>
      </c>
      <c r="V1375" s="489">
        <f t="shared" si="3105"/>
        <v>400.42199999999997</v>
      </c>
      <c r="W1375" s="488">
        <f t="shared" si="3105"/>
        <v>384.642</v>
      </c>
      <c r="X1375" s="488">
        <f t="shared" si="3105"/>
        <v>396.416</v>
      </c>
      <c r="Y1375" s="488">
        <f t="shared" si="3105"/>
        <v>387.25300000000004</v>
      </c>
      <c r="Z1375" s="488">
        <f t="shared" si="3105"/>
        <v>365.20499999999993</v>
      </c>
      <c r="AA1375" s="489">
        <f t="shared" si="3105"/>
        <v>365.20499999999993</v>
      </c>
      <c r="AB1375" s="488">
        <f t="shared" si="3105"/>
        <v>330.70400000000006</v>
      </c>
      <c r="AC1375" s="488">
        <f t="shared" si="3105"/>
        <v>339.84199999999998</v>
      </c>
      <c r="AD1375" s="488">
        <f t="shared" si="3105"/>
        <v>344.82100000000003</v>
      </c>
      <c r="AE1375" s="485">
        <f t="shared" si="3105"/>
        <v>344.185</v>
      </c>
      <c r="AF1375" s="486">
        <f t="shared" si="3105"/>
        <v>344.185</v>
      </c>
      <c r="AG1375" s="485">
        <f t="shared" si="3105"/>
        <v>289.48599999999999</v>
      </c>
      <c r="AH1375" s="485">
        <f t="shared" si="3105"/>
        <v>307.17399999999998</v>
      </c>
      <c r="AI1375" s="485">
        <f t="shared" si="3105"/>
        <v>305.95699999999999</v>
      </c>
      <c r="AJ1375" s="485">
        <f t="shared" si="3105"/>
        <v>333.60200000000003</v>
      </c>
      <c r="AK1375" s="486">
        <f t="shared" si="3105"/>
        <v>333.60200000000003</v>
      </c>
      <c r="AL1375" s="485">
        <f t="shared" si="3105"/>
        <v>264.40599999999995</v>
      </c>
      <c r="AM1375" s="485">
        <f t="shared" si="3105"/>
        <v>305.96500000000003</v>
      </c>
      <c r="AN1375" s="485">
        <f t="shared" si="3105"/>
        <v>318.08899999999994</v>
      </c>
      <c r="AO1375" s="485">
        <f t="shared" si="3105"/>
        <v>381.78100000000001</v>
      </c>
      <c r="AP1375" s="486">
        <f t="shared" si="3105"/>
        <v>381.78100000000001</v>
      </c>
      <c r="AQ1375" s="485">
        <f t="shared" si="3105"/>
        <v>349.99900000000002</v>
      </c>
      <c r="AR1375" s="485">
        <f t="shared" si="3105"/>
        <v>341.03700000000003</v>
      </c>
      <c r="AS1375" s="485">
        <f t="shared" si="3105"/>
        <v>389.61400000000003</v>
      </c>
      <c r="AT1375" s="485">
        <f t="shared" si="3105"/>
        <v>418.12200000000001</v>
      </c>
      <c r="AU1375" s="486">
        <f t="shared" si="3105"/>
        <v>418.12200000000001</v>
      </c>
      <c r="AV1375" s="490">
        <f t="shared" ref="AV1375:BD1375" si="3106">SUM(AV1369:AV1373)</f>
        <v>383.34699999999998</v>
      </c>
      <c r="AW1375" s="485">
        <f t="shared" si="3106"/>
        <v>374.45400000000001</v>
      </c>
      <c r="AX1375" s="485">
        <f t="shared" si="3106"/>
        <v>377.47500000000002</v>
      </c>
      <c r="AY1375" s="485">
        <f t="shared" si="3106"/>
        <v>333.87099999999998</v>
      </c>
      <c r="AZ1375" s="486">
        <f t="shared" si="3106"/>
        <v>333.87099999999998</v>
      </c>
      <c r="BA1375" s="485">
        <f t="shared" si="3106"/>
        <v>367.233</v>
      </c>
      <c r="BB1375" s="485">
        <f t="shared" si="3106"/>
        <v>367.85700000000003</v>
      </c>
      <c r="BC1375" s="485">
        <f>SUM(BC1369:BC1373)</f>
        <v>409.72399999999999</v>
      </c>
      <c r="BD1375" s="485">
        <f t="shared" si="3106"/>
        <v>453.73400000000004</v>
      </c>
      <c r="BE1375" s="486">
        <f t="shared" si="3105"/>
        <v>453.73400000000004</v>
      </c>
      <c r="BF1375" s="485">
        <f>SUM(BF1369:BF1373)</f>
        <v>463.22900000000004</v>
      </c>
      <c r="BG1375" s="485">
        <f t="shared" si="3105"/>
        <v>497.87900000000002</v>
      </c>
      <c r="BH1375" s="485">
        <f t="shared" si="3105"/>
        <v>447.05299999999994</v>
      </c>
      <c r="BI1375" s="485">
        <f t="shared" si="3105"/>
        <v>465.666</v>
      </c>
      <c r="BJ1375" s="486">
        <f t="shared" ref="BJ1375:CF1375" si="3107">SUM(BJ1369:BJ1373)</f>
        <v>465.666</v>
      </c>
      <c r="BK1375" s="485">
        <f t="shared" si="3107"/>
        <v>433.73099999999999</v>
      </c>
      <c r="BL1375" s="485">
        <f t="shared" si="3107"/>
        <v>439.88900000000001</v>
      </c>
      <c r="BM1375" s="485">
        <f t="shared" si="3107"/>
        <v>471.15600000000006</v>
      </c>
      <c r="BN1375" s="485">
        <f t="shared" si="3107"/>
        <v>450.721</v>
      </c>
      <c r="BO1375" s="486">
        <f t="shared" si="3107"/>
        <v>450.721</v>
      </c>
      <c r="BP1375" s="485">
        <f t="shared" si="3107"/>
        <v>467.12199999999996</v>
      </c>
      <c r="BQ1375" s="485">
        <f t="shared" si="3107"/>
        <v>500.57600000000002</v>
      </c>
      <c r="BR1375" s="485">
        <f t="shared" si="3107"/>
        <v>455.96800000000002</v>
      </c>
      <c r="BS1375" s="485">
        <f t="shared" si="3107"/>
        <v>494.39699999999999</v>
      </c>
      <c r="BT1375" s="486">
        <f t="shared" si="3107"/>
        <v>494.39699999999999</v>
      </c>
      <c r="BU1375" s="485">
        <f t="shared" si="3107"/>
        <v>494.39699999999999</v>
      </c>
      <c r="BV1375" s="485">
        <f>SUM(BV1369:BV1373)</f>
        <v>494.39699999999999</v>
      </c>
      <c r="BW1375" s="485">
        <f>SUM(BW1369:BW1373)</f>
        <v>494.39699999999999</v>
      </c>
      <c r="BX1375" s="485">
        <f>SUM(BX1369:BX1373)</f>
        <v>494.39699999999999</v>
      </c>
      <c r="BY1375" s="486">
        <f>SUM(BY1369:BY1373)</f>
        <v>494.39699999999999</v>
      </c>
      <c r="BZ1375" s="486">
        <f t="shared" si="3107"/>
        <v>494.39699999999999</v>
      </c>
      <c r="CA1375" s="486">
        <f t="shared" si="3107"/>
        <v>494.39699999999999</v>
      </c>
      <c r="CB1375" s="486">
        <f t="shared" si="3107"/>
        <v>438.149</v>
      </c>
      <c r="CC1375" s="486">
        <f t="shared" si="3107"/>
        <v>438.149</v>
      </c>
      <c r="CD1375" s="486">
        <f t="shared" si="3107"/>
        <v>438.149</v>
      </c>
      <c r="CE1375" s="486">
        <f t="shared" si="3107"/>
        <v>438.149</v>
      </c>
      <c r="CF1375" s="486">
        <f t="shared" si="3107"/>
        <v>438.149</v>
      </c>
      <c r="CG1375" s="331"/>
      <c r="CH1375" s="331"/>
      <c r="CI1375" s="331"/>
      <c r="CJ1375" s="331"/>
      <c r="CK1375" s="331"/>
      <c r="CL1375" s="2036" t="str">
        <f>A1375</f>
        <v>Total current liabilities</v>
      </c>
      <c r="CM1375" s="485">
        <f>G1375</f>
        <v>173.61699999999999</v>
      </c>
      <c r="CN1375" s="485">
        <f>L1375</f>
        <v>322.74199999999996</v>
      </c>
      <c r="CO1375" s="485">
        <f>Q1375</f>
        <v>375.61299999999994</v>
      </c>
      <c r="CP1375" s="485">
        <f>V1375</f>
        <v>400.42199999999997</v>
      </c>
      <c r="CQ1375" s="485">
        <f>AA1375</f>
        <v>365.20499999999993</v>
      </c>
      <c r="CR1375" s="485">
        <f>AF1375</f>
        <v>344.185</v>
      </c>
      <c r="CS1375" s="485">
        <f>AK1375</f>
        <v>333.60200000000003</v>
      </c>
      <c r="CT1375" s="485">
        <f>AP1375</f>
        <v>381.78100000000001</v>
      </c>
      <c r="CU1375" s="485">
        <f>AU1375</f>
        <v>418.12200000000001</v>
      </c>
      <c r="CV1375" s="485">
        <f>AZ1375</f>
        <v>333.87099999999998</v>
      </c>
      <c r="CW1375" s="485">
        <f>BE1375</f>
        <v>453.73400000000004</v>
      </c>
      <c r="CX1375" s="485">
        <f>BJ1375</f>
        <v>465.666</v>
      </c>
      <c r="CY1375" s="485">
        <f>BO1375</f>
        <v>450.721</v>
      </c>
      <c r="CZ1375" s="485">
        <f>BT1375</f>
        <v>494.39699999999999</v>
      </c>
      <c r="DA1375" s="485">
        <f t="shared" si="3100"/>
        <v>494.39699999999999</v>
      </c>
      <c r="DB1375" s="485">
        <f t="shared" si="3100"/>
        <v>494.39699999999999</v>
      </c>
      <c r="DC1375" s="854">
        <f t="shared" si="3100"/>
        <v>494.39699999999999</v>
      </c>
      <c r="DD1375" s="331"/>
      <c r="DE1375" s="331"/>
      <c r="DF1375" s="502"/>
      <c r="DG1375" s="503"/>
      <c r="DH1375" s="485"/>
      <c r="DI1375" s="3213"/>
      <c r="DJ1375" s="502"/>
      <c r="DK1375" s="503"/>
      <c r="DL1375" s="502"/>
      <c r="DM1375" s="502"/>
      <c r="DN1375" s="502"/>
      <c r="DO1375" s="502"/>
      <c r="DP1375" s="503"/>
      <c r="DQ1375" s="503"/>
      <c r="DR1375" s="296"/>
      <c r="DS1375" s="296"/>
      <c r="DT1375" s="296"/>
    </row>
    <row r="1376" spans="1:130" ht="12.75" customHeight="1" x14ac:dyDescent="0.25">
      <c r="A1376" s="2001"/>
      <c r="B1376" s="281"/>
      <c r="C1376" s="480"/>
      <c r="D1376" s="480"/>
      <c r="E1376" s="480"/>
      <c r="F1376" s="480"/>
      <c r="G1376" s="510"/>
      <c r="H1376" s="480"/>
      <c r="I1376" s="480"/>
      <c r="J1376" s="480"/>
      <c r="K1376" s="480"/>
      <c r="L1376" s="510"/>
      <c r="M1376" s="480"/>
      <c r="N1376" s="480"/>
      <c r="O1376" s="480"/>
      <c r="P1376" s="480"/>
      <c r="Q1376" s="510"/>
      <c r="R1376" s="480"/>
      <c r="S1376" s="480"/>
      <c r="T1376" s="480"/>
      <c r="U1376" s="480"/>
      <c r="V1376" s="510"/>
      <c r="W1376" s="480"/>
      <c r="X1376" s="480"/>
      <c r="Y1376" s="480"/>
      <c r="Z1376" s="480"/>
      <c r="AA1376" s="510"/>
      <c r="AB1376" s="480"/>
      <c r="AC1376" s="480"/>
      <c r="AD1376" s="480"/>
      <c r="AE1376" s="482"/>
      <c r="AF1376" s="481"/>
      <c r="AG1376" s="430"/>
      <c r="AH1376" s="430"/>
      <c r="AI1376" s="430"/>
      <c r="AJ1376" s="430"/>
      <c r="AK1376" s="481"/>
      <c r="AL1376" s="430"/>
      <c r="AM1376" s="430"/>
      <c r="AN1376" s="430"/>
      <c r="AO1376" s="430"/>
      <c r="AP1376" s="481"/>
      <c r="AQ1376" s="430"/>
      <c r="AR1376" s="430"/>
      <c r="AS1376" s="430"/>
      <c r="AT1376" s="430"/>
      <c r="AU1376" s="481"/>
      <c r="AV1376" s="483"/>
      <c r="AW1376" s="430"/>
      <c r="AX1376" s="430"/>
      <c r="AY1376" s="853"/>
      <c r="AZ1376" s="481"/>
      <c r="BA1376" s="430"/>
      <c r="BB1376" s="430"/>
      <c r="BC1376" s="430"/>
      <c r="BD1376" s="430"/>
      <c r="BE1376" s="481"/>
      <c r="BF1376" s="430"/>
      <c r="BG1376" s="430"/>
      <c r="BH1376" s="430"/>
      <c r="BI1376" s="430"/>
      <c r="BJ1376" s="481"/>
      <c r="BK1376" s="430"/>
      <c r="BL1376" s="430"/>
      <c r="BM1376" s="430"/>
      <c r="BN1376" s="430"/>
      <c r="BO1376" s="481"/>
      <c r="BP1376" s="430"/>
      <c r="BQ1376" s="430"/>
      <c r="BR1376" s="430"/>
      <c r="BS1376" s="430"/>
      <c r="BT1376" s="2587"/>
      <c r="BU1376" s="2840"/>
      <c r="BV1376" s="2840"/>
      <c r="BW1376" s="2840"/>
      <c r="BX1376" s="2840"/>
      <c r="BY1376" s="2587"/>
      <c r="BZ1376" s="2587"/>
      <c r="CA1376" s="2587"/>
      <c r="CB1376" s="481"/>
      <c r="CC1376" s="481"/>
      <c r="CD1376" s="481"/>
      <c r="CE1376" s="481"/>
      <c r="CF1376" s="481"/>
      <c r="CG1376" s="331"/>
      <c r="CH1376" s="331"/>
      <c r="CI1376" s="331"/>
      <c r="CJ1376" s="331"/>
      <c r="CK1376" s="331"/>
      <c r="CL1376" s="2038"/>
      <c r="CM1376" s="430"/>
      <c r="CN1376" s="430"/>
      <c r="CO1376" s="430"/>
      <c r="CP1376" s="430"/>
      <c r="CQ1376" s="430"/>
      <c r="CR1376" s="430"/>
      <c r="CS1376" s="430"/>
      <c r="CT1376" s="430"/>
      <c r="CU1376" s="430"/>
      <c r="CV1376" s="430"/>
      <c r="CW1376" s="430"/>
      <c r="CX1376" s="430"/>
      <c r="CY1376" s="430"/>
      <c r="CZ1376" s="430"/>
      <c r="DA1376" s="430"/>
      <c r="DB1376" s="430"/>
      <c r="DC1376" s="853"/>
      <c r="DD1376" s="331"/>
      <c r="DE1376" s="331"/>
      <c r="DF1376" s="502"/>
      <c r="DG1376" s="503"/>
      <c r="DH1376" s="2840"/>
      <c r="DI1376" s="3213"/>
      <c r="DJ1376" s="502"/>
      <c r="DK1376" s="503"/>
      <c r="DL1376" s="502"/>
      <c r="DM1376" s="502"/>
      <c r="DN1376" s="502"/>
      <c r="DO1376" s="502"/>
      <c r="DP1376" s="503"/>
      <c r="DQ1376" s="503"/>
      <c r="DR1376" s="296"/>
      <c r="DS1376" s="296"/>
      <c r="DT1376" s="296"/>
    </row>
    <row r="1377" spans="1:130" ht="12" hidden="1" customHeight="1" outlineLevel="1" x14ac:dyDescent="0.25">
      <c r="A1377" s="355" t="s">
        <v>1335</v>
      </c>
      <c r="B1377" s="607">
        <v>0</v>
      </c>
      <c r="C1377" s="612">
        <v>0</v>
      </c>
      <c r="D1377" s="612">
        <v>0</v>
      </c>
      <c r="E1377" s="612">
        <v>0</v>
      </c>
      <c r="F1377" s="612">
        <v>0</v>
      </c>
      <c r="G1377" s="481">
        <f>F1377</f>
        <v>0</v>
      </c>
      <c r="H1377" s="612">
        <v>0</v>
      </c>
      <c r="I1377" s="612">
        <v>0</v>
      </c>
      <c r="J1377" s="612">
        <v>0</v>
      </c>
      <c r="K1377" s="612">
        <v>178</v>
      </c>
      <c r="L1377" s="481">
        <f>K1377</f>
        <v>178</v>
      </c>
      <c r="M1377" s="612">
        <v>317</v>
      </c>
      <c r="N1377" s="612">
        <v>383</v>
      </c>
      <c r="O1377" s="612">
        <v>357.5</v>
      </c>
      <c r="P1377" s="612">
        <v>389.5</v>
      </c>
      <c r="Q1377" s="481">
        <f>P1377</f>
        <v>389.5</v>
      </c>
      <c r="R1377" s="612">
        <v>357.5</v>
      </c>
      <c r="S1377" s="612">
        <v>513.5</v>
      </c>
      <c r="T1377" s="612">
        <v>498</v>
      </c>
      <c r="U1377" s="612">
        <v>575</v>
      </c>
      <c r="V1377" s="481">
        <f>U1377</f>
        <v>575</v>
      </c>
      <c r="W1377" s="612">
        <v>630</v>
      </c>
      <c r="X1377" s="612">
        <v>598</v>
      </c>
      <c r="Y1377" s="612">
        <v>54.936999999999898</v>
      </c>
      <c r="Z1377" s="612">
        <v>123.72150000000011</v>
      </c>
      <c r="AA1377" s="481">
        <f>Z1377</f>
        <v>123.72150000000011</v>
      </c>
      <c r="AB1377" s="612">
        <v>116.7</v>
      </c>
      <c r="AC1377" s="612">
        <v>136.69999999999999</v>
      </c>
      <c r="AD1377" s="612">
        <v>177.6</v>
      </c>
      <c r="AE1377" s="612">
        <v>237.5</v>
      </c>
      <c r="AF1377" s="481">
        <f>AE1377</f>
        <v>237.5</v>
      </c>
      <c r="AG1377" s="612">
        <v>205.6</v>
      </c>
      <c r="AH1377" s="612">
        <v>0</v>
      </c>
      <c r="AI1377" s="612">
        <v>0</v>
      </c>
      <c r="AJ1377" s="612">
        <v>71</v>
      </c>
      <c r="AK1377" s="481">
        <f>AJ1377</f>
        <v>71</v>
      </c>
      <c r="AL1377" s="612">
        <v>35</v>
      </c>
      <c r="AM1377" s="612">
        <v>0</v>
      </c>
      <c r="AN1377" s="612">
        <v>0</v>
      </c>
      <c r="AO1377" s="612">
        <v>0</v>
      </c>
      <c r="AP1377" s="483">
        <f>AO1377</f>
        <v>0</v>
      </c>
      <c r="AQ1377" s="1676">
        <v>0</v>
      </c>
      <c r="AR1377" s="482">
        <v>0</v>
      </c>
      <c r="AS1377" s="482">
        <v>0</v>
      </c>
      <c r="AT1377" s="612">
        <v>0</v>
      </c>
      <c r="AU1377" s="481">
        <f>AT1377</f>
        <v>0</v>
      </c>
      <c r="AV1377" s="612">
        <v>0</v>
      </c>
      <c r="AW1377" s="482">
        <f>AV1377</f>
        <v>0</v>
      </c>
      <c r="AX1377" s="482">
        <v>0</v>
      </c>
      <c r="AY1377" s="612">
        <v>0</v>
      </c>
      <c r="AZ1377" s="481">
        <f t="shared" ref="AZ1377:AZ1385" si="3108">AY1377</f>
        <v>0</v>
      </c>
      <c r="BA1377" s="483">
        <f>AZ1377</f>
        <v>0</v>
      </c>
      <c r="BB1377" s="430">
        <f t="shared" ref="BB1377:BC1383" si="3109">BA1377</f>
        <v>0</v>
      </c>
      <c r="BC1377" s="430">
        <f t="shared" si="3109"/>
        <v>0</v>
      </c>
      <c r="BD1377" s="853">
        <f>BC1377</f>
        <v>0</v>
      </c>
      <c r="BE1377" s="481">
        <f t="shared" ref="BE1377:BE1393" si="3110">+BD1377</f>
        <v>0</v>
      </c>
      <c r="BF1377" s="430">
        <f>BE1377</f>
        <v>0</v>
      </c>
      <c r="BG1377" s="430">
        <f t="shared" ref="BG1377:BH1386" si="3111">BF1377</f>
        <v>0</v>
      </c>
      <c r="BH1377" s="430">
        <f t="shared" si="3111"/>
        <v>0</v>
      </c>
      <c r="BI1377" s="853">
        <f>BH1377</f>
        <v>0</v>
      </c>
      <c r="BJ1377" s="481">
        <f t="shared" ref="BJ1377:BJ1393" si="3112">+BI1377</f>
        <v>0</v>
      </c>
      <c r="BK1377" s="2675">
        <v>0</v>
      </c>
      <c r="BL1377" s="2675">
        <v>0</v>
      </c>
      <c r="BM1377" s="430">
        <f t="shared" ref="BM1377:BM1386" si="3113">BL1377</f>
        <v>0</v>
      </c>
      <c r="BN1377" s="853">
        <f t="shared" ref="BN1377:BN1386" si="3114">BM1377</f>
        <v>0</v>
      </c>
      <c r="BO1377" s="481">
        <f t="shared" ref="BO1377:BO1387" si="3115">+BN1377</f>
        <v>0</v>
      </c>
      <c r="BP1377" s="430">
        <f t="shared" ref="BP1377:BP1386" si="3116">BO1377</f>
        <v>0</v>
      </c>
      <c r="BQ1377" s="430">
        <f t="shared" ref="BQ1377:BQ1387" si="3117">BP1377</f>
        <v>0</v>
      </c>
      <c r="BR1377" s="430">
        <f t="shared" ref="BR1377:BR1387" si="3118">BQ1377</f>
        <v>0</v>
      </c>
      <c r="BS1377" s="430">
        <f t="shared" ref="BS1377:BS1386" si="3119">BR1377</f>
        <v>0</v>
      </c>
      <c r="BT1377" s="2587">
        <f t="shared" ref="BT1377:BT1393" si="3120">+BS1377</f>
        <v>0</v>
      </c>
      <c r="BU1377" s="2840">
        <f t="shared" ref="BU1377:BV1387" si="3121">BT1377</f>
        <v>0</v>
      </c>
      <c r="BV1377" s="2840">
        <f t="shared" si="3121"/>
        <v>0</v>
      </c>
      <c r="BW1377" s="2840">
        <f t="shared" ref="BW1377:BW1388" si="3122">BV1377</f>
        <v>0</v>
      </c>
      <c r="BX1377" s="2840">
        <f t="shared" ref="BX1377:BX1388" si="3123">BW1377</f>
        <v>0</v>
      </c>
      <c r="BY1377" s="2587">
        <f t="shared" ref="BY1377:BY1393" si="3124">+BX1377</f>
        <v>0</v>
      </c>
      <c r="BZ1377" s="2587">
        <f>BY1377</f>
        <v>0</v>
      </c>
      <c r="CA1377" s="2587">
        <f>BZ1377</f>
        <v>0</v>
      </c>
      <c r="CB1377" s="481">
        <f t="shared" ref="CB1377:CF1380" si="3125">CA1377</f>
        <v>0</v>
      </c>
      <c r="CC1377" s="481">
        <f t="shared" si="3125"/>
        <v>0</v>
      </c>
      <c r="CD1377" s="481">
        <f t="shared" si="3125"/>
        <v>0</v>
      </c>
      <c r="CE1377" s="481">
        <f t="shared" si="3125"/>
        <v>0</v>
      </c>
      <c r="CF1377" s="481">
        <f t="shared" si="3125"/>
        <v>0</v>
      </c>
      <c r="CG1377" s="331"/>
      <c r="CH1377" s="331"/>
      <c r="CI1377" s="331"/>
      <c r="CJ1377" s="331"/>
      <c r="CK1377" s="331"/>
      <c r="CL1377" s="995" t="str">
        <f t="shared" ref="CL1377:CL1387" si="3126">A1377</f>
        <v>Senior secured facility - Revolver</v>
      </c>
      <c r="CM1377" s="430">
        <f t="shared" ref="CM1377:CM1386" si="3127">G1377</f>
        <v>0</v>
      </c>
      <c r="CN1377" s="430">
        <f t="shared" ref="CN1377:CN1386" si="3128">L1377</f>
        <v>178</v>
      </c>
      <c r="CO1377" s="430">
        <f t="shared" ref="CO1377:CO1386" si="3129">Q1377</f>
        <v>389.5</v>
      </c>
      <c r="CP1377" s="430">
        <f t="shared" ref="CP1377:CP1386" si="3130">V1377</f>
        <v>575</v>
      </c>
      <c r="CQ1377" s="430">
        <f t="shared" ref="CQ1377:CQ1386" si="3131">AA1377</f>
        <v>123.72150000000011</v>
      </c>
      <c r="CR1377" s="430">
        <f t="shared" ref="CR1377:CR1386" si="3132">AF1377</f>
        <v>237.5</v>
      </c>
      <c r="CS1377" s="430">
        <f t="shared" ref="CS1377:CS1386" si="3133">AK1377</f>
        <v>71</v>
      </c>
      <c r="CT1377" s="430">
        <f t="shared" ref="CT1377:CT1386" si="3134">AP1377</f>
        <v>0</v>
      </c>
      <c r="CU1377" s="430">
        <f t="shared" ref="CU1377:CU1386" si="3135">AU1377</f>
        <v>0</v>
      </c>
      <c r="CV1377" s="430">
        <f t="shared" ref="CV1377:CV1386" si="3136">AZ1377</f>
        <v>0</v>
      </c>
      <c r="CW1377" s="430">
        <f t="shared" ref="CW1377:CW1386" si="3137">BE1377</f>
        <v>0</v>
      </c>
      <c r="CX1377" s="430">
        <f t="shared" ref="CX1377:CX1386" si="3138">BJ1377</f>
        <v>0</v>
      </c>
      <c r="CY1377" s="430">
        <f t="shared" ref="CY1377:CY1386" si="3139">BO1377</f>
        <v>0</v>
      </c>
      <c r="CZ1377" s="430">
        <f t="shared" ref="CZ1377:CZ1386" si="3140">BT1377</f>
        <v>0</v>
      </c>
      <c r="DA1377" s="430">
        <f t="shared" ref="DA1377:DA1386" si="3141">BY1377</f>
        <v>0</v>
      </c>
      <c r="DB1377" s="430">
        <f t="shared" ref="DB1377:DB1386" si="3142">BZ1377</f>
        <v>0</v>
      </c>
      <c r="DC1377" s="853">
        <f t="shared" ref="DC1377:DC1386" si="3143">CA1377</f>
        <v>0</v>
      </c>
      <c r="DD1377" s="331"/>
      <c r="DE1377" s="331"/>
      <c r="DF1377" s="502"/>
      <c r="DG1377" s="503"/>
      <c r="DH1377" s="2840"/>
      <c r="DI1377" s="3213"/>
      <c r="DJ1377" s="502"/>
      <c r="DK1377" s="503"/>
      <c r="DL1377" s="502"/>
      <c r="DM1377" s="502"/>
      <c r="DN1377" s="502"/>
      <c r="DO1377" s="502"/>
      <c r="DP1377" s="503"/>
      <c r="DQ1377" s="503"/>
      <c r="DR1377" s="296"/>
      <c r="DS1377" s="296"/>
      <c r="DT1377" s="296"/>
    </row>
    <row r="1378" spans="1:130" ht="12" hidden="1" customHeight="1" outlineLevel="1" x14ac:dyDescent="0.25">
      <c r="A1378" s="1950" t="s">
        <v>854</v>
      </c>
      <c r="B1378" s="607">
        <v>0</v>
      </c>
      <c r="C1378" s="612">
        <v>0</v>
      </c>
      <c r="D1378" s="612">
        <v>0</v>
      </c>
      <c r="E1378" s="612">
        <v>0</v>
      </c>
      <c r="F1378" s="612">
        <v>0</v>
      </c>
      <c r="G1378" s="481">
        <f t="shared" ref="G1378:G1400" si="3144">F1378</f>
        <v>0</v>
      </c>
      <c r="H1378" s="612">
        <v>0</v>
      </c>
      <c r="I1378" s="612">
        <v>0</v>
      </c>
      <c r="J1378" s="612">
        <v>0</v>
      </c>
      <c r="K1378" s="612">
        <v>325</v>
      </c>
      <c r="L1378" s="481">
        <f t="shared" ref="L1378:L1400" si="3145">K1378</f>
        <v>325</v>
      </c>
      <c r="M1378" s="612">
        <v>325</v>
      </c>
      <c r="N1378" s="612">
        <v>325</v>
      </c>
      <c r="O1378" s="612">
        <v>325</v>
      </c>
      <c r="P1378" s="612">
        <v>325</v>
      </c>
      <c r="Q1378" s="481">
        <f t="shared" ref="Q1378:Q1400" si="3146">P1378</f>
        <v>325</v>
      </c>
      <c r="R1378" s="612">
        <v>325</v>
      </c>
      <c r="S1378" s="612">
        <v>325</v>
      </c>
      <c r="T1378" s="612">
        <v>325</v>
      </c>
      <c r="U1378" s="612">
        <v>308.75</v>
      </c>
      <c r="V1378" s="481">
        <f t="shared" ref="V1378:V1400" si="3147">U1378</f>
        <v>308.75</v>
      </c>
      <c r="W1378" s="612">
        <v>292.5</v>
      </c>
      <c r="X1378" s="612">
        <v>276.25</v>
      </c>
      <c r="Y1378" s="612">
        <v>260</v>
      </c>
      <c r="Z1378" s="612">
        <v>239.6875</v>
      </c>
      <c r="AA1378" s="481">
        <f t="shared" ref="AA1378:AA1400" si="3148">Z1378</f>
        <v>239.6875</v>
      </c>
      <c r="AB1378" s="612">
        <f>1928.368-AB1379-AB1377</f>
        <v>219.39299999999986</v>
      </c>
      <c r="AC1378" s="612">
        <f>1923.868-AC1377-AC1379</f>
        <v>198.99299999999971</v>
      </c>
      <c r="AD1378" s="612">
        <v>0</v>
      </c>
      <c r="AE1378" s="612">
        <v>0</v>
      </c>
      <c r="AF1378" s="481">
        <f t="shared" ref="AF1378:AF1400" si="3149">AE1378</f>
        <v>0</v>
      </c>
      <c r="AG1378" s="612">
        <v>0</v>
      </c>
      <c r="AH1378" s="612">
        <v>0</v>
      </c>
      <c r="AI1378" s="612">
        <v>0</v>
      </c>
      <c r="AJ1378" s="612">
        <v>0</v>
      </c>
      <c r="AK1378" s="481">
        <f t="shared" ref="AK1378:AK1400" si="3150">AJ1378</f>
        <v>0</v>
      </c>
      <c r="AL1378" s="612">
        <v>0</v>
      </c>
      <c r="AM1378" s="612">
        <v>0</v>
      </c>
      <c r="AN1378" s="612">
        <v>0</v>
      </c>
      <c r="AO1378" s="612">
        <v>0</v>
      </c>
      <c r="AP1378" s="483">
        <f t="shared" ref="AP1378:AP1400" si="3151">AO1378</f>
        <v>0</v>
      </c>
      <c r="AQ1378" s="1676">
        <v>0</v>
      </c>
      <c r="AR1378" s="482">
        <v>0</v>
      </c>
      <c r="AS1378" s="482">
        <v>0</v>
      </c>
      <c r="AT1378" s="612">
        <v>0</v>
      </c>
      <c r="AU1378" s="481">
        <f t="shared" ref="AU1378:AU1400" si="3152">AT1378</f>
        <v>0</v>
      </c>
      <c r="AV1378" s="612">
        <v>0</v>
      </c>
      <c r="AW1378" s="482">
        <f>AV1378</f>
        <v>0</v>
      </c>
      <c r="AX1378" s="482">
        <v>0</v>
      </c>
      <c r="AY1378" s="612">
        <v>0</v>
      </c>
      <c r="AZ1378" s="481">
        <f t="shared" si="3108"/>
        <v>0</v>
      </c>
      <c r="BA1378" s="483">
        <f t="shared" ref="BA1378:BA1383" si="3153">AZ1378</f>
        <v>0</v>
      </c>
      <c r="BB1378" s="430">
        <f t="shared" si="3109"/>
        <v>0</v>
      </c>
      <c r="BC1378" s="430">
        <f t="shared" si="3109"/>
        <v>0</v>
      </c>
      <c r="BD1378" s="853">
        <f t="shared" ref="BD1378:BF1386" si="3154">BC1378</f>
        <v>0</v>
      </c>
      <c r="BE1378" s="481">
        <f t="shared" si="3110"/>
        <v>0</v>
      </c>
      <c r="BF1378" s="430">
        <f t="shared" si="3154"/>
        <v>0</v>
      </c>
      <c r="BG1378" s="430">
        <f t="shared" si="3111"/>
        <v>0</v>
      </c>
      <c r="BH1378" s="430">
        <f t="shared" si="3111"/>
        <v>0</v>
      </c>
      <c r="BI1378" s="853">
        <f t="shared" ref="BI1378:BI1386" si="3155">BH1378</f>
        <v>0</v>
      </c>
      <c r="BJ1378" s="481">
        <f t="shared" si="3112"/>
        <v>0</v>
      </c>
      <c r="BK1378" s="2675">
        <v>0</v>
      </c>
      <c r="BL1378" s="2675">
        <v>0</v>
      </c>
      <c r="BM1378" s="430">
        <f t="shared" si="3113"/>
        <v>0</v>
      </c>
      <c r="BN1378" s="853">
        <f t="shared" si="3114"/>
        <v>0</v>
      </c>
      <c r="BO1378" s="481">
        <f t="shared" si="3115"/>
        <v>0</v>
      </c>
      <c r="BP1378" s="430">
        <f t="shared" si="3116"/>
        <v>0</v>
      </c>
      <c r="BQ1378" s="430">
        <f t="shared" si="3117"/>
        <v>0</v>
      </c>
      <c r="BR1378" s="430">
        <f t="shared" si="3118"/>
        <v>0</v>
      </c>
      <c r="BS1378" s="430">
        <f t="shared" si="3119"/>
        <v>0</v>
      </c>
      <c r="BT1378" s="2587">
        <f t="shared" si="3120"/>
        <v>0</v>
      </c>
      <c r="BU1378" s="2840">
        <f t="shared" si="3121"/>
        <v>0</v>
      </c>
      <c r="BV1378" s="2840">
        <f t="shared" si="3121"/>
        <v>0</v>
      </c>
      <c r="BW1378" s="2840">
        <f t="shared" si="3122"/>
        <v>0</v>
      </c>
      <c r="BX1378" s="2840">
        <f t="shared" si="3123"/>
        <v>0</v>
      </c>
      <c r="BY1378" s="2587">
        <f t="shared" si="3124"/>
        <v>0</v>
      </c>
      <c r="BZ1378" s="2587">
        <f t="shared" ref="BZ1378:CA1380" si="3156">BY1378</f>
        <v>0</v>
      </c>
      <c r="CA1378" s="2587">
        <f t="shared" si="3156"/>
        <v>0</v>
      </c>
      <c r="CB1378" s="481">
        <f t="shared" si="3125"/>
        <v>0</v>
      </c>
      <c r="CC1378" s="481">
        <f t="shared" si="3125"/>
        <v>0</v>
      </c>
      <c r="CD1378" s="481">
        <f t="shared" si="3125"/>
        <v>0</v>
      </c>
      <c r="CE1378" s="481">
        <f t="shared" si="3125"/>
        <v>0</v>
      </c>
      <c r="CF1378" s="481">
        <f t="shared" si="3125"/>
        <v>0</v>
      </c>
      <c r="CG1378" s="331"/>
      <c r="CH1378" s="331"/>
      <c r="CI1378" s="331"/>
      <c r="CJ1378" s="331"/>
      <c r="CK1378" s="331"/>
      <c r="CL1378" s="2039" t="str">
        <f t="shared" si="3126"/>
        <v>Senior secured facility - Term Loan A</v>
      </c>
      <c r="CM1378" s="430">
        <f t="shared" si="3127"/>
        <v>0</v>
      </c>
      <c r="CN1378" s="430">
        <f t="shared" si="3128"/>
        <v>325</v>
      </c>
      <c r="CO1378" s="430">
        <f t="shared" si="3129"/>
        <v>325</v>
      </c>
      <c r="CP1378" s="430">
        <f t="shared" si="3130"/>
        <v>308.75</v>
      </c>
      <c r="CQ1378" s="430">
        <f t="shared" si="3131"/>
        <v>239.6875</v>
      </c>
      <c r="CR1378" s="430">
        <f t="shared" si="3132"/>
        <v>0</v>
      </c>
      <c r="CS1378" s="430">
        <f t="shared" si="3133"/>
        <v>0</v>
      </c>
      <c r="CT1378" s="430">
        <f t="shared" si="3134"/>
        <v>0</v>
      </c>
      <c r="CU1378" s="430">
        <f t="shared" si="3135"/>
        <v>0</v>
      </c>
      <c r="CV1378" s="430">
        <f t="shared" si="3136"/>
        <v>0</v>
      </c>
      <c r="CW1378" s="430">
        <f t="shared" si="3137"/>
        <v>0</v>
      </c>
      <c r="CX1378" s="430">
        <f t="shared" si="3138"/>
        <v>0</v>
      </c>
      <c r="CY1378" s="430">
        <f t="shared" si="3139"/>
        <v>0</v>
      </c>
      <c r="CZ1378" s="430">
        <f t="shared" si="3140"/>
        <v>0</v>
      </c>
      <c r="DA1378" s="430">
        <f t="shared" si="3141"/>
        <v>0</v>
      </c>
      <c r="DB1378" s="430">
        <f t="shared" si="3142"/>
        <v>0</v>
      </c>
      <c r="DC1378" s="853">
        <f t="shared" si="3143"/>
        <v>0</v>
      </c>
      <c r="DD1378" s="331"/>
      <c r="DE1378" s="331"/>
      <c r="DF1378" s="502"/>
      <c r="DG1378" s="503"/>
      <c r="DH1378" s="2840"/>
      <c r="DI1378" s="3213"/>
      <c r="DJ1378" s="502"/>
      <c r="DK1378" s="503"/>
      <c r="DL1378" s="502"/>
      <c r="DM1378" s="502"/>
      <c r="DN1378" s="502"/>
      <c r="DO1378" s="502"/>
      <c r="DP1378" s="503"/>
      <c r="DQ1378" s="503"/>
      <c r="DR1378" s="296"/>
      <c r="DS1378" s="296"/>
      <c r="DT1378" s="296"/>
    </row>
    <row r="1379" spans="1:130" ht="12" hidden="1" customHeight="1" outlineLevel="1" x14ac:dyDescent="0.25">
      <c r="A1379" s="1950" t="s">
        <v>1997</v>
      </c>
      <c r="B1379" s="607">
        <v>0</v>
      </c>
      <c r="C1379" s="612">
        <v>0</v>
      </c>
      <c r="D1379" s="612">
        <v>0</v>
      </c>
      <c r="E1379" s="612">
        <v>0</v>
      </c>
      <c r="F1379" s="612">
        <v>0</v>
      </c>
      <c r="G1379" s="481">
        <f t="shared" si="3144"/>
        <v>0</v>
      </c>
      <c r="H1379" s="612">
        <v>0</v>
      </c>
      <c r="I1379" s="612">
        <v>0</v>
      </c>
      <c r="J1379" s="612">
        <v>0</v>
      </c>
      <c r="K1379" s="612">
        <v>1645.875</v>
      </c>
      <c r="L1379" s="481">
        <f t="shared" si="3145"/>
        <v>1645.875</v>
      </c>
      <c r="M1379" s="612">
        <v>1641.75</v>
      </c>
      <c r="N1379" s="612">
        <v>1637.625</v>
      </c>
      <c r="O1379" s="612">
        <v>1633.5</v>
      </c>
      <c r="P1379" s="612">
        <v>1629.375</v>
      </c>
      <c r="Q1379" s="481">
        <f t="shared" si="3146"/>
        <v>1629.375</v>
      </c>
      <c r="R1379" s="1957">
        <v>1625.25</v>
      </c>
      <c r="S1379" s="1957">
        <v>1621.125</v>
      </c>
      <c r="T1379" s="1957">
        <v>1617</v>
      </c>
      <c r="U1379" s="612">
        <v>1612.875</v>
      </c>
      <c r="V1379" s="481">
        <f t="shared" si="3147"/>
        <v>1612.875</v>
      </c>
      <c r="W1379" s="1957">
        <v>1608.75</v>
      </c>
      <c r="X1379" s="1957">
        <v>1604.625</v>
      </c>
      <c r="Y1379" s="1957">
        <v>1600.5</v>
      </c>
      <c r="Z1379" s="612">
        <v>1596.375</v>
      </c>
      <c r="AA1379" s="481">
        <f t="shared" si="3148"/>
        <v>1596.375</v>
      </c>
      <c r="AB1379" s="612">
        <f>Z1379-4.1</f>
        <v>1592.2750000000001</v>
      </c>
      <c r="AC1379" s="612">
        <f>AB1379-4.1</f>
        <v>1588.1750000000002</v>
      </c>
      <c r="AD1379" s="612">
        <f>1695.734-AD1377</f>
        <v>1518.134</v>
      </c>
      <c r="AE1379" s="612">
        <f>1755.602-AE1377</f>
        <v>1518.1020000000001</v>
      </c>
      <c r="AF1379" s="481">
        <f t="shared" si="3149"/>
        <v>1518.1020000000001</v>
      </c>
      <c r="AG1379" s="612">
        <f>1723.673-AG1377</f>
        <v>1518.0730000000001</v>
      </c>
      <c r="AH1379" s="612">
        <v>1518.125</v>
      </c>
      <c r="AI1379" s="612">
        <v>1518.125</v>
      </c>
      <c r="AJ1379" s="612">
        <f>1589.125-AJ1377</f>
        <v>1518.125</v>
      </c>
      <c r="AK1379" s="481">
        <f t="shared" si="3150"/>
        <v>1518.125</v>
      </c>
      <c r="AL1379" s="612">
        <f>1553.125-AL1377</f>
        <v>1518.125</v>
      </c>
      <c r="AM1379" s="612">
        <v>1518.125</v>
      </c>
      <c r="AN1379" s="612">
        <v>0</v>
      </c>
      <c r="AO1379" s="612">
        <v>0</v>
      </c>
      <c r="AP1379" s="483">
        <f t="shared" si="3151"/>
        <v>0</v>
      </c>
      <c r="AQ1379" s="1676">
        <v>0</v>
      </c>
      <c r="AR1379" s="482">
        <v>0</v>
      </c>
      <c r="AS1379" s="482">
        <v>0</v>
      </c>
      <c r="AT1379" s="612">
        <v>0</v>
      </c>
      <c r="AU1379" s="481">
        <f t="shared" si="3152"/>
        <v>0</v>
      </c>
      <c r="AV1379" s="612">
        <v>0</v>
      </c>
      <c r="AW1379" s="482">
        <f>AV1379</f>
        <v>0</v>
      </c>
      <c r="AX1379" s="482">
        <v>0</v>
      </c>
      <c r="AY1379" s="612">
        <v>0</v>
      </c>
      <c r="AZ1379" s="481">
        <f t="shared" si="3108"/>
        <v>0</v>
      </c>
      <c r="BA1379" s="483">
        <f t="shared" si="3153"/>
        <v>0</v>
      </c>
      <c r="BB1379" s="430">
        <f t="shared" si="3109"/>
        <v>0</v>
      </c>
      <c r="BC1379" s="430">
        <f t="shared" si="3109"/>
        <v>0</v>
      </c>
      <c r="BD1379" s="853">
        <f t="shared" si="3154"/>
        <v>0</v>
      </c>
      <c r="BE1379" s="481">
        <f t="shared" si="3110"/>
        <v>0</v>
      </c>
      <c r="BF1379" s="430">
        <f t="shared" si="3154"/>
        <v>0</v>
      </c>
      <c r="BG1379" s="430">
        <f t="shared" si="3111"/>
        <v>0</v>
      </c>
      <c r="BH1379" s="430">
        <f t="shared" si="3111"/>
        <v>0</v>
      </c>
      <c r="BI1379" s="853">
        <f t="shared" si="3155"/>
        <v>0</v>
      </c>
      <c r="BJ1379" s="481">
        <f t="shared" si="3112"/>
        <v>0</v>
      </c>
      <c r="BK1379" s="2675">
        <v>0</v>
      </c>
      <c r="BL1379" s="2675">
        <v>0</v>
      </c>
      <c r="BM1379" s="430">
        <f t="shared" si="3113"/>
        <v>0</v>
      </c>
      <c r="BN1379" s="853">
        <f t="shared" si="3114"/>
        <v>0</v>
      </c>
      <c r="BO1379" s="481">
        <f t="shared" si="3115"/>
        <v>0</v>
      </c>
      <c r="BP1379" s="430">
        <f t="shared" si="3116"/>
        <v>0</v>
      </c>
      <c r="BQ1379" s="430">
        <f t="shared" si="3117"/>
        <v>0</v>
      </c>
      <c r="BR1379" s="430">
        <f t="shared" si="3118"/>
        <v>0</v>
      </c>
      <c r="BS1379" s="430">
        <f t="shared" si="3119"/>
        <v>0</v>
      </c>
      <c r="BT1379" s="2587">
        <f t="shared" si="3120"/>
        <v>0</v>
      </c>
      <c r="BU1379" s="2840">
        <f t="shared" si="3121"/>
        <v>0</v>
      </c>
      <c r="BV1379" s="2840">
        <f t="shared" si="3121"/>
        <v>0</v>
      </c>
      <c r="BW1379" s="2840">
        <f t="shared" si="3122"/>
        <v>0</v>
      </c>
      <c r="BX1379" s="2840">
        <f t="shared" si="3123"/>
        <v>0</v>
      </c>
      <c r="BY1379" s="2587">
        <f t="shared" si="3124"/>
        <v>0</v>
      </c>
      <c r="BZ1379" s="2587">
        <f t="shared" si="3156"/>
        <v>0</v>
      </c>
      <c r="CA1379" s="2587">
        <f t="shared" si="3156"/>
        <v>0</v>
      </c>
      <c r="CB1379" s="481">
        <f t="shared" si="3125"/>
        <v>0</v>
      </c>
      <c r="CC1379" s="481">
        <f t="shared" si="3125"/>
        <v>0</v>
      </c>
      <c r="CD1379" s="481">
        <f t="shared" si="3125"/>
        <v>0</v>
      </c>
      <c r="CE1379" s="481">
        <f t="shared" si="3125"/>
        <v>0</v>
      </c>
      <c r="CF1379" s="481">
        <f t="shared" si="3125"/>
        <v>0</v>
      </c>
      <c r="CG1379" s="331"/>
      <c r="CH1379" s="331"/>
      <c r="CI1379" s="331"/>
      <c r="CJ1379" s="331"/>
      <c r="CK1379" s="331"/>
      <c r="CL1379" s="2039" t="str">
        <f t="shared" si="3126"/>
        <v>Senior secured facility - Term Loan B</v>
      </c>
      <c r="CM1379" s="430">
        <f t="shared" si="3127"/>
        <v>0</v>
      </c>
      <c r="CN1379" s="430">
        <f t="shared" si="3128"/>
        <v>1645.875</v>
      </c>
      <c r="CO1379" s="430">
        <f t="shared" si="3129"/>
        <v>1629.375</v>
      </c>
      <c r="CP1379" s="430">
        <f t="shared" si="3130"/>
        <v>1612.875</v>
      </c>
      <c r="CQ1379" s="430">
        <f t="shared" si="3131"/>
        <v>1596.375</v>
      </c>
      <c r="CR1379" s="430">
        <f t="shared" si="3132"/>
        <v>1518.1020000000001</v>
      </c>
      <c r="CS1379" s="430">
        <f t="shared" si="3133"/>
        <v>1518.125</v>
      </c>
      <c r="CT1379" s="430">
        <f t="shared" si="3134"/>
        <v>0</v>
      </c>
      <c r="CU1379" s="430">
        <f t="shared" si="3135"/>
        <v>0</v>
      </c>
      <c r="CV1379" s="430">
        <f t="shared" si="3136"/>
        <v>0</v>
      </c>
      <c r="CW1379" s="430">
        <f t="shared" si="3137"/>
        <v>0</v>
      </c>
      <c r="CX1379" s="430">
        <f t="shared" si="3138"/>
        <v>0</v>
      </c>
      <c r="CY1379" s="430">
        <f t="shared" si="3139"/>
        <v>0</v>
      </c>
      <c r="CZ1379" s="430">
        <f t="shared" si="3140"/>
        <v>0</v>
      </c>
      <c r="DA1379" s="430">
        <f t="shared" si="3141"/>
        <v>0</v>
      </c>
      <c r="DB1379" s="430">
        <f t="shared" si="3142"/>
        <v>0</v>
      </c>
      <c r="DC1379" s="853">
        <f t="shared" si="3143"/>
        <v>0</v>
      </c>
      <c r="DD1379" s="331"/>
      <c r="DE1379" s="331"/>
      <c r="DF1379" s="502"/>
      <c r="DG1379" s="503"/>
      <c r="DH1379" s="2840"/>
      <c r="DI1379" s="3213"/>
      <c r="DJ1379" s="502"/>
      <c r="DK1379" s="503"/>
      <c r="DL1379" s="502"/>
      <c r="DM1379" s="502"/>
      <c r="DN1379" s="502"/>
      <c r="DO1379" s="502"/>
      <c r="DP1379" s="503"/>
      <c r="DQ1379" s="503"/>
      <c r="DR1379" s="296"/>
      <c r="DS1379" s="296"/>
      <c r="DT1379" s="296"/>
    </row>
    <row r="1380" spans="1:130" ht="12" hidden="1" customHeight="1" outlineLevel="1" x14ac:dyDescent="0.25">
      <c r="A1380" s="1950" t="s">
        <v>1145</v>
      </c>
      <c r="B1380" s="607">
        <v>399.7</v>
      </c>
      <c r="C1380" s="612">
        <v>378.7</v>
      </c>
      <c r="D1380" s="612">
        <v>377.60500000000002</v>
      </c>
      <c r="E1380" s="612">
        <v>320</v>
      </c>
      <c r="F1380" s="612">
        <v>270</v>
      </c>
      <c r="G1380" s="481">
        <f t="shared" si="3144"/>
        <v>270</v>
      </c>
      <c r="H1380" s="612">
        <v>159.31800000000001</v>
      </c>
      <c r="I1380" s="612">
        <v>0</v>
      </c>
      <c r="J1380" s="612">
        <v>0</v>
      </c>
      <c r="K1380" s="612">
        <v>0</v>
      </c>
      <c r="L1380" s="484">
        <f t="shared" si="3145"/>
        <v>0</v>
      </c>
      <c r="M1380" s="612">
        <v>0</v>
      </c>
      <c r="N1380" s="612">
        <v>0</v>
      </c>
      <c r="O1380" s="612">
        <v>0</v>
      </c>
      <c r="P1380" s="612">
        <v>0</v>
      </c>
      <c r="Q1380" s="481">
        <f t="shared" si="3146"/>
        <v>0</v>
      </c>
      <c r="R1380" s="612">
        <v>0</v>
      </c>
      <c r="S1380" s="612">
        <v>0</v>
      </c>
      <c r="T1380" s="612">
        <v>0</v>
      </c>
      <c r="U1380" s="612">
        <v>0</v>
      </c>
      <c r="V1380" s="481">
        <f t="shared" si="3147"/>
        <v>0</v>
      </c>
      <c r="W1380" s="612">
        <v>0</v>
      </c>
      <c r="X1380" s="612">
        <v>0</v>
      </c>
      <c r="Y1380" s="612">
        <v>0</v>
      </c>
      <c r="Z1380" s="612">
        <v>0</v>
      </c>
      <c r="AA1380" s="481">
        <f t="shared" si="3148"/>
        <v>0</v>
      </c>
      <c r="AB1380" s="612">
        <v>0</v>
      </c>
      <c r="AC1380" s="612">
        <v>0</v>
      </c>
      <c r="AD1380" s="612">
        <v>0</v>
      </c>
      <c r="AE1380" s="612">
        <v>0</v>
      </c>
      <c r="AF1380" s="481">
        <f t="shared" si="3149"/>
        <v>0</v>
      </c>
      <c r="AG1380" s="612">
        <v>0</v>
      </c>
      <c r="AH1380" s="612">
        <v>0</v>
      </c>
      <c r="AI1380" s="612">
        <v>0</v>
      </c>
      <c r="AJ1380" s="612">
        <v>0</v>
      </c>
      <c r="AK1380" s="481">
        <f t="shared" si="3150"/>
        <v>0</v>
      </c>
      <c r="AL1380" s="612">
        <v>0</v>
      </c>
      <c r="AM1380" s="612">
        <v>0</v>
      </c>
      <c r="AN1380" s="612">
        <v>0</v>
      </c>
      <c r="AO1380" s="612">
        <v>0</v>
      </c>
      <c r="AP1380" s="483">
        <f t="shared" si="3151"/>
        <v>0</v>
      </c>
      <c r="AQ1380" s="1676">
        <v>0</v>
      </c>
      <c r="AR1380" s="482">
        <v>0</v>
      </c>
      <c r="AS1380" s="482">
        <v>0</v>
      </c>
      <c r="AT1380" s="612">
        <v>0</v>
      </c>
      <c r="AU1380" s="481">
        <f t="shared" si="3152"/>
        <v>0</v>
      </c>
      <c r="AV1380" s="612">
        <v>0</v>
      </c>
      <c r="AW1380" s="482">
        <f>AV1380</f>
        <v>0</v>
      </c>
      <c r="AX1380" s="482">
        <v>0</v>
      </c>
      <c r="AY1380" s="612">
        <v>0</v>
      </c>
      <c r="AZ1380" s="481">
        <f t="shared" si="3108"/>
        <v>0</v>
      </c>
      <c r="BA1380" s="483">
        <f t="shared" si="3153"/>
        <v>0</v>
      </c>
      <c r="BB1380" s="430">
        <f t="shared" si="3109"/>
        <v>0</v>
      </c>
      <c r="BC1380" s="430">
        <f t="shared" si="3109"/>
        <v>0</v>
      </c>
      <c r="BD1380" s="853">
        <f t="shared" si="3154"/>
        <v>0</v>
      </c>
      <c r="BE1380" s="481">
        <f t="shared" si="3110"/>
        <v>0</v>
      </c>
      <c r="BF1380" s="430">
        <f t="shared" si="3154"/>
        <v>0</v>
      </c>
      <c r="BG1380" s="430">
        <f t="shared" si="3111"/>
        <v>0</v>
      </c>
      <c r="BH1380" s="430">
        <f t="shared" si="3111"/>
        <v>0</v>
      </c>
      <c r="BI1380" s="853">
        <f t="shared" si="3155"/>
        <v>0</v>
      </c>
      <c r="BJ1380" s="481">
        <f t="shared" si="3112"/>
        <v>0</v>
      </c>
      <c r="BK1380" s="2675">
        <v>0</v>
      </c>
      <c r="BL1380" s="2675">
        <v>0</v>
      </c>
      <c r="BM1380" s="430">
        <f t="shared" si="3113"/>
        <v>0</v>
      </c>
      <c r="BN1380" s="853">
        <f t="shared" si="3114"/>
        <v>0</v>
      </c>
      <c r="BO1380" s="481">
        <f t="shared" si="3115"/>
        <v>0</v>
      </c>
      <c r="BP1380" s="430">
        <f t="shared" si="3116"/>
        <v>0</v>
      </c>
      <c r="BQ1380" s="430">
        <f t="shared" si="3117"/>
        <v>0</v>
      </c>
      <c r="BR1380" s="430">
        <f t="shared" si="3118"/>
        <v>0</v>
      </c>
      <c r="BS1380" s="430">
        <f t="shared" si="3119"/>
        <v>0</v>
      </c>
      <c r="BT1380" s="2587">
        <f t="shared" si="3120"/>
        <v>0</v>
      </c>
      <c r="BU1380" s="2840">
        <f t="shared" si="3121"/>
        <v>0</v>
      </c>
      <c r="BV1380" s="2840">
        <f t="shared" si="3121"/>
        <v>0</v>
      </c>
      <c r="BW1380" s="2840">
        <f t="shared" si="3122"/>
        <v>0</v>
      </c>
      <c r="BX1380" s="2840">
        <f t="shared" si="3123"/>
        <v>0</v>
      </c>
      <c r="BY1380" s="2587">
        <f t="shared" si="3124"/>
        <v>0</v>
      </c>
      <c r="BZ1380" s="2587">
        <f t="shared" si="3156"/>
        <v>0</v>
      </c>
      <c r="CA1380" s="2587">
        <f t="shared" si="3156"/>
        <v>0</v>
      </c>
      <c r="CB1380" s="481">
        <f t="shared" si="3125"/>
        <v>0</v>
      </c>
      <c r="CC1380" s="481">
        <f t="shared" si="3125"/>
        <v>0</v>
      </c>
      <c r="CD1380" s="481">
        <f t="shared" si="3125"/>
        <v>0</v>
      </c>
      <c r="CE1380" s="481">
        <f t="shared" si="3125"/>
        <v>0</v>
      </c>
      <c r="CF1380" s="481">
        <f t="shared" si="3125"/>
        <v>0</v>
      </c>
      <c r="CG1380" s="331"/>
      <c r="CH1380" s="331"/>
      <c r="CI1380" s="331"/>
      <c r="CJ1380" s="331"/>
      <c r="CK1380" s="331"/>
      <c r="CL1380" s="2039" t="str">
        <f t="shared" si="3126"/>
        <v>Senior secured facility - Term Loan D</v>
      </c>
      <c r="CM1380" s="430">
        <f t="shared" si="3127"/>
        <v>270</v>
      </c>
      <c r="CN1380" s="430">
        <f t="shared" si="3128"/>
        <v>0</v>
      </c>
      <c r="CO1380" s="430">
        <f t="shared" si="3129"/>
        <v>0</v>
      </c>
      <c r="CP1380" s="430">
        <f t="shared" si="3130"/>
        <v>0</v>
      </c>
      <c r="CQ1380" s="430">
        <f t="shared" si="3131"/>
        <v>0</v>
      </c>
      <c r="CR1380" s="430">
        <f t="shared" si="3132"/>
        <v>0</v>
      </c>
      <c r="CS1380" s="430">
        <f t="shared" si="3133"/>
        <v>0</v>
      </c>
      <c r="CT1380" s="430">
        <f t="shared" si="3134"/>
        <v>0</v>
      </c>
      <c r="CU1380" s="430">
        <f t="shared" si="3135"/>
        <v>0</v>
      </c>
      <c r="CV1380" s="430">
        <f t="shared" si="3136"/>
        <v>0</v>
      </c>
      <c r="CW1380" s="430">
        <f t="shared" si="3137"/>
        <v>0</v>
      </c>
      <c r="CX1380" s="430">
        <f t="shared" si="3138"/>
        <v>0</v>
      </c>
      <c r="CY1380" s="430">
        <f t="shared" si="3139"/>
        <v>0</v>
      </c>
      <c r="CZ1380" s="430">
        <f t="shared" si="3140"/>
        <v>0</v>
      </c>
      <c r="DA1380" s="430">
        <f t="shared" si="3141"/>
        <v>0</v>
      </c>
      <c r="DB1380" s="430">
        <f t="shared" si="3142"/>
        <v>0</v>
      </c>
      <c r="DC1380" s="853">
        <f t="shared" si="3143"/>
        <v>0</v>
      </c>
      <c r="DD1380" s="331"/>
      <c r="DE1380" s="331"/>
      <c r="DF1380" s="502"/>
      <c r="DG1380" s="503"/>
      <c r="DH1380" s="2840"/>
      <c r="DI1380" s="3213"/>
      <c r="DJ1380" s="502"/>
      <c r="DK1380" s="503"/>
      <c r="DL1380" s="502"/>
      <c r="DM1380" s="502"/>
      <c r="DN1380" s="502"/>
      <c r="DO1380" s="502"/>
      <c r="DP1380" s="503"/>
      <c r="DQ1380" s="503"/>
      <c r="DR1380" s="296"/>
      <c r="DS1380" s="296"/>
      <c r="DT1380" s="296"/>
    </row>
    <row r="1381" spans="1:130" ht="12" hidden="1" customHeight="1" outlineLevel="1" x14ac:dyDescent="0.25">
      <c r="A1381" s="355" t="s">
        <v>1051</v>
      </c>
      <c r="B1381" s="607"/>
      <c r="C1381" s="612">
        <v>0</v>
      </c>
      <c r="D1381" s="612">
        <v>0</v>
      </c>
      <c r="E1381" s="612">
        <v>0</v>
      </c>
      <c r="F1381" s="612">
        <v>0</v>
      </c>
      <c r="G1381" s="481">
        <f t="shared" si="3144"/>
        <v>0</v>
      </c>
      <c r="H1381" s="612">
        <v>0</v>
      </c>
      <c r="I1381" s="612">
        <v>0</v>
      </c>
      <c r="J1381" s="612">
        <v>0</v>
      </c>
      <c r="K1381" s="612">
        <v>0</v>
      </c>
      <c r="L1381" s="484">
        <f t="shared" si="3145"/>
        <v>0</v>
      </c>
      <c r="M1381" s="612">
        <v>0</v>
      </c>
      <c r="N1381" s="612">
        <v>0</v>
      </c>
      <c r="O1381" s="612">
        <v>0</v>
      </c>
      <c r="P1381" s="612">
        <v>0</v>
      </c>
      <c r="Q1381" s="481">
        <f t="shared" si="3146"/>
        <v>0</v>
      </c>
      <c r="R1381" s="612">
        <v>0</v>
      </c>
      <c r="S1381" s="612">
        <v>0</v>
      </c>
      <c r="T1381" s="612">
        <v>0</v>
      </c>
      <c r="U1381" s="612">
        <v>0</v>
      </c>
      <c r="V1381" s="481">
        <f t="shared" si="3147"/>
        <v>0</v>
      </c>
      <c r="W1381" s="612">
        <v>0</v>
      </c>
      <c r="X1381" s="612">
        <v>0</v>
      </c>
      <c r="Y1381" s="612">
        <v>0</v>
      </c>
      <c r="Z1381" s="612">
        <v>0</v>
      </c>
      <c r="AA1381" s="481">
        <f t="shared" si="3148"/>
        <v>0</v>
      </c>
      <c r="AB1381" s="612">
        <v>0</v>
      </c>
      <c r="AC1381" s="612">
        <v>0</v>
      </c>
      <c r="AD1381" s="612">
        <v>0</v>
      </c>
      <c r="AE1381" s="612">
        <v>0</v>
      </c>
      <c r="AF1381" s="481">
        <f t="shared" si="3149"/>
        <v>0</v>
      </c>
      <c r="AG1381" s="612">
        <v>0</v>
      </c>
      <c r="AH1381" s="612">
        <v>0</v>
      </c>
      <c r="AI1381" s="612">
        <v>0</v>
      </c>
      <c r="AJ1381" s="612">
        <v>0</v>
      </c>
      <c r="AK1381" s="481">
        <f t="shared" si="3150"/>
        <v>0</v>
      </c>
      <c r="AL1381" s="612">
        <v>0</v>
      </c>
      <c r="AM1381" s="612">
        <v>0</v>
      </c>
      <c r="AN1381" s="612">
        <f>1639.375-AN1382-AN1383</f>
        <v>199.97500000000002</v>
      </c>
      <c r="AO1381" s="612">
        <f>1715.75-AO1382-AO1383</f>
        <v>287.04999999999995</v>
      </c>
      <c r="AP1381" s="483">
        <f t="shared" si="3151"/>
        <v>287.04999999999995</v>
      </c>
      <c r="AQ1381" s="1676">
        <f>1703.125-AQ1382-AQ1383</f>
        <v>285.02499999999998</v>
      </c>
      <c r="AR1381" s="482">
        <f>1776.5-AR1382-AR1383</f>
        <v>369</v>
      </c>
      <c r="AS1381" s="482">
        <f>1840.875-AS1382-AS1383</f>
        <v>443.97500000000002</v>
      </c>
      <c r="AT1381" s="612">
        <f>2394.963-AT1382-AT1383</f>
        <v>99.963000000000193</v>
      </c>
      <c r="AU1381" s="481">
        <f t="shared" si="3152"/>
        <v>99.963000000000193</v>
      </c>
      <c r="AV1381" s="612">
        <f>2278.05-AV1382-AV1383</f>
        <v>0</v>
      </c>
      <c r="AW1381" s="482">
        <f>AV1381</f>
        <v>0</v>
      </c>
      <c r="AX1381" s="482">
        <v>0</v>
      </c>
      <c r="AY1381" s="612">
        <v>0</v>
      </c>
      <c r="AZ1381" s="481">
        <f t="shared" si="3108"/>
        <v>0</v>
      </c>
      <c r="BA1381" s="483">
        <f t="shared" si="3153"/>
        <v>0</v>
      </c>
      <c r="BB1381" s="430">
        <f t="shared" si="3109"/>
        <v>0</v>
      </c>
      <c r="BC1381" s="430">
        <f t="shared" si="3109"/>
        <v>0</v>
      </c>
      <c r="BD1381" s="853">
        <f t="shared" si="3154"/>
        <v>0</v>
      </c>
      <c r="BE1381" s="481">
        <f t="shared" si="3110"/>
        <v>0</v>
      </c>
      <c r="BF1381" s="430">
        <f t="shared" si="3154"/>
        <v>0</v>
      </c>
      <c r="BG1381" s="430">
        <f t="shared" si="3111"/>
        <v>0</v>
      </c>
      <c r="BH1381" s="430">
        <f t="shared" si="3111"/>
        <v>0</v>
      </c>
      <c r="BI1381" s="853">
        <f t="shared" si="3155"/>
        <v>0</v>
      </c>
      <c r="BJ1381" s="481">
        <f t="shared" si="3112"/>
        <v>0</v>
      </c>
      <c r="BK1381" s="2675">
        <v>0</v>
      </c>
      <c r="BL1381" s="2675">
        <v>0</v>
      </c>
      <c r="BM1381" s="430">
        <f t="shared" si="3113"/>
        <v>0</v>
      </c>
      <c r="BN1381" s="853">
        <f t="shared" si="3114"/>
        <v>0</v>
      </c>
      <c r="BO1381" s="481">
        <f t="shared" si="3115"/>
        <v>0</v>
      </c>
      <c r="BP1381" s="430">
        <f t="shared" si="3116"/>
        <v>0</v>
      </c>
      <c r="BQ1381" s="430">
        <f t="shared" si="3117"/>
        <v>0</v>
      </c>
      <c r="BR1381" s="430">
        <f t="shared" si="3118"/>
        <v>0</v>
      </c>
      <c r="BS1381" s="430">
        <f t="shared" si="3119"/>
        <v>0</v>
      </c>
      <c r="BT1381" s="2587">
        <f t="shared" si="3120"/>
        <v>0</v>
      </c>
      <c r="BU1381" s="2840">
        <f t="shared" si="3121"/>
        <v>0</v>
      </c>
      <c r="BV1381" s="2840">
        <f t="shared" si="3121"/>
        <v>0</v>
      </c>
      <c r="BW1381" s="2840">
        <f t="shared" si="3122"/>
        <v>0</v>
      </c>
      <c r="BX1381" s="2840">
        <f t="shared" si="3123"/>
        <v>0</v>
      </c>
      <c r="BY1381" s="2587">
        <f t="shared" si="3124"/>
        <v>0</v>
      </c>
      <c r="BZ1381" s="2587">
        <f t="shared" ref="BZ1381:CA1383" si="3157">+BY1381</f>
        <v>0</v>
      </c>
      <c r="CA1381" s="2587">
        <f t="shared" si="3157"/>
        <v>0</v>
      </c>
      <c r="CB1381" s="481">
        <f t="shared" ref="CB1381:CF1383" si="3158">+CA1381</f>
        <v>0</v>
      </c>
      <c r="CC1381" s="481">
        <f t="shared" si="3158"/>
        <v>0</v>
      </c>
      <c r="CD1381" s="481">
        <f t="shared" si="3158"/>
        <v>0</v>
      </c>
      <c r="CE1381" s="481">
        <f t="shared" si="3158"/>
        <v>0</v>
      </c>
      <c r="CF1381" s="481">
        <f t="shared" si="3158"/>
        <v>0</v>
      </c>
      <c r="CG1381" s="331"/>
      <c r="CH1381" s="331"/>
      <c r="CI1381" s="331"/>
      <c r="CJ1381" s="331"/>
      <c r="CK1381" s="331"/>
      <c r="CL1381" s="995" t="str">
        <f t="shared" si="3126"/>
        <v>Senior secured facility - Revolver, due 7/2016</v>
      </c>
      <c r="CM1381" s="430">
        <f t="shared" si="3127"/>
        <v>0</v>
      </c>
      <c r="CN1381" s="430">
        <f t="shared" si="3128"/>
        <v>0</v>
      </c>
      <c r="CO1381" s="430">
        <f t="shared" si="3129"/>
        <v>0</v>
      </c>
      <c r="CP1381" s="430">
        <f t="shared" si="3130"/>
        <v>0</v>
      </c>
      <c r="CQ1381" s="430">
        <f t="shared" si="3131"/>
        <v>0</v>
      </c>
      <c r="CR1381" s="430">
        <f t="shared" si="3132"/>
        <v>0</v>
      </c>
      <c r="CS1381" s="430">
        <f t="shared" si="3133"/>
        <v>0</v>
      </c>
      <c r="CT1381" s="430">
        <f t="shared" si="3134"/>
        <v>287.04999999999995</v>
      </c>
      <c r="CU1381" s="430">
        <f t="shared" si="3135"/>
        <v>99.963000000000193</v>
      </c>
      <c r="CV1381" s="430">
        <f t="shared" si="3136"/>
        <v>0</v>
      </c>
      <c r="CW1381" s="430">
        <f t="shared" si="3137"/>
        <v>0</v>
      </c>
      <c r="CX1381" s="430">
        <f t="shared" si="3138"/>
        <v>0</v>
      </c>
      <c r="CY1381" s="430">
        <f t="shared" si="3139"/>
        <v>0</v>
      </c>
      <c r="CZ1381" s="430">
        <f t="shared" si="3140"/>
        <v>0</v>
      </c>
      <c r="DA1381" s="430">
        <f t="shared" si="3141"/>
        <v>0</v>
      </c>
      <c r="DB1381" s="430">
        <f t="shared" si="3142"/>
        <v>0</v>
      </c>
      <c r="DC1381" s="853">
        <f t="shared" si="3143"/>
        <v>0</v>
      </c>
      <c r="DD1381" s="331"/>
      <c r="DE1381" s="331"/>
      <c r="DF1381" s="502"/>
      <c r="DG1381" s="503"/>
      <c r="DH1381" s="2840"/>
      <c r="DI1381" s="3213"/>
      <c r="DJ1381" s="502"/>
      <c r="DK1381" s="503"/>
      <c r="DL1381" s="502"/>
      <c r="DM1381" s="502"/>
      <c r="DN1381" s="502"/>
      <c r="DO1381" s="502"/>
      <c r="DP1381" s="503"/>
      <c r="DQ1381" s="503"/>
      <c r="DR1381" s="296"/>
      <c r="DS1381" s="296"/>
      <c r="DT1381" s="296"/>
    </row>
    <row r="1382" spans="1:130" ht="12" hidden="1" customHeight="1" outlineLevel="1" x14ac:dyDescent="0.25">
      <c r="A1382" s="1950" t="s">
        <v>757</v>
      </c>
      <c r="B1382" s="607"/>
      <c r="C1382" s="612">
        <v>0</v>
      </c>
      <c r="D1382" s="612">
        <v>0</v>
      </c>
      <c r="E1382" s="612">
        <v>0</v>
      </c>
      <c r="F1382" s="612">
        <v>0</v>
      </c>
      <c r="G1382" s="481">
        <f t="shared" si="3144"/>
        <v>0</v>
      </c>
      <c r="H1382" s="612">
        <v>0</v>
      </c>
      <c r="I1382" s="612">
        <v>0</v>
      </c>
      <c r="J1382" s="612">
        <v>0</v>
      </c>
      <c r="K1382" s="612">
        <v>0</v>
      </c>
      <c r="L1382" s="484">
        <f t="shared" si="3145"/>
        <v>0</v>
      </c>
      <c r="M1382" s="612">
        <v>0</v>
      </c>
      <c r="N1382" s="612">
        <v>0</v>
      </c>
      <c r="O1382" s="612">
        <v>0</v>
      </c>
      <c r="P1382" s="612">
        <v>0</v>
      </c>
      <c r="Q1382" s="481">
        <f t="shared" si="3146"/>
        <v>0</v>
      </c>
      <c r="R1382" s="612">
        <v>0</v>
      </c>
      <c r="S1382" s="612">
        <v>0</v>
      </c>
      <c r="T1382" s="612">
        <v>0</v>
      </c>
      <c r="U1382" s="612">
        <v>0</v>
      </c>
      <c r="V1382" s="481">
        <f t="shared" si="3147"/>
        <v>0</v>
      </c>
      <c r="W1382" s="612">
        <v>0</v>
      </c>
      <c r="X1382" s="612">
        <v>0</v>
      </c>
      <c r="Y1382" s="612">
        <v>0</v>
      </c>
      <c r="Z1382" s="612">
        <v>0</v>
      </c>
      <c r="AA1382" s="481">
        <f t="shared" si="3148"/>
        <v>0</v>
      </c>
      <c r="AB1382" s="612">
        <v>0</v>
      </c>
      <c r="AC1382" s="612">
        <v>0</v>
      </c>
      <c r="AD1382" s="612">
        <v>0</v>
      </c>
      <c r="AE1382" s="612">
        <v>0</v>
      </c>
      <c r="AF1382" s="481">
        <f t="shared" si="3149"/>
        <v>0</v>
      </c>
      <c r="AG1382" s="612">
        <v>0</v>
      </c>
      <c r="AH1382" s="612">
        <v>0</v>
      </c>
      <c r="AI1382" s="612">
        <v>0</v>
      </c>
      <c r="AJ1382" s="612">
        <v>0</v>
      </c>
      <c r="AK1382" s="481">
        <f t="shared" si="3150"/>
        <v>0</v>
      </c>
      <c r="AL1382" s="612">
        <v>0</v>
      </c>
      <c r="AM1382" s="612">
        <v>0</v>
      </c>
      <c r="AN1382" s="612">
        <v>691.3</v>
      </c>
      <c r="AO1382" s="612">
        <v>682.5</v>
      </c>
      <c r="AP1382" s="483">
        <f t="shared" si="3151"/>
        <v>682.5</v>
      </c>
      <c r="AQ1382" s="1676">
        <v>673.7</v>
      </c>
      <c r="AR1382" s="482">
        <v>665</v>
      </c>
      <c r="AS1382" s="482">
        <v>656.3</v>
      </c>
      <c r="AT1382" s="612">
        <v>1042.5</v>
      </c>
      <c r="AU1382" s="481">
        <f t="shared" si="3152"/>
        <v>1042.5</v>
      </c>
      <c r="AV1382" s="612">
        <f>1028.8-0.05</f>
        <v>1028.75</v>
      </c>
      <c r="AW1382" s="482">
        <v>1015</v>
      </c>
      <c r="AX1382" s="482">
        <v>994.4</v>
      </c>
      <c r="AY1382" s="612">
        <v>0</v>
      </c>
      <c r="AZ1382" s="481">
        <f t="shared" si="3108"/>
        <v>0</v>
      </c>
      <c r="BA1382" s="483">
        <f t="shared" si="3153"/>
        <v>0</v>
      </c>
      <c r="BB1382" s="430">
        <f t="shared" si="3109"/>
        <v>0</v>
      </c>
      <c r="BC1382" s="430">
        <f t="shared" si="3109"/>
        <v>0</v>
      </c>
      <c r="BD1382" s="853">
        <f t="shared" si="3154"/>
        <v>0</v>
      </c>
      <c r="BE1382" s="481">
        <f t="shared" si="3110"/>
        <v>0</v>
      </c>
      <c r="BF1382" s="430">
        <f t="shared" si="3154"/>
        <v>0</v>
      </c>
      <c r="BG1382" s="430">
        <f t="shared" si="3111"/>
        <v>0</v>
      </c>
      <c r="BH1382" s="430">
        <f t="shared" si="3111"/>
        <v>0</v>
      </c>
      <c r="BI1382" s="853">
        <f t="shared" si="3155"/>
        <v>0</v>
      </c>
      <c r="BJ1382" s="481">
        <f t="shared" si="3112"/>
        <v>0</v>
      </c>
      <c r="BK1382" s="2675">
        <v>0</v>
      </c>
      <c r="BL1382" s="2675">
        <v>0</v>
      </c>
      <c r="BM1382" s="430">
        <f t="shared" si="3113"/>
        <v>0</v>
      </c>
      <c r="BN1382" s="853">
        <f t="shared" si="3114"/>
        <v>0</v>
      </c>
      <c r="BO1382" s="481">
        <f t="shared" si="3115"/>
        <v>0</v>
      </c>
      <c r="BP1382" s="430">
        <f t="shared" si="3116"/>
        <v>0</v>
      </c>
      <c r="BQ1382" s="430">
        <f t="shared" si="3117"/>
        <v>0</v>
      </c>
      <c r="BR1382" s="430">
        <f t="shared" si="3118"/>
        <v>0</v>
      </c>
      <c r="BS1382" s="430">
        <f t="shared" si="3119"/>
        <v>0</v>
      </c>
      <c r="BT1382" s="2587">
        <f t="shared" si="3120"/>
        <v>0</v>
      </c>
      <c r="BU1382" s="2840">
        <f t="shared" si="3121"/>
        <v>0</v>
      </c>
      <c r="BV1382" s="2840">
        <f t="shared" si="3121"/>
        <v>0</v>
      </c>
      <c r="BW1382" s="2840">
        <f t="shared" si="3122"/>
        <v>0</v>
      </c>
      <c r="BX1382" s="2840">
        <f t="shared" si="3123"/>
        <v>0</v>
      </c>
      <c r="BY1382" s="2587">
        <f t="shared" si="3124"/>
        <v>0</v>
      </c>
      <c r="BZ1382" s="2587">
        <f t="shared" si="3157"/>
        <v>0</v>
      </c>
      <c r="CA1382" s="2587">
        <f t="shared" si="3157"/>
        <v>0</v>
      </c>
      <c r="CB1382" s="481">
        <f t="shared" si="3158"/>
        <v>0</v>
      </c>
      <c r="CC1382" s="481">
        <f t="shared" si="3158"/>
        <v>0</v>
      </c>
      <c r="CD1382" s="481">
        <f t="shared" si="3158"/>
        <v>0</v>
      </c>
      <c r="CE1382" s="481">
        <f t="shared" si="3158"/>
        <v>0</v>
      </c>
      <c r="CF1382" s="481">
        <f t="shared" si="3158"/>
        <v>0</v>
      </c>
      <c r="CG1382" s="331"/>
      <c r="CH1382" s="331"/>
      <c r="CI1382" s="331"/>
      <c r="CJ1382" s="331"/>
      <c r="CK1382" s="331"/>
      <c r="CL1382" s="2039" t="str">
        <f t="shared" si="3126"/>
        <v>Senior secured facility - Term Loan A, due 7/2016</v>
      </c>
      <c r="CM1382" s="430">
        <f t="shared" si="3127"/>
        <v>0</v>
      </c>
      <c r="CN1382" s="430">
        <f t="shared" si="3128"/>
        <v>0</v>
      </c>
      <c r="CO1382" s="430">
        <f t="shared" si="3129"/>
        <v>0</v>
      </c>
      <c r="CP1382" s="430">
        <f t="shared" si="3130"/>
        <v>0</v>
      </c>
      <c r="CQ1382" s="430">
        <f t="shared" si="3131"/>
        <v>0</v>
      </c>
      <c r="CR1382" s="430">
        <f t="shared" si="3132"/>
        <v>0</v>
      </c>
      <c r="CS1382" s="430">
        <f t="shared" si="3133"/>
        <v>0</v>
      </c>
      <c r="CT1382" s="430">
        <f t="shared" si="3134"/>
        <v>682.5</v>
      </c>
      <c r="CU1382" s="430">
        <f t="shared" si="3135"/>
        <v>1042.5</v>
      </c>
      <c r="CV1382" s="430">
        <f t="shared" si="3136"/>
        <v>0</v>
      </c>
      <c r="CW1382" s="430">
        <f t="shared" si="3137"/>
        <v>0</v>
      </c>
      <c r="CX1382" s="430">
        <f t="shared" si="3138"/>
        <v>0</v>
      </c>
      <c r="CY1382" s="430">
        <f t="shared" si="3139"/>
        <v>0</v>
      </c>
      <c r="CZ1382" s="430">
        <f t="shared" si="3140"/>
        <v>0</v>
      </c>
      <c r="DA1382" s="430">
        <f t="shared" si="3141"/>
        <v>0</v>
      </c>
      <c r="DB1382" s="430">
        <f t="shared" si="3142"/>
        <v>0</v>
      </c>
      <c r="DC1382" s="853">
        <f t="shared" si="3143"/>
        <v>0</v>
      </c>
      <c r="DD1382" s="331"/>
      <c r="DE1382" s="331"/>
      <c r="DF1382" s="502"/>
      <c r="DG1382" s="503"/>
      <c r="DH1382" s="2840"/>
      <c r="DI1382" s="3213"/>
      <c r="DJ1382" s="502"/>
      <c r="DK1382" s="503"/>
      <c r="DL1382" s="502"/>
      <c r="DM1382" s="502"/>
      <c r="DN1382" s="502"/>
      <c r="DO1382" s="502"/>
      <c r="DP1382" s="503"/>
      <c r="DQ1382" s="503"/>
      <c r="DR1382" s="296"/>
      <c r="DS1382" s="296"/>
      <c r="DT1382" s="296"/>
    </row>
    <row r="1383" spans="1:130" ht="12" hidden="1" customHeight="1" outlineLevel="1" x14ac:dyDescent="0.25">
      <c r="A1383" s="1950" t="s">
        <v>1783</v>
      </c>
      <c r="B1383" s="607"/>
      <c r="C1383" s="612">
        <v>0</v>
      </c>
      <c r="D1383" s="612">
        <v>0</v>
      </c>
      <c r="E1383" s="612">
        <v>0</v>
      </c>
      <c r="F1383" s="612">
        <v>0</v>
      </c>
      <c r="G1383" s="481">
        <f t="shared" si="3144"/>
        <v>0</v>
      </c>
      <c r="H1383" s="612">
        <v>0</v>
      </c>
      <c r="I1383" s="612">
        <v>0</v>
      </c>
      <c r="J1383" s="612">
        <v>0</v>
      </c>
      <c r="K1383" s="612">
        <v>0</v>
      </c>
      <c r="L1383" s="484">
        <f t="shared" si="3145"/>
        <v>0</v>
      </c>
      <c r="M1383" s="612">
        <v>0</v>
      </c>
      <c r="N1383" s="612">
        <v>0</v>
      </c>
      <c r="O1383" s="612">
        <v>0</v>
      </c>
      <c r="P1383" s="612">
        <v>0</v>
      </c>
      <c r="Q1383" s="481">
        <f t="shared" si="3146"/>
        <v>0</v>
      </c>
      <c r="R1383" s="612">
        <v>0</v>
      </c>
      <c r="S1383" s="612">
        <v>0</v>
      </c>
      <c r="T1383" s="612">
        <v>0</v>
      </c>
      <c r="U1383" s="612">
        <v>0</v>
      </c>
      <c r="V1383" s="481">
        <f t="shared" si="3147"/>
        <v>0</v>
      </c>
      <c r="W1383" s="612">
        <v>0</v>
      </c>
      <c r="X1383" s="612">
        <v>0</v>
      </c>
      <c r="Y1383" s="612">
        <v>0</v>
      </c>
      <c r="Z1383" s="612">
        <v>0</v>
      </c>
      <c r="AA1383" s="481">
        <f t="shared" si="3148"/>
        <v>0</v>
      </c>
      <c r="AB1383" s="612">
        <v>0</v>
      </c>
      <c r="AC1383" s="612">
        <v>0</v>
      </c>
      <c r="AD1383" s="612">
        <v>0</v>
      </c>
      <c r="AE1383" s="612">
        <v>0</v>
      </c>
      <c r="AF1383" s="481">
        <f t="shared" si="3149"/>
        <v>0</v>
      </c>
      <c r="AG1383" s="612">
        <v>0</v>
      </c>
      <c r="AH1383" s="612">
        <v>0</v>
      </c>
      <c r="AI1383" s="612">
        <v>0</v>
      </c>
      <c r="AJ1383" s="612">
        <v>0</v>
      </c>
      <c r="AK1383" s="481">
        <f t="shared" si="3150"/>
        <v>0</v>
      </c>
      <c r="AL1383" s="612">
        <v>0</v>
      </c>
      <c r="AM1383" s="612">
        <v>0</v>
      </c>
      <c r="AN1383" s="612">
        <v>748.1</v>
      </c>
      <c r="AO1383" s="612">
        <v>746.2</v>
      </c>
      <c r="AP1383" s="483">
        <f t="shared" si="3151"/>
        <v>746.2</v>
      </c>
      <c r="AQ1383" s="1676">
        <v>744.4</v>
      </c>
      <c r="AR1383" s="482">
        <v>742.5</v>
      </c>
      <c r="AS1383" s="482">
        <v>740.6</v>
      </c>
      <c r="AT1383" s="612">
        <v>1252.5</v>
      </c>
      <c r="AU1383" s="481">
        <f t="shared" si="3152"/>
        <v>1252.5</v>
      </c>
      <c r="AV1383" s="612">
        <v>1249.3</v>
      </c>
      <c r="AW1383" s="482">
        <f>2139.3-AW1382</f>
        <v>1124.3000000000002</v>
      </c>
      <c r="AX1383" s="482">
        <f>2063.675-AX1382</f>
        <v>1069.2750000000001</v>
      </c>
      <c r="AY1383" s="612">
        <v>0</v>
      </c>
      <c r="AZ1383" s="481">
        <f t="shared" si="3108"/>
        <v>0</v>
      </c>
      <c r="BA1383" s="483">
        <f t="shared" si="3153"/>
        <v>0</v>
      </c>
      <c r="BB1383" s="430">
        <f t="shared" si="3109"/>
        <v>0</v>
      </c>
      <c r="BC1383" s="430">
        <f t="shared" si="3109"/>
        <v>0</v>
      </c>
      <c r="BD1383" s="853">
        <f t="shared" si="3154"/>
        <v>0</v>
      </c>
      <c r="BE1383" s="481">
        <f t="shared" si="3110"/>
        <v>0</v>
      </c>
      <c r="BF1383" s="430">
        <f t="shared" si="3154"/>
        <v>0</v>
      </c>
      <c r="BG1383" s="430">
        <f t="shared" si="3111"/>
        <v>0</v>
      </c>
      <c r="BH1383" s="430">
        <f t="shared" si="3111"/>
        <v>0</v>
      </c>
      <c r="BI1383" s="853">
        <f t="shared" si="3155"/>
        <v>0</v>
      </c>
      <c r="BJ1383" s="481">
        <f t="shared" si="3112"/>
        <v>0</v>
      </c>
      <c r="BK1383" s="2675">
        <v>0</v>
      </c>
      <c r="BL1383" s="2675">
        <v>0</v>
      </c>
      <c r="BM1383" s="430">
        <f t="shared" si="3113"/>
        <v>0</v>
      </c>
      <c r="BN1383" s="853">
        <f t="shared" si="3114"/>
        <v>0</v>
      </c>
      <c r="BO1383" s="481">
        <f t="shared" si="3115"/>
        <v>0</v>
      </c>
      <c r="BP1383" s="430">
        <f t="shared" si="3116"/>
        <v>0</v>
      </c>
      <c r="BQ1383" s="430">
        <f t="shared" si="3117"/>
        <v>0</v>
      </c>
      <c r="BR1383" s="430">
        <f t="shared" si="3118"/>
        <v>0</v>
      </c>
      <c r="BS1383" s="430">
        <f t="shared" si="3119"/>
        <v>0</v>
      </c>
      <c r="BT1383" s="2587">
        <f t="shared" si="3120"/>
        <v>0</v>
      </c>
      <c r="BU1383" s="2840">
        <f t="shared" si="3121"/>
        <v>0</v>
      </c>
      <c r="BV1383" s="2840">
        <f t="shared" si="3121"/>
        <v>0</v>
      </c>
      <c r="BW1383" s="2840">
        <f t="shared" si="3122"/>
        <v>0</v>
      </c>
      <c r="BX1383" s="2840">
        <f t="shared" si="3123"/>
        <v>0</v>
      </c>
      <c r="BY1383" s="2587">
        <f t="shared" si="3124"/>
        <v>0</v>
      </c>
      <c r="BZ1383" s="2587">
        <f t="shared" si="3157"/>
        <v>0</v>
      </c>
      <c r="CA1383" s="2587">
        <f t="shared" si="3157"/>
        <v>0</v>
      </c>
      <c r="CB1383" s="481">
        <f t="shared" si="3158"/>
        <v>0</v>
      </c>
      <c r="CC1383" s="481">
        <f t="shared" si="3158"/>
        <v>0</v>
      </c>
      <c r="CD1383" s="481">
        <f t="shared" si="3158"/>
        <v>0</v>
      </c>
      <c r="CE1383" s="481">
        <f t="shared" si="3158"/>
        <v>0</v>
      </c>
      <c r="CF1383" s="481">
        <f t="shared" si="3158"/>
        <v>0</v>
      </c>
      <c r="CG1383" s="331"/>
      <c r="CH1383" s="331"/>
      <c r="CI1383" s="331"/>
      <c r="CJ1383" s="331"/>
      <c r="CK1383" s="331"/>
      <c r="CL1383" s="2039" t="str">
        <f t="shared" si="3126"/>
        <v>Senior secured facility - Term Loan B, due 7/2018</v>
      </c>
      <c r="CM1383" s="430">
        <f t="shared" si="3127"/>
        <v>0</v>
      </c>
      <c r="CN1383" s="430">
        <f t="shared" si="3128"/>
        <v>0</v>
      </c>
      <c r="CO1383" s="430">
        <f t="shared" si="3129"/>
        <v>0</v>
      </c>
      <c r="CP1383" s="430">
        <f t="shared" si="3130"/>
        <v>0</v>
      </c>
      <c r="CQ1383" s="430">
        <f t="shared" si="3131"/>
        <v>0</v>
      </c>
      <c r="CR1383" s="430">
        <f t="shared" si="3132"/>
        <v>0</v>
      </c>
      <c r="CS1383" s="430">
        <f t="shared" si="3133"/>
        <v>0</v>
      </c>
      <c r="CT1383" s="430">
        <f t="shared" si="3134"/>
        <v>746.2</v>
      </c>
      <c r="CU1383" s="430">
        <f t="shared" si="3135"/>
        <v>1252.5</v>
      </c>
      <c r="CV1383" s="430">
        <f t="shared" si="3136"/>
        <v>0</v>
      </c>
      <c r="CW1383" s="430">
        <f t="shared" si="3137"/>
        <v>0</v>
      </c>
      <c r="CX1383" s="430">
        <f t="shared" si="3138"/>
        <v>0</v>
      </c>
      <c r="CY1383" s="430">
        <f t="shared" si="3139"/>
        <v>0</v>
      </c>
      <c r="CZ1383" s="430">
        <f t="shared" si="3140"/>
        <v>0</v>
      </c>
      <c r="DA1383" s="430">
        <f t="shared" si="3141"/>
        <v>0</v>
      </c>
      <c r="DB1383" s="430">
        <f t="shared" si="3142"/>
        <v>0</v>
      </c>
      <c r="DC1383" s="853">
        <f t="shared" si="3143"/>
        <v>0</v>
      </c>
      <c r="DD1383" s="331"/>
      <c r="DE1383" s="331"/>
      <c r="DF1383" s="502"/>
      <c r="DG1383" s="503"/>
      <c r="DH1383" s="2840"/>
      <c r="DI1383" s="3213"/>
      <c r="DJ1383" s="502"/>
      <c r="DK1383" s="503"/>
      <c r="DL1383" s="502"/>
      <c r="DM1383" s="502"/>
      <c r="DN1383" s="502"/>
      <c r="DO1383" s="502"/>
      <c r="DP1383" s="503"/>
      <c r="DQ1383" s="503"/>
      <c r="DR1383" s="296"/>
      <c r="DS1383" s="296"/>
      <c r="DT1383" s="296"/>
    </row>
    <row r="1384" spans="1:130" ht="12" hidden="1" customHeight="1" outlineLevel="1" x14ac:dyDescent="0.25">
      <c r="A1384" s="1950" t="s">
        <v>1228</v>
      </c>
      <c r="B1384" s="607">
        <v>200</v>
      </c>
      <c r="C1384" s="612">
        <v>200</v>
      </c>
      <c r="D1384" s="612">
        <v>200</v>
      </c>
      <c r="E1384" s="612">
        <v>200</v>
      </c>
      <c r="F1384" s="612">
        <v>200</v>
      </c>
      <c r="G1384" s="481">
        <f t="shared" si="3144"/>
        <v>200</v>
      </c>
      <c r="H1384" s="612">
        <v>200</v>
      </c>
      <c r="I1384" s="612">
        <v>200</v>
      </c>
      <c r="J1384" s="612">
        <v>200</v>
      </c>
      <c r="K1384" s="612">
        <v>200</v>
      </c>
      <c r="L1384" s="481">
        <f t="shared" si="3145"/>
        <v>200</v>
      </c>
      <c r="M1384" s="612">
        <v>200</v>
      </c>
      <c r="N1384" s="612">
        <v>200</v>
      </c>
      <c r="O1384" s="612">
        <v>200</v>
      </c>
      <c r="P1384" s="612">
        <v>200</v>
      </c>
      <c r="Q1384" s="481">
        <f t="shared" si="3146"/>
        <v>200</v>
      </c>
      <c r="R1384" s="612">
        <v>200</v>
      </c>
      <c r="S1384" s="612">
        <v>200</v>
      </c>
      <c r="T1384" s="612">
        <v>200</v>
      </c>
      <c r="U1384" s="612">
        <v>200</v>
      </c>
      <c r="V1384" s="481">
        <f t="shared" si="3147"/>
        <v>200</v>
      </c>
      <c r="W1384" s="612">
        <v>200</v>
      </c>
      <c r="X1384" s="612">
        <v>200</v>
      </c>
      <c r="Y1384" s="612">
        <v>200</v>
      </c>
      <c r="Z1384" s="612">
        <v>200</v>
      </c>
      <c r="AA1384" s="481">
        <f t="shared" si="3148"/>
        <v>200</v>
      </c>
      <c r="AB1384" s="612">
        <v>200</v>
      </c>
      <c r="AC1384" s="612">
        <v>200</v>
      </c>
      <c r="AD1384" s="612">
        <v>105.536</v>
      </c>
      <c r="AE1384" s="612">
        <v>0</v>
      </c>
      <c r="AF1384" s="481">
        <f t="shared" si="3149"/>
        <v>0</v>
      </c>
      <c r="AG1384" s="612">
        <v>0</v>
      </c>
      <c r="AH1384" s="612">
        <v>0</v>
      </c>
      <c r="AI1384" s="612">
        <v>0</v>
      </c>
      <c r="AJ1384" s="612">
        <v>0</v>
      </c>
      <c r="AK1384" s="481">
        <f t="shared" si="3150"/>
        <v>0</v>
      </c>
      <c r="AL1384" s="612">
        <v>0</v>
      </c>
      <c r="AM1384" s="612">
        <v>0</v>
      </c>
      <c r="AN1384" s="612">
        <v>0</v>
      </c>
      <c r="AO1384" s="612">
        <v>0</v>
      </c>
      <c r="AP1384" s="483">
        <f t="shared" si="3151"/>
        <v>0</v>
      </c>
      <c r="AQ1384" s="1676">
        <v>0</v>
      </c>
      <c r="AR1384" s="482">
        <v>0</v>
      </c>
      <c r="AS1384" s="482">
        <v>0</v>
      </c>
      <c r="AT1384" s="612">
        <v>0</v>
      </c>
      <c r="AU1384" s="481">
        <f t="shared" si="3152"/>
        <v>0</v>
      </c>
      <c r="AV1384" s="612">
        <v>0</v>
      </c>
      <c r="AW1384" s="482">
        <v>0</v>
      </c>
      <c r="AX1384" s="482">
        <v>0</v>
      </c>
      <c r="AY1384" s="612">
        <v>0</v>
      </c>
      <c r="AZ1384" s="481">
        <f t="shared" si="3108"/>
        <v>0</v>
      </c>
      <c r="BA1384" s="483">
        <f t="shared" ref="BA1384:BC1386" si="3159">AZ1384</f>
        <v>0</v>
      </c>
      <c r="BB1384" s="430">
        <f t="shared" si="3159"/>
        <v>0</v>
      </c>
      <c r="BC1384" s="430">
        <f t="shared" si="3159"/>
        <v>0</v>
      </c>
      <c r="BD1384" s="853">
        <f t="shared" si="3154"/>
        <v>0</v>
      </c>
      <c r="BE1384" s="481">
        <f t="shared" si="3110"/>
        <v>0</v>
      </c>
      <c r="BF1384" s="430">
        <f t="shared" si="3154"/>
        <v>0</v>
      </c>
      <c r="BG1384" s="430">
        <f t="shared" si="3111"/>
        <v>0</v>
      </c>
      <c r="BH1384" s="430">
        <f t="shared" si="3111"/>
        <v>0</v>
      </c>
      <c r="BI1384" s="853">
        <f t="shared" si="3155"/>
        <v>0</v>
      </c>
      <c r="BJ1384" s="481">
        <f t="shared" si="3112"/>
        <v>0</v>
      </c>
      <c r="BK1384" s="2675">
        <v>0</v>
      </c>
      <c r="BL1384" s="2675">
        <v>0</v>
      </c>
      <c r="BM1384" s="430">
        <f t="shared" si="3113"/>
        <v>0</v>
      </c>
      <c r="BN1384" s="853">
        <f t="shared" si="3114"/>
        <v>0</v>
      </c>
      <c r="BO1384" s="481">
        <f t="shared" si="3115"/>
        <v>0</v>
      </c>
      <c r="BP1384" s="430">
        <f t="shared" si="3116"/>
        <v>0</v>
      </c>
      <c r="BQ1384" s="430">
        <f t="shared" si="3117"/>
        <v>0</v>
      </c>
      <c r="BR1384" s="430">
        <f t="shared" si="3118"/>
        <v>0</v>
      </c>
      <c r="BS1384" s="430">
        <f t="shared" si="3119"/>
        <v>0</v>
      </c>
      <c r="BT1384" s="2587">
        <f t="shared" si="3120"/>
        <v>0</v>
      </c>
      <c r="BU1384" s="2840">
        <f t="shared" si="3121"/>
        <v>0</v>
      </c>
      <c r="BV1384" s="2840">
        <f t="shared" si="3121"/>
        <v>0</v>
      </c>
      <c r="BW1384" s="2840">
        <f t="shared" si="3122"/>
        <v>0</v>
      </c>
      <c r="BX1384" s="2840">
        <f t="shared" si="3123"/>
        <v>0</v>
      </c>
      <c r="BY1384" s="2587">
        <f t="shared" si="3124"/>
        <v>0</v>
      </c>
      <c r="BZ1384" s="2587">
        <f t="shared" ref="BZ1384:CA1391" si="3160">BY1384</f>
        <v>0</v>
      </c>
      <c r="CA1384" s="2587">
        <f t="shared" si="3160"/>
        <v>0</v>
      </c>
      <c r="CB1384" s="481">
        <f t="shared" ref="CB1384:CF1387" si="3161">CA1384</f>
        <v>0</v>
      </c>
      <c r="CC1384" s="481">
        <f t="shared" si="3161"/>
        <v>0</v>
      </c>
      <c r="CD1384" s="481">
        <f t="shared" si="3161"/>
        <v>0</v>
      </c>
      <c r="CE1384" s="481">
        <f t="shared" si="3161"/>
        <v>0</v>
      </c>
      <c r="CF1384" s="481">
        <f t="shared" si="3161"/>
        <v>0</v>
      </c>
      <c r="CG1384" s="331"/>
      <c r="CH1384" s="331"/>
      <c r="CI1384" s="331"/>
      <c r="CJ1384" s="331"/>
      <c r="CK1384" s="331"/>
      <c r="CL1384" s="2039" t="str">
        <f t="shared" si="3126"/>
        <v>$200 million 6 7/8% Sr Sub Notes, due 2011</v>
      </c>
      <c r="CM1384" s="430">
        <f t="shared" si="3127"/>
        <v>200</v>
      </c>
      <c r="CN1384" s="430">
        <f t="shared" si="3128"/>
        <v>200</v>
      </c>
      <c r="CO1384" s="430">
        <f t="shared" si="3129"/>
        <v>200</v>
      </c>
      <c r="CP1384" s="430">
        <f t="shared" si="3130"/>
        <v>200</v>
      </c>
      <c r="CQ1384" s="430">
        <f t="shared" si="3131"/>
        <v>200</v>
      </c>
      <c r="CR1384" s="430">
        <f t="shared" si="3132"/>
        <v>0</v>
      </c>
      <c r="CS1384" s="430">
        <f t="shared" si="3133"/>
        <v>0</v>
      </c>
      <c r="CT1384" s="430">
        <f t="shared" si="3134"/>
        <v>0</v>
      </c>
      <c r="CU1384" s="430">
        <f t="shared" si="3135"/>
        <v>0</v>
      </c>
      <c r="CV1384" s="430">
        <f t="shared" si="3136"/>
        <v>0</v>
      </c>
      <c r="CW1384" s="430">
        <f t="shared" si="3137"/>
        <v>0</v>
      </c>
      <c r="CX1384" s="430">
        <f t="shared" si="3138"/>
        <v>0</v>
      </c>
      <c r="CY1384" s="430">
        <f t="shared" si="3139"/>
        <v>0</v>
      </c>
      <c r="CZ1384" s="430">
        <f t="shared" si="3140"/>
        <v>0</v>
      </c>
      <c r="DA1384" s="430">
        <f t="shared" si="3141"/>
        <v>0</v>
      </c>
      <c r="DB1384" s="430">
        <f t="shared" si="3142"/>
        <v>0</v>
      </c>
      <c r="DC1384" s="853">
        <f t="shared" si="3143"/>
        <v>0</v>
      </c>
      <c r="DD1384" s="331"/>
      <c r="DE1384" s="331"/>
      <c r="DF1384" s="502"/>
      <c r="DG1384" s="503"/>
      <c r="DH1384" s="2840"/>
      <c r="DI1384" s="3213"/>
      <c r="DJ1384" s="502"/>
      <c r="DK1384" s="503"/>
      <c r="DL1384" s="502"/>
      <c r="DM1384" s="502"/>
      <c r="DN1384" s="502"/>
      <c r="DO1384" s="502"/>
      <c r="DP1384" s="503"/>
      <c r="DQ1384" s="503"/>
      <c r="DR1384" s="296"/>
      <c r="DS1384" s="296"/>
      <c r="DT1384" s="296"/>
    </row>
    <row r="1385" spans="1:130" ht="12" hidden="1" customHeight="1" outlineLevel="1" x14ac:dyDescent="0.25">
      <c r="A1385" s="1950" t="s">
        <v>1636</v>
      </c>
      <c r="B1385" s="607">
        <v>0</v>
      </c>
      <c r="C1385" s="612">
        <v>0</v>
      </c>
      <c r="D1385" s="612">
        <v>0</v>
      </c>
      <c r="E1385" s="612">
        <v>0</v>
      </c>
      <c r="F1385" s="612">
        <v>0</v>
      </c>
      <c r="G1385" s="481">
        <f t="shared" si="3144"/>
        <v>0</v>
      </c>
      <c r="H1385" s="612">
        <v>250</v>
      </c>
      <c r="I1385" s="612">
        <v>250</v>
      </c>
      <c r="J1385" s="612">
        <v>250</v>
      </c>
      <c r="K1385" s="612">
        <v>250</v>
      </c>
      <c r="L1385" s="481">
        <f t="shared" si="3145"/>
        <v>250</v>
      </c>
      <c r="M1385" s="612">
        <v>250</v>
      </c>
      <c r="N1385" s="612">
        <v>250</v>
      </c>
      <c r="O1385" s="612">
        <v>250</v>
      </c>
      <c r="P1385" s="612">
        <v>250</v>
      </c>
      <c r="Q1385" s="481">
        <f t="shared" si="3146"/>
        <v>250</v>
      </c>
      <c r="R1385" s="612">
        <v>250</v>
      </c>
      <c r="S1385" s="612">
        <v>250</v>
      </c>
      <c r="T1385" s="612">
        <v>250</v>
      </c>
      <c r="U1385" s="612">
        <v>250</v>
      </c>
      <c r="V1385" s="481">
        <f t="shared" si="3147"/>
        <v>250</v>
      </c>
      <c r="W1385" s="612">
        <v>250</v>
      </c>
      <c r="X1385" s="612">
        <v>250</v>
      </c>
      <c r="Y1385" s="612">
        <v>250</v>
      </c>
      <c r="Z1385" s="612">
        <v>250</v>
      </c>
      <c r="AA1385" s="481">
        <f t="shared" si="3148"/>
        <v>250</v>
      </c>
      <c r="AB1385" s="612">
        <v>250</v>
      </c>
      <c r="AC1385" s="612">
        <v>250</v>
      </c>
      <c r="AD1385" s="612">
        <v>250</v>
      </c>
      <c r="AE1385" s="612">
        <v>250</v>
      </c>
      <c r="AF1385" s="481">
        <f t="shared" si="3149"/>
        <v>250</v>
      </c>
      <c r="AG1385" s="612">
        <v>250</v>
      </c>
      <c r="AH1385" s="612">
        <v>250</v>
      </c>
      <c r="AI1385" s="612">
        <v>250</v>
      </c>
      <c r="AJ1385" s="612">
        <v>250</v>
      </c>
      <c r="AK1385" s="481">
        <f t="shared" si="3150"/>
        <v>250</v>
      </c>
      <c r="AL1385" s="612">
        <v>250</v>
      </c>
      <c r="AM1385" s="612">
        <v>250</v>
      </c>
      <c r="AN1385" s="612">
        <v>0</v>
      </c>
      <c r="AO1385" s="612">
        <v>0</v>
      </c>
      <c r="AP1385" s="483">
        <f t="shared" si="3151"/>
        <v>0</v>
      </c>
      <c r="AQ1385" s="1676">
        <v>0</v>
      </c>
      <c r="AR1385" s="482">
        <v>0</v>
      </c>
      <c r="AS1385" s="482">
        <v>0</v>
      </c>
      <c r="AT1385" s="612">
        <v>0</v>
      </c>
      <c r="AU1385" s="481">
        <f t="shared" si="3152"/>
        <v>0</v>
      </c>
      <c r="AV1385" s="612">
        <v>0</v>
      </c>
      <c r="AW1385" s="482">
        <v>0</v>
      </c>
      <c r="AX1385" s="482">
        <v>0</v>
      </c>
      <c r="AY1385" s="612">
        <v>0</v>
      </c>
      <c r="AZ1385" s="481">
        <f t="shared" si="3108"/>
        <v>0</v>
      </c>
      <c r="BA1385" s="483">
        <f t="shared" si="3159"/>
        <v>0</v>
      </c>
      <c r="BB1385" s="430">
        <f t="shared" si="3159"/>
        <v>0</v>
      </c>
      <c r="BC1385" s="430">
        <f t="shared" si="3159"/>
        <v>0</v>
      </c>
      <c r="BD1385" s="853">
        <f t="shared" si="3154"/>
        <v>0</v>
      </c>
      <c r="BE1385" s="481">
        <f t="shared" si="3110"/>
        <v>0</v>
      </c>
      <c r="BF1385" s="430">
        <f t="shared" si="3154"/>
        <v>0</v>
      </c>
      <c r="BG1385" s="430">
        <f t="shared" si="3111"/>
        <v>0</v>
      </c>
      <c r="BH1385" s="430">
        <f t="shared" si="3111"/>
        <v>0</v>
      </c>
      <c r="BI1385" s="853">
        <f t="shared" si="3155"/>
        <v>0</v>
      </c>
      <c r="BJ1385" s="481">
        <f t="shared" si="3112"/>
        <v>0</v>
      </c>
      <c r="BK1385" s="2675">
        <v>0</v>
      </c>
      <c r="BL1385" s="2675">
        <v>0</v>
      </c>
      <c r="BM1385" s="430">
        <f t="shared" si="3113"/>
        <v>0</v>
      </c>
      <c r="BN1385" s="853">
        <f t="shared" si="3114"/>
        <v>0</v>
      </c>
      <c r="BO1385" s="481">
        <f t="shared" si="3115"/>
        <v>0</v>
      </c>
      <c r="BP1385" s="430">
        <f t="shared" si="3116"/>
        <v>0</v>
      </c>
      <c r="BQ1385" s="430">
        <f t="shared" si="3117"/>
        <v>0</v>
      </c>
      <c r="BR1385" s="430">
        <f t="shared" si="3118"/>
        <v>0</v>
      </c>
      <c r="BS1385" s="430">
        <f t="shared" si="3119"/>
        <v>0</v>
      </c>
      <c r="BT1385" s="2587">
        <f t="shared" si="3120"/>
        <v>0</v>
      </c>
      <c r="BU1385" s="2840">
        <f t="shared" si="3121"/>
        <v>0</v>
      </c>
      <c r="BV1385" s="2840">
        <f t="shared" si="3121"/>
        <v>0</v>
      </c>
      <c r="BW1385" s="2840">
        <f t="shared" si="3122"/>
        <v>0</v>
      </c>
      <c r="BX1385" s="2840">
        <f t="shared" si="3123"/>
        <v>0</v>
      </c>
      <c r="BY1385" s="2587">
        <f t="shared" si="3124"/>
        <v>0</v>
      </c>
      <c r="BZ1385" s="2587">
        <f t="shared" si="3160"/>
        <v>0</v>
      </c>
      <c r="CA1385" s="2587">
        <f t="shared" si="3160"/>
        <v>0</v>
      </c>
      <c r="CB1385" s="481">
        <f t="shared" si="3161"/>
        <v>0</v>
      </c>
      <c r="CC1385" s="481">
        <f t="shared" si="3161"/>
        <v>0</v>
      </c>
      <c r="CD1385" s="481">
        <f t="shared" si="3161"/>
        <v>0</v>
      </c>
      <c r="CE1385" s="481">
        <f t="shared" si="3161"/>
        <v>0</v>
      </c>
      <c r="CF1385" s="481">
        <f t="shared" si="3161"/>
        <v>0</v>
      </c>
      <c r="CG1385" s="331"/>
      <c r="CH1385" s="331"/>
      <c r="CI1385" s="331"/>
      <c r="CJ1385" s="331"/>
      <c r="CK1385" s="331"/>
      <c r="CL1385" s="2039" t="str">
        <f t="shared" si="3126"/>
        <v>$250 million 6 3/4% Sr Sub Notes, due 2015</v>
      </c>
      <c r="CM1385" s="430">
        <f t="shared" si="3127"/>
        <v>0</v>
      </c>
      <c r="CN1385" s="430">
        <f t="shared" si="3128"/>
        <v>250</v>
      </c>
      <c r="CO1385" s="430">
        <f t="shared" si="3129"/>
        <v>250</v>
      </c>
      <c r="CP1385" s="430">
        <f t="shared" si="3130"/>
        <v>250</v>
      </c>
      <c r="CQ1385" s="430">
        <f t="shared" si="3131"/>
        <v>250</v>
      </c>
      <c r="CR1385" s="430">
        <f t="shared" si="3132"/>
        <v>250</v>
      </c>
      <c r="CS1385" s="430">
        <f t="shared" si="3133"/>
        <v>250</v>
      </c>
      <c r="CT1385" s="430">
        <f t="shared" si="3134"/>
        <v>0</v>
      </c>
      <c r="CU1385" s="430">
        <f t="shared" si="3135"/>
        <v>0</v>
      </c>
      <c r="CV1385" s="430">
        <f t="shared" si="3136"/>
        <v>0</v>
      </c>
      <c r="CW1385" s="430">
        <f t="shared" si="3137"/>
        <v>0</v>
      </c>
      <c r="CX1385" s="430">
        <f t="shared" si="3138"/>
        <v>0</v>
      </c>
      <c r="CY1385" s="430">
        <f t="shared" si="3139"/>
        <v>0</v>
      </c>
      <c r="CZ1385" s="430">
        <f t="shared" si="3140"/>
        <v>0</v>
      </c>
      <c r="DA1385" s="430">
        <f t="shared" si="3141"/>
        <v>0</v>
      </c>
      <c r="DB1385" s="430">
        <f t="shared" si="3142"/>
        <v>0</v>
      </c>
      <c r="DC1385" s="853">
        <f t="shared" si="3143"/>
        <v>0</v>
      </c>
      <c r="DD1385" s="331"/>
      <c r="DE1385" s="331"/>
      <c r="DF1385" s="502"/>
      <c r="DG1385" s="503"/>
      <c r="DH1385" s="2840"/>
      <c r="DI1385" s="3213"/>
      <c r="DJ1385" s="502"/>
      <c r="DK1385" s="503"/>
      <c r="DL1385" s="502"/>
      <c r="DM1385" s="502"/>
      <c r="DN1385" s="502"/>
      <c r="DO1385" s="502"/>
      <c r="DP1385" s="503"/>
      <c r="DQ1385" s="503"/>
      <c r="DR1385" s="296"/>
      <c r="DS1385" s="296"/>
      <c r="DT1385" s="296"/>
    </row>
    <row r="1386" spans="1:130" ht="12" hidden="1" customHeight="1" outlineLevel="1" x14ac:dyDescent="0.25">
      <c r="A1386" s="355" t="s">
        <v>1142</v>
      </c>
      <c r="B1386" s="543">
        <v>0</v>
      </c>
      <c r="C1386" s="612">
        <v>0</v>
      </c>
      <c r="D1386" s="612">
        <v>0</v>
      </c>
      <c r="E1386" s="612">
        <v>0</v>
      </c>
      <c r="F1386" s="612">
        <v>0</v>
      </c>
      <c r="G1386" s="481">
        <f t="shared" si="3144"/>
        <v>0</v>
      </c>
      <c r="H1386" s="612">
        <v>0</v>
      </c>
      <c r="I1386" s="612">
        <v>0</v>
      </c>
      <c r="J1386" s="612">
        <v>0</v>
      </c>
      <c r="K1386" s="612">
        <v>0</v>
      </c>
      <c r="L1386" s="481">
        <f t="shared" si="3145"/>
        <v>0</v>
      </c>
      <c r="M1386" s="612">
        <v>0</v>
      </c>
      <c r="N1386" s="612">
        <v>0</v>
      </c>
      <c r="O1386" s="612">
        <v>0</v>
      </c>
      <c r="P1386" s="612">
        <v>0</v>
      </c>
      <c r="Q1386" s="481">
        <f t="shared" si="3146"/>
        <v>0</v>
      </c>
      <c r="R1386" s="612">
        <v>0</v>
      </c>
      <c r="S1386" s="612">
        <v>0</v>
      </c>
      <c r="T1386" s="612">
        <v>0</v>
      </c>
      <c r="U1386" s="612">
        <v>0</v>
      </c>
      <c r="V1386" s="481">
        <f t="shared" si="3147"/>
        <v>0</v>
      </c>
      <c r="W1386" s="612">
        <v>0</v>
      </c>
      <c r="X1386" s="612">
        <v>0</v>
      </c>
      <c r="Y1386" s="612">
        <v>0</v>
      </c>
      <c r="Z1386" s="612">
        <v>0</v>
      </c>
      <c r="AA1386" s="481">
        <f t="shared" si="3148"/>
        <v>0</v>
      </c>
      <c r="AB1386" s="612">
        <v>0</v>
      </c>
      <c r="AC1386" s="612">
        <v>0</v>
      </c>
      <c r="AD1386" s="612">
        <v>325</v>
      </c>
      <c r="AE1386" s="612">
        <v>325</v>
      </c>
      <c r="AF1386" s="481">
        <f t="shared" si="3149"/>
        <v>325</v>
      </c>
      <c r="AG1386" s="612">
        <v>325</v>
      </c>
      <c r="AH1386" s="612">
        <v>325</v>
      </c>
      <c r="AI1386" s="612">
        <v>325</v>
      </c>
      <c r="AJ1386" s="612">
        <v>325</v>
      </c>
      <c r="AK1386" s="481">
        <f t="shared" si="3150"/>
        <v>325</v>
      </c>
      <c r="AL1386" s="612">
        <v>325</v>
      </c>
      <c r="AM1386" s="612">
        <v>325</v>
      </c>
      <c r="AN1386" s="612">
        <v>325</v>
      </c>
      <c r="AO1386" s="612">
        <v>325</v>
      </c>
      <c r="AP1386" s="483">
        <f t="shared" si="3151"/>
        <v>325</v>
      </c>
      <c r="AQ1386" s="1676">
        <v>325</v>
      </c>
      <c r="AR1386" s="482">
        <v>325</v>
      </c>
      <c r="AS1386" s="482">
        <v>325</v>
      </c>
      <c r="AT1386" s="612">
        <v>325</v>
      </c>
      <c r="AU1386" s="481">
        <f t="shared" si="3152"/>
        <v>325</v>
      </c>
      <c r="AV1386" s="612">
        <v>325</v>
      </c>
      <c r="AW1386" s="482">
        <v>325</v>
      </c>
      <c r="AX1386" s="482">
        <v>325</v>
      </c>
      <c r="AY1386" s="862">
        <v>0</v>
      </c>
      <c r="AZ1386" s="481">
        <f>+AY1386</f>
        <v>0</v>
      </c>
      <c r="BA1386" s="483">
        <f t="shared" si="3159"/>
        <v>0</v>
      </c>
      <c r="BB1386" s="430">
        <f t="shared" si="3159"/>
        <v>0</v>
      </c>
      <c r="BC1386" s="430">
        <f t="shared" si="3159"/>
        <v>0</v>
      </c>
      <c r="BD1386" s="853">
        <f t="shared" si="3154"/>
        <v>0</v>
      </c>
      <c r="BE1386" s="481">
        <f t="shared" si="3110"/>
        <v>0</v>
      </c>
      <c r="BF1386" s="430">
        <f t="shared" si="3154"/>
        <v>0</v>
      </c>
      <c r="BG1386" s="430">
        <f t="shared" si="3111"/>
        <v>0</v>
      </c>
      <c r="BH1386" s="430">
        <f t="shared" si="3111"/>
        <v>0</v>
      </c>
      <c r="BI1386" s="853">
        <f t="shared" si="3155"/>
        <v>0</v>
      </c>
      <c r="BJ1386" s="481">
        <f t="shared" si="3112"/>
        <v>0</v>
      </c>
      <c r="BK1386" s="2675">
        <v>0</v>
      </c>
      <c r="BL1386" s="2675">
        <v>0</v>
      </c>
      <c r="BM1386" s="430">
        <f t="shared" si="3113"/>
        <v>0</v>
      </c>
      <c r="BN1386" s="853">
        <f t="shared" si="3114"/>
        <v>0</v>
      </c>
      <c r="BO1386" s="481">
        <f t="shared" si="3115"/>
        <v>0</v>
      </c>
      <c r="BP1386" s="430">
        <f t="shared" si="3116"/>
        <v>0</v>
      </c>
      <c r="BQ1386" s="430">
        <f t="shared" si="3117"/>
        <v>0</v>
      </c>
      <c r="BR1386" s="430">
        <f t="shared" si="3118"/>
        <v>0</v>
      </c>
      <c r="BS1386" s="430">
        <f t="shared" si="3119"/>
        <v>0</v>
      </c>
      <c r="BT1386" s="2587">
        <f t="shared" si="3120"/>
        <v>0</v>
      </c>
      <c r="BU1386" s="2840">
        <f t="shared" si="3121"/>
        <v>0</v>
      </c>
      <c r="BV1386" s="2840">
        <f t="shared" si="3121"/>
        <v>0</v>
      </c>
      <c r="BW1386" s="2840">
        <f t="shared" si="3122"/>
        <v>0</v>
      </c>
      <c r="BX1386" s="2840">
        <f t="shared" si="3123"/>
        <v>0</v>
      </c>
      <c r="BY1386" s="2587">
        <f t="shared" si="3124"/>
        <v>0</v>
      </c>
      <c r="BZ1386" s="2587">
        <f t="shared" si="3160"/>
        <v>0</v>
      </c>
      <c r="CA1386" s="2587">
        <f t="shared" si="3160"/>
        <v>0</v>
      </c>
      <c r="CB1386" s="481">
        <f t="shared" si="3161"/>
        <v>0</v>
      </c>
      <c r="CC1386" s="481">
        <f t="shared" si="3161"/>
        <v>0</v>
      </c>
      <c r="CD1386" s="481">
        <f t="shared" si="3161"/>
        <v>0</v>
      </c>
      <c r="CE1386" s="481">
        <f t="shared" si="3161"/>
        <v>0</v>
      </c>
      <c r="CF1386" s="481">
        <f t="shared" si="3161"/>
        <v>0</v>
      </c>
      <c r="CG1386" s="331"/>
      <c r="CH1386" s="331"/>
      <c r="CI1386" s="331"/>
      <c r="CJ1386" s="331"/>
      <c r="CK1386" s="331"/>
      <c r="CL1386" s="995" t="str">
        <f t="shared" si="3126"/>
        <v>$325 million 8 3/4% Sr Sub Notes, due 2019</v>
      </c>
      <c r="CM1386" s="430">
        <f t="shared" si="3127"/>
        <v>0</v>
      </c>
      <c r="CN1386" s="430">
        <f t="shared" si="3128"/>
        <v>0</v>
      </c>
      <c r="CO1386" s="430">
        <f t="shared" si="3129"/>
        <v>0</v>
      </c>
      <c r="CP1386" s="430">
        <f t="shared" si="3130"/>
        <v>0</v>
      </c>
      <c r="CQ1386" s="430">
        <f t="shared" si="3131"/>
        <v>0</v>
      </c>
      <c r="CR1386" s="430">
        <f t="shared" si="3132"/>
        <v>325</v>
      </c>
      <c r="CS1386" s="430">
        <f t="shared" si="3133"/>
        <v>325</v>
      </c>
      <c r="CT1386" s="430">
        <f t="shared" si="3134"/>
        <v>325</v>
      </c>
      <c r="CU1386" s="430">
        <f t="shared" si="3135"/>
        <v>325</v>
      </c>
      <c r="CV1386" s="430">
        <f t="shared" si="3136"/>
        <v>0</v>
      </c>
      <c r="CW1386" s="430">
        <f t="shared" si="3137"/>
        <v>0</v>
      </c>
      <c r="CX1386" s="430">
        <f t="shared" si="3138"/>
        <v>0</v>
      </c>
      <c r="CY1386" s="430">
        <f t="shared" si="3139"/>
        <v>0</v>
      </c>
      <c r="CZ1386" s="430">
        <f t="shared" si="3140"/>
        <v>0</v>
      </c>
      <c r="DA1386" s="430">
        <f t="shared" si="3141"/>
        <v>0</v>
      </c>
      <c r="DB1386" s="430">
        <f t="shared" si="3142"/>
        <v>0</v>
      </c>
      <c r="DC1386" s="853">
        <f t="shared" si="3143"/>
        <v>0</v>
      </c>
      <c r="DD1386" s="331"/>
      <c r="DE1386" s="331"/>
      <c r="DF1386" s="502"/>
      <c r="DG1386" s="503"/>
      <c r="DH1386" s="2840"/>
      <c r="DI1386" s="3213"/>
      <c r="DJ1386" s="502"/>
      <c r="DK1386" s="503"/>
      <c r="DL1386" s="502"/>
      <c r="DM1386" s="502"/>
      <c r="DN1386" s="502"/>
      <c r="DO1386" s="502"/>
      <c r="DP1386" s="503"/>
      <c r="DQ1386" s="503"/>
      <c r="DR1386" s="296"/>
      <c r="DS1386" s="296"/>
      <c r="DT1386" s="296"/>
    </row>
    <row r="1387" spans="1:130" ht="12" customHeight="1" collapsed="1" x14ac:dyDescent="0.25">
      <c r="A1387" s="355" t="s">
        <v>77</v>
      </c>
      <c r="B1387" s="543"/>
      <c r="C1387" s="612"/>
      <c r="D1387" s="612"/>
      <c r="E1387" s="612"/>
      <c r="F1387" s="612"/>
      <c r="G1387" s="481"/>
      <c r="H1387" s="612"/>
      <c r="I1387" s="612"/>
      <c r="J1387" s="612"/>
      <c r="K1387" s="612"/>
      <c r="L1387" s="481"/>
      <c r="M1387" s="612"/>
      <c r="N1387" s="612"/>
      <c r="O1387" s="612"/>
      <c r="P1387" s="612"/>
      <c r="Q1387" s="481"/>
      <c r="R1387" s="612"/>
      <c r="S1387" s="612"/>
      <c r="T1387" s="612"/>
      <c r="U1387" s="612"/>
      <c r="V1387" s="481"/>
      <c r="W1387" s="612"/>
      <c r="X1387" s="612"/>
      <c r="Y1387" s="612"/>
      <c r="Z1387" s="612"/>
      <c r="AA1387" s="481"/>
      <c r="AB1387" s="612"/>
      <c r="AC1387" s="612"/>
      <c r="AD1387" s="612"/>
      <c r="AE1387" s="612"/>
      <c r="AF1387" s="481"/>
      <c r="AG1387" s="612"/>
      <c r="AH1387" s="612"/>
      <c r="AI1387" s="612"/>
      <c r="AJ1387" s="612"/>
      <c r="AK1387" s="481"/>
      <c r="AL1387" s="612"/>
      <c r="AM1387" s="612"/>
      <c r="AN1387" s="612"/>
      <c r="AO1387" s="612"/>
      <c r="AP1387" s="483"/>
      <c r="AQ1387" s="1676"/>
      <c r="AR1387" s="482"/>
      <c r="AS1387" s="482"/>
      <c r="AT1387" s="612"/>
      <c r="AU1387" s="481"/>
      <c r="AV1387" s="612"/>
      <c r="AW1387" s="482"/>
      <c r="AX1387" s="482"/>
      <c r="AY1387" s="862">
        <v>300</v>
      </c>
      <c r="AZ1387" s="481">
        <f>+AY1387</f>
        <v>300</v>
      </c>
      <c r="BA1387" s="2800">
        <f>AZ1387</f>
        <v>300</v>
      </c>
      <c r="BB1387" s="2675">
        <f>BA1387</f>
        <v>300</v>
      </c>
      <c r="BC1387" s="2675">
        <v>300</v>
      </c>
      <c r="BD1387" s="2675">
        <v>300</v>
      </c>
      <c r="BE1387" s="481">
        <f t="shared" si="3110"/>
        <v>300</v>
      </c>
      <c r="BF1387" s="2675">
        <v>300</v>
      </c>
      <c r="BG1387" s="2675">
        <v>300</v>
      </c>
      <c r="BH1387" s="2675">
        <v>300</v>
      </c>
      <c r="BI1387" s="2675">
        <v>300</v>
      </c>
      <c r="BJ1387" s="481">
        <f t="shared" si="3112"/>
        <v>300</v>
      </c>
      <c r="BK1387" s="2675">
        <v>300</v>
      </c>
      <c r="BL1387" s="2675">
        <v>300</v>
      </c>
      <c r="BM1387" s="482">
        <v>300</v>
      </c>
      <c r="BN1387" s="482">
        <v>300</v>
      </c>
      <c r="BO1387" s="481">
        <f t="shared" si="3115"/>
        <v>300</v>
      </c>
      <c r="BP1387" s="2953">
        <v>0</v>
      </c>
      <c r="BQ1387" s="430">
        <f t="shared" si="3117"/>
        <v>0</v>
      </c>
      <c r="BR1387" s="430">
        <f t="shared" si="3118"/>
        <v>0</v>
      </c>
      <c r="BS1387" s="3508">
        <v>0</v>
      </c>
      <c r="BT1387" s="2587">
        <f t="shared" si="3120"/>
        <v>0</v>
      </c>
      <c r="BU1387" s="2840">
        <f t="shared" si="3121"/>
        <v>0</v>
      </c>
      <c r="BV1387" s="2840">
        <f t="shared" si="3121"/>
        <v>0</v>
      </c>
      <c r="BW1387" s="2840">
        <f t="shared" si="3122"/>
        <v>0</v>
      </c>
      <c r="BX1387" s="2840">
        <f t="shared" si="3123"/>
        <v>0</v>
      </c>
      <c r="BY1387" s="2587">
        <f t="shared" si="3124"/>
        <v>0</v>
      </c>
      <c r="BZ1387" s="2587">
        <f t="shared" si="3160"/>
        <v>0</v>
      </c>
      <c r="CA1387" s="2587">
        <f t="shared" si="3160"/>
        <v>0</v>
      </c>
      <c r="CB1387" s="481">
        <f t="shared" si="3161"/>
        <v>0</v>
      </c>
      <c r="CC1387" s="481">
        <f t="shared" si="3161"/>
        <v>0</v>
      </c>
      <c r="CD1387" s="481">
        <f t="shared" si="3161"/>
        <v>0</v>
      </c>
      <c r="CE1387" s="481">
        <f t="shared" si="3161"/>
        <v>0</v>
      </c>
      <c r="CF1387" s="481">
        <f t="shared" si="3161"/>
        <v>0</v>
      </c>
      <c r="CG1387" s="331"/>
      <c r="CH1387" s="331"/>
      <c r="CI1387" s="331"/>
      <c r="CJ1387" s="331"/>
      <c r="CK1387" s="331"/>
      <c r="CL1387" s="995" t="str">
        <f t="shared" si="3126"/>
        <v>$300m 5.875% Senior Notes due 2021</v>
      </c>
      <c r="CM1387" s="430"/>
      <c r="CN1387" s="430"/>
      <c r="CO1387" s="430"/>
      <c r="CP1387" s="430"/>
      <c r="CQ1387" s="430"/>
      <c r="CR1387" s="430"/>
      <c r="CS1387" s="430"/>
      <c r="CT1387" s="430"/>
      <c r="CU1387" s="430"/>
      <c r="CV1387" s="430"/>
      <c r="CW1387" s="430"/>
      <c r="CX1387" s="430"/>
      <c r="CY1387" s="430"/>
      <c r="CZ1387" s="430"/>
      <c r="DA1387" s="430"/>
      <c r="DB1387" s="430"/>
      <c r="DC1387" s="853"/>
      <c r="DD1387" s="331"/>
      <c r="DE1387" s="331"/>
      <c r="DF1387" s="502"/>
      <c r="DG1387" s="503"/>
      <c r="DH1387" s="2840"/>
      <c r="DI1387" s="3213"/>
      <c r="DJ1387" s="502"/>
      <c r="DK1387" s="503"/>
      <c r="DL1387" s="502"/>
      <c r="DM1387" s="502"/>
      <c r="DN1387" s="502"/>
      <c r="DO1387" s="502"/>
      <c r="DP1387" s="503"/>
      <c r="DQ1387" s="503"/>
      <c r="DR1387" s="296"/>
      <c r="DS1387" s="296"/>
      <c r="DT1387" s="296"/>
    </row>
    <row r="1388" spans="1:130" ht="12" customHeight="1" x14ac:dyDescent="0.25">
      <c r="A1388" s="2576" t="s">
        <v>2536</v>
      </c>
      <c r="B1388" s="543"/>
      <c r="C1388" s="612"/>
      <c r="D1388" s="612"/>
      <c r="E1388" s="612"/>
      <c r="F1388" s="612"/>
      <c r="G1388" s="481"/>
      <c r="H1388" s="612"/>
      <c r="I1388" s="612"/>
      <c r="J1388" s="612"/>
      <c r="K1388" s="612"/>
      <c r="L1388" s="481"/>
      <c r="M1388" s="612"/>
      <c r="N1388" s="612"/>
      <c r="O1388" s="612"/>
      <c r="P1388" s="612"/>
      <c r="Q1388" s="481"/>
      <c r="R1388" s="612"/>
      <c r="S1388" s="612"/>
      <c r="T1388" s="612"/>
      <c r="U1388" s="612"/>
      <c r="V1388" s="481"/>
      <c r="W1388" s="612"/>
      <c r="X1388" s="612"/>
      <c r="Y1388" s="612"/>
      <c r="Z1388" s="612"/>
      <c r="AA1388" s="481"/>
      <c r="AB1388" s="612"/>
      <c r="AC1388" s="612"/>
      <c r="AD1388" s="612"/>
      <c r="AE1388" s="612"/>
      <c r="AF1388" s="481"/>
      <c r="AG1388" s="612"/>
      <c r="AH1388" s="612"/>
      <c r="AI1388" s="612"/>
      <c r="AJ1388" s="612"/>
      <c r="AK1388" s="481"/>
      <c r="AL1388" s="612"/>
      <c r="AM1388" s="612"/>
      <c r="AN1388" s="612"/>
      <c r="AO1388" s="612"/>
      <c r="AP1388" s="483"/>
      <c r="AQ1388" s="1676"/>
      <c r="AR1388" s="482"/>
      <c r="AS1388" s="482"/>
      <c r="AT1388" s="612"/>
      <c r="AU1388" s="481"/>
      <c r="AV1388" s="612"/>
      <c r="AW1388" s="482"/>
      <c r="AX1388" s="482"/>
      <c r="AY1388" s="862"/>
      <c r="AZ1388" s="481"/>
      <c r="BA1388" s="2800"/>
      <c r="BB1388" s="2675"/>
      <c r="BC1388" s="2675"/>
      <c r="BD1388" s="2675"/>
      <c r="BE1388" s="481"/>
      <c r="BF1388" s="2675"/>
      <c r="BG1388" s="2675"/>
      <c r="BH1388" s="2675"/>
      <c r="BI1388" s="2675"/>
      <c r="BJ1388" s="481"/>
      <c r="BK1388" s="2675"/>
      <c r="BL1388" s="2675"/>
      <c r="BM1388" s="482"/>
      <c r="BN1388" s="430"/>
      <c r="BO1388" s="481"/>
      <c r="BP1388" s="2953">
        <v>400</v>
      </c>
      <c r="BQ1388" s="2953">
        <v>400</v>
      </c>
      <c r="BR1388" s="482">
        <v>400</v>
      </c>
      <c r="BS1388" s="482">
        <v>400</v>
      </c>
      <c r="BT1388" s="2587">
        <f>+BS1388</f>
        <v>400</v>
      </c>
      <c r="BU1388" s="2840">
        <f>BT1388</f>
        <v>400</v>
      </c>
      <c r="BV1388" s="2840">
        <f>BU1388</f>
        <v>400</v>
      </c>
      <c r="BW1388" s="2840">
        <f t="shared" si="3122"/>
        <v>400</v>
      </c>
      <c r="BX1388" s="2840">
        <f t="shared" si="3123"/>
        <v>400</v>
      </c>
      <c r="BY1388" s="2587">
        <f t="shared" si="3124"/>
        <v>400</v>
      </c>
      <c r="BZ1388" s="2587">
        <f>BY1388</f>
        <v>400</v>
      </c>
      <c r="CA1388" s="2587">
        <f>BZ1388</f>
        <v>400</v>
      </c>
      <c r="CB1388" s="481"/>
      <c r="CC1388" s="481"/>
      <c r="CD1388" s="481"/>
      <c r="CE1388" s="481"/>
      <c r="CF1388" s="481"/>
      <c r="CG1388" s="331"/>
      <c r="CH1388" s="331"/>
      <c r="CI1388" s="331"/>
      <c r="CJ1388" s="331"/>
      <c r="CK1388" s="331"/>
      <c r="CL1388" s="995"/>
      <c r="CM1388" s="430"/>
      <c r="CN1388" s="430"/>
      <c r="CO1388" s="430"/>
      <c r="CP1388" s="430"/>
      <c r="CQ1388" s="430"/>
      <c r="CR1388" s="430"/>
      <c r="CS1388" s="430"/>
      <c r="CT1388" s="430"/>
      <c r="CU1388" s="430"/>
      <c r="CV1388" s="430"/>
      <c r="CW1388" s="430"/>
      <c r="CX1388" s="430"/>
      <c r="CY1388" s="430"/>
      <c r="CZ1388" s="430"/>
      <c r="DA1388" s="430"/>
      <c r="DB1388" s="430"/>
      <c r="DC1388" s="853"/>
      <c r="DD1388" s="331"/>
      <c r="DE1388" s="331"/>
      <c r="DF1388" s="502"/>
      <c r="DG1388" s="503"/>
      <c r="DH1388" s="2840"/>
      <c r="DI1388" s="3213"/>
      <c r="DJ1388" s="502"/>
      <c r="DK1388" s="503"/>
      <c r="DL1388" s="502"/>
      <c r="DM1388" s="502"/>
      <c r="DN1388" s="502"/>
      <c r="DO1388" s="502"/>
      <c r="DP1388" s="503"/>
      <c r="DQ1388" s="503"/>
      <c r="DR1388" s="296"/>
      <c r="DS1388" s="296"/>
      <c r="DT1388" s="296"/>
    </row>
    <row r="1389" spans="1:130" s="1049" customFormat="1" ht="12" customHeight="1" x14ac:dyDescent="0.25">
      <c r="A1389" s="2576" t="s">
        <v>2537</v>
      </c>
      <c r="B1389" s="608"/>
      <c r="C1389" s="612"/>
      <c r="D1389" s="612"/>
      <c r="E1389" s="612"/>
      <c r="F1389" s="612"/>
      <c r="G1389" s="481"/>
      <c r="H1389" s="612"/>
      <c r="I1389" s="612"/>
      <c r="J1389" s="612"/>
      <c r="K1389" s="612"/>
      <c r="L1389" s="481"/>
      <c r="M1389" s="612"/>
      <c r="N1389" s="612"/>
      <c r="O1389" s="612"/>
      <c r="P1389" s="612"/>
      <c r="Q1389" s="481"/>
      <c r="R1389" s="612"/>
      <c r="S1389" s="612"/>
      <c r="T1389" s="612"/>
      <c r="U1389" s="612"/>
      <c r="V1389" s="481"/>
      <c r="W1389" s="612"/>
      <c r="X1389" s="612"/>
      <c r="Y1389" s="612"/>
      <c r="Z1389" s="612"/>
      <c r="AA1389" s="481"/>
      <c r="AB1389" s="612"/>
      <c r="AC1389" s="612"/>
      <c r="AD1389" s="612"/>
      <c r="AE1389" s="612"/>
      <c r="AF1389" s="481"/>
      <c r="AG1389" s="612"/>
      <c r="AH1389" s="612"/>
      <c r="AI1389" s="612"/>
      <c r="AJ1389" s="612"/>
      <c r="AK1389" s="481"/>
      <c r="AL1389" s="612"/>
      <c r="AM1389" s="612"/>
      <c r="AN1389" s="612"/>
      <c r="AO1389" s="612"/>
      <c r="AP1389" s="483"/>
      <c r="AQ1389" s="1676"/>
      <c r="AR1389" s="482"/>
      <c r="AS1389" s="482"/>
      <c r="AT1389" s="612"/>
      <c r="AU1389" s="481"/>
      <c r="AV1389" s="612"/>
      <c r="AW1389" s="482"/>
      <c r="AX1389" s="482"/>
      <c r="AY1389" s="862">
        <v>0</v>
      </c>
      <c r="AZ1389" s="481">
        <f>+AY1389</f>
        <v>0</v>
      </c>
      <c r="BA1389" s="2716">
        <f>743.125+18.5-BA1390-BA1391</f>
        <v>11.625</v>
      </c>
      <c r="BB1389" s="2672">
        <f>736.25+18.5-BB1390-BB1391</f>
        <v>4.75</v>
      </c>
      <c r="BC1389" s="2672">
        <f>774.375+153.956-BC1390-BC1391</f>
        <v>178.33100000000002</v>
      </c>
      <c r="BD1389" s="2672">
        <f>807.5+135-BD1390-BD1391</f>
        <v>192.5</v>
      </c>
      <c r="BE1389" s="481">
        <f t="shared" si="3110"/>
        <v>192.5</v>
      </c>
      <c r="BF1389" s="2672">
        <f>830.625+150.3-BF1390-BF1391</f>
        <v>230.92499999999995</v>
      </c>
      <c r="BG1389" s="2672">
        <f>813.75+150.3-BG1390-BG1391</f>
        <v>255.24999999999994</v>
      </c>
      <c r="BH1389" s="2672">
        <f>1236.597+146.992-BH1390-BH1391</f>
        <v>528.78899999999987</v>
      </c>
      <c r="BI1389" s="2672">
        <f>1259.74+146.992-BI1390-BI1391</f>
        <v>656.73199999999997</v>
      </c>
      <c r="BJ1389" s="481">
        <f t="shared" si="3112"/>
        <v>656.73199999999997</v>
      </c>
      <c r="BK1389" s="2672">
        <f>1248.766+139.759-BK1390-BK1391</f>
        <v>638.52500000000009</v>
      </c>
      <c r="BL1389" s="2672">
        <f>1220.792+139.759-BL1390-BL1391</f>
        <v>610.55099999999993</v>
      </c>
      <c r="BM1389" s="2080">
        <f>1232.818+154.469-BM1390-BM1391</f>
        <v>637.28700000000003</v>
      </c>
      <c r="BN1389" s="3360">
        <f>976.845+154.084-BN1390-BN1391</f>
        <v>580.92900000000009</v>
      </c>
      <c r="BO1389" s="481">
        <f>+BN1389</f>
        <v>580.92900000000009</v>
      </c>
      <c r="BP1389" s="2080">
        <f>931+126.052-35.561-BP1390-BP1391</f>
        <v>271.49099999999987</v>
      </c>
      <c r="BQ1389" s="2080">
        <f>845+126.573-BQ1390-BQ1391-35.675</f>
        <v>185.89799999999997</v>
      </c>
      <c r="BR1389" s="2080">
        <f>830+119.536-BR1390-BR1391</f>
        <v>199.53600000000006</v>
      </c>
      <c r="BS1389" s="3509">
        <f>760+119.31-BS1390-BS1391</f>
        <v>129.30999999999995</v>
      </c>
      <c r="BT1389" s="2587">
        <f>+BS1389</f>
        <v>129.30999999999995</v>
      </c>
      <c r="BU1389" s="2840">
        <f>IF((BT1389+BU159+BU161+BU162-BU1305)&gt;780,780,BT1389+BU159+BU161+BU162-BU1305)</f>
        <v>129.30999999999995</v>
      </c>
      <c r="BV1389" s="2840">
        <f>IF((BU1389+BV159+BV161+BV162-BV1305)&gt;780,780,BU1389+BV159+BV161+BV162-BV1305)</f>
        <v>129.30999999999995</v>
      </c>
      <c r="BW1389" s="2840">
        <f>IF((BV1389+BW159+BW161+BW162-BW1305)&gt;780,780,BV1389+BW159+BW161+BW162-BW1305)</f>
        <v>129.30999999999995</v>
      </c>
      <c r="BX1389" s="2840">
        <f>IF((BW1389+BX159+BX161+BX162-BX1305)&gt;780,780,BW1389+BX159+BX161+BX162-BX1305)</f>
        <v>129.30999999999995</v>
      </c>
      <c r="BY1389" s="2587">
        <f t="shared" si="3124"/>
        <v>129.30999999999995</v>
      </c>
      <c r="BZ1389" s="2587">
        <f t="shared" ref="BZ1389:CF1389" si="3162">IF((BY1389+BZ159-BZ1305)&gt;780,780,BY1389+BZ159-BZ1305)</f>
        <v>129.30999999999995</v>
      </c>
      <c r="CA1389" s="2587">
        <f t="shared" si="3162"/>
        <v>129.30999999999995</v>
      </c>
      <c r="CB1389" s="481">
        <f t="shared" si="3162"/>
        <v>129.30999999999995</v>
      </c>
      <c r="CC1389" s="481">
        <f t="shared" si="3162"/>
        <v>129.30999999999995</v>
      </c>
      <c r="CD1389" s="481">
        <f t="shared" si="3162"/>
        <v>129.30999999999995</v>
      </c>
      <c r="CE1389" s="481">
        <f t="shared" si="3162"/>
        <v>129.30999999999995</v>
      </c>
      <c r="CF1389" s="481">
        <f t="shared" si="3162"/>
        <v>129.30999999999995</v>
      </c>
      <c r="CG1389" s="331"/>
      <c r="CH1389" s="331"/>
      <c r="CI1389" s="331"/>
      <c r="CJ1389" s="331"/>
      <c r="CK1389" s="331"/>
      <c r="CL1389" s="995" t="str">
        <f>A1389</f>
        <v>Penn $700m Revolving Credit Facility due 2022</v>
      </c>
      <c r="CM1389" s="430"/>
      <c r="CN1389" s="430"/>
      <c r="CO1389" s="430"/>
      <c r="CP1389" s="430"/>
      <c r="CQ1389" s="430"/>
      <c r="CR1389" s="430"/>
      <c r="CS1389" s="430"/>
      <c r="CT1389" s="430"/>
      <c r="CU1389" s="430"/>
      <c r="CV1389" s="430"/>
      <c r="CW1389" s="430"/>
      <c r="CX1389" s="430"/>
      <c r="CY1389" s="430"/>
      <c r="CZ1389" s="430"/>
      <c r="DA1389" s="430"/>
      <c r="DB1389" s="430"/>
      <c r="DC1389" s="853"/>
      <c r="DD1389" s="331"/>
      <c r="DE1389" s="331"/>
      <c r="DF1389" s="502"/>
      <c r="DG1389" s="503"/>
      <c r="DH1389" s="2840"/>
      <c r="DI1389" s="3213"/>
      <c r="DJ1389" s="502"/>
      <c r="DK1389" s="503"/>
      <c r="DL1389" s="502"/>
      <c r="DM1389" s="502"/>
      <c r="DN1389" s="502"/>
      <c r="DO1389" s="502"/>
      <c r="DP1389" s="503"/>
      <c r="DQ1389" s="503"/>
      <c r="DR1389" s="296"/>
      <c r="DS1389" s="296"/>
      <c r="DT1389" s="296"/>
      <c r="DU1389"/>
      <c r="DV1389"/>
      <c r="DW1389"/>
      <c r="DX1389"/>
      <c r="DY1389"/>
      <c r="DZ1389"/>
    </row>
    <row r="1390" spans="1:130" ht="12" customHeight="1" x14ac:dyDescent="0.25">
      <c r="A1390" s="2576" t="s">
        <v>2538</v>
      </c>
      <c r="B1390" s="543"/>
      <c r="C1390" s="612"/>
      <c r="D1390" s="612"/>
      <c r="E1390" s="612"/>
      <c r="F1390" s="612"/>
      <c r="G1390" s="481"/>
      <c r="H1390" s="612"/>
      <c r="I1390" s="612"/>
      <c r="J1390" s="612"/>
      <c r="K1390" s="612"/>
      <c r="L1390" s="481"/>
      <c r="M1390" s="612"/>
      <c r="N1390" s="612"/>
      <c r="O1390" s="612"/>
      <c r="P1390" s="612"/>
      <c r="Q1390" s="481"/>
      <c r="R1390" s="612"/>
      <c r="S1390" s="612"/>
      <c r="T1390" s="612"/>
      <c r="U1390" s="612"/>
      <c r="V1390" s="481"/>
      <c r="W1390" s="612"/>
      <c r="X1390" s="612"/>
      <c r="Y1390" s="612"/>
      <c r="Z1390" s="612"/>
      <c r="AA1390" s="481"/>
      <c r="AB1390" s="612"/>
      <c r="AC1390" s="612"/>
      <c r="AD1390" s="612"/>
      <c r="AE1390" s="612"/>
      <c r="AF1390" s="481"/>
      <c r="AG1390" s="612"/>
      <c r="AH1390" s="612"/>
      <c r="AI1390" s="612"/>
      <c r="AJ1390" s="612"/>
      <c r="AK1390" s="481"/>
      <c r="AL1390" s="612"/>
      <c r="AM1390" s="612"/>
      <c r="AN1390" s="612"/>
      <c r="AO1390" s="612"/>
      <c r="AP1390" s="483"/>
      <c r="AQ1390" s="1676"/>
      <c r="AR1390" s="482"/>
      <c r="AS1390" s="482"/>
      <c r="AT1390" s="612"/>
      <c r="AU1390" s="481"/>
      <c r="AV1390" s="612"/>
      <c r="AW1390" s="482"/>
      <c r="AX1390" s="482"/>
      <c r="AY1390" s="862">
        <v>500</v>
      </c>
      <c r="AZ1390" s="481">
        <f>+AY1390</f>
        <v>500</v>
      </c>
      <c r="BA1390" s="2800">
        <f>AZ1390</f>
        <v>500</v>
      </c>
      <c r="BB1390" s="2675">
        <f>BA1390</f>
        <v>500</v>
      </c>
      <c r="BC1390" s="2675">
        <v>500</v>
      </c>
      <c r="BD1390" s="2675">
        <v>500</v>
      </c>
      <c r="BE1390" s="481">
        <f t="shared" si="3110"/>
        <v>500</v>
      </c>
      <c r="BF1390" s="2675">
        <v>500</v>
      </c>
      <c r="BG1390" s="2675">
        <v>462.5</v>
      </c>
      <c r="BH1390" s="2675">
        <f>462.5+146.7</f>
        <v>609.20000000000005</v>
      </c>
      <c r="BI1390" s="2675">
        <v>500</v>
      </c>
      <c r="BJ1390" s="481">
        <f t="shared" si="3112"/>
        <v>500</v>
      </c>
      <c r="BK1390" s="2675">
        <v>500</v>
      </c>
      <c r="BL1390" s="2675">
        <v>500</v>
      </c>
      <c r="BM1390" s="482">
        <v>500</v>
      </c>
      <c r="BN1390" s="482">
        <v>300</v>
      </c>
      <c r="BO1390" s="481">
        <f>+BN1390</f>
        <v>300</v>
      </c>
      <c r="BP1390" s="2953">
        <v>250</v>
      </c>
      <c r="BQ1390" s="2953">
        <v>250</v>
      </c>
      <c r="BR1390" s="482">
        <v>250</v>
      </c>
      <c r="BS1390" s="482">
        <v>250</v>
      </c>
      <c r="BT1390" s="2587">
        <f t="shared" si="3120"/>
        <v>250</v>
      </c>
      <c r="BU1390" s="2840">
        <f t="shared" ref="BU1390:BW1391" si="3163">BT1390</f>
        <v>250</v>
      </c>
      <c r="BV1390" s="2840">
        <f t="shared" si="3163"/>
        <v>250</v>
      </c>
      <c r="BW1390" s="2840">
        <f t="shared" si="3163"/>
        <v>250</v>
      </c>
      <c r="BX1390" s="2840">
        <f>BW1390</f>
        <v>250</v>
      </c>
      <c r="BY1390" s="2587">
        <f t="shared" si="3124"/>
        <v>250</v>
      </c>
      <c r="BZ1390" s="2587">
        <f t="shared" si="3160"/>
        <v>250</v>
      </c>
      <c r="CA1390" s="2587">
        <f t="shared" si="3160"/>
        <v>250</v>
      </c>
      <c r="CB1390" s="481">
        <f t="shared" ref="CB1390:CF1391" si="3164">CA1390</f>
        <v>250</v>
      </c>
      <c r="CC1390" s="481">
        <f t="shared" si="3164"/>
        <v>250</v>
      </c>
      <c r="CD1390" s="481">
        <f t="shared" si="3164"/>
        <v>250</v>
      </c>
      <c r="CE1390" s="481">
        <f t="shared" si="3164"/>
        <v>250</v>
      </c>
      <c r="CF1390" s="481">
        <f t="shared" si="3164"/>
        <v>250</v>
      </c>
      <c r="CG1390" s="331"/>
      <c r="CH1390" s="331"/>
      <c r="CI1390" s="331"/>
      <c r="CJ1390" s="331"/>
      <c r="CK1390" s="331"/>
      <c r="CL1390" s="995"/>
      <c r="CM1390" s="430"/>
      <c r="CN1390" s="430"/>
      <c r="CO1390" s="430"/>
      <c r="CP1390" s="430"/>
      <c r="CQ1390" s="430"/>
      <c r="CR1390" s="430"/>
      <c r="CS1390" s="430"/>
      <c r="CT1390" s="430"/>
      <c r="CU1390" s="430"/>
      <c r="CV1390" s="430"/>
      <c r="CW1390" s="430"/>
      <c r="CX1390" s="430"/>
      <c r="CY1390" s="430"/>
      <c r="CZ1390" s="430"/>
      <c r="DA1390" s="430"/>
      <c r="DB1390" s="430"/>
      <c r="DC1390" s="853"/>
      <c r="DD1390" s="331"/>
      <c r="DE1390" s="331"/>
      <c r="DF1390" s="502"/>
      <c r="DG1390" s="503"/>
      <c r="DH1390" s="2840"/>
      <c r="DI1390" s="3213"/>
      <c r="DJ1390" s="502"/>
      <c r="DK1390" s="503"/>
      <c r="DL1390" s="502"/>
      <c r="DM1390" s="502"/>
      <c r="DN1390" s="502"/>
      <c r="DO1390" s="502"/>
      <c r="DP1390" s="503"/>
      <c r="DQ1390" s="503"/>
      <c r="DR1390" s="296"/>
      <c r="DS1390" s="296"/>
      <c r="DT1390" s="296"/>
    </row>
    <row r="1391" spans="1:130" ht="12" customHeight="1" x14ac:dyDescent="0.25">
      <c r="A1391" s="2576" t="s">
        <v>2539</v>
      </c>
      <c r="B1391" s="543"/>
      <c r="C1391" s="612"/>
      <c r="D1391" s="612"/>
      <c r="E1391" s="612"/>
      <c r="F1391" s="612"/>
      <c r="G1391" s="481"/>
      <c r="H1391" s="612"/>
      <c r="I1391" s="612"/>
      <c r="J1391" s="612"/>
      <c r="K1391" s="612"/>
      <c r="L1391" s="481"/>
      <c r="M1391" s="612"/>
      <c r="N1391" s="612"/>
      <c r="O1391" s="612"/>
      <c r="P1391" s="612"/>
      <c r="Q1391" s="481"/>
      <c r="R1391" s="612"/>
      <c r="S1391" s="612"/>
      <c r="T1391" s="612"/>
      <c r="U1391" s="612"/>
      <c r="V1391" s="481"/>
      <c r="W1391" s="612"/>
      <c r="X1391" s="612"/>
      <c r="Y1391" s="612"/>
      <c r="Z1391" s="612"/>
      <c r="AA1391" s="481"/>
      <c r="AB1391" s="612"/>
      <c r="AC1391" s="612"/>
      <c r="AD1391" s="612"/>
      <c r="AE1391" s="612"/>
      <c r="AF1391" s="481"/>
      <c r="AG1391" s="612"/>
      <c r="AH1391" s="612"/>
      <c r="AI1391" s="612"/>
      <c r="AJ1391" s="612"/>
      <c r="AK1391" s="481"/>
      <c r="AL1391" s="612"/>
      <c r="AM1391" s="612"/>
      <c r="AN1391" s="612"/>
      <c r="AO1391" s="612"/>
      <c r="AP1391" s="483"/>
      <c r="AQ1391" s="1676"/>
      <c r="AR1391" s="482"/>
      <c r="AS1391" s="482"/>
      <c r="AT1391" s="612"/>
      <c r="AU1391" s="481"/>
      <c r="AV1391" s="612"/>
      <c r="AW1391" s="482"/>
      <c r="AX1391" s="482"/>
      <c r="AY1391" s="862">
        <v>250</v>
      </c>
      <c r="AZ1391" s="481">
        <f>+AY1391</f>
        <v>250</v>
      </c>
      <c r="BA1391" s="2800">
        <f>AZ1391</f>
        <v>250</v>
      </c>
      <c r="BB1391" s="2675">
        <f>BA1391</f>
        <v>250</v>
      </c>
      <c r="BC1391" s="2675">
        <v>250</v>
      </c>
      <c r="BD1391" s="2675">
        <v>250</v>
      </c>
      <c r="BE1391" s="481">
        <f t="shared" si="3110"/>
        <v>250</v>
      </c>
      <c r="BF1391" s="2675">
        <v>250</v>
      </c>
      <c r="BG1391" s="2675">
        <v>246.3</v>
      </c>
      <c r="BH1391" s="2675">
        <v>245.6</v>
      </c>
      <c r="BI1391" s="2675">
        <v>250</v>
      </c>
      <c r="BJ1391" s="481">
        <f t="shared" si="3112"/>
        <v>250</v>
      </c>
      <c r="BK1391" s="2675">
        <v>250</v>
      </c>
      <c r="BL1391" s="2675">
        <v>250</v>
      </c>
      <c r="BM1391" s="482">
        <v>250</v>
      </c>
      <c r="BN1391" s="482">
        <v>250</v>
      </c>
      <c r="BO1391" s="481">
        <f>+BN1391</f>
        <v>250</v>
      </c>
      <c r="BP1391" s="2953">
        <v>500</v>
      </c>
      <c r="BQ1391" s="2953">
        <v>500</v>
      </c>
      <c r="BR1391" s="482">
        <v>500</v>
      </c>
      <c r="BS1391" s="482">
        <v>500</v>
      </c>
      <c r="BT1391" s="2587">
        <f t="shared" si="3120"/>
        <v>500</v>
      </c>
      <c r="BU1391" s="2840">
        <f t="shared" si="3163"/>
        <v>500</v>
      </c>
      <c r="BV1391" s="2840">
        <f t="shared" si="3163"/>
        <v>500</v>
      </c>
      <c r="BW1391" s="2840">
        <f t="shared" si="3163"/>
        <v>500</v>
      </c>
      <c r="BX1391" s="2840">
        <f>BW1391</f>
        <v>500</v>
      </c>
      <c r="BY1391" s="2587">
        <f t="shared" si="3124"/>
        <v>500</v>
      </c>
      <c r="BZ1391" s="2587">
        <f t="shared" si="3160"/>
        <v>500</v>
      </c>
      <c r="CA1391" s="2587">
        <f t="shared" si="3160"/>
        <v>500</v>
      </c>
      <c r="CB1391" s="481">
        <f t="shared" si="3164"/>
        <v>500</v>
      </c>
      <c r="CC1391" s="481">
        <f t="shared" si="3164"/>
        <v>500</v>
      </c>
      <c r="CD1391" s="481">
        <f t="shared" si="3164"/>
        <v>500</v>
      </c>
      <c r="CE1391" s="481">
        <f t="shared" si="3164"/>
        <v>500</v>
      </c>
      <c r="CF1391" s="481">
        <f t="shared" si="3164"/>
        <v>500</v>
      </c>
      <c r="CG1391" s="331"/>
      <c r="CH1391" s="331"/>
      <c r="CI1391" s="331"/>
      <c r="CJ1391" s="331"/>
      <c r="CK1391" s="331"/>
      <c r="CL1391" s="995"/>
      <c r="CM1391" s="430"/>
      <c r="CN1391" s="430"/>
      <c r="CO1391" s="430"/>
      <c r="CP1391" s="430"/>
      <c r="CQ1391" s="430"/>
      <c r="CR1391" s="430"/>
      <c r="CS1391" s="430"/>
      <c r="CT1391" s="430"/>
      <c r="CU1391" s="430"/>
      <c r="CV1391" s="430"/>
      <c r="CW1391" s="430"/>
      <c r="CX1391" s="430"/>
      <c r="CY1391" s="430"/>
      <c r="CZ1391" s="430"/>
      <c r="DA1391" s="430"/>
      <c r="DB1391" s="430"/>
      <c r="DC1391" s="853"/>
      <c r="DD1391" s="331"/>
      <c r="DE1391" s="331"/>
      <c r="DF1391" s="502"/>
      <c r="DG1391" s="503"/>
      <c r="DH1391" s="2840"/>
      <c r="DI1391" s="3213"/>
      <c r="DJ1391" s="502"/>
      <c r="DK1391" s="503"/>
      <c r="DL1391" s="502"/>
      <c r="DM1391" s="502"/>
      <c r="DN1391" s="502"/>
      <c r="DO1391" s="502"/>
      <c r="DP1391" s="503"/>
      <c r="DQ1391" s="503"/>
      <c r="DR1391" s="296"/>
      <c r="DS1391" s="296"/>
      <c r="DT1391" s="296"/>
    </row>
    <row r="1392" spans="1:130" ht="12" customHeight="1" x14ac:dyDescent="0.25">
      <c r="A1392" s="2576" t="s">
        <v>2648</v>
      </c>
      <c r="B1392" s="543"/>
      <c r="C1392" s="612"/>
      <c r="D1392" s="612"/>
      <c r="E1392" s="612"/>
      <c r="F1392" s="612"/>
      <c r="G1392" s="481"/>
      <c r="H1392" s="612"/>
      <c r="I1392" s="612"/>
      <c r="J1392" s="612"/>
      <c r="K1392" s="612"/>
      <c r="L1392" s="481"/>
      <c r="M1392" s="612"/>
      <c r="N1392" s="612"/>
      <c r="O1392" s="612"/>
      <c r="P1392" s="612"/>
      <c r="Q1392" s="481"/>
      <c r="R1392" s="612"/>
      <c r="S1392" s="612"/>
      <c r="T1392" s="612"/>
      <c r="U1392" s="612"/>
      <c r="V1392" s="481"/>
      <c r="W1392" s="612"/>
      <c r="X1392" s="612"/>
      <c r="Y1392" s="612"/>
      <c r="Z1392" s="612"/>
      <c r="AA1392" s="481"/>
      <c r="AB1392" s="612"/>
      <c r="AC1392" s="612"/>
      <c r="AD1392" s="612"/>
      <c r="AE1392" s="612"/>
      <c r="AF1392" s="481"/>
      <c r="AG1392" s="612"/>
      <c r="AH1392" s="612"/>
      <c r="AI1392" s="612"/>
      <c r="AJ1392" s="612"/>
      <c r="AK1392" s="481"/>
      <c r="AL1392" s="612"/>
      <c r="AM1392" s="612"/>
      <c r="AN1392" s="612"/>
      <c r="AO1392" s="612"/>
      <c r="AP1392" s="483"/>
      <c r="AQ1392" s="1676"/>
      <c r="AR1392" s="482"/>
      <c r="AS1392" s="482"/>
      <c r="AT1392" s="612"/>
      <c r="AU1392" s="481"/>
      <c r="AV1392" s="612"/>
      <c r="AW1392" s="482"/>
      <c r="AX1392" s="482"/>
      <c r="AY1392" s="862"/>
      <c r="AZ1392" s="481"/>
      <c r="BA1392" s="2800"/>
      <c r="BB1392" s="2675"/>
      <c r="BC1392" s="2675"/>
      <c r="BD1392" s="2675"/>
      <c r="BE1392" s="481"/>
      <c r="BF1392" s="2675"/>
      <c r="BG1392" s="2675"/>
      <c r="BH1392" s="2675"/>
      <c r="BI1392" s="2675"/>
      <c r="BJ1392" s="481"/>
      <c r="BK1392" s="2675"/>
      <c r="BL1392" s="2675"/>
      <c r="BM1392" s="482"/>
      <c r="BN1392" s="482"/>
      <c r="BO1392" s="481"/>
      <c r="BP1392" s="2953"/>
      <c r="BQ1392" s="2953"/>
      <c r="BR1392" s="482"/>
      <c r="BS1392" s="430"/>
      <c r="BT1392" s="2587"/>
      <c r="BU1392" s="2840"/>
      <c r="BV1392" s="2840"/>
      <c r="BW1392" s="2953">
        <v>1250</v>
      </c>
      <c r="BX1392" s="2840">
        <f>BW1392</f>
        <v>1250</v>
      </c>
      <c r="BY1392" s="2587">
        <f>+BX1392</f>
        <v>1250</v>
      </c>
      <c r="BZ1392" s="3547">
        <v>1000</v>
      </c>
      <c r="CA1392" s="2587">
        <f>BZ1392</f>
        <v>1000</v>
      </c>
      <c r="CB1392" s="481"/>
      <c r="CC1392" s="481"/>
      <c r="CD1392" s="481"/>
      <c r="CE1392" s="481"/>
      <c r="CF1392" s="481"/>
      <c r="CG1392" s="331"/>
      <c r="CH1392" s="331"/>
      <c r="CI1392" s="331"/>
      <c r="CJ1392" s="331"/>
      <c r="CK1392" s="331"/>
      <c r="CL1392" s="995"/>
      <c r="CM1392" s="430"/>
      <c r="CN1392" s="430"/>
      <c r="CO1392" s="430"/>
      <c r="CP1392" s="430"/>
      <c r="CQ1392" s="430"/>
      <c r="CR1392" s="430"/>
      <c r="CS1392" s="430"/>
      <c r="CT1392" s="430"/>
      <c r="CU1392" s="430"/>
      <c r="CV1392" s="430"/>
      <c r="CW1392" s="430"/>
      <c r="CX1392" s="430"/>
      <c r="CY1392" s="430"/>
      <c r="CZ1392" s="430"/>
      <c r="DA1392" s="430"/>
      <c r="DB1392" s="430"/>
      <c r="DC1392" s="853"/>
      <c r="DD1392" s="331"/>
      <c r="DE1392" s="331"/>
      <c r="DF1392" s="502"/>
      <c r="DG1392" s="503"/>
      <c r="DH1392" s="2840"/>
      <c r="DI1392" s="3213"/>
      <c r="DJ1392" s="502"/>
      <c r="DK1392" s="503"/>
      <c r="DL1392" s="502"/>
      <c r="DM1392" s="502"/>
      <c r="DN1392" s="502"/>
      <c r="DO1392" s="502"/>
      <c r="DP1392" s="503"/>
      <c r="DQ1392" s="503"/>
      <c r="DR1392" s="296"/>
      <c r="DS1392" s="296"/>
      <c r="DT1392" s="296"/>
    </row>
    <row r="1393" spans="1:124" ht="12" customHeight="1" x14ac:dyDescent="0.25">
      <c r="A1393" s="2576" t="s">
        <v>2447</v>
      </c>
      <c r="B1393" s="543"/>
      <c r="C1393" s="612"/>
      <c r="D1393" s="612"/>
      <c r="E1393" s="612"/>
      <c r="F1393" s="612"/>
      <c r="G1393" s="481"/>
      <c r="H1393" s="612"/>
      <c r="I1393" s="612"/>
      <c r="J1393" s="612"/>
      <c r="K1393" s="612"/>
      <c r="L1393" s="481"/>
      <c r="M1393" s="612"/>
      <c r="N1393" s="612"/>
      <c r="O1393" s="612"/>
      <c r="P1393" s="612"/>
      <c r="Q1393" s="481"/>
      <c r="R1393" s="612"/>
      <c r="S1393" s="612"/>
      <c r="T1393" s="612"/>
      <c r="U1393" s="612"/>
      <c r="V1393" s="481"/>
      <c r="W1393" s="612"/>
      <c r="X1393" s="612"/>
      <c r="Y1393" s="612"/>
      <c r="Z1393" s="612"/>
      <c r="AA1393" s="481"/>
      <c r="AB1393" s="612"/>
      <c r="AC1393" s="612"/>
      <c r="AD1393" s="612"/>
      <c r="AE1393" s="612"/>
      <c r="AF1393" s="481"/>
      <c r="AG1393" s="612"/>
      <c r="AH1393" s="612"/>
      <c r="AI1393" s="612"/>
      <c r="AJ1393" s="612"/>
      <c r="AK1393" s="481"/>
      <c r="AL1393" s="612"/>
      <c r="AM1393" s="612"/>
      <c r="AN1393" s="612"/>
      <c r="AO1393" s="612"/>
      <c r="AP1393" s="483"/>
      <c r="AQ1393" s="1676"/>
      <c r="AR1393" s="482"/>
      <c r="AS1393" s="482"/>
      <c r="AT1393" s="612"/>
      <c r="AU1393" s="481"/>
      <c r="AV1393" s="612"/>
      <c r="AW1393" s="482"/>
      <c r="AX1393" s="482"/>
      <c r="AY1393" s="862"/>
      <c r="AZ1393" s="481"/>
      <c r="BA1393" s="483"/>
      <c r="BB1393" s="430"/>
      <c r="BC1393" s="2675"/>
      <c r="BD1393" s="2675">
        <v>3564.6289999999999</v>
      </c>
      <c r="BE1393" s="481">
        <f t="shared" si="3110"/>
        <v>3564.6289999999999</v>
      </c>
      <c r="BF1393" s="2675">
        <v>3551.9810000000002</v>
      </c>
      <c r="BG1393" s="2675">
        <v>3539.03</v>
      </c>
      <c r="BH1393" s="2675">
        <v>3526.7089999999998</v>
      </c>
      <c r="BI1393" s="2675">
        <v>3514.08</v>
      </c>
      <c r="BJ1393" s="481">
        <f t="shared" si="3112"/>
        <v>3514.08</v>
      </c>
      <c r="BK1393" s="2953">
        <v>3499.2950000000001</v>
      </c>
      <c r="BL1393" s="2675">
        <v>3485.0819999999999</v>
      </c>
      <c r="BM1393" s="482">
        <v>3471.453</v>
      </c>
      <c r="BN1393" s="2952">
        <v>3457.4850000000001</v>
      </c>
      <c r="BO1393" s="481">
        <f>+BN1393</f>
        <v>3457.4850000000001</v>
      </c>
      <c r="BP1393" s="2953">
        <v>3441.3589999999999</v>
      </c>
      <c r="BQ1393" s="2953">
        <v>3506.0529999999999</v>
      </c>
      <c r="BR1393" s="482">
        <v>3490.4760000000001</v>
      </c>
      <c r="BS1393" s="3508">
        <v>3482.5729999999999</v>
      </c>
      <c r="BT1393" s="2587">
        <f t="shared" si="3120"/>
        <v>3482.5729999999999</v>
      </c>
      <c r="BU1393" s="2840">
        <f>+BT1393+BU1320</f>
        <v>3467.5035641824106</v>
      </c>
      <c r="BV1393" s="2840">
        <f>+BU1393+BV1320</f>
        <v>3452.4810450707632</v>
      </c>
      <c r="BW1393" s="3511">
        <f>+BV1393+BW1320+(((BW1252+BW1258)*4*BW1265)*8)</f>
        <v>5862.0006555762066</v>
      </c>
      <c r="BX1393" s="2840">
        <f>+BW1393+BX1320</f>
        <v>5835.813542802126</v>
      </c>
      <c r="BY1393" s="2587">
        <f t="shared" si="3124"/>
        <v>5835.813542802126</v>
      </c>
      <c r="BZ1393" s="2587">
        <f>+BY1393+BZ1320</f>
        <v>5730.6003108810737</v>
      </c>
      <c r="CA1393" s="2587">
        <f>+BZ1393+CA1320</f>
        <v>5624.5146721319215</v>
      </c>
      <c r="CB1393" s="481"/>
      <c r="CC1393" s="481"/>
      <c r="CD1393" s="481"/>
      <c r="CE1393" s="481"/>
      <c r="CF1393" s="481"/>
      <c r="CG1393" s="331"/>
      <c r="CH1393" s="331"/>
      <c r="CI1393" s="331"/>
      <c r="CJ1393" s="331"/>
      <c r="CK1393" s="331"/>
      <c r="CL1393" s="995"/>
      <c r="CM1393" s="430"/>
      <c r="CN1393" s="430"/>
      <c r="CO1393" s="430"/>
      <c r="CP1393" s="430"/>
      <c r="CQ1393" s="430"/>
      <c r="CR1393" s="430"/>
      <c r="CS1393" s="430"/>
      <c r="CT1393" s="430"/>
      <c r="CU1393" s="430"/>
      <c r="CV1393" s="430"/>
      <c r="CW1393" s="430"/>
      <c r="CX1393" s="430"/>
      <c r="CY1393" s="430"/>
      <c r="CZ1393" s="430"/>
      <c r="DA1393" s="430"/>
      <c r="DB1393" s="430"/>
      <c r="DC1393" s="853"/>
      <c r="DD1393" s="331"/>
      <c r="DE1393" s="331"/>
      <c r="DF1393" s="502"/>
      <c r="DG1393" s="503"/>
      <c r="DH1393" s="2840"/>
      <c r="DI1393" s="3213"/>
      <c r="DJ1393" s="502"/>
      <c r="DK1393" s="503"/>
      <c r="DL1393" s="502"/>
      <c r="DM1393" s="502"/>
      <c r="DN1393" s="502"/>
      <c r="DO1393" s="502"/>
      <c r="DP1393" s="503"/>
      <c r="DQ1393" s="503"/>
      <c r="DR1393" s="296"/>
      <c r="DS1393" s="296"/>
      <c r="DT1393" s="296"/>
    </row>
    <row r="1394" spans="1:124" ht="3.95" customHeight="1" x14ac:dyDescent="0.25">
      <c r="A1394" s="355"/>
      <c r="B1394" s="543"/>
      <c r="C1394" s="612"/>
      <c r="D1394" s="612"/>
      <c r="E1394" s="612"/>
      <c r="F1394" s="612"/>
      <c r="G1394" s="481"/>
      <c r="H1394" s="612"/>
      <c r="I1394" s="612"/>
      <c r="J1394" s="612"/>
      <c r="K1394" s="612"/>
      <c r="L1394" s="481"/>
      <c r="M1394" s="612"/>
      <c r="N1394" s="612"/>
      <c r="O1394" s="612"/>
      <c r="P1394" s="612"/>
      <c r="Q1394" s="481"/>
      <c r="R1394" s="612"/>
      <c r="S1394" s="612"/>
      <c r="T1394" s="612"/>
      <c r="U1394" s="612"/>
      <c r="V1394" s="481"/>
      <c r="W1394" s="612"/>
      <c r="X1394" s="612"/>
      <c r="Y1394" s="612"/>
      <c r="Z1394" s="612"/>
      <c r="AA1394" s="481"/>
      <c r="AB1394" s="612"/>
      <c r="AC1394" s="612"/>
      <c r="AD1394" s="612"/>
      <c r="AE1394" s="612"/>
      <c r="AF1394" s="481"/>
      <c r="AG1394" s="612"/>
      <c r="AH1394" s="612"/>
      <c r="AI1394" s="612"/>
      <c r="AJ1394" s="612"/>
      <c r="AK1394" s="481"/>
      <c r="AL1394" s="612"/>
      <c r="AM1394" s="612"/>
      <c r="AN1394" s="612"/>
      <c r="AO1394" s="612"/>
      <c r="AP1394" s="483"/>
      <c r="AQ1394" s="1676"/>
      <c r="AR1394" s="482"/>
      <c r="AS1394" s="482"/>
      <c r="AT1394" s="612"/>
      <c r="AU1394" s="481"/>
      <c r="AV1394" s="612"/>
      <c r="AW1394" s="482"/>
      <c r="AX1394" s="482"/>
      <c r="AY1394" s="862"/>
      <c r="AZ1394" s="481"/>
      <c r="BA1394" s="483"/>
      <c r="BB1394" s="430"/>
      <c r="BC1394" s="430"/>
      <c r="BD1394" s="430"/>
      <c r="BE1394" s="481"/>
      <c r="BF1394" s="430"/>
      <c r="BG1394" s="430"/>
      <c r="BH1394" s="430"/>
      <c r="BI1394" s="430"/>
      <c r="BJ1394" s="481"/>
      <c r="BK1394" s="430"/>
      <c r="BL1394" s="430"/>
      <c r="BM1394" s="2840"/>
      <c r="BN1394" s="853"/>
      <c r="BO1394" s="481"/>
      <c r="BP1394" s="430"/>
      <c r="BQ1394" s="430"/>
      <c r="BR1394" s="482"/>
      <c r="BS1394" s="430"/>
      <c r="BT1394" s="2587"/>
      <c r="BU1394" s="2840"/>
      <c r="BV1394" s="2840"/>
      <c r="BW1394" s="2840"/>
      <c r="BX1394" s="2840"/>
      <c r="BY1394" s="2587"/>
      <c r="BZ1394" s="2587"/>
      <c r="CA1394" s="2587"/>
      <c r="CB1394" s="481"/>
      <c r="CC1394" s="481"/>
      <c r="CD1394" s="481"/>
      <c r="CE1394" s="481"/>
      <c r="CF1394" s="481"/>
      <c r="CG1394" s="331"/>
      <c r="CH1394" s="331"/>
      <c r="CI1394" s="331"/>
      <c r="CJ1394" s="331"/>
      <c r="CK1394" s="331"/>
      <c r="CL1394" s="995"/>
      <c r="CM1394" s="430"/>
      <c r="CN1394" s="430"/>
      <c r="CO1394" s="430"/>
      <c r="CP1394" s="430"/>
      <c r="CQ1394" s="430"/>
      <c r="CR1394" s="430"/>
      <c r="CS1394" s="430"/>
      <c r="CT1394" s="430"/>
      <c r="CU1394" s="430"/>
      <c r="CV1394" s="430"/>
      <c r="CW1394" s="430"/>
      <c r="CX1394" s="430"/>
      <c r="CY1394" s="430"/>
      <c r="CZ1394" s="430"/>
      <c r="DA1394" s="430"/>
      <c r="DB1394" s="430"/>
      <c r="DC1394" s="853"/>
      <c r="DD1394" s="331"/>
      <c r="DE1394" s="331"/>
      <c r="DF1394" s="502"/>
      <c r="DG1394" s="503"/>
      <c r="DH1394" s="2840"/>
      <c r="DI1394" s="3213"/>
      <c r="DJ1394" s="502"/>
      <c r="DK1394" s="503"/>
      <c r="DL1394" s="502"/>
      <c r="DM1394" s="502"/>
      <c r="DN1394" s="502"/>
      <c r="DO1394" s="502"/>
      <c r="DP1394" s="503"/>
      <c r="DQ1394" s="503"/>
      <c r="DR1394" s="296"/>
      <c r="DS1394" s="296"/>
      <c r="DT1394" s="296"/>
    </row>
    <row r="1395" spans="1:124" ht="12" customHeight="1" x14ac:dyDescent="0.25">
      <c r="A1395" s="296" t="s">
        <v>1980</v>
      </c>
      <c r="B1395" s="607">
        <v>15.423</v>
      </c>
      <c r="C1395" s="612">
        <v>15.19</v>
      </c>
      <c r="D1395" s="612">
        <v>14.927</v>
      </c>
      <c r="E1395" s="612">
        <v>14.794</v>
      </c>
      <c r="F1395" s="612">
        <v>13.909000000000001</v>
      </c>
      <c r="G1395" s="481">
        <f t="shared" si="3144"/>
        <v>13.909000000000001</v>
      </c>
      <c r="H1395" s="612">
        <v>13.648999999999999</v>
      </c>
      <c r="I1395" s="612">
        <v>13.382</v>
      </c>
      <c r="J1395" s="612">
        <v>13.112</v>
      </c>
      <c r="K1395" s="612">
        <v>12.191000000000001</v>
      </c>
      <c r="L1395" s="481">
        <f t="shared" si="3145"/>
        <v>12.191000000000001</v>
      </c>
      <c r="M1395" s="612">
        <v>11.917</v>
      </c>
      <c r="N1395" s="612">
        <v>11.617000000000001</v>
      </c>
      <c r="O1395" s="612">
        <v>11.577</v>
      </c>
      <c r="P1395" s="612">
        <v>10.532</v>
      </c>
      <c r="Q1395" s="481">
        <f t="shared" si="3146"/>
        <v>10.532</v>
      </c>
      <c r="R1395" s="612">
        <v>10.206</v>
      </c>
      <c r="S1395" s="612">
        <v>9.8940000000000001</v>
      </c>
      <c r="T1395" s="612">
        <v>9.5760000000000005</v>
      </c>
      <c r="U1395" s="612">
        <v>8.4870000000000001</v>
      </c>
      <c r="V1395" s="481">
        <f t="shared" si="3147"/>
        <v>8.4870000000000001</v>
      </c>
      <c r="W1395" s="612">
        <v>8.1549999999999994</v>
      </c>
      <c r="X1395" s="612">
        <v>7.8170000000000002</v>
      </c>
      <c r="Y1395" s="612">
        <v>7.4480000000000004</v>
      </c>
      <c r="Z1395" s="612">
        <v>6.1950000000000003</v>
      </c>
      <c r="AA1395" s="481">
        <f t="shared" si="3148"/>
        <v>6.1950000000000003</v>
      </c>
      <c r="AB1395" s="612">
        <v>5.8479999999999999</v>
      </c>
      <c r="AC1395" s="612">
        <v>5.4909999999999997</v>
      </c>
      <c r="AD1395" s="612">
        <v>5.335</v>
      </c>
      <c r="AE1395" s="612">
        <v>4.1749999999999998</v>
      </c>
      <c r="AF1395" s="481">
        <f t="shared" si="3149"/>
        <v>4.1749999999999998</v>
      </c>
      <c r="AG1395" s="612">
        <v>4.1550000000000002</v>
      </c>
      <c r="AH1395" s="612">
        <v>4.1349999999999998</v>
      </c>
      <c r="AI1395" s="612">
        <v>4.2270000000000003</v>
      </c>
      <c r="AJ1395" s="612">
        <v>3.2160000000000002</v>
      </c>
      <c r="AK1395" s="481">
        <f t="shared" si="3150"/>
        <v>3.2160000000000002</v>
      </c>
      <c r="AL1395" s="612">
        <v>3.173</v>
      </c>
      <c r="AM1395" s="612">
        <v>3.121</v>
      </c>
      <c r="AN1395" s="612">
        <v>3.2890000000000001</v>
      </c>
      <c r="AO1395" s="612">
        <v>2.2149999999999999</v>
      </c>
      <c r="AP1395" s="483">
        <f t="shared" si="3151"/>
        <v>2.2149999999999999</v>
      </c>
      <c r="AQ1395" s="1676">
        <v>2.1850000000000001</v>
      </c>
      <c r="AR1395" s="482">
        <v>2.161</v>
      </c>
      <c r="AS1395" s="482">
        <v>2.14</v>
      </c>
      <c r="AT1395" s="612">
        <v>2.1110000000000002</v>
      </c>
      <c r="AU1395" s="481">
        <f t="shared" si="3152"/>
        <v>2.1110000000000002</v>
      </c>
      <c r="AV1395" s="612">
        <v>2.0760000000000001</v>
      </c>
      <c r="AW1395" s="482">
        <v>2.0609999999999999</v>
      </c>
      <c r="AX1395" s="482">
        <v>2.0379999999999998</v>
      </c>
      <c r="AY1395" s="612">
        <v>2.0150000000000001</v>
      </c>
      <c r="AZ1395" s="481">
        <f t="shared" ref="AZ1395:AZ1400" si="3165">AY1395</f>
        <v>2.0150000000000001</v>
      </c>
      <c r="BA1395" s="2800">
        <v>1.9910000000000001</v>
      </c>
      <c r="BB1395" s="2675">
        <v>2.1890000000000001</v>
      </c>
      <c r="BC1395" s="2675">
        <v>2.1619999999999999</v>
      </c>
      <c r="BD1395" s="2675">
        <v>25.137</v>
      </c>
      <c r="BE1395" s="481">
        <f>+BD1395</f>
        <v>25.137</v>
      </c>
      <c r="BF1395" s="2675">
        <v>25.126000000000001</v>
      </c>
      <c r="BG1395" s="2675">
        <v>25.114999999999998</v>
      </c>
      <c r="BH1395" s="2675">
        <v>28.896999999999998</v>
      </c>
      <c r="BI1395" s="2675">
        <v>28.466000000000001</v>
      </c>
      <c r="BJ1395" s="481">
        <f>+BI1395</f>
        <v>28.466000000000001</v>
      </c>
      <c r="BK1395" s="2953">
        <v>28.036000000000001</v>
      </c>
      <c r="BL1395" s="2675">
        <v>27.597999999999999</v>
      </c>
      <c r="BM1395" s="482">
        <v>2.2149999999999999</v>
      </c>
      <c r="BN1395" s="482">
        <v>1.76</v>
      </c>
      <c r="BO1395" s="481">
        <f>+BN1395</f>
        <v>1.76</v>
      </c>
      <c r="BP1395" s="2953">
        <v>1.321</v>
      </c>
      <c r="BQ1395" s="2953">
        <v>0.879</v>
      </c>
      <c r="BR1395" s="482">
        <v>1.319</v>
      </c>
      <c r="BS1395" s="3508">
        <v>0.89100000000000001</v>
      </c>
      <c r="BT1395" s="2587">
        <f>+BS1395</f>
        <v>0.89100000000000001</v>
      </c>
      <c r="BU1395" s="2840">
        <f t="shared" ref="BU1395:BW1396" si="3166">BT1395</f>
        <v>0.89100000000000001</v>
      </c>
      <c r="BV1395" s="2840">
        <f t="shared" si="3166"/>
        <v>0.89100000000000001</v>
      </c>
      <c r="BW1395" s="2840">
        <f t="shared" si="3166"/>
        <v>0.89100000000000001</v>
      </c>
      <c r="BX1395" s="2840">
        <f>BW1395</f>
        <v>0.89100000000000001</v>
      </c>
      <c r="BY1395" s="2587">
        <f>+BX1395</f>
        <v>0.89100000000000001</v>
      </c>
      <c r="BZ1395" s="2587">
        <f>BY1395</f>
        <v>0.89100000000000001</v>
      </c>
      <c r="CA1395" s="2587">
        <f>BZ1395</f>
        <v>0.89100000000000001</v>
      </c>
      <c r="CB1395" s="481">
        <f t="shared" ref="CB1395:CF1396" si="3167">CA1395</f>
        <v>0.89100000000000001</v>
      </c>
      <c r="CC1395" s="481">
        <f t="shared" si="3167"/>
        <v>0.89100000000000001</v>
      </c>
      <c r="CD1395" s="481">
        <f t="shared" si="3167"/>
        <v>0.89100000000000001</v>
      </c>
      <c r="CE1395" s="481">
        <f t="shared" si="3167"/>
        <v>0.89100000000000001</v>
      </c>
      <c r="CF1395" s="481">
        <f t="shared" si="3167"/>
        <v>0.89100000000000001</v>
      </c>
      <c r="CG1395" s="331"/>
      <c r="CH1395" s="331"/>
      <c r="CI1395" s="331"/>
      <c r="CJ1395" s="331"/>
      <c r="CK1395" s="331"/>
      <c r="CL1395" s="520" t="str">
        <f>A1395</f>
        <v>Capital leases</v>
      </c>
      <c r="CM1395" s="430">
        <f t="shared" ref="CM1395:CM1403" si="3168">G1395</f>
        <v>13.909000000000001</v>
      </c>
      <c r="CN1395" s="430">
        <f t="shared" ref="CN1395:CN1403" si="3169">L1395</f>
        <v>12.191000000000001</v>
      </c>
      <c r="CO1395" s="430">
        <f t="shared" ref="CO1395:CO1403" si="3170">Q1395</f>
        <v>10.532</v>
      </c>
      <c r="CP1395" s="430">
        <f t="shared" ref="CP1395:CP1403" si="3171">V1395</f>
        <v>8.4870000000000001</v>
      </c>
      <c r="CQ1395" s="430">
        <f t="shared" ref="CQ1395:CQ1403" si="3172">AA1395</f>
        <v>6.1950000000000003</v>
      </c>
      <c r="CR1395" s="430">
        <f t="shared" ref="CR1395:CR1403" si="3173">AF1395</f>
        <v>4.1749999999999998</v>
      </c>
      <c r="CS1395" s="430">
        <f t="shared" ref="CS1395:CS1403" si="3174">AK1395</f>
        <v>3.2160000000000002</v>
      </c>
      <c r="CT1395" s="430">
        <f t="shared" ref="CT1395:CT1403" si="3175">AP1395</f>
        <v>2.2149999999999999</v>
      </c>
      <c r="CU1395" s="430">
        <f t="shared" ref="CU1395:CU1403" si="3176">AU1395</f>
        <v>2.1110000000000002</v>
      </c>
      <c r="CV1395" s="430">
        <f t="shared" ref="CV1395:CV1403" si="3177">AZ1395</f>
        <v>2.0150000000000001</v>
      </c>
      <c r="CW1395" s="430">
        <f t="shared" ref="CW1395:CW1403" si="3178">BE1395</f>
        <v>25.137</v>
      </c>
      <c r="CX1395" s="430">
        <f t="shared" ref="CX1395:CX1403" si="3179">BJ1395</f>
        <v>28.466000000000001</v>
      </c>
      <c r="CY1395" s="430">
        <f t="shared" ref="CY1395:CY1403" si="3180">BO1395</f>
        <v>1.76</v>
      </c>
      <c r="CZ1395" s="430">
        <f t="shared" ref="CZ1395:CZ1403" si="3181">BT1395</f>
        <v>0.89100000000000001</v>
      </c>
      <c r="DA1395" s="430">
        <f t="shared" ref="DA1395:DA1403" si="3182">BY1395</f>
        <v>0.89100000000000001</v>
      </c>
      <c r="DB1395" s="430">
        <f t="shared" ref="DB1395:DB1403" si="3183">BZ1395</f>
        <v>0.89100000000000001</v>
      </c>
      <c r="DC1395" s="853">
        <f t="shared" ref="DC1395:DC1403" si="3184">CA1395</f>
        <v>0.89100000000000001</v>
      </c>
      <c r="DD1395" s="331"/>
      <c r="DE1395" s="331"/>
      <c r="DF1395" s="502"/>
      <c r="DG1395" s="503"/>
      <c r="DH1395" s="2840"/>
      <c r="DI1395" s="3213"/>
      <c r="DJ1395" s="502"/>
      <c r="DK1395" s="503"/>
      <c r="DL1395" s="502"/>
      <c r="DM1395" s="502"/>
      <c r="DN1395" s="502"/>
      <c r="DO1395" s="502"/>
      <c r="DP1395" s="503"/>
      <c r="DQ1395" s="503"/>
      <c r="DR1395" s="296"/>
      <c r="DS1395" s="296"/>
      <c r="DT1395" s="296"/>
    </row>
    <row r="1396" spans="1:124" ht="12" customHeight="1" x14ac:dyDescent="0.25">
      <c r="A1396" s="296" t="s">
        <v>1998</v>
      </c>
      <c r="B1396" s="607">
        <v>0</v>
      </c>
      <c r="C1396" s="612">
        <f>150+39.623-70.348</f>
        <v>119.27499999999999</v>
      </c>
      <c r="D1396" s="612">
        <v>0</v>
      </c>
      <c r="E1396" s="612">
        <v>0</v>
      </c>
      <c r="F1396" s="612">
        <v>0</v>
      </c>
      <c r="G1396" s="481">
        <f t="shared" si="3144"/>
        <v>0</v>
      </c>
      <c r="H1396" s="612">
        <v>0</v>
      </c>
      <c r="I1396" s="612">
        <v>0</v>
      </c>
      <c r="J1396" s="612">
        <v>0</v>
      </c>
      <c r="K1396" s="612">
        <v>0.16300000000000001</v>
      </c>
      <c r="L1396" s="481">
        <f t="shared" si="3145"/>
        <v>0.16300000000000001</v>
      </c>
      <c r="M1396" s="612">
        <v>0.16300000000000001</v>
      </c>
      <c r="N1396" s="612">
        <v>0.16300000000000001</v>
      </c>
      <c r="O1396" s="612">
        <v>24.617000000000001</v>
      </c>
      <c r="P1396" s="612">
        <v>25.041</v>
      </c>
      <c r="Q1396" s="481">
        <f t="shared" si="3146"/>
        <v>25.041</v>
      </c>
      <c r="R1396" s="612">
        <v>25.481999999999999</v>
      </c>
      <c r="S1396" s="612">
        <v>25.93</v>
      </c>
      <c r="T1396" s="612">
        <v>26.385999999999999</v>
      </c>
      <c r="U1396" s="612">
        <v>19.809999999999999</v>
      </c>
      <c r="V1396" s="481">
        <f t="shared" si="3147"/>
        <v>19.809999999999999</v>
      </c>
      <c r="W1396" s="612">
        <v>20.158000000000001</v>
      </c>
      <c r="X1396" s="612">
        <v>20.513999999999999</v>
      </c>
      <c r="Y1396" s="612">
        <v>20.875</v>
      </c>
      <c r="Z1396" s="612">
        <v>14.201000000000001</v>
      </c>
      <c r="AA1396" s="481">
        <f t="shared" si="3148"/>
        <v>14.201000000000001</v>
      </c>
      <c r="AB1396" s="612">
        <v>0</v>
      </c>
      <c r="AC1396" s="612">
        <v>0</v>
      </c>
      <c r="AD1396" s="612">
        <v>0</v>
      </c>
      <c r="AE1396" s="612">
        <v>0</v>
      </c>
      <c r="AF1396" s="481">
        <f t="shared" si="3149"/>
        <v>0</v>
      </c>
      <c r="AG1396" s="612">
        <v>0</v>
      </c>
      <c r="AH1396" s="612">
        <v>5.1239999999999997</v>
      </c>
      <c r="AI1396" s="612">
        <v>3.7229999999999999</v>
      </c>
      <c r="AJ1396" s="612">
        <v>3.782</v>
      </c>
      <c r="AK1396" s="481">
        <f t="shared" si="3150"/>
        <v>3.782</v>
      </c>
      <c r="AL1396" s="612">
        <v>3.84</v>
      </c>
      <c r="AM1396" s="612">
        <v>1.89</v>
      </c>
      <c r="AN1396" s="612">
        <v>1.919</v>
      </c>
      <c r="AO1396" s="612">
        <v>1.9490000000000001</v>
      </c>
      <c r="AP1396" s="483">
        <f t="shared" si="3151"/>
        <v>1.9490000000000001</v>
      </c>
      <c r="AQ1396" s="1676">
        <v>1.9790000000000001</v>
      </c>
      <c r="AR1396" s="482">
        <v>0</v>
      </c>
      <c r="AS1396" s="482">
        <v>10</v>
      </c>
      <c r="AT1396" s="612">
        <v>10</v>
      </c>
      <c r="AU1396" s="481">
        <f t="shared" si="3152"/>
        <v>10</v>
      </c>
      <c r="AV1396" s="612">
        <v>10</v>
      </c>
      <c r="AW1396" s="482">
        <v>11.217000000000001</v>
      </c>
      <c r="AX1396" s="482">
        <v>11.217000000000001</v>
      </c>
      <c r="AY1396" s="612">
        <v>0</v>
      </c>
      <c r="AZ1396" s="481">
        <f t="shared" si="3165"/>
        <v>0</v>
      </c>
      <c r="BA1396" s="483">
        <f>AZ1396</f>
        <v>0</v>
      </c>
      <c r="BB1396" s="430">
        <f>BA1396</f>
        <v>0</v>
      </c>
      <c r="BC1396" s="430">
        <f>BB1396</f>
        <v>0</v>
      </c>
      <c r="BD1396" s="853">
        <f>BC1396</f>
        <v>0</v>
      </c>
      <c r="BE1396" s="481">
        <f>+BD1396</f>
        <v>0</v>
      </c>
      <c r="BF1396" s="430">
        <f>BE1396</f>
        <v>0</v>
      </c>
      <c r="BG1396" s="430">
        <f>BF1396</f>
        <v>0</v>
      </c>
      <c r="BH1396" s="430">
        <f>BG1396</f>
        <v>0</v>
      </c>
      <c r="BI1396" s="853">
        <f>BH1396</f>
        <v>0</v>
      </c>
      <c r="BJ1396" s="481">
        <f>+BI1396</f>
        <v>0</v>
      </c>
      <c r="BK1396" s="2953">
        <v>0</v>
      </c>
      <c r="BL1396" s="430">
        <f>BK1396</f>
        <v>0</v>
      </c>
      <c r="BM1396" s="430">
        <f>BL1396</f>
        <v>0</v>
      </c>
      <c r="BN1396" s="853">
        <f>BM1396</f>
        <v>0</v>
      </c>
      <c r="BO1396" s="481">
        <f>+BN1396</f>
        <v>0</v>
      </c>
      <c r="BP1396" s="430">
        <f t="shared" ref="BP1396:BS1396" si="3185">BO1396</f>
        <v>0</v>
      </c>
      <c r="BQ1396" s="430">
        <f t="shared" si="3185"/>
        <v>0</v>
      </c>
      <c r="BR1396" s="430">
        <f t="shared" si="3185"/>
        <v>0</v>
      </c>
      <c r="BS1396" s="430">
        <f t="shared" si="3185"/>
        <v>0</v>
      </c>
      <c r="BT1396" s="2587">
        <f>+BS1396</f>
        <v>0</v>
      </c>
      <c r="BU1396" s="2840">
        <f t="shared" si="3166"/>
        <v>0</v>
      </c>
      <c r="BV1396" s="2840">
        <f t="shared" si="3166"/>
        <v>0</v>
      </c>
      <c r="BW1396" s="2840">
        <f t="shared" si="3166"/>
        <v>0</v>
      </c>
      <c r="BX1396" s="2840">
        <f>BW1396</f>
        <v>0</v>
      </c>
      <c r="BY1396" s="2587">
        <f>+BX1396</f>
        <v>0</v>
      </c>
      <c r="BZ1396" s="2587">
        <f>BY1396</f>
        <v>0</v>
      </c>
      <c r="CA1396" s="2587">
        <f>BZ1396</f>
        <v>0</v>
      </c>
      <c r="CB1396" s="481">
        <f t="shared" si="3167"/>
        <v>0</v>
      </c>
      <c r="CC1396" s="481">
        <f t="shared" si="3167"/>
        <v>0</v>
      </c>
      <c r="CD1396" s="481">
        <f t="shared" si="3167"/>
        <v>0</v>
      </c>
      <c r="CE1396" s="481">
        <f t="shared" si="3167"/>
        <v>0</v>
      </c>
      <c r="CF1396" s="481">
        <f t="shared" si="3167"/>
        <v>0</v>
      </c>
      <c r="CG1396" s="331"/>
      <c r="CH1396" s="331"/>
      <c r="CI1396" s="331"/>
      <c r="CJ1396" s="331"/>
      <c r="CK1396" s="331"/>
      <c r="CL1396" s="520" t="str">
        <f>A1396</f>
        <v>Other notes payable</v>
      </c>
      <c r="CM1396" s="430">
        <f t="shared" si="3168"/>
        <v>0</v>
      </c>
      <c r="CN1396" s="430">
        <f t="shared" si="3169"/>
        <v>0.16300000000000001</v>
      </c>
      <c r="CO1396" s="430">
        <f t="shared" si="3170"/>
        <v>25.041</v>
      </c>
      <c r="CP1396" s="430">
        <f t="shared" si="3171"/>
        <v>19.809999999999999</v>
      </c>
      <c r="CQ1396" s="430">
        <f t="shared" si="3172"/>
        <v>14.201000000000001</v>
      </c>
      <c r="CR1396" s="430">
        <f t="shared" si="3173"/>
        <v>0</v>
      </c>
      <c r="CS1396" s="430">
        <f t="shared" si="3174"/>
        <v>3.782</v>
      </c>
      <c r="CT1396" s="430">
        <f t="shared" si="3175"/>
        <v>1.9490000000000001</v>
      </c>
      <c r="CU1396" s="430">
        <f t="shared" si="3176"/>
        <v>10</v>
      </c>
      <c r="CV1396" s="430">
        <f t="shared" si="3177"/>
        <v>0</v>
      </c>
      <c r="CW1396" s="430">
        <f t="shared" si="3178"/>
        <v>0</v>
      </c>
      <c r="CX1396" s="430">
        <f t="shared" si="3179"/>
        <v>0</v>
      </c>
      <c r="CY1396" s="430">
        <f t="shared" si="3180"/>
        <v>0</v>
      </c>
      <c r="CZ1396" s="430">
        <f t="shared" si="3181"/>
        <v>0</v>
      </c>
      <c r="DA1396" s="430">
        <f t="shared" si="3182"/>
        <v>0</v>
      </c>
      <c r="DB1396" s="430">
        <f t="shared" si="3183"/>
        <v>0</v>
      </c>
      <c r="DC1396" s="853">
        <f t="shared" si="3184"/>
        <v>0</v>
      </c>
      <c r="DD1396" s="331"/>
      <c r="DE1396" s="331"/>
      <c r="DF1396" s="502"/>
      <c r="DG1396" s="503"/>
      <c r="DH1396" s="2840"/>
      <c r="DI1396" s="3213"/>
      <c r="DJ1396" s="502"/>
      <c r="DK1396" s="503"/>
      <c r="DL1396" s="502"/>
      <c r="DM1396" s="502"/>
      <c r="DN1396" s="502"/>
      <c r="DO1396" s="502"/>
      <c r="DP1396" s="503"/>
      <c r="DQ1396" s="503"/>
      <c r="DR1396" s="296"/>
      <c r="DS1396" s="296"/>
      <c r="DT1396" s="296"/>
    </row>
    <row r="1397" spans="1:124" ht="4.5" customHeight="1" x14ac:dyDescent="0.25">
      <c r="A1397" s="740"/>
      <c r="B1397" s="544" t="s">
        <v>1151</v>
      </c>
      <c r="C1397" s="544" t="s">
        <v>1151</v>
      </c>
      <c r="D1397" s="544" t="s">
        <v>1151</v>
      </c>
      <c r="E1397" s="544" t="s">
        <v>1151</v>
      </c>
      <c r="F1397" s="544" t="s">
        <v>1151</v>
      </c>
      <c r="G1397" s="461" t="s">
        <v>1151</v>
      </c>
      <c r="H1397" s="544" t="s">
        <v>1151</v>
      </c>
      <c r="I1397" s="544" t="s">
        <v>1151</v>
      </c>
      <c r="J1397" s="544" t="s">
        <v>1151</v>
      </c>
      <c r="K1397" s="544" t="s">
        <v>1151</v>
      </c>
      <c r="L1397" s="461" t="s">
        <v>1151</v>
      </c>
      <c r="M1397" s="544" t="s">
        <v>1151</v>
      </c>
      <c r="N1397" s="544" t="s">
        <v>1151</v>
      </c>
      <c r="O1397" s="544" t="s">
        <v>1151</v>
      </c>
      <c r="P1397" s="544" t="s">
        <v>1151</v>
      </c>
      <c r="Q1397" s="461" t="s">
        <v>1151</v>
      </c>
      <c r="R1397" s="544" t="s">
        <v>1151</v>
      </c>
      <c r="S1397" s="544" t="s">
        <v>1151</v>
      </c>
      <c r="T1397" s="544" t="s">
        <v>1151</v>
      </c>
      <c r="U1397" s="544" t="s">
        <v>1151</v>
      </c>
      <c r="V1397" s="461" t="s">
        <v>1151</v>
      </c>
      <c r="W1397" s="544" t="s">
        <v>1151</v>
      </c>
      <c r="X1397" s="544" t="s">
        <v>1151</v>
      </c>
      <c r="Y1397" s="544" t="s">
        <v>1151</v>
      </c>
      <c r="Z1397" s="544" t="s">
        <v>1151</v>
      </c>
      <c r="AA1397" s="461" t="s">
        <v>1151</v>
      </c>
      <c r="AB1397" s="544" t="s">
        <v>1151</v>
      </c>
      <c r="AC1397" s="544" t="s">
        <v>1151</v>
      </c>
      <c r="AD1397" s="544" t="s">
        <v>1151</v>
      </c>
      <c r="AE1397" s="544" t="s">
        <v>1151</v>
      </c>
      <c r="AF1397" s="461" t="s">
        <v>1151</v>
      </c>
      <c r="AG1397" s="544" t="s">
        <v>1151</v>
      </c>
      <c r="AH1397" s="544" t="s">
        <v>1151</v>
      </c>
      <c r="AI1397" s="544" t="s">
        <v>1151</v>
      </c>
      <c r="AJ1397" s="544" t="s">
        <v>1151</v>
      </c>
      <c r="AK1397" s="461" t="s">
        <v>1151</v>
      </c>
      <c r="AL1397" s="544" t="s">
        <v>1151</v>
      </c>
      <c r="AM1397" s="544" t="s">
        <v>1151</v>
      </c>
      <c r="AN1397" s="544" t="s">
        <v>1151</v>
      </c>
      <c r="AO1397" s="544" t="s">
        <v>1151</v>
      </c>
      <c r="AP1397" s="461" t="s">
        <v>1151</v>
      </c>
      <c r="AQ1397" s="544" t="s">
        <v>1151</v>
      </c>
      <c r="AR1397" s="544" t="s">
        <v>1151</v>
      </c>
      <c r="AS1397" s="544" t="s">
        <v>1151</v>
      </c>
      <c r="AT1397" s="544" t="s">
        <v>1151</v>
      </c>
      <c r="AU1397" s="461" t="s">
        <v>1151</v>
      </c>
      <c r="AV1397" s="544" t="s">
        <v>1151</v>
      </c>
      <c r="AW1397" s="2456" t="s">
        <v>1151</v>
      </c>
      <c r="AX1397" s="2456" t="s">
        <v>1151</v>
      </c>
      <c r="AY1397" s="544" t="s">
        <v>1151</v>
      </c>
      <c r="AZ1397" s="461" t="s">
        <v>1151</v>
      </c>
      <c r="BA1397" s="544" t="s">
        <v>1151</v>
      </c>
      <c r="BB1397" s="544" t="s">
        <v>1151</v>
      </c>
      <c r="BC1397" s="544" t="s">
        <v>1151</v>
      </c>
      <c r="BD1397" s="544" t="s">
        <v>1151</v>
      </c>
      <c r="BE1397" s="461" t="s">
        <v>1151</v>
      </c>
      <c r="BF1397" s="544" t="s">
        <v>1151</v>
      </c>
      <c r="BG1397" s="544" t="s">
        <v>1151</v>
      </c>
      <c r="BH1397" s="544" t="s">
        <v>1151</v>
      </c>
      <c r="BI1397" s="544" t="s">
        <v>1151</v>
      </c>
      <c r="BJ1397" s="461" t="s">
        <v>1151</v>
      </c>
      <c r="BK1397" s="2029" t="s">
        <v>1151</v>
      </c>
      <c r="BL1397" s="460" t="s">
        <v>1151</v>
      </c>
      <c r="BM1397" s="544" t="s">
        <v>1151</v>
      </c>
      <c r="BN1397" s="544" t="s">
        <v>1151</v>
      </c>
      <c r="BO1397" s="461" t="s">
        <v>1151</v>
      </c>
      <c r="BP1397" s="544" t="s">
        <v>1151</v>
      </c>
      <c r="BQ1397" s="544" t="s">
        <v>1151</v>
      </c>
      <c r="BR1397" s="544" t="s">
        <v>1151</v>
      </c>
      <c r="BS1397" s="544" t="s">
        <v>1151</v>
      </c>
      <c r="BT1397" s="461" t="s">
        <v>1151</v>
      </c>
      <c r="BU1397" s="544" t="s">
        <v>1151</v>
      </c>
      <c r="BV1397" s="544" t="s">
        <v>1151</v>
      </c>
      <c r="BW1397" s="544" t="s">
        <v>1151</v>
      </c>
      <c r="BX1397" s="544" t="s">
        <v>1151</v>
      </c>
      <c r="BY1397" s="461" t="s">
        <v>1151</v>
      </c>
      <c r="BZ1397" s="461" t="s">
        <v>1151</v>
      </c>
      <c r="CA1397" s="461" t="s">
        <v>1151</v>
      </c>
      <c r="CB1397" s="461" t="s">
        <v>1151</v>
      </c>
      <c r="CC1397" s="461" t="s">
        <v>1151</v>
      </c>
      <c r="CD1397" s="461" t="s">
        <v>1151</v>
      </c>
      <c r="CE1397" s="461" t="s">
        <v>1151</v>
      </c>
      <c r="CF1397" s="461" t="s">
        <v>1151</v>
      </c>
      <c r="CG1397" s="331"/>
      <c r="CH1397" s="331"/>
      <c r="CI1397" s="331"/>
      <c r="CJ1397" s="331"/>
      <c r="CK1397" s="331"/>
      <c r="CL1397" s="1115"/>
      <c r="CM1397" s="2029" t="str">
        <f t="shared" si="3168"/>
        <v xml:space="preserve">                </v>
      </c>
      <c r="CN1397" s="2029" t="str">
        <f t="shared" si="3169"/>
        <v xml:space="preserve">                </v>
      </c>
      <c r="CO1397" s="2029" t="str">
        <f t="shared" si="3170"/>
        <v xml:space="preserve">                </v>
      </c>
      <c r="CP1397" s="2029" t="str">
        <f t="shared" si="3171"/>
        <v xml:space="preserve">                </v>
      </c>
      <c r="CQ1397" s="2029" t="str">
        <f t="shared" si="3172"/>
        <v xml:space="preserve">                </v>
      </c>
      <c r="CR1397" s="2029" t="str">
        <f t="shared" si="3173"/>
        <v xml:space="preserve">                </v>
      </c>
      <c r="CS1397" s="2029" t="str">
        <f t="shared" si="3174"/>
        <v xml:space="preserve">                </v>
      </c>
      <c r="CT1397" s="2029" t="str">
        <f t="shared" si="3175"/>
        <v xml:space="preserve">                </v>
      </c>
      <c r="CU1397" s="2029" t="str">
        <f t="shared" si="3176"/>
        <v xml:space="preserve">                </v>
      </c>
      <c r="CV1397" s="2029" t="str">
        <f t="shared" si="3177"/>
        <v xml:space="preserve">                </v>
      </c>
      <c r="CW1397" s="2029" t="str">
        <f t="shared" si="3178"/>
        <v xml:space="preserve">                </v>
      </c>
      <c r="CX1397" s="2029" t="str">
        <f t="shared" si="3179"/>
        <v xml:space="preserve">                </v>
      </c>
      <c r="CY1397" s="2029" t="str">
        <f t="shared" si="3180"/>
        <v xml:space="preserve">                </v>
      </c>
      <c r="CZ1397" s="2029" t="str">
        <f t="shared" si="3181"/>
        <v xml:space="preserve">                </v>
      </c>
      <c r="DA1397" s="2029" t="str">
        <f t="shared" si="3182"/>
        <v xml:space="preserve">                </v>
      </c>
      <c r="DB1397" s="2029" t="str">
        <f t="shared" si="3183"/>
        <v xml:space="preserve">                </v>
      </c>
      <c r="DC1397" s="2030" t="str">
        <f t="shared" si="3184"/>
        <v xml:space="preserve">                </v>
      </c>
      <c r="DD1397" s="331"/>
      <c r="DE1397" s="331"/>
      <c r="DF1397" s="502"/>
      <c r="DG1397" s="503"/>
      <c r="DH1397" s="2029"/>
      <c r="DI1397" s="3213"/>
      <c r="DJ1397" s="502"/>
      <c r="DK1397" s="503"/>
      <c r="DL1397" s="502"/>
      <c r="DM1397" s="502"/>
      <c r="DN1397" s="502"/>
      <c r="DO1397" s="502"/>
      <c r="DP1397" s="503"/>
      <c r="DQ1397" s="503"/>
      <c r="DR1397" s="296"/>
      <c r="DS1397" s="296"/>
      <c r="DT1397" s="296"/>
    </row>
    <row r="1398" spans="1:124" ht="12" hidden="1" customHeight="1" outlineLevel="2" x14ac:dyDescent="0.25">
      <c r="A1398" s="355" t="s">
        <v>1012</v>
      </c>
      <c r="B1398" s="607">
        <v>0</v>
      </c>
      <c r="C1398" s="612">
        <v>0</v>
      </c>
      <c r="D1398" s="612">
        <v>0</v>
      </c>
      <c r="E1398" s="612">
        <v>0</v>
      </c>
      <c r="F1398" s="612">
        <v>0</v>
      </c>
      <c r="G1398" s="481">
        <f t="shared" si="3144"/>
        <v>0</v>
      </c>
      <c r="H1398" s="612">
        <v>0</v>
      </c>
      <c r="I1398" s="612">
        <v>0</v>
      </c>
      <c r="J1398" s="612">
        <v>0</v>
      </c>
      <c r="K1398" s="612">
        <v>0</v>
      </c>
      <c r="L1398" s="481">
        <f t="shared" si="3145"/>
        <v>0</v>
      </c>
      <c r="M1398" s="612">
        <v>0</v>
      </c>
      <c r="N1398" s="612">
        <v>0</v>
      </c>
      <c r="O1398" s="612">
        <v>0</v>
      </c>
      <c r="P1398" s="612">
        <v>0</v>
      </c>
      <c r="Q1398" s="481">
        <f t="shared" si="3146"/>
        <v>0</v>
      </c>
      <c r="R1398" s="612">
        <v>0</v>
      </c>
      <c r="S1398" s="612">
        <v>0</v>
      </c>
      <c r="T1398" s="612">
        <v>0</v>
      </c>
      <c r="U1398" s="612">
        <v>0</v>
      </c>
      <c r="V1398" s="481">
        <f t="shared" si="3147"/>
        <v>0</v>
      </c>
      <c r="W1398" s="612">
        <v>0</v>
      </c>
      <c r="X1398" s="612">
        <v>0</v>
      </c>
      <c r="Y1398" s="612">
        <v>0</v>
      </c>
      <c r="Z1398" s="612">
        <v>0</v>
      </c>
      <c r="AA1398" s="481">
        <f t="shared" si="3148"/>
        <v>0</v>
      </c>
      <c r="AB1398" s="612">
        <v>0</v>
      </c>
      <c r="AC1398" s="612">
        <v>0</v>
      </c>
      <c r="AD1398" s="612">
        <v>0</v>
      </c>
      <c r="AE1398" s="612">
        <v>0</v>
      </c>
      <c r="AF1398" s="481">
        <f t="shared" si="3149"/>
        <v>0</v>
      </c>
      <c r="AG1398" s="612">
        <v>0</v>
      </c>
      <c r="AH1398" s="612">
        <v>0</v>
      </c>
      <c r="AI1398" s="612">
        <v>0</v>
      </c>
      <c r="AJ1398" s="612">
        <v>0</v>
      </c>
      <c r="AK1398" s="481">
        <f t="shared" si="3150"/>
        <v>0</v>
      </c>
      <c r="AL1398" s="612">
        <v>0</v>
      </c>
      <c r="AM1398" s="612">
        <v>0</v>
      </c>
      <c r="AN1398" s="612">
        <v>0</v>
      </c>
      <c r="AO1398" s="612">
        <v>0</v>
      </c>
      <c r="AP1398" s="483">
        <f t="shared" si="3151"/>
        <v>0</v>
      </c>
      <c r="AQ1398" s="1676">
        <v>0</v>
      </c>
      <c r="AR1398" s="482">
        <v>0</v>
      </c>
      <c r="AS1398" s="482">
        <v>0</v>
      </c>
      <c r="AT1398" s="612">
        <v>0</v>
      </c>
      <c r="AU1398" s="481">
        <f t="shared" si="3152"/>
        <v>0</v>
      </c>
      <c r="AV1398" s="612">
        <v>0</v>
      </c>
      <c r="AW1398" s="482">
        <f t="shared" ref="AW1398:AX1400" si="3186">AV1398</f>
        <v>0</v>
      </c>
      <c r="AX1398" s="482">
        <f t="shared" si="3186"/>
        <v>0</v>
      </c>
      <c r="AY1398" s="612">
        <v>0</v>
      </c>
      <c r="AZ1398" s="481">
        <f t="shared" si="3165"/>
        <v>0</v>
      </c>
      <c r="BA1398" s="483">
        <f t="shared" ref="BA1398:BF1400" si="3187">AZ1398</f>
        <v>0</v>
      </c>
      <c r="BB1398" s="430">
        <f t="shared" si="3187"/>
        <v>0</v>
      </c>
      <c r="BC1398" s="430">
        <f t="shared" si="3187"/>
        <v>0</v>
      </c>
      <c r="BD1398" s="853">
        <f t="shared" si="3187"/>
        <v>0</v>
      </c>
      <c r="BE1398" s="481">
        <f t="shared" si="3187"/>
        <v>0</v>
      </c>
      <c r="BF1398" s="430">
        <f t="shared" si="3187"/>
        <v>0</v>
      </c>
      <c r="BG1398" s="430">
        <f t="shared" ref="BG1398:BH1400" si="3188">BF1398</f>
        <v>0</v>
      </c>
      <c r="BH1398" s="430">
        <f t="shared" si="3188"/>
        <v>0</v>
      </c>
      <c r="BI1398" s="853">
        <f t="shared" ref="BI1398:BJ1400" si="3189">BH1398</f>
        <v>0</v>
      </c>
      <c r="BJ1398" s="481">
        <f t="shared" si="3189"/>
        <v>0</v>
      </c>
      <c r="BK1398" s="430">
        <f t="shared" ref="BK1398:BL1400" si="3190">BJ1398</f>
        <v>0</v>
      </c>
      <c r="BL1398" s="430">
        <f t="shared" si="3190"/>
        <v>0</v>
      </c>
      <c r="BM1398" s="430">
        <f t="shared" ref="BM1398:BO1400" si="3191">BL1398</f>
        <v>0</v>
      </c>
      <c r="BN1398" s="853">
        <f t="shared" si="3191"/>
        <v>0</v>
      </c>
      <c r="BO1398" s="481">
        <f t="shared" si="3191"/>
        <v>0</v>
      </c>
      <c r="BP1398" s="430">
        <f t="shared" ref="BP1398:BS1400" si="3192">BO1398</f>
        <v>0</v>
      </c>
      <c r="BQ1398" s="430">
        <f t="shared" si="3192"/>
        <v>0</v>
      </c>
      <c r="BR1398" s="430">
        <f t="shared" si="3192"/>
        <v>0</v>
      </c>
      <c r="BS1398" s="430">
        <f t="shared" si="3192"/>
        <v>0</v>
      </c>
      <c r="BT1398" s="2587">
        <f>BS1398</f>
        <v>0</v>
      </c>
      <c r="BU1398" s="2840">
        <f t="shared" ref="BU1398:BW1400" si="3193">BT1398</f>
        <v>0</v>
      </c>
      <c r="BV1398" s="2840">
        <f t="shared" si="3193"/>
        <v>0</v>
      </c>
      <c r="BW1398" s="2840">
        <f t="shared" si="3193"/>
        <v>0</v>
      </c>
      <c r="BX1398" s="2840">
        <f t="shared" ref="BX1398:BY1400" si="3194">BW1398</f>
        <v>0</v>
      </c>
      <c r="BY1398" s="2587">
        <f t="shared" si="3194"/>
        <v>0</v>
      </c>
      <c r="BZ1398" s="2587">
        <f t="shared" ref="BZ1398:CA1400" si="3195">BY1398</f>
        <v>0</v>
      </c>
      <c r="CA1398" s="2587">
        <f t="shared" si="3195"/>
        <v>0</v>
      </c>
      <c r="CB1398" s="481">
        <f t="shared" ref="CB1398:CF1400" si="3196">CA1398</f>
        <v>0</v>
      </c>
      <c r="CC1398" s="481">
        <f t="shared" si="3196"/>
        <v>0</v>
      </c>
      <c r="CD1398" s="481">
        <f t="shared" si="3196"/>
        <v>0</v>
      </c>
      <c r="CE1398" s="481">
        <f t="shared" si="3196"/>
        <v>0</v>
      </c>
      <c r="CF1398" s="481">
        <f t="shared" si="3196"/>
        <v>0</v>
      </c>
      <c r="CG1398" s="331"/>
      <c r="CH1398" s="331"/>
      <c r="CI1398" s="331"/>
      <c r="CJ1398" s="331"/>
      <c r="CK1398" s="331"/>
      <c r="CL1398" s="995" t="str">
        <f>A1398</f>
        <v>Other notes payable (Future Debt)</v>
      </c>
      <c r="CM1398" s="430">
        <f t="shared" si="3168"/>
        <v>0</v>
      </c>
      <c r="CN1398" s="430">
        <f t="shared" si="3169"/>
        <v>0</v>
      </c>
      <c r="CO1398" s="430">
        <f t="shared" si="3170"/>
        <v>0</v>
      </c>
      <c r="CP1398" s="430">
        <f t="shared" si="3171"/>
        <v>0</v>
      </c>
      <c r="CQ1398" s="430">
        <f t="shared" si="3172"/>
        <v>0</v>
      </c>
      <c r="CR1398" s="430">
        <f t="shared" si="3173"/>
        <v>0</v>
      </c>
      <c r="CS1398" s="430">
        <f t="shared" si="3174"/>
        <v>0</v>
      </c>
      <c r="CT1398" s="430">
        <f t="shared" si="3175"/>
        <v>0</v>
      </c>
      <c r="CU1398" s="430">
        <f t="shared" si="3176"/>
        <v>0</v>
      </c>
      <c r="CV1398" s="430">
        <f t="shared" si="3177"/>
        <v>0</v>
      </c>
      <c r="CW1398" s="430">
        <f t="shared" si="3178"/>
        <v>0</v>
      </c>
      <c r="CX1398" s="430">
        <f t="shared" si="3179"/>
        <v>0</v>
      </c>
      <c r="CY1398" s="430">
        <f t="shared" si="3180"/>
        <v>0</v>
      </c>
      <c r="CZ1398" s="430">
        <f t="shared" si="3181"/>
        <v>0</v>
      </c>
      <c r="DA1398" s="430">
        <f t="shared" si="3182"/>
        <v>0</v>
      </c>
      <c r="DB1398" s="430">
        <f t="shared" si="3183"/>
        <v>0</v>
      </c>
      <c r="DC1398" s="853">
        <f t="shared" si="3184"/>
        <v>0</v>
      </c>
      <c r="DD1398" s="331"/>
      <c r="DE1398" s="331"/>
      <c r="DF1398" s="502"/>
      <c r="DG1398" s="503"/>
      <c r="DH1398" s="2840"/>
      <c r="DI1398" s="3213"/>
      <c r="DJ1398" s="502"/>
      <c r="DK1398" s="503"/>
      <c r="DL1398" s="502"/>
      <c r="DM1398" s="502"/>
      <c r="DN1398" s="502"/>
      <c r="DO1398" s="502"/>
      <c r="DP1398" s="503"/>
      <c r="DQ1398" s="503"/>
      <c r="DR1398" s="296"/>
      <c r="DS1398" s="296"/>
      <c r="DT1398" s="296"/>
    </row>
    <row r="1399" spans="1:124" ht="12" hidden="1" customHeight="1" outlineLevel="2" x14ac:dyDescent="0.25">
      <c r="A1399" s="1951" t="s">
        <v>1143</v>
      </c>
      <c r="B1399" s="607">
        <v>200</v>
      </c>
      <c r="C1399" s="612">
        <v>200</v>
      </c>
      <c r="D1399" s="612">
        <v>200</v>
      </c>
      <c r="E1399" s="612">
        <v>200</v>
      </c>
      <c r="F1399" s="612">
        <v>200</v>
      </c>
      <c r="G1399" s="481">
        <f t="shared" si="3144"/>
        <v>200</v>
      </c>
      <c r="H1399" s="612">
        <v>0</v>
      </c>
      <c r="I1399" s="612">
        <v>0</v>
      </c>
      <c r="J1399" s="612">
        <v>0</v>
      </c>
      <c r="K1399" s="612">
        <v>0</v>
      </c>
      <c r="L1399" s="481">
        <f t="shared" si="3145"/>
        <v>0</v>
      </c>
      <c r="M1399" s="612">
        <v>0</v>
      </c>
      <c r="N1399" s="612">
        <v>0</v>
      </c>
      <c r="O1399" s="612">
        <v>0</v>
      </c>
      <c r="P1399" s="612">
        <v>0</v>
      </c>
      <c r="Q1399" s="481">
        <f t="shared" si="3146"/>
        <v>0</v>
      </c>
      <c r="R1399" s="612">
        <v>0</v>
      </c>
      <c r="S1399" s="612">
        <v>0</v>
      </c>
      <c r="T1399" s="612">
        <v>0</v>
      </c>
      <c r="U1399" s="612">
        <v>0</v>
      </c>
      <c r="V1399" s="481">
        <f t="shared" si="3147"/>
        <v>0</v>
      </c>
      <c r="W1399" s="612">
        <v>0</v>
      </c>
      <c r="X1399" s="612">
        <v>0</v>
      </c>
      <c r="Y1399" s="612">
        <v>0</v>
      </c>
      <c r="Z1399" s="612">
        <v>0</v>
      </c>
      <c r="AA1399" s="481">
        <f t="shared" si="3148"/>
        <v>0</v>
      </c>
      <c r="AB1399" s="612">
        <v>0</v>
      </c>
      <c r="AC1399" s="612">
        <v>0</v>
      </c>
      <c r="AD1399" s="612">
        <v>0</v>
      </c>
      <c r="AE1399" s="612">
        <v>0</v>
      </c>
      <c r="AF1399" s="481">
        <f t="shared" si="3149"/>
        <v>0</v>
      </c>
      <c r="AG1399" s="612">
        <v>0</v>
      </c>
      <c r="AH1399" s="612">
        <v>0</v>
      </c>
      <c r="AI1399" s="612">
        <v>0</v>
      </c>
      <c r="AJ1399" s="612">
        <v>0</v>
      </c>
      <c r="AK1399" s="481">
        <f t="shared" si="3150"/>
        <v>0</v>
      </c>
      <c r="AL1399" s="612">
        <v>0</v>
      </c>
      <c r="AM1399" s="612">
        <v>0</v>
      </c>
      <c r="AN1399" s="612">
        <v>0</v>
      </c>
      <c r="AO1399" s="612">
        <v>0</v>
      </c>
      <c r="AP1399" s="483">
        <f t="shared" si="3151"/>
        <v>0</v>
      </c>
      <c r="AQ1399" s="1676">
        <v>0</v>
      </c>
      <c r="AR1399" s="482">
        <v>0</v>
      </c>
      <c r="AS1399" s="482">
        <v>0</v>
      </c>
      <c r="AT1399" s="612">
        <v>0</v>
      </c>
      <c r="AU1399" s="481">
        <f t="shared" si="3152"/>
        <v>0</v>
      </c>
      <c r="AV1399" s="612">
        <v>0</v>
      </c>
      <c r="AW1399" s="482">
        <f t="shared" si="3186"/>
        <v>0</v>
      </c>
      <c r="AX1399" s="482">
        <f t="shared" si="3186"/>
        <v>0</v>
      </c>
      <c r="AY1399" s="612">
        <v>0</v>
      </c>
      <c r="AZ1399" s="481">
        <f t="shared" si="3165"/>
        <v>0</v>
      </c>
      <c r="BA1399" s="483">
        <f t="shared" si="3187"/>
        <v>0</v>
      </c>
      <c r="BB1399" s="430">
        <f t="shared" si="3187"/>
        <v>0</v>
      </c>
      <c r="BC1399" s="430">
        <f t="shared" si="3187"/>
        <v>0</v>
      </c>
      <c r="BD1399" s="853">
        <f t="shared" si="3187"/>
        <v>0</v>
      </c>
      <c r="BE1399" s="481">
        <f t="shared" si="3187"/>
        <v>0</v>
      </c>
      <c r="BF1399" s="430">
        <f t="shared" si="3187"/>
        <v>0</v>
      </c>
      <c r="BG1399" s="430">
        <f t="shared" si="3188"/>
        <v>0</v>
      </c>
      <c r="BH1399" s="430">
        <f t="shared" si="3188"/>
        <v>0</v>
      </c>
      <c r="BI1399" s="853">
        <f t="shared" si="3189"/>
        <v>0</v>
      </c>
      <c r="BJ1399" s="481">
        <f t="shared" si="3189"/>
        <v>0</v>
      </c>
      <c r="BK1399" s="430">
        <f t="shared" si="3190"/>
        <v>0</v>
      </c>
      <c r="BL1399" s="430">
        <f t="shared" si="3190"/>
        <v>0</v>
      </c>
      <c r="BM1399" s="430">
        <f t="shared" si="3191"/>
        <v>0</v>
      </c>
      <c r="BN1399" s="853">
        <f t="shared" si="3191"/>
        <v>0</v>
      </c>
      <c r="BO1399" s="481">
        <f t="shared" si="3191"/>
        <v>0</v>
      </c>
      <c r="BP1399" s="430">
        <f t="shared" si="3192"/>
        <v>0</v>
      </c>
      <c r="BQ1399" s="430">
        <f t="shared" si="3192"/>
        <v>0</v>
      </c>
      <c r="BR1399" s="430">
        <f t="shared" si="3192"/>
        <v>0</v>
      </c>
      <c r="BS1399" s="430">
        <f t="shared" si="3192"/>
        <v>0</v>
      </c>
      <c r="BT1399" s="2587">
        <f>BS1399</f>
        <v>0</v>
      </c>
      <c r="BU1399" s="2840">
        <f t="shared" si="3193"/>
        <v>0</v>
      </c>
      <c r="BV1399" s="2840">
        <f t="shared" si="3193"/>
        <v>0</v>
      </c>
      <c r="BW1399" s="2840">
        <f t="shared" si="3193"/>
        <v>0</v>
      </c>
      <c r="BX1399" s="2840">
        <f t="shared" si="3194"/>
        <v>0</v>
      </c>
      <c r="BY1399" s="2587">
        <f t="shared" si="3194"/>
        <v>0</v>
      </c>
      <c r="BZ1399" s="2587">
        <f t="shared" si="3195"/>
        <v>0</v>
      </c>
      <c r="CA1399" s="2587">
        <f t="shared" si="3195"/>
        <v>0</v>
      </c>
      <c r="CB1399" s="481">
        <f t="shared" si="3196"/>
        <v>0</v>
      </c>
      <c r="CC1399" s="481">
        <f t="shared" si="3196"/>
        <v>0</v>
      </c>
      <c r="CD1399" s="481">
        <f t="shared" si="3196"/>
        <v>0</v>
      </c>
      <c r="CE1399" s="481">
        <f t="shared" si="3196"/>
        <v>0</v>
      </c>
      <c r="CF1399" s="481">
        <f t="shared" si="3196"/>
        <v>0</v>
      </c>
      <c r="CG1399" s="331"/>
      <c r="CH1399" s="331"/>
      <c r="CI1399" s="331"/>
      <c r="CJ1399" s="331"/>
      <c r="CK1399" s="331"/>
      <c r="CL1399" s="2040" t="str">
        <f>A1399</f>
        <v>$200 million 11 1/8% Sr Sub Notes</v>
      </c>
      <c r="CM1399" s="430">
        <f t="shared" si="3168"/>
        <v>200</v>
      </c>
      <c r="CN1399" s="430">
        <f t="shared" si="3169"/>
        <v>0</v>
      </c>
      <c r="CO1399" s="430">
        <f t="shared" si="3170"/>
        <v>0</v>
      </c>
      <c r="CP1399" s="430">
        <f t="shared" si="3171"/>
        <v>0</v>
      </c>
      <c r="CQ1399" s="430">
        <f t="shared" si="3172"/>
        <v>0</v>
      </c>
      <c r="CR1399" s="430">
        <f t="shared" si="3173"/>
        <v>0</v>
      </c>
      <c r="CS1399" s="430">
        <f t="shared" si="3174"/>
        <v>0</v>
      </c>
      <c r="CT1399" s="430">
        <f t="shared" si="3175"/>
        <v>0</v>
      </c>
      <c r="CU1399" s="430">
        <f t="shared" si="3176"/>
        <v>0</v>
      </c>
      <c r="CV1399" s="430">
        <f t="shared" si="3177"/>
        <v>0</v>
      </c>
      <c r="CW1399" s="430">
        <f t="shared" si="3178"/>
        <v>0</v>
      </c>
      <c r="CX1399" s="430">
        <f t="shared" si="3179"/>
        <v>0</v>
      </c>
      <c r="CY1399" s="430">
        <f t="shared" si="3180"/>
        <v>0</v>
      </c>
      <c r="CZ1399" s="430">
        <f t="shared" si="3181"/>
        <v>0</v>
      </c>
      <c r="DA1399" s="430">
        <f t="shared" si="3182"/>
        <v>0</v>
      </c>
      <c r="DB1399" s="430">
        <f t="shared" si="3183"/>
        <v>0</v>
      </c>
      <c r="DC1399" s="853">
        <f t="shared" si="3184"/>
        <v>0</v>
      </c>
      <c r="DD1399" s="331"/>
      <c r="DE1399" s="331"/>
      <c r="DF1399" s="502"/>
      <c r="DG1399" s="503"/>
      <c r="DH1399" s="2840"/>
      <c r="DI1399" s="3213"/>
      <c r="DJ1399" s="502"/>
      <c r="DK1399" s="503"/>
      <c r="DL1399" s="502"/>
      <c r="DM1399" s="502"/>
      <c r="DN1399" s="502"/>
      <c r="DO1399" s="502"/>
      <c r="DP1399" s="503"/>
      <c r="DQ1399" s="503"/>
      <c r="DR1399" s="296"/>
      <c r="DS1399" s="296"/>
      <c r="DT1399" s="296"/>
    </row>
    <row r="1400" spans="1:124" ht="12" hidden="1" customHeight="1" outlineLevel="2" x14ac:dyDescent="0.25">
      <c r="A1400" s="355" t="s">
        <v>1144</v>
      </c>
      <c r="B1400" s="607">
        <v>175</v>
      </c>
      <c r="C1400" s="612">
        <v>175</v>
      </c>
      <c r="D1400" s="612">
        <v>175</v>
      </c>
      <c r="E1400" s="612">
        <v>175</v>
      </c>
      <c r="F1400" s="612">
        <v>175</v>
      </c>
      <c r="G1400" s="481">
        <f t="shared" si="3144"/>
        <v>175</v>
      </c>
      <c r="H1400" s="612">
        <v>175</v>
      </c>
      <c r="I1400" s="612">
        <v>175</v>
      </c>
      <c r="J1400" s="612">
        <v>175</v>
      </c>
      <c r="K1400" s="612">
        <v>175</v>
      </c>
      <c r="L1400" s="481">
        <f t="shared" si="3145"/>
        <v>175</v>
      </c>
      <c r="M1400" s="612">
        <v>0</v>
      </c>
      <c r="N1400" s="612">
        <v>0</v>
      </c>
      <c r="O1400" s="612">
        <v>0</v>
      </c>
      <c r="P1400" s="612">
        <v>0</v>
      </c>
      <c r="Q1400" s="481">
        <f t="shared" si="3146"/>
        <v>0</v>
      </c>
      <c r="R1400" s="612">
        <v>0</v>
      </c>
      <c r="S1400" s="612">
        <v>0</v>
      </c>
      <c r="T1400" s="612">
        <v>0</v>
      </c>
      <c r="U1400" s="612">
        <v>0</v>
      </c>
      <c r="V1400" s="481">
        <f t="shared" si="3147"/>
        <v>0</v>
      </c>
      <c r="W1400" s="612">
        <v>0</v>
      </c>
      <c r="X1400" s="612">
        <v>0</v>
      </c>
      <c r="Y1400" s="612">
        <v>0</v>
      </c>
      <c r="Z1400" s="612">
        <v>0</v>
      </c>
      <c r="AA1400" s="481">
        <f t="shared" si="3148"/>
        <v>0</v>
      </c>
      <c r="AB1400" s="612">
        <v>0</v>
      </c>
      <c r="AC1400" s="612">
        <v>0</v>
      </c>
      <c r="AD1400" s="612">
        <v>0</v>
      </c>
      <c r="AE1400" s="612">
        <v>0</v>
      </c>
      <c r="AF1400" s="481">
        <f t="shared" si="3149"/>
        <v>0</v>
      </c>
      <c r="AG1400" s="612">
        <v>0</v>
      </c>
      <c r="AH1400" s="612">
        <v>0</v>
      </c>
      <c r="AI1400" s="612">
        <v>0</v>
      </c>
      <c r="AJ1400" s="612">
        <v>0</v>
      </c>
      <c r="AK1400" s="481">
        <f t="shared" si="3150"/>
        <v>0</v>
      </c>
      <c r="AL1400" s="612">
        <v>0</v>
      </c>
      <c r="AM1400" s="612">
        <v>0</v>
      </c>
      <c r="AN1400" s="612">
        <v>0</v>
      </c>
      <c r="AO1400" s="612">
        <v>0</v>
      </c>
      <c r="AP1400" s="481">
        <f t="shared" si="3151"/>
        <v>0</v>
      </c>
      <c r="AQ1400" s="612">
        <v>0</v>
      </c>
      <c r="AR1400" s="612">
        <v>0</v>
      </c>
      <c r="AS1400" s="612">
        <v>0</v>
      </c>
      <c r="AT1400" s="612">
        <v>0</v>
      </c>
      <c r="AU1400" s="481">
        <f t="shared" si="3152"/>
        <v>0</v>
      </c>
      <c r="AV1400" s="612">
        <v>0</v>
      </c>
      <c r="AW1400" s="482">
        <f t="shared" si="3186"/>
        <v>0</v>
      </c>
      <c r="AX1400" s="482">
        <f t="shared" si="3186"/>
        <v>0</v>
      </c>
      <c r="AY1400" s="612">
        <v>0</v>
      </c>
      <c r="AZ1400" s="481">
        <f t="shared" si="3165"/>
        <v>0</v>
      </c>
      <c r="BA1400" s="483">
        <f t="shared" si="3187"/>
        <v>0</v>
      </c>
      <c r="BB1400" s="430">
        <f t="shared" si="3187"/>
        <v>0</v>
      </c>
      <c r="BC1400" s="430">
        <f t="shared" si="3187"/>
        <v>0</v>
      </c>
      <c r="BD1400" s="853">
        <f t="shared" si="3187"/>
        <v>0</v>
      </c>
      <c r="BE1400" s="481">
        <f t="shared" si="3187"/>
        <v>0</v>
      </c>
      <c r="BF1400" s="430">
        <f t="shared" si="3187"/>
        <v>0</v>
      </c>
      <c r="BG1400" s="430">
        <f t="shared" si="3188"/>
        <v>0</v>
      </c>
      <c r="BH1400" s="430">
        <f t="shared" si="3188"/>
        <v>0</v>
      </c>
      <c r="BI1400" s="853">
        <f t="shared" si="3189"/>
        <v>0</v>
      </c>
      <c r="BJ1400" s="481">
        <f t="shared" si="3189"/>
        <v>0</v>
      </c>
      <c r="BK1400" s="430">
        <f t="shared" si="3190"/>
        <v>0</v>
      </c>
      <c r="BL1400" s="430">
        <f t="shared" si="3190"/>
        <v>0</v>
      </c>
      <c r="BM1400" s="430">
        <f t="shared" si="3191"/>
        <v>0</v>
      </c>
      <c r="BN1400" s="853">
        <f t="shared" si="3191"/>
        <v>0</v>
      </c>
      <c r="BO1400" s="481">
        <f t="shared" si="3191"/>
        <v>0</v>
      </c>
      <c r="BP1400" s="430">
        <f t="shared" si="3192"/>
        <v>0</v>
      </c>
      <c r="BQ1400" s="430">
        <f t="shared" si="3192"/>
        <v>0</v>
      </c>
      <c r="BR1400" s="430">
        <f t="shared" si="3192"/>
        <v>0</v>
      </c>
      <c r="BS1400" s="430">
        <f t="shared" si="3192"/>
        <v>0</v>
      </c>
      <c r="BT1400" s="2587">
        <f>BS1400</f>
        <v>0</v>
      </c>
      <c r="BU1400" s="2840">
        <f t="shared" si="3193"/>
        <v>0</v>
      </c>
      <c r="BV1400" s="2840">
        <f t="shared" si="3193"/>
        <v>0</v>
      </c>
      <c r="BW1400" s="2840">
        <f t="shared" si="3193"/>
        <v>0</v>
      </c>
      <c r="BX1400" s="2840">
        <f t="shared" si="3194"/>
        <v>0</v>
      </c>
      <c r="BY1400" s="2587">
        <f t="shared" si="3194"/>
        <v>0</v>
      </c>
      <c r="BZ1400" s="2587">
        <f t="shared" si="3195"/>
        <v>0</v>
      </c>
      <c r="CA1400" s="2587">
        <f t="shared" si="3195"/>
        <v>0</v>
      </c>
      <c r="CB1400" s="481">
        <f t="shared" si="3196"/>
        <v>0</v>
      </c>
      <c r="CC1400" s="481">
        <f t="shared" si="3196"/>
        <v>0</v>
      </c>
      <c r="CD1400" s="481">
        <f t="shared" si="3196"/>
        <v>0</v>
      </c>
      <c r="CE1400" s="481">
        <f t="shared" si="3196"/>
        <v>0</v>
      </c>
      <c r="CF1400" s="481">
        <f t="shared" si="3196"/>
        <v>0</v>
      </c>
      <c r="CG1400" s="741"/>
      <c r="CH1400" s="741"/>
      <c r="CI1400" s="741"/>
      <c r="CJ1400" s="741"/>
      <c r="CK1400" s="741"/>
      <c r="CL1400" s="995" t="str">
        <f>A1400</f>
        <v>$175 million 8 7/8% Sr Sub Notes</v>
      </c>
      <c r="CM1400" s="430">
        <f t="shared" si="3168"/>
        <v>175</v>
      </c>
      <c r="CN1400" s="430">
        <f t="shared" si="3169"/>
        <v>175</v>
      </c>
      <c r="CO1400" s="430">
        <f t="shared" si="3170"/>
        <v>0</v>
      </c>
      <c r="CP1400" s="430">
        <f t="shared" si="3171"/>
        <v>0</v>
      </c>
      <c r="CQ1400" s="430">
        <f t="shared" si="3172"/>
        <v>0</v>
      </c>
      <c r="CR1400" s="430">
        <f t="shared" si="3173"/>
        <v>0</v>
      </c>
      <c r="CS1400" s="430">
        <f t="shared" si="3174"/>
        <v>0</v>
      </c>
      <c r="CT1400" s="430">
        <f t="shared" si="3175"/>
        <v>0</v>
      </c>
      <c r="CU1400" s="430">
        <f t="shared" si="3176"/>
        <v>0</v>
      </c>
      <c r="CV1400" s="430">
        <f t="shared" si="3177"/>
        <v>0</v>
      </c>
      <c r="CW1400" s="430">
        <f t="shared" si="3178"/>
        <v>0</v>
      </c>
      <c r="CX1400" s="430">
        <f t="shared" si="3179"/>
        <v>0</v>
      </c>
      <c r="CY1400" s="430">
        <f t="shared" si="3180"/>
        <v>0</v>
      </c>
      <c r="CZ1400" s="430">
        <f t="shared" si="3181"/>
        <v>0</v>
      </c>
      <c r="DA1400" s="430">
        <f t="shared" si="3182"/>
        <v>0</v>
      </c>
      <c r="DB1400" s="430">
        <f t="shared" si="3183"/>
        <v>0</v>
      </c>
      <c r="DC1400" s="853">
        <f t="shared" si="3184"/>
        <v>0</v>
      </c>
      <c r="DD1400" s="741"/>
      <c r="DE1400" s="741"/>
      <c r="DF1400" s="742"/>
      <c r="DG1400" s="743"/>
      <c r="DH1400" s="2840"/>
      <c r="DI1400" s="3215"/>
      <c r="DJ1400" s="742"/>
      <c r="DK1400" s="743"/>
      <c r="DL1400" s="742"/>
      <c r="DM1400" s="742"/>
      <c r="DN1400" s="742"/>
      <c r="DO1400" s="742"/>
      <c r="DP1400" s="743"/>
      <c r="DQ1400" s="743"/>
      <c r="DR1400" s="740"/>
      <c r="DS1400" s="740"/>
      <c r="DT1400" s="740"/>
    </row>
    <row r="1401" spans="1:124" ht="4.5" hidden="1" customHeight="1" outlineLevel="2" x14ac:dyDescent="0.25">
      <c r="A1401" s="1192"/>
      <c r="B1401" s="544" t="s">
        <v>1151</v>
      </c>
      <c r="C1401" s="544" t="s">
        <v>1151</v>
      </c>
      <c r="D1401" s="544" t="s">
        <v>1151</v>
      </c>
      <c r="E1401" s="544" t="s">
        <v>1151</v>
      </c>
      <c r="F1401" s="544" t="s">
        <v>1151</v>
      </c>
      <c r="G1401" s="461" t="s">
        <v>1151</v>
      </c>
      <c r="H1401" s="544" t="s">
        <v>1151</v>
      </c>
      <c r="I1401" s="544" t="s">
        <v>1151</v>
      </c>
      <c r="J1401" s="544" t="s">
        <v>1151</v>
      </c>
      <c r="K1401" s="544" t="s">
        <v>1151</v>
      </c>
      <c r="L1401" s="461" t="s">
        <v>1151</v>
      </c>
      <c r="M1401" s="544" t="s">
        <v>1151</v>
      </c>
      <c r="N1401" s="544" t="s">
        <v>1151</v>
      </c>
      <c r="O1401" s="544" t="s">
        <v>1151</v>
      </c>
      <c r="P1401" s="544" t="s">
        <v>1151</v>
      </c>
      <c r="Q1401" s="461" t="s">
        <v>1151</v>
      </c>
      <c r="R1401" s="544" t="s">
        <v>1151</v>
      </c>
      <c r="S1401" s="544" t="s">
        <v>1151</v>
      </c>
      <c r="T1401" s="544" t="s">
        <v>1151</v>
      </c>
      <c r="U1401" s="544" t="s">
        <v>1151</v>
      </c>
      <c r="V1401" s="461" t="s">
        <v>1151</v>
      </c>
      <c r="W1401" s="544" t="s">
        <v>1151</v>
      </c>
      <c r="X1401" s="544" t="s">
        <v>1151</v>
      </c>
      <c r="Y1401" s="544" t="s">
        <v>1151</v>
      </c>
      <c r="Z1401" s="544" t="s">
        <v>1151</v>
      </c>
      <c r="AA1401" s="461" t="s">
        <v>1151</v>
      </c>
      <c r="AB1401" s="544" t="s">
        <v>1151</v>
      </c>
      <c r="AC1401" s="544" t="s">
        <v>1151</v>
      </c>
      <c r="AD1401" s="544" t="s">
        <v>1151</v>
      </c>
      <c r="AE1401" s="544" t="s">
        <v>1151</v>
      </c>
      <c r="AF1401" s="461" t="s">
        <v>1151</v>
      </c>
      <c r="AG1401" s="544" t="s">
        <v>1151</v>
      </c>
      <c r="AH1401" s="544" t="s">
        <v>1151</v>
      </c>
      <c r="AI1401" s="544" t="s">
        <v>1151</v>
      </c>
      <c r="AJ1401" s="544" t="s">
        <v>1151</v>
      </c>
      <c r="AK1401" s="461" t="s">
        <v>1151</v>
      </c>
      <c r="AL1401" s="544" t="s">
        <v>1151</v>
      </c>
      <c r="AM1401" s="544" t="s">
        <v>1151</v>
      </c>
      <c r="AN1401" s="544" t="s">
        <v>1151</v>
      </c>
      <c r="AO1401" s="544" t="s">
        <v>1151</v>
      </c>
      <c r="AP1401" s="461" t="s">
        <v>1151</v>
      </c>
      <c r="AQ1401" s="544" t="s">
        <v>1151</v>
      </c>
      <c r="AR1401" s="544" t="s">
        <v>1151</v>
      </c>
      <c r="AS1401" s="544" t="s">
        <v>1151</v>
      </c>
      <c r="AT1401" s="544" t="s">
        <v>1151</v>
      </c>
      <c r="AU1401" s="461" t="s">
        <v>1151</v>
      </c>
      <c r="AV1401" s="544" t="s">
        <v>1151</v>
      </c>
      <c r="AW1401" s="609" t="s">
        <v>1151</v>
      </c>
      <c r="AX1401" s="609" t="s">
        <v>1151</v>
      </c>
      <c r="AY1401" s="544" t="s">
        <v>1151</v>
      </c>
      <c r="AZ1401" s="461" t="s">
        <v>1151</v>
      </c>
      <c r="BA1401" s="544" t="s">
        <v>1151</v>
      </c>
      <c r="BB1401" s="544" t="s">
        <v>1151</v>
      </c>
      <c r="BC1401" s="544" t="s">
        <v>1151</v>
      </c>
      <c r="BD1401" s="544" t="s">
        <v>1151</v>
      </c>
      <c r="BE1401" s="461" t="s">
        <v>1151</v>
      </c>
      <c r="BF1401" s="544" t="s">
        <v>1151</v>
      </c>
      <c r="BG1401" s="544" t="s">
        <v>1151</v>
      </c>
      <c r="BH1401" s="544" t="s">
        <v>1151</v>
      </c>
      <c r="BI1401" s="544" t="s">
        <v>1151</v>
      </c>
      <c r="BJ1401" s="461" t="s">
        <v>1151</v>
      </c>
      <c r="BK1401" s="2029" t="s">
        <v>1151</v>
      </c>
      <c r="BL1401" s="460" t="s">
        <v>1151</v>
      </c>
      <c r="BM1401" s="544" t="s">
        <v>1151</v>
      </c>
      <c r="BN1401" s="544" t="s">
        <v>1151</v>
      </c>
      <c r="BO1401" s="461" t="s">
        <v>1151</v>
      </c>
      <c r="BP1401" s="544" t="s">
        <v>1151</v>
      </c>
      <c r="BQ1401" s="544" t="s">
        <v>1151</v>
      </c>
      <c r="BR1401" s="544" t="s">
        <v>1151</v>
      </c>
      <c r="BS1401" s="544" t="s">
        <v>1151</v>
      </c>
      <c r="BT1401" s="461" t="s">
        <v>1151</v>
      </c>
      <c r="BU1401" s="544" t="s">
        <v>1151</v>
      </c>
      <c r="BV1401" s="544" t="s">
        <v>1151</v>
      </c>
      <c r="BW1401" s="544" t="s">
        <v>1151</v>
      </c>
      <c r="BX1401" s="544" t="s">
        <v>1151</v>
      </c>
      <c r="BY1401" s="461" t="s">
        <v>1151</v>
      </c>
      <c r="BZ1401" s="461" t="s">
        <v>1151</v>
      </c>
      <c r="CA1401" s="461" t="s">
        <v>1151</v>
      </c>
      <c r="CB1401" s="461" t="s">
        <v>1151</v>
      </c>
      <c r="CC1401" s="461" t="s">
        <v>1151</v>
      </c>
      <c r="CD1401" s="461" t="s">
        <v>1151</v>
      </c>
      <c r="CE1401" s="461" t="s">
        <v>1151</v>
      </c>
      <c r="CF1401" s="461" t="s">
        <v>1151</v>
      </c>
      <c r="CG1401" s="741"/>
      <c r="CH1401" s="741"/>
      <c r="CI1401" s="741"/>
      <c r="CJ1401" s="741"/>
      <c r="CK1401" s="741"/>
      <c r="CL1401" s="2035"/>
      <c r="CM1401" s="2029" t="str">
        <f t="shared" si="3168"/>
        <v xml:space="preserve">                </v>
      </c>
      <c r="CN1401" s="2029" t="str">
        <f t="shared" si="3169"/>
        <v xml:space="preserve">                </v>
      </c>
      <c r="CO1401" s="2029" t="str">
        <f t="shared" si="3170"/>
        <v xml:space="preserve">                </v>
      </c>
      <c r="CP1401" s="2029" t="str">
        <f t="shared" si="3171"/>
        <v xml:space="preserve">                </v>
      </c>
      <c r="CQ1401" s="2029" t="str">
        <f t="shared" si="3172"/>
        <v xml:space="preserve">                </v>
      </c>
      <c r="CR1401" s="2029" t="str">
        <f t="shared" si="3173"/>
        <v xml:space="preserve">                </v>
      </c>
      <c r="CS1401" s="2029" t="str">
        <f t="shared" si="3174"/>
        <v xml:space="preserve">                </v>
      </c>
      <c r="CT1401" s="2029" t="str">
        <f t="shared" si="3175"/>
        <v xml:space="preserve">                </v>
      </c>
      <c r="CU1401" s="2029" t="str">
        <f t="shared" si="3176"/>
        <v xml:space="preserve">                </v>
      </c>
      <c r="CV1401" s="2029" t="str">
        <f t="shared" si="3177"/>
        <v xml:space="preserve">                </v>
      </c>
      <c r="CW1401" s="2029" t="str">
        <f t="shared" si="3178"/>
        <v xml:space="preserve">                </v>
      </c>
      <c r="CX1401" s="2029" t="str">
        <f t="shared" si="3179"/>
        <v xml:space="preserve">                </v>
      </c>
      <c r="CY1401" s="2029" t="str">
        <f t="shared" si="3180"/>
        <v xml:space="preserve">                </v>
      </c>
      <c r="CZ1401" s="2029" t="str">
        <f t="shared" si="3181"/>
        <v xml:space="preserve">                </v>
      </c>
      <c r="DA1401" s="2029" t="str">
        <f t="shared" si="3182"/>
        <v xml:space="preserve">                </v>
      </c>
      <c r="DB1401" s="2029" t="str">
        <f t="shared" si="3183"/>
        <v xml:space="preserve">                </v>
      </c>
      <c r="DC1401" s="2030" t="str">
        <f t="shared" si="3184"/>
        <v xml:space="preserve">                </v>
      </c>
      <c r="DD1401" s="741"/>
      <c r="DE1401" s="741"/>
      <c r="DF1401" s="742"/>
      <c r="DG1401" s="743"/>
      <c r="DH1401" s="2029"/>
      <c r="DI1401" s="3215"/>
      <c r="DJ1401" s="742"/>
      <c r="DK1401" s="743"/>
      <c r="DL1401" s="742"/>
      <c r="DM1401" s="742"/>
      <c r="DN1401" s="742"/>
      <c r="DO1401" s="742"/>
      <c r="DP1401" s="743"/>
      <c r="DQ1401" s="743"/>
      <c r="DR1401" s="740"/>
      <c r="DS1401" s="740"/>
      <c r="DT1401" s="740"/>
    </row>
    <row r="1402" spans="1:124" ht="12" customHeight="1" collapsed="1" x14ac:dyDescent="0.25">
      <c r="A1402" s="1952" t="s">
        <v>1999</v>
      </c>
      <c r="B1402" s="610">
        <f t="shared" ref="B1402:AG1402" si="3197">SUM(B1377:B1400)</f>
        <v>990.12300000000005</v>
      </c>
      <c r="C1402" s="611">
        <f t="shared" si="3197"/>
        <v>1088.165</v>
      </c>
      <c r="D1402" s="611">
        <f t="shared" si="3197"/>
        <v>967.53200000000004</v>
      </c>
      <c r="E1402" s="611">
        <f t="shared" si="3197"/>
        <v>909.79399999999998</v>
      </c>
      <c r="F1402" s="611">
        <f t="shared" si="3197"/>
        <v>858.90899999999999</v>
      </c>
      <c r="G1402" s="486">
        <f t="shared" si="3197"/>
        <v>858.90899999999999</v>
      </c>
      <c r="H1402" s="611">
        <f t="shared" si="3197"/>
        <v>797.96699999999998</v>
      </c>
      <c r="I1402" s="611">
        <f t="shared" si="3197"/>
        <v>638.38200000000006</v>
      </c>
      <c r="J1402" s="611">
        <f t="shared" si="3197"/>
        <v>638.11200000000008</v>
      </c>
      <c r="K1402" s="611">
        <f t="shared" si="3197"/>
        <v>2786.2289999999998</v>
      </c>
      <c r="L1402" s="486">
        <f t="shared" si="3197"/>
        <v>2786.2289999999998</v>
      </c>
      <c r="M1402" s="611">
        <f t="shared" si="3197"/>
        <v>2745.83</v>
      </c>
      <c r="N1402" s="611">
        <f t="shared" si="3197"/>
        <v>2807.4050000000002</v>
      </c>
      <c r="O1402" s="611">
        <f t="shared" si="3197"/>
        <v>2802.1940000000004</v>
      </c>
      <c r="P1402" s="611">
        <f t="shared" si="3197"/>
        <v>2829.4480000000003</v>
      </c>
      <c r="Q1402" s="486">
        <f t="shared" si="3197"/>
        <v>2829.4480000000003</v>
      </c>
      <c r="R1402" s="611">
        <f t="shared" si="3197"/>
        <v>2793.4380000000001</v>
      </c>
      <c r="S1402" s="611">
        <f t="shared" si="3197"/>
        <v>2945.4489999999996</v>
      </c>
      <c r="T1402" s="611">
        <f t="shared" si="3197"/>
        <v>2925.962</v>
      </c>
      <c r="U1402" s="611">
        <f t="shared" si="3197"/>
        <v>2974.922</v>
      </c>
      <c r="V1402" s="486">
        <f t="shared" si="3197"/>
        <v>2974.922</v>
      </c>
      <c r="W1402" s="611">
        <f t="shared" si="3197"/>
        <v>3009.5630000000001</v>
      </c>
      <c r="X1402" s="611">
        <f t="shared" si="3197"/>
        <v>2957.2060000000001</v>
      </c>
      <c r="Y1402" s="611">
        <f t="shared" si="3197"/>
        <v>2393.7599999999998</v>
      </c>
      <c r="Z1402" s="611">
        <f t="shared" si="3197"/>
        <v>2430.1800000000003</v>
      </c>
      <c r="AA1402" s="486">
        <f t="shared" si="3197"/>
        <v>2430.1800000000003</v>
      </c>
      <c r="AB1402" s="611">
        <f t="shared" si="3197"/>
        <v>2384.2159999999999</v>
      </c>
      <c r="AC1402" s="611">
        <f t="shared" si="3197"/>
        <v>2379.3589999999999</v>
      </c>
      <c r="AD1402" s="611">
        <f t="shared" si="3197"/>
        <v>2381.605</v>
      </c>
      <c r="AE1402" s="611">
        <f t="shared" si="3197"/>
        <v>2334.777</v>
      </c>
      <c r="AF1402" s="486">
        <f t="shared" si="3197"/>
        <v>2334.777</v>
      </c>
      <c r="AG1402" s="611">
        <f t="shared" si="3197"/>
        <v>2302.828</v>
      </c>
      <c r="AH1402" s="611">
        <f t="shared" ref="AH1402:BM1402" si="3198">SUM(AH1377:AH1400)</f>
        <v>2102.384</v>
      </c>
      <c r="AI1402" s="611">
        <f t="shared" si="3198"/>
        <v>2101.0749999999998</v>
      </c>
      <c r="AJ1402" s="611">
        <f t="shared" si="3198"/>
        <v>2171.123</v>
      </c>
      <c r="AK1402" s="486">
        <f t="shared" si="3198"/>
        <v>2171.123</v>
      </c>
      <c r="AL1402" s="611">
        <f t="shared" si="3198"/>
        <v>2135.1379999999999</v>
      </c>
      <c r="AM1402" s="611">
        <f t="shared" si="3198"/>
        <v>2098.136</v>
      </c>
      <c r="AN1402" s="611">
        <f t="shared" si="3198"/>
        <v>1969.5830000000001</v>
      </c>
      <c r="AO1402" s="611">
        <f t="shared" si="3198"/>
        <v>2044.914</v>
      </c>
      <c r="AP1402" s="486">
        <f t="shared" si="3198"/>
        <v>2044.914</v>
      </c>
      <c r="AQ1402" s="611">
        <f t="shared" si="3198"/>
        <v>2032.289</v>
      </c>
      <c r="AR1402" s="611">
        <f t="shared" si="3198"/>
        <v>2103.6610000000001</v>
      </c>
      <c r="AS1402" s="611">
        <f t="shared" si="3198"/>
        <v>2178.0149999999999</v>
      </c>
      <c r="AT1402" s="611">
        <f t="shared" si="3198"/>
        <v>2732.0740000000001</v>
      </c>
      <c r="AU1402" s="486">
        <f t="shared" si="3198"/>
        <v>2732.0740000000001</v>
      </c>
      <c r="AV1402" s="611">
        <f t="shared" si="3198"/>
        <v>2615.1260000000002</v>
      </c>
      <c r="AW1402" s="485">
        <f t="shared" si="3198"/>
        <v>2477.5780000000004</v>
      </c>
      <c r="AX1402" s="485">
        <f t="shared" si="3198"/>
        <v>2401.9300000000003</v>
      </c>
      <c r="AY1402" s="611">
        <f t="shared" si="3198"/>
        <v>1052.0150000000001</v>
      </c>
      <c r="AZ1402" s="486">
        <f t="shared" si="3198"/>
        <v>1052.0150000000001</v>
      </c>
      <c r="BA1402" s="490">
        <f t="shared" si="3198"/>
        <v>1063.616</v>
      </c>
      <c r="BB1402" s="485">
        <f t="shared" si="3198"/>
        <v>1056.9390000000001</v>
      </c>
      <c r="BC1402" s="485">
        <f t="shared" si="3198"/>
        <v>1230.4930000000002</v>
      </c>
      <c r="BD1402" s="854">
        <f t="shared" si="3198"/>
        <v>4832.2659999999996</v>
      </c>
      <c r="BE1402" s="486">
        <f t="shared" si="3198"/>
        <v>4832.2659999999996</v>
      </c>
      <c r="BF1402" s="485">
        <f t="shared" si="3198"/>
        <v>4858.0320000000002</v>
      </c>
      <c r="BG1402" s="485">
        <f t="shared" si="3198"/>
        <v>4828.1949999999997</v>
      </c>
      <c r="BH1402" s="485">
        <f t="shared" si="3198"/>
        <v>5239.1949999999997</v>
      </c>
      <c r="BI1402" s="854">
        <f>SUM(BI1377:BI1400)</f>
        <v>5249.2780000000002</v>
      </c>
      <c r="BJ1402" s="486">
        <f>SUM(BJ1377:BJ1400)</f>
        <v>5249.2780000000002</v>
      </c>
      <c r="BK1402" s="485">
        <f t="shared" si="3198"/>
        <v>5215.8559999999998</v>
      </c>
      <c r="BL1402" s="485">
        <f>SUM(BL1377:BL1400)</f>
        <v>5173.2309999999998</v>
      </c>
      <c r="BM1402" s="485">
        <f t="shared" si="3198"/>
        <v>5160.9549999999999</v>
      </c>
      <c r="BN1402" s="854">
        <f t="shared" ref="BN1402:CF1402" si="3199">SUM(BN1377:BN1400)</f>
        <v>4890.1740000000009</v>
      </c>
      <c r="BO1402" s="486">
        <f t="shared" si="3199"/>
        <v>4890.1740000000009</v>
      </c>
      <c r="BP1402" s="485">
        <f t="shared" si="3199"/>
        <v>4864.1710000000003</v>
      </c>
      <c r="BQ1402" s="485">
        <f t="shared" si="3199"/>
        <v>4842.83</v>
      </c>
      <c r="BR1402" s="485">
        <f t="shared" si="3199"/>
        <v>4841.331000000001</v>
      </c>
      <c r="BS1402" s="485">
        <f t="shared" si="3199"/>
        <v>4762.7739999999994</v>
      </c>
      <c r="BT1402" s="486">
        <f t="shared" ref="BT1402:BY1402" si="3200">SUM(BT1377:BT1400)</f>
        <v>4762.7739999999994</v>
      </c>
      <c r="BU1402" s="485">
        <f t="shared" si="3200"/>
        <v>4747.7045641824097</v>
      </c>
      <c r="BV1402" s="485">
        <f t="shared" si="3200"/>
        <v>4732.6820450707628</v>
      </c>
      <c r="BW1402" s="485">
        <f t="shared" si="3200"/>
        <v>8392.2016555762057</v>
      </c>
      <c r="BX1402" s="485">
        <f t="shared" si="3200"/>
        <v>8366.014542802126</v>
      </c>
      <c r="BY1402" s="486">
        <f t="shared" si="3200"/>
        <v>8366.014542802126</v>
      </c>
      <c r="BZ1402" s="486">
        <f t="shared" si="3199"/>
        <v>8010.8013108810737</v>
      </c>
      <c r="CA1402" s="486">
        <f t="shared" si="3199"/>
        <v>7904.7156721319207</v>
      </c>
      <c r="CB1402" s="486">
        <f t="shared" si="3199"/>
        <v>880.20099999999991</v>
      </c>
      <c r="CC1402" s="486">
        <f t="shared" si="3199"/>
        <v>880.20099999999991</v>
      </c>
      <c r="CD1402" s="486">
        <f t="shared" si="3199"/>
        <v>880.20099999999991</v>
      </c>
      <c r="CE1402" s="486">
        <f t="shared" si="3199"/>
        <v>880.20099999999991</v>
      </c>
      <c r="CF1402" s="486">
        <f t="shared" si="3199"/>
        <v>880.20099999999991</v>
      </c>
      <c r="CG1402" s="331"/>
      <c r="CH1402" s="331"/>
      <c r="CI1402" s="588"/>
      <c r="CJ1402" s="331"/>
      <c r="CK1402" s="331"/>
      <c r="CL1402" s="1291" t="str">
        <f>A1402</f>
        <v>Total Ending Debt</v>
      </c>
      <c r="CM1402" s="485">
        <f t="shared" si="3168"/>
        <v>858.90899999999999</v>
      </c>
      <c r="CN1402" s="485">
        <f t="shared" si="3169"/>
        <v>2786.2289999999998</v>
      </c>
      <c r="CO1402" s="485">
        <f t="shared" si="3170"/>
        <v>2829.4480000000003</v>
      </c>
      <c r="CP1402" s="485">
        <f t="shared" si="3171"/>
        <v>2974.922</v>
      </c>
      <c r="CQ1402" s="485">
        <f t="shared" si="3172"/>
        <v>2430.1800000000003</v>
      </c>
      <c r="CR1402" s="485">
        <f t="shared" si="3173"/>
        <v>2334.777</v>
      </c>
      <c r="CS1402" s="485">
        <f t="shared" si="3174"/>
        <v>2171.123</v>
      </c>
      <c r="CT1402" s="485">
        <f t="shared" si="3175"/>
        <v>2044.914</v>
      </c>
      <c r="CU1402" s="485">
        <f t="shared" si="3176"/>
        <v>2732.0740000000001</v>
      </c>
      <c r="CV1402" s="485">
        <f t="shared" si="3177"/>
        <v>1052.0150000000001</v>
      </c>
      <c r="CW1402" s="485">
        <f t="shared" si="3178"/>
        <v>4832.2659999999996</v>
      </c>
      <c r="CX1402" s="485">
        <f t="shared" si="3179"/>
        <v>5249.2780000000002</v>
      </c>
      <c r="CY1402" s="485">
        <f t="shared" si="3180"/>
        <v>4890.1740000000009</v>
      </c>
      <c r="CZ1402" s="485">
        <f t="shared" si="3181"/>
        <v>4762.7739999999994</v>
      </c>
      <c r="DA1402" s="485">
        <f t="shared" si="3182"/>
        <v>8366.014542802126</v>
      </c>
      <c r="DB1402" s="485">
        <f t="shared" si="3183"/>
        <v>8010.8013108810737</v>
      </c>
      <c r="DC1402" s="854">
        <f t="shared" si="3184"/>
        <v>7904.7156721319207</v>
      </c>
      <c r="DD1402" s="331"/>
      <c r="DE1402" s="331"/>
      <c r="DF1402" s="502"/>
      <c r="DG1402" s="503"/>
      <c r="DH1402" s="485"/>
      <c r="DI1402" s="3213"/>
      <c r="DJ1402" s="502"/>
      <c r="DK1402" s="503"/>
      <c r="DL1402" s="502"/>
      <c r="DM1402" s="502"/>
      <c r="DN1402" s="502"/>
      <c r="DO1402" s="502"/>
      <c r="DP1402" s="503"/>
      <c r="DQ1402" s="503"/>
      <c r="DR1402" s="296"/>
      <c r="DS1402" s="296"/>
      <c r="DT1402" s="296"/>
    </row>
    <row r="1403" spans="1:124" ht="12" customHeight="1" x14ac:dyDescent="0.25">
      <c r="A1403" s="355" t="s">
        <v>1862</v>
      </c>
      <c r="B1403" s="482">
        <v>0</v>
      </c>
      <c r="C1403" s="482">
        <v>0</v>
      </c>
      <c r="D1403" s="482">
        <v>0</v>
      </c>
      <c r="E1403" s="482">
        <v>0</v>
      </c>
      <c r="F1403" s="482">
        <v>0</v>
      </c>
      <c r="G1403" s="484">
        <f>+F1403</f>
        <v>0</v>
      </c>
      <c r="H1403" s="1676">
        <v>0</v>
      </c>
      <c r="I1403" s="482">
        <v>0</v>
      </c>
      <c r="J1403" s="482">
        <v>0</v>
      </c>
      <c r="K1403" s="482">
        <v>0</v>
      </c>
      <c r="L1403" s="484">
        <f>+K1403</f>
        <v>0</v>
      </c>
      <c r="M1403" s="1676">
        <v>0</v>
      </c>
      <c r="N1403" s="482">
        <v>0</v>
      </c>
      <c r="O1403" s="482">
        <v>0</v>
      </c>
      <c r="P1403" s="482">
        <v>0</v>
      </c>
      <c r="Q1403" s="481">
        <f>+P1403</f>
        <v>0</v>
      </c>
      <c r="R1403" s="1676">
        <v>0</v>
      </c>
      <c r="S1403" s="482">
        <v>0</v>
      </c>
      <c r="T1403" s="482">
        <v>0</v>
      </c>
      <c r="U1403" s="482">
        <v>0</v>
      </c>
      <c r="V1403" s="481">
        <f>+U1403</f>
        <v>0</v>
      </c>
      <c r="W1403" s="1676">
        <v>0</v>
      </c>
      <c r="X1403" s="482">
        <v>0</v>
      </c>
      <c r="Y1403" s="482">
        <v>0</v>
      </c>
      <c r="Z1403" s="482">
        <v>0</v>
      </c>
      <c r="AA1403" s="481">
        <f>+Z1403</f>
        <v>0</v>
      </c>
      <c r="AB1403" s="1676">
        <v>0</v>
      </c>
      <c r="AC1403" s="482">
        <v>0</v>
      </c>
      <c r="AD1403" s="482">
        <v>0</v>
      </c>
      <c r="AE1403" s="482">
        <v>0</v>
      </c>
      <c r="AF1403" s="481">
        <f>+AE1403</f>
        <v>0</v>
      </c>
      <c r="AG1403" s="1676">
        <v>0</v>
      </c>
      <c r="AH1403" s="482">
        <v>0</v>
      </c>
      <c r="AI1403" s="482">
        <v>0</v>
      </c>
      <c r="AJ1403" s="482">
        <v>0</v>
      </c>
      <c r="AK1403" s="481">
        <f>+AJ1403</f>
        <v>0</v>
      </c>
      <c r="AL1403" s="482">
        <v>0</v>
      </c>
      <c r="AM1403" s="482">
        <v>0</v>
      </c>
      <c r="AN1403" s="482">
        <v>-1.81</v>
      </c>
      <c r="AO1403" s="482">
        <v>-1.7490000000000001</v>
      </c>
      <c r="AP1403" s="483">
        <f>+AO1403</f>
        <v>-1.7490000000000001</v>
      </c>
      <c r="AQ1403" s="1676">
        <v>-1.6890000000000001</v>
      </c>
      <c r="AR1403" s="482">
        <v>-1.6279999999999999</v>
      </c>
      <c r="AS1403" s="482">
        <v>-1.5660000000000001</v>
      </c>
      <c r="AT1403" s="482">
        <v>-1.504</v>
      </c>
      <c r="AU1403" s="481">
        <f>+AT1403</f>
        <v>-1.504</v>
      </c>
      <c r="AV1403" s="482">
        <v>-1.4419999999999999</v>
      </c>
      <c r="AW1403" s="482">
        <v>-1.3779999999999999</v>
      </c>
      <c r="AX1403" s="482">
        <v>-1.3129999999999999</v>
      </c>
      <c r="AY1403" s="482">
        <v>-1.2230000000000001</v>
      </c>
      <c r="AZ1403" s="481">
        <f>+AY1403</f>
        <v>-1.2230000000000001</v>
      </c>
      <c r="BA1403" s="2800">
        <v>-1.181</v>
      </c>
      <c r="BB1403" s="2675">
        <v>-1.1399999999999999</v>
      </c>
      <c r="BC1403" s="2675">
        <v>-1.0980000000000001</v>
      </c>
      <c r="BD1403" s="2675">
        <v>-1.056</v>
      </c>
      <c r="BE1403" s="481">
        <f>+BD1403</f>
        <v>-1.056</v>
      </c>
      <c r="BF1403" s="2675">
        <v>-1.014</v>
      </c>
      <c r="BG1403" s="2675">
        <v>-0.97199999999999998</v>
      </c>
      <c r="BH1403" s="2675">
        <v>-0.92800000000000005</v>
      </c>
      <c r="BI1403" s="2675">
        <v>-0.68600000000000005</v>
      </c>
      <c r="BJ1403" s="481">
        <f>+BI1403</f>
        <v>-0.68600000000000005</v>
      </c>
      <c r="BK1403" s="2675">
        <v>-0.66900000000000004</v>
      </c>
      <c r="BL1403" s="2675">
        <v>-0.65300000000000002</v>
      </c>
      <c r="BM1403" s="482">
        <v>-0.63600000000000001</v>
      </c>
      <c r="BN1403" s="2952">
        <v>-0.62</v>
      </c>
      <c r="BO1403" s="481">
        <f>+BN1403</f>
        <v>-0.62</v>
      </c>
      <c r="BP1403" s="2953">
        <v>-2.9369999999999998</v>
      </c>
      <c r="BQ1403" s="2953">
        <v>-2.8620000000000001</v>
      </c>
      <c r="BR1403" s="482">
        <v>-2.7959999999999998</v>
      </c>
      <c r="BS1403" s="3508">
        <v>-2.5579999999999998</v>
      </c>
      <c r="BT1403" s="2587">
        <f t="shared" ref="BT1403:BX1403" si="3201">+BS1403</f>
        <v>-2.5579999999999998</v>
      </c>
      <c r="BU1403" s="2840">
        <f t="shared" si="3201"/>
        <v>-2.5579999999999998</v>
      </c>
      <c r="BV1403" s="2840">
        <f t="shared" si="3201"/>
        <v>-2.5579999999999998</v>
      </c>
      <c r="BW1403" s="2840">
        <f t="shared" si="3201"/>
        <v>-2.5579999999999998</v>
      </c>
      <c r="BX1403" s="2840">
        <f t="shared" si="3201"/>
        <v>-2.5579999999999998</v>
      </c>
      <c r="BY1403" s="2587">
        <f>+BX1403</f>
        <v>-2.5579999999999998</v>
      </c>
      <c r="BZ1403" s="2587">
        <f t="shared" ref="BZ1403:CF1403" si="3202">+BY1403</f>
        <v>-2.5579999999999998</v>
      </c>
      <c r="CA1403" s="2587">
        <f t="shared" si="3202"/>
        <v>-2.5579999999999998</v>
      </c>
      <c r="CB1403" s="481">
        <f t="shared" si="3202"/>
        <v>-2.5579999999999998</v>
      </c>
      <c r="CC1403" s="481">
        <f t="shared" si="3202"/>
        <v>-2.5579999999999998</v>
      </c>
      <c r="CD1403" s="481">
        <f t="shared" si="3202"/>
        <v>-2.5579999999999998</v>
      </c>
      <c r="CE1403" s="481">
        <f t="shared" si="3202"/>
        <v>-2.5579999999999998</v>
      </c>
      <c r="CF1403" s="481">
        <f t="shared" si="3202"/>
        <v>-2.5579999999999998</v>
      </c>
      <c r="CG1403" s="331"/>
      <c r="CH1403" s="331"/>
      <c r="CI1403" s="331"/>
      <c r="CJ1403" s="331"/>
      <c r="CK1403" s="331"/>
      <c r="CL1403" s="995" t="str">
        <f>A1403</f>
        <v>Discount on Sr Secured Credit Facility Term B</v>
      </c>
      <c r="CM1403" s="430">
        <f t="shared" si="3168"/>
        <v>0</v>
      </c>
      <c r="CN1403" s="430">
        <f t="shared" si="3169"/>
        <v>0</v>
      </c>
      <c r="CO1403" s="430">
        <f t="shared" si="3170"/>
        <v>0</v>
      </c>
      <c r="CP1403" s="430">
        <f t="shared" si="3171"/>
        <v>0</v>
      </c>
      <c r="CQ1403" s="430">
        <f t="shared" si="3172"/>
        <v>0</v>
      </c>
      <c r="CR1403" s="430">
        <f t="shared" si="3173"/>
        <v>0</v>
      </c>
      <c r="CS1403" s="430">
        <f t="shared" si="3174"/>
        <v>0</v>
      </c>
      <c r="CT1403" s="430">
        <f t="shared" si="3175"/>
        <v>-1.7490000000000001</v>
      </c>
      <c r="CU1403" s="430">
        <f t="shared" si="3176"/>
        <v>-1.504</v>
      </c>
      <c r="CV1403" s="430">
        <f t="shared" si="3177"/>
        <v>-1.2230000000000001</v>
      </c>
      <c r="CW1403" s="430">
        <f t="shared" si="3178"/>
        <v>-1.056</v>
      </c>
      <c r="CX1403" s="430">
        <f t="shared" si="3179"/>
        <v>-0.68600000000000005</v>
      </c>
      <c r="CY1403" s="430">
        <f t="shared" si="3180"/>
        <v>-0.62</v>
      </c>
      <c r="CZ1403" s="430">
        <f t="shared" si="3181"/>
        <v>-2.5579999999999998</v>
      </c>
      <c r="DA1403" s="430">
        <f t="shared" si="3182"/>
        <v>-2.5579999999999998</v>
      </c>
      <c r="DB1403" s="430">
        <f t="shared" si="3183"/>
        <v>-2.5579999999999998</v>
      </c>
      <c r="DC1403" s="853">
        <f t="shared" si="3184"/>
        <v>-2.5579999999999998</v>
      </c>
      <c r="DD1403" s="331"/>
      <c r="DE1403" s="331"/>
      <c r="DF1403" s="502"/>
      <c r="DG1403" s="503"/>
      <c r="DH1403" s="2840"/>
      <c r="DI1403" s="3213"/>
      <c r="DJ1403" s="502"/>
      <c r="DK1403" s="503"/>
      <c r="DL1403" s="502"/>
      <c r="DM1403" s="502"/>
      <c r="DN1403" s="502"/>
      <c r="DO1403" s="502"/>
      <c r="DP1403" s="503"/>
      <c r="DQ1403" s="503"/>
      <c r="DR1403" s="296"/>
      <c r="DS1403" s="296"/>
      <c r="DT1403" s="296"/>
    </row>
    <row r="1404" spans="1:124" ht="12" customHeight="1" x14ac:dyDescent="0.25">
      <c r="A1404" s="2576" t="s">
        <v>2318</v>
      </c>
      <c r="B1404" s="482"/>
      <c r="C1404" s="482"/>
      <c r="D1404" s="482"/>
      <c r="E1404" s="482"/>
      <c r="F1404" s="482"/>
      <c r="G1404" s="484"/>
      <c r="H1404" s="1676"/>
      <c r="I1404" s="482"/>
      <c r="J1404" s="482"/>
      <c r="K1404" s="482"/>
      <c r="L1404" s="484"/>
      <c r="M1404" s="1676"/>
      <c r="N1404" s="482"/>
      <c r="O1404" s="482"/>
      <c r="P1404" s="482"/>
      <c r="Q1404" s="481"/>
      <c r="R1404" s="1676"/>
      <c r="S1404" s="482"/>
      <c r="T1404" s="482"/>
      <c r="U1404" s="482"/>
      <c r="V1404" s="481"/>
      <c r="W1404" s="1676"/>
      <c r="X1404" s="482"/>
      <c r="Y1404" s="482"/>
      <c r="Z1404" s="482"/>
      <c r="AA1404" s="481"/>
      <c r="AB1404" s="1676"/>
      <c r="AC1404" s="482"/>
      <c r="AD1404" s="482"/>
      <c r="AE1404" s="482"/>
      <c r="AF1404" s="481"/>
      <c r="AG1404" s="1676"/>
      <c r="AH1404" s="482"/>
      <c r="AI1404" s="482"/>
      <c r="AJ1404" s="482"/>
      <c r="AK1404" s="481"/>
      <c r="AL1404" s="482"/>
      <c r="AM1404" s="482"/>
      <c r="AN1404" s="482"/>
      <c r="AO1404" s="482"/>
      <c r="AP1404" s="483"/>
      <c r="AQ1404" s="1676"/>
      <c r="AR1404" s="482"/>
      <c r="AS1404" s="482"/>
      <c r="AT1404" s="482"/>
      <c r="AU1404" s="481"/>
      <c r="AV1404" s="482"/>
      <c r="AW1404" s="482"/>
      <c r="AX1404" s="482"/>
      <c r="AY1404" s="482"/>
      <c r="AZ1404" s="481"/>
      <c r="BA1404" s="2800"/>
      <c r="BB1404" s="2675"/>
      <c r="BC1404" s="2675"/>
      <c r="BD1404" s="2675">
        <v>-25.151</v>
      </c>
      <c r="BE1404" s="481">
        <f>+BD1404</f>
        <v>-25.151</v>
      </c>
      <c r="BF1404" s="2675">
        <v>-23.687999999999999</v>
      </c>
      <c r="BG1404" s="2675">
        <v>-22.228000000000002</v>
      </c>
      <c r="BH1404" s="2675">
        <v>-24.943999999999999</v>
      </c>
      <c r="BI1404" s="2675">
        <v>-23.553000000000001</v>
      </c>
      <c r="BJ1404" s="481">
        <f>+BI1404</f>
        <v>-23.553000000000001</v>
      </c>
      <c r="BK1404" s="2953">
        <v>-21.478999999999999</v>
      </c>
      <c r="BL1404" s="2675">
        <v>-19.678999999999998</v>
      </c>
      <c r="BM1404" s="482">
        <v>-17.908999999999999</v>
      </c>
      <c r="BN1404" s="2952">
        <v>-16.535</v>
      </c>
      <c r="BO1404" s="481">
        <f>+BN1404</f>
        <v>-16.535</v>
      </c>
      <c r="BP1404" s="2953">
        <v>-32.332999999999998</v>
      </c>
      <c r="BQ1404" s="2953">
        <v>-30.891999999999999</v>
      </c>
      <c r="BR1404" s="482">
        <v>-29.367999999999999</v>
      </c>
      <c r="BS1404" s="3508">
        <v>-27.405999999999999</v>
      </c>
      <c r="BT1404" s="2587">
        <f>+BS1404</f>
        <v>-27.405999999999999</v>
      </c>
      <c r="BU1404" s="2840">
        <f>+BT1404+BU1281</f>
        <v>-27.155999999999999</v>
      </c>
      <c r="BV1404" s="2840">
        <f>+BU1404+BV1281</f>
        <v>-26.905999999999999</v>
      </c>
      <c r="BW1404" s="2840">
        <f>+BV1404+BW1281</f>
        <v>-26.655999999999999</v>
      </c>
      <c r="BX1404" s="2840">
        <f>+BW1404+BX1281</f>
        <v>-26.405999999999999</v>
      </c>
      <c r="BY1404" s="2587">
        <f>+BX1404</f>
        <v>-26.405999999999999</v>
      </c>
      <c r="BZ1404" s="2587">
        <f t="shared" ref="BZ1404:CF1404" si="3203">+BY1404+BZ1281</f>
        <v>-25.405999999999999</v>
      </c>
      <c r="CA1404" s="2587">
        <f t="shared" si="3203"/>
        <v>-24.405999999999999</v>
      </c>
      <c r="CB1404" s="481">
        <f t="shared" si="3203"/>
        <v>-23.405999999999999</v>
      </c>
      <c r="CC1404" s="481">
        <f t="shared" si="3203"/>
        <v>-22.405999999999999</v>
      </c>
      <c r="CD1404" s="481">
        <f t="shared" si="3203"/>
        <v>-21.405999999999999</v>
      </c>
      <c r="CE1404" s="481">
        <f t="shared" si="3203"/>
        <v>-20.405999999999999</v>
      </c>
      <c r="CF1404" s="481">
        <f t="shared" si="3203"/>
        <v>-19.405999999999999</v>
      </c>
      <c r="CG1404" s="331"/>
      <c r="CH1404" s="331"/>
      <c r="CI1404" s="331"/>
      <c r="CJ1404" s="331"/>
      <c r="CK1404" s="331"/>
      <c r="CL1404" s="995"/>
      <c r="CM1404" s="430"/>
      <c r="CN1404" s="430"/>
      <c r="CO1404" s="430"/>
      <c r="CP1404" s="430"/>
      <c r="CQ1404" s="430"/>
      <c r="CR1404" s="430"/>
      <c r="CS1404" s="430"/>
      <c r="CT1404" s="430"/>
      <c r="CU1404" s="430"/>
      <c r="CV1404" s="430"/>
      <c r="CW1404" s="430"/>
      <c r="CX1404" s="430"/>
      <c r="CY1404" s="430"/>
      <c r="CZ1404" s="430"/>
      <c r="DA1404" s="430"/>
      <c r="DB1404" s="430"/>
      <c r="DC1404" s="853"/>
      <c r="DD1404" s="331"/>
      <c r="DE1404" s="331"/>
      <c r="DF1404" s="502"/>
      <c r="DG1404" s="503"/>
      <c r="DH1404" s="2840"/>
      <c r="DI1404" s="3213"/>
      <c r="DJ1404" s="502"/>
      <c r="DK1404" s="503"/>
      <c r="DL1404" s="502"/>
      <c r="DM1404" s="502"/>
      <c r="DN1404" s="502"/>
      <c r="DO1404" s="502"/>
      <c r="DP1404" s="503"/>
      <c r="DQ1404" s="503"/>
      <c r="DR1404" s="296"/>
      <c r="DS1404" s="296"/>
      <c r="DT1404" s="296"/>
    </row>
    <row r="1405" spans="1:124" ht="4.5" customHeight="1" x14ac:dyDescent="0.25">
      <c r="A1405" s="740"/>
      <c r="B1405" s="544" t="s">
        <v>1151</v>
      </c>
      <c r="C1405" s="544" t="s">
        <v>1151</v>
      </c>
      <c r="D1405" s="544" t="s">
        <v>1151</v>
      </c>
      <c r="E1405" s="544" t="s">
        <v>1151</v>
      </c>
      <c r="F1405" s="544" t="s">
        <v>1151</v>
      </c>
      <c r="G1405" s="461" t="s">
        <v>1151</v>
      </c>
      <c r="H1405" s="544" t="s">
        <v>1151</v>
      </c>
      <c r="I1405" s="544" t="s">
        <v>1151</v>
      </c>
      <c r="J1405" s="544" t="s">
        <v>1151</v>
      </c>
      <c r="K1405" s="544" t="s">
        <v>1151</v>
      </c>
      <c r="L1405" s="461" t="s">
        <v>1151</v>
      </c>
      <c r="M1405" s="544" t="s">
        <v>1151</v>
      </c>
      <c r="N1405" s="544" t="s">
        <v>1151</v>
      </c>
      <c r="O1405" s="544" t="s">
        <v>1151</v>
      </c>
      <c r="P1405" s="544" t="s">
        <v>1151</v>
      </c>
      <c r="Q1405" s="461" t="s">
        <v>1151</v>
      </c>
      <c r="R1405" s="544" t="s">
        <v>1151</v>
      </c>
      <c r="S1405" s="544" t="s">
        <v>1151</v>
      </c>
      <c r="T1405" s="544" t="s">
        <v>1151</v>
      </c>
      <c r="U1405" s="544" t="s">
        <v>1151</v>
      </c>
      <c r="V1405" s="461" t="s">
        <v>1151</v>
      </c>
      <c r="W1405" s="544" t="s">
        <v>1151</v>
      </c>
      <c r="X1405" s="544" t="s">
        <v>1151</v>
      </c>
      <c r="Y1405" s="544" t="s">
        <v>1151</v>
      </c>
      <c r="Z1405" s="544" t="s">
        <v>1151</v>
      </c>
      <c r="AA1405" s="461" t="s">
        <v>1151</v>
      </c>
      <c r="AB1405" s="544" t="s">
        <v>1151</v>
      </c>
      <c r="AC1405" s="544" t="s">
        <v>1151</v>
      </c>
      <c r="AD1405" s="544" t="s">
        <v>1151</v>
      </c>
      <c r="AE1405" s="544" t="s">
        <v>1151</v>
      </c>
      <c r="AF1405" s="461" t="s">
        <v>1151</v>
      </c>
      <c r="AG1405" s="544" t="s">
        <v>1151</v>
      </c>
      <c r="AH1405" s="544" t="s">
        <v>1151</v>
      </c>
      <c r="AI1405" s="544" t="s">
        <v>1151</v>
      </c>
      <c r="AJ1405" s="544" t="s">
        <v>1151</v>
      </c>
      <c r="AK1405" s="461" t="s">
        <v>1151</v>
      </c>
      <c r="AL1405" s="544" t="s">
        <v>1151</v>
      </c>
      <c r="AM1405" s="544" t="s">
        <v>1151</v>
      </c>
      <c r="AN1405" s="544" t="s">
        <v>1151</v>
      </c>
      <c r="AO1405" s="544" t="s">
        <v>1151</v>
      </c>
      <c r="AP1405" s="461" t="s">
        <v>1151</v>
      </c>
      <c r="AQ1405" s="544" t="s">
        <v>1151</v>
      </c>
      <c r="AR1405" s="544" t="s">
        <v>1151</v>
      </c>
      <c r="AS1405" s="544" t="s">
        <v>1151</v>
      </c>
      <c r="AT1405" s="544" t="s">
        <v>1151</v>
      </c>
      <c r="AU1405" s="461" t="s">
        <v>1151</v>
      </c>
      <c r="AV1405" s="544" t="s">
        <v>1151</v>
      </c>
      <c r="AW1405" s="2456" t="s">
        <v>1151</v>
      </c>
      <c r="AX1405" s="2456" t="s">
        <v>1151</v>
      </c>
      <c r="AY1405" s="544" t="s">
        <v>1151</v>
      </c>
      <c r="AZ1405" s="461" t="s">
        <v>1151</v>
      </c>
      <c r="BA1405" s="544" t="s">
        <v>1151</v>
      </c>
      <c r="BB1405" s="544" t="s">
        <v>1151</v>
      </c>
      <c r="BC1405" s="544" t="s">
        <v>1151</v>
      </c>
      <c r="BD1405" s="544" t="s">
        <v>1151</v>
      </c>
      <c r="BE1405" s="461" t="s">
        <v>1151</v>
      </c>
      <c r="BF1405" s="544" t="s">
        <v>1151</v>
      </c>
      <c r="BG1405" s="544" t="s">
        <v>1151</v>
      </c>
      <c r="BH1405" s="544" t="s">
        <v>1151</v>
      </c>
      <c r="BI1405" s="544" t="s">
        <v>1151</v>
      </c>
      <c r="BJ1405" s="461" t="s">
        <v>1151</v>
      </c>
      <c r="BK1405" s="2029" t="s">
        <v>1151</v>
      </c>
      <c r="BL1405" s="544" t="s">
        <v>1151</v>
      </c>
      <c r="BM1405" s="544" t="s">
        <v>1151</v>
      </c>
      <c r="BN1405" s="544" t="s">
        <v>1151</v>
      </c>
      <c r="BO1405" s="461" t="s">
        <v>1151</v>
      </c>
      <c r="BP1405" s="544" t="s">
        <v>1151</v>
      </c>
      <c r="BQ1405" s="544" t="s">
        <v>1151</v>
      </c>
      <c r="BR1405" s="544" t="s">
        <v>1151</v>
      </c>
      <c r="BS1405" s="544" t="s">
        <v>1151</v>
      </c>
      <c r="BT1405" s="461" t="s">
        <v>1151</v>
      </c>
      <c r="BU1405" s="544" t="s">
        <v>1151</v>
      </c>
      <c r="BV1405" s="544" t="s">
        <v>1151</v>
      </c>
      <c r="BW1405" s="544" t="s">
        <v>1151</v>
      </c>
      <c r="BX1405" s="544" t="s">
        <v>1151</v>
      </c>
      <c r="BY1405" s="461" t="s">
        <v>1151</v>
      </c>
      <c r="BZ1405" s="461" t="s">
        <v>1151</v>
      </c>
      <c r="CA1405" s="461" t="s">
        <v>1151</v>
      </c>
      <c r="CB1405" s="461" t="s">
        <v>1151</v>
      </c>
      <c r="CC1405" s="461" t="s">
        <v>1151</v>
      </c>
      <c r="CD1405" s="461" t="s">
        <v>1151</v>
      </c>
      <c r="CE1405" s="461" t="s">
        <v>1151</v>
      </c>
      <c r="CF1405" s="461" t="s">
        <v>1151</v>
      </c>
      <c r="CG1405" s="331"/>
      <c r="CH1405" s="331"/>
      <c r="CI1405" s="331"/>
      <c r="CJ1405" s="331"/>
      <c r="CK1405" s="331"/>
      <c r="CL1405" s="1115"/>
      <c r="CM1405" s="2029" t="str">
        <f>G1405</f>
        <v xml:space="preserve">                </v>
      </c>
      <c r="CN1405" s="2029" t="str">
        <f>L1405</f>
        <v xml:space="preserve">                </v>
      </c>
      <c r="CO1405" s="2029" t="str">
        <f>Q1405</f>
        <v xml:space="preserve">                </v>
      </c>
      <c r="CP1405" s="2029" t="str">
        <f>V1405</f>
        <v xml:space="preserve">                </v>
      </c>
      <c r="CQ1405" s="2029" t="str">
        <f>AA1405</f>
        <v xml:space="preserve">                </v>
      </c>
      <c r="CR1405" s="2029" t="str">
        <f>AF1405</f>
        <v xml:space="preserve">                </v>
      </c>
      <c r="CS1405" s="2029" t="str">
        <f>AK1405</f>
        <v xml:space="preserve">                </v>
      </c>
      <c r="CT1405" s="2029" t="str">
        <f>AP1405</f>
        <v xml:space="preserve">                </v>
      </c>
      <c r="CU1405" s="2029" t="str">
        <f>AU1405</f>
        <v xml:space="preserve">                </v>
      </c>
      <c r="CV1405" s="2029" t="str">
        <f>AZ1405</f>
        <v xml:space="preserve">                </v>
      </c>
      <c r="CW1405" s="2029" t="str">
        <f>BE1405</f>
        <v xml:space="preserve">                </v>
      </c>
      <c r="CX1405" s="2029" t="str">
        <f>BJ1405</f>
        <v xml:space="preserve">                </v>
      </c>
      <c r="CY1405" s="2029" t="str">
        <f>BO1405</f>
        <v xml:space="preserve">                </v>
      </c>
      <c r="CZ1405" s="2029" t="str">
        <f>BT1405</f>
        <v xml:space="preserve">                </v>
      </c>
      <c r="DA1405" s="2029" t="str">
        <f t="shared" ref="DA1405:DC1406" si="3204">BY1405</f>
        <v xml:space="preserve">                </v>
      </c>
      <c r="DB1405" s="2029" t="str">
        <f t="shared" si="3204"/>
        <v xml:space="preserve">                </v>
      </c>
      <c r="DC1405" s="2030" t="str">
        <f t="shared" si="3204"/>
        <v xml:space="preserve">                </v>
      </c>
      <c r="DD1405" s="331"/>
      <c r="DE1405" s="331"/>
      <c r="DF1405" s="502"/>
      <c r="DG1405" s="503"/>
      <c r="DH1405" s="2029"/>
      <c r="DI1405" s="3213"/>
      <c r="DJ1405" s="502"/>
      <c r="DK1405" s="503"/>
      <c r="DL1405" s="502"/>
      <c r="DM1405" s="502"/>
      <c r="DN1405" s="502"/>
      <c r="DO1405" s="502"/>
      <c r="DP1405" s="503"/>
      <c r="DQ1405" s="503"/>
      <c r="DR1405" s="296"/>
      <c r="DS1405" s="296"/>
      <c r="DT1405" s="296"/>
    </row>
    <row r="1406" spans="1:124" ht="12" customHeight="1" x14ac:dyDescent="0.25">
      <c r="A1406" s="945" t="s">
        <v>2088</v>
      </c>
      <c r="B1406" s="485">
        <f t="shared" ref="B1406:AG1406" si="3205">+B1402+B1403</f>
        <v>990.12300000000005</v>
      </c>
      <c r="C1406" s="485">
        <f t="shared" si="3205"/>
        <v>1088.165</v>
      </c>
      <c r="D1406" s="485">
        <f t="shared" si="3205"/>
        <v>967.53200000000004</v>
      </c>
      <c r="E1406" s="485">
        <f t="shared" si="3205"/>
        <v>909.79399999999998</v>
      </c>
      <c r="F1406" s="485">
        <f t="shared" si="3205"/>
        <v>858.90899999999999</v>
      </c>
      <c r="G1406" s="486">
        <f t="shared" si="3205"/>
        <v>858.90899999999999</v>
      </c>
      <c r="H1406" s="490">
        <f t="shared" si="3205"/>
        <v>797.96699999999998</v>
      </c>
      <c r="I1406" s="485">
        <f t="shared" si="3205"/>
        <v>638.38200000000006</v>
      </c>
      <c r="J1406" s="485">
        <f t="shared" si="3205"/>
        <v>638.11200000000008</v>
      </c>
      <c r="K1406" s="485">
        <f t="shared" si="3205"/>
        <v>2786.2289999999998</v>
      </c>
      <c r="L1406" s="486">
        <f t="shared" si="3205"/>
        <v>2786.2289999999998</v>
      </c>
      <c r="M1406" s="490">
        <f t="shared" si="3205"/>
        <v>2745.83</v>
      </c>
      <c r="N1406" s="485">
        <f t="shared" si="3205"/>
        <v>2807.4050000000002</v>
      </c>
      <c r="O1406" s="485">
        <f t="shared" si="3205"/>
        <v>2802.1940000000004</v>
      </c>
      <c r="P1406" s="485">
        <f t="shared" si="3205"/>
        <v>2829.4480000000003</v>
      </c>
      <c r="Q1406" s="486">
        <f t="shared" si="3205"/>
        <v>2829.4480000000003</v>
      </c>
      <c r="R1406" s="490">
        <f t="shared" si="3205"/>
        <v>2793.4380000000001</v>
      </c>
      <c r="S1406" s="485">
        <f t="shared" si="3205"/>
        <v>2945.4489999999996</v>
      </c>
      <c r="T1406" s="485">
        <f t="shared" si="3205"/>
        <v>2925.962</v>
      </c>
      <c r="U1406" s="485">
        <f t="shared" si="3205"/>
        <v>2974.922</v>
      </c>
      <c r="V1406" s="486">
        <f t="shared" si="3205"/>
        <v>2974.922</v>
      </c>
      <c r="W1406" s="490">
        <f t="shared" si="3205"/>
        <v>3009.5630000000001</v>
      </c>
      <c r="X1406" s="485">
        <f t="shared" si="3205"/>
        <v>2957.2060000000001</v>
      </c>
      <c r="Y1406" s="485">
        <f t="shared" si="3205"/>
        <v>2393.7599999999998</v>
      </c>
      <c r="Z1406" s="485">
        <f t="shared" si="3205"/>
        <v>2430.1800000000003</v>
      </c>
      <c r="AA1406" s="486">
        <f t="shared" si="3205"/>
        <v>2430.1800000000003</v>
      </c>
      <c r="AB1406" s="490">
        <f t="shared" si="3205"/>
        <v>2384.2159999999999</v>
      </c>
      <c r="AC1406" s="485">
        <f t="shared" si="3205"/>
        <v>2379.3589999999999</v>
      </c>
      <c r="AD1406" s="485">
        <f t="shared" si="3205"/>
        <v>2381.605</v>
      </c>
      <c r="AE1406" s="485">
        <f t="shared" si="3205"/>
        <v>2334.777</v>
      </c>
      <c r="AF1406" s="486">
        <f t="shared" si="3205"/>
        <v>2334.777</v>
      </c>
      <c r="AG1406" s="490">
        <f t="shared" si="3205"/>
        <v>2302.828</v>
      </c>
      <c r="AH1406" s="485">
        <f t="shared" ref="AH1406:BC1406" si="3206">+AH1402+AH1403</f>
        <v>2102.384</v>
      </c>
      <c r="AI1406" s="485">
        <f t="shared" si="3206"/>
        <v>2101.0749999999998</v>
      </c>
      <c r="AJ1406" s="485">
        <f t="shared" si="3206"/>
        <v>2171.123</v>
      </c>
      <c r="AK1406" s="486">
        <f t="shared" si="3206"/>
        <v>2171.123</v>
      </c>
      <c r="AL1406" s="485">
        <f t="shared" si="3206"/>
        <v>2135.1379999999999</v>
      </c>
      <c r="AM1406" s="485">
        <f t="shared" si="3206"/>
        <v>2098.136</v>
      </c>
      <c r="AN1406" s="485">
        <f t="shared" si="3206"/>
        <v>1967.7730000000001</v>
      </c>
      <c r="AO1406" s="485">
        <f t="shared" si="3206"/>
        <v>2043.165</v>
      </c>
      <c r="AP1406" s="486">
        <f t="shared" si="3206"/>
        <v>2043.165</v>
      </c>
      <c r="AQ1406" s="490">
        <f t="shared" si="3206"/>
        <v>2030.6</v>
      </c>
      <c r="AR1406" s="485">
        <f t="shared" si="3206"/>
        <v>2102.0329999999999</v>
      </c>
      <c r="AS1406" s="485">
        <f t="shared" si="3206"/>
        <v>2176.4490000000001</v>
      </c>
      <c r="AT1406" s="485">
        <f t="shared" si="3206"/>
        <v>2730.57</v>
      </c>
      <c r="AU1406" s="486">
        <f t="shared" si="3206"/>
        <v>2730.57</v>
      </c>
      <c r="AV1406" s="485">
        <f t="shared" si="3206"/>
        <v>2613.6840000000002</v>
      </c>
      <c r="AW1406" s="485">
        <f t="shared" si="3206"/>
        <v>2476.2000000000003</v>
      </c>
      <c r="AX1406" s="485">
        <f t="shared" si="3206"/>
        <v>2400.6170000000002</v>
      </c>
      <c r="AY1406" s="854">
        <f t="shared" si="3206"/>
        <v>1050.7920000000001</v>
      </c>
      <c r="AZ1406" s="486">
        <f t="shared" si="3206"/>
        <v>1050.7920000000001</v>
      </c>
      <c r="BA1406" s="490">
        <f t="shared" si="3206"/>
        <v>1062.4349999999999</v>
      </c>
      <c r="BB1406" s="485">
        <f t="shared" si="3206"/>
        <v>1055.799</v>
      </c>
      <c r="BC1406" s="485">
        <f t="shared" si="3206"/>
        <v>1229.3950000000002</v>
      </c>
      <c r="BD1406" s="485">
        <f t="shared" ref="BD1406:BJ1406" si="3207">+BD1402+BD1403+BD1404</f>
        <v>4806.0590000000002</v>
      </c>
      <c r="BE1406" s="486">
        <f t="shared" si="3207"/>
        <v>4806.0590000000002</v>
      </c>
      <c r="BF1406" s="485">
        <f t="shared" si="3207"/>
        <v>4833.33</v>
      </c>
      <c r="BG1406" s="485">
        <f t="shared" si="3207"/>
        <v>4804.9949999999999</v>
      </c>
      <c r="BH1406" s="485">
        <f t="shared" si="3207"/>
        <v>5213.3229999999994</v>
      </c>
      <c r="BI1406" s="485">
        <f t="shared" si="3207"/>
        <v>5225.0390000000007</v>
      </c>
      <c r="BJ1406" s="486">
        <f t="shared" si="3207"/>
        <v>5225.0390000000007</v>
      </c>
      <c r="BK1406" s="485">
        <f>+BK1402+BK1403+BK1404</f>
        <v>5193.7079999999996</v>
      </c>
      <c r="BL1406" s="485">
        <f>+BL1402+BL1403+BL1404</f>
        <v>5152.8989999999994</v>
      </c>
      <c r="BM1406" s="485">
        <f>+BM1402+BM1403+BM1404</f>
        <v>5142.41</v>
      </c>
      <c r="BN1406" s="854">
        <f>+BN1402+BN1403+BN1404</f>
        <v>4873.0190000000011</v>
      </c>
      <c r="BO1406" s="486">
        <f>+BO1402+BO1403+BO1404</f>
        <v>4873.0190000000011</v>
      </c>
      <c r="BP1406" s="485">
        <f t="shared" ref="BP1406:BX1406" si="3208">+BP1402+BP1403+BP1404</f>
        <v>4828.9010000000007</v>
      </c>
      <c r="BQ1406" s="485">
        <f t="shared" si="3208"/>
        <v>4809.076</v>
      </c>
      <c r="BR1406" s="485">
        <f t="shared" si="3208"/>
        <v>4809.1670000000004</v>
      </c>
      <c r="BS1406" s="485">
        <f t="shared" si="3208"/>
        <v>4732.8099999999995</v>
      </c>
      <c r="BT1406" s="486">
        <f t="shared" si="3208"/>
        <v>4732.8099999999995</v>
      </c>
      <c r="BU1406" s="485">
        <f t="shared" si="3208"/>
        <v>4717.9905641824098</v>
      </c>
      <c r="BV1406" s="485">
        <f t="shared" si="3208"/>
        <v>4703.2180450707629</v>
      </c>
      <c r="BW1406" s="485">
        <f t="shared" si="3208"/>
        <v>8362.9876555762039</v>
      </c>
      <c r="BX1406" s="485">
        <f t="shared" si="3208"/>
        <v>8337.0505428021243</v>
      </c>
      <c r="BY1406" s="486">
        <f t="shared" ref="BY1406:CF1406" si="3209">+BY1402+BY1403+BY1404</f>
        <v>8337.0505428021243</v>
      </c>
      <c r="BZ1406" s="486">
        <f t="shared" si="3209"/>
        <v>7982.8373108810738</v>
      </c>
      <c r="CA1406" s="486">
        <f t="shared" si="3209"/>
        <v>7877.7516721319207</v>
      </c>
      <c r="CB1406" s="486">
        <f t="shared" si="3209"/>
        <v>854.23699999999997</v>
      </c>
      <c r="CC1406" s="486">
        <f t="shared" si="3209"/>
        <v>855.23699999999997</v>
      </c>
      <c r="CD1406" s="486">
        <f t="shared" si="3209"/>
        <v>856.23699999999997</v>
      </c>
      <c r="CE1406" s="486">
        <f t="shared" si="3209"/>
        <v>857.23699999999997</v>
      </c>
      <c r="CF1406" s="486">
        <f t="shared" si="3209"/>
        <v>858.23699999999997</v>
      </c>
      <c r="CG1406" s="331"/>
      <c r="CH1406" s="331"/>
      <c r="CI1406" s="331"/>
      <c r="CJ1406" s="331"/>
      <c r="CK1406" s="331"/>
      <c r="CL1406" s="944" t="str">
        <f>A1406</f>
        <v>Long-term debt</v>
      </c>
      <c r="CM1406" s="485">
        <f>G1406</f>
        <v>858.90899999999999</v>
      </c>
      <c r="CN1406" s="485">
        <f>L1406</f>
        <v>2786.2289999999998</v>
      </c>
      <c r="CO1406" s="485">
        <f>Q1406</f>
        <v>2829.4480000000003</v>
      </c>
      <c r="CP1406" s="485">
        <f>V1406</f>
        <v>2974.922</v>
      </c>
      <c r="CQ1406" s="485">
        <f>AA1406</f>
        <v>2430.1800000000003</v>
      </c>
      <c r="CR1406" s="485">
        <f>AF1406</f>
        <v>2334.777</v>
      </c>
      <c r="CS1406" s="485">
        <f>AK1406</f>
        <v>2171.123</v>
      </c>
      <c r="CT1406" s="485">
        <f>AP1406</f>
        <v>2043.165</v>
      </c>
      <c r="CU1406" s="485">
        <f>AU1406</f>
        <v>2730.57</v>
      </c>
      <c r="CV1406" s="485">
        <f>AZ1406</f>
        <v>1050.7920000000001</v>
      </c>
      <c r="CW1406" s="485">
        <f>BE1406</f>
        <v>4806.0590000000002</v>
      </c>
      <c r="CX1406" s="485">
        <f>BJ1406</f>
        <v>5225.0390000000007</v>
      </c>
      <c r="CY1406" s="485">
        <f>BO1406</f>
        <v>4873.0190000000011</v>
      </c>
      <c r="CZ1406" s="485">
        <f>BT1406</f>
        <v>4732.8099999999995</v>
      </c>
      <c r="DA1406" s="485">
        <f t="shared" si="3204"/>
        <v>8337.0505428021243</v>
      </c>
      <c r="DB1406" s="485">
        <f t="shared" si="3204"/>
        <v>7982.8373108810738</v>
      </c>
      <c r="DC1406" s="854">
        <f t="shared" si="3204"/>
        <v>7877.7516721319207</v>
      </c>
      <c r="DD1406" s="331"/>
      <c r="DE1406" s="331"/>
      <c r="DF1406" s="502"/>
      <c r="DG1406" s="503"/>
      <c r="DH1406" s="485"/>
      <c r="DI1406" s="3213"/>
      <c r="DJ1406" s="502"/>
      <c r="DK1406" s="503"/>
      <c r="DL1406" s="502"/>
      <c r="DM1406" s="502"/>
      <c r="DN1406" s="502"/>
      <c r="DO1406" s="502"/>
      <c r="DP1406" s="503"/>
      <c r="DQ1406" s="503"/>
      <c r="DR1406" s="296"/>
      <c r="DS1406" s="296"/>
      <c r="DT1406" s="296"/>
    </row>
    <row r="1407" spans="1:124" ht="12.75" customHeight="1" x14ac:dyDescent="0.25">
      <c r="A1407" s="479"/>
      <c r="B1407" s="479"/>
      <c r="C1407" s="480"/>
      <c r="D1407" s="480"/>
      <c r="E1407" s="480"/>
      <c r="F1407" s="480"/>
      <c r="G1407" s="484"/>
      <c r="H1407" s="480"/>
      <c r="I1407" s="480"/>
      <c r="J1407" s="482"/>
      <c r="K1407" s="480"/>
      <c r="L1407" s="484"/>
      <c r="M1407" s="480"/>
      <c r="N1407" s="480"/>
      <c r="O1407" s="480"/>
      <c r="P1407" s="480"/>
      <c r="Q1407" s="484"/>
      <c r="R1407" s="482"/>
      <c r="S1407" s="480"/>
      <c r="T1407" s="480"/>
      <c r="U1407" s="480"/>
      <c r="V1407" s="484"/>
      <c r="W1407" s="480"/>
      <c r="X1407" s="480"/>
      <c r="Y1407" s="480"/>
      <c r="Z1407" s="480"/>
      <c r="AA1407" s="484"/>
      <c r="AB1407" s="480"/>
      <c r="AC1407" s="480"/>
      <c r="AD1407" s="480"/>
      <c r="AE1407" s="482"/>
      <c r="AF1407" s="481"/>
      <c r="AG1407" s="430"/>
      <c r="AH1407" s="430"/>
      <c r="AI1407" s="430"/>
      <c r="AJ1407" s="430"/>
      <c r="AK1407" s="481"/>
      <c r="AL1407" s="430"/>
      <c r="AM1407" s="430"/>
      <c r="AN1407" s="430"/>
      <c r="AO1407" s="430"/>
      <c r="AP1407" s="481"/>
      <c r="AQ1407" s="430"/>
      <c r="AR1407" s="430"/>
      <c r="AS1407" s="430"/>
      <c r="AT1407" s="430"/>
      <c r="AU1407" s="481"/>
      <c r="AV1407" s="430"/>
      <c r="AW1407" s="430"/>
      <c r="AX1407" s="430"/>
      <c r="AY1407" s="853"/>
      <c r="AZ1407" s="481"/>
      <c r="BA1407" s="430"/>
      <c r="BB1407" s="430"/>
      <c r="BC1407" s="430"/>
      <c r="BD1407" s="430"/>
      <c r="BE1407" s="481"/>
      <c r="BF1407" s="430"/>
      <c r="BG1407" s="430"/>
      <c r="BH1407" s="430"/>
      <c r="BI1407" s="430"/>
      <c r="BJ1407" s="481"/>
      <c r="BK1407" s="430"/>
      <c r="BL1407" s="430"/>
      <c r="BM1407" s="430"/>
      <c r="BN1407" s="2953"/>
      <c r="BO1407" s="481"/>
      <c r="BP1407" s="430"/>
      <c r="BQ1407" s="430"/>
      <c r="BR1407" s="430"/>
      <c r="BS1407" s="430"/>
      <c r="BT1407" s="2587"/>
      <c r="BU1407" s="2840"/>
      <c r="BV1407" s="2840"/>
      <c r="BW1407" s="2840"/>
      <c r="BX1407" s="2840"/>
      <c r="BY1407" s="2587"/>
      <c r="BZ1407" s="2587"/>
      <c r="CA1407" s="2587"/>
      <c r="CB1407" s="481"/>
      <c r="CC1407" s="481"/>
      <c r="CD1407" s="481"/>
      <c r="CE1407" s="481"/>
      <c r="CF1407" s="481"/>
      <c r="CG1407" s="331"/>
      <c r="CH1407" s="331"/>
      <c r="CI1407" s="331"/>
      <c r="CJ1407" s="331"/>
      <c r="CK1407" s="331"/>
      <c r="CL1407" s="872"/>
      <c r="CM1407" s="430"/>
      <c r="CN1407" s="430"/>
      <c r="CO1407" s="430"/>
      <c r="CP1407" s="430"/>
      <c r="CQ1407" s="430"/>
      <c r="CR1407" s="430"/>
      <c r="CS1407" s="430"/>
      <c r="CT1407" s="430"/>
      <c r="CU1407" s="430"/>
      <c r="CV1407" s="430"/>
      <c r="CW1407" s="430"/>
      <c r="CX1407" s="430"/>
      <c r="CY1407" s="430"/>
      <c r="CZ1407" s="430"/>
      <c r="DA1407" s="430"/>
      <c r="DB1407" s="430"/>
      <c r="DC1407" s="853"/>
      <c r="DD1407" s="331"/>
      <c r="DE1407" s="331"/>
      <c r="DF1407" s="502"/>
      <c r="DG1407" s="503"/>
      <c r="DH1407" s="2840"/>
      <c r="DI1407" s="3213"/>
      <c r="DJ1407" s="502"/>
      <c r="DK1407" s="503"/>
      <c r="DL1407" s="502"/>
      <c r="DM1407" s="502"/>
      <c r="DN1407" s="502"/>
      <c r="DO1407" s="502"/>
      <c r="DP1407" s="503"/>
      <c r="DQ1407" s="503"/>
      <c r="DR1407" s="296"/>
      <c r="DS1407" s="296"/>
      <c r="DT1407" s="296"/>
    </row>
    <row r="1408" spans="1:124" ht="12.75" customHeight="1" x14ac:dyDescent="0.25">
      <c r="A1408" s="272" t="s">
        <v>961</v>
      </c>
      <c r="B1408" s="479"/>
      <c r="C1408" s="480">
        <v>0</v>
      </c>
      <c r="D1408" s="480">
        <v>32.207999999999998</v>
      </c>
      <c r="E1408" s="480">
        <v>19.117000000000001</v>
      </c>
      <c r="F1408" s="480">
        <v>31.806000000000001</v>
      </c>
      <c r="G1408" s="481">
        <f>F1408</f>
        <v>31.806000000000001</v>
      </c>
      <c r="H1408" s="480">
        <v>32.610999999999997</v>
      </c>
      <c r="I1408" s="480">
        <v>31.748999999999999</v>
      </c>
      <c r="J1408" s="482">
        <v>31.341000000000001</v>
      </c>
      <c r="K1408" s="480">
        <v>259.70800000000003</v>
      </c>
      <c r="L1408" s="481">
        <f>K1408</f>
        <v>259.70800000000003</v>
      </c>
      <c r="M1408" s="480">
        <v>261.54000000000002</v>
      </c>
      <c r="N1408" s="480">
        <v>254.667</v>
      </c>
      <c r="O1408" s="480">
        <v>370.22199999999998</v>
      </c>
      <c r="P1408" s="480">
        <v>387.61500000000001</v>
      </c>
      <c r="Q1408" s="481">
        <f>P1408</f>
        <v>387.61500000000001</v>
      </c>
      <c r="R1408" s="482">
        <v>387.17899999999997</v>
      </c>
      <c r="S1408" s="480">
        <v>390.62400000000002</v>
      </c>
      <c r="T1408" s="480">
        <v>384.53699999999998</v>
      </c>
      <c r="U1408" s="480">
        <v>385.089</v>
      </c>
      <c r="V1408" s="481">
        <f>U1408</f>
        <v>385.089</v>
      </c>
      <c r="W1408" s="480">
        <v>378.61</v>
      </c>
      <c r="X1408" s="480">
        <v>390.07900000000001</v>
      </c>
      <c r="Y1408" s="480">
        <v>377.98899999999998</v>
      </c>
      <c r="Z1408" s="480">
        <v>265.61</v>
      </c>
      <c r="AA1408" s="481">
        <f>Z1408</f>
        <v>265.61</v>
      </c>
      <c r="AB1408" s="480">
        <v>266.738</v>
      </c>
      <c r="AC1408" s="480">
        <v>274.34399999999999</v>
      </c>
      <c r="AD1408" s="480">
        <v>261.75799999999998</v>
      </c>
      <c r="AE1408" s="482">
        <v>127.107</v>
      </c>
      <c r="AF1408" s="481">
        <f>AE1408</f>
        <v>127.107</v>
      </c>
      <c r="AG1408" s="482">
        <v>132.14099999999999</v>
      </c>
      <c r="AH1408" s="482">
        <v>122.117</v>
      </c>
      <c r="AI1408" s="482">
        <v>126.029</v>
      </c>
      <c r="AJ1408" s="482">
        <v>134.572</v>
      </c>
      <c r="AK1408" s="481">
        <f>AJ1408</f>
        <v>134.572</v>
      </c>
      <c r="AL1408" s="482">
        <v>141.56200000000001</v>
      </c>
      <c r="AM1408" s="482">
        <v>165.815</v>
      </c>
      <c r="AN1408" s="482">
        <v>167.40799999999999</v>
      </c>
      <c r="AO1408" s="482">
        <v>167.57599999999999</v>
      </c>
      <c r="AP1408" s="481">
        <f>AO1408</f>
        <v>167.57599999999999</v>
      </c>
      <c r="AQ1408" s="482">
        <v>160.95599999999999</v>
      </c>
      <c r="AR1408" s="482">
        <v>152.209</v>
      </c>
      <c r="AS1408" s="482">
        <v>174.155</v>
      </c>
      <c r="AT1408" s="482">
        <v>216.357</v>
      </c>
      <c r="AU1408" s="481">
        <f>AT1408</f>
        <v>216.357</v>
      </c>
      <c r="AV1408" s="482">
        <v>221.124</v>
      </c>
      <c r="AW1408" s="482">
        <v>223.00399999999999</v>
      </c>
      <c r="AX1408" s="482">
        <v>197.55199999999999</v>
      </c>
      <c r="AY1408" s="482">
        <v>13.912000000000001</v>
      </c>
      <c r="AZ1408" s="481">
        <f>AY1408</f>
        <v>13.912000000000001</v>
      </c>
      <c r="BA1408" s="2675">
        <v>15.779</v>
      </c>
      <c r="BB1408" s="2675">
        <v>10.492000000000001</v>
      </c>
      <c r="BC1408" s="2675">
        <v>0</v>
      </c>
      <c r="BD1408" s="2675">
        <v>78.632999999999996</v>
      </c>
      <c r="BE1408" s="481">
        <f>+BD1408</f>
        <v>78.632999999999996</v>
      </c>
      <c r="BF1408" s="2675">
        <v>90.335999999999999</v>
      </c>
      <c r="BG1408" s="2675">
        <v>92.016999999999996</v>
      </c>
      <c r="BH1408" s="2675">
        <v>131.09200000000001</v>
      </c>
      <c r="BI1408" s="2675">
        <v>107.92100000000001</v>
      </c>
      <c r="BJ1408" s="481">
        <f>+BI1408</f>
        <v>107.92100000000001</v>
      </c>
      <c r="BK1408" s="2953">
        <v>107.3</v>
      </c>
      <c r="BL1408" s="2675">
        <v>112.28700000000001</v>
      </c>
      <c r="BM1408" s="482">
        <v>120.161</v>
      </c>
      <c r="BN1408" s="2953">
        <v>126.92400000000001</v>
      </c>
      <c r="BO1408" s="481">
        <f>+BN1408</f>
        <v>126.92400000000001</v>
      </c>
      <c r="BP1408" s="2953">
        <v>127.57599999999999</v>
      </c>
      <c r="BQ1408" s="2953">
        <v>129.011</v>
      </c>
      <c r="BR1408" s="482">
        <v>0</v>
      </c>
      <c r="BS1408" s="3508">
        <v>0</v>
      </c>
      <c r="BT1408" s="2587">
        <f>+BS1408</f>
        <v>0</v>
      </c>
      <c r="BU1408" s="2840">
        <f>BT1408+BU1287</f>
        <v>0</v>
      </c>
      <c r="BV1408" s="2840">
        <f>BU1408+BV1287</f>
        <v>0</v>
      </c>
      <c r="BW1408" s="2840">
        <f>BV1408+BW1287</f>
        <v>0</v>
      </c>
      <c r="BX1408" s="2840">
        <f>BW1408+BX1287</f>
        <v>0</v>
      </c>
      <c r="BY1408" s="2587">
        <f>+BX1408</f>
        <v>0</v>
      </c>
      <c r="BZ1408" s="2587">
        <f t="shared" ref="BZ1408:CF1408" si="3210">BY1408</f>
        <v>0</v>
      </c>
      <c r="CA1408" s="2587">
        <f t="shared" si="3210"/>
        <v>0</v>
      </c>
      <c r="CB1408" s="481">
        <f t="shared" si="3210"/>
        <v>0</v>
      </c>
      <c r="CC1408" s="481">
        <f t="shared" si="3210"/>
        <v>0</v>
      </c>
      <c r="CD1408" s="481">
        <f t="shared" si="3210"/>
        <v>0</v>
      </c>
      <c r="CE1408" s="481">
        <f t="shared" si="3210"/>
        <v>0</v>
      </c>
      <c r="CF1408" s="481">
        <f t="shared" si="3210"/>
        <v>0</v>
      </c>
      <c r="CG1408" s="331"/>
      <c r="CH1408" s="331"/>
      <c r="CI1408" s="331"/>
      <c r="CJ1408" s="331"/>
      <c r="CK1408" s="331"/>
      <c r="CL1408" s="995" t="str">
        <f>A1408</f>
        <v>Deferred income taxes</v>
      </c>
      <c r="CM1408" s="430">
        <f>G1408</f>
        <v>31.806000000000001</v>
      </c>
      <c r="CN1408" s="430">
        <f>L1408</f>
        <v>259.70800000000003</v>
      </c>
      <c r="CO1408" s="430">
        <f>Q1408</f>
        <v>387.61500000000001</v>
      </c>
      <c r="CP1408" s="430">
        <f>V1408</f>
        <v>385.089</v>
      </c>
      <c r="CQ1408" s="430">
        <f>AA1408</f>
        <v>265.61</v>
      </c>
      <c r="CR1408" s="430">
        <f>AF1408</f>
        <v>127.107</v>
      </c>
      <c r="CS1408" s="430">
        <f>AK1408</f>
        <v>134.572</v>
      </c>
      <c r="CT1408" s="430">
        <f>AP1408</f>
        <v>167.57599999999999</v>
      </c>
      <c r="CU1408" s="430">
        <f>AU1408</f>
        <v>216.357</v>
      </c>
      <c r="CV1408" s="430">
        <f>AZ1408</f>
        <v>13.912000000000001</v>
      </c>
      <c r="CW1408" s="430">
        <f>BE1408</f>
        <v>78.632999999999996</v>
      </c>
      <c r="CX1408" s="430">
        <f>BJ1408</f>
        <v>107.92100000000001</v>
      </c>
      <c r="CY1408" s="430">
        <f>BO1408</f>
        <v>126.92400000000001</v>
      </c>
      <c r="CZ1408" s="430">
        <f>BT1408</f>
        <v>0</v>
      </c>
      <c r="DA1408" s="430">
        <f t="shared" ref="DA1408:DC1411" si="3211">BY1408</f>
        <v>0</v>
      </c>
      <c r="DB1408" s="430">
        <f t="shared" si="3211"/>
        <v>0</v>
      </c>
      <c r="DC1408" s="853">
        <f t="shared" si="3211"/>
        <v>0</v>
      </c>
      <c r="DD1408" s="331"/>
      <c r="DE1408" s="331"/>
      <c r="DF1408" s="502"/>
      <c r="DG1408" s="503"/>
      <c r="DH1408" s="2840"/>
      <c r="DI1408" s="3213"/>
      <c r="DJ1408" s="502"/>
      <c r="DK1408" s="503"/>
      <c r="DL1408" s="502"/>
      <c r="DM1408" s="502"/>
      <c r="DN1408" s="502"/>
      <c r="DO1408" s="502"/>
      <c r="DP1408" s="503"/>
      <c r="DQ1408" s="503"/>
      <c r="DR1408" s="296"/>
      <c r="DS1408" s="296"/>
      <c r="DT1408" s="296"/>
    </row>
    <row r="1409" spans="1:124" ht="12.75" customHeight="1" x14ac:dyDescent="0.25">
      <c r="A1409" s="355" t="s">
        <v>2087</v>
      </c>
      <c r="B1409" s="479"/>
      <c r="C1409" s="480">
        <v>0</v>
      </c>
      <c r="D1409" s="480">
        <v>181.44499999999999</v>
      </c>
      <c r="E1409" s="480">
        <v>186.12200000000001</v>
      </c>
      <c r="F1409" s="480">
        <v>180.983</v>
      </c>
      <c r="G1409" s="481">
        <f>F1409</f>
        <v>180.983</v>
      </c>
      <c r="H1409" s="480">
        <v>443.05500000000001</v>
      </c>
      <c r="I1409" s="480">
        <v>443.423</v>
      </c>
      <c r="J1409" s="482">
        <v>274.52300000000002</v>
      </c>
      <c r="K1409" s="480">
        <v>275.18200000000002</v>
      </c>
      <c r="L1409" s="481">
        <f>K1409</f>
        <v>275.18200000000002</v>
      </c>
      <c r="M1409" s="480">
        <v>275.11099999999999</v>
      </c>
      <c r="N1409" s="480">
        <v>275.04199999999997</v>
      </c>
      <c r="O1409" s="480">
        <v>0.24399999999999999</v>
      </c>
      <c r="P1409" s="480">
        <v>0.24299999999999999</v>
      </c>
      <c r="Q1409" s="481">
        <f>P1409</f>
        <v>0.24299999999999999</v>
      </c>
      <c r="R1409" s="482">
        <v>60.013999999999996</v>
      </c>
      <c r="S1409" s="480">
        <v>69.42</v>
      </c>
      <c r="T1409" s="480">
        <v>82.421999999999997</v>
      </c>
      <c r="U1409" s="480">
        <v>85.637</v>
      </c>
      <c r="V1409" s="481">
        <f>U1409</f>
        <v>85.637</v>
      </c>
      <c r="W1409" s="480">
        <v>83.619</v>
      </c>
      <c r="X1409" s="480">
        <v>87.176000000000002</v>
      </c>
      <c r="Y1409" s="480">
        <v>556.70100000000002</v>
      </c>
      <c r="Z1409" s="480">
        <v>71.408000000000001</v>
      </c>
      <c r="AA1409" s="481">
        <f>Z1409</f>
        <v>71.408000000000001</v>
      </c>
      <c r="AB1409" s="480">
        <f>69.593+3.517</f>
        <v>73.11</v>
      </c>
      <c r="AC1409" s="480">
        <f>52.625+6.568</f>
        <v>59.192999999999998</v>
      </c>
      <c r="AD1409" s="480">
        <f>61.756+7.169</f>
        <v>68.924999999999997</v>
      </c>
      <c r="AE1409" s="482">
        <f>46.702+7.769</f>
        <v>54.470999999999997</v>
      </c>
      <c r="AF1409" s="481">
        <f>AE1409</f>
        <v>54.470999999999997</v>
      </c>
      <c r="AG1409" s="482">
        <f>36.695+8.369</f>
        <v>45.064</v>
      </c>
      <c r="AH1409" s="482">
        <f>35.25+8.97</f>
        <v>44.22</v>
      </c>
      <c r="AI1409" s="482">
        <f>38.856+8.97</f>
        <v>47.826000000000001</v>
      </c>
      <c r="AJ1409" s="482">
        <f>36.846+8.97</f>
        <v>45.815999999999995</v>
      </c>
      <c r="AK1409" s="481">
        <f>AJ1409</f>
        <v>45.815999999999995</v>
      </c>
      <c r="AL1409" s="482">
        <f>36.634+8.97</f>
        <v>45.603999999999999</v>
      </c>
      <c r="AM1409" s="482">
        <f>30.473+8.97</f>
        <v>39.442999999999998</v>
      </c>
      <c r="AN1409" s="482">
        <f>31.755+8.321</f>
        <v>40.076000000000001</v>
      </c>
      <c r="AO1409" s="482">
        <f>33.872+8.321</f>
        <v>42.192999999999998</v>
      </c>
      <c r="AP1409" s="481">
        <f>AO1409</f>
        <v>42.192999999999998</v>
      </c>
      <c r="AQ1409" s="482">
        <f>36.237+7.673</f>
        <v>43.910000000000004</v>
      </c>
      <c r="AR1409" s="482">
        <f>36.87+7.686</f>
        <v>44.555999999999997</v>
      </c>
      <c r="AS1409" s="482">
        <f>21.411+7.686</f>
        <v>29.097000000000001</v>
      </c>
      <c r="AT1409" s="482">
        <f>20.393+7.686</f>
        <v>28.079000000000001</v>
      </c>
      <c r="AU1409" s="481">
        <f>AT1409</f>
        <v>28.079000000000001</v>
      </c>
      <c r="AV1409" s="482">
        <f>21.757+7.05</f>
        <v>28.807000000000002</v>
      </c>
      <c r="AW1409" s="482">
        <f>23.004+7.05</f>
        <v>30.054000000000002</v>
      </c>
      <c r="AX1409" s="482">
        <f>21.819+7.05</f>
        <v>28.869</v>
      </c>
      <c r="AY1409" s="482">
        <f>19.966+7.05</f>
        <v>27.016000000000002</v>
      </c>
      <c r="AZ1409" s="481">
        <f>AY1409</f>
        <v>27.016000000000002</v>
      </c>
      <c r="BA1409" s="2675">
        <f>23.42+6.424</f>
        <v>29.844000000000001</v>
      </c>
      <c r="BB1409" s="2675">
        <f>25.533+6.424</f>
        <v>31.957000000000001</v>
      </c>
      <c r="BC1409" s="2675">
        <f>19.318+6.424</f>
        <v>25.742000000000001</v>
      </c>
      <c r="BD1409" s="2675">
        <f>7.035+27.447</f>
        <v>34.481999999999999</v>
      </c>
      <c r="BE1409" s="481">
        <f>+BD1409</f>
        <v>34.481999999999999</v>
      </c>
      <c r="BF1409" s="2675">
        <f>7.108+27.11</f>
        <v>34.217999999999996</v>
      </c>
      <c r="BG1409" s="2675">
        <f>8.938+27.356</f>
        <v>36.294000000000004</v>
      </c>
      <c r="BH1409" s="2675">
        <f>8.907+17.833</f>
        <v>26.74</v>
      </c>
      <c r="BI1409" s="2675">
        <v>18.169</v>
      </c>
      <c r="BJ1409" s="481">
        <f>+BI1409</f>
        <v>18.169</v>
      </c>
      <c r="BK1409" s="2953">
        <v>43.045999999999999</v>
      </c>
      <c r="BL1409" s="2675">
        <f>18.047+26.555</f>
        <v>44.602000000000004</v>
      </c>
      <c r="BM1409" s="482">
        <f>43.602+28.212</f>
        <v>71.813999999999993</v>
      </c>
      <c r="BN1409" s="2953">
        <f>40.349+26.791</f>
        <v>67.14</v>
      </c>
      <c r="BO1409" s="481">
        <f>+BN1409</f>
        <v>67.14</v>
      </c>
      <c r="BP1409" s="2953">
        <f>36.861+27.312</f>
        <v>64.173000000000002</v>
      </c>
      <c r="BQ1409" s="2953">
        <f>27.062+35.819</f>
        <v>62.881</v>
      </c>
      <c r="BR1409" s="482">
        <f>28.995+15.259</f>
        <v>44.254000000000005</v>
      </c>
      <c r="BS1409" s="3508">
        <f>46.652+34.099</f>
        <v>80.751000000000005</v>
      </c>
      <c r="BT1409" s="2587">
        <f>+BS1409</f>
        <v>80.751000000000005</v>
      </c>
      <c r="BU1409" s="2840">
        <f>BT1409+BU1300</f>
        <v>80.751000000000005</v>
      </c>
      <c r="BV1409" s="2840">
        <f>BU1409+BV1300</f>
        <v>80.751000000000005</v>
      </c>
      <c r="BW1409" s="2840">
        <f>BV1409+BW1300</f>
        <v>80.751000000000005</v>
      </c>
      <c r="BX1409" s="2840">
        <f>BW1409+BX1300</f>
        <v>80.751000000000005</v>
      </c>
      <c r="BY1409" s="2587">
        <f>+BX1409</f>
        <v>80.751000000000005</v>
      </c>
      <c r="BZ1409" s="2587">
        <f t="shared" ref="BZ1409:CF1409" si="3212">BY1409+BZ1300</f>
        <v>80.751000000000005</v>
      </c>
      <c r="CA1409" s="2587">
        <f t="shared" si="3212"/>
        <v>80.751000000000005</v>
      </c>
      <c r="CB1409" s="481">
        <f t="shared" si="3212"/>
        <v>80.751000000000005</v>
      </c>
      <c r="CC1409" s="481">
        <f t="shared" si="3212"/>
        <v>80.751000000000005</v>
      </c>
      <c r="CD1409" s="481">
        <f t="shared" si="3212"/>
        <v>80.751000000000005</v>
      </c>
      <c r="CE1409" s="481">
        <f t="shared" si="3212"/>
        <v>80.751000000000005</v>
      </c>
      <c r="CF1409" s="481">
        <f t="shared" si="3212"/>
        <v>80.751000000000005</v>
      </c>
      <c r="CG1409" s="741"/>
      <c r="CH1409" s="741"/>
      <c r="CI1409" s="741"/>
      <c r="CJ1409" s="741"/>
      <c r="CK1409" s="741"/>
      <c r="CL1409" s="995" t="str">
        <f>A1409</f>
        <v>Other LT liabilities</v>
      </c>
      <c r="CM1409" s="430">
        <f>G1409</f>
        <v>180.983</v>
      </c>
      <c r="CN1409" s="430">
        <f>L1409</f>
        <v>275.18200000000002</v>
      </c>
      <c r="CO1409" s="430">
        <f>Q1409</f>
        <v>0.24299999999999999</v>
      </c>
      <c r="CP1409" s="430">
        <f>V1409</f>
        <v>85.637</v>
      </c>
      <c r="CQ1409" s="430">
        <f>AA1409</f>
        <v>71.408000000000001</v>
      </c>
      <c r="CR1409" s="430">
        <f>AF1409</f>
        <v>54.470999999999997</v>
      </c>
      <c r="CS1409" s="430">
        <f>AK1409</f>
        <v>45.815999999999995</v>
      </c>
      <c r="CT1409" s="430">
        <f>AP1409</f>
        <v>42.192999999999998</v>
      </c>
      <c r="CU1409" s="430">
        <f>AU1409</f>
        <v>28.079000000000001</v>
      </c>
      <c r="CV1409" s="430">
        <f>AZ1409</f>
        <v>27.016000000000002</v>
      </c>
      <c r="CW1409" s="430">
        <f>BE1409</f>
        <v>34.481999999999999</v>
      </c>
      <c r="CX1409" s="430">
        <f>BJ1409</f>
        <v>18.169</v>
      </c>
      <c r="CY1409" s="430">
        <f>BO1409</f>
        <v>67.14</v>
      </c>
      <c r="CZ1409" s="430">
        <f>BT1409</f>
        <v>80.751000000000005</v>
      </c>
      <c r="DA1409" s="430">
        <f t="shared" si="3211"/>
        <v>80.751000000000005</v>
      </c>
      <c r="DB1409" s="430">
        <f t="shared" si="3211"/>
        <v>80.751000000000005</v>
      </c>
      <c r="DC1409" s="853">
        <f t="shared" si="3211"/>
        <v>80.751000000000005</v>
      </c>
      <c r="DD1409" s="741"/>
      <c r="DE1409" s="741"/>
      <c r="DF1409" s="742"/>
      <c r="DG1409" s="743"/>
      <c r="DH1409" s="2840"/>
      <c r="DI1409" s="3215"/>
      <c r="DJ1409" s="742"/>
      <c r="DK1409" s="743"/>
      <c r="DL1409" s="742"/>
      <c r="DM1409" s="742"/>
      <c r="DN1409" s="742"/>
      <c r="DO1409" s="742"/>
      <c r="DP1409" s="743"/>
      <c r="DQ1409" s="743"/>
      <c r="DR1409" s="740"/>
      <c r="DS1409" s="740"/>
      <c r="DT1409" s="740"/>
    </row>
    <row r="1410" spans="1:124" ht="4.5" customHeight="1" x14ac:dyDescent="0.25">
      <c r="A1410" s="1192"/>
      <c r="B1410" s="541"/>
      <c r="C1410" s="544" t="s">
        <v>1151</v>
      </c>
      <c r="D1410" s="544" t="s">
        <v>1151</v>
      </c>
      <c r="E1410" s="544" t="s">
        <v>1151</v>
      </c>
      <c r="F1410" s="544" t="s">
        <v>1151</v>
      </c>
      <c r="G1410" s="461" t="s">
        <v>1151</v>
      </c>
      <c r="H1410" s="544" t="s">
        <v>1151</v>
      </c>
      <c r="I1410" s="544" t="s">
        <v>1151</v>
      </c>
      <c r="J1410" s="544" t="s">
        <v>1151</v>
      </c>
      <c r="K1410" s="544" t="s">
        <v>1151</v>
      </c>
      <c r="L1410" s="461" t="s">
        <v>1151</v>
      </c>
      <c r="M1410" s="544" t="s">
        <v>1151</v>
      </c>
      <c r="N1410" s="544" t="s">
        <v>1151</v>
      </c>
      <c r="O1410" s="544" t="s">
        <v>1151</v>
      </c>
      <c r="P1410" s="544" t="s">
        <v>1151</v>
      </c>
      <c r="Q1410" s="461" t="s">
        <v>1151</v>
      </c>
      <c r="R1410" s="544" t="s">
        <v>1151</v>
      </c>
      <c r="S1410" s="544" t="s">
        <v>1151</v>
      </c>
      <c r="T1410" s="544" t="s">
        <v>1151</v>
      </c>
      <c r="U1410" s="544" t="s">
        <v>1151</v>
      </c>
      <c r="V1410" s="461" t="s">
        <v>1151</v>
      </c>
      <c r="W1410" s="544" t="s">
        <v>1151</v>
      </c>
      <c r="X1410" s="544" t="s">
        <v>1151</v>
      </c>
      <c r="Y1410" s="544" t="s">
        <v>1151</v>
      </c>
      <c r="Z1410" s="544" t="s">
        <v>1151</v>
      </c>
      <c r="AA1410" s="461" t="s">
        <v>1151</v>
      </c>
      <c r="AB1410" s="544" t="s">
        <v>1151</v>
      </c>
      <c r="AC1410" s="544" t="s">
        <v>1151</v>
      </c>
      <c r="AD1410" s="544" t="s">
        <v>1151</v>
      </c>
      <c r="AE1410" s="544" t="s">
        <v>1151</v>
      </c>
      <c r="AF1410" s="461" t="s">
        <v>1151</v>
      </c>
      <c r="AG1410" s="544" t="s">
        <v>1151</v>
      </c>
      <c r="AH1410" s="544" t="s">
        <v>1151</v>
      </c>
      <c r="AI1410" s="544" t="s">
        <v>1151</v>
      </c>
      <c r="AJ1410" s="544" t="s">
        <v>1151</v>
      </c>
      <c r="AK1410" s="461" t="s">
        <v>1151</v>
      </c>
      <c r="AL1410" s="544" t="s">
        <v>1151</v>
      </c>
      <c r="AM1410" s="544" t="s">
        <v>1151</v>
      </c>
      <c r="AN1410" s="544" t="s">
        <v>1151</v>
      </c>
      <c r="AO1410" s="544" t="s">
        <v>1151</v>
      </c>
      <c r="AP1410" s="461" t="s">
        <v>1151</v>
      </c>
      <c r="AQ1410" s="544" t="s">
        <v>1151</v>
      </c>
      <c r="AR1410" s="544" t="s">
        <v>1151</v>
      </c>
      <c r="AS1410" s="544" t="s">
        <v>1151</v>
      </c>
      <c r="AT1410" s="544" t="s">
        <v>1151</v>
      </c>
      <c r="AU1410" s="461" t="s">
        <v>1151</v>
      </c>
      <c r="AV1410" s="544" t="s">
        <v>1151</v>
      </c>
      <c r="AW1410" s="2456" t="s">
        <v>1151</v>
      </c>
      <c r="AX1410" s="2456" t="s">
        <v>1151</v>
      </c>
      <c r="AY1410" s="544" t="s">
        <v>1151</v>
      </c>
      <c r="AZ1410" s="461" t="s">
        <v>1151</v>
      </c>
      <c r="BA1410" s="544" t="s">
        <v>1151</v>
      </c>
      <c r="BB1410" s="544" t="s">
        <v>1151</v>
      </c>
      <c r="BC1410" s="544" t="s">
        <v>1151</v>
      </c>
      <c r="BD1410" s="544" t="s">
        <v>1151</v>
      </c>
      <c r="BE1410" s="461" t="s">
        <v>1151</v>
      </c>
      <c r="BF1410" s="544" t="s">
        <v>1151</v>
      </c>
      <c r="BG1410" s="544" t="s">
        <v>1151</v>
      </c>
      <c r="BH1410" s="544" t="s">
        <v>1151</v>
      </c>
      <c r="BI1410" s="544" t="s">
        <v>1151</v>
      </c>
      <c r="BJ1410" s="461" t="s">
        <v>1151</v>
      </c>
      <c r="BK1410" s="609" t="s">
        <v>1151</v>
      </c>
      <c r="BL1410" s="544" t="s">
        <v>1151</v>
      </c>
      <c r="BM1410" s="544" t="s">
        <v>1151</v>
      </c>
      <c r="BN1410" s="544" t="s">
        <v>1151</v>
      </c>
      <c r="BO1410" s="461" t="s">
        <v>1151</v>
      </c>
      <c r="BP1410" s="544" t="s">
        <v>1151</v>
      </c>
      <c r="BQ1410" s="544" t="s">
        <v>1151</v>
      </c>
      <c r="BR1410" s="544" t="s">
        <v>1151</v>
      </c>
      <c r="BS1410" s="544" t="s">
        <v>1151</v>
      </c>
      <c r="BT1410" s="461" t="s">
        <v>1151</v>
      </c>
      <c r="BU1410" s="544" t="s">
        <v>1151</v>
      </c>
      <c r="BV1410" s="544" t="s">
        <v>1151</v>
      </c>
      <c r="BW1410" s="544" t="s">
        <v>1151</v>
      </c>
      <c r="BX1410" s="544" t="s">
        <v>1151</v>
      </c>
      <c r="BY1410" s="461" t="s">
        <v>1151</v>
      </c>
      <c r="BZ1410" s="461" t="s">
        <v>1151</v>
      </c>
      <c r="CA1410" s="461" t="s">
        <v>1151</v>
      </c>
      <c r="CB1410" s="461" t="s">
        <v>1151</v>
      </c>
      <c r="CC1410" s="461" t="s">
        <v>1151</v>
      </c>
      <c r="CD1410" s="461" t="s">
        <v>1151</v>
      </c>
      <c r="CE1410" s="461" t="s">
        <v>1151</v>
      </c>
      <c r="CF1410" s="461" t="s">
        <v>1151</v>
      </c>
      <c r="CG1410" s="741"/>
      <c r="CH1410" s="741"/>
      <c r="CI1410" s="741"/>
      <c r="CJ1410" s="741"/>
      <c r="CK1410" s="741"/>
      <c r="CL1410" s="2035"/>
      <c r="CM1410" s="2029" t="str">
        <f>G1410</f>
        <v xml:space="preserve">                </v>
      </c>
      <c r="CN1410" s="2029" t="str">
        <f>L1410</f>
        <v xml:space="preserve">                </v>
      </c>
      <c r="CO1410" s="2029" t="str">
        <f>Q1410</f>
        <v xml:space="preserve">                </v>
      </c>
      <c r="CP1410" s="2029" t="str">
        <f>V1410</f>
        <v xml:space="preserve">                </v>
      </c>
      <c r="CQ1410" s="2029" t="str">
        <f>AA1410</f>
        <v xml:space="preserve">                </v>
      </c>
      <c r="CR1410" s="2029" t="str">
        <f>AF1410</f>
        <v xml:space="preserve">                </v>
      </c>
      <c r="CS1410" s="2029" t="str">
        <f>AK1410</f>
        <v xml:space="preserve">                </v>
      </c>
      <c r="CT1410" s="2029" t="str">
        <f>AP1410</f>
        <v xml:space="preserve">                </v>
      </c>
      <c r="CU1410" s="2029" t="str">
        <f>AU1410</f>
        <v xml:space="preserve">                </v>
      </c>
      <c r="CV1410" s="2029" t="str">
        <f>AZ1410</f>
        <v xml:space="preserve">                </v>
      </c>
      <c r="CW1410" s="2029" t="str">
        <f>BE1410</f>
        <v xml:space="preserve">                </v>
      </c>
      <c r="CX1410" s="2029" t="str">
        <f>BJ1410</f>
        <v xml:space="preserve">                </v>
      </c>
      <c r="CY1410" s="2029" t="str">
        <f>BO1410</f>
        <v xml:space="preserve">                </v>
      </c>
      <c r="CZ1410" s="2029" t="str">
        <f>BT1410</f>
        <v xml:space="preserve">                </v>
      </c>
      <c r="DA1410" s="2029" t="str">
        <f t="shared" si="3211"/>
        <v xml:space="preserve">                </v>
      </c>
      <c r="DB1410" s="2029" t="str">
        <f t="shared" si="3211"/>
        <v xml:space="preserve">                </v>
      </c>
      <c r="DC1410" s="2030" t="str">
        <f t="shared" si="3211"/>
        <v xml:space="preserve">                </v>
      </c>
      <c r="DD1410" s="741"/>
      <c r="DE1410" s="741"/>
      <c r="DF1410" s="742"/>
      <c r="DG1410" s="743"/>
      <c r="DH1410" s="2029"/>
      <c r="DI1410" s="3215"/>
      <c r="DJ1410" s="742"/>
      <c r="DK1410" s="743"/>
      <c r="DL1410" s="742"/>
      <c r="DM1410" s="742"/>
      <c r="DN1410" s="742"/>
      <c r="DO1410" s="742"/>
      <c r="DP1410" s="743"/>
      <c r="DQ1410" s="743"/>
      <c r="DR1410" s="740"/>
      <c r="DS1410" s="740"/>
      <c r="DT1410" s="740"/>
    </row>
    <row r="1411" spans="1:124" ht="12.75" customHeight="1" x14ac:dyDescent="0.25">
      <c r="A1411" s="945" t="s">
        <v>2087</v>
      </c>
      <c r="B1411" s="487"/>
      <c r="C1411" s="901">
        <v>0</v>
      </c>
      <c r="D1411" s="488">
        <f t="shared" ref="D1411:BI1411" si="3213">SUM(D1408:D1409)</f>
        <v>213.65299999999999</v>
      </c>
      <c r="E1411" s="488">
        <f t="shared" si="3213"/>
        <v>205.239</v>
      </c>
      <c r="F1411" s="488">
        <f t="shared" si="3213"/>
        <v>212.78900000000002</v>
      </c>
      <c r="G1411" s="489">
        <f t="shared" si="3213"/>
        <v>212.78900000000002</v>
      </c>
      <c r="H1411" s="488">
        <f t="shared" si="3213"/>
        <v>475.666</v>
      </c>
      <c r="I1411" s="488">
        <f t="shared" si="3213"/>
        <v>475.17200000000003</v>
      </c>
      <c r="J1411" s="488">
        <f t="shared" si="3213"/>
        <v>305.86400000000003</v>
      </c>
      <c r="K1411" s="488">
        <f t="shared" si="3213"/>
        <v>534.8900000000001</v>
      </c>
      <c r="L1411" s="489">
        <f t="shared" si="3213"/>
        <v>534.8900000000001</v>
      </c>
      <c r="M1411" s="488">
        <f t="shared" si="3213"/>
        <v>536.65100000000007</v>
      </c>
      <c r="N1411" s="488">
        <f t="shared" si="3213"/>
        <v>529.70899999999995</v>
      </c>
      <c r="O1411" s="488">
        <f t="shared" si="3213"/>
        <v>370.46600000000001</v>
      </c>
      <c r="P1411" s="488">
        <f t="shared" si="3213"/>
        <v>387.858</v>
      </c>
      <c r="Q1411" s="489">
        <f t="shared" si="3213"/>
        <v>387.858</v>
      </c>
      <c r="R1411" s="488">
        <f t="shared" si="3213"/>
        <v>447.19299999999998</v>
      </c>
      <c r="S1411" s="488">
        <f t="shared" si="3213"/>
        <v>460.04400000000004</v>
      </c>
      <c r="T1411" s="488">
        <f t="shared" si="3213"/>
        <v>466.95899999999995</v>
      </c>
      <c r="U1411" s="488">
        <f t="shared" si="3213"/>
        <v>470.726</v>
      </c>
      <c r="V1411" s="489">
        <f t="shared" si="3213"/>
        <v>470.726</v>
      </c>
      <c r="W1411" s="488">
        <f t="shared" si="3213"/>
        <v>462.22900000000004</v>
      </c>
      <c r="X1411" s="488">
        <f t="shared" si="3213"/>
        <v>477.255</v>
      </c>
      <c r="Y1411" s="488">
        <f t="shared" si="3213"/>
        <v>934.69</v>
      </c>
      <c r="Z1411" s="488">
        <f t="shared" si="3213"/>
        <v>337.01800000000003</v>
      </c>
      <c r="AA1411" s="489">
        <f t="shared" si="3213"/>
        <v>337.01800000000003</v>
      </c>
      <c r="AB1411" s="488">
        <f t="shared" si="3213"/>
        <v>339.84800000000001</v>
      </c>
      <c r="AC1411" s="488">
        <f t="shared" si="3213"/>
        <v>333.53699999999998</v>
      </c>
      <c r="AD1411" s="488">
        <f t="shared" si="3213"/>
        <v>330.68299999999999</v>
      </c>
      <c r="AE1411" s="485">
        <f t="shared" si="3213"/>
        <v>181.578</v>
      </c>
      <c r="AF1411" s="486">
        <f t="shared" si="3213"/>
        <v>181.578</v>
      </c>
      <c r="AG1411" s="485">
        <f t="shared" si="3213"/>
        <v>177.20499999999998</v>
      </c>
      <c r="AH1411" s="485">
        <f t="shared" si="3213"/>
        <v>166.33699999999999</v>
      </c>
      <c r="AI1411" s="485">
        <f t="shared" si="3213"/>
        <v>173.85499999999999</v>
      </c>
      <c r="AJ1411" s="485">
        <f t="shared" si="3213"/>
        <v>180.38800000000001</v>
      </c>
      <c r="AK1411" s="486">
        <f t="shared" si="3213"/>
        <v>180.38800000000001</v>
      </c>
      <c r="AL1411" s="485">
        <f t="shared" si="3213"/>
        <v>187.166</v>
      </c>
      <c r="AM1411" s="485">
        <f t="shared" si="3213"/>
        <v>205.25799999999998</v>
      </c>
      <c r="AN1411" s="485">
        <f t="shared" si="3213"/>
        <v>207.48399999999998</v>
      </c>
      <c r="AO1411" s="485">
        <f t="shared" si="3213"/>
        <v>209.76900000000001</v>
      </c>
      <c r="AP1411" s="486">
        <f t="shared" si="3213"/>
        <v>209.76900000000001</v>
      </c>
      <c r="AQ1411" s="485">
        <f t="shared" si="3213"/>
        <v>204.86599999999999</v>
      </c>
      <c r="AR1411" s="485">
        <f t="shared" si="3213"/>
        <v>196.76499999999999</v>
      </c>
      <c r="AS1411" s="485">
        <f t="shared" si="3213"/>
        <v>203.25200000000001</v>
      </c>
      <c r="AT1411" s="485">
        <f t="shared" si="3213"/>
        <v>244.43600000000001</v>
      </c>
      <c r="AU1411" s="486">
        <f t="shared" si="3213"/>
        <v>244.43600000000001</v>
      </c>
      <c r="AV1411" s="485">
        <f t="shared" ref="AV1411:BD1411" si="3214">SUM(AV1408:AV1409)</f>
        <v>249.93099999999998</v>
      </c>
      <c r="AW1411" s="485">
        <f t="shared" si="3214"/>
        <v>253.05799999999999</v>
      </c>
      <c r="AX1411" s="485">
        <f t="shared" si="3214"/>
        <v>226.42099999999999</v>
      </c>
      <c r="AY1411" s="485">
        <f t="shared" si="3214"/>
        <v>40.928000000000004</v>
      </c>
      <c r="AZ1411" s="486">
        <f t="shared" si="3214"/>
        <v>40.928000000000004</v>
      </c>
      <c r="BA1411" s="485">
        <f t="shared" si="3214"/>
        <v>45.623000000000005</v>
      </c>
      <c r="BB1411" s="485">
        <f t="shared" si="3214"/>
        <v>42.448999999999998</v>
      </c>
      <c r="BC1411" s="485">
        <f>SUM(BC1408:BC1409)</f>
        <v>25.742000000000001</v>
      </c>
      <c r="BD1411" s="485">
        <f t="shared" si="3214"/>
        <v>113.11499999999999</v>
      </c>
      <c r="BE1411" s="486">
        <f t="shared" si="3213"/>
        <v>113.11499999999999</v>
      </c>
      <c r="BF1411" s="485">
        <f t="shared" si="3213"/>
        <v>124.554</v>
      </c>
      <c r="BG1411" s="485">
        <f t="shared" si="3213"/>
        <v>128.31100000000001</v>
      </c>
      <c r="BH1411" s="485">
        <f t="shared" si="3213"/>
        <v>157.83200000000002</v>
      </c>
      <c r="BI1411" s="485">
        <f t="shared" si="3213"/>
        <v>126.09</v>
      </c>
      <c r="BJ1411" s="486">
        <f t="shared" ref="BJ1411:CF1411" si="3215">SUM(BJ1408:BJ1409)</f>
        <v>126.09</v>
      </c>
      <c r="BK1411" s="485">
        <f t="shared" si="3215"/>
        <v>150.346</v>
      </c>
      <c r="BL1411" s="485">
        <f t="shared" si="3215"/>
        <v>156.88900000000001</v>
      </c>
      <c r="BM1411" s="485">
        <f t="shared" si="3215"/>
        <v>191.97499999999999</v>
      </c>
      <c r="BN1411" s="485">
        <f t="shared" si="3215"/>
        <v>194.06400000000002</v>
      </c>
      <c r="BO1411" s="486">
        <f t="shared" si="3215"/>
        <v>194.06400000000002</v>
      </c>
      <c r="BP1411" s="485">
        <f t="shared" si="3215"/>
        <v>191.749</v>
      </c>
      <c r="BQ1411" s="485">
        <f t="shared" si="3215"/>
        <v>191.892</v>
      </c>
      <c r="BR1411" s="485">
        <f t="shared" si="3215"/>
        <v>44.254000000000005</v>
      </c>
      <c r="BS1411" s="485">
        <f t="shared" si="3215"/>
        <v>80.751000000000005</v>
      </c>
      <c r="BT1411" s="486">
        <f t="shared" si="3215"/>
        <v>80.751000000000005</v>
      </c>
      <c r="BU1411" s="485">
        <f t="shared" si="3215"/>
        <v>80.751000000000005</v>
      </c>
      <c r="BV1411" s="485">
        <f>SUM(BV1408:BV1409)</f>
        <v>80.751000000000005</v>
      </c>
      <c r="BW1411" s="485">
        <f>SUM(BW1408:BW1409)</f>
        <v>80.751000000000005</v>
      </c>
      <c r="BX1411" s="485">
        <f>SUM(BX1408:BX1409)</f>
        <v>80.751000000000005</v>
      </c>
      <c r="BY1411" s="486">
        <f>SUM(BY1408:BY1409)</f>
        <v>80.751000000000005</v>
      </c>
      <c r="BZ1411" s="486">
        <f t="shared" si="3215"/>
        <v>80.751000000000005</v>
      </c>
      <c r="CA1411" s="486">
        <f t="shared" si="3215"/>
        <v>80.751000000000005</v>
      </c>
      <c r="CB1411" s="486">
        <f t="shared" si="3215"/>
        <v>80.751000000000005</v>
      </c>
      <c r="CC1411" s="486">
        <f t="shared" si="3215"/>
        <v>80.751000000000005</v>
      </c>
      <c r="CD1411" s="486">
        <f t="shared" si="3215"/>
        <v>80.751000000000005</v>
      </c>
      <c r="CE1411" s="486">
        <f t="shared" si="3215"/>
        <v>80.751000000000005</v>
      </c>
      <c r="CF1411" s="486">
        <f t="shared" si="3215"/>
        <v>80.751000000000005</v>
      </c>
      <c r="CG1411" s="331"/>
      <c r="CH1411" s="331"/>
      <c r="CI1411" s="331"/>
      <c r="CJ1411" s="331"/>
      <c r="CK1411" s="331"/>
      <c r="CL1411" s="944" t="str">
        <f>A1411</f>
        <v>Other LT liabilities</v>
      </c>
      <c r="CM1411" s="485">
        <f>G1411</f>
        <v>212.78900000000002</v>
      </c>
      <c r="CN1411" s="485">
        <f>L1411</f>
        <v>534.8900000000001</v>
      </c>
      <c r="CO1411" s="485">
        <f>Q1411</f>
        <v>387.858</v>
      </c>
      <c r="CP1411" s="485">
        <f>V1411</f>
        <v>470.726</v>
      </c>
      <c r="CQ1411" s="485">
        <f>AA1411</f>
        <v>337.01800000000003</v>
      </c>
      <c r="CR1411" s="485">
        <f>AF1411</f>
        <v>181.578</v>
      </c>
      <c r="CS1411" s="485">
        <f>AK1411</f>
        <v>180.38800000000001</v>
      </c>
      <c r="CT1411" s="485">
        <f>AP1411</f>
        <v>209.76900000000001</v>
      </c>
      <c r="CU1411" s="485">
        <f>AU1411</f>
        <v>244.43600000000001</v>
      </c>
      <c r="CV1411" s="485">
        <f>AZ1411</f>
        <v>40.928000000000004</v>
      </c>
      <c r="CW1411" s="485">
        <f>BE1411</f>
        <v>113.11499999999999</v>
      </c>
      <c r="CX1411" s="485">
        <f>BJ1411</f>
        <v>126.09</v>
      </c>
      <c r="CY1411" s="485">
        <f>BO1411</f>
        <v>194.06400000000002</v>
      </c>
      <c r="CZ1411" s="485">
        <f>BT1411</f>
        <v>80.751000000000005</v>
      </c>
      <c r="DA1411" s="485">
        <f t="shared" si="3211"/>
        <v>80.751000000000005</v>
      </c>
      <c r="DB1411" s="485">
        <f t="shared" si="3211"/>
        <v>80.751000000000005</v>
      </c>
      <c r="DC1411" s="854">
        <f t="shared" si="3211"/>
        <v>80.751000000000005</v>
      </c>
      <c r="DD1411" s="331"/>
      <c r="DE1411" s="331"/>
      <c r="DF1411" s="502"/>
      <c r="DG1411" s="503"/>
      <c r="DH1411" s="485"/>
      <c r="DI1411" s="3213"/>
      <c r="DJ1411" s="502"/>
      <c r="DK1411" s="503"/>
      <c r="DL1411" s="502"/>
      <c r="DM1411" s="502"/>
      <c r="DN1411" s="502"/>
      <c r="DO1411" s="502"/>
      <c r="DP1411" s="503"/>
      <c r="DQ1411" s="503"/>
      <c r="DR1411" s="296"/>
      <c r="DS1411" s="296"/>
      <c r="DT1411" s="296"/>
    </row>
    <row r="1412" spans="1:124" ht="12.75" customHeight="1" x14ac:dyDescent="0.25">
      <c r="A1412" s="479"/>
      <c r="B1412" s="479"/>
      <c r="C1412" s="480"/>
      <c r="D1412" s="480"/>
      <c r="E1412" s="480"/>
      <c r="F1412" s="480"/>
      <c r="G1412" s="484"/>
      <c r="H1412" s="480"/>
      <c r="I1412" s="480"/>
      <c r="J1412" s="482"/>
      <c r="K1412" s="480"/>
      <c r="L1412" s="484"/>
      <c r="M1412" s="480"/>
      <c r="N1412" s="480"/>
      <c r="O1412" s="480"/>
      <c r="P1412" s="480"/>
      <c r="Q1412" s="484"/>
      <c r="R1412" s="482"/>
      <c r="S1412" s="480"/>
      <c r="T1412" s="480"/>
      <c r="U1412" s="480"/>
      <c r="V1412" s="484"/>
      <c r="W1412" s="480"/>
      <c r="X1412" s="480"/>
      <c r="Y1412" s="480"/>
      <c r="Z1412" s="480"/>
      <c r="AA1412" s="484"/>
      <c r="AB1412" s="480"/>
      <c r="AC1412" s="480"/>
      <c r="AD1412" s="480"/>
      <c r="AE1412" s="482"/>
      <c r="AF1412" s="481"/>
      <c r="AG1412" s="430"/>
      <c r="AH1412" s="430"/>
      <c r="AI1412" s="430"/>
      <c r="AJ1412" s="430"/>
      <c r="AK1412" s="481"/>
      <c r="AL1412" s="430"/>
      <c r="AM1412" s="430"/>
      <c r="AN1412" s="1071"/>
      <c r="AO1412" s="1071"/>
      <c r="AP1412" s="481"/>
      <c r="AQ1412" s="430"/>
      <c r="AR1412" s="430"/>
      <c r="AS1412" s="430"/>
      <c r="AT1412" s="1071"/>
      <c r="AU1412" s="481"/>
      <c r="AV1412" s="1071"/>
      <c r="AW1412" s="430"/>
      <c r="AX1412" s="430"/>
      <c r="AY1412" s="1071"/>
      <c r="AZ1412" s="481"/>
      <c r="BA1412" s="430"/>
      <c r="BB1412" s="430"/>
      <c r="BC1412" s="430"/>
      <c r="BD1412" s="430"/>
      <c r="BE1412" s="481"/>
      <c r="BF1412" s="430"/>
      <c r="BG1412" s="430"/>
      <c r="BH1412" s="430"/>
      <c r="BI1412" s="430"/>
      <c r="BJ1412" s="481"/>
      <c r="BK1412" s="430"/>
      <c r="BL1412" s="430"/>
      <c r="BM1412" s="430"/>
      <c r="BN1412" s="430"/>
      <c r="BO1412" s="481"/>
      <c r="BP1412" s="430"/>
      <c r="BQ1412" s="430"/>
      <c r="BR1412" s="430"/>
      <c r="BS1412" s="430"/>
      <c r="BT1412" s="2587"/>
      <c r="BU1412" s="2840"/>
      <c r="BV1412" s="2840"/>
      <c r="BW1412" s="2840"/>
      <c r="BX1412" s="2840"/>
      <c r="BY1412" s="2587"/>
      <c r="BZ1412" s="2587"/>
      <c r="CA1412" s="2587"/>
      <c r="CB1412" s="481"/>
      <c r="CC1412" s="481"/>
      <c r="CD1412" s="481"/>
      <c r="CE1412" s="481"/>
      <c r="CF1412" s="481"/>
      <c r="CG1412" s="331"/>
      <c r="CH1412" s="331"/>
      <c r="CI1412" s="331"/>
      <c r="CJ1412" s="331"/>
      <c r="CK1412" s="331"/>
      <c r="CL1412" s="872"/>
      <c r="CM1412" s="430"/>
      <c r="CN1412" s="430"/>
      <c r="CO1412" s="430"/>
      <c r="CP1412" s="430"/>
      <c r="CQ1412" s="430"/>
      <c r="CR1412" s="430"/>
      <c r="CS1412" s="430"/>
      <c r="CT1412" s="430"/>
      <c r="CU1412" s="430"/>
      <c r="CV1412" s="430"/>
      <c r="CW1412" s="430"/>
      <c r="CX1412" s="430"/>
      <c r="CY1412" s="430"/>
      <c r="CZ1412" s="430"/>
      <c r="DA1412" s="430"/>
      <c r="DB1412" s="430"/>
      <c r="DC1412" s="853"/>
      <c r="DD1412" s="331"/>
      <c r="DE1412" s="331"/>
      <c r="DF1412" s="502"/>
      <c r="DG1412" s="503"/>
      <c r="DH1412" s="2840"/>
      <c r="DI1412" s="3213"/>
      <c r="DJ1412" s="502"/>
      <c r="DK1412" s="503"/>
      <c r="DL1412" s="502"/>
      <c r="DM1412" s="502"/>
      <c r="DN1412" s="502"/>
      <c r="DO1412" s="502"/>
      <c r="DP1412" s="503"/>
      <c r="DQ1412" s="503"/>
      <c r="DR1412" s="296"/>
      <c r="DS1412" s="296"/>
      <c r="DT1412" s="296"/>
    </row>
    <row r="1413" spans="1:124" ht="12.75" customHeight="1" x14ac:dyDescent="0.25">
      <c r="A1413" s="272" t="s">
        <v>2017</v>
      </c>
      <c r="B1413" s="479"/>
      <c r="C1413" s="480">
        <v>0</v>
      </c>
      <c r="D1413" s="480">
        <v>0</v>
      </c>
      <c r="E1413" s="480">
        <v>0</v>
      </c>
      <c r="F1413" s="480">
        <v>0</v>
      </c>
      <c r="G1413" s="481">
        <f>F1413</f>
        <v>0</v>
      </c>
      <c r="H1413" s="480">
        <v>0</v>
      </c>
      <c r="I1413" s="480">
        <v>0</v>
      </c>
      <c r="J1413" s="482">
        <v>0</v>
      </c>
      <c r="K1413" s="480">
        <v>0</v>
      </c>
      <c r="L1413" s="484">
        <v>0</v>
      </c>
      <c r="M1413" s="480">
        <v>0</v>
      </c>
      <c r="N1413" s="480">
        <v>0</v>
      </c>
      <c r="O1413" s="480">
        <v>0</v>
      </c>
      <c r="P1413" s="480">
        <v>0</v>
      </c>
      <c r="Q1413" s="484">
        <v>0</v>
      </c>
      <c r="R1413" s="482">
        <v>0</v>
      </c>
      <c r="S1413" s="480">
        <v>0</v>
      </c>
      <c r="T1413" s="480">
        <v>0</v>
      </c>
      <c r="U1413" s="480">
        <v>0</v>
      </c>
      <c r="V1413" s="484">
        <v>0</v>
      </c>
      <c r="W1413" s="480">
        <v>0</v>
      </c>
      <c r="X1413" s="480">
        <v>0</v>
      </c>
      <c r="Y1413" s="480">
        <v>0</v>
      </c>
      <c r="Z1413" s="480">
        <v>0</v>
      </c>
      <c r="AA1413" s="484">
        <v>0</v>
      </c>
      <c r="AB1413" s="480">
        <v>0</v>
      </c>
      <c r="AC1413" s="480">
        <v>0</v>
      </c>
      <c r="AD1413" s="480">
        <v>0</v>
      </c>
      <c r="AE1413" s="430">
        <f>AD1413</f>
        <v>0</v>
      </c>
      <c r="AF1413" s="481">
        <f>AE1413</f>
        <v>0</v>
      </c>
      <c r="AG1413" s="430">
        <f>AF1413</f>
        <v>0</v>
      </c>
      <c r="AH1413" s="430">
        <f>AG1413</f>
        <v>0</v>
      </c>
      <c r="AI1413" s="482">
        <v>0</v>
      </c>
      <c r="AJ1413" s="482">
        <v>0</v>
      </c>
      <c r="AK1413" s="481">
        <f>AJ1413</f>
        <v>0</v>
      </c>
      <c r="AL1413" s="430">
        <f>AK1413</f>
        <v>0</v>
      </c>
      <c r="AM1413" s="430">
        <f>AL1413</f>
        <v>0</v>
      </c>
      <c r="AN1413" s="482">
        <v>0</v>
      </c>
      <c r="AO1413" s="482">
        <f>AN1413</f>
        <v>0</v>
      </c>
      <c r="AP1413" s="481">
        <f>AO1413</f>
        <v>0</v>
      </c>
      <c r="AQ1413" s="430">
        <f>AP1413</f>
        <v>0</v>
      </c>
      <c r="AR1413" s="430">
        <f>AQ1413</f>
        <v>0</v>
      </c>
      <c r="AS1413" s="482">
        <v>0</v>
      </c>
      <c r="AT1413" s="482">
        <v>0</v>
      </c>
      <c r="AU1413" s="481">
        <f>AT1413</f>
        <v>0</v>
      </c>
      <c r="AV1413" s="482">
        <v>0</v>
      </c>
      <c r="AW1413" s="482">
        <f>AV1413</f>
        <v>0</v>
      </c>
      <c r="AX1413" s="482">
        <v>0</v>
      </c>
      <c r="AY1413" s="482">
        <v>0</v>
      </c>
      <c r="AZ1413" s="481">
        <f>AY1413</f>
        <v>0</v>
      </c>
      <c r="BA1413" s="2675">
        <v>0</v>
      </c>
      <c r="BB1413" s="2675">
        <f t="shared" ref="BB1413:BF1414" si="3216">BA1413</f>
        <v>0</v>
      </c>
      <c r="BC1413" s="430">
        <f t="shared" si="3216"/>
        <v>0</v>
      </c>
      <c r="BD1413" s="430">
        <f t="shared" si="3216"/>
        <v>0</v>
      </c>
      <c r="BE1413" s="481">
        <f t="shared" ref="BE1413:BE1419" si="3217">+BD1413</f>
        <v>0</v>
      </c>
      <c r="BF1413" s="430">
        <f t="shared" si="3216"/>
        <v>0</v>
      </c>
      <c r="BG1413" s="430">
        <v>0</v>
      </c>
      <c r="BH1413" s="430">
        <v>0</v>
      </c>
      <c r="BI1413" s="430">
        <v>0</v>
      </c>
      <c r="BJ1413" s="481">
        <f t="shared" ref="BJ1413:BJ1419" si="3218">+BI1413</f>
        <v>0</v>
      </c>
      <c r="BK1413" s="2953">
        <v>0</v>
      </c>
      <c r="BL1413" s="2953">
        <v>0</v>
      </c>
      <c r="BM1413" s="2840">
        <v>0</v>
      </c>
      <c r="BN1413" s="2953">
        <v>0</v>
      </c>
      <c r="BO1413" s="481">
        <f t="shared" ref="BO1413:BO1419" si="3219">+BN1413</f>
        <v>0</v>
      </c>
      <c r="BP1413" s="2953">
        <f t="shared" ref="BP1413:BR1414" si="3220">BO1413</f>
        <v>0</v>
      </c>
      <c r="BQ1413" s="430">
        <f t="shared" si="3220"/>
        <v>0</v>
      </c>
      <c r="BR1413" s="2840">
        <f t="shared" si="3220"/>
        <v>0</v>
      </c>
      <c r="BS1413" s="430">
        <v>0</v>
      </c>
      <c r="BT1413" s="2587">
        <f t="shared" ref="BT1413:BU1419" si="3221">+BS1413</f>
        <v>0</v>
      </c>
      <c r="BU1413" s="2840">
        <f t="shared" ref="BU1413:BW1415" si="3222">BT1413</f>
        <v>0</v>
      </c>
      <c r="BV1413" s="2840">
        <f t="shared" si="3222"/>
        <v>0</v>
      </c>
      <c r="BW1413" s="2840">
        <f t="shared" si="3222"/>
        <v>0</v>
      </c>
      <c r="BX1413" s="2840">
        <f>BW1413</f>
        <v>0</v>
      </c>
      <c r="BY1413" s="2587">
        <f t="shared" ref="BY1413:BY1419" si="3223">+BX1413</f>
        <v>0</v>
      </c>
      <c r="BZ1413" s="2587">
        <f>BY1413</f>
        <v>0</v>
      </c>
      <c r="CA1413" s="2587">
        <f>BZ1413</f>
        <v>0</v>
      </c>
      <c r="CB1413" s="481">
        <f t="shared" ref="CB1413:CF1416" si="3224">CA1413</f>
        <v>0</v>
      </c>
      <c r="CC1413" s="481">
        <f t="shared" si="3224"/>
        <v>0</v>
      </c>
      <c r="CD1413" s="481">
        <f t="shared" si="3224"/>
        <v>0</v>
      </c>
      <c r="CE1413" s="481">
        <f t="shared" si="3224"/>
        <v>0</v>
      </c>
      <c r="CF1413" s="481">
        <f t="shared" si="3224"/>
        <v>0</v>
      </c>
      <c r="CG1413" s="331"/>
      <c r="CH1413" s="331"/>
      <c r="CI1413" s="331"/>
      <c r="CJ1413" s="331"/>
      <c r="CK1413" s="331"/>
      <c r="CL1413" s="995" t="str">
        <f t="shared" ref="CL1413:CL1419" si="3225">A1413</f>
        <v>Preferred stock</v>
      </c>
      <c r="CM1413" s="430">
        <f t="shared" ref="CM1413:CM1422" si="3226">G1413</f>
        <v>0</v>
      </c>
      <c r="CN1413" s="430">
        <f t="shared" ref="CN1413:CN1422" si="3227">L1413</f>
        <v>0</v>
      </c>
      <c r="CO1413" s="430">
        <f t="shared" ref="CO1413:CO1422" si="3228">Q1413</f>
        <v>0</v>
      </c>
      <c r="CP1413" s="430">
        <f t="shared" ref="CP1413:CP1422" si="3229">V1413</f>
        <v>0</v>
      </c>
      <c r="CQ1413" s="430">
        <f t="shared" ref="CQ1413:CQ1422" si="3230">AA1413</f>
        <v>0</v>
      </c>
      <c r="CR1413" s="430">
        <f t="shared" ref="CR1413:CR1422" si="3231">AF1413</f>
        <v>0</v>
      </c>
      <c r="CS1413" s="430">
        <f t="shared" ref="CS1413:CS1422" si="3232">AK1413</f>
        <v>0</v>
      </c>
      <c r="CT1413" s="430">
        <f t="shared" ref="CT1413:CT1422" si="3233">AP1413</f>
        <v>0</v>
      </c>
      <c r="CU1413" s="430">
        <f t="shared" ref="CU1413:CU1422" si="3234">AU1413</f>
        <v>0</v>
      </c>
      <c r="CV1413" s="430">
        <f t="shared" ref="CV1413:CV1422" si="3235">AZ1413</f>
        <v>0</v>
      </c>
      <c r="CW1413" s="430">
        <f t="shared" ref="CW1413:CW1422" si="3236">BE1413</f>
        <v>0</v>
      </c>
      <c r="CX1413" s="430">
        <f t="shared" ref="CX1413:CX1422" si="3237">BJ1413</f>
        <v>0</v>
      </c>
      <c r="CY1413" s="430">
        <f t="shared" ref="CY1413:CY1422" si="3238">BO1413</f>
        <v>0</v>
      </c>
      <c r="CZ1413" s="430">
        <f t="shared" ref="CZ1413:CZ1422" si="3239">BT1413</f>
        <v>0</v>
      </c>
      <c r="DA1413" s="430">
        <f t="shared" ref="DA1413:DA1422" si="3240">BY1413</f>
        <v>0</v>
      </c>
      <c r="DB1413" s="430">
        <f t="shared" ref="DB1413:DB1422" si="3241">BZ1413</f>
        <v>0</v>
      </c>
      <c r="DC1413" s="853">
        <f t="shared" ref="DC1413:DC1422" si="3242">CA1413</f>
        <v>0</v>
      </c>
      <c r="DD1413" s="331"/>
      <c r="DE1413" s="331"/>
      <c r="DF1413" s="502"/>
      <c r="DG1413" s="503"/>
      <c r="DH1413" s="2840"/>
      <c r="DI1413" s="3213"/>
      <c r="DJ1413" s="502"/>
      <c r="DK1413" s="503"/>
      <c r="DL1413" s="502"/>
      <c r="DM1413" s="502"/>
      <c r="DN1413" s="502"/>
      <c r="DO1413" s="502"/>
      <c r="DP1413" s="503"/>
      <c r="DQ1413" s="503"/>
      <c r="DR1413" s="296"/>
      <c r="DS1413" s="296"/>
      <c r="DT1413" s="296"/>
    </row>
    <row r="1414" spans="1:124" ht="12.75" customHeight="1" x14ac:dyDescent="0.25">
      <c r="A1414" s="272" t="s">
        <v>2018</v>
      </c>
      <c r="B1414" s="479"/>
      <c r="C1414" s="480">
        <v>0</v>
      </c>
      <c r="D1414" s="480">
        <v>0.41399999999999998</v>
      </c>
      <c r="E1414" s="480">
        <v>0.41699999999999998</v>
      </c>
      <c r="F1414" s="480">
        <v>0.83099999999999996</v>
      </c>
      <c r="G1414" s="481">
        <f t="shared" ref="G1414:G1419" si="3243">F1414</f>
        <v>0.83099999999999996</v>
      </c>
      <c r="H1414" s="480">
        <v>0.84399999999999997</v>
      </c>
      <c r="I1414" s="480">
        <v>0.84899999999999998</v>
      </c>
      <c r="J1414" s="482">
        <v>0.84899999999999998</v>
      </c>
      <c r="K1414" s="480">
        <v>0.85</v>
      </c>
      <c r="L1414" s="484">
        <v>0.85</v>
      </c>
      <c r="M1414" s="480">
        <v>0.86399999999999999</v>
      </c>
      <c r="N1414" s="480">
        <v>0.86499999999999999</v>
      </c>
      <c r="O1414" s="480">
        <v>0.86499999999999999</v>
      </c>
      <c r="P1414" s="480">
        <v>0.86799999999999999</v>
      </c>
      <c r="Q1414" s="484">
        <v>0.86799999999999999</v>
      </c>
      <c r="R1414" s="482">
        <v>0.872</v>
      </c>
      <c r="S1414" s="480">
        <v>0.874</v>
      </c>
      <c r="T1414" s="480">
        <v>0.88400000000000001</v>
      </c>
      <c r="U1414" s="480">
        <v>0.88700000000000001</v>
      </c>
      <c r="V1414" s="484">
        <v>0.88700000000000001</v>
      </c>
      <c r="W1414" s="480">
        <v>0.88700000000000001</v>
      </c>
      <c r="X1414" s="480">
        <v>0.88700000000000001</v>
      </c>
      <c r="Y1414" s="480">
        <v>0.85899999999999999</v>
      </c>
      <c r="Z1414" s="480">
        <v>0.78200000000000003</v>
      </c>
      <c r="AA1414" s="484">
        <v>0.78200000000000003</v>
      </c>
      <c r="AB1414" s="480">
        <v>0.78200000000000003</v>
      </c>
      <c r="AC1414" s="480">
        <v>0.78400000000000003</v>
      </c>
      <c r="AD1414" s="480">
        <v>0.78500000000000003</v>
      </c>
      <c r="AE1414" s="482">
        <v>0.78600000000000003</v>
      </c>
      <c r="AF1414" s="481">
        <f t="shared" ref="AF1414:AF1419" si="3244">AE1414</f>
        <v>0.78600000000000003</v>
      </c>
      <c r="AG1414" s="482">
        <v>0.78700000000000003</v>
      </c>
      <c r="AH1414" s="482">
        <v>0.78500000000000003</v>
      </c>
      <c r="AI1414" s="482">
        <v>0.77400000000000002</v>
      </c>
      <c r="AJ1414" s="482">
        <v>0.77900000000000003</v>
      </c>
      <c r="AK1414" s="481">
        <f t="shared" ref="AK1414:AK1419" si="3245">AJ1414</f>
        <v>0.77900000000000003</v>
      </c>
      <c r="AL1414" s="482">
        <v>0.78100000000000003</v>
      </c>
      <c r="AM1414" s="482">
        <v>0.78300000000000003</v>
      </c>
      <c r="AN1414" s="482">
        <v>0.77600000000000002</v>
      </c>
      <c r="AO1414" s="482">
        <v>0</v>
      </c>
      <c r="AP1414" s="481">
        <f t="shared" ref="AP1414:AP1419" si="3246">AO1414</f>
        <v>0</v>
      </c>
      <c r="AQ1414" s="482">
        <v>0</v>
      </c>
      <c r="AR1414" s="482">
        <v>0</v>
      </c>
      <c r="AS1414" s="482">
        <v>0</v>
      </c>
      <c r="AT1414" s="482">
        <v>0</v>
      </c>
      <c r="AU1414" s="481">
        <f t="shared" ref="AU1414:AU1419" si="3247">AT1414</f>
        <v>0</v>
      </c>
      <c r="AV1414" s="482">
        <v>0</v>
      </c>
      <c r="AW1414" s="482">
        <f>AV1414</f>
        <v>0</v>
      </c>
      <c r="AX1414" s="482">
        <v>0</v>
      </c>
      <c r="AY1414" s="482">
        <v>0</v>
      </c>
      <c r="AZ1414" s="481">
        <f t="shared" ref="AZ1414:AZ1419" si="3248">AY1414</f>
        <v>0</v>
      </c>
      <c r="BA1414" s="2675">
        <v>0</v>
      </c>
      <c r="BB1414" s="2675">
        <f t="shared" si="3216"/>
        <v>0</v>
      </c>
      <c r="BC1414" s="430">
        <f t="shared" si="3216"/>
        <v>0</v>
      </c>
      <c r="BD1414" s="430">
        <f t="shared" si="3216"/>
        <v>0</v>
      </c>
      <c r="BE1414" s="481">
        <f t="shared" si="3217"/>
        <v>0</v>
      </c>
      <c r="BF1414" s="430">
        <f t="shared" si="3216"/>
        <v>0</v>
      </c>
      <c r="BG1414" s="430">
        <v>0</v>
      </c>
      <c r="BH1414" s="430">
        <v>0</v>
      </c>
      <c r="BI1414" s="430">
        <v>0</v>
      </c>
      <c r="BJ1414" s="481">
        <f t="shared" si="3218"/>
        <v>0</v>
      </c>
      <c r="BK1414" s="2953">
        <v>0</v>
      </c>
      <c r="BL1414" s="2953">
        <v>0</v>
      </c>
      <c r="BM1414" s="2840">
        <v>0</v>
      </c>
      <c r="BN1414" s="2953">
        <v>0</v>
      </c>
      <c r="BO1414" s="481">
        <f t="shared" si="3219"/>
        <v>0</v>
      </c>
      <c r="BP1414" s="2953">
        <f t="shared" si="3220"/>
        <v>0</v>
      </c>
      <c r="BQ1414" s="430">
        <f t="shared" si="3220"/>
        <v>0</v>
      </c>
      <c r="BR1414" s="2840">
        <f t="shared" si="3220"/>
        <v>0</v>
      </c>
      <c r="BS1414" s="430">
        <v>0</v>
      </c>
      <c r="BT1414" s="2587">
        <f t="shared" si="3221"/>
        <v>0</v>
      </c>
      <c r="BU1414" s="2840">
        <f t="shared" si="3222"/>
        <v>0</v>
      </c>
      <c r="BV1414" s="2840">
        <f t="shared" si="3222"/>
        <v>0</v>
      </c>
      <c r="BW1414" s="2840">
        <f t="shared" si="3222"/>
        <v>0</v>
      </c>
      <c r="BX1414" s="2840">
        <f>BW1414</f>
        <v>0</v>
      </c>
      <c r="BY1414" s="2587">
        <f t="shared" si="3223"/>
        <v>0</v>
      </c>
      <c r="BZ1414" s="2587">
        <f t="shared" ref="BZ1414:CA1416" si="3249">BY1414</f>
        <v>0</v>
      </c>
      <c r="CA1414" s="2587">
        <f t="shared" si="3249"/>
        <v>0</v>
      </c>
      <c r="CB1414" s="481">
        <f t="shared" si="3224"/>
        <v>0</v>
      </c>
      <c r="CC1414" s="481">
        <f t="shared" si="3224"/>
        <v>0</v>
      </c>
      <c r="CD1414" s="481">
        <f t="shared" si="3224"/>
        <v>0</v>
      </c>
      <c r="CE1414" s="481">
        <f t="shared" si="3224"/>
        <v>0</v>
      </c>
      <c r="CF1414" s="481">
        <f t="shared" si="3224"/>
        <v>0</v>
      </c>
      <c r="CG1414" s="331"/>
      <c r="CH1414" s="331"/>
      <c r="CI1414" s="331"/>
      <c r="CJ1414" s="331"/>
      <c r="CK1414" s="331"/>
      <c r="CL1414" s="995" t="str">
        <f t="shared" si="3225"/>
        <v>Common stock</v>
      </c>
      <c r="CM1414" s="430">
        <f t="shared" si="3226"/>
        <v>0.83099999999999996</v>
      </c>
      <c r="CN1414" s="430">
        <f t="shared" si="3227"/>
        <v>0.85</v>
      </c>
      <c r="CO1414" s="430">
        <f t="shared" si="3228"/>
        <v>0.86799999999999999</v>
      </c>
      <c r="CP1414" s="430">
        <f t="shared" si="3229"/>
        <v>0.88700000000000001</v>
      </c>
      <c r="CQ1414" s="430">
        <f t="shared" si="3230"/>
        <v>0.78200000000000003</v>
      </c>
      <c r="CR1414" s="430">
        <f t="shared" si="3231"/>
        <v>0.78600000000000003</v>
      </c>
      <c r="CS1414" s="430">
        <f t="shared" si="3232"/>
        <v>0.77900000000000003</v>
      </c>
      <c r="CT1414" s="430">
        <f t="shared" si="3233"/>
        <v>0</v>
      </c>
      <c r="CU1414" s="430">
        <f t="shared" si="3234"/>
        <v>0</v>
      </c>
      <c r="CV1414" s="430">
        <f t="shared" si="3235"/>
        <v>0</v>
      </c>
      <c r="CW1414" s="430">
        <f t="shared" si="3236"/>
        <v>0</v>
      </c>
      <c r="CX1414" s="430">
        <f t="shared" si="3237"/>
        <v>0</v>
      </c>
      <c r="CY1414" s="430">
        <f t="shared" si="3238"/>
        <v>0</v>
      </c>
      <c r="CZ1414" s="430">
        <f t="shared" si="3239"/>
        <v>0</v>
      </c>
      <c r="DA1414" s="430">
        <f t="shared" si="3240"/>
        <v>0</v>
      </c>
      <c r="DB1414" s="430">
        <f t="shared" si="3241"/>
        <v>0</v>
      </c>
      <c r="DC1414" s="853">
        <f t="shared" si="3242"/>
        <v>0</v>
      </c>
      <c r="DD1414" s="331"/>
      <c r="DE1414" s="331"/>
      <c r="DF1414" s="502"/>
      <c r="DG1414" s="503"/>
      <c r="DH1414" s="2840"/>
      <c r="DI1414" s="3213"/>
      <c r="DJ1414" s="502"/>
      <c r="DK1414" s="503"/>
      <c r="DL1414" s="502"/>
      <c r="DM1414" s="502"/>
      <c r="DN1414" s="502"/>
      <c r="DO1414" s="502"/>
      <c r="DP1414" s="503"/>
      <c r="DQ1414" s="503"/>
      <c r="DR1414" s="296"/>
      <c r="DS1414" s="296"/>
      <c r="DT1414" s="296"/>
    </row>
    <row r="1415" spans="1:124" ht="12.75" customHeight="1" x14ac:dyDescent="0.25">
      <c r="A1415" s="272" t="s">
        <v>2089</v>
      </c>
      <c r="B1415" s="479"/>
      <c r="C1415" s="480">
        <v>0</v>
      </c>
      <c r="D1415" s="480">
        <v>-2.3540000000000001</v>
      </c>
      <c r="E1415" s="480">
        <v>-2.234</v>
      </c>
      <c r="F1415" s="480">
        <v>-2.1139999999999999</v>
      </c>
      <c r="G1415" s="481">
        <f t="shared" si="3243"/>
        <v>-2.1139999999999999</v>
      </c>
      <c r="H1415" s="480">
        <v>-1.9950000000000001</v>
      </c>
      <c r="I1415" s="480">
        <v>-1.875</v>
      </c>
      <c r="J1415" s="482">
        <v>-1.756</v>
      </c>
      <c r="K1415" s="480">
        <v>-1.6359999999999999</v>
      </c>
      <c r="L1415" s="484">
        <v>-1.6359999999999999</v>
      </c>
      <c r="M1415" s="480">
        <v>0</v>
      </c>
      <c r="N1415" s="480">
        <v>0</v>
      </c>
      <c r="O1415" s="480">
        <v>0</v>
      </c>
      <c r="P1415" s="480">
        <v>0</v>
      </c>
      <c r="Q1415" s="484">
        <v>0</v>
      </c>
      <c r="R1415" s="482">
        <v>0</v>
      </c>
      <c r="S1415" s="480">
        <v>0</v>
      </c>
      <c r="T1415" s="480">
        <v>0</v>
      </c>
      <c r="U1415" s="480">
        <v>0</v>
      </c>
      <c r="V1415" s="484">
        <v>0</v>
      </c>
      <c r="W1415" s="480">
        <v>0</v>
      </c>
      <c r="X1415" s="480">
        <v>0</v>
      </c>
      <c r="Y1415" s="480">
        <v>0</v>
      </c>
      <c r="Z1415" s="480">
        <v>0</v>
      </c>
      <c r="AA1415" s="484">
        <v>0</v>
      </c>
      <c r="AB1415" s="480">
        <v>0</v>
      </c>
      <c r="AC1415" s="480">
        <v>0</v>
      </c>
      <c r="AD1415" s="480">
        <v>0</v>
      </c>
      <c r="AE1415" s="430">
        <f>AD1415</f>
        <v>0</v>
      </c>
      <c r="AF1415" s="481">
        <f t="shared" si="3244"/>
        <v>0</v>
      </c>
      <c r="AG1415" s="430">
        <f>AF1415</f>
        <v>0</v>
      </c>
      <c r="AH1415" s="430">
        <f>AG1415</f>
        <v>0</v>
      </c>
      <c r="AI1415" s="482">
        <v>0</v>
      </c>
      <c r="AJ1415" s="482">
        <v>0</v>
      </c>
      <c r="AK1415" s="481">
        <f t="shared" si="3245"/>
        <v>0</v>
      </c>
      <c r="AL1415" s="430">
        <f>AK1415</f>
        <v>0</v>
      </c>
      <c r="AM1415" s="430">
        <f>AL1415</f>
        <v>0</v>
      </c>
      <c r="AN1415" s="482">
        <v>0</v>
      </c>
      <c r="AO1415" s="482">
        <v>0.75600000000000001</v>
      </c>
      <c r="AP1415" s="481">
        <f t="shared" si="3246"/>
        <v>0.75600000000000001</v>
      </c>
      <c r="AQ1415" s="482">
        <v>0.75800000000000001</v>
      </c>
      <c r="AR1415" s="482">
        <v>0.76</v>
      </c>
      <c r="AS1415" s="482">
        <v>0.76100000000000001</v>
      </c>
      <c r="AT1415" s="482">
        <v>0.76900000000000002</v>
      </c>
      <c r="AU1415" s="481">
        <f t="shared" si="3247"/>
        <v>0.76900000000000002</v>
      </c>
      <c r="AV1415" s="482">
        <v>0.77400000000000002</v>
      </c>
      <c r="AW1415" s="482">
        <v>0.78</v>
      </c>
      <c r="AX1415" s="482">
        <v>0.78500000000000003</v>
      </c>
      <c r="AY1415" s="482">
        <v>0.77500000000000002</v>
      </c>
      <c r="AZ1415" s="481">
        <f t="shared" si="3248"/>
        <v>0.77500000000000002</v>
      </c>
      <c r="BA1415" s="2675">
        <v>0.78</v>
      </c>
      <c r="BB1415" s="2675">
        <v>0.78100000000000003</v>
      </c>
      <c r="BC1415" s="2675">
        <v>0.78100000000000003</v>
      </c>
      <c r="BD1415" s="2675">
        <v>0.81299999999999994</v>
      </c>
      <c r="BE1415" s="481">
        <f t="shared" si="3217"/>
        <v>0.81299999999999994</v>
      </c>
      <c r="BF1415" s="2675">
        <v>0.81799999999999995</v>
      </c>
      <c r="BG1415" s="2675">
        <v>0.82199999999999995</v>
      </c>
      <c r="BH1415" s="2675">
        <v>0.82599999999999996</v>
      </c>
      <c r="BI1415" s="2675">
        <v>0.83</v>
      </c>
      <c r="BJ1415" s="481">
        <f t="shared" si="3218"/>
        <v>0.83</v>
      </c>
      <c r="BK1415" s="2953">
        <v>0.83399999999999996</v>
      </c>
      <c r="BL1415" s="2675">
        <v>0.84899999999999998</v>
      </c>
      <c r="BM1415" s="482">
        <v>0.85499999999999998</v>
      </c>
      <c r="BN1415" s="2953">
        <v>0.93200000000000005</v>
      </c>
      <c r="BO1415" s="481">
        <f t="shared" si="3219"/>
        <v>0.93200000000000005</v>
      </c>
      <c r="BP1415" s="2953">
        <v>0.93100000000000005</v>
      </c>
      <c r="BQ1415" s="2953">
        <v>0.93400000000000005</v>
      </c>
      <c r="BR1415" s="482">
        <v>0.92900000000000005</v>
      </c>
      <c r="BS1415" s="3508">
        <v>0.93300000000000005</v>
      </c>
      <c r="BT1415" s="2587">
        <f t="shared" si="3221"/>
        <v>0.93300000000000005</v>
      </c>
      <c r="BU1415" s="2840">
        <f t="shared" si="3222"/>
        <v>0.93300000000000005</v>
      </c>
      <c r="BV1415" s="2840">
        <f t="shared" si="3222"/>
        <v>0.93300000000000005</v>
      </c>
      <c r="BW1415" s="2840">
        <f t="shared" si="3222"/>
        <v>0.93300000000000005</v>
      </c>
      <c r="BX1415" s="2840">
        <f>BW1415</f>
        <v>0.93300000000000005</v>
      </c>
      <c r="BY1415" s="2587">
        <f t="shared" si="3223"/>
        <v>0.93300000000000005</v>
      </c>
      <c r="BZ1415" s="2587">
        <f t="shared" si="3249"/>
        <v>0.93300000000000005</v>
      </c>
      <c r="CA1415" s="2587">
        <f t="shared" si="3249"/>
        <v>0.93300000000000005</v>
      </c>
      <c r="CB1415" s="481">
        <f t="shared" si="3224"/>
        <v>0.93300000000000005</v>
      </c>
      <c r="CC1415" s="481">
        <f t="shared" si="3224"/>
        <v>0.93300000000000005</v>
      </c>
      <c r="CD1415" s="481">
        <f t="shared" si="3224"/>
        <v>0.93300000000000005</v>
      </c>
      <c r="CE1415" s="481">
        <f t="shared" si="3224"/>
        <v>0.93300000000000005</v>
      </c>
      <c r="CF1415" s="481">
        <f t="shared" si="3224"/>
        <v>0.93300000000000005</v>
      </c>
      <c r="CG1415" s="331"/>
      <c r="CH1415" s="331"/>
      <c r="CI1415" s="331"/>
      <c r="CJ1415" s="331"/>
      <c r="CK1415" s="331"/>
      <c r="CL1415" s="995" t="str">
        <f t="shared" si="3225"/>
        <v>Restricted stock</v>
      </c>
      <c r="CM1415" s="430">
        <f t="shared" si="3226"/>
        <v>-2.1139999999999999</v>
      </c>
      <c r="CN1415" s="430">
        <f t="shared" si="3227"/>
        <v>-1.6359999999999999</v>
      </c>
      <c r="CO1415" s="430">
        <f t="shared" si="3228"/>
        <v>0</v>
      </c>
      <c r="CP1415" s="430">
        <f t="shared" si="3229"/>
        <v>0</v>
      </c>
      <c r="CQ1415" s="430">
        <f t="shared" si="3230"/>
        <v>0</v>
      </c>
      <c r="CR1415" s="430">
        <f t="shared" si="3231"/>
        <v>0</v>
      </c>
      <c r="CS1415" s="430">
        <f t="shared" si="3232"/>
        <v>0</v>
      </c>
      <c r="CT1415" s="430">
        <f t="shared" si="3233"/>
        <v>0.75600000000000001</v>
      </c>
      <c r="CU1415" s="430">
        <f t="shared" si="3234"/>
        <v>0.76900000000000002</v>
      </c>
      <c r="CV1415" s="430">
        <f t="shared" si="3235"/>
        <v>0.77500000000000002</v>
      </c>
      <c r="CW1415" s="430">
        <f t="shared" si="3236"/>
        <v>0.81299999999999994</v>
      </c>
      <c r="CX1415" s="430">
        <f t="shared" si="3237"/>
        <v>0.83</v>
      </c>
      <c r="CY1415" s="430">
        <f t="shared" si="3238"/>
        <v>0.93200000000000005</v>
      </c>
      <c r="CZ1415" s="430">
        <f t="shared" si="3239"/>
        <v>0.93300000000000005</v>
      </c>
      <c r="DA1415" s="430">
        <f t="shared" si="3240"/>
        <v>0.93300000000000005</v>
      </c>
      <c r="DB1415" s="430">
        <f t="shared" si="3241"/>
        <v>0.93300000000000005</v>
      </c>
      <c r="DC1415" s="853">
        <f t="shared" si="3242"/>
        <v>0.93300000000000005</v>
      </c>
      <c r="DD1415" s="331"/>
      <c r="DE1415" s="331"/>
      <c r="DF1415" s="502"/>
      <c r="DG1415" s="503"/>
      <c r="DH1415" s="2840"/>
      <c r="DI1415" s="3213"/>
      <c r="DJ1415" s="502"/>
      <c r="DK1415" s="503"/>
      <c r="DL1415" s="502"/>
      <c r="DM1415" s="502"/>
      <c r="DN1415" s="502"/>
      <c r="DO1415" s="502"/>
      <c r="DP1415" s="503"/>
      <c r="DQ1415" s="503"/>
      <c r="DR1415" s="296"/>
      <c r="DS1415" s="296"/>
      <c r="DT1415" s="296"/>
    </row>
    <row r="1416" spans="1:124" ht="12.75" customHeight="1" x14ac:dyDescent="0.25">
      <c r="A1416" s="272" t="s">
        <v>2019</v>
      </c>
      <c r="B1416" s="479"/>
      <c r="C1416" s="480">
        <v>0</v>
      </c>
      <c r="D1416" s="480">
        <v>-2.379</v>
      </c>
      <c r="E1416" s="480">
        <v>-2.379</v>
      </c>
      <c r="F1416" s="480">
        <v>-2.379</v>
      </c>
      <c r="G1416" s="481">
        <f t="shared" si="3243"/>
        <v>-2.379</v>
      </c>
      <c r="H1416" s="480">
        <v>-2.379</v>
      </c>
      <c r="I1416" s="480">
        <v>-2.379</v>
      </c>
      <c r="J1416" s="482">
        <v>-2.379</v>
      </c>
      <c r="K1416" s="480">
        <v>-2.379</v>
      </c>
      <c r="L1416" s="484">
        <v>-2.379</v>
      </c>
      <c r="M1416" s="480">
        <v>-2.379</v>
      </c>
      <c r="N1416" s="480">
        <v>-2.379</v>
      </c>
      <c r="O1416" s="480">
        <v>-2.379</v>
      </c>
      <c r="P1416" s="480">
        <v>-2.379</v>
      </c>
      <c r="Q1416" s="484">
        <v>-2.379</v>
      </c>
      <c r="R1416" s="482">
        <v>-2.379</v>
      </c>
      <c r="S1416" s="480">
        <v>-2.379</v>
      </c>
      <c r="T1416" s="480">
        <v>-2.379</v>
      </c>
      <c r="U1416" s="480">
        <v>-2.379</v>
      </c>
      <c r="V1416" s="484">
        <v>-2.379</v>
      </c>
      <c r="W1416" s="480">
        <v>-2.379</v>
      </c>
      <c r="X1416" s="480">
        <v>-2.379</v>
      </c>
      <c r="Y1416" s="480">
        <v>0</v>
      </c>
      <c r="Z1416" s="480">
        <v>0</v>
      </c>
      <c r="AA1416" s="484">
        <v>0</v>
      </c>
      <c r="AB1416" s="480">
        <v>0</v>
      </c>
      <c r="AC1416" s="480">
        <v>0</v>
      </c>
      <c r="AD1416" s="480">
        <v>0</v>
      </c>
      <c r="AE1416" s="430">
        <f>AD1416</f>
        <v>0</v>
      </c>
      <c r="AF1416" s="481">
        <f t="shared" si="3244"/>
        <v>0</v>
      </c>
      <c r="AG1416" s="430">
        <f>AF1416</f>
        <v>0</v>
      </c>
      <c r="AH1416" s="430">
        <f>AG1416</f>
        <v>0</v>
      </c>
      <c r="AI1416" s="482">
        <v>0</v>
      </c>
      <c r="AJ1416" s="482">
        <v>0</v>
      </c>
      <c r="AK1416" s="481">
        <f t="shared" si="3245"/>
        <v>0</v>
      </c>
      <c r="AL1416" s="430">
        <f>AK1416</f>
        <v>0</v>
      </c>
      <c r="AM1416" s="430">
        <f>AL1416</f>
        <v>0</v>
      </c>
      <c r="AN1416" s="482">
        <v>0</v>
      </c>
      <c r="AO1416" s="482">
        <v>0</v>
      </c>
      <c r="AP1416" s="481">
        <f t="shared" si="3246"/>
        <v>0</v>
      </c>
      <c r="AQ1416" s="430">
        <v>0</v>
      </c>
      <c r="AR1416" s="430">
        <v>0</v>
      </c>
      <c r="AS1416" s="482">
        <v>0</v>
      </c>
      <c r="AT1416" s="482">
        <v>0</v>
      </c>
      <c r="AU1416" s="481">
        <f t="shared" si="3247"/>
        <v>0</v>
      </c>
      <c r="AV1416" s="482">
        <v>0</v>
      </c>
      <c r="AW1416" s="482">
        <f>AV1416</f>
        <v>0</v>
      </c>
      <c r="AX1416" s="482">
        <v>0</v>
      </c>
      <c r="AY1416" s="482">
        <v>0</v>
      </c>
      <c r="AZ1416" s="481">
        <f t="shared" si="3248"/>
        <v>0</v>
      </c>
      <c r="BA1416" s="2675">
        <v>0</v>
      </c>
      <c r="BB1416" s="2675">
        <f>BA1416</f>
        <v>0</v>
      </c>
      <c r="BC1416" s="2675">
        <f>BB1416</f>
        <v>0</v>
      </c>
      <c r="BD1416" s="2675">
        <v>-28.414000000000001</v>
      </c>
      <c r="BE1416" s="481">
        <f t="shared" si="3217"/>
        <v>-28.414000000000001</v>
      </c>
      <c r="BF1416" s="2675">
        <v>-28.414000000000001</v>
      </c>
      <c r="BG1416" s="2675">
        <v>-28.414000000000001</v>
      </c>
      <c r="BH1416" s="2675">
        <v>-28.414000000000001</v>
      </c>
      <c r="BI1416" s="2675">
        <v>-28.414000000000001</v>
      </c>
      <c r="BJ1416" s="481">
        <f t="shared" si="3218"/>
        <v>-28.414000000000001</v>
      </c>
      <c r="BK1416" s="2953">
        <v>-28.414000000000001</v>
      </c>
      <c r="BL1416" s="2675">
        <v>-28.414000000000001</v>
      </c>
      <c r="BM1416" s="482">
        <v>-28.414000000000001</v>
      </c>
      <c r="BN1416" s="2953">
        <v>-28.414000000000001</v>
      </c>
      <c r="BO1416" s="481">
        <f t="shared" si="3219"/>
        <v>-28.414000000000001</v>
      </c>
      <c r="BP1416" s="2953">
        <v>-28.414000000000001</v>
      </c>
      <c r="BQ1416" s="2953">
        <v>-28.414000000000001</v>
      </c>
      <c r="BR1416" s="482">
        <v>-28.414000000000001</v>
      </c>
      <c r="BS1416" s="3508">
        <v>-28.414000000000001</v>
      </c>
      <c r="BT1416" s="2587">
        <f t="shared" si="3221"/>
        <v>-28.414000000000001</v>
      </c>
      <c r="BU1416" s="2840">
        <f>BT1416+BU1323</f>
        <v>-28.414000000000001</v>
      </c>
      <c r="BV1416" s="2840">
        <f>BU1416+BV1323</f>
        <v>-28.414000000000001</v>
      </c>
      <c r="BW1416" s="3511">
        <f>BV1416</f>
        <v>-28.414000000000001</v>
      </c>
      <c r="BX1416" s="2840">
        <f>BW1416+BX1323</f>
        <v>-28.414000000000001</v>
      </c>
      <c r="BY1416" s="2587">
        <f t="shared" si="3223"/>
        <v>-28.414000000000001</v>
      </c>
      <c r="BZ1416" s="2587">
        <f t="shared" si="3249"/>
        <v>-28.414000000000001</v>
      </c>
      <c r="CA1416" s="2587">
        <f t="shared" si="3249"/>
        <v>-28.414000000000001</v>
      </c>
      <c r="CB1416" s="481">
        <f t="shared" si="3224"/>
        <v>-28.414000000000001</v>
      </c>
      <c r="CC1416" s="481">
        <f t="shared" si="3224"/>
        <v>-28.414000000000001</v>
      </c>
      <c r="CD1416" s="481">
        <f t="shared" si="3224"/>
        <v>-28.414000000000001</v>
      </c>
      <c r="CE1416" s="481">
        <f t="shared" si="3224"/>
        <v>-28.414000000000001</v>
      </c>
      <c r="CF1416" s="481">
        <f t="shared" si="3224"/>
        <v>-28.414000000000001</v>
      </c>
      <c r="CG1416" s="331"/>
      <c r="CH1416" s="331"/>
      <c r="CI1416" s="331"/>
      <c r="CJ1416" s="331"/>
      <c r="CK1416" s="331"/>
      <c r="CL1416" s="995" t="str">
        <f t="shared" si="3225"/>
        <v>Treasury stock</v>
      </c>
      <c r="CM1416" s="430">
        <f t="shared" si="3226"/>
        <v>-2.379</v>
      </c>
      <c r="CN1416" s="430">
        <f t="shared" si="3227"/>
        <v>-2.379</v>
      </c>
      <c r="CO1416" s="430">
        <f t="shared" si="3228"/>
        <v>-2.379</v>
      </c>
      <c r="CP1416" s="430">
        <f t="shared" si="3229"/>
        <v>-2.379</v>
      </c>
      <c r="CQ1416" s="430">
        <f t="shared" si="3230"/>
        <v>0</v>
      </c>
      <c r="CR1416" s="430">
        <f t="shared" si="3231"/>
        <v>0</v>
      </c>
      <c r="CS1416" s="430">
        <f t="shared" si="3232"/>
        <v>0</v>
      </c>
      <c r="CT1416" s="430">
        <f t="shared" si="3233"/>
        <v>0</v>
      </c>
      <c r="CU1416" s="430">
        <f t="shared" si="3234"/>
        <v>0</v>
      </c>
      <c r="CV1416" s="430">
        <f t="shared" si="3235"/>
        <v>0</v>
      </c>
      <c r="CW1416" s="430">
        <f t="shared" si="3236"/>
        <v>-28.414000000000001</v>
      </c>
      <c r="CX1416" s="430">
        <f t="shared" si="3237"/>
        <v>-28.414000000000001</v>
      </c>
      <c r="CY1416" s="430">
        <f t="shared" si="3238"/>
        <v>-28.414000000000001</v>
      </c>
      <c r="CZ1416" s="430">
        <f t="shared" si="3239"/>
        <v>-28.414000000000001</v>
      </c>
      <c r="DA1416" s="430">
        <f t="shared" si="3240"/>
        <v>-28.414000000000001</v>
      </c>
      <c r="DB1416" s="430">
        <f t="shared" si="3241"/>
        <v>-28.414000000000001</v>
      </c>
      <c r="DC1416" s="853">
        <f t="shared" si="3242"/>
        <v>-28.414000000000001</v>
      </c>
      <c r="DD1416" s="331"/>
      <c r="DE1416" s="331"/>
      <c r="DF1416" s="502"/>
      <c r="DG1416" s="503"/>
      <c r="DH1416" s="2840"/>
      <c r="DI1416" s="3213"/>
      <c r="DJ1416" s="502"/>
      <c r="DK1416" s="503"/>
      <c r="DL1416" s="502"/>
      <c r="DM1416" s="502"/>
      <c r="DN1416" s="502"/>
      <c r="DO1416" s="502"/>
      <c r="DP1416" s="503"/>
      <c r="DQ1416" s="503"/>
      <c r="DR1416" s="296"/>
      <c r="DS1416" s="296"/>
      <c r="DT1416" s="296"/>
    </row>
    <row r="1417" spans="1:124" ht="12.75" customHeight="1" x14ac:dyDescent="0.25">
      <c r="A1417" s="272" t="s">
        <v>2020</v>
      </c>
      <c r="B1417" s="479"/>
      <c r="C1417" s="480">
        <v>0</v>
      </c>
      <c r="D1417" s="480">
        <v>171.483</v>
      </c>
      <c r="E1417" s="480">
        <v>178.233</v>
      </c>
      <c r="F1417" s="480">
        <v>180.57300000000001</v>
      </c>
      <c r="G1417" s="481">
        <f t="shared" si="3243"/>
        <v>180.57300000000001</v>
      </c>
      <c r="H1417" s="480">
        <v>197.464</v>
      </c>
      <c r="I1417" s="480">
        <v>206.87100000000001</v>
      </c>
      <c r="J1417" s="482">
        <v>207.68700000000001</v>
      </c>
      <c r="K1417" s="480">
        <v>208.399</v>
      </c>
      <c r="L1417" s="484">
        <v>208.399</v>
      </c>
      <c r="M1417" s="480">
        <v>228.14</v>
      </c>
      <c r="N1417" s="480">
        <v>235.964</v>
      </c>
      <c r="O1417" s="480">
        <v>241.29900000000001</v>
      </c>
      <c r="P1417" s="480">
        <v>251.94300000000001</v>
      </c>
      <c r="Q1417" s="484">
        <v>251.94300000000001</v>
      </c>
      <c r="R1417" s="482">
        <v>267.26499999999999</v>
      </c>
      <c r="S1417" s="480">
        <v>276.98099999999999</v>
      </c>
      <c r="T1417" s="480">
        <v>309.39800000000002</v>
      </c>
      <c r="U1417" s="480">
        <v>322.76</v>
      </c>
      <c r="V1417" s="484">
        <v>322.76</v>
      </c>
      <c r="W1417" s="480">
        <v>328.04599999999999</v>
      </c>
      <c r="X1417" s="480">
        <v>333.495</v>
      </c>
      <c r="Y1417" s="480">
        <v>307.75900000000001</v>
      </c>
      <c r="Z1417" s="480">
        <v>1442.829</v>
      </c>
      <c r="AA1417" s="484">
        <v>1442.829</v>
      </c>
      <c r="AB1417" s="480">
        <v>1452.8209999999999</v>
      </c>
      <c r="AC1417" s="480">
        <v>1463.7570000000001</v>
      </c>
      <c r="AD1417" s="480">
        <v>1472.066</v>
      </c>
      <c r="AE1417" s="482">
        <v>1480.4760000000001</v>
      </c>
      <c r="AF1417" s="481">
        <f t="shared" si="3244"/>
        <v>1480.4760000000001</v>
      </c>
      <c r="AG1417" s="482">
        <v>1476.153</v>
      </c>
      <c r="AH1417" s="482">
        <v>1476.105</v>
      </c>
      <c r="AI1417" s="482">
        <v>1430.3320000000001</v>
      </c>
      <c r="AJ1417" s="482">
        <v>1446.932</v>
      </c>
      <c r="AK1417" s="481">
        <f t="shared" si="3245"/>
        <v>1446.932</v>
      </c>
      <c r="AL1417" s="482">
        <v>1458.0519999999999</v>
      </c>
      <c r="AM1417" s="482">
        <v>1469.0309999999999</v>
      </c>
      <c r="AN1417" s="482">
        <v>1450.9369999999999</v>
      </c>
      <c r="AO1417" s="482">
        <v>1385.355</v>
      </c>
      <c r="AP1417" s="481">
        <f t="shared" si="3246"/>
        <v>1385.355</v>
      </c>
      <c r="AQ1417" s="482">
        <v>1399.383</v>
      </c>
      <c r="AR1417" s="482">
        <v>1411.67</v>
      </c>
      <c r="AS1417" s="482">
        <v>1420.1690000000001</v>
      </c>
      <c r="AT1417" s="482">
        <v>1451.9649999999999</v>
      </c>
      <c r="AU1417" s="481">
        <f t="shared" si="3247"/>
        <v>1451.9649999999999</v>
      </c>
      <c r="AV1417" s="482">
        <v>1454.864</v>
      </c>
      <c r="AW1417" s="482">
        <v>1479.9449999999999</v>
      </c>
      <c r="AX1417" s="482">
        <v>1500.9280000000001</v>
      </c>
      <c r="AY1417" s="482">
        <v>887.55600000000004</v>
      </c>
      <c r="AZ1417" s="481">
        <f t="shared" si="3248"/>
        <v>887.55600000000004</v>
      </c>
      <c r="BA1417" s="2675">
        <v>903.46299999999997</v>
      </c>
      <c r="BB1417" s="2675">
        <v>908.27099999999996</v>
      </c>
      <c r="BC1417" s="2675">
        <v>911.61500000000001</v>
      </c>
      <c r="BD1417" s="2675">
        <v>956.14599999999996</v>
      </c>
      <c r="BE1417" s="481">
        <f t="shared" si="3217"/>
        <v>956.14599999999996</v>
      </c>
      <c r="BF1417" s="2675">
        <v>967.37400000000002</v>
      </c>
      <c r="BG1417" s="2675">
        <v>974.16700000000003</v>
      </c>
      <c r="BH1417" s="2675">
        <v>980.85699999999997</v>
      </c>
      <c r="BI1417" s="2675">
        <v>988.68600000000004</v>
      </c>
      <c r="BJ1417" s="481">
        <f t="shared" si="3218"/>
        <v>988.68600000000004</v>
      </c>
      <c r="BK1417" s="2953">
        <v>992.60799999999995</v>
      </c>
      <c r="BL1417" s="2675">
        <v>1000.771</v>
      </c>
      <c r="BM1417" s="482">
        <v>1007.504</v>
      </c>
      <c r="BN1417" s="2953">
        <v>1014.119</v>
      </c>
      <c r="BO1417" s="481">
        <f t="shared" si="3219"/>
        <v>1014.119</v>
      </c>
      <c r="BP1417" s="2953">
        <v>1011.167</v>
      </c>
      <c r="BQ1417" s="2953">
        <v>1016.075</v>
      </c>
      <c r="BR1417" s="482">
        <v>1002.44</v>
      </c>
      <c r="BS1417" s="3508">
        <v>1007.606</v>
      </c>
      <c r="BT1417" s="2587">
        <f t="shared" si="3221"/>
        <v>1007.606</v>
      </c>
      <c r="BU1417" s="2840">
        <f>BT1417+BU1283</f>
        <v>1010.4059999999999</v>
      </c>
      <c r="BV1417" s="2840">
        <f>BU1417+BV1283</f>
        <v>1013.2059999999999</v>
      </c>
      <c r="BW1417" s="3511">
        <f>BV1417+BW1283+BW1323</f>
        <v>1743.9205999999999</v>
      </c>
      <c r="BX1417" s="2840">
        <f>BW1417+BX1283</f>
        <v>1746.9205999999999</v>
      </c>
      <c r="BY1417" s="2587">
        <f t="shared" si="3223"/>
        <v>1746.9205999999999</v>
      </c>
      <c r="BZ1417" s="2587">
        <f t="shared" ref="BZ1417:CF1417" si="3250">BY1417+BZ1283</f>
        <v>1758.8206</v>
      </c>
      <c r="CA1417" s="2587">
        <f t="shared" si="3250"/>
        <v>1771.2206000000001</v>
      </c>
      <c r="CB1417" s="481">
        <f t="shared" si="3250"/>
        <v>1784.1206000000002</v>
      </c>
      <c r="CC1417" s="481">
        <f t="shared" si="3250"/>
        <v>1797.5206000000003</v>
      </c>
      <c r="CD1417" s="481">
        <f t="shared" si="3250"/>
        <v>1811.4206000000004</v>
      </c>
      <c r="CE1417" s="481">
        <f t="shared" si="3250"/>
        <v>1825.8206000000005</v>
      </c>
      <c r="CF1417" s="481">
        <f t="shared" si="3250"/>
        <v>1840.7206000000006</v>
      </c>
      <c r="CG1417" s="331"/>
      <c r="CH1417" s="331"/>
      <c r="CI1417" s="331"/>
      <c r="CJ1417" s="331"/>
      <c r="CK1417" s="331"/>
      <c r="CL1417" s="995" t="str">
        <f t="shared" si="3225"/>
        <v>Additional paid-in capital</v>
      </c>
      <c r="CM1417" s="430">
        <f t="shared" si="3226"/>
        <v>180.57300000000001</v>
      </c>
      <c r="CN1417" s="430">
        <f t="shared" si="3227"/>
        <v>208.399</v>
      </c>
      <c r="CO1417" s="430">
        <f t="shared" si="3228"/>
        <v>251.94300000000001</v>
      </c>
      <c r="CP1417" s="430">
        <f t="shared" si="3229"/>
        <v>322.76</v>
      </c>
      <c r="CQ1417" s="430">
        <f t="shared" si="3230"/>
        <v>1442.829</v>
      </c>
      <c r="CR1417" s="430">
        <f t="shared" si="3231"/>
        <v>1480.4760000000001</v>
      </c>
      <c r="CS1417" s="430">
        <f t="shared" si="3232"/>
        <v>1446.932</v>
      </c>
      <c r="CT1417" s="430">
        <f t="shared" si="3233"/>
        <v>1385.355</v>
      </c>
      <c r="CU1417" s="430">
        <f t="shared" si="3234"/>
        <v>1451.9649999999999</v>
      </c>
      <c r="CV1417" s="430">
        <f t="shared" si="3235"/>
        <v>887.55600000000004</v>
      </c>
      <c r="CW1417" s="430">
        <f t="shared" si="3236"/>
        <v>956.14599999999996</v>
      </c>
      <c r="CX1417" s="430">
        <f t="shared" si="3237"/>
        <v>988.68600000000004</v>
      </c>
      <c r="CY1417" s="430">
        <f t="shared" si="3238"/>
        <v>1014.119</v>
      </c>
      <c r="CZ1417" s="430">
        <f t="shared" si="3239"/>
        <v>1007.606</v>
      </c>
      <c r="DA1417" s="430">
        <f t="shared" si="3240"/>
        <v>1746.9205999999999</v>
      </c>
      <c r="DB1417" s="430">
        <f t="shared" si="3241"/>
        <v>1758.8206</v>
      </c>
      <c r="DC1417" s="853">
        <f t="shared" si="3242"/>
        <v>1771.2206000000001</v>
      </c>
      <c r="DD1417" s="331"/>
      <c r="DE1417" s="331"/>
      <c r="DF1417" s="502"/>
      <c r="DG1417" s="503"/>
      <c r="DH1417" s="2840"/>
      <c r="DI1417" s="3213"/>
      <c r="DJ1417" s="502"/>
      <c r="DK1417" s="503"/>
      <c r="DL1417" s="502"/>
      <c r="DM1417" s="502"/>
      <c r="DN1417" s="502"/>
      <c r="DO1417" s="502"/>
      <c r="DP1417" s="503"/>
      <c r="DQ1417" s="503"/>
      <c r="DR1417" s="296"/>
      <c r="DS1417" s="296"/>
      <c r="DT1417" s="296"/>
    </row>
    <row r="1418" spans="1:124" ht="12.75" customHeight="1" x14ac:dyDescent="0.25">
      <c r="A1418" s="272" t="s">
        <v>2090</v>
      </c>
      <c r="B1418" s="479"/>
      <c r="C1418" s="480">
        <v>0</v>
      </c>
      <c r="D1418" s="480">
        <v>185.49199999999999</v>
      </c>
      <c r="E1418" s="480">
        <v>202.68100000000001</v>
      </c>
      <c r="F1418" s="480">
        <v>219.53899999999999</v>
      </c>
      <c r="G1418" s="481">
        <f t="shared" si="3243"/>
        <v>219.53899999999999</v>
      </c>
      <c r="H1418" s="480">
        <v>235.34100000000001</v>
      </c>
      <c r="I1418" s="480">
        <v>247.464</v>
      </c>
      <c r="J1418" s="482">
        <v>302.86500000000001</v>
      </c>
      <c r="K1418" s="480">
        <v>340.46899999999999</v>
      </c>
      <c r="L1418" s="484">
        <v>340.46899999999999</v>
      </c>
      <c r="M1418" s="480">
        <v>382.452</v>
      </c>
      <c r="N1418" s="480">
        <v>425.14699999999999</v>
      </c>
      <c r="O1418" s="480">
        <v>580.20699999999999</v>
      </c>
      <c r="P1418" s="480">
        <v>667.55700000000002</v>
      </c>
      <c r="Q1418" s="484">
        <v>667.55700000000002</v>
      </c>
      <c r="R1418" s="482">
        <v>698.56600000000003</v>
      </c>
      <c r="S1418" s="480">
        <v>736.86500000000001</v>
      </c>
      <c r="T1418" s="480">
        <v>783.45500000000004</v>
      </c>
      <c r="U1418" s="480">
        <v>815.678</v>
      </c>
      <c r="V1418" s="484">
        <v>815.678</v>
      </c>
      <c r="W1418" s="480">
        <v>856.41399999999999</v>
      </c>
      <c r="X1418" s="480">
        <v>893.43700000000001</v>
      </c>
      <c r="Y1418" s="480">
        <v>1040.9280000000001</v>
      </c>
      <c r="Z1418" s="480">
        <v>662.35500000000002</v>
      </c>
      <c r="AA1418" s="484">
        <v>662.35500000000002</v>
      </c>
      <c r="AB1418" s="480">
        <v>703.01599999999996</v>
      </c>
      <c r="AC1418" s="480">
        <v>731.49599999999998</v>
      </c>
      <c r="AD1418" s="480">
        <v>752.84699999999998</v>
      </c>
      <c r="AE1418" s="482">
        <v>397.40699999999998</v>
      </c>
      <c r="AF1418" s="481">
        <f t="shared" si="3244"/>
        <v>397.40699999999998</v>
      </c>
      <c r="AG1418" s="482">
        <v>433.57100000000003</v>
      </c>
      <c r="AH1418" s="482">
        <v>442.72699999999998</v>
      </c>
      <c r="AI1418" s="482">
        <v>491.072</v>
      </c>
      <c r="AJ1418" s="482">
        <v>337.94</v>
      </c>
      <c r="AK1418" s="481">
        <f t="shared" si="3245"/>
        <v>337.94</v>
      </c>
      <c r="AL1418" s="482">
        <v>392.512</v>
      </c>
      <c r="AM1418" s="482">
        <v>468.36799999999999</v>
      </c>
      <c r="AN1418" s="482">
        <v>539.17100000000005</v>
      </c>
      <c r="AO1418" s="482">
        <v>583.202</v>
      </c>
      <c r="AP1418" s="481">
        <f t="shared" si="3246"/>
        <v>583.202</v>
      </c>
      <c r="AQ1418" s="482">
        <v>661.82100000000003</v>
      </c>
      <c r="AR1418" s="482">
        <v>728.48800000000006</v>
      </c>
      <c r="AS1418" s="482">
        <v>774.93399999999997</v>
      </c>
      <c r="AT1418" s="482">
        <v>795.173</v>
      </c>
      <c r="AU1418" s="481">
        <f t="shared" si="3247"/>
        <v>795.173</v>
      </c>
      <c r="AV1418" s="482">
        <f>860.444</f>
        <v>860.44399999999996</v>
      </c>
      <c r="AW1418" s="482">
        <f>848.264</f>
        <v>848.26400000000001</v>
      </c>
      <c r="AX1418" s="482">
        <f>889.581</f>
        <v>889.58100000000002</v>
      </c>
      <c r="AY1418" s="482">
        <f>+-130.314</f>
        <v>-130.31399999999999</v>
      </c>
      <c r="AZ1418" s="481">
        <f t="shared" si="3248"/>
        <v>-130.31399999999999</v>
      </c>
      <c r="BA1418" s="2675">
        <f>+-125.777</f>
        <v>-125.777</v>
      </c>
      <c r="BB1418" s="2675">
        <v>-121.601</v>
      </c>
      <c r="BC1418" s="2675">
        <v>-113.584</v>
      </c>
      <c r="BD1418" s="2675">
        <v>-1635.277</v>
      </c>
      <c r="BE1418" s="481">
        <f t="shared" si="3217"/>
        <v>-1635.277</v>
      </c>
      <c r="BF1418" s="2675">
        <v>-1633.4079999999999</v>
      </c>
      <c r="BG1418" s="2675">
        <v>-1630.425</v>
      </c>
      <c r="BH1418" s="2675">
        <v>-1625.5250000000001</v>
      </c>
      <c r="BI1418" s="2675">
        <v>-1634.5909999999999</v>
      </c>
      <c r="BJ1418" s="481">
        <f t="shared" si="3218"/>
        <v>-1634.5909999999999</v>
      </c>
      <c r="BK1418" s="2953">
        <v>-1610.883</v>
      </c>
      <c r="BL1418" s="2675">
        <v>-1576.848</v>
      </c>
      <c r="BM1418" s="482">
        <v>-1530.3130000000001</v>
      </c>
      <c r="BN1418" s="2953">
        <v>-1525.2809999999999</v>
      </c>
      <c r="BO1418" s="481">
        <f t="shared" si="3219"/>
        <v>-1525.2809999999999</v>
      </c>
      <c r="BP1418" s="2953">
        <v>-1520.1769999999999</v>
      </c>
      <c r="BQ1418" s="2953">
        <v>-1503.098</v>
      </c>
      <c r="BR1418" s="482">
        <v>-713.75800000000004</v>
      </c>
      <c r="BS1418" s="3508">
        <v>-1051.818</v>
      </c>
      <c r="BT1418" s="2587">
        <f t="shared" si="3221"/>
        <v>-1051.818</v>
      </c>
      <c r="BU1418" s="2840">
        <f>BT1418+BU77</f>
        <v>-1014.4003694218102</v>
      </c>
      <c r="BV1418" s="2840">
        <f>BU1418+BV77</f>
        <v>-970.66283742689689</v>
      </c>
      <c r="BW1418" s="2840">
        <f>BV1418+BW77</f>
        <v>-896.67327375644447</v>
      </c>
      <c r="BX1418" s="2840">
        <f>BW1418+BX77</f>
        <v>-845.1633322705103</v>
      </c>
      <c r="BY1418" s="2587">
        <f t="shared" si="3223"/>
        <v>-845.1633322705103</v>
      </c>
      <c r="BZ1418" s="2587">
        <f t="shared" ref="BZ1418:CF1418" si="3251">BY1418+BZ77</f>
        <v>-526.19646471124588</v>
      </c>
      <c r="CA1418" s="2587">
        <f t="shared" si="3251"/>
        <v>-220.96771858697582</v>
      </c>
      <c r="CB1418" s="481">
        <f t="shared" si="3251"/>
        <v>-145.62518122408838</v>
      </c>
      <c r="CC1418" s="481">
        <f t="shared" si="3251"/>
        <v>-130.56703900951837</v>
      </c>
      <c r="CD1418" s="481">
        <f t="shared" si="3251"/>
        <v>-111.22110897392409</v>
      </c>
      <c r="CE1418" s="481">
        <f t="shared" si="3251"/>
        <v>-78.365910958791261</v>
      </c>
      <c r="CF1418" s="481">
        <f t="shared" si="3251"/>
        <v>-32.974309927491788</v>
      </c>
      <c r="CG1418" s="331"/>
      <c r="CH1418" s="331"/>
      <c r="CI1418" s="331"/>
      <c r="CJ1418" s="331"/>
      <c r="CK1418" s="331"/>
      <c r="CL1418" s="995" t="str">
        <f t="shared" si="3225"/>
        <v>Retained earnings</v>
      </c>
      <c r="CM1418" s="430">
        <f t="shared" si="3226"/>
        <v>219.53899999999999</v>
      </c>
      <c r="CN1418" s="430">
        <f t="shared" si="3227"/>
        <v>340.46899999999999</v>
      </c>
      <c r="CO1418" s="430">
        <f t="shared" si="3228"/>
        <v>667.55700000000002</v>
      </c>
      <c r="CP1418" s="430">
        <f t="shared" si="3229"/>
        <v>815.678</v>
      </c>
      <c r="CQ1418" s="430">
        <f t="shared" si="3230"/>
        <v>662.35500000000002</v>
      </c>
      <c r="CR1418" s="430">
        <f t="shared" si="3231"/>
        <v>397.40699999999998</v>
      </c>
      <c r="CS1418" s="430">
        <f t="shared" si="3232"/>
        <v>337.94</v>
      </c>
      <c r="CT1418" s="430">
        <f t="shared" si="3233"/>
        <v>583.202</v>
      </c>
      <c r="CU1418" s="430">
        <f t="shared" si="3234"/>
        <v>795.173</v>
      </c>
      <c r="CV1418" s="430">
        <f t="shared" si="3235"/>
        <v>-130.31399999999999</v>
      </c>
      <c r="CW1418" s="430">
        <f t="shared" si="3236"/>
        <v>-1635.277</v>
      </c>
      <c r="CX1418" s="430">
        <f t="shared" si="3237"/>
        <v>-1634.5909999999999</v>
      </c>
      <c r="CY1418" s="430">
        <f t="shared" si="3238"/>
        <v>-1525.2809999999999</v>
      </c>
      <c r="CZ1418" s="430">
        <f t="shared" si="3239"/>
        <v>-1051.818</v>
      </c>
      <c r="DA1418" s="430">
        <f t="shared" si="3240"/>
        <v>-845.1633322705103</v>
      </c>
      <c r="DB1418" s="430">
        <f t="shared" si="3241"/>
        <v>-526.19646471124588</v>
      </c>
      <c r="DC1418" s="853">
        <f t="shared" si="3242"/>
        <v>-220.96771858697582</v>
      </c>
      <c r="DD1418" s="331"/>
      <c r="DE1418" s="331"/>
      <c r="DF1418" s="502"/>
      <c r="DG1418" s="503"/>
      <c r="DH1418" s="2840"/>
      <c r="DI1418" s="3213"/>
      <c r="DJ1418" s="502"/>
      <c r="DK1418" s="503"/>
      <c r="DL1418" s="502"/>
      <c r="DM1418" s="502"/>
      <c r="DN1418" s="502"/>
      <c r="DO1418" s="502"/>
      <c r="DP1418" s="503"/>
      <c r="DQ1418" s="503"/>
      <c r="DR1418" s="296"/>
      <c r="DS1418" s="296"/>
      <c r="DT1418" s="296"/>
    </row>
    <row r="1419" spans="1:124" ht="12.75" customHeight="1" x14ac:dyDescent="0.25">
      <c r="A1419" s="355" t="s">
        <v>638</v>
      </c>
      <c r="B1419" s="479"/>
      <c r="C1419" s="480">
        <v>0</v>
      </c>
      <c r="D1419" s="480">
        <v>3.4380000000000002</v>
      </c>
      <c r="E1419" s="480">
        <v>2.97</v>
      </c>
      <c r="F1419" s="480">
        <v>1.6419999999999999</v>
      </c>
      <c r="G1419" s="481">
        <f t="shared" si="3243"/>
        <v>1.6419999999999999</v>
      </c>
      <c r="H1419" s="480">
        <v>1.821</v>
      </c>
      <c r="I1419" s="480">
        <v>0.47699999999999998</v>
      </c>
      <c r="J1419" s="482">
        <v>0.64800000000000002</v>
      </c>
      <c r="K1419" s="480">
        <v>0.84</v>
      </c>
      <c r="L1419" s="484">
        <v>0.84</v>
      </c>
      <c r="M1419" s="480">
        <v>9.3140000000000001</v>
      </c>
      <c r="N1419" s="480">
        <v>16.707999999999998</v>
      </c>
      <c r="O1419" s="480">
        <v>2.7309999999999999</v>
      </c>
      <c r="P1419" s="480">
        <v>3.1739999999999999</v>
      </c>
      <c r="Q1419" s="484">
        <v>3.1739999999999999</v>
      </c>
      <c r="R1419" s="482">
        <v>4.7E-2</v>
      </c>
      <c r="S1419" s="480">
        <v>8.2010000000000005</v>
      </c>
      <c r="T1419" s="480">
        <v>-3.9359999999999999</v>
      </c>
      <c r="U1419" s="480">
        <v>-15.984</v>
      </c>
      <c r="V1419" s="484">
        <v>-15.984</v>
      </c>
      <c r="W1419" s="480">
        <v>-33.829000000000001</v>
      </c>
      <c r="X1419" s="480">
        <v>-16.143000000000001</v>
      </c>
      <c r="Y1419" s="480">
        <v>-15.455</v>
      </c>
      <c r="Z1419" s="480">
        <v>-48.692999999999998</v>
      </c>
      <c r="AA1419" s="484">
        <v>-48.692999999999998</v>
      </c>
      <c r="AB1419" s="480">
        <v>-44.972000000000001</v>
      </c>
      <c r="AC1419" s="480">
        <v>-31.771000000000001</v>
      </c>
      <c r="AD1419" s="480">
        <v>-31.568000000000001</v>
      </c>
      <c r="AE1419" s="482">
        <f>-26.028</f>
        <v>-26.027999999999999</v>
      </c>
      <c r="AF1419" s="481">
        <f t="shared" si="3244"/>
        <v>-26.027999999999999</v>
      </c>
      <c r="AG1419" s="482">
        <v>-23.707999999999998</v>
      </c>
      <c r="AH1419" s="482">
        <v>-18.268000000000001</v>
      </c>
      <c r="AI1419" s="482">
        <v>-13.385999999999999</v>
      </c>
      <c r="AJ1419" s="482">
        <v>-7.8849999999999998</v>
      </c>
      <c r="AK1419" s="481">
        <f t="shared" si="3245"/>
        <v>-7.8849999999999998</v>
      </c>
      <c r="AL1419" s="482">
        <f>-3.268</f>
        <v>-3.2679999999999998</v>
      </c>
      <c r="AM1419" s="482">
        <v>-7.2999999999999995E-2</v>
      </c>
      <c r="AN1419" s="482">
        <v>3.1E-2</v>
      </c>
      <c r="AO1419" s="482">
        <v>2.3180000000000001</v>
      </c>
      <c r="AP1419" s="481">
        <f t="shared" si="3246"/>
        <v>2.3180000000000001</v>
      </c>
      <c r="AQ1419" s="482">
        <v>2.536</v>
      </c>
      <c r="AR1419" s="482">
        <v>2.2360000000000002</v>
      </c>
      <c r="AS1419" s="482">
        <v>3.0169999999999999</v>
      </c>
      <c r="AT1419" s="482">
        <v>3.0219999999999998</v>
      </c>
      <c r="AU1419" s="481">
        <f t="shared" si="3247"/>
        <v>3.0219999999999998</v>
      </c>
      <c r="AV1419" s="482">
        <v>2.532</v>
      </c>
      <c r="AW1419" s="482">
        <v>0.629</v>
      </c>
      <c r="AX1419" s="482">
        <v>0.93100000000000005</v>
      </c>
      <c r="AY1419" s="482">
        <v>0.38300000000000001</v>
      </c>
      <c r="AZ1419" s="481">
        <f t="shared" si="3248"/>
        <v>0.38300000000000001</v>
      </c>
      <c r="BA1419" s="2675">
        <v>-0.317</v>
      </c>
      <c r="BB1419" s="2675">
        <v>0.30199999999999999</v>
      </c>
      <c r="BC1419" s="2675">
        <v>-0.57399999999999995</v>
      </c>
      <c r="BD1419" s="2675">
        <v>-1.282</v>
      </c>
      <c r="BE1419" s="481">
        <f t="shared" si="3217"/>
        <v>-1.282</v>
      </c>
      <c r="BF1419" s="2675">
        <v>-2.9980000000000002</v>
      </c>
      <c r="BG1419" s="2675">
        <v>-2.4590000000000001</v>
      </c>
      <c r="BH1419" s="2675">
        <v>-3.9460000000000002</v>
      </c>
      <c r="BI1419" s="2675">
        <v>-4.5540000000000003</v>
      </c>
      <c r="BJ1419" s="481">
        <f t="shared" si="3218"/>
        <v>-4.5540000000000003</v>
      </c>
      <c r="BK1419" s="2953">
        <v>-3.242</v>
      </c>
      <c r="BL1419" s="2675">
        <v>-3.282</v>
      </c>
      <c r="BM1419" s="482">
        <v>-3.4940000000000002</v>
      </c>
      <c r="BN1419" s="2953">
        <v>-4.6760000000000002</v>
      </c>
      <c r="BO1419" s="481">
        <f t="shared" si="3219"/>
        <v>-4.6760000000000002</v>
      </c>
      <c r="BP1419" s="2953">
        <f>-4.239</f>
        <v>-4.2389999999999999</v>
      </c>
      <c r="BQ1419" s="2953">
        <v>-3.0219999999999998</v>
      </c>
      <c r="BR1419" s="482">
        <v>-1.1850000000000001</v>
      </c>
      <c r="BS1419" s="430">
        <v>-1.4530000000000001</v>
      </c>
      <c r="BT1419" s="2587">
        <f t="shared" si="3221"/>
        <v>-1.4530000000000001</v>
      </c>
      <c r="BU1419" s="2840">
        <f t="shared" si="3221"/>
        <v>-1.4530000000000001</v>
      </c>
      <c r="BV1419" s="2840">
        <f>+BU1419</f>
        <v>-1.4530000000000001</v>
      </c>
      <c r="BW1419" s="2840">
        <f>+BV1419</f>
        <v>-1.4530000000000001</v>
      </c>
      <c r="BX1419" s="2840">
        <f>+BW1419</f>
        <v>-1.4530000000000001</v>
      </c>
      <c r="BY1419" s="2587">
        <f t="shared" si="3223"/>
        <v>-1.4530000000000001</v>
      </c>
      <c r="BZ1419" s="2587">
        <f t="shared" ref="BZ1419:CF1419" si="3252">BY1419</f>
        <v>-1.4530000000000001</v>
      </c>
      <c r="CA1419" s="2587">
        <f t="shared" si="3252"/>
        <v>-1.4530000000000001</v>
      </c>
      <c r="CB1419" s="481">
        <f t="shared" si="3252"/>
        <v>-1.4530000000000001</v>
      </c>
      <c r="CC1419" s="481">
        <f t="shared" si="3252"/>
        <v>-1.4530000000000001</v>
      </c>
      <c r="CD1419" s="481">
        <f t="shared" si="3252"/>
        <v>-1.4530000000000001</v>
      </c>
      <c r="CE1419" s="481">
        <f t="shared" si="3252"/>
        <v>-1.4530000000000001</v>
      </c>
      <c r="CF1419" s="481">
        <f t="shared" si="3252"/>
        <v>-1.4530000000000001</v>
      </c>
      <c r="CG1419" s="741"/>
      <c r="CH1419" s="741"/>
      <c r="CI1419" s="741"/>
      <c r="CJ1419" s="741"/>
      <c r="CK1419" s="741"/>
      <c r="CL1419" s="995" t="str">
        <f t="shared" si="3225"/>
        <v>Accumulated other comprehensive loss</v>
      </c>
      <c r="CM1419" s="430">
        <f t="shared" si="3226"/>
        <v>1.6419999999999999</v>
      </c>
      <c r="CN1419" s="430">
        <f t="shared" si="3227"/>
        <v>0.84</v>
      </c>
      <c r="CO1419" s="430">
        <f t="shared" si="3228"/>
        <v>3.1739999999999999</v>
      </c>
      <c r="CP1419" s="430">
        <f t="shared" si="3229"/>
        <v>-15.984</v>
      </c>
      <c r="CQ1419" s="430">
        <f t="shared" si="3230"/>
        <v>-48.692999999999998</v>
      </c>
      <c r="CR1419" s="430">
        <f t="shared" si="3231"/>
        <v>-26.027999999999999</v>
      </c>
      <c r="CS1419" s="430">
        <f t="shared" si="3232"/>
        <v>-7.8849999999999998</v>
      </c>
      <c r="CT1419" s="430">
        <f t="shared" si="3233"/>
        <v>2.3180000000000001</v>
      </c>
      <c r="CU1419" s="430">
        <f t="shared" si="3234"/>
        <v>3.0219999999999998</v>
      </c>
      <c r="CV1419" s="430">
        <f t="shared" si="3235"/>
        <v>0.38300000000000001</v>
      </c>
      <c r="CW1419" s="430">
        <f t="shared" si="3236"/>
        <v>-1.282</v>
      </c>
      <c r="CX1419" s="430">
        <f t="shared" si="3237"/>
        <v>-4.5540000000000003</v>
      </c>
      <c r="CY1419" s="430">
        <f t="shared" si="3238"/>
        <v>-4.6760000000000002</v>
      </c>
      <c r="CZ1419" s="430">
        <f t="shared" si="3239"/>
        <v>-1.4530000000000001</v>
      </c>
      <c r="DA1419" s="430">
        <f t="shared" si="3240"/>
        <v>-1.4530000000000001</v>
      </c>
      <c r="DB1419" s="430">
        <f t="shared" si="3241"/>
        <v>-1.4530000000000001</v>
      </c>
      <c r="DC1419" s="853">
        <f t="shared" si="3242"/>
        <v>-1.4530000000000001</v>
      </c>
      <c r="DD1419" s="741"/>
      <c r="DE1419" s="741"/>
      <c r="DF1419" s="742"/>
      <c r="DG1419" s="743"/>
      <c r="DH1419" s="2840"/>
      <c r="DI1419" s="3215"/>
      <c r="DJ1419" s="742"/>
      <c r="DK1419" s="743"/>
      <c r="DL1419" s="742"/>
      <c r="DM1419" s="742"/>
      <c r="DN1419" s="742"/>
      <c r="DO1419" s="742"/>
      <c r="DP1419" s="743"/>
      <c r="DQ1419" s="743"/>
      <c r="DR1419" s="740"/>
      <c r="DS1419" s="740"/>
      <c r="DT1419" s="740"/>
    </row>
    <row r="1420" spans="1:124" ht="4.5" customHeight="1" x14ac:dyDescent="0.25">
      <c r="A1420" s="1192"/>
      <c r="B1420" s="541"/>
      <c r="C1420" s="544" t="s">
        <v>1151</v>
      </c>
      <c r="D1420" s="544" t="s">
        <v>1151</v>
      </c>
      <c r="E1420" s="544" t="s">
        <v>1151</v>
      </c>
      <c r="F1420" s="544" t="s">
        <v>1151</v>
      </c>
      <c r="G1420" s="461" t="s">
        <v>1151</v>
      </c>
      <c r="H1420" s="544" t="s">
        <v>1151</v>
      </c>
      <c r="I1420" s="544" t="s">
        <v>1151</v>
      </c>
      <c r="J1420" s="544" t="s">
        <v>1151</v>
      </c>
      <c r="K1420" s="544" t="s">
        <v>1151</v>
      </c>
      <c r="L1420" s="461" t="s">
        <v>1151</v>
      </c>
      <c r="M1420" s="544" t="s">
        <v>1151</v>
      </c>
      <c r="N1420" s="544" t="s">
        <v>1151</v>
      </c>
      <c r="O1420" s="544" t="s">
        <v>1151</v>
      </c>
      <c r="P1420" s="544" t="s">
        <v>1151</v>
      </c>
      <c r="Q1420" s="461" t="s">
        <v>1151</v>
      </c>
      <c r="R1420" s="544" t="s">
        <v>1151</v>
      </c>
      <c r="S1420" s="544" t="s">
        <v>1151</v>
      </c>
      <c r="T1420" s="544" t="s">
        <v>1151</v>
      </c>
      <c r="U1420" s="544" t="s">
        <v>1151</v>
      </c>
      <c r="V1420" s="461" t="s">
        <v>1151</v>
      </c>
      <c r="W1420" s="544" t="s">
        <v>1151</v>
      </c>
      <c r="X1420" s="544" t="s">
        <v>1151</v>
      </c>
      <c r="Y1420" s="544" t="s">
        <v>1151</v>
      </c>
      <c r="Z1420" s="544" t="s">
        <v>1151</v>
      </c>
      <c r="AA1420" s="461" t="s">
        <v>1151</v>
      </c>
      <c r="AB1420" s="544" t="s">
        <v>1151</v>
      </c>
      <c r="AC1420" s="544" t="s">
        <v>1151</v>
      </c>
      <c r="AD1420" s="544" t="s">
        <v>1151</v>
      </c>
      <c r="AE1420" s="544" t="s">
        <v>1151</v>
      </c>
      <c r="AF1420" s="461" t="s">
        <v>1151</v>
      </c>
      <c r="AG1420" s="544" t="s">
        <v>1151</v>
      </c>
      <c r="AH1420" s="544" t="s">
        <v>1151</v>
      </c>
      <c r="AI1420" s="544" t="s">
        <v>1151</v>
      </c>
      <c r="AJ1420" s="544" t="s">
        <v>1151</v>
      </c>
      <c r="AK1420" s="461" t="s">
        <v>1151</v>
      </c>
      <c r="AL1420" s="544" t="s">
        <v>1151</v>
      </c>
      <c r="AM1420" s="544" t="s">
        <v>1151</v>
      </c>
      <c r="AN1420" s="544" t="s">
        <v>1151</v>
      </c>
      <c r="AO1420" s="544" t="s">
        <v>1151</v>
      </c>
      <c r="AP1420" s="461" t="s">
        <v>1151</v>
      </c>
      <c r="AQ1420" s="544" t="s">
        <v>1151</v>
      </c>
      <c r="AR1420" s="544" t="s">
        <v>1151</v>
      </c>
      <c r="AS1420" s="544" t="s">
        <v>1151</v>
      </c>
      <c r="AT1420" s="544" t="s">
        <v>1151</v>
      </c>
      <c r="AU1420" s="461" t="s">
        <v>1151</v>
      </c>
      <c r="AV1420" s="544" t="s">
        <v>1151</v>
      </c>
      <c r="AW1420" s="544" t="s">
        <v>1151</v>
      </c>
      <c r="AX1420" s="544" t="s">
        <v>1151</v>
      </c>
      <c r="AY1420" s="544" t="s">
        <v>1151</v>
      </c>
      <c r="AZ1420" s="461" t="s">
        <v>1151</v>
      </c>
      <c r="BA1420" s="544" t="s">
        <v>1151</v>
      </c>
      <c r="BB1420" s="544" t="s">
        <v>1151</v>
      </c>
      <c r="BC1420" s="544" t="s">
        <v>1151</v>
      </c>
      <c r="BD1420" s="544" t="s">
        <v>1151</v>
      </c>
      <c r="BE1420" s="461" t="s">
        <v>1151</v>
      </c>
      <c r="BF1420" s="544" t="s">
        <v>1151</v>
      </c>
      <c r="BG1420" s="544" t="s">
        <v>1151</v>
      </c>
      <c r="BH1420" s="544" t="s">
        <v>1151</v>
      </c>
      <c r="BI1420" s="544" t="s">
        <v>1151</v>
      </c>
      <c r="BJ1420" s="461" t="s">
        <v>1151</v>
      </c>
      <c r="BK1420" s="609" t="s">
        <v>1151</v>
      </c>
      <c r="BL1420" s="544" t="s">
        <v>1151</v>
      </c>
      <c r="BM1420" s="544" t="s">
        <v>1151</v>
      </c>
      <c r="BN1420" s="544" t="s">
        <v>1151</v>
      </c>
      <c r="BO1420" s="461" t="s">
        <v>1151</v>
      </c>
      <c r="BP1420" s="544" t="s">
        <v>1151</v>
      </c>
      <c r="BQ1420" s="544" t="s">
        <v>1151</v>
      </c>
      <c r="BR1420" s="544" t="s">
        <v>1151</v>
      </c>
      <c r="BS1420" s="544" t="s">
        <v>1151</v>
      </c>
      <c r="BT1420" s="461" t="s">
        <v>1151</v>
      </c>
      <c r="BU1420" s="544" t="s">
        <v>1151</v>
      </c>
      <c r="BV1420" s="544" t="s">
        <v>1151</v>
      </c>
      <c r="BW1420" s="544" t="s">
        <v>1151</v>
      </c>
      <c r="BX1420" s="544" t="s">
        <v>1151</v>
      </c>
      <c r="BY1420" s="461" t="s">
        <v>1151</v>
      </c>
      <c r="BZ1420" s="461" t="s">
        <v>1151</v>
      </c>
      <c r="CA1420" s="461" t="s">
        <v>1151</v>
      </c>
      <c r="CB1420" s="461" t="s">
        <v>1151</v>
      </c>
      <c r="CC1420" s="461" t="s">
        <v>1151</v>
      </c>
      <c r="CD1420" s="461" t="s">
        <v>1151</v>
      </c>
      <c r="CE1420" s="461" t="s">
        <v>1151</v>
      </c>
      <c r="CF1420" s="461" t="s">
        <v>1151</v>
      </c>
      <c r="CG1420" s="741"/>
      <c r="CH1420" s="741"/>
      <c r="CI1420" s="741"/>
      <c r="CJ1420" s="741"/>
      <c r="CK1420" s="741"/>
      <c r="CL1420" s="2035"/>
      <c r="CM1420" s="2029" t="str">
        <f t="shared" si="3226"/>
        <v xml:space="preserve">                </v>
      </c>
      <c r="CN1420" s="2029" t="str">
        <f t="shared" si="3227"/>
        <v xml:space="preserve">                </v>
      </c>
      <c r="CO1420" s="2029" t="str">
        <f t="shared" si="3228"/>
        <v xml:space="preserve">                </v>
      </c>
      <c r="CP1420" s="2029" t="str">
        <f t="shared" si="3229"/>
        <v xml:space="preserve">                </v>
      </c>
      <c r="CQ1420" s="2029" t="str">
        <f t="shared" si="3230"/>
        <v xml:space="preserve">                </v>
      </c>
      <c r="CR1420" s="2029" t="str">
        <f t="shared" si="3231"/>
        <v xml:space="preserve">                </v>
      </c>
      <c r="CS1420" s="2029" t="str">
        <f t="shared" si="3232"/>
        <v xml:space="preserve">                </v>
      </c>
      <c r="CT1420" s="2029" t="str">
        <f t="shared" si="3233"/>
        <v xml:space="preserve">                </v>
      </c>
      <c r="CU1420" s="2029" t="str">
        <f t="shared" si="3234"/>
        <v xml:space="preserve">                </v>
      </c>
      <c r="CV1420" s="2029" t="str">
        <f t="shared" si="3235"/>
        <v xml:space="preserve">                </v>
      </c>
      <c r="CW1420" s="2029" t="str">
        <f t="shared" si="3236"/>
        <v xml:space="preserve">                </v>
      </c>
      <c r="CX1420" s="2029" t="str">
        <f t="shared" si="3237"/>
        <v xml:space="preserve">                </v>
      </c>
      <c r="CY1420" s="2029" t="str">
        <f t="shared" si="3238"/>
        <v xml:space="preserve">                </v>
      </c>
      <c r="CZ1420" s="2029" t="str">
        <f t="shared" si="3239"/>
        <v xml:space="preserve">                </v>
      </c>
      <c r="DA1420" s="2029" t="str">
        <f t="shared" si="3240"/>
        <v xml:space="preserve">                </v>
      </c>
      <c r="DB1420" s="2029" t="str">
        <f t="shared" si="3241"/>
        <v xml:space="preserve">                </v>
      </c>
      <c r="DC1420" s="2030" t="str">
        <f t="shared" si="3242"/>
        <v xml:space="preserve">                </v>
      </c>
      <c r="DD1420" s="741"/>
      <c r="DE1420" s="741"/>
      <c r="DF1420" s="742"/>
      <c r="DG1420" s="743"/>
      <c r="DH1420" s="2029"/>
      <c r="DI1420" s="3215"/>
      <c r="DJ1420" s="742"/>
      <c r="DK1420" s="743"/>
      <c r="DL1420" s="742"/>
      <c r="DM1420" s="742"/>
      <c r="DN1420" s="742"/>
      <c r="DO1420" s="742"/>
      <c r="DP1420" s="743"/>
      <c r="DQ1420" s="743"/>
      <c r="DR1420" s="740"/>
      <c r="DS1420" s="740"/>
      <c r="DT1420" s="740"/>
    </row>
    <row r="1421" spans="1:124" ht="12.75" customHeight="1" x14ac:dyDescent="0.25">
      <c r="A1421" s="945" t="s">
        <v>1934</v>
      </c>
      <c r="B1421" s="487"/>
      <c r="C1421" s="901">
        <v>0</v>
      </c>
      <c r="D1421" s="488">
        <f t="shared" ref="D1421:BG1421" si="3253">SUM(D1413:D1419)</f>
        <v>356.09399999999999</v>
      </c>
      <c r="E1421" s="488">
        <f t="shared" si="3253"/>
        <v>379.68800000000005</v>
      </c>
      <c r="F1421" s="488">
        <f t="shared" si="3253"/>
        <v>398.09199999999998</v>
      </c>
      <c r="G1421" s="489">
        <f t="shared" si="3253"/>
        <v>398.09199999999998</v>
      </c>
      <c r="H1421" s="488">
        <f t="shared" si="3253"/>
        <v>431.096</v>
      </c>
      <c r="I1421" s="488">
        <f t="shared" si="3253"/>
        <v>451.40699999999998</v>
      </c>
      <c r="J1421" s="488">
        <f t="shared" si="3253"/>
        <v>507.91400000000004</v>
      </c>
      <c r="K1421" s="488">
        <f t="shared" si="3253"/>
        <v>546.54300000000001</v>
      </c>
      <c r="L1421" s="489">
        <f t="shared" si="3253"/>
        <v>546.54300000000001</v>
      </c>
      <c r="M1421" s="488">
        <f t="shared" si="3253"/>
        <v>618.39099999999996</v>
      </c>
      <c r="N1421" s="488">
        <f t="shared" si="3253"/>
        <v>676.30499999999995</v>
      </c>
      <c r="O1421" s="488">
        <f t="shared" si="3253"/>
        <v>822.72299999999996</v>
      </c>
      <c r="P1421" s="488">
        <f t="shared" si="3253"/>
        <v>921.16300000000001</v>
      </c>
      <c r="Q1421" s="489">
        <f t="shared" si="3253"/>
        <v>921.16300000000001</v>
      </c>
      <c r="R1421" s="488">
        <f t="shared" si="3253"/>
        <v>964.37100000000009</v>
      </c>
      <c r="S1421" s="488">
        <f t="shared" si="3253"/>
        <v>1020.542</v>
      </c>
      <c r="T1421" s="488">
        <f t="shared" si="3253"/>
        <v>1087.4220000000003</v>
      </c>
      <c r="U1421" s="488">
        <f t="shared" si="3253"/>
        <v>1120.962</v>
      </c>
      <c r="V1421" s="489">
        <f t="shared" si="3253"/>
        <v>1120.962</v>
      </c>
      <c r="W1421" s="488">
        <f t="shared" si="3253"/>
        <v>1149.1389999999999</v>
      </c>
      <c r="X1421" s="488">
        <f t="shared" si="3253"/>
        <v>1209.297</v>
      </c>
      <c r="Y1421" s="488">
        <f t="shared" si="3253"/>
        <v>1334.0910000000001</v>
      </c>
      <c r="Z1421" s="488">
        <f t="shared" si="3253"/>
        <v>2057.2729999999997</v>
      </c>
      <c r="AA1421" s="489">
        <f t="shared" si="3253"/>
        <v>2057.2729999999997</v>
      </c>
      <c r="AB1421" s="488">
        <f t="shared" si="3253"/>
        <v>2111.6469999999995</v>
      </c>
      <c r="AC1421" s="488">
        <f t="shared" si="3253"/>
        <v>2164.2660000000001</v>
      </c>
      <c r="AD1421" s="488">
        <f t="shared" si="3253"/>
        <v>2194.13</v>
      </c>
      <c r="AE1421" s="485">
        <f t="shared" si="3253"/>
        <v>1852.6410000000001</v>
      </c>
      <c r="AF1421" s="486">
        <f t="shared" si="3253"/>
        <v>1852.6410000000001</v>
      </c>
      <c r="AG1421" s="485">
        <f t="shared" si="3253"/>
        <v>1886.8029999999999</v>
      </c>
      <c r="AH1421" s="485">
        <f t="shared" si="3253"/>
        <v>1901.3490000000002</v>
      </c>
      <c r="AI1421" s="485">
        <f t="shared" si="3253"/>
        <v>1908.7919999999999</v>
      </c>
      <c r="AJ1421" s="485">
        <f>SUM(AJ1413:AJ1419)</f>
        <v>1777.7660000000001</v>
      </c>
      <c r="AK1421" s="486">
        <f t="shared" si="3253"/>
        <v>1777.7660000000001</v>
      </c>
      <c r="AL1421" s="485">
        <f t="shared" si="3253"/>
        <v>1848.0769999999998</v>
      </c>
      <c r="AM1421" s="485">
        <f t="shared" si="3253"/>
        <v>1938.1089999999997</v>
      </c>
      <c r="AN1421" s="485">
        <f t="shared" si="3253"/>
        <v>1990.915</v>
      </c>
      <c r="AO1421" s="485">
        <f t="shared" si="3253"/>
        <v>1971.6310000000001</v>
      </c>
      <c r="AP1421" s="486">
        <f t="shared" si="3253"/>
        <v>1971.6310000000001</v>
      </c>
      <c r="AQ1421" s="485">
        <f t="shared" si="3253"/>
        <v>2064.498</v>
      </c>
      <c r="AR1421" s="485">
        <f t="shared" si="3253"/>
        <v>2143.154</v>
      </c>
      <c r="AS1421" s="485">
        <f t="shared" si="3253"/>
        <v>2198.8809999999999</v>
      </c>
      <c r="AT1421" s="485">
        <f t="shared" si="3253"/>
        <v>2250.9290000000001</v>
      </c>
      <c r="AU1421" s="486">
        <f t="shared" si="3253"/>
        <v>2250.9290000000001</v>
      </c>
      <c r="AV1421" s="485">
        <f t="shared" ref="AV1421:BD1421" si="3254">SUM(AV1413:AV1419)</f>
        <v>2318.614</v>
      </c>
      <c r="AW1421" s="485">
        <f t="shared" si="3254"/>
        <v>2329.6179999999999</v>
      </c>
      <c r="AX1421" s="485">
        <f t="shared" si="3254"/>
        <v>2392.2250000000004</v>
      </c>
      <c r="AY1421" s="485">
        <f t="shared" si="3254"/>
        <v>758.40000000000009</v>
      </c>
      <c r="AZ1421" s="486">
        <f t="shared" si="3254"/>
        <v>758.40000000000009</v>
      </c>
      <c r="BA1421" s="485">
        <f t="shared" si="3254"/>
        <v>778.14899999999989</v>
      </c>
      <c r="BB1421" s="485">
        <f t="shared" si="3254"/>
        <v>787.75299999999993</v>
      </c>
      <c r="BC1421" s="485">
        <f>SUM(BC1413:BC1419)</f>
        <v>798.23799999999994</v>
      </c>
      <c r="BD1421" s="485">
        <f t="shared" si="3254"/>
        <v>-708.01400000000012</v>
      </c>
      <c r="BE1421" s="486">
        <f t="shared" si="3253"/>
        <v>-708.01400000000012</v>
      </c>
      <c r="BF1421" s="485">
        <f t="shared" si="3253"/>
        <v>-696.62799999999993</v>
      </c>
      <c r="BG1421" s="485">
        <f t="shared" si="3253"/>
        <v>-686.30899999999986</v>
      </c>
      <c r="BH1421" s="485">
        <f t="shared" ref="BH1421:CF1421" si="3255">SUM(BH1413:BH1419)</f>
        <v>-676.20200000000011</v>
      </c>
      <c r="BI1421" s="485">
        <f t="shared" si="3255"/>
        <v>-678.04299999999978</v>
      </c>
      <c r="BJ1421" s="486">
        <f t="shared" si="3255"/>
        <v>-678.04299999999978</v>
      </c>
      <c r="BK1421" s="485">
        <f t="shared" si="3255"/>
        <v>-649.09700000000009</v>
      </c>
      <c r="BL1421" s="485">
        <f t="shared" si="3255"/>
        <v>-606.92400000000009</v>
      </c>
      <c r="BM1421" s="485">
        <f t="shared" si="3255"/>
        <v>-553.86200000000008</v>
      </c>
      <c r="BN1421" s="485">
        <f t="shared" si="3255"/>
        <v>-543.31999999999994</v>
      </c>
      <c r="BO1421" s="486">
        <f t="shared" si="3255"/>
        <v>-543.31999999999994</v>
      </c>
      <c r="BP1421" s="485">
        <f t="shared" si="3255"/>
        <v>-540.73199999999986</v>
      </c>
      <c r="BQ1421" s="485">
        <f t="shared" si="3255"/>
        <v>-517.52499999999998</v>
      </c>
      <c r="BR1421" s="485">
        <f t="shared" si="3255"/>
        <v>260.012</v>
      </c>
      <c r="BS1421" s="485">
        <f t="shared" si="3255"/>
        <v>-73.145999999999987</v>
      </c>
      <c r="BT1421" s="486">
        <f t="shared" si="3255"/>
        <v>-73.145999999999987</v>
      </c>
      <c r="BU1421" s="485">
        <f t="shared" si="3255"/>
        <v>-32.928369421810231</v>
      </c>
      <c r="BV1421" s="485">
        <f>SUM(BV1413:BV1419)</f>
        <v>13.609162573103024</v>
      </c>
      <c r="BW1421" s="485">
        <f>SUM(BW1413:BW1419)</f>
        <v>818.31332624355548</v>
      </c>
      <c r="BX1421" s="485">
        <f>SUM(BX1413:BX1419)</f>
        <v>872.82326772948966</v>
      </c>
      <c r="BY1421" s="486">
        <f>SUM(BY1413:BY1419)</f>
        <v>872.82326772948966</v>
      </c>
      <c r="BZ1421" s="486">
        <f t="shared" si="3255"/>
        <v>1203.6901352887542</v>
      </c>
      <c r="CA1421" s="486">
        <f t="shared" si="3255"/>
        <v>1521.3188814130244</v>
      </c>
      <c r="CB1421" s="486">
        <f t="shared" si="3255"/>
        <v>1609.5614187759118</v>
      </c>
      <c r="CC1421" s="486">
        <f t="shared" si="3255"/>
        <v>1638.019560990482</v>
      </c>
      <c r="CD1421" s="486">
        <f t="shared" si="3255"/>
        <v>1671.2654910260762</v>
      </c>
      <c r="CE1421" s="486">
        <f t="shared" si="3255"/>
        <v>1718.5206890412092</v>
      </c>
      <c r="CF1421" s="486">
        <f t="shared" si="3255"/>
        <v>1778.8122900725089</v>
      </c>
      <c r="CG1421" s="331"/>
      <c r="CH1421" s="331"/>
      <c r="CI1421" s="331"/>
      <c r="CJ1421" s="331"/>
      <c r="CK1421" s="331"/>
      <c r="CL1421" s="944" t="str">
        <f>A1421</f>
        <v>Total Shareholders' Equity</v>
      </c>
      <c r="CM1421" s="485">
        <f t="shared" si="3226"/>
        <v>398.09199999999998</v>
      </c>
      <c r="CN1421" s="485">
        <f t="shared" si="3227"/>
        <v>546.54300000000001</v>
      </c>
      <c r="CO1421" s="485">
        <f t="shared" si="3228"/>
        <v>921.16300000000001</v>
      </c>
      <c r="CP1421" s="485">
        <f t="shared" si="3229"/>
        <v>1120.962</v>
      </c>
      <c r="CQ1421" s="485">
        <f t="shared" si="3230"/>
        <v>2057.2729999999997</v>
      </c>
      <c r="CR1421" s="485">
        <f t="shared" si="3231"/>
        <v>1852.6410000000001</v>
      </c>
      <c r="CS1421" s="485">
        <f t="shared" si="3232"/>
        <v>1777.7660000000001</v>
      </c>
      <c r="CT1421" s="485">
        <f t="shared" si="3233"/>
        <v>1971.6310000000001</v>
      </c>
      <c r="CU1421" s="485">
        <f t="shared" si="3234"/>
        <v>2250.9290000000001</v>
      </c>
      <c r="CV1421" s="485">
        <f t="shared" si="3235"/>
        <v>758.40000000000009</v>
      </c>
      <c r="CW1421" s="485">
        <f t="shared" si="3236"/>
        <v>-708.01400000000012</v>
      </c>
      <c r="CX1421" s="485">
        <f t="shared" si="3237"/>
        <v>-678.04299999999978</v>
      </c>
      <c r="CY1421" s="485">
        <f t="shared" si="3238"/>
        <v>-543.31999999999994</v>
      </c>
      <c r="CZ1421" s="485">
        <f t="shared" si="3239"/>
        <v>-73.145999999999987</v>
      </c>
      <c r="DA1421" s="485">
        <f t="shared" si="3240"/>
        <v>872.82326772948966</v>
      </c>
      <c r="DB1421" s="485">
        <f t="shared" si="3241"/>
        <v>1203.6901352887542</v>
      </c>
      <c r="DC1421" s="854">
        <f t="shared" si="3242"/>
        <v>1521.3188814130244</v>
      </c>
      <c r="DD1421" s="331"/>
      <c r="DE1421" s="331"/>
      <c r="DF1421" s="331"/>
      <c r="DG1421" s="442"/>
      <c r="DH1421" s="485"/>
      <c r="DI1421" s="3213"/>
      <c r="DJ1421" s="331"/>
      <c r="DK1421" s="442"/>
      <c r="DL1421" s="331"/>
      <c r="DM1421" s="331"/>
      <c r="DN1421" s="331"/>
      <c r="DO1421" s="331"/>
      <c r="DP1421" s="442"/>
      <c r="DQ1421" s="442"/>
      <c r="DR1421" s="296"/>
      <c r="DS1421" s="296"/>
      <c r="DT1421" s="296"/>
    </row>
    <row r="1422" spans="1:124" ht="12.75" customHeight="1" x14ac:dyDescent="0.25">
      <c r="A1422" s="272" t="s">
        <v>1227</v>
      </c>
      <c r="B1422" s="479"/>
      <c r="C1422" s="480"/>
      <c r="D1422" s="509"/>
      <c r="E1422" s="509"/>
      <c r="F1422" s="509"/>
      <c r="G1422" s="510"/>
      <c r="H1422" s="509"/>
      <c r="I1422" s="509"/>
      <c r="J1422" s="509"/>
      <c r="K1422" s="509"/>
      <c r="L1422" s="510"/>
      <c r="M1422" s="509"/>
      <c r="N1422" s="509"/>
      <c r="O1422" s="509"/>
      <c r="P1422" s="509"/>
      <c r="Q1422" s="510"/>
      <c r="R1422" s="509"/>
      <c r="S1422" s="509"/>
      <c r="T1422" s="509"/>
      <c r="U1422" s="509"/>
      <c r="V1422" s="510"/>
      <c r="W1422" s="509"/>
      <c r="X1422" s="509"/>
      <c r="Y1422" s="509"/>
      <c r="Z1422" s="509"/>
      <c r="AA1422" s="510"/>
      <c r="AB1422" s="509"/>
      <c r="AC1422" s="509"/>
      <c r="AD1422" s="509"/>
      <c r="AE1422" s="482">
        <v>-0.56499999999999995</v>
      </c>
      <c r="AF1422" s="481">
        <f>AE1422</f>
        <v>-0.56499999999999995</v>
      </c>
      <c r="AG1422" s="482">
        <v>-0.57399999999999995</v>
      </c>
      <c r="AH1422" s="482">
        <v>-2.758</v>
      </c>
      <c r="AI1422" s="482">
        <v>0</v>
      </c>
      <c r="AJ1422" s="430">
        <f t="shared" ref="AJ1422:AX1422" si="3256">AI1422</f>
        <v>0</v>
      </c>
      <c r="AK1422" s="481">
        <f t="shared" si="3256"/>
        <v>0</v>
      </c>
      <c r="AL1422" s="430">
        <f t="shared" si="3256"/>
        <v>0</v>
      </c>
      <c r="AM1422" s="482">
        <f t="shared" si="3256"/>
        <v>0</v>
      </c>
      <c r="AN1422" s="430">
        <f t="shared" si="3256"/>
        <v>0</v>
      </c>
      <c r="AO1422" s="430">
        <f t="shared" si="3256"/>
        <v>0</v>
      </c>
      <c r="AP1422" s="481">
        <f t="shared" si="3256"/>
        <v>0</v>
      </c>
      <c r="AQ1422" s="430">
        <f t="shared" si="3256"/>
        <v>0</v>
      </c>
      <c r="AR1422" s="430">
        <f t="shared" si="3256"/>
        <v>0</v>
      </c>
      <c r="AS1422" s="430">
        <f t="shared" si="3256"/>
        <v>0</v>
      </c>
      <c r="AT1422" s="430">
        <v>0</v>
      </c>
      <c r="AU1422" s="481">
        <f t="shared" si="3256"/>
        <v>0</v>
      </c>
      <c r="AV1422" s="483">
        <f t="shared" si="3256"/>
        <v>0</v>
      </c>
      <c r="AW1422" s="430">
        <f t="shared" si="3256"/>
        <v>0</v>
      </c>
      <c r="AX1422" s="430">
        <f t="shared" si="3256"/>
        <v>0</v>
      </c>
      <c r="AY1422" s="430">
        <v>0</v>
      </c>
      <c r="AZ1422" s="481">
        <f>AY1422</f>
        <v>0</v>
      </c>
      <c r="BA1422" s="430">
        <f>AZ1422</f>
        <v>0</v>
      </c>
      <c r="BB1422" s="430">
        <f>BA1422</f>
        <v>0</v>
      </c>
      <c r="BC1422" s="430">
        <f>BB1422</f>
        <v>0</v>
      </c>
      <c r="BD1422" s="430">
        <f>BC1422</f>
        <v>0</v>
      </c>
      <c r="BE1422" s="481">
        <f>AZ1422</f>
        <v>0</v>
      </c>
      <c r="BF1422" s="430">
        <f>BE1422</f>
        <v>0</v>
      </c>
      <c r="BG1422" s="430">
        <f>BF1422</f>
        <v>0</v>
      </c>
      <c r="BH1422" s="430">
        <f>BG1422</f>
        <v>0</v>
      </c>
      <c r="BI1422" s="430">
        <f>BH1422</f>
        <v>0</v>
      </c>
      <c r="BJ1422" s="481">
        <f>BE1422</f>
        <v>0</v>
      </c>
      <c r="BK1422" s="430">
        <f>BJ1422</f>
        <v>0</v>
      </c>
      <c r="BL1422" s="430">
        <f>BK1422</f>
        <v>0</v>
      </c>
      <c r="BM1422" s="430">
        <f>BL1422</f>
        <v>0</v>
      </c>
      <c r="BN1422" s="430">
        <f>BM1422</f>
        <v>0</v>
      </c>
      <c r="BO1422" s="481">
        <f>BJ1422</f>
        <v>0</v>
      </c>
      <c r="BP1422" s="430">
        <f>BO1422</f>
        <v>0</v>
      </c>
      <c r="BQ1422" s="430">
        <f>BP1422</f>
        <v>0</v>
      </c>
      <c r="BR1422" s="430">
        <f>BQ1422</f>
        <v>0</v>
      </c>
      <c r="BS1422" s="430">
        <f>BR1422</f>
        <v>0</v>
      </c>
      <c r="BT1422" s="2587">
        <f>BO1422</f>
        <v>0</v>
      </c>
      <c r="BU1422" s="2840">
        <f>BT1422</f>
        <v>0</v>
      </c>
      <c r="BV1422" s="2840">
        <f>BU1422</f>
        <v>0</v>
      </c>
      <c r="BW1422" s="2840">
        <f>BV1422</f>
        <v>0</v>
      </c>
      <c r="BX1422" s="2840">
        <f>BW1422</f>
        <v>0</v>
      </c>
      <c r="BY1422" s="2587">
        <f>BT1422</f>
        <v>0</v>
      </c>
      <c r="BZ1422" s="2587">
        <f t="shared" ref="BZ1422:CF1422" si="3257">BY1422</f>
        <v>0</v>
      </c>
      <c r="CA1422" s="2587">
        <f t="shared" si="3257"/>
        <v>0</v>
      </c>
      <c r="CB1422" s="481">
        <f t="shared" si="3257"/>
        <v>0</v>
      </c>
      <c r="CC1422" s="481">
        <f t="shared" si="3257"/>
        <v>0</v>
      </c>
      <c r="CD1422" s="481">
        <f t="shared" si="3257"/>
        <v>0</v>
      </c>
      <c r="CE1422" s="481">
        <f t="shared" si="3257"/>
        <v>0</v>
      </c>
      <c r="CF1422" s="481">
        <f t="shared" si="3257"/>
        <v>0</v>
      </c>
      <c r="CG1422" s="331"/>
      <c r="CH1422" s="331"/>
      <c r="CI1422" s="331"/>
      <c r="CJ1422" s="331"/>
      <c r="CK1422" s="331"/>
      <c r="CL1422" s="995" t="str">
        <f>A1422</f>
        <v>Noncontrolling interests</v>
      </c>
      <c r="CM1422" s="430">
        <f t="shared" si="3226"/>
        <v>0</v>
      </c>
      <c r="CN1422" s="430">
        <f t="shared" si="3227"/>
        <v>0</v>
      </c>
      <c r="CO1422" s="430">
        <f t="shared" si="3228"/>
        <v>0</v>
      </c>
      <c r="CP1422" s="430">
        <f t="shared" si="3229"/>
        <v>0</v>
      </c>
      <c r="CQ1422" s="430">
        <f t="shared" si="3230"/>
        <v>0</v>
      </c>
      <c r="CR1422" s="430">
        <f t="shared" si="3231"/>
        <v>-0.56499999999999995</v>
      </c>
      <c r="CS1422" s="430">
        <f t="shared" si="3232"/>
        <v>0</v>
      </c>
      <c r="CT1422" s="430">
        <f t="shared" si="3233"/>
        <v>0</v>
      </c>
      <c r="CU1422" s="430">
        <f t="shared" si="3234"/>
        <v>0</v>
      </c>
      <c r="CV1422" s="430">
        <f t="shared" si="3235"/>
        <v>0</v>
      </c>
      <c r="CW1422" s="430">
        <f t="shared" si="3236"/>
        <v>0</v>
      </c>
      <c r="CX1422" s="430">
        <f t="shared" si="3237"/>
        <v>0</v>
      </c>
      <c r="CY1422" s="430">
        <f t="shared" si="3238"/>
        <v>0</v>
      </c>
      <c r="CZ1422" s="430">
        <f t="shared" si="3239"/>
        <v>0</v>
      </c>
      <c r="DA1422" s="430">
        <f t="shared" si="3240"/>
        <v>0</v>
      </c>
      <c r="DB1422" s="430">
        <f t="shared" si="3241"/>
        <v>0</v>
      </c>
      <c r="DC1422" s="853">
        <f t="shared" si="3242"/>
        <v>0</v>
      </c>
      <c r="DD1422" s="331"/>
      <c r="DE1422" s="331"/>
      <c r="DF1422" s="331"/>
      <c r="DG1422" s="442"/>
      <c r="DH1422" s="2840"/>
      <c r="DI1422" s="3213"/>
      <c r="DJ1422" s="331"/>
      <c r="DK1422" s="442"/>
      <c r="DL1422" s="331"/>
      <c r="DM1422" s="331"/>
      <c r="DN1422" s="331"/>
      <c r="DO1422" s="331"/>
      <c r="DP1422" s="442"/>
      <c r="DQ1422" s="442"/>
      <c r="DR1422" s="296"/>
      <c r="DS1422" s="296"/>
      <c r="DT1422" s="296"/>
    </row>
    <row r="1423" spans="1:124" ht="12.75" customHeight="1" x14ac:dyDescent="0.25">
      <c r="A1423" s="479"/>
      <c r="B1423" s="479"/>
      <c r="C1423" s="480"/>
      <c r="D1423" s="480"/>
      <c r="E1423" s="480"/>
      <c r="F1423" s="480"/>
      <c r="G1423" s="484"/>
      <c r="H1423" s="480"/>
      <c r="I1423" s="480"/>
      <c r="J1423" s="482"/>
      <c r="K1423" s="480"/>
      <c r="L1423" s="484"/>
      <c r="M1423" s="480"/>
      <c r="N1423" s="480"/>
      <c r="O1423" s="480"/>
      <c r="P1423" s="480"/>
      <c r="Q1423" s="484"/>
      <c r="R1423" s="482"/>
      <c r="S1423" s="480"/>
      <c r="T1423" s="480"/>
      <c r="U1423" s="480"/>
      <c r="V1423" s="484"/>
      <c r="W1423" s="480"/>
      <c r="X1423" s="480"/>
      <c r="Y1423" s="480"/>
      <c r="Z1423" s="480"/>
      <c r="AA1423" s="484"/>
      <c r="AB1423" s="480"/>
      <c r="AC1423" s="480"/>
      <c r="AD1423" s="480"/>
      <c r="AE1423" s="482"/>
      <c r="AF1423" s="481"/>
      <c r="AG1423" s="430"/>
      <c r="AH1423" s="430"/>
      <c r="AI1423" s="430"/>
      <c r="AJ1423" s="430"/>
      <c r="AK1423" s="481"/>
      <c r="AL1423" s="430"/>
      <c r="AM1423" s="430"/>
      <c r="AN1423" s="430"/>
      <c r="AO1423" s="430"/>
      <c r="AP1423" s="481"/>
      <c r="AQ1423" s="430"/>
      <c r="AR1423" s="430"/>
      <c r="AS1423" s="430"/>
      <c r="AT1423" s="430"/>
      <c r="AU1423" s="481"/>
      <c r="AV1423" s="483"/>
      <c r="AW1423" s="430"/>
      <c r="AX1423" s="430"/>
      <c r="AY1423" s="430"/>
      <c r="AZ1423" s="481"/>
      <c r="BA1423" s="430"/>
      <c r="BB1423" s="430"/>
      <c r="BC1423" s="430"/>
      <c r="BD1423" s="430"/>
      <c r="BE1423" s="481"/>
      <c r="BF1423" s="430"/>
      <c r="BG1423" s="430"/>
      <c r="BH1423" s="430"/>
      <c r="BI1423" s="430"/>
      <c r="BJ1423" s="481"/>
      <c r="BK1423" s="430"/>
      <c r="BL1423" s="430"/>
      <c r="BM1423" s="430"/>
      <c r="BN1423" s="430"/>
      <c r="BO1423" s="481"/>
      <c r="BP1423" s="430"/>
      <c r="BQ1423" s="430"/>
      <c r="BR1423" s="430"/>
      <c r="BS1423" s="430"/>
      <c r="BT1423" s="2587"/>
      <c r="BU1423" s="2840"/>
      <c r="BV1423" s="2840"/>
      <c r="BW1423" s="2840"/>
      <c r="BX1423" s="2840"/>
      <c r="BY1423" s="2587"/>
      <c r="BZ1423" s="2587"/>
      <c r="CA1423" s="2587"/>
      <c r="CB1423" s="481"/>
      <c r="CC1423" s="481"/>
      <c r="CD1423" s="481"/>
      <c r="CE1423" s="481"/>
      <c r="CF1423" s="481"/>
      <c r="CG1423" s="331"/>
      <c r="CH1423" s="331"/>
      <c r="CI1423" s="331"/>
      <c r="CJ1423" s="331"/>
      <c r="CK1423" s="331"/>
      <c r="CL1423" s="872"/>
      <c r="CM1423" s="430"/>
      <c r="CN1423" s="430"/>
      <c r="CO1423" s="430"/>
      <c r="CP1423" s="430"/>
      <c r="CQ1423" s="430"/>
      <c r="CR1423" s="430"/>
      <c r="CS1423" s="430"/>
      <c r="CT1423" s="430"/>
      <c r="CU1423" s="430"/>
      <c r="CV1423" s="430"/>
      <c r="CW1423" s="430"/>
      <c r="CX1423" s="430"/>
      <c r="CY1423" s="430"/>
      <c r="CZ1423" s="430"/>
      <c r="DA1423" s="430"/>
      <c r="DB1423" s="430"/>
      <c r="DC1423" s="853"/>
      <c r="DD1423" s="331"/>
      <c r="DE1423" s="331"/>
      <c r="DF1423" s="502"/>
      <c r="DG1423" s="503"/>
      <c r="DH1423" s="2840"/>
      <c r="DI1423" s="3213"/>
      <c r="DJ1423" s="502"/>
      <c r="DK1423" s="503"/>
      <c r="DL1423" s="502"/>
      <c r="DM1423" s="502"/>
      <c r="DN1423" s="502"/>
      <c r="DO1423" s="502"/>
      <c r="DP1423" s="503"/>
      <c r="DQ1423" s="503"/>
      <c r="DR1423" s="296"/>
      <c r="DS1423" s="296"/>
      <c r="DT1423" s="296"/>
    </row>
    <row r="1424" spans="1:124" ht="12.75" customHeight="1" x14ac:dyDescent="0.25">
      <c r="A1424" s="487" t="s">
        <v>639</v>
      </c>
      <c r="B1424" s="487"/>
      <c r="C1424" s="480">
        <v>0</v>
      </c>
      <c r="D1424" s="488">
        <f t="shared" ref="D1424:AI1424" si="3258">D1375+D1406+D1411+D1421+D1422</f>
        <v>1664.3950000000002</v>
      </c>
      <c r="E1424" s="488">
        <f t="shared" si="3258"/>
        <v>1628.1350000000002</v>
      </c>
      <c r="F1424" s="488">
        <f t="shared" si="3258"/>
        <v>1643.4070000000002</v>
      </c>
      <c r="G1424" s="489">
        <f t="shared" si="3258"/>
        <v>1643.4070000000002</v>
      </c>
      <c r="H1424" s="488">
        <f t="shared" si="3258"/>
        <v>1950.675</v>
      </c>
      <c r="I1424" s="488">
        <f t="shared" si="3258"/>
        <v>1842.921</v>
      </c>
      <c r="J1424" s="488">
        <f t="shared" si="3258"/>
        <v>1701.4110000000001</v>
      </c>
      <c r="K1424" s="488">
        <f t="shared" si="3258"/>
        <v>4190.4039999999995</v>
      </c>
      <c r="L1424" s="489">
        <f t="shared" si="3258"/>
        <v>4190.4039999999995</v>
      </c>
      <c r="M1424" s="488">
        <f t="shared" si="3258"/>
        <v>4201.5119999999997</v>
      </c>
      <c r="N1424" s="488">
        <f t="shared" si="3258"/>
        <v>4273.8490000000002</v>
      </c>
      <c r="O1424" s="488">
        <f t="shared" si="3258"/>
        <v>4370.9240000000009</v>
      </c>
      <c r="P1424" s="488">
        <f t="shared" si="3258"/>
        <v>4514.0820000000003</v>
      </c>
      <c r="Q1424" s="489">
        <f t="shared" si="3258"/>
        <v>4514.0820000000003</v>
      </c>
      <c r="R1424" s="488">
        <f t="shared" si="3258"/>
        <v>4509.8190000000004</v>
      </c>
      <c r="S1424" s="488">
        <f t="shared" si="3258"/>
        <v>4732.942</v>
      </c>
      <c r="T1424" s="488">
        <f t="shared" si="3258"/>
        <v>4843.5519999999997</v>
      </c>
      <c r="U1424" s="488">
        <f t="shared" si="3258"/>
        <v>4967.0320000000002</v>
      </c>
      <c r="V1424" s="489">
        <f t="shared" si="3258"/>
        <v>4967.0320000000002</v>
      </c>
      <c r="W1424" s="488">
        <f t="shared" si="3258"/>
        <v>5005.5730000000003</v>
      </c>
      <c r="X1424" s="488">
        <f t="shared" si="3258"/>
        <v>5040.1740000000009</v>
      </c>
      <c r="Y1424" s="488">
        <f t="shared" si="3258"/>
        <v>5049.7939999999999</v>
      </c>
      <c r="Z1424" s="488">
        <f t="shared" si="3258"/>
        <v>5189.6759999999995</v>
      </c>
      <c r="AA1424" s="940">
        <f t="shared" si="3258"/>
        <v>5189.6759999999995</v>
      </c>
      <c r="AB1424" s="488">
        <f t="shared" si="3258"/>
        <v>5166.4149999999991</v>
      </c>
      <c r="AC1424" s="488">
        <f t="shared" si="3258"/>
        <v>5217.0039999999999</v>
      </c>
      <c r="AD1424" s="488">
        <f t="shared" si="3258"/>
        <v>5251.2389999999996</v>
      </c>
      <c r="AE1424" s="485">
        <f t="shared" si="3258"/>
        <v>4712.6160000000009</v>
      </c>
      <c r="AF1424" s="942">
        <f t="shared" si="3258"/>
        <v>4712.6160000000009</v>
      </c>
      <c r="AG1424" s="485">
        <f t="shared" si="3258"/>
        <v>4655.7480000000005</v>
      </c>
      <c r="AH1424" s="485">
        <f t="shared" si="3258"/>
        <v>4474.4860000000008</v>
      </c>
      <c r="AI1424" s="485">
        <f t="shared" si="3258"/>
        <v>4489.6790000000001</v>
      </c>
      <c r="AJ1424" s="485">
        <f t="shared" ref="AJ1424:CA1424" si="3259">AJ1375+AJ1406+AJ1411+AJ1421+AJ1422</f>
        <v>4462.8789999999999</v>
      </c>
      <c r="AK1424" s="942">
        <f t="shared" si="3259"/>
        <v>4462.8789999999999</v>
      </c>
      <c r="AL1424" s="485">
        <f t="shared" si="3259"/>
        <v>4434.7870000000003</v>
      </c>
      <c r="AM1424" s="485">
        <f t="shared" si="3259"/>
        <v>4547.4679999999998</v>
      </c>
      <c r="AN1424" s="485">
        <f t="shared" si="3259"/>
        <v>4484.2610000000004</v>
      </c>
      <c r="AO1424" s="485">
        <f t="shared" si="3259"/>
        <v>4606.3460000000005</v>
      </c>
      <c r="AP1424" s="942">
        <f t="shared" si="3259"/>
        <v>4606.3460000000005</v>
      </c>
      <c r="AQ1424" s="485">
        <f t="shared" si="3259"/>
        <v>4649.9629999999997</v>
      </c>
      <c r="AR1424" s="485">
        <f t="shared" si="3259"/>
        <v>4782.9889999999996</v>
      </c>
      <c r="AS1424" s="485">
        <f t="shared" si="3259"/>
        <v>4968.1959999999999</v>
      </c>
      <c r="AT1424" s="485">
        <f t="shared" si="3259"/>
        <v>5644.0570000000007</v>
      </c>
      <c r="AU1424" s="942">
        <f t="shared" si="3259"/>
        <v>5644.0570000000007</v>
      </c>
      <c r="AV1424" s="490">
        <f t="shared" si="3259"/>
        <v>5565.576</v>
      </c>
      <c r="AW1424" s="485">
        <f t="shared" si="3259"/>
        <v>5433.33</v>
      </c>
      <c r="AX1424" s="485">
        <f t="shared" si="3259"/>
        <v>5396.7380000000003</v>
      </c>
      <c r="AY1424" s="485">
        <f t="shared" si="3259"/>
        <v>2183.991</v>
      </c>
      <c r="AZ1424" s="942">
        <f t="shared" si="3259"/>
        <v>2183.991</v>
      </c>
      <c r="BA1424" s="490">
        <f t="shared" si="3259"/>
        <v>2253.4399999999996</v>
      </c>
      <c r="BB1424" s="485">
        <f t="shared" si="3259"/>
        <v>2253.8580000000002</v>
      </c>
      <c r="BC1424" s="485">
        <f t="shared" si="3259"/>
        <v>2463.0990000000002</v>
      </c>
      <c r="BD1424" s="854">
        <f t="shared" si="3259"/>
        <v>4664.8940000000002</v>
      </c>
      <c r="BE1424" s="942">
        <f t="shared" si="3259"/>
        <v>4664.8940000000002</v>
      </c>
      <c r="BF1424" s="485">
        <f t="shared" si="3259"/>
        <v>4724.4850000000006</v>
      </c>
      <c r="BG1424" s="485">
        <f t="shared" si="3259"/>
        <v>4744.8759999999993</v>
      </c>
      <c r="BH1424" s="485">
        <f t="shared" si="3259"/>
        <v>5142.0059999999994</v>
      </c>
      <c r="BI1424" s="854">
        <f>BI1375+BI1406+BI1411+BI1421+BI1422</f>
        <v>5138.7520000000013</v>
      </c>
      <c r="BJ1424" s="942">
        <f>BJ1375+BJ1406+BJ1411+BJ1421+BJ1422</f>
        <v>5138.7520000000013</v>
      </c>
      <c r="BK1424" s="485">
        <f t="shared" si="3259"/>
        <v>5128.6880000000001</v>
      </c>
      <c r="BL1424" s="485">
        <f t="shared" si="3259"/>
        <v>5142.7529999999997</v>
      </c>
      <c r="BM1424" s="485">
        <f t="shared" si="3259"/>
        <v>5251.6790000000001</v>
      </c>
      <c r="BN1424" s="854">
        <f t="shared" si="3259"/>
        <v>4974.4840000000022</v>
      </c>
      <c r="BO1424" s="942">
        <f t="shared" si="3259"/>
        <v>4974.4840000000022</v>
      </c>
      <c r="BP1424" s="485">
        <f t="shared" ref="BP1424:BX1424" si="3260">BP1375+BP1406+BP1411+BP1421+BP1422</f>
        <v>4947.0400000000009</v>
      </c>
      <c r="BQ1424" s="485">
        <f t="shared" si="3260"/>
        <v>4984.0190000000002</v>
      </c>
      <c r="BR1424" s="485">
        <f t="shared" si="3260"/>
        <v>5569.4009999999998</v>
      </c>
      <c r="BS1424" s="485">
        <f t="shared" si="3260"/>
        <v>5234.8119999999999</v>
      </c>
      <c r="BT1424" s="942">
        <f t="shared" si="3260"/>
        <v>5234.8119999999999</v>
      </c>
      <c r="BU1424" s="485">
        <f t="shared" si="3260"/>
        <v>5260.2101947605997</v>
      </c>
      <c r="BV1424" s="485">
        <f t="shared" si="3260"/>
        <v>5291.9752076438663</v>
      </c>
      <c r="BW1424" s="485">
        <f t="shared" si="3260"/>
        <v>9756.4489818197599</v>
      </c>
      <c r="BX1424" s="485">
        <f t="shared" si="3260"/>
        <v>9785.0218105316144</v>
      </c>
      <c r="BY1424" s="942">
        <f>BY1375+BY1406+BY1411+BY1421+BY1422</f>
        <v>9785.0218105316144</v>
      </c>
      <c r="BZ1424" s="942">
        <f t="shared" si="3259"/>
        <v>9761.6754461698292</v>
      </c>
      <c r="CA1424" s="942">
        <f t="shared" si="3259"/>
        <v>9974.2185535449462</v>
      </c>
      <c r="CB1424" s="942">
        <f>CB1375+CB1406+CB1411+CB1421+CB1422</f>
        <v>2982.6984187759117</v>
      </c>
      <c r="CC1424" s="942">
        <f>CC1375+CC1406+CC1411+CC1421+CC1422</f>
        <v>3012.1565609904819</v>
      </c>
      <c r="CD1424" s="942">
        <f>CD1375+CD1406+CD1411+CD1421+CD1422</f>
        <v>3046.4024910260759</v>
      </c>
      <c r="CE1424" s="942">
        <f>CE1375+CE1406+CE1411+CE1421+CE1422</f>
        <v>3094.6576890412089</v>
      </c>
      <c r="CF1424" s="942">
        <f>CF1375+CF1406+CF1411+CF1421+CF1422</f>
        <v>3155.949290072509</v>
      </c>
      <c r="CG1424" s="502"/>
      <c r="CH1424" s="502"/>
      <c r="CI1424" s="502"/>
      <c r="CJ1424" s="502"/>
      <c r="CK1424" s="502"/>
      <c r="CL1424" s="2231" t="str">
        <f>A1424</f>
        <v>Total Liabilities and Shareholder's Equity</v>
      </c>
      <c r="CM1424" s="941">
        <f>G1424</f>
        <v>1643.4070000000002</v>
      </c>
      <c r="CN1424" s="941">
        <f>L1424</f>
        <v>4190.4039999999995</v>
      </c>
      <c r="CO1424" s="941">
        <f>Q1424</f>
        <v>4514.0820000000003</v>
      </c>
      <c r="CP1424" s="941">
        <f>V1424</f>
        <v>4967.0320000000002</v>
      </c>
      <c r="CQ1424" s="941">
        <f>AA1424</f>
        <v>5189.6759999999995</v>
      </c>
      <c r="CR1424" s="941">
        <f>AF1424</f>
        <v>4712.6160000000009</v>
      </c>
      <c r="CS1424" s="941">
        <f>AK1424</f>
        <v>4462.8789999999999</v>
      </c>
      <c r="CT1424" s="941">
        <f>AP1424</f>
        <v>4606.3460000000005</v>
      </c>
      <c r="CU1424" s="941">
        <f>AU1424</f>
        <v>5644.0570000000007</v>
      </c>
      <c r="CV1424" s="941">
        <f>AZ1424</f>
        <v>2183.991</v>
      </c>
      <c r="CW1424" s="941">
        <f>BE1424</f>
        <v>4664.8940000000002</v>
      </c>
      <c r="CX1424" s="941">
        <f>BJ1424</f>
        <v>5138.7520000000013</v>
      </c>
      <c r="CY1424" s="941">
        <f>BO1424</f>
        <v>4974.4840000000022</v>
      </c>
      <c r="CZ1424" s="941">
        <f>BT1424</f>
        <v>5234.8119999999999</v>
      </c>
      <c r="DA1424" s="941">
        <f>BY1424</f>
        <v>9785.0218105316144</v>
      </c>
      <c r="DB1424" s="941">
        <f>BZ1424</f>
        <v>9761.6754461698292</v>
      </c>
      <c r="DC1424" s="954">
        <f>CA1424</f>
        <v>9974.2185535449462</v>
      </c>
      <c r="DD1424" s="502"/>
      <c r="DE1424" s="502"/>
      <c r="DF1424" s="502"/>
      <c r="DG1424" s="503"/>
      <c r="DH1424" s="485"/>
      <c r="DI1424" s="3213"/>
      <c r="DJ1424" s="502"/>
      <c r="DK1424" s="503"/>
      <c r="DL1424" s="502"/>
      <c r="DM1424" s="502"/>
      <c r="DN1424" s="502"/>
      <c r="DO1424" s="502"/>
      <c r="DP1424" s="503"/>
      <c r="DQ1424" s="503"/>
      <c r="DR1424" s="719"/>
      <c r="DS1424" s="719"/>
      <c r="DT1424" s="719"/>
    </row>
    <row r="1425" spans="1:124" ht="12.75" customHeight="1" x14ac:dyDescent="0.25">
      <c r="A1425" s="479"/>
      <c r="B1425" s="479"/>
      <c r="C1425" s="480"/>
      <c r="D1425" s="480"/>
      <c r="E1425" s="480"/>
      <c r="F1425" s="480"/>
      <c r="G1425" s="482"/>
      <c r="H1425" s="480"/>
      <c r="I1425" s="480"/>
      <c r="J1425" s="482"/>
      <c r="K1425" s="480"/>
      <c r="L1425" s="482"/>
      <c r="M1425" s="480"/>
      <c r="N1425" s="480"/>
      <c r="O1425" s="480"/>
      <c r="P1425" s="480"/>
      <c r="Q1425" s="482"/>
      <c r="R1425" s="482"/>
      <c r="S1425" s="480"/>
      <c r="T1425" s="480"/>
      <c r="U1425" s="480"/>
      <c r="V1425" s="482"/>
      <c r="W1425" s="480"/>
      <c r="X1425" s="480"/>
      <c r="Y1425" s="480"/>
      <c r="Z1425" s="480"/>
      <c r="AA1425" s="482"/>
      <c r="AB1425" s="480"/>
      <c r="AC1425" s="480"/>
      <c r="AD1425" s="480"/>
      <c r="AE1425" s="482"/>
      <c r="AF1425" s="430"/>
      <c r="AG1425" s="430"/>
      <c r="AH1425" s="430"/>
      <c r="AI1425" s="430"/>
      <c r="AJ1425" s="430"/>
      <c r="AK1425" s="430"/>
      <c r="AL1425" s="430"/>
      <c r="AM1425" s="430"/>
      <c r="AN1425" s="430"/>
      <c r="AO1425" s="430"/>
      <c r="AP1425" s="430"/>
      <c r="AQ1425" s="430"/>
      <c r="AR1425" s="430"/>
      <c r="AS1425" s="430"/>
      <c r="AT1425" s="430"/>
      <c r="AU1425" s="430"/>
      <c r="AV1425" s="430"/>
      <c r="AW1425" s="430"/>
      <c r="AX1425" s="430"/>
      <c r="AY1425" s="430"/>
      <c r="AZ1425" s="430"/>
      <c r="BA1425" s="430"/>
      <c r="BB1425" s="430"/>
      <c r="BC1425" s="430"/>
      <c r="BD1425" s="430"/>
      <c r="BE1425" s="430"/>
      <c r="BF1425" s="430"/>
      <c r="BG1425" s="430"/>
      <c r="BH1425" s="430"/>
      <c r="BI1425" s="430"/>
      <c r="BJ1425" s="430"/>
      <c r="BK1425" s="430"/>
      <c r="BL1425" s="430"/>
      <c r="BM1425" s="430"/>
      <c r="BN1425" s="430"/>
      <c r="BO1425" s="430"/>
      <c r="BP1425" s="430"/>
      <c r="BQ1425" s="430"/>
      <c r="BR1425" s="430"/>
      <c r="BS1425" s="430"/>
      <c r="BT1425" s="2840"/>
      <c r="BU1425" s="2840"/>
      <c r="BV1425" s="2840"/>
      <c r="BW1425" s="2840"/>
      <c r="BX1425" s="2840"/>
      <c r="BY1425" s="2840"/>
      <c r="BZ1425" s="430"/>
      <c r="CA1425" s="430"/>
      <c r="CB1425" s="430"/>
      <c r="CC1425" s="430"/>
      <c r="CD1425" s="430"/>
      <c r="CE1425" s="430"/>
      <c r="CF1425" s="430"/>
      <c r="CG1425" s="331"/>
      <c r="CH1425" s="331"/>
      <c r="CI1425" s="331"/>
      <c r="CJ1425" s="331"/>
      <c r="CK1425" s="331"/>
      <c r="CL1425" s="603"/>
      <c r="CM1425" s="430"/>
      <c r="CN1425" s="430"/>
      <c r="CO1425" s="430"/>
      <c r="CP1425" s="430"/>
      <c r="CQ1425" s="430"/>
      <c r="CR1425" s="430"/>
      <c r="CS1425" s="430"/>
      <c r="CT1425" s="430"/>
      <c r="CU1425" s="430"/>
      <c r="CV1425" s="430"/>
      <c r="CW1425" s="430"/>
      <c r="CX1425" s="430"/>
      <c r="CY1425" s="430"/>
      <c r="CZ1425" s="430"/>
      <c r="DA1425" s="430"/>
      <c r="DB1425" s="430"/>
      <c r="DC1425" s="430"/>
      <c r="DD1425" s="331"/>
      <c r="DE1425" s="331"/>
      <c r="DF1425" s="502"/>
      <c r="DG1425" s="503"/>
      <c r="DH1425" s="2840"/>
      <c r="DI1425" s="3213"/>
      <c r="DJ1425" s="502"/>
      <c r="DK1425" s="503"/>
      <c r="DL1425" s="502"/>
      <c r="DM1425" s="502"/>
      <c r="DN1425" s="502"/>
      <c r="DO1425" s="502"/>
      <c r="DP1425" s="503"/>
      <c r="DQ1425" s="503"/>
      <c r="DR1425" s="296"/>
      <c r="DS1425" s="296"/>
      <c r="DT1425" s="296"/>
    </row>
    <row r="1426" spans="1:124" ht="12" customHeight="1" x14ac:dyDescent="0.25">
      <c r="A1426" s="1587" t="s">
        <v>619</v>
      </c>
      <c r="B1426" s="1587"/>
      <c r="C1426" s="1965">
        <v>0</v>
      </c>
      <c r="D1426" s="1966">
        <f t="shared" ref="D1426:AI1426" si="3261">ABS(D1366-D1424)</f>
        <v>8.0000000002655725E-3</v>
      </c>
      <c r="E1426" s="1966">
        <f t="shared" si="3261"/>
        <v>4.1999999999916326E-2</v>
      </c>
      <c r="F1426" s="1966">
        <f t="shared" si="3261"/>
        <v>3.8000000000238288E-2</v>
      </c>
      <c r="G1426" s="1966">
        <f t="shared" si="3261"/>
        <v>3.8000000000238288E-2</v>
      </c>
      <c r="H1426" s="1966">
        <f t="shared" si="3261"/>
        <v>2.2737367544323206E-13</v>
      </c>
      <c r="I1426" s="1966">
        <f t="shared" si="3261"/>
        <v>2.2737367544323206E-13</v>
      </c>
      <c r="J1426" s="1966">
        <f t="shared" si="3261"/>
        <v>0</v>
      </c>
      <c r="K1426" s="1966">
        <f t="shared" si="3261"/>
        <v>9.0949470177292824E-13</v>
      </c>
      <c r="L1426" s="1966">
        <f t="shared" si="3261"/>
        <v>9.0949470177292824E-13</v>
      </c>
      <c r="M1426" s="1966">
        <f t="shared" si="3261"/>
        <v>9.0949470177292824E-13</v>
      </c>
      <c r="N1426" s="1966">
        <f t="shared" si="3261"/>
        <v>0</v>
      </c>
      <c r="O1426" s="1966">
        <f t="shared" si="3261"/>
        <v>9.0949470177292824E-13</v>
      </c>
      <c r="P1426" s="1966">
        <f t="shared" si="3261"/>
        <v>9.0949470177292824E-13</v>
      </c>
      <c r="Q1426" s="1966">
        <f t="shared" si="3261"/>
        <v>9.0949470177292824E-13</v>
      </c>
      <c r="R1426" s="1966">
        <f t="shared" si="3261"/>
        <v>9.0949470177292824E-13</v>
      </c>
      <c r="S1426" s="1966">
        <f t="shared" si="3261"/>
        <v>0</v>
      </c>
      <c r="T1426" s="1966">
        <f t="shared" si="3261"/>
        <v>0</v>
      </c>
      <c r="U1426" s="1966">
        <f t="shared" si="3261"/>
        <v>9.0949470177292824E-13</v>
      </c>
      <c r="V1426" s="1966">
        <f t="shared" si="3261"/>
        <v>9.0949470177292824E-13</v>
      </c>
      <c r="W1426" s="1966">
        <f t="shared" si="3261"/>
        <v>0</v>
      </c>
      <c r="X1426" s="1966">
        <f t="shared" si="3261"/>
        <v>9.0949470177292824E-13</v>
      </c>
      <c r="Y1426" s="1966">
        <f t="shared" si="3261"/>
        <v>0</v>
      </c>
      <c r="Z1426" s="1966">
        <f t="shared" si="3261"/>
        <v>9.0949470177292824E-13</v>
      </c>
      <c r="AA1426" s="1966">
        <f t="shared" si="3261"/>
        <v>9.0949470177292824E-13</v>
      </c>
      <c r="AB1426" s="1966">
        <f t="shared" si="3261"/>
        <v>9.0949470177292824E-13</v>
      </c>
      <c r="AC1426" s="1966">
        <f t="shared" si="3261"/>
        <v>0</v>
      </c>
      <c r="AD1426" s="1966">
        <f t="shared" si="3261"/>
        <v>0</v>
      </c>
      <c r="AE1426" s="1966">
        <f t="shared" si="3261"/>
        <v>9.0949470177292824E-13</v>
      </c>
      <c r="AF1426" s="1966">
        <f t="shared" si="3261"/>
        <v>9.0949470177292824E-13</v>
      </c>
      <c r="AG1426" s="1966">
        <f t="shared" si="3261"/>
        <v>9.0949470177292824E-13</v>
      </c>
      <c r="AH1426" s="1966">
        <f t="shared" si="3261"/>
        <v>9.0949470177292824E-13</v>
      </c>
      <c r="AI1426" s="1966">
        <f t="shared" si="3261"/>
        <v>0</v>
      </c>
      <c r="AJ1426" s="1966">
        <f t="shared" ref="AJ1426:AY1426" si="3262">ABS(AJ1366-AJ1424)</f>
        <v>0</v>
      </c>
      <c r="AK1426" s="1966">
        <f t="shared" si="3262"/>
        <v>0</v>
      </c>
      <c r="AL1426" s="1967">
        <f t="shared" si="3262"/>
        <v>0</v>
      </c>
      <c r="AM1426" s="1967">
        <f t="shared" si="3262"/>
        <v>0</v>
      </c>
      <c r="AN1426" s="1967">
        <f t="shared" si="3262"/>
        <v>0</v>
      </c>
      <c r="AO1426" s="1967">
        <f t="shared" si="3262"/>
        <v>9.0949470177292824E-13</v>
      </c>
      <c r="AP1426" s="1967">
        <f t="shared" si="3262"/>
        <v>9.0949470177292824E-13</v>
      </c>
      <c r="AQ1426" s="1967">
        <f t="shared" si="3262"/>
        <v>0</v>
      </c>
      <c r="AR1426" s="1967">
        <f t="shared" si="3262"/>
        <v>0</v>
      </c>
      <c r="AS1426" s="1967">
        <f t="shared" si="3262"/>
        <v>0</v>
      </c>
      <c r="AT1426" s="1967">
        <f t="shared" si="3262"/>
        <v>9.0949470177292824E-13</v>
      </c>
      <c r="AU1426" s="1967">
        <f t="shared" si="3262"/>
        <v>9.0949470177292824E-13</v>
      </c>
      <c r="AV1426" s="1966">
        <f t="shared" si="3262"/>
        <v>0</v>
      </c>
      <c r="AW1426" s="1966">
        <f t="shared" si="3262"/>
        <v>3.9999999999054126E-2</v>
      </c>
      <c r="AX1426" s="1966">
        <f t="shared" si="3262"/>
        <v>1.9999999999527063E-2</v>
      </c>
      <c r="AY1426" s="1967">
        <f t="shared" si="3262"/>
        <v>0</v>
      </c>
      <c r="AZ1426" s="3282">
        <f t="shared" ref="AZ1426:BK1426" si="3263">AZ1366-AZ1424</f>
        <v>0</v>
      </c>
      <c r="BA1426" s="3281">
        <f t="shared" si="3263"/>
        <v>0</v>
      </c>
      <c r="BB1426" s="3281">
        <f t="shared" si="3263"/>
        <v>0</v>
      </c>
      <c r="BC1426" s="3281">
        <f t="shared" si="3263"/>
        <v>0</v>
      </c>
      <c r="BD1426" s="3281">
        <f t="shared" si="3263"/>
        <v>0</v>
      </c>
      <c r="BE1426" s="3281">
        <f t="shared" si="3263"/>
        <v>0</v>
      </c>
      <c r="BF1426" s="3281">
        <f t="shared" si="3263"/>
        <v>0</v>
      </c>
      <c r="BG1426" s="3281">
        <f t="shared" si="3263"/>
        <v>0</v>
      </c>
      <c r="BH1426" s="3281">
        <f t="shared" si="3263"/>
        <v>0</v>
      </c>
      <c r="BI1426" s="3281">
        <f t="shared" si="3263"/>
        <v>0</v>
      </c>
      <c r="BJ1426" s="3281">
        <f t="shared" si="3263"/>
        <v>0</v>
      </c>
      <c r="BK1426" s="3281">
        <f t="shared" si="3263"/>
        <v>0</v>
      </c>
      <c r="BL1426" s="3281">
        <f>BL1366-BL1424</f>
        <v>0</v>
      </c>
      <c r="BM1426" s="3281">
        <f t="shared" ref="BM1426:CA1426" si="3264">BM1366-BM1424</f>
        <v>0</v>
      </c>
      <c r="BN1426" s="3281">
        <f t="shared" si="3264"/>
        <v>0</v>
      </c>
      <c r="BO1426" s="3281">
        <f t="shared" si="3264"/>
        <v>0</v>
      </c>
      <c r="BP1426" s="3281">
        <f t="shared" si="3264"/>
        <v>0</v>
      </c>
      <c r="BQ1426" s="3281">
        <f t="shared" si="3264"/>
        <v>0</v>
      </c>
      <c r="BR1426" s="3281">
        <f t="shared" si="3264"/>
        <v>0</v>
      </c>
      <c r="BS1426" s="3281">
        <f t="shared" si="3264"/>
        <v>0</v>
      </c>
      <c r="BT1426" s="3281">
        <f t="shared" si="3264"/>
        <v>0</v>
      </c>
      <c r="BU1426" s="3281">
        <f t="shared" si="3264"/>
        <v>0</v>
      </c>
      <c r="BV1426" s="3281">
        <f t="shared" si="3264"/>
        <v>0</v>
      </c>
      <c r="BW1426" s="3281">
        <f t="shared" si="3264"/>
        <v>0</v>
      </c>
      <c r="BX1426" s="3281">
        <f t="shared" si="3264"/>
        <v>0</v>
      </c>
      <c r="BY1426" s="3281">
        <f t="shared" si="3264"/>
        <v>0</v>
      </c>
      <c r="BZ1426" s="3281">
        <f t="shared" si="3264"/>
        <v>0</v>
      </c>
      <c r="CA1426" s="3281">
        <f t="shared" si="3264"/>
        <v>0</v>
      </c>
      <c r="CB1426" s="1966">
        <f>ABS(CB1366-CB1424)</f>
        <v>35.348000000001321</v>
      </c>
      <c r="CC1426" s="1966">
        <f>ABS(CC1366-CC1424)</f>
        <v>35.347999999999956</v>
      </c>
      <c r="CD1426" s="1966">
        <f>ABS(CD1366-CD1424)</f>
        <v>35.348000000000411</v>
      </c>
      <c r="CE1426" s="1966">
        <f>ABS(CE1366-CE1424)</f>
        <v>35.347999999999956</v>
      </c>
      <c r="CF1426" s="1966">
        <f>ABS(CF1366-CF1424)</f>
        <v>35.347999999999956</v>
      </c>
      <c r="CG1426" s="977"/>
      <c r="CH1426" s="977"/>
      <c r="CI1426" s="977"/>
      <c r="CJ1426" s="977"/>
      <c r="CK1426" s="977"/>
      <c r="CL1426" s="2233" t="str">
        <f>A1426</f>
        <v>Balance Check</v>
      </c>
      <c r="CM1426" s="2234">
        <f>G1426</f>
        <v>3.8000000000238288E-2</v>
      </c>
      <c r="CN1426" s="2234">
        <f>L1426</f>
        <v>9.0949470177292824E-13</v>
      </c>
      <c r="CO1426" s="2234">
        <f>Q1426</f>
        <v>9.0949470177292824E-13</v>
      </c>
      <c r="CP1426" s="2234">
        <f>V1426</f>
        <v>9.0949470177292824E-13</v>
      </c>
      <c r="CQ1426" s="2234">
        <f>AA1426</f>
        <v>9.0949470177292824E-13</v>
      </c>
      <c r="CR1426" s="2234">
        <f>AF1426</f>
        <v>9.0949470177292824E-13</v>
      </c>
      <c r="CS1426" s="2234">
        <f>AK1426</f>
        <v>0</v>
      </c>
      <c r="CT1426" s="2234">
        <f>AP1426</f>
        <v>9.0949470177292824E-13</v>
      </c>
      <c r="CU1426" s="2234">
        <f>AU1426</f>
        <v>9.0949470177292824E-13</v>
      </c>
      <c r="CV1426" s="2234">
        <f>AZ1426</f>
        <v>0</v>
      </c>
      <c r="CW1426" s="2234">
        <f>BE1426</f>
        <v>0</v>
      </c>
      <c r="CX1426" s="2234">
        <f>BJ1426</f>
        <v>0</v>
      </c>
      <c r="CY1426" s="2234">
        <f>BO1426</f>
        <v>0</v>
      </c>
      <c r="CZ1426" s="2234">
        <f>BT1426</f>
        <v>0</v>
      </c>
      <c r="DA1426" s="2234">
        <f>BY1426</f>
        <v>0</v>
      </c>
      <c r="DB1426" s="2234">
        <f>BZ1426</f>
        <v>0</v>
      </c>
      <c r="DC1426" s="2234">
        <f>CA1426</f>
        <v>0</v>
      </c>
      <c r="DD1426" s="977"/>
      <c r="DE1426" s="977"/>
      <c r="DF1426" s="978"/>
      <c r="DG1426" s="978"/>
      <c r="DH1426" s="1978"/>
      <c r="DI1426" s="3210"/>
      <c r="DJ1426" s="978"/>
      <c r="DK1426" s="978"/>
      <c r="DL1426" s="978"/>
      <c r="DM1426" s="978"/>
      <c r="DN1426" s="978"/>
      <c r="DO1426" s="978"/>
      <c r="DP1426" s="978"/>
      <c r="DQ1426" s="978"/>
      <c r="DR1426" s="979"/>
      <c r="DS1426" s="979"/>
      <c r="DT1426" s="979"/>
    </row>
    <row r="1427" spans="1:124" ht="12" customHeight="1" x14ac:dyDescent="0.25">
      <c r="A1427" s="281"/>
      <c r="B1427" s="479"/>
      <c r="C1427" s="430"/>
      <c r="D1427" s="935"/>
      <c r="E1427" s="935"/>
      <c r="F1427" s="935"/>
      <c r="G1427" s="935"/>
      <c r="H1427" s="935"/>
      <c r="I1427" s="935"/>
      <c r="J1427" s="935"/>
      <c r="K1427" s="935"/>
      <c r="L1427" s="935"/>
      <c r="M1427" s="935"/>
      <c r="N1427" s="935"/>
      <c r="O1427" s="935"/>
      <c r="P1427" s="935"/>
      <c r="Q1427" s="935"/>
      <c r="R1427" s="935"/>
      <c r="S1427" s="935"/>
      <c r="T1427" s="935"/>
      <c r="U1427" s="935"/>
      <c r="V1427" s="935"/>
      <c r="W1427" s="935"/>
      <c r="X1427" s="935"/>
      <c r="Y1427" s="935"/>
      <c r="Z1427" s="935"/>
      <c r="AA1427" s="935"/>
      <c r="AB1427" s="935"/>
      <c r="AC1427" s="935"/>
      <c r="AD1427" s="935"/>
      <c r="AE1427" s="935"/>
      <c r="AF1427" s="935"/>
      <c r="AG1427" s="935"/>
      <c r="AH1427" s="935"/>
      <c r="AI1427" s="935"/>
      <c r="AJ1427" s="935"/>
      <c r="AK1427" s="935"/>
      <c r="AL1427" s="935"/>
      <c r="AM1427" s="935"/>
      <c r="AN1427" s="935"/>
      <c r="AO1427" s="935"/>
      <c r="AP1427" s="935"/>
      <c r="AQ1427" s="935"/>
      <c r="AR1427" s="935"/>
      <c r="AS1427" s="935"/>
      <c r="AT1427" s="935"/>
      <c r="AU1427" s="935"/>
      <c r="AV1427" s="935"/>
      <c r="AW1427" s="935"/>
      <c r="AX1427" s="935"/>
      <c r="AY1427" s="935"/>
      <c r="AZ1427" s="935"/>
      <c r="BA1427" s="935"/>
      <c r="BB1427" s="935"/>
      <c r="BC1427" s="935"/>
      <c r="BD1427" s="935"/>
      <c r="BE1427" s="935"/>
      <c r="BF1427" s="935"/>
      <c r="BG1427" s="935"/>
      <c r="BH1427" s="935"/>
      <c r="BI1427" s="935"/>
      <c r="BJ1427" s="935"/>
      <c r="BK1427" s="935"/>
      <c r="BL1427" s="935"/>
      <c r="BM1427" s="935"/>
      <c r="BN1427" s="935"/>
      <c r="BO1427" s="935"/>
      <c r="BP1427" s="935"/>
      <c r="BQ1427" s="935"/>
      <c r="BR1427" s="935"/>
      <c r="BS1427" s="935"/>
      <c r="BT1427" s="3253"/>
      <c r="BU1427" s="3253"/>
      <c r="BV1427" s="3253"/>
      <c r="BW1427" s="3253"/>
      <c r="BX1427" s="3253"/>
      <c r="BY1427" s="3253"/>
      <c r="BZ1427" s="935"/>
      <c r="CA1427" s="935"/>
      <c r="CB1427" s="935"/>
      <c r="CC1427" s="935"/>
      <c r="CD1427" s="935"/>
      <c r="CE1427" s="935"/>
      <c r="CF1427" s="935"/>
      <c r="CG1427" s="331"/>
      <c r="CH1427" s="331"/>
      <c r="CI1427" s="331"/>
      <c r="CJ1427" s="331"/>
      <c r="CK1427" s="331"/>
      <c r="CL1427" s="428"/>
      <c r="CM1427" s="935"/>
      <c r="CN1427" s="935"/>
      <c r="CO1427" s="935"/>
      <c r="CP1427" s="935"/>
      <c r="CQ1427" s="935"/>
      <c r="CR1427" s="935"/>
      <c r="CS1427" s="935"/>
      <c r="CT1427" s="935"/>
      <c r="CU1427" s="935"/>
      <c r="CV1427" s="935"/>
      <c r="CW1427" s="935"/>
      <c r="CX1427" s="935"/>
      <c r="CY1427" s="935"/>
      <c r="CZ1427" s="935"/>
      <c r="DA1427" s="935"/>
      <c r="DB1427" s="935"/>
      <c r="DC1427" s="935"/>
      <c r="DD1427" s="331"/>
      <c r="DE1427" s="331"/>
      <c r="DF1427" s="502"/>
      <c r="DG1427" s="503"/>
      <c r="DH1427" s="3253"/>
      <c r="DI1427" s="3213"/>
      <c r="DJ1427" s="502"/>
      <c r="DK1427" s="503"/>
      <c r="DL1427" s="502"/>
      <c r="DM1427" s="502"/>
      <c r="DN1427" s="502"/>
      <c r="DO1427" s="502"/>
      <c r="DP1427" s="503"/>
      <c r="DQ1427" s="503"/>
      <c r="DR1427" s="296"/>
      <c r="DS1427" s="296"/>
      <c r="DT1427" s="296"/>
    </row>
    <row r="1428" spans="1:124" ht="12" customHeight="1" x14ac:dyDescent="0.25">
      <c r="A1428" s="281"/>
      <c r="B1428" s="479"/>
      <c r="C1428" s="430"/>
      <c r="D1428" s="430"/>
      <c r="E1428" s="430"/>
      <c r="F1428" s="430"/>
      <c r="G1428" s="430"/>
      <c r="H1428" s="430"/>
      <c r="I1428" s="430"/>
      <c r="J1428" s="430"/>
      <c r="K1428" s="430"/>
      <c r="L1428" s="430"/>
      <c r="M1428" s="430"/>
      <c r="N1428" s="430"/>
      <c r="O1428" s="430"/>
      <c r="P1428" s="430"/>
      <c r="Q1428" s="430"/>
      <c r="R1428" s="430"/>
      <c r="S1428" s="430"/>
      <c r="T1428" s="430"/>
      <c r="U1428" s="430"/>
      <c r="V1428" s="430"/>
      <c r="W1428" s="430"/>
      <c r="X1428" s="430"/>
      <c r="Y1428" s="430"/>
      <c r="Z1428" s="430"/>
      <c r="AA1428" s="430"/>
      <c r="AB1428" s="430"/>
      <c r="AC1428" s="430"/>
      <c r="AD1428" s="430"/>
      <c r="AE1428" s="430"/>
      <c r="AF1428" s="430"/>
      <c r="AG1428" s="430"/>
      <c r="AH1428" s="430"/>
      <c r="AI1428" s="430"/>
      <c r="AJ1428" s="430"/>
      <c r="AK1428" s="430"/>
      <c r="AL1428" s="430"/>
      <c r="AM1428" s="430"/>
      <c r="AN1428" s="430"/>
      <c r="AO1428" s="430"/>
      <c r="AP1428" s="430"/>
      <c r="AQ1428" s="430"/>
      <c r="AR1428" s="430"/>
      <c r="AS1428" s="430"/>
      <c r="AT1428" s="430"/>
      <c r="AU1428" s="430"/>
      <c r="AV1428" s="430"/>
      <c r="AW1428" s="430"/>
      <c r="AX1428" s="430"/>
      <c r="AY1428" s="430"/>
      <c r="AZ1428" s="430"/>
      <c r="BA1428" s="430"/>
      <c r="BB1428" s="430"/>
      <c r="BC1428" s="430"/>
      <c r="BD1428" s="430"/>
      <c r="BE1428" s="430"/>
      <c r="BF1428" s="430"/>
      <c r="BG1428" s="430"/>
      <c r="BH1428" s="430"/>
      <c r="BI1428" s="430"/>
      <c r="BJ1428" s="430"/>
      <c r="BK1428" s="430"/>
      <c r="BL1428" s="430"/>
      <c r="BM1428" s="430"/>
      <c r="BN1428" s="430"/>
      <c r="BO1428" s="430"/>
      <c r="BP1428" s="430"/>
      <c r="BQ1428" s="430"/>
      <c r="BR1428" s="430"/>
      <c r="BS1428" s="430"/>
      <c r="BT1428" s="2840"/>
      <c r="BU1428" s="2840"/>
      <c r="BV1428" s="2840"/>
      <c r="BW1428" s="2840"/>
      <c r="BX1428" s="2840"/>
      <c r="BY1428" s="2840"/>
      <c r="BZ1428" s="430"/>
      <c r="CA1428" s="430"/>
      <c r="CB1428" s="430"/>
      <c r="CC1428" s="430"/>
      <c r="CD1428" s="430"/>
      <c r="CE1428" s="430"/>
      <c r="CF1428" s="430"/>
      <c r="CG1428" s="331"/>
      <c r="CH1428" s="331"/>
      <c r="CI1428" s="331"/>
      <c r="CJ1428" s="331"/>
      <c r="CK1428" s="331"/>
      <c r="CL1428" s="428"/>
      <c r="CM1428" s="430"/>
      <c r="CN1428" s="430"/>
      <c r="CO1428" s="430"/>
      <c r="CP1428" s="430"/>
      <c r="CQ1428" s="430"/>
      <c r="CR1428" s="430"/>
      <c r="CS1428" s="430"/>
      <c r="CT1428" s="430"/>
      <c r="CU1428" s="430"/>
      <c r="CV1428" s="430"/>
      <c r="CW1428" s="430"/>
      <c r="CX1428" s="430"/>
      <c r="CY1428" s="430"/>
      <c r="CZ1428" s="430"/>
      <c r="DA1428" s="430"/>
      <c r="DB1428" s="430"/>
      <c r="DC1428" s="430"/>
      <c r="DD1428" s="331"/>
      <c r="DE1428" s="331"/>
      <c r="DF1428" s="502"/>
      <c r="DG1428" s="503"/>
      <c r="DH1428" s="2840"/>
      <c r="DI1428" s="3213"/>
      <c r="DJ1428" s="502"/>
      <c r="DK1428" s="503"/>
      <c r="DL1428" s="502"/>
      <c r="DM1428" s="502"/>
      <c r="DN1428" s="502"/>
      <c r="DO1428" s="502"/>
      <c r="DP1428" s="503"/>
      <c r="DQ1428" s="503"/>
      <c r="DR1428" s="296"/>
      <c r="DS1428" s="296"/>
      <c r="DT1428" s="296"/>
    </row>
    <row r="1429" spans="1:124" ht="12" customHeight="1" x14ac:dyDescent="0.25">
      <c r="A1429" s="432" t="s">
        <v>1535</v>
      </c>
      <c r="B1429" s="522"/>
      <c r="C1429" s="433" t="str">
        <f>C$6</f>
        <v>1Q04</v>
      </c>
      <c r="D1429" s="433" t="str">
        <f t="shared" ref="D1429:CB1429" si="3265">D$6</f>
        <v>2Q04</v>
      </c>
      <c r="E1429" s="433" t="str">
        <f t="shared" si="3265"/>
        <v>3Q04</v>
      </c>
      <c r="F1429" s="433" t="str">
        <f t="shared" si="3265"/>
        <v>4Q04</v>
      </c>
      <c r="G1429" s="434">
        <f t="shared" si="3265"/>
        <v>2004</v>
      </c>
      <c r="H1429" s="433" t="str">
        <f t="shared" si="3265"/>
        <v>1Q05</v>
      </c>
      <c r="I1429" s="433" t="str">
        <f t="shared" si="3265"/>
        <v>2Q05</v>
      </c>
      <c r="J1429" s="433" t="str">
        <f t="shared" si="3265"/>
        <v>3Q05</v>
      </c>
      <c r="K1429" s="433" t="str">
        <f t="shared" si="3265"/>
        <v>4Q05</v>
      </c>
      <c r="L1429" s="434">
        <f t="shared" si="3265"/>
        <v>2005</v>
      </c>
      <c r="M1429" s="433" t="str">
        <f t="shared" si="3265"/>
        <v>1Q06</v>
      </c>
      <c r="N1429" s="433" t="str">
        <f t="shared" si="3265"/>
        <v>2Q06</v>
      </c>
      <c r="O1429" s="433" t="str">
        <f t="shared" si="3265"/>
        <v>3Q06</v>
      </c>
      <c r="P1429" s="433" t="str">
        <f t="shared" si="3265"/>
        <v>4Q06</v>
      </c>
      <c r="Q1429" s="434">
        <f t="shared" si="3265"/>
        <v>2006</v>
      </c>
      <c r="R1429" s="433" t="str">
        <f t="shared" si="3265"/>
        <v>1Q07</v>
      </c>
      <c r="S1429" s="433" t="str">
        <f t="shared" si="3265"/>
        <v>2Q07</v>
      </c>
      <c r="T1429" s="433" t="str">
        <f t="shared" si="3265"/>
        <v>3Q07</v>
      </c>
      <c r="U1429" s="433" t="str">
        <f t="shared" si="3265"/>
        <v>4Q07</v>
      </c>
      <c r="V1429" s="434">
        <f t="shared" si="3265"/>
        <v>2007</v>
      </c>
      <c r="W1429" s="433" t="str">
        <f t="shared" si="3265"/>
        <v>1Q08</v>
      </c>
      <c r="X1429" s="433" t="str">
        <f t="shared" si="3265"/>
        <v>2Q08</v>
      </c>
      <c r="Y1429" s="433" t="str">
        <f t="shared" si="3265"/>
        <v>3Q08</v>
      </c>
      <c r="Z1429" s="433" t="str">
        <f t="shared" si="3265"/>
        <v>4Q08</v>
      </c>
      <c r="AA1429" s="434">
        <f t="shared" si="3265"/>
        <v>2008</v>
      </c>
      <c r="AB1429" s="433" t="str">
        <f t="shared" si="3265"/>
        <v>1Q09</v>
      </c>
      <c r="AC1429" s="433" t="str">
        <f t="shared" si="3265"/>
        <v>2Q09</v>
      </c>
      <c r="AD1429" s="433" t="str">
        <f t="shared" si="3265"/>
        <v>3Q09</v>
      </c>
      <c r="AE1429" s="433" t="str">
        <f t="shared" si="3265"/>
        <v>4Q09</v>
      </c>
      <c r="AF1429" s="434">
        <f t="shared" si="3265"/>
        <v>2009</v>
      </c>
      <c r="AG1429" s="433" t="str">
        <f t="shared" si="3265"/>
        <v>1Q10</v>
      </c>
      <c r="AH1429" s="433" t="str">
        <f t="shared" si="3265"/>
        <v>2Q10</v>
      </c>
      <c r="AI1429" s="433" t="str">
        <f t="shared" si="3265"/>
        <v>3Q10</v>
      </c>
      <c r="AJ1429" s="433" t="str">
        <f t="shared" si="3265"/>
        <v>4Q10</v>
      </c>
      <c r="AK1429" s="434">
        <f t="shared" si="3265"/>
        <v>2010</v>
      </c>
      <c r="AL1429" s="435" t="str">
        <f t="shared" si="3265"/>
        <v>1Q11</v>
      </c>
      <c r="AM1429" s="435" t="str">
        <f t="shared" si="3265"/>
        <v>2Q11</v>
      </c>
      <c r="AN1429" s="435" t="str">
        <f t="shared" si="3265"/>
        <v>3Q11</v>
      </c>
      <c r="AO1429" s="435" t="str">
        <f t="shared" si="3265"/>
        <v>4Q11</v>
      </c>
      <c r="AP1429" s="436">
        <f t="shared" si="3265"/>
        <v>2011</v>
      </c>
      <c r="AQ1429" s="436" t="str">
        <f t="shared" si="3265"/>
        <v>1Q12</v>
      </c>
      <c r="AR1429" s="437" t="str">
        <f t="shared" si="3265"/>
        <v>2Q12</v>
      </c>
      <c r="AS1429" s="437" t="str">
        <f t="shared" si="3265"/>
        <v>3Q12</v>
      </c>
      <c r="AT1429" s="437" t="str">
        <f t="shared" si="3265"/>
        <v>4Q12</v>
      </c>
      <c r="AU1429" s="438">
        <f t="shared" si="3265"/>
        <v>2012</v>
      </c>
      <c r="AV1429" s="436" t="str">
        <f t="shared" si="3265"/>
        <v>1Q13</v>
      </c>
      <c r="AW1429" s="437" t="str">
        <f t="shared" si="3265"/>
        <v>2Q13</v>
      </c>
      <c r="AX1429" s="437" t="str">
        <f t="shared" si="3265"/>
        <v>3Q13</v>
      </c>
      <c r="AY1429" s="861" t="str">
        <f t="shared" si="3265"/>
        <v>4Q13</v>
      </c>
      <c r="AZ1429" s="438">
        <f t="shared" si="3265"/>
        <v>2013</v>
      </c>
      <c r="BA1429" s="436" t="str">
        <f t="shared" si="3265"/>
        <v>1Q14</v>
      </c>
      <c r="BB1429" s="437" t="str">
        <f t="shared" si="3265"/>
        <v>2Q14</v>
      </c>
      <c r="BC1429" s="437" t="str">
        <f t="shared" si="3265"/>
        <v>3Q14</v>
      </c>
      <c r="BD1429" s="861" t="str">
        <f t="shared" si="3265"/>
        <v>4Q14</v>
      </c>
      <c r="BE1429" s="438">
        <f t="shared" si="3265"/>
        <v>2014</v>
      </c>
      <c r="BF1429" s="437" t="str">
        <f t="shared" si="3265"/>
        <v>1Q15</v>
      </c>
      <c r="BG1429" s="437" t="str">
        <f t="shared" si="3265"/>
        <v>2Q15</v>
      </c>
      <c r="BH1429" s="437" t="str">
        <f t="shared" si="3265"/>
        <v>3Q15</v>
      </c>
      <c r="BI1429" s="861" t="str">
        <f t="shared" si="3265"/>
        <v>4Q15</v>
      </c>
      <c r="BJ1429" s="438">
        <f t="shared" si="3265"/>
        <v>2015</v>
      </c>
      <c r="BK1429" s="437" t="str">
        <f t="shared" si="3265"/>
        <v>1Q16</v>
      </c>
      <c r="BL1429" s="437" t="str">
        <f t="shared" si="3265"/>
        <v>2Q16</v>
      </c>
      <c r="BM1429" s="437" t="str">
        <f t="shared" si="3265"/>
        <v>3Q16</v>
      </c>
      <c r="BN1429" s="861" t="str">
        <f t="shared" si="3265"/>
        <v>4Q16</v>
      </c>
      <c r="BO1429" s="438">
        <f t="shared" si="3265"/>
        <v>2016</v>
      </c>
      <c r="BP1429" s="437" t="str">
        <f t="shared" si="3265"/>
        <v>1Q17</v>
      </c>
      <c r="BQ1429" s="437" t="str">
        <f t="shared" si="3265"/>
        <v>2Q17</v>
      </c>
      <c r="BR1429" s="437" t="str">
        <f t="shared" si="3265"/>
        <v>3Q17</v>
      </c>
      <c r="BS1429" s="437" t="str">
        <f t="shared" si="3265"/>
        <v>4Q17</v>
      </c>
      <c r="BT1429" s="438">
        <f t="shared" si="3265"/>
        <v>2017</v>
      </c>
      <c r="BU1429" s="437" t="str">
        <f t="shared" si="3265"/>
        <v>1Q18E</v>
      </c>
      <c r="BV1429" s="437" t="str">
        <f t="shared" si="3265"/>
        <v>2Q18E</v>
      </c>
      <c r="BW1429" s="437" t="str">
        <f t="shared" si="3265"/>
        <v>3Q18E</v>
      </c>
      <c r="BX1429" s="437" t="str">
        <f t="shared" si="3265"/>
        <v>4Q18E</v>
      </c>
      <c r="BY1429" s="438" t="str">
        <f t="shared" si="3265"/>
        <v>2018E</v>
      </c>
      <c r="BZ1429" s="438" t="str">
        <f t="shared" si="3265"/>
        <v>2019E</v>
      </c>
      <c r="CA1429" s="438" t="str">
        <f t="shared" si="3265"/>
        <v>2020E</v>
      </c>
      <c r="CB1429" s="438" t="str">
        <f t="shared" si="3265"/>
        <v>2021E</v>
      </c>
      <c r="CC1429" s="438" t="str">
        <f>CC$6</f>
        <v>2022E</v>
      </c>
      <c r="CD1429" s="438" t="str">
        <f>CD$6</f>
        <v>2023E</v>
      </c>
      <c r="CE1429" s="438" t="str">
        <f>CE$6</f>
        <v>2024E</v>
      </c>
      <c r="CF1429" s="438" t="str">
        <f>CF$6</f>
        <v>2025E</v>
      </c>
      <c r="CG1429" s="331"/>
      <c r="CH1429" s="331"/>
      <c r="CI1429" s="331"/>
      <c r="CJ1429" s="331"/>
      <c r="CK1429" s="331"/>
      <c r="CL1429" s="2102" t="str">
        <f>A1429</f>
        <v>DEBT / INTEREST SCHEDULE</v>
      </c>
      <c r="CM1429" s="2199">
        <f>G1429</f>
        <v>2004</v>
      </c>
      <c r="CN1429" s="2199">
        <f>L1429</f>
        <v>2005</v>
      </c>
      <c r="CO1429" s="2199">
        <f>Q1429</f>
        <v>2006</v>
      </c>
      <c r="CP1429" s="2199">
        <f>V1429</f>
        <v>2007</v>
      </c>
      <c r="CQ1429" s="2199">
        <f>AA1429</f>
        <v>2008</v>
      </c>
      <c r="CR1429" s="2199">
        <f>AF1429</f>
        <v>2009</v>
      </c>
      <c r="CS1429" s="2199">
        <f>AK1429</f>
        <v>2010</v>
      </c>
      <c r="CT1429" s="2199">
        <f>AP1429</f>
        <v>2011</v>
      </c>
      <c r="CU1429" s="2199">
        <f>AU1429</f>
        <v>2012</v>
      </c>
      <c r="CV1429" s="2199">
        <f>AZ1429</f>
        <v>2013</v>
      </c>
      <c r="CW1429" s="2199">
        <f>BE1429</f>
        <v>2014</v>
      </c>
      <c r="CX1429" s="2199">
        <f>BJ1429</f>
        <v>2015</v>
      </c>
      <c r="CY1429" s="2199">
        <f>BO1429</f>
        <v>2016</v>
      </c>
      <c r="CZ1429" s="2199">
        <f>BT1429</f>
        <v>2017</v>
      </c>
      <c r="DA1429" s="2199" t="str">
        <f>BY1429</f>
        <v>2018E</v>
      </c>
      <c r="DB1429" s="2199" t="str">
        <f>BZ1429</f>
        <v>2019E</v>
      </c>
      <c r="DC1429" s="2200" t="str">
        <f>CA1429</f>
        <v>2020E</v>
      </c>
      <c r="DD1429" s="331"/>
      <c r="DE1429" s="331"/>
      <c r="DF1429" s="502"/>
      <c r="DG1429" s="503"/>
      <c r="DH1429" s="537"/>
      <c r="DI1429" s="3213"/>
      <c r="DJ1429" s="502"/>
      <c r="DK1429" s="503"/>
      <c r="DL1429" s="502"/>
      <c r="DM1429" s="502"/>
      <c r="DN1429" s="502"/>
      <c r="DO1429" s="502"/>
      <c r="DP1429" s="503"/>
      <c r="DQ1429" s="503"/>
      <c r="DR1429" s="296"/>
      <c r="DS1429" s="296"/>
      <c r="DT1429" s="296"/>
    </row>
    <row r="1430" spans="1:124" ht="12" customHeight="1" x14ac:dyDescent="0.25">
      <c r="A1430" s="428"/>
      <c r="B1430" s="11"/>
      <c r="C1430" s="613"/>
      <c r="D1430" s="613"/>
      <c r="E1430" s="613"/>
      <c r="F1430" s="613"/>
      <c r="G1430" s="614"/>
      <c r="H1430" s="613"/>
      <c r="I1430" s="613"/>
      <c r="J1430" s="613"/>
      <c r="K1430" s="613"/>
      <c r="L1430" s="614"/>
      <c r="M1430" s="613"/>
      <c r="N1430" s="613"/>
      <c r="O1430" s="613"/>
      <c r="P1430" s="613"/>
      <c r="Q1430" s="614"/>
      <c r="R1430" s="613"/>
      <c r="S1430" s="613"/>
      <c r="T1430" s="613"/>
      <c r="U1430" s="613"/>
      <c r="V1430" s="614"/>
      <c r="W1430" s="613"/>
      <c r="X1430" s="613"/>
      <c r="Y1430" s="613"/>
      <c r="Z1430" s="613"/>
      <c r="AA1430" s="614"/>
      <c r="AB1430" s="613"/>
      <c r="AC1430" s="613"/>
      <c r="AD1430" s="613"/>
      <c r="AE1430" s="615"/>
      <c r="AF1430" s="481"/>
      <c r="AG1430" s="615"/>
      <c r="AH1430" s="615"/>
      <c r="AI1430" s="615"/>
      <c r="AJ1430" s="615"/>
      <c r="AK1430" s="481"/>
      <c r="AL1430" s="935"/>
      <c r="AM1430" s="430"/>
      <c r="AN1430" s="430"/>
      <c r="AO1430" s="430"/>
      <c r="AP1430" s="616"/>
      <c r="AQ1430" s="616"/>
      <c r="AR1430" s="618"/>
      <c r="AS1430" s="618"/>
      <c r="AT1430" s="618"/>
      <c r="AU1430" s="617"/>
      <c r="AV1430" s="616"/>
      <c r="AW1430" s="618"/>
      <c r="AX1430" s="618"/>
      <c r="AY1430" s="1928"/>
      <c r="AZ1430" s="617"/>
      <c r="BA1430" s="616"/>
      <c r="BB1430" s="618"/>
      <c r="BC1430" s="618"/>
      <c r="BD1430" s="1928"/>
      <c r="BE1430" s="617"/>
      <c r="BF1430" s="618"/>
      <c r="BG1430" s="618"/>
      <c r="BH1430" s="618"/>
      <c r="BI1430" s="1928"/>
      <c r="BJ1430" s="617"/>
      <c r="BK1430" s="618"/>
      <c r="BL1430" s="618"/>
      <c r="BM1430" s="618"/>
      <c r="BN1430" s="1928"/>
      <c r="BO1430" s="617"/>
      <c r="BP1430" s="618"/>
      <c r="BQ1430" s="618"/>
      <c r="BR1430" s="618"/>
      <c r="BS1430" s="618"/>
      <c r="BT1430" s="617"/>
      <c r="BU1430" s="616"/>
      <c r="BV1430" s="618"/>
      <c r="BW1430" s="618"/>
      <c r="BX1430" s="618"/>
      <c r="BY1430" s="617"/>
      <c r="BZ1430" s="617"/>
      <c r="CA1430" s="617"/>
      <c r="CB1430" s="617"/>
      <c r="CC1430" s="617"/>
      <c r="CD1430" s="617"/>
      <c r="CE1430" s="617"/>
      <c r="CF1430" s="617"/>
      <c r="CG1430" s="331"/>
      <c r="CH1430" s="331"/>
      <c r="CI1430" s="331"/>
      <c r="CJ1430" s="331"/>
      <c r="CK1430" s="331"/>
      <c r="CL1430" s="520"/>
      <c r="CM1430" s="618"/>
      <c r="CN1430" s="618"/>
      <c r="CO1430" s="618"/>
      <c r="CP1430" s="618"/>
      <c r="CQ1430" s="618"/>
      <c r="CR1430" s="618"/>
      <c r="CS1430" s="618"/>
      <c r="CT1430" s="618"/>
      <c r="CU1430" s="618"/>
      <c r="CV1430" s="618"/>
      <c r="CW1430" s="618"/>
      <c r="CX1430" s="618"/>
      <c r="CY1430" s="618"/>
      <c r="CZ1430" s="618"/>
      <c r="DA1430" s="618"/>
      <c r="DB1430" s="618"/>
      <c r="DC1430" s="1928"/>
      <c r="DD1430" s="331"/>
      <c r="DE1430" s="331"/>
      <c r="DF1430" s="502"/>
      <c r="DG1430" s="503"/>
      <c r="DH1430" s="618"/>
      <c r="DI1430" s="3213"/>
      <c r="DJ1430" s="502"/>
      <c r="DK1430" s="503"/>
      <c r="DL1430" s="502"/>
      <c r="DM1430" s="502"/>
      <c r="DN1430" s="502"/>
      <c r="DO1430" s="502"/>
      <c r="DP1430" s="503"/>
      <c r="DQ1430" s="503"/>
      <c r="DR1430" s="296"/>
      <c r="DS1430" s="296"/>
      <c r="DT1430" s="296"/>
    </row>
    <row r="1431" spans="1:124" ht="12" customHeight="1" x14ac:dyDescent="0.25">
      <c r="A1431" s="705" t="s">
        <v>2104</v>
      </c>
      <c r="B1431" s="11"/>
      <c r="C1431" s="543"/>
      <c r="D1431" s="543"/>
      <c r="E1431" s="543"/>
      <c r="F1431" s="543"/>
      <c r="G1431" s="510"/>
      <c r="H1431" s="543"/>
      <c r="I1431" s="543"/>
      <c r="J1431" s="543"/>
      <c r="K1431" s="543"/>
      <c r="L1431" s="510"/>
      <c r="M1431" s="543"/>
      <c r="N1431" s="543"/>
      <c r="O1431" s="543"/>
      <c r="P1431" s="543"/>
      <c r="Q1431" s="510"/>
      <c r="R1431" s="543"/>
      <c r="S1431" s="543"/>
      <c r="T1431" s="543"/>
      <c r="U1431" s="543"/>
      <c r="V1431" s="510"/>
      <c r="W1431" s="543"/>
      <c r="X1431" s="543"/>
      <c r="Y1431" s="543"/>
      <c r="Z1431" s="543"/>
      <c r="AA1431" s="510"/>
      <c r="AB1431" s="543"/>
      <c r="AC1431" s="543">
        <f>AC1377</f>
        <v>136.69999999999999</v>
      </c>
      <c r="AD1431" s="543">
        <f>(AD1436/AD1439)*AD1377</f>
        <v>63.829439999999998</v>
      </c>
      <c r="AE1431" s="608">
        <f>(AE1436/AE1439)*AE1377</f>
        <v>85.357500000000002</v>
      </c>
      <c r="AF1431" s="481">
        <f>AE1431</f>
        <v>85.357500000000002</v>
      </c>
      <c r="AG1431" s="608">
        <f>(AG1436/AG1439)*AG1377</f>
        <v>73.89264</v>
      </c>
      <c r="AH1431" s="608">
        <f>(AH1436/AH1439)*AH1377</f>
        <v>0</v>
      </c>
      <c r="AI1431" s="608">
        <f>(AI1436/AI1439)*AI1377</f>
        <v>0</v>
      </c>
      <c r="AJ1431" s="608">
        <f>(AJ1436/AJ1439)*AJ1377</f>
        <v>25.517399999999999</v>
      </c>
      <c r="AK1431" s="481">
        <f>AJ1431</f>
        <v>25.517399999999999</v>
      </c>
      <c r="AL1431" s="608">
        <f>(AL1436/AL1439)*AL1377</f>
        <v>12.579000000000001</v>
      </c>
      <c r="AM1431" s="608">
        <f>(AM1436/AM1439)*AM1377</f>
        <v>0</v>
      </c>
      <c r="AN1431" s="608">
        <f>(AN1436/AN1439)*AN1377</f>
        <v>0</v>
      </c>
      <c r="AO1431" s="608">
        <f>(AO1436/AO1439)*AO1377</f>
        <v>0</v>
      </c>
      <c r="AP1431" s="483">
        <f>AO1431</f>
        <v>0</v>
      </c>
      <c r="AQ1431" s="483">
        <f>(AQ1436/AQ1439)*AQ1377</f>
        <v>0</v>
      </c>
      <c r="AR1431" s="430">
        <f>(AR1436/AR1439)*AR1377</f>
        <v>0</v>
      </c>
      <c r="AS1431" s="430">
        <f>(AS1436/AS1439)*AS1377</f>
        <v>0</v>
      </c>
      <c r="AT1431" s="430">
        <f>(AT1436/AT1439)*AT1377</f>
        <v>0</v>
      </c>
      <c r="AU1431" s="481">
        <f>AT1431</f>
        <v>0</v>
      </c>
      <c r="AV1431" s="483">
        <f>(AV1436/AV1439)*AV1377</f>
        <v>0</v>
      </c>
      <c r="AW1431" s="430">
        <f>(AW1436/AW1439)*AW1377</f>
        <v>0</v>
      </c>
      <c r="AX1431" s="430">
        <f>(AX1436/AX1439)*AX1377</f>
        <v>0</v>
      </c>
      <c r="AY1431" s="853">
        <f>(AY1436/AY1439)*AY1377</f>
        <v>0</v>
      </c>
      <c r="AZ1431" s="481">
        <f>AY1431</f>
        <v>0</v>
      </c>
      <c r="BA1431" s="483">
        <f>(BA1436/BA1439)*BA1377</f>
        <v>0</v>
      </c>
      <c r="BB1431" s="430">
        <f>(BB1436/BB1439)*BB1377</f>
        <v>0</v>
      </c>
      <c r="BC1431" s="430">
        <f>(BC1436/BC1439)*BC1377</f>
        <v>0</v>
      </c>
      <c r="BD1431" s="853">
        <f>(BD1436/BD1439)*BD1377</f>
        <v>0</v>
      </c>
      <c r="BE1431" s="481">
        <f>BD1431</f>
        <v>0</v>
      </c>
      <c r="BF1431" s="430">
        <f>(BF1436/BF1439)*BF1377</f>
        <v>0</v>
      </c>
      <c r="BG1431" s="430">
        <f>(BG1436/BG1439)*BG1377</f>
        <v>0</v>
      </c>
      <c r="BH1431" s="430">
        <f>(BH1436/BH1439)*BH1377</f>
        <v>0</v>
      </c>
      <c r="BI1431" s="853">
        <f>(BI1436/BI1439)*BI1377</f>
        <v>0</v>
      </c>
      <c r="BJ1431" s="481">
        <f>BI1431</f>
        <v>0</v>
      </c>
      <c r="BK1431" s="430">
        <f>(BK1436/BK1439)*BK1377</f>
        <v>0</v>
      </c>
      <c r="BL1431" s="430">
        <f>(BL1436/BL1439)*BL1377</f>
        <v>0</v>
      </c>
      <c r="BM1431" s="430">
        <f>(BM1436/BM1439)*BM1377</f>
        <v>0</v>
      </c>
      <c r="BN1431" s="853">
        <f>(BN1436/BN1439)*BN1377</f>
        <v>0</v>
      </c>
      <c r="BO1431" s="481">
        <f>BN1431</f>
        <v>0</v>
      </c>
      <c r="BP1431" s="430">
        <f>(BP1436/BP1439)*BP1377</f>
        <v>0</v>
      </c>
      <c r="BQ1431" s="430">
        <f>(BQ1436/BQ1439)*BQ1377</f>
        <v>0</v>
      </c>
      <c r="BR1431" s="430">
        <f>(BR1436/BR1439)*BR1377</f>
        <v>0</v>
      </c>
      <c r="BS1431" s="430">
        <f>(BS1436/BS1439)*BS1377</f>
        <v>0</v>
      </c>
      <c r="BT1431" s="2587">
        <f>BS1431</f>
        <v>0</v>
      </c>
      <c r="BU1431" s="2840">
        <f>(BU1436/BU1439)*BU1377</f>
        <v>0</v>
      </c>
      <c r="BV1431" s="2840">
        <f>(BV1436/BV1439)*BV1377</f>
        <v>0</v>
      </c>
      <c r="BW1431" s="2840">
        <f>(BW1436/BW1439)*BW1377</f>
        <v>0</v>
      </c>
      <c r="BX1431" s="2840">
        <f>(BX1436/BX1439)*BX1377</f>
        <v>0</v>
      </c>
      <c r="BY1431" s="2587">
        <f>BX1431</f>
        <v>0</v>
      </c>
      <c r="BZ1431" s="481">
        <f t="shared" ref="BZ1431:CF1431" si="3266">(BZ1436/BZ1439)*BZ1377</f>
        <v>0</v>
      </c>
      <c r="CA1431" s="481">
        <f t="shared" si="3266"/>
        <v>0</v>
      </c>
      <c r="CB1431" s="481">
        <f t="shared" si="3266"/>
        <v>0</v>
      </c>
      <c r="CC1431" s="481">
        <f t="shared" si="3266"/>
        <v>0</v>
      </c>
      <c r="CD1431" s="481">
        <f t="shared" si="3266"/>
        <v>0</v>
      </c>
      <c r="CE1431" s="481">
        <f t="shared" si="3266"/>
        <v>0</v>
      </c>
      <c r="CF1431" s="481">
        <f t="shared" si="3266"/>
        <v>0</v>
      </c>
      <c r="CG1431" s="331"/>
      <c r="CH1431" s="331"/>
      <c r="CI1431" s="331"/>
      <c r="CJ1431" s="331"/>
      <c r="CK1431" s="331"/>
      <c r="CL1431" s="2025" t="str">
        <f>A1431</f>
        <v>Tranche A Revolver</v>
      </c>
      <c r="CM1431" s="430"/>
      <c r="CN1431" s="430"/>
      <c r="CO1431" s="430"/>
      <c r="CP1431" s="430"/>
      <c r="CQ1431" s="430"/>
      <c r="CR1431" s="430">
        <f>AF1431</f>
        <v>85.357500000000002</v>
      </c>
      <c r="CS1431" s="430">
        <f>AK1431</f>
        <v>25.517399999999999</v>
      </c>
      <c r="CT1431" s="430">
        <f>AP1431</f>
        <v>0</v>
      </c>
      <c r="CU1431" s="430">
        <f>AU1431</f>
        <v>0</v>
      </c>
      <c r="CV1431" s="430">
        <f>AZ1431</f>
        <v>0</v>
      </c>
      <c r="CW1431" s="430">
        <f>BE1431</f>
        <v>0</v>
      </c>
      <c r="CX1431" s="430">
        <f>BJ1431</f>
        <v>0</v>
      </c>
      <c r="CY1431" s="430">
        <f>BO1431</f>
        <v>0</v>
      </c>
      <c r="CZ1431" s="430">
        <f>BT1431</f>
        <v>0</v>
      </c>
      <c r="DA1431" s="430">
        <f t="shared" ref="DA1431:DC1434" si="3267">BY1431</f>
        <v>0</v>
      </c>
      <c r="DB1431" s="430">
        <f t="shared" si="3267"/>
        <v>0</v>
      </c>
      <c r="DC1431" s="853">
        <f t="shared" si="3267"/>
        <v>0</v>
      </c>
      <c r="DD1431" s="331"/>
      <c r="DE1431" s="331"/>
      <c r="DF1431" s="502"/>
      <c r="DG1431" s="503"/>
      <c r="DH1431" s="2840"/>
      <c r="DI1431" s="3213"/>
      <c r="DJ1431" s="502"/>
      <c r="DK1431" s="503"/>
      <c r="DL1431" s="502"/>
      <c r="DM1431" s="502"/>
      <c r="DN1431" s="502"/>
      <c r="DO1431" s="502"/>
      <c r="DP1431" s="503"/>
      <c r="DQ1431" s="503"/>
      <c r="DR1431" s="296"/>
      <c r="DS1431" s="296"/>
      <c r="DT1431" s="296"/>
    </row>
    <row r="1432" spans="1:124" ht="12" customHeight="1" x14ac:dyDescent="0.25">
      <c r="A1432" s="705" t="s">
        <v>2105</v>
      </c>
      <c r="B1432" s="11"/>
      <c r="C1432" s="543"/>
      <c r="D1432" s="543"/>
      <c r="E1432" s="543"/>
      <c r="F1432" s="543"/>
      <c r="G1432" s="510"/>
      <c r="H1432" s="543"/>
      <c r="I1432" s="543"/>
      <c r="J1432" s="543"/>
      <c r="K1432" s="543"/>
      <c r="L1432" s="510"/>
      <c r="M1432" s="543"/>
      <c r="N1432" s="543"/>
      <c r="O1432" s="543"/>
      <c r="P1432" s="543"/>
      <c r="Q1432" s="510"/>
      <c r="R1432" s="543"/>
      <c r="S1432" s="543"/>
      <c r="T1432" s="543"/>
      <c r="U1432" s="543"/>
      <c r="V1432" s="510"/>
      <c r="W1432" s="543"/>
      <c r="X1432" s="543"/>
      <c r="Y1432" s="543"/>
      <c r="Z1432" s="543"/>
      <c r="AA1432" s="510"/>
      <c r="AB1432" s="543"/>
      <c r="AC1432" s="430">
        <v>0</v>
      </c>
      <c r="AD1432" s="430">
        <f>(AD1437/AD1439)*AD1377</f>
        <v>113.77056</v>
      </c>
      <c r="AE1432" s="430">
        <f>(AE1437/AE1439)*AE1377</f>
        <v>152.14250000000001</v>
      </c>
      <c r="AF1432" s="481">
        <f>AE1432</f>
        <v>152.14250000000001</v>
      </c>
      <c r="AG1432" s="430">
        <f>(AG1437/AG1439)*AG1377</f>
        <v>131.70735999999999</v>
      </c>
      <c r="AH1432" s="430">
        <f>(AH1437/AH1439)*AH1377</f>
        <v>0</v>
      </c>
      <c r="AI1432" s="430">
        <f>(AI1437/AI1439)*AI1377</f>
        <v>0</v>
      </c>
      <c r="AJ1432" s="430">
        <f>(AJ1437/AJ1439)*AJ1377</f>
        <v>45.482600000000005</v>
      </c>
      <c r="AK1432" s="481">
        <f>AJ1432</f>
        <v>45.482600000000005</v>
      </c>
      <c r="AL1432" s="430">
        <f>(AL1437/AL1439)*AL1377</f>
        <v>22.421000000000003</v>
      </c>
      <c r="AM1432" s="430">
        <f>(AM1437/AM1439)*AM1377</f>
        <v>0</v>
      </c>
      <c r="AN1432" s="430">
        <f>(AN1437/AN1439)*AN1377</f>
        <v>0</v>
      </c>
      <c r="AO1432" s="430">
        <f>(AO1437/AO1439)*AO1377</f>
        <v>0</v>
      </c>
      <c r="AP1432" s="483">
        <f>AO1432</f>
        <v>0</v>
      </c>
      <c r="AQ1432" s="483">
        <f>(AQ1437/AQ1439)*AQ1377</f>
        <v>0</v>
      </c>
      <c r="AR1432" s="430">
        <f>(AR1437/AR1439)*AR1377</f>
        <v>0</v>
      </c>
      <c r="AS1432" s="430">
        <f>(AS1437/AS1439)*AS1377</f>
        <v>0</v>
      </c>
      <c r="AT1432" s="430">
        <f>(AT1437/AT1439)*AT1377</f>
        <v>0</v>
      </c>
      <c r="AU1432" s="481">
        <f>AT1432</f>
        <v>0</v>
      </c>
      <c r="AV1432" s="483">
        <f>(AV1437/AV1439)*AV1377</f>
        <v>0</v>
      </c>
      <c r="AW1432" s="430">
        <f>(AW1437/AW1439)*AW1377</f>
        <v>0</v>
      </c>
      <c r="AX1432" s="430">
        <f>(AX1437/AX1439)*AX1377</f>
        <v>0</v>
      </c>
      <c r="AY1432" s="853">
        <f>(AY1437/AY1439)*AY1377</f>
        <v>0</v>
      </c>
      <c r="AZ1432" s="481">
        <f>AY1432</f>
        <v>0</v>
      </c>
      <c r="BA1432" s="483">
        <f>(BA1437/BA1439)*BA1377</f>
        <v>0</v>
      </c>
      <c r="BB1432" s="430">
        <f>(BB1437/BB1439)*BB1377</f>
        <v>0</v>
      </c>
      <c r="BC1432" s="430">
        <f>(BC1437/BC1439)*BC1377</f>
        <v>0</v>
      </c>
      <c r="BD1432" s="853">
        <f>(BD1437/BD1439)*BD1377</f>
        <v>0</v>
      </c>
      <c r="BE1432" s="481">
        <f>BD1432</f>
        <v>0</v>
      </c>
      <c r="BF1432" s="430">
        <f>(BF1437/BF1439)*BF1377</f>
        <v>0</v>
      </c>
      <c r="BG1432" s="430">
        <f>(BG1437/BG1439)*BG1377</f>
        <v>0</v>
      </c>
      <c r="BH1432" s="430">
        <f>(BH1437/BH1439)*BH1377</f>
        <v>0</v>
      </c>
      <c r="BI1432" s="853">
        <f>(BI1437/BI1439)*BI1377</f>
        <v>0</v>
      </c>
      <c r="BJ1432" s="481">
        <f>BI1432</f>
        <v>0</v>
      </c>
      <c r="BK1432" s="430">
        <f>(BK1437/BK1439)*BK1377</f>
        <v>0</v>
      </c>
      <c r="BL1432" s="430">
        <f>(BL1437/BL1439)*BL1377</f>
        <v>0</v>
      </c>
      <c r="BM1432" s="430">
        <f>(BM1437/BM1439)*BM1377</f>
        <v>0</v>
      </c>
      <c r="BN1432" s="853">
        <f>(BN1437/BN1439)*BN1377</f>
        <v>0</v>
      </c>
      <c r="BO1432" s="481">
        <f>BN1432</f>
        <v>0</v>
      </c>
      <c r="BP1432" s="430">
        <f>(BP1437/BP1439)*BP1377</f>
        <v>0</v>
      </c>
      <c r="BQ1432" s="430">
        <f>(BQ1437/BQ1439)*BQ1377</f>
        <v>0</v>
      </c>
      <c r="BR1432" s="430">
        <f>(BR1437/BR1439)*BR1377</f>
        <v>0</v>
      </c>
      <c r="BS1432" s="430">
        <f>(BS1437/BS1439)*BS1377</f>
        <v>0</v>
      </c>
      <c r="BT1432" s="2587">
        <f>BS1432</f>
        <v>0</v>
      </c>
      <c r="BU1432" s="2840">
        <f>(BU1437/BU1439)*BU1377</f>
        <v>0</v>
      </c>
      <c r="BV1432" s="2840">
        <f>(BV1437/BV1439)*BV1377</f>
        <v>0</v>
      </c>
      <c r="BW1432" s="2840">
        <f>(BW1437/BW1439)*BW1377</f>
        <v>0</v>
      </c>
      <c r="BX1432" s="2840">
        <f>(BX1437/BX1439)*BX1377</f>
        <v>0</v>
      </c>
      <c r="BY1432" s="2587">
        <f>BX1432</f>
        <v>0</v>
      </c>
      <c r="BZ1432" s="481">
        <f t="shared" ref="BZ1432:CF1432" si="3268">(BZ1437/BZ1439)*BZ1377</f>
        <v>0</v>
      </c>
      <c r="CA1432" s="481">
        <f t="shared" si="3268"/>
        <v>0</v>
      </c>
      <c r="CB1432" s="481">
        <f t="shared" si="3268"/>
        <v>0</v>
      </c>
      <c r="CC1432" s="481">
        <f t="shared" si="3268"/>
        <v>0</v>
      </c>
      <c r="CD1432" s="481">
        <f t="shared" si="3268"/>
        <v>0</v>
      </c>
      <c r="CE1432" s="481">
        <f t="shared" si="3268"/>
        <v>0</v>
      </c>
      <c r="CF1432" s="481">
        <f t="shared" si="3268"/>
        <v>0</v>
      </c>
      <c r="CG1432" s="331"/>
      <c r="CH1432" s="331"/>
      <c r="CI1432" s="331"/>
      <c r="CJ1432" s="331"/>
      <c r="CK1432" s="331"/>
      <c r="CL1432" s="2025" t="str">
        <f>A1432</f>
        <v>Tranche B Revolver</v>
      </c>
      <c r="CM1432" s="430"/>
      <c r="CN1432" s="430"/>
      <c r="CO1432" s="430"/>
      <c r="CP1432" s="430"/>
      <c r="CQ1432" s="430"/>
      <c r="CR1432" s="430">
        <f>AF1432</f>
        <v>152.14250000000001</v>
      </c>
      <c r="CS1432" s="430">
        <f>AK1432</f>
        <v>45.482600000000005</v>
      </c>
      <c r="CT1432" s="430">
        <f>AP1432</f>
        <v>0</v>
      </c>
      <c r="CU1432" s="430">
        <f>AU1432</f>
        <v>0</v>
      </c>
      <c r="CV1432" s="430">
        <f>AZ1432</f>
        <v>0</v>
      </c>
      <c r="CW1432" s="430">
        <f>BE1432</f>
        <v>0</v>
      </c>
      <c r="CX1432" s="430">
        <f>BJ1432</f>
        <v>0</v>
      </c>
      <c r="CY1432" s="430">
        <f>BO1432</f>
        <v>0</v>
      </c>
      <c r="CZ1432" s="430">
        <f>BT1432</f>
        <v>0</v>
      </c>
      <c r="DA1432" s="430">
        <f t="shared" si="3267"/>
        <v>0</v>
      </c>
      <c r="DB1432" s="430">
        <f t="shared" si="3267"/>
        <v>0</v>
      </c>
      <c r="DC1432" s="853">
        <f t="shared" si="3267"/>
        <v>0</v>
      </c>
      <c r="DD1432" s="331"/>
      <c r="DE1432" s="331"/>
      <c r="DF1432" s="502"/>
      <c r="DG1432" s="503"/>
      <c r="DH1432" s="2840"/>
      <c r="DI1432" s="3213"/>
      <c r="DJ1432" s="502"/>
      <c r="DK1432" s="503"/>
      <c r="DL1432" s="502"/>
      <c r="DM1432" s="502"/>
      <c r="DN1432" s="502"/>
      <c r="DO1432" s="502"/>
      <c r="DP1432" s="503"/>
      <c r="DQ1432" s="503"/>
      <c r="DR1432" s="296"/>
      <c r="DS1432" s="296"/>
      <c r="DT1432" s="296"/>
    </row>
    <row r="1433" spans="1:124" ht="4.5" customHeight="1" x14ac:dyDescent="0.25">
      <c r="A1433" s="1953"/>
      <c r="B1433" s="11"/>
      <c r="C1433" s="544" t="s">
        <v>1151</v>
      </c>
      <c r="D1433" s="544" t="s">
        <v>1151</v>
      </c>
      <c r="E1433" s="544" t="s">
        <v>1151</v>
      </c>
      <c r="F1433" s="544" t="s">
        <v>1151</v>
      </c>
      <c r="G1433" s="461" t="s">
        <v>1151</v>
      </c>
      <c r="H1433" s="544" t="s">
        <v>1151</v>
      </c>
      <c r="I1433" s="544" t="s">
        <v>1151</v>
      </c>
      <c r="J1433" s="544" t="s">
        <v>1151</v>
      </c>
      <c r="K1433" s="544" t="s">
        <v>1151</v>
      </c>
      <c r="L1433" s="461" t="s">
        <v>1151</v>
      </c>
      <c r="M1433" s="544" t="s">
        <v>1151</v>
      </c>
      <c r="N1433" s="544" t="s">
        <v>1151</v>
      </c>
      <c r="O1433" s="544" t="s">
        <v>1151</v>
      </c>
      <c r="P1433" s="544" t="s">
        <v>1151</v>
      </c>
      <c r="Q1433" s="461" t="s">
        <v>1151</v>
      </c>
      <c r="R1433" s="544" t="s">
        <v>1151</v>
      </c>
      <c r="S1433" s="544" t="s">
        <v>1151</v>
      </c>
      <c r="T1433" s="544" t="s">
        <v>1151</v>
      </c>
      <c r="U1433" s="544" t="s">
        <v>1151</v>
      </c>
      <c r="V1433" s="461" t="s">
        <v>1151</v>
      </c>
      <c r="W1433" s="544" t="s">
        <v>1151</v>
      </c>
      <c r="X1433" s="544" t="s">
        <v>1151</v>
      </c>
      <c r="Y1433" s="544" t="s">
        <v>1151</v>
      </c>
      <c r="Z1433" s="544" t="s">
        <v>1151</v>
      </c>
      <c r="AA1433" s="461" t="s">
        <v>1151</v>
      </c>
      <c r="AB1433" s="544" t="s">
        <v>1151</v>
      </c>
      <c r="AC1433" s="544" t="s">
        <v>1151</v>
      </c>
      <c r="AD1433" s="544" t="s">
        <v>1151</v>
      </c>
      <c r="AE1433" s="544" t="s">
        <v>1151</v>
      </c>
      <c r="AF1433" s="461" t="s">
        <v>1151</v>
      </c>
      <c r="AG1433" s="544" t="s">
        <v>1151</v>
      </c>
      <c r="AH1433" s="544" t="s">
        <v>1151</v>
      </c>
      <c r="AI1433" s="544" t="s">
        <v>1151</v>
      </c>
      <c r="AJ1433" s="544" t="s">
        <v>1151</v>
      </c>
      <c r="AK1433" s="461" t="s">
        <v>1151</v>
      </c>
      <c r="AL1433" s="544" t="s">
        <v>1151</v>
      </c>
      <c r="AM1433" s="544" t="s">
        <v>1151</v>
      </c>
      <c r="AN1433" s="544" t="s">
        <v>1151</v>
      </c>
      <c r="AO1433" s="544" t="s">
        <v>1151</v>
      </c>
      <c r="AP1433" s="461" t="s">
        <v>1151</v>
      </c>
      <c r="AQ1433" s="544" t="s">
        <v>1151</v>
      </c>
      <c r="AR1433" s="544" t="s">
        <v>1151</v>
      </c>
      <c r="AS1433" s="544" t="s">
        <v>1151</v>
      </c>
      <c r="AT1433" s="544" t="s">
        <v>1151</v>
      </c>
      <c r="AU1433" s="461" t="s">
        <v>1151</v>
      </c>
      <c r="AV1433" s="544" t="s">
        <v>1151</v>
      </c>
      <c r="AW1433" s="544" t="s">
        <v>1151</v>
      </c>
      <c r="AX1433" s="544" t="s">
        <v>1151</v>
      </c>
      <c r="AY1433" s="544" t="s">
        <v>1151</v>
      </c>
      <c r="AZ1433" s="461" t="s">
        <v>1151</v>
      </c>
      <c r="BA1433" s="544" t="s">
        <v>1151</v>
      </c>
      <c r="BB1433" s="544" t="s">
        <v>1151</v>
      </c>
      <c r="BC1433" s="544" t="s">
        <v>1151</v>
      </c>
      <c r="BD1433" s="544" t="s">
        <v>1151</v>
      </c>
      <c r="BE1433" s="461" t="s">
        <v>1151</v>
      </c>
      <c r="BF1433" s="544" t="s">
        <v>1151</v>
      </c>
      <c r="BG1433" s="544" t="s">
        <v>1151</v>
      </c>
      <c r="BH1433" s="544" t="s">
        <v>1151</v>
      </c>
      <c r="BI1433" s="544" t="s">
        <v>1151</v>
      </c>
      <c r="BJ1433" s="461" t="s">
        <v>1151</v>
      </c>
      <c r="BK1433" s="544" t="s">
        <v>1151</v>
      </c>
      <c r="BL1433" s="544" t="s">
        <v>1151</v>
      </c>
      <c r="BM1433" s="544" t="s">
        <v>1151</v>
      </c>
      <c r="BN1433" s="544" t="s">
        <v>1151</v>
      </c>
      <c r="BO1433" s="461" t="s">
        <v>1151</v>
      </c>
      <c r="BP1433" s="544" t="s">
        <v>1151</v>
      </c>
      <c r="BQ1433" s="544" t="s">
        <v>1151</v>
      </c>
      <c r="BR1433" s="544" t="s">
        <v>1151</v>
      </c>
      <c r="BS1433" s="544" t="s">
        <v>1151</v>
      </c>
      <c r="BT1433" s="461" t="s">
        <v>1151</v>
      </c>
      <c r="BU1433" s="544" t="s">
        <v>1151</v>
      </c>
      <c r="BV1433" s="544" t="s">
        <v>1151</v>
      </c>
      <c r="BW1433" s="544" t="s">
        <v>1151</v>
      </c>
      <c r="BX1433" s="544" t="s">
        <v>1151</v>
      </c>
      <c r="BY1433" s="461" t="s">
        <v>1151</v>
      </c>
      <c r="BZ1433" s="461" t="s">
        <v>1151</v>
      </c>
      <c r="CA1433" s="461" t="s">
        <v>1151</v>
      </c>
      <c r="CB1433" s="461" t="s">
        <v>1151</v>
      </c>
      <c r="CC1433" s="461" t="s">
        <v>1151</v>
      </c>
      <c r="CD1433" s="461" t="s">
        <v>1151</v>
      </c>
      <c r="CE1433" s="461" t="s">
        <v>1151</v>
      </c>
      <c r="CF1433" s="461" t="s">
        <v>1151</v>
      </c>
      <c r="CG1433" s="331"/>
      <c r="CH1433" s="331"/>
      <c r="CI1433" s="331"/>
      <c r="CJ1433" s="331"/>
      <c r="CK1433" s="331"/>
      <c r="CL1433" s="2027"/>
      <c r="CM1433" s="2029" t="str">
        <f>G1433</f>
        <v xml:space="preserve">                </v>
      </c>
      <c r="CN1433" s="2029" t="str">
        <f>L1433</f>
        <v xml:space="preserve">                </v>
      </c>
      <c r="CO1433" s="2029" t="str">
        <f>Q1433</f>
        <v xml:space="preserve">                </v>
      </c>
      <c r="CP1433" s="2029" t="str">
        <f>V1433</f>
        <v xml:space="preserve">                </v>
      </c>
      <c r="CQ1433" s="2029" t="str">
        <f>AA1433</f>
        <v xml:space="preserve">                </v>
      </c>
      <c r="CR1433" s="2029" t="str">
        <f>AF1433</f>
        <v xml:space="preserve">                </v>
      </c>
      <c r="CS1433" s="2029" t="str">
        <f>AK1433</f>
        <v xml:space="preserve">                </v>
      </c>
      <c r="CT1433" s="2029" t="str">
        <f>AP1433</f>
        <v xml:space="preserve">                </v>
      </c>
      <c r="CU1433" s="2029" t="str">
        <f>AU1433</f>
        <v xml:space="preserve">                </v>
      </c>
      <c r="CV1433" s="2029" t="str">
        <f>AZ1433</f>
        <v xml:space="preserve">                </v>
      </c>
      <c r="CW1433" s="2029" t="str">
        <f>BE1433</f>
        <v xml:space="preserve">                </v>
      </c>
      <c r="CX1433" s="2029" t="str">
        <f>BJ1433</f>
        <v xml:space="preserve">                </v>
      </c>
      <c r="CY1433" s="2029" t="str">
        <f>BO1433</f>
        <v xml:space="preserve">                </v>
      </c>
      <c r="CZ1433" s="2029" t="str">
        <f>BT1433</f>
        <v xml:space="preserve">                </v>
      </c>
      <c r="DA1433" s="2029" t="str">
        <f t="shared" si="3267"/>
        <v xml:space="preserve">                </v>
      </c>
      <c r="DB1433" s="2029" t="str">
        <f t="shared" si="3267"/>
        <v xml:space="preserve">                </v>
      </c>
      <c r="DC1433" s="2030" t="str">
        <f t="shared" si="3267"/>
        <v xml:space="preserve">                </v>
      </c>
      <c r="DD1433" s="331"/>
      <c r="DE1433" s="331"/>
      <c r="DF1433" s="502"/>
      <c r="DG1433" s="503"/>
      <c r="DH1433" s="2029"/>
      <c r="DI1433" s="3213"/>
      <c r="DJ1433" s="502"/>
      <c r="DK1433" s="503"/>
      <c r="DL1433" s="502"/>
      <c r="DM1433" s="502"/>
      <c r="DN1433" s="502"/>
      <c r="DO1433" s="502"/>
      <c r="DP1433" s="503"/>
      <c r="DQ1433" s="503"/>
      <c r="DR1433" s="296"/>
      <c r="DS1433" s="296"/>
      <c r="DT1433" s="296"/>
    </row>
    <row r="1434" spans="1:124" ht="12" customHeight="1" x14ac:dyDescent="0.25">
      <c r="A1434" s="428" t="s">
        <v>1333</v>
      </c>
      <c r="B1434" s="11"/>
      <c r="C1434" s="543"/>
      <c r="D1434" s="543"/>
      <c r="E1434" s="543"/>
      <c r="F1434" s="543"/>
      <c r="G1434" s="510"/>
      <c r="H1434" s="543"/>
      <c r="I1434" s="543"/>
      <c r="J1434" s="543"/>
      <c r="K1434" s="543"/>
      <c r="L1434" s="510"/>
      <c r="M1434" s="543"/>
      <c r="N1434" s="543"/>
      <c r="O1434" s="543"/>
      <c r="P1434" s="543"/>
      <c r="Q1434" s="510"/>
      <c r="R1434" s="543"/>
      <c r="S1434" s="543"/>
      <c r="T1434" s="543"/>
      <c r="U1434" s="543"/>
      <c r="V1434" s="510"/>
      <c r="W1434" s="543"/>
      <c r="X1434" s="543"/>
      <c r="Y1434" s="543"/>
      <c r="Z1434" s="543"/>
      <c r="AA1434" s="510"/>
      <c r="AB1434" s="543"/>
      <c r="AC1434" s="543">
        <f>SUM(AC1431:AC1432)</f>
        <v>136.69999999999999</v>
      </c>
      <c r="AD1434" s="543">
        <f>SUM(AD1431:AD1432)</f>
        <v>177.6</v>
      </c>
      <c r="AE1434" s="608">
        <f>SUM(AE1431:AE1432)</f>
        <v>237.5</v>
      </c>
      <c r="AF1434" s="481">
        <f>AE1434</f>
        <v>237.5</v>
      </c>
      <c r="AG1434" s="608">
        <f>SUM(AG1431:AG1432)</f>
        <v>205.6</v>
      </c>
      <c r="AH1434" s="608">
        <f>SUM(AH1431:AH1432)</f>
        <v>0</v>
      </c>
      <c r="AI1434" s="608">
        <f>SUM(AI1431:AI1432)</f>
        <v>0</v>
      </c>
      <c r="AJ1434" s="608">
        <f>SUM(AJ1431:AJ1432)</f>
        <v>71</v>
      </c>
      <c r="AK1434" s="481">
        <f>AJ1434</f>
        <v>71</v>
      </c>
      <c r="AL1434" s="608">
        <f>SUM(AL1431:AL1432)</f>
        <v>35</v>
      </c>
      <c r="AM1434" s="608">
        <f>SUM(AM1431:AM1432)</f>
        <v>0</v>
      </c>
      <c r="AN1434" s="608">
        <f>SUM(AN1431:AN1432)</f>
        <v>0</v>
      </c>
      <c r="AO1434" s="608">
        <f>SUM(AO1431:AO1432)</f>
        <v>0</v>
      </c>
      <c r="AP1434" s="483">
        <f>AO1434</f>
        <v>0</v>
      </c>
      <c r="AQ1434" s="483">
        <f>SUM(AQ1431:AQ1432)</f>
        <v>0</v>
      </c>
      <c r="AR1434" s="430">
        <f>SUM(AR1431:AR1432)</f>
        <v>0</v>
      </c>
      <c r="AS1434" s="430">
        <f>SUM(AS1431:AS1432)</f>
        <v>0</v>
      </c>
      <c r="AT1434" s="430">
        <f>SUM(AT1431:AT1432)</f>
        <v>0</v>
      </c>
      <c r="AU1434" s="481">
        <f>AT1434</f>
        <v>0</v>
      </c>
      <c r="AV1434" s="483">
        <f>SUM(AV1431:AV1432)</f>
        <v>0</v>
      </c>
      <c r="AW1434" s="430">
        <f>SUM(AW1431:AW1432)</f>
        <v>0</v>
      </c>
      <c r="AX1434" s="430">
        <f>SUM(AX1431:AX1432)</f>
        <v>0</v>
      </c>
      <c r="AY1434" s="853">
        <f>SUM(AY1431:AY1432)</f>
        <v>0</v>
      </c>
      <c r="AZ1434" s="481">
        <f>AY1434</f>
        <v>0</v>
      </c>
      <c r="BA1434" s="483">
        <f>SUM(BA1431:BA1432)</f>
        <v>0</v>
      </c>
      <c r="BB1434" s="430">
        <f>SUM(BB1431:BB1432)</f>
        <v>0</v>
      </c>
      <c r="BC1434" s="430">
        <f>SUM(BC1431:BC1432)</f>
        <v>0</v>
      </c>
      <c r="BD1434" s="853">
        <f>SUM(BD1431:BD1432)</f>
        <v>0</v>
      </c>
      <c r="BE1434" s="481">
        <f>BD1434</f>
        <v>0</v>
      </c>
      <c r="BF1434" s="430">
        <f>SUM(BF1431:BF1432)</f>
        <v>0</v>
      </c>
      <c r="BG1434" s="430">
        <f>SUM(BG1431:BG1432)</f>
        <v>0</v>
      </c>
      <c r="BH1434" s="430">
        <f>SUM(BH1431:BH1432)</f>
        <v>0</v>
      </c>
      <c r="BI1434" s="853">
        <f>SUM(BI1431:BI1432)</f>
        <v>0</v>
      </c>
      <c r="BJ1434" s="481">
        <f>BI1434</f>
        <v>0</v>
      </c>
      <c r="BK1434" s="430">
        <f>SUM(BK1431:BK1432)</f>
        <v>0</v>
      </c>
      <c r="BL1434" s="430">
        <f>SUM(BL1431:BL1432)</f>
        <v>0</v>
      </c>
      <c r="BM1434" s="430">
        <f>SUM(BM1431:BM1432)</f>
        <v>0</v>
      </c>
      <c r="BN1434" s="853">
        <f>SUM(BN1431:BN1432)</f>
        <v>0</v>
      </c>
      <c r="BO1434" s="481">
        <f>BN1434</f>
        <v>0</v>
      </c>
      <c r="BP1434" s="430">
        <f>SUM(BP1431:BP1432)</f>
        <v>0</v>
      </c>
      <c r="BQ1434" s="430">
        <f>SUM(BQ1431:BQ1432)</f>
        <v>0</v>
      </c>
      <c r="BR1434" s="430">
        <f>SUM(BR1431:BR1432)</f>
        <v>0</v>
      </c>
      <c r="BS1434" s="430">
        <f>SUM(BS1431:BS1432)</f>
        <v>0</v>
      </c>
      <c r="BT1434" s="2587">
        <f>BS1434</f>
        <v>0</v>
      </c>
      <c r="BU1434" s="2840">
        <f>SUM(BU1431:BU1432)</f>
        <v>0</v>
      </c>
      <c r="BV1434" s="2840">
        <f>SUM(BV1431:BV1432)</f>
        <v>0</v>
      </c>
      <c r="BW1434" s="2840">
        <f>SUM(BW1431:BW1432)</f>
        <v>0</v>
      </c>
      <c r="BX1434" s="2840">
        <f>SUM(BX1431:BX1432)</f>
        <v>0</v>
      </c>
      <c r="BY1434" s="2587">
        <f>BX1434</f>
        <v>0</v>
      </c>
      <c r="BZ1434" s="481">
        <f t="shared" ref="BZ1434:CF1434" si="3269">SUM(BZ1431:BZ1432)</f>
        <v>0</v>
      </c>
      <c r="CA1434" s="481">
        <f t="shared" si="3269"/>
        <v>0</v>
      </c>
      <c r="CB1434" s="481">
        <f t="shared" si="3269"/>
        <v>0</v>
      </c>
      <c r="CC1434" s="481">
        <f t="shared" si="3269"/>
        <v>0</v>
      </c>
      <c r="CD1434" s="481">
        <f t="shared" si="3269"/>
        <v>0</v>
      </c>
      <c r="CE1434" s="481">
        <f t="shared" si="3269"/>
        <v>0</v>
      </c>
      <c r="CF1434" s="481">
        <f t="shared" si="3269"/>
        <v>0</v>
      </c>
      <c r="CG1434" s="331"/>
      <c r="CH1434" s="331"/>
      <c r="CI1434" s="331"/>
      <c r="CJ1434" s="331"/>
      <c r="CK1434" s="331"/>
      <c r="CL1434" s="520" t="str">
        <f>A1434</f>
        <v>Total Revolver Borrowings</v>
      </c>
      <c r="CM1434" s="430"/>
      <c r="CN1434" s="430"/>
      <c r="CO1434" s="430"/>
      <c r="CP1434" s="430"/>
      <c r="CQ1434" s="430"/>
      <c r="CR1434" s="430">
        <f>AF1434</f>
        <v>237.5</v>
      </c>
      <c r="CS1434" s="430">
        <f>AK1434</f>
        <v>71</v>
      </c>
      <c r="CT1434" s="430">
        <f>AP1434</f>
        <v>0</v>
      </c>
      <c r="CU1434" s="430">
        <f>AU1434</f>
        <v>0</v>
      </c>
      <c r="CV1434" s="430">
        <f>AZ1434</f>
        <v>0</v>
      </c>
      <c r="CW1434" s="430">
        <f>BE1434</f>
        <v>0</v>
      </c>
      <c r="CX1434" s="430">
        <f>BJ1434</f>
        <v>0</v>
      </c>
      <c r="CY1434" s="430">
        <f>BO1434</f>
        <v>0</v>
      </c>
      <c r="CZ1434" s="430">
        <f>BT1434</f>
        <v>0</v>
      </c>
      <c r="DA1434" s="430">
        <f t="shared" si="3267"/>
        <v>0</v>
      </c>
      <c r="DB1434" s="430">
        <f t="shared" si="3267"/>
        <v>0</v>
      </c>
      <c r="DC1434" s="853">
        <f t="shared" si="3267"/>
        <v>0</v>
      </c>
      <c r="DD1434" s="331"/>
      <c r="DE1434" s="331"/>
      <c r="DF1434" s="502"/>
      <c r="DG1434" s="503"/>
      <c r="DH1434" s="2840"/>
      <c r="DI1434" s="3213"/>
      <c r="DJ1434" s="502"/>
      <c r="DK1434" s="503"/>
      <c r="DL1434" s="502"/>
      <c r="DM1434" s="502"/>
      <c r="DN1434" s="502"/>
      <c r="DO1434" s="502"/>
      <c r="DP1434" s="503"/>
      <c r="DQ1434" s="503"/>
      <c r="DR1434" s="296"/>
      <c r="DS1434" s="296"/>
      <c r="DT1434" s="296"/>
    </row>
    <row r="1435" spans="1:124" ht="12" customHeight="1" x14ac:dyDescent="0.25">
      <c r="A1435" s="428"/>
      <c r="B1435" s="11"/>
      <c r="C1435" s="543"/>
      <c r="D1435" s="543"/>
      <c r="E1435" s="543"/>
      <c r="F1435" s="543"/>
      <c r="G1435" s="510"/>
      <c r="H1435" s="543"/>
      <c r="I1435" s="543"/>
      <c r="J1435" s="543"/>
      <c r="K1435" s="543"/>
      <c r="L1435" s="510"/>
      <c r="M1435" s="543"/>
      <c r="N1435" s="543"/>
      <c r="O1435" s="543"/>
      <c r="P1435" s="543"/>
      <c r="Q1435" s="510"/>
      <c r="R1435" s="543"/>
      <c r="S1435" s="543"/>
      <c r="T1435" s="543"/>
      <c r="U1435" s="543"/>
      <c r="V1435" s="510"/>
      <c r="W1435" s="543"/>
      <c r="X1435" s="543"/>
      <c r="Y1435" s="543"/>
      <c r="Z1435" s="543"/>
      <c r="AA1435" s="510"/>
      <c r="AB1435" s="543"/>
      <c r="AC1435" s="543"/>
      <c r="AD1435" s="543"/>
      <c r="AE1435" s="608"/>
      <c r="AF1435" s="481"/>
      <c r="AG1435" s="608"/>
      <c r="AH1435" s="608"/>
      <c r="AI1435" s="608"/>
      <c r="AJ1435" s="608"/>
      <c r="AK1435" s="481"/>
      <c r="AL1435" s="608"/>
      <c r="AM1435" s="608"/>
      <c r="AN1435" s="608"/>
      <c r="AO1435" s="608"/>
      <c r="AP1435" s="483"/>
      <c r="AQ1435" s="483"/>
      <c r="AR1435" s="430"/>
      <c r="AS1435" s="430"/>
      <c r="AT1435" s="430"/>
      <c r="AU1435" s="481"/>
      <c r="AV1435" s="483"/>
      <c r="AW1435" s="430"/>
      <c r="AX1435" s="430"/>
      <c r="AY1435" s="853"/>
      <c r="AZ1435" s="481"/>
      <c r="BA1435" s="483"/>
      <c r="BB1435" s="430"/>
      <c r="BC1435" s="430"/>
      <c r="BD1435" s="853"/>
      <c r="BE1435" s="481"/>
      <c r="BF1435" s="430"/>
      <c r="BG1435" s="430"/>
      <c r="BH1435" s="430"/>
      <c r="BI1435" s="853"/>
      <c r="BJ1435" s="481"/>
      <c r="BK1435" s="430"/>
      <c r="BL1435" s="430"/>
      <c r="BM1435" s="430"/>
      <c r="BN1435" s="853"/>
      <c r="BO1435" s="481"/>
      <c r="BP1435" s="430"/>
      <c r="BQ1435" s="430"/>
      <c r="BR1435" s="430"/>
      <c r="BS1435" s="430"/>
      <c r="BT1435" s="2587"/>
      <c r="BU1435" s="2840"/>
      <c r="BV1435" s="2840"/>
      <c r="BW1435" s="2840"/>
      <c r="BX1435" s="2840"/>
      <c r="BY1435" s="2587"/>
      <c r="BZ1435" s="481"/>
      <c r="CA1435" s="481"/>
      <c r="CB1435" s="481"/>
      <c r="CC1435" s="481"/>
      <c r="CD1435" s="481"/>
      <c r="CE1435" s="481"/>
      <c r="CF1435" s="481"/>
      <c r="CG1435" s="331"/>
      <c r="CH1435" s="331"/>
      <c r="CI1435" s="331"/>
      <c r="CJ1435" s="331"/>
      <c r="CK1435" s="331"/>
      <c r="CL1435" s="520"/>
      <c r="CM1435" s="430"/>
      <c r="CN1435" s="430"/>
      <c r="CO1435" s="430"/>
      <c r="CP1435" s="430"/>
      <c r="CQ1435" s="430"/>
      <c r="CR1435" s="430"/>
      <c r="CS1435" s="430"/>
      <c r="CT1435" s="430"/>
      <c r="CU1435" s="430"/>
      <c r="CV1435" s="430"/>
      <c r="CW1435" s="430"/>
      <c r="CX1435" s="430"/>
      <c r="CY1435" s="430"/>
      <c r="CZ1435" s="430"/>
      <c r="DA1435" s="430"/>
      <c r="DB1435" s="430"/>
      <c r="DC1435" s="853"/>
      <c r="DD1435" s="331"/>
      <c r="DE1435" s="331"/>
      <c r="DF1435" s="502"/>
      <c r="DG1435" s="503"/>
      <c r="DH1435" s="2840"/>
      <c r="DI1435" s="3213"/>
      <c r="DJ1435" s="502"/>
      <c r="DK1435" s="503"/>
      <c r="DL1435" s="502"/>
      <c r="DM1435" s="502"/>
      <c r="DN1435" s="502"/>
      <c r="DO1435" s="502"/>
      <c r="DP1435" s="503"/>
      <c r="DQ1435" s="503"/>
      <c r="DR1435" s="296"/>
      <c r="DS1435" s="296"/>
      <c r="DT1435" s="296"/>
    </row>
    <row r="1436" spans="1:124" ht="12" customHeight="1" x14ac:dyDescent="0.25">
      <c r="A1436" s="705" t="s">
        <v>2104</v>
      </c>
      <c r="B1436" s="11"/>
      <c r="C1436" s="543"/>
      <c r="D1436" s="543"/>
      <c r="E1436" s="543"/>
      <c r="F1436" s="543"/>
      <c r="G1436" s="510"/>
      <c r="H1436" s="543"/>
      <c r="I1436" s="543"/>
      <c r="J1436" s="543"/>
      <c r="K1436" s="543"/>
      <c r="L1436" s="510"/>
      <c r="M1436" s="543"/>
      <c r="N1436" s="543"/>
      <c r="O1436" s="543"/>
      <c r="P1436" s="543"/>
      <c r="Q1436" s="510"/>
      <c r="R1436" s="543"/>
      <c r="S1436" s="543"/>
      <c r="T1436" s="543"/>
      <c r="U1436" s="543"/>
      <c r="V1436" s="510"/>
      <c r="W1436" s="543"/>
      <c r="X1436" s="543"/>
      <c r="Y1436" s="543"/>
      <c r="Z1436" s="543"/>
      <c r="AA1436" s="510"/>
      <c r="AB1436" s="543"/>
      <c r="AC1436" s="543"/>
      <c r="AD1436" s="607">
        <v>359.4</v>
      </c>
      <c r="AE1436" s="608">
        <f t="shared" ref="AE1436:AP1436" si="3270">AD1436</f>
        <v>359.4</v>
      </c>
      <c r="AF1436" s="481">
        <f t="shared" si="3270"/>
        <v>359.4</v>
      </c>
      <c r="AG1436" s="608">
        <f t="shared" si="3270"/>
        <v>359.4</v>
      </c>
      <c r="AH1436" s="608">
        <f t="shared" si="3270"/>
        <v>359.4</v>
      </c>
      <c r="AI1436" s="608">
        <f t="shared" si="3270"/>
        <v>359.4</v>
      </c>
      <c r="AJ1436" s="608">
        <f t="shared" si="3270"/>
        <v>359.4</v>
      </c>
      <c r="AK1436" s="481">
        <f t="shared" si="3270"/>
        <v>359.4</v>
      </c>
      <c r="AL1436" s="608">
        <f t="shared" si="3270"/>
        <v>359.4</v>
      </c>
      <c r="AM1436" s="608">
        <f t="shared" si="3270"/>
        <v>359.4</v>
      </c>
      <c r="AN1436" s="608">
        <f t="shared" si="3270"/>
        <v>359.4</v>
      </c>
      <c r="AO1436" s="608">
        <f t="shared" si="3270"/>
        <v>359.4</v>
      </c>
      <c r="AP1436" s="483">
        <f t="shared" si="3270"/>
        <v>359.4</v>
      </c>
      <c r="AQ1436" s="483">
        <f t="shared" ref="AQ1436:AU1437" si="3271">AP1436</f>
        <v>359.4</v>
      </c>
      <c r="AR1436" s="430">
        <f t="shared" si="3271"/>
        <v>359.4</v>
      </c>
      <c r="AS1436" s="430">
        <f t="shared" si="3271"/>
        <v>359.4</v>
      </c>
      <c r="AT1436" s="430">
        <f t="shared" si="3271"/>
        <v>359.4</v>
      </c>
      <c r="AU1436" s="481">
        <f t="shared" si="3271"/>
        <v>359.4</v>
      </c>
      <c r="AV1436" s="483">
        <f t="shared" ref="AV1436:BE1436" si="3272">AU1436</f>
        <v>359.4</v>
      </c>
      <c r="AW1436" s="430">
        <f t="shared" si="3272"/>
        <v>359.4</v>
      </c>
      <c r="AX1436" s="430">
        <f t="shared" si="3272"/>
        <v>359.4</v>
      </c>
      <c r="AY1436" s="853">
        <f t="shared" si="3272"/>
        <v>359.4</v>
      </c>
      <c r="AZ1436" s="481">
        <f t="shared" si="3272"/>
        <v>359.4</v>
      </c>
      <c r="BA1436" s="483">
        <f t="shared" si="3272"/>
        <v>359.4</v>
      </c>
      <c r="BB1436" s="430">
        <f>BA1436</f>
        <v>359.4</v>
      </c>
      <c r="BC1436" s="430">
        <f t="shared" si="3272"/>
        <v>359.4</v>
      </c>
      <c r="BD1436" s="853">
        <f t="shared" si="3272"/>
        <v>359.4</v>
      </c>
      <c r="BE1436" s="481">
        <f t="shared" si="3272"/>
        <v>359.4</v>
      </c>
      <c r="BF1436" s="430">
        <f t="shared" ref="BF1436:BJ1437" si="3273">BE1436</f>
        <v>359.4</v>
      </c>
      <c r="BG1436" s="430">
        <f t="shared" si="3273"/>
        <v>359.4</v>
      </c>
      <c r="BH1436" s="430">
        <f t="shared" si="3273"/>
        <v>359.4</v>
      </c>
      <c r="BI1436" s="853">
        <f t="shared" si="3273"/>
        <v>359.4</v>
      </c>
      <c r="BJ1436" s="481">
        <f t="shared" si="3273"/>
        <v>359.4</v>
      </c>
      <c r="BK1436" s="430">
        <f t="shared" ref="BK1436:BO1437" si="3274">BJ1436</f>
        <v>359.4</v>
      </c>
      <c r="BL1436" s="430">
        <f>BK1436</f>
        <v>359.4</v>
      </c>
      <c r="BM1436" s="430">
        <f t="shared" si="3274"/>
        <v>359.4</v>
      </c>
      <c r="BN1436" s="853">
        <f t="shared" si="3274"/>
        <v>359.4</v>
      </c>
      <c r="BO1436" s="481">
        <f t="shared" si="3274"/>
        <v>359.4</v>
      </c>
      <c r="BP1436" s="430">
        <f t="shared" ref="BP1436:BT1437" si="3275">BO1436</f>
        <v>359.4</v>
      </c>
      <c r="BQ1436" s="430">
        <f t="shared" si="3275"/>
        <v>359.4</v>
      </c>
      <c r="BR1436" s="430">
        <f t="shared" si="3275"/>
        <v>359.4</v>
      </c>
      <c r="BS1436" s="430">
        <f t="shared" si="3275"/>
        <v>359.4</v>
      </c>
      <c r="BT1436" s="2587">
        <f t="shared" si="3275"/>
        <v>359.4</v>
      </c>
      <c r="BU1436" s="2840">
        <f t="shared" ref="BU1436:BX1437" si="3276">BT1436</f>
        <v>359.4</v>
      </c>
      <c r="BV1436" s="2840">
        <f t="shared" si="3276"/>
        <v>359.4</v>
      </c>
      <c r="BW1436" s="2840">
        <f t="shared" si="3276"/>
        <v>359.4</v>
      </c>
      <c r="BX1436" s="2840">
        <f t="shared" si="3276"/>
        <v>359.4</v>
      </c>
      <c r="BY1436" s="2587">
        <f t="shared" ref="BY1436:CA1437" si="3277">BX1436</f>
        <v>359.4</v>
      </c>
      <c r="BZ1436" s="481">
        <f t="shared" si="3277"/>
        <v>359.4</v>
      </c>
      <c r="CA1436" s="481">
        <f t="shared" si="3277"/>
        <v>359.4</v>
      </c>
      <c r="CB1436" s="481">
        <f t="shared" ref="CB1436:CF1437" si="3278">CA1436</f>
        <v>359.4</v>
      </c>
      <c r="CC1436" s="481">
        <f t="shared" si="3278"/>
        <v>359.4</v>
      </c>
      <c r="CD1436" s="481">
        <f t="shared" si="3278"/>
        <v>359.4</v>
      </c>
      <c r="CE1436" s="481">
        <f t="shared" si="3278"/>
        <v>359.4</v>
      </c>
      <c r="CF1436" s="481">
        <f t="shared" si="3278"/>
        <v>359.4</v>
      </c>
      <c r="CG1436" s="331"/>
      <c r="CH1436" s="331"/>
      <c r="CI1436" s="331"/>
      <c r="CJ1436" s="331"/>
      <c r="CK1436" s="331"/>
      <c r="CL1436" s="2025" t="str">
        <f>A1436</f>
        <v>Tranche A Revolver</v>
      </c>
      <c r="CM1436" s="430"/>
      <c r="CN1436" s="430"/>
      <c r="CO1436" s="430"/>
      <c r="CP1436" s="430"/>
      <c r="CQ1436" s="430"/>
      <c r="CR1436" s="430">
        <f>AF1436</f>
        <v>359.4</v>
      </c>
      <c r="CS1436" s="430">
        <f>AK1436</f>
        <v>359.4</v>
      </c>
      <c r="CT1436" s="430">
        <f>AP1436</f>
        <v>359.4</v>
      </c>
      <c r="CU1436" s="430">
        <f>AU1436</f>
        <v>359.4</v>
      </c>
      <c r="CV1436" s="430">
        <f>AZ1436</f>
        <v>359.4</v>
      </c>
      <c r="CW1436" s="430">
        <f>BE1436</f>
        <v>359.4</v>
      </c>
      <c r="CX1436" s="430">
        <f>BJ1436</f>
        <v>359.4</v>
      </c>
      <c r="CY1436" s="430">
        <f>BO1436</f>
        <v>359.4</v>
      </c>
      <c r="CZ1436" s="430">
        <f>BT1436</f>
        <v>359.4</v>
      </c>
      <c r="DA1436" s="430">
        <f t="shared" ref="DA1436:DC1439" si="3279">BY1436</f>
        <v>359.4</v>
      </c>
      <c r="DB1436" s="430">
        <f t="shared" si="3279"/>
        <v>359.4</v>
      </c>
      <c r="DC1436" s="853">
        <f t="shared" si="3279"/>
        <v>359.4</v>
      </c>
      <c r="DD1436" s="331"/>
      <c r="DE1436" s="331"/>
      <c r="DF1436" s="502"/>
      <c r="DG1436" s="503"/>
      <c r="DH1436" s="2840"/>
      <c r="DI1436" s="3213"/>
      <c r="DJ1436" s="502"/>
      <c r="DK1436" s="503"/>
      <c r="DL1436" s="502"/>
      <c r="DM1436" s="502"/>
      <c r="DN1436" s="502"/>
      <c r="DO1436" s="502"/>
      <c r="DP1436" s="503"/>
      <c r="DQ1436" s="503"/>
      <c r="DR1436" s="296"/>
      <c r="DS1436" s="296"/>
      <c r="DT1436" s="296"/>
    </row>
    <row r="1437" spans="1:124" ht="12" customHeight="1" x14ac:dyDescent="0.25">
      <c r="A1437" s="705" t="s">
        <v>2105</v>
      </c>
      <c r="B1437" s="11"/>
      <c r="C1437" s="543"/>
      <c r="D1437" s="543"/>
      <c r="E1437" s="543"/>
      <c r="F1437" s="543"/>
      <c r="G1437" s="510"/>
      <c r="H1437" s="543"/>
      <c r="I1437" s="543"/>
      <c r="J1437" s="543"/>
      <c r="K1437" s="543"/>
      <c r="L1437" s="510"/>
      <c r="M1437" s="543"/>
      <c r="N1437" s="543"/>
      <c r="O1437" s="543"/>
      <c r="P1437" s="543"/>
      <c r="Q1437" s="510"/>
      <c r="R1437" s="543"/>
      <c r="S1437" s="543"/>
      <c r="T1437" s="543"/>
      <c r="U1437" s="543"/>
      <c r="V1437" s="510"/>
      <c r="W1437" s="543"/>
      <c r="X1437" s="543"/>
      <c r="Y1437" s="543"/>
      <c r="Z1437" s="543"/>
      <c r="AA1437" s="510"/>
      <c r="AB1437" s="543"/>
      <c r="AC1437" s="543"/>
      <c r="AD1437" s="482">
        <v>640.6</v>
      </c>
      <c r="AE1437" s="430">
        <f t="shared" ref="AE1437:AP1437" si="3280">AD1437</f>
        <v>640.6</v>
      </c>
      <c r="AF1437" s="481">
        <f t="shared" si="3280"/>
        <v>640.6</v>
      </c>
      <c r="AG1437" s="430">
        <f t="shared" si="3280"/>
        <v>640.6</v>
      </c>
      <c r="AH1437" s="430">
        <f t="shared" si="3280"/>
        <v>640.6</v>
      </c>
      <c r="AI1437" s="430">
        <f t="shared" si="3280"/>
        <v>640.6</v>
      </c>
      <c r="AJ1437" s="430">
        <f t="shared" si="3280"/>
        <v>640.6</v>
      </c>
      <c r="AK1437" s="481">
        <f t="shared" si="3280"/>
        <v>640.6</v>
      </c>
      <c r="AL1437" s="430">
        <f t="shared" si="3280"/>
        <v>640.6</v>
      </c>
      <c r="AM1437" s="430">
        <f t="shared" si="3280"/>
        <v>640.6</v>
      </c>
      <c r="AN1437" s="430">
        <f t="shared" si="3280"/>
        <v>640.6</v>
      </c>
      <c r="AO1437" s="430">
        <f t="shared" si="3280"/>
        <v>640.6</v>
      </c>
      <c r="AP1437" s="483">
        <f t="shared" si="3280"/>
        <v>640.6</v>
      </c>
      <c r="AQ1437" s="483">
        <f t="shared" si="3271"/>
        <v>640.6</v>
      </c>
      <c r="AR1437" s="430">
        <f t="shared" si="3271"/>
        <v>640.6</v>
      </c>
      <c r="AS1437" s="430">
        <f t="shared" si="3271"/>
        <v>640.6</v>
      </c>
      <c r="AT1437" s="430">
        <f t="shared" si="3271"/>
        <v>640.6</v>
      </c>
      <c r="AU1437" s="481">
        <f t="shared" si="3271"/>
        <v>640.6</v>
      </c>
      <c r="AV1437" s="483">
        <f t="shared" ref="AV1437:BE1437" si="3281">AU1437</f>
        <v>640.6</v>
      </c>
      <c r="AW1437" s="430">
        <f t="shared" si="3281"/>
        <v>640.6</v>
      </c>
      <c r="AX1437" s="430">
        <f t="shared" si="3281"/>
        <v>640.6</v>
      </c>
      <c r="AY1437" s="853">
        <f t="shared" si="3281"/>
        <v>640.6</v>
      </c>
      <c r="AZ1437" s="481">
        <f t="shared" si="3281"/>
        <v>640.6</v>
      </c>
      <c r="BA1437" s="483">
        <f t="shared" si="3281"/>
        <v>640.6</v>
      </c>
      <c r="BB1437" s="430">
        <f>BA1437</f>
        <v>640.6</v>
      </c>
      <c r="BC1437" s="430">
        <f t="shared" si="3281"/>
        <v>640.6</v>
      </c>
      <c r="BD1437" s="853">
        <f t="shared" si="3281"/>
        <v>640.6</v>
      </c>
      <c r="BE1437" s="481">
        <f t="shared" si="3281"/>
        <v>640.6</v>
      </c>
      <c r="BF1437" s="430">
        <f t="shared" si="3273"/>
        <v>640.6</v>
      </c>
      <c r="BG1437" s="430">
        <f t="shared" si="3273"/>
        <v>640.6</v>
      </c>
      <c r="BH1437" s="430">
        <f t="shared" si="3273"/>
        <v>640.6</v>
      </c>
      <c r="BI1437" s="853">
        <f t="shared" si="3273"/>
        <v>640.6</v>
      </c>
      <c r="BJ1437" s="481">
        <f t="shared" si="3273"/>
        <v>640.6</v>
      </c>
      <c r="BK1437" s="430">
        <f t="shared" si="3274"/>
        <v>640.6</v>
      </c>
      <c r="BL1437" s="430">
        <f>BK1437</f>
        <v>640.6</v>
      </c>
      <c r="BM1437" s="430">
        <f t="shared" si="3274"/>
        <v>640.6</v>
      </c>
      <c r="BN1437" s="853">
        <f t="shared" si="3274"/>
        <v>640.6</v>
      </c>
      <c r="BO1437" s="481">
        <f t="shared" si="3274"/>
        <v>640.6</v>
      </c>
      <c r="BP1437" s="430">
        <f t="shared" si="3275"/>
        <v>640.6</v>
      </c>
      <c r="BQ1437" s="430">
        <f t="shared" si="3275"/>
        <v>640.6</v>
      </c>
      <c r="BR1437" s="430">
        <f t="shared" si="3275"/>
        <v>640.6</v>
      </c>
      <c r="BS1437" s="430">
        <f t="shared" si="3275"/>
        <v>640.6</v>
      </c>
      <c r="BT1437" s="2587">
        <f t="shared" si="3275"/>
        <v>640.6</v>
      </c>
      <c r="BU1437" s="2840">
        <f t="shared" si="3276"/>
        <v>640.6</v>
      </c>
      <c r="BV1437" s="2840">
        <f t="shared" si="3276"/>
        <v>640.6</v>
      </c>
      <c r="BW1437" s="2840">
        <f t="shared" si="3276"/>
        <v>640.6</v>
      </c>
      <c r="BX1437" s="2840">
        <f t="shared" si="3276"/>
        <v>640.6</v>
      </c>
      <c r="BY1437" s="2587">
        <f t="shared" si="3277"/>
        <v>640.6</v>
      </c>
      <c r="BZ1437" s="481">
        <f t="shared" si="3277"/>
        <v>640.6</v>
      </c>
      <c r="CA1437" s="481">
        <f t="shared" si="3277"/>
        <v>640.6</v>
      </c>
      <c r="CB1437" s="481">
        <f t="shared" si="3278"/>
        <v>640.6</v>
      </c>
      <c r="CC1437" s="481">
        <f t="shared" si="3278"/>
        <v>640.6</v>
      </c>
      <c r="CD1437" s="481">
        <f t="shared" si="3278"/>
        <v>640.6</v>
      </c>
      <c r="CE1437" s="481">
        <f t="shared" si="3278"/>
        <v>640.6</v>
      </c>
      <c r="CF1437" s="481">
        <f t="shared" si="3278"/>
        <v>640.6</v>
      </c>
      <c r="CG1437" s="331"/>
      <c r="CH1437" s="331"/>
      <c r="CI1437" s="331"/>
      <c r="CJ1437" s="331"/>
      <c r="CK1437" s="331"/>
      <c r="CL1437" s="2025" t="str">
        <f>A1437</f>
        <v>Tranche B Revolver</v>
      </c>
      <c r="CM1437" s="430"/>
      <c r="CN1437" s="430"/>
      <c r="CO1437" s="430"/>
      <c r="CP1437" s="430"/>
      <c r="CQ1437" s="430"/>
      <c r="CR1437" s="430">
        <f>AF1437</f>
        <v>640.6</v>
      </c>
      <c r="CS1437" s="430">
        <f>AK1437</f>
        <v>640.6</v>
      </c>
      <c r="CT1437" s="430">
        <f>AP1437</f>
        <v>640.6</v>
      </c>
      <c r="CU1437" s="430">
        <f>AU1437</f>
        <v>640.6</v>
      </c>
      <c r="CV1437" s="430">
        <f>AZ1437</f>
        <v>640.6</v>
      </c>
      <c r="CW1437" s="430">
        <f>BE1437</f>
        <v>640.6</v>
      </c>
      <c r="CX1437" s="430">
        <f>BJ1437</f>
        <v>640.6</v>
      </c>
      <c r="CY1437" s="430">
        <f>BO1437</f>
        <v>640.6</v>
      </c>
      <c r="CZ1437" s="430">
        <f>BT1437</f>
        <v>640.6</v>
      </c>
      <c r="DA1437" s="430">
        <f t="shared" si="3279"/>
        <v>640.6</v>
      </c>
      <c r="DB1437" s="430">
        <f t="shared" si="3279"/>
        <v>640.6</v>
      </c>
      <c r="DC1437" s="853">
        <f t="shared" si="3279"/>
        <v>640.6</v>
      </c>
      <c r="DD1437" s="331"/>
      <c r="DE1437" s="331"/>
      <c r="DF1437" s="502"/>
      <c r="DG1437" s="503"/>
      <c r="DH1437" s="2840"/>
      <c r="DI1437" s="3213"/>
      <c r="DJ1437" s="502"/>
      <c r="DK1437" s="503"/>
      <c r="DL1437" s="502"/>
      <c r="DM1437" s="502"/>
      <c r="DN1437" s="502"/>
      <c r="DO1437" s="502"/>
      <c r="DP1437" s="503"/>
      <c r="DQ1437" s="503"/>
      <c r="DR1437" s="296"/>
      <c r="DS1437" s="296"/>
      <c r="DT1437" s="296"/>
    </row>
    <row r="1438" spans="1:124" ht="4.5" customHeight="1" x14ac:dyDescent="0.25">
      <c r="A1438" s="1953"/>
      <c r="B1438" s="11"/>
      <c r="C1438" s="544" t="s">
        <v>1151</v>
      </c>
      <c r="D1438" s="544" t="s">
        <v>1151</v>
      </c>
      <c r="E1438" s="544" t="s">
        <v>1151</v>
      </c>
      <c r="F1438" s="544" t="s">
        <v>1151</v>
      </c>
      <c r="G1438" s="461" t="s">
        <v>1151</v>
      </c>
      <c r="H1438" s="544" t="s">
        <v>1151</v>
      </c>
      <c r="I1438" s="544" t="s">
        <v>1151</v>
      </c>
      <c r="J1438" s="544" t="s">
        <v>1151</v>
      </c>
      <c r="K1438" s="544" t="s">
        <v>1151</v>
      </c>
      <c r="L1438" s="461" t="s">
        <v>1151</v>
      </c>
      <c r="M1438" s="544" t="s">
        <v>1151</v>
      </c>
      <c r="N1438" s="544" t="s">
        <v>1151</v>
      </c>
      <c r="O1438" s="544" t="s">
        <v>1151</v>
      </c>
      <c r="P1438" s="544" t="s">
        <v>1151</v>
      </c>
      <c r="Q1438" s="461" t="s">
        <v>1151</v>
      </c>
      <c r="R1438" s="544" t="s">
        <v>1151</v>
      </c>
      <c r="S1438" s="544" t="s">
        <v>1151</v>
      </c>
      <c r="T1438" s="544" t="s">
        <v>1151</v>
      </c>
      <c r="U1438" s="544" t="s">
        <v>1151</v>
      </c>
      <c r="V1438" s="461" t="s">
        <v>1151</v>
      </c>
      <c r="W1438" s="544" t="s">
        <v>1151</v>
      </c>
      <c r="X1438" s="544" t="s">
        <v>1151</v>
      </c>
      <c r="Y1438" s="544" t="s">
        <v>1151</v>
      </c>
      <c r="Z1438" s="544" t="s">
        <v>1151</v>
      </c>
      <c r="AA1438" s="461" t="s">
        <v>1151</v>
      </c>
      <c r="AB1438" s="544" t="s">
        <v>1151</v>
      </c>
      <c r="AC1438" s="544" t="s">
        <v>1151</v>
      </c>
      <c r="AD1438" s="544" t="s">
        <v>1151</v>
      </c>
      <c r="AE1438" s="544" t="s">
        <v>1151</v>
      </c>
      <c r="AF1438" s="461" t="s">
        <v>1151</v>
      </c>
      <c r="AG1438" s="544" t="s">
        <v>1151</v>
      </c>
      <c r="AH1438" s="544" t="s">
        <v>1151</v>
      </c>
      <c r="AI1438" s="544" t="s">
        <v>1151</v>
      </c>
      <c r="AJ1438" s="544" t="s">
        <v>1151</v>
      </c>
      <c r="AK1438" s="461" t="s">
        <v>1151</v>
      </c>
      <c r="AL1438" s="544" t="s">
        <v>1151</v>
      </c>
      <c r="AM1438" s="544" t="s">
        <v>1151</v>
      </c>
      <c r="AN1438" s="544" t="s">
        <v>1151</v>
      </c>
      <c r="AO1438" s="544" t="s">
        <v>1151</v>
      </c>
      <c r="AP1438" s="461" t="s">
        <v>1151</v>
      </c>
      <c r="AQ1438" s="544" t="s">
        <v>1151</v>
      </c>
      <c r="AR1438" s="544" t="s">
        <v>1151</v>
      </c>
      <c r="AS1438" s="544" t="s">
        <v>1151</v>
      </c>
      <c r="AT1438" s="544" t="s">
        <v>1151</v>
      </c>
      <c r="AU1438" s="461" t="s">
        <v>1151</v>
      </c>
      <c r="AV1438" s="544" t="s">
        <v>1151</v>
      </c>
      <c r="AW1438" s="544" t="s">
        <v>1151</v>
      </c>
      <c r="AX1438" s="544" t="s">
        <v>1151</v>
      </c>
      <c r="AY1438" s="544" t="s">
        <v>1151</v>
      </c>
      <c r="AZ1438" s="461" t="s">
        <v>1151</v>
      </c>
      <c r="BA1438" s="544" t="s">
        <v>1151</v>
      </c>
      <c r="BB1438" s="544" t="s">
        <v>1151</v>
      </c>
      <c r="BC1438" s="544" t="s">
        <v>1151</v>
      </c>
      <c r="BD1438" s="544" t="s">
        <v>1151</v>
      </c>
      <c r="BE1438" s="461" t="s">
        <v>1151</v>
      </c>
      <c r="BF1438" s="544" t="s">
        <v>1151</v>
      </c>
      <c r="BG1438" s="544" t="s">
        <v>1151</v>
      </c>
      <c r="BH1438" s="544" t="s">
        <v>1151</v>
      </c>
      <c r="BI1438" s="544" t="s">
        <v>1151</v>
      </c>
      <c r="BJ1438" s="461" t="s">
        <v>1151</v>
      </c>
      <c r="BK1438" s="609" t="s">
        <v>1151</v>
      </c>
      <c r="BL1438" s="544" t="s">
        <v>1151</v>
      </c>
      <c r="BM1438" s="544" t="s">
        <v>1151</v>
      </c>
      <c r="BN1438" s="544" t="s">
        <v>1151</v>
      </c>
      <c r="BO1438" s="461" t="s">
        <v>1151</v>
      </c>
      <c r="BP1438" s="544" t="s">
        <v>1151</v>
      </c>
      <c r="BQ1438" s="544" t="s">
        <v>1151</v>
      </c>
      <c r="BR1438" s="544" t="s">
        <v>1151</v>
      </c>
      <c r="BS1438" s="544" t="s">
        <v>1151</v>
      </c>
      <c r="BT1438" s="461" t="s">
        <v>1151</v>
      </c>
      <c r="BU1438" s="544" t="s">
        <v>1151</v>
      </c>
      <c r="BV1438" s="544" t="s">
        <v>1151</v>
      </c>
      <c r="BW1438" s="544" t="s">
        <v>1151</v>
      </c>
      <c r="BX1438" s="544" t="s">
        <v>1151</v>
      </c>
      <c r="BY1438" s="461" t="s">
        <v>1151</v>
      </c>
      <c r="BZ1438" s="461" t="s">
        <v>1151</v>
      </c>
      <c r="CA1438" s="461" t="s">
        <v>1151</v>
      </c>
      <c r="CB1438" s="461" t="s">
        <v>1151</v>
      </c>
      <c r="CC1438" s="461" t="s">
        <v>1151</v>
      </c>
      <c r="CD1438" s="461" t="s">
        <v>1151</v>
      </c>
      <c r="CE1438" s="461" t="s">
        <v>1151</v>
      </c>
      <c r="CF1438" s="461" t="s">
        <v>1151</v>
      </c>
      <c r="CG1438" s="331"/>
      <c r="CH1438" s="331"/>
      <c r="CI1438" s="331"/>
      <c r="CJ1438" s="331"/>
      <c r="CK1438" s="331"/>
      <c r="CL1438" s="2027"/>
      <c r="CM1438" s="2029" t="str">
        <f>G1438</f>
        <v xml:space="preserve">                </v>
      </c>
      <c r="CN1438" s="2029" t="str">
        <f>L1438</f>
        <v xml:space="preserve">                </v>
      </c>
      <c r="CO1438" s="2029" t="str">
        <f>Q1438</f>
        <v xml:space="preserve">                </v>
      </c>
      <c r="CP1438" s="2029" t="str">
        <f>V1438</f>
        <v xml:space="preserve">                </v>
      </c>
      <c r="CQ1438" s="2029" t="str">
        <f>AA1438</f>
        <v xml:space="preserve">                </v>
      </c>
      <c r="CR1438" s="2029" t="str">
        <f>AF1438</f>
        <v xml:space="preserve">                </v>
      </c>
      <c r="CS1438" s="2029" t="str">
        <f>AK1438</f>
        <v xml:space="preserve">                </v>
      </c>
      <c r="CT1438" s="2029" t="str">
        <f>AP1438</f>
        <v xml:space="preserve">                </v>
      </c>
      <c r="CU1438" s="2029" t="str">
        <f>AU1438</f>
        <v xml:space="preserve">                </v>
      </c>
      <c r="CV1438" s="2029" t="str">
        <f>AZ1438</f>
        <v xml:space="preserve">                </v>
      </c>
      <c r="CW1438" s="2029" t="str">
        <f>BE1438</f>
        <v xml:space="preserve">                </v>
      </c>
      <c r="CX1438" s="2029" t="str">
        <f>BJ1438</f>
        <v xml:space="preserve">                </v>
      </c>
      <c r="CY1438" s="2029" t="str">
        <f>BO1438</f>
        <v xml:space="preserve">                </v>
      </c>
      <c r="CZ1438" s="2029" t="str">
        <f>BT1438</f>
        <v xml:space="preserve">                </v>
      </c>
      <c r="DA1438" s="2029" t="str">
        <f t="shared" si="3279"/>
        <v xml:space="preserve">                </v>
      </c>
      <c r="DB1438" s="2029" t="str">
        <f t="shared" si="3279"/>
        <v xml:space="preserve">                </v>
      </c>
      <c r="DC1438" s="2030" t="str">
        <f t="shared" si="3279"/>
        <v xml:space="preserve">                </v>
      </c>
      <c r="DD1438" s="331"/>
      <c r="DE1438" s="331"/>
      <c r="DF1438" s="502"/>
      <c r="DG1438" s="503"/>
      <c r="DH1438" s="2029"/>
      <c r="DI1438" s="3213"/>
      <c r="DJ1438" s="502"/>
      <c r="DK1438" s="503"/>
      <c r="DL1438" s="502"/>
      <c r="DM1438" s="502"/>
      <c r="DN1438" s="502"/>
      <c r="DO1438" s="502"/>
      <c r="DP1438" s="503"/>
      <c r="DQ1438" s="503"/>
      <c r="DR1438" s="296"/>
      <c r="DS1438" s="296"/>
      <c r="DT1438" s="296"/>
    </row>
    <row r="1439" spans="1:124" ht="12" customHeight="1" x14ac:dyDescent="0.25">
      <c r="A1439" s="428" t="s">
        <v>1708</v>
      </c>
      <c r="B1439" s="11"/>
      <c r="C1439" s="543"/>
      <c r="D1439" s="543"/>
      <c r="E1439" s="543"/>
      <c r="F1439" s="543"/>
      <c r="G1439" s="510"/>
      <c r="H1439" s="543"/>
      <c r="I1439" s="543"/>
      <c r="J1439" s="543"/>
      <c r="K1439" s="543"/>
      <c r="L1439" s="510"/>
      <c r="M1439" s="543"/>
      <c r="N1439" s="543"/>
      <c r="O1439" s="543"/>
      <c r="P1439" s="543"/>
      <c r="Q1439" s="510"/>
      <c r="R1439" s="543"/>
      <c r="S1439" s="543"/>
      <c r="T1439" s="543"/>
      <c r="U1439" s="543"/>
      <c r="V1439" s="510"/>
      <c r="W1439" s="543"/>
      <c r="X1439" s="543"/>
      <c r="Y1439" s="543"/>
      <c r="Z1439" s="543"/>
      <c r="AA1439" s="510"/>
      <c r="AB1439" s="543"/>
      <c r="AC1439" s="543"/>
      <c r="AD1439" s="543">
        <f>SUM(AD1436:AD1437)</f>
        <v>1000</v>
      </c>
      <c r="AE1439" s="608">
        <f>SUM(AE1436:AE1437)</f>
        <v>1000</v>
      </c>
      <c r="AF1439" s="481">
        <f>AE1439</f>
        <v>1000</v>
      </c>
      <c r="AG1439" s="608">
        <f>SUM(AG1436:AG1437)</f>
        <v>1000</v>
      </c>
      <c r="AH1439" s="608">
        <f>SUM(AH1436:AH1437)</f>
        <v>1000</v>
      </c>
      <c r="AI1439" s="608">
        <f>SUM(AI1436:AI1437)</f>
        <v>1000</v>
      </c>
      <c r="AJ1439" s="608">
        <f>SUM(AJ1436:AJ1437)</f>
        <v>1000</v>
      </c>
      <c r="AK1439" s="481">
        <f>AJ1439</f>
        <v>1000</v>
      </c>
      <c r="AL1439" s="608">
        <f>SUM(AL1436:AL1437)</f>
        <v>1000</v>
      </c>
      <c r="AM1439" s="608">
        <f>SUM(AM1436:AM1437)</f>
        <v>1000</v>
      </c>
      <c r="AN1439" s="608">
        <f>SUM(AN1436:AN1437)</f>
        <v>1000</v>
      </c>
      <c r="AO1439" s="608">
        <f>SUM(AO1436:AO1437)</f>
        <v>1000</v>
      </c>
      <c r="AP1439" s="483">
        <f>AO1439</f>
        <v>1000</v>
      </c>
      <c r="AQ1439" s="483">
        <f>SUM(AQ1436:AQ1437)</f>
        <v>1000</v>
      </c>
      <c r="AR1439" s="430">
        <f>SUM(AR1436:AR1437)</f>
        <v>1000</v>
      </c>
      <c r="AS1439" s="430">
        <f>SUM(AS1436:AS1437)</f>
        <v>1000</v>
      </c>
      <c r="AT1439" s="430">
        <f>SUM(AT1436:AT1437)</f>
        <v>1000</v>
      </c>
      <c r="AU1439" s="481">
        <f>AT1439</f>
        <v>1000</v>
      </c>
      <c r="AV1439" s="483">
        <f>SUM(AV1436:AV1437)</f>
        <v>1000</v>
      </c>
      <c r="AW1439" s="430">
        <f>SUM(AW1436:AW1437)</f>
        <v>1000</v>
      </c>
      <c r="AX1439" s="430">
        <f>SUM(AX1436:AX1437)</f>
        <v>1000</v>
      </c>
      <c r="AY1439" s="853">
        <f>SUM(AY1436:AY1437)</f>
        <v>1000</v>
      </c>
      <c r="AZ1439" s="481">
        <f>AY1439</f>
        <v>1000</v>
      </c>
      <c r="BA1439" s="483">
        <f>SUM(BA1436:BA1437)</f>
        <v>1000</v>
      </c>
      <c r="BB1439" s="430">
        <f>SUM(BB1436:BB1437)</f>
        <v>1000</v>
      </c>
      <c r="BC1439" s="430">
        <f>SUM(BC1436:BC1437)</f>
        <v>1000</v>
      </c>
      <c r="BD1439" s="853">
        <f>SUM(BD1436:BD1437)</f>
        <v>1000</v>
      </c>
      <c r="BE1439" s="481">
        <f>BD1439</f>
        <v>1000</v>
      </c>
      <c r="BF1439" s="430">
        <f>SUM(BF1436:BF1437)</f>
        <v>1000</v>
      </c>
      <c r="BG1439" s="430">
        <f>SUM(BG1436:BG1437)</f>
        <v>1000</v>
      </c>
      <c r="BH1439" s="430">
        <f>SUM(BH1436:BH1437)</f>
        <v>1000</v>
      </c>
      <c r="BI1439" s="853">
        <f>SUM(BI1436:BI1437)</f>
        <v>1000</v>
      </c>
      <c r="BJ1439" s="481">
        <f>BI1439</f>
        <v>1000</v>
      </c>
      <c r="BK1439" s="430">
        <f>SUM(BK1436:BK1437)</f>
        <v>1000</v>
      </c>
      <c r="BL1439" s="430">
        <f>SUM(BL1436:BL1437)</f>
        <v>1000</v>
      </c>
      <c r="BM1439" s="430">
        <f>SUM(BM1436:BM1437)</f>
        <v>1000</v>
      </c>
      <c r="BN1439" s="853">
        <f>SUM(BN1436:BN1437)</f>
        <v>1000</v>
      </c>
      <c r="BO1439" s="481">
        <f>BN1439</f>
        <v>1000</v>
      </c>
      <c r="BP1439" s="430">
        <f>SUM(BP1436:BP1437)</f>
        <v>1000</v>
      </c>
      <c r="BQ1439" s="430">
        <f>SUM(BQ1436:BQ1437)</f>
        <v>1000</v>
      </c>
      <c r="BR1439" s="430">
        <f>SUM(BR1436:BR1437)</f>
        <v>1000</v>
      </c>
      <c r="BS1439" s="430">
        <f>SUM(BS1436:BS1437)</f>
        <v>1000</v>
      </c>
      <c r="BT1439" s="2587">
        <f>BS1439</f>
        <v>1000</v>
      </c>
      <c r="BU1439" s="2840">
        <f>SUM(BU1436:BU1437)</f>
        <v>1000</v>
      </c>
      <c r="BV1439" s="2840">
        <f>SUM(BV1436:BV1437)</f>
        <v>1000</v>
      </c>
      <c r="BW1439" s="2840">
        <f>SUM(BW1436:BW1437)</f>
        <v>1000</v>
      </c>
      <c r="BX1439" s="2840">
        <f>SUM(BX1436:BX1437)</f>
        <v>1000</v>
      </c>
      <c r="BY1439" s="2587">
        <f>BX1439</f>
        <v>1000</v>
      </c>
      <c r="BZ1439" s="481">
        <f t="shared" ref="BZ1439:CF1439" si="3282">SUM(BZ1436:BZ1437)</f>
        <v>1000</v>
      </c>
      <c r="CA1439" s="481">
        <f t="shared" si="3282"/>
        <v>1000</v>
      </c>
      <c r="CB1439" s="481">
        <f t="shared" si="3282"/>
        <v>1000</v>
      </c>
      <c r="CC1439" s="481">
        <f t="shared" si="3282"/>
        <v>1000</v>
      </c>
      <c r="CD1439" s="481">
        <f t="shared" si="3282"/>
        <v>1000</v>
      </c>
      <c r="CE1439" s="481">
        <f t="shared" si="3282"/>
        <v>1000</v>
      </c>
      <c r="CF1439" s="481">
        <f t="shared" si="3282"/>
        <v>1000</v>
      </c>
      <c r="CG1439" s="331"/>
      <c r="CH1439" s="331"/>
      <c r="CI1439" s="331"/>
      <c r="CJ1439" s="331"/>
      <c r="CK1439" s="331"/>
      <c r="CL1439" s="520" t="str">
        <f>A1439</f>
        <v>Total Revolver Capacity</v>
      </c>
      <c r="CM1439" s="430">
        <f>G1439</f>
        <v>0</v>
      </c>
      <c r="CN1439" s="430">
        <f>L1439</f>
        <v>0</v>
      </c>
      <c r="CO1439" s="430">
        <f>Q1439</f>
        <v>0</v>
      </c>
      <c r="CP1439" s="430">
        <f>V1439</f>
        <v>0</v>
      </c>
      <c r="CQ1439" s="430">
        <f>AA1439</f>
        <v>0</v>
      </c>
      <c r="CR1439" s="430">
        <f>AF1439</f>
        <v>1000</v>
      </c>
      <c r="CS1439" s="430">
        <f>AK1439</f>
        <v>1000</v>
      </c>
      <c r="CT1439" s="430">
        <f>AP1439</f>
        <v>1000</v>
      </c>
      <c r="CU1439" s="430">
        <f>AU1439</f>
        <v>1000</v>
      </c>
      <c r="CV1439" s="430">
        <f>AZ1439</f>
        <v>1000</v>
      </c>
      <c r="CW1439" s="430">
        <f>BE1439</f>
        <v>1000</v>
      </c>
      <c r="CX1439" s="430">
        <f>BJ1439</f>
        <v>1000</v>
      </c>
      <c r="CY1439" s="430">
        <f>BO1439</f>
        <v>1000</v>
      </c>
      <c r="CZ1439" s="430">
        <f>BT1439</f>
        <v>1000</v>
      </c>
      <c r="DA1439" s="430">
        <f t="shared" si="3279"/>
        <v>1000</v>
      </c>
      <c r="DB1439" s="430">
        <f t="shared" si="3279"/>
        <v>1000</v>
      </c>
      <c r="DC1439" s="853">
        <f t="shared" si="3279"/>
        <v>1000</v>
      </c>
      <c r="DD1439" s="331"/>
      <c r="DE1439" s="331"/>
      <c r="DF1439" s="502"/>
      <c r="DG1439" s="503"/>
      <c r="DH1439" s="2840"/>
      <c r="DI1439" s="3213"/>
      <c r="DJ1439" s="502"/>
      <c r="DK1439" s="503"/>
      <c r="DL1439" s="502"/>
      <c r="DM1439" s="502"/>
      <c r="DN1439" s="502"/>
      <c r="DO1439" s="502"/>
      <c r="DP1439" s="503"/>
      <c r="DQ1439" s="503"/>
      <c r="DR1439" s="296"/>
      <c r="DS1439" s="296"/>
      <c r="DT1439" s="296"/>
    </row>
    <row r="1440" spans="1:124" ht="12" customHeight="1" x14ac:dyDescent="0.25">
      <c r="A1440" s="428"/>
      <c r="B1440" s="11"/>
      <c r="C1440" s="423"/>
      <c r="D1440" s="11"/>
      <c r="E1440" s="11"/>
      <c r="F1440" s="11"/>
      <c r="G1440" s="419"/>
      <c r="H1440" s="423"/>
      <c r="I1440" s="11"/>
      <c r="J1440" s="11"/>
      <c r="K1440" s="11"/>
      <c r="L1440" s="419"/>
      <c r="M1440" s="423"/>
      <c r="N1440" s="11"/>
      <c r="O1440" s="11"/>
      <c r="P1440" s="11"/>
      <c r="Q1440" s="419"/>
      <c r="R1440" s="423"/>
      <c r="S1440" s="11"/>
      <c r="T1440" s="11"/>
      <c r="U1440" s="11"/>
      <c r="V1440" s="419"/>
      <c r="W1440" s="11"/>
      <c r="X1440" s="11"/>
      <c r="Y1440" s="11"/>
      <c r="Z1440" s="11"/>
      <c r="AA1440" s="419"/>
      <c r="AB1440" s="423"/>
      <c r="AC1440" s="11"/>
      <c r="AD1440" s="11"/>
      <c r="AE1440" s="296"/>
      <c r="AF1440" s="429"/>
      <c r="AG1440" s="296"/>
      <c r="AH1440" s="296"/>
      <c r="AI1440" s="296"/>
      <c r="AJ1440" s="296"/>
      <c r="AK1440" s="429"/>
      <c r="AL1440" s="428"/>
      <c r="AM1440" s="428"/>
      <c r="AN1440" s="428"/>
      <c r="AO1440" s="428"/>
      <c r="AP1440" s="520"/>
      <c r="AQ1440" s="520"/>
      <c r="AR1440" s="428"/>
      <c r="AS1440" s="428"/>
      <c r="AT1440" s="428"/>
      <c r="AU1440" s="429"/>
      <c r="AV1440" s="520"/>
      <c r="AW1440" s="428"/>
      <c r="AX1440" s="428"/>
      <c r="AY1440" s="840"/>
      <c r="AZ1440" s="429"/>
      <c r="BA1440" s="520"/>
      <c r="BB1440" s="428"/>
      <c r="BC1440" s="428"/>
      <c r="BD1440" s="840"/>
      <c r="BE1440" s="429"/>
      <c r="BF1440" s="428"/>
      <c r="BG1440" s="428"/>
      <c r="BH1440" s="428"/>
      <c r="BI1440" s="840"/>
      <c r="BJ1440" s="429"/>
      <c r="BK1440" s="428"/>
      <c r="BL1440" s="428"/>
      <c r="BM1440" s="428"/>
      <c r="BN1440" s="840"/>
      <c r="BO1440" s="429"/>
      <c r="BP1440" s="428"/>
      <c r="BQ1440" s="428"/>
      <c r="BR1440" s="428"/>
      <c r="BS1440" s="428"/>
      <c r="BT1440" s="3252"/>
      <c r="BU1440" s="2774"/>
      <c r="BV1440" s="3011"/>
      <c r="BW1440" s="3011"/>
      <c r="BX1440" s="3011"/>
      <c r="BY1440" s="3252"/>
      <c r="BZ1440" s="429"/>
      <c r="CA1440" s="429"/>
      <c r="CB1440" s="429"/>
      <c r="CC1440" s="429"/>
      <c r="CD1440" s="429"/>
      <c r="CE1440" s="429"/>
      <c r="CF1440" s="429"/>
      <c r="CG1440" s="331"/>
      <c r="CH1440" s="331"/>
      <c r="CI1440" s="331"/>
      <c r="CJ1440" s="331"/>
      <c r="CK1440" s="331"/>
      <c r="CL1440" s="520"/>
      <c r="CM1440" s="428"/>
      <c r="CN1440" s="428"/>
      <c r="CO1440" s="428"/>
      <c r="CP1440" s="428"/>
      <c r="CQ1440" s="428"/>
      <c r="CR1440" s="428"/>
      <c r="CS1440" s="428"/>
      <c r="CT1440" s="428"/>
      <c r="CU1440" s="428"/>
      <c r="CV1440" s="428"/>
      <c r="CW1440" s="428"/>
      <c r="CX1440" s="428"/>
      <c r="CY1440" s="428"/>
      <c r="CZ1440" s="428"/>
      <c r="DA1440" s="428"/>
      <c r="DB1440" s="428"/>
      <c r="DC1440" s="840"/>
      <c r="DD1440" s="331"/>
      <c r="DE1440" s="331"/>
      <c r="DF1440" s="502"/>
      <c r="DG1440" s="503"/>
      <c r="DH1440" s="3011"/>
      <c r="DI1440" s="3213"/>
      <c r="DJ1440" s="502"/>
      <c r="DK1440" s="503"/>
      <c r="DL1440" s="502"/>
      <c r="DM1440" s="502"/>
      <c r="DN1440" s="502"/>
      <c r="DO1440" s="502"/>
      <c r="DP1440" s="503"/>
      <c r="DQ1440" s="503"/>
      <c r="DR1440" s="296"/>
      <c r="DS1440" s="296"/>
      <c r="DT1440" s="296"/>
    </row>
    <row r="1441" spans="1:124" ht="12" customHeight="1" x14ac:dyDescent="0.25">
      <c r="A1441" s="533" t="s">
        <v>440</v>
      </c>
      <c r="B1441" s="11"/>
      <c r="C1441" s="11"/>
      <c r="D1441" s="11"/>
      <c r="E1441" s="11"/>
      <c r="F1441" s="11"/>
      <c r="G1441" s="419"/>
      <c r="H1441" s="11"/>
      <c r="I1441" s="11"/>
      <c r="J1441" s="11"/>
      <c r="K1441" s="11"/>
      <c r="L1441" s="419"/>
      <c r="M1441" s="11"/>
      <c r="N1441" s="11"/>
      <c r="O1441" s="11"/>
      <c r="P1441" s="11"/>
      <c r="Q1441" s="419"/>
      <c r="R1441" s="11"/>
      <c r="S1441" s="11"/>
      <c r="T1441" s="11"/>
      <c r="U1441" s="11"/>
      <c r="V1441" s="419"/>
      <c r="W1441" s="11"/>
      <c r="X1441" s="11"/>
      <c r="Y1441" s="11"/>
      <c r="Z1441" s="11"/>
      <c r="AA1441" s="419"/>
      <c r="AB1441" s="11"/>
      <c r="AC1441" s="11"/>
      <c r="AD1441" s="11"/>
      <c r="AE1441" s="296"/>
      <c r="AF1441" s="429"/>
      <c r="AG1441" s="296"/>
      <c r="AH1441" s="296"/>
      <c r="AI1441" s="296"/>
      <c r="AJ1441" s="296"/>
      <c r="AK1441" s="429"/>
      <c r="AL1441" s="428"/>
      <c r="AM1441" s="428"/>
      <c r="AN1441" s="428"/>
      <c r="AO1441" s="428"/>
      <c r="AP1441" s="520"/>
      <c r="AQ1441" s="520"/>
      <c r="AR1441" s="428"/>
      <c r="AS1441" s="428"/>
      <c r="AT1441" s="428"/>
      <c r="AU1441" s="429"/>
      <c r="AV1441" s="520"/>
      <c r="AW1441" s="428"/>
      <c r="AX1441" s="428"/>
      <c r="AY1441" s="840"/>
      <c r="AZ1441" s="429"/>
      <c r="BA1441" s="520"/>
      <c r="BB1441" s="428"/>
      <c r="BC1441" s="428"/>
      <c r="BD1441" s="840"/>
      <c r="BE1441" s="429"/>
      <c r="BF1441" s="428"/>
      <c r="BG1441" s="428"/>
      <c r="BH1441" s="428"/>
      <c r="BI1441" s="840"/>
      <c r="BJ1441" s="429"/>
      <c r="BK1441" s="428"/>
      <c r="BL1441" s="428"/>
      <c r="BM1441" s="428"/>
      <c r="BN1441" s="840"/>
      <c r="BO1441" s="429"/>
      <c r="BP1441" s="428"/>
      <c r="BQ1441" s="428"/>
      <c r="BR1441" s="428"/>
      <c r="BS1441" s="428"/>
      <c r="BT1441" s="3252"/>
      <c r="BU1441" s="2774"/>
      <c r="BV1441" s="3011"/>
      <c r="BW1441" s="3011"/>
      <c r="BX1441" s="3011"/>
      <c r="BY1441" s="3252"/>
      <c r="BZ1441" s="429"/>
      <c r="CA1441" s="429"/>
      <c r="CB1441" s="429"/>
      <c r="CC1441" s="429"/>
      <c r="CD1441" s="429"/>
      <c r="CE1441" s="429"/>
      <c r="CF1441" s="429"/>
      <c r="CG1441" s="331"/>
      <c r="CH1441" s="331"/>
      <c r="CI1441" s="331"/>
      <c r="CJ1441" s="331"/>
      <c r="CK1441" s="331"/>
      <c r="CL1441" s="1149" t="str">
        <f>A1441</f>
        <v>Index Rate</v>
      </c>
      <c r="CM1441" s="428"/>
      <c r="CN1441" s="428"/>
      <c r="CO1441" s="428"/>
      <c r="CP1441" s="428"/>
      <c r="CQ1441" s="428"/>
      <c r="CR1441" s="428"/>
      <c r="CS1441" s="428"/>
      <c r="CT1441" s="428"/>
      <c r="CU1441" s="428"/>
      <c r="CV1441" s="428"/>
      <c r="CW1441" s="428"/>
      <c r="CX1441" s="428"/>
      <c r="CY1441" s="428"/>
      <c r="CZ1441" s="428"/>
      <c r="DA1441" s="428"/>
      <c r="DB1441" s="428"/>
      <c r="DC1441" s="840"/>
      <c r="DD1441" s="331"/>
      <c r="DE1441" s="331"/>
      <c r="DF1441" s="502"/>
      <c r="DG1441" s="503"/>
      <c r="DH1441" s="3011"/>
      <c r="DI1441" s="3213"/>
      <c r="DJ1441" s="502"/>
      <c r="DK1441" s="503"/>
      <c r="DL1441" s="502"/>
      <c r="DM1441" s="502"/>
      <c r="DN1441" s="502"/>
      <c r="DO1441" s="502"/>
      <c r="DP1441" s="503"/>
      <c r="DQ1441" s="503"/>
      <c r="DR1441" s="296"/>
      <c r="DS1441" s="296"/>
      <c r="DT1441" s="296"/>
    </row>
    <row r="1442" spans="1:124" ht="12" customHeight="1" x14ac:dyDescent="0.25">
      <c r="A1442" s="632" t="s">
        <v>2179</v>
      </c>
      <c r="B1442" s="619"/>
      <c r="C1442" s="620">
        <v>1.1211E-2</v>
      </c>
      <c r="D1442" s="620">
        <v>1.3093E-2</v>
      </c>
      <c r="E1442" s="620">
        <v>1.7558000000000001E-2</v>
      </c>
      <c r="F1442" s="620">
        <v>2.2988999999999999E-2</v>
      </c>
      <c r="G1442" s="621">
        <f>AVERAGE(C1442:F1442)</f>
        <v>1.6212749999999998E-2</v>
      </c>
      <c r="H1442" s="620">
        <v>2.8410000000000001E-2</v>
      </c>
      <c r="I1442" s="620">
        <v>3.286E-2</v>
      </c>
      <c r="J1442" s="620">
        <v>3.78E-2</v>
      </c>
      <c r="K1442" s="620">
        <v>4.3366700000000001E-2</v>
      </c>
      <c r="L1442" s="621">
        <f>AVERAGE(H1442:K1442)</f>
        <v>3.5609175E-2</v>
      </c>
      <c r="M1442" s="620">
        <v>4.7678999999999999E-2</v>
      </c>
      <c r="N1442" s="620">
        <v>5.2198000000000001E-2</v>
      </c>
      <c r="O1442" s="620">
        <v>5.4330158730158729E-2</v>
      </c>
      <c r="P1442" s="620">
        <v>5.3688E-2</v>
      </c>
      <c r="Q1442" s="621">
        <f>AVERAGE(M1442:P1442)</f>
        <v>5.1973789682539684E-2</v>
      </c>
      <c r="R1442" s="620">
        <v>5.3554838709677498E-2</v>
      </c>
      <c r="S1442" s="620">
        <v>5.3589062500000097E-2</v>
      </c>
      <c r="T1442" s="620">
        <v>5.3920000000000003E-2</v>
      </c>
      <c r="U1442" s="620">
        <v>5.0306456249999992E-2</v>
      </c>
      <c r="V1442" s="621">
        <f>AVERAGE(R1442:U1442)</f>
        <v>5.2842589364919396E-2</v>
      </c>
      <c r="W1442" s="620">
        <v>3.2835723076923097E-2</v>
      </c>
      <c r="X1442" s="620">
        <v>2.7508000000000001E-2</v>
      </c>
      <c r="Y1442" s="620">
        <v>2.9080000000000002E-2</v>
      </c>
      <c r="Z1442" s="620">
        <v>2.7224000000000002E-2</v>
      </c>
      <c r="AA1442" s="621">
        <f>AVERAGE(W1442:Z1442)</f>
        <v>2.9161930769230772E-2</v>
      </c>
      <c r="AB1442" s="620">
        <v>1.24E-2</v>
      </c>
      <c r="AC1442" s="620">
        <v>8.4779999999999994E-3</v>
      </c>
      <c r="AD1442" s="620">
        <v>4.1260000000000003E-3</v>
      </c>
      <c r="AE1442" s="620">
        <f>(0.002531+0.002681+0.002831)/3</f>
        <v>2.6809999999999998E-3</v>
      </c>
      <c r="AF1442" s="621">
        <f>AVERAGE(AB1442:AE1442)</f>
        <v>6.9212500000000003E-3</v>
      </c>
      <c r="AG1442" s="620">
        <v>2.5000000000000001E-3</v>
      </c>
      <c r="AH1442" s="620">
        <v>3.0000000000000001E-3</v>
      </c>
      <c r="AI1442" s="620">
        <v>3.0000000000000001E-3</v>
      </c>
      <c r="AJ1442" s="620">
        <v>3.0000000000000001E-3</v>
      </c>
      <c r="AK1442" s="621">
        <f>AVERAGE(AG1442:AJ1442)</f>
        <v>2.875E-3</v>
      </c>
      <c r="AL1442" s="620">
        <v>3.0000000000000001E-3</v>
      </c>
      <c r="AM1442" s="620">
        <v>3.0000000000000001E-3</v>
      </c>
      <c r="AN1442" s="620">
        <v>3.0000000000000001E-3</v>
      </c>
      <c r="AO1442" s="620">
        <v>3.0000000000000001E-3</v>
      </c>
      <c r="AP1442" s="622">
        <f>AVERAGE(AL1442:AO1442)</f>
        <v>3.0000000000000001E-3</v>
      </c>
      <c r="AQ1442" s="626">
        <v>2.5000000000000001E-3</v>
      </c>
      <c r="AR1442" s="624">
        <f>+AQ1442</f>
        <v>2.5000000000000001E-3</v>
      </c>
      <c r="AS1442" s="624">
        <f>+AR1442</f>
        <v>2.5000000000000001E-3</v>
      </c>
      <c r="AT1442" s="624">
        <f>+AS1442</f>
        <v>2.5000000000000001E-3</v>
      </c>
      <c r="AU1442" s="622">
        <f>AVERAGE(AQ1442:AT1442)</f>
        <v>2.5000000000000001E-3</v>
      </c>
      <c r="AV1442" s="626">
        <v>2.5000000000000001E-3</v>
      </c>
      <c r="AW1442" s="624">
        <v>2.5000000000000001E-3</v>
      </c>
      <c r="AX1442" s="624">
        <v>2.5000000000000001E-3</v>
      </c>
      <c r="AY1442" s="1894">
        <v>2.5000000000000001E-3</v>
      </c>
      <c r="AZ1442" s="621">
        <f>AVERAGE(AV1442:AY1442)</f>
        <v>2.5000000000000001E-3</v>
      </c>
      <c r="BA1442" s="626">
        <v>2.5000000000000001E-3</v>
      </c>
      <c r="BB1442" s="624">
        <v>2.5000000000000001E-3</v>
      </c>
      <c r="BC1442" s="624">
        <v>2.5000000000000001E-3</v>
      </c>
      <c r="BD1442" s="1894">
        <v>2.5000000000000001E-3</v>
      </c>
      <c r="BE1442" s="621">
        <f>AVERAGE(BA1442:BD1442)</f>
        <v>2.5000000000000001E-3</v>
      </c>
      <c r="BF1442" s="624">
        <v>3.2500000000000003E-3</v>
      </c>
      <c r="BG1442" s="624">
        <v>3.2500000000000003E-3</v>
      </c>
      <c r="BH1442" s="624">
        <v>3.2500000000000003E-3</v>
      </c>
      <c r="BI1442" s="624">
        <v>5.7499999999999999E-3</v>
      </c>
      <c r="BJ1442" s="621">
        <f>AVERAGE(BF1442:BI1442)</f>
        <v>3.8750000000000004E-3</v>
      </c>
      <c r="BK1442" s="624">
        <v>3.2500000000000003E-3</v>
      </c>
      <c r="BL1442" s="624">
        <v>6.2500000000000003E-3</v>
      </c>
      <c r="BM1442" s="624">
        <v>6.2500000000000003E-3</v>
      </c>
      <c r="BN1442" s="624">
        <v>8.7500000000000008E-3</v>
      </c>
      <c r="BO1442" s="621">
        <f>AVERAGE(BK1442:BN1442)</f>
        <v>6.1250000000000002E-3</v>
      </c>
      <c r="BP1442" s="624">
        <v>8.7500000000000008E-3</v>
      </c>
      <c r="BQ1442" s="624">
        <v>8.7500000000000008E-3</v>
      </c>
      <c r="BR1442" s="624">
        <v>1.1250000000000001E-2</v>
      </c>
      <c r="BS1442" s="624">
        <v>1.375E-2</v>
      </c>
      <c r="BT1442" s="3254">
        <f>AVERAGE(BP1442:BS1442)</f>
        <v>1.0625000000000001E-2</v>
      </c>
      <c r="BU1442" s="624">
        <v>1.8749999999999999E-2</v>
      </c>
      <c r="BV1442" s="624">
        <v>2.1250000000000002E-2</v>
      </c>
      <c r="BW1442" s="624">
        <v>2.375E-2</v>
      </c>
      <c r="BX1442" s="624">
        <v>2.6249999999999999E-2</v>
      </c>
      <c r="BY1442" s="3254">
        <f>AVERAGE(BU1442:BX1442)</f>
        <v>2.2499999999999999E-2</v>
      </c>
      <c r="BZ1442" s="623">
        <f>+BX1442+0.0025</f>
        <v>2.8749999999999998E-2</v>
      </c>
      <c r="CA1442" s="623">
        <f>+BZ1442+0.0025</f>
        <v>3.1249999999999997E-2</v>
      </c>
      <c r="CB1442" s="3097">
        <f>+CA1442</f>
        <v>3.1249999999999997E-2</v>
      </c>
      <c r="CC1442" s="3097">
        <f>+CB1442</f>
        <v>3.1249999999999997E-2</v>
      </c>
      <c r="CD1442" s="3097">
        <f>+CC1442</f>
        <v>3.1249999999999997E-2</v>
      </c>
      <c r="CE1442" s="3097">
        <f>+CD1442</f>
        <v>3.1249999999999997E-2</v>
      </c>
      <c r="CF1442" s="3097">
        <f>+CE1442</f>
        <v>3.1249999999999997E-2</v>
      </c>
      <c r="CG1442" s="980"/>
      <c r="CH1442" s="980"/>
      <c r="CI1442" s="980"/>
      <c r="CJ1442" s="980"/>
      <c r="CK1442" s="980"/>
      <c r="CL1442" s="635" t="str">
        <f>A1442</f>
        <v>LIBOR</v>
      </c>
      <c r="CM1442" s="625">
        <f>G1442</f>
        <v>1.6212749999999998E-2</v>
      </c>
      <c r="CN1442" s="625">
        <f>L1442</f>
        <v>3.5609175E-2</v>
      </c>
      <c r="CO1442" s="625">
        <f>Q1442</f>
        <v>5.1973789682539684E-2</v>
      </c>
      <c r="CP1442" s="625">
        <f>V1442</f>
        <v>5.2842589364919396E-2</v>
      </c>
      <c r="CQ1442" s="625">
        <f>AA1442</f>
        <v>2.9161930769230772E-2</v>
      </c>
      <c r="CR1442" s="625">
        <f>AF1442</f>
        <v>6.9212500000000003E-3</v>
      </c>
      <c r="CS1442" s="625">
        <f>AK1442</f>
        <v>2.875E-3</v>
      </c>
      <c r="CT1442" s="625">
        <f>AP1442</f>
        <v>3.0000000000000001E-3</v>
      </c>
      <c r="CU1442" s="625">
        <f>AU1442</f>
        <v>2.5000000000000001E-3</v>
      </c>
      <c r="CV1442" s="625">
        <f>AZ1442</f>
        <v>2.5000000000000001E-3</v>
      </c>
      <c r="CW1442" s="625">
        <f>BE1442</f>
        <v>2.5000000000000001E-3</v>
      </c>
      <c r="CX1442" s="625">
        <f>BJ1442</f>
        <v>3.8750000000000004E-3</v>
      </c>
      <c r="CY1442" s="625">
        <f>BO1442</f>
        <v>6.1250000000000002E-3</v>
      </c>
      <c r="CZ1442" s="625">
        <f>BT1442</f>
        <v>1.0625000000000001E-2</v>
      </c>
      <c r="DA1442" s="625">
        <f>BY1442</f>
        <v>2.2499999999999999E-2</v>
      </c>
      <c r="DB1442" s="625">
        <f>BZ1442</f>
        <v>2.8749999999999998E-2</v>
      </c>
      <c r="DC1442" s="2041">
        <f>CA1442</f>
        <v>3.1249999999999997E-2</v>
      </c>
      <c r="DD1442" s="980"/>
      <c r="DE1442" s="980"/>
      <c r="DF1442" s="981"/>
      <c r="DG1442" s="981"/>
      <c r="DH1442" s="3306"/>
      <c r="DI1442" s="3213"/>
      <c r="DJ1442" s="981"/>
      <c r="DK1442" s="981"/>
      <c r="DL1442" s="981"/>
      <c r="DM1442" s="981"/>
      <c r="DN1442" s="981"/>
      <c r="DO1442" s="981"/>
      <c r="DP1442" s="981"/>
      <c r="DQ1442" s="981"/>
      <c r="DR1442" s="630"/>
      <c r="DS1442" s="630"/>
      <c r="DT1442" s="630"/>
    </row>
    <row r="1443" spans="1:124" ht="12" customHeight="1" x14ac:dyDescent="0.25">
      <c r="A1443" s="632"/>
      <c r="B1443" s="619"/>
      <c r="C1443" s="620"/>
      <c r="D1443" s="620"/>
      <c r="E1443" s="620"/>
      <c r="F1443" s="620"/>
      <c r="G1443" s="621"/>
      <c r="H1443" s="620"/>
      <c r="I1443" s="620"/>
      <c r="J1443" s="620"/>
      <c r="K1443" s="620"/>
      <c r="L1443" s="621"/>
      <c r="M1443" s="620"/>
      <c r="N1443" s="620"/>
      <c r="O1443" s="620"/>
      <c r="P1443" s="620"/>
      <c r="Q1443" s="621"/>
      <c r="R1443" s="620"/>
      <c r="S1443" s="620"/>
      <c r="T1443" s="620"/>
      <c r="U1443" s="620"/>
      <c r="V1443" s="621"/>
      <c r="W1443" s="620"/>
      <c r="X1443" s="620"/>
      <c r="Y1443" s="620"/>
      <c r="Z1443" s="620"/>
      <c r="AA1443" s="621"/>
      <c r="AB1443" s="620"/>
      <c r="AC1443" s="620"/>
      <c r="AD1443" s="620"/>
      <c r="AE1443" s="620"/>
      <c r="AF1443" s="621"/>
      <c r="AG1443" s="620"/>
      <c r="AH1443" s="620"/>
      <c r="AI1443" s="620"/>
      <c r="AJ1443" s="620"/>
      <c r="AK1443" s="621"/>
      <c r="AL1443" s="625"/>
      <c r="AM1443" s="625"/>
      <c r="AN1443" s="625"/>
      <c r="AO1443" s="625"/>
      <c r="AP1443" s="626"/>
      <c r="AQ1443" s="626"/>
      <c r="AR1443" s="624"/>
      <c r="AS1443" s="624"/>
      <c r="AT1443" s="624"/>
      <c r="AU1443" s="623"/>
      <c r="AV1443" s="626"/>
      <c r="AW1443" s="624"/>
      <c r="AX1443" s="624"/>
      <c r="AY1443" s="1894"/>
      <c r="AZ1443" s="623"/>
      <c r="BA1443" s="626"/>
      <c r="BB1443" s="624"/>
      <c r="BC1443" s="624"/>
      <c r="BD1443" s="1894"/>
      <c r="BE1443" s="623"/>
      <c r="BF1443" s="624"/>
      <c r="BG1443" s="624"/>
      <c r="BH1443" s="624"/>
      <c r="BI1443" s="1894"/>
      <c r="BJ1443" s="623"/>
      <c r="BK1443" s="624"/>
      <c r="BL1443" s="624"/>
      <c r="BM1443" s="624"/>
      <c r="BN1443" s="1894"/>
      <c r="BO1443" s="623"/>
      <c r="BP1443" s="624"/>
      <c r="BQ1443" s="624"/>
      <c r="BR1443" s="624"/>
      <c r="BS1443" s="624"/>
      <c r="BT1443" s="3254"/>
      <c r="BU1443" s="3424"/>
      <c r="BV1443" s="3306"/>
      <c r="BW1443" s="3306"/>
      <c r="BX1443" s="3306"/>
      <c r="BY1443" s="3254"/>
      <c r="BZ1443" s="623"/>
      <c r="CA1443" s="623"/>
      <c r="CB1443" s="623"/>
      <c r="CC1443" s="623"/>
      <c r="CD1443" s="623"/>
      <c r="CE1443" s="623"/>
      <c r="CF1443" s="623"/>
      <c r="CG1443" s="980"/>
      <c r="CH1443" s="980"/>
      <c r="CI1443" s="980"/>
      <c r="CJ1443" s="980"/>
      <c r="CK1443" s="980"/>
      <c r="CL1443" s="635"/>
      <c r="CM1443" s="625"/>
      <c r="CN1443" s="625"/>
      <c r="CO1443" s="625"/>
      <c r="CP1443" s="625"/>
      <c r="CQ1443" s="625"/>
      <c r="CR1443" s="625"/>
      <c r="CS1443" s="625"/>
      <c r="CT1443" s="625"/>
      <c r="CU1443" s="625"/>
      <c r="CV1443" s="625"/>
      <c r="CW1443" s="625"/>
      <c r="CX1443" s="625"/>
      <c r="CY1443" s="625"/>
      <c r="CZ1443" s="625"/>
      <c r="DA1443" s="625"/>
      <c r="DB1443" s="625"/>
      <c r="DC1443" s="2041"/>
      <c r="DD1443" s="980"/>
      <c r="DE1443" s="980"/>
      <c r="DF1443" s="981"/>
      <c r="DG1443" s="981"/>
      <c r="DH1443" s="3306"/>
      <c r="DI1443" s="3213"/>
      <c r="DJ1443" s="981"/>
      <c r="DK1443" s="981"/>
      <c r="DL1443" s="981"/>
      <c r="DM1443" s="981"/>
      <c r="DN1443" s="981"/>
      <c r="DO1443" s="981"/>
      <c r="DP1443" s="981"/>
      <c r="DQ1443" s="981"/>
      <c r="DR1443" s="630"/>
      <c r="DS1443" s="630"/>
      <c r="DT1443" s="630"/>
    </row>
    <row r="1444" spans="1:124" ht="12" customHeight="1" x14ac:dyDescent="0.25">
      <c r="A1444" s="1070" t="s">
        <v>1859</v>
      </c>
      <c r="B1444" s="11"/>
      <c r="C1444" s="11"/>
      <c r="D1444" s="11"/>
      <c r="E1444" s="11"/>
      <c r="F1444" s="11"/>
      <c r="G1444" s="429"/>
      <c r="H1444" s="296"/>
      <c r="I1444" s="296"/>
      <c r="J1444" s="296"/>
      <c r="K1444" s="296"/>
      <c r="L1444" s="429"/>
      <c r="M1444" s="296"/>
      <c r="N1444" s="296"/>
      <c r="O1444" s="296"/>
      <c r="P1444" s="296"/>
      <c r="Q1444" s="429"/>
      <c r="R1444" s="296"/>
      <c r="S1444" s="296"/>
      <c r="T1444" s="296"/>
      <c r="U1444" s="296"/>
      <c r="V1444" s="429"/>
      <c r="W1444" s="296"/>
      <c r="X1444" s="296"/>
      <c r="Y1444" s="296"/>
      <c r="Z1444" s="296"/>
      <c r="AA1444" s="429"/>
      <c r="AB1444" s="296"/>
      <c r="AC1444" s="296"/>
      <c r="AD1444" s="296"/>
      <c r="AE1444" s="296"/>
      <c r="AF1444" s="429"/>
      <c r="AG1444" s="296"/>
      <c r="AH1444" s="296"/>
      <c r="AI1444" s="296"/>
      <c r="AJ1444" s="296"/>
      <c r="AK1444" s="429"/>
      <c r="AL1444" s="428"/>
      <c r="AM1444" s="428"/>
      <c r="AN1444" s="428"/>
      <c r="AO1444" s="428"/>
      <c r="AP1444" s="520"/>
      <c r="AQ1444" s="520"/>
      <c r="AR1444" s="428"/>
      <c r="AS1444" s="428"/>
      <c r="AT1444" s="428"/>
      <c r="AU1444" s="429"/>
      <c r="AV1444" s="520"/>
      <c r="AW1444" s="428"/>
      <c r="AX1444" s="428"/>
      <c r="AY1444" s="840"/>
      <c r="AZ1444" s="429"/>
      <c r="BA1444" s="520"/>
      <c r="BB1444" s="428"/>
      <c r="BC1444" s="428"/>
      <c r="BD1444" s="840"/>
      <c r="BE1444" s="429"/>
      <c r="BF1444" s="428"/>
      <c r="BG1444" s="428"/>
      <c r="BH1444" s="428"/>
      <c r="BI1444" s="840"/>
      <c r="BJ1444" s="429"/>
      <c r="BK1444" s="428"/>
      <c r="BL1444" s="428"/>
      <c r="BM1444" s="428"/>
      <c r="BN1444" s="840"/>
      <c r="BO1444" s="429"/>
      <c r="BP1444" s="428"/>
      <c r="BQ1444" s="428"/>
      <c r="BR1444" s="428"/>
      <c r="BS1444" s="428"/>
      <c r="BT1444" s="3252"/>
      <c r="BU1444" s="2774"/>
      <c r="BV1444" s="3011"/>
      <c r="BW1444" s="3011"/>
      <c r="BX1444" s="3011"/>
      <c r="BY1444" s="3252"/>
      <c r="BZ1444" s="429"/>
      <c r="CA1444" s="429"/>
      <c r="CB1444" s="429"/>
      <c r="CC1444" s="429"/>
      <c r="CD1444" s="429"/>
      <c r="CE1444" s="429"/>
      <c r="CF1444" s="429"/>
      <c r="CG1444" s="331"/>
      <c r="CH1444" s="331"/>
      <c r="CI1444" s="331"/>
      <c r="CJ1444" s="331"/>
      <c r="CK1444" s="331"/>
      <c r="CL1444" s="2042" t="str">
        <f t="shared" ref="CL1444:CL1455" si="3283">A1444</f>
        <v>Interest Rates</v>
      </c>
      <c r="CM1444" s="428"/>
      <c r="CN1444" s="428"/>
      <c r="CO1444" s="428"/>
      <c r="CP1444" s="428"/>
      <c r="CQ1444" s="428"/>
      <c r="CR1444" s="428"/>
      <c r="CS1444" s="428"/>
      <c r="CT1444" s="428"/>
      <c r="CU1444" s="428"/>
      <c r="CV1444" s="428"/>
      <c r="CW1444" s="428"/>
      <c r="CX1444" s="428"/>
      <c r="CY1444" s="428"/>
      <c r="CZ1444" s="428"/>
      <c r="DA1444" s="428"/>
      <c r="DB1444" s="428"/>
      <c r="DC1444" s="840"/>
      <c r="DD1444" s="331"/>
      <c r="DE1444" s="331"/>
      <c r="DF1444" s="502"/>
      <c r="DG1444" s="503"/>
      <c r="DH1444" s="3011"/>
      <c r="DI1444" s="3213"/>
      <c r="DJ1444" s="502"/>
      <c r="DK1444" s="503"/>
      <c r="DL1444" s="502"/>
      <c r="DM1444" s="502"/>
      <c r="DN1444" s="502"/>
      <c r="DO1444" s="502"/>
      <c r="DP1444" s="503"/>
      <c r="DQ1444" s="503"/>
      <c r="DR1444" s="296"/>
      <c r="DS1444" s="296"/>
      <c r="DT1444" s="296"/>
    </row>
    <row r="1445" spans="1:124" ht="12" hidden="1" customHeight="1" outlineLevel="1" x14ac:dyDescent="0.25">
      <c r="A1445" s="1954" t="s">
        <v>1146</v>
      </c>
      <c r="B1445" s="627">
        <v>0.01</v>
      </c>
      <c r="C1445" s="1033"/>
      <c r="D1445" s="1033"/>
      <c r="E1445" s="1033"/>
      <c r="F1445" s="1033"/>
      <c r="G1445" s="1034"/>
      <c r="H1445" s="1033"/>
      <c r="I1445" s="1033"/>
      <c r="J1445" s="1033"/>
      <c r="K1445" s="1035">
        <f>K$1442+$B1445+IF(K$1583&gt;3.5, 0.25%, 0)+IF(K$1583&gt;4, 0.25%, 0)+IF(K$1583&gt;4.5, 0.25%, 0)+IF(K$1583&gt;5, 0.25%, 0)+IF(K$1583&gt;5, 0.25%, 0)+IF(K$1583&gt;5.5, 0.25%, 0)</f>
        <v>6.086670000000001E-2</v>
      </c>
      <c r="L1445" s="1036">
        <f>AVERAGE(H1445:K1445)</f>
        <v>6.086670000000001E-2</v>
      </c>
      <c r="M1445" s="1035">
        <f>M$1442+$B1445+IF(M$1583&gt;3.5, 0.25%, 0)+IF(M$1583&gt;4, 0.25%, 0)+IF(M$1583&gt;4.5, 0.25%, 0)+IF(M$1583&gt;5, 0.25%, 0)+IF(M$1583&gt;5, 0.25%, 0)+IF(M$1583&gt;5.5, 0.25%, 0)</f>
        <v>6.2678999999999999E-2</v>
      </c>
      <c r="N1445" s="1035">
        <f>N$1442+$B1445+IF(N$1583&gt;3.5, 0.25%, 0)+IF(N$1583&gt;4, 0.25%, 0)+IF(N$1583&gt;4.5, 0.25%, 0)+IF(N$1583&gt;5, 0.25%, 0)+IF(N$1583&gt;5, 0.25%, 0)+IF(N$1583&gt;5.5, 0.25%, 0)</f>
        <v>6.969800000000001E-2</v>
      </c>
      <c r="O1445" s="1035">
        <f>O$1442+$B1445+IF(O$1583&gt;3.5, 0.25%, 0)+IF(O$1583&gt;4, 0.25%, 0)+IF(O$1583&gt;4.5, 0.25%, 0)+IF(O$1583&gt;5, 0.25%, 0)+IF(O$1583&gt;5, 0.25%, 0)+IF(O$1583&gt;5.5, 0.25%, 0)</f>
        <v>6.9330158730158728E-2</v>
      </c>
      <c r="P1445" s="1035">
        <f>P$1442+$B1445+IF(P$1583&gt;3.5, 0.25%, 0)+IF(P$1583&gt;4, 0.25%, 0)+IF(P$1583&gt;4.5, 0.25%, 0)+IF(P$1583&gt;5, 0.25%, 0)+IF(P$1583&gt;5, 0.25%, 0)+IF(P$1583&gt;5.5, 0.25%, 0)</f>
        <v>6.8687999999999999E-2</v>
      </c>
      <c r="Q1445" s="1036">
        <f>AVERAGE(M1445:P1445)</f>
        <v>6.7598789682539684E-2</v>
      </c>
      <c r="R1445" s="1035">
        <f>R$1442+$B1445+IF(R$1583&gt;3.5, 0.25%, 0)+IF(R$1583&gt;4, 0.25%, 0)+IF(R$1583&gt;4.5, 0.25%, 0)+IF(R$1583&gt;5, 0.25%, 0)+IF(R$1583&gt;5, 0.25%, 0)+IF(R$1583&gt;5.5, 0.25%, 0)</f>
        <v>6.8554838709677504E-2</v>
      </c>
      <c r="S1445" s="1035">
        <f>S$1442+$B1445+IF(S$1583&gt;3.5, 0.25%, 0)+IF(S$1583&gt;4, 0.25%, 0)+IF(S$1583&gt;4.5, 0.25%, 0)+IF(S$1583&gt;5, 0.25%, 0)+IF(S$1583&gt;5, 0.25%, 0)+IF(S$1583&gt;5.5, 0.25%, 0)</f>
        <v>7.1089062500000105E-2</v>
      </c>
      <c r="T1445" s="1035">
        <f>T$1442+$B1445+IF(T$1583&gt;3.5, 0.25%, 0)+IF(T$1583&gt;4, 0.25%, 0)+IF(T$1583&gt;4.5, 0.25%, 0)+IF(T$1583&gt;5, 0.25%, 0)+IF(T$1583&gt;5, 0.25%, 0)+IF(T$1583&gt;5.5, 0.25%, 0)</f>
        <v>6.8920000000000009E-2</v>
      </c>
      <c r="U1445" s="1035">
        <f>U$1442+$B1445+IF(U$1583&gt;3.5, 0.25%, 0)+IF(U$1583&gt;4, 0.25%, 0)+IF(U$1583&gt;4.5, 0.25%, 0)+IF(U$1583&gt;5, 0.25%, 0)+IF(U$1583&gt;5, 0.25%, 0)+IF(U$1583&gt;5.5, 0.25%, 0)</f>
        <v>6.5306456249999992E-2</v>
      </c>
      <c r="V1445" s="1036">
        <f>AVERAGE(R1445:U1445)</f>
        <v>6.846758936491941E-2</v>
      </c>
      <c r="W1445" s="1035">
        <f>W$1442+$B1445+IF(W$1583&gt;3.5, 0.25%, 0)+IF(W$1583&gt;4, 0.25%, 0)+IF(W$1583&gt;4.5, 0.25%, 0)+IF(W$1583&gt;5, 0.25%, 0)+IF(W$1583&gt;5, 0.25%, 0)+IF(W$1583&gt;5.5, 0.25%, 0)</f>
        <v>4.7835723076923103E-2</v>
      </c>
      <c r="X1445" s="1035">
        <f>X$1442+$B1445+IF(X$1583&gt;3.5, 0.25%, 0)+IF(X$1583&gt;4, 0.25%, 0)+IF(X$1583&gt;4.5, 0.25%, 0)+IF(X$1583&gt;5, 0.25%, 0)+IF(X$1583&gt;5, 0.25%, 0)+IF(X$1583&gt;5.5, 0.25%, 0)</f>
        <v>4.2508000000000004E-2</v>
      </c>
      <c r="Y1445" s="1035">
        <f>Y$1442+$B1445+IF(Y$1583&gt;3.5, 0.25%, 0)+IF(Y$1583&gt;4, 0.25%, 0)+IF(Y$1583&gt;4.5, 0.25%, 0)+IF(Y$1583&gt;5, 0.25%, 0)+IF(Y$1583&gt;5, 0.25%, 0)+IF(Y$1583&gt;5.5, 0.25%, 0)</f>
        <v>4.1580000000000006E-2</v>
      </c>
      <c r="Z1445" s="1035">
        <f>Z$1442+$B1445+IF(Z$1583&gt;3.5, 0.25%, 0)+IF(Z$1583&gt;4, 0.25%, 0)+IF(Z$1583&gt;4.5, 0.25%, 0)+IF(Z$1583&gt;5, 0.25%, 0)+IF(Z$1583&gt;5, 0.25%, 0)+IF(Z$1583&gt;5.5, 0.25%, 0)</f>
        <v>3.9724000000000002E-2</v>
      </c>
      <c r="AA1445" s="1036">
        <f>AVERAGE(W1445:Z1445)</f>
        <v>4.2911930769230784E-2</v>
      </c>
      <c r="AB1445" s="1035">
        <f>AB$1442+$B1445+IF(AB$1583&gt;3.5, 0.25%, 0)+IF(AB$1583&gt;4, 0.25%, 0)+IF(AB$1583&gt;4.5, 0.25%, 0)+IF(AB$1583&gt;5, 0.25%, 0)+IF(AB$1583&gt;5, 0.25%, 0)+IF(AB$1583&gt;5.5, 0.25%, 0)</f>
        <v>2.4899999999999999E-2</v>
      </c>
      <c r="AC1445" s="1035">
        <f>AC$1442+$B1445+IF(AC$1583&gt;3.5, 0.25%, 0)+IF(AC$1583&gt;4, 0.25%, 0)+IF(AC$1583&gt;4.5, 0.25%, 0)+IF(AC$1583&gt;5, 0.25%, 0)+IF(AC$1583&gt;5, 0.25%, 0)+IF(AC$1583&gt;5.5, 0.25%, 0)</f>
        <v>2.0978E-2</v>
      </c>
      <c r="AD1445" s="1035">
        <f>AD$1442+$B1445+IF(AD$1583&gt;3.5, 0.25%, 0)+IF(AD$1583&gt;4, 0.25%, 0)+IF(AD$1583&gt;4.5, 0.25%, 0)+IF(AD$1583&gt;5, 0.25%, 0)+IF(AD$1583&gt;5, 0.25%, 0)+IF(AD$1583&gt;5.5, 0.25%, 0)</f>
        <v>1.6625999999999998E-2</v>
      </c>
      <c r="AE1445" s="1037">
        <f>AE$1442+$B1445+IF(AE$1583&gt;3.5, 0.25%, 0)+IF(AE$1583&gt;4, 0.25%, 0)+IF(AE$1583&gt;4.5, 0.25%, 0)+IF(AE$1583&gt;5, 0.25%, 0)+IF(AE$1583&gt;5, 0.25%, 0)+IF(AE$1583&gt;5.5, 0.25%, 0)</f>
        <v>1.5181E-2</v>
      </c>
      <c r="AF1445" s="1036">
        <f t="shared" ref="AF1445:AF1455" si="3284">AVERAGE(AB1445:AE1445)</f>
        <v>1.9421250000000001E-2</v>
      </c>
      <c r="AG1445" s="1037">
        <f>AG$1442+$B1445+IF(AG$1583&gt;3.5, 0.25%, 0)+IF(AG$1583&gt;4, 0.25%, 0)+IF(AG$1583&gt;4.5, 0.25%, 0)+IF(AG$1583&gt;5, 0.25%, 0)+IF(AG$1583&gt;5, 0.25%, 0)+IF(AG$1583&gt;5.5, 0.25%, 0)</f>
        <v>1.5000000000000001E-2</v>
      </c>
      <c r="AH1445" s="1037">
        <f>AH$1442+$B1445+IF(AH$1583&gt;3.5, 0.25%, 0)+IF(AH$1583&gt;4, 0.25%, 0)+IF(AH$1583&gt;4.5, 0.25%, 0)+IF(AH$1583&gt;5, 0.25%, 0)+IF(AH$1583&gt;5, 0.25%, 0)+IF(AH$1583&gt;5.5, 0.25%, 0)</f>
        <v>1.5500000000000002E-2</v>
      </c>
      <c r="AI1445" s="1037">
        <f>AI$1442+$B1445+IF(AI$1583&gt;3.5, 0.25%, 0)+IF(AI$1583&gt;4, 0.25%, 0)+IF(AI$1583&gt;4.5, 0.25%, 0)+IF(AI$1583&gt;5, 0.25%, 0)+IF(AI$1583&gt;5, 0.25%, 0)+IF(AI$1583&gt;5.5, 0.25%, 0)</f>
        <v>1.5500000000000002E-2</v>
      </c>
      <c r="AJ1445" s="1037">
        <f>AJ$1442+$B1445+IF(AJ$1583&gt;3.5, 0.25%, 0)+IF(AJ$1583&gt;4, 0.25%, 0)+IF(AJ$1583&gt;4.5, 0.25%, 0)+IF(AJ$1583&gt;5, 0.25%, 0)+IF(AJ$1583&gt;5, 0.25%, 0)+IF(AJ$1583&gt;5.5, 0.25%, 0)</f>
        <v>1.5500000000000002E-2</v>
      </c>
      <c r="AK1445" s="1036">
        <f t="shared" ref="AK1445:AK1455" si="3285">AVERAGE(AG1445:AJ1445)</f>
        <v>1.5375000000000002E-2</v>
      </c>
      <c r="AL1445" s="1037">
        <f>AL$1442+$B1445+IF(AL$1583&gt;3.5, 0.25%, 0)+IF(AL$1583&gt;4, 0.25%, 0)+IF(AL$1583&gt;4.5, 0.25%, 0)+IF(AL$1583&gt;5, 0.25%, 0)+IF(AL$1583&gt;5, 0.25%, 0)+IF(AL$1583&gt;5.5, 0.25%, 0)</f>
        <v>1.3000000000000001E-2</v>
      </c>
      <c r="AM1445" s="1037">
        <f>AM$1442+$B1445+IF(AM$1583&gt;3.5, 0.25%, 0)+IF(AM$1583&gt;4, 0.25%, 0)+IF(AM$1583&gt;4.5, 0.25%, 0)+IF(AM$1583&gt;5, 0.25%, 0)+IF(AM$1583&gt;5, 0.25%, 0)+IF(AM$1583&gt;5.5, 0.25%, 0)</f>
        <v>1.3000000000000001E-2</v>
      </c>
      <c r="AN1445" s="1037">
        <f>AN$1442+$B1445+IF(AN$1583&gt;3.5, 0.25%, 0)+IF(AN$1583&gt;4, 0.25%, 0)+IF(AN$1583&gt;4.5, 0.25%, 0)+IF(AN$1583&gt;5, 0.25%, 0)+IF(AN$1583&gt;5, 0.25%, 0)+IF(AN$1583&gt;5.5, 0.25%, 0)</f>
        <v>1.3000000000000001E-2</v>
      </c>
      <c r="AO1445" s="1037">
        <f>AO$1442+$B1445+IF(AO$1583&gt;3.5, 0.25%, 0)+IF(AO$1583&gt;4, 0.25%, 0)+IF(AO$1583&gt;4.5, 0.25%, 0)+IF(AO$1583&gt;5, 0.25%, 0)+IF(AO$1583&gt;5, 0.25%, 0)+IF(AO$1583&gt;5.5, 0.25%, 0)</f>
        <v>1.3000000000000001E-2</v>
      </c>
      <c r="AP1445" s="1038">
        <f>AVERAGE(AL1445:AO1445)</f>
        <v>1.3000000000000001E-2</v>
      </c>
      <c r="AQ1445" s="1038">
        <f>AQ$1442+$B1445+IF(AQ$1583&gt;3.5, 0.25%, 0)+IF(AQ$1583&gt;4, 0.25%, 0)+IF(AQ$1583&gt;4.5, 0.25%, 0)+IF(AQ$1583&gt;5, 0.25%, 0)+IF(AQ$1583&gt;5, 0.25%, 0)+IF(AQ$1583&gt;5.5, 0.25%, 0)</f>
        <v>1.2500000000000001E-2</v>
      </c>
      <c r="AR1445" s="1039">
        <f>AR$1442+$B1445+IF(AR$1583&gt;3.5, 0.25%, 0)+IF(AR$1583&gt;4, 0.25%, 0)+IF(AR$1583&gt;4.5, 0.25%, 0)+IF(AR$1583&gt;5, 0.25%, 0)+IF(AR$1583&gt;5, 0.25%, 0)+IF(AR$1583&gt;5.5, 0.25%, 0)</f>
        <v>1.2500000000000001E-2</v>
      </c>
      <c r="AS1445" s="1039">
        <f>AS$1442+$B1445+IF(AS$1583&gt;3.5, 0.25%, 0)+IF(AS$1583&gt;4, 0.25%, 0)+IF(AS$1583&gt;4.5, 0.25%, 0)+IF(AS$1583&gt;5, 0.25%, 0)+IF(AS$1583&gt;5, 0.25%, 0)+IF(AS$1583&gt;5.5, 0.25%, 0)</f>
        <v>1.2500000000000001E-2</v>
      </c>
      <c r="AT1445" s="1039">
        <f>AT$1442+$B1445+IF(AT$1583&gt;3.5, 0.25%, 0)+IF(AT$1583&gt;4, 0.25%, 0)+IF(AT$1583&gt;4.5, 0.25%, 0)+IF(AT$1583&gt;5, 0.25%, 0)+IF(AT$1583&gt;5, 0.25%, 0)+IF(AT$1583&gt;5.5, 0.25%, 0)</f>
        <v>1.2500000000000001E-2</v>
      </c>
      <c r="AU1445" s="1036">
        <f>AVERAGE(AQ1445:AT1445)</f>
        <v>1.2500000000000001E-2</v>
      </c>
      <c r="AV1445" s="1038">
        <f t="shared" ref="AV1445:CF1445" si="3286">AV$1442+$B1445+IF(AV$1583&gt;3.5, 0.25%, 0)+IF(AV$1583&gt;4, 0.25%, 0)+IF(AV$1583&gt;4.5, 0.25%, 0)+IF(AV$1583&gt;5, 0.25%, 0)+IF(AV$1583&gt;5, 0.25%, 0)+IF(AV$1583&gt;5.5, 0.25%, 0)</f>
        <v>1.2500000000000001E-2</v>
      </c>
      <c r="AW1445" s="1039">
        <f t="shared" si="3286"/>
        <v>1.2500000000000001E-2</v>
      </c>
      <c r="AX1445" s="1039">
        <f t="shared" si="3286"/>
        <v>1.2500000000000001E-2</v>
      </c>
      <c r="AY1445" s="1674">
        <f t="shared" si="3286"/>
        <v>1.2500000000000001E-2</v>
      </c>
      <c r="AZ1445" s="1036">
        <f t="shared" si="3286"/>
        <v>1.2500000000000001E-2</v>
      </c>
      <c r="BA1445" s="1038">
        <f t="shared" si="3286"/>
        <v>1.2500000000000001E-2</v>
      </c>
      <c r="BB1445" s="1039">
        <f t="shared" si="3286"/>
        <v>1.2500000000000001E-2</v>
      </c>
      <c r="BC1445" s="1039">
        <f t="shared" si="3286"/>
        <v>1.5000000000000001E-2</v>
      </c>
      <c r="BD1445" s="1674">
        <f t="shared" si="3286"/>
        <v>1.7500000000000002E-2</v>
      </c>
      <c r="BE1445" s="1036">
        <f t="shared" si="3286"/>
        <v>1.7500000000000002E-2</v>
      </c>
      <c r="BF1445" s="1039">
        <f t="shared" si="3286"/>
        <v>2.0749999999999998E-2</v>
      </c>
      <c r="BG1445" s="1039">
        <f t="shared" si="3286"/>
        <v>1.8249999999999999E-2</v>
      </c>
      <c r="BH1445" s="1039">
        <f t="shared" si="3286"/>
        <v>2.5749999999999995E-2</v>
      </c>
      <c r="BI1445" s="1674">
        <f t="shared" si="3286"/>
        <v>2.3249999999999996E-2</v>
      </c>
      <c r="BJ1445" s="1036">
        <f t="shared" si="3286"/>
        <v>2.1374999999999998E-2</v>
      </c>
      <c r="BK1445" s="1039">
        <f t="shared" si="3286"/>
        <v>1.8249999999999999E-2</v>
      </c>
      <c r="BL1445" s="1039">
        <f t="shared" si="3286"/>
        <v>2.1249999999999998E-2</v>
      </c>
      <c r="BM1445" s="1039">
        <f t="shared" si="3286"/>
        <v>2.1249999999999998E-2</v>
      </c>
      <c r="BN1445" s="1674">
        <f t="shared" si="3286"/>
        <v>2.1250000000000002E-2</v>
      </c>
      <c r="BO1445" s="1036">
        <f t="shared" si="3286"/>
        <v>1.8624999999999999E-2</v>
      </c>
      <c r="BP1445" s="1039">
        <f t="shared" si="3286"/>
        <v>1.8750000000000003E-2</v>
      </c>
      <c r="BQ1445" s="1039">
        <f t="shared" si="3286"/>
        <v>1.8750000000000003E-2</v>
      </c>
      <c r="BR1445" s="1039">
        <f t="shared" si="3286"/>
        <v>2.1250000000000002E-2</v>
      </c>
      <c r="BS1445" s="1039">
        <f t="shared" si="3286"/>
        <v>2.375E-2</v>
      </c>
      <c r="BT1445" s="3255">
        <f t="shared" si="3286"/>
        <v>2.0625000000000001E-2</v>
      </c>
      <c r="BU1445" s="3307">
        <f t="shared" si="3286"/>
        <v>2.8749999999999998E-2</v>
      </c>
      <c r="BV1445" s="3307">
        <f t="shared" si="3286"/>
        <v>3.125E-2</v>
      </c>
      <c r="BW1445" s="3307">
        <f t="shared" si="3286"/>
        <v>3.8750000000000007E-2</v>
      </c>
      <c r="BX1445" s="3307">
        <f t="shared" si="3286"/>
        <v>3.6249999999999998E-2</v>
      </c>
      <c r="BY1445" s="3255">
        <f t="shared" si="3286"/>
        <v>3.2500000000000001E-2</v>
      </c>
      <c r="BZ1445" s="1036">
        <f t="shared" si="3286"/>
        <v>3.875E-2</v>
      </c>
      <c r="CA1445" s="1036">
        <f t="shared" si="3286"/>
        <v>4.1249999999999995E-2</v>
      </c>
      <c r="CB1445" s="1036">
        <f t="shared" si="3286"/>
        <v>4.1249999999999995E-2</v>
      </c>
      <c r="CC1445" s="1036">
        <f t="shared" si="3286"/>
        <v>4.1249999999999995E-2</v>
      </c>
      <c r="CD1445" s="1036">
        <f t="shared" si="3286"/>
        <v>4.1249999999999995E-2</v>
      </c>
      <c r="CE1445" s="1036">
        <f t="shared" si="3286"/>
        <v>4.1249999999999995E-2</v>
      </c>
      <c r="CF1445" s="1036">
        <f t="shared" si="3286"/>
        <v>4.1249999999999995E-2</v>
      </c>
      <c r="CG1445" s="980"/>
      <c r="CH1445" s="980"/>
      <c r="CI1445" s="980"/>
      <c r="CJ1445" s="980"/>
      <c r="CK1445" s="980"/>
      <c r="CL1445" s="2043" t="str">
        <f t="shared" si="3283"/>
        <v>Senior secured facility - Revolver (A), due 10/10</v>
      </c>
      <c r="CM1445" s="1039"/>
      <c r="CN1445" s="1039">
        <f>L1445</f>
        <v>6.086670000000001E-2</v>
      </c>
      <c r="CO1445" s="1039">
        <f>Q1445</f>
        <v>6.7598789682539684E-2</v>
      </c>
      <c r="CP1445" s="1039">
        <f>V1445</f>
        <v>6.846758936491941E-2</v>
      </c>
      <c r="CQ1445" s="1039">
        <f>AA1445</f>
        <v>4.2911930769230784E-2</v>
      </c>
      <c r="CR1445" s="1039">
        <f>AF1445</f>
        <v>1.9421250000000001E-2</v>
      </c>
      <c r="CS1445" s="1039">
        <f>AK1445</f>
        <v>1.5375000000000002E-2</v>
      </c>
      <c r="CT1445" s="1039">
        <f>AP1445</f>
        <v>1.3000000000000001E-2</v>
      </c>
      <c r="CU1445" s="1039">
        <f>AU1445</f>
        <v>1.2500000000000001E-2</v>
      </c>
      <c r="CV1445" s="1039">
        <f>AZ1445</f>
        <v>1.2500000000000001E-2</v>
      </c>
      <c r="CW1445" s="1039">
        <f>BE1445</f>
        <v>1.7500000000000002E-2</v>
      </c>
      <c r="CX1445" s="1039">
        <f>BJ1445</f>
        <v>2.1374999999999998E-2</v>
      </c>
      <c r="CY1445" s="1039">
        <f>BO1445</f>
        <v>1.8624999999999999E-2</v>
      </c>
      <c r="CZ1445" s="1039">
        <f>BT1445</f>
        <v>2.0625000000000001E-2</v>
      </c>
      <c r="DA1445" s="1039">
        <f t="shared" ref="DA1445:DC1446" si="3287">BY1445</f>
        <v>3.2500000000000001E-2</v>
      </c>
      <c r="DB1445" s="1039">
        <f t="shared" si="3287"/>
        <v>3.875E-2</v>
      </c>
      <c r="DC1445" s="1674">
        <f t="shared" si="3287"/>
        <v>4.1249999999999995E-2</v>
      </c>
      <c r="DD1445" s="980"/>
      <c r="DE1445" s="980"/>
      <c r="DF1445" s="981"/>
      <c r="DG1445" s="981"/>
      <c r="DH1445" s="3307"/>
      <c r="DI1445" s="3213"/>
      <c r="DJ1445" s="981"/>
      <c r="DK1445" s="981"/>
      <c r="DL1445" s="981"/>
      <c r="DM1445" s="981"/>
      <c r="DN1445" s="981"/>
      <c r="DO1445" s="981"/>
      <c r="DP1445" s="981"/>
      <c r="DQ1445" s="981"/>
      <c r="DR1445" s="630"/>
      <c r="DS1445" s="630"/>
      <c r="DT1445" s="630"/>
    </row>
    <row r="1446" spans="1:124" ht="12" hidden="1" customHeight="1" outlineLevel="1" x14ac:dyDescent="0.25">
      <c r="A1446" s="1954" t="s">
        <v>1147</v>
      </c>
      <c r="B1446" s="627">
        <v>1.7500000000000002E-2</v>
      </c>
      <c r="C1446" s="1033"/>
      <c r="D1446" s="1033"/>
      <c r="E1446" s="1033"/>
      <c r="F1446" s="1033"/>
      <c r="G1446" s="1034"/>
      <c r="H1446" s="1033"/>
      <c r="I1446" s="1033"/>
      <c r="J1446" s="1033"/>
      <c r="K1446" s="1033"/>
      <c r="L1446" s="1034"/>
      <c r="M1446" s="1033"/>
      <c r="N1446" s="1033"/>
      <c r="O1446" s="1033"/>
      <c r="P1446" s="1033"/>
      <c r="Q1446" s="1034"/>
      <c r="R1446" s="1033"/>
      <c r="S1446" s="1033"/>
      <c r="T1446" s="1033"/>
      <c r="U1446" s="1033"/>
      <c r="V1446" s="1034"/>
      <c r="W1446" s="1033"/>
      <c r="X1446" s="1033"/>
      <c r="Y1446" s="1033"/>
      <c r="Z1446" s="1033"/>
      <c r="AA1446" s="1034"/>
      <c r="AB1446" s="1033"/>
      <c r="AC1446" s="1033"/>
      <c r="AD1446" s="1035">
        <f>AD$1442+$B$1446+IF(AD$1583&gt;2, 0.25%, 0)+IF(AD$1583&gt;2.5, 0.25%, 0)+IF(AD$1583&gt;3, 0.25%, 0)+IF(AD$1583&gt;3.5, 0.25%, 0)+IF(AD$1583&gt;4, 0.25%, 0)+IF(AD$1583&gt;4.5, 0.25%, 0)+IF(AD$1583&gt;5, 0.25%, 0)+IF(AD$1583&gt;5.5, 0.25%, 0)</f>
        <v>3.1626000000000001E-2</v>
      </c>
      <c r="AE1446" s="1037">
        <f>AE$1442+$B$1446+IF(AE$1583&gt;2, 0.25%, 0)+IF(AE$1583&gt;2.5, 0.25%, 0)+IF(AE$1583&gt;3, 0.25%, 0)+IF(AE$1583&gt;3.5, 0.25%, 0)+IF(AE$1583&gt;4, 0.25%, 0)+IF(AE$1583&gt;4.5, 0.25%, 0)+IF(AE$1583&gt;5, 0.25%, 0)+IF(AE$1583&gt;5.5, 0.25%, 0)</f>
        <v>3.0180999999999996E-2</v>
      </c>
      <c r="AF1446" s="1036">
        <f t="shared" si="3284"/>
        <v>3.09035E-2</v>
      </c>
      <c r="AG1446" s="1037">
        <f>AG$1442+$B$1446+IF(AG$1583&gt;2, 0.25%, 0)+IF(AG$1583&gt;2.5, 0.25%, 0)+IF(AG$1583&gt;3, 0.25%, 0)+IF(AG$1583&gt;3.5, 0.25%, 0)+IF(AG$1583&gt;4, 0.25%, 0)+IF(AG$1583&gt;4.5, 0.25%, 0)+IF(AG$1583&gt;5, 0.25%, 0)+IF(AG$1583&gt;5.5, 0.25%, 0)</f>
        <v>2.9999999999999995E-2</v>
      </c>
      <c r="AH1446" s="1037">
        <f>AH$1442+$B$1446+IF(AH$1583&gt;2, 0.25%, 0)+IF(AH$1583&gt;2.5, 0.25%, 0)+IF(AH$1583&gt;3, 0.25%, 0)+IF(AH$1583&gt;3.5, 0.25%, 0)+IF(AH$1583&gt;4, 0.25%, 0)+IF(AH$1583&gt;4.5, 0.25%, 0)+IF(AH$1583&gt;5, 0.25%, 0)+IF(AH$1583&gt;5.5, 0.25%, 0)</f>
        <v>3.0499999999999996E-2</v>
      </c>
      <c r="AI1446" s="1037">
        <f>AI$1442+$B$1446+IF(AI$1583&gt;2, 0.25%, 0)+IF(AI$1583&gt;2.5, 0.25%, 0)+IF(AI$1583&gt;3, 0.25%, 0)+IF(AI$1583&gt;3.5, 0.25%, 0)+IF(AI$1583&gt;4, 0.25%, 0)+IF(AI$1583&gt;4.5, 0.25%, 0)+IF(AI$1583&gt;5, 0.25%, 0)+IF(AI$1583&gt;5.5, 0.25%, 0)</f>
        <v>3.0499999999999996E-2</v>
      </c>
      <c r="AJ1446" s="1037">
        <f>AJ$1442+$B$1446+IF(AJ$1583&gt;2, 0.25%, 0)+IF(AJ$1583&gt;2.5, 0.25%, 0)+IF(AJ$1583&gt;3, 0.25%, 0)+IF(AJ$1583&gt;3.5, 0.25%, 0)+IF(AJ$1583&gt;4, 0.25%, 0)+IF(AJ$1583&gt;4.5, 0.25%, 0)+IF(AJ$1583&gt;5, 0.25%, 0)+IF(AJ$1583&gt;5.5, 0.25%, 0)</f>
        <v>3.0499999999999996E-2</v>
      </c>
      <c r="AK1446" s="1036">
        <f t="shared" si="3285"/>
        <v>3.0374999999999996E-2</v>
      </c>
      <c r="AL1446" s="1037">
        <f>AL$1442+$B$1446+IF(AL$1583&gt;2, 0.25%, 0)+IF(AL$1583&gt;2.5, 0.25%, 0)+IF(AL$1583&gt;3, 0.25%, 0)+IF(AL$1583&gt;3.5, 0.25%, 0)+IF(AL$1583&gt;4, 0.25%, 0)+IF(AL$1583&gt;4.5, 0.25%, 0)+IF(AL$1583&gt;5, 0.25%, 0)+IF(AL$1583&gt;5.5, 0.25%, 0)</f>
        <v>2.7999999999999997E-2</v>
      </c>
      <c r="AM1446" s="1037">
        <f>AM$1442+$B$1446+IF(AM$1583&gt;2, 0.25%, 0)+IF(AM$1583&gt;2.5, 0.25%, 0)+IF(AM$1583&gt;3, 0.25%, 0)+IF(AM$1583&gt;3.5, 0.25%, 0)+IF(AM$1583&gt;4, 0.25%, 0)+IF(AM$1583&gt;4.5, 0.25%, 0)+IF(AM$1583&gt;5, 0.25%, 0)+IF(AM$1583&gt;5.5, 0.25%, 0)</f>
        <v>2.7999999999999997E-2</v>
      </c>
      <c r="AN1446" s="1037">
        <f>AN$1442+$B$1446+IF(AN$1583&gt;2, 0.25%, 0)+IF(AN$1583&gt;2.5, 0.25%, 0)+IF(AN$1583&gt;3, 0.25%, 0)+IF(AN$1583&gt;3.5, 0.25%, 0)+IF(AN$1583&gt;4, 0.25%, 0)+IF(AN$1583&gt;4.5, 0.25%, 0)+IF(AN$1583&gt;5, 0.25%, 0)+IF(AN$1583&gt;5.5, 0.25%, 0)</f>
        <v>2.5499999999999998E-2</v>
      </c>
      <c r="AO1446" s="1037">
        <f>AO$1442+$B$1446+IF(AO$1583&gt;2, 0.25%, 0)+IF(AO$1583&gt;2.5, 0.25%, 0)+IF(AO$1583&gt;3, 0.25%, 0)+IF(AO$1583&gt;3.5, 0.25%, 0)+IF(AO$1583&gt;4, 0.25%, 0)+IF(AO$1583&gt;4.5, 0.25%, 0)+IF(AO$1583&gt;5, 0.25%, 0)+IF(AO$1583&gt;5.5, 0.25%, 0)</f>
        <v>2.5499999999999998E-2</v>
      </c>
      <c r="AP1446" s="1038">
        <f>AVERAGE(AL1446:AO1446)</f>
        <v>2.6749999999999996E-2</v>
      </c>
      <c r="AQ1446" s="1038">
        <f>AQ$1442+$B$1446+IF(AQ$1583&gt;2, 0.25%, 0)+IF(AQ$1583&gt;2.5, 0.25%, 0)+IF(AQ$1583&gt;3, 0.25%, 0)+IF(AQ$1583&gt;3.5, 0.25%, 0)+IF(AQ$1583&gt;4, 0.25%, 0)+IF(AQ$1583&gt;4.5, 0.25%, 0)+IF(AQ$1583&gt;5, 0.25%, 0)+IF(AQ$1583&gt;5.5, 0.25%, 0)</f>
        <v>2.4999999999999998E-2</v>
      </c>
      <c r="AR1446" s="1039">
        <f>AR$1442+$B$1446+IF(AR$1583&gt;2, 0.25%, 0)+IF(AR$1583&gt;2.5, 0.25%, 0)+IF(AR$1583&gt;3, 0.25%, 0)+IF(AR$1583&gt;3.5, 0.25%, 0)+IF(AR$1583&gt;4, 0.25%, 0)+IF(AR$1583&gt;4.5, 0.25%, 0)+IF(AR$1583&gt;5, 0.25%, 0)+IF(AR$1583&gt;5.5, 0.25%, 0)</f>
        <v>2.4999999999999998E-2</v>
      </c>
      <c r="AS1446" s="1039">
        <f>AS$1442+$B$1446+IF(AS$1583&gt;2, 0.25%, 0)+IF(AS$1583&gt;2.5, 0.25%, 0)+IF(AS$1583&gt;3, 0.25%, 0)+IF(AS$1583&gt;3.5, 0.25%, 0)+IF(AS$1583&gt;4, 0.25%, 0)+IF(AS$1583&gt;4.5, 0.25%, 0)+IF(AS$1583&gt;5, 0.25%, 0)+IF(AS$1583&gt;5.5, 0.25%, 0)</f>
        <v>2.4999999999999998E-2</v>
      </c>
      <c r="AT1446" s="1039">
        <f>AT$1442+$B$1446+IF(AT$1583&gt;2, 0.25%, 0)+IF(AT$1583&gt;2.5, 0.25%, 0)+IF(AT$1583&gt;3, 0.25%, 0)+IF(AT$1583&gt;3.5, 0.25%, 0)+IF(AT$1583&gt;4, 0.25%, 0)+IF(AT$1583&gt;4.5, 0.25%, 0)+IF(AT$1583&gt;5, 0.25%, 0)+IF(AT$1583&gt;5.5, 0.25%, 0)</f>
        <v>2.7499999999999997E-2</v>
      </c>
      <c r="AU1446" s="1036">
        <f>AVERAGE(AQ1446:AT1446)</f>
        <v>2.5624999999999998E-2</v>
      </c>
      <c r="AV1446" s="1038">
        <f t="shared" ref="AV1446:CF1446" si="3288">AV$1442+$B$1446+IF(AV$1583&gt;2, 0.25%, 0)+IF(AV$1583&gt;2.5, 0.25%, 0)+IF(AV$1583&gt;3, 0.25%, 0)+IF(AV$1583&gt;3.5, 0.25%, 0)+IF(AV$1583&gt;4, 0.25%, 0)+IF(AV$1583&gt;4.5, 0.25%, 0)+IF(AV$1583&gt;5, 0.25%, 0)+IF(AV$1583&gt;5.5, 0.25%, 0)</f>
        <v>2.7499999999999997E-2</v>
      </c>
      <c r="AW1446" s="1039">
        <f t="shared" si="3288"/>
        <v>2.4999999999999998E-2</v>
      </c>
      <c r="AX1446" s="1039">
        <f t="shared" si="3288"/>
        <v>2.4999999999999998E-2</v>
      </c>
      <c r="AY1446" s="1674">
        <f t="shared" si="3288"/>
        <v>0.02</v>
      </c>
      <c r="AZ1446" s="1036">
        <f t="shared" si="3288"/>
        <v>0.02</v>
      </c>
      <c r="BA1446" s="1038">
        <f t="shared" si="3288"/>
        <v>0.02</v>
      </c>
      <c r="BB1446" s="1039">
        <f t="shared" si="3288"/>
        <v>2.2499999999999999E-2</v>
      </c>
      <c r="BC1446" s="1039">
        <f t="shared" si="3288"/>
        <v>2.9999999999999995E-2</v>
      </c>
      <c r="BD1446" s="1674">
        <f t="shared" si="3288"/>
        <v>3.2499999999999994E-2</v>
      </c>
      <c r="BE1446" s="1036">
        <f t="shared" si="3288"/>
        <v>3.2499999999999994E-2</v>
      </c>
      <c r="BF1446" s="1039">
        <f t="shared" si="3288"/>
        <v>3.5749999999999997E-2</v>
      </c>
      <c r="BG1446" s="1039">
        <f t="shared" si="3288"/>
        <v>3.3249999999999995E-2</v>
      </c>
      <c r="BH1446" s="1039">
        <f t="shared" si="3288"/>
        <v>3.8249999999999999E-2</v>
      </c>
      <c r="BI1446" s="1674">
        <f t="shared" si="3288"/>
        <v>3.8249999999999999E-2</v>
      </c>
      <c r="BJ1446" s="1036">
        <f t="shared" si="3288"/>
        <v>3.6375000000000005E-2</v>
      </c>
      <c r="BK1446" s="1039">
        <f t="shared" si="3288"/>
        <v>3.3249999999999995E-2</v>
      </c>
      <c r="BL1446" s="1039">
        <f t="shared" si="3288"/>
        <v>3.6249999999999998E-2</v>
      </c>
      <c r="BM1446" s="1039">
        <f t="shared" si="3288"/>
        <v>3.6249999999999998E-2</v>
      </c>
      <c r="BN1446" s="1674">
        <f t="shared" si="3288"/>
        <v>3.6250000000000004E-2</v>
      </c>
      <c r="BO1446" s="1036">
        <f t="shared" si="3288"/>
        <v>3.3624999999999995E-2</v>
      </c>
      <c r="BP1446" s="1039">
        <f t="shared" si="3288"/>
        <v>3.3750000000000002E-2</v>
      </c>
      <c r="BQ1446" s="1039">
        <f t="shared" si="3288"/>
        <v>3.3750000000000002E-2</v>
      </c>
      <c r="BR1446" s="1039">
        <f t="shared" si="3288"/>
        <v>3.6250000000000011E-2</v>
      </c>
      <c r="BS1446" s="1039">
        <f t="shared" si="3288"/>
        <v>3.8750000000000007E-2</v>
      </c>
      <c r="BT1446" s="3255">
        <f t="shared" si="3288"/>
        <v>3.5625000000000004E-2</v>
      </c>
      <c r="BU1446" s="3307">
        <f t="shared" si="3288"/>
        <v>4.3750000000000011E-2</v>
      </c>
      <c r="BV1446" s="3307">
        <f t="shared" si="3288"/>
        <v>4.6250000000000013E-2</v>
      </c>
      <c r="BW1446" s="3307">
        <f t="shared" si="3288"/>
        <v>5.3750000000000013E-2</v>
      </c>
      <c r="BX1446" s="3307">
        <f t="shared" si="3288"/>
        <v>5.1250000000000004E-2</v>
      </c>
      <c r="BY1446" s="3255">
        <f t="shared" si="3288"/>
        <v>4.7500000000000007E-2</v>
      </c>
      <c r="BZ1446" s="1036">
        <f t="shared" si="3288"/>
        <v>4.8750000000000002E-2</v>
      </c>
      <c r="CA1446" s="1036">
        <f t="shared" si="3288"/>
        <v>5.1250000000000004E-2</v>
      </c>
      <c r="CB1446" s="1036">
        <f t="shared" si="3288"/>
        <v>5.3750000000000006E-2</v>
      </c>
      <c r="CC1446" s="1036">
        <f t="shared" si="3288"/>
        <v>5.6250000000000008E-2</v>
      </c>
      <c r="CD1446" s="1036">
        <f t="shared" si="3288"/>
        <v>5.6250000000000008E-2</v>
      </c>
      <c r="CE1446" s="1036">
        <f t="shared" si="3288"/>
        <v>5.3750000000000006E-2</v>
      </c>
      <c r="CF1446" s="1036">
        <f t="shared" si="3288"/>
        <v>5.3750000000000006E-2</v>
      </c>
      <c r="CG1446" s="980"/>
      <c r="CH1446" s="980"/>
      <c r="CI1446" s="980"/>
      <c r="CJ1446" s="980"/>
      <c r="CK1446" s="980"/>
      <c r="CL1446" s="2043" t="str">
        <f t="shared" si="3283"/>
        <v>Senior secured facility - Revolver (B) due 7/12</v>
      </c>
      <c r="CM1446" s="1039"/>
      <c r="CN1446" s="1039"/>
      <c r="CO1446" s="1039"/>
      <c r="CP1446" s="1039"/>
      <c r="CQ1446" s="1039"/>
      <c r="CR1446" s="1039">
        <f>AF1446</f>
        <v>3.09035E-2</v>
      </c>
      <c r="CS1446" s="1039">
        <f>AK1446</f>
        <v>3.0374999999999996E-2</v>
      </c>
      <c r="CT1446" s="1039">
        <f>AP1446</f>
        <v>2.6749999999999996E-2</v>
      </c>
      <c r="CU1446" s="1039">
        <f>AU1446</f>
        <v>2.5624999999999998E-2</v>
      </c>
      <c r="CV1446" s="1039">
        <f>AZ1446</f>
        <v>0.02</v>
      </c>
      <c r="CW1446" s="1039">
        <f>BE1446</f>
        <v>3.2499999999999994E-2</v>
      </c>
      <c r="CX1446" s="1039">
        <f>BJ1446</f>
        <v>3.6375000000000005E-2</v>
      </c>
      <c r="CY1446" s="1039">
        <f>BO1446</f>
        <v>3.3624999999999995E-2</v>
      </c>
      <c r="CZ1446" s="1039">
        <f>BT1446</f>
        <v>3.5625000000000004E-2</v>
      </c>
      <c r="DA1446" s="1039">
        <f t="shared" si="3287"/>
        <v>4.7500000000000007E-2</v>
      </c>
      <c r="DB1446" s="1039">
        <f t="shared" si="3287"/>
        <v>4.8750000000000002E-2</v>
      </c>
      <c r="DC1446" s="1674">
        <f t="shared" si="3287"/>
        <v>5.1250000000000004E-2</v>
      </c>
      <c r="DD1446" s="980"/>
      <c r="DE1446" s="980"/>
      <c r="DF1446" s="981"/>
      <c r="DG1446" s="981"/>
      <c r="DH1446" s="3307"/>
      <c r="DI1446" s="3213"/>
      <c r="DJ1446" s="981"/>
      <c r="DK1446" s="981"/>
      <c r="DL1446" s="981"/>
      <c r="DM1446" s="981"/>
      <c r="DN1446" s="981"/>
      <c r="DO1446" s="981"/>
      <c r="DP1446" s="981"/>
      <c r="DQ1446" s="981"/>
      <c r="DR1446" s="630"/>
      <c r="DS1446" s="630"/>
      <c r="DT1446" s="630"/>
    </row>
    <row r="1447" spans="1:124" ht="12" hidden="1" customHeight="1" outlineLevel="1" x14ac:dyDescent="0.25">
      <c r="A1447" s="1954" t="s">
        <v>579</v>
      </c>
      <c r="B1447" s="627">
        <v>0.01</v>
      </c>
      <c r="C1447" s="1033"/>
      <c r="D1447" s="1033"/>
      <c r="E1447" s="1033"/>
      <c r="F1447" s="1033"/>
      <c r="G1447" s="1034"/>
      <c r="H1447" s="1033"/>
      <c r="I1447" s="1033"/>
      <c r="J1447" s="1033"/>
      <c r="K1447" s="1035">
        <f>K$1442+$B1447+IF(K$1583&gt;3.5, 0.25%, 0)+IF(K$1583&gt;4, 0.25%, 0)+IF(K$1583&gt;4.5, 0.25%, 0)+IF(K$1583&gt;5, 0.25%, 0)+IF(K$1583&gt;5, 0.25%, 0)+IF(K$1583&gt;5.5, 0.25%, 0)</f>
        <v>6.086670000000001E-2</v>
      </c>
      <c r="L1447" s="1036">
        <f>AVERAGE(H1447:K1447)</f>
        <v>6.086670000000001E-2</v>
      </c>
      <c r="M1447" s="1035">
        <f>M$1442+$B1447+IF(M$1583&gt;3.5, 0.25%, 0)+IF(M$1583&gt;4, 0.25%, 0)+IF(M$1583&gt;4.5, 0.25%, 0)+IF(M$1583&gt;5, 0.25%, 0)+IF(M$1583&gt;5, 0.25%, 0)+IF(M$1583&gt;5.5, 0.25%, 0)</f>
        <v>6.2678999999999999E-2</v>
      </c>
      <c r="N1447" s="1035">
        <f>N$1442+$B1447+IF(N$1583&gt;3.5, 0.25%, 0)+IF(N$1583&gt;4, 0.25%, 0)+IF(N$1583&gt;4.5, 0.25%, 0)+IF(N$1583&gt;5, 0.25%, 0)+IF(N$1583&gt;5, 0.25%, 0)+IF(N$1583&gt;5.5, 0.25%, 0)</f>
        <v>6.969800000000001E-2</v>
      </c>
      <c r="O1447" s="1035">
        <f>O$1442+$B1447+IF(O$1583&gt;3.5, 0.25%, 0)+IF(O$1583&gt;4, 0.25%, 0)+IF(O$1583&gt;4.5, 0.25%, 0)+IF(O$1583&gt;5, 0.25%, 0)+IF(O$1583&gt;5, 0.25%, 0)+IF(O$1583&gt;5.5, 0.25%, 0)</f>
        <v>6.9330158730158728E-2</v>
      </c>
      <c r="P1447" s="1035">
        <f>P$1442+$B1447+IF(P$1583&gt;3.5, 0.25%, 0)+IF(P$1583&gt;4, 0.25%, 0)+IF(P$1583&gt;4.5, 0.25%, 0)+IF(P$1583&gt;5, 0.25%, 0)+IF(P$1583&gt;5, 0.25%, 0)+IF(P$1583&gt;5.5, 0.25%, 0)</f>
        <v>6.8687999999999999E-2</v>
      </c>
      <c r="Q1447" s="1036">
        <f>AVERAGE(M1447:P1447)</f>
        <v>6.7598789682539684E-2</v>
      </c>
      <c r="R1447" s="1035">
        <f>R$1442+$B1447+IF(R$1583&gt;3.5, 0.25%, 0)+IF(R$1583&gt;4, 0.25%, 0)+IF(R$1583&gt;4.5, 0.25%, 0)+IF(R$1583&gt;5, 0.25%, 0)+IF(R$1583&gt;5, 0.25%, 0)+IF(R$1583&gt;5.5, 0.25%, 0)</f>
        <v>6.8554838709677504E-2</v>
      </c>
      <c r="S1447" s="1035">
        <f>S$1442+$B1447+IF(S$1583&gt;3.5, 0.25%, 0)+IF(S$1583&gt;4, 0.25%, 0)+IF(S$1583&gt;4.5, 0.25%, 0)+IF(S$1583&gt;5, 0.25%, 0)+IF(S$1583&gt;5, 0.25%, 0)+IF(S$1583&gt;5.5, 0.25%, 0)</f>
        <v>7.1089062500000105E-2</v>
      </c>
      <c r="T1447" s="1035">
        <f>T$1442+$B1447+IF(T$1583&gt;3.5, 0.25%, 0)+IF(T$1583&gt;4, 0.25%, 0)+IF(T$1583&gt;4.5, 0.25%, 0)+IF(T$1583&gt;5, 0.25%, 0)+IF(T$1583&gt;5, 0.25%, 0)+IF(T$1583&gt;5.5, 0.25%, 0)</f>
        <v>6.8920000000000009E-2</v>
      </c>
      <c r="U1447" s="1035">
        <f>U$1442+$B1447+IF(U$1583&gt;3.5, 0.25%, 0)+IF(U$1583&gt;4, 0.25%, 0)+IF(U$1583&gt;4.5, 0.25%, 0)+IF(U$1583&gt;5, 0.25%, 0)+IF(U$1583&gt;5, 0.25%, 0)+IF(U$1583&gt;5.5, 0.25%, 0)</f>
        <v>6.5306456249999992E-2</v>
      </c>
      <c r="V1447" s="1036">
        <f>AVERAGE(R1447:U1447)</f>
        <v>6.846758936491941E-2</v>
      </c>
      <c r="W1447" s="1035">
        <f>W$1442+$B1447+IF(W$1583&gt;3.5, 0.25%, 0)+IF(W$1583&gt;4, 0.25%, 0)+IF(W$1583&gt;4.5, 0.25%, 0)+IF(W$1583&gt;5, 0.25%, 0)+IF(W$1583&gt;5, 0.25%, 0)+IF(W$1583&gt;5.5, 0.25%, 0)</f>
        <v>4.7835723076923103E-2</v>
      </c>
      <c r="X1447" s="1035">
        <f>X$1442+$B1447+IF(X$1583&gt;3.5, 0.25%, 0)+IF(X$1583&gt;4, 0.25%, 0)+IF(X$1583&gt;4.5, 0.25%, 0)+IF(X$1583&gt;5, 0.25%, 0)+IF(X$1583&gt;5, 0.25%, 0)+IF(X$1583&gt;5.5, 0.25%, 0)</f>
        <v>4.2508000000000004E-2</v>
      </c>
      <c r="Y1447" s="1035">
        <f>Y$1442+$B1447+IF(Y$1583&gt;3.5, 0.25%, 0)+IF(Y$1583&gt;4, 0.25%, 0)+IF(Y$1583&gt;4.5, 0.25%, 0)+IF(Y$1583&gt;5, 0.25%, 0)+IF(Y$1583&gt;5, 0.25%, 0)+IF(Y$1583&gt;5.5, 0.25%, 0)</f>
        <v>4.1580000000000006E-2</v>
      </c>
      <c r="Z1447" s="1035">
        <f>Z$1442+$B1447+IF(Z$1583&gt;3.5, 0.25%, 0)+IF(Z$1583&gt;4, 0.25%, 0)+IF(Z$1583&gt;4.5, 0.25%, 0)+IF(Z$1583&gt;5, 0.25%, 0)+IF(Z$1583&gt;5, 0.25%, 0)+IF(Z$1583&gt;5.5, 0.25%, 0)</f>
        <v>3.9724000000000002E-2</v>
      </c>
      <c r="AA1447" s="1036">
        <f>AVERAGE(W1447:Z1447)</f>
        <v>4.2911930769230784E-2</v>
      </c>
      <c r="AB1447" s="1035">
        <f>AB$1442+$B1447+IF(AB$1583&gt;3.5, 0.25%, 0)+IF(AB$1583&gt;4, 0.25%, 0)+IF(AB$1583&gt;4.5, 0.25%, 0)+IF(AB$1583&gt;5, 0.25%, 0)+IF(AB$1583&gt;5, 0.25%, 0)+IF(AB$1583&gt;5.5, 0.25%, 0)</f>
        <v>2.4899999999999999E-2</v>
      </c>
      <c r="AC1447" s="1035">
        <f>AC$1442+$B1447+IF(AC$1583&gt;3.5, 0.25%, 0)+IF(AC$1583&gt;4, 0.25%, 0)+IF(AC$1583&gt;4.5, 0.25%, 0)+IF(AC$1583&gt;5, 0.25%, 0)+IF(AC$1583&gt;5, 0.25%, 0)+IF(AC$1583&gt;5.5, 0.25%, 0)</f>
        <v>2.0978E-2</v>
      </c>
      <c r="AD1447" s="1035">
        <f>AD$1442+$B1447+IF(AD$1583&gt;3.5, 0.25%, 0)+IF(AD$1583&gt;4, 0.25%, 0)+IF(AD$1583&gt;4.5, 0.25%, 0)+IF(AD$1583&gt;5, 0.25%, 0)+IF(AD$1583&gt;5, 0.25%, 0)+IF(AD$1583&gt;5.5, 0.25%, 0)</f>
        <v>1.6625999999999998E-2</v>
      </c>
      <c r="AE1447" s="1037"/>
      <c r="AF1447" s="1036">
        <f t="shared" si="3284"/>
        <v>2.0834666666666668E-2</v>
      </c>
      <c r="AG1447" s="1037"/>
      <c r="AH1447" s="1037"/>
      <c r="AI1447" s="1037"/>
      <c r="AJ1447" s="1037"/>
      <c r="AK1447" s="1036"/>
      <c r="AL1447" s="1037"/>
      <c r="AM1447" s="1037"/>
      <c r="AN1447" s="1037"/>
      <c r="AO1447" s="1037"/>
      <c r="AP1447" s="1038"/>
      <c r="AQ1447" s="1038"/>
      <c r="AR1447" s="1039"/>
      <c r="AS1447" s="1039"/>
      <c r="AT1447" s="1039"/>
      <c r="AU1447" s="1036"/>
      <c r="AV1447" s="1038"/>
      <c r="AW1447" s="1039"/>
      <c r="AX1447" s="1039"/>
      <c r="AY1447" s="1674"/>
      <c r="AZ1447" s="1036"/>
      <c r="BA1447" s="1038"/>
      <c r="BB1447" s="1039"/>
      <c r="BC1447" s="1039"/>
      <c r="BD1447" s="1674"/>
      <c r="BE1447" s="1036"/>
      <c r="BF1447" s="1039"/>
      <c r="BG1447" s="1039"/>
      <c r="BH1447" s="1039"/>
      <c r="BI1447" s="1674"/>
      <c r="BJ1447" s="1036"/>
      <c r="BK1447" s="1039"/>
      <c r="BL1447" s="1039"/>
      <c r="BM1447" s="1039"/>
      <c r="BN1447" s="1674"/>
      <c r="BO1447" s="1036"/>
      <c r="BP1447" s="1039"/>
      <c r="BQ1447" s="1039"/>
      <c r="BR1447" s="1039"/>
      <c r="BS1447" s="1039"/>
      <c r="BT1447" s="3255"/>
      <c r="BU1447" s="3307"/>
      <c r="BV1447" s="3307"/>
      <c r="BW1447" s="3307"/>
      <c r="BX1447" s="3307"/>
      <c r="BY1447" s="3255"/>
      <c r="BZ1447" s="1036"/>
      <c r="CA1447" s="1036"/>
      <c r="CB1447" s="1036"/>
      <c r="CC1447" s="1036"/>
      <c r="CD1447" s="1036"/>
      <c r="CE1447" s="1036"/>
      <c r="CF1447" s="1036"/>
      <c r="CG1447" s="980"/>
      <c r="CH1447" s="980"/>
      <c r="CI1447" s="980"/>
      <c r="CJ1447" s="980"/>
      <c r="CK1447" s="980"/>
      <c r="CL1447" s="2043" t="str">
        <f t="shared" si="3283"/>
        <v>Senior secured facility - Term Loan A due 10/11</v>
      </c>
      <c r="CM1447" s="1039"/>
      <c r="CN1447" s="1039">
        <f>L1447</f>
        <v>6.086670000000001E-2</v>
      </c>
      <c r="CO1447" s="1039">
        <f>Q1447</f>
        <v>6.7598789682539684E-2</v>
      </c>
      <c r="CP1447" s="1039">
        <f>V1447</f>
        <v>6.846758936491941E-2</v>
      </c>
      <c r="CQ1447" s="1039">
        <f>AA1447</f>
        <v>4.2911930769230784E-2</v>
      </c>
      <c r="CR1447" s="1039">
        <f>AF1447</f>
        <v>2.0834666666666668E-2</v>
      </c>
      <c r="CS1447" s="1039"/>
      <c r="CT1447" s="1039"/>
      <c r="CU1447" s="1039"/>
      <c r="CV1447" s="1039"/>
      <c r="CW1447" s="1039"/>
      <c r="CX1447" s="1039"/>
      <c r="CY1447" s="1039"/>
      <c r="CZ1447" s="1039"/>
      <c r="DA1447" s="1039"/>
      <c r="DB1447" s="1039"/>
      <c r="DC1447" s="1674"/>
      <c r="DD1447" s="980"/>
      <c r="DE1447" s="980"/>
      <c r="DF1447" s="981"/>
      <c r="DG1447" s="981"/>
      <c r="DH1447" s="3307"/>
      <c r="DI1447" s="3213"/>
      <c r="DJ1447" s="981"/>
      <c r="DK1447" s="981"/>
      <c r="DL1447" s="981"/>
      <c r="DM1447" s="981"/>
      <c r="DN1447" s="981"/>
      <c r="DO1447" s="981"/>
      <c r="DP1447" s="981"/>
      <c r="DQ1447" s="981"/>
      <c r="DR1447" s="630"/>
      <c r="DS1447" s="630"/>
      <c r="DT1447" s="630"/>
    </row>
    <row r="1448" spans="1:124" ht="12" hidden="1" customHeight="1" outlineLevel="1" x14ac:dyDescent="0.25">
      <c r="A1448" s="1954" t="s">
        <v>1505</v>
      </c>
      <c r="B1448" s="627">
        <v>1.7500000000000002E-2</v>
      </c>
      <c r="C1448" s="1033"/>
      <c r="D1448" s="1033"/>
      <c r="E1448" s="1033"/>
      <c r="F1448" s="1033"/>
      <c r="G1448" s="1034"/>
      <c r="H1448" s="1033"/>
      <c r="I1448" s="1033"/>
      <c r="J1448" s="1033"/>
      <c r="K1448" s="1035">
        <f>K$1442+$B1448+IF(K$1583&gt;5.25, 0.25%, 0)</f>
        <v>6.0866700000000003E-2</v>
      </c>
      <c r="L1448" s="1036">
        <f>AVERAGE(H1448:K1448)</f>
        <v>6.0866700000000003E-2</v>
      </c>
      <c r="M1448" s="1035">
        <f>M$1442+$B1448+IF(M$1583&gt;5.25, 0.25%, 0)</f>
        <v>6.5179000000000001E-2</v>
      </c>
      <c r="N1448" s="1035">
        <f>N$1442+$B1448+IF(N$1583&gt;5.25, 0.25%, 0)</f>
        <v>6.969800000000001E-2</v>
      </c>
      <c r="O1448" s="1035">
        <f>O$1442+$B1448+IF(O$1583&gt;5.25, 0.25%, 0)</f>
        <v>7.183015873015873E-2</v>
      </c>
      <c r="P1448" s="1035">
        <f>P$1442+$B1448+IF(P$1583&gt;5.25, 0.25%, 0)</f>
        <v>7.1188000000000001E-2</v>
      </c>
      <c r="Q1448" s="1036">
        <f>AVERAGE(M1448:P1448)</f>
        <v>6.9473789682539699E-2</v>
      </c>
      <c r="R1448" s="1035">
        <f>R$1442+$B1448+IF(R$1583&gt;5.25, 0.25%, 0)</f>
        <v>7.1054838709677492E-2</v>
      </c>
      <c r="S1448" s="1035">
        <f>S$1442+$B1448+IF(S$1583&gt;5.25, 0.25%, 0)</f>
        <v>7.1089062500000105E-2</v>
      </c>
      <c r="T1448" s="1035">
        <f>T$1442+$B1448+IF(T$1583&gt;5.25, 0.25%, 0)</f>
        <v>7.1420000000000011E-2</v>
      </c>
      <c r="U1448" s="1035">
        <f>U$1442+$B1448+IF(U$1583&gt;5.25, 0.25%, 0)</f>
        <v>6.7806456249999994E-2</v>
      </c>
      <c r="V1448" s="1036">
        <f>AVERAGE(R1448:U1448)</f>
        <v>7.0342589364919397E-2</v>
      </c>
      <c r="W1448" s="1035">
        <f>W$1442+$B1448+IF(W$1583&gt;5.25, 0.25%, 0)</f>
        <v>5.0335723076923099E-2</v>
      </c>
      <c r="X1448" s="1035">
        <f>X$1442+$B1448+IF(X$1583&gt;5.25, 0.25%, 0)</f>
        <v>4.5008000000000006E-2</v>
      </c>
      <c r="Y1448" s="1035">
        <f>Y$1442+$B1448+IF(Y$1583&gt;5.25, 0.25%, 0)</f>
        <v>4.6580000000000003E-2</v>
      </c>
      <c r="Z1448" s="1035">
        <f>Z$1442+$B1448+IF(Z$1583&gt;5.25, 0.25%, 0)</f>
        <v>4.4724E-2</v>
      </c>
      <c r="AA1448" s="1036">
        <f>AVERAGE(W1448:Z1448)</f>
        <v>4.6661930769230781E-2</v>
      </c>
      <c r="AB1448" s="1035">
        <f>AB$1442+$B1448+IF(AB$1583&gt;5.25, 0.25%, 0)</f>
        <v>2.9900000000000003E-2</v>
      </c>
      <c r="AC1448" s="1035">
        <f>AC$1442+$B1448+IF(AC$1583&gt;5.25, 0.25%, 0)</f>
        <v>2.5978000000000001E-2</v>
      </c>
      <c r="AD1448" s="1035">
        <f>AD$1442+$B1448+IF(AD$1583&gt;5.25, 0.25%, 0)</f>
        <v>2.1626000000000003E-2</v>
      </c>
      <c r="AE1448" s="1037">
        <f>AE$1442+$B1448+IF(AE$1583&gt;5.25, 0.25%, 0)</f>
        <v>2.0181000000000001E-2</v>
      </c>
      <c r="AF1448" s="1036">
        <f t="shared" si="3284"/>
        <v>2.4421250000000002E-2</v>
      </c>
      <c r="AG1448" s="1037">
        <f>AG$1442+$B1448+IF(AG$1583&gt;5.25, 0.25%, 0)</f>
        <v>0.02</v>
      </c>
      <c r="AH1448" s="1037">
        <f>AH$1442+$B1448+IF(AH$1583&gt;5.25, 0.25%, 0)</f>
        <v>2.0500000000000001E-2</v>
      </c>
      <c r="AI1448" s="1037">
        <f>AI$1442+$B1448+IF(AI$1583&gt;5.25, 0.25%, 0)</f>
        <v>2.0500000000000001E-2</v>
      </c>
      <c r="AJ1448" s="1037">
        <f>AJ$1442+$B1448+IF(AJ$1583&gt;5.25, 0.25%, 0)</f>
        <v>2.0500000000000001E-2</v>
      </c>
      <c r="AK1448" s="1036">
        <f t="shared" si="3285"/>
        <v>2.0375000000000001E-2</v>
      </c>
      <c r="AL1448" s="1037">
        <f>AL$1442+$B1448+IF(AL$1583&gt;5.25, 0.25%, 0)</f>
        <v>2.0500000000000001E-2</v>
      </c>
      <c r="AM1448" s="1037">
        <f>AM$1442+$B1448+IF(AM$1583&gt;5.25, 0.25%, 0)</f>
        <v>2.0500000000000001E-2</v>
      </c>
      <c r="AN1448" s="1037">
        <f>AN$1442+$B1448+IF(AN$1583&gt;5.25, 0.25%, 0)</f>
        <v>2.0500000000000001E-2</v>
      </c>
      <c r="AO1448" s="1037">
        <f>AO$1442+$B1448+IF(AO$1583&gt;5.25, 0.25%, 0)</f>
        <v>2.0500000000000001E-2</v>
      </c>
      <c r="AP1448" s="1038">
        <f>AVERAGE(AL1448:AO1448)</f>
        <v>2.0500000000000001E-2</v>
      </c>
      <c r="AQ1448" s="1038">
        <f>AQ$1442+$B1448+IF(AQ$1583&gt;5.25, 0.25%, 0)</f>
        <v>0.02</v>
      </c>
      <c r="AR1448" s="1039">
        <f>AR$1442+$B1448+IF(AR$1583&gt;5.25, 0.25%, 0)</f>
        <v>0.02</v>
      </c>
      <c r="AS1448" s="1039">
        <f>AS$1442+$B1448+IF(AS$1583&gt;5.25, 0.25%, 0)</f>
        <v>0.02</v>
      </c>
      <c r="AT1448" s="1039">
        <f>AT$1442+$B1448+IF(AT$1583&gt;5.25, 0.25%, 0)</f>
        <v>0.02</v>
      </c>
      <c r="AU1448" s="1036">
        <f>AVERAGE(AQ1448:AT1448)</f>
        <v>0.02</v>
      </c>
      <c r="AV1448" s="1038">
        <f t="shared" ref="AV1448:CF1448" si="3289">AV$1442+$B1448+IF(AV$1583&gt;5.25, 0.25%, 0)</f>
        <v>0.02</v>
      </c>
      <c r="AW1448" s="1039">
        <f t="shared" si="3289"/>
        <v>0.02</v>
      </c>
      <c r="AX1448" s="1039">
        <f t="shared" si="3289"/>
        <v>0.02</v>
      </c>
      <c r="AY1448" s="1674">
        <f t="shared" si="3289"/>
        <v>0.02</v>
      </c>
      <c r="AZ1448" s="1036">
        <f t="shared" si="3289"/>
        <v>0.02</v>
      </c>
      <c r="BA1448" s="1038">
        <f t="shared" si="3289"/>
        <v>0.02</v>
      </c>
      <c r="BB1448" s="1039">
        <f t="shared" si="3289"/>
        <v>0.02</v>
      </c>
      <c r="BC1448" s="1039">
        <f t="shared" si="3289"/>
        <v>0.02</v>
      </c>
      <c r="BD1448" s="1674">
        <f t="shared" si="3289"/>
        <v>0.02</v>
      </c>
      <c r="BE1448" s="1036">
        <f t="shared" si="3289"/>
        <v>0.02</v>
      </c>
      <c r="BF1448" s="1039">
        <f t="shared" si="3289"/>
        <v>2.0750000000000001E-2</v>
      </c>
      <c r="BG1448" s="1039">
        <f t="shared" si="3289"/>
        <v>2.0750000000000001E-2</v>
      </c>
      <c r="BH1448" s="1039">
        <f t="shared" si="3289"/>
        <v>2.0750000000000001E-2</v>
      </c>
      <c r="BI1448" s="1674">
        <f t="shared" si="3289"/>
        <v>2.325E-2</v>
      </c>
      <c r="BJ1448" s="1036">
        <f t="shared" si="3289"/>
        <v>2.1375000000000002E-2</v>
      </c>
      <c r="BK1448" s="1039">
        <f t="shared" si="3289"/>
        <v>2.0750000000000001E-2</v>
      </c>
      <c r="BL1448" s="1039">
        <f t="shared" si="3289"/>
        <v>2.375E-2</v>
      </c>
      <c r="BM1448" s="1039">
        <f t="shared" si="3289"/>
        <v>2.375E-2</v>
      </c>
      <c r="BN1448" s="1674">
        <f t="shared" si="3289"/>
        <v>2.6250000000000002E-2</v>
      </c>
      <c r="BO1448" s="1036">
        <f t="shared" si="3289"/>
        <v>2.3625E-2</v>
      </c>
      <c r="BP1448" s="1039">
        <f t="shared" si="3289"/>
        <v>2.6250000000000002E-2</v>
      </c>
      <c r="BQ1448" s="1039">
        <f t="shared" si="3289"/>
        <v>2.6250000000000002E-2</v>
      </c>
      <c r="BR1448" s="1039">
        <f t="shared" si="3289"/>
        <v>2.8750000000000005E-2</v>
      </c>
      <c r="BS1448" s="1039">
        <f t="shared" si="3289"/>
        <v>3.125E-2</v>
      </c>
      <c r="BT1448" s="3255">
        <f t="shared" si="3289"/>
        <v>2.8125000000000004E-2</v>
      </c>
      <c r="BU1448" s="3307">
        <f t="shared" si="3289"/>
        <v>3.6250000000000004E-2</v>
      </c>
      <c r="BV1448" s="3307">
        <f t="shared" si="3289"/>
        <v>3.8750000000000007E-2</v>
      </c>
      <c r="BW1448" s="3307">
        <f t="shared" si="3289"/>
        <v>4.1250000000000002E-2</v>
      </c>
      <c r="BX1448" s="3307">
        <f t="shared" si="3289"/>
        <v>4.3749999999999997E-2</v>
      </c>
      <c r="BY1448" s="3255">
        <f t="shared" si="3289"/>
        <v>0.04</v>
      </c>
      <c r="BZ1448" s="1036">
        <f t="shared" si="3289"/>
        <v>4.6249999999999999E-2</v>
      </c>
      <c r="CA1448" s="1036">
        <f t="shared" si="3289"/>
        <v>4.8750000000000002E-2</v>
      </c>
      <c r="CB1448" s="1036">
        <f t="shared" si="3289"/>
        <v>4.8750000000000002E-2</v>
      </c>
      <c r="CC1448" s="1036">
        <f t="shared" si="3289"/>
        <v>4.8750000000000002E-2</v>
      </c>
      <c r="CD1448" s="1036">
        <f t="shared" si="3289"/>
        <v>4.8750000000000002E-2</v>
      </c>
      <c r="CE1448" s="1036">
        <f t="shared" si="3289"/>
        <v>4.8750000000000002E-2</v>
      </c>
      <c r="CF1448" s="1036">
        <f t="shared" si="3289"/>
        <v>4.8750000000000002E-2</v>
      </c>
      <c r="CG1448" s="980"/>
      <c r="CH1448" s="980"/>
      <c r="CI1448" s="980"/>
      <c r="CJ1448" s="980"/>
      <c r="CK1448" s="980"/>
      <c r="CL1448" s="2043" t="str">
        <f t="shared" si="3283"/>
        <v>Senior secured facility - Term Loan B, due 10/12</v>
      </c>
      <c r="CM1448" s="1039"/>
      <c r="CN1448" s="1039">
        <f>L1448</f>
        <v>6.0866700000000003E-2</v>
      </c>
      <c r="CO1448" s="1039">
        <f>Q1448</f>
        <v>6.9473789682539699E-2</v>
      </c>
      <c r="CP1448" s="1039">
        <f>V1448</f>
        <v>7.0342589364919397E-2</v>
      </c>
      <c r="CQ1448" s="1039">
        <f>AA1448</f>
        <v>4.6661930769230781E-2</v>
      </c>
      <c r="CR1448" s="1039">
        <f>AF1448</f>
        <v>2.4421250000000002E-2</v>
      </c>
      <c r="CS1448" s="1039">
        <f>AK1448</f>
        <v>2.0375000000000001E-2</v>
      </c>
      <c r="CT1448" s="1039">
        <f>AP1448</f>
        <v>2.0500000000000001E-2</v>
      </c>
      <c r="CU1448" s="1039">
        <f>AU1448</f>
        <v>0.02</v>
      </c>
      <c r="CV1448" s="1039">
        <f>AZ1448</f>
        <v>0.02</v>
      </c>
      <c r="CW1448" s="1039">
        <f>BE1448</f>
        <v>0.02</v>
      </c>
      <c r="CX1448" s="1039">
        <f>BJ1448</f>
        <v>2.1375000000000002E-2</v>
      </c>
      <c r="CY1448" s="1039">
        <f>BO1448</f>
        <v>2.3625E-2</v>
      </c>
      <c r="CZ1448" s="1039">
        <f>BT1448</f>
        <v>2.8125000000000004E-2</v>
      </c>
      <c r="DA1448" s="1039">
        <f>BY1448</f>
        <v>0.04</v>
      </c>
      <c r="DB1448" s="1039">
        <f>BZ1448</f>
        <v>4.6249999999999999E-2</v>
      </c>
      <c r="DC1448" s="1674">
        <f>CA1448</f>
        <v>4.8750000000000002E-2</v>
      </c>
      <c r="DD1448" s="980"/>
      <c r="DE1448" s="980"/>
      <c r="DF1448" s="981"/>
      <c r="DG1448" s="981"/>
      <c r="DH1448" s="3307"/>
      <c r="DI1448" s="3213"/>
      <c r="DJ1448" s="981"/>
      <c r="DK1448" s="981"/>
      <c r="DL1448" s="981"/>
      <c r="DM1448" s="981"/>
      <c r="DN1448" s="981"/>
      <c r="DO1448" s="981"/>
      <c r="DP1448" s="981"/>
      <c r="DQ1448" s="981"/>
      <c r="DR1448" s="630"/>
      <c r="DS1448" s="630"/>
      <c r="DT1448" s="630"/>
    </row>
    <row r="1449" spans="1:124" ht="12" hidden="1" customHeight="1" outlineLevel="1" x14ac:dyDescent="0.25">
      <c r="A1449" s="1954" t="s">
        <v>839</v>
      </c>
      <c r="B1449" s="627">
        <v>2.5000000000000001E-2</v>
      </c>
      <c r="C1449" s="1037">
        <f>C$1442+$B$1449</f>
        <v>3.6211E-2</v>
      </c>
      <c r="D1449" s="1037">
        <f t="shared" ref="D1449:I1449" si="3290">D$1442+$B$1449</f>
        <v>3.8093000000000002E-2</v>
      </c>
      <c r="E1449" s="1037">
        <f t="shared" si="3290"/>
        <v>4.2557999999999999E-2</v>
      </c>
      <c r="F1449" s="1037">
        <f t="shared" si="3290"/>
        <v>4.7989000000000004E-2</v>
      </c>
      <c r="G1449" s="1036">
        <f>AVERAGE(C1449:F1449)</f>
        <v>4.1212750000000006E-2</v>
      </c>
      <c r="H1449" s="1037">
        <f t="shared" si="3290"/>
        <v>5.3409999999999999E-2</v>
      </c>
      <c r="I1449" s="1037">
        <f t="shared" si="3290"/>
        <v>5.7860000000000002E-2</v>
      </c>
      <c r="J1449" s="1033"/>
      <c r="K1449" s="1033"/>
      <c r="L1449" s="1036">
        <f>AVERAGE(H1449:K1449)</f>
        <v>5.5635000000000004E-2</v>
      </c>
      <c r="M1449" s="1033"/>
      <c r="N1449" s="1033"/>
      <c r="O1449" s="1033"/>
      <c r="P1449" s="1033"/>
      <c r="Q1449" s="1034"/>
      <c r="R1449" s="1033"/>
      <c r="S1449" s="1033"/>
      <c r="T1449" s="1033"/>
      <c r="U1449" s="1033"/>
      <c r="V1449" s="1034"/>
      <c r="W1449" s="1033"/>
      <c r="X1449" s="1033"/>
      <c r="Y1449" s="1033"/>
      <c r="Z1449" s="1033"/>
      <c r="AA1449" s="1034"/>
      <c r="AB1449" s="1035"/>
      <c r="AC1449" s="1035"/>
      <c r="AD1449" s="1035"/>
      <c r="AE1449" s="1037"/>
      <c r="AF1449" s="1036"/>
      <c r="AG1449" s="1037"/>
      <c r="AH1449" s="1037"/>
      <c r="AI1449" s="1037"/>
      <c r="AJ1449" s="1037"/>
      <c r="AK1449" s="1036"/>
      <c r="AL1449" s="1037"/>
      <c r="AM1449" s="1037"/>
      <c r="AN1449" s="1037"/>
      <c r="AO1449" s="1037"/>
      <c r="AP1449" s="1038"/>
      <c r="AQ1449" s="1038"/>
      <c r="AR1449" s="1039"/>
      <c r="AS1449" s="1039"/>
      <c r="AT1449" s="1039"/>
      <c r="AU1449" s="1036"/>
      <c r="AV1449" s="1038"/>
      <c r="AW1449" s="1039"/>
      <c r="AX1449" s="1039"/>
      <c r="AY1449" s="1674"/>
      <c r="AZ1449" s="1036"/>
      <c r="BA1449" s="1038"/>
      <c r="BB1449" s="1039"/>
      <c r="BC1449" s="1039"/>
      <c r="BD1449" s="1674"/>
      <c r="BE1449" s="1036"/>
      <c r="BF1449" s="1039"/>
      <c r="BG1449" s="1039"/>
      <c r="BH1449" s="1039"/>
      <c r="BI1449" s="1674"/>
      <c r="BJ1449" s="1036"/>
      <c r="BK1449" s="1039"/>
      <c r="BL1449" s="1039"/>
      <c r="BM1449" s="1039"/>
      <c r="BN1449" s="1674"/>
      <c r="BO1449" s="1036"/>
      <c r="BP1449" s="1039"/>
      <c r="BQ1449" s="1039"/>
      <c r="BR1449" s="1039"/>
      <c r="BS1449" s="1039"/>
      <c r="BT1449" s="3255"/>
      <c r="BU1449" s="3307"/>
      <c r="BV1449" s="3307"/>
      <c r="BW1449" s="3307"/>
      <c r="BX1449" s="3307"/>
      <c r="BY1449" s="3255"/>
      <c r="BZ1449" s="1036"/>
      <c r="CA1449" s="1036"/>
      <c r="CB1449" s="1036"/>
      <c r="CC1449" s="1036"/>
      <c r="CD1449" s="1036"/>
      <c r="CE1449" s="1036"/>
      <c r="CF1449" s="1036"/>
      <c r="CG1449" s="980"/>
      <c r="CH1449" s="980"/>
      <c r="CI1449" s="980"/>
      <c r="CJ1449" s="980"/>
      <c r="CK1449" s="980"/>
      <c r="CL1449" s="2043" t="str">
        <f t="shared" si="3283"/>
        <v>Senior secured facility - Term Loan B, redeemed</v>
      </c>
      <c r="CM1449" s="1039">
        <f>G1449</f>
        <v>4.1212750000000006E-2</v>
      </c>
      <c r="CN1449" s="1039">
        <f>L1449</f>
        <v>5.5635000000000004E-2</v>
      </c>
      <c r="CO1449" s="1039"/>
      <c r="CP1449" s="1039"/>
      <c r="CQ1449" s="1039"/>
      <c r="CR1449" s="1039"/>
      <c r="CS1449" s="1039"/>
      <c r="CT1449" s="1039"/>
      <c r="CU1449" s="1039"/>
      <c r="CV1449" s="1039"/>
      <c r="CW1449" s="1039"/>
      <c r="CX1449" s="1039"/>
      <c r="CY1449" s="1039"/>
      <c r="CZ1449" s="1039"/>
      <c r="DA1449" s="1039"/>
      <c r="DB1449" s="1039"/>
      <c r="DC1449" s="1674"/>
      <c r="DD1449" s="980"/>
      <c r="DE1449" s="980"/>
      <c r="DF1449" s="981"/>
      <c r="DG1449" s="981"/>
      <c r="DH1449" s="3307"/>
      <c r="DI1449" s="3213"/>
      <c r="DJ1449" s="981"/>
      <c r="DK1449" s="981"/>
      <c r="DL1449" s="981"/>
      <c r="DM1449" s="981"/>
      <c r="DN1449" s="981"/>
      <c r="DO1449" s="981"/>
      <c r="DP1449" s="981"/>
      <c r="DQ1449" s="981"/>
      <c r="DR1449" s="630"/>
      <c r="DS1449" s="630"/>
      <c r="DT1449" s="630"/>
    </row>
    <row r="1450" spans="1:124" ht="12" hidden="1" customHeight="1" outlineLevel="1" x14ac:dyDescent="0.25">
      <c r="A1450" s="355" t="s">
        <v>1051</v>
      </c>
      <c r="B1450" s="627">
        <v>1.4999999999999999E-2</v>
      </c>
      <c r="C1450" s="1037"/>
      <c r="D1450" s="1037"/>
      <c r="E1450" s="1037"/>
      <c r="F1450" s="1037"/>
      <c r="G1450" s="1036"/>
      <c r="H1450" s="1037"/>
      <c r="I1450" s="1037"/>
      <c r="J1450" s="1033"/>
      <c r="K1450" s="1033"/>
      <c r="L1450" s="1036"/>
      <c r="M1450" s="1033"/>
      <c r="N1450" s="1033"/>
      <c r="O1450" s="1033"/>
      <c r="P1450" s="1033"/>
      <c r="Q1450" s="1034"/>
      <c r="R1450" s="1033"/>
      <c r="S1450" s="1033"/>
      <c r="T1450" s="1033"/>
      <c r="U1450" s="1033"/>
      <c r="V1450" s="1034"/>
      <c r="W1450" s="1033"/>
      <c r="X1450" s="1033"/>
      <c r="Y1450" s="1033"/>
      <c r="Z1450" s="1033"/>
      <c r="AA1450" s="1034"/>
      <c r="AB1450" s="1035"/>
      <c r="AC1450" s="1035"/>
      <c r="AD1450" s="1035"/>
      <c r="AE1450" s="1037"/>
      <c r="AF1450" s="1036"/>
      <c r="AG1450" s="1037"/>
      <c r="AH1450" s="1037"/>
      <c r="AI1450" s="1037"/>
      <c r="AJ1450" s="1037"/>
      <c r="AK1450" s="1036"/>
      <c r="AL1450" s="1037"/>
      <c r="AM1450" s="1037"/>
      <c r="AN1450" s="1037">
        <f>+AN$1442+$B1450</f>
        <v>1.7999999999999999E-2</v>
      </c>
      <c r="AO1450" s="1037">
        <f>+AO$1442+$B1450</f>
        <v>1.7999999999999999E-2</v>
      </c>
      <c r="AP1450" s="1038">
        <f t="shared" ref="AP1450:AP1455" si="3291">AVERAGE(AL1450:AO1450)</f>
        <v>1.7999999999999999E-2</v>
      </c>
      <c r="AQ1450" s="1038">
        <f t="shared" ref="AQ1450:BF1451" si="3292">+AQ$1442+$B1450</f>
        <v>1.7499999999999998E-2</v>
      </c>
      <c r="AR1450" s="1039">
        <f t="shared" si="3292"/>
        <v>1.7499999999999998E-2</v>
      </c>
      <c r="AS1450" s="1039">
        <f t="shared" si="3292"/>
        <v>1.7499999999999998E-2</v>
      </c>
      <c r="AT1450" s="1039">
        <f t="shared" si="3292"/>
        <v>1.7499999999999998E-2</v>
      </c>
      <c r="AU1450" s="1036">
        <f t="shared" ref="AU1450:AU1455" si="3293">AVERAGE(AQ1450:AT1450)</f>
        <v>1.7499999999999998E-2</v>
      </c>
      <c r="AV1450" s="1038">
        <f t="shared" si="3292"/>
        <v>1.7499999999999998E-2</v>
      </c>
      <c r="AW1450" s="1039">
        <f t="shared" si="3292"/>
        <v>1.7499999999999998E-2</v>
      </c>
      <c r="AX1450" s="1039">
        <f t="shared" si="3292"/>
        <v>1.7499999999999998E-2</v>
      </c>
      <c r="AY1450" s="1674">
        <f t="shared" si="3292"/>
        <v>1.7499999999999998E-2</v>
      </c>
      <c r="AZ1450" s="1036">
        <f>+AZ$1442+$B1450</f>
        <v>1.7499999999999998E-2</v>
      </c>
      <c r="BA1450" s="1038">
        <f t="shared" si="3292"/>
        <v>1.7499999999999998E-2</v>
      </c>
      <c r="BB1450" s="1039">
        <f t="shared" si="3292"/>
        <v>1.7499999999999998E-2</v>
      </c>
      <c r="BC1450" s="1039">
        <f t="shared" si="3292"/>
        <v>1.7499999999999998E-2</v>
      </c>
      <c r="BD1450" s="1674">
        <f t="shared" si="3292"/>
        <v>1.7499999999999998E-2</v>
      </c>
      <c r="BE1450" s="1036">
        <f>+BE$1442+$B1450</f>
        <v>1.7499999999999998E-2</v>
      </c>
      <c r="BF1450" s="1039">
        <f t="shared" si="3292"/>
        <v>1.8249999999999999E-2</v>
      </c>
      <c r="BG1450" s="1039">
        <f t="shared" ref="BF1450:BI1451" si="3294">+BG$1442+$B1450</f>
        <v>1.8249999999999999E-2</v>
      </c>
      <c r="BH1450" s="1039">
        <f t="shared" si="3294"/>
        <v>1.8249999999999999E-2</v>
      </c>
      <c r="BI1450" s="1674">
        <f t="shared" si="3294"/>
        <v>2.0749999999999998E-2</v>
      </c>
      <c r="BJ1450" s="1036">
        <f>+BJ$1442+$B1450</f>
        <v>1.8874999999999999E-2</v>
      </c>
      <c r="BK1450" s="1039">
        <f t="shared" ref="BK1450:BX1451" si="3295">+BK$1442+$B1450</f>
        <v>1.8249999999999999E-2</v>
      </c>
      <c r="BL1450" s="1039">
        <f t="shared" si="3295"/>
        <v>2.1249999999999998E-2</v>
      </c>
      <c r="BM1450" s="1039">
        <f t="shared" si="3295"/>
        <v>2.1249999999999998E-2</v>
      </c>
      <c r="BN1450" s="1674">
        <f t="shared" si="3295"/>
        <v>2.375E-2</v>
      </c>
      <c r="BO1450" s="1036">
        <f t="shared" ref="BO1450:CF1451" si="3296">+BO$1442+$B1450</f>
        <v>2.1124999999999998E-2</v>
      </c>
      <c r="BP1450" s="1039">
        <f t="shared" si="3295"/>
        <v>2.375E-2</v>
      </c>
      <c r="BQ1450" s="1039">
        <f t="shared" si="3295"/>
        <v>2.375E-2</v>
      </c>
      <c r="BR1450" s="1039">
        <f t="shared" si="3295"/>
        <v>2.6250000000000002E-2</v>
      </c>
      <c r="BS1450" s="1039">
        <f t="shared" si="3295"/>
        <v>2.8749999999999998E-2</v>
      </c>
      <c r="BT1450" s="3255">
        <f t="shared" si="3296"/>
        <v>2.5625000000000002E-2</v>
      </c>
      <c r="BU1450" s="3307">
        <f t="shared" si="3295"/>
        <v>3.3750000000000002E-2</v>
      </c>
      <c r="BV1450" s="3307">
        <f t="shared" si="3295"/>
        <v>3.6250000000000004E-2</v>
      </c>
      <c r="BW1450" s="3307">
        <f t="shared" si="3295"/>
        <v>3.875E-2</v>
      </c>
      <c r="BX1450" s="3307">
        <f t="shared" si="3295"/>
        <v>4.1249999999999995E-2</v>
      </c>
      <c r="BY1450" s="3255">
        <f t="shared" si="3296"/>
        <v>3.7499999999999999E-2</v>
      </c>
      <c r="BZ1450" s="1036">
        <f t="shared" si="3296"/>
        <v>4.3749999999999997E-2</v>
      </c>
      <c r="CA1450" s="1036">
        <f t="shared" si="3296"/>
        <v>4.6249999999999999E-2</v>
      </c>
      <c r="CB1450" s="1036">
        <f t="shared" si="3296"/>
        <v>4.6249999999999999E-2</v>
      </c>
      <c r="CC1450" s="1036">
        <f t="shared" si="3296"/>
        <v>4.6249999999999999E-2</v>
      </c>
      <c r="CD1450" s="1036">
        <f t="shared" si="3296"/>
        <v>4.6249999999999999E-2</v>
      </c>
      <c r="CE1450" s="1036">
        <f t="shared" si="3296"/>
        <v>4.6249999999999999E-2</v>
      </c>
      <c r="CF1450" s="1036">
        <f t="shared" si="3296"/>
        <v>4.6249999999999999E-2</v>
      </c>
      <c r="CG1450" s="980"/>
      <c r="CH1450" s="980"/>
      <c r="CI1450" s="980"/>
      <c r="CJ1450" s="980"/>
      <c r="CK1450" s="980"/>
      <c r="CL1450" s="995" t="str">
        <f t="shared" si="3283"/>
        <v>Senior secured facility - Revolver, due 7/2016</v>
      </c>
      <c r="CM1450" s="1039"/>
      <c r="CN1450" s="1039"/>
      <c r="CO1450" s="1039"/>
      <c r="CP1450" s="1039"/>
      <c r="CQ1450" s="1039"/>
      <c r="CR1450" s="1039"/>
      <c r="CS1450" s="1039"/>
      <c r="CT1450" s="1039">
        <f t="shared" ref="CT1450:CT1455" si="3297">AP1450</f>
        <v>1.7999999999999999E-2</v>
      </c>
      <c r="CU1450" s="1039">
        <f t="shared" ref="CU1450:CU1455" si="3298">AU1450</f>
        <v>1.7499999999999998E-2</v>
      </c>
      <c r="CV1450" s="1039">
        <f t="shared" ref="CV1450:CV1455" si="3299">AZ1450</f>
        <v>1.7499999999999998E-2</v>
      </c>
      <c r="CW1450" s="1039">
        <f t="shared" ref="CW1450:CW1455" si="3300">BE1450</f>
        <v>1.7499999999999998E-2</v>
      </c>
      <c r="CX1450" s="1039">
        <f t="shared" ref="CX1450:CX1455" si="3301">BJ1450</f>
        <v>1.8874999999999999E-2</v>
      </c>
      <c r="CY1450" s="1039">
        <f t="shared" ref="CY1450:CY1455" si="3302">BO1450</f>
        <v>2.1124999999999998E-2</v>
      </c>
      <c r="CZ1450" s="1039">
        <f t="shared" ref="CZ1450:CZ1455" si="3303">BT1450</f>
        <v>2.5625000000000002E-2</v>
      </c>
      <c r="DA1450" s="1039">
        <f t="shared" ref="DA1450:DC1455" si="3304">BY1450</f>
        <v>3.7499999999999999E-2</v>
      </c>
      <c r="DB1450" s="1039">
        <f t="shared" si="3304"/>
        <v>4.3749999999999997E-2</v>
      </c>
      <c r="DC1450" s="1674">
        <f t="shared" si="3304"/>
        <v>4.6249999999999999E-2</v>
      </c>
      <c r="DD1450" s="980"/>
      <c r="DE1450" s="980"/>
      <c r="DF1450" s="981"/>
      <c r="DG1450" s="981"/>
      <c r="DH1450" s="3307"/>
      <c r="DI1450" s="3213"/>
      <c r="DJ1450" s="981"/>
      <c r="DK1450" s="981"/>
      <c r="DL1450" s="981"/>
      <c r="DM1450" s="981"/>
      <c r="DN1450" s="981"/>
      <c r="DO1450" s="981"/>
      <c r="DP1450" s="981"/>
      <c r="DQ1450" s="981"/>
      <c r="DR1450" s="630"/>
      <c r="DS1450" s="630"/>
      <c r="DT1450" s="630"/>
    </row>
    <row r="1451" spans="1:124" ht="12" hidden="1" customHeight="1" outlineLevel="1" x14ac:dyDescent="0.25">
      <c r="A1451" s="1950" t="s">
        <v>757</v>
      </c>
      <c r="B1451" s="627">
        <v>1.4999999999999999E-2</v>
      </c>
      <c r="C1451" s="1037"/>
      <c r="D1451" s="1037"/>
      <c r="E1451" s="1037"/>
      <c r="F1451" s="1037"/>
      <c r="G1451" s="1036"/>
      <c r="H1451" s="1037"/>
      <c r="I1451" s="1037"/>
      <c r="J1451" s="1033"/>
      <c r="K1451" s="1033"/>
      <c r="L1451" s="1036"/>
      <c r="M1451" s="1033"/>
      <c r="N1451" s="1033"/>
      <c r="O1451" s="1033"/>
      <c r="P1451" s="1033"/>
      <c r="Q1451" s="1034"/>
      <c r="R1451" s="1033"/>
      <c r="S1451" s="1033"/>
      <c r="T1451" s="1033"/>
      <c r="U1451" s="1033"/>
      <c r="V1451" s="1034"/>
      <c r="W1451" s="1033"/>
      <c r="X1451" s="1033"/>
      <c r="Y1451" s="1033"/>
      <c r="Z1451" s="1033"/>
      <c r="AA1451" s="1034"/>
      <c r="AB1451" s="1035"/>
      <c r="AC1451" s="1035"/>
      <c r="AD1451" s="1035"/>
      <c r="AE1451" s="1037"/>
      <c r="AF1451" s="1036"/>
      <c r="AG1451" s="1037"/>
      <c r="AH1451" s="1037"/>
      <c r="AI1451" s="1037"/>
      <c r="AJ1451" s="1037"/>
      <c r="AK1451" s="1036"/>
      <c r="AL1451" s="1037"/>
      <c r="AM1451" s="1037"/>
      <c r="AN1451" s="1037">
        <f>+AN$1442+$B1451</f>
        <v>1.7999999999999999E-2</v>
      </c>
      <c r="AO1451" s="1037">
        <f>+AO$1442+$B1451</f>
        <v>1.7999999999999999E-2</v>
      </c>
      <c r="AP1451" s="1038">
        <f t="shared" si="3291"/>
        <v>1.7999999999999999E-2</v>
      </c>
      <c r="AQ1451" s="1038">
        <f t="shared" si="3292"/>
        <v>1.7499999999999998E-2</v>
      </c>
      <c r="AR1451" s="1039">
        <f t="shared" si="3292"/>
        <v>1.7499999999999998E-2</v>
      </c>
      <c r="AS1451" s="1039">
        <f t="shared" si="3292"/>
        <v>1.7499999999999998E-2</v>
      </c>
      <c r="AT1451" s="1039">
        <f t="shared" si="3292"/>
        <v>1.7499999999999998E-2</v>
      </c>
      <c r="AU1451" s="1036">
        <f t="shared" si="3293"/>
        <v>1.7499999999999998E-2</v>
      </c>
      <c r="AV1451" s="1038">
        <f t="shared" si="3292"/>
        <v>1.7499999999999998E-2</v>
      </c>
      <c r="AW1451" s="1039">
        <f t="shared" si="3292"/>
        <v>1.7499999999999998E-2</v>
      </c>
      <c r="AX1451" s="1039">
        <f t="shared" si="3292"/>
        <v>1.7499999999999998E-2</v>
      </c>
      <c r="AY1451" s="1674">
        <f t="shared" si="3292"/>
        <v>1.7499999999999998E-2</v>
      </c>
      <c r="AZ1451" s="1036">
        <f>+AZ$1442+$B1451</f>
        <v>1.7499999999999998E-2</v>
      </c>
      <c r="BA1451" s="1038">
        <f t="shared" si="3292"/>
        <v>1.7499999999999998E-2</v>
      </c>
      <c r="BB1451" s="1039">
        <f t="shared" si="3292"/>
        <v>1.7499999999999998E-2</v>
      </c>
      <c r="BC1451" s="1039">
        <f t="shared" si="3292"/>
        <v>1.7499999999999998E-2</v>
      </c>
      <c r="BD1451" s="1674">
        <f t="shared" si="3292"/>
        <v>1.7499999999999998E-2</v>
      </c>
      <c r="BE1451" s="1036">
        <f>+BE$1442+$B1451</f>
        <v>1.7499999999999998E-2</v>
      </c>
      <c r="BF1451" s="1039">
        <f t="shared" si="3294"/>
        <v>1.8249999999999999E-2</v>
      </c>
      <c r="BG1451" s="1039">
        <f t="shared" si="3294"/>
        <v>1.8249999999999999E-2</v>
      </c>
      <c r="BH1451" s="1039">
        <f t="shared" si="3294"/>
        <v>1.8249999999999999E-2</v>
      </c>
      <c r="BI1451" s="1674">
        <f t="shared" si="3294"/>
        <v>2.0749999999999998E-2</v>
      </c>
      <c r="BJ1451" s="1036">
        <f>+BJ$1442+$B1451</f>
        <v>1.8874999999999999E-2</v>
      </c>
      <c r="BK1451" s="1039">
        <f t="shared" si="3295"/>
        <v>1.8249999999999999E-2</v>
      </c>
      <c r="BL1451" s="1039">
        <f t="shared" si="3295"/>
        <v>2.1249999999999998E-2</v>
      </c>
      <c r="BM1451" s="1039">
        <f t="shared" si="3295"/>
        <v>2.1249999999999998E-2</v>
      </c>
      <c r="BN1451" s="1674">
        <f t="shared" si="3295"/>
        <v>2.375E-2</v>
      </c>
      <c r="BO1451" s="1036">
        <f t="shared" si="3296"/>
        <v>2.1124999999999998E-2</v>
      </c>
      <c r="BP1451" s="1039">
        <f t="shared" si="3295"/>
        <v>2.375E-2</v>
      </c>
      <c r="BQ1451" s="1039">
        <f t="shared" si="3295"/>
        <v>2.375E-2</v>
      </c>
      <c r="BR1451" s="1039">
        <f t="shared" si="3295"/>
        <v>2.6250000000000002E-2</v>
      </c>
      <c r="BS1451" s="1039">
        <f t="shared" si="3295"/>
        <v>2.8749999999999998E-2</v>
      </c>
      <c r="BT1451" s="3255">
        <f t="shared" si="3296"/>
        <v>2.5625000000000002E-2</v>
      </c>
      <c r="BU1451" s="3307">
        <f t="shared" si="3295"/>
        <v>3.3750000000000002E-2</v>
      </c>
      <c r="BV1451" s="3307">
        <f t="shared" si="3295"/>
        <v>3.6250000000000004E-2</v>
      </c>
      <c r="BW1451" s="3307">
        <f t="shared" si="3295"/>
        <v>3.875E-2</v>
      </c>
      <c r="BX1451" s="3307">
        <f t="shared" si="3295"/>
        <v>4.1249999999999995E-2</v>
      </c>
      <c r="BY1451" s="3255">
        <f t="shared" si="3296"/>
        <v>3.7499999999999999E-2</v>
      </c>
      <c r="BZ1451" s="1036">
        <f t="shared" si="3296"/>
        <v>4.3749999999999997E-2</v>
      </c>
      <c r="CA1451" s="1036">
        <f t="shared" si="3296"/>
        <v>4.6249999999999999E-2</v>
      </c>
      <c r="CB1451" s="1036">
        <f t="shared" si="3296"/>
        <v>4.6249999999999999E-2</v>
      </c>
      <c r="CC1451" s="1036">
        <f t="shared" si="3296"/>
        <v>4.6249999999999999E-2</v>
      </c>
      <c r="CD1451" s="1036">
        <f t="shared" si="3296"/>
        <v>4.6249999999999999E-2</v>
      </c>
      <c r="CE1451" s="1036">
        <f t="shared" si="3296"/>
        <v>4.6249999999999999E-2</v>
      </c>
      <c r="CF1451" s="1036">
        <f t="shared" si="3296"/>
        <v>4.6249999999999999E-2</v>
      </c>
      <c r="CG1451" s="980"/>
      <c r="CH1451" s="980"/>
      <c r="CI1451" s="980"/>
      <c r="CJ1451" s="980"/>
      <c r="CK1451" s="980"/>
      <c r="CL1451" s="2039" t="str">
        <f t="shared" si="3283"/>
        <v>Senior secured facility - Term Loan A, due 7/2016</v>
      </c>
      <c r="CM1451" s="1039"/>
      <c r="CN1451" s="1039"/>
      <c r="CO1451" s="1039"/>
      <c r="CP1451" s="1039"/>
      <c r="CQ1451" s="1039"/>
      <c r="CR1451" s="1039"/>
      <c r="CS1451" s="1039"/>
      <c r="CT1451" s="1039">
        <f t="shared" si="3297"/>
        <v>1.7999999999999999E-2</v>
      </c>
      <c r="CU1451" s="1039">
        <f t="shared" si="3298"/>
        <v>1.7499999999999998E-2</v>
      </c>
      <c r="CV1451" s="1039">
        <f t="shared" si="3299"/>
        <v>1.7499999999999998E-2</v>
      </c>
      <c r="CW1451" s="1039">
        <f t="shared" si="3300"/>
        <v>1.7499999999999998E-2</v>
      </c>
      <c r="CX1451" s="1039">
        <f t="shared" si="3301"/>
        <v>1.8874999999999999E-2</v>
      </c>
      <c r="CY1451" s="1039">
        <f t="shared" si="3302"/>
        <v>2.1124999999999998E-2</v>
      </c>
      <c r="CZ1451" s="1039">
        <f t="shared" si="3303"/>
        <v>2.5625000000000002E-2</v>
      </c>
      <c r="DA1451" s="1039">
        <f t="shared" si="3304"/>
        <v>3.7499999999999999E-2</v>
      </c>
      <c r="DB1451" s="1039">
        <f t="shared" si="3304"/>
        <v>4.3749999999999997E-2</v>
      </c>
      <c r="DC1451" s="1674">
        <f t="shared" si="3304"/>
        <v>4.6249999999999999E-2</v>
      </c>
      <c r="DD1451" s="980"/>
      <c r="DE1451" s="980"/>
      <c r="DF1451" s="981"/>
      <c r="DG1451" s="981"/>
      <c r="DH1451" s="3307"/>
      <c r="DI1451" s="3213"/>
      <c r="DJ1451" s="981"/>
      <c r="DK1451" s="981"/>
      <c r="DL1451" s="981"/>
      <c r="DM1451" s="981"/>
      <c r="DN1451" s="981"/>
      <c r="DO1451" s="981"/>
      <c r="DP1451" s="981"/>
      <c r="DQ1451" s="981"/>
      <c r="DR1451" s="630"/>
      <c r="DS1451" s="630"/>
      <c r="DT1451" s="630"/>
    </row>
    <row r="1452" spans="1:124" ht="12" hidden="1" customHeight="1" outlineLevel="1" x14ac:dyDescent="0.25">
      <c r="A1452" s="1950" t="s">
        <v>1783</v>
      </c>
      <c r="B1452" s="627">
        <v>2.75E-2</v>
      </c>
      <c r="C1452" s="1037"/>
      <c r="D1452" s="1037"/>
      <c r="E1452" s="1037"/>
      <c r="F1452" s="1037"/>
      <c r="G1452" s="1036"/>
      <c r="H1452" s="1037"/>
      <c r="I1452" s="1037"/>
      <c r="J1452" s="1033"/>
      <c r="K1452" s="1033"/>
      <c r="L1452" s="1036"/>
      <c r="M1452" s="1033"/>
      <c r="N1452" s="1033"/>
      <c r="O1452" s="1033"/>
      <c r="P1452" s="1033"/>
      <c r="Q1452" s="1034"/>
      <c r="R1452" s="1033"/>
      <c r="S1452" s="1033"/>
      <c r="T1452" s="1033"/>
      <c r="U1452" s="1033"/>
      <c r="V1452" s="1034"/>
      <c r="W1452" s="1033"/>
      <c r="X1452" s="1033"/>
      <c r="Y1452" s="1033"/>
      <c r="Z1452" s="1033"/>
      <c r="AA1452" s="1034"/>
      <c r="AB1452" s="1035"/>
      <c r="AC1452" s="1035"/>
      <c r="AD1452" s="1035"/>
      <c r="AE1452" s="1037"/>
      <c r="AF1452" s="1036"/>
      <c r="AG1452" s="1037"/>
      <c r="AH1452" s="1037"/>
      <c r="AI1452" s="1037"/>
      <c r="AJ1452" s="1037"/>
      <c r="AK1452" s="1036"/>
      <c r="AL1452" s="1037"/>
      <c r="AM1452" s="1037"/>
      <c r="AN1452" s="1037">
        <f t="shared" ref="AN1452:CA1452" si="3305">+$B$1452+IF(AN1442&lt;0.01,0.01,AN1442)</f>
        <v>3.7499999999999999E-2</v>
      </c>
      <c r="AO1452" s="1037">
        <f t="shared" si="3305"/>
        <v>3.7499999999999999E-2</v>
      </c>
      <c r="AP1452" s="1036">
        <f t="shared" si="3305"/>
        <v>3.7499999999999999E-2</v>
      </c>
      <c r="AQ1452" s="1038">
        <f t="shared" si="3305"/>
        <v>3.7499999999999999E-2</v>
      </c>
      <c r="AR1452" s="1039">
        <f t="shared" si="3305"/>
        <v>3.7499999999999999E-2</v>
      </c>
      <c r="AS1452" s="1039">
        <f t="shared" si="3305"/>
        <v>3.7499999999999999E-2</v>
      </c>
      <c r="AT1452" s="1674">
        <f t="shared" si="3305"/>
        <v>3.7499999999999999E-2</v>
      </c>
      <c r="AU1452" s="1036">
        <f t="shared" si="3305"/>
        <v>3.7499999999999999E-2</v>
      </c>
      <c r="AV1452" s="1038">
        <f t="shared" si="3305"/>
        <v>3.7499999999999999E-2</v>
      </c>
      <c r="AW1452" s="1039">
        <f t="shared" si="3305"/>
        <v>3.7499999999999999E-2</v>
      </c>
      <c r="AX1452" s="1039">
        <f t="shared" si="3305"/>
        <v>3.7499999999999999E-2</v>
      </c>
      <c r="AY1452" s="1674">
        <f t="shared" si="3305"/>
        <v>3.7499999999999999E-2</v>
      </c>
      <c r="AZ1452" s="1036">
        <f t="shared" si="3305"/>
        <v>3.7499999999999999E-2</v>
      </c>
      <c r="BA1452" s="1038">
        <f t="shared" si="3305"/>
        <v>3.7499999999999999E-2</v>
      </c>
      <c r="BB1452" s="1039">
        <f t="shared" si="3305"/>
        <v>3.7499999999999999E-2</v>
      </c>
      <c r="BC1452" s="1039">
        <f t="shared" si="3305"/>
        <v>3.7499999999999999E-2</v>
      </c>
      <c r="BD1452" s="1674">
        <f t="shared" si="3305"/>
        <v>3.7499999999999999E-2</v>
      </c>
      <c r="BE1452" s="1036">
        <f t="shared" si="3305"/>
        <v>3.7499999999999999E-2</v>
      </c>
      <c r="BF1452" s="1039">
        <f t="shared" ref="BF1452:BO1452" si="3306">+$B$1452+IF(BF1442&lt;0.01,0.01,BF1442)</f>
        <v>3.7499999999999999E-2</v>
      </c>
      <c r="BG1452" s="1039">
        <f t="shared" si="3306"/>
        <v>3.7499999999999999E-2</v>
      </c>
      <c r="BH1452" s="1039">
        <f t="shared" si="3306"/>
        <v>3.7499999999999999E-2</v>
      </c>
      <c r="BI1452" s="1674">
        <f t="shared" si="3306"/>
        <v>3.7499999999999999E-2</v>
      </c>
      <c r="BJ1452" s="1036">
        <f t="shared" si="3306"/>
        <v>3.7499999999999999E-2</v>
      </c>
      <c r="BK1452" s="1039">
        <f t="shared" si="3306"/>
        <v>3.7499999999999999E-2</v>
      </c>
      <c r="BL1452" s="1039">
        <f t="shared" si="3306"/>
        <v>3.7499999999999999E-2</v>
      </c>
      <c r="BM1452" s="1039">
        <f t="shared" si="3306"/>
        <v>3.7499999999999999E-2</v>
      </c>
      <c r="BN1452" s="1674">
        <f t="shared" si="3306"/>
        <v>3.7499999999999999E-2</v>
      </c>
      <c r="BO1452" s="1036">
        <f t="shared" si="3306"/>
        <v>3.7499999999999999E-2</v>
      </c>
      <c r="BP1452" s="1039">
        <f t="shared" ref="BP1452:BX1452" si="3307">+$B$1452+IF(BP1442&lt;0.01,0.01,BP1442)</f>
        <v>3.7499999999999999E-2</v>
      </c>
      <c r="BQ1452" s="1039">
        <f t="shared" si="3307"/>
        <v>3.7499999999999999E-2</v>
      </c>
      <c r="BR1452" s="1039">
        <f t="shared" si="3307"/>
        <v>3.875E-2</v>
      </c>
      <c r="BS1452" s="1039">
        <f t="shared" si="3307"/>
        <v>4.1250000000000002E-2</v>
      </c>
      <c r="BT1452" s="3255">
        <f t="shared" si="3307"/>
        <v>3.8124999999999999E-2</v>
      </c>
      <c r="BU1452" s="3307">
        <f t="shared" si="3307"/>
        <v>4.6249999999999999E-2</v>
      </c>
      <c r="BV1452" s="3307">
        <f t="shared" si="3307"/>
        <v>4.8750000000000002E-2</v>
      </c>
      <c r="BW1452" s="3307">
        <f t="shared" si="3307"/>
        <v>5.1250000000000004E-2</v>
      </c>
      <c r="BX1452" s="3307">
        <f t="shared" si="3307"/>
        <v>5.3749999999999999E-2</v>
      </c>
      <c r="BY1452" s="3255">
        <f>+$B$1452+IF(BY1442&lt;0.01,0.01,BY1442)</f>
        <v>0.05</v>
      </c>
      <c r="BZ1452" s="1036">
        <f t="shared" si="3305"/>
        <v>5.6249999999999994E-2</v>
      </c>
      <c r="CA1452" s="1036">
        <f t="shared" si="3305"/>
        <v>5.8749999999999997E-2</v>
      </c>
      <c r="CB1452" s="1036">
        <f>+$B$1452+IF(CB1442&lt;0.01,0.01,CB1442)</f>
        <v>5.8749999999999997E-2</v>
      </c>
      <c r="CC1452" s="1036">
        <f>+$B$1452+IF(CC1442&lt;0.01,0.01,CC1442)</f>
        <v>5.8749999999999997E-2</v>
      </c>
      <c r="CD1452" s="1036">
        <f>+$B$1452+IF(CD1442&lt;0.01,0.01,CD1442)</f>
        <v>5.8749999999999997E-2</v>
      </c>
      <c r="CE1452" s="1036">
        <f>+$B$1452+IF(CE1442&lt;0.01,0.01,CE1442)</f>
        <v>5.8749999999999997E-2</v>
      </c>
      <c r="CF1452" s="1036">
        <f>+$B$1452+IF(CF1442&lt;0.01,0.01,CF1442)</f>
        <v>5.8749999999999997E-2</v>
      </c>
      <c r="CG1452" s="980"/>
      <c r="CH1452" s="980"/>
      <c r="CI1452" s="980"/>
      <c r="CJ1452" s="980"/>
      <c r="CK1452" s="980"/>
      <c r="CL1452" s="2039" t="str">
        <f t="shared" si="3283"/>
        <v>Senior secured facility - Term Loan B, due 7/2018</v>
      </c>
      <c r="CM1452" s="1039"/>
      <c r="CN1452" s="1039"/>
      <c r="CO1452" s="1039"/>
      <c r="CP1452" s="1039"/>
      <c r="CQ1452" s="1039"/>
      <c r="CR1452" s="1039"/>
      <c r="CS1452" s="1039"/>
      <c r="CT1452" s="1039">
        <f t="shared" si="3297"/>
        <v>3.7499999999999999E-2</v>
      </c>
      <c r="CU1452" s="1039">
        <f t="shared" si="3298"/>
        <v>3.7499999999999999E-2</v>
      </c>
      <c r="CV1452" s="1039">
        <f t="shared" si="3299"/>
        <v>3.7499999999999999E-2</v>
      </c>
      <c r="CW1452" s="1039">
        <f t="shared" si="3300"/>
        <v>3.7499999999999999E-2</v>
      </c>
      <c r="CX1452" s="1039">
        <f t="shared" si="3301"/>
        <v>3.7499999999999999E-2</v>
      </c>
      <c r="CY1452" s="1039">
        <f t="shared" si="3302"/>
        <v>3.7499999999999999E-2</v>
      </c>
      <c r="CZ1452" s="1039">
        <f t="shared" si="3303"/>
        <v>3.8124999999999999E-2</v>
      </c>
      <c r="DA1452" s="1039">
        <f t="shared" si="3304"/>
        <v>0.05</v>
      </c>
      <c r="DB1452" s="1039">
        <f t="shared" si="3304"/>
        <v>5.6249999999999994E-2</v>
      </c>
      <c r="DC1452" s="1674">
        <f t="shared" si="3304"/>
        <v>5.8749999999999997E-2</v>
      </c>
      <c r="DD1452" s="980"/>
      <c r="DE1452" s="980"/>
      <c r="DF1452" s="981"/>
      <c r="DG1452" s="981"/>
      <c r="DH1452" s="3307"/>
      <c r="DI1452" s="3213"/>
      <c r="DJ1452" s="981"/>
      <c r="DK1452" s="981"/>
      <c r="DL1452" s="981"/>
      <c r="DM1452" s="981"/>
      <c r="DN1452" s="981"/>
      <c r="DO1452" s="981"/>
      <c r="DP1452" s="981"/>
      <c r="DQ1452" s="981"/>
      <c r="DR1452" s="630"/>
      <c r="DS1452" s="630"/>
      <c r="DT1452" s="630"/>
    </row>
    <row r="1453" spans="1:124" ht="12" hidden="1" customHeight="1" outlineLevel="1" x14ac:dyDescent="0.25">
      <c r="A1453" s="1950" t="s">
        <v>1228</v>
      </c>
      <c r="B1453" s="633">
        <v>6.8750000000000006E-2</v>
      </c>
      <c r="C1453" s="1035">
        <f>$B$1453</f>
        <v>6.8750000000000006E-2</v>
      </c>
      <c r="D1453" s="1035">
        <f t="shared" ref="D1453:CB1453" si="3308">$B$1453</f>
        <v>6.8750000000000006E-2</v>
      </c>
      <c r="E1453" s="1035">
        <f t="shared" si="3308"/>
        <v>6.8750000000000006E-2</v>
      </c>
      <c r="F1453" s="1035">
        <f t="shared" si="3308"/>
        <v>6.8750000000000006E-2</v>
      </c>
      <c r="G1453" s="1036">
        <f>AVERAGE(C1453:F1453)</f>
        <v>6.8750000000000006E-2</v>
      </c>
      <c r="H1453" s="1035">
        <f t="shared" si="3308"/>
        <v>6.8750000000000006E-2</v>
      </c>
      <c r="I1453" s="1035">
        <f t="shared" si="3308"/>
        <v>6.8750000000000006E-2</v>
      </c>
      <c r="J1453" s="1035">
        <f t="shared" si="3308"/>
        <v>6.8750000000000006E-2</v>
      </c>
      <c r="K1453" s="1035">
        <f t="shared" si="3308"/>
        <v>6.8750000000000006E-2</v>
      </c>
      <c r="L1453" s="1036">
        <f>AVERAGE(H1453:K1453)</f>
        <v>6.8750000000000006E-2</v>
      </c>
      <c r="M1453" s="1035">
        <f t="shared" si="3308"/>
        <v>6.8750000000000006E-2</v>
      </c>
      <c r="N1453" s="1035">
        <f t="shared" si="3308"/>
        <v>6.8750000000000006E-2</v>
      </c>
      <c r="O1453" s="1035">
        <f t="shared" si="3308"/>
        <v>6.8750000000000006E-2</v>
      </c>
      <c r="P1453" s="1035">
        <f t="shared" si="3308"/>
        <v>6.8750000000000006E-2</v>
      </c>
      <c r="Q1453" s="1036">
        <f>AVERAGE(M1453:P1453)</f>
        <v>6.8750000000000006E-2</v>
      </c>
      <c r="R1453" s="1035">
        <f t="shared" si="3308"/>
        <v>6.8750000000000006E-2</v>
      </c>
      <c r="S1453" s="1035">
        <f t="shared" si="3308"/>
        <v>6.8750000000000006E-2</v>
      </c>
      <c r="T1453" s="1035">
        <f t="shared" si="3308"/>
        <v>6.8750000000000006E-2</v>
      </c>
      <c r="U1453" s="1035">
        <f t="shared" si="3308"/>
        <v>6.8750000000000006E-2</v>
      </c>
      <c r="V1453" s="1036">
        <f>AVERAGE(R1453:U1453)</f>
        <v>6.8750000000000006E-2</v>
      </c>
      <c r="W1453" s="1035">
        <f t="shared" si="3308"/>
        <v>6.8750000000000006E-2</v>
      </c>
      <c r="X1453" s="1035">
        <f t="shared" si="3308"/>
        <v>6.8750000000000006E-2</v>
      </c>
      <c r="Y1453" s="1035">
        <f t="shared" si="3308"/>
        <v>6.8750000000000006E-2</v>
      </c>
      <c r="Z1453" s="1035">
        <f t="shared" si="3308"/>
        <v>6.8750000000000006E-2</v>
      </c>
      <c r="AA1453" s="1036">
        <f>AVERAGE(W1453:Z1453)</f>
        <v>6.8750000000000006E-2</v>
      </c>
      <c r="AB1453" s="1035">
        <f t="shared" si="3308"/>
        <v>6.8750000000000006E-2</v>
      </c>
      <c r="AC1453" s="1035">
        <f t="shared" si="3308"/>
        <v>6.8750000000000006E-2</v>
      </c>
      <c r="AD1453" s="1035">
        <f t="shared" si="3308"/>
        <v>6.8750000000000006E-2</v>
      </c>
      <c r="AE1453" s="1037">
        <f t="shared" si="3308"/>
        <v>6.8750000000000006E-2</v>
      </c>
      <c r="AF1453" s="1036">
        <f t="shared" si="3284"/>
        <v>6.8750000000000006E-2</v>
      </c>
      <c r="AG1453" s="1037">
        <f t="shared" si="3308"/>
        <v>6.8750000000000006E-2</v>
      </c>
      <c r="AH1453" s="1037">
        <f t="shared" si="3308"/>
        <v>6.8750000000000006E-2</v>
      </c>
      <c r="AI1453" s="1037">
        <f t="shared" si="3308"/>
        <v>6.8750000000000006E-2</v>
      </c>
      <c r="AJ1453" s="1037">
        <f t="shared" si="3308"/>
        <v>6.8750000000000006E-2</v>
      </c>
      <c r="AK1453" s="1036">
        <f t="shared" si="3285"/>
        <v>6.8750000000000006E-2</v>
      </c>
      <c r="AL1453" s="1037">
        <f>$B$1453</f>
        <v>6.8750000000000006E-2</v>
      </c>
      <c r="AM1453" s="1037">
        <f t="shared" si="3308"/>
        <v>6.8750000000000006E-2</v>
      </c>
      <c r="AN1453" s="1037">
        <f t="shared" si="3308"/>
        <v>6.8750000000000006E-2</v>
      </c>
      <c r="AO1453" s="1037">
        <f t="shared" si="3308"/>
        <v>6.8750000000000006E-2</v>
      </c>
      <c r="AP1453" s="1038">
        <f t="shared" si="3291"/>
        <v>6.8750000000000006E-2</v>
      </c>
      <c r="AQ1453" s="1038">
        <f t="shared" si="3308"/>
        <v>6.8750000000000006E-2</v>
      </c>
      <c r="AR1453" s="1039">
        <f t="shared" si="3308"/>
        <v>6.8750000000000006E-2</v>
      </c>
      <c r="AS1453" s="1039">
        <f t="shared" si="3308"/>
        <v>6.8750000000000006E-2</v>
      </c>
      <c r="AT1453" s="1039">
        <f t="shared" si="3308"/>
        <v>6.8750000000000006E-2</v>
      </c>
      <c r="AU1453" s="1036">
        <f t="shared" si="3293"/>
        <v>6.8750000000000006E-2</v>
      </c>
      <c r="AV1453" s="1038">
        <f t="shared" si="3308"/>
        <v>6.8750000000000006E-2</v>
      </c>
      <c r="AW1453" s="1039">
        <f t="shared" si="3308"/>
        <v>6.8750000000000006E-2</v>
      </c>
      <c r="AX1453" s="1039">
        <f t="shared" si="3308"/>
        <v>6.8750000000000006E-2</v>
      </c>
      <c r="AY1453" s="1674">
        <f t="shared" si="3308"/>
        <v>6.8750000000000006E-2</v>
      </c>
      <c r="AZ1453" s="1036">
        <f t="shared" si="3308"/>
        <v>6.8750000000000006E-2</v>
      </c>
      <c r="BA1453" s="1038">
        <f t="shared" si="3308"/>
        <v>6.8750000000000006E-2</v>
      </c>
      <c r="BB1453" s="1039">
        <f t="shared" si="3308"/>
        <v>6.8750000000000006E-2</v>
      </c>
      <c r="BC1453" s="1039">
        <f t="shared" si="3308"/>
        <v>6.8750000000000006E-2</v>
      </c>
      <c r="BD1453" s="1674">
        <f t="shared" si="3308"/>
        <v>6.8750000000000006E-2</v>
      </c>
      <c r="BE1453" s="1036">
        <f t="shared" si="3308"/>
        <v>6.8750000000000006E-2</v>
      </c>
      <c r="BF1453" s="1039">
        <f t="shared" si="3308"/>
        <v>6.8750000000000006E-2</v>
      </c>
      <c r="BG1453" s="1039">
        <f t="shared" si="3308"/>
        <v>6.8750000000000006E-2</v>
      </c>
      <c r="BH1453" s="1039">
        <f t="shared" si="3308"/>
        <v>6.8750000000000006E-2</v>
      </c>
      <c r="BI1453" s="1674">
        <f t="shared" si="3308"/>
        <v>6.8750000000000006E-2</v>
      </c>
      <c r="BJ1453" s="1036">
        <f t="shared" si="3308"/>
        <v>6.8750000000000006E-2</v>
      </c>
      <c r="BK1453" s="1039">
        <f t="shared" si="3308"/>
        <v>6.8750000000000006E-2</v>
      </c>
      <c r="BL1453" s="1039">
        <f t="shared" si="3308"/>
        <v>6.8750000000000006E-2</v>
      </c>
      <c r="BM1453" s="1039">
        <f t="shared" si="3308"/>
        <v>6.8750000000000006E-2</v>
      </c>
      <c r="BN1453" s="1674">
        <f t="shared" si="3308"/>
        <v>6.8750000000000006E-2</v>
      </c>
      <c r="BO1453" s="1036">
        <f t="shared" si="3308"/>
        <v>6.8750000000000006E-2</v>
      </c>
      <c r="BP1453" s="1039">
        <f t="shared" si="3308"/>
        <v>6.8750000000000006E-2</v>
      </c>
      <c r="BQ1453" s="1039">
        <f t="shared" si="3308"/>
        <v>6.8750000000000006E-2</v>
      </c>
      <c r="BR1453" s="1039">
        <f t="shared" si="3308"/>
        <v>6.8750000000000006E-2</v>
      </c>
      <c r="BS1453" s="1039">
        <f t="shared" si="3308"/>
        <v>6.8750000000000006E-2</v>
      </c>
      <c r="BT1453" s="3255">
        <f t="shared" si="3308"/>
        <v>6.8750000000000006E-2</v>
      </c>
      <c r="BU1453" s="3307">
        <f t="shared" si="3308"/>
        <v>6.8750000000000006E-2</v>
      </c>
      <c r="BV1453" s="3307">
        <f t="shared" si="3308"/>
        <v>6.8750000000000006E-2</v>
      </c>
      <c r="BW1453" s="3307">
        <f t="shared" si="3308"/>
        <v>6.8750000000000006E-2</v>
      </c>
      <c r="BX1453" s="3307">
        <f t="shared" si="3308"/>
        <v>6.8750000000000006E-2</v>
      </c>
      <c r="BY1453" s="3255">
        <f t="shared" si="3308"/>
        <v>6.8750000000000006E-2</v>
      </c>
      <c r="BZ1453" s="1036">
        <f t="shared" si="3308"/>
        <v>6.8750000000000006E-2</v>
      </c>
      <c r="CA1453" s="1036">
        <f t="shared" si="3308"/>
        <v>6.8750000000000006E-2</v>
      </c>
      <c r="CB1453" s="1036">
        <f t="shared" si="3308"/>
        <v>6.8750000000000006E-2</v>
      </c>
      <c r="CC1453" s="1036">
        <f>$B$1453</f>
        <v>6.8750000000000006E-2</v>
      </c>
      <c r="CD1453" s="1036">
        <f>$B$1453</f>
        <v>6.8750000000000006E-2</v>
      </c>
      <c r="CE1453" s="1036">
        <f>$B$1453</f>
        <v>6.8750000000000006E-2</v>
      </c>
      <c r="CF1453" s="1036">
        <f>$B$1453</f>
        <v>6.8750000000000006E-2</v>
      </c>
      <c r="CG1453" s="980"/>
      <c r="CH1453" s="980"/>
      <c r="CI1453" s="980"/>
      <c r="CJ1453" s="980"/>
      <c r="CK1453" s="980"/>
      <c r="CL1453" s="2039" t="str">
        <f t="shared" si="3283"/>
        <v>$200 million 6 7/8% Sr Sub Notes, due 2011</v>
      </c>
      <c r="CM1453" s="1039">
        <f>G1453</f>
        <v>6.8750000000000006E-2</v>
      </c>
      <c r="CN1453" s="1039">
        <f>L1453</f>
        <v>6.8750000000000006E-2</v>
      </c>
      <c r="CO1453" s="1039">
        <f>Q1453</f>
        <v>6.8750000000000006E-2</v>
      </c>
      <c r="CP1453" s="1039">
        <f>V1453</f>
        <v>6.8750000000000006E-2</v>
      </c>
      <c r="CQ1453" s="1039">
        <f>AA1453</f>
        <v>6.8750000000000006E-2</v>
      </c>
      <c r="CR1453" s="1039">
        <f>AF1453</f>
        <v>6.8750000000000006E-2</v>
      </c>
      <c r="CS1453" s="1039">
        <f>AK1453</f>
        <v>6.8750000000000006E-2</v>
      </c>
      <c r="CT1453" s="1039">
        <f t="shared" si="3297"/>
        <v>6.8750000000000006E-2</v>
      </c>
      <c r="CU1453" s="1039">
        <f t="shared" si="3298"/>
        <v>6.8750000000000006E-2</v>
      </c>
      <c r="CV1453" s="1039">
        <f t="shared" si="3299"/>
        <v>6.8750000000000006E-2</v>
      </c>
      <c r="CW1453" s="1039">
        <f t="shared" si="3300"/>
        <v>6.8750000000000006E-2</v>
      </c>
      <c r="CX1453" s="1039">
        <f t="shared" si="3301"/>
        <v>6.8750000000000006E-2</v>
      </c>
      <c r="CY1453" s="1039">
        <f t="shared" si="3302"/>
        <v>6.8750000000000006E-2</v>
      </c>
      <c r="CZ1453" s="1039">
        <f t="shared" si="3303"/>
        <v>6.8750000000000006E-2</v>
      </c>
      <c r="DA1453" s="1039">
        <f t="shared" si="3304"/>
        <v>6.8750000000000006E-2</v>
      </c>
      <c r="DB1453" s="1039">
        <f t="shared" si="3304"/>
        <v>6.8750000000000006E-2</v>
      </c>
      <c r="DC1453" s="1674">
        <f t="shared" si="3304"/>
        <v>6.8750000000000006E-2</v>
      </c>
      <c r="DD1453" s="980"/>
      <c r="DE1453" s="980"/>
      <c r="DF1453" s="981"/>
      <c r="DG1453" s="981"/>
      <c r="DH1453" s="3307"/>
      <c r="DI1453" s="3213"/>
      <c r="DJ1453" s="981"/>
      <c r="DK1453" s="981"/>
      <c r="DL1453" s="981"/>
      <c r="DM1453" s="981"/>
      <c r="DN1453" s="981"/>
      <c r="DO1453" s="981"/>
      <c r="DP1453" s="981"/>
      <c r="DQ1453" s="981"/>
      <c r="DR1453" s="630"/>
      <c r="DS1453" s="630"/>
      <c r="DT1453" s="630"/>
    </row>
    <row r="1454" spans="1:124" ht="12" hidden="1" customHeight="1" outlineLevel="1" x14ac:dyDescent="0.25">
      <c r="A1454" s="1950" t="s">
        <v>1636</v>
      </c>
      <c r="B1454" s="633">
        <v>6.7500000000000004E-2</v>
      </c>
      <c r="C1454" s="1033"/>
      <c r="D1454" s="1033"/>
      <c r="E1454" s="1033"/>
      <c r="F1454" s="1033"/>
      <c r="G1454" s="1034"/>
      <c r="H1454" s="1035">
        <f t="shared" ref="H1454:CB1454" si="3309">$B$1454</f>
        <v>6.7500000000000004E-2</v>
      </c>
      <c r="I1454" s="1035">
        <f t="shared" si="3309"/>
        <v>6.7500000000000004E-2</v>
      </c>
      <c r="J1454" s="1035">
        <f t="shared" si="3309"/>
        <v>6.7500000000000004E-2</v>
      </c>
      <c r="K1454" s="1035">
        <f t="shared" si="3309"/>
        <v>6.7500000000000004E-2</v>
      </c>
      <c r="L1454" s="1036">
        <f>AVERAGE(H1454:K1454)</f>
        <v>6.7500000000000004E-2</v>
      </c>
      <c r="M1454" s="1035">
        <f t="shared" si="3309"/>
        <v>6.7500000000000004E-2</v>
      </c>
      <c r="N1454" s="1035">
        <f t="shared" si="3309"/>
        <v>6.7500000000000004E-2</v>
      </c>
      <c r="O1454" s="1035">
        <f t="shared" si="3309"/>
        <v>6.7500000000000004E-2</v>
      </c>
      <c r="P1454" s="1035">
        <f t="shared" si="3309"/>
        <v>6.7500000000000004E-2</v>
      </c>
      <c r="Q1454" s="1036">
        <f>AVERAGE(M1454:P1454)</f>
        <v>6.7500000000000004E-2</v>
      </c>
      <c r="R1454" s="1035">
        <f t="shared" si="3309"/>
        <v>6.7500000000000004E-2</v>
      </c>
      <c r="S1454" s="1035">
        <f t="shared" si="3309"/>
        <v>6.7500000000000004E-2</v>
      </c>
      <c r="T1454" s="1035">
        <f t="shared" si="3309"/>
        <v>6.7500000000000004E-2</v>
      </c>
      <c r="U1454" s="1035">
        <f t="shared" si="3309"/>
        <v>6.7500000000000004E-2</v>
      </c>
      <c r="V1454" s="1036">
        <f>AVERAGE(R1454:U1454)</f>
        <v>6.7500000000000004E-2</v>
      </c>
      <c r="W1454" s="1035">
        <f t="shared" si="3309"/>
        <v>6.7500000000000004E-2</v>
      </c>
      <c r="X1454" s="1035">
        <f t="shared" si="3309"/>
        <v>6.7500000000000004E-2</v>
      </c>
      <c r="Y1454" s="1035">
        <f t="shared" si="3309"/>
        <v>6.7500000000000004E-2</v>
      </c>
      <c r="Z1454" s="1035">
        <f t="shared" si="3309"/>
        <v>6.7500000000000004E-2</v>
      </c>
      <c r="AA1454" s="1036">
        <f>AVERAGE(W1454:Z1454)</f>
        <v>6.7500000000000004E-2</v>
      </c>
      <c r="AB1454" s="1035">
        <f t="shared" si="3309"/>
        <v>6.7500000000000004E-2</v>
      </c>
      <c r="AC1454" s="1035">
        <f t="shared" si="3309"/>
        <v>6.7500000000000004E-2</v>
      </c>
      <c r="AD1454" s="1035">
        <f t="shared" si="3309"/>
        <v>6.7500000000000004E-2</v>
      </c>
      <c r="AE1454" s="1037">
        <f t="shared" si="3309"/>
        <v>6.7500000000000004E-2</v>
      </c>
      <c r="AF1454" s="1036">
        <f t="shared" si="3284"/>
        <v>6.7500000000000004E-2</v>
      </c>
      <c r="AG1454" s="1037">
        <f t="shared" si="3309"/>
        <v>6.7500000000000004E-2</v>
      </c>
      <c r="AH1454" s="1037">
        <f t="shared" si="3309"/>
        <v>6.7500000000000004E-2</v>
      </c>
      <c r="AI1454" s="1037">
        <f t="shared" si="3309"/>
        <v>6.7500000000000004E-2</v>
      </c>
      <c r="AJ1454" s="1037">
        <f t="shared" si="3309"/>
        <v>6.7500000000000004E-2</v>
      </c>
      <c r="AK1454" s="1036">
        <f t="shared" si="3285"/>
        <v>6.7500000000000004E-2</v>
      </c>
      <c r="AL1454" s="1037">
        <f>$B$1454</f>
        <v>6.7500000000000004E-2</v>
      </c>
      <c r="AM1454" s="1037">
        <f t="shared" si="3309"/>
        <v>6.7500000000000004E-2</v>
      </c>
      <c r="AN1454" s="1037">
        <f t="shared" si="3309"/>
        <v>6.7500000000000004E-2</v>
      </c>
      <c r="AO1454" s="1037">
        <f t="shared" si="3309"/>
        <v>6.7500000000000004E-2</v>
      </c>
      <c r="AP1454" s="1038">
        <f t="shared" si="3291"/>
        <v>6.7500000000000004E-2</v>
      </c>
      <c r="AQ1454" s="1038">
        <f t="shared" si="3309"/>
        <v>6.7500000000000004E-2</v>
      </c>
      <c r="AR1454" s="1039">
        <f t="shared" si="3309"/>
        <v>6.7500000000000004E-2</v>
      </c>
      <c r="AS1454" s="1039">
        <f t="shared" si="3309"/>
        <v>6.7500000000000004E-2</v>
      </c>
      <c r="AT1454" s="1039">
        <f t="shared" si="3309"/>
        <v>6.7500000000000004E-2</v>
      </c>
      <c r="AU1454" s="1036">
        <f t="shared" si="3293"/>
        <v>6.7500000000000004E-2</v>
      </c>
      <c r="AV1454" s="1038">
        <f t="shared" si="3309"/>
        <v>6.7500000000000004E-2</v>
      </c>
      <c r="AW1454" s="1039">
        <f t="shared" si="3309"/>
        <v>6.7500000000000004E-2</v>
      </c>
      <c r="AX1454" s="1039">
        <f t="shared" si="3309"/>
        <v>6.7500000000000004E-2</v>
      </c>
      <c r="AY1454" s="1674">
        <f t="shared" si="3309"/>
        <v>6.7500000000000004E-2</v>
      </c>
      <c r="AZ1454" s="1036">
        <f t="shared" si="3309"/>
        <v>6.7500000000000004E-2</v>
      </c>
      <c r="BA1454" s="1038">
        <f t="shared" si="3309"/>
        <v>6.7500000000000004E-2</v>
      </c>
      <c r="BB1454" s="1039">
        <f t="shared" si="3309"/>
        <v>6.7500000000000004E-2</v>
      </c>
      <c r="BC1454" s="1039">
        <f t="shared" si="3309"/>
        <v>6.7500000000000004E-2</v>
      </c>
      <c r="BD1454" s="1674">
        <f t="shared" si="3309"/>
        <v>6.7500000000000004E-2</v>
      </c>
      <c r="BE1454" s="1036">
        <f t="shared" si="3309"/>
        <v>6.7500000000000004E-2</v>
      </c>
      <c r="BF1454" s="1039">
        <f t="shared" si="3309"/>
        <v>6.7500000000000004E-2</v>
      </c>
      <c r="BG1454" s="1039">
        <f t="shared" si="3309"/>
        <v>6.7500000000000004E-2</v>
      </c>
      <c r="BH1454" s="1039">
        <f t="shared" si="3309"/>
        <v>6.7500000000000004E-2</v>
      </c>
      <c r="BI1454" s="1674">
        <f t="shared" si="3309"/>
        <v>6.7500000000000004E-2</v>
      </c>
      <c r="BJ1454" s="1036">
        <f t="shared" si="3309"/>
        <v>6.7500000000000004E-2</v>
      </c>
      <c r="BK1454" s="1039">
        <f t="shared" si="3309"/>
        <v>6.7500000000000004E-2</v>
      </c>
      <c r="BL1454" s="1039">
        <f t="shared" si="3309"/>
        <v>6.7500000000000004E-2</v>
      </c>
      <c r="BM1454" s="1039">
        <f t="shared" si="3309"/>
        <v>6.7500000000000004E-2</v>
      </c>
      <c r="BN1454" s="1674">
        <f t="shared" si="3309"/>
        <v>6.7500000000000004E-2</v>
      </c>
      <c r="BO1454" s="1036">
        <f t="shared" si="3309"/>
        <v>6.7500000000000004E-2</v>
      </c>
      <c r="BP1454" s="1039">
        <f t="shared" si="3309"/>
        <v>6.7500000000000004E-2</v>
      </c>
      <c r="BQ1454" s="1039">
        <f t="shared" si="3309"/>
        <v>6.7500000000000004E-2</v>
      </c>
      <c r="BR1454" s="1039">
        <f t="shared" si="3309"/>
        <v>6.7500000000000004E-2</v>
      </c>
      <c r="BS1454" s="1039">
        <f t="shared" si="3309"/>
        <v>6.7500000000000004E-2</v>
      </c>
      <c r="BT1454" s="3255">
        <f t="shared" si="3309"/>
        <v>6.7500000000000004E-2</v>
      </c>
      <c r="BU1454" s="3307">
        <f t="shared" si="3309"/>
        <v>6.7500000000000004E-2</v>
      </c>
      <c r="BV1454" s="3307">
        <f t="shared" si="3309"/>
        <v>6.7500000000000004E-2</v>
      </c>
      <c r="BW1454" s="3307">
        <f t="shared" si="3309"/>
        <v>6.7500000000000004E-2</v>
      </c>
      <c r="BX1454" s="3307">
        <f t="shared" si="3309"/>
        <v>6.7500000000000004E-2</v>
      </c>
      <c r="BY1454" s="3255">
        <f t="shared" si="3309"/>
        <v>6.7500000000000004E-2</v>
      </c>
      <c r="BZ1454" s="1036">
        <f t="shared" si="3309"/>
        <v>6.7500000000000004E-2</v>
      </c>
      <c r="CA1454" s="1036">
        <f t="shared" si="3309"/>
        <v>6.7500000000000004E-2</v>
      </c>
      <c r="CB1454" s="1036">
        <f t="shared" si="3309"/>
        <v>6.7500000000000004E-2</v>
      </c>
      <c r="CC1454" s="1036">
        <f>$B$1454</f>
        <v>6.7500000000000004E-2</v>
      </c>
      <c r="CD1454" s="1036">
        <f>$B$1454</f>
        <v>6.7500000000000004E-2</v>
      </c>
      <c r="CE1454" s="1036">
        <f>$B$1454</f>
        <v>6.7500000000000004E-2</v>
      </c>
      <c r="CF1454" s="1036">
        <f>$B$1454</f>
        <v>6.7500000000000004E-2</v>
      </c>
      <c r="CG1454" s="980"/>
      <c r="CH1454" s="980"/>
      <c r="CI1454" s="980"/>
      <c r="CJ1454" s="980"/>
      <c r="CK1454" s="980"/>
      <c r="CL1454" s="2039" t="str">
        <f t="shared" si="3283"/>
        <v>$250 million 6 3/4% Sr Sub Notes, due 2015</v>
      </c>
      <c r="CM1454" s="1039"/>
      <c r="CN1454" s="1039">
        <f>L1454</f>
        <v>6.7500000000000004E-2</v>
      </c>
      <c r="CO1454" s="1039">
        <f>Q1454</f>
        <v>6.7500000000000004E-2</v>
      </c>
      <c r="CP1454" s="1039">
        <f>V1454</f>
        <v>6.7500000000000004E-2</v>
      </c>
      <c r="CQ1454" s="1039">
        <f>AA1454</f>
        <v>6.7500000000000004E-2</v>
      </c>
      <c r="CR1454" s="1039">
        <f>AF1454</f>
        <v>6.7500000000000004E-2</v>
      </c>
      <c r="CS1454" s="1039">
        <f>AK1454</f>
        <v>6.7500000000000004E-2</v>
      </c>
      <c r="CT1454" s="1039">
        <f t="shared" si="3297"/>
        <v>6.7500000000000004E-2</v>
      </c>
      <c r="CU1454" s="1039">
        <f t="shared" si="3298"/>
        <v>6.7500000000000004E-2</v>
      </c>
      <c r="CV1454" s="1039">
        <f t="shared" si="3299"/>
        <v>6.7500000000000004E-2</v>
      </c>
      <c r="CW1454" s="1039">
        <f t="shared" si="3300"/>
        <v>6.7500000000000004E-2</v>
      </c>
      <c r="CX1454" s="1039">
        <f t="shared" si="3301"/>
        <v>6.7500000000000004E-2</v>
      </c>
      <c r="CY1454" s="1039">
        <f t="shared" si="3302"/>
        <v>6.7500000000000004E-2</v>
      </c>
      <c r="CZ1454" s="1039">
        <f t="shared" si="3303"/>
        <v>6.7500000000000004E-2</v>
      </c>
      <c r="DA1454" s="1039">
        <f t="shared" si="3304"/>
        <v>6.7500000000000004E-2</v>
      </c>
      <c r="DB1454" s="1039">
        <f t="shared" si="3304"/>
        <v>6.7500000000000004E-2</v>
      </c>
      <c r="DC1454" s="1674">
        <f t="shared" si="3304"/>
        <v>6.7500000000000004E-2</v>
      </c>
      <c r="DD1454" s="980"/>
      <c r="DE1454" s="980"/>
      <c r="DF1454" s="981"/>
      <c r="DG1454" s="981"/>
      <c r="DH1454" s="3307"/>
      <c r="DI1454" s="3213"/>
      <c r="DJ1454" s="981"/>
      <c r="DK1454" s="981"/>
      <c r="DL1454" s="981"/>
      <c r="DM1454" s="981"/>
      <c r="DN1454" s="981"/>
      <c r="DO1454" s="981"/>
      <c r="DP1454" s="981"/>
      <c r="DQ1454" s="981"/>
      <c r="DR1454" s="630"/>
      <c r="DS1454" s="630"/>
      <c r="DT1454" s="630"/>
    </row>
    <row r="1455" spans="1:124" ht="12" hidden="1" customHeight="1" outlineLevel="1" x14ac:dyDescent="0.25">
      <c r="A1455" s="355" t="s">
        <v>1142</v>
      </c>
      <c r="B1455" s="634">
        <v>8.7499999999999994E-2</v>
      </c>
      <c r="C1455" s="1033"/>
      <c r="D1455" s="1033"/>
      <c r="E1455" s="1033"/>
      <c r="F1455" s="1033"/>
      <c r="G1455" s="1034"/>
      <c r="H1455" s="1033"/>
      <c r="I1455" s="1033"/>
      <c r="J1455" s="1033"/>
      <c r="K1455" s="1033"/>
      <c r="L1455" s="1034"/>
      <c r="M1455" s="1033"/>
      <c r="N1455" s="1033"/>
      <c r="O1455" s="1033"/>
      <c r="P1455" s="1033"/>
      <c r="Q1455" s="1034"/>
      <c r="R1455" s="1033"/>
      <c r="S1455" s="1033"/>
      <c r="T1455" s="1033"/>
      <c r="U1455" s="1033"/>
      <c r="V1455" s="1034"/>
      <c r="W1455" s="1033"/>
      <c r="X1455" s="1033"/>
      <c r="Y1455" s="1033"/>
      <c r="Z1455" s="1033"/>
      <c r="AA1455" s="1034"/>
      <c r="AB1455" s="1033"/>
      <c r="AC1455" s="1033"/>
      <c r="AD1455" s="1035">
        <f>$B$1455</f>
        <v>8.7499999999999994E-2</v>
      </c>
      <c r="AE1455" s="1037">
        <f>$B$1455</f>
        <v>8.7499999999999994E-2</v>
      </c>
      <c r="AF1455" s="1036">
        <f t="shared" si="3284"/>
        <v>8.7499999999999994E-2</v>
      </c>
      <c r="AG1455" s="1037">
        <f>$B$1455</f>
        <v>8.7499999999999994E-2</v>
      </c>
      <c r="AH1455" s="1037">
        <f>$B$1455</f>
        <v>8.7499999999999994E-2</v>
      </c>
      <c r="AI1455" s="1037">
        <f>$B$1455</f>
        <v>8.7499999999999994E-2</v>
      </c>
      <c r="AJ1455" s="1037">
        <f>$B$1455</f>
        <v>8.7499999999999994E-2</v>
      </c>
      <c r="AK1455" s="1036">
        <f t="shared" si="3285"/>
        <v>8.7499999999999994E-2</v>
      </c>
      <c r="AL1455" s="1037">
        <f>$B$1455</f>
        <v>8.7499999999999994E-2</v>
      </c>
      <c r="AM1455" s="1037">
        <f>$B$1455</f>
        <v>8.7499999999999994E-2</v>
      </c>
      <c r="AN1455" s="1037">
        <f>$B$1455</f>
        <v>8.7499999999999994E-2</v>
      </c>
      <c r="AO1455" s="1037">
        <f>$B$1455</f>
        <v>8.7499999999999994E-2</v>
      </c>
      <c r="AP1455" s="1038">
        <f t="shared" si="3291"/>
        <v>8.7499999999999994E-2</v>
      </c>
      <c r="AQ1455" s="1038">
        <f>$B$1455</f>
        <v>8.7499999999999994E-2</v>
      </c>
      <c r="AR1455" s="1039">
        <f>$B$1455</f>
        <v>8.7499999999999994E-2</v>
      </c>
      <c r="AS1455" s="1039">
        <f>$B$1455</f>
        <v>8.7499999999999994E-2</v>
      </c>
      <c r="AT1455" s="1039">
        <f>$B$1455</f>
        <v>8.7499999999999994E-2</v>
      </c>
      <c r="AU1455" s="1036">
        <f t="shared" si="3293"/>
        <v>8.7499999999999994E-2</v>
      </c>
      <c r="AV1455" s="1038">
        <f t="shared" ref="AV1455:CF1455" si="3310">$B$1455</f>
        <v>8.7499999999999994E-2</v>
      </c>
      <c r="AW1455" s="1039">
        <f t="shared" si="3310"/>
        <v>8.7499999999999994E-2</v>
      </c>
      <c r="AX1455" s="1039">
        <f t="shared" si="3310"/>
        <v>8.7499999999999994E-2</v>
      </c>
      <c r="AY1455" s="1674">
        <f t="shared" si="3310"/>
        <v>8.7499999999999994E-2</v>
      </c>
      <c r="AZ1455" s="1036">
        <f t="shared" si="3310"/>
        <v>8.7499999999999994E-2</v>
      </c>
      <c r="BA1455" s="1038">
        <f t="shared" si="3310"/>
        <v>8.7499999999999994E-2</v>
      </c>
      <c r="BB1455" s="1039">
        <f t="shared" si="3310"/>
        <v>8.7499999999999994E-2</v>
      </c>
      <c r="BC1455" s="1039">
        <f t="shared" si="3310"/>
        <v>8.7499999999999994E-2</v>
      </c>
      <c r="BD1455" s="1674">
        <f t="shared" si="3310"/>
        <v>8.7499999999999994E-2</v>
      </c>
      <c r="BE1455" s="1036">
        <f t="shared" si="3310"/>
        <v>8.7499999999999994E-2</v>
      </c>
      <c r="BF1455" s="1039">
        <f t="shared" si="3310"/>
        <v>8.7499999999999994E-2</v>
      </c>
      <c r="BG1455" s="1039">
        <f t="shared" si="3310"/>
        <v>8.7499999999999994E-2</v>
      </c>
      <c r="BH1455" s="1039">
        <f t="shared" si="3310"/>
        <v>8.7499999999999994E-2</v>
      </c>
      <c r="BI1455" s="1674">
        <f t="shared" si="3310"/>
        <v>8.7499999999999994E-2</v>
      </c>
      <c r="BJ1455" s="1036">
        <f t="shared" si="3310"/>
        <v>8.7499999999999994E-2</v>
      </c>
      <c r="BK1455" s="1039">
        <f t="shared" si="3310"/>
        <v>8.7499999999999994E-2</v>
      </c>
      <c r="BL1455" s="1039">
        <f t="shared" si="3310"/>
        <v>8.7499999999999994E-2</v>
      </c>
      <c r="BM1455" s="1039">
        <f t="shared" si="3310"/>
        <v>8.7499999999999994E-2</v>
      </c>
      <c r="BN1455" s="1674">
        <f t="shared" si="3310"/>
        <v>8.7499999999999994E-2</v>
      </c>
      <c r="BO1455" s="1036">
        <f t="shared" si="3310"/>
        <v>8.7499999999999994E-2</v>
      </c>
      <c r="BP1455" s="1039">
        <f t="shared" si="3310"/>
        <v>8.7499999999999994E-2</v>
      </c>
      <c r="BQ1455" s="1039">
        <f t="shared" si="3310"/>
        <v>8.7499999999999994E-2</v>
      </c>
      <c r="BR1455" s="1039">
        <f t="shared" si="3310"/>
        <v>8.7499999999999994E-2</v>
      </c>
      <c r="BS1455" s="1039">
        <f t="shared" si="3310"/>
        <v>8.7499999999999994E-2</v>
      </c>
      <c r="BT1455" s="3255">
        <f t="shared" si="3310"/>
        <v>8.7499999999999994E-2</v>
      </c>
      <c r="BU1455" s="3307">
        <f t="shared" si="3310"/>
        <v>8.7499999999999994E-2</v>
      </c>
      <c r="BV1455" s="3307">
        <f t="shared" si="3310"/>
        <v>8.7499999999999994E-2</v>
      </c>
      <c r="BW1455" s="3307">
        <f t="shared" si="3310"/>
        <v>8.7499999999999994E-2</v>
      </c>
      <c r="BX1455" s="3307">
        <f t="shared" si="3310"/>
        <v>8.7499999999999994E-2</v>
      </c>
      <c r="BY1455" s="3255">
        <f t="shared" si="3310"/>
        <v>8.7499999999999994E-2</v>
      </c>
      <c r="BZ1455" s="1036">
        <f t="shared" si="3310"/>
        <v>8.7499999999999994E-2</v>
      </c>
      <c r="CA1455" s="1036">
        <f t="shared" si="3310"/>
        <v>8.7499999999999994E-2</v>
      </c>
      <c r="CB1455" s="1036">
        <f t="shared" si="3310"/>
        <v>8.7499999999999994E-2</v>
      </c>
      <c r="CC1455" s="1036">
        <f t="shared" si="3310"/>
        <v>8.7499999999999994E-2</v>
      </c>
      <c r="CD1455" s="1036">
        <f t="shared" si="3310"/>
        <v>8.7499999999999994E-2</v>
      </c>
      <c r="CE1455" s="1036">
        <f t="shared" si="3310"/>
        <v>8.7499999999999994E-2</v>
      </c>
      <c r="CF1455" s="1036">
        <f t="shared" si="3310"/>
        <v>8.7499999999999994E-2</v>
      </c>
      <c r="CG1455" s="980"/>
      <c r="CH1455" s="980"/>
      <c r="CI1455" s="980"/>
      <c r="CJ1455" s="980"/>
      <c r="CK1455" s="980"/>
      <c r="CL1455" s="995" t="str">
        <f t="shared" si="3283"/>
        <v>$325 million 8 3/4% Sr Sub Notes, due 2019</v>
      </c>
      <c r="CM1455" s="1039"/>
      <c r="CN1455" s="1039"/>
      <c r="CO1455" s="1039"/>
      <c r="CP1455" s="1039"/>
      <c r="CQ1455" s="1039"/>
      <c r="CR1455" s="1039">
        <f>AF1455</f>
        <v>8.7499999999999994E-2</v>
      </c>
      <c r="CS1455" s="1039">
        <f>AK1455</f>
        <v>8.7499999999999994E-2</v>
      </c>
      <c r="CT1455" s="1039">
        <f t="shared" si="3297"/>
        <v>8.7499999999999994E-2</v>
      </c>
      <c r="CU1455" s="1039">
        <f t="shared" si="3298"/>
        <v>8.7499999999999994E-2</v>
      </c>
      <c r="CV1455" s="1039">
        <f t="shared" si="3299"/>
        <v>8.7499999999999994E-2</v>
      </c>
      <c r="CW1455" s="1039">
        <f t="shared" si="3300"/>
        <v>8.7499999999999994E-2</v>
      </c>
      <c r="CX1455" s="1039">
        <f t="shared" si="3301"/>
        <v>8.7499999999999994E-2</v>
      </c>
      <c r="CY1455" s="1039">
        <f t="shared" si="3302"/>
        <v>8.7499999999999994E-2</v>
      </c>
      <c r="CZ1455" s="1039">
        <f t="shared" si="3303"/>
        <v>8.7499999999999994E-2</v>
      </c>
      <c r="DA1455" s="1039">
        <f t="shared" si="3304"/>
        <v>8.7499999999999994E-2</v>
      </c>
      <c r="DB1455" s="1039">
        <f t="shared" si="3304"/>
        <v>8.7499999999999994E-2</v>
      </c>
      <c r="DC1455" s="1674">
        <f t="shared" si="3304"/>
        <v>8.7499999999999994E-2</v>
      </c>
      <c r="DD1455" s="980"/>
      <c r="DE1455" s="980"/>
      <c r="DF1455" s="981"/>
      <c r="DG1455" s="981"/>
      <c r="DH1455" s="3307"/>
      <c r="DI1455" s="3213"/>
      <c r="DJ1455" s="981"/>
      <c r="DK1455" s="981"/>
      <c r="DL1455" s="981"/>
      <c r="DM1455" s="981"/>
      <c r="DN1455" s="981"/>
      <c r="DO1455" s="981"/>
      <c r="DP1455" s="981"/>
      <c r="DQ1455" s="981"/>
      <c r="DR1455" s="630"/>
      <c r="DS1455" s="630"/>
      <c r="DT1455" s="630"/>
    </row>
    <row r="1456" spans="1:124" ht="12" customHeight="1" collapsed="1" x14ac:dyDescent="0.25">
      <c r="A1456" s="355" t="s">
        <v>77</v>
      </c>
      <c r="B1456" s="634">
        <v>5.8749999999999997E-2</v>
      </c>
      <c r="C1456" s="1033"/>
      <c r="D1456" s="1033"/>
      <c r="E1456" s="1033"/>
      <c r="F1456" s="1033"/>
      <c r="G1456" s="1034"/>
      <c r="H1456" s="1033"/>
      <c r="I1456" s="1033"/>
      <c r="J1456" s="1033"/>
      <c r="K1456" s="1033"/>
      <c r="L1456" s="1034"/>
      <c r="M1456" s="1033"/>
      <c r="N1456" s="1033"/>
      <c r="O1456" s="1033"/>
      <c r="P1456" s="1033"/>
      <c r="Q1456" s="1034"/>
      <c r="R1456" s="1033"/>
      <c r="S1456" s="1033"/>
      <c r="T1456" s="1033"/>
      <c r="U1456" s="1033"/>
      <c r="V1456" s="1034"/>
      <c r="W1456" s="1033"/>
      <c r="X1456" s="1033"/>
      <c r="Y1456" s="1033"/>
      <c r="Z1456" s="1033"/>
      <c r="AA1456" s="1034"/>
      <c r="AB1456" s="1033"/>
      <c r="AC1456" s="1033"/>
      <c r="AD1456" s="1035"/>
      <c r="AE1456" s="1037"/>
      <c r="AF1456" s="1036"/>
      <c r="AG1456" s="1037"/>
      <c r="AH1456" s="1037"/>
      <c r="AI1456" s="1037"/>
      <c r="AJ1456" s="1037"/>
      <c r="AK1456" s="1036"/>
      <c r="AL1456" s="1037"/>
      <c r="AM1456" s="1037"/>
      <c r="AN1456" s="1037"/>
      <c r="AO1456" s="1037"/>
      <c r="AP1456" s="1038"/>
      <c r="AQ1456" s="1038"/>
      <c r="AR1456" s="1039"/>
      <c r="AS1456" s="1039"/>
      <c r="AT1456" s="1039"/>
      <c r="AU1456" s="1036"/>
      <c r="AV1456" s="1038"/>
      <c r="AW1456" s="1039"/>
      <c r="AX1456" s="1039"/>
      <c r="AY1456" s="1674">
        <f>+B1456</f>
        <v>5.8749999999999997E-2</v>
      </c>
      <c r="AZ1456" s="1036">
        <f>+AY1456</f>
        <v>5.8749999999999997E-2</v>
      </c>
      <c r="BA1456" s="1038">
        <f>+AY1456</f>
        <v>5.8749999999999997E-2</v>
      </c>
      <c r="BB1456" s="1039">
        <f t="shared" ref="BB1456:CA1456" si="3311">+BA1456</f>
        <v>5.8749999999999997E-2</v>
      </c>
      <c r="BC1456" s="1039">
        <f t="shared" si="3311"/>
        <v>5.8749999999999997E-2</v>
      </c>
      <c r="BD1456" s="1674">
        <f t="shared" si="3311"/>
        <v>5.8749999999999997E-2</v>
      </c>
      <c r="BE1456" s="1036">
        <f t="shared" si="3311"/>
        <v>5.8749999999999997E-2</v>
      </c>
      <c r="BF1456" s="1039">
        <f t="shared" si="3311"/>
        <v>5.8749999999999997E-2</v>
      </c>
      <c r="BG1456" s="1039">
        <f t="shared" si="3311"/>
        <v>5.8749999999999997E-2</v>
      </c>
      <c r="BH1456" s="1039">
        <f t="shared" si="3311"/>
        <v>5.8749999999999997E-2</v>
      </c>
      <c r="BI1456" s="1674">
        <f t="shared" si="3311"/>
        <v>5.8749999999999997E-2</v>
      </c>
      <c r="BJ1456" s="1036">
        <f t="shared" si="3311"/>
        <v>5.8749999999999997E-2</v>
      </c>
      <c r="BK1456" s="1039">
        <f t="shared" si="3311"/>
        <v>5.8749999999999997E-2</v>
      </c>
      <c r="BL1456" s="1039">
        <f>+BK1456</f>
        <v>5.8749999999999997E-2</v>
      </c>
      <c r="BM1456" s="1039">
        <f t="shared" si="3311"/>
        <v>5.8749999999999997E-2</v>
      </c>
      <c r="BN1456" s="1674">
        <f t="shared" si="3311"/>
        <v>5.8749999999999997E-2</v>
      </c>
      <c r="BO1456" s="1036">
        <f t="shared" si="3311"/>
        <v>5.8749999999999997E-2</v>
      </c>
      <c r="BP1456" s="1039">
        <f>+BO1456</f>
        <v>5.8749999999999997E-2</v>
      </c>
      <c r="BQ1456" s="1039">
        <f>+BP1456</f>
        <v>5.8749999999999997E-2</v>
      </c>
      <c r="BR1456" s="1039">
        <f>+BQ1456</f>
        <v>5.8749999999999997E-2</v>
      </c>
      <c r="BS1456" s="1039">
        <f>+BR1456</f>
        <v>5.8749999999999997E-2</v>
      </c>
      <c r="BT1456" s="3255">
        <f t="shared" si="3311"/>
        <v>5.8749999999999997E-2</v>
      </c>
      <c r="BU1456" s="3307">
        <f t="shared" ref="BU1456:BX1457" si="3312">+BT1456</f>
        <v>5.8749999999999997E-2</v>
      </c>
      <c r="BV1456" s="3307">
        <f t="shared" si="3312"/>
        <v>5.8749999999999997E-2</v>
      </c>
      <c r="BW1456" s="3307">
        <f t="shared" si="3312"/>
        <v>5.8749999999999997E-2</v>
      </c>
      <c r="BX1456" s="3307">
        <f t="shared" si="3312"/>
        <v>5.8749999999999997E-2</v>
      </c>
      <c r="BY1456" s="3255">
        <f>+BX1456</f>
        <v>5.8749999999999997E-2</v>
      </c>
      <c r="BZ1456" s="1036">
        <f t="shared" si="3311"/>
        <v>5.8749999999999997E-2</v>
      </c>
      <c r="CA1456" s="1036">
        <f t="shared" si="3311"/>
        <v>5.8749999999999997E-2</v>
      </c>
      <c r="CB1456" s="1036">
        <f>+CA1456</f>
        <v>5.8749999999999997E-2</v>
      </c>
      <c r="CC1456" s="1036">
        <f>+CB1456</f>
        <v>5.8749999999999997E-2</v>
      </c>
      <c r="CD1456" s="1036">
        <f>+CC1456</f>
        <v>5.8749999999999997E-2</v>
      </c>
      <c r="CE1456" s="1036">
        <f>+CD1456</f>
        <v>5.8749999999999997E-2</v>
      </c>
      <c r="CF1456" s="1036">
        <f>+CE1456</f>
        <v>5.8749999999999997E-2</v>
      </c>
      <c r="CG1456" s="980"/>
      <c r="CH1456" s="980"/>
      <c r="CI1456" s="980"/>
      <c r="CJ1456" s="980"/>
      <c r="CK1456" s="980"/>
      <c r="CL1456" s="995"/>
      <c r="CM1456" s="1039"/>
      <c r="CN1456" s="1039"/>
      <c r="CO1456" s="1039"/>
      <c r="CP1456" s="1039"/>
      <c r="CQ1456" s="1039"/>
      <c r="CR1456" s="1039"/>
      <c r="CS1456" s="1039"/>
      <c r="CT1456" s="1039"/>
      <c r="CU1456" s="1039"/>
      <c r="CV1456" s="1039"/>
      <c r="CW1456" s="1039"/>
      <c r="CX1456" s="1039"/>
      <c r="CY1456" s="1039"/>
      <c r="CZ1456" s="1039"/>
      <c r="DA1456" s="1039"/>
      <c r="DB1456" s="1039"/>
      <c r="DC1456" s="1674"/>
      <c r="DD1456" s="980"/>
      <c r="DE1456" s="980"/>
      <c r="DF1456" s="981"/>
      <c r="DG1456" s="981"/>
      <c r="DH1456" s="3307"/>
      <c r="DI1456" s="3213"/>
      <c r="DJ1456" s="981"/>
      <c r="DK1456" s="981"/>
      <c r="DL1456" s="981"/>
      <c r="DM1456" s="981"/>
      <c r="DN1456" s="981"/>
      <c r="DO1456" s="981"/>
      <c r="DP1456" s="981"/>
      <c r="DQ1456" s="981"/>
      <c r="DR1456" s="630"/>
      <c r="DS1456" s="630"/>
      <c r="DT1456" s="630"/>
    </row>
    <row r="1457" spans="1:130" s="1049" customFormat="1" ht="12" customHeight="1" x14ac:dyDescent="0.25">
      <c r="A1457" s="2576" t="s">
        <v>2536</v>
      </c>
      <c r="B1457" s="633"/>
      <c r="C1457" s="3351"/>
      <c r="D1457" s="3351"/>
      <c r="E1457" s="3351"/>
      <c r="F1457" s="3351"/>
      <c r="G1457" s="3352"/>
      <c r="H1457" s="3351"/>
      <c r="I1457" s="3351"/>
      <c r="J1457" s="3351"/>
      <c r="K1457" s="3351"/>
      <c r="L1457" s="3352"/>
      <c r="M1457" s="3351"/>
      <c r="N1457" s="3351"/>
      <c r="O1457" s="3351"/>
      <c r="P1457" s="3351"/>
      <c r="Q1457" s="3352"/>
      <c r="R1457" s="3351"/>
      <c r="S1457" s="3351"/>
      <c r="T1457" s="3351"/>
      <c r="U1457" s="3351"/>
      <c r="V1457" s="3352"/>
      <c r="W1457" s="3351"/>
      <c r="X1457" s="3351"/>
      <c r="Y1457" s="3351"/>
      <c r="Z1457" s="3351"/>
      <c r="AA1457" s="3352"/>
      <c r="AB1457" s="3351"/>
      <c r="AC1457" s="3351"/>
      <c r="AD1457" s="1037"/>
      <c r="AE1457" s="1037"/>
      <c r="AF1457" s="1036"/>
      <c r="AG1457" s="1037"/>
      <c r="AH1457" s="1037"/>
      <c r="AI1457" s="1037"/>
      <c r="AJ1457" s="1037"/>
      <c r="AK1457" s="1036"/>
      <c r="AL1457" s="1037"/>
      <c r="AM1457" s="1037"/>
      <c r="AN1457" s="1037"/>
      <c r="AO1457" s="1037"/>
      <c r="AP1457" s="1038"/>
      <c r="AQ1457" s="1038"/>
      <c r="AR1457" s="1039"/>
      <c r="AS1457" s="1039"/>
      <c r="AT1457" s="1039"/>
      <c r="AU1457" s="1036"/>
      <c r="AV1457" s="1038"/>
      <c r="AW1457" s="1039"/>
      <c r="AX1457" s="1039"/>
      <c r="AY1457" s="1674"/>
      <c r="AZ1457" s="1036"/>
      <c r="BA1457" s="1038"/>
      <c r="BB1457" s="1039"/>
      <c r="BC1457" s="1039"/>
      <c r="BD1457" s="1039"/>
      <c r="BE1457" s="1036"/>
      <c r="BF1457" s="1039"/>
      <c r="BG1457" s="1039"/>
      <c r="BH1457" s="1039"/>
      <c r="BI1457" s="1039"/>
      <c r="BJ1457" s="1036"/>
      <c r="BK1457" s="1039"/>
      <c r="BL1457" s="1039"/>
      <c r="BM1457" s="1039"/>
      <c r="BN1457" s="1039"/>
      <c r="BO1457" s="1036"/>
      <c r="BP1457" s="3353">
        <v>5.6250000000000001E-2</v>
      </c>
      <c r="BQ1457" s="1039">
        <f t="shared" ref="BQ1457:CA1457" si="3313">+BP1457</f>
        <v>5.6250000000000001E-2</v>
      </c>
      <c r="BR1457" s="1039">
        <f t="shared" si="3313"/>
        <v>5.6250000000000001E-2</v>
      </c>
      <c r="BS1457" s="1039">
        <f t="shared" si="3313"/>
        <v>5.6250000000000001E-2</v>
      </c>
      <c r="BT1457" s="3255">
        <f t="shared" si="3313"/>
        <v>5.6250000000000001E-2</v>
      </c>
      <c r="BU1457" s="3307">
        <f t="shared" si="3312"/>
        <v>5.6250000000000001E-2</v>
      </c>
      <c r="BV1457" s="3307">
        <f t="shared" si="3312"/>
        <v>5.6250000000000001E-2</v>
      </c>
      <c r="BW1457" s="3307">
        <f t="shared" si="3312"/>
        <v>5.6250000000000001E-2</v>
      </c>
      <c r="BX1457" s="3307">
        <f t="shared" si="3312"/>
        <v>5.6250000000000001E-2</v>
      </c>
      <c r="BY1457" s="3255">
        <f>+BX1457</f>
        <v>5.6250000000000001E-2</v>
      </c>
      <c r="BZ1457" s="1036">
        <f t="shared" si="3313"/>
        <v>5.6250000000000001E-2</v>
      </c>
      <c r="CA1457" s="1036">
        <f t="shared" si="3313"/>
        <v>5.6250000000000001E-2</v>
      </c>
      <c r="CB1457" s="1036"/>
      <c r="CC1457" s="1036"/>
      <c r="CD1457" s="1036"/>
      <c r="CE1457" s="1036"/>
      <c r="CF1457" s="1036"/>
      <c r="CG1457" s="980"/>
      <c r="CH1457" s="980"/>
      <c r="CI1457" s="980"/>
      <c r="CJ1457" s="980"/>
      <c r="CK1457" s="980"/>
      <c r="CL1457" s="995"/>
      <c r="CM1457" s="1039"/>
      <c r="CN1457" s="1039"/>
      <c r="CO1457" s="1039"/>
      <c r="CP1457" s="1039"/>
      <c r="CQ1457" s="1039"/>
      <c r="CR1457" s="1039"/>
      <c r="CS1457" s="1039"/>
      <c r="CT1457" s="1039"/>
      <c r="CU1457" s="1039"/>
      <c r="CV1457" s="1039"/>
      <c r="CW1457" s="1039"/>
      <c r="CX1457" s="1039"/>
      <c r="CY1457" s="1039"/>
      <c r="CZ1457" s="1039"/>
      <c r="DA1457" s="1039"/>
      <c r="DB1457" s="1039"/>
      <c r="DC1457" s="1674"/>
      <c r="DD1457" s="980"/>
      <c r="DE1457" s="980"/>
      <c r="DF1457" s="981"/>
      <c r="DG1457" s="981"/>
      <c r="DH1457" s="3307"/>
      <c r="DI1457" s="3213"/>
      <c r="DJ1457" s="981"/>
      <c r="DK1457" s="981"/>
      <c r="DL1457" s="981"/>
      <c r="DM1457" s="981"/>
      <c r="DN1457" s="981"/>
      <c r="DO1457" s="981"/>
      <c r="DP1457" s="981"/>
      <c r="DQ1457" s="981"/>
      <c r="DR1457" s="630"/>
      <c r="DS1457" s="630"/>
      <c r="DT1457" s="630"/>
      <c r="DU1457"/>
      <c r="DV1457"/>
      <c r="DW1457"/>
      <c r="DX1457"/>
      <c r="DY1457"/>
      <c r="DZ1457"/>
    </row>
    <row r="1458" spans="1:130" ht="12" customHeight="1" x14ac:dyDescent="0.25">
      <c r="A1458" s="2576" t="s">
        <v>2537</v>
      </c>
      <c r="B1458" s="627">
        <v>2.2499999999999999E-2</v>
      </c>
      <c r="C1458" s="1033"/>
      <c r="D1458" s="1033"/>
      <c r="E1458" s="1033"/>
      <c r="F1458" s="1033"/>
      <c r="G1458" s="1034"/>
      <c r="H1458" s="1033"/>
      <c r="I1458" s="1033"/>
      <c r="J1458" s="1033"/>
      <c r="K1458" s="1033"/>
      <c r="L1458" s="1034"/>
      <c r="M1458" s="1033"/>
      <c r="N1458" s="1033"/>
      <c r="O1458" s="1033"/>
      <c r="P1458" s="1033"/>
      <c r="Q1458" s="1034"/>
      <c r="R1458" s="1033"/>
      <c r="S1458" s="1033"/>
      <c r="T1458" s="1033"/>
      <c r="U1458" s="1033"/>
      <c r="V1458" s="1034"/>
      <c r="W1458" s="1033"/>
      <c r="X1458" s="1033"/>
      <c r="Y1458" s="1033"/>
      <c r="Z1458" s="1033"/>
      <c r="AA1458" s="1034"/>
      <c r="AB1458" s="1033"/>
      <c r="AC1458" s="1033"/>
      <c r="AD1458" s="1035"/>
      <c r="AE1458" s="1037"/>
      <c r="AF1458" s="1036"/>
      <c r="AG1458" s="1037"/>
      <c r="AH1458" s="1037"/>
      <c r="AI1458" s="1037"/>
      <c r="AJ1458" s="1037"/>
      <c r="AK1458" s="1036"/>
      <c r="AL1458" s="1037"/>
      <c r="AM1458" s="1037"/>
      <c r="AN1458" s="1037"/>
      <c r="AO1458" s="1037"/>
      <c r="AP1458" s="1038"/>
      <c r="AQ1458" s="1038"/>
      <c r="AR1458" s="1039"/>
      <c r="AS1458" s="1039"/>
      <c r="AT1458" s="1039"/>
      <c r="AU1458" s="1036"/>
      <c r="AV1458" s="1038"/>
      <c r="AW1458" s="1039"/>
      <c r="AX1458" s="1039"/>
      <c r="AY1458" s="1674">
        <f>+AY1442+$B1458</f>
        <v>2.4999999999999998E-2</v>
      </c>
      <c r="AZ1458" s="1036">
        <f>+AY1458</f>
        <v>2.4999999999999998E-2</v>
      </c>
      <c r="BA1458" s="1038">
        <f t="shared" ref="BA1458:BI1458" si="3314">+BA1442+$B1458</f>
        <v>2.4999999999999998E-2</v>
      </c>
      <c r="BB1458" s="1039">
        <f t="shared" si="3314"/>
        <v>2.4999999999999998E-2</v>
      </c>
      <c r="BC1458" s="1039">
        <f t="shared" si="3314"/>
        <v>2.4999999999999998E-2</v>
      </c>
      <c r="BD1458" s="1039">
        <f t="shared" si="3314"/>
        <v>2.4999999999999998E-2</v>
      </c>
      <c r="BE1458" s="1036">
        <f t="shared" si="3314"/>
        <v>2.4999999999999998E-2</v>
      </c>
      <c r="BF1458" s="1039">
        <f t="shared" si="3314"/>
        <v>2.5749999999999999E-2</v>
      </c>
      <c r="BG1458" s="1039">
        <f t="shared" si="3314"/>
        <v>2.5749999999999999E-2</v>
      </c>
      <c r="BH1458" s="1039">
        <f t="shared" si="3314"/>
        <v>2.5749999999999999E-2</v>
      </c>
      <c r="BI1458" s="1039">
        <f t="shared" si="3314"/>
        <v>2.8249999999999997E-2</v>
      </c>
      <c r="BJ1458" s="1036">
        <f t="shared" ref="BJ1458:BO1458" si="3315">+BJ1442+$B1458</f>
        <v>2.6374999999999999E-2</v>
      </c>
      <c r="BK1458" s="1039">
        <f t="shared" si="3315"/>
        <v>2.5749999999999999E-2</v>
      </c>
      <c r="BL1458" s="1039">
        <f t="shared" si="3315"/>
        <v>2.8749999999999998E-2</v>
      </c>
      <c r="BM1458" s="1039">
        <f t="shared" si="3315"/>
        <v>2.8749999999999998E-2</v>
      </c>
      <c r="BN1458" s="1039">
        <f t="shared" si="3315"/>
        <v>3.125E-2</v>
      </c>
      <c r="BO1458" s="1036">
        <f t="shared" si="3315"/>
        <v>2.8624999999999998E-2</v>
      </c>
      <c r="BP1458" s="1039">
        <f t="shared" ref="BP1458:CF1458" si="3316">+BP1442+$B1458</f>
        <v>3.125E-2</v>
      </c>
      <c r="BQ1458" s="1039">
        <f t="shared" si="3316"/>
        <v>3.125E-2</v>
      </c>
      <c r="BR1458" s="1039">
        <f t="shared" si="3316"/>
        <v>3.3750000000000002E-2</v>
      </c>
      <c r="BS1458" s="1039">
        <f t="shared" si="3316"/>
        <v>3.6249999999999998E-2</v>
      </c>
      <c r="BT1458" s="3255">
        <f t="shared" si="3316"/>
        <v>3.3125000000000002E-2</v>
      </c>
      <c r="BU1458" s="3307">
        <f>+BU1442+$B1458</f>
        <v>4.1249999999999995E-2</v>
      </c>
      <c r="BV1458" s="3307">
        <f>+BV1442+$B1458</f>
        <v>4.3749999999999997E-2</v>
      </c>
      <c r="BW1458" s="3307">
        <f>+BW1442+$B1458</f>
        <v>4.6249999999999999E-2</v>
      </c>
      <c r="BX1458" s="3307">
        <f>+BX1442+$B1458</f>
        <v>4.8750000000000002E-2</v>
      </c>
      <c r="BY1458" s="3255">
        <f>+BY1442+$B1458</f>
        <v>4.4999999999999998E-2</v>
      </c>
      <c r="BZ1458" s="1036">
        <f t="shared" si="3316"/>
        <v>5.1249999999999997E-2</v>
      </c>
      <c r="CA1458" s="1036">
        <f t="shared" si="3316"/>
        <v>5.3749999999999992E-2</v>
      </c>
      <c r="CB1458" s="1036">
        <f t="shared" si="3316"/>
        <v>5.3749999999999992E-2</v>
      </c>
      <c r="CC1458" s="1036">
        <f t="shared" si="3316"/>
        <v>5.3749999999999992E-2</v>
      </c>
      <c r="CD1458" s="1036">
        <f t="shared" si="3316"/>
        <v>5.3749999999999992E-2</v>
      </c>
      <c r="CE1458" s="1036">
        <f t="shared" si="3316"/>
        <v>5.3749999999999992E-2</v>
      </c>
      <c r="CF1458" s="1036">
        <f t="shared" si="3316"/>
        <v>5.3749999999999992E-2</v>
      </c>
      <c r="CG1458" s="980"/>
      <c r="CH1458" s="980"/>
      <c r="CI1458" s="980"/>
      <c r="CJ1458" s="980"/>
      <c r="CK1458" s="980"/>
      <c r="CL1458" s="995"/>
      <c r="CM1458" s="1039"/>
      <c r="CN1458" s="1039"/>
      <c r="CO1458" s="1039"/>
      <c r="CP1458" s="1039"/>
      <c r="CQ1458" s="1039"/>
      <c r="CR1458" s="1039"/>
      <c r="CS1458" s="1039"/>
      <c r="CT1458" s="1039"/>
      <c r="CU1458" s="1039"/>
      <c r="CV1458" s="1039"/>
      <c r="CW1458" s="1039"/>
      <c r="CX1458" s="1039"/>
      <c r="CY1458" s="1039"/>
      <c r="CZ1458" s="1039"/>
      <c r="DA1458" s="1039"/>
      <c r="DB1458" s="1039"/>
      <c r="DC1458" s="1674"/>
      <c r="DD1458" s="980"/>
      <c r="DE1458" s="980"/>
      <c r="DF1458" s="981"/>
      <c r="DG1458" s="981"/>
      <c r="DH1458" s="3307"/>
      <c r="DI1458" s="3213"/>
      <c r="DJ1458" s="981"/>
      <c r="DK1458" s="981"/>
      <c r="DL1458" s="981"/>
      <c r="DM1458" s="981"/>
      <c r="DN1458" s="981"/>
      <c r="DO1458" s="981"/>
      <c r="DP1458" s="981"/>
      <c r="DQ1458" s="981"/>
      <c r="DR1458" s="630"/>
      <c r="DS1458" s="630"/>
      <c r="DT1458" s="630"/>
    </row>
    <row r="1459" spans="1:130" ht="12" customHeight="1" x14ac:dyDescent="0.25">
      <c r="A1459" s="2576" t="s">
        <v>2538</v>
      </c>
      <c r="B1459" s="627">
        <v>2.2499999999999999E-2</v>
      </c>
      <c r="C1459" s="1033"/>
      <c r="D1459" s="1033"/>
      <c r="E1459" s="1033"/>
      <c r="F1459" s="1033"/>
      <c r="G1459" s="1034"/>
      <c r="H1459" s="1033"/>
      <c r="I1459" s="1033"/>
      <c r="J1459" s="1033"/>
      <c r="K1459" s="1033"/>
      <c r="L1459" s="1034"/>
      <c r="M1459" s="1033"/>
      <c r="N1459" s="1033"/>
      <c r="O1459" s="1033"/>
      <c r="P1459" s="1033"/>
      <c r="Q1459" s="1034"/>
      <c r="R1459" s="1033"/>
      <c r="S1459" s="1033"/>
      <c r="T1459" s="1033"/>
      <c r="U1459" s="1033"/>
      <c r="V1459" s="1034"/>
      <c r="W1459" s="1033"/>
      <c r="X1459" s="1033"/>
      <c r="Y1459" s="1033"/>
      <c r="Z1459" s="1033"/>
      <c r="AA1459" s="1034"/>
      <c r="AB1459" s="1033"/>
      <c r="AC1459" s="1033"/>
      <c r="AD1459" s="1035"/>
      <c r="AE1459" s="1037"/>
      <c r="AF1459" s="1036"/>
      <c r="AG1459" s="1037"/>
      <c r="AH1459" s="1037"/>
      <c r="AI1459" s="1037"/>
      <c r="AJ1459" s="1037"/>
      <c r="AK1459" s="1036"/>
      <c r="AL1459" s="1037"/>
      <c r="AM1459" s="1037"/>
      <c r="AN1459" s="1037"/>
      <c r="AO1459" s="1037"/>
      <c r="AP1459" s="1038"/>
      <c r="AQ1459" s="1038"/>
      <c r="AR1459" s="1039"/>
      <c r="AS1459" s="1039"/>
      <c r="AT1459" s="1039"/>
      <c r="AU1459" s="1036"/>
      <c r="AV1459" s="1038"/>
      <c r="AW1459" s="1039"/>
      <c r="AX1459" s="1039"/>
      <c r="AY1459" s="1674">
        <f>+AY1442+$B1459</f>
        <v>2.4999999999999998E-2</v>
      </c>
      <c r="AZ1459" s="1036">
        <f>+AY1459</f>
        <v>2.4999999999999998E-2</v>
      </c>
      <c r="BA1459" s="1038">
        <f t="shared" ref="BA1459:BI1459" si="3317">+BA1442+$B1459</f>
        <v>2.4999999999999998E-2</v>
      </c>
      <c r="BB1459" s="1039">
        <f t="shared" si="3317"/>
        <v>2.4999999999999998E-2</v>
      </c>
      <c r="BC1459" s="1039">
        <f t="shared" si="3317"/>
        <v>2.4999999999999998E-2</v>
      </c>
      <c r="BD1459" s="1039">
        <f t="shared" si="3317"/>
        <v>2.4999999999999998E-2</v>
      </c>
      <c r="BE1459" s="1036">
        <f t="shared" si="3317"/>
        <v>2.4999999999999998E-2</v>
      </c>
      <c r="BF1459" s="1039">
        <f t="shared" si="3317"/>
        <v>2.5749999999999999E-2</v>
      </c>
      <c r="BG1459" s="1039">
        <f t="shared" si="3317"/>
        <v>2.5749999999999999E-2</v>
      </c>
      <c r="BH1459" s="1039">
        <f t="shared" si="3317"/>
        <v>2.5749999999999999E-2</v>
      </c>
      <c r="BI1459" s="1039">
        <f t="shared" si="3317"/>
        <v>2.8249999999999997E-2</v>
      </c>
      <c r="BJ1459" s="1036">
        <f t="shared" ref="BJ1459:BO1459" si="3318">+BJ1442+$B1459</f>
        <v>2.6374999999999999E-2</v>
      </c>
      <c r="BK1459" s="1039">
        <f t="shared" si="3318"/>
        <v>2.5749999999999999E-2</v>
      </c>
      <c r="BL1459" s="1039">
        <f t="shared" si="3318"/>
        <v>2.8749999999999998E-2</v>
      </c>
      <c r="BM1459" s="1039">
        <f t="shared" si="3318"/>
        <v>2.8749999999999998E-2</v>
      </c>
      <c r="BN1459" s="1039">
        <f t="shared" si="3318"/>
        <v>3.125E-2</v>
      </c>
      <c r="BO1459" s="1036">
        <f t="shared" si="3318"/>
        <v>2.8624999999999998E-2</v>
      </c>
      <c r="BP1459" s="1039">
        <f t="shared" ref="BP1459:CF1459" si="3319">+BP1442+$B1459</f>
        <v>3.125E-2</v>
      </c>
      <c r="BQ1459" s="1039">
        <f t="shared" si="3319"/>
        <v>3.125E-2</v>
      </c>
      <c r="BR1459" s="1039">
        <f t="shared" si="3319"/>
        <v>3.3750000000000002E-2</v>
      </c>
      <c r="BS1459" s="1039">
        <f t="shared" si="3319"/>
        <v>3.6249999999999998E-2</v>
      </c>
      <c r="BT1459" s="3255">
        <f t="shared" si="3319"/>
        <v>3.3125000000000002E-2</v>
      </c>
      <c r="BU1459" s="3307">
        <f>+BU1442+$B1459</f>
        <v>4.1249999999999995E-2</v>
      </c>
      <c r="BV1459" s="3307">
        <f>+BV1442+$B1459</f>
        <v>4.3749999999999997E-2</v>
      </c>
      <c r="BW1459" s="3307">
        <f>+BW1442+$B1459</f>
        <v>4.6249999999999999E-2</v>
      </c>
      <c r="BX1459" s="3307">
        <f>+BX1442+$B1459</f>
        <v>4.8750000000000002E-2</v>
      </c>
      <c r="BY1459" s="3255">
        <f>+BY1442+$B1459</f>
        <v>4.4999999999999998E-2</v>
      </c>
      <c r="BZ1459" s="1036">
        <f t="shared" si="3319"/>
        <v>5.1249999999999997E-2</v>
      </c>
      <c r="CA1459" s="1036">
        <f t="shared" si="3319"/>
        <v>5.3749999999999992E-2</v>
      </c>
      <c r="CB1459" s="1036">
        <f t="shared" si="3319"/>
        <v>5.3749999999999992E-2</v>
      </c>
      <c r="CC1459" s="1036">
        <f t="shared" si="3319"/>
        <v>5.3749999999999992E-2</v>
      </c>
      <c r="CD1459" s="1036">
        <f t="shared" si="3319"/>
        <v>5.3749999999999992E-2</v>
      </c>
      <c r="CE1459" s="1036">
        <f t="shared" si="3319"/>
        <v>5.3749999999999992E-2</v>
      </c>
      <c r="CF1459" s="1036">
        <f t="shared" si="3319"/>
        <v>5.3749999999999992E-2</v>
      </c>
      <c r="CG1459" s="980"/>
      <c r="CH1459" s="980"/>
      <c r="CI1459" s="980"/>
      <c r="CJ1459" s="980"/>
      <c r="CK1459" s="980"/>
      <c r="CL1459" s="995"/>
      <c r="CM1459" s="1039"/>
      <c r="CN1459" s="1039"/>
      <c r="CO1459" s="1039"/>
      <c r="CP1459" s="1039"/>
      <c r="CQ1459" s="1039"/>
      <c r="CR1459" s="1039"/>
      <c r="CS1459" s="1039"/>
      <c r="CT1459" s="1039"/>
      <c r="CU1459" s="1039"/>
      <c r="CV1459" s="1039"/>
      <c r="CW1459" s="1039"/>
      <c r="CX1459" s="1039"/>
      <c r="CY1459" s="1039"/>
      <c r="CZ1459" s="1039"/>
      <c r="DA1459" s="1039"/>
      <c r="DB1459" s="1039"/>
      <c r="DC1459" s="1674"/>
      <c r="DD1459" s="980"/>
      <c r="DE1459" s="980"/>
      <c r="DF1459" s="981"/>
      <c r="DG1459" s="981"/>
      <c r="DH1459" s="3307"/>
      <c r="DI1459" s="3213"/>
      <c r="DJ1459" s="981"/>
      <c r="DK1459" s="981"/>
      <c r="DL1459" s="981"/>
      <c r="DM1459" s="981"/>
      <c r="DN1459" s="981"/>
      <c r="DO1459" s="981"/>
      <c r="DP1459" s="981"/>
      <c r="DQ1459" s="981"/>
      <c r="DR1459" s="630"/>
      <c r="DS1459" s="630"/>
      <c r="DT1459" s="630"/>
    </row>
    <row r="1460" spans="1:130" ht="12" customHeight="1" x14ac:dyDescent="0.25">
      <c r="A1460" s="2576" t="s">
        <v>2539</v>
      </c>
      <c r="B1460" s="627">
        <v>2.5000000000000001E-2</v>
      </c>
      <c r="C1460" s="1033"/>
      <c r="D1460" s="1033"/>
      <c r="E1460" s="1033"/>
      <c r="F1460" s="1033"/>
      <c r="G1460" s="1034"/>
      <c r="H1460" s="1033"/>
      <c r="I1460" s="1033"/>
      <c r="J1460" s="1033"/>
      <c r="K1460" s="1033"/>
      <c r="L1460" s="1034"/>
      <c r="M1460" s="1033"/>
      <c r="N1460" s="1033"/>
      <c r="O1460" s="1033"/>
      <c r="P1460" s="1033"/>
      <c r="Q1460" s="1034"/>
      <c r="R1460" s="1033"/>
      <c r="S1460" s="1033"/>
      <c r="T1460" s="1033"/>
      <c r="U1460" s="1033"/>
      <c r="V1460" s="1034"/>
      <c r="W1460" s="1033"/>
      <c r="X1460" s="1033"/>
      <c r="Y1460" s="1033"/>
      <c r="Z1460" s="1033"/>
      <c r="AA1460" s="1034"/>
      <c r="AB1460" s="1033"/>
      <c r="AC1460" s="1033"/>
      <c r="AD1460" s="1035"/>
      <c r="AE1460" s="1037"/>
      <c r="AF1460" s="1036"/>
      <c r="AG1460" s="1037"/>
      <c r="AH1460" s="1037"/>
      <c r="AI1460" s="1037"/>
      <c r="AJ1460" s="1037"/>
      <c r="AK1460" s="1036"/>
      <c r="AL1460" s="1037"/>
      <c r="AM1460" s="1037"/>
      <c r="AN1460" s="1037"/>
      <c r="AO1460" s="1037"/>
      <c r="AP1460" s="1038"/>
      <c r="AQ1460" s="1038"/>
      <c r="AR1460" s="1039"/>
      <c r="AS1460" s="1039"/>
      <c r="AT1460" s="1039"/>
      <c r="AU1460" s="1036"/>
      <c r="AV1460" s="1038"/>
      <c r="AW1460" s="1039"/>
      <c r="AX1460" s="1039"/>
      <c r="AY1460" s="1674">
        <f>MAX(AY1442,0.0075)+$B1460</f>
        <v>3.2500000000000001E-2</v>
      </c>
      <c r="AZ1460" s="1036">
        <f>+AY1460</f>
        <v>3.2500000000000001E-2</v>
      </c>
      <c r="BA1460" s="1038">
        <f t="shared" ref="BA1460:BI1460" si="3320">MAX(BA1442,0.0075)+$B1460</f>
        <v>3.2500000000000001E-2</v>
      </c>
      <c r="BB1460" s="1039">
        <f t="shared" si="3320"/>
        <v>3.2500000000000001E-2</v>
      </c>
      <c r="BC1460" s="1039">
        <f t="shared" si="3320"/>
        <v>3.2500000000000001E-2</v>
      </c>
      <c r="BD1460" s="1039">
        <f t="shared" si="3320"/>
        <v>3.2500000000000001E-2</v>
      </c>
      <c r="BE1460" s="1036">
        <f t="shared" si="3320"/>
        <v>3.2500000000000001E-2</v>
      </c>
      <c r="BF1460" s="1039">
        <f t="shared" si="3320"/>
        <v>3.2500000000000001E-2</v>
      </c>
      <c r="BG1460" s="1039">
        <f t="shared" si="3320"/>
        <v>3.2500000000000001E-2</v>
      </c>
      <c r="BH1460" s="1039">
        <f t="shared" si="3320"/>
        <v>3.2500000000000001E-2</v>
      </c>
      <c r="BI1460" s="1039">
        <f t="shared" si="3320"/>
        <v>3.2500000000000001E-2</v>
      </c>
      <c r="BJ1460" s="1036">
        <f t="shared" ref="BJ1460:BO1460" si="3321">MAX(BJ1442,0.0075)+$B1460</f>
        <v>3.2500000000000001E-2</v>
      </c>
      <c r="BK1460" s="1039">
        <f t="shared" si="3321"/>
        <v>3.2500000000000001E-2</v>
      </c>
      <c r="BL1460" s="1039">
        <f t="shared" si="3321"/>
        <v>3.2500000000000001E-2</v>
      </c>
      <c r="BM1460" s="1039">
        <f t="shared" si="3321"/>
        <v>3.2500000000000001E-2</v>
      </c>
      <c r="BN1460" s="1039">
        <f t="shared" si="3321"/>
        <v>3.3750000000000002E-2</v>
      </c>
      <c r="BO1460" s="1036">
        <f t="shared" si="3321"/>
        <v>3.2500000000000001E-2</v>
      </c>
      <c r="BP1460" s="1039">
        <f t="shared" ref="BP1460:CF1460" si="3322">MAX(BP1442,0.0075)+$B1460</f>
        <v>3.3750000000000002E-2</v>
      </c>
      <c r="BQ1460" s="1039">
        <f t="shared" si="3322"/>
        <v>3.3750000000000002E-2</v>
      </c>
      <c r="BR1460" s="1039">
        <f t="shared" si="3322"/>
        <v>3.6250000000000004E-2</v>
      </c>
      <c r="BS1460" s="1039">
        <f t="shared" si="3322"/>
        <v>3.875E-2</v>
      </c>
      <c r="BT1460" s="3255">
        <f t="shared" si="3322"/>
        <v>3.5625000000000004E-2</v>
      </c>
      <c r="BU1460" s="3307">
        <f t="shared" si="3322"/>
        <v>4.3749999999999997E-2</v>
      </c>
      <c r="BV1460" s="3307">
        <f t="shared" si="3322"/>
        <v>4.6249999999999999E-2</v>
      </c>
      <c r="BW1460" s="3307">
        <f t="shared" si="3322"/>
        <v>4.8750000000000002E-2</v>
      </c>
      <c r="BX1460" s="3307">
        <f t="shared" si="3322"/>
        <v>5.1250000000000004E-2</v>
      </c>
      <c r="BY1460" s="3255">
        <f t="shared" si="3322"/>
        <v>4.7500000000000001E-2</v>
      </c>
      <c r="BZ1460" s="1036">
        <f t="shared" si="3322"/>
        <v>5.3749999999999999E-2</v>
      </c>
      <c r="CA1460" s="1036">
        <f t="shared" si="3322"/>
        <v>5.6249999999999994E-2</v>
      </c>
      <c r="CB1460" s="1036">
        <f t="shared" si="3322"/>
        <v>5.6249999999999994E-2</v>
      </c>
      <c r="CC1460" s="1036">
        <f t="shared" si="3322"/>
        <v>5.6249999999999994E-2</v>
      </c>
      <c r="CD1460" s="1036">
        <f t="shared" si="3322"/>
        <v>5.6249999999999994E-2</v>
      </c>
      <c r="CE1460" s="1036">
        <f t="shared" si="3322"/>
        <v>5.6249999999999994E-2</v>
      </c>
      <c r="CF1460" s="1036">
        <f t="shared" si="3322"/>
        <v>5.6249999999999994E-2</v>
      </c>
      <c r="CG1460" s="980"/>
      <c r="CH1460" s="980"/>
      <c r="CI1460" s="980"/>
      <c r="CJ1460" s="980"/>
      <c r="CK1460" s="980"/>
      <c r="CL1460" s="995"/>
      <c r="CM1460" s="1039"/>
      <c r="CN1460" s="1039"/>
      <c r="CO1460" s="1039"/>
      <c r="CP1460" s="1039"/>
      <c r="CQ1460" s="1039"/>
      <c r="CR1460" s="1039"/>
      <c r="CS1460" s="1039"/>
      <c r="CT1460" s="1039"/>
      <c r="CU1460" s="1039"/>
      <c r="CV1460" s="1039"/>
      <c r="CW1460" s="1039"/>
      <c r="CX1460" s="1039"/>
      <c r="CY1460" s="1039"/>
      <c r="CZ1460" s="1039"/>
      <c r="DA1460" s="1039"/>
      <c r="DB1460" s="1039"/>
      <c r="DC1460" s="1674"/>
      <c r="DD1460" s="980"/>
      <c r="DE1460" s="980"/>
      <c r="DF1460" s="981"/>
      <c r="DG1460" s="981"/>
      <c r="DH1460" s="3307"/>
      <c r="DI1460" s="3213"/>
      <c r="DJ1460" s="981"/>
      <c r="DK1460" s="981"/>
      <c r="DL1460" s="981"/>
      <c r="DM1460" s="981"/>
      <c r="DN1460" s="981"/>
      <c r="DO1460" s="981"/>
      <c r="DP1460" s="981"/>
      <c r="DQ1460" s="981"/>
      <c r="DR1460" s="630"/>
      <c r="DS1460" s="630"/>
      <c r="DT1460" s="630"/>
    </row>
    <row r="1461" spans="1:130" ht="12" customHeight="1" x14ac:dyDescent="0.25">
      <c r="A1461" s="2576" t="s">
        <v>2648</v>
      </c>
      <c r="B1461" s="634">
        <v>0.02</v>
      </c>
      <c r="C1461" s="1033"/>
      <c r="D1461" s="1033"/>
      <c r="E1461" s="1033"/>
      <c r="F1461" s="1033"/>
      <c r="G1461" s="1034"/>
      <c r="H1461" s="1033"/>
      <c r="I1461" s="1033"/>
      <c r="J1461" s="1033"/>
      <c r="K1461" s="1033"/>
      <c r="L1461" s="1034"/>
      <c r="M1461" s="1033"/>
      <c r="N1461" s="1033"/>
      <c r="O1461" s="1033"/>
      <c r="P1461" s="1033"/>
      <c r="Q1461" s="1034"/>
      <c r="R1461" s="1033"/>
      <c r="S1461" s="1033"/>
      <c r="T1461" s="1033"/>
      <c r="U1461" s="1033"/>
      <c r="V1461" s="1034"/>
      <c r="W1461" s="1033"/>
      <c r="X1461" s="1033"/>
      <c r="Y1461" s="1033"/>
      <c r="Z1461" s="1033"/>
      <c r="AA1461" s="1034"/>
      <c r="AB1461" s="1033"/>
      <c r="AC1461" s="1033"/>
      <c r="AD1461" s="1035"/>
      <c r="AE1461" s="1037"/>
      <c r="AF1461" s="1036"/>
      <c r="AG1461" s="1037"/>
      <c r="AH1461" s="1037"/>
      <c r="AI1461" s="1037"/>
      <c r="AJ1461" s="1037"/>
      <c r="AK1461" s="1036"/>
      <c r="AL1461" s="1037"/>
      <c r="AM1461" s="1037"/>
      <c r="AN1461" s="1037"/>
      <c r="AO1461" s="1037"/>
      <c r="AP1461" s="1038"/>
      <c r="AQ1461" s="1038"/>
      <c r="AR1461" s="1039"/>
      <c r="AS1461" s="1039"/>
      <c r="AT1461" s="1039"/>
      <c r="AU1461" s="1036"/>
      <c r="AV1461" s="1038"/>
      <c r="AW1461" s="1039"/>
      <c r="AX1461" s="1039"/>
      <c r="AY1461" s="1674"/>
      <c r="AZ1461" s="1036"/>
      <c r="BA1461" s="1038"/>
      <c r="BB1461" s="1039"/>
      <c r="BC1461" s="1039"/>
      <c r="BD1461" s="1039"/>
      <c r="BE1461" s="1036"/>
      <c r="BF1461" s="1039"/>
      <c r="BG1461" s="1039"/>
      <c r="BH1461" s="1039"/>
      <c r="BI1461" s="1039"/>
      <c r="BJ1461" s="1036"/>
      <c r="BK1461" s="1039"/>
      <c r="BL1461" s="1039"/>
      <c r="BM1461" s="1039"/>
      <c r="BN1461" s="1039"/>
      <c r="BO1461" s="1036"/>
      <c r="BP1461" s="1039"/>
      <c r="BQ1461" s="1039"/>
      <c r="BR1461" s="1039"/>
      <c r="BS1461" s="1039"/>
      <c r="BT1461" s="3255"/>
      <c r="BU1461" s="3307"/>
      <c r="BV1461" s="3307"/>
      <c r="BW1461" s="3307">
        <f>MAX(BW1442,0.0075)+$B1461</f>
        <v>4.3749999999999997E-2</v>
      </c>
      <c r="BX1461" s="3307">
        <f>MAX(BX1442,0.0075)+$B1461</f>
        <v>4.6249999999999999E-2</v>
      </c>
      <c r="BY1461" s="3255">
        <f>MAX(BY1442,0.0075)+$B1461</f>
        <v>4.2499999999999996E-2</v>
      </c>
      <c r="BZ1461" s="1036">
        <f>MAX(BZ1442,0.0075)+$B1461</f>
        <v>4.8750000000000002E-2</v>
      </c>
      <c r="CA1461" s="1036">
        <f>MAX(CA1442,0.0075)+$B1461</f>
        <v>5.1249999999999997E-2</v>
      </c>
      <c r="CB1461" s="1036"/>
      <c r="CC1461" s="1036"/>
      <c r="CD1461" s="1036"/>
      <c r="CE1461" s="1036"/>
      <c r="CF1461" s="1036"/>
      <c r="CG1461" s="980"/>
      <c r="CH1461" s="980"/>
      <c r="CI1461" s="980"/>
      <c r="CJ1461" s="980"/>
      <c r="CK1461" s="980"/>
      <c r="CL1461" s="995"/>
      <c r="CM1461" s="1039"/>
      <c r="CN1461" s="1039"/>
      <c r="CO1461" s="1039"/>
      <c r="CP1461" s="1039"/>
      <c r="CQ1461" s="1039"/>
      <c r="CR1461" s="1039"/>
      <c r="CS1461" s="1039"/>
      <c r="CT1461" s="1039"/>
      <c r="CU1461" s="1039"/>
      <c r="CV1461" s="1039"/>
      <c r="CW1461" s="1039"/>
      <c r="CX1461" s="1039"/>
      <c r="CY1461" s="1039"/>
      <c r="CZ1461" s="1039"/>
      <c r="DA1461" s="1039"/>
      <c r="DB1461" s="1039"/>
      <c r="DC1461" s="1674"/>
      <c r="DD1461" s="980"/>
      <c r="DE1461" s="980"/>
      <c r="DF1461" s="981"/>
      <c r="DG1461" s="981"/>
      <c r="DH1461" s="3307"/>
      <c r="DI1461" s="3213"/>
      <c r="DJ1461" s="981"/>
      <c r="DK1461" s="981"/>
      <c r="DL1461" s="981"/>
      <c r="DM1461" s="981"/>
      <c r="DN1461" s="981"/>
      <c r="DO1461" s="981"/>
      <c r="DP1461" s="981"/>
      <c r="DQ1461" s="981"/>
      <c r="DR1461" s="630"/>
      <c r="DS1461" s="630"/>
      <c r="DT1461" s="630"/>
    </row>
    <row r="1462" spans="1:130" ht="12" customHeight="1" x14ac:dyDescent="0.25">
      <c r="A1462" s="355"/>
      <c r="B1462" s="634"/>
      <c r="C1462" s="1033"/>
      <c r="D1462" s="1033"/>
      <c r="E1462" s="1033"/>
      <c r="F1462" s="1033"/>
      <c r="G1462" s="1034"/>
      <c r="H1462" s="1033"/>
      <c r="I1462" s="1033"/>
      <c r="J1462" s="1033"/>
      <c r="K1462" s="1033"/>
      <c r="L1462" s="1034"/>
      <c r="M1462" s="1033"/>
      <c r="N1462" s="1033"/>
      <c r="O1462" s="1033"/>
      <c r="P1462" s="1033"/>
      <c r="Q1462" s="1034"/>
      <c r="R1462" s="1033"/>
      <c r="S1462" s="1033"/>
      <c r="T1462" s="1033"/>
      <c r="U1462" s="1033"/>
      <c r="V1462" s="1034"/>
      <c r="W1462" s="1033"/>
      <c r="X1462" s="1033"/>
      <c r="Y1462" s="1033"/>
      <c r="Z1462" s="1033"/>
      <c r="AA1462" s="1034"/>
      <c r="AB1462" s="1033"/>
      <c r="AC1462" s="1033"/>
      <c r="AD1462" s="1035"/>
      <c r="AE1462" s="1037"/>
      <c r="AF1462" s="1036"/>
      <c r="AG1462" s="1037"/>
      <c r="AH1462" s="1037"/>
      <c r="AI1462" s="1037"/>
      <c r="AJ1462" s="1037"/>
      <c r="AK1462" s="1036"/>
      <c r="AL1462" s="1037"/>
      <c r="AM1462" s="1037"/>
      <c r="AN1462" s="1037"/>
      <c r="AO1462" s="1037"/>
      <c r="AP1462" s="1038"/>
      <c r="AQ1462" s="1038"/>
      <c r="AR1462" s="1039"/>
      <c r="AS1462" s="1039"/>
      <c r="AT1462" s="1039"/>
      <c r="AU1462" s="1036"/>
      <c r="AV1462" s="1038"/>
      <c r="AW1462" s="1039"/>
      <c r="AX1462" s="1039"/>
      <c r="AY1462" s="2494"/>
      <c r="AZ1462" s="1036"/>
      <c r="BA1462" s="1038"/>
      <c r="BB1462" s="1039"/>
      <c r="BC1462" s="1039"/>
      <c r="BD1462" s="1039"/>
      <c r="BE1462" s="1036"/>
      <c r="BF1462" s="1039"/>
      <c r="BG1462" s="1039"/>
      <c r="BH1462" s="1039"/>
      <c r="BI1462" s="1039"/>
      <c r="BJ1462" s="1036"/>
      <c r="BK1462" s="1039"/>
      <c r="BL1462" s="1039"/>
      <c r="BM1462" s="1039"/>
      <c r="BN1462" s="1039"/>
      <c r="BO1462" s="1036"/>
      <c r="BP1462" s="1039"/>
      <c r="BQ1462" s="1039"/>
      <c r="BR1462" s="1039"/>
      <c r="BS1462" s="1039"/>
      <c r="BT1462" s="3255"/>
      <c r="BU1462" s="3307"/>
      <c r="BV1462" s="3307"/>
      <c r="BW1462" s="3307"/>
      <c r="BX1462" s="3307"/>
      <c r="BY1462" s="3255"/>
      <c r="BZ1462" s="1036"/>
      <c r="CA1462" s="1036"/>
      <c r="CB1462" s="1036"/>
      <c r="CC1462" s="1036"/>
      <c r="CD1462" s="1036"/>
      <c r="CE1462" s="1036"/>
      <c r="CF1462" s="1036"/>
      <c r="CG1462" s="980"/>
      <c r="CH1462" s="980"/>
      <c r="CI1462" s="980"/>
      <c r="CJ1462" s="980"/>
      <c r="CK1462" s="980"/>
      <c r="CL1462" s="995"/>
      <c r="CM1462" s="1039"/>
      <c r="CN1462" s="1039"/>
      <c r="CO1462" s="1039"/>
      <c r="CP1462" s="1039"/>
      <c r="CQ1462" s="1039"/>
      <c r="CR1462" s="1039"/>
      <c r="CS1462" s="1039"/>
      <c r="CT1462" s="1039"/>
      <c r="CU1462" s="1039"/>
      <c r="CV1462" s="1039"/>
      <c r="CW1462" s="1039"/>
      <c r="CX1462" s="1039"/>
      <c r="CY1462" s="1039"/>
      <c r="CZ1462" s="1039"/>
      <c r="DA1462" s="1039"/>
      <c r="DB1462" s="1039"/>
      <c r="DC1462" s="1674"/>
      <c r="DD1462" s="980"/>
      <c r="DE1462" s="980"/>
      <c r="DF1462" s="981"/>
      <c r="DG1462" s="981"/>
      <c r="DH1462" s="3307"/>
      <c r="DI1462" s="3213"/>
      <c r="DJ1462" s="981"/>
      <c r="DK1462" s="981"/>
      <c r="DL1462" s="981"/>
      <c r="DM1462" s="981"/>
      <c r="DN1462" s="981"/>
      <c r="DO1462" s="981"/>
      <c r="DP1462" s="981"/>
      <c r="DQ1462" s="981"/>
      <c r="DR1462" s="630"/>
      <c r="DS1462" s="630"/>
      <c r="DT1462" s="630"/>
    </row>
    <row r="1463" spans="1:130" ht="12" hidden="1" customHeight="1" outlineLevel="1" x14ac:dyDescent="0.25">
      <c r="A1463" s="2493" t="s">
        <v>156</v>
      </c>
      <c r="B1463" s="634"/>
      <c r="C1463" s="1033"/>
      <c r="D1463" s="1033"/>
      <c r="E1463" s="1033"/>
      <c r="F1463" s="1033"/>
      <c r="G1463" s="1034"/>
      <c r="H1463" s="1033"/>
      <c r="I1463" s="1033"/>
      <c r="J1463" s="1033"/>
      <c r="K1463" s="1033"/>
      <c r="L1463" s="1034"/>
      <c r="M1463" s="1033"/>
      <c r="N1463" s="1033"/>
      <c r="O1463" s="1033"/>
      <c r="P1463" s="1033"/>
      <c r="Q1463" s="1034"/>
      <c r="R1463" s="1033"/>
      <c r="S1463" s="1033"/>
      <c r="T1463" s="1033"/>
      <c r="U1463" s="1033"/>
      <c r="V1463" s="1034"/>
      <c r="W1463" s="1033"/>
      <c r="X1463" s="1033"/>
      <c r="Y1463" s="1033"/>
      <c r="Z1463" s="1033"/>
      <c r="AA1463" s="1034"/>
      <c r="AB1463" s="1033"/>
      <c r="AC1463" s="1033"/>
      <c r="AD1463" s="1035"/>
      <c r="AE1463" s="1037"/>
      <c r="AF1463" s="1036"/>
      <c r="AG1463" s="1037"/>
      <c r="AH1463" s="1037"/>
      <c r="AI1463" s="1037"/>
      <c r="AJ1463" s="1037"/>
      <c r="AK1463" s="1036"/>
      <c r="AL1463" s="1037"/>
      <c r="AM1463" s="1037"/>
      <c r="AN1463" s="1037"/>
      <c r="AO1463" s="1037"/>
      <c r="AP1463" s="1038"/>
      <c r="AQ1463" s="1038"/>
      <c r="AR1463" s="1039"/>
      <c r="AS1463" s="1039"/>
      <c r="AT1463" s="1039"/>
      <c r="AU1463" s="1036"/>
      <c r="AV1463" s="1038"/>
      <c r="AW1463" s="1039"/>
      <c r="AX1463" s="1039"/>
      <c r="AY1463" s="2494"/>
      <c r="AZ1463" s="1036"/>
      <c r="BA1463" s="1038"/>
      <c r="BB1463" s="1039"/>
      <c r="BC1463" s="1039"/>
      <c r="BD1463" s="1674"/>
      <c r="BE1463" s="1036"/>
      <c r="BF1463" s="1039"/>
      <c r="BG1463" s="1039"/>
      <c r="BH1463" s="1039"/>
      <c r="BI1463" s="1674"/>
      <c r="BJ1463" s="1036"/>
      <c r="BK1463" s="1039"/>
      <c r="BL1463" s="1039"/>
      <c r="BM1463" s="1039"/>
      <c r="BN1463" s="1674"/>
      <c r="BO1463" s="1036"/>
      <c r="BP1463" s="1039"/>
      <c r="BQ1463" s="1039"/>
      <c r="BR1463" s="1039"/>
      <c r="BS1463" s="1039"/>
      <c r="BT1463" s="3255"/>
      <c r="BU1463" s="3307"/>
      <c r="BV1463" s="3307"/>
      <c r="BW1463" s="3307"/>
      <c r="BX1463" s="3307"/>
      <c r="BY1463" s="3255"/>
      <c r="BZ1463" s="1036"/>
      <c r="CA1463" s="1036"/>
      <c r="CB1463" s="1036"/>
      <c r="CC1463" s="1036"/>
      <c r="CD1463" s="1036"/>
      <c r="CE1463" s="1036"/>
      <c r="CF1463" s="1036"/>
      <c r="CG1463" s="980"/>
      <c r="CH1463" s="980"/>
      <c r="CI1463" s="980"/>
      <c r="CJ1463" s="980"/>
      <c r="CK1463" s="980"/>
      <c r="CL1463" s="995"/>
      <c r="CM1463" s="1039"/>
      <c r="CN1463" s="1039"/>
      <c r="CO1463" s="1039"/>
      <c r="CP1463" s="1039"/>
      <c r="CQ1463" s="1039"/>
      <c r="CR1463" s="1039"/>
      <c r="CS1463" s="1039"/>
      <c r="CT1463" s="1039"/>
      <c r="CU1463" s="1039"/>
      <c r="CV1463" s="1039"/>
      <c r="CW1463" s="1039"/>
      <c r="CX1463" s="1039"/>
      <c r="CY1463" s="1039"/>
      <c r="CZ1463" s="1039"/>
      <c r="DA1463" s="1039"/>
      <c r="DB1463" s="1039"/>
      <c r="DC1463" s="1674"/>
      <c r="DD1463" s="980"/>
      <c r="DE1463" s="980"/>
      <c r="DF1463" s="981"/>
      <c r="DG1463" s="981"/>
      <c r="DH1463" s="3307"/>
      <c r="DI1463" s="3213"/>
      <c r="DJ1463" s="981"/>
      <c r="DK1463" s="981"/>
      <c r="DL1463" s="981"/>
      <c r="DM1463" s="981"/>
      <c r="DN1463" s="981"/>
      <c r="DO1463" s="981"/>
      <c r="DP1463" s="981"/>
      <c r="DQ1463" s="981"/>
      <c r="DR1463" s="630"/>
      <c r="DS1463" s="630"/>
      <c r="DT1463" s="630"/>
    </row>
    <row r="1464" spans="1:130" ht="12" hidden="1" customHeight="1" outlineLevel="1" x14ac:dyDescent="0.25">
      <c r="A1464" s="355" t="s">
        <v>1670</v>
      </c>
      <c r="B1464" s="627">
        <v>1.7500000000000002E-2</v>
      </c>
      <c r="C1464" s="1033"/>
      <c r="D1464" s="1033"/>
      <c r="E1464" s="1033"/>
      <c r="F1464" s="1033"/>
      <c r="G1464" s="1034"/>
      <c r="H1464" s="1033"/>
      <c r="I1464" s="1033"/>
      <c r="J1464" s="1033"/>
      <c r="K1464" s="1033"/>
      <c r="L1464" s="1034"/>
      <c r="M1464" s="1033"/>
      <c r="N1464" s="1033"/>
      <c r="O1464" s="1033"/>
      <c r="P1464" s="1033"/>
      <c r="Q1464" s="1034"/>
      <c r="R1464" s="1033"/>
      <c r="S1464" s="1033"/>
      <c r="T1464" s="1033"/>
      <c r="U1464" s="1033"/>
      <c r="V1464" s="1034"/>
      <c r="W1464" s="1033"/>
      <c r="X1464" s="1033"/>
      <c r="Y1464" s="1033"/>
      <c r="Z1464" s="1033"/>
      <c r="AA1464" s="1034"/>
      <c r="AB1464" s="1033"/>
      <c r="AC1464" s="1033"/>
      <c r="AD1464" s="1035"/>
      <c r="AE1464" s="1037"/>
      <c r="AF1464" s="1036"/>
      <c r="AG1464" s="1037"/>
      <c r="AH1464" s="1037"/>
      <c r="AI1464" s="1037"/>
      <c r="AJ1464" s="1037"/>
      <c r="AK1464" s="1036"/>
      <c r="AL1464" s="1037"/>
      <c r="AM1464" s="1037"/>
      <c r="AN1464" s="1037"/>
      <c r="AO1464" s="1037"/>
      <c r="AP1464" s="1038"/>
      <c r="AQ1464" s="1038"/>
      <c r="AR1464" s="1039"/>
      <c r="AS1464" s="1039"/>
      <c r="AT1464" s="1039"/>
      <c r="AU1464" s="1036"/>
      <c r="AV1464" s="1038"/>
      <c r="AW1464" s="1039"/>
      <c r="AX1464" s="1039"/>
      <c r="AY1464" s="1674">
        <f>+AY1442+$B$1464</f>
        <v>0.02</v>
      </c>
      <c r="AZ1464" s="1036">
        <f>+AZ$1442+$B1464</f>
        <v>0.02</v>
      </c>
      <c r="BA1464" s="1039">
        <f>+BA1442+$B$1464</f>
        <v>0.02</v>
      </c>
      <c r="BB1464" s="1039">
        <f>+BB1442+$B$1464</f>
        <v>0.02</v>
      </c>
      <c r="BC1464" s="1039">
        <f>+BC1442+$B$1464</f>
        <v>0.02</v>
      </c>
      <c r="BD1464" s="1674">
        <f>+BD1442+$B$1464</f>
        <v>0.02</v>
      </c>
      <c r="BE1464" s="1036">
        <f>+BE$1442+$B1464</f>
        <v>0.02</v>
      </c>
      <c r="BF1464" s="1039">
        <f>+BF1442+$B$1464</f>
        <v>2.0750000000000001E-2</v>
      </c>
      <c r="BG1464" s="1039">
        <f>+BG1442+$B$1464</f>
        <v>2.0750000000000001E-2</v>
      </c>
      <c r="BH1464" s="1039">
        <f>+BH1442+$B$1464</f>
        <v>2.0750000000000001E-2</v>
      </c>
      <c r="BI1464" s="1674">
        <f>+BI1442+$B$1464</f>
        <v>2.325E-2</v>
      </c>
      <c r="BJ1464" s="1036">
        <f>+BJ$1442+$B1464</f>
        <v>2.1375000000000002E-2</v>
      </c>
      <c r="BK1464" s="1039">
        <f>+BK1442+$B$1464</f>
        <v>2.0750000000000001E-2</v>
      </c>
      <c r="BL1464" s="1039">
        <f>+BL1442+$B$1464</f>
        <v>2.375E-2</v>
      </c>
      <c r="BM1464" s="1039">
        <f>+BM1442+$B$1464</f>
        <v>2.375E-2</v>
      </c>
      <c r="BN1464" s="1674">
        <f>+BN1442+$B$1464</f>
        <v>2.6250000000000002E-2</v>
      </c>
      <c r="BO1464" s="1036">
        <f>+BO$1442+$B1464</f>
        <v>2.3625E-2</v>
      </c>
      <c r="BP1464" s="1039">
        <f>+BP1442+$B$1464</f>
        <v>2.6250000000000002E-2</v>
      </c>
      <c r="BQ1464" s="1039">
        <f>+BQ1442+$B$1464</f>
        <v>2.6250000000000002E-2</v>
      </c>
      <c r="BR1464" s="1039">
        <f>+BR1442+$B$1464</f>
        <v>2.8750000000000005E-2</v>
      </c>
      <c r="BS1464" s="1039">
        <f>+BS1442+$B$1464</f>
        <v>3.125E-2</v>
      </c>
      <c r="BT1464" s="3255">
        <f>+BT$1442+$B1464</f>
        <v>2.8125000000000004E-2</v>
      </c>
      <c r="BU1464" s="3307">
        <f>+BU1442+$B$1464</f>
        <v>3.6250000000000004E-2</v>
      </c>
      <c r="BV1464" s="3307">
        <f>+BV1442+$B$1464</f>
        <v>3.8750000000000007E-2</v>
      </c>
      <c r="BW1464" s="3307">
        <f>+BW1442+$B$1464</f>
        <v>4.1250000000000002E-2</v>
      </c>
      <c r="BX1464" s="3307">
        <f>+BX1442+$B$1464</f>
        <v>4.3749999999999997E-2</v>
      </c>
      <c r="BY1464" s="3255">
        <f>+BY$1442+$B1464</f>
        <v>0.04</v>
      </c>
      <c r="BZ1464" s="1036">
        <f t="shared" ref="BZ1464:CF1464" si="3323">+BZ$1442+$B1464</f>
        <v>4.6249999999999999E-2</v>
      </c>
      <c r="CA1464" s="1036">
        <f t="shared" si="3323"/>
        <v>4.8750000000000002E-2</v>
      </c>
      <c r="CB1464" s="1036">
        <f t="shared" si="3323"/>
        <v>4.8750000000000002E-2</v>
      </c>
      <c r="CC1464" s="1036">
        <f t="shared" si="3323"/>
        <v>4.8750000000000002E-2</v>
      </c>
      <c r="CD1464" s="1036">
        <f t="shared" si="3323"/>
        <v>4.8750000000000002E-2</v>
      </c>
      <c r="CE1464" s="1036">
        <f t="shared" si="3323"/>
        <v>4.8750000000000002E-2</v>
      </c>
      <c r="CF1464" s="1036">
        <f t="shared" si="3323"/>
        <v>4.8750000000000002E-2</v>
      </c>
      <c r="CG1464" s="980"/>
      <c r="CH1464" s="980"/>
      <c r="CI1464" s="980"/>
      <c r="CJ1464" s="980"/>
      <c r="CK1464" s="980"/>
      <c r="CL1464" s="995"/>
      <c r="CM1464" s="1039"/>
      <c r="CN1464" s="1039"/>
      <c r="CO1464" s="1039"/>
      <c r="CP1464" s="1039"/>
      <c r="CQ1464" s="1039"/>
      <c r="CR1464" s="1039"/>
      <c r="CS1464" s="1039"/>
      <c r="CT1464" s="1039"/>
      <c r="CU1464" s="1039"/>
      <c r="CV1464" s="1039"/>
      <c r="CW1464" s="1039"/>
      <c r="CX1464" s="1039"/>
      <c r="CY1464" s="1039"/>
      <c r="CZ1464" s="1039"/>
      <c r="DA1464" s="1039"/>
      <c r="DB1464" s="1039"/>
      <c r="DC1464" s="1674"/>
      <c r="DD1464" s="980"/>
      <c r="DE1464" s="980"/>
      <c r="DF1464" s="981"/>
      <c r="DG1464" s="981"/>
      <c r="DH1464" s="3307"/>
      <c r="DI1464" s="3213"/>
      <c r="DJ1464" s="981"/>
      <c r="DK1464" s="981"/>
      <c r="DL1464" s="981"/>
      <c r="DM1464" s="981"/>
      <c r="DN1464" s="981"/>
      <c r="DO1464" s="981"/>
      <c r="DP1464" s="981"/>
      <c r="DQ1464" s="981"/>
      <c r="DR1464" s="630"/>
      <c r="DS1464" s="630"/>
      <c r="DT1464" s="630"/>
    </row>
    <row r="1465" spans="1:130" ht="12" hidden="1" customHeight="1" outlineLevel="1" x14ac:dyDescent="0.25">
      <c r="A1465" s="355" t="s">
        <v>78</v>
      </c>
      <c r="B1465" s="627">
        <v>1.7500000000000002E-2</v>
      </c>
      <c r="C1465" s="1033"/>
      <c r="D1465" s="1033"/>
      <c r="E1465" s="1033"/>
      <c r="F1465" s="1033"/>
      <c r="G1465" s="1034"/>
      <c r="H1465" s="1033"/>
      <c r="I1465" s="1033"/>
      <c r="J1465" s="1033"/>
      <c r="K1465" s="1033"/>
      <c r="L1465" s="1034"/>
      <c r="M1465" s="1033"/>
      <c r="N1465" s="1033"/>
      <c r="O1465" s="1033"/>
      <c r="P1465" s="1033"/>
      <c r="Q1465" s="1034"/>
      <c r="R1465" s="1033"/>
      <c r="S1465" s="1033"/>
      <c r="T1465" s="1033"/>
      <c r="U1465" s="1033"/>
      <c r="V1465" s="1034"/>
      <c r="W1465" s="1033"/>
      <c r="X1465" s="1033"/>
      <c r="Y1465" s="1033"/>
      <c r="Z1465" s="1033"/>
      <c r="AA1465" s="1034"/>
      <c r="AB1465" s="1033"/>
      <c r="AC1465" s="1033"/>
      <c r="AD1465" s="1035"/>
      <c r="AE1465" s="1037"/>
      <c r="AF1465" s="1036"/>
      <c r="AG1465" s="1037"/>
      <c r="AH1465" s="1037"/>
      <c r="AI1465" s="1037"/>
      <c r="AJ1465" s="1037"/>
      <c r="AK1465" s="1036"/>
      <c r="AL1465" s="1037"/>
      <c r="AM1465" s="1037"/>
      <c r="AN1465" s="1037"/>
      <c r="AO1465" s="1037"/>
      <c r="AP1465" s="1038"/>
      <c r="AQ1465" s="1038"/>
      <c r="AR1465" s="1039"/>
      <c r="AS1465" s="1039"/>
      <c r="AT1465" s="1039"/>
      <c r="AU1465" s="1036"/>
      <c r="AV1465" s="1038"/>
      <c r="AW1465" s="1039"/>
      <c r="AX1465" s="1039"/>
      <c r="AY1465" s="1674">
        <f t="shared" ref="AY1465:BE1465" si="3324">+AY1442+$B$1465</f>
        <v>0.02</v>
      </c>
      <c r="AZ1465" s="1036">
        <f t="shared" si="3324"/>
        <v>0.02</v>
      </c>
      <c r="BA1465" s="1039">
        <f t="shared" si="3324"/>
        <v>0.02</v>
      </c>
      <c r="BB1465" s="1039">
        <f t="shared" si="3324"/>
        <v>0.02</v>
      </c>
      <c r="BC1465" s="1039">
        <f t="shared" si="3324"/>
        <v>0.02</v>
      </c>
      <c r="BD1465" s="1674">
        <f t="shared" si="3324"/>
        <v>0.02</v>
      </c>
      <c r="BE1465" s="1036">
        <f t="shared" si="3324"/>
        <v>0.02</v>
      </c>
      <c r="BF1465" s="1039">
        <f t="shared" ref="BF1465:BO1465" si="3325">+BF1442+$B$1465</f>
        <v>2.0750000000000001E-2</v>
      </c>
      <c r="BG1465" s="1039">
        <f t="shared" si="3325"/>
        <v>2.0750000000000001E-2</v>
      </c>
      <c r="BH1465" s="1039">
        <f t="shared" si="3325"/>
        <v>2.0750000000000001E-2</v>
      </c>
      <c r="BI1465" s="1674">
        <f t="shared" si="3325"/>
        <v>2.325E-2</v>
      </c>
      <c r="BJ1465" s="1036">
        <f t="shared" si="3325"/>
        <v>2.1375000000000002E-2</v>
      </c>
      <c r="BK1465" s="1039">
        <f t="shared" si="3325"/>
        <v>2.0750000000000001E-2</v>
      </c>
      <c r="BL1465" s="1039">
        <f t="shared" si="3325"/>
        <v>2.375E-2</v>
      </c>
      <c r="BM1465" s="1039">
        <f t="shared" si="3325"/>
        <v>2.375E-2</v>
      </c>
      <c r="BN1465" s="1674">
        <f t="shared" si="3325"/>
        <v>2.6250000000000002E-2</v>
      </c>
      <c r="BO1465" s="1036">
        <f t="shared" si="3325"/>
        <v>2.3625E-2</v>
      </c>
      <c r="BP1465" s="1039">
        <f t="shared" ref="BP1465:CF1465" si="3326">+BP1442+$B$1465</f>
        <v>2.6250000000000002E-2</v>
      </c>
      <c r="BQ1465" s="1039">
        <f t="shared" si="3326"/>
        <v>2.6250000000000002E-2</v>
      </c>
      <c r="BR1465" s="1039">
        <f t="shared" si="3326"/>
        <v>2.8750000000000005E-2</v>
      </c>
      <c r="BS1465" s="1039">
        <f t="shared" si="3326"/>
        <v>3.125E-2</v>
      </c>
      <c r="BT1465" s="3255">
        <f t="shared" si="3326"/>
        <v>2.8125000000000004E-2</v>
      </c>
      <c r="BU1465" s="3307">
        <f>+BU1442+$B$1465</f>
        <v>3.6250000000000004E-2</v>
      </c>
      <c r="BV1465" s="3307">
        <f>+BV1442+$B$1465</f>
        <v>3.8750000000000007E-2</v>
      </c>
      <c r="BW1465" s="3307">
        <f>+BW1442+$B$1465</f>
        <v>4.1250000000000002E-2</v>
      </c>
      <c r="BX1465" s="3307">
        <f>+BX1442+$B$1465</f>
        <v>4.3749999999999997E-2</v>
      </c>
      <c r="BY1465" s="3255">
        <f>+BY1442+$B$1465</f>
        <v>0.04</v>
      </c>
      <c r="BZ1465" s="1036">
        <f t="shared" si="3326"/>
        <v>4.6249999999999999E-2</v>
      </c>
      <c r="CA1465" s="1036">
        <f t="shared" si="3326"/>
        <v>4.8750000000000002E-2</v>
      </c>
      <c r="CB1465" s="1036">
        <f t="shared" si="3326"/>
        <v>4.8750000000000002E-2</v>
      </c>
      <c r="CC1465" s="1036">
        <f t="shared" si="3326"/>
        <v>4.8750000000000002E-2</v>
      </c>
      <c r="CD1465" s="1036">
        <f t="shared" si="3326"/>
        <v>4.8750000000000002E-2</v>
      </c>
      <c r="CE1465" s="1036">
        <f t="shared" si="3326"/>
        <v>4.8750000000000002E-2</v>
      </c>
      <c r="CF1465" s="1036">
        <f t="shared" si="3326"/>
        <v>4.8750000000000002E-2</v>
      </c>
      <c r="CG1465" s="980"/>
      <c r="CH1465" s="980"/>
      <c r="CI1465" s="980"/>
      <c r="CJ1465" s="980"/>
      <c r="CK1465" s="980"/>
      <c r="CL1465" s="995"/>
      <c r="CM1465" s="1039"/>
      <c r="CN1465" s="1039"/>
      <c r="CO1465" s="1039"/>
      <c r="CP1465" s="1039"/>
      <c r="CQ1465" s="1039"/>
      <c r="CR1465" s="1039"/>
      <c r="CS1465" s="1039"/>
      <c r="CT1465" s="1039"/>
      <c r="CU1465" s="1039"/>
      <c r="CV1465" s="1039"/>
      <c r="CW1465" s="1039"/>
      <c r="CX1465" s="1039"/>
      <c r="CY1465" s="1039"/>
      <c r="CZ1465" s="1039"/>
      <c r="DA1465" s="1039"/>
      <c r="DB1465" s="1039"/>
      <c r="DC1465" s="1674"/>
      <c r="DD1465" s="980"/>
      <c r="DE1465" s="980"/>
      <c r="DF1465" s="981"/>
      <c r="DG1465" s="981"/>
      <c r="DH1465" s="3307"/>
      <c r="DI1465" s="3213"/>
      <c r="DJ1465" s="981"/>
      <c r="DK1465" s="981"/>
      <c r="DL1465" s="981"/>
      <c r="DM1465" s="981"/>
      <c r="DN1465" s="981"/>
      <c r="DO1465" s="981"/>
      <c r="DP1465" s="981"/>
      <c r="DQ1465" s="981"/>
      <c r="DR1465" s="630"/>
      <c r="DS1465" s="630"/>
      <c r="DT1465" s="630"/>
    </row>
    <row r="1466" spans="1:130" ht="12" hidden="1" customHeight="1" outlineLevel="1" x14ac:dyDescent="0.25">
      <c r="A1466" s="355" t="s">
        <v>1573</v>
      </c>
      <c r="B1466" s="634">
        <v>4.3749999999999997E-2</v>
      </c>
      <c r="C1466" s="1033"/>
      <c r="D1466" s="1033"/>
      <c r="E1466" s="1033"/>
      <c r="F1466" s="1033"/>
      <c r="G1466" s="1034"/>
      <c r="H1466" s="1033"/>
      <c r="I1466" s="1033"/>
      <c r="J1466" s="1033"/>
      <c r="K1466" s="1033"/>
      <c r="L1466" s="1034"/>
      <c r="M1466" s="1033"/>
      <c r="N1466" s="1033"/>
      <c r="O1466" s="1033"/>
      <c r="P1466" s="1033"/>
      <c r="Q1466" s="1034"/>
      <c r="R1466" s="1033"/>
      <c r="S1466" s="1033"/>
      <c r="T1466" s="1033"/>
      <c r="U1466" s="1033"/>
      <c r="V1466" s="1034"/>
      <c r="W1466" s="1033"/>
      <c r="X1466" s="1033"/>
      <c r="Y1466" s="1033"/>
      <c r="Z1466" s="1033"/>
      <c r="AA1466" s="1034"/>
      <c r="AB1466" s="1033"/>
      <c r="AC1466" s="1033"/>
      <c r="AD1466" s="1035"/>
      <c r="AE1466" s="1037"/>
      <c r="AF1466" s="1036"/>
      <c r="AG1466" s="1037"/>
      <c r="AH1466" s="1037"/>
      <c r="AI1466" s="1037"/>
      <c r="AJ1466" s="1037"/>
      <c r="AK1466" s="1036"/>
      <c r="AL1466" s="1037"/>
      <c r="AM1466" s="1037"/>
      <c r="AN1466" s="1037"/>
      <c r="AO1466" s="1037"/>
      <c r="AP1466" s="1038"/>
      <c r="AQ1466" s="1038"/>
      <c r="AR1466" s="1039"/>
      <c r="AS1466" s="1039"/>
      <c r="AT1466" s="1039"/>
      <c r="AU1466" s="1036"/>
      <c r="AV1466" s="1038"/>
      <c r="AW1466" s="1039"/>
      <c r="AX1466" s="1039"/>
      <c r="AY1466" s="1674">
        <f>+B1466</f>
        <v>4.3749999999999997E-2</v>
      </c>
      <c r="AZ1466" s="1036">
        <f>+AY1466</f>
        <v>4.3749999999999997E-2</v>
      </c>
      <c r="BA1466" s="1038">
        <f>+AY1466</f>
        <v>4.3749999999999997E-2</v>
      </c>
      <c r="BB1466" s="1039">
        <f>+BA1466</f>
        <v>4.3749999999999997E-2</v>
      </c>
      <c r="BC1466" s="1039">
        <f>+BB1466</f>
        <v>4.3749999999999997E-2</v>
      </c>
      <c r="BD1466" s="1674">
        <f>+BC1466</f>
        <v>4.3749999999999997E-2</v>
      </c>
      <c r="BE1466" s="1036">
        <f>+BD1466</f>
        <v>4.3749999999999997E-2</v>
      </c>
      <c r="BF1466" s="1039">
        <f t="shared" ref="BF1466:BJ1468" si="3327">+BE1466</f>
        <v>4.3749999999999997E-2</v>
      </c>
      <c r="BG1466" s="1039">
        <f t="shared" si="3327"/>
        <v>4.3749999999999997E-2</v>
      </c>
      <c r="BH1466" s="1039">
        <f t="shared" si="3327"/>
        <v>4.3749999999999997E-2</v>
      </c>
      <c r="BI1466" s="1674">
        <f t="shared" si="3327"/>
        <v>4.3749999999999997E-2</v>
      </c>
      <c r="BJ1466" s="1036">
        <f t="shared" si="3327"/>
        <v>4.3749999999999997E-2</v>
      </c>
      <c r="BK1466" s="1039">
        <f t="shared" ref="BK1466:BL1468" si="3328">+BJ1466</f>
        <v>4.3749999999999997E-2</v>
      </c>
      <c r="BL1466" s="1039">
        <f t="shared" si="3328"/>
        <v>4.3749999999999997E-2</v>
      </c>
      <c r="BM1466" s="1039">
        <f t="shared" ref="BM1466:BT1466" si="3329">+BL1466</f>
        <v>4.3749999999999997E-2</v>
      </c>
      <c r="BN1466" s="1674">
        <f t="shared" si="3329"/>
        <v>4.3749999999999997E-2</v>
      </c>
      <c r="BO1466" s="1036">
        <f t="shared" si="3329"/>
        <v>4.3749999999999997E-2</v>
      </c>
      <c r="BP1466" s="1039">
        <f t="shared" si="3329"/>
        <v>4.3749999999999997E-2</v>
      </c>
      <c r="BQ1466" s="1039">
        <f t="shared" si="3329"/>
        <v>4.3749999999999997E-2</v>
      </c>
      <c r="BR1466" s="1039">
        <f t="shared" si="3329"/>
        <v>4.3749999999999997E-2</v>
      </c>
      <c r="BS1466" s="1039">
        <f t="shared" si="3329"/>
        <v>4.3749999999999997E-2</v>
      </c>
      <c r="BT1466" s="3255">
        <f t="shared" si="3329"/>
        <v>4.3749999999999997E-2</v>
      </c>
      <c r="BU1466" s="3307">
        <f t="shared" ref="BU1466:BX1468" si="3330">+BT1466</f>
        <v>4.3749999999999997E-2</v>
      </c>
      <c r="BV1466" s="3307">
        <f t="shared" si="3330"/>
        <v>4.3749999999999997E-2</v>
      </c>
      <c r="BW1466" s="3307">
        <f t="shared" si="3330"/>
        <v>4.3749999999999997E-2</v>
      </c>
      <c r="BX1466" s="3307">
        <f t="shared" si="3330"/>
        <v>4.3749999999999997E-2</v>
      </c>
      <c r="BY1466" s="3255">
        <f>+BX1466</f>
        <v>4.3749999999999997E-2</v>
      </c>
      <c r="BZ1466" s="1036">
        <f t="shared" ref="BZ1466:CA1468" si="3331">+BY1466</f>
        <v>4.3749999999999997E-2</v>
      </c>
      <c r="CA1466" s="1036">
        <f t="shared" si="3331"/>
        <v>4.3749999999999997E-2</v>
      </c>
      <c r="CB1466" s="1036">
        <f t="shared" ref="CB1466:CF1468" si="3332">+CA1466</f>
        <v>4.3749999999999997E-2</v>
      </c>
      <c r="CC1466" s="1036">
        <f t="shared" si="3332"/>
        <v>4.3749999999999997E-2</v>
      </c>
      <c r="CD1466" s="1036">
        <f t="shared" si="3332"/>
        <v>4.3749999999999997E-2</v>
      </c>
      <c r="CE1466" s="1036">
        <f t="shared" si="3332"/>
        <v>4.3749999999999997E-2</v>
      </c>
      <c r="CF1466" s="1036">
        <f t="shared" si="3332"/>
        <v>4.3749999999999997E-2</v>
      </c>
      <c r="CG1466" s="980"/>
      <c r="CH1466" s="980"/>
      <c r="CI1466" s="980"/>
      <c r="CJ1466" s="980"/>
      <c r="CK1466" s="980"/>
      <c r="CL1466" s="995"/>
      <c r="CM1466" s="1039"/>
      <c r="CN1466" s="1039"/>
      <c r="CO1466" s="1039"/>
      <c r="CP1466" s="1039"/>
      <c r="CQ1466" s="1039"/>
      <c r="CR1466" s="1039"/>
      <c r="CS1466" s="1039"/>
      <c r="CT1466" s="1039"/>
      <c r="CU1466" s="1039"/>
      <c r="CV1466" s="1039"/>
      <c r="CW1466" s="1039"/>
      <c r="CX1466" s="1039"/>
      <c r="CY1466" s="1039"/>
      <c r="CZ1466" s="1039"/>
      <c r="DA1466" s="1039"/>
      <c r="DB1466" s="1039"/>
      <c r="DC1466" s="1674"/>
      <c r="DD1466" s="980"/>
      <c r="DE1466" s="980"/>
      <c r="DF1466" s="981"/>
      <c r="DG1466" s="981"/>
      <c r="DH1466" s="3307"/>
      <c r="DI1466" s="3213"/>
      <c r="DJ1466" s="981"/>
      <c r="DK1466" s="981"/>
      <c r="DL1466" s="981"/>
      <c r="DM1466" s="981"/>
      <c r="DN1466" s="981"/>
      <c r="DO1466" s="981"/>
      <c r="DP1466" s="981"/>
      <c r="DQ1466" s="981"/>
      <c r="DR1466" s="630"/>
      <c r="DS1466" s="630"/>
      <c r="DT1466" s="630"/>
    </row>
    <row r="1467" spans="1:130" ht="12" hidden="1" customHeight="1" outlineLevel="1" x14ac:dyDescent="0.25">
      <c r="A1467" s="355" t="s">
        <v>1574</v>
      </c>
      <c r="B1467" s="634">
        <v>4.8750000000000002E-2</v>
      </c>
      <c r="C1467" s="1033"/>
      <c r="D1467" s="1033"/>
      <c r="E1467" s="1033"/>
      <c r="F1467" s="1033"/>
      <c r="G1467" s="1034"/>
      <c r="H1467" s="1033"/>
      <c r="I1467" s="1033"/>
      <c r="J1467" s="1033"/>
      <c r="K1467" s="1033"/>
      <c r="L1467" s="1034"/>
      <c r="M1467" s="1033"/>
      <c r="N1467" s="1033"/>
      <c r="O1467" s="1033"/>
      <c r="P1467" s="1033"/>
      <c r="Q1467" s="1034"/>
      <c r="R1467" s="1033"/>
      <c r="S1467" s="1033"/>
      <c r="T1467" s="1033"/>
      <c r="U1467" s="1033"/>
      <c r="V1467" s="1034"/>
      <c r="W1467" s="1033"/>
      <c r="X1467" s="1033"/>
      <c r="Y1467" s="1033"/>
      <c r="Z1467" s="1033"/>
      <c r="AA1467" s="1034"/>
      <c r="AB1467" s="1033"/>
      <c r="AC1467" s="1033"/>
      <c r="AD1467" s="1035"/>
      <c r="AE1467" s="1037"/>
      <c r="AF1467" s="1036"/>
      <c r="AG1467" s="1037"/>
      <c r="AH1467" s="1037"/>
      <c r="AI1467" s="1037"/>
      <c r="AJ1467" s="1037"/>
      <c r="AK1467" s="1036"/>
      <c r="AL1467" s="1037"/>
      <c r="AM1467" s="1037"/>
      <c r="AN1467" s="1037"/>
      <c r="AO1467" s="1037"/>
      <c r="AP1467" s="1038"/>
      <c r="AQ1467" s="1038"/>
      <c r="AR1467" s="1039"/>
      <c r="AS1467" s="1039"/>
      <c r="AT1467" s="1039"/>
      <c r="AU1467" s="1036"/>
      <c r="AV1467" s="1038"/>
      <c r="AW1467" s="1039"/>
      <c r="AX1467" s="1039"/>
      <c r="AY1467" s="1674">
        <f>+B1467</f>
        <v>4.8750000000000002E-2</v>
      </c>
      <c r="AZ1467" s="1036">
        <f>+AY1467</f>
        <v>4.8750000000000002E-2</v>
      </c>
      <c r="BA1467" s="1038">
        <f>+AY1467</f>
        <v>4.8750000000000002E-2</v>
      </c>
      <c r="BB1467" s="1039">
        <f t="shared" ref="BB1467:BE1468" si="3333">+BA1467</f>
        <v>4.8750000000000002E-2</v>
      </c>
      <c r="BC1467" s="1039">
        <f t="shared" si="3333"/>
        <v>4.8750000000000002E-2</v>
      </c>
      <c r="BD1467" s="1674">
        <f t="shared" si="3333"/>
        <v>4.8750000000000002E-2</v>
      </c>
      <c r="BE1467" s="1036">
        <f t="shared" si="3333"/>
        <v>4.8750000000000002E-2</v>
      </c>
      <c r="BF1467" s="1039">
        <f t="shared" si="3327"/>
        <v>4.8750000000000002E-2</v>
      </c>
      <c r="BG1467" s="1039">
        <f t="shared" si="3327"/>
        <v>4.8750000000000002E-2</v>
      </c>
      <c r="BH1467" s="1039">
        <f t="shared" si="3327"/>
        <v>4.8750000000000002E-2</v>
      </c>
      <c r="BI1467" s="1674">
        <f t="shared" si="3327"/>
        <v>4.8750000000000002E-2</v>
      </c>
      <c r="BJ1467" s="1036">
        <f t="shared" si="3327"/>
        <v>4.8750000000000002E-2</v>
      </c>
      <c r="BK1467" s="1039">
        <f t="shared" si="3328"/>
        <v>4.8750000000000002E-2</v>
      </c>
      <c r="BL1467" s="1039">
        <f t="shared" si="3328"/>
        <v>4.8750000000000002E-2</v>
      </c>
      <c r="BM1467" s="1039">
        <f t="shared" ref="BM1467:BO1468" si="3334">+BL1467</f>
        <v>4.8750000000000002E-2</v>
      </c>
      <c r="BN1467" s="1674">
        <f t="shared" si="3334"/>
        <v>4.8750000000000002E-2</v>
      </c>
      <c r="BO1467" s="1036">
        <f t="shared" si="3334"/>
        <v>4.8750000000000002E-2</v>
      </c>
      <c r="BP1467" s="1039">
        <f t="shared" ref="BP1467:BT1468" si="3335">+BO1467</f>
        <v>4.8750000000000002E-2</v>
      </c>
      <c r="BQ1467" s="1039">
        <f t="shared" si="3335"/>
        <v>4.8750000000000002E-2</v>
      </c>
      <c r="BR1467" s="1039">
        <f t="shared" si="3335"/>
        <v>4.8750000000000002E-2</v>
      </c>
      <c r="BS1467" s="1039">
        <f t="shared" si="3335"/>
        <v>4.8750000000000002E-2</v>
      </c>
      <c r="BT1467" s="3255">
        <f t="shared" si="3335"/>
        <v>4.8750000000000002E-2</v>
      </c>
      <c r="BU1467" s="3307">
        <f t="shared" si="3330"/>
        <v>4.8750000000000002E-2</v>
      </c>
      <c r="BV1467" s="3307">
        <f t="shared" si="3330"/>
        <v>4.8750000000000002E-2</v>
      </c>
      <c r="BW1467" s="3307">
        <f t="shared" si="3330"/>
        <v>4.8750000000000002E-2</v>
      </c>
      <c r="BX1467" s="3307">
        <f t="shared" si="3330"/>
        <v>4.8750000000000002E-2</v>
      </c>
      <c r="BY1467" s="3255">
        <f>+BX1467</f>
        <v>4.8750000000000002E-2</v>
      </c>
      <c r="BZ1467" s="1036">
        <f t="shared" si="3331"/>
        <v>4.8750000000000002E-2</v>
      </c>
      <c r="CA1467" s="1036">
        <f t="shared" si="3331"/>
        <v>4.8750000000000002E-2</v>
      </c>
      <c r="CB1467" s="1036">
        <f t="shared" si="3332"/>
        <v>4.8750000000000002E-2</v>
      </c>
      <c r="CC1467" s="1036">
        <f t="shared" si="3332"/>
        <v>4.8750000000000002E-2</v>
      </c>
      <c r="CD1467" s="1036">
        <f t="shared" si="3332"/>
        <v>4.8750000000000002E-2</v>
      </c>
      <c r="CE1467" s="1036">
        <f t="shared" si="3332"/>
        <v>4.8750000000000002E-2</v>
      </c>
      <c r="CF1467" s="1036">
        <f t="shared" si="3332"/>
        <v>4.8750000000000002E-2</v>
      </c>
      <c r="CG1467" s="980"/>
      <c r="CH1467" s="980"/>
      <c r="CI1467" s="980"/>
      <c r="CJ1467" s="980"/>
      <c r="CK1467" s="980"/>
      <c r="CL1467" s="995"/>
      <c r="CM1467" s="1039"/>
      <c r="CN1467" s="1039"/>
      <c r="CO1467" s="1039"/>
      <c r="CP1467" s="1039"/>
      <c r="CQ1467" s="1039"/>
      <c r="CR1467" s="1039"/>
      <c r="CS1467" s="1039"/>
      <c r="CT1467" s="1039"/>
      <c r="CU1467" s="1039"/>
      <c r="CV1467" s="1039"/>
      <c r="CW1467" s="1039"/>
      <c r="CX1467" s="1039"/>
      <c r="CY1467" s="1039"/>
      <c r="CZ1467" s="1039"/>
      <c r="DA1467" s="1039"/>
      <c r="DB1467" s="1039"/>
      <c r="DC1467" s="1674"/>
      <c r="DD1467" s="980"/>
      <c r="DE1467" s="980"/>
      <c r="DF1467" s="981"/>
      <c r="DG1467" s="981"/>
      <c r="DH1467" s="3307"/>
      <c r="DI1467" s="3213"/>
      <c r="DJ1467" s="981"/>
      <c r="DK1467" s="981"/>
      <c r="DL1467" s="981"/>
      <c r="DM1467" s="981"/>
      <c r="DN1467" s="981"/>
      <c r="DO1467" s="981"/>
      <c r="DP1467" s="981"/>
      <c r="DQ1467" s="981"/>
      <c r="DR1467" s="630"/>
      <c r="DS1467" s="630"/>
      <c r="DT1467" s="630"/>
    </row>
    <row r="1468" spans="1:130" ht="12" hidden="1" customHeight="1" outlineLevel="1" x14ac:dyDescent="0.25">
      <c r="A1468" s="355" t="s">
        <v>1575</v>
      </c>
      <c r="B1468" s="634">
        <v>5.3749999999999999E-2</v>
      </c>
      <c r="C1468" s="1033"/>
      <c r="D1468" s="1033"/>
      <c r="E1468" s="1033"/>
      <c r="F1468" s="1033"/>
      <c r="G1468" s="1034"/>
      <c r="H1468" s="1033"/>
      <c r="I1468" s="1033"/>
      <c r="J1468" s="1033"/>
      <c r="K1468" s="1033"/>
      <c r="L1468" s="1034"/>
      <c r="M1468" s="1033"/>
      <c r="N1468" s="1033"/>
      <c r="O1468" s="1033"/>
      <c r="P1468" s="1033"/>
      <c r="Q1468" s="1034"/>
      <c r="R1468" s="1033"/>
      <c r="S1468" s="1033"/>
      <c r="T1468" s="1033"/>
      <c r="U1468" s="1033"/>
      <c r="V1468" s="1034"/>
      <c r="W1468" s="1033"/>
      <c r="X1468" s="1033"/>
      <c r="Y1468" s="1033"/>
      <c r="Z1468" s="1033"/>
      <c r="AA1468" s="1034"/>
      <c r="AB1468" s="1033"/>
      <c r="AC1468" s="1033"/>
      <c r="AD1468" s="1035"/>
      <c r="AE1468" s="1037"/>
      <c r="AF1468" s="1036"/>
      <c r="AG1468" s="1037"/>
      <c r="AH1468" s="1037"/>
      <c r="AI1468" s="1037"/>
      <c r="AJ1468" s="1037"/>
      <c r="AK1468" s="1036"/>
      <c r="AL1468" s="1037"/>
      <c r="AM1468" s="1037"/>
      <c r="AN1468" s="1037"/>
      <c r="AO1468" s="1037"/>
      <c r="AP1468" s="1038"/>
      <c r="AQ1468" s="1038"/>
      <c r="AR1468" s="1039"/>
      <c r="AS1468" s="1039"/>
      <c r="AT1468" s="1039"/>
      <c r="AU1468" s="1036"/>
      <c r="AV1468" s="1038"/>
      <c r="AW1468" s="1039"/>
      <c r="AX1468" s="1039"/>
      <c r="AY1468" s="1674">
        <f>+B1468</f>
        <v>5.3749999999999999E-2</v>
      </c>
      <c r="AZ1468" s="1036">
        <f>+AY1468</f>
        <v>5.3749999999999999E-2</v>
      </c>
      <c r="BA1468" s="1038">
        <f>+AY1468</f>
        <v>5.3749999999999999E-2</v>
      </c>
      <c r="BB1468" s="1039">
        <f t="shared" si="3333"/>
        <v>5.3749999999999999E-2</v>
      </c>
      <c r="BC1468" s="1039">
        <f t="shared" si="3333"/>
        <v>5.3749999999999999E-2</v>
      </c>
      <c r="BD1468" s="1674">
        <f t="shared" si="3333"/>
        <v>5.3749999999999999E-2</v>
      </c>
      <c r="BE1468" s="1036">
        <f t="shared" si="3333"/>
        <v>5.3749999999999999E-2</v>
      </c>
      <c r="BF1468" s="1039">
        <f t="shared" si="3327"/>
        <v>5.3749999999999999E-2</v>
      </c>
      <c r="BG1468" s="1039">
        <f t="shared" si="3327"/>
        <v>5.3749999999999999E-2</v>
      </c>
      <c r="BH1468" s="1039">
        <f t="shared" si="3327"/>
        <v>5.3749999999999999E-2</v>
      </c>
      <c r="BI1468" s="1674">
        <f t="shared" si="3327"/>
        <v>5.3749999999999999E-2</v>
      </c>
      <c r="BJ1468" s="1036">
        <f t="shared" si="3327"/>
        <v>5.3749999999999999E-2</v>
      </c>
      <c r="BK1468" s="1039">
        <f t="shared" si="3328"/>
        <v>5.3749999999999999E-2</v>
      </c>
      <c r="BL1468" s="1039">
        <f t="shared" si="3328"/>
        <v>5.3749999999999999E-2</v>
      </c>
      <c r="BM1468" s="1039">
        <f t="shared" si="3334"/>
        <v>5.3749999999999999E-2</v>
      </c>
      <c r="BN1468" s="1674">
        <f t="shared" si="3334"/>
        <v>5.3749999999999999E-2</v>
      </c>
      <c r="BO1468" s="1036">
        <f t="shared" si="3334"/>
        <v>5.3749999999999999E-2</v>
      </c>
      <c r="BP1468" s="1039">
        <f t="shared" si="3335"/>
        <v>5.3749999999999999E-2</v>
      </c>
      <c r="BQ1468" s="1039">
        <f t="shared" si="3335"/>
        <v>5.3749999999999999E-2</v>
      </c>
      <c r="BR1468" s="1039">
        <f t="shared" si="3335"/>
        <v>5.3749999999999999E-2</v>
      </c>
      <c r="BS1468" s="1039">
        <f t="shared" si="3335"/>
        <v>5.3749999999999999E-2</v>
      </c>
      <c r="BT1468" s="3255">
        <f t="shared" si="3335"/>
        <v>5.3749999999999999E-2</v>
      </c>
      <c r="BU1468" s="3307">
        <f t="shared" si="3330"/>
        <v>5.3749999999999999E-2</v>
      </c>
      <c r="BV1468" s="3307">
        <f t="shared" si="3330"/>
        <v>5.3749999999999999E-2</v>
      </c>
      <c r="BW1468" s="3307">
        <f t="shared" si="3330"/>
        <v>5.3749999999999999E-2</v>
      </c>
      <c r="BX1468" s="3307">
        <f t="shared" si="3330"/>
        <v>5.3749999999999999E-2</v>
      </c>
      <c r="BY1468" s="3255">
        <f>+BX1468</f>
        <v>5.3749999999999999E-2</v>
      </c>
      <c r="BZ1468" s="1036">
        <f t="shared" si="3331"/>
        <v>5.3749999999999999E-2</v>
      </c>
      <c r="CA1468" s="1036">
        <f t="shared" si="3331"/>
        <v>5.3749999999999999E-2</v>
      </c>
      <c r="CB1468" s="1036">
        <f t="shared" si="3332"/>
        <v>5.3749999999999999E-2</v>
      </c>
      <c r="CC1468" s="1036">
        <f t="shared" si="3332"/>
        <v>5.3749999999999999E-2</v>
      </c>
      <c r="CD1468" s="1036">
        <f t="shared" si="3332"/>
        <v>5.3749999999999999E-2</v>
      </c>
      <c r="CE1468" s="1036">
        <f t="shared" si="3332"/>
        <v>5.3749999999999999E-2</v>
      </c>
      <c r="CF1468" s="1036">
        <f t="shared" si="3332"/>
        <v>5.3749999999999999E-2</v>
      </c>
      <c r="CG1468" s="980"/>
      <c r="CH1468" s="980"/>
      <c r="CI1468" s="980"/>
      <c r="CJ1468" s="980"/>
      <c r="CK1468" s="980"/>
      <c r="CL1468" s="995"/>
      <c r="CM1468" s="1039"/>
      <c r="CN1468" s="1039"/>
      <c r="CO1468" s="1039"/>
      <c r="CP1468" s="1039"/>
      <c r="CQ1468" s="1039"/>
      <c r="CR1468" s="1039"/>
      <c r="CS1468" s="1039"/>
      <c r="CT1468" s="1039"/>
      <c r="CU1468" s="1039"/>
      <c r="CV1468" s="1039"/>
      <c r="CW1468" s="1039"/>
      <c r="CX1468" s="1039"/>
      <c r="CY1468" s="1039"/>
      <c r="CZ1468" s="1039"/>
      <c r="DA1468" s="1039"/>
      <c r="DB1468" s="1039"/>
      <c r="DC1468" s="1674"/>
      <c r="DD1468" s="980"/>
      <c r="DE1468" s="980"/>
      <c r="DF1468" s="981"/>
      <c r="DG1468" s="981"/>
      <c r="DH1468" s="3307"/>
      <c r="DI1468" s="3213"/>
      <c r="DJ1468" s="981"/>
      <c r="DK1468" s="981"/>
      <c r="DL1468" s="981"/>
      <c r="DM1468" s="981"/>
      <c r="DN1468" s="981"/>
      <c r="DO1468" s="981"/>
      <c r="DP1468" s="981"/>
      <c r="DQ1468" s="981"/>
      <c r="DR1468" s="630"/>
      <c r="DS1468" s="630"/>
      <c r="DT1468" s="630"/>
    </row>
    <row r="1469" spans="1:130" ht="12" hidden="1" customHeight="1" outlineLevel="1" x14ac:dyDescent="0.25">
      <c r="A1469" s="1954" t="s">
        <v>1980</v>
      </c>
      <c r="B1469" s="634" t="s">
        <v>682</v>
      </c>
      <c r="C1469" s="1033"/>
      <c r="D1469" s="1033"/>
      <c r="E1469" s="1033"/>
      <c r="F1469" s="1033"/>
      <c r="G1469" s="1034"/>
      <c r="H1469" s="1033"/>
      <c r="I1469" s="1033"/>
      <c r="J1469" s="1033"/>
      <c r="K1469" s="1033"/>
      <c r="L1469" s="1034"/>
      <c r="M1469" s="1033"/>
      <c r="N1469" s="1033"/>
      <c r="O1469" s="1033"/>
      <c r="P1469" s="1033"/>
      <c r="Q1469" s="1034"/>
      <c r="R1469" s="1033"/>
      <c r="S1469" s="1033"/>
      <c r="T1469" s="1033"/>
      <c r="U1469" s="1033"/>
      <c r="V1469" s="1034"/>
      <c r="W1469" s="1033"/>
      <c r="X1469" s="1033"/>
      <c r="Y1469" s="1033"/>
      <c r="Z1469" s="1033"/>
      <c r="AA1469" s="1034"/>
      <c r="AB1469" s="1033"/>
      <c r="AC1469" s="1033"/>
      <c r="AD1469" s="1035"/>
      <c r="AE1469" s="1037"/>
      <c r="AF1469" s="1036"/>
      <c r="AG1469" s="1037"/>
      <c r="AH1469" s="1037"/>
      <c r="AI1469" s="1037"/>
      <c r="AJ1469" s="1037"/>
      <c r="AK1469" s="1036"/>
      <c r="AL1469" s="1039"/>
      <c r="AM1469" s="1039"/>
      <c r="AN1469" s="1039"/>
      <c r="AO1469" s="1039"/>
      <c r="AP1469" s="1038"/>
      <c r="AQ1469" s="1038"/>
      <c r="AR1469" s="1039"/>
      <c r="AS1469" s="1039"/>
      <c r="AT1469" s="1039"/>
      <c r="AU1469" s="1036"/>
      <c r="AV1469" s="1038"/>
      <c r="AW1469" s="1039"/>
      <c r="AX1469" s="1039"/>
      <c r="AY1469" s="1674"/>
      <c r="AZ1469" s="1036"/>
      <c r="BA1469" s="1038"/>
      <c r="BB1469" s="1039"/>
      <c r="BC1469" s="1039"/>
      <c r="BD1469" s="1674"/>
      <c r="BE1469" s="1674"/>
      <c r="BF1469" s="1039"/>
      <c r="BG1469" s="1039"/>
      <c r="BH1469" s="1039"/>
      <c r="BI1469" s="1674"/>
      <c r="BJ1469" s="1674"/>
      <c r="BK1469" s="1039"/>
      <c r="BL1469" s="1039"/>
      <c r="BM1469" s="1039"/>
      <c r="BN1469" s="1674"/>
      <c r="BO1469" s="1674"/>
      <c r="BP1469" s="1039"/>
      <c r="BQ1469" s="1039"/>
      <c r="BR1469" s="1039"/>
      <c r="BS1469" s="1039"/>
      <c r="BT1469" s="3255"/>
      <c r="BU1469" s="3425"/>
      <c r="BV1469" s="3307"/>
      <c r="BW1469" s="3307"/>
      <c r="BX1469" s="3307"/>
      <c r="BY1469" s="3255"/>
      <c r="BZ1469" s="1036"/>
      <c r="CA1469" s="1036"/>
      <c r="CB1469" s="1036"/>
      <c r="CC1469" s="1036"/>
      <c r="CD1469" s="1036"/>
      <c r="CE1469" s="1036"/>
      <c r="CF1469" s="1036"/>
      <c r="CG1469" s="980"/>
      <c r="CH1469" s="980"/>
      <c r="CI1469" s="980"/>
      <c r="CJ1469" s="980"/>
      <c r="CK1469" s="980"/>
      <c r="CL1469" s="2043" t="str">
        <f>A1469</f>
        <v>Capital leases</v>
      </c>
      <c r="CM1469" s="1039"/>
      <c r="CN1469" s="1039"/>
      <c r="CO1469" s="1039"/>
      <c r="CP1469" s="1039"/>
      <c r="CQ1469" s="1039"/>
      <c r="CR1469" s="1039"/>
      <c r="CS1469" s="1039"/>
      <c r="CT1469" s="1039"/>
      <c r="CU1469" s="1039"/>
      <c r="CV1469" s="1039"/>
      <c r="CW1469" s="1039"/>
      <c r="CX1469" s="1039"/>
      <c r="CY1469" s="1039"/>
      <c r="CZ1469" s="1039"/>
      <c r="DA1469" s="1039"/>
      <c r="DB1469" s="1039"/>
      <c r="DC1469" s="1674"/>
      <c r="DD1469" s="980"/>
      <c r="DE1469" s="980"/>
      <c r="DF1469" s="981"/>
      <c r="DG1469" s="981"/>
      <c r="DH1469" s="3307"/>
      <c r="DI1469" s="3213"/>
      <c r="DJ1469" s="981"/>
      <c r="DK1469" s="981"/>
      <c r="DL1469" s="981"/>
      <c r="DM1469" s="981"/>
      <c r="DN1469" s="981"/>
      <c r="DO1469" s="981"/>
      <c r="DP1469" s="981"/>
      <c r="DQ1469" s="981"/>
      <c r="DR1469" s="630"/>
      <c r="DS1469" s="630"/>
      <c r="DT1469" s="630"/>
    </row>
    <row r="1470" spans="1:130" ht="12" hidden="1" customHeight="1" outlineLevel="1" x14ac:dyDescent="0.25">
      <c r="A1470" s="296" t="s">
        <v>1998</v>
      </c>
      <c r="B1470" s="634" t="s">
        <v>682</v>
      </c>
      <c r="C1470" s="1033"/>
      <c r="D1470" s="1033"/>
      <c r="E1470" s="1033"/>
      <c r="F1470" s="1033"/>
      <c r="G1470" s="1034"/>
      <c r="H1470" s="1033"/>
      <c r="I1470" s="1033"/>
      <c r="J1470" s="1033"/>
      <c r="K1470" s="1033"/>
      <c r="L1470" s="1034"/>
      <c r="M1470" s="1033"/>
      <c r="N1470" s="1033"/>
      <c r="O1470" s="1033"/>
      <c r="P1470" s="1033"/>
      <c r="Q1470" s="1034"/>
      <c r="R1470" s="1033"/>
      <c r="S1470" s="1033"/>
      <c r="T1470" s="1033"/>
      <c r="U1470" s="1033"/>
      <c r="V1470" s="1034"/>
      <c r="W1470" s="1033"/>
      <c r="X1470" s="1033"/>
      <c r="Y1470" s="1033"/>
      <c r="Z1470" s="1033"/>
      <c r="AA1470" s="1034"/>
      <c r="AB1470" s="1040"/>
      <c r="AC1470" s="1040"/>
      <c r="AD1470" s="1040"/>
      <c r="AE1470" s="1041"/>
      <c r="AF1470" s="1036"/>
      <c r="AG1470" s="1041"/>
      <c r="AH1470" s="1041"/>
      <c r="AI1470" s="1041"/>
      <c r="AJ1470" s="1041"/>
      <c r="AK1470" s="1036"/>
      <c r="AL1470" s="1039"/>
      <c r="AM1470" s="1039"/>
      <c r="AN1470" s="1039"/>
      <c r="AO1470" s="1039"/>
      <c r="AP1470" s="1042"/>
      <c r="AQ1470" s="1042"/>
      <c r="AR1470" s="1044"/>
      <c r="AS1470" s="1044"/>
      <c r="AT1470" s="1044"/>
      <c r="AU1470" s="1043"/>
      <c r="AV1470" s="1042"/>
      <c r="AW1470" s="1044"/>
      <c r="AX1470" s="1044"/>
      <c r="AY1470" s="1929"/>
      <c r="AZ1470" s="1043"/>
      <c r="BA1470" s="1042"/>
      <c r="BB1470" s="1044"/>
      <c r="BC1470" s="1044"/>
      <c r="BD1470" s="1929"/>
      <c r="BE1470" s="1929"/>
      <c r="BF1470" s="1044"/>
      <c r="BG1470" s="1044"/>
      <c r="BH1470" s="1044"/>
      <c r="BI1470" s="1929"/>
      <c r="BJ1470" s="1929"/>
      <c r="BK1470" s="1044"/>
      <c r="BL1470" s="1044"/>
      <c r="BM1470" s="1044"/>
      <c r="BN1470" s="1929"/>
      <c r="BO1470" s="1929"/>
      <c r="BP1470" s="1044"/>
      <c r="BQ1470" s="1044"/>
      <c r="BR1470" s="1044"/>
      <c r="BS1470" s="1044"/>
      <c r="BT1470" s="3256"/>
      <c r="BU1470" s="3426"/>
      <c r="BV1470" s="3308"/>
      <c r="BW1470" s="3308"/>
      <c r="BX1470" s="3308"/>
      <c r="BY1470" s="1043"/>
      <c r="BZ1470" s="1043"/>
      <c r="CA1470" s="1043"/>
      <c r="CB1470" s="1043"/>
      <c r="CC1470" s="1043"/>
      <c r="CD1470" s="1043"/>
      <c r="CE1470" s="1043"/>
      <c r="CF1470" s="1043"/>
      <c r="CG1470" s="980"/>
      <c r="CH1470" s="980"/>
      <c r="CI1470" s="980"/>
      <c r="CJ1470" s="980"/>
      <c r="CK1470" s="980"/>
      <c r="CL1470" s="520" t="str">
        <f>A1470</f>
        <v>Other notes payable</v>
      </c>
      <c r="CM1470" s="2013"/>
      <c r="CN1470" s="2013"/>
      <c r="CO1470" s="2013"/>
      <c r="CP1470" s="2013"/>
      <c r="CQ1470" s="2013"/>
      <c r="CR1470" s="2013"/>
      <c r="CS1470" s="2013"/>
      <c r="CT1470" s="2013"/>
      <c r="CU1470" s="2013"/>
      <c r="CV1470" s="2013"/>
      <c r="CW1470" s="2013"/>
      <c r="CX1470" s="2013"/>
      <c r="CY1470" s="2013"/>
      <c r="CZ1470" s="2013"/>
      <c r="DA1470" s="2013"/>
      <c r="DB1470" s="2013"/>
      <c r="DC1470" s="2044"/>
      <c r="DD1470" s="980"/>
      <c r="DE1470" s="980"/>
      <c r="DF1470" s="981"/>
      <c r="DG1470" s="981"/>
      <c r="DH1470" s="3308"/>
      <c r="DI1470" s="3213"/>
      <c r="DJ1470" s="981"/>
      <c r="DK1470" s="981"/>
      <c r="DL1470" s="981"/>
      <c r="DM1470" s="981"/>
      <c r="DN1470" s="981"/>
      <c r="DO1470" s="981"/>
      <c r="DP1470" s="981"/>
      <c r="DQ1470" s="981"/>
      <c r="DR1470" s="630"/>
      <c r="DS1470" s="630"/>
      <c r="DT1470" s="630"/>
    </row>
    <row r="1471" spans="1:130" ht="12" hidden="1" customHeight="1" outlineLevel="1" x14ac:dyDescent="0.25">
      <c r="A1471" s="355" t="s">
        <v>1012</v>
      </c>
      <c r="B1471" s="634" t="s">
        <v>682</v>
      </c>
      <c r="C1471" s="628"/>
      <c r="D1471" s="628"/>
      <c r="E1471" s="628"/>
      <c r="F1471" s="628"/>
      <c r="G1471" s="629"/>
      <c r="H1471" s="628"/>
      <c r="I1471" s="628"/>
      <c r="J1471" s="628"/>
      <c r="K1471" s="628"/>
      <c r="L1471" s="629"/>
      <c r="M1471" s="628"/>
      <c r="N1471" s="628"/>
      <c r="O1471" s="628"/>
      <c r="P1471" s="628"/>
      <c r="Q1471" s="629"/>
      <c r="R1471" s="628"/>
      <c r="S1471" s="628"/>
      <c r="T1471" s="628"/>
      <c r="U1471" s="628"/>
      <c r="V1471" s="629"/>
      <c r="W1471" s="628"/>
      <c r="X1471" s="628"/>
      <c r="Y1471" s="628"/>
      <c r="Z1471" s="628"/>
      <c r="AA1471" s="629"/>
      <c r="AB1471" s="634"/>
      <c r="AC1471" s="634"/>
      <c r="AD1471" s="634"/>
      <c r="AE1471" s="633"/>
      <c r="AF1471" s="621"/>
      <c r="AG1471" s="633"/>
      <c r="AH1471" s="633"/>
      <c r="AI1471" s="633"/>
      <c r="AJ1471" s="633"/>
      <c r="AK1471" s="621"/>
      <c r="AL1471" s="625"/>
      <c r="AM1471" s="625"/>
      <c r="AN1471" s="625"/>
      <c r="AO1471" s="625"/>
      <c r="AP1471" s="636"/>
      <c r="AQ1471" s="636"/>
      <c r="AR1471" s="638"/>
      <c r="AS1471" s="638"/>
      <c r="AT1471" s="638"/>
      <c r="AU1471" s="637"/>
      <c r="AV1471" s="636"/>
      <c r="AW1471" s="638"/>
      <c r="AX1471" s="638"/>
      <c r="AY1471" s="1930"/>
      <c r="AZ1471" s="637"/>
      <c r="BA1471" s="636"/>
      <c r="BB1471" s="638"/>
      <c r="BC1471" s="638"/>
      <c r="BD1471" s="1930"/>
      <c r="BE1471" s="1930"/>
      <c r="BF1471" s="638"/>
      <c r="BG1471" s="638"/>
      <c r="BH1471" s="638"/>
      <c r="BI1471" s="1930"/>
      <c r="BJ1471" s="1930"/>
      <c r="BK1471" s="638"/>
      <c r="BL1471" s="638"/>
      <c r="BM1471" s="638"/>
      <c r="BN1471" s="1930"/>
      <c r="BO1471" s="1930"/>
      <c r="BP1471" s="638"/>
      <c r="BQ1471" s="638"/>
      <c r="BR1471" s="638"/>
      <c r="BS1471" s="638"/>
      <c r="BT1471" s="3257"/>
      <c r="BU1471" s="3427"/>
      <c r="BV1471" s="3309"/>
      <c r="BW1471" s="3309"/>
      <c r="BX1471" s="3309"/>
      <c r="BY1471" s="637"/>
      <c r="BZ1471" s="637"/>
      <c r="CA1471" s="637"/>
      <c r="CB1471" s="637"/>
      <c r="CC1471" s="637"/>
      <c r="CD1471" s="637"/>
      <c r="CE1471" s="637"/>
      <c r="CF1471" s="637"/>
      <c r="CG1471" s="980"/>
      <c r="CH1471" s="980"/>
      <c r="CI1471" s="980"/>
      <c r="CJ1471" s="980"/>
      <c r="CK1471" s="980"/>
      <c r="CL1471" s="995" t="str">
        <f>A1471</f>
        <v>Other notes payable (Future Debt)</v>
      </c>
      <c r="CM1471" s="2014"/>
      <c r="CN1471" s="2014"/>
      <c r="CO1471" s="2014"/>
      <c r="CP1471" s="2014"/>
      <c r="CQ1471" s="2014"/>
      <c r="CR1471" s="2014"/>
      <c r="CS1471" s="2014"/>
      <c r="CT1471" s="2014"/>
      <c r="CU1471" s="2014"/>
      <c r="CV1471" s="2014"/>
      <c r="CW1471" s="2014"/>
      <c r="CX1471" s="2014"/>
      <c r="CY1471" s="2014"/>
      <c r="CZ1471" s="2014"/>
      <c r="DA1471" s="2014"/>
      <c r="DB1471" s="2014"/>
      <c r="DC1471" s="2045"/>
      <c r="DD1471" s="980"/>
      <c r="DE1471" s="980"/>
      <c r="DF1471" s="981"/>
      <c r="DG1471" s="981"/>
      <c r="DH1471" s="3309"/>
      <c r="DI1471" s="3213"/>
      <c r="DJ1471" s="981"/>
      <c r="DK1471" s="981"/>
      <c r="DL1471" s="981"/>
      <c r="DM1471" s="981"/>
      <c r="DN1471" s="981"/>
      <c r="DO1471" s="981"/>
      <c r="DP1471" s="981"/>
      <c r="DQ1471" s="981"/>
      <c r="DR1471" s="630"/>
      <c r="DS1471" s="630"/>
      <c r="DT1471" s="630"/>
    </row>
    <row r="1472" spans="1:130" ht="12" hidden="1" customHeight="1" outlineLevel="1" x14ac:dyDescent="0.25">
      <c r="A1472" s="1951" t="s">
        <v>1143</v>
      </c>
      <c r="B1472" s="634">
        <v>0.11125</v>
      </c>
      <c r="C1472" s="619">
        <f>$B$1472</f>
        <v>0.11125</v>
      </c>
      <c r="D1472" s="619">
        <f>$B$1472</f>
        <v>0.11125</v>
      </c>
      <c r="E1472" s="619">
        <f>$B$1472</f>
        <v>0.11125</v>
      </c>
      <c r="F1472" s="619">
        <f>$B$1472</f>
        <v>0.11125</v>
      </c>
      <c r="G1472" s="621">
        <f>AVERAGE(C1472:F1472)</f>
        <v>0.11125</v>
      </c>
      <c r="H1472" s="619">
        <f>$B$1472</f>
        <v>0.11125</v>
      </c>
      <c r="I1472" s="628"/>
      <c r="J1472" s="628"/>
      <c r="K1472" s="628"/>
      <c r="L1472" s="621">
        <f>AVERAGE(H1472:K1472)</f>
        <v>0.11125</v>
      </c>
      <c r="M1472" s="628"/>
      <c r="N1472" s="628"/>
      <c r="O1472" s="628"/>
      <c r="P1472" s="628"/>
      <c r="Q1472" s="629"/>
      <c r="R1472" s="628"/>
      <c r="S1472" s="628"/>
      <c r="T1472" s="628"/>
      <c r="U1472" s="628"/>
      <c r="V1472" s="629"/>
      <c r="W1472" s="628"/>
      <c r="X1472" s="628"/>
      <c r="Y1472" s="628"/>
      <c r="Z1472" s="628"/>
      <c r="AA1472" s="629"/>
      <c r="AB1472" s="639"/>
      <c r="AC1472" s="639"/>
      <c r="AD1472" s="639"/>
      <c r="AE1472" s="640"/>
      <c r="AF1472" s="621"/>
      <c r="AG1472" s="640"/>
      <c r="AH1472" s="640"/>
      <c r="AI1472" s="640"/>
      <c r="AJ1472" s="640"/>
      <c r="AK1472" s="621"/>
      <c r="AL1472" s="625"/>
      <c r="AM1472" s="625"/>
      <c r="AN1472" s="625"/>
      <c r="AO1472" s="625"/>
      <c r="AP1472" s="641"/>
      <c r="AQ1472" s="641"/>
      <c r="AR1472" s="643"/>
      <c r="AS1472" s="643"/>
      <c r="AT1472" s="643"/>
      <c r="AU1472" s="642"/>
      <c r="AV1472" s="641"/>
      <c r="AW1472" s="643"/>
      <c r="AX1472" s="643"/>
      <c r="AY1472" s="1931"/>
      <c r="AZ1472" s="642"/>
      <c r="BA1472" s="641"/>
      <c r="BB1472" s="643"/>
      <c r="BC1472" s="643"/>
      <c r="BD1472" s="1931"/>
      <c r="BE1472" s="642"/>
      <c r="BF1472" s="643"/>
      <c r="BG1472" s="643"/>
      <c r="BH1472" s="643"/>
      <c r="BI1472" s="1931"/>
      <c r="BJ1472" s="642"/>
      <c r="BK1472" s="643"/>
      <c r="BL1472" s="643"/>
      <c r="BM1472" s="643"/>
      <c r="BN1472" s="1931"/>
      <c r="BO1472" s="642"/>
      <c r="BP1472" s="643"/>
      <c r="BQ1472" s="643"/>
      <c r="BR1472" s="643"/>
      <c r="BS1472" s="643"/>
      <c r="BT1472" s="3258"/>
      <c r="BU1472" s="3428"/>
      <c r="BV1472" s="3310"/>
      <c r="BW1472" s="3310"/>
      <c r="BX1472" s="3310"/>
      <c r="BY1472" s="642"/>
      <c r="BZ1472" s="642"/>
      <c r="CA1472" s="642"/>
      <c r="CB1472" s="642"/>
      <c r="CC1472" s="642"/>
      <c r="CD1472" s="642"/>
      <c r="CE1472" s="642"/>
      <c r="CF1472" s="642"/>
      <c r="CG1472" s="980"/>
      <c r="CH1472" s="980"/>
      <c r="CI1472" s="980"/>
      <c r="CJ1472" s="980"/>
      <c r="CK1472" s="980"/>
      <c r="CL1472" s="2040" t="str">
        <f>A1472</f>
        <v>$200 million 11 1/8% Sr Sub Notes</v>
      </c>
      <c r="CM1472" s="632">
        <f>G1472</f>
        <v>0.11125</v>
      </c>
      <c r="CN1472" s="632">
        <f>L1472</f>
        <v>0.11125</v>
      </c>
      <c r="CO1472" s="632"/>
      <c r="CP1472" s="632"/>
      <c r="CQ1472" s="632"/>
      <c r="CR1472" s="632"/>
      <c r="CS1472" s="632"/>
      <c r="CT1472" s="632"/>
      <c r="CU1472" s="632"/>
      <c r="CV1472" s="632"/>
      <c r="CW1472" s="632"/>
      <c r="CX1472" s="632"/>
      <c r="CY1472" s="632"/>
      <c r="CZ1472" s="632"/>
      <c r="DA1472" s="632"/>
      <c r="DB1472" s="632"/>
      <c r="DC1472" s="2046"/>
      <c r="DD1472" s="980"/>
      <c r="DE1472" s="980"/>
      <c r="DF1472" s="981"/>
      <c r="DG1472" s="981"/>
      <c r="DH1472" s="3310"/>
      <c r="DI1472" s="3213"/>
      <c r="DJ1472" s="981"/>
      <c r="DK1472" s="981"/>
      <c r="DL1472" s="981"/>
      <c r="DM1472" s="981"/>
      <c r="DN1472" s="981"/>
      <c r="DO1472" s="981"/>
      <c r="DP1472" s="981"/>
      <c r="DQ1472" s="981"/>
      <c r="DR1472" s="630"/>
      <c r="DS1472" s="630"/>
      <c r="DT1472" s="630"/>
    </row>
    <row r="1473" spans="1:130" ht="12" hidden="1" customHeight="1" outlineLevel="1" x14ac:dyDescent="0.25">
      <c r="A1473" s="355" t="s">
        <v>1144</v>
      </c>
      <c r="B1473" s="634">
        <v>8.8749999999999996E-2</v>
      </c>
      <c r="C1473" s="619">
        <f>$B$1473</f>
        <v>8.8749999999999996E-2</v>
      </c>
      <c r="D1473" s="619">
        <f>$B$1473</f>
        <v>8.8749999999999996E-2</v>
      </c>
      <c r="E1473" s="619">
        <f>$B$1473</f>
        <v>8.8749999999999996E-2</v>
      </c>
      <c r="F1473" s="619">
        <f>$B$1473</f>
        <v>8.8749999999999996E-2</v>
      </c>
      <c r="G1473" s="621">
        <f>AVERAGE(C1473:F1473)</f>
        <v>8.8749999999999996E-2</v>
      </c>
      <c r="H1473" s="619">
        <f>$B$1473</f>
        <v>8.8749999999999996E-2</v>
      </c>
      <c r="I1473" s="619">
        <f>$B$1473</f>
        <v>8.8749999999999996E-2</v>
      </c>
      <c r="J1473" s="619">
        <f>$B$1473</f>
        <v>8.8749999999999996E-2</v>
      </c>
      <c r="K1473" s="619">
        <f>$B$1473</f>
        <v>8.8749999999999996E-2</v>
      </c>
      <c r="L1473" s="621">
        <f>AVERAGE(H1473:K1473)</f>
        <v>8.8749999999999996E-2</v>
      </c>
      <c r="M1473" s="619">
        <f>$B$1473</f>
        <v>8.8749999999999996E-2</v>
      </c>
      <c r="N1473" s="628"/>
      <c r="O1473" s="628"/>
      <c r="P1473" s="628"/>
      <c r="Q1473" s="621">
        <f>AVERAGE(M1473:P1473)</f>
        <v>8.8749999999999996E-2</v>
      </c>
      <c r="R1473" s="628"/>
      <c r="S1473" s="628"/>
      <c r="T1473" s="628"/>
      <c r="U1473" s="628"/>
      <c r="V1473" s="629"/>
      <c r="W1473" s="628"/>
      <c r="X1473" s="628"/>
      <c r="Y1473" s="628"/>
      <c r="Z1473" s="628"/>
      <c r="AA1473" s="629"/>
      <c r="AB1473" s="628"/>
      <c r="AC1473" s="628"/>
      <c r="AD1473" s="628"/>
      <c r="AE1473" s="644"/>
      <c r="AF1473" s="621"/>
      <c r="AG1473" s="640"/>
      <c r="AH1473" s="640"/>
      <c r="AI1473" s="640"/>
      <c r="AJ1473" s="640"/>
      <c r="AK1473" s="621"/>
      <c r="AL1473" s="625"/>
      <c r="AM1473" s="625"/>
      <c r="AN1473" s="625"/>
      <c r="AO1473" s="625"/>
      <c r="AP1473" s="641"/>
      <c r="AQ1473" s="641"/>
      <c r="AR1473" s="643"/>
      <c r="AS1473" s="643"/>
      <c r="AT1473" s="643"/>
      <c r="AU1473" s="642"/>
      <c r="AV1473" s="641"/>
      <c r="AW1473" s="643"/>
      <c r="AX1473" s="643"/>
      <c r="AY1473" s="1931"/>
      <c r="AZ1473" s="642"/>
      <c r="BA1473" s="641"/>
      <c r="BB1473" s="643"/>
      <c r="BC1473" s="643"/>
      <c r="BD1473" s="1931"/>
      <c r="BE1473" s="642"/>
      <c r="BF1473" s="643"/>
      <c r="BG1473" s="643"/>
      <c r="BH1473" s="643"/>
      <c r="BI1473" s="1931"/>
      <c r="BJ1473" s="642"/>
      <c r="BK1473" s="643"/>
      <c r="BL1473" s="643"/>
      <c r="BM1473" s="643"/>
      <c r="BN1473" s="1931"/>
      <c r="BO1473" s="642"/>
      <c r="BP1473" s="643"/>
      <c r="BQ1473" s="643"/>
      <c r="BR1473" s="643"/>
      <c r="BS1473" s="643"/>
      <c r="BT1473" s="3258"/>
      <c r="BU1473" s="3428"/>
      <c r="BV1473" s="3310"/>
      <c r="BW1473" s="3310"/>
      <c r="BX1473" s="3310"/>
      <c r="BY1473" s="642"/>
      <c r="BZ1473" s="642"/>
      <c r="CA1473" s="642"/>
      <c r="CB1473" s="642"/>
      <c r="CC1473" s="642"/>
      <c r="CD1473" s="642"/>
      <c r="CE1473" s="642"/>
      <c r="CF1473" s="642"/>
      <c r="CG1473" s="980"/>
      <c r="CH1473" s="980"/>
      <c r="CI1473" s="980"/>
      <c r="CJ1473" s="980"/>
      <c r="CK1473" s="980"/>
      <c r="CL1473" s="995" t="str">
        <f>A1473</f>
        <v>$175 million 8 7/8% Sr Sub Notes</v>
      </c>
      <c r="CM1473" s="632">
        <f>G1473</f>
        <v>8.8749999999999996E-2</v>
      </c>
      <c r="CN1473" s="632">
        <f>L1473</f>
        <v>8.8749999999999996E-2</v>
      </c>
      <c r="CO1473" s="632">
        <f>Q1473</f>
        <v>8.8749999999999996E-2</v>
      </c>
      <c r="CP1473" s="632"/>
      <c r="CQ1473" s="632"/>
      <c r="CR1473" s="632"/>
      <c r="CS1473" s="632"/>
      <c r="CT1473" s="632"/>
      <c r="CU1473" s="632"/>
      <c r="CV1473" s="632"/>
      <c r="CW1473" s="632"/>
      <c r="CX1473" s="632"/>
      <c r="CY1473" s="632"/>
      <c r="CZ1473" s="632"/>
      <c r="DA1473" s="632"/>
      <c r="DB1473" s="632"/>
      <c r="DC1473" s="2046"/>
      <c r="DD1473" s="980"/>
      <c r="DE1473" s="980"/>
      <c r="DF1473" s="981"/>
      <c r="DG1473" s="981"/>
      <c r="DH1473" s="3310"/>
      <c r="DI1473" s="3213"/>
      <c r="DJ1473" s="981"/>
      <c r="DK1473" s="981"/>
      <c r="DL1473" s="981"/>
      <c r="DM1473" s="981"/>
      <c r="DN1473" s="981"/>
      <c r="DO1473" s="981"/>
      <c r="DP1473" s="981"/>
      <c r="DQ1473" s="981"/>
      <c r="DR1473" s="630"/>
      <c r="DS1473" s="630"/>
      <c r="DT1473" s="630"/>
    </row>
    <row r="1474" spans="1:130" ht="12" customHeight="1" collapsed="1" x14ac:dyDescent="0.25">
      <c r="A1474" s="355"/>
      <c r="B1474" s="627"/>
      <c r="C1474" s="607"/>
      <c r="D1474" s="645"/>
      <c r="E1474" s="645"/>
      <c r="F1474" s="645"/>
      <c r="G1474" s="419"/>
      <c r="H1474" s="646"/>
      <c r="I1474" s="280"/>
      <c r="J1474" s="280"/>
      <c r="K1474" s="647"/>
      <c r="L1474" s="419"/>
      <c r="M1474" s="280"/>
      <c r="N1474" s="280"/>
      <c r="O1474" s="647"/>
      <c r="P1474" s="647"/>
      <c r="Q1474" s="419"/>
      <c r="R1474" s="473"/>
      <c r="S1474" s="647"/>
      <c r="T1474" s="647"/>
      <c r="U1474" s="647"/>
      <c r="V1474" s="419"/>
      <c r="W1474" s="648"/>
      <c r="X1474" s="648"/>
      <c r="Y1474" s="648"/>
      <c r="Z1474" s="648"/>
      <c r="AA1474" s="419"/>
      <c r="AB1474" s="648"/>
      <c r="AC1474" s="648"/>
      <c r="AD1474" s="648"/>
      <c r="AE1474" s="649"/>
      <c r="AF1474" s="650"/>
      <c r="AG1474" s="649"/>
      <c r="AH1474" s="649"/>
      <c r="AI1474" s="649"/>
      <c r="AJ1474" s="649"/>
      <c r="AK1474" s="650"/>
      <c r="AL1474" s="651"/>
      <c r="AM1474" s="651"/>
      <c r="AN1474" s="651"/>
      <c r="AO1474" s="651"/>
      <c r="AP1474" s="652"/>
      <c r="AQ1474" s="652"/>
      <c r="AR1474" s="651"/>
      <c r="AS1474" s="651"/>
      <c r="AT1474" s="651"/>
      <c r="AU1474" s="650"/>
      <c r="AV1474" s="652"/>
      <c r="AW1474" s="651"/>
      <c r="AX1474" s="651"/>
      <c r="AY1474" s="1932"/>
      <c r="AZ1474" s="650"/>
      <c r="BA1474" s="652"/>
      <c r="BB1474" s="651"/>
      <c r="BC1474" s="651"/>
      <c r="BD1474" s="1932"/>
      <c r="BE1474" s="650"/>
      <c r="BF1474" s="651"/>
      <c r="BG1474" s="651"/>
      <c r="BH1474" s="651"/>
      <c r="BI1474" s="1932"/>
      <c r="BJ1474" s="650"/>
      <c r="BK1474" s="651"/>
      <c r="BL1474" s="651"/>
      <c r="BM1474" s="651"/>
      <c r="BN1474" s="1932"/>
      <c r="BO1474" s="650"/>
      <c r="BP1474" s="651"/>
      <c r="BQ1474" s="651"/>
      <c r="BR1474" s="651"/>
      <c r="BS1474" s="651"/>
      <c r="BT1474" s="3259"/>
      <c r="BU1474" s="3429"/>
      <c r="BV1474" s="3311"/>
      <c r="BW1474" s="3311"/>
      <c r="BX1474" s="3311"/>
      <c r="BY1474" s="3259"/>
      <c r="BZ1474" s="650"/>
      <c r="CA1474" s="650"/>
      <c r="CB1474" s="650"/>
      <c r="CC1474" s="650"/>
      <c r="CD1474" s="650"/>
      <c r="CE1474" s="650"/>
      <c r="CF1474" s="650"/>
      <c r="CG1474" s="331"/>
      <c r="CH1474" s="331"/>
      <c r="CI1474" s="331"/>
      <c r="CJ1474" s="331"/>
      <c r="CK1474" s="331"/>
      <c r="CL1474" s="995"/>
      <c r="CM1474" s="651"/>
      <c r="CN1474" s="651"/>
      <c r="CO1474" s="651"/>
      <c r="CP1474" s="651"/>
      <c r="CQ1474" s="651"/>
      <c r="CR1474" s="651"/>
      <c r="CS1474" s="651"/>
      <c r="CT1474" s="651"/>
      <c r="CU1474" s="651"/>
      <c r="CV1474" s="651"/>
      <c r="CW1474" s="651"/>
      <c r="CX1474" s="651"/>
      <c r="CY1474" s="651"/>
      <c r="CZ1474" s="651"/>
      <c r="DA1474" s="651"/>
      <c r="DB1474" s="651"/>
      <c r="DC1474" s="1932"/>
      <c r="DD1474" s="331"/>
      <c r="DE1474" s="331"/>
      <c r="DF1474" s="502"/>
      <c r="DG1474" s="503"/>
      <c r="DH1474" s="3311"/>
      <c r="DI1474" s="3213"/>
      <c r="DJ1474" s="502"/>
      <c r="DK1474" s="503"/>
      <c r="DL1474" s="502"/>
      <c r="DM1474" s="502"/>
      <c r="DN1474" s="502"/>
      <c r="DO1474" s="502"/>
      <c r="DP1474" s="503"/>
      <c r="DQ1474" s="503"/>
      <c r="DR1474" s="296"/>
      <c r="DS1474" s="296"/>
      <c r="DT1474" s="296"/>
    </row>
    <row r="1475" spans="1:130" ht="12" customHeight="1" x14ac:dyDescent="0.25">
      <c r="A1475" s="533" t="s">
        <v>748</v>
      </c>
      <c r="B1475" s="11"/>
      <c r="C1475" s="11"/>
      <c r="D1475" s="11"/>
      <c r="E1475" s="11"/>
      <c r="F1475" s="11"/>
      <c r="G1475" s="419"/>
      <c r="H1475" s="11"/>
      <c r="I1475" s="11"/>
      <c r="J1475" s="11"/>
      <c r="K1475" s="11"/>
      <c r="L1475" s="419"/>
      <c r="M1475" s="11"/>
      <c r="N1475" s="11"/>
      <c r="O1475" s="11"/>
      <c r="P1475" s="11"/>
      <c r="Q1475" s="419"/>
      <c r="R1475" s="11"/>
      <c r="S1475" s="11"/>
      <c r="T1475" s="11"/>
      <c r="U1475" s="11"/>
      <c r="V1475" s="419"/>
      <c r="W1475" s="11"/>
      <c r="X1475" s="11"/>
      <c r="Y1475" s="11"/>
      <c r="Z1475" s="11"/>
      <c r="AA1475" s="419"/>
      <c r="AB1475" s="11"/>
      <c r="AC1475" s="11"/>
      <c r="AD1475" s="11"/>
      <c r="AE1475" s="296"/>
      <c r="AF1475" s="429"/>
      <c r="AG1475" s="296"/>
      <c r="AH1475" s="296"/>
      <c r="AI1475" s="296"/>
      <c r="AJ1475" s="296"/>
      <c r="AK1475" s="429"/>
      <c r="AL1475" s="428"/>
      <c r="AM1475" s="428"/>
      <c r="AN1475" s="428"/>
      <c r="AO1475" s="428"/>
      <c r="AP1475" s="520"/>
      <c r="AQ1475" s="520"/>
      <c r="AR1475" s="428"/>
      <c r="AS1475" s="428"/>
      <c r="AT1475" s="428"/>
      <c r="AU1475" s="429"/>
      <c r="AV1475" s="520"/>
      <c r="AW1475" s="428"/>
      <c r="AX1475" s="428"/>
      <c r="AY1475" s="840"/>
      <c r="AZ1475" s="429"/>
      <c r="BA1475" s="520"/>
      <c r="BB1475" s="428"/>
      <c r="BC1475" s="428"/>
      <c r="BD1475" s="840"/>
      <c r="BE1475" s="429"/>
      <c r="BF1475" s="428"/>
      <c r="BG1475" s="428"/>
      <c r="BH1475" s="428"/>
      <c r="BI1475" s="840"/>
      <c r="BJ1475" s="429"/>
      <c r="BK1475" s="428"/>
      <c r="BL1475" s="428"/>
      <c r="BM1475" s="428"/>
      <c r="BN1475" s="840"/>
      <c r="BO1475" s="429"/>
      <c r="BP1475" s="428"/>
      <c r="BQ1475" s="428"/>
      <c r="BR1475" s="428"/>
      <c r="BS1475" s="428"/>
      <c r="BT1475" s="3252"/>
      <c r="BU1475" s="2774"/>
      <c r="BV1475" s="3011"/>
      <c r="BW1475" s="3011"/>
      <c r="BX1475" s="3011"/>
      <c r="BY1475" s="3252"/>
      <c r="BZ1475" s="429"/>
      <c r="CA1475" s="429"/>
      <c r="CB1475" s="429"/>
      <c r="CC1475" s="429"/>
      <c r="CD1475" s="429"/>
      <c r="CE1475" s="429"/>
      <c r="CF1475" s="429"/>
      <c r="CG1475" s="331"/>
      <c r="CH1475" s="331"/>
      <c r="CI1475" s="331"/>
      <c r="CJ1475" s="331"/>
      <c r="CK1475" s="331"/>
      <c r="CL1475" s="1149" t="str">
        <f t="shared" ref="CL1475:CL1486" si="3336">A1475</f>
        <v>Interest Expense Summary</v>
      </c>
      <c r="CM1475" s="428"/>
      <c r="CN1475" s="428"/>
      <c r="CO1475" s="428"/>
      <c r="CP1475" s="428"/>
      <c r="CQ1475" s="428"/>
      <c r="CR1475" s="428"/>
      <c r="CS1475" s="428"/>
      <c r="CT1475" s="428"/>
      <c r="CU1475" s="428"/>
      <c r="CV1475" s="428"/>
      <c r="CW1475" s="428"/>
      <c r="CX1475" s="428"/>
      <c r="CY1475" s="428"/>
      <c r="CZ1475" s="428"/>
      <c r="DA1475" s="428"/>
      <c r="DB1475" s="428"/>
      <c r="DC1475" s="840"/>
      <c r="DD1475" s="331"/>
      <c r="DE1475" s="331"/>
      <c r="DF1475" s="502"/>
      <c r="DG1475" s="503"/>
      <c r="DH1475" s="3011"/>
      <c r="DI1475" s="3213"/>
      <c r="DJ1475" s="502"/>
      <c r="DK1475" s="503"/>
      <c r="DL1475" s="502"/>
      <c r="DM1475" s="502"/>
      <c r="DN1475" s="502"/>
      <c r="DO1475" s="502"/>
      <c r="DP1475" s="503"/>
      <c r="DQ1475" s="503"/>
      <c r="DR1475" s="296"/>
      <c r="DS1475" s="296"/>
      <c r="DT1475" s="296"/>
    </row>
    <row r="1476" spans="1:130" ht="12" customHeight="1" x14ac:dyDescent="0.25">
      <c r="A1476" s="1954" t="s">
        <v>1146</v>
      </c>
      <c r="B1476" s="11"/>
      <c r="C1476" s="543">
        <f>((B1377+C1377)/2)*C1445/4</f>
        <v>0</v>
      </c>
      <c r="D1476" s="543">
        <f>((C1377+D1377)/2)*D1445/4</f>
        <v>0</v>
      </c>
      <c r="E1476" s="543">
        <f>((D1377+E1377)/2)*E1445/4</f>
        <v>0</v>
      </c>
      <c r="F1476" s="543">
        <f>((E1377+F1377)/2)*F1445/4</f>
        <v>0</v>
      </c>
      <c r="G1476" s="510">
        <f>SUM(C1476:F1476)</f>
        <v>0</v>
      </c>
      <c r="H1476" s="543">
        <f>((G1377+H1377)/2)*H1445/4</f>
        <v>0</v>
      </c>
      <c r="I1476" s="543">
        <f>((H1377+I1377)/2)*I1445/4</f>
        <v>0</v>
      </c>
      <c r="J1476" s="543">
        <f>((I1377+J1377)/2)*J1445/4</f>
        <v>0</v>
      </c>
      <c r="K1476" s="543">
        <f>K1377*K1445/4</f>
        <v>2.7085681500000005</v>
      </c>
      <c r="L1476" s="510">
        <f>SUM(H1476:K1476)</f>
        <v>2.7085681500000005</v>
      </c>
      <c r="M1476" s="543">
        <f>((L1377+M1377)/2)*M1445/4</f>
        <v>3.8782631249999997</v>
      </c>
      <c r="N1476" s="543">
        <f>((M1377+N1377)/2)*N1445/4</f>
        <v>6.0985750000000012</v>
      </c>
      <c r="O1476" s="543">
        <f>((N1377+O1377)/2)*O1445/4</f>
        <v>6.4173728174603175</v>
      </c>
      <c r="P1476" s="543">
        <f>((O1377+P1377)/2)*P1445/4</f>
        <v>6.4137420000000001</v>
      </c>
      <c r="Q1476" s="510">
        <f>SUM(M1476:P1476)</f>
        <v>22.807952942460318</v>
      </c>
      <c r="R1476" s="543">
        <f>((Q1377+R1377)/2)*R1445/4</f>
        <v>6.4013080645161367</v>
      </c>
      <c r="S1476" s="543">
        <f>((R1377+S1377)/2)*S1445/4</f>
        <v>7.7398216796875117</v>
      </c>
      <c r="T1476" s="543">
        <f>((S1377+T1377)/2)*T1445/4</f>
        <v>8.7140725000000003</v>
      </c>
      <c r="U1476" s="543">
        <f>((T1377+U1377)/2)*U1445/4</f>
        <v>8.7592284445312494</v>
      </c>
      <c r="V1476" s="510">
        <f>SUM(R1476:U1476)</f>
        <v>31.614430688734899</v>
      </c>
      <c r="W1476" s="543">
        <f>((V1377+W1377)/2)*W1445/4</f>
        <v>7.2052557884615425</v>
      </c>
      <c r="X1476" s="543">
        <f>((W1377+X1377)/2)*X1445/4</f>
        <v>6.5249780000000008</v>
      </c>
      <c r="Y1476" s="543">
        <f>((X1377+Y1377)/2)*Y1445/4</f>
        <v>3.3936400574999999</v>
      </c>
      <c r="Z1476" s="543">
        <f>((Y1377+Z1377)/2)*Z1445/4</f>
        <v>0.88712878175000009</v>
      </c>
      <c r="AA1476" s="510">
        <f>SUM(W1476:Z1476)</f>
        <v>18.011002627711544</v>
      </c>
      <c r="AB1476" s="543">
        <f>((AA1377+AB1377)/2)*AB1445/4</f>
        <v>0.74831191875000025</v>
      </c>
      <c r="AC1476" s="543">
        <f>((AB1377+AC1377)/2)*AC1445/4</f>
        <v>0.66447814999999999</v>
      </c>
      <c r="AD1476" s="543">
        <f>(AC1431*AD1445/4)*(85/92)+(AD1431*AD1445/4)*(7/92)</f>
        <v>0.54514783936434774</v>
      </c>
      <c r="AE1476" s="608">
        <f>((AE1431+AD1431)/2)*AE1445/4</f>
        <v>0.28310086701749998</v>
      </c>
      <c r="AF1476" s="481">
        <f>SUM(AB1476:AE1476)</f>
        <v>2.2410387751318481</v>
      </c>
      <c r="AG1476" s="608">
        <f t="shared" ref="AG1476:AJ1477" si="3337">((AG1431+AF1431)/2)*AG1445/4</f>
        <v>0.29859401250000001</v>
      </c>
      <c r="AH1476" s="608">
        <f t="shared" si="3337"/>
        <v>0.14316699000000002</v>
      </c>
      <c r="AI1476" s="608">
        <f t="shared" si="3337"/>
        <v>0</v>
      </c>
      <c r="AJ1476" s="608">
        <f t="shared" si="3337"/>
        <v>4.9439962500000004E-2</v>
      </c>
      <c r="AK1476" s="481">
        <f>SUM(AG1476:AJ1476)</f>
        <v>0.49120096500000004</v>
      </c>
      <c r="AL1476" s="608">
        <f t="shared" ref="AL1476:AO1477" si="3338">((AL1431+AK1431)/2)*AL1445/4</f>
        <v>6.1906650000000008E-2</v>
      </c>
      <c r="AM1476" s="608">
        <f t="shared" si="3338"/>
        <v>2.0440875000000004E-2</v>
      </c>
      <c r="AN1476" s="608">
        <f t="shared" si="3338"/>
        <v>0</v>
      </c>
      <c r="AO1476" s="608">
        <f t="shared" si="3338"/>
        <v>0</v>
      </c>
      <c r="AP1476" s="483">
        <f>SUM(AL1476:AO1476)</f>
        <v>8.2347525000000005E-2</v>
      </c>
      <c r="AQ1476" s="483">
        <f t="shared" ref="AQ1476:AT1477" si="3339">((AQ1431+AP1431)/2)*AQ1445/4</f>
        <v>0</v>
      </c>
      <c r="AR1476" s="430">
        <f t="shared" si="3339"/>
        <v>0</v>
      </c>
      <c r="AS1476" s="430">
        <f t="shared" si="3339"/>
        <v>0</v>
      </c>
      <c r="AT1476" s="430">
        <f t="shared" si="3339"/>
        <v>0</v>
      </c>
      <c r="AU1476" s="481">
        <f>SUM(AQ1476:AT1476)</f>
        <v>0</v>
      </c>
      <c r="AV1476" s="483">
        <f t="shared" ref="AV1476:AY1477" si="3340">((AV1431+AU1431)/2)*AV1445/4</f>
        <v>0</v>
      </c>
      <c r="AW1476" s="430">
        <f t="shared" si="3340"/>
        <v>0</v>
      </c>
      <c r="AX1476" s="430">
        <f t="shared" si="3340"/>
        <v>0</v>
      </c>
      <c r="AY1476" s="853">
        <f t="shared" si="3340"/>
        <v>0</v>
      </c>
      <c r="AZ1476" s="481">
        <f>SUM(AV1476:AY1476)</f>
        <v>0</v>
      </c>
      <c r="BA1476" s="483">
        <f t="shared" ref="BA1476:BD1477" si="3341">((BA1431+AZ1431)/2)*BA1445/4</f>
        <v>0</v>
      </c>
      <c r="BB1476" s="430">
        <f t="shared" si="3341"/>
        <v>0</v>
      </c>
      <c r="BC1476" s="430">
        <f t="shared" si="3341"/>
        <v>0</v>
      </c>
      <c r="BD1476" s="853">
        <f t="shared" si="3341"/>
        <v>0</v>
      </c>
      <c r="BE1476" s="481">
        <f>SUM(BA1476:BD1476)</f>
        <v>0</v>
      </c>
      <c r="BF1476" s="430">
        <f t="shared" ref="BF1476:BI1477" si="3342">((BF1431+BE1431)/2)*BF1445/4</f>
        <v>0</v>
      </c>
      <c r="BG1476" s="430">
        <f t="shared" si="3342"/>
        <v>0</v>
      </c>
      <c r="BH1476" s="430">
        <f t="shared" si="3342"/>
        <v>0</v>
      </c>
      <c r="BI1476" s="853">
        <f t="shared" si="3342"/>
        <v>0</v>
      </c>
      <c r="BJ1476" s="481">
        <f>SUM(BF1476:BI1476)</f>
        <v>0</v>
      </c>
      <c r="BK1476" s="430">
        <f t="shared" ref="BK1476:BN1477" si="3343">((BK1431+BJ1431)/2)*BK1445/4</f>
        <v>0</v>
      </c>
      <c r="BL1476" s="430">
        <f t="shared" si="3343"/>
        <v>0</v>
      </c>
      <c r="BM1476" s="430">
        <f t="shared" si="3343"/>
        <v>0</v>
      </c>
      <c r="BN1476" s="853">
        <f t="shared" si="3343"/>
        <v>0</v>
      </c>
      <c r="BO1476" s="481">
        <f t="shared" ref="BO1476:BO1491" si="3344">SUM(BK1476:BN1476)</f>
        <v>0</v>
      </c>
      <c r="BP1476" s="430">
        <f t="shared" ref="BP1476:BS1477" si="3345">((BP1431+BO1431)/2)*BP1445/4</f>
        <v>0</v>
      </c>
      <c r="BQ1476" s="430">
        <f t="shared" si="3345"/>
        <v>0</v>
      </c>
      <c r="BR1476" s="430">
        <f t="shared" si="3345"/>
        <v>0</v>
      </c>
      <c r="BS1476" s="430">
        <f t="shared" si="3345"/>
        <v>0</v>
      </c>
      <c r="BT1476" s="2587">
        <f t="shared" ref="BT1476:BT1491" si="3346">SUM(BP1476:BS1476)</f>
        <v>0</v>
      </c>
      <c r="BU1476" s="2840">
        <f t="shared" ref="BU1476:BX1477" si="3347">((BU1431+BT1431)/2)*BU1445/4</f>
        <v>0</v>
      </c>
      <c r="BV1476" s="2840">
        <f t="shared" si="3347"/>
        <v>0</v>
      </c>
      <c r="BW1476" s="2840">
        <f t="shared" si="3347"/>
        <v>0</v>
      </c>
      <c r="BX1476" s="2840">
        <f t="shared" si="3347"/>
        <v>0</v>
      </c>
      <c r="BY1476" s="2587">
        <f t="shared" ref="BY1476:BY1491" si="3348">SUM(BU1476:BX1476)</f>
        <v>0</v>
      </c>
      <c r="BZ1476" s="481">
        <f t="shared" ref="BZ1476:CF1477" si="3349">((BZ1431+BY1431)/2)*BZ1445</f>
        <v>0</v>
      </c>
      <c r="CA1476" s="481">
        <f t="shared" si="3349"/>
        <v>0</v>
      </c>
      <c r="CB1476" s="481">
        <f t="shared" si="3349"/>
        <v>0</v>
      </c>
      <c r="CC1476" s="481">
        <f t="shared" si="3349"/>
        <v>0</v>
      </c>
      <c r="CD1476" s="481">
        <f t="shared" si="3349"/>
        <v>0</v>
      </c>
      <c r="CE1476" s="481">
        <f t="shared" si="3349"/>
        <v>0</v>
      </c>
      <c r="CF1476" s="481">
        <f t="shared" si="3349"/>
        <v>0</v>
      </c>
      <c r="CG1476" s="331"/>
      <c r="CH1476" s="331"/>
      <c r="CI1476" s="331"/>
      <c r="CJ1476" s="331"/>
      <c r="CK1476" s="331"/>
      <c r="CL1476" s="2043" t="str">
        <f t="shared" si="3336"/>
        <v>Senior secured facility - Revolver (A), due 10/10</v>
      </c>
      <c r="CM1476" s="430">
        <f t="shared" ref="CM1476:CM1486" si="3350">G1476</f>
        <v>0</v>
      </c>
      <c r="CN1476" s="430">
        <f t="shared" ref="CN1476:CN1486" si="3351">L1476</f>
        <v>2.7085681500000005</v>
      </c>
      <c r="CO1476" s="430">
        <f t="shared" ref="CO1476:CO1486" si="3352">Q1476</f>
        <v>22.807952942460318</v>
      </c>
      <c r="CP1476" s="430">
        <f t="shared" ref="CP1476:CP1486" si="3353">V1476</f>
        <v>31.614430688734899</v>
      </c>
      <c r="CQ1476" s="430">
        <f t="shared" ref="CQ1476:CQ1486" si="3354">AA1476</f>
        <v>18.011002627711544</v>
      </c>
      <c r="CR1476" s="430">
        <f t="shared" ref="CR1476:CR1486" si="3355">AF1476</f>
        <v>2.2410387751318481</v>
      </c>
      <c r="CS1476" s="430">
        <f t="shared" ref="CS1476:CS1486" si="3356">AK1476</f>
        <v>0.49120096500000004</v>
      </c>
      <c r="CT1476" s="430">
        <f t="shared" ref="CT1476:CT1486" si="3357">AP1476</f>
        <v>8.2347525000000005E-2</v>
      </c>
      <c r="CU1476" s="430">
        <f t="shared" ref="CU1476:CU1486" si="3358">AU1476</f>
        <v>0</v>
      </c>
      <c r="CV1476" s="430">
        <f t="shared" ref="CV1476:CV1486" si="3359">AZ1476</f>
        <v>0</v>
      </c>
      <c r="CW1476" s="430">
        <f t="shared" ref="CW1476:CW1486" si="3360">BE1476</f>
        <v>0</v>
      </c>
      <c r="CX1476" s="430">
        <f t="shared" ref="CX1476:CX1486" si="3361">BJ1476</f>
        <v>0</v>
      </c>
      <c r="CY1476" s="430">
        <f t="shared" ref="CY1476:CY1486" si="3362">BO1476</f>
        <v>0</v>
      </c>
      <c r="CZ1476" s="430">
        <f t="shared" ref="CZ1476:CZ1486" si="3363">BT1476</f>
        <v>0</v>
      </c>
      <c r="DA1476" s="430">
        <f t="shared" ref="DA1476:DA1486" si="3364">BY1476</f>
        <v>0</v>
      </c>
      <c r="DB1476" s="430">
        <f t="shared" ref="DB1476:DB1486" si="3365">BZ1476</f>
        <v>0</v>
      </c>
      <c r="DC1476" s="853">
        <f t="shared" ref="DC1476:DC1486" si="3366">CA1476</f>
        <v>0</v>
      </c>
      <c r="DD1476" s="331"/>
      <c r="DE1476" s="331"/>
      <c r="DF1476" s="502"/>
      <c r="DG1476" s="503"/>
      <c r="DH1476" s="2840"/>
      <c r="DI1476" s="3213"/>
      <c r="DJ1476" s="502"/>
      <c r="DK1476" s="503"/>
      <c r="DL1476" s="502"/>
      <c r="DM1476" s="502"/>
      <c r="DN1476" s="502"/>
      <c r="DO1476" s="502"/>
      <c r="DP1476" s="503"/>
      <c r="DQ1476" s="503"/>
      <c r="DR1476" s="296"/>
      <c r="DS1476" s="296"/>
      <c r="DT1476" s="296"/>
    </row>
    <row r="1477" spans="1:130" ht="12" customHeight="1" x14ac:dyDescent="0.25">
      <c r="A1477" s="1954" t="s">
        <v>1147</v>
      </c>
      <c r="B1477" s="11"/>
      <c r="C1477" s="543">
        <v>0</v>
      </c>
      <c r="D1477" s="543">
        <v>0</v>
      </c>
      <c r="E1477" s="543">
        <v>0</v>
      </c>
      <c r="F1477" s="543">
        <v>0</v>
      </c>
      <c r="G1477" s="510">
        <f>SUM(C1477:F1477)</f>
        <v>0</v>
      </c>
      <c r="H1477" s="543">
        <v>0</v>
      </c>
      <c r="I1477" s="543">
        <v>0</v>
      </c>
      <c r="J1477" s="543">
        <v>0</v>
      </c>
      <c r="K1477" s="543">
        <v>0</v>
      </c>
      <c r="L1477" s="510">
        <f>SUM(H1477:K1477)</f>
        <v>0</v>
      </c>
      <c r="M1477" s="543">
        <v>0</v>
      </c>
      <c r="N1477" s="543">
        <v>0</v>
      </c>
      <c r="O1477" s="543">
        <v>0</v>
      </c>
      <c r="P1477" s="543">
        <v>0</v>
      </c>
      <c r="Q1477" s="510">
        <f>SUM(M1477:P1477)</f>
        <v>0</v>
      </c>
      <c r="R1477" s="543">
        <v>0</v>
      </c>
      <c r="S1477" s="543">
        <v>0</v>
      </c>
      <c r="T1477" s="543">
        <v>0</v>
      </c>
      <c r="U1477" s="543">
        <v>0</v>
      </c>
      <c r="V1477" s="510">
        <f>SUM(R1477:U1477)</f>
        <v>0</v>
      </c>
      <c r="W1477" s="543">
        <v>0</v>
      </c>
      <c r="X1477" s="543">
        <v>0</v>
      </c>
      <c r="Y1477" s="543">
        <v>0</v>
      </c>
      <c r="Z1477" s="543">
        <v>0</v>
      </c>
      <c r="AA1477" s="510">
        <f>SUM(W1477:Z1477)</f>
        <v>0</v>
      </c>
      <c r="AB1477" s="543">
        <v>0</v>
      </c>
      <c r="AC1477" s="543">
        <v>0</v>
      </c>
      <c r="AD1477" s="543">
        <f>(AD1432*AD1446/4)*(7/92)</f>
        <v>6.8442266613913047E-2</v>
      </c>
      <c r="AE1477" s="608">
        <f>((AE1432+AD1432)/2)*AE1446/4</f>
        <v>1.0031902579825001</v>
      </c>
      <c r="AF1477" s="481">
        <f>SUM(AB1477:AE1477)</f>
        <v>1.0716325245964131</v>
      </c>
      <c r="AG1477" s="608">
        <f t="shared" si="3337"/>
        <v>1.064436975</v>
      </c>
      <c r="AH1477" s="608">
        <f t="shared" si="3337"/>
        <v>0.50213430999999986</v>
      </c>
      <c r="AI1477" s="608">
        <f t="shared" si="3337"/>
        <v>0</v>
      </c>
      <c r="AJ1477" s="608">
        <f t="shared" si="3337"/>
        <v>0.17340241249999999</v>
      </c>
      <c r="AK1477" s="481">
        <f>SUM(AG1477:AJ1477)</f>
        <v>1.7399736974999997</v>
      </c>
      <c r="AL1477" s="608">
        <f t="shared" si="3338"/>
        <v>0.23766260000000003</v>
      </c>
      <c r="AM1477" s="608">
        <f t="shared" si="3338"/>
        <v>7.8473500000000002E-2</v>
      </c>
      <c r="AN1477" s="608">
        <f t="shared" si="3338"/>
        <v>0</v>
      </c>
      <c r="AO1477" s="608">
        <f t="shared" si="3338"/>
        <v>0</v>
      </c>
      <c r="AP1477" s="483">
        <f t="shared" ref="AP1477:AP1486" si="3367">SUM(AL1477:AO1477)</f>
        <v>0.31613610000000003</v>
      </c>
      <c r="AQ1477" s="483">
        <f t="shared" si="3339"/>
        <v>0</v>
      </c>
      <c r="AR1477" s="430">
        <f t="shared" si="3339"/>
        <v>0</v>
      </c>
      <c r="AS1477" s="430">
        <f t="shared" si="3339"/>
        <v>0</v>
      </c>
      <c r="AT1477" s="430">
        <f t="shared" si="3339"/>
        <v>0</v>
      </c>
      <c r="AU1477" s="481">
        <f t="shared" ref="AU1477:AU1486" si="3368">SUM(AQ1477:AT1477)</f>
        <v>0</v>
      </c>
      <c r="AV1477" s="483">
        <f t="shared" si="3340"/>
        <v>0</v>
      </c>
      <c r="AW1477" s="430">
        <f t="shared" si="3340"/>
        <v>0</v>
      </c>
      <c r="AX1477" s="430">
        <f t="shared" si="3340"/>
        <v>0</v>
      </c>
      <c r="AY1477" s="853">
        <f t="shared" si="3340"/>
        <v>0</v>
      </c>
      <c r="AZ1477" s="481">
        <f t="shared" ref="AZ1477:AZ1501" si="3369">SUM(AV1477:AY1477)</f>
        <v>0</v>
      </c>
      <c r="BA1477" s="483">
        <f t="shared" si="3341"/>
        <v>0</v>
      </c>
      <c r="BB1477" s="430">
        <f t="shared" si="3341"/>
        <v>0</v>
      </c>
      <c r="BC1477" s="430">
        <f t="shared" si="3341"/>
        <v>0</v>
      </c>
      <c r="BD1477" s="853">
        <f t="shared" si="3341"/>
        <v>0</v>
      </c>
      <c r="BE1477" s="481">
        <f t="shared" ref="BE1477:BE1501" si="3370">SUM(BA1477:BD1477)</f>
        <v>0</v>
      </c>
      <c r="BF1477" s="430">
        <f t="shared" si="3342"/>
        <v>0</v>
      </c>
      <c r="BG1477" s="430">
        <f t="shared" si="3342"/>
        <v>0</v>
      </c>
      <c r="BH1477" s="430">
        <f t="shared" si="3342"/>
        <v>0</v>
      </c>
      <c r="BI1477" s="853">
        <f t="shared" si="3342"/>
        <v>0</v>
      </c>
      <c r="BJ1477" s="481">
        <f t="shared" ref="BJ1477:BJ1501" si="3371">SUM(BF1477:BI1477)</f>
        <v>0</v>
      </c>
      <c r="BK1477" s="430">
        <f t="shared" si="3343"/>
        <v>0</v>
      </c>
      <c r="BL1477" s="430">
        <f t="shared" si="3343"/>
        <v>0</v>
      </c>
      <c r="BM1477" s="430">
        <f t="shared" si="3343"/>
        <v>0</v>
      </c>
      <c r="BN1477" s="853">
        <f t="shared" si="3343"/>
        <v>0</v>
      </c>
      <c r="BO1477" s="481">
        <f t="shared" si="3344"/>
        <v>0</v>
      </c>
      <c r="BP1477" s="430">
        <f t="shared" si="3345"/>
        <v>0</v>
      </c>
      <c r="BQ1477" s="430">
        <f t="shared" si="3345"/>
        <v>0</v>
      </c>
      <c r="BR1477" s="430">
        <f t="shared" si="3345"/>
        <v>0</v>
      </c>
      <c r="BS1477" s="430">
        <f t="shared" si="3345"/>
        <v>0</v>
      </c>
      <c r="BT1477" s="2587">
        <f t="shared" si="3346"/>
        <v>0</v>
      </c>
      <c r="BU1477" s="2840">
        <f t="shared" si="3347"/>
        <v>0</v>
      </c>
      <c r="BV1477" s="2840">
        <f t="shared" si="3347"/>
        <v>0</v>
      </c>
      <c r="BW1477" s="2840">
        <f t="shared" si="3347"/>
        <v>0</v>
      </c>
      <c r="BX1477" s="2840">
        <f t="shared" si="3347"/>
        <v>0</v>
      </c>
      <c r="BY1477" s="2587">
        <f t="shared" si="3348"/>
        <v>0</v>
      </c>
      <c r="BZ1477" s="481">
        <f t="shared" si="3349"/>
        <v>0</v>
      </c>
      <c r="CA1477" s="481">
        <f t="shared" si="3349"/>
        <v>0</v>
      </c>
      <c r="CB1477" s="481">
        <f t="shared" si="3349"/>
        <v>0</v>
      </c>
      <c r="CC1477" s="481">
        <f t="shared" si="3349"/>
        <v>0</v>
      </c>
      <c r="CD1477" s="481">
        <f t="shared" si="3349"/>
        <v>0</v>
      </c>
      <c r="CE1477" s="481">
        <f t="shared" si="3349"/>
        <v>0</v>
      </c>
      <c r="CF1477" s="481">
        <f t="shared" si="3349"/>
        <v>0</v>
      </c>
      <c r="CG1477" s="331"/>
      <c r="CH1477" s="331"/>
      <c r="CI1477" s="331"/>
      <c r="CJ1477" s="331"/>
      <c r="CK1477" s="331"/>
      <c r="CL1477" s="2043" t="str">
        <f t="shared" si="3336"/>
        <v>Senior secured facility - Revolver (B) due 7/12</v>
      </c>
      <c r="CM1477" s="430">
        <f t="shared" si="3350"/>
        <v>0</v>
      </c>
      <c r="CN1477" s="430">
        <f t="shared" si="3351"/>
        <v>0</v>
      </c>
      <c r="CO1477" s="430">
        <f t="shared" si="3352"/>
        <v>0</v>
      </c>
      <c r="CP1477" s="430">
        <f t="shared" si="3353"/>
        <v>0</v>
      </c>
      <c r="CQ1477" s="430">
        <f t="shared" si="3354"/>
        <v>0</v>
      </c>
      <c r="CR1477" s="430">
        <f t="shared" si="3355"/>
        <v>1.0716325245964131</v>
      </c>
      <c r="CS1477" s="430">
        <f t="shared" si="3356"/>
        <v>1.7399736974999997</v>
      </c>
      <c r="CT1477" s="430">
        <f t="shared" si="3357"/>
        <v>0.31613610000000003</v>
      </c>
      <c r="CU1477" s="430">
        <f t="shared" si="3358"/>
        <v>0</v>
      </c>
      <c r="CV1477" s="430">
        <f t="shared" si="3359"/>
        <v>0</v>
      </c>
      <c r="CW1477" s="430">
        <f t="shared" si="3360"/>
        <v>0</v>
      </c>
      <c r="CX1477" s="430">
        <f t="shared" si="3361"/>
        <v>0</v>
      </c>
      <c r="CY1477" s="430">
        <f t="shared" si="3362"/>
        <v>0</v>
      </c>
      <c r="CZ1477" s="430">
        <f t="shared" si="3363"/>
        <v>0</v>
      </c>
      <c r="DA1477" s="430">
        <f t="shared" si="3364"/>
        <v>0</v>
      </c>
      <c r="DB1477" s="430">
        <f t="shared" si="3365"/>
        <v>0</v>
      </c>
      <c r="DC1477" s="853">
        <f t="shared" si="3366"/>
        <v>0</v>
      </c>
      <c r="DD1477" s="331"/>
      <c r="DE1477" s="331"/>
      <c r="DF1477" s="502"/>
      <c r="DG1477" s="503"/>
      <c r="DH1477" s="2840"/>
      <c r="DI1477" s="3213"/>
      <c r="DJ1477" s="502"/>
      <c r="DK1477" s="503"/>
      <c r="DL1477" s="502"/>
      <c r="DM1477" s="502"/>
      <c r="DN1477" s="502"/>
      <c r="DO1477" s="502"/>
      <c r="DP1477" s="503"/>
      <c r="DQ1477" s="503"/>
      <c r="DR1477" s="296"/>
      <c r="DS1477" s="296"/>
      <c r="DT1477" s="296"/>
    </row>
    <row r="1478" spans="1:130" ht="12" customHeight="1" x14ac:dyDescent="0.25">
      <c r="A1478" s="1954" t="s">
        <v>579</v>
      </c>
      <c r="B1478" s="11"/>
      <c r="C1478" s="543">
        <f t="shared" ref="C1478:F1480" si="3372">((B1378+C1378)/2)*C1447/4</f>
        <v>0</v>
      </c>
      <c r="D1478" s="543">
        <f t="shared" si="3372"/>
        <v>0</v>
      </c>
      <c r="E1478" s="543">
        <f t="shared" si="3372"/>
        <v>0</v>
      </c>
      <c r="F1478" s="543">
        <f t="shared" si="3372"/>
        <v>0</v>
      </c>
      <c r="G1478" s="510">
        <f>SUM(C1478:F1478)</f>
        <v>0</v>
      </c>
      <c r="H1478" s="543">
        <f t="shared" ref="H1478:J1480" si="3373">((G1378+H1378)/2)*H1447/4</f>
        <v>0</v>
      </c>
      <c r="I1478" s="543">
        <f t="shared" si="3373"/>
        <v>0</v>
      </c>
      <c r="J1478" s="543">
        <f t="shared" si="3373"/>
        <v>0</v>
      </c>
      <c r="K1478" s="543">
        <f>K1378*K1447/4</f>
        <v>4.9454193750000011</v>
      </c>
      <c r="L1478" s="510">
        <f>SUM(H1478:K1478)</f>
        <v>4.9454193750000011</v>
      </c>
      <c r="M1478" s="543">
        <f t="shared" ref="M1478:P1480" si="3374">((L1378+M1378)/2)*M1447/4</f>
        <v>5.0926687499999996</v>
      </c>
      <c r="N1478" s="543">
        <f t="shared" si="3374"/>
        <v>5.6629625000000008</v>
      </c>
      <c r="O1478" s="543">
        <f t="shared" si="3374"/>
        <v>5.6330753968253964</v>
      </c>
      <c r="P1478" s="543">
        <f t="shared" si="3374"/>
        <v>5.5808999999999997</v>
      </c>
      <c r="Q1478" s="510">
        <f>SUM(M1478:P1478)</f>
        <v>21.969606646825397</v>
      </c>
      <c r="R1478" s="543">
        <f t="shared" ref="R1478:U1480" si="3375">((Q1378+R1378)/2)*R1447/4</f>
        <v>5.5700806451612976</v>
      </c>
      <c r="S1478" s="543">
        <f t="shared" si="3375"/>
        <v>5.7759863281250086</v>
      </c>
      <c r="T1478" s="543">
        <f t="shared" si="3375"/>
        <v>5.5997500000000011</v>
      </c>
      <c r="U1478" s="543">
        <f t="shared" si="3375"/>
        <v>5.1734958310546872</v>
      </c>
      <c r="V1478" s="510">
        <f>SUM(R1478:U1478)</f>
        <v>22.119312804340993</v>
      </c>
      <c r="W1478" s="543">
        <f t="shared" ref="W1478:Z1480" si="3376">((V1378+W1378)/2)*W1447/4</f>
        <v>3.595153562500002</v>
      </c>
      <c r="X1478" s="543">
        <f t="shared" si="3376"/>
        <v>3.0220531250000002</v>
      </c>
      <c r="Y1478" s="543">
        <f t="shared" si="3376"/>
        <v>2.7871593750000003</v>
      </c>
      <c r="Z1478" s="543">
        <f t="shared" si="3376"/>
        <v>2.4811982812500002</v>
      </c>
      <c r="AA1478" s="510">
        <f>SUM(W1478:Z1478)</f>
        <v>11.885564343750003</v>
      </c>
      <c r="AB1478" s="543">
        <f t="shared" ref="AB1478:AE1480" si="3377">((AA1378+AB1378)/2)*AB1447/4</f>
        <v>1.4288880562499995</v>
      </c>
      <c r="AC1478" s="543">
        <f t="shared" si="3377"/>
        <v>1.0971126884999989</v>
      </c>
      <c r="AD1478" s="543">
        <f t="shared" si="3377"/>
        <v>0.41355720224999937</v>
      </c>
      <c r="AE1478" s="608">
        <f t="shared" si="3377"/>
        <v>0</v>
      </c>
      <c r="AF1478" s="481">
        <f>SUM(AB1478:AE1478)</f>
        <v>2.9395579469999977</v>
      </c>
      <c r="AG1478" s="608">
        <f t="shared" ref="AG1478:AJ1480" si="3378">((AF1378+AG1378)/2)*AG1447/4</f>
        <v>0</v>
      </c>
      <c r="AH1478" s="608">
        <f t="shared" si="3378"/>
        <v>0</v>
      </c>
      <c r="AI1478" s="608">
        <f t="shared" si="3378"/>
        <v>0</v>
      </c>
      <c r="AJ1478" s="608">
        <f t="shared" si="3378"/>
        <v>0</v>
      </c>
      <c r="AK1478" s="481">
        <f>SUM(AG1478:AJ1478)</f>
        <v>0</v>
      </c>
      <c r="AL1478" s="608">
        <f t="shared" ref="AL1478:AO1480" si="3379">((AK1378+AL1378)/2)*AL1447/4</f>
        <v>0</v>
      </c>
      <c r="AM1478" s="608">
        <f t="shared" si="3379"/>
        <v>0</v>
      </c>
      <c r="AN1478" s="608">
        <f t="shared" si="3379"/>
        <v>0</v>
      </c>
      <c r="AO1478" s="608">
        <f t="shared" si="3379"/>
        <v>0</v>
      </c>
      <c r="AP1478" s="483">
        <f t="shared" si="3367"/>
        <v>0</v>
      </c>
      <c r="AQ1478" s="483">
        <f t="shared" ref="AQ1478:AT1486" si="3380">((AP1378+AQ1378)/2)*AQ1447/4</f>
        <v>0</v>
      </c>
      <c r="AR1478" s="430">
        <f t="shared" si="3380"/>
        <v>0</v>
      </c>
      <c r="AS1478" s="430">
        <f t="shared" si="3380"/>
        <v>0</v>
      </c>
      <c r="AT1478" s="430">
        <f t="shared" si="3380"/>
        <v>0</v>
      </c>
      <c r="AU1478" s="481">
        <f t="shared" si="3368"/>
        <v>0</v>
      </c>
      <c r="AV1478" s="483">
        <f t="shared" ref="AV1478:AY1486" si="3381">((AU1378+AV1378)/2)*AV1447/4</f>
        <v>0</v>
      </c>
      <c r="AW1478" s="430">
        <f t="shared" si="3381"/>
        <v>0</v>
      </c>
      <c r="AX1478" s="430">
        <f t="shared" si="3381"/>
        <v>0</v>
      </c>
      <c r="AY1478" s="853">
        <f t="shared" si="3381"/>
        <v>0</v>
      </c>
      <c r="AZ1478" s="481">
        <f t="shared" si="3369"/>
        <v>0</v>
      </c>
      <c r="BA1478" s="483">
        <f t="shared" ref="BA1478:BD1487" si="3382">((AZ1378+BA1378)/2)*BA1447/4</f>
        <v>0</v>
      </c>
      <c r="BB1478" s="430">
        <f t="shared" si="3382"/>
        <v>0</v>
      </c>
      <c r="BC1478" s="430">
        <f t="shared" si="3382"/>
        <v>0</v>
      </c>
      <c r="BD1478" s="853">
        <f t="shared" si="3382"/>
        <v>0</v>
      </c>
      <c r="BE1478" s="481">
        <f t="shared" si="3370"/>
        <v>0</v>
      </c>
      <c r="BF1478" s="430">
        <f t="shared" ref="BF1478:BI1487" si="3383">((BE1378+BF1378)/2)*BF1447/4</f>
        <v>0</v>
      </c>
      <c r="BG1478" s="430">
        <f t="shared" si="3383"/>
        <v>0</v>
      </c>
      <c r="BH1478" s="430">
        <f t="shared" si="3383"/>
        <v>0</v>
      </c>
      <c r="BI1478" s="853">
        <f t="shared" si="3383"/>
        <v>0</v>
      </c>
      <c r="BJ1478" s="481">
        <f t="shared" si="3371"/>
        <v>0</v>
      </c>
      <c r="BK1478" s="430">
        <f t="shared" ref="BK1478:BN1487" si="3384">((BJ1378+BK1378)/2)*BK1447/4</f>
        <v>0</v>
      </c>
      <c r="BL1478" s="430">
        <f t="shared" si="3384"/>
        <v>0</v>
      </c>
      <c r="BM1478" s="430">
        <f t="shared" si="3384"/>
        <v>0</v>
      </c>
      <c r="BN1478" s="853">
        <f t="shared" si="3384"/>
        <v>0</v>
      </c>
      <c r="BO1478" s="481">
        <f t="shared" si="3344"/>
        <v>0</v>
      </c>
      <c r="BP1478" s="430">
        <f t="shared" ref="BP1478:BS1491" si="3385">((BO1378+BP1378)/2)*BP1447/4</f>
        <v>0</v>
      </c>
      <c r="BQ1478" s="430">
        <f t="shared" si="3385"/>
        <v>0</v>
      </c>
      <c r="BR1478" s="430">
        <f t="shared" si="3385"/>
        <v>0</v>
      </c>
      <c r="BS1478" s="430">
        <f t="shared" si="3385"/>
        <v>0</v>
      </c>
      <c r="BT1478" s="2587">
        <f t="shared" si="3346"/>
        <v>0</v>
      </c>
      <c r="BU1478" s="2840">
        <f t="shared" ref="BU1478:BX1491" si="3386">((BT1378+BU1378)/2)*BU1447/4</f>
        <v>0</v>
      </c>
      <c r="BV1478" s="2840">
        <f t="shared" si="3386"/>
        <v>0</v>
      </c>
      <c r="BW1478" s="2840">
        <f t="shared" si="3386"/>
        <v>0</v>
      </c>
      <c r="BX1478" s="2840">
        <f t="shared" si="3386"/>
        <v>0</v>
      </c>
      <c r="BY1478" s="2587">
        <f t="shared" si="3348"/>
        <v>0</v>
      </c>
      <c r="BZ1478" s="481">
        <f t="shared" ref="BZ1478:CF1478" si="3387">((BY1378+BZ1378)/2)*BZ1447</f>
        <v>0</v>
      </c>
      <c r="CA1478" s="481">
        <f t="shared" si="3387"/>
        <v>0</v>
      </c>
      <c r="CB1478" s="481">
        <f t="shared" si="3387"/>
        <v>0</v>
      </c>
      <c r="CC1478" s="481">
        <f t="shared" si="3387"/>
        <v>0</v>
      </c>
      <c r="CD1478" s="481">
        <f t="shared" si="3387"/>
        <v>0</v>
      </c>
      <c r="CE1478" s="481">
        <f t="shared" si="3387"/>
        <v>0</v>
      </c>
      <c r="CF1478" s="481">
        <f t="shared" si="3387"/>
        <v>0</v>
      </c>
      <c r="CG1478" s="331"/>
      <c r="CH1478" s="331"/>
      <c r="CI1478" s="331"/>
      <c r="CJ1478" s="331"/>
      <c r="CK1478" s="331"/>
      <c r="CL1478" s="2043" t="str">
        <f t="shared" si="3336"/>
        <v>Senior secured facility - Term Loan A due 10/11</v>
      </c>
      <c r="CM1478" s="430">
        <f t="shared" si="3350"/>
        <v>0</v>
      </c>
      <c r="CN1478" s="430">
        <f t="shared" si="3351"/>
        <v>4.9454193750000011</v>
      </c>
      <c r="CO1478" s="430">
        <f t="shared" si="3352"/>
        <v>21.969606646825397</v>
      </c>
      <c r="CP1478" s="430">
        <f t="shared" si="3353"/>
        <v>22.119312804340993</v>
      </c>
      <c r="CQ1478" s="430">
        <f t="shared" si="3354"/>
        <v>11.885564343750003</v>
      </c>
      <c r="CR1478" s="430">
        <f t="shared" si="3355"/>
        <v>2.9395579469999977</v>
      </c>
      <c r="CS1478" s="430">
        <f t="shared" si="3356"/>
        <v>0</v>
      </c>
      <c r="CT1478" s="430">
        <f t="shared" si="3357"/>
        <v>0</v>
      </c>
      <c r="CU1478" s="430">
        <f t="shared" si="3358"/>
        <v>0</v>
      </c>
      <c r="CV1478" s="430">
        <f t="shared" si="3359"/>
        <v>0</v>
      </c>
      <c r="CW1478" s="430">
        <f t="shared" si="3360"/>
        <v>0</v>
      </c>
      <c r="CX1478" s="430">
        <f t="shared" si="3361"/>
        <v>0</v>
      </c>
      <c r="CY1478" s="430">
        <f t="shared" si="3362"/>
        <v>0</v>
      </c>
      <c r="CZ1478" s="430">
        <f t="shared" si="3363"/>
        <v>0</v>
      </c>
      <c r="DA1478" s="430">
        <f t="shared" si="3364"/>
        <v>0</v>
      </c>
      <c r="DB1478" s="430">
        <f t="shared" si="3365"/>
        <v>0</v>
      </c>
      <c r="DC1478" s="853">
        <f t="shared" si="3366"/>
        <v>0</v>
      </c>
      <c r="DD1478" s="331"/>
      <c r="DE1478" s="331"/>
      <c r="DF1478" s="502"/>
      <c r="DG1478" s="503"/>
      <c r="DH1478" s="2840"/>
      <c r="DI1478" s="3213"/>
      <c r="DJ1478" s="502"/>
      <c r="DK1478" s="503"/>
      <c r="DL1478" s="502"/>
      <c r="DM1478" s="502"/>
      <c r="DN1478" s="502"/>
      <c r="DO1478" s="502"/>
      <c r="DP1478" s="503"/>
      <c r="DQ1478" s="503"/>
      <c r="DR1478" s="296"/>
      <c r="DS1478" s="296"/>
      <c r="DT1478" s="296"/>
    </row>
    <row r="1479" spans="1:130" ht="12" customHeight="1" x14ac:dyDescent="0.25">
      <c r="A1479" s="1954" t="s">
        <v>1505</v>
      </c>
      <c r="B1479" s="11"/>
      <c r="C1479" s="543">
        <f t="shared" si="3372"/>
        <v>0</v>
      </c>
      <c r="D1479" s="543">
        <f t="shared" si="3372"/>
        <v>0</v>
      </c>
      <c r="E1479" s="543">
        <f t="shared" si="3372"/>
        <v>0</v>
      </c>
      <c r="F1479" s="543">
        <f t="shared" si="3372"/>
        <v>0</v>
      </c>
      <c r="G1479" s="510">
        <f>SUM(C1479:F1479)</f>
        <v>0</v>
      </c>
      <c r="H1479" s="543">
        <f t="shared" si="3373"/>
        <v>0</v>
      </c>
      <c r="I1479" s="543">
        <f t="shared" si="3373"/>
        <v>0</v>
      </c>
      <c r="J1479" s="543">
        <f t="shared" si="3373"/>
        <v>0</v>
      </c>
      <c r="K1479" s="543">
        <f>K1379*K1448/4</f>
        <v>25.044744965625</v>
      </c>
      <c r="L1479" s="510">
        <f>SUM(H1479:K1479)</f>
        <v>25.044744965625</v>
      </c>
      <c r="M1479" s="543">
        <f t="shared" si="3374"/>
        <v>26.785513734375002</v>
      </c>
      <c r="N1479" s="543">
        <f t="shared" si="3374"/>
        <v>28.570734843750003</v>
      </c>
      <c r="O1479" s="543">
        <f t="shared" si="3374"/>
        <v>29.37067849702381</v>
      </c>
      <c r="P1479" s="543">
        <f t="shared" si="3374"/>
        <v>29.0346931875</v>
      </c>
      <c r="Q1479" s="510">
        <f>SUM(M1479:P1479)</f>
        <v>113.7616202626488</v>
      </c>
      <c r="R1479" s="543">
        <f t="shared" si="3375"/>
        <v>28.907106804435514</v>
      </c>
      <c r="S1479" s="543">
        <f t="shared" si="3375"/>
        <v>28.847719409179732</v>
      </c>
      <c r="T1479" s="543">
        <f t="shared" si="3375"/>
        <v>28.908360937500003</v>
      </c>
      <c r="U1479" s="543">
        <f t="shared" si="3375"/>
        <v>27.375797235058592</v>
      </c>
      <c r="V1479" s="510">
        <f>SUM(R1479:U1479)</f>
        <v>114.03898438617384</v>
      </c>
      <c r="W1479" s="543">
        <f t="shared" si="3376"/>
        <v>20.270352982211548</v>
      </c>
      <c r="X1479" s="543">
        <f t="shared" si="3376"/>
        <v>18.078447750000002</v>
      </c>
      <c r="Y1479" s="543">
        <f t="shared" si="3376"/>
        <v>18.661840312500001</v>
      </c>
      <c r="Z1479" s="543">
        <f t="shared" si="3376"/>
        <v>17.872129687499999</v>
      </c>
      <c r="AA1479" s="510">
        <f>SUM(W1479:Z1479)</f>
        <v>74.882770732211554</v>
      </c>
      <c r="AB1479" s="543">
        <f t="shared" si="3377"/>
        <v>11.917579375000001</v>
      </c>
      <c r="AC1479" s="543">
        <f t="shared" si="3377"/>
        <v>10.327716262500001</v>
      </c>
      <c r="AD1479" s="543">
        <f t="shared" si="3377"/>
        <v>8.3971298042500013</v>
      </c>
      <c r="AE1479" s="608">
        <f t="shared" si="3377"/>
        <v>7.6592848394999997</v>
      </c>
      <c r="AF1479" s="481">
        <f>SUM(AB1479:AE1479)</f>
        <v>38.301710281249996</v>
      </c>
      <c r="AG1479" s="608">
        <f t="shared" si="3378"/>
        <v>7.5904375000000002</v>
      </c>
      <c r="AH1479" s="608">
        <f t="shared" si="3378"/>
        <v>7.7802573750000015</v>
      </c>
      <c r="AI1479" s="608">
        <f t="shared" si="3378"/>
        <v>7.7803906249999999</v>
      </c>
      <c r="AJ1479" s="608">
        <f t="shared" si="3378"/>
        <v>7.7803906249999999</v>
      </c>
      <c r="AK1479" s="481">
        <f>SUM(AG1479:AJ1479)</f>
        <v>30.931476125</v>
      </c>
      <c r="AL1479" s="608">
        <f t="shared" si="3379"/>
        <v>7.7803906249999999</v>
      </c>
      <c r="AM1479" s="608">
        <f t="shared" si="3379"/>
        <v>7.7803906249999999</v>
      </c>
      <c r="AN1479" s="608">
        <f t="shared" si="3379"/>
        <v>3.8901953124999999</v>
      </c>
      <c r="AO1479" s="608">
        <f t="shared" si="3379"/>
        <v>0</v>
      </c>
      <c r="AP1479" s="483">
        <f t="shared" si="3367"/>
        <v>19.450976562499999</v>
      </c>
      <c r="AQ1479" s="483">
        <f t="shared" si="3380"/>
        <v>0</v>
      </c>
      <c r="AR1479" s="430">
        <f t="shared" si="3380"/>
        <v>0</v>
      </c>
      <c r="AS1479" s="430">
        <f t="shared" si="3380"/>
        <v>0</v>
      </c>
      <c r="AT1479" s="430">
        <f t="shared" si="3380"/>
        <v>0</v>
      </c>
      <c r="AU1479" s="481">
        <f t="shared" si="3368"/>
        <v>0</v>
      </c>
      <c r="AV1479" s="483">
        <f t="shared" si="3381"/>
        <v>0</v>
      </c>
      <c r="AW1479" s="430">
        <f t="shared" si="3381"/>
        <v>0</v>
      </c>
      <c r="AX1479" s="430">
        <f t="shared" si="3381"/>
        <v>0</v>
      </c>
      <c r="AY1479" s="853">
        <f t="shared" si="3381"/>
        <v>0</v>
      </c>
      <c r="AZ1479" s="481">
        <f t="shared" si="3369"/>
        <v>0</v>
      </c>
      <c r="BA1479" s="483">
        <f t="shared" si="3382"/>
        <v>0</v>
      </c>
      <c r="BB1479" s="430">
        <f t="shared" si="3382"/>
        <v>0</v>
      </c>
      <c r="BC1479" s="430">
        <f t="shared" si="3382"/>
        <v>0</v>
      </c>
      <c r="BD1479" s="853">
        <f t="shared" si="3382"/>
        <v>0</v>
      </c>
      <c r="BE1479" s="481">
        <f t="shared" si="3370"/>
        <v>0</v>
      </c>
      <c r="BF1479" s="430">
        <f t="shared" si="3383"/>
        <v>0</v>
      </c>
      <c r="BG1479" s="430">
        <f t="shared" si="3383"/>
        <v>0</v>
      </c>
      <c r="BH1479" s="430">
        <f t="shared" si="3383"/>
        <v>0</v>
      </c>
      <c r="BI1479" s="853">
        <f t="shared" si="3383"/>
        <v>0</v>
      </c>
      <c r="BJ1479" s="481">
        <f t="shared" si="3371"/>
        <v>0</v>
      </c>
      <c r="BK1479" s="430">
        <f t="shared" si="3384"/>
        <v>0</v>
      </c>
      <c r="BL1479" s="430">
        <f t="shared" si="3384"/>
        <v>0</v>
      </c>
      <c r="BM1479" s="430">
        <f t="shared" si="3384"/>
        <v>0</v>
      </c>
      <c r="BN1479" s="853">
        <f t="shared" si="3384"/>
        <v>0</v>
      </c>
      <c r="BO1479" s="481">
        <f t="shared" si="3344"/>
        <v>0</v>
      </c>
      <c r="BP1479" s="430">
        <f t="shared" si="3385"/>
        <v>0</v>
      </c>
      <c r="BQ1479" s="430">
        <f t="shared" si="3385"/>
        <v>0</v>
      </c>
      <c r="BR1479" s="430">
        <f t="shared" si="3385"/>
        <v>0</v>
      </c>
      <c r="BS1479" s="430">
        <f t="shared" si="3385"/>
        <v>0</v>
      </c>
      <c r="BT1479" s="2587">
        <f t="shared" si="3346"/>
        <v>0</v>
      </c>
      <c r="BU1479" s="2840">
        <f t="shared" si="3386"/>
        <v>0</v>
      </c>
      <c r="BV1479" s="2840">
        <f t="shared" si="3386"/>
        <v>0</v>
      </c>
      <c r="BW1479" s="2840">
        <f t="shared" si="3386"/>
        <v>0</v>
      </c>
      <c r="BX1479" s="2840">
        <f t="shared" si="3386"/>
        <v>0</v>
      </c>
      <c r="BY1479" s="2587">
        <f t="shared" si="3348"/>
        <v>0</v>
      </c>
      <c r="BZ1479" s="481">
        <f t="shared" ref="BZ1479:CF1479" si="3388">((BY1379+BZ1379)/2)*BZ1448</f>
        <v>0</v>
      </c>
      <c r="CA1479" s="481">
        <f t="shared" si="3388"/>
        <v>0</v>
      </c>
      <c r="CB1479" s="481">
        <f t="shared" si="3388"/>
        <v>0</v>
      </c>
      <c r="CC1479" s="481">
        <f t="shared" si="3388"/>
        <v>0</v>
      </c>
      <c r="CD1479" s="481">
        <f t="shared" si="3388"/>
        <v>0</v>
      </c>
      <c r="CE1479" s="481">
        <f t="shared" si="3388"/>
        <v>0</v>
      </c>
      <c r="CF1479" s="481">
        <f t="shared" si="3388"/>
        <v>0</v>
      </c>
      <c r="CG1479" s="331"/>
      <c r="CH1479" s="331"/>
      <c r="CI1479" s="331"/>
      <c r="CJ1479" s="331"/>
      <c r="CK1479" s="331"/>
      <c r="CL1479" s="2043" t="str">
        <f t="shared" si="3336"/>
        <v>Senior secured facility - Term Loan B, due 10/12</v>
      </c>
      <c r="CM1479" s="430">
        <f t="shared" si="3350"/>
        <v>0</v>
      </c>
      <c r="CN1479" s="430">
        <f t="shared" si="3351"/>
        <v>25.044744965625</v>
      </c>
      <c r="CO1479" s="430">
        <f t="shared" si="3352"/>
        <v>113.7616202626488</v>
      </c>
      <c r="CP1479" s="430">
        <f t="shared" si="3353"/>
        <v>114.03898438617384</v>
      </c>
      <c r="CQ1479" s="430">
        <f t="shared" si="3354"/>
        <v>74.882770732211554</v>
      </c>
      <c r="CR1479" s="430">
        <f t="shared" si="3355"/>
        <v>38.301710281249996</v>
      </c>
      <c r="CS1479" s="430">
        <f t="shared" si="3356"/>
        <v>30.931476125</v>
      </c>
      <c r="CT1479" s="430">
        <f t="shared" si="3357"/>
        <v>19.450976562499999</v>
      </c>
      <c r="CU1479" s="430">
        <f t="shared" si="3358"/>
        <v>0</v>
      </c>
      <c r="CV1479" s="430">
        <f t="shared" si="3359"/>
        <v>0</v>
      </c>
      <c r="CW1479" s="430">
        <f t="shared" si="3360"/>
        <v>0</v>
      </c>
      <c r="CX1479" s="430">
        <f t="shared" si="3361"/>
        <v>0</v>
      </c>
      <c r="CY1479" s="430">
        <f t="shared" si="3362"/>
        <v>0</v>
      </c>
      <c r="CZ1479" s="430">
        <f t="shared" si="3363"/>
        <v>0</v>
      </c>
      <c r="DA1479" s="430">
        <f t="shared" si="3364"/>
        <v>0</v>
      </c>
      <c r="DB1479" s="430">
        <f t="shared" si="3365"/>
        <v>0</v>
      </c>
      <c r="DC1479" s="853">
        <f t="shared" si="3366"/>
        <v>0</v>
      </c>
      <c r="DD1479" s="331"/>
      <c r="DE1479" s="331"/>
      <c r="DF1479" s="502"/>
      <c r="DG1479" s="503"/>
      <c r="DH1479" s="2840"/>
      <c r="DI1479" s="3213"/>
      <c r="DJ1479" s="502"/>
      <c r="DK1479" s="503"/>
      <c r="DL1479" s="502"/>
      <c r="DM1479" s="502"/>
      <c r="DN1479" s="502"/>
      <c r="DO1479" s="502"/>
      <c r="DP1479" s="503"/>
      <c r="DQ1479" s="503"/>
      <c r="DR1479" s="296"/>
      <c r="DS1479" s="296"/>
      <c r="DT1479" s="296"/>
    </row>
    <row r="1480" spans="1:130" ht="12" customHeight="1" x14ac:dyDescent="0.25">
      <c r="A1480" s="1954" t="s">
        <v>839</v>
      </c>
      <c r="B1480" s="11"/>
      <c r="C1480" s="543">
        <f t="shared" si="3372"/>
        <v>3.5233303</v>
      </c>
      <c r="D1480" s="543">
        <f t="shared" si="3372"/>
        <v>3.6012407956250003</v>
      </c>
      <c r="E1480" s="543">
        <f t="shared" si="3372"/>
        <v>3.7110841987500001</v>
      </c>
      <c r="F1480" s="543">
        <f t="shared" si="3372"/>
        <v>3.5391887500000001</v>
      </c>
      <c r="G1480" s="510">
        <f>SUM(C1480:F1480)</f>
        <v>14.374844044375003</v>
      </c>
      <c r="H1480" s="543">
        <f t="shared" si="3373"/>
        <v>2.8662342974999997</v>
      </c>
      <c r="I1480" s="543">
        <f t="shared" si="3373"/>
        <v>1.1522674350000002</v>
      </c>
      <c r="J1480" s="543">
        <f t="shared" si="3373"/>
        <v>0</v>
      </c>
      <c r="K1480" s="543">
        <f>((J1380+K1380)/2)*K1449/4</f>
        <v>0</v>
      </c>
      <c r="L1480" s="510">
        <f>SUM(H1480:K1480)</f>
        <v>4.0185017324999999</v>
      </c>
      <c r="M1480" s="543">
        <f t="shared" si="3374"/>
        <v>0</v>
      </c>
      <c r="N1480" s="543">
        <f t="shared" si="3374"/>
        <v>0</v>
      </c>
      <c r="O1480" s="543">
        <f t="shared" si="3374"/>
        <v>0</v>
      </c>
      <c r="P1480" s="543">
        <f t="shared" si="3374"/>
        <v>0</v>
      </c>
      <c r="Q1480" s="510">
        <f>SUM(M1480:P1480)</f>
        <v>0</v>
      </c>
      <c r="R1480" s="543">
        <f t="shared" si="3375"/>
        <v>0</v>
      </c>
      <c r="S1480" s="543">
        <f t="shared" si="3375"/>
        <v>0</v>
      </c>
      <c r="T1480" s="543">
        <f t="shared" si="3375"/>
        <v>0</v>
      </c>
      <c r="U1480" s="543">
        <f t="shared" si="3375"/>
        <v>0</v>
      </c>
      <c r="V1480" s="510">
        <f>SUM(R1480:U1480)</f>
        <v>0</v>
      </c>
      <c r="W1480" s="543">
        <f t="shared" si="3376"/>
        <v>0</v>
      </c>
      <c r="X1480" s="543">
        <f t="shared" si="3376"/>
        <v>0</v>
      </c>
      <c r="Y1480" s="543">
        <f t="shared" si="3376"/>
        <v>0</v>
      </c>
      <c r="Z1480" s="543">
        <f t="shared" si="3376"/>
        <v>0</v>
      </c>
      <c r="AA1480" s="510">
        <f>SUM(W1480:Z1480)</f>
        <v>0</v>
      </c>
      <c r="AB1480" s="543">
        <f t="shared" si="3377"/>
        <v>0</v>
      </c>
      <c r="AC1480" s="543">
        <f t="shared" si="3377"/>
        <v>0</v>
      </c>
      <c r="AD1480" s="543">
        <f t="shared" si="3377"/>
        <v>0</v>
      </c>
      <c r="AE1480" s="608">
        <f t="shared" si="3377"/>
        <v>0</v>
      </c>
      <c r="AF1480" s="481">
        <f>SUM(AB1480:AE1480)</f>
        <v>0</v>
      </c>
      <c r="AG1480" s="608">
        <f t="shared" si="3378"/>
        <v>0</v>
      </c>
      <c r="AH1480" s="608">
        <f t="shared" si="3378"/>
        <v>0</v>
      </c>
      <c r="AI1480" s="608">
        <f t="shared" si="3378"/>
        <v>0</v>
      </c>
      <c r="AJ1480" s="608">
        <f t="shared" si="3378"/>
        <v>0</v>
      </c>
      <c r="AK1480" s="481">
        <f>SUM(AG1480:AJ1480)</f>
        <v>0</v>
      </c>
      <c r="AL1480" s="608">
        <f t="shared" si="3379"/>
        <v>0</v>
      </c>
      <c r="AM1480" s="608">
        <f t="shared" si="3379"/>
        <v>0</v>
      </c>
      <c r="AN1480" s="608">
        <f t="shared" si="3379"/>
        <v>0</v>
      </c>
      <c r="AO1480" s="608">
        <f t="shared" si="3379"/>
        <v>0</v>
      </c>
      <c r="AP1480" s="483">
        <f t="shared" si="3367"/>
        <v>0</v>
      </c>
      <c r="AQ1480" s="483">
        <f t="shared" si="3380"/>
        <v>0</v>
      </c>
      <c r="AR1480" s="430">
        <f t="shared" si="3380"/>
        <v>0</v>
      </c>
      <c r="AS1480" s="430">
        <f t="shared" si="3380"/>
        <v>0</v>
      </c>
      <c r="AT1480" s="430">
        <f t="shared" si="3380"/>
        <v>0</v>
      </c>
      <c r="AU1480" s="481">
        <f t="shared" si="3368"/>
        <v>0</v>
      </c>
      <c r="AV1480" s="483">
        <f t="shared" si="3381"/>
        <v>0</v>
      </c>
      <c r="AW1480" s="430">
        <f t="shared" si="3381"/>
        <v>0</v>
      </c>
      <c r="AX1480" s="430">
        <f t="shared" si="3381"/>
        <v>0</v>
      </c>
      <c r="AY1480" s="853">
        <f t="shared" si="3381"/>
        <v>0</v>
      </c>
      <c r="AZ1480" s="481">
        <f t="shared" si="3369"/>
        <v>0</v>
      </c>
      <c r="BA1480" s="483">
        <f t="shared" si="3382"/>
        <v>0</v>
      </c>
      <c r="BB1480" s="430">
        <f t="shared" si="3382"/>
        <v>0</v>
      </c>
      <c r="BC1480" s="430">
        <f t="shared" si="3382"/>
        <v>0</v>
      </c>
      <c r="BD1480" s="853">
        <f t="shared" si="3382"/>
        <v>0</v>
      </c>
      <c r="BE1480" s="481">
        <f t="shared" si="3370"/>
        <v>0</v>
      </c>
      <c r="BF1480" s="430">
        <f t="shared" si="3383"/>
        <v>0</v>
      </c>
      <c r="BG1480" s="430">
        <f t="shared" si="3383"/>
        <v>0</v>
      </c>
      <c r="BH1480" s="430">
        <f t="shared" si="3383"/>
        <v>0</v>
      </c>
      <c r="BI1480" s="853">
        <f t="shared" si="3383"/>
        <v>0</v>
      </c>
      <c r="BJ1480" s="481">
        <f t="shared" si="3371"/>
        <v>0</v>
      </c>
      <c r="BK1480" s="430">
        <f t="shared" si="3384"/>
        <v>0</v>
      </c>
      <c r="BL1480" s="430">
        <f t="shared" si="3384"/>
        <v>0</v>
      </c>
      <c r="BM1480" s="430">
        <f t="shared" si="3384"/>
        <v>0</v>
      </c>
      <c r="BN1480" s="853">
        <f t="shared" si="3384"/>
        <v>0</v>
      </c>
      <c r="BO1480" s="481">
        <f t="shared" si="3344"/>
        <v>0</v>
      </c>
      <c r="BP1480" s="430">
        <f t="shared" si="3385"/>
        <v>0</v>
      </c>
      <c r="BQ1480" s="430">
        <f t="shared" si="3385"/>
        <v>0</v>
      </c>
      <c r="BR1480" s="430">
        <f t="shared" si="3385"/>
        <v>0</v>
      </c>
      <c r="BS1480" s="430">
        <f t="shared" si="3385"/>
        <v>0</v>
      </c>
      <c r="BT1480" s="2587">
        <f t="shared" si="3346"/>
        <v>0</v>
      </c>
      <c r="BU1480" s="2840">
        <f t="shared" si="3386"/>
        <v>0</v>
      </c>
      <c r="BV1480" s="2840">
        <f t="shared" si="3386"/>
        <v>0</v>
      </c>
      <c r="BW1480" s="2840">
        <f t="shared" si="3386"/>
        <v>0</v>
      </c>
      <c r="BX1480" s="2840">
        <f t="shared" si="3386"/>
        <v>0</v>
      </c>
      <c r="BY1480" s="2587">
        <f t="shared" si="3348"/>
        <v>0</v>
      </c>
      <c r="BZ1480" s="481">
        <f t="shared" ref="BZ1480:CF1480" si="3389">((BY1380+BZ1380)/2)*BZ1449</f>
        <v>0</v>
      </c>
      <c r="CA1480" s="481">
        <f t="shared" si="3389"/>
        <v>0</v>
      </c>
      <c r="CB1480" s="481">
        <f t="shared" si="3389"/>
        <v>0</v>
      </c>
      <c r="CC1480" s="481">
        <f t="shared" si="3389"/>
        <v>0</v>
      </c>
      <c r="CD1480" s="481">
        <f t="shared" si="3389"/>
        <v>0</v>
      </c>
      <c r="CE1480" s="481">
        <f t="shared" si="3389"/>
        <v>0</v>
      </c>
      <c r="CF1480" s="481">
        <f t="shared" si="3389"/>
        <v>0</v>
      </c>
      <c r="CG1480" s="331"/>
      <c r="CH1480" s="331"/>
      <c r="CI1480" s="331"/>
      <c r="CJ1480" s="331"/>
      <c r="CK1480" s="331"/>
      <c r="CL1480" s="2043" t="str">
        <f t="shared" si="3336"/>
        <v>Senior secured facility - Term Loan B, redeemed</v>
      </c>
      <c r="CM1480" s="430">
        <f t="shared" si="3350"/>
        <v>14.374844044375003</v>
      </c>
      <c r="CN1480" s="430">
        <f t="shared" si="3351"/>
        <v>4.0185017324999999</v>
      </c>
      <c r="CO1480" s="430">
        <f t="shared" si="3352"/>
        <v>0</v>
      </c>
      <c r="CP1480" s="430">
        <f t="shared" si="3353"/>
        <v>0</v>
      </c>
      <c r="CQ1480" s="430">
        <f t="shared" si="3354"/>
        <v>0</v>
      </c>
      <c r="CR1480" s="430">
        <f t="shared" si="3355"/>
        <v>0</v>
      </c>
      <c r="CS1480" s="430">
        <f t="shared" si="3356"/>
        <v>0</v>
      </c>
      <c r="CT1480" s="430">
        <f t="shared" si="3357"/>
        <v>0</v>
      </c>
      <c r="CU1480" s="430">
        <f t="shared" si="3358"/>
        <v>0</v>
      </c>
      <c r="CV1480" s="430">
        <f t="shared" si="3359"/>
        <v>0</v>
      </c>
      <c r="CW1480" s="430">
        <f t="shared" si="3360"/>
        <v>0</v>
      </c>
      <c r="CX1480" s="430">
        <f t="shared" si="3361"/>
        <v>0</v>
      </c>
      <c r="CY1480" s="430">
        <f t="shared" si="3362"/>
        <v>0</v>
      </c>
      <c r="CZ1480" s="430">
        <f t="shared" si="3363"/>
        <v>0</v>
      </c>
      <c r="DA1480" s="430">
        <f t="shared" si="3364"/>
        <v>0</v>
      </c>
      <c r="DB1480" s="430">
        <f t="shared" si="3365"/>
        <v>0</v>
      </c>
      <c r="DC1480" s="853">
        <f t="shared" si="3366"/>
        <v>0</v>
      </c>
      <c r="DD1480" s="331"/>
      <c r="DE1480" s="331"/>
      <c r="DF1480" s="502"/>
      <c r="DG1480" s="503"/>
      <c r="DH1480" s="2840"/>
      <c r="DI1480" s="3213"/>
      <c r="DJ1480" s="502"/>
      <c r="DK1480" s="503"/>
      <c r="DL1480" s="502"/>
      <c r="DM1480" s="502"/>
      <c r="DN1480" s="502"/>
      <c r="DO1480" s="502"/>
      <c r="DP1480" s="503"/>
      <c r="DQ1480" s="503"/>
      <c r="DR1480" s="296"/>
      <c r="DS1480" s="296"/>
      <c r="DT1480" s="296"/>
    </row>
    <row r="1481" spans="1:130" ht="12" customHeight="1" x14ac:dyDescent="0.25">
      <c r="A1481" s="355" t="s">
        <v>1852</v>
      </c>
      <c r="B1481" s="11"/>
      <c r="C1481" s="543"/>
      <c r="D1481" s="543"/>
      <c r="E1481" s="543"/>
      <c r="F1481" s="543"/>
      <c r="G1481" s="510"/>
      <c r="H1481" s="543"/>
      <c r="I1481" s="543"/>
      <c r="J1481" s="543"/>
      <c r="K1481" s="543"/>
      <c r="L1481" s="510"/>
      <c r="M1481" s="543"/>
      <c r="N1481" s="543"/>
      <c r="O1481" s="543"/>
      <c r="P1481" s="543"/>
      <c r="Q1481" s="510"/>
      <c r="R1481" s="543"/>
      <c r="S1481" s="543"/>
      <c r="T1481" s="543"/>
      <c r="U1481" s="543"/>
      <c r="V1481" s="510"/>
      <c r="W1481" s="543"/>
      <c r="X1481" s="543"/>
      <c r="Y1481" s="543"/>
      <c r="Z1481" s="543"/>
      <c r="AA1481" s="510"/>
      <c r="AB1481" s="543"/>
      <c r="AC1481" s="543"/>
      <c r="AD1481" s="543"/>
      <c r="AE1481" s="608"/>
      <c r="AF1481" s="481"/>
      <c r="AG1481" s="608"/>
      <c r="AH1481" s="608"/>
      <c r="AI1481" s="608"/>
      <c r="AJ1481" s="608"/>
      <c r="AK1481" s="481"/>
      <c r="AL1481" s="608"/>
      <c r="AM1481" s="608"/>
      <c r="AN1481" s="608">
        <f t="shared" ref="AN1481:AO1486" si="3390">((AM1381+AN1381)/2)*AN1450/4</f>
        <v>0.44994375000000003</v>
      </c>
      <c r="AO1481" s="608">
        <f t="shared" si="3390"/>
        <v>1.0958062499999999</v>
      </c>
      <c r="AP1481" s="483">
        <f t="shared" si="3367"/>
        <v>1.54575</v>
      </c>
      <c r="AQ1481" s="483">
        <f t="shared" si="3380"/>
        <v>1.2514140624999996</v>
      </c>
      <c r="AR1481" s="430">
        <f t="shared" si="3380"/>
        <v>1.4306796874999999</v>
      </c>
      <c r="AS1481" s="430">
        <f t="shared" si="3380"/>
        <v>1.7783828124999999</v>
      </c>
      <c r="AT1481" s="430">
        <f t="shared" si="3380"/>
        <v>1.1898643750000004</v>
      </c>
      <c r="AU1481" s="481">
        <f t="shared" si="3368"/>
        <v>5.6503409374999993</v>
      </c>
      <c r="AV1481" s="483">
        <f t="shared" si="3381"/>
        <v>0.2186690625000004</v>
      </c>
      <c r="AW1481" s="430">
        <f t="shared" si="3381"/>
        <v>0</v>
      </c>
      <c r="AX1481" s="430">
        <f t="shared" si="3381"/>
        <v>0</v>
      </c>
      <c r="AY1481" s="853">
        <f t="shared" si="3381"/>
        <v>0</v>
      </c>
      <c r="AZ1481" s="481">
        <f t="shared" si="3369"/>
        <v>0.2186690625000004</v>
      </c>
      <c r="BA1481" s="483">
        <f t="shared" si="3382"/>
        <v>0</v>
      </c>
      <c r="BB1481" s="430">
        <f t="shared" si="3382"/>
        <v>0</v>
      </c>
      <c r="BC1481" s="430">
        <f t="shared" si="3382"/>
        <v>0</v>
      </c>
      <c r="BD1481" s="853">
        <f t="shared" si="3382"/>
        <v>0</v>
      </c>
      <c r="BE1481" s="481">
        <f t="shared" si="3370"/>
        <v>0</v>
      </c>
      <c r="BF1481" s="430">
        <f t="shared" si="3383"/>
        <v>0</v>
      </c>
      <c r="BG1481" s="430">
        <f t="shared" si="3383"/>
        <v>0</v>
      </c>
      <c r="BH1481" s="430">
        <f t="shared" si="3383"/>
        <v>0</v>
      </c>
      <c r="BI1481" s="853">
        <f t="shared" si="3383"/>
        <v>0</v>
      </c>
      <c r="BJ1481" s="481">
        <f t="shared" si="3371"/>
        <v>0</v>
      </c>
      <c r="BK1481" s="430">
        <f t="shared" si="3384"/>
        <v>0</v>
      </c>
      <c r="BL1481" s="430">
        <f t="shared" si="3384"/>
        <v>0</v>
      </c>
      <c r="BM1481" s="430">
        <f t="shared" si="3384"/>
        <v>0</v>
      </c>
      <c r="BN1481" s="853">
        <f t="shared" si="3384"/>
        <v>0</v>
      </c>
      <c r="BO1481" s="481">
        <f t="shared" si="3344"/>
        <v>0</v>
      </c>
      <c r="BP1481" s="430">
        <f t="shared" si="3385"/>
        <v>0</v>
      </c>
      <c r="BQ1481" s="430">
        <f t="shared" si="3385"/>
        <v>0</v>
      </c>
      <c r="BR1481" s="430">
        <f t="shared" si="3385"/>
        <v>0</v>
      </c>
      <c r="BS1481" s="430">
        <f t="shared" si="3385"/>
        <v>0</v>
      </c>
      <c r="BT1481" s="2587">
        <f t="shared" si="3346"/>
        <v>0</v>
      </c>
      <c r="BU1481" s="2840">
        <f t="shared" si="3386"/>
        <v>0</v>
      </c>
      <c r="BV1481" s="2840">
        <f t="shared" si="3386"/>
        <v>0</v>
      </c>
      <c r="BW1481" s="2840">
        <f t="shared" si="3386"/>
        <v>0</v>
      </c>
      <c r="BX1481" s="2840">
        <f t="shared" si="3386"/>
        <v>0</v>
      </c>
      <c r="BY1481" s="2587">
        <f t="shared" si="3348"/>
        <v>0</v>
      </c>
      <c r="BZ1481" s="481">
        <f t="shared" ref="BZ1481:CF1481" si="3391">((BY1381+BZ1381)/2)*BZ1450</f>
        <v>0</v>
      </c>
      <c r="CA1481" s="481">
        <f t="shared" si="3391"/>
        <v>0</v>
      </c>
      <c r="CB1481" s="481">
        <f t="shared" si="3391"/>
        <v>0</v>
      </c>
      <c r="CC1481" s="481">
        <f t="shared" si="3391"/>
        <v>0</v>
      </c>
      <c r="CD1481" s="481">
        <f t="shared" si="3391"/>
        <v>0</v>
      </c>
      <c r="CE1481" s="481">
        <f t="shared" si="3391"/>
        <v>0</v>
      </c>
      <c r="CF1481" s="481">
        <f t="shared" si="3391"/>
        <v>0</v>
      </c>
      <c r="CG1481" s="331"/>
      <c r="CH1481" s="331"/>
      <c r="CI1481" s="331"/>
      <c r="CJ1481" s="331"/>
      <c r="CK1481" s="331"/>
      <c r="CL1481" s="995" t="str">
        <f t="shared" si="3336"/>
        <v>Senior secured facility - Revolver, due July 2016</v>
      </c>
      <c r="CM1481" s="430">
        <f t="shared" si="3350"/>
        <v>0</v>
      </c>
      <c r="CN1481" s="430">
        <f t="shared" si="3351"/>
        <v>0</v>
      </c>
      <c r="CO1481" s="430">
        <f t="shared" si="3352"/>
        <v>0</v>
      </c>
      <c r="CP1481" s="430">
        <f t="shared" si="3353"/>
        <v>0</v>
      </c>
      <c r="CQ1481" s="430">
        <f t="shared" si="3354"/>
        <v>0</v>
      </c>
      <c r="CR1481" s="430">
        <f t="shared" si="3355"/>
        <v>0</v>
      </c>
      <c r="CS1481" s="430">
        <f t="shared" si="3356"/>
        <v>0</v>
      </c>
      <c r="CT1481" s="430">
        <f t="shared" si="3357"/>
        <v>1.54575</v>
      </c>
      <c r="CU1481" s="430">
        <f t="shared" si="3358"/>
        <v>5.6503409374999993</v>
      </c>
      <c r="CV1481" s="430">
        <f t="shared" si="3359"/>
        <v>0.2186690625000004</v>
      </c>
      <c r="CW1481" s="430">
        <f t="shared" si="3360"/>
        <v>0</v>
      </c>
      <c r="CX1481" s="430">
        <f t="shared" si="3361"/>
        <v>0</v>
      </c>
      <c r="CY1481" s="430">
        <f t="shared" si="3362"/>
        <v>0</v>
      </c>
      <c r="CZ1481" s="430">
        <f t="shared" si="3363"/>
        <v>0</v>
      </c>
      <c r="DA1481" s="430">
        <f t="shared" si="3364"/>
        <v>0</v>
      </c>
      <c r="DB1481" s="430">
        <f t="shared" si="3365"/>
        <v>0</v>
      </c>
      <c r="DC1481" s="853">
        <f t="shared" si="3366"/>
        <v>0</v>
      </c>
      <c r="DD1481" s="331"/>
      <c r="DE1481" s="331"/>
      <c r="DF1481" s="502"/>
      <c r="DG1481" s="503"/>
      <c r="DH1481" s="2840"/>
      <c r="DI1481" s="3213"/>
      <c r="DJ1481" s="502"/>
      <c r="DK1481" s="503"/>
      <c r="DL1481" s="502"/>
      <c r="DM1481" s="502"/>
      <c r="DN1481" s="502"/>
      <c r="DO1481" s="502"/>
      <c r="DP1481" s="503"/>
      <c r="DQ1481" s="503"/>
      <c r="DR1481" s="296"/>
      <c r="DS1481" s="296"/>
      <c r="DT1481" s="296"/>
    </row>
    <row r="1482" spans="1:130" ht="12" customHeight="1" x14ac:dyDescent="0.25">
      <c r="A1482" s="1950" t="s">
        <v>1286</v>
      </c>
      <c r="B1482" s="11"/>
      <c r="C1482" s="543"/>
      <c r="D1482" s="543"/>
      <c r="E1482" s="543"/>
      <c r="F1482" s="543"/>
      <c r="G1482" s="510"/>
      <c r="H1482" s="543"/>
      <c r="I1482" s="543"/>
      <c r="J1482" s="543"/>
      <c r="K1482" s="543"/>
      <c r="L1482" s="510"/>
      <c r="M1482" s="543"/>
      <c r="N1482" s="543"/>
      <c r="O1482" s="543"/>
      <c r="P1482" s="543"/>
      <c r="Q1482" s="510"/>
      <c r="R1482" s="543"/>
      <c r="S1482" s="543"/>
      <c r="T1482" s="543"/>
      <c r="U1482" s="543"/>
      <c r="V1482" s="510"/>
      <c r="W1482" s="543"/>
      <c r="X1482" s="543"/>
      <c r="Y1482" s="543"/>
      <c r="Z1482" s="543"/>
      <c r="AA1482" s="510"/>
      <c r="AB1482" s="543"/>
      <c r="AC1482" s="543"/>
      <c r="AD1482" s="543"/>
      <c r="AE1482" s="608"/>
      <c r="AF1482" s="481"/>
      <c r="AG1482" s="608"/>
      <c r="AH1482" s="608"/>
      <c r="AI1482" s="608"/>
      <c r="AJ1482" s="608"/>
      <c r="AK1482" s="481"/>
      <c r="AL1482" s="608"/>
      <c r="AM1482" s="608"/>
      <c r="AN1482" s="608">
        <f t="shared" si="3390"/>
        <v>1.5554249999999998</v>
      </c>
      <c r="AO1482" s="608">
        <f t="shared" si="3390"/>
        <v>3.0910499999999996</v>
      </c>
      <c r="AP1482" s="483">
        <f t="shared" si="3367"/>
        <v>4.6464749999999997</v>
      </c>
      <c r="AQ1482" s="483">
        <f t="shared" si="3380"/>
        <v>2.9666874999999999</v>
      </c>
      <c r="AR1482" s="430">
        <f t="shared" si="3380"/>
        <v>2.9284062499999997</v>
      </c>
      <c r="AS1482" s="430">
        <f t="shared" si="3380"/>
        <v>2.8903437499999995</v>
      </c>
      <c r="AT1482" s="430">
        <f t="shared" si="3380"/>
        <v>3.7161249999999995</v>
      </c>
      <c r="AU1482" s="481">
        <f t="shared" si="3368"/>
        <v>12.501562499999999</v>
      </c>
      <c r="AV1482" s="483">
        <f t="shared" si="3381"/>
        <v>4.5308593749999995</v>
      </c>
      <c r="AW1482" s="430">
        <f t="shared" si="3381"/>
        <v>4.4707031249999991</v>
      </c>
      <c r="AX1482" s="430">
        <f t="shared" si="3381"/>
        <v>4.3955624999999996</v>
      </c>
      <c r="AY1482" s="853">
        <f t="shared" si="3381"/>
        <v>2.1752499999999997</v>
      </c>
      <c r="AZ1482" s="481">
        <f t="shared" si="3369"/>
        <v>15.572374999999999</v>
      </c>
      <c r="BA1482" s="483">
        <f t="shared" si="3382"/>
        <v>0</v>
      </c>
      <c r="BB1482" s="430">
        <f t="shared" si="3382"/>
        <v>0</v>
      </c>
      <c r="BC1482" s="430">
        <f t="shared" si="3382"/>
        <v>0</v>
      </c>
      <c r="BD1482" s="853">
        <f t="shared" si="3382"/>
        <v>0</v>
      </c>
      <c r="BE1482" s="481">
        <f t="shared" si="3370"/>
        <v>0</v>
      </c>
      <c r="BF1482" s="430">
        <f t="shared" si="3383"/>
        <v>0</v>
      </c>
      <c r="BG1482" s="430">
        <f t="shared" si="3383"/>
        <v>0</v>
      </c>
      <c r="BH1482" s="430">
        <f t="shared" si="3383"/>
        <v>0</v>
      </c>
      <c r="BI1482" s="853">
        <f t="shared" si="3383"/>
        <v>0</v>
      </c>
      <c r="BJ1482" s="481">
        <f t="shared" si="3371"/>
        <v>0</v>
      </c>
      <c r="BK1482" s="430">
        <f t="shared" si="3384"/>
        <v>0</v>
      </c>
      <c r="BL1482" s="430">
        <f t="shared" si="3384"/>
        <v>0</v>
      </c>
      <c r="BM1482" s="430">
        <f t="shared" si="3384"/>
        <v>0</v>
      </c>
      <c r="BN1482" s="853">
        <f t="shared" si="3384"/>
        <v>0</v>
      </c>
      <c r="BO1482" s="481">
        <f t="shared" si="3344"/>
        <v>0</v>
      </c>
      <c r="BP1482" s="430">
        <f t="shared" si="3385"/>
        <v>0</v>
      </c>
      <c r="BQ1482" s="430">
        <f t="shared" si="3385"/>
        <v>0</v>
      </c>
      <c r="BR1482" s="430">
        <f t="shared" si="3385"/>
        <v>0</v>
      </c>
      <c r="BS1482" s="430">
        <f t="shared" si="3385"/>
        <v>0</v>
      </c>
      <c r="BT1482" s="2587">
        <f t="shared" si="3346"/>
        <v>0</v>
      </c>
      <c r="BU1482" s="2840">
        <f t="shared" si="3386"/>
        <v>0</v>
      </c>
      <c r="BV1482" s="2840">
        <f t="shared" si="3386"/>
        <v>0</v>
      </c>
      <c r="BW1482" s="2840">
        <f t="shared" si="3386"/>
        <v>0</v>
      </c>
      <c r="BX1482" s="2840">
        <f t="shared" si="3386"/>
        <v>0</v>
      </c>
      <c r="BY1482" s="2587">
        <f t="shared" si="3348"/>
        <v>0</v>
      </c>
      <c r="BZ1482" s="481">
        <f t="shared" ref="BZ1482:CF1482" si="3392">((BY1382+BZ1382)/2)*BZ1451</f>
        <v>0</v>
      </c>
      <c r="CA1482" s="481">
        <f t="shared" si="3392"/>
        <v>0</v>
      </c>
      <c r="CB1482" s="481">
        <f t="shared" si="3392"/>
        <v>0</v>
      </c>
      <c r="CC1482" s="481">
        <f t="shared" si="3392"/>
        <v>0</v>
      </c>
      <c r="CD1482" s="481">
        <f t="shared" si="3392"/>
        <v>0</v>
      </c>
      <c r="CE1482" s="481">
        <f t="shared" si="3392"/>
        <v>0</v>
      </c>
      <c r="CF1482" s="481">
        <f t="shared" si="3392"/>
        <v>0</v>
      </c>
      <c r="CG1482" s="331"/>
      <c r="CH1482" s="331"/>
      <c r="CI1482" s="331"/>
      <c r="CJ1482" s="331"/>
      <c r="CK1482" s="331"/>
      <c r="CL1482" s="2039" t="str">
        <f t="shared" si="3336"/>
        <v>Senior secured facility - Term Loan A, due July 2016</v>
      </c>
      <c r="CM1482" s="430">
        <f t="shared" si="3350"/>
        <v>0</v>
      </c>
      <c r="CN1482" s="430">
        <f t="shared" si="3351"/>
        <v>0</v>
      </c>
      <c r="CO1482" s="430">
        <f t="shared" si="3352"/>
        <v>0</v>
      </c>
      <c r="CP1482" s="430">
        <f t="shared" si="3353"/>
        <v>0</v>
      </c>
      <c r="CQ1482" s="430">
        <f t="shared" si="3354"/>
        <v>0</v>
      </c>
      <c r="CR1482" s="430">
        <f t="shared" si="3355"/>
        <v>0</v>
      </c>
      <c r="CS1482" s="430">
        <f t="shared" si="3356"/>
        <v>0</v>
      </c>
      <c r="CT1482" s="430">
        <f t="shared" si="3357"/>
        <v>4.6464749999999997</v>
      </c>
      <c r="CU1482" s="430">
        <f t="shared" si="3358"/>
        <v>12.501562499999999</v>
      </c>
      <c r="CV1482" s="430">
        <f t="shared" si="3359"/>
        <v>15.572374999999999</v>
      </c>
      <c r="CW1482" s="430">
        <f t="shared" si="3360"/>
        <v>0</v>
      </c>
      <c r="CX1482" s="430">
        <f t="shared" si="3361"/>
        <v>0</v>
      </c>
      <c r="CY1482" s="430">
        <f t="shared" si="3362"/>
        <v>0</v>
      </c>
      <c r="CZ1482" s="430">
        <f t="shared" si="3363"/>
        <v>0</v>
      </c>
      <c r="DA1482" s="430">
        <f t="shared" si="3364"/>
        <v>0</v>
      </c>
      <c r="DB1482" s="430">
        <f t="shared" si="3365"/>
        <v>0</v>
      </c>
      <c r="DC1482" s="853">
        <f t="shared" si="3366"/>
        <v>0</v>
      </c>
      <c r="DD1482" s="331"/>
      <c r="DE1482" s="331"/>
      <c r="DF1482" s="502"/>
      <c r="DG1482" s="503"/>
      <c r="DH1482" s="2840"/>
      <c r="DI1482" s="3213"/>
      <c r="DJ1482" s="502"/>
      <c r="DK1482" s="503"/>
      <c r="DL1482" s="502"/>
      <c r="DM1482" s="502"/>
      <c r="DN1482" s="502"/>
      <c r="DO1482" s="502"/>
      <c r="DP1482" s="503"/>
      <c r="DQ1482" s="503"/>
      <c r="DR1482" s="296"/>
      <c r="DS1482" s="296"/>
      <c r="DT1482" s="296"/>
    </row>
    <row r="1483" spans="1:130" ht="12" customHeight="1" x14ac:dyDescent="0.25">
      <c r="A1483" s="1950" t="s">
        <v>1050</v>
      </c>
      <c r="B1483" s="11"/>
      <c r="C1483" s="543"/>
      <c r="D1483" s="543"/>
      <c r="E1483" s="543"/>
      <c r="F1483" s="543"/>
      <c r="G1483" s="510"/>
      <c r="H1483" s="543"/>
      <c r="I1483" s="543"/>
      <c r="J1483" s="543"/>
      <c r="K1483" s="543"/>
      <c r="L1483" s="510"/>
      <c r="M1483" s="543"/>
      <c r="N1483" s="543"/>
      <c r="O1483" s="543"/>
      <c r="P1483" s="543"/>
      <c r="Q1483" s="510"/>
      <c r="R1483" s="543"/>
      <c r="S1483" s="543"/>
      <c r="T1483" s="543"/>
      <c r="U1483" s="543"/>
      <c r="V1483" s="510"/>
      <c r="W1483" s="543"/>
      <c r="X1483" s="543"/>
      <c r="Y1483" s="543"/>
      <c r="Z1483" s="543"/>
      <c r="AA1483" s="510"/>
      <c r="AB1483" s="543"/>
      <c r="AC1483" s="543"/>
      <c r="AD1483" s="543"/>
      <c r="AE1483" s="608"/>
      <c r="AF1483" s="481"/>
      <c r="AG1483" s="608"/>
      <c r="AH1483" s="608"/>
      <c r="AI1483" s="608"/>
      <c r="AJ1483" s="608"/>
      <c r="AK1483" s="481"/>
      <c r="AL1483" s="608"/>
      <c r="AM1483" s="608"/>
      <c r="AN1483" s="608">
        <f t="shared" si="3390"/>
        <v>3.5067187500000001</v>
      </c>
      <c r="AO1483" s="608">
        <f t="shared" si="3390"/>
        <v>7.0045312500000003</v>
      </c>
      <c r="AP1483" s="483">
        <f t="shared" si="3367"/>
        <v>10.51125</v>
      </c>
      <c r="AQ1483" s="483">
        <f t="shared" si="3380"/>
        <v>6.9871874999999992</v>
      </c>
      <c r="AR1483" s="430">
        <f t="shared" si="3380"/>
        <v>6.9698437499999999</v>
      </c>
      <c r="AS1483" s="430">
        <f t="shared" si="3380"/>
        <v>6.9520312499999992</v>
      </c>
      <c r="AT1483" s="430">
        <f t="shared" si="3380"/>
        <v>9.3426562499999992</v>
      </c>
      <c r="AU1483" s="481">
        <f t="shared" si="3368"/>
        <v>30.251718749999995</v>
      </c>
      <c r="AV1483" s="483">
        <f t="shared" si="3381"/>
        <v>11.727187500000001</v>
      </c>
      <c r="AW1483" s="430">
        <f t="shared" si="3381"/>
        <v>11.126250000000001</v>
      </c>
      <c r="AX1483" s="430">
        <f t="shared" si="3381"/>
        <v>10.282382812500002</v>
      </c>
      <c r="AY1483" s="853">
        <f t="shared" si="3381"/>
        <v>5.0122265625000004</v>
      </c>
      <c r="AZ1483" s="481">
        <f t="shared" si="3369"/>
        <v>38.148046875000006</v>
      </c>
      <c r="BA1483" s="483">
        <f t="shared" si="3382"/>
        <v>0</v>
      </c>
      <c r="BB1483" s="430">
        <f t="shared" si="3382"/>
        <v>0</v>
      </c>
      <c r="BC1483" s="430">
        <f t="shared" si="3382"/>
        <v>0</v>
      </c>
      <c r="BD1483" s="853">
        <f t="shared" si="3382"/>
        <v>0</v>
      </c>
      <c r="BE1483" s="481">
        <f t="shared" si="3370"/>
        <v>0</v>
      </c>
      <c r="BF1483" s="430">
        <f t="shared" si="3383"/>
        <v>0</v>
      </c>
      <c r="BG1483" s="430">
        <f t="shared" si="3383"/>
        <v>0</v>
      </c>
      <c r="BH1483" s="430">
        <f t="shared" si="3383"/>
        <v>0</v>
      </c>
      <c r="BI1483" s="853">
        <f t="shared" si="3383"/>
        <v>0</v>
      </c>
      <c r="BJ1483" s="481">
        <f t="shared" si="3371"/>
        <v>0</v>
      </c>
      <c r="BK1483" s="430">
        <f t="shared" si="3384"/>
        <v>0</v>
      </c>
      <c r="BL1483" s="430">
        <f t="shared" si="3384"/>
        <v>0</v>
      </c>
      <c r="BM1483" s="430">
        <f t="shared" si="3384"/>
        <v>0</v>
      </c>
      <c r="BN1483" s="853">
        <f t="shared" si="3384"/>
        <v>0</v>
      </c>
      <c r="BO1483" s="481">
        <f t="shared" si="3344"/>
        <v>0</v>
      </c>
      <c r="BP1483" s="430">
        <f t="shared" si="3385"/>
        <v>0</v>
      </c>
      <c r="BQ1483" s="430">
        <f t="shared" si="3385"/>
        <v>0</v>
      </c>
      <c r="BR1483" s="430">
        <f t="shared" si="3385"/>
        <v>0</v>
      </c>
      <c r="BS1483" s="430">
        <f t="shared" si="3385"/>
        <v>0</v>
      </c>
      <c r="BT1483" s="2587">
        <f t="shared" si="3346"/>
        <v>0</v>
      </c>
      <c r="BU1483" s="2840">
        <f t="shared" si="3386"/>
        <v>0</v>
      </c>
      <c r="BV1483" s="2840">
        <f t="shared" si="3386"/>
        <v>0</v>
      </c>
      <c r="BW1483" s="2840">
        <f t="shared" si="3386"/>
        <v>0</v>
      </c>
      <c r="BX1483" s="2840">
        <f t="shared" si="3386"/>
        <v>0</v>
      </c>
      <c r="BY1483" s="2587">
        <f t="shared" si="3348"/>
        <v>0</v>
      </c>
      <c r="BZ1483" s="481">
        <f t="shared" ref="BZ1483:CF1483" si="3393">((BY1383+BZ1383)/2)*BZ1452</f>
        <v>0</v>
      </c>
      <c r="CA1483" s="481">
        <f t="shared" si="3393"/>
        <v>0</v>
      </c>
      <c r="CB1483" s="481">
        <f t="shared" si="3393"/>
        <v>0</v>
      </c>
      <c r="CC1483" s="481">
        <f t="shared" si="3393"/>
        <v>0</v>
      </c>
      <c r="CD1483" s="481">
        <f t="shared" si="3393"/>
        <v>0</v>
      </c>
      <c r="CE1483" s="481">
        <f t="shared" si="3393"/>
        <v>0</v>
      </c>
      <c r="CF1483" s="481">
        <f t="shared" si="3393"/>
        <v>0</v>
      </c>
      <c r="CG1483" s="331"/>
      <c r="CH1483" s="331"/>
      <c r="CI1483" s="331"/>
      <c r="CJ1483" s="331"/>
      <c r="CK1483" s="331"/>
      <c r="CL1483" s="2039" t="str">
        <f t="shared" si="3336"/>
        <v>Senior secured facility - Term Loan B, due July 2018</v>
      </c>
      <c r="CM1483" s="430">
        <f t="shared" si="3350"/>
        <v>0</v>
      </c>
      <c r="CN1483" s="430">
        <f t="shared" si="3351"/>
        <v>0</v>
      </c>
      <c r="CO1483" s="430">
        <f t="shared" si="3352"/>
        <v>0</v>
      </c>
      <c r="CP1483" s="430">
        <f t="shared" si="3353"/>
        <v>0</v>
      </c>
      <c r="CQ1483" s="430">
        <f t="shared" si="3354"/>
        <v>0</v>
      </c>
      <c r="CR1483" s="430">
        <f t="shared" si="3355"/>
        <v>0</v>
      </c>
      <c r="CS1483" s="430">
        <f t="shared" si="3356"/>
        <v>0</v>
      </c>
      <c r="CT1483" s="430">
        <f t="shared" si="3357"/>
        <v>10.51125</v>
      </c>
      <c r="CU1483" s="430">
        <f t="shared" si="3358"/>
        <v>30.251718749999995</v>
      </c>
      <c r="CV1483" s="430">
        <f t="shared" si="3359"/>
        <v>38.148046875000006</v>
      </c>
      <c r="CW1483" s="430">
        <f t="shared" si="3360"/>
        <v>0</v>
      </c>
      <c r="CX1483" s="430">
        <f t="shared" si="3361"/>
        <v>0</v>
      </c>
      <c r="CY1483" s="430">
        <f t="shared" si="3362"/>
        <v>0</v>
      </c>
      <c r="CZ1483" s="430">
        <f t="shared" si="3363"/>
        <v>0</v>
      </c>
      <c r="DA1483" s="430">
        <f t="shared" si="3364"/>
        <v>0</v>
      </c>
      <c r="DB1483" s="430">
        <f t="shared" si="3365"/>
        <v>0</v>
      </c>
      <c r="DC1483" s="853">
        <f t="shared" si="3366"/>
        <v>0</v>
      </c>
      <c r="DD1483" s="331"/>
      <c r="DE1483" s="331"/>
      <c r="DF1483" s="502"/>
      <c r="DG1483" s="503"/>
      <c r="DH1483" s="2840"/>
      <c r="DI1483" s="3213"/>
      <c r="DJ1483" s="502"/>
      <c r="DK1483" s="503"/>
      <c r="DL1483" s="502"/>
      <c r="DM1483" s="502"/>
      <c r="DN1483" s="502"/>
      <c r="DO1483" s="502"/>
      <c r="DP1483" s="503"/>
      <c r="DQ1483" s="503"/>
      <c r="DR1483" s="296"/>
      <c r="DS1483" s="296"/>
      <c r="DT1483" s="296"/>
    </row>
    <row r="1484" spans="1:130" ht="12" customHeight="1" x14ac:dyDescent="0.25">
      <c r="A1484" s="1950" t="s">
        <v>1228</v>
      </c>
      <c r="B1484" s="11"/>
      <c r="C1484" s="543">
        <f t="shared" ref="C1484:F1486" si="3394">((B1384+C1384)/2)*C1453/4</f>
        <v>3.4375000000000004</v>
      </c>
      <c r="D1484" s="543">
        <f t="shared" si="3394"/>
        <v>3.4375000000000004</v>
      </c>
      <c r="E1484" s="543">
        <f t="shared" si="3394"/>
        <v>3.4375000000000004</v>
      </c>
      <c r="F1484" s="543">
        <f t="shared" si="3394"/>
        <v>3.4375000000000004</v>
      </c>
      <c r="G1484" s="510">
        <f>SUM(C1484:F1484)</f>
        <v>13.750000000000002</v>
      </c>
      <c r="H1484" s="543">
        <f t="shared" ref="H1484:K1486" si="3395">((G1384+H1384)/2)*H1453/4</f>
        <v>3.4375000000000004</v>
      </c>
      <c r="I1484" s="543">
        <f t="shared" si="3395"/>
        <v>3.4375000000000004</v>
      </c>
      <c r="J1484" s="543">
        <f t="shared" si="3395"/>
        <v>3.4375000000000004</v>
      </c>
      <c r="K1484" s="543">
        <f t="shared" si="3395"/>
        <v>3.4375000000000004</v>
      </c>
      <c r="L1484" s="510">
        <f>SUM(H1484:K1484)</f>
        <v>13.750000000000002</v>
      </c>
      <c r="M1484" s="543">
        <f t="shared" ref="M1484:P1486" si="3396">((L1384+M1384)/2)*M1453/4</f>
        <v>3.4375000000000004</v>
      </c>
      <c r="N1484" s="543">
        <f t="shared" si="3396"/>
        <v>3.4375000000000004</v>
      </c>
      <c r="O1484" s="543">
        <f t="shared" si="3396"/>
        <v>3.4375000000000004</v>
      </c>
      <c r="P1484" s="543">
        <f t="shared" si="3396"/>
        <v>3.4375000000000004</v>
      </c>
      <c r="Q1484" s="510">
        <f>SUM(M1484:P1484)</f>
        <v>13.750000000000002</v>
      </c>
      <c r="R1484" s="543">
        <f t="shared" ref="R1484:U1486" si="3397">((Q1384+R1384)/2)*R1453/4</f>
        <v>3.4375000000000004</v>
      </c>
      <c r="S1484" s="543">
        <f t="shared" si="3397"/>
        <v>3.4375000000000004</v>
      </c>
      <c r="T1484" s="543">
        <f t="shared" si="3397"/>
        <v>3.4375000000000004</v>
      </c>
      <c r="U1484" s="543">
        <f t="shared" si="3397"/>
        <v>3.4375000000000004</v>
      </c>
      <c r="V1484" s="510">
        <f>SUM(R1484:U1484)</f>
        <v>13.750000000000002</v>
      </c>
      <c r="W1484" s="543">
        <f t="shared" ref="W1484:Z1486" si="3398">((V1384+W1384)/2)*W1453/4</f>
        <v>3.4375000000000004</v>
      </c>
      <c r="X1484" s="543">
        <f t="shared" si="3398"/>
        <v>3.4375000000000004</v>
      </c>
      <c r="Y1484" s="543">
        <f t="shared" si="3398"/>
        <v>3.4375000000000004</v>
      </c>
      <c r="Z1484" s="543">
        <f t="shared" si="3398"/>
        <v>3.4375000000000004</v>
      </c>
      <c r="AA1484" s="510">
        <f>SUM(W1484:Z1484)</f>
        <v>13.750000000000002</v>
      </c>
      <c r="AB1484" s="543">
        <f t="shared" ref="AB1484:AE1486" si="3399">((AA1384+AB1384)/2)*AB1453/4</f>
        <v>3.4375000000000004</v>
      </c>
      <c r="AC1484" s="543">
        <f t="shared" si="3399"/>
        <v>3.4375000000000004</v>
      </c>
      <c r="AD1484" s="543">
        <f t="shared" si="3399"/>
        <v>2.6257000000000001</v>
      </c>
      <c r="AE1484" s="608">
        <f t="shared" si="3399"/>
        <v>0.90695000000000003</v>
      </c>
      <c r="AF1484" s="481">
        <f>SUM(AB1484:AE1484)</f>
        <v>10.407650000000002</v>
      </c>
      <c r="AG1484" s="608">
        <f t="shared" ref="AG1484:AJ1486" si="3400">((AF1384+AG1384)/2)*AG1453/4</f>
        <v>0</v>
      </c>
      <c r="AH1484" s="608">
        <f t="shared" si="3400"/>
        <v>0</v>
      </c>
      <c r="AI1484" s="608">
        <f t="shared" si="3400"/>
        <v>0</v>
      </c>
      <c r="AJ1484" s="608">
        <f t="shared" si="3400"/>
        <v>0</v>
      </c>
      <c r="AK1484" s="481">
        <f>SUM(AG1484:AJ1484)</f>
        <v>0</v>
      </c>
      <c r="AL1484" s="608">
        <f t="shared" ref="AL1484:AM1486" si="3401">((AK1384+AL1384)/2)*AL1453/4</f>
        <v>0</v>
      </c>
      <c r="AM1484" s="608">
        <f t="shared" si="3401"/>
        <v>0</v>
      </c>
      <c r="AN1484" s="608">
        <f t="shared" si="3390"/>
        <v>0</v>
      </c>
      <c r="AO1484" s="608">
        <f t="shared" si="3390"/>
        <v>0</v>
      </c>
      <c r="AP1484" s="483">
        <f t="shared" si="3367"/>
        <v>0</v>
      </c>
      <c r="AQ1484" s="483">
        <f t="shared" si="3380"/>
        <v>0</v>
      </c>
      <c r="AR1484" s="430">
        <f t="shared" si="3380"/>
        <v>0</v>
      </c>
      <c r="AS1484" s="430">
        <f t="shared" si="3380"/>
        <v>0</v>
      </c>
      <c r="AT1484" s="430">
        <f t="shared" si="3380"/>
        <v>0</v>
      </c>
      <c r="AU1484" s="481">
        <f t="shared" si="3368"/>
        <v>0</v>
      </c>
      <c r="AV1484" s="483">
        <f t="shared" si="3381"/>
        <v>0</v>
      </c>
      <c r="AW1484" s="430">
        <f t="shared" si="3381"/>
        <v>0</v>
      </c>
      <c r="AX1484" s="430">
        <f t="shared" si="3381"/>
        <v>0</v>
      </c>
      <c r="AY1484" s="853">
        <f t="shared" si="3381"/>
        <v>0</v>
      </c>
      <c r="AZ1484" s="481">
        <f t="shared" si="3369"/>
        <v>0</v>
      </c>
      <c r="BA1484" s="483">
        <f t="shared" si="3382"/>
        <v>0</v>
      </c>
      <c r="BB1484" s="430">
        <f t="shared" si="3382"/>
        <v>0</v>
      </c>
      <c r="BC1484" s="430">
        <f t="shared" si="3382"/>
        <v>0</v>
      </c>
      <c r="BD1484" s="853">
        <f t="shared" si="3382"/>
        <v>0</v>
      </c>
      <c r="BE1484" s="481">
        <f t="shared" si="3370"/>
        <v>0</v>
      </c>
      <c r="BF1484" s="430">
        <f t="shared" si="3383"/>
        <v>0</v>
      </c>
      <c r="BG1484" s="430">
        <f t="shared" si="3383"/>
        <v>0</v>
      </c>
      <c r="BH1484" s="430">
        <f t="shared" si="3383"/>
        <v>0</v>
      </c>
      <c r="BI1484" s="853">
        <f t="shared" si="3383"/>
        <v>0</v>
      </c>
      <c r="BJ1484" s="481">
        <f t="shared" si="3371"/>
        <v>0</v>
      </c>
      <c r="BK1484" s="430">
        <f t="shared" si="3384"/>
        <v>0</v>
      </c>
      <c r="BL1484" s="430">
        <f t="shared" si="3384"/>
        <v>0</v>
      </c>
      <c r="BM1484" s="430">
        <f t="shared" si="3384"/>
        <v>0</v>
      </c>
      <c r="BN1484" s="853">
        <f t="shared" si="3384"/>
        <v>0</v>
      </c>
      <c r="BO1484" s="481">
        <f t="shared" si="3344"/>
        <v>0</v>
      </c>
      <c r="BP1484" s="430">
        <f t="shared" si="3385"/>
        <v>0</v>
      </c>
      <c r="BQ1484" s="430">
        <f t="shared" si="3385"/>
        <v>0</v>
      </c>
      <c r="BR1484" s="430">
        <f t="shared" si="3385"/>
        <v>0</v>
      </c>
      <c r="BS1484" s="430">
        <f t="shared" si="3385"/>
        <v>0</v>
      </c>
      <c r="BT1484" s="2587">
        <f t="shared" si="3346"/>
        <v>0</v>
      </c>
      <c r="BU1484" s="2840">
        <f t="shared" si="3386"/>
        <v>0</v>
      </c>
      <c r="BV1484" s="2840">
        <f t="shared" si="3386"/>
        <v>0</v>
      </c>
      <c r="BW1484" s="2840">
        <f t="shared" si="3386"/>
        <v>0</v>
      </c>
      <c r="BX1484" s="2840">
        <f t="shared" si="3386"/>
        <v>0</v>
      </c>
      <c r="BY1484" s="2587">
        <f t="shared" si="3348"/>
        <v>0</v>
      </c>
      <c r="BZ1484" s="481">
        <f t="shared" ref="BZ1484:CF1484" si="3402">((BY1384+BZ1384)/2)*BZ1453</f>
        <v>0</v>
      </c>
      <c r="CA1484" s="481">
        <f t="shared" si="3402"/>
        <v>0</v>
      </c>
      <c r="CB1484" s="481">
        <f t="shared" si="3402"/>
        <v>0</v>
      </c>
      <c r="CC1484" s="481">
        <f t="shared" si="3402"/>
        <v>0</v>
      </c>
      <c r="CD1484" s="481">
        <f t="shared" si="3402"/>
        <v>0</v>
      </c>
      <c r="CE1484" s="481">
        <f t="shared" si="3402"/>
        <v>0</v>
      </c>
      <c r="CF1484" s="481">
        <f t="shared" si="3402"/>
        <v>0</v>
      </c>
      <c r="CG1484" s="331"/>
      <c r="CH1484" s="331"/>
      <c r="CI1484" s="331"/>
      <c r="CJ1484" s="331"/>
      <c r="CK1484" s="331"/>
      <c r="CL1484" s="2039" t="str">
        <f t="shared" si="3336"/>
        <v>$200 million 6 7/8% Sr Sub Notes, due 2011</v>
      </c>
      <c r="CM1484" s="430">
        <f t="shared" si="3350"/>
        <v>13.750000000000002</v>
      </c>
      <c r="CN1484" s="430">
        <f t="shared" si="3351"/>
        <v>13.750000000000002</v>
      </c>
      <c r="CO1484" s="430">
        <f t="shared" si="3352"/>
        <v>13.750000000000002</v>
      </c>
      <c r="CP1484" s="430">
        <f t="shared" si="3353"/>
        <v>13.750000000000002</v>
      </c>
      <c r="CQ1484" s="430">
        <f t="shared" si="3354"/>
        <v>13.750000000000002</v>
      </c>
      <c r="CR1484" s="430">
        <f t="shared" si="3355"/>
        <v>10.407650000000002</v>
      </c>
      <c r="CS1484" s="430">
        <f t="shared" si="3356"/>
        <v>0</v>
      </c>
      <c r="CT1484" s="430">
        <f t="shared" si="3357"/>
        <v>0</v>
      </c>
      <c r="CU1484" s="430">
        <f t="shared" si="3358"/>
        <v>0</v>
      </c>
      <c r="CV1484" s="430">
        <f t="shared" si="3359"/>
        <v>0</v>
      </c>
      <c r="CW1484" s="430">
        <f t="shared" si="3360"/>
        <v>0</v>
      </c>
      <c r="CX1484" s="430">
        <f t="shared" si="3361"/>
        <v>0</v>
      </c>
      <c r="CY1484" s="430">
        <f t="shared" si="3362"/>
        <v>0</v>
      </c>
      <c r="CZ1484" s="430">
        <f t="shared" si="3363"/>
        <v>0</v>
      </c>
      <c r="DA1484" s="430">
        <f t="shared" si="3364"/>
        <v>0</v>
      </c>
      <c r="DB1484" s="430">
        <f t="shared" si="3365"/>
        <v>0</v>
      </c>
      <c r="DC1484" s="853">
        <f t="shared" si="3366"/>
        <v>0</v>
      </c>
      <c r="DD1484" s="331"/>
      <c r="DE1484" s="331"/>
      <c r="DF1484" s="502"/>
      <c r="DG1484" s="503"/>
      <c r="DH1484" s="2840"/>
      <c r="DI1484" s="3213"/>
      <c r="DJ1484" s="502"/>
      <c r="DK1484" s="503"/>
      <c r="DL1484" s="502"/>
      <c r="DM1484" s="502"/>
      <c r="DN1484" s="502"/>
      <c r="DO1484" s="502"/>
      <c r="DP1484" s="503"/>
      <c r="DQ1484" s="503"/>
      <c r="DR1484" s="296"/>
      <c r="DS1484" s="296"/>
      <c r="DT1484" s="296"/>
    </row>
    <row r="1485" spans="1:130" ht="12" customHeight="1" x14ac:dyDescent="0.25">
      <c r="A1485" s="1950" t="s">
        <v>1636</v>
      </c>
      <c r="B1485" s="11"/>
      <c r="C1485" s="543">
        <f t="shared" si="3394"/>
        <v>0</v>
      </c>
      <c r="D1485" s="543">
        <f t="shared" si="3394"/>
        <v>0</v>
      </c>
      <c r="E1485" s="543">
        <f t="shared" si="3394"/>
        <v>0</v>
      </c>
      <c r="F1485" s="543">
        <f t="shared" si="3394"/>
        <v>0</v>
      </c>
      <c r="G1485" s="510">
        <f>SUM(C1485:F1485)</f>
        <v>0</v>
      </c>
      <c r="H1485" s="543">
        <f t="shared" si="3395"/>
        <v>2.109375</v>
      </c>
      <c r="I1485" s="543">
        <f t="shared" si="3395"/>
        <v>4.21875</v>
      </c>
      <c r="J1485" s="543">
        <f t="shared" si="3395"/>
        <v>4.21875</v>
      </c>
      <c r="K1485" s="543">
        <f t="shared" si="3395"/>
        <v>4.21875</v>
      </c>
      <c r="L1485" s="510">
        <f>SUM(H1485:K1485)</f>
        <v>14.765625</v>
      </c>
      <c r="M1485" s="543">
        <f t="shared" si="3396"/>
        <v>4.21875</v>
      </c>
      <c r="N1485" s="543">
        <f t="shared" si="3396"/>
        <v>4.21875</v>
      </c>
      <c r="O1485" s="543">
        <f t="shared" si="3396"/>
        <v>4.21875</v>
      </c>
      <c r="P1485" s="543">
        <f t="shared" si="3396"/>
        <v>4.21875</v>
      </c>
      <c r="Q1485" s="510">
        <f>SUM(M1485:P1485)</f>
        <v>16.875</v>
      </c>
      <c r="R1485" s="543">
        <f t="shared" si="3397"/>
        <v>4.21875</v>
      </c>
      <c r="S1485" s="543">
        <f t="shared" si="3397"/>
        <v>4.21875</v>
      </c>
      <c r="T1485" s="543">
        <f t="shared" si="3397"/>
        <v>4.21875</v>
      </c>
      <c r="U1485" s="543">
        <f t="shared" si="3397"/>
        <v>4.21875</v>
      </c>
      <c r="V1485" s="510">
        <f>SUM(R1485:U1485)</f>
        <v>16.875</v>
      </c>
      <c r="W1485" s="543">
        <f t="shared" si="3398"/>
        <v>4.21875</v>
      </c>
      <c r="X1485" s="543">
        <f t="shared" si="3398"/>
        <v>4.21875</v>
      </c>
      <c r="Y1485" s="543">
        <f t="shared" si="3398"/>
        <v>4.21875</v>
      </c>
      <c r="Z1485" s="543">
        <f t="shared" si="3398"/>
        <v>4.21875</v>
      </c>
      <c r="AA1485" s="510">
        <f>SUM(W1485:Z1485)</f>
        <v>16.875</v>
      </c>
      <c r="AB1485" s="543">
        <f t="shared" si="3399"/>
        <v>4.21875</v>
      </c>
      <c r="AC1485" s="543">
        <f t="shared" si="3399"/>
        <v>4.21875</v>
      </c>
      <c r="AD1485" s="543">
        <f t="shared" si="3399"/>
        <v>4.21875</v>
      </c>
      <c r="AE1485" s="608">
        <f t="shared" si="3399"/>
        <v>4.21875</v>
      </c>
      <c r="AF1485" s="481">
        <f>SUM(AB1485:AE1485)</f>
        <v>16.875</v>
      </c>
      <c r="AG1485" s="608">
        <f t="shared" si="3400"/>
        <v>4.21875</v>
      </c>
      <c r="AH1485" s="608">
        <f t="shared" si="3400"/>
        <v>4.21875</v>
      </c>
      <c r="AI1485" s="608">
        <f t="shared" si="3400"/>
        <v>4.21875</v>
      </c>
      <c r="AJ1485" s="608">
        <f t="shared" si="3400"/>
        <v>4.21875</v>
      </c>
      <c r="AK1485" s="481">
        <f>SUM(AG1485:AJ1485)</f>
        <v>16.875</v>
      </c>
      <c r="AL1485" s="608">
        <f t="shared" si="3401"/>
        <v>4.21875</v>
      </c>
      <c r="AM1485" s="608">
        <f t="shared" si="3401"/>
        <v>4.21875</v>
      </c>
      <c r="AN1485" s="608">
        <f t="shared" si="3390"/>
        <v>2.109375</v>
      </c>
      <c r="AO1485" s="608">
        <f t="shared" si="3390"/>
        <v>0</v>
      </c>
      <c r="AP1485" s="483">
        <f t="shared" si="3367"/>
        <v>10.546875</v>
      </c>
      <c r="AQ1485" s="483">
        <f t="shared" si="3380"/>
        <v>0</v>
      </c>
      <c r="AR1485" s="430">
        <f t="shared" si="3380"/>
        <v>0</v>
      </c>
      <c r="AS1485" s="430">
        <f t="shared" si="3380"/>
        <v>0</v>
      </c>
      <c r="AT1485" s="430">
        <f t="shared" si="3380"/>
        <v>0</v>
      </c>
      <c r="AU1485" s="481">
        <f t="shared" si="3368"/>
        <v>0</v>
      </c>
      <c r="AV1485" s="483">
        <f t="shared" si="3381"/>
        <v>0</v>
      </c>
      <c r="AW1485" s="430">
        <f t="shared" si="3381"/>
        <v>0</v>
      </c>
      <c r="AX1485" s="430">
        <f t="shared" si="3381"/>
        <v>0</v>
      </c>
      <c r="AY1485" s="853">
        <f t="shared" si="3381"/>
        <v>0</v>
      </c>
      <c r="AZ1485" s="481">
        <f t="shared" si="3369"/>
        <v>0</v>
      </c>
      <c r="BA1485" s="483">
        <f t="shared" si="3382"/>
        <v>0</v>
      </c>
      <c r="BB1485" s="430">
        <f t="shared" si="3382"/>
        <v>0</v>
      </c>
      <c r="BC1485" s="430">
        <f t="shared" si="3382"/>
        <v>0</v>
      </c>
      <c r="BD1485" s="853">
        <f t="shared" si="3382"/>
        <v>0</v>
      </c>
      <c r="BE1485" s="481">
        <f t="shared" si="3370"/>
        <v>0</v>
      </c>
      <c r="BF1485" s="430">
        <f t="shared" si="3383"/>
        <v>0</v>
      </c>
      <c r="BG1485" s="430">
        <f t="shared" si="3383"/>
        <v>0</v>
      </c>
      <c r="BH1485" s="430">
        <f t="shared" si="3383"/>
        <v>0</v>
      </c>
      <c r="BI1485" s="853">
        <f t="shared" si="3383"/>
        <v>0</v>
      </c>
      <c r="BJ1485" s="481">
        <f t="shared" si="3371"/>
        <v>0</v>
      </c>
      <c r="BK1485" s="430">
        <f t="shared" si="3384"/>
        <v>0</v>
      </c>
      <c r="BL1485" s="430">
        <f t="shared" si="3384"/>
        <v>0</v>
      </c>
      <c r="BM1485" s="430">
        <f t="shared" si="3384"/>
        <v>0</v>
      </c>
      <c r="BN1485" s="853">
        <f t="shared" si="3384"/>
        <v>0</v>
      </c>
      <c r="BO1485" s="481">
        <f t="shared" si="3344"/>
        <v>0</v>
      </c>
      <c r="BP1485" s="430">
        <f t="shared" si="3385"/>
        <v>0</v>
      </c>
      <c r="BQ1485" s="430">
        <f t="shared" si="3385"/>
        <v>0</v>
      </c>
      <c r="BR1485" s="430">
        <f t="shared" si="3385"/>
        <v>0</v>
      </c>
      <c r="BS1485" s="430">
        <f t="shared" si="3385"/>
        <v>0</v>
      </c>
      <c r="BT1485" s="2587">
        <f t="shared" si="3346"/>
        <v>0</v>
      </c>
      <c r="BU1485" s="2840">
        <f t="shared" si="3386"/>
        <v>0</v>
      </c>
      <c r="BV1485" s="2840">
        <f t="shared" si="3386"/>
        <v>0</v>
      </c>
      <c r="BW1485" s="2840">
        <f t="shared" si="3386"/>
        <v>0</v>
      </c>
      <c r="BX1485" s="2840">
        <f t="shared" si="3386"/>
        <v>0</v>
      </c>
      <c r="BY1485" s="2587">
        <f t="shared" si="3348"/>
        <v>0</v>
      </c>
      <c r="BZ1485" s="481">
        <f t="shared" ref="BZ1485:CF1485" si="3403">((BY1385+BZ1385)/2)*BZ1454</f>
        <v>0</v>
      </c>
      <c r="CA1485" s="481">
        <f t="shared" si="3403"/>
        <v>0</v>
      </c>
      <c r="CB1485" s="481">
        <f t="shared" si="3403"/>
        <v>0</v>
      </c>
      <c r="CC1485" s="481">
        <f t="shared" si="3403"/>
        <v>0</v>
      </c>
      <c r="CD1485" s="481">
        <f t="shared" si="3403"/>
        <v>0</v>
      </c>
      <c r="CE1485" s="481">
        <f t="shared" si="3403"/>
        <v>0</v>
      </c>
      <c r="CF1485" s="481">
        <f t="shared" si="3403"/>
        <v>0</v>
      </c>
      <c r="CG1485" s="331"/>
      <c r="CH1485" s="331"/>
      <c r="CI1485" s="331"/>
      <c r="CJ1485" s="331"/>
      <c r="CK1485" s="331"/>
      <c r="CL1485" s="2039" t="str">
        <f t="shared" si="3336"/>
        <v>$250 million 6 3/4% Sr Sub Notes, due 2015</v>
      </c>
      <c r="CM1485" s="430">
        <f t="shared" si="3350"/>
        <v>0</v>
      </c>
      <c r="CN1485" s="430">
        <f t="shared" si="3351"/>
        <v>14.765625</v>
      </c>
      <c r="CO1485" s="430">
        <f t="shared" si="3352"/>
        <v>16.875</v>
      </c>
      <c r="CP1485" s="430">
        <f t="shared" si="3353"/>
        <v>16.875</v>
      </c>
      <c r="CQ1485" s="430">
        <f t="shared" si="3354"/>
        <v>16.875</v>
      </c>
      <c r="CR1485" s="430">
        <f t="shared" si="3355"/>
        <v>16.875</v>
      </c>
      <c r="CS1485" s="430">
        <f t="shared" si="3356"/>
        <v>16.875</v>
      </c>
      <c r="CT1485" s="430">
        <f t="shared" si="3357"/>
        <v>10.546875</v>
      </c>
      <c r="CU1485" s="430">
        <f t="shared" si="3358"/>
        <v>0</v>
      </c>
      <c r="CV1485" s="430">
        <f t="shared" si="3359"/>
        <v>0</v>
      </c>
      <c r="CW1485" s="430">
        <f t="shared" si="3360"/>
        <v>0</v>
      </c>
      <c r="CX1485" s="430">
        <f t="shared" si="3361"/>
        <v>0</v>
      </c>
      <c r="CY1485" s="430">
        <f t="shared" si="3362"/>
        <v>0</v>
      </c>
      <c r="CZ1485" s="430">
        <f t="shared" si="3363"/>
        <v>0</v>
      </c>
      <c r="DA1485" s="430">
        <f t="shared" si="3364"/>
        <v>0</v>
      </c>
      <c r="DB1485" s="430">
        <f t="shared" si="3365"/>
        <v>0</v>
      </c>
      <c r="DC1485" s="853">
        <f t="shared" si="3366"/>
        <v>0</v>
      </c>
      <c r="DD1485" s="331"/>
      <c r="DE1485" s="331"/>
      <c r="DF1485" s="502"/>
      <c r="DG1485" s="503"/>
      <c r="DH1485" s="2840"/>
      <c r="DI1485" s="3213"/>
      <c r="DJ1485" s="502"/>
      <c r="DK1485" s="503"/>
      <c r="DL1485" s="502"/>
      <c r="DM1485" s="502"/>
      <c r="DN1485" s="502"/>
      <c r="DO1485" s="502"/>
      <c r="DP1485" s="503"/>
      <c r="DQ1485" s="503"/>
      <c r="DR1485" s="296"/>
      <c r="DS1485" s="296"/>
      <c r="DT1485" s="296"/>
    </row>
    <row r="1486" spans="1:130" ht="12" customHeight="1" x14ac:dyDescent="0.25">
      <c r="A1486" s="355" t="s">
        <v>1142</v>
      </c>
      <c r="B1486" s="11"/>
      <c r="C1486" s="543">
        <f t="shared" si="3394"/>
        <v>0</v>
      </c>
      <c r="D1486" s="543">
        <f t="shared" si="3394"/>
        <v>0</v>
      </c>
      <c r="E1486" s="543">
        <f t="shared" si="3394"/>
        <v>0</v>
      </c>
      <c r="F1486" s="543">
        <f t="shared" si="3394"/>
        <v>0</v>
      </c>
      <c r="G1486" s="510">
        <f>SUM(C1486:F1486)</f>
        <v>0</v>
      </c>
      <c r="H1486" s="543">
        <f t="shared" si="3395"/>
        <v>0</v>
      </c>
      <c r="I1486" s="543">
        <f t="shared" si="3395"/>
        <v>0</v>
      </c>
      <c r="J1486" s="543">
        <f t="shared" si="3395"/>
        <v>0</v>
      </c>
      <c r="K1486" s="543">
        <f t="shared" si="3395"/>
        <v>0</v>
      </c>
      <c r="L1486" s="510">
        <f>SUM(H1486:K1486)</f>
        <v>0</v>
      </c>
      <c r="M1486" s="543">
        <f t="shared" si="3396"/>
        <v>0</v>
      </c>
      <c r="N1486" s="543">
        <f t="shared" si="3396"/>
        <v>0</v>
      </c>
      <c r="O1486" s="543">
        <f t="shared" si="3396"/>
        <v>0</v>
      </c>
      <c r="P1486" s="543">
        <f t="shared" si="3396"/>
        <v>0</v>
      </c>
      <c r="Q1486" s="510">
        <f>SUM(M1486:P1486)</f>
        <v>0</v>
      </c>
      <c r="R1486" s="543">
        <f t="shared" si="3397"/>
        <v>0</v>
      </c>
      <c r="S1486" s="543">
        <f t="shared" si="3397"/>
        <v>0</v>
      </c>
      <c r="T1486" s="543">
        <f t="shared" si="3397"/>
        <v>0</v>
      </c>
      <c r="U1486" s="543">
        <f t="shared" si="3397"/>
        <v>0</v>
      </c>
      <c r="V1486" s="510">
        <f>SUM(R1486:U1486)</f>
        <v>0</v>
      </c>
      <c r="W1486" s="543">
        <f t="shared" si="3398"/>
        <v>0</v>
      </c>
      <c r="X1486" s="543">
        <f t="shared" si="3398"/>
        <v>0</v>
      </c>
      <c r="Y1486" s="543">
        <f t="shared" si="3398"/>
        <v>0</v>
      </c>
      <c r="Z1486" s="543">
        <f t="shared" si="3398"/>
        <v>0</v>
      </c>
      <c r="AA1486" s="510">
        <f>SUM(W1486:Z1486)</f>
        <v>0</v>
      </c>
      <c r="AB1486" s="543">
        <f t="shared" si="3399"/>
        <v>0</v>
      </c>
      <c r="AC1486" s="543">
        <f t="shared" si="3399"/>
        <v>0</v>
      </c>
      <c r="AD1486" s="543">
        <f t="shared" si="3399"/>
        <v>3.5546874999999996</v>
      </c>
      <c r="AE1486" s="608">
        <f t="shared" si="3399"/>
        <v>7.1093749999999991</v>
      </c>
      <c r="AF1486" s="481">
        <f>SUM(AB1486:AE1486)</f>
        <v>10.664062499999998</v>
      </c>
      <c r="AG1486" s="608">
        <f t="shared" si="3400"/>
        <v>7.1093749999999991</v>
      </c>
      <c r="AH1486" s="608">
        <f t="shared" si="3400"/>
        <v>7.1093749999999991</v>
      </c>
      <c r="AI1486" s="608">
        <f t="shared" si="3400"/>
        <v>7.1093749999999991</v>
      </c>
      <c r="AJ1486" s="608">
        <f t="shared" si="3400"/>
        <v>7.1093749999999991</v>
      </c>
      <c r="AK1486" s="481">
        <f>SUM(AG1486:AJ1486)</f>
        <v>28.437499999999996</v>
      </c>
      <c r="AL1486" s="608">
        <f t="shared" si="3401"/>
        <v>7.1093749999999991</v>
      </c>
      <c r="AM1486" s="608">
        <f t="shared" si="3401"/>
        <v>7.1093749999999991</v>
      </c>
      <c r="AN1486" s="608">
        <f t="shared" si="3390"/>
        <v>7.1093749999999991</v>
      </c>
      <c r="AO1486" s="608">
        <f t="shared" si="3390"/>
        <v>7.1093749999999991</v>
      </c>
      <c r="AP1486" s="483">
        <f t="shared" si="3367"/>
        <v>28.437499999999996</v>
      </c>
      <c r="AQ1486" s="483">
        <f t="shared" si="3380"/>
        <v>7.1093749999999991</v>
      </c>
      <c r="AR1486" s="430">
        <f t="shared" si="3380"/>
        <v>7.1093749999999991</v>
      </c>
      <c r="AS1486" s="430">
        <f t="shared" si="3380"/>
        <v>7.1093749999999991</v>
      </c>
      <c r="AT1486" s="430">
        <f t="shared" si="3380"/>
        <v>7.1093749999999991</v>
      </c>
      <c r="AU1486" s="481">
        <f t="shared" si="3368"/>
        <v>28.437499999999996</v>
      </c>
      <c r="AV1486" s="483">
        <f t="shared" si="3381"/>
        <v>7.1093749999999991</v>
      </c>
      <c r="AW1486" s="430">
        <f t="shared" si="3381"/>
        <v>7.1093749999999991</v>
      </c>
      <c r="AX1486" s="430">
        <f t="shared" si="3381"/>
        <v>7.1093749999999991</v>
      </c>
      <c r="AY1486" s="853">
        <f t="shared" si="3381"/>
        <v>3.5546874999999996</v>
      </c>
      <c r="AZ1486" s="481">
        <f t="shared" si="3369"/>
        <v>24.882812499999996</v>
      </c>
      <c r="BA1486" s="483">
        <f t="shared" si="3382"/>
        <v>0</v>
      </c>
      <c r="BB1486" s="430">
        <f t="shared" si="3382"/>
        <v>0</v>
      </c>
      <c r="BC1486" s="430">
        <f t="shared" si="3382"/>
        <v>0</v>
      </c>
      <c r="BD1486" s="853">
        <f t="shared" si="3382"/>
        <v>0</v>
      </c>
      <c r="BE1486" s="481">
        <f t="shared" si="3370"/>
        <v>0</v>
      </c>
      <c r="BF1486" s="430">
        <f t="shared" si="3383"/>
        <v>0</v>
      </c>
      <c r="BG1486" s="430">
        <f t="shared" si="3383"/>
        <v>0</v>
      </c>
      <c r="BH1486" s="430">
        <f t="shared" si="3383"/>
        <v>0</v>
      </c>
      <c r="BI1486" s="853">
        <f t="shared" si="3383"/>
        <v>0</v>
      </c>
      <c r="BJ1486" s="481">
        <f t="shared" si="3371"/>
        <v>0</v>
      </c>
      <c r="BK1486" s="430">
        <f t="shared" si="3384"/>
        <v>0</v>
      </c>
      <c r="BL1486" s="430">
        <f t="shared" si="3384"/>
        <v>0</v>
      </c>
      <c r="BM1486" s="430">
        <f t="shared" si="3384"/>
        <v>0</v>
      </c>
      <c r="BN1486" s="853">
        <f t="shared" si="3384"/>
        <v>0</v>
      </c>
      <c r="BO1486" s="481">
        <f t="shared" si="3344"/>
        <v>0</v>
      </c>
      <c r="BP1486" s="430">
        <f t="shared" si="3385"/>
        <v>0</v>
      </c>
      <c r="BQ1486" s="430">
        <f t="shared" si="3385"/>
        <v>0</v>
      </c>
      <c r="BR1486" s="430">
        <f t="shared" si="3385"/>
        <v>0</v>
      </c>
      <c r="BS1486" s="430">
        <f t="shared" si="3385"/>
        <v>0</v>
      </c>
      <c r="BT1486" s="2587">
        <f t="shared" si="3346"/>
        <v>0</v>
      </c>
      <c r="BU1486" s="2840">
        <f t="shared" si="3386"/>
        <v>0</v>
      </c>
      <c r="BV1486" s="2840">
        <f t="shared" si="3386"/>
        <v>0</v>
      </c>
      <c r="BW1486" s="2840">
        <f t="shared" si="3386"/>
        <v>0</v>
      </c>
      <c r="BX1486" s="2840">
        <f t="shared" si="3386"/>
        <v>0</v>
      </c>
      <c r="BY1486" s="2587">
        <f t="shared" si="3348"/>
        <v>0</v>
      </c>
      <c r="BZ1486" s="481">
        <f t="shared" ref="BZ1486:CF1486" si="3404">((BY1386+BZ1386)/2)*BZ1455</f>
        <v>0</v>
      </c>
      <c r="CA1486" s="481">
        <f t="shared" si="3404"/>
        <v>0</v>
      </c>
      <c r="CB1486" s="481">
        <f t="shared" si="3404"/>
        <v>0</v>
      </c>
      <c r="CC1486" s="481">
        <f t="shared" si="3404"/>
        <v>0</v>
      </c>
      <c r="CD1486" s="481">
        <f t="shared" si="3404"/>
        <v>0</v>
      </c>
      <c r="CE1486" s="481">
        <f t="shared" si="3404"/>
        <v>0</v>
      </c>
      <c r="CF1486" s="481">
        <f t="shared" si="3404"/>
        <v>0</v>
      </c>
      <c r="CG1486" s="331"/>
      <c r="CH1486" s="331"/>
      <c r="CI1486" s="331"/>
      <c r="CJ1486" s="331"/>
      <c r="CK1486" s="331"/>
      <c r="CL1486" s="995" t="str">
        <f t="shared" si="3336"/>
        <v>$325 million 8 3/4% Sr Sub Notes, due 2019</v>
      </c>
      <c r="CM1486" s="430">
        <f t="shared" si="3350"/>
        <v>0</v>
      </c>
      <c r="CN1486" s="430">
        <f t="shared" si="3351"/>
        <v>0</v>
      </c>
      <c r="CO1486" s="430">
        <f t="shared" si="3352"/>
        <v>0</v>
      </c>
      <c r="CP1486" s="430">
        <f t="shared" si="3353"/>
        <v>0</v>
      </c>
      <c r="CQ1486" s="430">
        <f t="shared" si="3354"/>
        <v>0</v>
      </c>
      <c r="CR1486" s="430">
        <f t="shared" si="3355"/>
        <v>10.664062499999998</v>
      </c>
      <c r="CS1486" s="430">
        <f t="shared" si="3356"/>
        <v>28.437499999999996</v>
      </c>
      <c r="CT1486" s="430">
        <f t="shared" si="3357"/>
        <v>28.437499999999996</v>
      </c>
      <c r="CU1486" s="430">
        <f t="shared" si="3358"/>
        <v>28.437499999999996</v>
      </c>
      <c r="CV1486" s="430">
        <f t="shared" si="3359"/>
        <v>24.882812499999996</v>
      </c>
      <c r="CW1486" s="430">
        <f t="shared" si="3360"/>
        <v>0</v>
      </c>
      <c r="CX1486" s="430">
        <f t="shared" si="3361"/>
        <v>0</v>
      </c>
      <c r="CY1486" s="430">
        <f t="shared" si="3362"/>
        <v>0</v>
      </c>
      <c r="CZ1486" s="430">
        <f t="shared" si="3363"/>
        <v>0</v>
      </c>
      <c r="DA1486" s="430">
        <f t="shared" si="3364"/>
        <v>0</v>
      </c>
      <c r="DB1486" s="430">
        <f t="shared" si="3365"/>
        <v>0</v>
      </c>
      <c r="DC1486" s="853">
        <f t="shared" si="3366"/>
        <v>0</v>
      </c>
      <c r="DD1486" s="331"/>
      <c r="DE1486" s="331"/>
      <c r="DF1486" s="502"/>
      <c r="DG1486" s="503"/>
      <c r="DH1486" s="2840"/>
      <c r="DI1486" s="3213"/>
      <c r="DJ1486" s="502"/>
      <c r="DK1486" s="503"/>
      <c r="DL1486" s="502"/>
      <c r="DM1486" s="502"/>
      <c r="DN1486" s="502"/>
      <c r="DO1486" s="502"/>
      <c r="DP1486" s="503"/>
      <c r="DQ1486" s="503"/>
      <c r="DR1486" s="296"/>
      <c r="DS1486" s="296"/>
      <c r="DT1486" s="296"/>
    </row>
    <row r="1487" spans="1:130" ht="12" customHeight="1" x14ac:dyDescent="0.25">
      <c r="A1487" s="355" t="s">
        <v>77</v>
      </c>
      <c r="B1487" s="11"/>
      <c r="C1487" s="543"/>
      <c r="D1487" s="543"/>
      <c r="E1487" s="543"/>
      <c r="F1487" s="543"/>
      <c r="G1487" s="510"/>
      <c r="H1487" s="543"/>
      <c r="I1487" s="543"/>
      <c r="J1487" s="543"/>
      <c r="K1487" s="543"/>
      <c r="L1487" s="510"/>
      <c r="M1487" s="543"/>
      <c r="N1487" s="543"/>
      <c r="O1487" s="543"/>
      <c r="P1487" s="543"/>
      <c r="Q1487" s="510"/>
      <c r="R1487" s="543"/>
      <c r="S1487" s="543"/>
      <c r="T1487" s="543"/>
      <c r="U1487" s="543"/>
      <c r="V1487" s="510"/>
      <c r="W1487" s="543"/>
      <c r="X1487" s="543"/>
      <c r="Y1487" s="543"/>
      <c r="Z1487" s="543"/>
      <c r="AA1487" s="510"/>
      <c r="AB1487" s="543"/>
      <c r="AC1487" s="543"/>
      <c r="AD1487" s="543"/>
      <c r="AE1487" s="608"/>
      <c r="AF1487" s="481"/>
      <c r="AG1487" s="608"/>
      <c r="AH1487" s="608"/>
      <c r="AI1487" s="608"/>
      <c r="AJ1487" s="608"/>
      <c r="AK1487" s="481"/>
      <c r="AL1487" s="608"/>
      <c r="AM1487" s="608"/>
      <c r="AN1487" s="608"/>
      <c r="AO1487" s="608"/>
      <c r="AP1487" s="483"/>
      <c r="AQ1487" s="483"/>
      <c r="AR1487" s="430"/>
      <c r="AS1487" s="430"/>
      <c r="AT1487" s="430"/>
      <c r="AU1487" s="481"/>
      <c r="AV1487" s="483"/>
      <c r="AW1487" s="430"/>
      <c r="AX1487" s="430"/>
      <c r="AY1487" s="853">
        <f>(AY1387)*AY1456/4*(2/3)</f>
        <v>2.9375</v>
      </c>
      <c r="AZ1487" s="481">
        <f>SUM(AV1487:AY1487)</f>
        <v>2.9375</v>
      </c>
      <c r="BA1487" s="430">
        <f t="shared" si="3382"/>
        <v>4.40625</v>
      </c>
      <c r="BB1487" s="430">
        <f t="shared" si="3382"/>
        <v>4.40625</v>
      </c>
      <c r="BC1487" s="430">
        <f t="shared" si="3382"/>
        <v>4.40625</v>
      </c>
      <c r="BD1487" s="853">
        <f t="shared" si="3382"/>
        <v>4.40625</v>
      </c>
      <c r="BE1487" s="481">
        <f>SUM(BA1487:BD1487)</f>
        <v>17.625</v>
      </c>
      <c r="BF1487" s="430">
        <f t="shared" si="3383"/>
        <v>4.40625</v>
      </c>
      <c r="BG1487" s="430">
        <f t="shared" si="3383"/>
        <v>4.40625</v>
      </c>
      <c r="BH1487" s="430">
        <f t="shared" si="3383"/>
        <v>4.40625</v>
      </c>
      <c r="BI1487" s="853">
        <f t="shared" si="3383"/>
        <v>4.40625</v>
      </c>
      <c r="BJ1487" s="481">
        <f>SUM(BF1487:BI1487)</f>
        <v>17.625</v>
      </c>
      <c r="BK1487" s="430">
        <f t="shared" si="3384"/>
        <v>4.40625</v>
      </c>
      <c r="BL1487" s="430">
        <f t="shared" si="3384"/>
        <v>4.40625</v>
      </c>
      <c r="BM1487" s="430">
        <f t="shared" si="3384"/>
        <v>4.40625</v>
      </c>
      <c r="BN1487" s="853">
        <f t="shared" si="3384"/>
        <v>4.40625</v>
      </c>
      <c r="BO1487" s="481">
        <f t="shared" si="3344"/>
        <v>17.625</v>
      </c>
      <c r="BP1487" s="430">
        <f t="shared" si="3385"/>
        <v>2.203125</v>
      </c>
      <c r="BQ1487" s="430">
        <f t="shared" si="3385"/>
        <v>0</v>
      </c>
      <c r="BR1487" s="430">
        <f t="shared" si="3385"/>
        <v>0</v>
      </c>
      <c r="BS1487" s="430">
        <f t="shared" si="3385"/>
        <v>0</v>
      </c>
      <c r="BT1487" s="2587">
        <f t="shared" si="3346"/>
        <v>2.203125</v>
      </c>
      <c r="BU1487" s="2840">
        <f t="shared" si="3386"/>
        <v>0</v>
      </c>
      <c r="BV1487" s="2840">
        <f t="shared" si="3386"/>
        <v>0</v>
      </c>
      <c r="BW1487" s="2840">
        <f t="shared" si="3386"/>
        <v>0</v>
      </c>
      <c r="BX1487" s="2840">
        <f t="shared" si="3386"/>
        <v>0</v>
      </c>
      <c r="BY1487" s="2587">
        <f t="shared" si="3348"/>
        <v>0</v>
      </c>
      <c r="BZ1487" s="481">
        <f t="shared" ref="BZ1487:CF1487" si="3405">((BY1387+BZ1387)/2)*BZ1456</f>
        <v>0</v>
      </c>
      <c r="CA1487" s="481">
        <f t="shared" si="3405"/>
        <v>0</v>
      </c>
      <c r="CB1487" s="481">
        <f t="shared" si="3405"/>
        <v>0</v>
      </c>
      <c r="CC1487" s="481">
        <f t="shared" si="3405"/>
        <v>0</v>
      </c>
      <c r="CD1487" s="481">
        <f t="shared" si="3405"/>
        <v>0</v>
      </c>
      <c r="CE1487" s="481">
        <f t="shared" si="3405"/>
        <v>0</v>
      </c>
      <c r="CF1487" s="481">
        <f t="shared" si="3405"/>
        <v>0</v>
      </c>
      <c r="CG1487" s="331"/>
      <c r="CH1487" s="331"/>
      <c r="CI1487" s="331"/>
      <c r="CJ1487" s="331"/>
      <c r="CK1487" s="331"/>
      <c r="CL1487" s="995"/>
      <c r="CM1487" s="430"/>
      <c r="CN1487" s="430"/>
      <c r="CO1487" s="430"/>
      <c r="CP1487" s="430"/>
      <c r="CQ1487" s="430"/>
      <c r="CR1487" s="430"/>
      <c r="CS1487" s="430"/>
      <c r="CT1487" s="430"/>
      <c r="CU1487" s="430"/>
      <c r="CV1487" s="430"/>
      <c r="CW1487" s="430"/>
      <c r="CX1487" s="430"/>
      <c r="CY1487" s="430"/>
      <c r="CZ1487" s="430"/>
      <c r="DA1487" s="430"/>
      <c r="DB1487" s="430"/>
      <c r="DC1487" s="853"/>
      <c r="DD1487" s="331"/>
      <c r="DE1487" s="331"/>
      <c r="DF1487" s="502"/>
      <c r="DG1487" s="503"/>
      <c r="DH1487" s="2840"/>
      <c r="DI1487" s="3213"/>
      <c r="DJ1487" s="502"/>
      <c r="DK1487" s="503"/>
      <c r="DL1487" s="502"/>
      <c r="DM1487" s="502"/>
      <c r="DN1487" s="502"/>
      <c r="DO1487" s="502"/>
      <c r="DP1487" s="503"/>
      <c r="DQ1487" s="503"/>
      <c r="DR1487" s="296"/>
      <c r="DS1487" s="296"/>
      <c r="DT1487" s="296"/>
    </row>
    <row r="1488" spans="1:130" s="1049" customFormat="1" ht="12" customHeight="1" x14ac:dyDescent="0.25">
      <c r="A1488" s="2576" t="s">
        <v>2536</v>
      </c>
      <c r="B1488" s="296"/>
      <c r="C1488" s="608"/>
      <c r="D1488" s="608"/>
      <c r="E1488" s="608"/>
      <c r="F1488" s="608"/>
      <c r="G1488" s="481"/>
      <c r="H1488" s="608"/>
      <c r="I1488" s="608"/>
      <c r="J1488" s="608"/>
      <c r="K1488" s="608"/>
      <c r="L1488" s="481"/>
      <c r="M1488" s="608"/>
      <c r="N1488" s="608"/>
      <c r="O1488" s="608"/>
      <c r="P1488" s="608"/>
      <c r="Q1488" s="481"/>
      <c r="R1488" s="608"/>
      <c r="S1488" s="608"/>
      <c r="T1488" s="608"/>
      <c r="U1488" s="608"/>
      <c r="V1488" s="481"/>
      <c r="W1488" s="608"/>
      <c r="X1488" s="608"/>
      <c r="Y1488" s="608"/>
      <c r="Z1488" s="608"/>
      <c r="AA1488" s="481"/>
      <c r="AB1488" s="608"/>
      <c r="AC1488" s="608"/>
      <c r="AD1488" s="608"/>
      <c r="AE1488" s="608"/>
      <c r="AF1488" s="481"/>
      <c r="AG1488" s="608"/>
      <c r="AH1488" s="608"/>
      <c r="AI1488" s="608"/>
      <c r="AJ1488" s="608"/>
      <c r="AK1488" s="481"/>
      <c r="AL1488" s="608"/>
      <c r="AM1488" s="608"/>
      <c r="AN1488" s="608"/>
      <c r="AO1488" s="608"/>
      <c r="AP1488" s="483"/>
      <c r="AQ1488" s="483"/>
      <c r="AR1488" s="430"/>
      <c r="AS1488" s="430"/>
      <c r="AT1488" s="430"/>
      <c r="AU1488" s="481"/>
      <c r="AV1488" s="483"/>
      <c r="AW1488" s="430"/>
      <c r="AX1488" s="430"/>
      <c r="AY1488" s="853"/>
      <c r="AZ1488" s="481"/>
      <c r="BA1488" s="430"/>
      <c r="BB1488" s="430"/>
      <c r="BC1488" s="430"/>
      <c r="BD1488" s="853"/>
      <c r="BE1488" s="481"/>
      <c r="BF1488" s="430"/>
      <c r="BG1488" s="430"/>
      <c r="BH1488" s="430"/>
      <c r="BI1488" s="853"/>
      <c r="BJ1488" s="481"/>
      <c r="BK1488" s="430"/>
      <c r="BL1488" s="430"/>
      <c r="BM1488" s="430"/>
      <c r="BN1488" s="853"/>
      <c r="BO1488" s="481"/>
      <c r="BP1488" s="430">
        <f t="shared" si="3385"/>
        <v>2.8125</v>
      </c>
      <c r="BQ1488" s="430">
        <f t="shared" si="3385"/>
        <v>5.625</v>
      </c>
      <c r="BR1488" s="430">
        <f t="shared" si="3385"/>
        <v>5.625</v>
      </c>
      <c r="BS1488" s="430">
        <f t="shared" si="3385"/>
        <v>5.625</v>
      </c>
      <c r="BT1488" s="2587">
        <f t="shared" si="3346"/>
        <v>19.6875</v>
      </c>
      <c r="BU1488" s="2840">
        <f t="shared" si="3386"/>
        <v>5.625</v>
      </c>
      <c r="BV1488" s="2840">
        <f t="shared" si="3386"/>
        <v>5.625</v>
      </c>
      <c r="BW1488" s="2840">
        <f t="shared" si="3386"/>
        <v>5.625</v>
      </c>
      <c r="BX1488" s="2840">
        <f t="shared" si="3386"/>
        <v>5.625</v>
      </c>
      <c r="BY1488" s="2587">
        <f t="shared" si="3348"/>
        <v>22.5</v>
      </c>
      <c r="BZ1488" s="481">
        <f>((BY1388+BZ1388)/2)*BZ1457</f>
        <v>22.5</v>
      </c>
      <c r="CA1488" s="481">
        <f>((BZ1388+CA1388)/2)*CA1457</f>
        <v>22.5</v>
      </c>
      <c r="CB1488" s="481"/>
      <c r="CC1488" s="481"/>
      <c r="CD1488" s="481"/>
      <c r="CE1488" s="481"/>
      <c r="CF1488" s="481"/>
      <c r="CG1488" s="331"/>
      <c r="CH1488" s="331"/>
      <c r="CI1488" s="331"/>
      <c r="CJ1488" s="331"/>
      <c r="CK1488" s="331"/>
      <c r="CL1488" s="995"/>
      <c r="CM1488" s="430"/>
      <c r="CN1488" s="430"/>
      <c r="CO1488" s="430"/>
      <c r="CP1488" s="430"/>
      <c r="CQ1488" s="430"/>
      <c r="CR1488" s="430"/>
      <c r="CS1488" s="430"/>
      <c r="CT1488" s="430"/>
      <c r="CU1488" s="430"/>
      <c r="CV1488" s="430"/>
      <c r="CW1488" s="430"/>
      <c r="CX1488" s="430"/>
      <c r="CY1488" s="430"/>
      <c r="CZ1488" s="430"/>
      <c r="DA1488" s="430"/>
      <c r="DB1488" s="430"/>
      <c r="DC1488" s="853"/>
      <c r="DD1488" s="331"/>
      <c r="DE1488" s="331"/>
      <c r="DF1488" s="502"/>
      <c r="DG1488" s="503"/>
      <c r="DH1488" s="2840"/>
      <c r="DI1488" s="3213"/>
      <c r="DJ1488" s="502"/>
      <c r="DK1488" s="503"/>
      <c r="DL1488" s="502"/>
      <c r="DM1488" s="502"/>
      <c r="DN1488" s="502"/>
      <c r="DO1488" s="502"/>
      <c r="DP1488" s="503"/>
      <c r="DQ1488" s="503"/>
      <c r="DR1488" s="296"/>
      <c r="DS1488" s="296"/>
      <c r="DT1488" s="296"/>
      <c r="DU1488"/>
      <c r="DV1488"/>
      <c r="DW1488"/>
      <c r="DX1488"/>
      <c r="DY1488"/>
      <c r="DZ1488"/>
    </row>
    <row r="1489" spans="1:124" ht="12" customHeight="1" x14ac:dyDescent="0.25">
      <c r="A1489" s="355" t="s">
        <v>79</v>
      </c>
      <c r="B1489" s="11"/>
      <c r="C1489" s="543"/>
      <c r="D1489" s="543"/>
      <c r="E1489" s="543"/>
      <c r="F1489" s="543"/>
      <c r="G1489" s="510"/>
      <c r="H1489" s="543"/>
      <c r="I1489" s="543"/>
      <c r="J1489" s="543"/>
      <c r="K1489" s="543"/>
      <c r="L1489" s="510"/>
      <c r="M1489" s="543"/>
      <c r="N1489" s="543"/>
      <c r="O1489" s="543"/>
      <c r="P1489" s="543"/>
      <c r="Q1489" s="510"/>
      <c r="R1489" s="543"/>
      <c r="S1489" s="543"/>
      <c r="T1489" s="543"/>
      <c r="U1489" s="543"/>
      <c r="V1489" s="510"/>
      <c r="W1489" s="543"/>
      <c r="X1489" s="543"/>
      <c r="Y1489" s="543"/>
      <c r="Z1489" s="543"/>
      <c r="AA1489" s="510"/>
      <c r="AB1489" s="543"/>
      <c r="AC1489" s="543"/>
      <c r="AD1489" s="543"/>
      <c r="AE1489" s="608"/>
      <c r="AF1489" s="481"/>
      <c r="AG1489" s="608"/>
      <c r="AH1489" s="608"/>
      <c r="AI1489" s="608"/>
      <c r="AJ1489" s="608"/>
      <c r="AK1489" s="481"/>
      <c r="AL1489" s="608"/>
      <c r="AM1489" s="608"/>
      <c r="AN1489" s="608"/>
      <c r="AO1489" s="608"/>
      <c r="AP1489" s="483"/>
      <c r="AQ1489" s="483"/>
      <c r="AR1489" s="430"/>
      <c r="AS1489" s="430"/>
      <c r="AT1489" s="430"/>
      <c r="AU1489" s="481"/>
      <c r="AV1489" s="483"/>
      <c r="AW1489" s="430"/>
      <c r="AX1489" s="430"/>
      <c r="AY1489" s="853">
        <f>(AY1389)*AY1458/4*(2/3)</f>
        <v>0</v>
      </c>
      <c r="AZ1489" s="481">
        <f>SUM(AV1489:AY1489)</f>
        <v>0</v>
      </c>
      <c r="BA1489" s="430">
        <f t="shared" ref="BA1489:BD1491" si="3406">((AZ1389+BA1389)/2)*BA1458/4</f>
        <v>3.6328124999999996E-2</v>
      </c>
      <c r="BB1489" s="430">
        <f t="shared" si="3406"/>
        <v>5.1171874999999999E-2</v>
      </c>
      <c r="BC1489" s="430">
        <f t="shared" si="3406"/>
        <v>0.57212812499999999</v>
      </c>
      <c r="BD1489" s="853">
        <f t="shared" si="3406"/>
        <v>1.1588468750000001</v>
      </c>
      <c r="BE1489" s="481">
        <f>SUM(BA1489:BD1489)</f>
        <v>1.8184750000000001</v>
      </c>
      <c r="BF1489" s="430">
        <f t="shared" ref="BF1489:BI1491" si="3407">((BE1389+BF1389)/2)*BF1458/4</f>
        <v>1.3628992187499998</v>
      </c>
      <c r="BG1489" s="430">
        <f t="shared" si="3407"/>
        <v>1.5648757812499996</v>
      </c>
      <c r="BH1489" s="430">
        <f t="shared" si="3407"/>
        <v>2.5236255312499991</v>
      </c>
      <c r="BI1489" s="853">
        <f t="shared" si="3407"/>
        <v>4.1863710312499984</v>
      </c>
      <c r="BJ1489" s="481">
        <f>SUM(BF1489:BI1489)</f>
        <v>9.6377715624999958</v>
      </c>
      <c r="BK1489" s="430">
        <f t="shared" ref="BK1489:BN1491" si="3408">((BJ1389+BK1389)/2)*BK1458/4</f>
        <v>4.1691084687500002</v>
      </c>
      <c r="BL1489" s="430">
        <f t="shared" si="3408"/>
        <v>4.4888668749999994</v>
      </c>
      <c r="BM1489" s="430">
        <f t="shared" si="3408"/>
        <v>4.4844178124999994</v>
      </c>
      <c r="BN1489" s="853">
        <f t="shared" si="3408"/>
        <v>4.7586562500000005</v>
      </c>
      <c r="BO1489" s="481">
        <f t="shared" si="3344"/>
        <v>17.901049406249999</v>
      </c>
      <c r="BP1489" s="430">
        <f t="shared" si="3385"/>
        <v>3.3297656249999998</v>
      </c>
      <c r="BQ1489" s="430">
        <f t="shared" si="3385"/>
        <v>1.7866757812499994</v>
      </c>
      <c r="BR1489" s="430">
        <f t="shared" si="3385"/>
        <v>1.6260496875000001</v>
      </c>
      <c r="BS1489" s="430">
        <f t="shared" si="3385"/>
        <v>1.4900834374999998</v>
      </c>
      <c r="BT1489" s="2587">
        <f t="shared" si="3346"/>
        <v>8.2325745312499983</v>
      </c>
      <c r="BU1489" s="2840">
        <f t="shared" si="3386"/>
        <v>1.3335093749999993</v>
      </c>
      <c r="BV1489" s="2840">
        <f t="shared" si="3386"/>
        <v>1.4143281249999993</v>
      </c>
      <c r="BW1489" s="2840">
        <f t="shared" si="3386"/>
        <v>1.4951468749999994</v>
      </c>
      <c r="BX1489" s="2840">
        <f t="shared" si="3386"/>
        <v>1.5759656249999994</v>
      </c>
      <c r="BY1489" s="2587">
        <f t="shared" si="3348"/>
        <v>5.8189499999999974</v>
      </c>
      <c r="BZ1489" s="481">
        <f t="shared" ref="BZ1489:CF1489" si="3409">((BY1389+BZ1389)/2)*BZ1458</f>
        <v>6.6271374999999972</v>
      </c>
      <c r="CA1489" s="481">
        <f t="shared" si="3409"/>
        <v>6.9504124999999961</v>
      </c>
      <c r="CB1489" s="481">
        <f t="shared" si="3409"/>
        <v>6.9504124999999961</v>
      </c>
      <c r="CC1489" s="481">
        <f t="shared" si="3409"/>
        <v>6.9504124999999961</v>
      </c>
      <c r="CD1489" s="481">
        <f t="shared" si="3409"/>
        <v>6.9504124999999961</v>
      </c>
      <c r="CE1489" s="481">
        <f t="shared" si="3409"/>
        <v>6.9504124999999961</v>
      </c>
      <c r="CF1489" s="481">
        <f t="shared" si="3409"/>
        <v>6.9504124999999961</v>
      </c>
      <c r="CG1489" s="331"/>
      <c r="CH1489" s="331"/>
      <c r="CI1489" s="331"/>
      <c r="CJ1489" s="331"/>
      <c r="CK1489" s="331"/>
      <c r="CL1489" s="995"/>
      <c r="CM1489" s="430"/>
      <c r="CN1489" s="430"/>
      <c r="CO1489" s="430"/>
      <c r="CP1489" s="430"/>
      <c r="CQ1489" s="430"/>
      <c r="CR1489" s="430"/>
      <c r="CS1489" s="430"/>
      <c r="CT1489" s="430"/>
      <c r="CU1489" s="430"/>
      <c r="CV1489" s="430"/>
      <c r="CW1489" s="430"/>
      <c r="CX1489" s="430"/>
      <c r="CY1489" s="430"/>
      <c r="CZ1489" s="430"/>
      <c r="DA1489" s="430"/>
      <c r="DB1489" s="430"/>
      <c r="DC1489" s="853"/>
      <c r="DD1489" s="331"/>
      <c r="DE1489" s="331"/>
      <c r="DF1489" s="502"/>
      <c r="DG1489" s="503"/>
      <c r="DH1489" s="2840"/>
      <c r="DI1489" s="3213"/>
      <c r="DJ1489" s="502"/>
      <c r="DK1489" s="503"/>
      <c r="DL1489" s="502"/>
      <c r="DM1489" s="502"/>
      <c r="DN1489" s="502"/>
      <c r="DO1489" s="502"/>
      <c r="DP1489" s="503"/>
      <c r="DQ1489" s="503"/>
      <c r="DR1489" s="296"/>
      <c r="DS1489" s="296"/>
      <c r="DT1489" s="296"/>
    </row>
    <row r="1490" spans="1:124" ht="12" customHeight="1" x14ac:dyDescent="0.25">
      <c r="A1490" s="355" t="s">
        <v>80</v>
      </c>
      <c r="B1490" s="11"/>
      <c r="C1490" s="543"/>
      <c r="D1490" s="543"/>
      <c r="E1490" s="543"/>
      <c r="F1490" s="543"/>
      <c r="G1490" s="510"/>
      <c r="H1490" s="543"/>
      <c r="I1490" s="543"/>
      <c r="J1490" s="543"/>
      <c r="K1490" s="543"/>
      <c r="L1490" s="510"/>
      <c r="M1490" s="543"/>
      <c r="N1490" s="543"/>
      <c r="O1490" s="543"/>
      <c r="P1490" s="543"/>
      <c r="Q1490" s="510"/>
      <c r="R1490" s="543"/>
      <c r="S1490" s="543"/>
      <c r="T1490" s="543"/>
      <c r="U1490" s="543"/>
      <c r="V1490" s="510"/>
      <c r="W1490" s="543"/>
      <c r="X1490" s="543"/>
      <c r="Y1490" s="543"/>
      <c r="Z1490" s="543"/>
      <c r="AA1490" s="510"/>
      <c r="AB1490" s="543"/>
      <c r="AC1490" s="543"/>
      <c r="AD1490" s="543"/>
      <c r="AE1490" s="608"/>
      <c r="AF1490" s="481"/>
      <c r="AG1490" s="608"/>
      <c r="AH1490" s="608"/>
      <c r="AI1490" s="608"/>
      <c r="AJ1490" s="608"/>
      <c r="AK1490" s="481"/>
      <c r="AL1490" s="608"/>
      <c r="AM1490" s="608"/>
      <c r="AN1490" s="608"/>
      <c r="AO1490" s="608"/>
      <c r="AP1490" s="483"/>
      <c r="AQ1490" s="483"/>
      <c r="AR1490" s="430"/>
      <c r="AS1490" s="430"/>
      <c r="AT1490" s="430"/>
      <c r="AU1490" s="481"/>
      <c r="AV1490" s="483"/>
      <c r="AW1490" s="430"/>
      <c r="AX1490" s="430"/>
      <c r="AY1490" s="853">
        <f>(AY1390)*AY1459/4*(2/3)</f>
        <v>2.083333333333333</v>
      </c>
      <c r="AZ1490" s="481">
        <f>SUM(AV1490:AY1490)</f>
        <v>2.083333333333333</v>
      </c>
      <c r="BA1490" s="430">
        <f t="shared" si="3406"/>
        <v>3.1249999999999996</v>
      </c>
      <c r="BB1490" s="430">
        <f t="shared" si="3406"/>
        <v>3.1249999999999996</v>
      </c>
      <c r="BC1490" s="430">
        <f t="shared" si="3406"/>
        <v>3.1249999999999996</v>
      </c>
      <c r="BD1490" s="853">
        <f t="shared" si="3406"/>
        <v>3.1249999999999996</v>
      </c>
      <c r="BE1490" s="481">
        <f>SUM(BA1490:BD1490)</f>
        <v>12.499999999999998</v>
      </c>
      <c r="BF1490" s="430">
        <f t="shared" si="3407"/>
        <v>3.21875</v>
      </c>
      <c r="BG1490" s="430">
        <f t="shared" si="3407"/>
        <v>3.0980468749999996</v>
      </c>
      <c r="BH1490" s="430">
        <f t="shared" si="3407"/>
        <v>3.4495343749999998</v>
      </c>
      <c r="BI1490" s="853">
        <f t="shared" si="3407"/>
        <v>3.9168624999999997</v>
      </c>
      <c r="BJ1490" s="481">
        <f>SUM(BF1490:BI1490)</f>
        <v>13.683193750000001</v>
      </c>
      <c r="BK1490" s="430">
        <f t="shared" si="3408"/>
        <v>3.21875</v>
      </c>
      <c r="BL1490" s="430">
        <f t="shared" si="3408"/>
        <v>3.5937499999999996</v>
      </c>
      <c r="BM1490" s="430">
        <f t="shared" si="3408"/>
        <v>3.5937499999999996</v>
      </c>
      <c r="BN1490" s="853">
        <f t="shared" si="3408"/>
        <v>3.125</v>
      </c>
      <c r="BO1490" s="481">
        <f t="shared" si="3344"/>
        <v>13.53125</v>
      </c>
      <c r="BP1490" s="430">
        <f t="shared" si="3385"/>
        <v>2.1484375</v>
      </c>
      <c r="BQ1490" s="430">
        <f t="shared" si="3385"/>
        <v>1.953125</v>
      </c>
      <c r="BR1490" s="430">
        <f t="shared" si="3385"/>
        <v>2.109375</v>
      </c>
      <c r="BS1490" s="430">
        <f t="shared" si="3385"/>
        <v>2.265625</v>
      </c>
      <c r="BT1490" s="2587">
        <f t="shared" si="3346"/>
        <v>8.4765625</v>
      </c>
      <c r="BU1490" s="2840">
        <f t="shared" si="3386"/>
        <v>2.5781249999999996</v>
      </c>
      <c r="BV1490" s="2840">
        <f t="shared" si="3386"/>
        <v>2.734375</v>
      </c>
      <c r="BW1490" s="2840">
        <f t="shared" si="3386"/>
        <v>2.890625</v>
      </c>
      <c r="BX1490" s="2840">
        <f t="shared" si="3386"/>
        <v>3.046875</v>
      </c>
      <c r="BY1490" s="2587">
        <f t="shared" si="3348"/>
        <v>11.25</v>
      </c>
      <c r="BZ1490" s="481">
        <f t="shared" ref="BZ1490:CF1490" si="3410">((BY1390+BZ1390)/2)*BZ1459</f>
        <v>12.8125</v>
      </c>
      <c r="CA1490" s="481">
        <f t="shared" si="3410"/>
        <v>13.437499999999998</v>
      </c>
      <c r="CB1490" s="481">
        <f t="shared" si="3410"/>
        <v>13.437499999999998</v>
      </c>
      <c r="CC1490" s="481">
        <f t="shared" si="3410"/>
        <v>13.437499999999998</v>
      </c>
      <c r="CD1490" s="481">
        <f t="shared" si="3410"/>
        <v>13.437499999999998</v>
      </c>
      <c r="CE1490" s="481">
        <f t="shared" si="3410"/>
        <v>13.437499999999998</v>
      </c>
      <c r="CF1490" s="481">
        <f t="shared" si="3410"/>
        <v>13.437499999999998</v>
      </c>
      <c r="CG1490" s="331"/>
      <c r="CH1490" s="331"/>
      <c r="CI1490" s="331"/>
      <c r="CJ1490" s="331"/>
      <c r="CK1490" s="331"/>
      <c r="CL1490" s="995"/>
      <c r="CM1490" s="430"/>
      <c r="CN1490" s="430"/>
      <c r="CO1490" s="430"/>
      <c r="CP1490" s="430"/>
      <c r="CQ1490" s="430"/>
      <c r="CR1490" s="430"/>
      <c r="CS1490" s="430"/>
      <c r="CT1490" s="430"/>
      <c r="CU1490" s="430"/>
      <c r="CV1490" s="430"/>
      <c r="CW1490" s="430"/>
      <c r="CX1490" s="430"/>
      <c r="CY1490" s="430"/>
      <c r="CZ1490" s="430"/>
      <c r="DA1490" s="430"/>
      <c r="DB1490" s="430"/>
      <c r="DC1490" s="853"/>
      <c r="DD1490" s="331"/>
      <c r="DE1490" s="331"/>
      <c r="DF1490" s="502"/>
      <c r="DG1490" s="503"/>
      <c r="DH1490" s="2840"/>
      <c r="DI1490" s="3213"/>
      <c r="DJ1490" s="502"/>
      <c r="DK1490" s="503"/>
      <c r="DL1490" s="502"/>
      <c r="DM1490" s="502"/>
      <c r="DN1490" s="502"/>
      <c r="DO1490" s="502"/>
      <c r="DP1490" s="503"/>
      <c r="DQ1490" s="503"/>
      <c r="DR1490" s="296"/>
      <c r="DS1490" s="296"/>
      <c r="DT1490" s="296"/>
    </row>
    <row r="1491" spans="1:124" ht="12" customHeight="1" x14ac:dyDescent="0.25">
      <c r="A1491" s="355" t="s">
        <v>1669</v>
      </c>
      <c r="B1491" s="11"/>
      <c r="C1491" s="543"/>
      <c r="D1491" s="543"/>
      <c r="E1491" s="543"/>
      <c r="F1491" s="543"/>
      <c r="G1491" s="510"/>
      <c r="H1491" s="543"/>
      <c r="I1491" s="543"/>
      <c r="J1491" s="543"/>
      <c r="K1491" s="543"/>
      <c r="L1491" s="510"/>
      <c r="M1491" s="543"/>
      <c r="N1491" s="543"/>
      <c r="O1491" s="543"/>
      <c r="P1491" s="543"/>
      <c r="Q1491" s="510"/>
      <c r="R1491" s="543"/>
      <c r="S1491" s="543"/>
      <c r="T1491" s="543"/>
      <c r="U1491" s="543"/>
      <c r="V1491" s="510"/>
      <c r="W1491" s="543"/>
      <c r="X1491" s="543"/>
      <c r="Y1491" s="543"/>
      <c r="Z1491" s="543"/>
      <c r="AA1491" s="510"/>
      <c r="AB1491" s="543"/>
      <c r="AC1491" s="543"/>
      <c r="AD1491" s="543"/>
      <c r="AE1491" s="608"/>
      <c r="AF1491" s="481"/>
      <c r="AG1491" s="608"/>
      <c r="AH1491" s="608"/>
      <c r="AI1491" s="608"/>
      <c r="AJ1491" s="608"/>
      <c r="AK1491" s="481"/>
      <c r="AL1491" s="608"/>
      <c r="AM1491" s="608"/>
      <c r="AN1491" s="608"/>
      <c r="AO1491" s="608"/>
      <c r="AP1491" s="483"/>
      <c r="AQ1491" s="483"/>
      <c r="AR1491" s="430"/>
      <c r="AS1491" s="430"/>
      <c r="AT1491" s="430"/>
      <c r="AU1491" s="481"/>
      <c r="AV1491" s="483"/>
      <c r="AW1491" s="430"/>
      <c r="AX1491" s="430"/>
      <c r="AY1491" s="853">
        <f>(AY1391)*AY1460/4*(2/3)</f>
        <v>1.3541666666666665</v>
      </c>
      <c r="AZ1491" s="481">
        <f>SUM(AV1491:AY1491)</f>
        <v>1.3541666666666665</v>
      </c>
      <c r="BA1491" s="430">
        <f t="shared" si="3406"/>
        <v>2.03125</v>
      </c>
      <c r="BB1491" s="430">
        <f t="shared" si="3406"/>
        <v>2.03125</v>
      </c>
      <c r="BC1491" s="430">
        <f t="shared" si="3406"/>
        <v>2.03125</v>
      </c>
      <c r="BD1491" s="853">
        <f t="shared" si="3406"/>
        <v>2.03125</v>
      </c>
      <c r="BE1491" s="481">
        <f>SUM(BA1491:BD1491)</f>
        <v>8.125</v>
      </c>
      <c r="BF1491" s="430">
        <f t="shared" si="3407"/>
        <v>2.03125</v>
      </c>
      <c r="BG1491" s="430">
        <f t="shared" si="3407"/>
        <v>2.0162187500000002</v>
      </c>
      <c r="BH1491" s="430">
        <f t="shared" si="3407"/>
        <v>1.9983437500000001</v>
      </c>
      <c r="BI1491" s="853">
        <f t="shared" si="3407"/>
        <v>2.0133750000000004</v>
      </c>
      <c r="BJ1491" s="481">
        <f>SUM(BF1491:BI1491)</f>
        <v>8.0591875000000002</v>
      </c>
      <c r="BK1491" s="430">
        <f t="shared" si="3408"/>
        <v>2.03125</v>
      </c>
      <c r="BL1491" s="430">
        <f t="shared" si="3408"/>
        <v>2.03125</v>
      </c>
      <c r="BM1491" s="430">
        <f t="shared" si="3408"/>
        <v>2.03125</v>
      </c>
      <c r="BN1491" s="853">
        <f t="shared" si="3408"/>
        <v>2.109375</v>
      </c>
      <c r="BO1491" s="481">
        <f t="shared" si="3344"/>
        <v>8.203125</v>
      </c>
      <c r="BP1491" s="430">
        <f t="shared" si="3385"/>
        <v>3.1640625</v>
      </c>
      <c r="BQ1491" s="430">
        <f t="shared" si="3385"/>
        <v>4.21875</v>
      </c>
      <c r="BR1491" s="430">
        <f t="shared" si="3385"/>
        <v>4.5312500000000009</v>
      </c>
      <c r="BS1491" s="430">
        <f t="shared" si="3385"/>
        <v>4.84375</v>
      </c>
      <c r="BT1491" s="2587">
        <f t="shared" si="3346"/>
        <v>16.7578125</v>
      </c>
      <c r="BU1491" s="2840">
        <f t="shared" si="3386"/>
        <v>5.46875</v>
      </c>
      <c r="BV1491" s="2840">
        <f t="shared" si="3386"/>
        <v>5.78125</v>
      </c>
      <c r="BW1491" s="2840">
        <f t="shared" si="3386"/>
        <v>6.09375</v>
      </c>
      <c r="BX1491" s="2840">
        <f t="shared" si="3386"/>
        <v>6.4062500000000009</v>
      </c>
      <c r="BY1491" s="2587">
        <f t="shared" si="3348"/>
        <v>23.75</v>
      </c>
      <c r="BZ1491" s="481">
        <f t="shared" ref="BZ1491:CF1491" si="3411">((BY1391+BZ1391)/2)*BZ1460</f>
        <v>26.875</v>
      </c>
      <c r="CA1491" s="481">
        <f t="shared" si="3411"/>
        <v>28.124999999999996</v>
      </c>
      <c r="CB1491" s="481">
        <f t="shared" si="3411"/>
        <v>28.124999999999996</v>
      </c>
      <c r="CC1491" s="481">
        <f t="shared" si="3411"/>
        <v>28.124999999999996</v>
      </c>
      <c r="CD1491" s="481">
        <f t="shared" si="3411"/>
        <v>28.124999999999996</v>
      </c>
      <c r="CE1491" s="481">
        <f t="shared" si="3411"/>
        <v>28.124999999999996</v>
      </c>
      <c r="CF1491" s="481">
        <f t="shared" si="3411"/>
        <v>28.124999999999996</v>
      </c>
      <c r="CG1491" s="331"/>
      <c r="CH1491" s="331"/>
      <c r="CI1491" s="331"/>
      <c r="CJ1491" s="331"/>
      <c r="CK1491" s="331"/>
      <c r="CL1491" s="995"/>
      <c r="CM1491" s="430"/>
      <c r="CN1491" s="430"/>
      <c r="CO1491" s="430"/>
      <c r="CP1491" s="430"/>
      <c r="CQ1491" s="430"/>
      <c r="CR1491" s="430"/>
      <c r="CS1491" s="430"/>
      <c r="CT1491" s="430"/>
      <c r="CU1491" s="430"/>
      <c r="CV1491" s="430"/>
      <c r="CW1491" s="430"/>
      <c r="CX1491" s="430"/>
      <c r="CY1491" s="430"/>
      <c r="CZ1491" s="430"/>
      <c r="DA1491" s="430"/>
      <c r="DB1491" s="430"/>
      <c r="DC1491" s="853"/>
      <c r="DD1491" s="331"/>
      <c r="DE1491" s="331"/>
      <c r="DF1491" s="502"/>
      <c r="DG1491" s="503"/>
      <c r="DH1491" s="2840"/>
      <c r="DI1491" s="3213"/>
      <c r="DJ1491" s="502"/>
      <c r="DK1491" s="503"/>
      <c r="DL1491" s="502"/>
      <c r="DM1491" s="502"/>
      <c r="DN1491" s="502"/>
      <c r="DO1491" s="502"/>
      <c r="DP1491" s="503"/>
      <c r="DQ1491" s="503"/>
      <c r="DR1491" s="296"/>
      <c r="DS1491" s="296"/>
      <c r="DT1491" s="296"/>
    </row>
    <row r="1492" spans="1:124" ht="12" customHeight="1" x14ac:dyDescent="0.25">
      <c r="A1492" s="2576" t="s">
        <v>2648</v>
      </c>
      <c r="B1492" s="11"/>
      <c r="C1492" s="543"/>
      <c r="D1492" s="543"/>
      <c r="E1492" s="543"/>
      <c r="F1492" s="543"/>
      <c r="G1492" s="510"/>
      <c r="H1492" s="543"/>
      <c r="I1492" s="543"/>
      <c r="J1492" s="543"/>
      <c r="K1492" s="543"/>
      <c r="L1492" s="510"/>
      <c r="M1492" s="543"/>
      <c r="N1492" s="543"/>
      <c r="O1492" s="543"/>
      <c r="P1492" s="543"/>
      <c r="Q1492" s="510"/>
      <c r="R1492" s="543"/>
      <c r="S1492" s="543"/>
      <c r="T1492" s="543"/>
      <c r="U1492" s="543"/>
      <c r="V1492" s="510"/>
      <c r="W1492" s="543"/>
      <c r="X1492" s="543"/>
      <c r="Y1492" s="543"/>
      <c r="Z1492" s="543"/>
      <c r="AA1492" s="510"/>
      <c r="AB1492" s="543"/>
      <c r="AC1492" s="543"/>
      <c r="AD1492" s="543"/>
      <c r="AE1492" s="608"/>
      <c r="AF1492" s="481"/>
      <c r="AG1492" s="608"/>
      <c r="AH1492" s="608"/>
      <c r="AI1492" s="608"/>
      <c r="AJ1492" s="608"/>
      <c r="AK1492" s="481"/>
      <c r="AL1492" s="608"/>
      <c r="AM1492" s="608"/>
      <c r="AN1492" s="608"/>
      <c r="AO1492" s="608"/>
      <c r="AP1492" s="483"/>
      <c r="AQ1492" s="483"/>
      <c r="AR1492" s="430"/>
      <c r="AS1492" s="430"/>
      <c r="AT1492" s="430"/>
      <c r="AU1492" s="481"/>
      <c r="AV1492" s="483"/>
      <c r="AW1492" s="430"/>
      <c r="AX1492" s="430"/>
      <c r="AY1492" s="853"/>
      <c r="AZ1492" s="481"/>
      <c r="BA1492" s="430"/>
      <c r="BB1492" s="430"/>
      <c r="BC1492" s="430"/>
      <c r="BD1492" s="853"/>
      <c r="BE1492" s="481"/>
      <c r="BF1492" s="430"/>
      <c r="BG1492" s="430"/>
      <c r="BH1492" s="430"/>
      <c r="BI1492" s="853"/>
      <c r="BJ1492" s="481"/>
      <c r="BK1492" s="430"/>
      <c r="BL1492" s="430"/>
      <c r="BM1492" s="430"/>
      <c r="BN1492" s="853"/>
      <c r="BO1492" s="481"/>
      <c r="BP1492" s="430"/>
      <c r="BQ1492" s="430"/>
      <c r="BR1492" s="430"/>
      <c r="BS1492" s="430"/>
      <c r="BT1492" s="2587"/>
      <c r="BU1492" s="2840"/>
      <c r="BV1492" s="2840"/>
      <c r="BW1492" s="2840">
        <f>(BW1392)*BW1461/4</f>
        <v>13.671875</v>
      </c>
      <c r="BX1492" s="2840">
        <f>((BW1392+BX1392)/2)*BX1461/4</f>
        <v>14.453125</v>
      </c>
      <c r="BY1492" s="2587">
        <f>SUM(BU1492:BX1492)</f>
        <v>28.125</v>
      </c>
      <c r="BZ1492" s="481">
        <f>((BY1392+BZ1392)/2)*BZ1461</f>
        <v>54.84375</v>
      </c>
      <c r="CA1492" s="481">
        <f>((BZ1392+CA1392)/2)*CA1461</f>
        <v>51.25</v>
      </c>
      <c r="CB1492" s="481"/>
      <c r="CC1492" s="481"/>
      <c r="CD1492" s="481"/>
      <c r="CE1492" s="481"/>
      <c r="CF1492" s="481"/>
      <c r="CG1492" s="331"/>
      <c r="CH1492" s="331"/>
      <c r="CI1492" s="331"/>
      <c r="CJ1492" s="331"/>
      <c r="CK1492" s="331"/>
      <c r="CL1492" s="995"/>
      <c r="CM1492" s="430"/>
      <c r="CN1492" s="430"/>
      <c r="CO1492" s="430"/>
      <c r="CP1492" s="430"/>
      <c r="CQ1492" s="430"/>
      <c r="CR1492" s="430"/>
      <c r="CS1492" s="430"/>
      <c r="CT1492" s="430"/>
      <c r="CU1492" s="430"/>
      <c r="CV1492" s="430"/>
      <c r="CW1492" s="430"/>
      <c r="CX1492" s="430"/>
      <c r="CY1492" s="430"/>
      <c r="CZ1492" s="430"/>
      <c r="DA1492" s="430"/>
      <c r="DB1492" s="430"/>
      <c r="DC1492" s="853"/>
      <c r="DD1492" s="331"/>
      <c r="DE1492" s="331"/>
      <c r="DF1492" s="502"/>
      <c r="DG1492" s="503"/>
      <c r="DH1492" s="2840"/>
      <c r="DI1492" s="3213"/>
      <c r="DJ1492" s="502"/>
      <c r="DK1492" s="503"/>
      <c r="DL1492" s="502"/>
      <c r="DM1492" s="502"/>
      <c r="DN1492" s="502"/>
      <c r="DO1492" s="502"/>
      <c r="DP1492" s="503"/>
      <c r="DQ1492" s="503"/>
      <c r="DR1492" s="296"/>
      <c r="DS1492" s="296"/>
      <c r="DT1492" s="296"/>
    </row>
    <row r="1493" spans="1:124" ht="12" customHeight="1" x14ac:dyDescent="0.25">
      <c r="A1493" s="2576" t="s">
        <v>2447</v>
      </c>
      <c r="B1493" s="11"/>
      <c r="C1493" s="543"/>
      <c r="D1493" s="543"/>
      <c r="E1493" s="543"/>
      <c r="F1493" s="543"/>
      <c r="G1493" s="510"/>
      <c r="H1493" s="543"/>
      <c r="I1493" s="543"/>
      <c r="J1493" s="543"/>
      <c r="K1493" s="543"/>
      <c r="L1493" s="510"/>
      <c r="M1493" s="543"/>
      <c r="N1493" s="543"/>
      <c r="O1493" s="543"/>
      <c r="P1493" s="543"/>
      <c r="Q1493" s="510"/>
      <c r="R1493" s="543"/>
      <c r="S1493" s="543"/>
      <c r="T1493" s="543"/>
      <c r="U1493" s="543"/>
      <c r="V1493" s="510"/>
      <c r="W1493" s="543"/>
      <c r="X1493" s="543"/>
      <c r="Y1493" s="543"/>
      <c r="Z1493" s="543"/>
      <c r="AA1493" s="510"/>
      <c r="AB1493" s="543"/>
      <c r="AC1493" s="543"/>
      <c r="AD1493" s="543"/>
      <c r="AE1493" s="608"/>
      <c r="AF1493" s="481"/>
      <c r="AG1493" s="608"/>
      <c r="AH1493" s="608"/>
      <c r="AI1493" s="608"/>
      <c r="AJ1493" s="608"/>
      <c r="AK1493" s="481"/>
      <c r="AL1493" s="608"/>
      <c r="AM1493" s="608"/>
      <c r="AN1493" s="608"/>
      <c r="AO1493" s="608"/>
      <c r="AP1493" s="483"/>
      <c r="AQ1493" s="483"/>
      <c r="AR1493" s="430"/>
      <c r="AS1493" s="430"/>
      <c r="AT1493" s="430"/>
      <c r="AU1493" s="481"/>
      <c r="AV1493" s="483"/>
      <c r="AW1493" s="430"/>
      <c r="AX1493" s="430"/>
      <c r="AY1493" s="853"/>
      <c r="AZ1493" s="481"/>
      <c r="BA1493" s="430">
        <f t="shared" ref="BA1493:CA1493" si="3412">+BA1262</f>
        <v>93.1</v>
      </c>
      <c r="BB1493" s="430">
        <f t="shared" si="3412"/>
        <v>94</v>
      </c>
      <c r="BC1493" s="430">
        <f t="shared" si="3412"/>
        <v>94.6</v>
      </c>
      <c r="BD1493" s="853">
        <f t="shared" si="3412"/>
        <v>97.5</v>
      </c>
      <c r="BE1493" s="481">
        <f t="shared" si="3412"/>
        <v>379.2</v>
      </c>
      <c r="BF1493" s="430">
        <f t="shared" si="3412"/>
        <v>96.4</v>
      </c>
      <c r="BG1493" s="430">
        <f t="shared" si="3412"/>
        <v>97.7</v>
      </c>
      <c r="BH1493" s="430">
        <f t="shared" si="3412"/>
        <v>97.8</v>
      </c>
      <c r="BI1493" s="853">
        <f t="shared" si="3412"/>
        <v>98.199999999999989</v>
      </c>
      <c r="BJ1493" s="481">
        <f t="shared" si="3412"/>
        <v>390.1</v>
      </c>
      <c r="BK1493" s="430">
        <f t="shared" si="3412"/>
        <v>99.787153908527856</v>
      </c>
      <c r="BL1493" s="430">
        <f t="shared" si="3412"/>
        <v>99.25326450738703</v>
      </c>
      <c r="BM1493" s="430">
        <f t="shared" si="3412"/>
        <v>98.276856038857687</v>
      </c>
      <c r="BN1493" s="853">
        <f t="shared" si="3412"/>
        <v>98.912865224780475</v>
      </c>
      <c r="BO1493" s="481">
        <f t="shared" si="3412"/>
        <v>396.23013967955308</v>
      </c>
      <c r="BP1493" s="430">
        <f t="shared" si="3412"/>
        <v>97.831500000000005</v>
      </c>
      <c r="BQ1493" s="430">
        <f t="shared" si="3412"/>
        <v>99.093000000000004</v>
      </c>
      <c r="BR1493" s="430">
        <f t="shared" si="3412"/>
        <v>99.605429999999998</v>
      </c>
      <c r="BS1493" s="430">
        <f t="shared" si="3412"/>
        <v>99.642839999999993</v>
      </c>
      <c r="BT1493" s="2587">
        <f t="shared" si="3412"/>
        <v>396.17277000000001</v>
      </c>
      <c r="BU1493" s="2840">
        <f t="shared" si="3412"/>
        <v>100.84930124078862</v>
      </c>
      <c r="BV1493" s="2840">
        <f t="shared" si="3412"/>
        <v>100.53532020871786</v>
      </c>
      <c r="BW1493" s="2840">
        <f t="shared" si="3412"/>
        <v>176.45801430972895</v>
      </c>
      <c r="BX1493" s="2840">
        <f t="shared" si="3412"/>
        <v>175.25221625730993</v>
      </c>
      <c r="BY1493" s="2587">
        <f t="shared" si="3412"/>
        <v>553.09485201654536</v>
      </c>
      <c r="BZ1493" s="481">
        <f t="shared" si="3412"/>
        <v>704.11932131780918</v>
      </c>
      <c r="CA1493" s="481">
        <f t="shared" si="3412"/>
        <v>709.95773624432331</v>
      </c>
      <c r="CB1493" s="481"/>
      <c r="CC1493" s="481"/>
      <c r="CD1493" s="481"/>
      <c r="CE1493" s="481"/>
      <c r="CF1493" s="481"/>
      <c r="CG1493" s="331"/>
      <c r="CH1493" s="331"/>
      <c r="CI1493" s="331"/>
      <c r="CJ1493" s="331"/>
      <c r="CK1493" s="331"/>
      <c r="CL1493" s="995"/>
      <c r="CM1493" s="430"/>
      <c r="CN1493" s="430"/>
      <c r="CO1493" s="430"/>
      <c r="CP1493" s="430"/>
      <c r="CQ1493" s="430"/>
      <c r="CR1493" s="430"/>
      <c r="CS1493" s="430"/>
      <c r="CT1493" s="430"/>
      <c r="CU1493" s="430"/>
      <c r="CV1493" s="430"/>
      <c r="CW1493" s="430"/>
      <c r="CX1493" s="430"/>
      <c r="CY1493" s="430"/>
      <c r="CZ1493" s="430"/>
      <c r="DA1493" s="430"/>
      <c r="DB1493" s="430"/>
      <c r="DC1493" s="853"/>
      <c r="DD1493" s="331"/>
      <c r="DE1493" s="331"/>
      <c r="DF1493" s="502"/>
      <c r="DG1493" s="503"/>
      <c r="DH1493" s="2840"/>
      <c r="DI1493" s="3213"/>
      <c r="DJ1493" s="502"/>
      <c r="DK1493" s="503"/>
      <c r="DL1493" s="502"/>
      <c r="DM1493" s="502"/>
      <c r="DN1493" s="502"/>
      <c r="DO1493" s="502"/>
      <c r="DP1493" s="503"/>
      <c r="DQ1493" s="503"/>
      <c r="DR1493" s="296"/>
      <c r="DS1493" s="296"/>
      <c r="DT1493" s="296"/>
    </row>
    <row r="1494" spans="1:124" ht="12" customHeight="1" x14ac:dyDescent="0.25">
      <c r="A1494" s="1954" t="s">
        <v>1980</v>
      </c>
      <c r="B1494" s="11"/>
      <c r="C1494" s="543">
        <v>0</v>
      </c>
      <c r="D1494" s="543">
        <v>0</v>
      </c>
      <c r="E1494" s="543">
        <v>0</v>
      </c>
      <c r="F1494" s="543">
        <v>0</v>
      </c>
      <c r="G1494" s="510">
        <v>0</v>
      </c>
      <c r="H1494" s="543">
        <v>0</v>
      </c>
      <c r="I1494" s="543">
        <v>0</v>
      </c>
      <c r="J1494" s="543">
        <v>0</v>
      </c>
      <c r="K1494" s="543">
        <v>0</v>
      </c>
      <c r="L1494" s="510">
        <v>0</v>
      </c>
      <c r="M1494" s="543">
        <v>0</v>
      </c>
      <c r="N1494" s="543">
        <v>0</v>
      </c>
      <c r="O1494" s="543">
        <v>0</v>
      </c>
      <c r="P1494" s="543">
        <v>0</v>
      </c>
      <c r="Q1494" s="510">
        <v>0</v>
      </c>
      <c r="R1494" s="543">
        <v>0</v>
      </c>
      <c r="S1494" s="543">
        <v>0</v>
      </c>
      <c r="T1494" s="543">
        <v>0</v>
      </c>
      <c r="U1494" s="543">
        <v>0</v>
      </c>
      <c r="V1494" s="510">
        <v>0</v>
      </c>
      <c r="W1494" s="543">
        <v>0</v>
      </c>
      <c r="X1494" s="543">
        <v>0</v>
      </c>
      <c r="Y1494" s="543">
        <v>0</v>
      </c>
      <c r="Z1494" s="543">
        <v>0</v>
      </c>
      <c r="AA1494" s="510">
        <v>0</v>
      </c>
      <c r="AB1494" s="543">
        <v>0</v>
      </c>
      <c r="AC1494" s="543">
        <v>0</v>
      </c>
      <c r="AD1494" s="543">
        <v>0</v>
      </c>
      <c r="AE1494" s="608">
        <v>0</v>
      </c>
      <c r="AF1494" s="481">
        <v>0</v>
      </c>
      <c r="AG1494" s="608">
        <v>0</v>
      </c>
      <c r="AH1494" s="608">
        <v>0</v>
      </c>
      <c r="AI1494" s="608">
        <v>0</v>
      </c>
      <c r="AJ1494" s="608">
        <v>0</v>
      </c>
      <c r="AK1494" s="481">
        <v>0</v>
      </c>
      <c r="AL1494" s="608">
        <v>0</v>
      </c>
      <c r="AM1494" s="608">
        <v>0</v>
      </c>
      <c r="AN1494" s="608">
        <v>0</v>
      </c>
      <c r="AO1494" s="608">
        <v>0</v>
      </c>
      <c r="AP1494" s="483">
        <v>0</v>
      </c>
      <c r="AQ1494" s="483">
        <v>0</v>
      </c>
      <c r="AR1494" s="430">
        <v>0</v>
      </c>
      <c r="AS1494" s="430">
        <v>0</v>
      </c>
      <c r="AT1494" s="430">
        <v>0</v>
      </c>
      <c r="AU1494" s="481">
        <v>0</v>
      </c>
      <c r="AV1494" s="483">
        <v>0</v>
      </c>
      <c r="AW1494" s="430">
        <v>0</v>
      </c>
      <c r="AX1494" s="430">
        <v>0</v>
      </c>
      <c r="AY1494" s="853">
        <v>0</v>
      </c>
      <c r="AZ1494" s="481">
        <f t="shared" si="3369"/>
        <v>0</v>
      </c>
      <c r="BA1494" s="483">
        <v>0</v>
      </c>
      <c r="BB1494" s="430">
        <v>0</v>
      </c>
      <c r="BC1494" s="430">
        <v>0</v>
      </c>
      <c r="BD1494" s="853">
        <v>0</v>
      </c>
      <c r="BE1494" s="481">
        <f t="shared" si="3370"/>
        <v>0</v>
      </c>
      <c r="BF1494" s="430">
        <v>0</v>
      </c>
      <c r="BG1494" s="430">
        <v>0</v>
      </c>
      <c r="BH1494" s="430">
        <v>0</v>
      </c>
      <c r="BI1494" s="853">
        <v>0</v>
      </c>
      <c r="BJ1494" s="481">
        <f t="shared" si="3371"/>
        <v>0</v>
      </c>
      <c r="BK1494" s="430">
        <v>0</v>
      </c>
      <c r="BL1494" s="430">
        <v>0</v>
      </c>
      <c r="BM1494" s="430">
        <v>0</v>
      </c>
      <c r="BN1494" s="853">
        <v>0</v>
      </c>
      <c r="BO1494" s="481">
        <f t="shared" ref="BO1494:BO1501" si="3413">SUM(BK1494:BN1494)</f>
        <v>0</v>
      </c>
      <c r="BP1494" s="430">
        <v>0</v>
      </c>
      <c r="BQ1494" s="430">
        <v>0</v>
      </c>
      <c r="BR1494" s="430">
        <v>0</v>
      </c>
      <c r="BS1494" s="430">
        <v>0</v>
      </c>
      <c r="BT1494" s="2587">
        <f t="shared" ref="BT1494:BT1501" si="3414">SUM(BP1494:BS1494)</f>
        <v>0</v>
      </c>
      <c r="BU1494" s="2840">
        <v>0</v>
      </c>
      <c r="BV1494" s="2840">
        <v>0</v>
      </c>
      <c r="BW1494" s="2840">
        <v>0</v>
      </c>
      <c r="BX1494" s="2840">
        <v>0</v>
      </c>
      <c r="BY1494" s="2587">
        <f t="shared" ref="BY1494:BY1501" si="3415">SUM(BU1494:BX1494)</f>
        <v>0</v>
      </c>
      <c r="BZ1494" s="481">
        <v>0</v>
      </c>
      <c r="CA1494" s="481">
        <v>0</v>
      </c>
      <c r="CB1494" s="481">
        <v>0</v>
      </c>
      <c r="CC1494" s="481">
        <v>0</v>
      </c>
      <c r="CD1494" s="481">
        <v>0</v>
      </c>
      <c r="CE1494" s="481">
        <v>0</v>
      </c>
      <c r="CF1494" s="481">
        <v>0</v>
      </c>
      <c r="CG1494" s="331"/>
      <c r="CH1494" s="331"/>
      <c r="CI1494" s="331"/>
      <c r="CJ1494" s="331"/>
      <c r="CK1494" s="331"/>
      <c r="CL1494" s="2043" t="str">
        <f t="shared" ref="CL1494:CL1501" si="3416">A1494</f>
        <v>Capital leases</v>
      </c>
      <c r="CM1494" s="430">
        <f t="shared" ref="CM1494:CM1504" si="3417">G1494</f>
        <v>0</v>
      </c>
      <c r="CN1494" s="430">
        <f t="shared" ref="CN1494:CN1504" si="3418">L1494</f>
        <v>0</v>
      </c>
      <c r="CO1494" s="430">
        <f t="shared" ref="CO1494:CO1504" si="3419">Q1494</f>
        <v>0</v>
      </c>
      <c r="CP1494" s="430">
        <f t="shared" ref="CP1494:CP1504" si="3420">V1494</f>
        <v>0</v>
      </c>
      <c r="CQ1494" s="430">
        <f t="shared" ref="CQ1494:CQ1504" si="3421">AA1494</f>
        <v>0</v>
      </c>
      <c r="CR1494" s="430">
        <f t="shared" ref="CR1494:CR1504" si="3422">AF1494</f>
        <v>0</v>
      </c>
      <c r="CS1494" s="430">
        <f t="shared" ref="CS1494:CS1504" si="3423">AK1494</f>
        <v>0</v>
      </c>
      <c r="CT1494" s="430">
        <f t="shared" ref="CT1494:CT1504" si="3424">AP1494</f>
        <v>0</v>
      </c>
      <c r="CU1494" s="430">
        <f t="shared" ref="CU1494:CU1504" si="3425">AU1494</f>
        <v>0</v>
      </c>
      <c r="CV1494" s="430">
        <f t="shared" ref="CV1494:CV1504" si="3426">AZ1494</f>
        <v>0</v>
      </c>
      <c r="CW1494" s="430">
        <f t="shared" ref="CW1494:CW1504" si="3427">BE1494</f>
        <v>0</v>
      </c>
      <c r="CX1494" s="430">
        <f t="shared" ref="CX1494:CX1504" si="3428">BJ1494</f>
        <v>0</v>
      </c>
      <c r="CY1494" s="430">
        <f t="shared" ref="CY1494:CY1504" si="3429">BO1494</f>
        <v>0</v>
      </c>
      <c r="CZ1494" s="430">
        <f t="shared" ref="CZ1494:CZ1504" si="3430">BT1494</f>
        <v>0</v>
      </c>
      <c r="DA1494" s="430">
        <f t="shared" ref="DA1494:DA1504" si="3431">BY1494</f>
        <v>0</v>
      </c>
      <c r="DB1494" s="430">
        <f t="shared" ref="DB1494:DB1504" si="3432">BZ1494</f>
        <v>0</v>
      </c>
      <c r="DC1494" s="853">
        <f t="shared" ref="DC1494:DC1504" si="3433">CA1494</f>
        <v>0</v>
      </c>
      <c r="DD1494" s="331"/>
      <c r="DE1494" s="331"/>
      <c r="DF1494" s="502"/>
      <c r="DG1494" s="503"/>
      <c r="DH1494" s="2840"/>
      <c r="DI1494" s="3213"/>
      <c r="DJ1494" s="502"/>
      <c r="DK1494" s="503"/>
      <c r="DL1494" s="502"/>
      <c r="DM1494" s="502"/>
      <c r="DN1494" s="502"/>
      <c r="DO1494" s="502"/>
      <c r="DP1494" s="503"/>
      <c r="DQ1494" s="503"/>
      <c r="DR1494" s="296"/>
      <c r="DS1494" s="296"/>
      <c r="DT1494" s="296"/>
    </row>
    <row r="1495" spans="1:124" ht="12" hidden="1" customHeight="1" outlineLevel="1" x14ac:dyDescent="0.25">
      <c r="A1495" s="296" t="s">
        <v>1998</v>
      </c>
      <c r="B1495" s="11"/>
      <c r="C1495" s="543">
        <v>0</v>
      </c>
      <c r="D1495" s="543">
        <v>0</v>
      </c>
      <c r="E1495" s="543">
        <v>0</v>
      </c>
      <c r="F1495" s="543">
        <v>0</v>
      </c>
      <c r="G1495" s="510">
        <f>SUM(C1495:F1495)</f>
        <v>0</v>
      </c>
      <c r="H1495" s="543">
        <v>0</v>
      </c>
      <c r="I1495" s="543">
        <v>0</v>
      </c>
      <c r="J1495" s="543">
        <v>0</v>
      </c>
      <c r="K1495" s="543">
        <v>0</v>
      </c>
      <c r="L1495" s="510">
        <f>SUM(H1495:K1495)</f>
        <v>0</v>
      </c>
      <c r="M1495" s="543">
        <v>0</v>
      </c>
      <c r="N1495" s="543">
        <v>0</v>
      </c>
      <c r="O1495" s="543">
        <v>0</v>
      </c>
      <c r="P1495" s="543">
        <v>0</v>
      </c>
      <c r="Q1495" s="510">
        <f>SUM(M1495:P1495)</f>
        <v>0</v>
      </c>
      <c r="R1495" s="543">
        <v>0</v>
      </c>
      <c r="S1495" s="543">
        <v>0</v>
      </c>
      <c r="T1495" s="543">
        <v>0</v>
      </c>
      <c r="U1495" s="543">
        <v>0</v>
      </c>
      <c r="V1495" s="510">
        <f>SUM(R1495:U1495)</f>
        <v>0</v>
      </c>
      <c r="W1495" s="543">
        <v>0</v>
      </c>
      <c r="X1495" s="543">
        <v>0</v>
      </c>
      <c r="Y1495" s="543">
        <v>0</v>
      </c>
      <c r="Z1495" s="543">
        <v>0</v>
      </c>
      <c r="AA1495" s="510">
        <f>SUM(W1495:Z1495)</f>
        <v>0</v>
      </c>
      <c r="AB1495" s="543">
        <v>0</v>
      </c>
      <c r="AC1495" s="543">
        <v>0</v>
      </c>
      <c r="AD1495" s="543">
        <v>0</v>
      </c>
      <c r="AE1495" s="608">
        <v>0</v>
      </c>
      <c r="AF1495" s="481">
        <f>SUM(AB1495:AE1495)</f>
        <v>0</v>
      </c>
      <c r="AG1495" s="608">
        <v>0</v>
      </c>
      <c r="AH1495" s="608">
        <v>0</v>
      </c>
      <c r="AI1495" s="608">
        <v>0</v>
      </c>
      <c r="AJ1495" s="608">
        <v>0</v>
      </c>
      <c r="AK1495" s="481">
        <f>SUM(AG1495:AJ1495)</f>
        <v>0</v>
      </c>
      <c r="AL1495" s="608">
        <v>0</v>
      </c>
      <c r="AM1495" s="608">
        <v>0</v>
      </c>
      <c r="AN1495" s="608">
        <v>0</v>
      </c>
      <c r="AO1495" s="608">
        <v>0</v>
      </c>
      <c r="AP1495" s="483">
        <f>SUM(AL1495:AO1495)</f>
        <v>0</v>
      </c>
      <c r="AQ1495" s="483">
        <v>0</v>
      </c>
      <c r="AR1495" s="430">
        <v>0</v>
      </c>
      <c r="AS1495" s="430">
        <v>0</v>
      </c>
      <c r="AT1495" s="430">
        <v>0</v>
      </c>
      <c r="AU1495" s="481">
        <f>SUM(AQ1495:AT1495)</f>
        <v>0</v>
      </c>
      <c r="AV1495" s="483">
        <v>0</v>
      </c>
      <c r="AW1495" s="430">
        <v>0</v>
      </c>
      <c r="AX1495" s="430">
        <v>0</v>
      </c>
      <c r="AY1495" s="853">
        <v>0</v>
      </c>
      <c r="AZ1495" s="481">
        <f t="shared" si="3369"/>
        <v>0</v>
      </c>
      <c r="BA1495" s="483">
        <v>0</v>
      </c>
      <c r="BB1495" s="430">
        <v>0</v>
      </c>
      <c r="BC1495" s="430">
        <v>0</v>
      </c>
      <c r="BD1495" s="853">
        <v>0</v>
      </c>
      <c r="BE1495" s="481">
        <f t="shared" si="3370"/>
        <v>0</v>
      </c>
      <c r="BF1495" s="430">
        <v>0</v>
      </c>
      <c r="BG1495" s="430">
        <v>0</v>
      </c>
      <c r="BH1495" s="430">
        <v>0</v>
      </c>
      <c r="BI1495" s="853">
        <v>0</v>
      </c>
      <c r="BJ1495" s="481">
        <f t="shared" si="3371"/>
        <v>0</v>
      </c>
      <c r="BK1495" s="430">
        <v>0</v>
      </c>
      <c r="BL1495" s="430">
        <v>0</v>
      </c>
      <c r="BM1495" s="430">
        <v>0</v>
      </c>
      <c r="BN1495" s="853">
        <v>0</v>
      </c>
      <c r="BO1495" s="481">
        <f t="shared" si="3413"/>
        <v>0</v>
      </c>
      <c r="BP1495" s="430">
        <v>0</v>
      </c>
      <c r="BQ1495" s="430">
        <v>0</v>
      </c>
      <c r="BR1495" s="430">
        <v>0</v>
      </c>
      <c r="BS1495" s="430">
        <v>0</v>
      </c>
      <c r="BT1495" s="2587">
        <f t="shared" si="3414"/>
        <v>0</v>
      </c>
      <c r="BU1495" s="2840">
        <v>0</v>
      </c>
      <c r="BV1495" s="2840">
        <v>0</v>
      </c>
      <c r="BW1495" s="2840">
        <v>0</v>
      </c>
      <c r="BX1495" s="2840">
        <v>0</v>
      </c>
      <c r="BY1495" s="2587">
        <f t="shared" si="3415"/>
        <v>0</v>
      </c>
      <c r="BZ1495" s="481">
        <v>0</v>
      </c>
      <c r="CA1495" s="481">
        <v>0</v>
      </c>
      <c r="CB1495" s="481">
        <v>0</v>
      </c>
      <c r="CC1495" s="481">
        <v>0</v>
      </c>
      <c r="CD1495" s="481">
        <v>0</v>
      </c>
      <c r="CE1495" s="481">
        <v>0</v>
      </c>
      <c r="CF1495" s="481">
        <v>0</v>
      </c>
      <c r="CG1495" s="331"/>
      <c r="CH1495" s="331"/>
      <c r="CI1495" s="331"/>
      <c r="CJ1495" s="331"/>
      <c r="CK1495" s="331"/>
      <c r="CL1495" s="520" t="str">
        <f t="shared" si="3416"/>
        <v>Other notes payable</v>
      </c>
      <c r="CM1495" s="430">
        <f t="shared" si="3417"/>
        <v>0</v>
      </c>
      <c r="CN1495" s="430">
        <f t="shared" si="3418"/>
        <v>0</v>
      </c>
      <c r="CO1495" s="430">
        <f t="shared" si="3419"/>
        <v>0</v>
      </c>
      <c r="CP1495" s="430">
        <f t="shared" si="3420"/>
        <v>0</v>
      </c>
      <c r="CQ1495" s="430">
        <f t="shared" si="3421"/>
        <v>0</v>
      </c>
      <c r="CR1495" s="430">
        <f t="shared" si="3422"/>
        <v>0</v>
      </c>
      <c r="CS1495" s="430">
        <f t="shared" si="3423"/>
        <v>0</v>
      </c>
      <c r="CT1495" s="430">
        <f t="shared" si="3424"/>
        <v>0</v>
      </c>
      <c r="CU1495" s="430">
        <f t="shared" si="3425"/>
        <v>0</v>
      </c>
      <c r="CV1495" s="430">
        <f t="shared" si="3426"/>
        <v>0</v>
      </c>
      <c r="CW1495" s="430">
        <f t="shared" si="3427"/>
        <v>0</v>
      </c>
      <c r="CX1495" s="430">
        <f t="shared" si="3428"/>
        <v>0</v>
      </c>
      <c r="CY1495" s="430">
        <f t="shared" si="3429"/>
        <v>0</v>
      </c>
      <c r="CZ1495" s="430">
        <f t="shared" si="3430"/>
        <v>0</v>
      </c>
      <c r="DA1495" s="430">
        <f t="shared" si="3431"/>
        <v>0</v>
      </c>
      <c r="DB1495" s="430">
        <f t="shared" si="3432"/>
        <v>0</v>
      </c>
      <c r="DC1495" s="853">
        <f t="shared" si="3433"/>
        <v>0</v>
      </c>
      <c r="DD1495" s="331"/>
      <c r="DE1495" s="331"/>
      <c r="DF1495" s="502"/>
      <c r="DG1495" s="503"/>
      <c r="DH1495" s="2840"/>
      <c r="DI1495" s="3213"/>
      <c r="DJ1495" s="502"/>
      <c r="DK1495" s="503"/>
      <c r="DL1495" s="502"/>
      <c r="DM1495" s="502"/>
      <c r="DN1495" s="502"/>
      <c r="DO1495" s="502"/>
      <c r="DP1495" s="503"/>
      <c r="DQ1495" s="503"/>
      <c r="DR1495" s="296"/>
      <c r="DS1495" s="296"/>
      <c r="DT1495" s="296"/>
    </row>
    <row r="1496" spans="1:124" ht="12" hidden="1" customHeight="1" outlineLevel="1" x14ac:dyDescent="0.25">
      <c r="A1496" s="355" t="s">
        <v>1012</v>
      </c>
      <c r="B1496" s="11"/>
      <c r="C1496" s="543">
        <v>0</v>
      </c>
      <c r="D1496" s="543">
        <v>0</v>
      </c>
      <c r="E1496" s="543">
        <v>0</v>
      </c>
      <c r="F1496" s="543">
        <v>0</v>
      </c>
      <c r="G1496" s="510">
        <f>SUM(C1496:F1496)</f>
        <v>0</v>
      </c>
      <c r="H1496" s="543">
        <v>0</v>
      </c>
      <c r="I1496" s="543">
        <v>0</v>
      </c>
      <c r="J1496" s="543">
        <v>0</v>
      </c>
      <c r="K1496" s="543">
        <v>0</v>
      </c>
      <c r="L1496" s="510">
        <f>SUM(H1496:K1496)</f>
        <v>0</v>
      </c>
      <c r="M1496" s="543">
        <v>0</v>
      </c>
      <c r="N1496" s="543">
        <v>0</v>
      </c>
      <c r="O1496" s="543">
        <v>0</v>
      </c>
      <c r="P1496" s="543">
        <v>0</v>
      </c>
      <c r="Q1496" s="510">
        <f>SUM(M1496:P1496)</f>
        <v>0</v>
      </c>
      <c r="R1496" s="543">
        <v>0</v>
      </c>
      <c r="S1496" s="543">
        <v>0</v>
      </c>
      <c r="T1496" s="543">
        <v>0</v>
      </c>
      <c r="U1496" s="543">
        <v>0</v>
      </c>
      <c r="V1496" s="510">
        <f>SUM(R1496:U1496)</f>
        <v>0</v>
      </c>
      <c r="W1496" s="543">
        <v>0</v>
      </c>
      <c r="X1496" s="543">
        <v>0</v>
      </c>
      <c r="Y1496" s="543">
        <v>0</v>
      </c>
      <c r="Z1496" s="543">
        <v>0</v>
      </c>
      <c r="AA1496" s="510">
        <f>SUM(W1496:Z1496)</f>
        <v>0</v>
      </c>
      <c r="AB1496" s="543">
        <v>0</v>
      </c>
      <c r="AC1496" s="543">
        <v>0</v>
      </c>
      <c r="AD1496" s="543">
        <v>0</v>
      </c>
      <c r="AE1496" s="608">
        <v>0</v>
      </c>
      <c r="AF1496" s="481">
        <f>SUM(AB1496:AE1496)</f>
        <v>0</v>
      </c>
      <c r="AG1496" s="608">
        <v>0</v>
      </c>
      <c r="AH1496" s="608">
        <v>0</v>
      </c>
      <c r="AI1496" s="608">
        <v>0</v>
      </c>
      <c r="AJ1496" s="608">
        <v>0</v>
      </c>
      <c r="AK1496" s="481">
        <f>SUM(AG1496:AJ1496)</f>
        <v>0</v>
      </c>
      <c r="AL1496" s="608">
        <v>0</v>
      </c>
      <c r="AM1496" s="608">
        <v>0</v>
      </c>
      <c r="AN1496" s="608">
        <v>0</v>
      </c>
      <c r="AO1496" s="608">
        <v>0</v>
      </c>
      <c r="AP1496" s="483">
        <f>SUM(AL1496:AO1496)</f>
        <v>0</v>
      </c>
      <c r="AQ1496" s="483">
        <v>0</v>
      </c>
      <c r="AR1496" s="430">
        <v>0</v>
      </c>
      <c r="AS1496" s="430">
        <v>0</v>
      </c>
      <c r="AT1496" s="430">
        <v>0</v>
      </c>
      <c r="AU1496" s="481">
        <f>SUM(AQ1496:AT1496)</f>
        <v>0</v>
      </c>
      <c r="AV1496" s="483">
        <v>0</v>
      </c>
      <c r="AW1496" s="430">
        <v>0</v>
      </c>
      <c r="AX1496" s="430">
        <v>0</v>
      </c>
      <c r="AY1496" s="853">
        <v>0</v>
      </c>
      <c r="AZ1496" s="481">
        <f t="shared" si="3369"/>
        <v>0</v>
      </c>
      <c r="BA1496" s="483">
        <v>0</v>
      </c>
      <c r="BB1496" s="430">
        <v>0</v>
      </c>
      <c r="BC1496" s="430">
        <v>0</v>
      </c>
      <c r="BD1496" s="853">
        <v>0</v>
      </c>
      <c r="BE1496" s="481">
        <f t="shared" si="3370"/>
        <v>0</v>
      </c>
      <c r="BF1496" s="430">
        <v>0</v>
      </c>
      <c r="BG1496" s="430">
        <v>0</v>
      </c>
      <c r="BH1496" s="430">
        <v>0</v>
      </c>
      <c r="BI1496" s="853">
        <v>0</v>
      </c>
      <c r="BJ1496" s="481">
        <f t="shared" si="3371"/>
        <v>0</v>
      </c>
      <c r="BK1496" s="430">
        <v>0</v>
      </c>
      <c r="BL1496" s="430">
        <v>0</v>
      </c>
      <c r="BM1496" s="430">
        <v>0</v>
      </c>
      <c r="BN1496" s="853">
        <v>0</v>
      </c>
      <c r="BO1496" s="481">
        <f t="shared" si="3413"/>
        <v>0</v>
      </c>
      <c r="BP1496" s="430">
        <v>0</v>
      </c>
      <c r="BQ1496" s="430">
        <v>0</v>
      </c>
      <c r="BR1496" s="430">
        <v>0</v>
      </c>
      <c r="BS1496" s="430">
        <v>0</v>
      </c>
      <c r="BT1496" s="2587">
        <f t="shared" si="3414"/>
        <v>0</v>
      </c>
      <c r="BU1496" s="2840">
        <v>0</v>
      </c>
      <c r="BV1496" s="2840">
        <v>0</v>
      </c>
      <c r="BW1496" s="2840">
        <v>0</v>
      </c>
      <c r="BX1496" s="2840">
        <v>0</v>
      </c>
      <c r="BY1496" s="2587">
        <f t="shared" si="3415"/>
        <v>0</v>
      </c>
      <c r="BZ1496" s="481">
        <v>0</v>
      </c>
      <c r="CA1496" s="481">
        <v>0</v>
      </c>
      <c r="CB1496" s="481">
        <v>0</v>
      </c>
      <c r="CC1496" s="481">
        <v>0</v>
      </c>
      <c r="CD1496" s="481">
        <v>0</v>
      </c>
      <c r="CE1496" s="481">
        <v>0</v>
      </c>
      <c r="CF1496" s="481">
        <v>0</v>
      </c>
      <c r="CG1496" s="331"/>
      <c r="CH1496" s="331"/>
      <c r="CI1496" s="331"/>
      <c r="CJ1496" s="331"/>
      <c r="CK1496" s="331"/>
      <c r="CL1496" s="995" t="str">
        <f t="shared" si="3416"/>
        <v>Other notes payable (Future Debt)</v>
      </c>
      <c r="CM1496" s="430">
        <f t="shared" si="3417"/>
        <v>0</v>
      </c>
      <c r="CN1496" s="430">
        <f t="shared" si="3418"/>
        <v>0</v>
      </c>
      <c r="CO1496" s="430">
        <f t="shared" si="3419"/>
        <v>0</v>
      </c>
      <c r="CP1496" s="430">
        <f t="shared" si="3420"/>
        <v>0</v>
      </c>
      <c r="CQ1496" s="430">
        <f t="shared" si="3421"/>
        <v>0</v>
      </c>
      <c r="CR1496" s="430">
        <f t="shared" si="3422"/>
        <v>0</v>
      </c>
      <c r="CS1496" s="430">
        <f t="shared" si="3423"/>
        <v>0</v>
      </c>
      <c r="CT1496" s="430">
        <f t="shared" si="3424"/>
        <v>0</v>
      </c>
      <c r="CU1496" s="430">
        <f t="shared" si="3425"/>
        <v>0</v>
      </c>
      <c r="CV1496" s="430">
        <f t="shared" si="3426"/>
        <v>0</v>
      </c>
      <c r="CW1496" s="430">
        <f t="shared" si="3427"/>
        <v>0</v>
      </c>
      <c r="CX1496" s="430">
        <f t="shared" si="3428"/>
        <v>0</v>
      </c>
      <c r="CY1496" s="430">
        <f t="shared" si="3429"/>
        <v>0</v>
      </c>
      <c r="CZ1496" s="430">
        <f t="shared" si="3430"/>
        <v>0</v>
      </c>
      <c r="DA1496" s="430">
        <f t="shared" si="3431"/>
        <v>0</v>
      </c>
      <c r="DB1496" s="430">
        <f t="shared" si="3432"/>
        <v>0</v>
      </c>
      <c r="DC1496" s="853">
        <f t="shared" si="3433"/>
        <v>0</v>
      </c>
      <c r="DD1496" s="331"/>
      <c r="DE1496" s="331"/>
      <c r="DF1496" s="502"/>
      <c r="DG1496" s="503"/>
      <c r="DH1496" s="2840"/>
      <c r="DI1496" s="3213"/>
      <c r="DJ1496" s="502"/>
      <c r="DK1496" s="503"/>
      <c r="DL1496" s="502"/>
      <c r="DM1496" s="502"/>
      <c r="DN1496" s="502"/>
      <c r="DO1496" s="502"/>
      <c r="DP1496" s="503"/>
      <c r="DQ1496" s="503"/>
      <c r="DR1496" s="296"/>
      <c r="DS1496" s="296"/>
      <c r="DT1496" s="296"/>
    </row>
    <row r="1497" spans="1:124" ht="12" hidden="1" customHeight="1" outlineLevel="1" x14ac:dyDescent="0.25">
      <c r="A1497" s="1951" t="s">
        <v>1143</v>
      </c>
      <c r="B1497" s="11"/>
      <c r="C1497" s="543">
        <f t="shared" ref="C1497:F1498" si="3434">((B1399+C1399)/2)*C1472/4</f>
        <v>5.5625</v>
      </c>
      <c r="D1497" s="543">
        <f t="shared" si="3434"/>
        <v>5.5625</v>
      </c>
      <c r="E1497" s="543">
        <f t="shared" si="3434"/>
        <v>5.5625</v>
      </c>
      <c r="F1497" s="543">
        <f t="shared" si="3434"/>
        <v>5.5625</v>
      </c>
      <c r="G1497" s="510">
        <f>SUM(C1497:F1497)</f>
        <v>22.25</v>
      </c>
      <c r="H1497" s="543">
        <f t="shared" ref="H1497:K1498" si="3435">((G1399+H1399)/2)*H1472/4</f>
        <v>2.78125</v>
      </c>
      <c r="I1497" s="543">
        <f t="shared" si="3435"/>
        <v>0</v>
      </c>
      <c r="J1497" s="543">
        <f t="shared" si="3435"/>
        <v>0</v>
      </c>
      <c r="K1497" s="543">
        <f t="shared" si="3435"/>
        <v>0</v>
      </c>
      <c r="L1497" s="510">
        <f>SUM(H1497:K1497)</f>
        <v>2.78125</v>
      </c>
      <c r="M1497" s="543">
        <f t="shared" ref="M1497:P1498" si="3436">((L1399+M1399)/2)*M1472/4</f>
        <v>0</v>
      </c>
      <c r="N1497" s="543">
        <f t="shared" si="3436"/>
        <v>0</v>
      </c>
      <c r="O1497" s="543">
        <f t="shared" si="3436"/>
        <v>0</v>
      </c>
      <c r="P1497" s="543">
        <f t="shared" si="3436"/>
        <v>0</v>
      </c>
      <c r="Q1497" s="510">
        <f>SUM(M1497:P1497)</f>
        <v>0</v>
      </c>
      <c r="R1497" s="543">
        <f t="shared" ref="R1497:U1498" si="3437">((Q1399+R1399)/2)*R1472/4</f>
        <v>0</v>
      </c>
      <c r="S1497" s="543">
        <f t="shared" si="3437"/>
        <v>0</v>
      </c>
      <c r="T1497" s="543">
        <f t="shared" si="3437"/>
        <v>0</v>
      </c>
      <c r="U1497" s="543">
        <f t="shared" si="3437"/>
        <v>0</v>
      </c>
      <c r="V1497" s="510">
        <f>SUM(R1497:U1497)</f>
        <v>0</v>
      </c>
      <c r="W1497" s="543">
        <f t="shared" ref="W1497:Z1498" si="3438">((V1399+W1399)/2)*W1472/4</f>
        <v>0</v>
      </c>
      <c r="X1497" s="543">
        <f t="shared" si="3438"/>
        <v>0</v>
      </c>
      <c r="Y1497" s="543">
        <f t="shared" si="3438"/>
        <v>0</v>
      </c>
      <c r="Z1497" s="543">
        <f t="shared" si="3438"/>
        <v>0</v>
      </c>
      <c r="AA1497" s="510">
        <f>SUM(W1497:Z1497)</f>
        <v>0</v>
      </c>
      <c r="AB1497" s="543">
        <f t="shared" ref="AB1497:AE1498" si="3439">((AA1399+AB1399)/2)*AB1472/4</f>
        <v>0</v>
      </c>
      <c r="AC1497" s="543">
        <f t="shared" si="3439"/>
        <v>0</v>
      </c>
      <c r="AD1497" s="543">
        <f t="shared" si="3439"/>
        <v>0</v>
      </c>
      <c r="AE1497" s="608">
        <f t="shared" si="3439"/>
        <v>0</v>
      </c>
      <c r="AF1497" s="481">
        <f>SUM(AB1497:AE1497)</f>
        <v>0</v>
      </c>
      <c r="AG1497" s="608">
        <f t="shared" ref="AG1497:AJ1498" si="3440">((AF1399+AG1399)/2)*AG1472/4</f>
        <v>0</v>
      </c>
      <c r="AH1497" s="608">
        <f t="shared" si="3440"/>
        <v>0</v>
      </c>
      <c r="AI1497" s="608">
        <f t="shared" si="3440"/>
        <v>0</v>
      </c>
      <c r="AJ1497" s="608">
        <f t="shared" si="3440"/>
        <v>0</v>
      </c>
      <c r="AK1497" s="481">
        <f>SUM(AG1497:AJ1497)</f>
        <v>0</v>
      </c>
      <c r="AL1497" s="608">
        <f t="shared" ref="AL1497:AO1498" si="3441">((AK1399+AL1399)/2)*AL1472/4</f>
        <v>0</v>
      </c>
      <c r="AM1497" s="608">
        <f t="shared" si="3441"/>
        <v>0</v>
      </c>
      <c r="AN1497" s="608">
        <f t="shared" si="3441"/>
        <v>0</v>
      </c>
      <c r="AO1497" s="608">
        <f t="shared" si="3441"/>
        <v>0</v>
      </c>
      <c r="AP1497" s="483">
        <f>SUM(AL1497:AO1497)</f>
        <v>0</v>
      </c>
      <c r="AQ1497" s="483">
        <f t="shared" ref="AQ1497:AT1498" si="3442">((AP1399+AQ1399)/2)*AQ1472/4</f>
        <v>0</v>
      </c>
      <c r="AR1497" s="430">
        <f t="shared" si="3442"/>
        <v>0</v>
      </c>
      <c r="AS1497" s="430">
        <f t="shared" si="3442"/>
        <v>0</v>
      </c>
      <c r="AT1497" s="430">
        <f t="shared" si="3442"/>
        <v>0</v>
      </c>
      <c r="AU1497" s="481">
        <f>SUM(AQ1497:AT1497)</f>
        <v>0</v>
      </c>
      <c r="AV1497" s="483">
        <f t="shared" ref="AV1497:AY1498" si="3443">((AU1399+AV1399)/2)*AV1472/4</f>
        <v>0</v>
      </c>
      <c r="AW1497" s="430">
        <f t="shared" si="3443"/>
        <v>0</v>
      </c>
      <c r="AX1497" s="430">
        <f t="shared" si="3443"/>
        <v>0</v>
      </c>
      <c r="AY1497" s="853">
        <f t="shared" si="3443"/>
        <v>0</v>
      </c>
      <c r="AZ1497" s="481">
        <f t="shared" si="3369"/>
        <v>0</v>
      </c>
      <c r="BA1497" s="483">
        <f t="shared" ref="BA1497:BD1498" si="3444">((AZ1399+BA1399)/2)*BA1472/4</f>
        <v>0</v>
      </c>
      <c r="BB1497" s="430">
        <f t="shared" si="3444"/>
        <v>0</v>
      </c>
      <c r="BC1497" s="430">
        <f t="shared" si="3444"/>
        <v>0</v>
      </c>
      <c r="BD1497" s="853">
        <f t="shared" si="3444"/>
        <v>0</v>
      </c>
      <c r="BE1497" s="481">
        <f t="shared" si="3370"/>
        <v>0</v>
      </c>
      <c r="BF1497" s="430">
        <f t="shared" ref="BF1497:BI1498" si="3445">((BE1399+BF1399)/2)*BF1472/4</f>
        <v>0</v>
      </c>
      <c r="BG1497" s="430">
        <f t="shared" si="3445"/>
        <v>0</v>
      </c>
      <c r="BH1497" s="430">
        <f t="shared" si="3445"/>
        <v>0</v>
      </c>
      <c r="BI1497" s="853">
        <f t="shared" si="3445"/>
        <v>0</v>
      </c>
      <c r="BJ1497" s="481">
        <f t="shared" si="3371"/>
        <v>0</v>
      </c>
      <c r="BK1497" s="430">
        <f t="shared" ref="BK1497:BN1498" si="3446">((BJ1399+BK1399)/2)*BK1472/4</f>
        <v>0</v>
      </c>
      <c r="BL1497" s="430">
        <f t="shared" si="3446"/>
        <v>0</v>
      </c>
      <c r="BM1497" s="430">
        <f t="shared" si="3446"/>
        <v>0</v>
      </c>
      <c r="BN1497" s="853">
        <f t="shared" si="3446"/>
        <v>0</v>
      </c>
      <c r="BO1497" s="481">
        <f t="shared" si="3413"/>
        <v>0</v>
      </c>
      <c r="BP1497" s="430">
        <f t="shared" ref="BP1497:BS1498" si="3447">((BO1399+BP1399)/2)*BP1472/4</f>
        <v>0</v>
      </c>
      <c r="BQ1497" s="430">
        <f t="shared" si="3447"/>
        <v>0</v>
      </c>
      <c r="BR1497" s="430">
        <f t="shared" si="3447"/>
        <v>0</v>
      </c>
      <c r="BS1497" s="430">
        <f t="shared" si="3447"/>
        <v>0</v>
      </c>
      <c r="BT1497" s="2587">
        <f t="shared" si="3414"/>
        <v>0</v>
      </c>
      <c r="BU1497" s="2840">
        <f t="shared" ref="BU1497:BX1498" si="3448">((BT1399+BU1399)/2)*BU1472/4</f>
        <v>0</v>
      </c>
      <c r="BV1497" s="2840">
        <f t="shared" si="3448"/>
        <v>0</v>
      </c>
      <c r="BW1497" s="2840">
        <f t="shared" si="3448"/>
        <v>0</v>
      </c>
      <c r="BX1497" s="2840">
        <f t="shared" si="3448"/>
        <v>0</v>
      </c>
      <c r="BY1497" s="2587">
        <f t="shared" si="3415"/>
        <v>0</v>
      </c>
      <c r="BZ1497" s="481">
        <f t="shared" ref="BZ1497:CF1497" si="3449">((BY1399+BZ1399)/2)*BZ1472</f>
        <v>0</v>
      </c>
      <c r="CA1497" s="481">
        <f t="shared" si="3449"/>
        <v>0</v>
      </c>
      <c r="CB1497" s="481">
        <f t="shared" si="3449"/>
        <v>0</v>
      </c>
      <c r="CC1497" s="481">
        <f t="shared" si="3449"/>
        <v>0</v>
      </c>
      <c r="CD1497" s="481">
        <f t="shared" si="3449"/>
        <v>0</v>
      </c>
      <c r="CE1497" s="481">
        <f t="shared" si="3449"/>
        <v>0</v>
      </c>
      <c r="CF1497" s="481">
        <f t="shared" si="3449"/>
        <v>0</v>
      </c>
      <c r="CG1497" s="331"/>
      <c r="CH1497" s="331"/>
      <c r="CI1497" s="331"/>
      <c r="CJ1497" s="331"/>
      <c r="CK1497" s="331"/>
      <c r="CL1497" s="2040" t="str">
        <f t="shared" si="3416"/>
        <v>$200 million 11 1/8% Sr Sub Notes</v>
      </c>
      <c r="CM1497" s="430">
        <f t="shared" si="3417"/>
        <v>22.25</v>
      </c>
      <c r="CN1497" s="430">
        <f t="shared" si="3418"/>
        <v>2.78125</v>
      </c>
      <c r="CO1497" s="430">
        <f t="shared" si="3419"/>
        <v>0</v>
      </c>
      <c r="CP1497" s="430">
        <f t="shared" si="3420"/>
        <v>0</v>
      </c>
      <c r="CQ1497" s="430">
        <f t="shared" si="3421"/>
        <v>0</v>
      </c>
      <c r="CR1497" s="430">
        <f t="shared" si="3422"/>
        <v>0</v>
      </c>
      <c r="CS1497" s="430">
        <f t="shared" si="3423"/>
        <v>0</v>
      </c>
      <c r="CT1497" s="430">
        <f t="shared" si="3424"/>
        <v>0</v>
      </c>
      <c r="CU1497" s="430">
        <f t="shared" si="3425"/>
        <v>0</v>
      </c>
      <c r="CV1497" s="430">
        <f t="shared" si="3426"/>
        <v>0</v>
      </c>
      <c r="CW1497" s="430">
        <f t="shared" si="3427"/>
        <v>0</v>
      </c>
      <c r="CX1497" s="430">
        <f t="shared" si="3428"/>
        <v>0</v>
      </c>
      <c r="CY1497" s="430">
        <f t="shared" si="3429"/>
        <v>0</v>
      </c>
      <c r="CZ1497" s="430">
        <f t="shared" si="3430"/>
        <v>0</v>
      </c>
      <c r="DA1497" s="430">
        <f t="shared" si="3431"/>
        <v>0</v>
      </c>
      <c r="DB1497" s="430">
        <f t="shared" si="3432"/>
        <v>0</v>
      </c>
      <c r="DC1497" s="853">
        <f t="shared" si="3433"/>
        <v>0</v>
      </c>
      <c r="DD1497" s="331"/>
      <c r="DE1497" s="331"/>
      <c r="DF1497" s="502"/>
      <c r="DG1497" s="503"/>
      <c r="DH1497" s="2840"/>
      <c r="DI1497" s="3213"/>
      <c r="DJ1497" s="502"/>
      <c r="DK1497" s="503"/>
      <c r="DL1497" s="502"/>
      <c r="DM1497" s="502"/>
      <c r="DN1497" s="502"/>
      <c r="DO1497" s="502"/>
      <c r="DP1497" s="503"/>
      <c r="DQ1497" s="503"/>
      <c r="DR1497" s="296"/>
      <c r="DS1497" s="296"/>
      <c r="DT1497" s="296"/>
    </row>
    <row r="1498" spans="1:124" ht="12" hidden="1" customHeight="1" outlineLevel="1" x14ac:dyDescent="0.25">
      <c r="A1498" s="355" t="s">
        <v>1144</v>
      </c>
      <c r="B1498" s="11"/>
      <c r="C1498" s="543">
        <f t="shared" si="3434"/>
        <v>3.8828125</v>
      </c>
      <c r="D1498" s="543">
        <f t="shared" si="3434"/>
        <v>3.8828125</v>
      </c>
      <c r="E1498" s="543">
        <f t="shared" si="3434"/>
        <v>3.8828125</v>
      </c>
      <c r="F1498" s="543">
        <f t="shared" si="3434"/>
        <v>3.8828125</v>
      </c>
      <c r="G1498" s="510">
        <f>SUM(C1498:F1498)</f>
        <v>15.53125</v>
      </c>
      <c r="H1498" s="543">
        <f t="shared" si="3435"/>
        <v>3.8828125</v>
      </c>
      <c r="I1498" s="543">
        <f t="shared" si="3435"/>
        <v>3.8828125</v>
      </c>
      <c r="J1498" s="543">
        <f t="shared" si="3435"/>
        <v>3.8828125</v>
      </c>
      <c r="K1498" s="543">
        <f t="shared" si="3435"/>
        <v>3.8828125</v>
      </c>
      <c r="L1498" s="510">
        <f>SUM(H1498:K1498)</f>
        <v>15.53125</v>
      </c>
      <c r="M1498" s="543">
        <f t="shared" si="3436"/>
        <v>1.94140625</v>
      </c>
      <c r="N1498" s="543">
        <f t="shared" si="3436"/>
        <v>0</v>
      </c>
      <c r="O1498" s="543">
        <f t="shared" si="3436"/>
        <v>0</v>
      </c>
      <c r="P1498" s="543">
        <f t="shared" si="3436"/>
        <v>0</v>
      </c>
      <c r="Q1498" s="510">
        <f>SUM(M1498:P1498)</f>
        <v>1.94140625</v>
      </c>
      <c r="R1498" s="543">
        <f t="shared" si="3437"/>
        <v>0</v>
      </c>
      <c r="S1498" s="543">
        <f t="shared" si="3437"/>
        <v>0</v>
      </c>
      <c r="T1498" s="543">
        <f t="shared" si="3437"/>
        <v>0</v>
      </c>
      <c r="U1498" s="543">
        <f t="shared" si="3437"/>
        <v>0</v>
      </c>
      <c r="V1498" s="510">
        <f>SUM(R1498:U1498)</f>
        <v>0</v>
      </c>
      <c r="W1498" s="543">
        <f t="shared" si="3438"/>
        <v>0</v>
      </c>
      <c r="X1498" s="543">
        <f t="shared" si="3438"/>
        <v>0</v>
      </c>
      <c r="Y1498" s="543">
        <f t="shared" si="3438"/>
        <v>0</v>
      </c>
      <c r="Z1498" s="543">
        <f t="shared" si="3438"/>
        <v>0</v>
      </c>
      <c r="AA1498" s="510">
        <f>SUM(W1498:Z1498)</f>
        <v>0</v>
      </c>
      <c r="AB1498" s="543">
        <f t="shared" si="3439"/>
        <v>0</v>
      </c>
      <c r="AC1498" s="543">
        <f t="shared" si="3439"/>
        <v>0</v>
      </c>
      <c r="AD1498" s="543">
        <f t="shared" si="3439"/>
        <v>0</v>
      </c>
      <c r="AE1498" s="608">
        <f t="shared" si="3439"/>
        <v>0</v>
      </c>
      <c r="AF1498" s="481">
        <f>SUM(AB1498:AE1498)</f>
        <v>0</v>
      </c>
      <c r="AG1498" s="608">
        <f t="shared" si="3440"/>
        <v>0</v>
      </c>
      <c r="AH1498" s="608">
        <f t="shared" si="3440"/>
        <v>0</v>
      </c>
      <c r="AI1498" s="608">
        <f t="shared" si="3440"/>
        <v>0</v>
      </c>
      <c r="AJ1498" s="608">
        <f t="shared" si="3440"/>
        <v>0</v>
      </c>
      <c r="AK1498" s="481">
        <f>SUM(AG1498:AJ1498)</f>
        <v>0</v>
      </c>
      <c r="AL1498" s="608">
        <f t="shared" si="3441"/>
        <v>0</v>
      </c>
      <c r="AM1498" s="608">
        <f t="shared" si="3441"/>
        <v>0</v>
      </c>
      <c r="AN1498" s="608">
        <f t="shared" si="3441"/>
        <v>0</v>
      </c>
      <c r="AO1498" s="608">
        <f t="shared" si="3441"/>
        <v>0</v>
      </c>
      <c r="AP1498" s="483">
        <f>SUM(AL1498:AO1498)</f>
        <v>0</v>
      </c>
      <c r="AQ1498" s="483">
        <f t="shared" si="3442"/>
        <v>0</v>
      </c>
      <c r="AR1498" s="430">
        <f t="shared" si="3442"/>
        <v>0</v>
      </c>
      <c r="AS1498" s="430">
        <f t="shared" si="3442"/>
        <v>0</v>
      </c>
      <c r="AT1498" s="430">
        <f t="shared" si="3442"/>
        <v>0</v>
      </c>
      <c r="AU1498" s="481">
        <f>SUM(AQ1498:AT1498)</f>
        <v>0</v>
      </c>
      <c r="AV1498" s="483">
        <f t="shared" si="3443"/>
        <v>0</v>
      </c>
      <c r="AW1498" s="430">
        <f t="shared" si="3443"/>
        <v>0</v>
      </c>
      <c r="AX1498" s="430">
        <f t="shared" si="3443"/>
        <v>0</v>
      </c>
      <c r="AY1498" s="853">
        <f t="shared" si="3443"/>
        <v>0</v>
      </c>
      <c r="AZ1498" s="481">
        <f t="shared" si="3369"/>
        <v>0</v>
      </c>
      <c r="BA1498" s="483">
        <f t="shared" si="3444"/>
        <v>0</v>
      </c>
      <c r="BB1498" s="430">
        <f t="shared" si="3444"/>
        <v>0</v>
      </c>
      <c r="BC1498" s="430">
        <f t="shared" si="3444"/>
        <v>0</v>
      </c>
      <c r="BD1498" s="853">
        <f t="shared" si="3444"/>
        <v>0</v>
      </c>
      <c r="BE1498" s="481">
        <f t="shared" si="3370"/>
        <v>0</v>
      </c>
      <c r="BF1498" s="430">
        <f t="shared" si="3445"/>
        <v>0</v>
      </c>
      <c r="BG1498" s="430">
        <f t="shared" si="3445"/>
        <v>0</v>
      </c>
      <c r="BH1498" s="430">
        <f t="shared" si="3445"/>
        <v>0</v>
      </c>
      <c r="BI1498" s="853">
        <f t="shared" si="3445"/>
        <v>0</v>
      </c>
      <c r="BJ1498" s="481">
        <f t="shared" si="3371"/>
        <v>0</v>
      </c>
      <c r="BK1498" s="430">
        <f t="shared" si="3446"/>
        <v>0</v>
      </c>
      <c r="BL1498" s="430">
        <f t="shared" si="3446"/>
        <v>0</v>
      </c>
      <c r="BM1498" s="430">
        <f t="shared" si="3446"/>
        <v>0</v>
      </c>
      <c r="BN1498" s="853">
        <f t="shared" si="3446"/>
        <v>0</v>
      </c>
      <c r="BO1498" s="481">
        <f t="shared" si="3413"/>
        <v>0</v>
      </c>
      <c r="BP1498" s="430">
        <f t="shared" si="3447"/>
        <v>0</v>
      </c>
      <c r="BQ1498" s="430">
        <f t="shared" si="3447"/>
        <v>0</v>
      </c>
      <c r="BR1498" s="430">
        <f t="shared" si="3447"/>
        <v>0</v>
      </c>
      <c r="BS1498" s="430">
        <f t="shared" si="3447"/>
        <v>0</v>
      </c>
      <c r="BT1498" s="2587">
        <f t="shared" si="3414"/>
        <v>0</v>
      </c>
      <c r="BU1498" s="2840">
        <f t="shared" si="3448"/>
        <v>0</v>
      </c>
      <c r="BV1498" s="2840">
        <f t="shared" si="3448"/>
        <v>0</v>
      </c>
      <c r="BW1498" s="2840">
        <f t="shared" si="3448"/>
        <v>0</v>
      </c>
      <c r="BX1498" s="2840">
        <f t="shared" si="3448"/>
        <v>0</v>
      </c>
      <c r="BY1498" s="2587">
        <f t="shared" si="3415"/>
        <v>0</v>
      </c>
      <c r="BZ1498" s="481">
        <f t="shared" ref="BZ1498:CF1498" si="3450">((BY1400+BZ1400)/2)*BZ1473</f>
        <v>0</v>
      </c>
      <c r="CA1498" s="481">
        <f t="shared" si="3450"/>
        <v>0</v>
      </c>
      <c r="CB1498" s="481">
        <f t="shared" si="3450"/>
        <v>0</v>
      </c>
      <c r="CC1498" s="481">
        <f t="shared" si="3450"/>
        <v>0</v>
      </c>
      <c r="CD1498" s="481">
        <f t="shared" si="3450"/>
        <v>0</v>
      </c>
      <c r="CE1498" s="481">
        <f t="shared" si="3450"/>
        <v>0</v>
      </c>
      <c r="CF1498" s="481">
        <f t="shared" si="3450"/>
        <v>0</v>
      </c>
      <c r="CG1498" s="331"/>
      <c r="CH1498" s="331"/>
      <c r="CI1498" s="331"/>
      <c r="CJ1498" s="331"/>
      <c r="CK1498" s="331"/>
      <c r="CL1498" s="995" t="str">
        <f t="shared" si="3416"/>
        <v>$175 million 8 7/8% Sr Sub Notes</v>
      </c>
      <c r="CM1498" s="430">
        <f t="shared" si="3417"/>
        <v>15.53125</v>
      </c>
      <c r="CN1498" s="430">
        <f t="shared" si="3418"/>
        <v>15.53125</v>
      </c>
      <c r="CO1498" s="430">
        <f t="shared" si="3419"/>
        <v>1.94140625</v>
      </c>
      <c r="CP1498" s="430">
        <f t="shared" si="3420"/>
        <v>0</v>
      </c>
      <c r="CQ1498" s="430">
        <f t="shared" si="3421"/>
        <v>0</v>
      </c>
      <c r="CR1498" s="430">
        <f t="shared" si="3422"/>
        <v>0</v>
      </c>
      <c r="CS1498" s="430">
        <f t="shared" si="3423"/>
        <v>0</v>
      </c>
      <c r="CT1498" s="430">
        <f t="shared" si="3424"/>
        <v>0</v>
      </c>
      <c r="CU1498" s="430">
        <f t="shared" si="3425"/>
        <v>0</v>
      </c>
      <c r="CV1498" s="430">
        <f t="shared" si="3426"/>
        <v>0</v>
      </c>
      <c r="CW1498" s="430">
        <f t="shared" si="3427"/>
        <v>0</v>
      </c>
      <c r="CX1498" s="430">
        <f t="shared" si="3428"/>
        <v>0</v>
      </c>
      <c r="CY1498" s="430">
        <f t="shared" si="3429"/>
        <v>0</v>
      </c>
      <c r="CZ1498" s="430">
        <f t="shared" si="3430"/>
        <v>0</v>
      </c>
      <c r="DA1498" s="430">
        <f t="shared" si="3431"/>
        <v>0</v>
      </c>
      <c r="DB1498" s="430">
        <f t="shared" si="3432"/>
        <v>0</v>
      </c>
      <c r="DC1498" s="853">
        <f t="shared" si="3433"/>
        <v>0</v>
      </c>
      <c r="DD1498" s="331"/>
      <c r="DE1498" s="331"/>
      <c r="DF1498" s="502"/>
      <c r="DG1498" s="503"/>
      <c r="DH1498" s="2840"/>
      <c r="DI1498" s="3213"/>
      <c r="DJ1498" s="502"/>
      <c r="DK1498" s="503"/>
      <c r="DL1498" s="502"/>
      <c r="DM1498" s="502"/>
      <c r="DN1498" s="502"/>
      <c r="DO1498" s="502"/>
      <c r="DP1498" s="503"/>
      <c r="DQ1498" s="503"/>
      <c r="DR1498" s="296"/>
      <c r="DS1498" s="296"/>
      <c r="DT1498" s="296"/>
    </row>
    <row r="1499" spans="1:124" ht="12" customHeight="1" collapsed="1" x14ac:dyDescent="0.25">
      <c r="A1499" s="1954" t="s">
        <v>1981</v>
      </c>
      <c r="B1499" s="11"/>
      <c r="C1499" s="543">
        <f t="shared" ref="C1499:AH1499" si="3451">C1525</f>
        <v>0.93646874999999996</v>
      </c>
      <c r="D1499" s="543">
        <f t="shared" si="3451"/>
        <v>0.76003124999999994</v>
      </c>
      <c r="E1499" s="543">
        <f t="shared" si="3451"/>
        <v>0.31639874999999984</v>
      </c>
      <c r="F1499" s="543">
        <f t="shared" si="3451"/>
        <v>-0.12858437499999997</v>
      </c>
      <c r="G1499" s="510">
        <f t="shared" si="3451"/>
        <v>1.8843143749999998</v>
      </c>
      <c r="H1499" s="543">
        <f t="shared" si="3451"/>
        <v>-0.17598750000000019</v>
      </c>
      <c r="I1499" s="543">
        <f t="shared" si="3451"/>
        <v>0</v>
      </c>
      <c r="J1499" s="543">
        <f t="shared" si="3451"/>
        <v>0</v>
      </c>
      <c r="K1499" s="543">
        <f t="shared" si="3451"/>
        <v>0.44799599999999984</v>
      </c>
      <c r="L1499" s="510">
        <f t="shared" si="3451"/>
        <v>0.27200849999999965</v>
      </c>
      <c r="M1499" s="543">
        <f t="shared" si="3451"/>
        <v>-0.13895999999999908</v>
      </c>
      <c r="N1499" s="543">
        <f t="shared" si="3451"/>
        <v>-1.0539450000000006</v>
      </c>
      <c r="O1499" s="543">
        <f t="shared" si="3451"/>
        <v>-1.8680000000000021</v>
      </c>
      <c r="P1499" s="543">
        <f t="shared" si="3451"/>
        <v>-1.6657200000000003</v>
      </c>
      <c r="Q1499" s="510">
        <f t="shared" si="3451"/>
        <v>-4.7266250000000021</v>
      </c>
      <c r="R1499" s="543">
        <f t="shared" si="3451"/>
        <v>-1.6237741935484138</v>
      </c>
      <c r="S1499" s="543">
        <f t="shared" si="3451"/>
        <v>-1.6345546875000316</v>
      </c>
      <c r="T1499" s="543">
        <f t="shared" si="3451"/>
        <v>-1.9996200000000037</v>
      </c>
      <c r="U1499" s="543">
        <f t="shared" si="3451"/>
        <v>-0.41214383437499791</v>
      </c>
      <c r="V1499" s="510">
        <f t="shared" si="3451"/>
        <v>-5.6700927154234471</v>
      </c>
      <c r="W1499" s="543">
        <f t="shared" si="3451"/>
        <v>7.0425944538461458</v>
      </c>
      <c r="X1499" s="543">
        <f t="shared" si="3451"/>
        <v>8.7848999999999968</v>
      </c>
      <c r="Y1499" s="543">
        <f t="shared" si="3451"/>
        <v>6.8267775000000004</v>
      </c>
      <c r="Z1499" s="543">
        <f t="shared" si="3451"/>
        <v>4.4094995000000008</v>
      </c>
      <c r="AA1499" s="510">
        <f t="shared" si="3451"/>
        <v>27.063771453846144</v>
      </c>
      <c r="AB1499" s="543">
        <f t="shared" si="3451"/>
        <v>7.975274999999999</v>
      </c>
      <c r="AC1499" s="543">
        <f t="shared" si="3451"/>
        <v>8.3037607499999986</v>
      </c>
      <c r="AD1499" s="543">
        <f t="shared" si="3451"/>
        <v>11.634596999999999</v>
      </c>
      <c r="AE1499" s="608">
        <f t="shared" si="3451"/>
        <v>10.12034225</v>
      </c>
      <c r="AF1499" s="481">
        <f t="shared" si="3451"/>
        <v>38.033974999999998</v>
      </c>
      <c r="AG1499" s="608">
        <f t="shared" si="3451"/>
        <v>7.1920000000000002</v>
      </c>
      <c r="AH1499" s="608">
        <f t="shared" si="3451"/>
        <v>4.4499999999999993</v>
      </c>
      <c r="AI1499" s="608">
        <f t="shared" ref="AI1499:AY1499" si="3452">AI1525</f>
        <v>2.7</v>
      </c>
      <c r="AJ1499" s="608">
        <f t="shared" si="3452"/>
        <v>2.7</v>
      </c>
      <c r="AK1499" s="481">
        <f t="shared" si="3452"/>
        <v>17.041999999999998</v>
      </c>
      <c r="AL1499" s="608">
        <f t="shared" si="3452"/>
        <v>2.7</v>
      </c>
      <c r="AM1499" s="608">
        <f t="shared" si="3452"/>
        <v>2.7</v>
      </c>
      <c r="AN1499" s="608">
        <f t="shared" si="3452"/>
        <v>2.4499999999999997</v>
      </c>
      <c r="AO1499" s="608">
        <f t="shared" si="3452"/>
        <v>1.0999999999999999</v>
      </c>
      <c r="AP1499" s="483">
        <f t="shared" si="3452"/>
        <v>8.9499999999999993</v>
      </c>
      <c r="AQ1499" s="483">
        <f t="shared" si="3452"/>
        <v>0</v>
      </c>
      <c r="AR1499" s="430">
        <f t="shared" si="3452"/>
        <v>0</v>
      </c>
      <c r="AS1499" s="430">
        <f t="shared" si="3452"/>
        <v>0</v>
      </c>
      <c r="AT1499" s="430">
        <f t="shared" si="3452"/>
        <v>0</v>
      </c>
      <c r="AU1499" s="481">
        <f t="shared" si="3452"/>
        <v>0</v>
      </c>
      <c r="AV1499" s="483">
        <f t="shared" si="3452"/>
        <v>0</v>
      </c>
      <c r="AW1499" s="430">
        <f t="shared" si="3452"/>
        <v>0</v>
      </c>
      <c r="AX1499" s="430">
        <f t="shared" si="3452"/>
        <v>0</v>
      </c>
      <c r="AY1499" s="853">
        <f t="shared" si="3452"/>
        <v>0</v>
      </c>
      <c r="AZ1499" s="481">
        <f t="shared" si="3369"/>
        <v>0</v>
      </c>
      <c r="BA1499" s="483">
        <f>BA1525</f>
        <v>0</v>
      </c>
      <c r="BB1499" s="430">
        <f>BB1525</f>
        <v>0</v>
      </c>
      <c r="BC1499" s="430">
        <f>BC1525</f>
        <v>0</v>
      </c>
      <c r="BD1499" s="853">
        <f>BD1525</f>
        <v>0</v>
      </c>
      <c r="BE1499" s="481">
        <f t="shared" si="3370"/>
        <v>0</v>
      </c>
      <c r="BF1499" s="430">
        <f>BF1525</f>
        <v>0</v>
      </c>
      <c r="BG1499" s="430">
        <f>BG1525</f>
        <v>0</v>
      </c>
      <c r="BH1499" s="430">
        <f>BH1525</f>
        <v>0</v>
      </c>
      <c r="BI1499" s="853">
        <f>BI1525</f>
        <v>0</v>
      </c>
      <c r="BJ1499" s="481">
        <f t="shared" si="3371"/>
        <v>0</v>
      </c>
      <c r="BK1499" s="430">
        <f>BK1525</f>
        <v>0</v>
      </c>
      <c r="BL1499" s="430">
        <f>BL1525</f>
        <v>0</v>
      </c>
      <c r="BM1499" s="430">
        <f>BM1525</f>
        <v>0</v>
      </c>
      <c r="BN1499" s="853">
        <f>BN1525</f>
        <v>0</v>
      </c>
      <c r="BO1499" s="481">
        <f t="shared" si="3413"/>
        <v>0</v>
      </c>
      <c r="BP1499" s="430">
        <f>BP1525</f>
        <v>0</v>
      </c>
      <c r="BQ1499" s="430">
        <f>BQ1525</f>
        <v>0</v>
      </c>
      <c r="BR1499" s="430">
        <f>BR1525</f>
        <v>0</v>
      </c>
      <c r="BS1499" s="430">
        <f>BS1525</f>
        <v>0</v>
      </c>
      <c r="BT1499" s="2587">
        <f t="shared" si="3414"/>
        <v>0</v>
      </c>
      <c r="BU1499" s="2840">
        <f>BU1525</f>
        <v>0</v>
      </c>
      <c r="BV1499" s="2840">
        <f>BV1525</f>
        <v>0</v>
      </c>
      <c r="BW1499" s="2840">
        <f>BW1525</f>
        <v>0</v>
      </c>
      <c r="BX1499" s="2840">
        <f>BX1525</f>
        <v>0</v>
      </c>
      <c r="BY1499" s="2587">
        <f t="shared" si="3415"/>
        <v>0</v>
      </c>
      <c r="BZ1499" s="481">
        <f t="shared" ref="BZ1499:CF1499" si="3453">BZ1525</f>
        <v>0</v>
      </c>
      <c r="CA1499" s="481">
        <f t="shared" si="3453"/>
        <v>0</v>
      </c>
      <c r="CB1499" s="481">
        <f t="shared" si="3453"/>
        <v>0</v>
      </c>
      <c r="CC1499" s="481">
        <f t="shared" si="3453"/>
        <v>0</v>
      </c>
      <c r="CD1499" s="481">
        <f t="shared" si="3453"/>
        <v>0</v>
      </c>
      <c r="CE1499" s="481">
        <f t="shared" si="3453"/>
        <v>0</v>
      </c>
      <c r="CF1499" s="481">
        <f t="shared" si="3453"/>
        <v>0</v>
      </c>
      <c r="CG1499" s="331"/>
      <c r="CH1499" s="331"/>
      <c r="CI1499" s="331"/>
      <c r="CJ1499" s="331"/>
      <c r="CK1499" s="331"/>
      <c r="CL1499" s="2043" t="str">
        <f t="shared" si="3416"/>
        <v>Swap expense</v>
      </c>
      <c r="CM1499" s="430">
        <f t="shared" si="3417"/>
        <v>1.8843143749999998</v>
      </c>
      <c r="CN1499" s="430">
        <f t="shared" si="3418"/>
        <v>0.27200849999999965</v>
      </c>
      <c r="CO1499" s="430">
        <f t="shared" si="3419"/>
        <v>-4.7266250000000021</v>
      </c>
      <c r="CP1499" s="430">
        <f t="shared" si="3420"/>
        <v>-5.6700927154234471</v>
      </c>
      <c r="CQ1499" s="430">
        <f t="shared" si="3421"/>
        <v>27.063771453846144</v>
      </c>
      <c r="CR1499" s="430">
        <f t="shared" si="3422"/>
        <v>38.033974999999998</v>
      </c>
      <c r="CS1499" s="430">
        <f t="shared" si="3423"/>
        <v>17.041999999999998</v>
      </c>
      <c r="CT1499" s="430">
        <f t="shared" si="3424"/>
        <v>8.9499999999999993</v>
      </c>
      <c r="CU1499" s="430">
        <f t="shared" si="3425"/>
        <v>0</v>
      </c>
      <c r="CV1499" s="430">
        <f t="shared" si="3426"/>
        <v>0</v>
      </c>
      <c r="CW1499" s="430">
        <f t="shared" si="3427"/>
        <v>0</v>
      </c>
      <c r="CX1499" s="430">
        <f t="shared" si="3428"/>
        <v>0</v>
      </c>
      <c r="CY1499" s="430">
        <f t="shared" si="3429"/>
        <v>0</v>
      </c>
      <c r="CZ1499" s="430">
        <f t="shared" si="3430"/>
        <v>0</v>
      </c>
      <c r="DA1499" s="430">
        <f t="shared" si="3431"/>
        <v>0</v>
      </c>
      <c r="DB1499" s="430">
        <f t="shared" si="3432"/>
        <v>0</v>
      </c>
      <c r="DC1499" s="853">
        <f t="shared" si="3433"/>
        <v>0</v>
      </c>
      <c r="DD1499" s="331"/>
      <c r="DE1499" s="331"/>
      <c r="DF1499" s="502"/>
      <c r="DG1499" s="503"/>
      <c r="DH1499" s="2840"/>
      <c r="DI1499" s="3213"/>
      <c r="DJ1499" s="502"/>
      <c r="DK1499" s="503"/>
      <c r="DL1499" s="502"/>
      <c r="DM1499" s="502"/>
      <c r="DN1499" s="502"/>
      <c r="DO1499" s="502"/>
      <c r="DP1499" s="503"/>
      <c r="DQ1499" s="503"/>
      <c r="DR1499" s="296"/>
      <c r="DS1499" s="296"/>
      <c r="DT1499" s="296"/>
    </row>
    <row r="1500" spans="1:124" ht="12" customHeight="1" x14ac:dyDescent="0.25">
      <c r="A1500" s="428" t="s">
        <v>476</v>
      </c>
      <c r="B1500" s="11"/>
      <c r="C1500" s="543">
        <f t="shared" ref="C1500:AH1500" si="3454">-C1511</f>
        <v>0</v>
      </c>
      <c r="D1500" s="543">
        <f t="shared" si="3454"/>
        <v>-0.1</v>
      </c>
      <c r="E1500" s="543">
        <f t="shared" si="3454"/>
        <v>-0.19999999999999998</v>
      </c>
      <c r="F1500" s="543">
        <f t="shared" si="3454"/>
        <v>-0.10000000000000006</v>
      </c>
      <c r="G1500" s="510">
        <f t="shared" si="3454"/>
        <v>-0.4</v>
      </c>
      <c r="H1500" s="543">
        <f t="shared" si="3454"/>
        <v>-0.4</v>
      </c>
      <c r="I1500" s="543">
        <f t="shared" si="3454"/>
        <v>-0.29999999999999993</v>
      </c>
      <c r="J1500" s="543">
        <f t="shared" si="3454"/>
        <v>0</v>
      </c>
      <c r="K1500" s="543">
        <f t="shared" si="3454"/>
        <v>-0.80000000000000016</v>
      </c>
      <c r="L1500" s="510">
        <f t="shared" si="3454"/>
        <v>-1.5</v>
      </c>
      <c r="M1500" s="543">
        <f t="shared" si="3454"/>
        <v>-1.3</v>
      </c>
      <c r="N1500" s="543">
        <f t="shared" si="3454"/>
        <v>-1.9999999999999998</v>
      </c>
      <c r="O1500" s="543">
        <f t="shared" si="3454"/>
        <v>-2.2999999999999998</v>
      </c>
      <c r="P1500" s="543">
        <f t="shared" si="3454"/>
        <v>-2.4000000000000004</v>
      </c>
      <c r="Q1500" s="510">
        <f t="shared" si="3454"/>
        <v>-8</v>
      </c>
      <c r="R1500" s="543">
        <f t="shared" si="3454"/>
        <v>-3.1</v>
      </c>
      <c r="S1500" s="543">
        <f t="shared" si="3454"/>
        <v>-2.6</v>
      </c>
      <c r="T1500" s="543">
        <f t="shared" si="3454"/>
        <v>-3.7</v>
      </c>
      <c r="U1500" s="543">
        <f t="shared" si="3454"/>
        <v>-5.1999999999999993</v>
      </c>
      <c r="V1500" s="510">
        <f t="shared" si="3454"/>
        <v>-14.6</v>
      </c>
      <c r="W1500" s="543">
        <f t="shared" si="3454"/>
        <v>-5.0999999999999996</v>
      </c>
      <c r="X1500" s="543">
        <f t="shared" si="3454"/>
        <v>-3.8</v>
      </c>
      <c r="Y1500" s="543">
        <f t="shared" si="3454"/>
        <v>-2.4</v>
      </c>
      <c r="Z1500" s="543">
        <f t="shared" si="3454"/>
        <v>-2.5000000000000009</v>
      </c>
      <c r="AA1500" s="510">
        <f t="shared" si="3454"/>
        <v>-13.8</v>
      </c>
      <c r="AB1500" s="543">
        <f t="shared" si="3454"/>
        <v>-2.9</v>
      </c>
      <c r="AC1500" s="543">
        <f t="shared" si="3454"/>
        <v>-3.5</v>
      </c>
      <c r="AD1500" s="543">
        <f t="shared" si="3454"/>
        <v>-0.1</v>
      </c>
      <c r="AE1500" s="608">
        <f t="shared" si="3454"/>
        <v>-0.5</v>
      </c>
      <c r="AF1500" s="481">
        <f t="shared" si="3454"/>
        <v>-7</v>
      </c>
      <c r="AG1500" s="608">
        <f t="shared" si="3454"/>
        <v>-1.1000000000000001</v>
      </c>
      <c r="AH1500" s="608">
        <f t="shared" si="3454"/>
        <v>-1.7</v>
      </c>
      <c r="AI1500" s="608">
        <f t="shared" ref="AI1500:AY1500" si="3455">-AI1511</f>
        <v>-1.6</v>
      </c>
      <c r="AJ1500" s="608">
        <f t="shared" si="3455"/>
        <v>-1.0999999999999996</v>
      </c>
      <c r="AK1500" s="481">
        <f t="shared" si="3455"/>
        <v>-5.5</v>
      </c>
      <c r="AL1500" s="608">
        <f t="shared" si="3455"/>
        <v>-0.8</v>
      </c>
      <c r="AM1500" s="608">
        <f t="shared" si="3455"/>
        <v>-1</v>
      </c>
      <c r="AN1500" s="608">
        <f t="shared" si="3455"/>
        <v>-1.7</v>
      </c>
      <c r="AO1500" s="608">
        <f t="shared" si="3455"/>
        <v>-2.0999999999999996</v>
      </c>
      <c r="AP1500" s="483">
        <f t="shared" si="3455"/>
        <v>-5.6</v>
      </c>
      <c r="AQ1500" s="483">
        <f t="shared" si="3455"/>
        <v>-2.9</v>
      </c>
      <c r="AR1500" s="430">
        <f t="shared" si="3455"/>
        <v>-3</v>
      </c>
      <c r="AS1500" s="430">
        <f t="shared" si="3455"/>
        <v>-2.4</v>
      </c>
      <c r="AT1500" s="430">
        <f t="shared" si="3455"/>
        <v>-9.9999999999999645E-2</v>
      </c>
      <c r="AU1500" s="481">
        <f t="shared" si="3455"/>
        <v>-8.4</v>
      </c>
      <c r="AV1500" s="483">
        <f t="shared" si="3455"/>
        <v>-0.1</v>
      </c>
      <c r="AW1500" s="430">
        <f t="shared" si="3455"/>
        <v>-0.3</v>
      </c>
      <c r="AX1500" s="430">
        <f t="shared" si="3455"/>
        <v>-0.5</v>
      </c>
      <c r="AY1500" s="853">
        <f t="shared" si="3455"/>
        <v>-0.49999999999999989</v>
      </c>
      <c r="AZ1500" s="481">
        <f t="shared" si="3369"/>
        <v>-1.4</v>
      </c>
      <c r="BA1500" s="483">
        <f>-BA1511</f>
        <v>-0.1</v>
      </c>
      <c r="BB1500" s="430">
        <f>-BB1511</f>
        <v>-0.1</v>
      </c>
      <c r="BC1500" s="430">
        <f>-BC1511</f>
        <v>-0.3</v>
      </c>
      <c r="BD1500" s="853">
        <f>-BD1511</f>
        <v>-0.9</v>
      </c>
      <c r="BE1500" s="481">
        <f t="shared" si="3370"/>
        <v>-1.4</v>
      </c>
      <c r="BF1500" s="430">
        <f>-BF1511</f>
        <v>-0.6</v>
      </c>
      <c r="BG1500" s="430">
        <f>-BG1511</f>
        <v>-1.2</v>
      </c>
      <c r="BH1500" s="430">
        <f>-BH1511</f>
        <v>0</v>
      </c>
      <c r="BI1500" s="853">
        <f>-BI1511</f>
        <v>-1.8</v>
      </c>
      <c r="BJ1500" s="481">
        <f t="shared" si="3371"/>
        <v>-3.5999999999999996</v>
      </c>
      <c r="BK1500" s="430">
        <f>-BK1511</f>
        <v>-4.7891875E-2</v>
      </c>
      <c r="BL1500" s="430">
        <f>-BL1511</f>
        <v>-0.11864875</v>
      </c>
      <c r="BM1500" s="430">
        <f>-BM1511</f>
        <v>-0.19619124999999998</v>
      </c>
      <c r="BN1500" s="853">
        <f>-BN1511</f>
        <v>1.3987500000000352E-3</v>
      </c>
      <c r="BO1500" s="481">
        <f t="shared" si="3413"/>
        <v>-0.36133312499999992</v>
      </c>
      <c r="BP1500" s="430">
        <f>-BP1511</f>
        <v>0.2346558333333334</v>
      </c>
      <c r="BQ1500" s="430">
        <f>-BQ1511</f>
        <v>0.21457250000000005</v>
      </c>
      <c r="BR1500" s="430">
        <f>-BR1511</f>
        <v>0.19919750000000008</v>
      </c>
      <c r="BS1500" s="430">
        <f>-BS1511</f>
        <v>0.18651000000000006</v>
      </c>
      <c r="BT1500" s="2587">
        <f t="shared" si="3414"/>
        <v>0.83493583333333354</v>
      </c>
      <c r="BU1500" s="2840">
        <f>-BU1511</f>
        <v>0.18019750000000007</v>
      </c>
      <c r="BV1500" s="2840">
        <f>-BV1511</f>
        <v>0.17219750000000009</v>
      </c>
      <c r="BW1500" s="2840">
        <f>-BW1511</f>
        <v>0.16619750000000011</v>
      </c>
      <c r="BX1500" s="2840">
        <f>-BX1511</f>
        <v>0.1601975000000001</v>
      </c>
      <c r="BY1500" s="2587">
        <f t="shared" si="3415"/>
        <v>0.67879000000000034</v>
      </c>
      <c r="BZ1500" s="481">
        <f t="shared" ref="BZ1500:CF1500" si="3456">-BZ1511</f>
        <v>0.59279000000000037</v>
      </c>
      <c r="CA1500" s="481">
        <f t="shared" si="3456"/>
        <v>0.49679000000000034</v>
      </c>
      <c r="CB1500" s="481">
        <f t="shared" si="3456"/>
        <v>0.40079000000000037</v>
      </c>
      <c r="CC1500" s="481">
        <f t="shared" si="3456"/>
        <v>0.30479000000000034</v>
      </c>
      <c r="CD1500" s="481">
        <f t="shared" si="3456"/>
        <v>0.20879000000000031</v>
      </c>
      <c r="CE1500" s="481">
        <f t="shared" si="3456"/>
        <v>0.11279000000000028</v>
      </c>
      <c r="CF1500" s="481">
        <f t="shared" si="3456"/>
        <v>6.4790000000000292E-2</v>
      </c>
      <c r="CG1500" s="331"/>
      <c r="CH1500" s="331"/>
      <c r="CI1500" s="331"/>
      <c r="CJ1500" s="331"/>
      <c r="CK1500" s="331"/>
      <c r="CL1500" s="520" t="str">
        <f t="shared" si="3416"/>
        <v>Capitalized interest</v>
      </c>
      <c r="CM1500" s="430">
        <f t="shared" si="3417"/>
        <v>-0.4</v>
      </c>
      <c r="CN1500" s="430">
        <f t="shared" si="3418"/>
        <v>-1.5</v>
      </c>
      <c r="CO1500" s="430">
        <f t="shared" si="3419"/>
        <v>-8</v>
      </c>
      <c r="CP1500" s="430">
        <f t="shared" si="3420"/>
        <v>-14.6</v>
      </c>
      <c r="CQ1500" s="430">
        <f t="shared" si="3421"/>
        <v>-13.8</v>
      </c>
      <c r="CR1500" s="430">
        <f t="shared" si="3422"/>
        <v>-7</v>
      </c>
      <c r="CS1500" s="430">
        <f t="shared" si="3423"/>
        <v>-5.5</v>
      </c>
      <c r="CT1500" s="430">
        <f t="shared" si="3424"/>
        <v>-5.6</v>
      </c>
      <c r="CU1500" s="430">
        <f t="shared" si="3425"/>
        <v>-8.4</v>
      </c>
      <c r="CV1500" s="430">
        <f t="shared" si="3426"/>
        <v>-1.4</v>
      </c>
      <c r="CW1500" s="430">
        <f t="shared" si="3427"/>
        <v>-1.4</v>
      </c>
      <c r="CX1500" s="430">
        <f t="shared" si="3428"/>
        <v>-3.5999999999999996</v>
      </c>
      <c r="CY1500" s="430">
        <f t="shared" si="3429"/>
        <v>-0.36133312499999992</v>
      </c>
      <c r="CZ1500" s="430">
        <f t="shared" si="3430"/>
        <v>0.83493583333333354</v>
      </c>
      <c r="DA1500" s="430">
        <f t="shared" si="3431"/>
        <v>0.67879000000000034</v>
      </c>
      <c r="DB1500" s="430">
        <f t="shared" si="3432"/>
        <v>0.59279000000000037</v>
      </c>
      <c r="DC1500" s="853">
        <f t="shared" si="3433"/>
        <v>0.49679000000000034</v>
      </c>
      <c r="DD1500" s="331"/>
      <c r="DE1500" s="331"/>
      <c r="DF1500" s="502"/>
      <c r="DG1500" s="503"/>
      <c r="DH1500" s="2840"/>
      <c r="DI1500" s="3213"/>
      <c r="DJ1500" s="502"/>
      <c r="DK1500" s="503"/>
      <c r="DL1500" s="502"/>
      <c r="DM1500" s="502"/>
      <c r="DN1500" s="502"/>
      <c r="DO1500" s="502"/>
      <c r="DP1500" s="503"/>
      <c r="DQ1500" s="503"/>
      <c r="DR1500" s="296"/>
      <c r="DS1500" s="296"/>
      <c r="DT1500" s="296"/>
    </row>
    <row r="1501" spans="1:124" ht="12" customHeight="1" x14ac:dyDescent="0.25">
      <c r="A1501" s="428" t="s">
        <v>1968</v>
      </c>
      <c r="B1501" s="11"/>
      <c r="C1501" s="543">
        <f>C1503-SUM(C1476:C1500)</f>
        <v>2.1463884499999999</v>
      </c>
      <c r="D1501" s="543">
        <f>D1503-SUM(D1476:D1500)</f>
        <v>2.0629154543749983</v>
      </c>
      <c r="E1501" s="543">
        <f>E1503-SUM(E1476:E1500)</f>
        <v>2.259704551249996</v>
      </c>
      <c r="F1501" s="543">
        <f>F1503-SUM(F1476:F1500)</f>
        <v>1.9365831249999985</v>
      </c>
      <c r="G1501" s="510">
        <f>SUM(C1501:F1501)</f>
        <v>8.4055915806249928</v>
      </c>
      <c r="H1501" s="543">
        <f>H1503-SUM(H1476:H1500)</f>
        <v>2.0018157025000001</v>
      </c>
      <c r="I1501" s="543">
        <f>I1503-SUM(I1476:I1500)</f>
        <v>-6.7329935000000063E-2</v>
      </c>
      <c r="J1501" s="543">
        <f>J1503-SUM(J1476:J1500)</f>
        <v>1.2849374999999998</v>
      </c>
      <c r="K1501" s="543">
        <f>K1503-SUM(K1476:K1500)</f>
        <v>3.8072090093749864</v>
      </c>
      <c r="L1501" s="510">
        <f>SUM(H1501:K1501)</f>
        <v>7.0266322768749863</v>
      </c>
      <c r="M1501" s="543">
        <f>M1503-SUM(M1476:M1500)</f>
        <v>4.5138581406249969</v>
      </c>
      <c r="N1501" s="543">
        <f>N1503-SUM(N1476:N1500)</f>
        <v>2.8314226562499911</v>
      </c>
      <c r="O1501" s="543">
        <f>O1503-SUM(O1476:O1500)</f>
        <v>4.8226232886904725</v>
      </c>
      <c r="P1501" s="543">
        <f>P1503-SUM(P1476:P1500)</f>
        <v>5.7811348125000066</v>
      </c>
      <c r="Q1501" s="510">
        <f>SUM(M1501:P1501)</f>
        <v>17.949038898065467</v>
      </c>
      <c r="R1501" s="543">
        <f>R1503-SUM(R1476:R1500)</f>
        <v>4.5360286794354678</v>
      </c>
      <c r="S1501" s="543">
        <f>S1503-SUM(S1476:S1500)</f>
        <v>5.5167772705077738</v>
      </c>
      <c r="T1501" s="543">
        <f>T1503-SUM(T1476:T1500)</f>
        <v>5.0241865625000059</v>
      </c>
      <c r="U1501" s="543">
        <f>U1503-SUM(U1476:U1500)</f>
        <v>4.8543723237304803</v>
      </c>
      <c r="V1501" s="510">
        <f>SUM(R1501:U1501)</f>
        <v>19.931364836173728</v>
      </c>
      <c r="W1501" s="543">
        <f>W1503-SUM(W1476:W1500)</f>
        <v>6.5453932129807626</v>
      </c>
      <c r="X1501" s="543">
        <f>X1503-SUM(X1476:X1500)</f>
        <v>4.2693711250000064</v>
      </c>
      <c r="Y1501" s="543">
        <f>Y1503-SUM(Y1476:Y1500)</f>
        <v>0.95433275500000292</v>
      </c>
      <c r="Z1501" s="543">
        <f>Z1503-SUM(Z1476:Z1500)</f>
        <v>9.3897937495000008</v>
      </c>
      <c r="AA1501" s="510">
        <f>SUM(W1501:Z1501)</f>
        <v>21.158890842480773</v>
      </c>
      <c r="AB1501" s="543">
        <f>AB1503-SUM(AB1476:AB1500)</f>
        <v>4.4116956499999986</v>
      </c>
      <c r="AC1501" s="543">
        <f>AC1503-SUM(AC1476:AC1500)</f>
        <v>5.3016821490000012</v>
      </c>
      <c r="AD1501" s="543">
        <f>AD1503-SUM(AD1476:AD1500)</f>
        <v>5.4269883875217388</v>
      </c>
      <c r="AE1501" s="543">
        <f>AE1503-SUM(AE1476:AE1500)</f>
        <v>6.3090067854999994</v>
      </c>
      <c r="AF1501" s="481">
        <f>SUM(AB1501:AE1501)</f>
        <v>21.449372972021738</v>
      </c>
      <c r="AG1501" s="608">
        <f>AG1503-SUM(AG1476:AG1500)</f>
        <v>7.9184065125000025</v>
      </c>
      <c r="AH1501" s="608">
        <f>AH1503-SUM(AH1476:AH1500)</f>
        <v>10.407316325</v>
      </c>
      <c r="AI1501" s="608">
        <f>AI1503-SUM(AI1476:AI1500)</f>
        <v>12.203484375000002</v>
      </c>
      <c r="AJ1501" s="608">
        <f>AJ1503-SUM(AJ1476:AJ1500)</f>
        <v>9.6686420000000055</v>
      </c>
      <c r="AK1501" s="481">
        <f>SUM(AG1501:AJ1501)</f>
        <v>40.19784921250001</v>
      </c>
      <c r="AL1501" s="608">
        <f>AL1503-SUM(AL1476:AL1500)</f>
        <v>7.7179151250000011</v>
      </c>
      <c r="AM1501" s="608">
        <f>AM1503-SUM(AM1476:AM1500)</f>
        <v>5.2015700000000038</v>
      </c>
      <c r="AN1501" s="608">
        <f>AN1503-SUM(AN1476:AN1500)</f>
        <v>4.1429671875000018</v>
      </c>
      <c r="AO1501" s="608">
        <f>AO1503-SUM(AO1476:AO1500)</f>
        <v>3.6142374999999944</v>
      </c>
      <c r="AP1501" s="483">
        <f>SUM(AL1501:AO1501)</f>
        <v>20.676689812500001</v>
      </c>
      <c r="AQ1501" s="2083">
        <f>AQ1503-SUM(AQ1476:AQ1500)</f>
        <v>2.6283359375000028</v>
      </c>
      <c r="AR1501" s="2080">
        <f>AR1503-SUM(AR1476:AR1500)</f>
        <v>2.3846953124999999</v>
      </c>
      <c r="AS1501" s="2080">
        <f>AS1503-SUM(AS1476:AS1500)</f>
        <v>3.6228671874999989</v>
      </c>
      <c r="AT1501" s="2080">
        <f>AT1503-SUM(AT1476:AT1500)</f>
        <v>4.3629793749999983</v>
      </c>
      <c r="AU1501" s="481">
        <f>SUM(AQ1501:AT1501)</f>
        <v>12.9988778125</v>
      </c>
      <c r="AV1501" s="2080">
        <f>AV1503-SUM(AV1476:AV1500)</f>
        <v>4.4379090625000011</v>
      </c>
      <c r="AW1501" s="2080">
        <f>AW1503-SUM(AW1476:AW1500)</f>
        <v>4.6536718750000006</v>
      </c>
      <c r="AX1501" s="2080">
        <f>AX1503-SUM(AX1476:AX1500)</f>
        <v>3.7726796874999984</v>
      </c>
      <c r="AY1501" s="2580">
        <f>AY1503-SUM(AY1476:AY1500)</f>
        <v>0.43083593749999594</v>
      </c>
      <c r="AZ1501" s="481">
        <f t="shared" si="3369"/>
        <v>13.295096562499996</v>
      </c>
      <c r="BA1501" s="2716">
        <f>BA1503-SUM(BA1476:BA1500)</f>
        <v>1.9151718749999986</v>
      </c>
      <c r="BB1501" s="2672">
        <f>BB1503-SUM(BB1476:BB1500)</f>
        <v>1.5553281250000026</v>
      </c>
      <c r="BC1501" s="2672">
        <f>BC1503-SUM(BC1476:BC1500)</f>
        <v>1.4983718750000037</v>
      </c>
      <c r="BD1501" s="2672">
        <f>BD1503-SUM(BD1476:BD1500)</f>
        <v>2.2766531249999673</v>
      </c>
      <c r="BE1501" s="481">
        <f t="shared" si="3370"/>
        <v>7.2455249999999722</v>
      </c>
      <c r="BF1501" s="2672">
        <f>BF1503-SUM(BF1476:BF1500)</f>
        <v>1.5268507812499905</v>
      </c>
      <c r="BG1501" s="2672">
        <f>BG1503-SUM(BG1476:BG1500)</f>
        <v>2.2126085937500051</v>
      </c>
      <c r="BH1501" s="2672">
        <f>BH1503-SUM(BH1476:BH1500)</f>
        <v>1.2282463437500155</v>
      </c>
      <c r="BI1501" s="2672">
        <f>BI1503-SUM(BI1476:BI1500)</f>
        <v>2.6541414687500122</v>
      </c>
      <c r="BJ1501" s="481">
        <f t="shared" si="3371"/>
        <v>7.6218471875000233</v>
      </c>
      <c r="BK1501" s="2672">
        <f>BK1503-SUM(BK1476:BK1500)</f>
        <v>2.947379497722153</v>
      </c>
      <c r="BL1501" s="2672">
        <f>BL1503-SUM(BL1476:BL1500)</f>
        <v>1.0322673676129739</v>
      </c>
      <c r="BM1501" s="2672">
        <f>BM1503-SUM(BM1476:BM1500)</f>
        <v>1.7526673986423162</v>
      </c>
      <c r="BN1501" s="2672">
        <f>BN1503-SUM(BN1476:BN1500)</f>
        <v>0.38145477521950966</v>
      </c>
      <c r="BO1501" s="481">
        <f t="shared" si="3413"/>
        <v>6.1137690391969528</v>
      </c>
      <c r="BP1501" s="2672">
        <f>BP1503-SUM(BP1476:BP1500)</f>
        <v>3.2719535416666616</v>
      </c>
      <c r="BQ1501" s="2672">
        <f>BQ1503-SUM(BQ1476:BQ1500)</f>
        <v>3.8768767187499975</v>
      </c>
      <c r="BR1501" s="2672">
        <f>BR1503-SUM(BR1476:BR1500)</f>
        <v>4.5396978125000089</v>
      </c>
      <c r="BS1501" s="2672">
        <f>BS1503-SUM(BS1476:BS1500)</f>
        <v>2.7071915625000003</v>
      </c>
      <c r="BT1501" s="2587">
        <f t="shared" si="3414"/>
        <v>14.395719635416668</v>
      </c>
      <c r="BU1501" s="482">
        <v>2</v>
      </c>
      <c r="BV1501" s="482">
        <v>2</v>
      </c>
      <c r="BW1501" s="482">
        <v>2</v>
      </c>
      <c r="BX1501" s="482">
        <v>2</v>
      </c>
      <c r="BY1501" s="2587">
        <f t="shared" si="3415"/>
        <v>8</v>
      </c>
      <c r="BZ1501" s="2918">
        <f t="shared" ref="BZ1501:CF1501" si="3457">+BY1501</f>
        <v>8</v>
      </c>
      <c r="CA1501" s="2918">
        <f t="shared" si="3457"/>
        <v>8</v>
      </c>
      <c r="CB1501" s="2918">
        <f t="shared" si="3457"/>
        <v>8</v>
      </c>
      <c r="CC1501" s="2918">
        <f t="shared" si="3457"/>
        <v>8</v>
      </c>
      <c r="CD1501" s="2918">
        <f t="shared" si="3457"/>
        <v>8</v>
      </c>
      <c r="CE1501" s="2918">
        <f t="shared" si="3457"/>
        <v>8</v>
      </c>
      <c r="CF1501" s="2918">
        <f t="shared" si="3457"/>
        <v>8</v>
      </c>
      <c r="CG1501" s="331"/>
      <c r="CH1501" s="331"/>
      <c r="CI1501" s="331"/>
      <c r="CJ1501" s="331"/>
      <c r="CK1501" s="331"/>
      <c r="CL1501" s="520" t="str">
        <f t="shared" si="3416"/>
        <v>Other expense (amort + standby fees)</v>
      </c>
      <c r="CM1501" s="430">
        <f t="shared" si="3417"/>
        <v>8.4055915806249928</v>
      </c>
      <c r="CN1501" s="430">
        <f t="shared" si="3418"/>
        <v>7.0266322768749863</v>
      </c>
      <c r="CO1501" s="430">
        <f t="shared" si="3419"/>
        <v>17.949038898065467</v>
      </c>
      <c r="CP1501" s="430">
        <f t="shared" si="3420"/>
        <v>19.931364836173728</v>
      </c>
      <c r="CQ1501" s="430">
        <f t="shared" si="3421"/>
        <v>21.158890842480773</v>
      </c>
      <c r="CR1501" s="430">
        <f t="shared" si="3422"/>
        <v>21.449372972021738</v>
      </c>
      <c r="CS1501" s="430">
        <f t="shared" si="3423"/>
        <v>40.19784921250001</v>
      </c>
      <c r="CT1501" s="430">
        <f t="shared" si="3424"/>
        <v>20.676689812500001</v>
      </c>
      <c r="CU1501" s="430">
        <f t="shared" si="3425"/>
        <v>12.9988778125</v>
      </c>
      <c r="CV1501" s="430">
        <f t="shared" si="3426"/>
        <v>13.295096562499996</v>
      </c>
      <c r="CW1501" s="430">
        <f t="shared" si="3427"/>
        <v>7.2455249999999722</v>
      </c>
      <c r="CX1501" s="430">
        <f t="shared" si="3428"/>
        <v>7.6218471875000233</v>
      </c>
      <c r="CY1501" s="430">
        <f t="shared" si="3429"/>
        <v>6.1137690391969528</v>
      </c>
      <c r="CZ1501" s="430">
        <f t="shared" si="3430"/>
        <v>14.395719635416668</v>
      </c>
      <c r="DA1501" s="430">
        <f t="shared" si="3431"/>
        <v>8</v>
      </c>
      <c r="DB1501" s="430">
        <f t="shared" si="3432"/>
        <v>8</v>
      </c>
      <c r="DC1501" s="853">
        <f t="shared" si="3433"/>
        <v>8</v>
      </c>
      <c r="DD1501" s="331"/>
      <c r="DE1501" s="331"/>
      <c r="DF1501" s="502"/>
      <c r="DG1501" s="503"/>
      <c r="DH1501" s="2840"/>
      <c r="DI1501" s="3213"/>
      <c r="DJ1501" s="502"/>
      <c r="DK1501" s="503"/>
      <c r="DL1501" s="502"/>
      <c r="DM1501" s="502"/>
      <c r="DN1501" s="502"/>
      <c r="DO1501" s="502"/>
      <c r="DP1501" s="503"/>
      <c r="DQ1501" s="503"/>
      <c r="DR1501" s="296"/>
      <c r="DS1501" s="296"/>
      <c r="DT1501" s="296"/>
    </row>
    <row r="1502" spans="1:124" ht="4.5" customHeight="1" x14ac:dyDescent="0.25">
      <c r="A1502" s="710"/>
      <c r="B1502" s="11"/>
      <c r="C1502" s="544" t="s">
        <v>1151</v>
      </c>
      <c r="D1502" s="544" t="s">
        <v>1151</v>
      </c>
      <c r="E1502" s="544" t="s">
        <v>1151</v>
      </c>
      <c r="F1502" s="544" t="s">
        <v>1151</v>
      </c>
      <c r="G1502" s="461" t="s">
        <v>1151</v>
      </c>
      <c r="H1502" s="544" t="s">
        <v>1151</v>
      </c>
      <c r="I1502" s="544" t="s">
        <v>1151</v>
      </c>
      <c r="J1502" s="544" t="s">
        <v>1151</v>
      </c>
      <c r="K1502" s="544" t="s">
        <v>1151</v>
      </c>
      <c r="L1502" s="461" t="s">
        <v>1151</v>
      </c>
      <c r="M1502" s="544" t="s">
        <v>1151</v>
      </c>
      <c r="N1502" s="544" t="s">
        <v>1151</v>
      </c>
      <c r="O1502" s="544" t="s">
        <v>1151</v>
      </c>
      <c r="P1502" s="544" t="s">
        <v>1151</v>
      </c>
      <c r="Q1502" s="461" t="s">
        <v>1151</v>
      </c>
      <c r="R1502" s="544" t="s">
        <v>1151</v>
      </c>
      <c r="S1502" s="544" t="s">
        <v>1151</v>
      </c>
      <c r="T1502" s="544" t="s">
        <v>1151</v>
      </c>
      <c r="U1502" s="544" t="s">
        <v>1151</v>
      </c>
      <c r="V1502" s="461" t="s">
        <v>1151</v>
      </c>
      <c r="W1502" s="544" t="s">
        <v>1151</v>
      </c>
      <c r="X1502" s="544" t="s">
        <v>1151</v>
      </c>
      <c r="Y1502" s="544" t="s">
        <v>1151</v>
      </c>
      <c r="Z1502" s="544" t="s">
        <v>1151</v>
      </c>
      <c r="AA1502" s="461" t="s">
        <v>1151</v>
      </c>
      <c r="AB1502" s="544" t="s">
        <v>1151</v>
      </c>
      <c r="AC1502" s="544" t="s">
        <v>1151</v>
      </c>
      <c r="AD1502" s="544" t="s">
        <v>1151</v>
      </c>
      <c r="AE1502" s="544" t="s">
        <v>1151</v>
      </c>
      <c r="AF1502" s="461" t="s">
        <v>1151</v>
      </c>
      <c r="AG1502" s="544" t="s">
        <v>1151</v>
      </c>
      <c r="AH1502" s="544" t="s">
        <v>1151</v>
      </c>
      <c r="AI1502" s="544" t="s">
        <v>1151</v>
      </c>
      <c r="AJ1502" s="544" t="s">
        <v>1151</v>
      </c>
      <c r="AK1502" s="461" t="s">
        <v>1151</v>
      </c>
      <c r="AL1502" s="544" t="s">
        <v>1151</v>
      </c>
      <c r="AM1502" s="544" t="s">
        <v>1151</v>
      </c>
      <c r="AN1502" s="544" t="s">
        <v>1151</v>
      </c>
      <c r="AO1502" s="544" t="s">
        <v>1151</v>
      </c>
      <c r="AP1502" s="461" t="s">
        <v>1151</v>
      </c>
      <c r="AQ1502" s="544" t="s">
        <v>1151</v>
      </c>
      <c r="AR1502" s="544" t="s">
        <v>1151</v>
      </c>
      <c r="AS1502" s="544" t="s">
        <v>1151</v>
      </c>
      <c r="AT1502" s="544" t="s">
        <v>1151</v>
      </c>
      <c r="AU1502" s="461" t="s">
        <v>1151</v>
      </c>
      <c r="AV1502" s="544" t="s">
        <v>1151</v>
      </c>
      <c r="AW1502" s="544" t="s">
        <v>1151</v>
      </c>
      <c r="AX1502" s="544" t="s">
        <v>1151</v>
      </c>
      <c r="AY1502" s="544" t="s">
        <v>1151</v>
      </c>
      <c r="AZ1502" s="461" t="s">
        <v>1151</v>
      </c>
      <c r="BA1502" s="544" t="s">
        <v>1151</v>
      </c>
      <c r="BB1502" s="544" t="s">
        <v>1151</v>
      </c>
      <c r="BC1502" s="544" t="s">
        <v>1151</v>
      </c>
      <c r="BD1502" s="544" t="s">
        <v>1151</v>
      </c>
      <c r="BE1502" s="461" t="s">
        <v>1151</v>
      </c>
      <c r="BF1502" s="544" t="s">
        <v>1151</v>
      </c>
      <c r="BG1502" s="544" t="s">
        <v>1151</v>
      </c>
      <c r="BH1502" s="544" t="s">
        <v>1151</v>
      </c>
      <c r="BI1502" s="544" t="s">
        <v>1151</v>
      </c>
      <c r="BJ1502" s="461" t="s">
        <v>1151</v>
      </c>
      <c r="BK1502" s="609" t="s">
        <v>1151</v>
      </c>
      <c r="BL1502" s="544" t="s">
        <v>1151</v>
      </c>
      <c r="BM1502" s="544" t="s">
        <v>1151</v>
      </c>
      <c r="BN1502" s="544" t="s">
        <v>1151</v>
      </c>
      <c r="BO1502" s="461" t="s">
        <v>1151</v>
      </c>
      <c r="BP1502" s="609" t="s">
        <v>1151</v>
      </c>
      <c r="BQ1502" s="544" t="s">
        <v>1151</v>
      </c>
      <c r="BR1502" s="544" t="s">
        <v>1151</v>
      </c>
      <c r="BS1502" s="544" t="s">
        <v>1151</v>
      </c>
      <c r="BT1502" s="461" t="s">
        <v>1151</v>
      </c>
      <c r="BU1502" s="544" t="s">
        <v>1151</v>
      </c>
      <c r="BV1502" s="544" t="s">
        <v>1151</v>
      </c>
      <c r="BW1502" s="544" t="s">
        <v>1151</v>
      </c>
      <c r="BX1502" s="544" t="s">
        <v>1151</v>
      </c>
      <c r="BY1502" s="461" t="s">
        <v>1151</v>
      </c>
      <c r="BZ1502" s="461" t="s">
        <v>1151</v>
      </c>
      <c r="CA1502" s="461" t="s">
        <v>1151</v>
      </c>
      <c r="CB1502" s="461" t="s">
        <v>1151</v>
      </c>
      <c r="CC1502" s="461" t="s">
        <v>1151</v>
      </c>
      <c r="CD1502" s="461" t="s">
        <v>1151</v>
      </c>
      <c r="CE1502" s="461" t="s">
        <v>1151</v>
      </c>
      <c r="CF1502" s="461" t="s">
        <v>1151</v>
      </c>
      <c r="CG1502" s="331"/>
      <c r="CH1502" s="331"/>
      <c r="CI1502" s="331"/>
      <c r="CJ1502" s="331"/>
      <c r="CK1502" s="331"/>
      <c r="CL1502" s="1115"/>
      <c r="CM1502" s="2029" t="str">
        <f t="shared" si="3417"/>
        <v xml:space="preserve">                </v>
      </c>
      <c r="CN1502" s="2029" t="str">
        <f t="shared" si="3418"/>
        <v xml:space="preserve">                </v>
      </c>
      <c r="CO1502" s="2029" t="str">
        <f t="shared" si="3419"/>
        <v xml:space="preserve">                </v>
      </c>
      <c r="CP1502" s="2029" t="str">
        <f t="shared" si="3420"/>
        <v xml:space="preserve">                </v>
      </c>
      <c r="CQ1502" s="2029" t="str">
        <f t="shared" si="3421"/>
        <v xml:space="preserve">                </v>
      </c>
      <c r="CR1502" s="2029" t="str">
        <f t="shared" si="3422"/>
        <v xml:space="preserve">                </v>
      </c>
      <c r="CS1502" s="2029" t="str">
        <f t="shared" si="3423"/>
        <v xml:space="preserve">                </v>
      </c>
      <c r="CT1502" s="2029" t="str">
        <f t="shared" si="3424"/>
        <v xml:space="preserve">                </v>
      </c>
      <c r="CU1502" s="2029" t="str">
        <f t="shared" si="3425"/>
        <v xml:space="preserve">                </v>
      </c>
      <c r="CV1502" s="2029" t="str">
        <f t="shared" si="3426"/>
        <v xml:space="preserve">                </v>
      </c>
      <c r="CW1502" s="2029" t="str">
        <f t="shared" si="3427"/>
        <v xml:space="preserve">                </v>
      </c>
      <c r="CX1502" s="2029" t="str">
        <f t="shared" si="3428"/>
        <v xml:space="preserve">                </v>
      </c>
      <c r="CY1502" s="2029" t="str">
        <f t="shared" si="3429"/>
        <v xml:space="preserve">                </v>
      </c>
      <c r="CZ1502" s="2029" t="str">
        <f t="shared" si="3430"/>
        <v xml:space="preserve">                </v>
      </c>
      <c r="DA1502" s="2029" t="str">
        <f t="shared" si="3431"/>
        <v xml:space="preserve">                </v>
      </c>
      <c r="DB1502" s="2029" t="str">
        <f t="shared" si="3432"/>
        <v xml:space="preserve">                </v>
      </c>
      <c r="DC1502" s="2030" t="str">
        <f t="shared" si="3433"/>
        <v xml:space="preserve">                </v>
      </c>
      <c r="DD1502" s="331"/>
      <c r="DE1502" s="331"/>
      <c r="DF1502" s="502"/>
      <c r="DG1502" s="503"/>
      <c r="DH1502" s="2029"/>
      <c r="DI1502" s="3213"/>
      <c r="DJ1502" s="502"/>
      <c r="DK1502" s="503"/>
      <c r="DL1502" s="502"/>
      <c r="DM1502" s="502"/>
      <c r="DN1502" s="502"/>
      <c r="DO1502" s="502"/>
      <c r="DP1502" s="503"/>
      <c r="DQ1502" s="503"/>
      <c r="DR1502" s="296"/>
      <c r="DS1502" s="296"/>
      <c r="DT1502" s="296"/>
    </row>
    <row r="1503" spans="1:124" ht="12" customHeight="1" x14ac:dyDescent="0.25">
      <c r="A1503" s="533" t="s">
        <v>747</v>
      </c>
      <c r="B1503" s="11"/>
      <c r="C1503" s="653">
        <f>-C68</f>
        <v>19.489000000000001</v>
      </c>
      <c r="D1503" s="653">
        <f>-D68</f>
        <v>19.207000000000001</v>
      </c>
      <c r="E1503" s="653">
        <f>-E68</f>
        <v>18.97</v>
      </c>
      <c r="F1503" s="653">
        <f>-F68</f>
        <v>18.13</v>
      </c>
      <c r="G1503" s="489">
        <f>SUM(C1503:F1503)</f>
        <v>75.795999999999992</v>
      </c>
      <c r="H1503" s="653">
        <f>-H68</f>
        <v>16.503</v>
      </c>
      <c r="I1503" s="653">
        <f>-I68</f>
        <v>12.324</v>
      </c>
      <c r="J1503" s="653">
        <f>-J68</f>
        <v>12.824</v>
      </c>
      <c r="K1503" s="653">
        <f>-K68</f>
        <v>47.692999999999998</v>
      </c>
      <c r="L1503" s="489">
        <f>SUM(H1503:K1503)</f>
        <v>89.343999999999994</v>
      </c>
      <c r="M1503" s="653">
        <f>-M68</f>
        <v>48.429000000000002</v>
      </c>
      <c r="N1503" s="653">
        <f>-N68</f>
        <v>47.765999999999998</v>
      </c>
      <c r="O1503" s="653">
        <f>-O68</f>
        <v>49.731999999999999</v>
      </c>
      <c r="P1503" s="653">
        <f>-P68</f>
        <v>50.401000000000003</v>
      </c>
      <c r="Q1503" s="489">
        <f>SUM(M1503:P1503)</f>
        <v>196.328</v>
      </c>
      <c r="R1503" s="653">
        <f>-R68</f>
        <v>48.347000000000001</v>
      </c>
      <c r="S1503" s="653">
        <f>-S68</f>
        <v>51.302</v>
      </c>
      <c r="T1503" s="653">
        <f>-T68</f>
        <v>50.203000000000003</v>
      </c>
      <c r="U1503" s="653">
        <f>-U68</f>
        <v>48.207000000000001</v>
      </c>
      <c r="V1503" s="489">
        <f>SUM(R1503:U1503)</f>
        <v>198.059</v>
      </c>
      <c r="W1503" s="653">
        <f>-W68</f>
        <v>47.215000000000003</v>
      </c>
      <c r="X1503" s="653">
        <f>-X68</f>
        <v>44.536000000000001</v>
      </c>
      <c r="Y1503" s="653">
        <f>-Y68</f>
        <v>37.880000000000003</v>
      </c>
      <c r="Z1503" s="653">
        <f>-Z68</f>
        <v>40.195999999999998</v>
      </c>
      <c r="AA1503" s="489">
        <f>SUM(W1503:Z1503)</f>
        <v>169.827</v>
      </c>
      <c r="AB1503" s="653">
        <f>-AB68</f>
        <v>31.238</v>
      </c>
      <c r="AC1503" s="653">
        <f>-AC68</f>
        <v>29.850999999999999</v>
      </c>
      <c r="AD1503" s="653">
        <f>-AD68</f>
        <v>36.784999999999997</v>
      </c>
      <c r="AE1503" s="653">
        <f>-AE68</f>
        <v>37.11</v>
      </c>
      <c r="AF1503" s="486">
        <f>SUM(AB1503:AE1503)</f>
        <v>134.98399999999998</v>
      </c>
      <c r="AG1503" s="654">
        <f>-AG68</f>
        <v>34.292000000000002</v>
      </c>
      <c r="AH1503" s="654">
        <f>-AH68</f>
        <v>32.911000000000001</v>
      </c>
      <c r="AI1503" s="654">
        <f>-AI68</f>
        <v>32.411999999999999</v>
      </c>
      <c r="AJ1503" s="654">
        <f>-AJ68</f>
        <v>30.6</v>
      </c>
      <c r="AK1503" s="486">
        <f>SUM(AG1503:AJ1503)</f>
        <v>130.215</v>
      </c>
      <c r="AL1503" s="654">
        <f>-AL68</f>
        <v>29.026</v>
      </c>
      <c r="AM1503" s="654">
        <f>-AM68</f>
        <v>26.109000000000002</v>
      </c>
      <c r="AN1503" s="654">
        <f>-AN68</f>
        <v>23.513999999999999</v>
      </c>
      <c r="AO1503" s="654">
        <f>-AO68</f>
        <v>20.914999999999999</v>
      </c>
      <c r="AP1503" s="490">
        <f>SUM(AL1503:AO1503)</f>
        <v>99.563999999999993</v>
      </c>
      <c r="AQ1503" s="2509">
        <f>-AQ68</f>
        <v>18.042999999999999</v>
      </c>
      <c r="AR1503" s="2508">
        <f>-AR68</f>
        <v>17.823</v>
      </c>
      <c r="AS1503" s="2508">
        <f>-AS68</f>
        <v>19.952999999999999</v>
      </c>
      <c r="AT1503" s="2508">
        <f>-AT68</f>
        <v>25.620999999999999</v>
      </c>
      <c r="AU1503" s="655">
        <f>SUM(AQ1503:AT1503)</f>
        <v>81.44</v>
      </c>
      <c r="AV1503" s="2508">
        <f>-AV68</f>
        <v>27.923999999999999</v>
      </c>
      <c r="AW1503" s="2508">
        <f>-AW68</f>
        <v>27.06</v>
      </c>
      <c r="AX1503" s="2508">
        <f>-AX68</f>
        <v>25.06</v>
      </c>
      <c r="AY1503" s="2586">
        <f>-AY68</f>
        <v>17.047999999999998</v>
      </c>
      <c r="AZ1503" s="655">
        <f>SUM(AZ1476:AZ1501)</f>
        <v>97.091999999999985</v>
      </c>
      <c r="BA1503" s="2508">
        <f>-BA68</f>
        <v>104.514</v>
      </c>
      <c r="BB1503" s="2508">
        <f>-BB68</f>
        <v>105.069</v>
      </c>
      <c r="BC1503" s="2508">
        <f>-BC68</f>
        <v>105.93300000000001</v>
      </c>
      <c r="BD1503" s="2508">
        <f>-BD68</f>
        <v>109.59799999999996</v>
      </c>
      <c r="BE1503" s="655">
        <f>SUM(BE1476:BE1501)</f>
        <v>425.11399999999998</v>
      </c>
      <c r="BF1503" s="2508">
        <f>-BF68</f>
        <v>108.346</v>
      </c>
      <c r="BG1503" s="3092">
        <f>-BG68</f>
        <v>109.798</v>
      </c>
      <c r="BH1503" s="3092">
        <f>-BH68</f>
        <v>111.40600000000001</v>
      </c>
      <c r="BI1503" s="3092">
        <f>-BI68</f>
        <v>113.577</v>
      </c>
      <c r="BJ1503" s="655">
        <f>SUM(BJ1476:BJ1501)</f>
        <v>443.12700000000001</v>
      </c>
      <c r="BK1503" s="3092">
        <f>-BK68</f>
        <v>116.512</v>
      </c>
      <c r="BL1503" s="3092">
        <f>-BL68</f>
        <v>114.687</v>
      </c>
      <c r="BM1503" s="3092">
        <f>-BM68</f>
        <v>114.349</v>
      </c>
      <c r="BN1503" s="3092">
        <f>-BN68</f>
        <v>113.69499999999999</v>
      </c>
      <c r="BO1503" s="655">
        <f>SUM(BO1476:BO1501)</f>
        <v>459.24299999999999</v>
      </c>
      <c r="BP1503" s="3092">
        <f>-BP68</f>
        <v>114.996</v>
      </c>
      <c r="BQ1503" s="3092">
        <f>-BQ68</f>
        <v>116.768</v>
      </c>
      <c r="BR1503" s="3092">
        <f>-BR68</f>
        <v>118.236</v>
      </c>
      <c r="BS1503" s="3092">
        <f>-BS68</f>
        <v>116.761</v>
      </c>
      <c r="BT1503" s="655">
        <f t="shared" ref="BT1503:CF1503" si="3458">SUM(BT1476:BT1501)</f>
        <v>466.76100000000008</v>
      </c>
      <c r="BU1503" s="485">
        <f t="shared" si="3458"/>
        <v>118.03488311578862</v>
      </c>
      <c r="BV1503" s="485">
        <f t="shared" si="3458"/>
        <v>118.26247083371786</v>
      </c>
      <c r="BW1503" s="485">
        <f t="shared" si="3458"/>
        <v>208.40060868472895</v>
      </c>
      <c r="BX1503" s="485">
        <f t="shared" si="3458"/>
        <v>208.51962938230994</v>
      </c>
      <c r="BY1503" s="655">
        <f>SUM(BY1476:BY1501)</f>
        <v>653.21759201654538</v>
      </c>
      <c r="BZ1503" s="655">
        <f t="shared" si="3458"/>
        <v>836.37049881780922</v>
      </c>
      <c r="CA1503" s="655">
        <f t="shared" si="3458"/>
        <v>840.71743874432332</v>
      </c>
      <c r="CB1503" s="655">
        <f t="shared" si="3458"/>
        <v>56.913702499999992</v>
      </c>
      <c r="CC1503" s="655">
        <f t="shared" si="3458"/>
        <v>56.817702499999989</v>
      </c>
      <c r="CD1503" s="655">
        <f t="shared" si="3458"/>
        <v>56.721702499999992</v>
      </c>
      <c r="CE1503" s="655">
        <f t="shared" si="3458"/>
        <v>56.625702499999989</v>
      </c>
      <c r="CF1503" s="655">
        <f t="shared" si="3458"/>
        <v>56.577702499999994</v>
      </c>
      <c r="CG1503" s="331"/>
      <c r="CH1503" s="331"/>
      <c r="CI1503" s="331"/>
      <c r="CJ1503" s="331"/>
      <c r="CK1503" s="331"/>
      <c r="CL1503" s="1149" t="str">
        <f>A1503</f>
        <v>Net Interest Expense</v>
      </c>
      <c r="CM1503" s="485">
        <f t="shared" si="3417"/>
        <v>75.795999999999992</v>
      </c>
      <c r="CN1503" s="485">
        <f t="shared" si="3418"/>
        <v>89.343999999999994</v>
      </c>
      <c r="CO1503" s="485">
        <f t="shared" si="3419"/>
        <v>196.328</v>
      </c>
      <c r="CP1503" s="485">
        <f t="shared" si="3420"/>
        <v>198.059</v>
      </c>
      <c r="CQ1503" s="485">
        <f t="shared" si="3421"/>
        <v>169.827</v>
      </c>
      <c r="CR1503" s="485">
        <f t="shared" si="3422"/>
        <v>134.98399999999998</v>
      </c>
      <c r="CS1503" s="485">
        <f t="shared" si="3423"/>
        <v>130.215</v>
      </c>
      <c r="CT1503" s="485">
        <f t="shared" si="3424"/>
        <v>99.563999999999993</v>
      </c>
      <c r="CU1503" s="485">
        <f t="shared" si="3425"/>
        <v>81.44</v>
      </c>
      <c r="CV1503" s="485">
        <f t="shared" si="3426"/>
        <v>97.091999999999985</v>
      </c>
      <c r="CW1503" s="485">
        <f t="shared" si="3427"/>
        <v>425.11399999999998</v>
      </c>
      <c r="CX1503" s="485">
        <f t="shared" si="3428"/>
        <v>443.12700000000001</v>
      </c>
      <c r="CY1503" s="485">
        <f t="shared" si="3429"/>
        <v>459.24299999999999</v>
      </c>
      <c r="CZ1503" s="485">
        <f t="shared" si="3430"/>
        <v>466.76100000000008</v>
      </c>
      <c r="DA1503" s="485">
        <f t="shared" si="3431"/>
        <v>653.21759201654538</v>
      </c>
      <c r="DB1503" s="485">
        <f t="shared" si="3432"/>
        <v>836.37049881780922</v>
      </c>
      <c r="DC1503" s="854">
        <f t="shared" si="3433"/>
        <v>840.71743874432332</v>
      </c>
      <c r="DD1503" s="331"/>
      <c r="DE1503" s="331"/>
      <c r="DF1503" s="502"/>
      <c r="DG1503" s="503"/>
      <c r="DH1503" s="656"/>
      <c r="DI1503" s="3213"/>
      <c r="DJ1503" s="502"/>
      <c r="DK1503" s="503"/>
      <c r="DL1503" s="502"/>
      <c r="DM1503" s="502"/>
      <c r="DN1503" s="502"/>
      <c r="DO1503" s="502"/>
      <c r="DP1503" s="503"/>
      <c r="DQ1503" s="503"/>
      <c r="DR1503" s="296"/>
      <c r="DS1503" s="296"/>
      <c r="DT1503" s="296"/>
    </row>
    <row r="1504" spans="1:124" ht="12" customHeight="1" x14ac:dyDescent="0.25">
      <c r="A1504" s="1955" t="s">
        <v>1930</v>
      </c>
      <c r="B1504" s="957"/>
      <c r="C1504" s="957">
        <f>((C1503-C1500)*4)/((B1402+C1402)/2)</f>
        <v>7.5019439076778577E-2</v>
      </c>
      <c r="D1504" s="957">
        <f>((D1503-D1500)*4)/((C1402+D1402)/2)</f>
        <v>7.5135586616120964E-2</v>
      </c>
      <c r="E1504" s="957">
        <f>((E1503-E1500)*4)/((D1402+E1402)/2)</f>
        <v>8.1690660013231581E-2</v>
      </c>
      <c r="F1504" s="957">
        <f>((F1503-F1500)*4)/((E1402+F1402)/2)</f>
        <v>8.2455901301688297E-2</v>
      </c>
      <c r="G1504" s="958">
        <f>(G1503-G1500)/((B1402+C1402+D1402+E1402+F1402)/5)</f>
        <v>7.9131411356846759E-2</v>
      </c>
      <c r="H1504" s="957">
        <f>((H1503-H1500)*4)/((G1402+H1402)/2)</f>
        <v>8.1613832296442215E-2</v>
      </c>
      <c r="I1504" s="957">
        <f>((I1503-I1500)*4)/((H1402+I1402)/2)</f>
        <v>7.031160254227907E-2</v>
      </c>
      <c r="J1504" s="957">
        <f>((J1503-J1500)*4)/((I1402+J1402)/2)</f>
        <v>8.0370138833398344E-2</v>
      </c>
      <c r="K1504" s="957">
        <f>((K1503-K1500)*4)/K1402</f>
        <v>6.9618111074143577E-2</v>
      </c>
      <c r="L1504" s="958">
        <f>(L1503-L1500)/((G1402+H1402+I1402+J1402+K1402)/5)</f>
        <v>7.9414658265378385E-2</v>
      </c>
      <c r="M1504" s="957">
        <f>((M1503-M1500)*4)/((L1402+M1402)/2)</f>
        <v>7.1913911257996357E-2</v>
      </c>
      <c r="N1504" s="957">
        <f>((N1503-N1500)*4)/((M1402+N1402)/2)</f>
        <v>7.1692986160319161E-2</v>
      </c>
      <c r="O1504" s="957">
        <f>((O1503-O1500)*4)/((N1402+O1402)/2)</f>
        <v>7.4204234562933999E-2</v>
      </c>
      <c r="P1504" s="957">
        <f>((P1503-P1500)*4)/((O1402+P1402)/2)</f>
        <v>7.5006188248471758E-2</v>
      </c>
      <c r="Q1504" s="958">
        <f>(Q1503-Q1500)/((L1402+M1402+N1402+O1402+P1402)/5)</f>
        <v>7.3125205692376821E-2</v>
      </c>
      <c r="R1504" s="957">
        <f>((R1503-R1500)*4)/((Q1402+R1402)/2)</f>
        <v>7.3196575566355074E-2</v>
      </c>
      <c r="S1504" s="957">
        <f>((S1503-S1500)*4)/((R1402+S1402)/2)</f>
        <v>7.5139308371117958E-2</v>
      </c>
      <c r="T1504" s="957">
        <f>((T1503-T1500)*4)/((S1402+T1402)/2)</f>
        <v>7.3444696683642147E-2</v>
      </c>
      <c r="U1504" s="957">
        <f>((U1503-U1500)*4)/((T1402+U1402)/2)</f>
        <v>7.2405422645149431E-2</v>
      </c>
      <c r="V1504" s="958">
        <f>(V1503-V1500)/((Q1402+R1402+S1402+T1402+U1402)/5)</f>
        <v>7.3486689226280988E-2</v>
      </c>
      <c r="W1504" s="957">
        <f>((W1503-W1500)*4)/((V1402+W1402)/2)</f>
        <v>6.993417144499485E-2</v>
      </c>
      <c r="X1504" s="957">
        <f>((X1503-X1500)*4)/((W1402+X1402)/2)</f>
        <v>6.4806933199525574E-2</v>
      </c>
      <c r="Y1504" s="957">
        <f>((Y1503-Y1500)*4)/((X1402+Y1402)/2)</f>
        <v>6.0220902169813822E-2</v>
      </c>
      <c r="Z1504" s="957">
        <f>((Z1503-Z1500)*4)/((Y1402+Z1402)/2)</f>
        <v>7.0806850831477988E-2</v>
      </c>
      <c r="AA1504" s="958">
        <f>(AA1503-AA1500)/((V1402+W1402+X1402+Y1402+Z1402)/5)</f>
        <v>6.6697632676627761E-2</v>
      </c>
      <c r="AB1504" s="957">
        <f>((AB1503-AB1500)*4)/((AA1402+AB1402)/2)</f>
        <v>5.6726534335771288E-2</v>
      </c>
      <c r="AC1504" s="957">
        <f>((AC1503-AC1500)*4)/((AB1402+AC1402)/2)</f>
        <v>5.6010034480406E-2</v>
      </c>
      <c r="AD1504" s="957">
        <f>((AD1503-AD1500)*4)/((AC1402+AD1402)/2)</f>
        <v>6.1979044580047229E-2</v>
      </c>
      <c r="AE1504" s="957">
        <f>((AE1503-AE1500)*4)/((AD1402+AE1402)/2)</f>
        <v>6.3794662942908364E-2</v>
      </c>
      <c r="AF1504" s="958">
        <f>(AF1503-AF1500)/((AA1402+AB1402+AC1402+AD1402+AE1402)/5)</f>
        <v>5.9606367248336428E-2</v>
      </c>
      <c r="AG1504" s="957">
        <f>((AG1503-AG1500)*4)/((AF1402+AG1402)/2)</f>
        <v>6.1052202591639446E-2</v>
      </c>
      <c r="AH1504" s="957">
        <f>((AH1503-AH1500)*4)/((AG1402+AH1402)/2)</f>
        <v>6.2854636734849548E-2</v>
      </c>
      <c r="AI1504" s="957">
        <f>((AI1503-AI1500)*4)/((AH1402+AI1402)/2)</f>
        <v>6.4731450931244966E-2</v>
      </c>
      <c r="AJ1504" s="957">
        <f>((AJ1503-AJ1500)*4)/((AI1402+AJ1402)/2)</f>
        <v>5.9360544618952585E-2</v>
      </c>
      <c r="AK1504" s="958">
        <f>(AK1503-AK1500)/((AF1402+AG1402+AH1402+AI1402+AJ1402)/5)</f>
        <v>6.1620366599295859E-2</v>
      </c>
      <c r="AL1504" s="957">
        <f>((AL1503-AL1500)*4)/((AK1402+AL1402)/2)</f>
        <v>5.5409553670806293E-2</v>
      </c>
      <c r="AM1504" s="957">
        <f>((AM1503-AM1500)*4)/((AL1402+AM1402)/2)</f>
        <v>5.123032433053E-2</v>
      </c>
      <c r="AN1504" s="957">
        <f>((AN1503-AN1500)*4)/((AM1402+AN1402)/2)</f>
        <v>4.9588479440197314E-2</v>
      </c>
      <c r="AO1504" s="957">
        <f>((AO1503-AO1500)*4)/((AN1402+AO1402)/2)</f>
        <v>4.5863778201851939E-2</v>
      </c>
      <c r="AP1504" s="958">
        <f>(AP1503-AP1500)/((AK1402+AL1402+AM1402+AN1402+AO1402)/5)</f>
        <v>5.0467928745603879E-2</v>
      </c>
      <c r="AQ1504" s="957">
        <f>((AQ1503-AQ1500)*4)/((AP1402+AQ1402)/2)</f>
        <v>4.1092876660789271E-2</v>
      </c>
      <c r="AR1504" s="957">
        <f>((AR1503-AR1500)*4)/((AQ1402+AR1402)/2)</f>
        <v>4.0277082653320279E-2</v>
      </c>
      <c r="AS1504" s="957">
        <f>((AS1503-AS1500)*4)/((AR1402+AS1402)/2)</f>
        <v>4.1764953723728744E-2</v>
      </c>
      <c r="AT1504" s="957">
        <f>((AT1503-AT1500)*4)/((AS1402+AT1402)/2)</f>
        <v>4.1907183352480976E-2</v>
      </c>
      <c r="AU1504" s="958">
        <f>(AU1503-AU1500)/((AP1402+AQ1402+AR1402+AS1402+AT1402)/5)</f>
        <v>4.0501478998242989E-2</v>
      </c>
      <c r="AV1504" s="957">
        <f>((AV1503-AV1500)*4)/((AU1402+AV1402)/2)</f>
        <v>4.1926989826451225E-2</v>
      </c>
      <c r="AW1504" s="957">
        <f>((AW1503-AW1500)*4)/((AV1402+AW1402)/2)</f>
        <v>4.2979132500141369E-2</v>
      </c>
      <c r="AX1504" s="957">
        <f>((AX1503-AX1500)*4)/((AW1402+AX1402)/2)</f>
        <v>4.1905864279759342E-2</v>
      </c>
      <c r="AY1504" s="957">
        <f>((AY1503-AY1500)*4)/((AX1402+AY1402)/2)</f>
        <v>4.0644538346731048E-2</v>
      </c>
      <c r="AZ1504" s="958">
        <f>(AZ1503-AZ1500)/((AU1402+AV1402+AW1402+AX1402+AY1402)/5)</f>
        <v>4.3662744443675038E-2</v>
      </c>
      <c r="BA1504" s="957">
        <f>((BA1503-BA1500)*4)/((AZ1402+BA1402)/2)</f>
        <v>0.3955850524028055</v>
      </c>
      <c r="BB1504" s="957">
        <f>((BB1503-BB1500)*4)/((BA1402+BB1402)/2)</f>
        <v>0.39676028209596065</v>
      </c>
      <c r="BC1504" s="957">
        <f>((BC1503-BC1500)*4)/((BB1402+BC1402)/2)</f>
        <v>0.37153629047770598</v>
      </c>
      <c r="BD1504" s="957">
        <f>((BD1503-BD1500)*4)/((BC1402+BD1402)/2)</f>
        <v>0.14580556476020237</v>
      </c>
      <c r="BE1504" s="958">
        <f>(BE1503-BE1500)/((AZ1402+BA1402+BB1402+BC1402+BD1402)/5)</f>
        <v>0.23091435075025474</v>
      </c>
      <c r="BF1504" s="957">
        <f>((BF1503-BF1500)*4)/((BE1402+BF1402)/2)</f>
        <v>8.9942332010842188E-2</v>
      </c>
      <c r="BG1504" s="957">
        <f>((BG1503-BG1500)*4)/((BF1402+BG1402)/2)</f>
        <v>9.1674911190910577E-2</v>
      </c>
      <c r="BH1504" s="957">
        <f>((BH1503-BH1500)*4)/((BG1402+BH1402)/2)</f>
        <v>8.8528208403568356E-2</v>
      </c>
      <c r="BI1504" s="957">
        <f>((BI1503-BI1500)*4)/((BH1402+BI1402)/2)</f>
        <v>8.8002896131781999E-2</v>
      </c>
      <c r="BJ1504" s="958">
        <f>(BJ1503-BJ1500)/((BE1402+BF1402+BG1402+BH1402+BI1402)/5)</f>
        <v>8.9320511732610824E-2</v>
      </c>
      <c r="BK1504" s="3084">
        <f>((BK1503-BK1500)*4)/((BJ1402+BK1402)/2)</f>
        <v>8.9103410907113087E-2</v>
      </c>
      <c r="BL1504" s="957">
        <f>((BL1503-BL1500)*4)/((BK1402+BL1402)/2)</f>
        <v>8.8404803039959151E-2</v>
      </c>
      <c r="BM1504" s="957">
        <f>((BM1503-BM1500)*4)/((BL1402+BM1402)/2)</f>
        <v>8.86728311257413E-2</v>
      </c>
      <c r="BN1504" s="957">
        <f>((BN1503-BN1500)*4)/((BM1402+BN1402)/2)</f>
        <v>9.0492203413168784E-2</v>
      </c>
      <c r="BO1504" s="958">
        <f>(BO1503-BO1500)/((BJ1402+BK1402+BL1402+BM1402+BN1402)/5)</f>
        <v>8.9453753570428438E-2</v>
      </c>
      <c r="BP1504" s="957">
        <f>((BP1503-BP1500)*4)/((BO1402+BP1402)/2)</f>
        <v>9.4121209915512843E-2</v>
      </c>
      <c r="BQ1504" s="957">
        <f>((BQ1503-BQ1500)*4)/((BP1402+BQ1402)/2)</f>
        <v>9.6057208606448063E-2</v>
      </c>
      <c r="BR1504" s="957">
        <f>((BR1503-BR1500)*4)/((BQ1402+BR1402)/2)</f>
        <v>9.7509161609353676E-2</v>
      </c>
      <c r="BS1504" s="957">
        <f>((BS1503-BS1500)*4)/((BR1402+BS1402)/2)</f>
        <v>9.7103886306948953E-2</v>
      </c>
      <c r="BT1504" s="958">
        <f>(BT1503-BT1500)/((BO1402+BP1402+BQ1402+BR1402+BS1402)/5)</f>
        <v>9.6260624265879072E-2</v>
      </c>
      <c r="BU1504" s="957">
        <f>((BU1503-BU1500)*4)/((BT1402+BU1402)/2)</f>
        <v>9.9136702592143647E-2</v>
      </c>
      <c r="BV1504" s="957">
        <f>((BV1503-BV1500)*4)/((BU1402+BV1402)/2)</f>
        <v>9.9650175209907862E-2</v>
      </c>
      <c r="BW1504" s="957">
        <f>((BW1503-BW1500)*4)/((BV1402+BW1402)/2)</f>
        <v>0.12692495624900013</v>
      </c>
      <c r="BX1504" s="957">
        <f>((BX1503-BX1500)*4)/((BW1402+BX1402)/2)</f>
        <v>9.9466162467803751E-2</v>
      </c>
      <c r="BY1504" s="958">
        <f>(BY1503-BY1500)/((BT1402+BU1402+BV1402+BW1402+BX1402)/5)</f>
        <v>0.10524351967747317</v>
      </c>
      <c r="BZ1504" s="958">
        <f t="shared" ref="BZ1504:CF1504" si="3459">(BZ1503-BZ1500)/((+BY1402+BZ1402)/2)</f>
        <v>0.10206840160932017</v>
      </c>
      <c r="CA1504" s="958">
        <f t="shared" si="3459"/>
        <v>0.10558509027901646</v>
      </c>
      <c r="CB1504" s="958">
        <f t="shared" si="3459"/>
        <v>1.286589608283341E-2</v>
      </c>
      <c r="CC1504" s="958">
        <f t="shared" si="3459"/>
        <v>6.4204553846223755E-2</v>
      </c>
      <c r="CD1504" s="958">
        <f t="shared" si="3459"/>
        <v>6.4204553846223755E-2</v>
      </c>
      <c r="CE1504" s="958">
        <f t="shared" si="3459"/>
        <v>6.4204553846223755E-2</v>
      </c>
      <c r="CF1504" s="958">
        <f t="shared" si="3459"/>
        <v>6.4204553846223755E-2</v>
      </c>
      <c r="CG1504" s="980"/>
      <c r="CH1504" s="980"/>
      <c r="CI1504" s="980"/>
      <c r="CJ1504" s="980"/>
      <c r="CK1504" s="980"/>
      <c r="CL1504" s="2047" t="str">
        <f>A1504</f>
        <v>Weighted avg interest rate (total)</v>
      </c>
      <c r="CM1504" s="2235">
        <f t="shared" si="3417"/>
        <v>7.9131411356846759E-2</v>
      </c>
      <c r="CN1504" s="2235">
        <f t="shared" si="3418"/>
        <v>7.9414658265378385E-2</v>
      </c>
      <c r="CO1504" s="2235">
        <f t="shared" si="3419"/>
        <v>7.3125205692376821E-2</v>
      </c>
      <c r="CP1504" s="2235">
        <f t="shared" si="3420"/>
        <v>7.3486689226280988E-2</v>
      </c>
      <c r="CQ1504" s="2235">
        <f t="shared" si="3421"/>
        <v>6.6697632676627761E-2</v>
      </c>
      <c r="CR1504" s="2235">
        <f t="shared" si="3422"/>
        <v>5.9606367248336428E-2</v>
      </c>
      <c r="CS1504" s="2235">
        <f t="shared" si="3423"/>
        <v>6.1620366599295859E-2</v>
      </c>
      <c r="CT1504" s="2235">
        <f t="shared" si="3424"/>
        <v>5.0467928745603879E-2</v>
      </c>
      <c r="CU1504" s="2235">
        <f t="shared" si="3425"/>
        <v>4.0501478998242989E-2</v>
      </c>
      <c r="CV1504" s="2235">
        <f t="shared" si="3426"/>
        <v>4.3662744443675038E-2</v>
      </c>
      <c r="CW1504" s="2235">
        <f t="shared" si="3427"/>
        <v>0.23091435075025474</v>
      </c>
      <c r="CX1504" s="2235">
        <f t="shared" si="3428"/>
        <v>8.9320511732610824E-2</v>
      </c>
      <c r="CY1504" s="2235">
        <f t="shared" si="3429"/>
        <v>8.9453753570428438E-2</v>
      </c>
      <c r="CZ1504" s="2235">
        <f t="shared" si="3430"/>
        <v>9.6260624265879072E-2</v>
      </c>
      <c r="DA1504" s="2235">
        <f t="shared" si="3431"/>
        <v>0.10524351967747317</v>
      </c>
      <c r="DB1504" s="2235">
        <f t="shared" si="3432"/>
        <v>0.10206840160932017</v>
      </c>
      <c r="DC1504" s="2236">
        <f t="shared" si="3433"/>
        <v>0.10558509027901646</v>
      </c>
      <c r="DD1504" s="980"/>
      <c r="DE1504" s="980"/>
      <c r="DF1504" s="981"/>
      <c r="DG1504" s="981"/>
      <c r="DH1504" s="2235"/>
      <c r="DI1504" s="3213"/>
      <c r="DJ1504" s="981"/>
      <c r="DK1504" s="981"/>
      <c r="DL1504" s="981"/>
      <c r="DM1504" s="981"/>
      <c r="DN1504" s="981"/>
      <c r="DO1504" s="981"/>
      <c r="DP1504" s="981"/>
      <c r="DQ1504" s="981"/>
      <c r="DR1504" s="630"/>
      <c r="DS1504" s="630"/>
      <c r="DT1504" s="630"/>
    </row>
    <row r="1505" spans="1:130" ht="12.75" customHeight="1" x14ac:dyDescent="0.25">
      <c r="A1505" s="533"/>
      <c r="B1505" s="11"/>
      <c r="C1505" s="653"/>
      <c r="D1505" s="653"/>
      <c r="E1505" s="653"/>
      <c r="F1505" s="653"/>
      <c r="G1505" s="510"/>
      <c r="H1505" s="653"/>
      <c r="I1505" s="653"/>
      <c r="J1505" s="653"/>
      <c r="K1505" s="653"/>
      <c r="L1505" s="510"/>
      <c r="M1505" s="653"/>
      <c r="N1505" s="653"/>
      <c r="O1505" s="653"/>
      <c r="P1505" s="653"/>
      <c r="Q1505" s="510"/>
      <c r="R1505" s="653"/>
      <c r="S1505" s="653"/>
      <c r="T1505" s="653"/>
      <c r="U1505" s="653"/>
      <c r="V1505" s="510"/>
      <c r="W1505" s="653"/>
      <c r="X1505" s="653"/>
      <c r="Y1505" s="653"/>
      <c r="Z1505" s="653"/>
      <c r="AA1505" s="510"/>
      <c r="AB1505" s="653"/>
      <c r="AC1505" s="653"/>
      <c r="AD1505" s="653"/>
      <c r="AE1505" s="654"/>
      <c r="AF1505" s="481"/>
      <c r="AG1505" s="654"/>
      <c r="AH1505" s="654"/>
      <c r="AI1505" s="654"/>
      <c r="AJ1505" s="654"/>
      <c r="AK1505" s="481"/>
      <c r="AL1505" s="654"/>
      <c r="AM1505" s="654"/>
      <c r="AN1505" s="654"/>
      <c r="AO1505" s="654"/>
      <c r="AP1505" s="483"/>
      <c r="AQ1505" s="483"/>
      <c r="AR1505" s="430"/>
      <c r="AS1505" s="430"/>
      <c r="AT1505" s="430"/>
      <c r="AU1505" s="481"/>
      <c r="AV1505" s="483"/>
      <c r="AW1505" s="430"/>
      <c r="AX1505" s="430"/>
      <c r="AY1505" s="853"/>
      <c r="AZ1505" s="481"/>
      <c r="BA1505" s="483"/>
      <c r="BB1505" s="430"/>
      <c r="BC1505" s="430"/>
      <c r="BD1505" s="853"/>
      <c r="BE1505" s="481"/>
      <c r="BF1505" s="430"/>
      <c r="BG1505" s="430"/>
      <c r="BH1505" s="430"/>
      <c r="BI1505" s="853"/>
      <c r="BJ1505" s="481"/>
      <c r="BK1505" s="430"/>
      <c r="BL1505" s="430"/>
      <c r="BM1505" s="430"/>
      <c r="BN1505" s="853"/>
      <c r="BO1505" s="481"/>
      <c r="BP1505" s="430"/>
      <c r="BQ1505" s="430"/>
      <c r="BR1505" s="430"/>
      <c r="BS1505" s="430"/>
      <c r="BT1505" s="2587"/>
      <c r="BU1505" s="3397"/>
      <c r="BV1505" s="2840"/>
      <c r="BW1505" s="2840"/>
      <c r="BX1505" s="2840"/>
      <c r="BY1505" s="2587"/>
      <c r="BZ1505" s="481"/>
      <c r="CA1505" s="481"/>
      <c r="CB1505" s="481"/>
      <c r="CC1505" s="481"/>
      <c r="CD1505" s="481"/>
      <c r="CE1505" s="481"/>
      <c r="CF1505" s="481"/>
      <c r="CG1505" s="331"/>
      <c r="CH1505" s="331"/>
      <c r="CI1505" s="331"/>
      <c r="CJ1505" s="331"/>
      <c r="CK1505" s="331"/>
      <c r="CL1505" s="1149"/>
      <c r="CM1505" s="430"/>
      <c r="CN1505" s="430"/>
      <c r="CO1505" s="430"/>
      <c r="CP1505" s="430"/>
      <c r="CQ1505" s="430"/>
      <c r="CR1505" s="430"/>
      <c r="CS1505" s="430"/>
      <c r="CT1505" s="430"/>
      <c r="CU1505" s="430"/>
      <c r="CV1505" s="430"/>
      <c r="CW1505" s="430"/>
      <c r="CX1505" s="430"/>
      <c r="CY1505" s="430"/>
      <c r="CZ1505" s="430"/>
      <c r="DA1505" s="430"/>
      <c r="DB1505" s="430"/>
      <c r="DC1505" s="853"/>
      <c r="DD1505" s="331"/>
      <c r="DE1505" s="331"/>
      <c r="DF1505" s="502"/>
      <c r="DG1505" s="503"/>
      <c r="DH1505" s="2840"/>
      <c r="DI1505" s="3213"/>
      <c r="DJ1505" s="502"/>
      <c r="DK1505" s="503"/>
      <c r="DL1505" s="502"/>
      <c r="DM1505" s="502"/>
      <c r="DN1505" s="502"/>
      <c r="DO1505" s="502"/>
      <c r="DP1505" s="503"/>
      <c r="DQ1505" s="503"/>
      <c r="DR1505" s="296"/>
      <c r="DS1505" s="296"/>
      <c r="DT1505" s="296"/>
    </row>
    <row r="1506" spans="1:130" ht="12" customHeight="1" x14ac:dyDescent="0.25">
      <c r="A1506" s="632" t="s">
        <v>1931</v>
      </c>
      <c r="B1506" s="619"/>
      <c r="C1506" s="1026">
        <f>C67*4/((107.6+118.6)/2)</f>
        <v>1.3757736516357207E-2</v>
      </c>
      <c r="D1506" s="1026">
        <f>D67*4/((118.6+D1339)/2)</f>
        <v>1.5457783416883314E-2</v>
      </c>
      <c r="E1506" s="1026">
        <f>E67*4/((D1339+E1339)/2)</f>
        <v>1.8777973786648389E-2</v>
      </c>
      <c r="F1506" s="1026">
        <f>F67*4/((E1339+F1339)/2)</f>
        <v>3.7185341294930341E-2</v>
      </c>
      <c r="G1506" s="1027">
        <f>G67/((107.6+C1339+D1339+E1339+F1339)/5)</f>
        <v>2.6584005207073436E-2</v>
      </c>
      <c r="H1506" s="1026">
        <f>H67*4/((G1339+H1339)/2)</f>
        <v>2.6181840271537877E-2</v>
      </c>
      <c r="I1506" s="1026">
        <f>I67*4/((H1339+I1339)/2)</f>
        <v>1.6077239900943455E-2</v>
      </c>
      <c r="J1506" s="1026">
        <f>J67*4/((I1339+J1339)/2)</f>
        <v>2.3277427819927948E-2</v>
      </c>
      <c r="K1506" s="1026">
        <f>K67*4/((J1339+K1339)/2)</f>
        <v>2.4269073567260234E-2</v>
      </c>
      <c r="L1506" s="1027">
        <f>L67/((G1339+H1339+I1339+J1339+K1339)/5)</f>
        <v>2.3986258225401971E-2</v>
      </c>
      <c r="M1506" s="1026">
        <f>M67*4/((L1339+M1339)/2)</f>
        <v>2.6682425943709832E-2</v>
      </c>
      <c r="N1506" s="1026">
        <f>N67*4/((M1339+N1339)/2)</f>
        <v>2.5838368636333164E-2</v>
      </c>
      <c r="O1506" s="1026">
        <f>O67*4/((N1339+O1339)/2)</f>
        <v>2.6462646264626476E-2</v>
      </c>
      <c r="P1506" s="1026">
        <f>P67*4/((O1339+P1339)/2)</f>
        <v>2.2910604683814638E-2</v>
      </c>
      <c r="Q1506" s="1027">
        <f>Q67/((L1339+M1339+N1339+O1339+P1339)/5)</f>
        <v>2.4968302651244171E-2</v>
      </c>
      <c r="R1506" s="1026">
        <f>R67*4/((Q1339+R1339)/2)</f>
        <v>2.0652036176426383E-2</v>
      </c>
      <c r="S1506" s="1026">
        <f>S67*4/((R1339+S1339)/2)</f>
        <v>3.1209142414410907E-2</v>
      </c>
      <c r="T1506" s="1026">
        <f>T67*4/((S1339+T1339)/2)</f>
        <v>2.4089912054107817E-2</v>
      </c>
      <c r="U1506" s="1026">
        <f>U67*4/((T1339+U1339)/2)</f>
        <v>1.8805744691082815E-2</v>
      </c>
      <c r="V1506" s="1027">
        <f>V67/((Q1339+R1339+S1339+T1339+U1339)/5)</f>
        <v>2.3555910093378998E-2</v>
      </c>
      <c r="W1506" s="1026">
        <f>W67*4/((V1339+W1339)/2)</f>
        <v>1.5963958383853723E-2</v>
      </c>
      <c r="X1506" s="1026">
        <f>X67*4/((W1339+X1339)/2)</f>
        <v>1.5136688678276932E-2</v>
      </c>
      <c r="Y1506" s="1026">
        <f>Y67*4/((X1339+Y1339)/2)</f>
        <v>2.3037511948709535E-2</v>
      </c>
      <c r="Z1506" s="1026">
        <f>Z67*4/(Z1339)</f>
        <v>3.4335730116658934E-2</v>
      </c>
      <c r="AA1506" s="1027">
        <f>AA67/((V1339+W1339+X1339+Y1339+Z1339)/5)</f>
        <v>3.12346852177239E-2</v>
      </c>
      <c r="AB1506" s="1026">
        <f>AB67*4/((AA1339+AB1339)/2)</f>
        <v>1.6657303332942634E-2</v>
      </c>
      <c r="AC1506" s="1026">
        <f>AC67*4/((AB1339+AC1339)/2)</f>
        <v>8.3633709915459774E-3</v>
      </c>
      <c r="AD1506" s="1026">
        <f>AD67*4/((AC1339+AD1339)/2)</f>
        <v>4.9040541805651207E-3</v>
      </c>
      <c r="AE1506" s="1026">
        <f>AE67*4/((AD1339+AE1339)/2)</f>
        <v>4.7214027222514379E-3</v>
      </c>
      <c r="AF1506" s="1028">
        <f>AF67/((AA1339+AB1339+AC1339+AD1339+AE1339)/5)</f>
        <v>8.6794326988644064E-3</v>
      </c>
      <c r="AG1506" s="1026">
        <f>AG67*4/((AF1339+AG1339)/2)</f>
        <v>4.307976025818349E-3</v>
      </c>
      <c r="AH1506" s="1026">
        <f>AH67*4/((AG1339+AH1339)/2)</f>
        <v>4.6967890221204555E-3</v>
      </c>
      <c r="AI1506" s="1029">
        <f>AI1442</f>
        <v>3.0000000000000001E-3</v>
      </c>
      <c r="AJ1506" s="1030">
        <f>AI1506</f>
        <v>3.0000000000000001E-3</v>
      </c>
      <c r="AK1506" s="1028">
        <f>AK67/((AF1339+AG1339+AH1339+AI1339+AJ1339)/5)</f>
        <v>3.3515080300349463E-3</v>
      </c>
      <c r="AL1506" s="1030">
        <f>AJ1506</f>
        <v>3.0000000000000001E-3</v>
      </c>
      <c r="AM1506" s="1030">
        <f>AL1506</f>
        <v>3.0000000000000001E-3</v>
      </c>
      <c r="AN1506" s="1030">
        <f>AM1506</f>
        <v>3.0000000000000001E-3</v>
      </c>
      <c r="AO1506" s="1030">
        <f>AN1506</f>
        <v>3.0000000000000001E-3</v>
      </c>
      <c r="AP1506" s="1031">
        <f>AVERAGE(AL1506:AO1506)</f>
        <v>3.0000000000000001E-3</v>
      </c>
      <c r="AQ1506" s="1031">
        <f>AP1506</f>
        <v>3.0000000000000001E-3</v>
      </c>
      <c r="AR1506" s="1675">
        <f>AQ1506</f>
        <v>3.0000000000000001E-3</v>
      </c>
      <c r="AS1506" s="1675">
        <f>AR1506</f>
        <v>3.0000000000000001E-3</v>
      </c>
      <c r="AT1506" s="1675">
        <f>AS1506</f>
        <v>3.0000000000000001E-3</v>
      </c>
      <c r="AU1506" s="1704">
        <f>AVERAGE(AQ1506:AT1506)</f>
        <v>3.0000000000000001E-3</v>
      </c>
      <c r="AV1506" s="1675">
        <f>AU1506</f>
        <v>3.0000000000000001E-3</v>
      </c>
      <c r="AW1506" s="1675">
        <f>AV1506</f>
        <v>3.0000000000000001E-3</v>
      </c>
      <c r="AX1506" s="1675">
        <f>AW1506</f>
        <v>3.0000000000000001E-3</v>
      </c>
      <c r="AY1506" s="1675">
        <f>AX1506</f>
        <v>3.0000000000000001E-3</v>
      </c>
      <c r="AZ1506" s="1704">
        <f>AVERAGE(AV1506:AY1506)</f>
        <v>3.0000000000000001E-3</v>
      </c>
      <c r="BA1506" s="1938">
        <f>AV1506</f>
        <v>3.0000000000000001E-3</v>
      </c>
      <c r="BB1506" s="1032">
        <f>AW1506</f>
        <v>3.0000000000000001E-3</v>
      </c>
      <c r="BC1506" s="1032">
        <f>AX1506</f>
        <v>3.0000000000000001E-3</v>
      </c>
      <c r="BD1506" s="1939">
        <f>AY1506</f>
        <v>3.0000000000000001E-3</v>
      </c>
      <c r="BE1506" s="1704">
        <f>AVERAGE(BA1506:BD1506)</f>
        <v>3.0000000000000001E-3</v>
      </c>
      <c r="BF1506" s="1032">
        <f>BA1506</f>
        <v>3.0000000000000001E-3</v>
      </c>
      <c r="BG1506" s="1032">
        <f>BB1506</f>
        <v>3.0000000000000001E-3</v>
      </c>
      <c r="BH1506" s="1032">
        <f>BC1506</f>
        <v>3.0000000000000001E-3</v>
      </c>
      <c r="BI1506" s="1939">
        <f>BD1506</f>
        <v>3.0000000000000001E-3</v>
      </c>
      <c r="BJ1506" s="1704">
        <f>AVERAGE(BF1506:BI1506)</f>
        <v>3.0000000000000001E-3</v>
      </c>
      <c r="BK1506" s="1032">
        <f>BF1506</f>
        <v>3.0000000000000001E-3</v>
      </c>
      <c r="BL1506" s="1032">
        <f>BG1506</f>
        <v>3.0000000000000001E-3</v>
      </c>
      <c r="BM1506" s="1032">
        <f>BH1506</f>
        <v>3.0000000000000001E-3</v>
      </c>
      <c r="BN1506" s="1939">
        <f>BI1506</f>
        <v>3.0000000000000001E-3</v>
      </c>
      <c r="BO1506" s="1704">
        <f>AVERAGE(BK1506:BN1506)</f>
        <v>3.0000000000000001E-3</v>
      </c>
      <c r="BP1506" s="1032">
        <v>3.0000000000000001E-3</v>
      </c>
      <c r="BQ1506" s="1032">
        <v>3.0000000000000001E-3</v>
      </c>
      <c r="BR1506" s="1032">
        <v>3.0000000000000001E-3</v>
      </c>
      <c r="BS1506" s="1032">
        <v>3.0000000000000001E-3</v>
      </c>
      <c r="BT1506" s="3260">
        <f>AVERAGE(BP1506:BS1506)</f>
        <v>3.0000000000000001E-3</v>
      </c>
      <c r="BU1506" s="1032">
        <v>3.0000000000000001E-3</v>
      </c>
      <c r="BV1506" s="1032">
        <v>3.0000000000000001E-3</v>
      </c>
      <c r="BW1506" s="1032">
        <v>3.0000000000000001E-3</v>
      </c>
      <c r="BX1506" s="1032">
        <v>3.0000000000000001E-3</v>
      </c>
      <c r="BY1506" s="3260">
        <f>AVERAGE(BU1506:BX1506)</f>
        <v>3.0000000000000001E-3</v>
      </c>
      <c r="BZ1506" s="1028">
        <f t="shared" ref="BZ1506:CF1506" si="3460">BY1506</f>
        <v>3.0000000000000001E-3</v>
      </c>
      <c r="CA1506" s="1028">
        <f t="shared" si="3460"/>
        <v>3.0000000000000001E-3</v>
      </c>
      <c r="CB1506" s="1028">
        <f t="shared" si="3460"/>
        <v>3.0000000000000001E-3</v>
      </c>
      <c r="CC1506" s="1028">
        <f t="shared" si="3460"/>
        <v>3.0000000000000001E-3</v>
      </c>
      <c r="CD1506" s="1028">
        <f t="shared" si="3460"/>
        <v>3.0000000000000001E-3</v>
      </c>
      <c r="CE1506" s="1028">
        <f t="shared" si="3460"/>
        <v>3.0000000000000001E-3</v>
      </c>
      <c r="CF1506" s="1028">
        <f t="shared" si="3460"/>
        <v>3.0000000000000001E-3</v>
      </c>
      <c r="CG1506" s="980"/>
      <c r="CH1506" s="980"/>
      <c r="CI1506" s="980"/>
      <c r="CJ1506" s="980"/>
      <c r="CK1506" s="980"/>
      <c r="CL1506" s="635" t="str">
        <f>A1506</f>
        <v>Interest rate on cash</v>
      </c>
      <c r="CM1506" s="1675">
        <f>G1506</f>
        <v>2.6584005207073436E-2</v>
      </c>
      <c r="CN1506" s="1675">
        <f>L1506</f>
        <v>2.3986258225401971E-2</v>
      </c>
      <c r="CO1506" s="1675">
        <f>Q1506</f>
        <v>2.4968302651244171E-2</v>
      </c>
      <c r="CP1506" s="1675">
        <f>V1506</f>
        <v>2.3555910093378998E-2</v>
      </c>
      <c r="CQ1506" s="1675">
        <f>AA1506</f>
        <v>3.12346852177239E-2</v>
      </c>
      <c r="CR1506" s="1675">
        <f>AF1506</f>
        <v>8.6794326988644064E-3</v>
      </c>
      <c r="CS1506" s="1675">
        <f>AK1506</f>
        <v>3.3515080300349463E-3</v>
      </c>
      <c r="CT1506" s="1675">
        <f>AP1506</f>
        <v>3.0000000000000001E-3</v>
      </c>
      <c r="CU1506" s="1675">
        <f>AU1506</f>
        <v>3.0000000000000001E-3</v>
      </c>
      <c r="CV1506" s="1675">
        <f>AZ1506</f>
        <v>3.0000000000000001E-3</v>
      </c>
      <c r="CW1506" s="1675">
        <f>BE1506</f>
        <v>3.0000000000000001E-3</v>
      </c>
      <c r="CX1506" s="1675">
        <f>BJ1506</f>
        <v>3.0000000000000001E-3</v>
      </c>
      <c r="CY1506" s="1675">
        <f>BO1506</f>
        <v>3.0000000000000001E-3</v>
      </c>
      <c r="CZ1506" s="1675">
        <f>BT1506</f>
        <v>3.0000000000000001E-3</v>
      </c>
      <c r="DA1506" s="1675">
        <f>BY1506</f>
        <v>3.0000000000000001E-3</v>
      </c>
      <c r="DB1506" s="1675">
        <f>BZ1506</f>
        <v>3.0000000000000001E-3</v>
      </c>
      <c r="DC1506" s="2048">
        <f>CA1506</f>
        <v>3.0000000000000001E-3</v>
      </c>
      <c r="DD1506" s="980"/>
      <c r="DE1506" s="980"/>
      <c r="DF1506" s="981"/>
      <c r="DG1506" s="981"/>
      <c r="DH1506" s="3312"/>
      <c r="DI1506" s="3213"/>
      <c r="DJ1506" s="981"/>
      <c r="DK1506" s="981"/>
      <c r="DL1506" s="981"/>
      <c r="DM1506" s="981"/>
      <c r="DN1506" s="981"/>
      <c r="DO1506" s="981"/>
      <c r="DP1506" s="981"/>
      <c r="DQ1506" s="981"/>
      <c r="DR1506" s="630"/>
      <c r="DS1506" s="630"/>
      <c r="DT1506" s="630"/>
    </row>
    <row r="1507" spans="1:130" ht="12" customHeight="1" x14ac:dyDescent="0.25">
      <c r="A1507" s="533"/>
      <c r="B1507" s="11"/>
      <c r="C1507" s="653"/>
      <c r="D1507" s="653"/>
      <c r="E1507" s="653"/>
      <c r="F1507" s="653"/>
      <c r="G1507" s="510"/>
      <c r="H1507" s="653"/>
      <c r="I1507" s="653"/>
      <c r="J1507" s="653"/>
      <c r="K1507" s="653"/>
      <c r="L1507" s="510"/>
      <c r="M1507" s="653"/>
      <c r="N1507" s="653"/>
      <c r="O1507" s="653"/>
      <c r="P1507" s="653"/>
      <c r="Q1507" s="510"/>
      <c r="R1507" s="653"/>
      <c r="S1507" s="653"/>
      <c r="T1507" s="653"/>
      <c r="U1507" s="653"/>
      <c r="V1507" s="510"/>
      <c r="W1507" s="653"/>
      <c r="X1507" s="653"/>
      <c r="Y1507" s="653"/>
      <c r="Z1507" s="653"/>
      <c r="AA1507" s="510"/>
      <c r="AB1507" s="653"/>
      <c r="AC1507" s="653"/>
      <c r="AD1507" s="653"/>
      <c r="AE1507" s="654"/>
      <c r="AF1507" s="481"/>
      <c r="AG1507" s="654"/>
      <c r="AH1507" s="654"/>
      <c r="AI1507" s="654"/>
      <c r="AJ1507" s="654"/>
      <c r="AK1507" s="481"/>
      <c r="AL1507" s="430"/>
      <c r="AM1507" s="430"/>
      <c r="AN1507" s="430"/>
      <c r="AO1507" s="430"/>
      <c r="AP1507" s="658"/>
      <c r="AQ1507" s="658"/>
      <c r="AR1507" s="656"/>
      <c r="AS1507" s="656"/>
      <c r="AT1507" s="656"/>
      <c r="AU1507" s="1705"/>
      <c r="AV1507" s="1933"/>
      <c r="AW1507" s="1848"/>
      <c r="AX1507" s="1848"/>
      <c r="AY1507" s="1934"/>
      <c r="AZ1507" s="655"/>
      <c r="BA1507" s="658"/>
      <c r="BB1507" s="656"/>
      <c r="BC1507" s="656"/>
      <c r="BD1507" s="1283"/>
      <c r="BE1507" s="655"/>
      <c r="BF1507" s="656"/>
      <c r="BG1507" s="656"/>
      <c r="BH1507" s="656"/>
      <c r="BI1507" s="1283"/>
      <c r="BJ1507" s="655"/>
      <c r="BK1507" s="656"/>
      <c r="BL1507" s="656"/>
      <c r="BM1507" s="656"/>
      <c r="BN1507" s="1283"/>
      <c r="BO1507" s="655"/>
      <c r="BP1507" s="656"/>
      <c r="BQ1507" s="656"/>
      <c r="BR1507" s="656"/>
      <c r="BS1507" s="656"/>
      <c r="BT1507" s="655"/>
      <c r="BU1507" s="656"/>
      <c r="BV1507" s="656"/>
      <c r="BW1507" s="656"/>
      <c r="BX1507" s="656"/>
      <c r="BY1507" s="655"/>
      <c r="BZ1507" s="655"/>
      <c r="CA1507" s="655"/>
      <c r="CB1507" s="655"/>
      <c r="CC1507" s="655"/>
      <c r="CD1507" s="655"/>
      <c r="CE1507" s="655"/>
      <c r="CF1507" s="655"/>
      <c r="CG1507" s="588"/>
      <c r="CH1507" s="588"/>
      <c r="CI1507" s="588"/>
      <c r="CJ1507" s="588"/>
      <c r="CK1507" s="331"/>
      <c r="CL1507" s="1149"/>
      <c r="CM1507" s="656"/>
      <c r="CN1507" s="656"/>
      <c r="CO1507" s="656"/>
      <c r="CP1507" s="656"/>
      <c r="CQ1507" s="656"/>
      <c r="CR1507" s="656"/>
      <c r="CS1507" s="656"/>
      <c r="CT1507" s="656"/>
      <c r="CU1507" s="656"/>
      <c r="CV1507" s="656"/>
      <c r="CW1507" s="656"/>
      <c r="CX1507" s="656"/>
      <c r="CY1507" s="656"/>
      <c r="CZ1507" s="656"/>
      <c r="DA1507" s="656"/>
      <c r="DB1507" s="656"/>
      <c r="DC1507" s="1283"/>
      <c r="DD1507" s="331"/>
      <c r="DE1507" s="331"/>
      <c r="DF1507" s="502"/>
      <c r="DG1507" s="503"/>
      <c r="DH1507" s="656"/>
      <c r="DI1507" s="3213"/>
      <c r="DJ1507" s="502"/>
      <c r="DK1507" s="503"/>
      <c r="DL1507" s="502"/>
      <c r="DM1507" s="502"/>
      <c r="DN1507" s="502"/>
      <c r="DO1507" s="502"/>
      <c r="DP1507" s="503"/>
      <c r="DQ1507" s="503"/>
      <c r="DR1507" s="296"/>
      <c r="DS1507" s="296"/>
      <c r="DT1507" s="296"/>
    </row>
    <row r="1508" spans="1:130" ht="12" customHeight="1" x14ac:dyDescent="0.25">
      <c r="A1508" s="1070" t="s">
        <v>746</v>
      </c>
      <c r="B1508" s="11"/>
      <c r="C1508" s="423"/>
      <c r="D1508" s="423"/>
      <c r="E1508" s="423"/>
      <c r="F1508" s="423"/>
      <c r="G1508" s="510"/>
      <c r="H1508" s="423"/>
      <c r="I1508" s="423"/>
      <c r="J1508" s="423"/>
      <c r="K1508" s="423"/>
      <c r="L1508" s="510"/>
      <c r="M1508" s="423"/>
      <c r="N1508" s="423"/>
      <c r="O1508" s="423"/>
      <c r="P1508" s="423"/>
      <c r="Q1508" s="510"/>
      <c r="R1508" s="423"/>
      <c r="S1508" s="423"/>
      <c r="T1508" s="423"/>
      <c r="U1508" s="423"/>
      <c r="V1508" s="510"/>
      <c r="W1508" s="423"/>
      <c r="X1508" s="423"/>
      <c r="Y1508" s="423"/>
      <c r="Z1508" s="423"/>
      <c r="AA1508" s="510"/>
      <c r="AB1508" s="423"/>
      <c r="AC1508" s="423"/>
      <c r="AD1508" s="423"/>
      <c r="AE1508" s="660"/>
      <c r="AF1508" s="481"/>
      <c r="AG1508" s="660"/>
      <c r="AH1508" s="660"/>
      <c r="AI1508" s="660"/>
      <c r="AJ1508" s="660"/>
      <c r="AK1508" s="481"/>
      <c r="AL1508" s="430"/>
      <c r="AM1508" s="430"/>
      <c r="AN1508" s="430"/>
      <c r="AO1508" s="430"/>
      <c r="AP1508" s="528"/>
      <c r="AQ1508" s="528"/>
      <c r="AR1508" s="526"/>
      <c r="AS1508" s="526"/>
      <c r="AT1508" s="526"/>
      <c r="AU1508" s="1706"/>
      <c r="AV1508" s="1879"/>
      <c r="AW1508" s="1849"/>
      <c r="AX1508" s="1849"/>
      <c r="AY1508" s="1880"/>
      <c r="AZ1508" s="527"/>
      <c r="BA1508" s="528"/>
      <c r="BB1508" s="526"/>
      <c r="BC1508" s="526"/>
      <c r="BD1508" s="684"/>
      <c r="BE1508" s="684"/>
      <c r="BF1508" s="526"/>
      <c r="BG1508" s="526"/>
      <c r="BH1508" s="526"/>
      <c r="BI1508" s="684"/>
      <c r="BJ1508" s="684"/>
      <c r="BK1508" s="526"/>
      <c r="BL1508" s="526"/>
      <c r="BM1508" s="526"/>
      <c r="BN1508" s="684"/>
      <c r="BO1508" s="684"/>
      <c r="BP1508" s="526"/>
      <c r="BQ1508" s="526"/>
      <c r="BR1508" s="526"/>
      <c r="BS1508" s="526"/>
      <c r="BT1508" s="3230"/>
      <c r="BU1508" s="2585"/>
      <c r="BV1508" s="2585"/>
      <c r="BW1508" s="2585"/>
      <c r="BX1508" s="2585"/>
      <c r="BY1508" s="3230"/>
      <c r="BZ1508" s="527"/>
      <c r="CA1508" s="527"/>
      <c r="CB1508" s="527"/>
      <c r="CC1508" s="527"/>
      <c r="CD1508" s="527"/>
      <c r="CE1508" s="527"/>
      <c r="CF1508" s="527"/>
      <c r="CG1508" s="331"/>
      <c r="CH1508" s="331"/>
      <c r="CI1508" s="331"/>
      <c r="CJ1508" s="331"/>
      <c r="CK1508" s="331"/>
      <c r="CL1508" s="2042" t="str">
        <f>A1508</f>
        <v>Capitalized Interest</v>
      </c>
      <c r="CM1508" s="526"/>
      <c r="CN1508" s="526"/>
      <c r="CO1508" s="526"/>
      <c r="CP1508" s="526"/>
      <c r="CQ1508" s="526"/>
      <c r="CR1508" s="526"/>
      <c r="CS1508" s="526"/>
      <c r="CT1508" s="526"/>
      <c r="CU1508" s="526"/>
      <c r="CV1508" s="526"/>
      <c r="CW1508" s="526"/>
      <c r="CX1508" s="526"/>
      <c r="CY1508" s="526"/>
      <c r="CZ1508" s="526"/>
      <c r="DA1508" s="526"/>
      <c r="DB1508" s="526"/>
      <c r="DC1508" s="684"/>
      <c r="DD1508" s="331"/>
      <c r="DE1508" s="331"/>
      <c r="DF1508" s="331"/>
      <c r="DG1508" s="442"/>
      <c r="DH1508" s="2585"/>
      <c r="DI1508" s="3213"/>
      <c r="DJ1508" s="331"/>
      <c r="DK1508" s="442"/>
      <c r="DL1508" s="331"/>
      <c r="DM1508" s="331"/>
      <c r="DN1508" s="331"/>
      <c r="DO1508" s="331"/>
      <c r="DP1508" s="442"/>
      <c r="DQ1508" s="442"/>
      <c r="DR1508" s="296"/>
      <c r="DS1508" s="296"/>
      <c r="DT1508" s="296"/>
    </row>
    <row r="1509" spans="1:130" ht="12" customHeight="1" x14ac:dyDescent="0.25">
      <c r="A1509" s="428" t="s">
        <v>1814</v>
      </c>
      <c r="B1509" s="11"/>
      <c r="C1509" s="890">
        <v>5.9009999999999998</v>
      </c>
      <c r="D1509" s="890">
        <v>14.057</v>
      </c>
      <c r="E1509" s="890">
        <v>10.798</v>
      </c>
      <c r="F1509" s="890">
        <v>18.797000000000001</v>
      </c>
      <c r="G1509" s="527">
        <f>F1509</f>
        <v>18.797000000000001</v>
      </c>
      <c r="H1509" s="890">
        <v>15.492000000000001</v>
      </c>
      <c r="I1509" s="890">
        <v>21.670999999999999</v>
      </c>
      <c r="J1509" s="890">
        <v>25.216000000000001</v>
      </c>
      <c r="K1509" s="890">
        <v>82.790999999999997</v>
      </c>
      <c r="L1509" s="527">
        <f>K1509</f>
        <v>82.790999999999997</v>
      </c>
      <c r="M1509" s="890">
        <v>107.613</v>
      </c>
      <c r="N1509" s="890">
        <v>194.58699999999999</v>
      </c>
      <c r="O1509" s="890">
        <v>242.126</v>
      </c>
      <c r="P1509" s="890">
        <v>187.53100000000001</v>
      </c>
      <c r="Q1509" s="527">
        <f>P1509</f>
        <v>187.53100000000001</v>
      </c>
      <c r="R1509" s="890">
        <v>190.28399999999999</v>
      </c>
      <c r="S1509" s="890">
        <v>216.10300000000001</v>
      </c>
      <c r="T1509" s="890">
        <v>292.83699999999999</v>
      </c>
      <c r="U1509" s="890">
        <v>423.209</v>
      </c>
      <c r="V1509" s="527">
        <f>U1509</f>
        <v>423.209</v>
      </c>
      <c r="W1509" s="890">
        <v>248.94200000000001</v>
      </c>
      <c r="X1509" s="890">
        <v>304.36</v>
      </c>
      <c r="Y1509" s="890">
        <v>287.30700000000002</v>
      </c>
      <c r="Z1509" s="890">
        <v>183.05600000000001</v>
      </c>
      <c r="AA1509" s="527">
        <f>Z1509</f>
        <v>183.05600000000001</v>
      </c>
      <c r="AB1509" s="890">
        <v>218.75800000000001</v>
      </c>
      <c r="AC1509" s="890">
        <v>44.241999999999997</v>
      </c>
      <c r="AD1509" s="890">
        <v>39.798999999999999</v>
      </c>
      <c r="AE1509" s="890">
        <v>47.298999999999999</v>
      </c>
      <c r="AF1509" s="527">
        <f>AE1509</f>
        <v>47.298999999999999</v>
      </c>
      <c r="AG1509" s="890">
        <v>78.138999999999996</v>
      </c>
      <c r="AH1509" s="890">
        <v>125.399</v>
      </c>
      <c r="AI1509" s="890">
        <v>83.608999999999995</v>
      </c>
      <c r="AJ1509" s="890">
        <v>106.96299999999999</v>
      </c>
      <c r="AK1509" s="527">
        <f>AJ1509</f>
        <v>106.96299999999999</v>
      </c>
      <c r="AL1509" s="890">
        <v>72.513999999999996</v>
      </c>
      <c r="AM1509" s="890">
        <v>94.941999999999993</v>
      </c>
      <c r="AN1509" s="890">
        <v>161.37299999999999</v>
      </c>
      <c r="AO1509" s="890">
        <v>256.459</v>
      </c>
      <c r="AP1509" s="528">
        <f>AO1509</f>
        <v>256.459</v>
      </c>
      <c r="AQ1509" s="1249">
        <v>349.15100000000001</v>
      </c>
      <c r="AR1509" s="1051">
        <v>208.239</v>
      </c>
      <c r="AS1509" s="1051">
        <v>314.33300000000003</v>
      </c>
      <c r="AT1509" s="890">
        <v>30.530999999999999</v>
      </c>
      <c r="AU1509" s="1706">
        <f>AT1509</f>
        <v>30.530999999999999</v>
      </c>
      <c r="AV1509" s="1249">
        <v>37.267000000000003</v>
      </c>
      <c r="AW1509" s="1051">
        <v>44.988</v>
      </c>
      <c r="AX1509" s="1051">
        <v>62.832999999999998</v>
      </c>
      <c r="AY1509" s="890">
        <v>25.388999999999999</v>
      </c>
      <c r="AZ1509" s="1706">
        <f>AY1509</f>
        <v>25.388999999999999</v>
      </c>
      <c r="BA1509" s="2801">
        <v>36.634999999999998</v>
      </c>
      <c r="BB1509" s="2920">
        <v>67.581999999999994</v>
      </c>
      <c r="BC1509" s="2920">
        <v>44.148000000000003</v>
      </c>
      <c r="BD1509" s="2920">
        <v>69.367000000000004</v>
      </c>
      <c r="BE1509" s="527">
        <f>BD1509</f>
        <v>69.367000000000004</v>
      </c>
      <c r="BF1509" s="2920">
        <v>115.955</v>
      </c>
      <c r="BG1509" s="2920">
        <v>8.82</v>
      </c>
      <c r="BH1509" s="2920">
        <v>11.699</v>
      </c>
      <c r="BI1509" s="2920">
        <v>9.1750000000000007</v>
      </c>
      <c r="BJ1509" s="527">
        <f>BI1509</f>
        <v>9.1750000000000007</v>
      </c>
      <c r="BK1509" s="526">
        <f>BJ1509+BK165</f>
        <v>67.451999999999998</v>
      </c>
      <c r="BL1509" s="526">
        <f>BK1509+BL165</f>
        <v>122.386</v>
      </c>
      <c r="BM1509" s="526">
        <f>BL1509+BM165</f>
        <v>191.51999999999998</v>
      </c>
      <c r="BN1509" s="526">
        <f>BM1509+BN165</f>
        <v>-193.75800000000004</v>
      </c>
      <c r="BO1509" s="527">
        <f>BN1509</f>
        <v>-193.75800000000004</v>
      </c>
      <c r="BP1509" s="526">
        <f>BO1509+BP165</f>
        <v>-175.65800000000004</v>
      </c>
      <c r="BQ1509" s="526">
        <f>BP1509+BQ165</f>
        <v>-167.65800000000004</v>
      </c>
      <c r="BR1509" s="526">
        <f>BQ1509+BR165</f>
        <v>-151.05800000000005</v>
      </c>
      <c r="BS1509" s="526">
        <f>BR1509+BS165</f>
        <v>-147.35800000000006</v>
      </c>
      <c r="BT1509" s="3230">
        <f>BS1509</f>
        <v>-147.35800000000006</v>
      </c>
      <c r="BU1509" s="2585">
        <f>BT1509+BU165</f>
        <v>-137.75800000000007</v>
      </c>
      <c r="BV1509" s="2585">
        <f>BU1509+BV165</f>
        <v>-137.75800000000007</v>
      </c>
      <c r="BW1509" s="2585">
        <f>BV1509+BW165</f>
        <v>-128.15800000000007</v>
      </c>
      <c r="BX1509" s="2585">
        <f>BW1509+BX165</f>
        <v>-128.15800000000007</v>
      </c>
      <c r="BY1509" s="3230">
        <f>BX1509</f>
        <v>-128.15800000000007</v>
      </c>
      <c r="BZ1509" s="527">
        <f t="shared" ref="BZ1509:CF1509" si="3461">BY1509+BZ165</f>
        <v>-108.95800000000007</v>
      </c>
      <c r="CA1509" s="527">
        <f t="shared" si="3461"/>
        <v>-89.758000000000067</v>
      </c>
      <c r="CB1509" s="527">
        <f t="shared" si="3461"/>
        <v>-70.558000000000064</v>
      </c>
      <c r="CC1509" s="527">
        <f t="shared" si="3461"/>
        <v>-51.358000000000061</v>
      </c>
      <c r="CD1509" s="527">
        <f t="shared" si="3461"/>
        <v>-32.158000000000058</v>
      </c>
      <c r="CE1509" s="527">
        <f t="shared" si="3461"/>
        <v>-12.958000000000059</v>
      </c>
      <c r="CF1509" s="527">
        <f t="shared" si="3461"/>
        <v>-12.958000000000059</v>
      </c>
      <c r="CG1509" s="331"/>
      <c r="CH1509" s="331"/>
      <c r="CI1509" s="331"/>
      <c r="CJ1509" s="331"/>
      <c r="CK1509" s="331"/>
      <c r="CL1509" s="520" t="str">
        <f>A1509</f>
        <v>Total CIP</v>
      </c>
      <c r="CM1509" s="526">
        <f>G1509</f>
        <v>18.797000000000001</v>
      </c>
      <c r="CN1509" s="526">
        <f>L1509</f>
        <v>82.790999999999997</v>
      </c>
      <c r="CO1509" s="526">
        <f>Q1509</f>
        <v>187.53100000000001</v>
      </c>
      <c r="CP1509" s="526">
        <f>V1509</f>
        <v>423.209</v>
      </c>
      <c r="CQ1509" s="526">
        <f>AA1509</f>
        <v>183.05600000000001</v>
      </c>
      <c r="CR1509" s="526">
        <f>AF1509</f>
        <v>47.298999999999999</v>
      </c>
      <c r="CS1509" s="526">
        <f>AK1509</f>
        <v>106.96299999999999</v>
      </c>
      <c r="CT1509" s="526">
        <f>AP1509</f>
        <v>256.459</v>
      </c>
      <c r="CU1509" s="526">
        <f>AU1509</f>
        <v>30.530999999999999</v>
      </c>
      <c r="CV1509" s="526">
        <f>AZ1509</f>
        <v>25.388999999999999</v>
      </c>
      <c r="CW1509" s="526">
        <f>BE1509</f>
        <v>69.367000000000004</v>
      </c>
      <c r="CX1509" s="526">
        <f>BJ1509</f>
        <v>9.1750000000000007</v>
      </c>
      <c r="CY1509" s="526">
        <f>BO1509</f>
        <v>-193.75800000000004</v>
      </c>
      <c r="CZ1509" s="526">
        <f>BT1509</f>
        <v>-147.35800000000006</v>
      </c>
      <c r="DA1509" s="526">
        <f t="shared" ref="DA1509:DC1511" si="3462">BY1509</f>
        <v>-128.15800000000007</v>
      </c>
      <c r="DB1509" s="526">
        <f t="shared" si="3462"/>
        <v>-108.95800000000007</v>
      </c>
      <c r="DC1509" s="684">
        <f t="shared" si="3462"/>
        <v>-89.758000000000067</v>
      </c>
      <c r="DD1509" s="331"/>
      <c r="DE1509" s="331"/>
      <c r="DF1509" s="331"/>
      <c r="DG1509" s="442"/>
      <c r="DH1509" s="2585"/>
      <c r="DI1509" s="3213"/>
      <c r="DJ1509" s="331"/>
      <c r="DK1509" s="442"/>
      <c r="DL1509" s="331"/>
      <c r="DM1509" s="331"/>
      <c r="DN1509" s="331"/>
      <c r="DO1509" s="331"/>
      <c r="DP1509" s="442"/>
      <c r="DQ1509" s="442"/>
      <c r="DR1509" s="296"/>
      <c r="DS1509" s="296"/>
      <c r="DT1509" s="296"/>
    </row>
    <row r="1510" spans="1:130" ht="12" customHeight="1" x14ac:dyDescent="0.25">
      <c r="A1510" s="1956" t="s">
        <v>1815</v>
      </c>
      <c r="B1510" s="619"/>
      <c r="C1510" s="1023">
        <f>C1511/C1509*4</f>
        <v>0</v>
      </c>
      <c r="D1510" s="1023">
        <f>D1511/D1509*4</f>
        <v>2.8455573735505443E-2</v>
      </c>
      <c r="E1510" s="1023">
        <f>E1511/E1509*4</f>
        <v>7.4087794035932575E-2</v>
      </c>
      <c r="F1510" s="1023">
        <f>F1511/F1509*4</f>
        <v>2.1279991488003417E-2</v>
      </c>
      <c r="G1510" s="1024">
        <f>G1511/G1509</f>
        <v>2.1279991488003407E-2</v>
      </c>
      <c r="H1510" s="1023">
        <f>H1511/H1509*4</f>
        <v>0.10327911179963853</v>
      </c>
      <c r="I1510" s="1023">
        <f>I1511/I1509*4</f>
        <v>5.5373540676480079E-2</v>
      </c>
      <c r="J1510" s="1023">
        <f>J1511/J1509*4</f>
        <v>0</v>
      </c>
      <c r="K1510" s="1023">
        <f>K1511/K1509*4</f>
        <v>3.8651544249978874E-2</v>
      </c>
      <c r="L1510" s="1024">
        <f>L1511/L1509</f>
        <v>1.8117911367177591E-2</v>
      </c>
      <c r="M1510" s="1023">
        <f>M1511/M1509*4</f>
        <v>4.8321299471253472E-2</v>
      </c>
      <c r="N1510" s="1023">
        <f>N1511/N1509*4</f>
        <v>4.1112715649041301E-2</v>
      </c>
      <c r="O1510" s="1023">
        <f>O1511/O1509*4</f>
        <v>3.7996745496146629E-2</v>
      </c>
      <c r="P1510" s="1023">
        <f>P1511/P1509*4</f>
        <v>5.1191536332659673E-2</v>
      </c>
      <c r="Q1510" s="1024">
        <f>Q1511/Q1509</f>
        <v>4.2659613610549721E-2</v>
      </c>
      <c r="R1510" s="1023">
        <f>R1511/R1509*4</f>
        <v>6.5165752244014219E-2</v>
      </c>
      <c r="S1510" s="1023">
        <f>S1511/S1509*4</f>
        <v>4.8125199557618355E-2</v>
      </c>
      <c r="T1510" s="1023">
        <f>T1511/T1509*4</f>
        <v>5.0540061535939797E-2</v>
      </c>
      <c r="U1510" s="1023">
        <f>U1511/U1509*4</f>
        <v>4.9148293160117096E-2</v>
      </c>
      <c r="V1510" s="1024">
        <f>V1511/V1509</f>
        <v>3.4498321160466812E-2</v>
      </c>
      <c r="W1510" s="1023">
        <f>W1511/W1509*4</f>
        <v>8.1946798852744807E-2</v>
      </c>
      <c r="X1510" s="1023">
        <f>X1511/X1509*4</f>
        <v>4.9940859508476799E-2</v>
      </c>
      <c r="Y1510" s="1023">
        <f>Y1511/Y1509*4</f>
        <v>3.341373513349831E-2</v>
      </c>
      <c r="Z1510" s="1023">
        <f>Z1511/Z1509*4</f>
        <v>5.4628091950004384E-2</v>
      </c>
      <c r="AA1510" s="1024">
        <f>AA1511/AA1509</f>
        <v>7.5386766891006027E-2</v>
      </c>
      <c r="AB1510" s="1023">
        <f>AB1511/AB1509*4</f>
        <v>5.3026632168880677E-2</v>
      </c>
      <c r="AC1510" s="1023">
        <f>AC1511/AC1509*4</f>
        <v>0.31644139053388187</v>
      </c>
      <c r="AD1510" s="1023">
        <f>AD1511/AD1509*4</f>
        <v>1.0050503781502048E-2</v>
      </c>
      <c r="AE1510" s="1023">
        <f>AE1511/AE1509*4</f>
        <v>4.2284192054800315E-2</v>
      </c>
      <c r="AF1510" s="1024">
        <f>AF1511/AF1509</f>
        <v>0.1479946721918011</v>
      </c>
      <c r="AG1510" s="1023">
        <f>AG1511/AG1509*4</f>
        <v>5.6309909264259855E-2</v>
      </c>
      <c r="AH1510" s="1023">
        <f>AH1511/AH1509*4</f>
        <v>5.4226907710587802E-2</v>
      </c>
      <c r="AI1510" s="1023">
        <f>AI1511/AI1509*4</f>
        <v>7.6546783241038654E-2</v>
      </c>
      <c r="AJ1510" s="1023">
        <f>AJ1511/AJ1509*4</f>
        <v>4.1135719828351847E-2</v>
      </c>
      <c r="AK1510" s="1024">
        <f>AK1511/AK1509</f>
        <v>5.1419649785439829E-2</v>
      </c>
      <c r="AL1510" s="1023">
        <f>AL1511/AL1509*4</f>
        <v>4.4129409493339225E-2</v>
      </c>
      <c r="AM1510" s="1023">
        <f>AM1511/AM1509*4</f>
        <v>4.2130985233089682E-2</v>
      </c>
      <c r="AN1510" s="1023">
        <f>AN1511/AN1509*4</f>
        <v>4.2138399856233695E-2</v>
      </c>
      <c r="AO1510" s="1023">
        <f>AO1511/AO1509*4</f>
        <v>3.2753773507656188E-2</v>
      </c>
      <c r="AP1510" s="1024">
        <f>AP1511/AP1509</f>
        <v>2.1835849005104126E-2</v>
      </c>
      <c r="AQ1510" s="1023">
        <f>AQ1511/AQ1509*4</f>
        <v>3.3223447734647756E-2</v>
      </c>
      <c r="AR1510" s="1659">
        <f>AR1511/AR1509*4</f>
        <v>5.7626093094953396E-2</v>
      </c>
      <c r="AS1510" s="1659">
        <f>AS1511/AS1509*4</f>
        <v>3.0540859534315516E-2</v>
      </c>
      <c r="AT1510" s="1023">
        <f>AT1511/AT1509*4</f>
        <v>1.3101437882807591E-2</v>
      </c>
      <c r="AU1510" s="1707">
        <f>AVERAGE(AQ1510:AT1510)</f>
        <v>3.3622959561681064E-2</v>
      </c>
      <c r="AV1510" s="1023">
        <f>AV1511/AV1509*4</f>
        <v>1.0733356588939275E-2</v>
      </c>
      <c r="AW1510" s="1023">
        <f>AW1511/AW1509*4</f>
        <v>2.6673779674579887E-2</v>
      </c>
      <c r="AX1510" s="1659">
        <f>AX1511/AX1509*4</f>
        <v>3.1830407588369171E-2</v>
      </c>
      <c r="AY1510" s="1023">
        <f>AY1511/AY1509*4</f>
        <v>7.8774272322659405E-2</v>
      </c>
      <c r="AZ1510" s="1707">
        <f>AVERAGE(AV1510:AY1510)</f>
        <v>3.7002954043636932E-2</v>
      </c>
      <c r="BA1510" s="2538">
        <f>BA1511/BA1509*4</f>
        <v>1.0918520540466768E-2</v>
      </c>
      <c r="BB1510" s="1659">
        <f>BB1511/BB1509*4</f>
        <v>5.9187357580420827E-3</v>
      </c>
      <c r="BC1510" s="1659">
        <f>BC1511/BC1509*4</f>
        <v>2.7181299266104918E-2</v>
      </c>
      <c r="BD1510" s="1659">
        <f>BD1511/BD1509*4</f>
        <v>5.189787651188605E-2</v>
      </c>
      <c r="BE1510" s="1707">
        <f>AVERAGE(BA1510:BD1510)</f>
        <v>2.3979108019124958E-2</v>
      </c>
      <c r="BF1510" s="2538">
        <f>BF1511/BF1509*4</f>
        <v>2.0697684446552542E-2</v>
      </c>
      <c r="BG1510" s="1659">
        <f>BG1511/BG1509*4</f>
        <v>0.54421768707482987</v>
      </c>
      <c r="BH1510" s="1659">
        <f>BH1511/BH1509*4</f>
        <v>0</v>
      </c>
      <c r="BI1510" s="2050">
        <f>BI1511/BI1509*4</f>
        <v>0.78474114441416887</v>
      </c>
      <c r="BJ1510" s="1881">
        <f>AVERAGE(BF1510:BI1510)</f>
        <v>0.33741412898388778</v>
      </c>
      <c r="BK1510" s="1860">
        <v>5.0000000000000001E-3</v>
      </c>
      <c r="BL1510" s="1860">
        <v>5.0000000000000001E-3</v>
      </c>
      <c r="BM1510" s="1860">
        <v>5.0000000000000001E-3</v>
      </c>
      <c r="BN1510" s="1860">
        <v>5.0000000000000001E-3</v>
      </c>
      <c r="BO1510" s="1707">
        <f>AVERAGE(BK1510:BN1510)</f>
        <v>5.0000000000000001E-3</v>
      </c>
      <c r="BP1510" s="1860">
        <v>5.0000000000000001E-3</v>
      </c>
      <c r="BQ1510" s="1860">
        <v>5.0000000000000001E-3</v>
      </c>
      <c r="BR1510" s="1860">
        <v>5.0000000000000001E-3</v>
      </c>
      <c r="BS1510" s="1860">
        <v>5.0000000000000001E-3</v>
      </c>
      <c r="BT1510" s="1024">
        <f>AVERAGE(BP1510:BS1510)</f>
        <v>5.0000000000000001E-3</v>
      </c>
      <c r="BU1510" s="1860">
        <v>5.0000000000000001E-3</v>
      </c>
      <c r="BV1510" s="1860">
        <v>5.0000000000000001E-3</v>
      </c>
      <c r="BW1510" s="1860">
        <v>5.0000000000000001E-3</v>
      </c>
      <c r="BX1510" s="1860">
        <v>5.0000000000000001E-3</v>
      </c>
      <c r="BY1510" s="1024">
        <f>AVERAGE(BU1510:BX1510)</f>
        <v>5.0000000000000001E-3</v>
      </c>
      <c r="BZ1510" s="1025">
        <f t="shared" ref="BZ1510:CF1510" si="3463">+BY1510</f>
        <v>5.0000000000000001E-3</v>
      </c>
      <c r="CA1510" s="1025">
        <f t="shared" si="3463"/>
        <v>5.0000000000000001E-3</v>
      </c>
      <c r="CB1510" s="1025">
        <f t="shared" si="3463"/>
        <v>5.0000000000000001E-3</v>
      </c>
      <c r="CC1510" s="1025">
        <f t="shared" si="3463"/>
        <v>5.0000000000000001E-3</v>
      </c>
      <c r="CD1510" s="1025">
        <f t="shared" si="3463"/>
        <v>5.0000000000000001E-3</v>
      </c>
      <c r="CE1510" s="1025">
        <f t="shared" si="3463"/>
        <v>5.0000000000000001E-3</v>
      </c>
      <c r="CF1510" s="1025">
        <f t="shared" si="3463"/>
        <v>5.0000000000000001E-3</v>
      </c>
      <c r="CG1510" s="980"/>
      <c r="CH1510" s="980"/>
      <c r="CI1510" s="980"/>
      <c r="CJ1510" s="980"/>
      <c r="CK1510" s="980"/>
      <c r="CL1510" s="2049" t="str">
        <f>A1510</f>
        <v>Interest rate</v>
      </c>
      <c r="CM1510" s="1659">
        <f>G1510</f>
        <v>2.1279991488003407E-2</v>
      </c>
      <c r="CN1510" s="1659">
        <f>L1510</f>
        <v>1.8117911367177591E-2</v>
      </c>
      <c r="CO1510" s="1659">
        <f>Q1510</f>
        <v>4.2659613610549721E-2</v>
      </c>
      <c r="CP1510" s="1659">
        <f>V1510</f>
        <v>3.4498321160466812E-2</v>
      </c>
      <c r="CQ1510" s="1659">
        <f>AA1510</f>
        <v>7.5386766891006027E-2</v>
      </c>
      <c r="CR1510" s="1659">
        <f>AF1510</f>
        <v>0.1479946721918011</v>
      </c>
      <c r="CS1510" s="1659">
        <f>AK1510</f>
        <v>5.1419649785439829E-2</v>
      </c>
      <c r="CT1510" s="1659">
        <f>AP1510</f>
        <v>2.1835849005104126E-2</v>
      </c>
      <c r="CU1510" s="1659">
        <f>AU1510</f>
        <v>3.3622959561681064E-2</v>
      </c>
      <c r="CV1510" s="1659">
        <f>AZ1510</f>
        <v>3.7002954043636932E-2</v>
      </c>
      <c r="CW1510" s="1659">
        <f>BE1510</f>
        <v>2.3979108019124958E-2</v>
      </c>
      <c r="CX1510" s="1659">
        <f>BJ1510</f>
        <v>0.33741412898388778</v>
      </c>
      <c r="CY1510" s="1659">
        <f>BO1510</f>
        <v>5.0000000000000001E-3</v>
      </c>
      <c r="CZ1510" s="1659">
        <f>BT1510</f>
        <v>5.0000000000000001E-3</v>
      </c>
      <c r="DA1510" s="1659">
        <f t="shared" si="3462"/>
        <v>5.0000000000000001E-3</v>
      </c>
      <c r="DB1510" s="1659">
        <f t="shared" si="3462"/>
        <v>5.0000000000000001E-3</v>
      </c>
      <c r="DC1510" s="2050">
        <f t="shared" si="3462"/>
        <v>5.0000000000000001E-3</v>
      </c>
      <c r="DD1510" s="980"/>
      <c r="DE1510" s="980"/>
      <c r="DF1510" s="980"/>
      <c r="DG1510" s="980"/>
      <c r="DH1510" s="1659"/>
      <c r="DI1510" s="3213"/>
      <c r="DJ1510" s="980"/>
      <c r="DK1510" s="980"/>
      <c r="DL1510" s="980"/>
      <c r="DM1510" s="980"/>
      <c r="DN1510" s="980"/>
      <c r="DO1510" s="980"/>
      <c r="DP1510" s="980"/>
      <c r="DQ1510" s="980"/>
      <c r="DR1510" s="630"/>
      <c r="DS1510" s="630"/>
      <c r="DT1510" s="630"/>
    </row>
    <row r="1511" spans="1:130" ht="12" customHeight="1" x14ac:dyDescent="0.25">
      <c r="A1511" s="428" t="s">
        <v>476</v>
      </c>
      <c r="B1511" s="11"/>
      <c r="C1511" s="890">
        <v>0</v>
      </c>
      <c r="D1511" s="890">
        <v>0.1</v>
      </c>
      <c r="E1511" s="890">
        <f>0.3-C1511-D1511</f>
        <v>0.19999999999999998</v>
      </c>
      <c r="F1511" s="890">
        <f>0.4-C1511-D1511-E1511</f>
        <v>0.10000000000000006</v>
      </c>
      <c r="G1511" s="481">
        <f>SUM(C1511:F1511)</f>
        <v>0.4</v>
      </c>
      <c r="H1511" s="890">
        <v>0.4</v>
      </c>
      <c r="I1511" s="890">
        <f>0.7-H1511</f>
        <v>0.29999999999999993</v>
      </c>
      <c r="J1511" s="890">
        <f>0.7-H1511-I1511</f>
        <v>0</v>
      </c>
      <c r="K1511" s="890">
        <f>1.5-H1511-I1511-J1511</f>
        <v>0.80000000000000016</v>
      </c>
      <c r="L1511" s="481">
        <f>SUM(H1511:K1511)</f>
        <v>1.5</v>
      </c>
      <c r="M1511" s="890">
        <v>1.3</v>
      </c>
      <c r="N1511" s="890">
        <f>3.3-M1511</f>
        <v>1.9999999999999998</v>
      </c>
      <c r="O1511" s="890">
        <f>5.6-M1511-N1511</f>
        <v>2.2999999999999998</v>
      </c>
      <c r="P1511" s="890">
        <f>8-O1511-N1511-M1511</f>
        <v>2.4000000000000004</v>
      </c>
      <c r="Q1511" s="481">
        <f>SUM(M1511:P1511)</f>
        <v>8</v>
      </c>
      <c r="R1511" s="890">
        <v>3.1</v>
      </c>
      <c r="S1511" s="890">
        <v>2.6</v>
      </c>
      <c r="T1511" s="890">
        <v>3.7</v>
      </c>
      <c r="U1511" s="890">
        <f>14.6-T1511-S1511-R1511</f>
        <v>5.1999999999999993</v>
      </c>
      <c r="V1511" s="481">
        <f>SUM(R1511:U1511)</f>
        <v>14.6</v>
      </c>
      <c r="W1511" s="890">
        <v>5.0999999999999996</v>
      </c>
      <c r="X1511" s="890">
        <v>3.8</v>
      </c>
      <c r="Y1511" s="890">
        <v>2.4</v>
      </c>
      <c r="Z1511" s="890">
        <f>13.8-Y1511-X1511-W1511</f>
        <v>2.5000000000000009</v>
      </c>
      <c r="AA1511" s="481">
        <f>SUM(W1511:Z1511)</f>
        <v>13.8</v>
      </c>
      <c r="AB1511" s="890">
        <v>2.9</v>
      </c>
      <c r="AC1511" s="890">
        <v>3.5</v>
      </c>
      <c r="AD1511" s="890">
        <v>0.1</v>
      </c>
      <c r="AE1511" s="890">
        <f>7-SUM(AB1511:AD1511)</f>
        <v>0.5</v>
      </c>
      <c r="AF1511" s="481">
        <f>SUM(AB1511:AE1511)</f>
        <v>7</v>
      </c>
      <c r="AG1511" s="890">
        <v>1.1000000000000001</v>
      </c>
      <c r="AH1511" s="890">
        <v>1.7</v>
      </c>
      <c r="AI1511" s="890">
        <v>1.6</v>
      </c>
      <c r="AJ1511" s="890">
        <f>5.5-SUM(AG1511:AI1511)</f>
        <v>1.0999999999999996</v>
      </c>
      <c r="AK1511" s="481">
        <f>SUM(AG1511:AJ1511)</f>
        <v>5.5</v>
      </c>
      <c r="AL1511" s="890">
        <v>0.8</v>
      </c>
      <c r="AM1511" s="890">
        <v>1</v>
      </c>
      <c r="AN1511" s="890">
        <v>1.7</v>
      </c>
      <c r="AO1511" s="890">
        <f>5.6-SUM(AL1511:AN1511)</f>
        <v>2.0999999999999996</v>
      </c>
      <c r="AP1511" s="483">
        <f>SUM(AL1511:AO1511)</f>
        <v>5.6</v>
      </c>
      <c r="AQ1511" s="1676">
        <v>2.9</v>
      </c>
      <c r="AR1511" s="482">
        <v>3</v>
      </c>
      <c r="AS1511" s="482">
        <v>2.4</v>
      </c>
      <c r="AT1511" s="890">
        <f>8.4-SUM(AQ1511:AS1511)</f>
        <v>9.9999999999999645E-2</v>
      </c>
      <c r="AU1511" s="1708">
        <f>SUM(AQ1511:AT1511)</f>
        <v>8.4</v>
      </c>
      <c r="AV1511" s="482">
        <v>0.1</v>
      </c>
      <c r="AW1511" s="859">
        <v>0.3</v>
      </c>
      <c r="AX1511" s="859">
        <v>0.5</v>
      </c>
      <c r="AY1511" s="890">
        <f>1.4-SUM(AV1511:AX1511)</f>
        <v>0.49999999999999989</v>
      </c>
      <c r="AZ1511" s="1708">
        <f>SUM(AV1511:AY1511)</f>
        <v>1.4</v>
      </c>
      <c r="BA1511" s="2801">
        <v>0.1</v>
      </c>
      <c r="BB1511" s="1051">
        <v>0.1</v>
      </c>
      <c r="BC1511" s="1051">
        <v>0.3</v>
      </c>
      <c r="BD1511" s="890">
        <v>0.9</v>
      </c>
      <c r="BE1511" s="1708">
        <f>SUM(BA1511:BD1511)</f>
        <v>1.4</v>
      </c>
      <c r="BF1511" s="2801">
        <v>0.6</v>
      </c>
      <c r="BG1511" s="2920">
        <v>1.2</v>
      </c>
      <c r="BH1511" s="2920">
        <v>0</v>
      </c>
      <c r="BI1511" s="1179">
        <v>1.8</v>
      </c>
      <c r="BJ1511" s="1883">
        <f>SUM(BF1511:BI1511)</f>
        <v>3.5999999999999996</v>
      </c>
      <c r="BK1511" s="1849">
        <f>AVERAGE(BJ1509:BK1509)*BK1510/4</f>
        <v>4.7891875E-2</v>
      </c>
      <c r="BL1511" s="1849">
        <f>AVERAGE(BK1509:BL1509)*BL1510/4</f>
        <v>0.11864875</v>
      </c>
      <c r="BM1511" s="1849">
        <f>AVERAGE(BL1509:BM1509)*BM1510/4</f>
        <v>0.19619124999999998</v>
      </c>
      <c r="BN1511" s="1880">
        <f>AVERAGE(BM1509:BN1509)*BN1510/4</f>
        <v>-1.3987500000000352E-3</v>
      </c>
      <c r="BO1511" s="1883">
        <f>SUM(BK1511:BN1511)</f>
        <v>0.36133312499999992</v>
      </c>
      <c r="BP1511" s="1849">
        <f>AVERAGE(BN1509:BP1509)*BP1510/4</f>
        <v>-0.2346558333333334</v>
      </c>
      <c r="BQ1511" s="1849">
        <f>AVERAGE(BP1509:BQ1509)*BQ1510/4</f>
        <v>-0.21457250000000005</v>
      </c>
      <c r="BR1511" s="1849">
        <f>AVERAGE(BQ1509:BR1509)*BR1510/4</f>
        <v>-0.19919750000000008</v>
      </c>
      <c r="BS1511" s="1849">
        <f>AVERAGE(BR1509:BS1509)*BS1510/4</f>
        <v>-0.18651000000000006</v>
      </c>
      <c r="BT1511" s="3231">
        <f>SUM(BP1511:BS1511)</f>
        <v>-0.83493583333333354</v>
      </c>
      <c r="BU1511" s="1849">
        <f>AVERAGE(BS1509:BU1509)*BU1510/4</f>
        <v>-0.18019750000000007</v>
      </c>
      <c r="BV1511" s="1849">
        <f>AVERAGE(BU1509:BV1509)*BV1510/4</f>
        <v>-0.17219750000000009</v>
      </c>
      <c r="BW1511" s="1849">
        <f>AVERAGE(BV1509:BW1509)*BW1510/4</f>
        <v>-0.16619750000000011</v>
      </c>
      <c r="BX1511" s="1849">
        <f>AVERAGE(BW1509:BX1509)*BX1510/4</f>
        <v>-0.1601975000000001</v>
      </c>
      <c r="BY1511" s="3231">
        <f>SUM(BU1511:BX1511)</f>
        <v>-0.67879000000000034</v>
      </c>
      <c r="BZ1511" s="518">
        <f t="shared" ref="BZ1511:CF1511" si="3464">AVERAGE(BY1509:BZ1509)*BZ1510</f>
        <v>-0.59279000000000037</v>
      </c>
      <c r="CA1511" s="518">
        <f t="shared" si="3464"/>
        <v>-0.49679000000000034</v>
      </c>
      <c r="CB1511" s="518">
        <f t="shared" si="3464"/>
        <v>-0.40079000000000037</v>
      </c>
      <c r="CC1511" s="518">
        <f t="shared" si="3464"/>
        <v>-0.30479000000000034</v>
      </c>
      <c r="CD1511" s="518">
        <f t="shared" si="3464"/>
        <v>-0.20879000000000031</v>
      </c>
      <c r="CE1511" s="518">
        <f t="shared" si="3464"/>
        <v>-0.11279000000000028</v>
      </c>
      <c r="CF1511" s="518">
        <f t="shared" si="3464"/>
        <v>-6.4790000000000292E-2</v>
      </c>
      <c r="CG1511" s="331"/>
      <c r="CH1511" s="331"/>
      <c r="CI1511" s="331"/>
      <c r="CJ1511" s="331"/>
      <c r="CK1511" s="331"/>
      <c r="CL1511" s="520" t="str">
        <f>A1511</f>
        <v>Capitalized interest</v>
      </c>
      <c r="CM1511" s="430">
        <f>G1511</f>
        <v>0.4</v>
      </c>
      <c r="CN1511" s="430">
        <f>L1511</f>
        <v>1.5</v>
      </c>
      <c r="CO1511" s="430">
        <f>Q1511</f>
        <v>8</v>
      </c>
      <c r="CP1511" s="430">
        <f>V1511</f>
        <v>14.6</v>
      </c>
      <c r="CQ1511" s="430">
        <f>AA1511</f>
        <v>13.8</v>
      </c>
      <c r="CR1511" s="430">
        <f>AF1511</f>
        <v>7</v>
      </c>
      <c r="CS1511" s="430">
        <f>AK1511</f>
        <v>5.5</v>
      </c>
      <c r="CT1511" s="430">
        <f>AP1511</f>
        <v>5.6</v>
      </c>
      <c r="CU1511" s="430">
        <f>AU1511</f>
        <v>8.4</v>
      </c>
      <c r="CV1511" s="430">
        <f>AZ1511</f>
        <v>1.4</v>
      </c>
      <c r="CW1511" s="430">
        <f>BE1511</f>
        <v>1.4</v>
      </c>
      <c r="CX1511" s="430">
        <f>BJ1511</f>
        <v>3.5999999999999996</v>
      </c>
      <c r="CY1511" s="430">
        <f>BO1511</f>
        <v>0.36133312499999992</v>
      </c>
      <c r="CZ1511" s="430">
        <f>BT1511</f>
        <v>-0.83493583333333354</v>
      </c>
      <c r="DA1511" s="430">
        <f t="shared" si="3462"/>
        <v>-0.67879000000000034</v>
      </c>
      <c r="DB1511" s="430">
        <f t="shared" si="3462"/>
        <v>-0.59279000000000037</v>
      </c>
      <c r="DC1511" s="853">
        <f t="shared" si="3462"/>
        <v>-0.49679000000000034</v>
      </c>
      <c r="DD1511" s="331"/>
      <c r="DE1511" s="331"/>
      <c r="DF1511" s="331"/>
      <c r="DG1511" s="442"/>
      <c r="DH1511" s="2585"/>
      <c r="DI1511" s="3213"/>
      <c r="DJ1511" s="331"/>
      <c r="DK1511" s="442"/>
      <c r="DL1511" s="331"/>
      <c r="DM1511" s="331"/>
      <c r="DN1511" s="331"/>
      <c r="DO1511" s="331"/>
      <c r="DP1511" s="442"/>
      <c r="DQ1511" s="442"/>
      <c r="DR1511" s="296"/>
      <c r="DS1511" s="296"/>
      <c r="DT1511" s="296"/>
    </row>
    <row r="1512" spans="1:130" ht="12" customHeight="1" x14ac:dyDescent="0.25">
      <c r="A1512" s="428"/>
      <c r="B1512" s="11"/>
      <c r="C1512" s="890"/>
      <c r="D1512" s="890"/>
      <c r="E1512" s="890"/>
      <c r="F1512" s="890"/>
      <c r="G1512" s="481"/>
      <c r="H1512" s="890"/>
      <c r="I1512" s="890"/>
      <c r="J1512" s="890"/>
      <c r="K1512" s="890"/>
      <c r="L1512" s="481"/>
      <c r="M1512" s="890"/>
      <c r="N1512" s="890"/>
      <c r="O1512" s="890"/>
      <c r="P1512" s="890"/>
      <c r="Q1512" s="481"/>
      <c r="R1512" s="890"/>
      <c r="S1512" s="890"/>
      <c r="T1512" s="890"/>
      <c r="U1512" s="890"/>
      <c r="V1512" s="481"/>
      <c r="W1512" s="890"/>
      <c r="X1512" s="890"/>
      <c r="Y1512" s="890"/>
      <c r="Z1512" s="890"/>
      <c r="AA1512" s="481"/>
      <c r="AB1512" s="890"/>
      <c r="AC1512" s="890"/>
      <c r="AD1512" s="890"/>
      <c r="AE1512" s="890"/>
      <c r="AF1512" s="481"/>
      <c r="AG1512" s="890"/>
      <c r="AH1512" s="890"/>
      <c r="AI1512" s="890"/>
      <c r="AJ1512" s="890"/>
      <c r="AK1512" s="481"/>
      <c r="AL1512" s="890"/>
      <c r="AM1512" s="890"/>
      <c r="AN1512" s="890"/>
      <c r="AO1512" s="890"/>
      <c r="AP1512" s="483"/>
      <c r="AQ1512" s="1676"/>
      <c r="AR1512" s="482"/>
      <c r="AS1512" s="482"/>
      <c r="AT1512" s="890"/>
      <c r="AU1512" s="1708"/>
      <c r="AV1512" s="1882"/>
      <c r="AW1512" s="1856"/>
      <c r="AX1512" s="1856"/>
      <c r="AY1512" s="1883"/>
      <c r="AZ1512" s="1706"/>
      <c r="BA1512" s="1879"/>
      <c r="BB1512" s="1849"/>
      <c r="BC1512" s="1849"/>
      <c r="BD1512" s="1880"/>
      <c r="BE1512" s="1883"/>
      <c r="BF1512" s="1849"/>
      <c r="BG1512" s="1849"/>
      <c r="BH1512" s="1849"/>
      <c r="BI1512" s="1880"/>
      <c r="BJ1512" s="1883"/>
      <c r="BK1512" s="1849"/>
      <c r="BL1512" s="1849"/>
      <c r="BM1512" s="1849"/>
      <c r="BN1512" s="1880"/>
      <c r="BO1512" s="1883"/>
      <c r="BP1512" s="1849"/>
      <c r="BQ1512" s="1849"/>
      <c r="BR1512" s="1849"/>
      <c r="BS1512" s="1849"/>
      <c r="BT1512" s="3231"/>
      <c r="BU1512" s="3402"/>
      <c r="BV1512" s="2649"/>
      <c r="BW1512" s="2649"/>
      <c r="BX1512" s="2649"/>
      <c r="BY1512" s="3231"/>
      <c r="BZ1512" s="518"/>
      <c r="CA1512" s="518"/>
      <c r="CB1512" s="518"/>
      <c r="CC1512" s="518"/>
      <c r="CD1512" s="518"/>
      <c r="CE1512" s="518"/>
      <c r="CF1512" s="518"/>
      <c r="CG1512" s="331"/>
      <c r="CH1512" s="331"/>
      <c r="CI1512" s="331"/>
      <c r="CJ1512" s="331"/>
      <c r="CK1512" s="331"/>
      <c r="CL1512" s="520"/>
      <c r="CM1512" s="430"/>
      <c r="CN1512" s="430"/>
      <c r="CO1512" s="430"/>
      <c r="CP1512" s="430"/>
      <c r="CQ1512" s="430"/>
      <c r="CR1512" s="430"/>
      <c r="CS1512" s="430"/>
      <c r="CT1512" s="430"/>
      <c r="CU1512" s="430"/>
      <c r="CV1512" s="430"/>
      <c r="CW1512" s="430"/>
      <c r="CX1512" s="430"/>
      <c r="CY1512" s="430"/>
      <c r="CZ1512" s="430"/>
      <c r="DA1512" s="430"/>
      <c r="DB1512" s="430"/>
      <c r="DC1512" s="853"/>
      <c r="DD1512" s="331"/>
      <c r="DE1512" s="331"/>
      <c r="DF1512" s="331"/>
      <c r="DG1512" s="442"/>
      <c r="DH1512" s="2585"/>
      <c r="DI1512" s="3213"/>
      <c r="DJ1512" s="331"/>
      <c r="DK1512" s="442"/>
      <c r="DL1512" s="331"/>
      <c r="DM1512" s="331"/>
      <c r="DN1512" s="331"/>
      <c r="DO1512" s="331"/>
      <c r="DP1512" s="442"/>
      <c r="DQ1512" s="442"/>
      <c r="DR1512" s="296"/>
      <c r="DS1512" s="296"/>
      <c r="DT1512" s="296"/>
    </row>
    <row r="1513" spans="1:130" ht="12" customHeight="1" x14ac:dyDescent="0.25">
      <c r="A1513" s="1070" t="s">
        <v>925</v>
      </c>
      <c r="B1513" s="11"/>
      <c r="C1513" s="890"/>
      <c r="D1513" s="890"/>
      <c r="E1513" s="890"/>
      <c r="F1513" s="890"/>
      <c r="G1513" s="481"/>
      <c r="H1513" s="890"/>
      <c r="I1513" s="890"/>
      <c r="J1513" s="890"/>
      <c r="K1513" s="890"/>
      <c r="L1513" s="481"/>
      <c r="M1513" s="890"/>
      <c r="N1513" s="890"/>
      <c r="O1513" s="890"/>
      <c r="P1513" s="890"/>
      <c r="Q1513" s="481"/>
      <c r="R1513" s="890"/>
      <c r="S1513" s="890"/>
      <c r="T1513" s="890"/>
      <c r="U1513" s="890"/>
      <c r="V1513" s="481"/>
      <c r="W1513" s="890"/>
      <c r="X1513" s="890"/>
      <c r="Y1513" s="890"/>
      <c r="Z1513" s="890"/>
      <c r="AA1513" s="481"/>
      <c r="AB1513" s="890"/>
      <c r="AC1513" s="890"/>
      <c r="AD1513" s="890"/>
      <c r="AE1513" s="890"/>
      <c r="AF1513" s="481"/>
      <c r="AG1513" s="890"/>
      <c r="AH1513" s="890"/>
      <c r="AI1513" s="890"/>
      <c r="AJ1513" s="890"/>
      <c r="AK1513" s="481"/>
      <c r="AL1513" s="890"/>
      <c r="AM1513" s="890"/>
      <c r="AN1513" s="890"/>
      <c r="AO1513" s="890"/>
      <c r="AP1513" s="483"/>
      <c r="AQ1513" s="1676"/>
      <c r="AR1513" s="482"/>
      <c r="AS1513" s="482"/>
      <c r="AT1513" s="890"/>
      <c r="AU1513" s="1708"/>
      <c r="AV1513" s="1882"/>
      <c r="AW1513" s="1856"/>
      <c r="AX1513" s="1856"/>
      <c r="AY1513" s="1883"/>
      <c r="AZ1513" s="1706"/>
      <c r="BA1513" s="1879"/>
      <c r="BB1513" s="1849"/>
      <c r="BC1513" s="1849"/>
      <c r="BD1513" s="1880"/>
      <c r="BE1513" s="1883"/>
      <c r="BF1513" s="1849"/>
      <c r="BG1513" s="1849"/>
      <c r="BH1513" s="1849"/>
      <c r="BI1513" s="1880"/>
      <c r="BJ1513" s="1883"/>
      <c r="BK1513" s="1849"/>
      <c r="BL1513" s="1849"/>
      <c r="BM1513" s="1849"/>
      <c r="BN1513" s="1880"/>
      <c r="BO1513" s="1883"/>
      <c r="BP1513" s="1849"/>
      <c r="BQ1513" s="1849"/>
      <c r="BR1513" s="1849"/>
      <c r="BS1513" s="1849"/>
      <c r="BT1513" s="3231"/>
      <c r="BU1513" s="3402"/>
      <c r="BV1513" s="2649"/>
      <c r="BW1513" s="2649"/>
      <c r="BX1513" s="2649"/>
      <c r="BY1513" s="3231"/>
      <c r="BZ1513" s="518"/>
      <c r="CA1513" s="518"/>
      <c r="CB1513" s="518"/>
      <c r="CC1513" s="518"/>
      <c r="CD1513" s="518"/>
      <c r="CE1513" s="518"/>
      <c r="CF1513" s="518"/>
      <c r="CG1513" s="331"/>
      <c r="CH1513" s="331"/>
      <c r="CI1513" s="331"/>
      <c r="CJ1513" s="331"/>
      <c r="CK1513" s="331"/>
      <c r="CL1513" s="520"/>
      <c r="CM1513" s="430"/>
      <c r="CN1513" s="430"/>
      <c r="CO1513" s="430"/>
      <c r="CP1513" s="430"/>
      <c r="CQ1513" s="430"/>
      <c r="CR1513" s="430"/>
      <c r="CS1513" s="430"/>
      <c r="CT1513" s="430"/>
      <c r="CU1513" s="430"/>
      <c r="CV1513" s="430"/>
      <c r="CW1513" s="430"/>
      <c r="CX1513" s="430"/>
      <c r="CY1513" s="430"/>
      <c r="CZ1513" s="430"/>
      <c r="DA1513" s="430"/>
      <c r="DB1513" s="430"/>
      <c r="DC1513" s="853"/>
      <c r="DD1513" s="331"/>
      <c r="DE1513" s="331"/>
      <c r="DF1513" s="331"/>
      <c r="DG1513" s="442"/>
      <c r="DH1513" s="2585"/>
      <c r="DI1513" s="3213"/>
      <c r="DJ1513" s="331"/>
      <c r="DK1513" s="442"/>
      <c r="DL1513" s="331"/>
      <c r="DM1513" s="331"/>
      <c r="DN1513" s="331"/>
      <c r="DO1513" s="331"/>
      <c r="DP1513" s="442"/>
      <c r="DQ1513" s="442"/>
      <c r="DR1513" s="296"/>
      <c r="DS1513" s="296"/>
      <c r="DT1513" s="296"/>
    </row>
    <row r="1514" spans="1:130" ht="12" customHeight="1" x14ac:dyDescent="0.25">
      <c r="A1514" s="924" t="s">
        <v>947</v>
      </c>
      <c r="B1514" s="280"/>
      <c r="C1514" s="2179">
        <f t="shared" ref="C1514:AH1514" si="3465">-C76/C75</f>
        <v>0.39841715425981677</v>
      </c>
      <c r="D1514" s="2179">
        <f t="shared" si="3465"/>
        <v>0.42157437822618488</v>
      </c>
      <c r="E1514" s="2179">
        <f t="shared" si="3465"/>
        <v>0.43823529411764695</v>
      </c>
      <c r="F1514" s="2179">
        <f t="shared" si="3465"/>
        <v>0.46238444373605347</v>
      </c>
      <c r="G1514" s="2180">
        <f t="shared" si="3465"/>
        <v>0.43037259318809534</v>
      </c>
      <c r="H1514" s="2179">
        <f t="shared" si="3465"/>
        <v>0.48904514262909426</v>
      </c>
      <c r="I1514" s="2179">
        <f t="shared" si="3465"/>
        <v>0.60756200350015921</v>
      </c>
      <c r="J1514" s="2179">
        <f t="shared" si="3465"/>
        <v>0.24756549729046978</v>
      </c>
      <c r="K1514" s="2179">
        <f t="shared" si="3465"/>
        <v>0.42892212319996392</v>
      </c>
      <c r="L1514" s="2180">
        <f t="shared" si="3465"/>
        <v>0.39922348799091162</v>
      </c>
      <c r="M1514" s="2179">
        <f t="shared" si="3465"/>
        <v>0.44155204980180374</v>
      </c>
      <c r="N1514" s="2179">
        <f t="shared" si="3465"/>
        <v>0.43596755442823915</v>
      </c>
      <c r="O1514" s="2179">
        <f t="shared" si="3465"/>
        <v>0.19074360151976955</v>
      </c>
      <c r="P1514" s="2179">
        <f t="shared" si="3465"/>
        <v>0.3975031038763967</v>
      </c>
      <c r="Q1514" s="2180">
        <f t="shared" si="3465"/>
        <v>0.3289979526609253</v>
      </c>
      <c r="R1514" s="2179">
        <f t="shared" si="3465"/>
        <v>0.44319964730747791</v>
      </c>
      <c r="S1514" s="2179">
        <f t="shared" si="3465"/>
        <v>0.47718958174074488</v>
      </c>
      <c r="T1514" s="2179">
        <f t="shared" si="3465"/>
        <v>0.4313924112427841</v>
      </c>
      <c r="U1514" s="2179">
        <f t="shared" si="3465"/>
        <v>0.46228682041184133</v>
      </c>
      <c r="V1514" s="2180">
        <f t="shared" si="3465"/>
        <v>0.45232343279496318</v>
      </c>
      <c r="W1514" s="2179">
        <f t="shared" si="3465"/>
        <v>0.43987019772846031</v>
      </c>
      <c r="X1514" s="2179">
        <f t="shared" si="3465"/>
        <v>0.46251560639934997</v>
      </c>
      <c r="Y1514" s="2179">
        <f t="shared" si="3465"/>
        <v>0.42202323804298836</v>
      </c>
      <c r="Z1514" s="2179">
        <f t="shared" si="3465"/>
        <v>0.14808338846657576</v>
      </c>
      <c r="AA1514" s="2180">
        <f t="shared" si="3465"/>
        <v>-2.2220867920563188</v>
      </c>
      <c r="AB1514" s="2179">
        <f t="shared" si="3465"/>
        <v>0.45404621561018832</v>
      </c>
      <c r="AC1514" s="2179">
        <f t="shared" si="3465"/>
        <v>0.44077913917687711</v>
      </c>
      <c r="AD1514" s="2179">
        <f t="shared" si="3465"/>
        <v>0.52950639048038806</v>
      </c>
      <c r="AE1514" s="2179">
        <f t="shared" si="3465"/>
        <v>0.28227510999346256</v>
      </c>
      <c r="AF1514" s="2180">
        <f t="shared" si="3465"/>
        <v>0.18442056721798455</v>
      </c>
      <c r="AG1514" s="2179">
        <f t="shared" si="3465"/>
        <v>0.35498831629831767</v>
      </c>
      <c r="AH1514" s="2179">
        <f t="shared" si="3465"/>
        <v>0.64741579852331355</v>
      </c>
      <c r="AI1514" s="2179">
        <f t="shared" ref="AI1514:BS1514" si="3466">-AI76/AI75</f>
        <v>0.41599623106472411</v>
      </c>
      <c r="AJ1514" s="2179">
        <f t="shared" si="3466"/>
        <v>6.2429426194400813E-3</v>
      </c>
      <c r="AK1514" s="2180">
        <f t="shared" si="3466"/>
        <v>14.63143931019227</v>
      </c>
      <c r="AL1514" s="2179">
        <f t="shared" si="3466"/>
        <v>0.42596780482370639</v>
      </c>
      <c r="AM1514" s="2179">
        <f t="shared" si="3466"/>
        <v>0.33523169654182955</v>
      </c>
      <c r="AN1514" s="2179">
        <f t="shared" si="3466"/>
        <v>0.35091354131333574</v>
      </c>
      <c r="AO1514" s="2179">
        <f t="shared" si="3466"/>
        <v>0.42123112110098992</v>
      </c>
      <c r="AP1514" s="2181">
        <f t="shared" si="3466"/>
        <v>0.37736105972787432</v>
      </c>
      <c r="AQ1514" s="2181">
        <f t="shared" si="3466"/>
        <v>0.37341898256995543</v>
      </c>
      <c r="AR1514" s="2182">
        <f t="shared" si="3466"/>
        <v>0.40984898110936024</v>
      </c>
      <c r="AS1514" s="2182">
        <f t="shared" si="3466"/>
        <v>0.40288491206417754</v>
      </c>
      <c r="AT1514" s="2179">
        <f t="shared" si="3466"/>
        <v>0.58099910978614222</v>
      </c>
      <c r="AU1514" s="2183">
        <f t="shared" si="3466"/>
        <v>0.4185023839177453</v>
      </c>
      <c r="AV1514" s="2184">
        <f t="shared" si="3466"/>
        <v>0.39585145967159707</v>
      </c>
      <c r="AW1514" s="2457">
        <f t="shared" si="3466"/>
        <v>1.46159093493008</v>
      </c>
      <c r="AX1514" s="2457">
        <f t="shared" si="3466"/>
        <v>0.41351899955996529</v>
      </c>
      <c r="AY1514" s="2457">
        <f t="shared" si="3466"/>
        <v>0.20700762256736777</v>
      </c>
      <c r="AZ1514" s="2177">
        <f t="shared" si="3466"/>
        <v>0.13270122516451446</v>
      </c>
      <c r="BA1514" s="2457">
        <f t="shared" si="3466"/>
        <v>0.77528089887640061</v>
      </c>
      <c r="BB1514" s="2457">
        <f t="shared" si="3466"/>
        <v>23.998806682578316</v>
      </c>
      <c r="BC1514" s="2457">
        <f t="shared" si="3466"/>
        <v>4.1848931313550475</v>
      </c>
      <c r="BD1514" s="2457">
        <f t="shared" si="3466"/>
        <v>7.2798856017976907E-2</v>
      </c>
      <c r="BE1514" s="2177">
        <f t="shared" si="3466"/>
        <v>-0.19907633901489211</v>
      </c>
      <c r="BF1514" s="2457">
        <f t="shared" si="3466"/>
        <v>0.84785086291110623</v>
      </c>
      <c r="BG1514" s="2457">
        <f t="shared" si="3466"/>
        <v>0.84466777754634448</v>
      </c>
      <c r="BH1514" s="2457">
        <f t="shared" si="3466"/>
        <v>0.87835153922542297</v>
      </c>
      <c r="BI1514" s="2457">
        <f t="shared" si="3466"/>
        <v>0.40195302190551668</v>
      </c>
      <c r="BJ1514" s="2177">
        <f t="shared" si="3466"/>
        <v>0.98784709955486549</v>
      </c>
      <c r="BK1514" s="2457">
        <f t="shared" si="3466"/>
        <v>0.24597671903822901</v>
      </c>
      <c r="BL1514" s="2457">
        <f t="shared" si="3466"/>
        <v>0.24095095787149581</v>
      </c>
      <c r="BM1514" s="2457">
        <f t="shared" si="3466"/>
        <v>-0.25559872645836701</v>
      </c>
      <c r="BN1514" s="2457">
        <f t="shared" si="3466"/>
        <v>0.3082210613142683</v>
      </c>
      <c r="BO1514" s="2177">
        <f t="shared" si="3466"/>
        <v>9.3743004717411205E-2</v>
      </c>
      <c r="BP1514" s="2457">
        <f t="shared" si="3466"/>
        <v>0.30101342098055445</v>
      </c>
      <c r="BQ1514" s="2457">
        <f t="shared" si="3466"/>
        <v>0.2671215242018532</v>
      </c>
      <c r="BR1514" s="3459">
        <f>(-BR76+766.2)/BR75</f>
        <v>0.23569824283260954</v>
      </c>
      <c r="BS1514" s="2457">
        <f t="shared" si="3466"/>
        <v>-2.9343155738658857</v>
      </c>
      <c r="BT1514" s="3261">
        <f>(-BT76+766.2)/BT75</f>
        <v>-10.688907522759969</v>
      </c>
      <c r="BU1514" s="3455">
        <v>0.21</v>
      </c>
      <c r="BV1514" s="3313">
        <f>BU1514</f>
        <v>0.21</v>
      </c>
      <c r="BW1514" s="3313">
        <f>BV1514</f>
        <v>0.21</v>
      </c>
      <c r="BX1514" s="3313">
        <f>BW1514</f>
        <v>0.21</v>
      </c>
      <c r="BY1514" s="3261">
        <f>-BY76/BY75</f>
        <v>0.2099999999999998</v>
      </c>
      <c r="BZ1514" s="2186">
        <f t="shared" ref="BZ1514:CF1514" si="3467">+BY1514</f>
        <v>0.2099999999999998</v>
      </c>
      <c r="CA1514" s="2186">
        <f t="shared" si="3467"/>
        <v>0.2099999999999998</v>
      </c>
      <c r="CB1514" s="2186">
        <f t="shared" si="3467"/>
        <v>0.2099999999999998</v>
      </c>
      <c r="CC1514" s="2186">
        <f t="shared" si="3467"/>
        <v>0.2099999999999998</v>
      </c>
      <c r="CD1514" s="2186">
        <f t="shared" si="3467"/>
        <v>0.2099999999999998</v>
      </c>
      <c r="CE1514" s="2186">
        <f t="shared" si="3467"/>
        <v>0.2099999999999998</v>
      </c>
      <c r="CF1514" s="2186">
        <f t="shared" si="3467"/>
        <v>0.2099999999999998</v>
      </c>
      <c r="CG1514" s="588"/>
      <c r="CH1514" s="588"/>
      <c r="CI1514" s="588"/>
      <c r="CJ1514" s="588"/>
      <c r="CK1514" s="588"/>
      <c r="CL1514" s="2178"/>
      <c r="CM1514" s="924"/>
      <c r="CN1514" s="924"/>
      <c r="CO1514" s="924"/>
      <c r="CP1514" s="924"/>
      <c r="CQ1514" s="924"/>
      <c r="CR1514" s="924"/>
      <c r="CS1514" s="924"/>
      <c r="CT1514" s="924"/>
      <c r="CU1514" s="924"/>
      <c r="CV1514" s="924"/>
      <c r="CW1514" s="924"/>
      <c r="CX1514" s="924"/>
      <c r="CY1514" s="924"/>
      <c r="CZ1514" s="924"/>
      <c r="DA1514" s="924"/>
      <c r="DB1514" s="924"/>
      <c r="DC1514" s="1141"/>
      <c r="DD1514" s="588"/>
      <c r="DE1514" s="588"/>
      <c r="DF1514" s="588"/>
      <c r="DG1514" s="588"/>
      <c r="DH1514" s="3313"/>
      <c r="DI1514" s="3213"/>
      <c r="DJ1514" s="588"/>
      <c r="DK1514" s="588"/>
      <c r="DL1514" s="588"/>
      <c r="DM1514" s="588"/>
      <c r="DN1514" s="588"/>
      <c r="DO1514" s="588"/>
      <c r="DP1514" s="588"/>
      <c r="DQ1514" s="588"/>
      <c r="DR1514" s="646"/>
      <c r="DS1514" s="646"/>
      <c r="DT1514" s="646"/>
    </row>
    <row r="1515" spans="1:130" ht="12" customHeight="1" x14ac:dyDescent="0.25">
      <c r="A1515" s="3011" t="s">
        <v>2664</v>
      </c>
      <c r="B1515" s="11"/>
      <c r="C1515" s="423"/>
      <c r="D1515" s="423"/>
      <c r="E1515" s="423"/>
      <c r="F1515" s="423"/>
      <c r="G1515" s="510"/>
      <c r="H1515" s="423"/>
      <c r="I1515" s="423"/>
      <c r="J1515" s="423"/>
      <c r="K1515" s="423"/>
      <c r="L1515" s="510"/>
      <c r="M1515" s="423"/>
      <c r="N1515" s="423"/>
      <c r="O1515" s="423"/>
      <c r="P1515" s="423"/>
      <c r="Q1515" s="510"/>
      <c r="R1515" s="423"/>
      <c r="S1515" s="423"/>
      <c r="T1515" s="423"/>
      <c r="U1515" s="423"/>
      <c r="V1515" s="510"/>
      <c r="W1515" s="423"/>
      <c r="X1515" s="423"/>
      <c r="Y1515" s="423"/>
      <c r="Z1515" s="423"/>
      <c r="AA1515" s="510"/>
      <c r="AB1515" s="423"/>
      <c r="AC1515" s="423"/>
      <c r="AD1515" s="423"/>
      <c r="AE1515" s="660"/>
      <c r="AF1515" s="481"/>
      <c r="AG1515" s="660"/>
      <c r="AH1515" s="660"/>
      <c r="AI1515" s="660"/>
      <c r="AJ1515" s="660"/>
      <c r="AK1515" s="481"/>
      <c r="AL1515" s="430"/>
      <c r="AM1515" s="430"/>
      <c r="AN1515" s="430"/>
      <c r="AO1515" s="430"/>
      <c r="AP1515" s="528"/>
      <c r="AQ1515" s="528"/>
      <c r="AR1515" s="526"/>
      <c r="AS1515" s="526"/>
      <c r="AT1515" s="526"/>
      <c r="AU1515" s="1706"/>
      <c r="AV1515" s="1879"/>
      <c r="AW1515" s="1849"/>
      <c r="AX1515" s="1849"/>
      <c r="AY1515" s="1880"/>
      <c r="AZ1515" s="527"/>
      <c r="BA1515" s="528"/>
      <c r="BB1515" s="526"/>
      <c r="BC1515" s="526"/>
      <c r="BD1515" s="684"/>
      <c r="BE1515" s="684"/>
      <c r="BF1515" s="526"/>
      <c r="BG1515" s="526"/>
      <c r="BH1515" s="526"/>
      <c r="BI1515" s="684"/>
      <c r="BJ1515" s="684"/>
      <c r="BK1515" s="526"/>
      <c r="BL1515" s="526"/>
      <c r="BM1515" s="526"/>
      <c r="BN1515" s="684"/>
      <c r="BO1515" s="684"/>
      <c r="BP1515" s="526"/>
      <c r="BQ1515" s="526"/>
      <c r="BR1515" s="526"/>
      <c r="BS1515" s="526"/>
      <c r="BT1515" s="3230"/>
      <c r="BU1515" s="3401">
        <f>+BU1503-BU1493</f>
        <v>17.185581874999997</v>
      </c>
      <c r="BV1515" s="2585">
        <f t="shared" ref="BV1515:CA1515" si="3468">+BV1503-BV1493</f>
        <v>17.727150624999993</v>
      </c>
      <c r="BW1515" s="2585">
        <f t="shared" si="3468"/>
        <v>31.942594374999999</v>
      </c>
      <c r="BX1515" s="2585">
        <f t="shared" si="3468"/>
        <v>33.267413125000019</v>
      </c>
      <c r="BY1515" s="3230">
        <f t="shared" si="3468"/>
        <v>100.12274000000002</v>
      </c>
      <c r="BZ1515" s="527">
        <f t="shared" si="3468"/>
        <v>132.25117750000004</v>
      </c>
      <c r="CA1515" s="527">
        <f t="shared" si="3468"/>
        <v>130.7597025</v>
      </c>
      <c r="CB1515" s="527"/>
      <c r="CC1515" s="527"/>
      <c r="CD1515" s="527"/>
      <c r="CE1515" s="527"/>
      <c r="CF1515" s="527"/>
      <c r="CG1515" s="331"/>
      <c r="CH1515" s="331"/>
      <c r="CI1515" s="331"/>
      <c r="CJ1515" s="331"/>
      <c r="CK1515" s="331"/>
      <c r="CL1515" s="520"/>
      <c r="CM1515" s="526"/>
      <c r="CN1515" s="526"/>
      <c r="CO1515" s="526"/>
      <c r="CP1515" s="526"/>
      <c r="CQ1515" s="526"/>
      <c r="CR1515" s="526"/>
      <c r="CS1515" s="526"/>
      <c r="CT1515" s="526"/>
      <c r="CU1515" s="526"/>
      <c r="CV1515" s="526"/>
      <c r="CW1515" s="526"/>
      <c r="CX1515" s="526"/>
      <c r="CY1515" s="526"/>
      <c r="CZ1515" s="526"/>
      <c r="DA1515" s="526"/>
      <c r="DB1515" s="526"/>
      <c r="DC1515" s="684"/>
      <c r="DD1515" s="331"/>
      <c r="DE1515" s="331"/>
      <c r="DF1515" s="331"/>
      <c r="DG1515" s="442"/>
      <c r="DH1515" s="2585"/>
      <c r="DI1515" s="3213"/>
      <c r="DJ1515" s="331"/>
      <c r="DK1515" s="442"/>
      <c r="DL1515" s="331"/>
      <c r="DM1515" s="331"/>
      <c r="DN1515" s="331"/>
      <c r="DO1515" s="331"/>
      <c r="DP1515" s="442"/>
      <c r="DQ1515" s="442"/>
      <c r="DR1515" s="296"/>
      <c r="DS1515" s="296"/>
      <c r="DT1515" s="296"/>
    </row>
    <row r="1516" spans="1:130" s="3533" customFormat="1" ht="12" customHeight="1" x14ac:dyDescent="0.25">
      <c r="A1516" s="3011" t="s">
        <v>2663</v>
      </c>
      <c r="B1516" s="11"/>
      <c r="C1516" s="423"/>
      <c r="D1516" s="423"/>
      <c r="E1516" s="423"/>
      <c r="F1516" s="423"/>
      <c r="G1516" s="510"/>
      <c r="H1516" s="423"/>
      <c r="I1516" s="423"/>
      <c r="J1516" s="423"/>
      <c r="K1516" s="423"/>
      <c r="L1516" s="510"/>
      <c r="M1516" s="423"/>
      <c r="N1516" s="423"/>
      <c r="O1516" s="423"/>
      <c r="P1516" s="423"/>
      <c r="Q1516" s="510"/>
      <c r="R1516" s="423"/>
      <c r="S1516" s="423"/>
      <c r="T1516" s="423"/>
      <c r="U1516" s="423"/>
      <c r="V1516" s="510"/>
      <c r="W1516" s="423"/>
      <c r="X1516" s="423"/>
      <c r="Y1516" s="423"/>
      <c r="Z1516" s="423"/>
      <c r="AA1516" s="510"/>
      <c r="AB1516" s="423"/>
      <c r="AC1516" s="423"/>
      <c r="AD1516" s="423"/>
      <c r="AE1516" s="660"/>
      <c r="AF1516" s="481"/>
      <c r="AG1516" s="660"/>
      <c r="AH1516" s="660"/>
      <c r="AI1516" s="660"/>
      <c r="AJ1516" s="660"/>
      <c r="AK1516" s="481"/>
      <c r="AL1516" s="430"/>
      <c r="AM1516" s="430"/>
      <c r="AN1516" s="430"/>
      <c r="AO1516" s="430"/>
      <c r="AP1516" s="528"/>
      <c r="AQ1516" s="528"/>
      <c r="AR1516" s="526"/>
      <c r="AS1516" s="526"/>
      <c r="AT1516" s="526"/>
      <c r="AU1516" s="1706"/>
      <c r="AV1516" s="1879"/>
      <c r="AW1516" s="1849"/>
      <c r="AX1516" s="1849"/>
      <c r="AY1516" s="1880"/>
      <c r="AZ1516" s="527"/>
      <c r="BA1516" s="528"/>
      <c r="BB1516" s="526"/>
      <c r="BC1516" s="526"/>
      <c r="BD1516" s="684"/>
      <c r="BE1516" s="684"/>
      <c r="BF1516" s="526"/>
      <c r="BG1516" s="526"/>
      <c r="BH1516" s="526"/>
      <c r="BI1516" s="684"/>
      <c r="BJ1516" s="684"/>
      <c r="BK1516" s="526"/>
      <c r="BL1516" s="526"/>
      <c r="BM1516" s="526"/>
      <c r="BN1516" s="684"/>
      <c r="BO1516" s="684"/>
      <c r="BP1516" s="526"/>
      <c r="BQ1516" s="526"/>
      <c r="BR1516" s="526"/>
      <c r="BS1516" s="526"/>
      <c r="BT1516" s="3230"/>
      <c r="BU1516" s="3401">
        <f t="shared" ref="BU1516:CA1516" si="3469">+BU40-BU1260</f>
        <v>113.63943081864737</v>
      </c>
      <c r="BV1516" s="2585">
        <f t="shared" si="3469"/>
        <v>122.08823740241228</v>
      </c>
      <c r="BW1516" s="2585">
        <f t="shared" si="3469"/>
        <v>174.50276629325106</v>
      </c>
      <c r="BX1516" s="2585">
        <f t="shared" si="3469"/>
        <v>147.48213060968766</v>
      </c>
      <c r="BY1516" s="3230">
        <f t="shared" si="3469"/>
        <v>557.7125651239985</v>
      </c>
      <c r="BZ1516" s="527">
        <f t="shared" si="3469"/>
        <v>731.76836306392568</v>
      </c>
      <c r="CA1516" s="527">
        <f t="shared" si="3469"/>
        <v>712.93162484105585</v>
      </c>
      <c r="CB1516" s="527"/>
      <c r="CC1516" s="527"/>
      <c r="CD1516" s="527"/>
      <c r="CE1516" s="527"/>
      <c r="CF1516" s="527"/>
      <c r="CG1516" s="331"/>
      <c r="CH1516" s="331"/>
      <c r="CI1516" s="331"/>
      <c r="CJ1516" s="331"/>
      <c r="CK1516" s="331"/>
      <c r="CL1516" s="520"/>
      <c r="CM1516" s="526"/>
      <c r="CN1516" s="526"/>
      <c r="CO1516" s="526"/>
      <c r="CP1516" s="526"/>
      <c r="CQ1516" s="526"/>
      <c r="CR1516" s="526"/>
      <c r="CS1516" s="526"/>
      <c r="CT1516" s="526"/>
      <c r="CU1516" s="526"/>
      <c r="CV1516" s="526"/>
      <c r="CW1516" s="526"/>
      <c r="CX1516" s="526"/>
      <c r="CY1516" s="526"/>
      <c r="CZ1516" s="526"/>
      <c r="DA1516" s="526"/>
      <c r="DB1516" s="526"/>
      <c r="DC1516" s="684"/>
      <c r="DD1516" s="331"/>
      <c r="DE1516" s="331"/>
      <c r="DF1516" s="331"/>
      <c r="DG1516" s="442"/>
      <c r="DH1516" s="2585"/>
      <c r="DI1516" s="3213"/>
      <c r="DJ1516" s="331"/>
      <c r="DK1516" s="442"/>
      <c r="DL1516" s="331"/>
      <c r="DM1516" s="331"/>
      <c r="DN1516" s="331"/>
      <c r="DO1516" s="331"/>
      <c r="DP1516" s="442"/>
      <c r="DQ1516" s="442"/>
      <c r="DR1516" s="296"/>
      <c r="DS1516" s="296"/>
      <c r="DT1516" s="296"/>
      <c r="DU1516"/>
      <c r="DV1516"/>
      <c r="DW1516"/>
      <c r="DX1516"/>
      <c r="DY1516"/>
      <c r="DZ1516"/>
    </row>
    <row r="1517" spans="1:130" s="3533" customFormat="1" ht="12" customHeight="1" x14ac:dyDescent="0.25">
      <c r="A1517" s="3011" t="s">
        <v>2660</v>
      </c>
      <c r="B1517" s="11"/>
      <c r="C1517" s="423"/>
      <c r="D1517" s="423"/>
      <c r="E1517" s="423"/>
      <c r="F1517" s="423"/>
      <c r="G1517" s="510"/>
      <c r="H1517" s="423"/>
      <c r="I1517" s="423"/>
      <c r="J1517" s="423"/>
      <c r="K1517" s="423"/>
      <c r="L1517" s="510"/>
      <c r="M1517" s="423"/>
      <c r="N1517" s="423"/>
      <c r="O1517" s="423"/>
      <c r="P1517" s="423"/>
      <c r="Q1517" s="510"/>
      <c r="R1517" s="423"/>
      <c r="S1517" s="423"/>
      <c r="T1517" s="423"/>
      <c r="U1517" s="423"/>
      <c r="V1517" s="510"/>
      <c r="W1517" s="423"/>
      <c r="X1517" s="423"/>
      <c r="Y1517" s="423"/>
      <c r="Z1517" s="423"/>
      <c r="AA1517" s="510"/>
      <c r="AB1517" s="423"/>
      <c r="AC1517" s="423"/>
      <c r="AD1517" s="423"/>
      <c r="AE1517" s="660"/>
      <c r="AF1517" s="481"/>
      <c r="AG1517" s="660"/>
      <c r="AH1517" s="660"/>
      <c r="AI1517" s="660"/>
      <c r="AJ1517" s="660"/>
      <c r="AK1517" s="481"/>
      <c r="AL1517" s="430"/>
      <c r="AM1517" s="430"/>
      <c r="AN1517" s="430"/>
      <c r="AO1517" s="430"/>
      <c r="AP1517" s="528"/>
      <c r="AQ1517" s="528"/>
      <c r="AR1517" s="526"/>
      <c r="AS1517" s="526"/>
      <c r="AT1517" s="526"/>
      <c r="AU1517" s="1706"/>
      <c r="AV1517" s="1879"/>
      <c r="AW1517" s="1849"/>
      <c r="AX1517" s="1849"/>
      <c r="AY1517" s="1880"/>
      <c r="AZ1517" s="527"/>
      <c r="BA1517" s="528"/>
      <c r="BB1517" s="526"/>
      <c r="BC1517" s="526"/>
      <c r="BD1517" s="684"/>
      <c r="BE1517" s="684"/>
      <c r="BF1517" s="526"/>
      <c r="BG1517" s="526"/>
      <c r="BH1517" s="526"/>
      <c r="BI1517" s="684"/>
      <c r="BJ1517" s="684"/>
      <c r="BK1517" s="526"/>
      <c r="BL1517" s="526"/>
      <c r="BM1517" s="526"/>
      <c r="BN1517" s="684"/>
      <c r="BO1517" s="684"/>
      <c r="BP1517" s="526"/>
      <c r="BQ1517" s="526"/>
      <c r="BR1517" s="526"/>
      <c r="BS1517" s="526"/>
      <c r="BT1517" s="3230"/>
      <c r="BU1517" s="3534">
        <f>+BU1515/BU1516</f>
        <v>0.1512290386461525</v>
      </c>
      <c r="BV1517" s="3313">
        <f t="shared" ref="BV1517:CA1517" si="3470">+BV1515/BV1516</f>
        <v>0.14519949670966198</v>
      </c>
      <c r="BW1517" s="3313">
        <f t="shared" si="3470"/>
        <v>0.18304921494092891</v>
      </c>
      <c r="BX1517" s="3313">
        <f t="shared" si="3470"/>
        <v>0.22556911123722798</v>
      </c>
      <c r="BY1517" s="3261">
        <f t="shared" si="3470"/>
        <v>0.17952390937747534</v>
      </c>
      <c r="BZ1517" s="2177">
        <f t="shared" si="3470"/>
        <v>0.18072819784974342</v>
      </c>
      <c r="CA1517" s="2177">
        <f t="shared" si="3470"/>
        <v>0.18341128089128064</v>
      </c>
      <c r="CB1517" s="527"/>
      <c r="CC1517" s="527"/>
      <c r="CD1517" s="527"/>
      <c r="CE1517" s="527"/>
      <c r="CF1517" s="527"/>
      <c r="CG1517" s="331"/>
      <c r="CH1517" s="331"/>
      <c r="CI1517" s="331"/>
      <c r="CJ1517" s="331"/>
      <c r="CK1517" s="331"/>
      <c r="CL1517" s="520"/>
      <c r="CM1517" s="526"/>
      <c r="CN1517" s="526"/>
      <c r="CO1517" s="526"/>
      <c r="CP1517" s="526"/>
      <c r="CQ1517" s="526"/>
      <c r="CR1517" s="526"/>
      <c r="CS1517" s="526"/>
      <c r="CT1517" s="526"/>
      <c r="CU1517" s="526"/>
      <c r="CV1517" s="526"/>
      <c r="CW1517" s="526"/>
      <c r="CX1517" s="526"/>
      <c r="CY1517" s="526"/>
      <c r="CZ1517" s="526"/>
      <c r="DA1517" s="526"/>
      <c r="DB1517" s="526"/>
      <c r="DC1517" s="684"/>
      <c r="DD1517" s="331"/>
      <c r="DE1517" s="331"/>
      <c r="DF1517" s="331"/>
      <c r="DG1517" s="442"/>
      <c r="DH1517" s="2585"/>
      <c r="DI1517" s="3213"/>
      <c r="DJ1517" s="331"/>
      <c r="DK1517" s="442"/>
      <c r="DL1517" s="331"/>
      <c r="DM1517" s="331"/>
      <c r="DN1517" s="331"/>
      <c r="DO1517" s="331"/>
      <c r="DP1517" s="442"/>
      <c r="DQ1517" s="442"/>
      <c r="DR1517" s="296"/>
      <c r="DS1517" s="296"/>
      <c r="DT1517" s="296"/>
      <c r="DU1517"/>
      <c r="DV1517"/>
      <c r="DW1517"/>
      <c r="DX1517"/>
      <c r="DY1517"/>
      <c r="DZ1517"/>
    </row>
    <row r="1518" spans="1:130" s="3533" customFormat="1" ht="12" customHeight="1" x14ac:dyDescent="0.25">
      <c r="A1518" s="3011" t="s">
        <v>2661</v>
      </c>
      <c r="B1518" s="11"/>
      <c r="C1518" s="423"/>
      <c r="D1518" s="423"/>
      <c r="E1518" s="423"/>
      <c r="F1518" s="423"/>
      <c r="G1518" s="510"/>
      <c r="H1518" s="423"/>
      <c r="I1518" s="423"/>
      <c r="J1518" s="423"/>
      <c r="K1518" s="423"/>
      <c r="L1518" s="510"/>
      <c r="M1518" s="423"/>
      <c r="N1518" s="423"/>
      <c r="O1518" s="423"/>
      <c r="P1518" s="423"/>
      <c r="Q1518" s="510"/>
      <c r="R1518" s="423"/>
      <c r="S1518" s="423"/>
      <c r="T1518" s="423"/>
      <c r="U1518" s="423"/>
      <c r="V1518" s="510"/>
      <c r="W1518" s="423"/>
      <c r="X1518" s="423"/>
      <c r="Y1518" s="423"/>
      <c r="Z1518" s="423"/>
      <c r="AA1518" s="510"/>
      <c r="AB1518" s="423"/>
      <c r="AC1518" s="423"/>
      <c r="AD1518" s="423"/>
      <c r="AE1518" s="660"/>
      <c r="AF1518" s="481"/>
      <c r="AG1518" s="660"/>
      <c r="AH1518" s="660"/>
      <c r="AI1518" s="660"/>
      <c r="AJ1518" s="660"/>
      <c r="AK1518" s="481"/>
      <c r="AL1518" s="430"/>
      <c r="AM1518" s="430"/>
      <c r="AN1518" s="430"/>
      <c r="AO1518" s="430"/>
      <c r="AP1518" s="528"/>
      <c r="AQ1518" s="528"/>
      <c r="AR1518" s="526"/>
      <c r="AS1518" s="526"/>
      <c r="AT1518" s="526"/>
      <c r="AU1518" s="1706"/>
      <c r="AV1518" s="1879"/>
      <c r="AW1518" s="1849"/>
      <c r="AX1518" s="1849"/>
      <c r="AY1518" s="1880"/>
      <c r="AZ1518" s="527"/>
      <c r="BA1518" s="528"/>
      <c r="BB1518" s="526"/>
      <c r="BC1518" s="526"/>
      <c r="BD1518" s="684"/>
      <c r="BE1518" s="684"/>
      <c r="BF1518" s="526"/>
      <c r="BG1518" s="526"/>
      <c r="BH1518" s="526"/>
      <c r="BI1518" s="684"/>
      <c r="BJ1518" s="684"/>
      <c r="BK1518" s="526"/>
      <c r="BL1518" s="526"/>
      <c r="BM1518" s="526"/>
      <c r="BN1518" s="684"/>
      <c r="BO1518" s="684"/>
      <c r="BP1518" s="526"/>
      <c r="BQ1518" s="526"/>
      <c r="BR1518" s="526"/>
      <c r="BS1518" s="526"/>
      <c r="BT1518" s="3230"/>
      <c r="BU1518" s="3535">
        <v>0.3</v>
      </c>
      <c r="BV1518" s="3536">
        <f t="shared" ref="BV1518:CA1518" si="3471">+BU1518</f>
        <v>0.3</v>
      </c>
      <c r="BW1518" s="3536">
        <f t="shared" si="3471"/>
        <v>0.3</v>
      </c>
      <c r="BX1518" s="3536">
        <f t="shared" si="3471"/>
        <v>0.3</v>
      </c>
      <c r="BY1518" s="3537">
        <f t="shared" si="3471"/>
        <v>0.3</v>
      </c>
      <c r="BZ1518" s="3537">
        <f t="shared" si="3471"/>
        <v>0.3</v>
      </c>
      <c r="CA1518" s="3537">
        <f t="shared" si="3471"/>
        <v>0.3</v>
      </c>
      <c r="CB1518" s="527"/>
      <c r="CC1518" s="527"/>
      <c r="CD1518" s="527"/>
      <c r="CE1518" s="527"/>
      <c r="CF1518" s="527"/>
      <c r="CG1518" s="331"/>
      <c r="CH1518" s="331"/>
      <c r="CI1518" s="331"/>
      <c r="CJ1518" s="331"/>
      <c r="CK1518" s="331"/>
      <c r="CL1518" s="520"/>
      <c r="CM1518" s="526"/>
      <c r="CN1518" s="526"/>
      <c r="CO1518" s="526"/>
      <c r="CP1518" s="526"/>
      <c r="CQ1518" s="526"/>
      <c r="CR1518" s="526"/>
      <c r="CS1518" s="526"/>
      <c r="CT1518" s="526"/>
      <c r="CU1518" s="526"/>
      <c r="CV1518" s="526"/>
      <c r="CW1518" s="526"/>
      <c r="CX1518" s="526"/>
      <c r="CY1518" s="526"/>
      <c r="CZ1518" s="526"/>
      <c r="DA1518" s="526"/>
      <c r="DB1518" s="526"/>
      <c r="DC1518" s="684"/>
      <c r="DD1518" s="331"/>
      <c r="DE1518" s="331"/>
      <c r="DF1518" s="331"/>
      <c r="DG1518" s="442"/>
      <c r="DH1518" s="2585"/>
      <c r="DI1518" s="3213"/>
      <c r="DJ1518" s="331"/>
      <c r="DK1518" s="442"/>
      <c r="DL1518" s="331"/>
      <c r="DM1518" s="331"/>
      <c r="DN1518" s="331"/>
      <c r="DO1518" s="331"/>
      <c r="DP1518" s="442"/>
      <c r="DQ1518" s="442"/>
      <c r="DR1518" s="296"/>
      <c r="DS1518" s="296"/>
      <c r="DT1518" s="296"/>
      <c r="DU1518"/>
      <c r="DV1518"/>
      <c r="DW1518"/>
      <c r="DX1518"/>
      <c r="DY1518"/>
      <c r="DZ1518"/>
    </row>
    <row r="1519" spans="1:130" s="3533" customFormat="1" ht="12" customHeight="1" x14ac:dyDescent="0.25">
      <c r="A1519" s="3011" t="s">
        <v>2662</v>
      </c>
      <c r="B1519" s="11"/>
      <c r="C1519" s="423"/>
      <c r="D1519" s="423"/>
      <c r="E1519" s="423"/>
      <c r="F1519" s="423"/>
      <c r="G1519" s="510"/>
      <c r="H1519" s="423"/>
      <c r="I1519" s="423"/>
      <c r="J1519" s="423"/>
      <c r="K1519" s="423"/>
      <c r="L1519" s="510"/>
      <c r="M1519" s="423"/>
      <c r="N1519" s="423"/>
      <c r="O1519" s="423"/>
      <c r="P1519" s="423"/>
      <c r="Q1519" s="510"/>
      <c r="R1519" s="423"/>
      <c r="S1519" s="423"/>
      <c r="T1519" s="423"/>
      <c r="U1519" s="423"/>
      <c r="V1519" s="510"/>
      <c r="W1519" s="423"/>
      <c r="X1519" s="423"/>
      <c r="Y1519" s="423"/>
      <c r="Z1519" s="423"/>
      <c r="AA1519" s="510"/>
      <c r="AB1519" s="423"/>
      <c r="AC1519" s="423"/>
      <c r="AD1519" s="423"/>
      <c r="AE1519" s="660"/>
      <c r="AF1519" s="481"/>
      <c r="AG1519" s="660"/>
      <c r="AH1519" s="660"/>
      <c r="AI1519" s="660"/>
      <c r="AJ1519" s="660"/>
      <c r="AK1519" s="481"/>
      <c r="AL1519" s="430"/>
      <c r="AM1519" s="430"/>
      <c r="AN1519" s="430"/>
      <c r="AO1519" s="430"/>
      <c r="AP1519" s="528"/>
      <c r="AQ1519" s="528"/>
      <c r="AR1519" s="526"/>
      <c r="AS1519" s="526"/>
      <c r="AT1519" s="526"/>
      <c r="AU1519" s="1706"/>
      <c r="AV1519" s="1879"/>
      <c r="AW1519" s="1849"/>
      <c r="AX1519" s="1849"/>
      <c r="AY1519" s="1880"/>
      <c r="AZ1519" s="527"/>
      <c r="BA1519" s="528"/>
      <c r="BB1519" s="526"/>
      <c r="BC1519" s="526"/>
      <c r="BD1519" s="684"/>
      <c r="BE1519" s="684"/>
      <c r="BF1519" s="526"/>
      <c r="BG1519" s="526"/>
      <c r="BH1519" s="526"/>
      <c r="BI1519" s="684"/>
      <c r="BJ1519" s="684"/>
      <c r="BK1519" s="526"/>
      <c r="BL1519" s="526"/>
      <c r="BM1519" s="526"/>
      <c r="BN1519" s="684"/>
      <c r="BO1519" s="684"/>
      <c r="BP1519" s="526"/>
      <c r="BQ1519" s="526"/>
      <c r="BR1519" s="526"/>
      <c r="BS1519" s="526"/>
      <c r="BT1519" s="3230"/>
      <c r="BU1519" s="3401">
        <f>IF((BU1517&gt;BU1518),((BU1517-BU1518)*BU1516*BU1514),0)</f>
        <v>0</v>
      </c>
      <c r="BV1519" s="2585">
        <f t="shared" ref="BV1519:BX1519" si="3472">IF((BV1517&gt;BV1518),((BV1517-BV1518)*BV1516*BV1514),0)</f>
        <v>0</v>
      </c>
      <c r="BW1519" s="2585">
        <f t="shared" si="3472"/>
        <v>0</v>
      </c>
      <c r="BX1519" s="2585">
        <f t="shared" si="3472"/>
        <v>0</v>
      </c>
      <c r="BY1519" s="3230">
        <f>SUM(BU1519:BX1519)</f>
        <v>0</v>
      </c>
      <c r="BZ1519" s="527">
        <f t="shared" ref="BZ1519" si="3473">IF((BZ1517&gt;BZ1518),((BZ1517-BZ1518)*BZ1516*BZ1514),0)</f>
        <v>0</v>
      </c>
      <c r="CA1519" s="527">
        <f t="shared" ref="CA1519" si="3474">IF((CA1517&gt;CA1518),((CA1517-CA1518)*CA1516*CA1514),0)</f>
        <v>0</v>
      </c>
      <c r="CB1519" s="527"/>
      <c r="CC1519" s="527"/>
      <c r="CD1519" s="527"/>
      <c r="CE1519" s="527"/>
      <c r="CF1519" s="527"/>
      <c r="CG1519" s="331"/>
      <c r="CH1519" s="331"/>
      <c r="CI1519" s="331"/>
      <c r="CJ1519" s="331"/>
      <c r="CK1519" s="331"/>
      <c r="CL1519" s="520"/>
      <c r="CM1519" s="526"/>
      <c r="CN1519" s="526"/>
      <c r="CO1519" s="526"/>
      <c r="CP1519" s="526"/>
      <c r="CQ1519" s="526"/>
      <c r="CR1519" s="526"/>
      <c r="CS1519" s="526"/>
      <c r="CT1519" s="526"/>
      <c r="CU1519" s="526"/>
      <c r="CV1519" s="526"/>
      <c r="CW1519" s="526"/>
      <c r="CX1519" s="526"/>
      <c r="CY1519" s="526"/>
      <c r="CZ1519" s="526"/>
      <c r="DA1519" s="526"/>
      <c r="DB1519" s="526"/>
      <c r="DC1519" s="684"/>
      <c r="DD1519" s="331"/>
      <c r="DE1519" s="331"/>
      <c r="DF1519" s="331"/>
      <c r="DG1519" s="442"/>
      <c r="DH1519" s="2585"/>
      <c r="DI1519" s="3213"/>
      <c r="DJ1519" s="331"/>
      <c r="DK1519" s="442"/>
      <c r="DL1519" s="331"/>
      <c r="DM1519" s="331"/>
      <c r="DN1519" s="331"/>
      <c r="DO1519" s="331"/>
      <c r="DP1519" s="442"/>
      <c r="DQ1519" s="442"/>
      <c r="DR1519" s="296"/>
      <c r="DS1519" s="296"/>
      <c r="DT1519" s="296"/>
      <c r="DU1519"/>
      <c r="DV1519"/>
      <c r="DW1519"/>
      <c r="DX1519"/>
      <c r="DY1519"/>
      <c r="DZ1519"/>
    </row>
    <row r="1520" spans="1:130" s="3533" customFormat="1" ht="12" customHeight="1" x14ac:dyDescent="0.25">
      <c r="A1520" s="428"/>
      <c r="B1520" s="11"/>
      <c r="C1520" s="423"/>
      <c r="D1520" s="423"/>
      <c r="E1520" s="423"/>
      <c r="F1520" s="423"/>
      <c r="G1520" s="510"/>
      <c r="H1520" s="423"/>
      <c r="I1520" s="423"/>
      <c r="J1520" s="423"/>
      <c r="K1520" s="423"/>
      <c r="L1520" s="510"/>
      <c r="M1520" s="423"/>
      <c r="N1520" s="423"/>
      <c r="O1520" s="423"/>
      <c r="P1520" s="423"/>
      <c r="Q1520" s="510"/>
      <c r="R1520" s="423"/>
      <c r="S1520" s="423"/>
      <c r="T1520" s="423"/>
      <c r="U1520" s="423"/>
      <c r="V1520" s="510"/>
      <c r="W1520" s="423"/>
      <c r="X1520" s="423"/>
      <c r="Y1520" s="423"/>
      <c r="Z1520" s="423"/>
      <c r="AA1520" s="510"/>
      <c r="AB1520" s="423"/>
      <c r="AC1520" s="423"/>
      <c r="AD1520" s="423"/>
      <c r="AE1520" s="660"/>
      <c r="AF1520" s="481"/>
      <c r="AG1520" s="660"/>
      <c r="AH1520" s="660"/>
      <c r="AI1520" s="660"/>
      <c r="AJ1520" s="660"/>
      <c r="AK1520" s="481"/>
      <c r="AL1520" s="430"/>
      <c r="AM1520" s="430"/>
      <c r="AN1520" s="430"/>
      <c r="AO1520" s="430"/>
      <c r="AP1520" s="528"/>
      <c r="AQ1520" s="528"/>
      <c r="AR1520" s="526"/>
      <c r="AS1520" s="526"/>
      <c r="AT1520" s="526"/>
      <c r="AU1520" s="1706"/>
      <c r="AV1520" s="1879"/>
      <c r="AW1520" s="1849"/>
      <c r="AX1520" s="1849"/>
      <c r="AY1520" s="1880"/>
      <c r="AZ1520" s="527"/>
      <c r="BA1520" s="528"/>
      <c r="BB1520" s="526"/>
      <c r="BC1520" s="526"/>
      <c r="BD1520" s="684"/>
      <c r="BE1520" s="684"/>
      <c r="BF1520" s="526"/>
      <c r="BG1520" s="526"/>
      <c r="BH1520" s="526"/>
      <c r="BI1520" s="684"/>
      <c r="BJ1520" s="684"/>
      <c r="BK1520" s="526"/>
      <c r="BL1520" s="526"/>
      <c r="BM1520" s="526"/>
      <c r="BN1520" s="684"/>
      <c r="BO1520" s="684"/>
      <c r="BP1520" s="526"/>
      <c r="BQ1520" s="526"/>
      <c r="BR1520" s="526"/>
      <c r="BS1520" s="526"/>
      <c r="BT1520" s="3230"/>
      <c r="BU1520" s="3401"/>
      <c r="BV1520" s="2585"/>
      <c r="BW1520" s="2585"/>
      <c r="BX1520" s="2585"/>
      <c r="BY1520" s="3230"/>
      <c r="BZ1520" s="527"/>
      <c r="CA1520" s="527"/>
      <c r="CB1520" s="527"/>
      <c r="CC1520" s="527"/>
      <c r="CD1520" s="527"/>
      <c r="CE1520" s="527"/>
      <c r="CF1520" s="527"/>
      <c r="CG1520" s="331"/>
      <c r="CH1520" s="331"/>
      <c r="CI1520" s="331"/>
      <c r="CJ1520" s="331"/>
      <c r="CK1520" s="331"/>
      <c r="CL1520" s="520"/>
      <c r="CM1520" s="526"/>
      <c r="CN1520" s="526"/>
      <c r="CO1520" s="526"/>
      <c r="CP1520" s="526"/>
      <c r="CQ1520" s="526"/>
      <c r="CR1520" s="526"/>
      <c r="CS1520" s="526"/>
      <c r="CT1520" s="526"/>
      <c r="CU1520" s="526"/>
      <c r="CV1520" s="526"/>
      <c r="CW1520" s="526"/>
      <c r="CX1520" s="526"/>
      <c r="CY1520" s="526"/>
      <c r="CZ1520" s="526"/>
      <c r="DA1520" s="526"/>
      <c r="DB1520" s="526"/>
      <c r="DC1520" s="684"/>
      <c r="DD1520" s="331"/>
      <c r="DE1520" s="331"/>
      <c r="DF1520" s="331"/>
      <c r="DG1520" s="442"/>
      <c r="DH1520" s="2585"/>
      <c r="DI1520" s="3213"/>
      <c r="DJ1520" s="331"/>
      <c r="DK1520" s="442"/>
      <c r="DL1520" s="331"/>
      <c r="DM1520" s="331"/>
      <c r="DN1520" s="331"/>
      <c r="DO1520" s="331"/>
      <c r="DP1520" s="442"/>
      <c r="DQ1520" s="442"/>
      <c r="DR1520" s="296"/>
      <c r="DS1520" s="296"/>
      <c r="DT1520" s="296"/>
      <c r="DU1520"/>
      <c r="DV1520"/>
      <c r="DW1520"/>
      <c r="DX1520"/>
      <c r="DY1520"/>
      <c r="DZ1520"/>
    </row>
    <row r="1521" spans="1:124" ht="12" customHeight="1" x14ac:dyDescent="0.25">
      <c r="A1521" s="1070" t="s">
        <v>840</v>
      </c>
      <c r="B1521" s="11"/>
      <c r="C1521" s="653"/>
      <c r="D1521" s="653"/>
      <c r="E1521" s="653"/>
      <c r="F1521" s="653"/>
      <c r="G1521" s="510"/>
      <c r="H1521" s="653"/>
      <c r="I1521" s="653"/>
      <c r="J1521" s="653"/>
      <c r="K1521" s="653"/>
      <c r="L1521" s="510"/>
      <c r="M1521" s="653"/>
      <c r="N1521" s="653"/>
      <c r="O1521" s="653"/>
      <c r="P1521" s="653"/>
      <c r="Q1521" s="510"/>
      <c r="R1521" s="653"/>
      <c r="S1521" s="653"/>
      <c r="T1521" s="653"/>
      <c r="U1521" s="653"/>
      <c r="V1521" s="510"/>
      <c r="W1521" s="653"/>
      <c r="X1521" s="653"/>
      <c r="Y1521" s="653"/>
      <c r="Z1521" s="653"/>
      <c r="AA1521" s="510"/>
      <c r="AB1521" s="653"/>
      <c r="AC1521" s="653"/>
      <c r="AD1521" s="653"/>
      <c r="AE1521" s="654"/>
      <c r="AF1521" s="481"/>
      <c r="AG1521" s="654"/>
      <c r="AH1521" s="654"/>
      <c r="AI1521" s="654"/>
      <c r="AJ1521" s="654"/>
      <c r="AK1521" s="481"/>
      <c r="AL1521" s="430"/>
      <c r="AM1521" s="430"/>
      <c r="AN1521" s="430"/>
      <c r="AO1521" s="430"/>
      <c r="AP1521" s="658"/>
      <c r="AQ1521" s="658"/>
      <c r="AR1521" s="656"/>
      <c r="AS1521" s="656"/>
      <c r="AT1521" s="656"/>
      <c r="AU1521" s="1705"/>
      <c r="AV1521" s="1933"/>
      <c r="AW1521" s="1848"/>
      <c r="AX1521" s="1848"/>
      <c r="AY1521" s="1934"/>
      <c r="AZ1521" s="655"/>
      <c r="BA1521" s="658"/>
      <c r="BB1521" s="656"/>
      <c r="BC1521" s="656"/>
      <c r="BD1521" s="1283"/>
      <c r="BE1521" s="1283"/>
      <c r="BF1521" s="656"/>
      <c r="BG1521" s="656"/>
      <c r="BH1521" s="656"/>
      <c r="BI1521" s="1283"/>
      <c r="BJ1521" s="1283"/>
      <c r="BK1521" s="656"/>
      <c r="BL1521" s="656"/>
      <c r="BM1521" s="656"/>
      <c r="BN1521" s="1283"/>
      <c r="BO1521" s="1283"/>
      <c r="BP1521" s="656"/>
      <c r="BQ1521" s="656"/>
      <c r="BR1521" s="656"/>
      <c r="BT1521" s="655"/>
      <c r="BU1521" s="658"/>
      <c r="BV1521" s="656"/>
      <c r="BW1521" s="656"/>
      <c r="BX1521" s="656"/>
      <c r="BY1521" s="655"/>
      <c r="BZ1521" s="655"/>
      <c r="CA1521" s="655"/>
      <c r="CB1521" s="655"/>
      <c r="CC1521" s="655"/>
      <c r="CD1521" s="655"/>
      <c r="CE1521" s="655"/>
      <c r="CF1521" s="655"/>
      <c r="CG1521" s="331"/>
      <c r="CH1521" s="331"/>
      <c r="CI1521" s="331"/>
      <c r="CJ1521" s="331"/>
      <c r="CK1521" s="331"/>
      <c r="CL1521" s="2042" t="str">
        <f>A1521</f>
        <v>Interest Rate Swaps</v>
      </c>
      <c r="CM1521" s="656"/>
      <c r="CN1521" s="656"/>
      <c r="CO1521" s="656"/>
      <c r="CP1521" s="656"/>
      <c r="CQ1521" s="656"/>
      <c r="CR1521" s="656"/>
      <c r="CS1521" s="656"/>
      <c r="CT1521" s="656"/>
      <c r="CU1521" s="656"/>
      <c r="CV1521" s="656"/>
      <c r="CW1521" s="656"/>
      <c r="CX1521" s="656"/>
      <c r="CY1521" s="656"/>
      <c r="CZ1521" s="656"/>
      <c r="DA1521" s="656"/>
      <c r="DB1521" s="656"/>
      <c r="DC1521" s="1283"/>
      <c r="DD1521" s="331"/>
      <c r="DE1521" s="331"/>
      <c r="DF1521" s="502"/>
      <c r="DG1521" s="503"/>
      <c r="DH1521" s="656"/>
      <c r="DI1521" s="3213"/>
      <c r="DJ1521" s="502"/>
      <c r="DK1521" s="503"/>
      <c r="DL1521" s="502"/>
      <c r="DM1521" s="502"/>
      <c r="DN1521" s="502"/>
      <c r="DO1521" s="502"/>
      <c r="DP1521" s="503"/>
      <c r="DQ1521" s="503"/>
      <c r="DR1521" s="296"/>
      <c r="DS1521" s="296"/>
      <c r="DT1521" s="296"/>
    </row>
    <row r="1522" spans="1:124" ht="12" customHeight="1" x14ac:dyDescent="0.25">
      <c r="A1522" s="428" t="s">
        <v>1334</v>
      </c>
      <c r="B1522" s="634"/>
      <c r="C1522" s="612">
        <v>375</v>
      </c>
      <c r="D1522" s="612">
        <v>375</v>
      </c>
      <c r="E1522" s="612">
        <v>320</v>
      </c>
      <c r="F1522" s="612">
        <v>255</v>
      </c>
      <c r="G1522" s="481">
        <v>255</v>
      </c>
      <c r="H1522" s="612">
        <v>135</v>
      </c>
      <c r="I1522" s="612">
        <v>0</v>
      </c>
      <c r="J1522" s="612">
        <v>0</v>
      </c>
      <c r="K1522" s="612">
        <v>960</v>
      </c>
      <c r="L1522" s="481">
        <v>960</v>
      </c>
      <c r="M1522" s="612">
        <v>960</v>
      </c>
      <c r="N1522" s="612">
        <v>1260</v>
      </c>
      <c r="O1522" s="612">
        <v>1260</v>
      </c>
      <c r="P1522" s="612">
        <v>1260</v>
      </c>
      <c r="Q1522" s="481">
        <v>1260</v>
      </c>
      <c r="R1522" s="612">
        <v>1260</v>
      </c>
      <c r="S1522" s="612">
        <v>1260</v>
      </c>
      <c r="T1522" s="612">
        <v>1638</v>
      </c>
      <c r="U1522" s="612">
        <v>1638</v>
      </c>
      <c r="V1522" s="481">
        <f>U1522</f>
        <v>1638</v>
      </c>
      <c r="W1522" s="612">
        <v>1784</v>
      </c>
      <c r="X1522" s="612">
        <v>1441</v>
      </c>
      <c r="Y1522" s="612">
        <v>1260</v>
      </c>
      <c r="Z1522" s="612">
        <v>1211</v>
      </c>
      <c r="AA1522" s="481">
        <v>1211</v>
      </c>
      <c r="AB1522" s="612">
        <v>1551</v>
      </c>
      <c r="AC1522" s="612">
        <v>2262</v>
      </c>
      <c r="AD1522" s="612">
        <v>2262</v>
      </c>
      <c r="AE1522" s="612">
        <v>1240</v>
      </c>
      <c r="AF1522" s="481">
        <f>AE1522</f>
        <v>1240</v>
      </c>
      <c r="AG1522" s="612">
        <v>1240</v>
      </c>
      <c r="AH1522" s="612">
        <v>540</v>
      </c>
      <c r="AI1522" s="612">
        <v>540</v>
      </c>
      <c r="AJ1522" s="612">
        <v>540</v>
      </c>
      <c r="AK1522" s="481">
        <f>AJ1522</f>
        <v>540</v>
      </c>
      <c r="AL1522" s="612">
        <f>AH1522</f>
        <v>540</v>
      </c>
      <c r="AM1522" s="612">
        <v>540</v>
      </c>
      <c r="AN1522" s="612">
        <v>440</v>
      </c>
      <c r="AO1522" s="612">
        <v>0</v>
      </c>
      <c r="AP1522" s="483">
        <f>AO1522</f>
        <v>0</v>
      </c>
      <c r="AQ1522" s="1676">
        <v>0</v>
      </c>
      <c r="AR1522" s="482">
        <v>0</v>
      </c>
      <c r="AS1522" s="482">
        <v>0</v>
      </c>
      <c r="AT1522" s="482">
        <v>0</v>
      </c>
      <c r="AU1522" s="1684">
        <f>AT1522</f>
        <v>0</v>
      </c>
      <c r="AV1522" s="1935">
        <v>0</v>
      </c>
      <c r="AW1522" s="1850">
        <v>0</v>
      </c>
      <c r="AX1522" s="1850">
        <v>0</v>
      </c>
      <c r="AY1522" s="430">
        <v>0</v>
      </c>
      <c r="AZ1522" s="1684">
        <f>AY1522</f>
        <v>0</v>
      </c>
      <c r="BA1522" s="1935">
        <v>0</v>
      </c>
      <c r="BB1522" s="1850">
        <v>0</v>
      </c>
      <c r="BC1522" s="1850">
        <v>0</v>
      </c>
      <c r="BD1522" s="430">
        <v>0</v>
      </c>
      <c r="BE1522" s="1684">
        <f>BD1522</f>
        <v>0</v>
      </c>
      <c r="BF1522" s="1850">
        <v>0</v>
      </c>
      <c r="BG1522" s="1850">
        <v>0</v>
      </c>
      <c r="BH1522" s="1850">
        <v>0</v>
      </c>
      <c r="BI1522" s="430">
        <v>0</v>
      </c>
      <c r="BJ1522" s="1684">
        <f>BI1522</f>
        <v>0</v>
      </c>
      <c r="BK1522" s="1850">
        <v>0</v>
      </c>
      <c r="BL1522" s="1850">
        <v>0</v>
      </c>
      <c r="BM1522" s="1850">
        <v>0</v>
      </c>
      <c r="BN1522" s="430">
        <v>0</v>
      </c>
      <c r="BO1522" s="1684">
        <f t="shared" ref="BO1522:CF1522" si="3475">BN1522</f>
        <v>0</v>
      </c>
      <c r="BP1522" s="1850">
        <v>0</v>
      </c>
      <c r="BQ1522" s="1850">
        <v>0</v>
      </c>
      <c r="BR1522" s="1850">
        <v>0</v>
      </c>
      <c r="BS1522" s="1850">
        <v>0</v>
      </c>
      <c r="BT1522" s="2587">
        <f t="shared" si="3475"/>
        <v>0</v>
      </c>
      <c r="BU1522" s="1850">
        <v>0</v>
      </c>
      <c r="BV1522" s="1850">
        <v>0</v>
      </c>
      <c r="BW1522" s="1850">
        <v>0</v>
      </c>
      <c r="BX1522" s="1850">
        <v>0</v>
      </c>
      <c r="BY1522" s="2587">
        <f>BX1522</f>
        <v>0</v>
      </c>
      <c r="BZ1522" s="481">
        <f t="shared" si="3475"/>
        <v>0</v>
      </c>
      <c r="CA1522" s="481">
        <f t="shared" si="3475"/>
        <v>0</v>
      </c>
      <c r="CB1522" s="481">
        <f t="shared" si="3475"/>
        <v>0</v>
      </c>
      <c r="CC1522" s="481">
        <f t="shared" si="3475"/>
        <v>0</v>
      </c>
      <c r="CD1522" s="481">
        <f t="shared" si="3475"/>
        <v>0</v>
      </c>
      <c r="CE1522" s="481">
        <f t="shared" si="3475"/>
        <v>0</v>
      </c>
      <c r="CF1522" s="481">
        <f t="shared" si="3475"/>
        <v>0</v>
      </c>
      <c r="CG1522" s="331"/>
      <c r="CH1522" s="331"/>
      <c r="CI1522" s="331"/>
      <c r="CJ1522" s="331"/>
      <c r="CK1522" s="331"/>
      <c r="CL1522" s="520" t="str">
        <f>A1522</f>
        <v>Notional Swap Exposure (approximate)</v>
      </c>
      <c r="CM1522" s="430">
        <f>G1522</f>
        <v>255</v>
      </c>
      <c r="CN1522" s="430">
        <f>L1522</f>
        <v>960</v>
      </c>
      <c r="CO1522" s="430">
        <f>Q1522</f>
        <v>1260</v>
      </c>
      <c r="CP1522" s="430">
        <f>V1522</f>
        <v>1638</v>
      </c>
      <c r="CQ1522" s="430">
        <f>AA1522</f>
        <v>1211</v>
      </c>
      <c r="CR1522" s="430">
        <f>AF1522</f>
        <v>1240</v>
      </c>
      <c r="CS1522" s="430">
        <f>AK1522</f>
        <v>540</v>
      </c>
      <c r="CT1522" s="430">
        <f>AP1522</f>
        <v>0</v>
      </c>
      <c r="CU1522" s="430">
        <f>AU1522</f>
        <v>0</v>
      </c>
      <c r="CV1522" s="430">
        <f>AZ1522</f>
        <v>0</v>
      </c>
      <c r="CW1522" s="430">
        <f>BE1522</f>
        <v>0</v>
      </c>
      <c r="CX1522" s="430">
        <f>BJ1522</f>
        <v>0</v>
      </c>
      <c r="CY1522" s="430">
        <f>BO1522</f>
        <v>0</v>
      </c>
      <c r="CZ1522" s="430">
        <f>BT1522</f>
        <v>0</v>
      </c>
      <c r="DA1522" s="430">
        <f t="shared" ref="DA1522:DC1525" si="3476">BY1522</f>
        <v>0</v>
      </c>
      <c r="DB1522" s="430">
        <f t="shared" si="3476"/>
        <v>0</v>
      </c>
      <c r="DC1522" s="853">
        <f t="shared" si="3476"/>
        <v>0</v>
      </c>
      <c r="DD1522" s="331"/>
      <c r="DE1522" s="331"/>
      <c r="DF1522" s="502"/>
      <c r="DG1522" s="503"/>
      <c r="DH1522" s="2840"/>
      <c r="DI1522" s="3213"/>
      <c r="DJ1522" s="502"/>
      <c r="DK1522" s="503"/>
      <c r="DL1522" s="502"/>
      <c r="DM1522" s="502"/>
      <c r="DN1522" s="502"/>
      <c r="DO1522" s="502"/>
      <c r="DP1522" s="503"/>
      <c r="DQ1522" s="503"/>
      <c r="DR1522" s="296"/>
      <c r="DS1522" s="296"/>
      <c r="DT1522" s="296"/>
    </row>
    <row r="1523" spans="1:124" ht="12" customHeight="1" x14ac:dyDescent="0.25">
      <c r="A1523" s="632" t="s">
        <v>1709</v>
      </c>
      <c r="B1523" s="634"/>
      <c r="C1523" s="640">
        <v>2.12E-2</v>
      </c>
      <c r="D1523" s="640">
        <v>2.12E-2</v>
      </c>
      <c r="E1523" s="640">
        <v>2.12E-2</v>
      </c>
      <c r="F1523" s="640">
        <v>2.12E-2</v>
      </c>
      <c r="G1523" s="631">
        <f>AVERAGE(C1523:F1523)</f>
        <v>2.12E-2</v>
      </c>
      <c r="H1523" s="640">
        <v>2.4799999999999999E-2</v>
      </c>
      <c r="I1523" s="640"/>
      <c r="J1523" s="640"/>
      <c r="K1523" s="640">
        <v>4.7100000000000003E-2</v>
      </c>
      <c r="L1523" s="631">
        <f>AVERAGE(H1523:K1523)</f>
        <v>3.5950000000000003E-2</v>
      </c>
      <c r="M1523" s="640">
        <v>4.7100000000000003E-2</v>
      </c>
      <c r="N1523" s="640">
        <v>4.8399999999999999E-2</v>
      </c>
      <c r="O1523" s="640">
        <v>4.8399999999999999E-2</v>
      </c>
      <c r="P1523" s="640">
        <v>4.8399999999999999E-2</v>
      </c>
      <c r="Q1523" s="631">
        <f>AVERAGE(M1523:P1523)</f>
        <v>4.8075E-2</v>
      </c>
      <c r="R1523" s="640">
        <v>4.8399999999999999E-2</v>
      </c>
      <c r="S1523" s="640">
        <v>4.8399999999999999E-2</v>
      </c>
      <c r="T1523" s="640">
        <v>4.8399999999999999E-2</v>
      </c>
      <c r="U1523" s="640">
        <v>4.9299999999999997E-2</v>
      </c>
      <c r="V1523" s="631">
        <f>AVERAGE(R1523:U1523)</f>
        <v>4.8625000000000002E-2</v>
      </c>
      <c r="W1523" s="640">
        <v>4.9299999999999997E-2</v>
      </c>
      <c r="X1523" s="640">
        <v>4.9299999999999997E-2</v>
      </c>
      <c r="Y1523" s="640">
        <v>4.9299999999999997E-2</v>
      </c>
      <c r="Z1523" s="640">
        <v>4.1500000000000002E-2</v>
      </c>
      <c r="AA1523" s="631">
        <f>AVERAGE(W1523:Z1523)</f>
        <v>4.7349999999999996E-2</v>
      </c>
      <c r="AB1523" s="640">
        <v>3.5499999999999997E-2</v>
      </c>
      <c r="AC1523" s="640">
        <v>2.5899999999999999E-2</v>
      </c>
      <c r="AD1523" s="640">
        <v>2.47E-2</v>
      </c>
      <c r="AE1523" s="640">
        <v>2.58E-2</v>
      </c>
      <c r="AF1523" s="631">
        <f>AVERAGE(AB1523:AE1523)</f>
        <v>2.7975E-2</v>
      </c>
      <c r="AG1523" s="640">
        <v>2.5700000000000001E-2</v>
      </c>
      <c r="AH1523" s="640">
        <v>2.3E-2</v>
      </c>
      <c r="AI1523" s="640">
        <v>2.3E-2</v>
      </c>
      <c r="AJ1523" s="640">
        <v>2.3E-2</v>
      </c>
      <c r="AK1523" s="631">
        <f>AVERAGE(AG1523:AJ1523)</f>
        <v>2.3675000000000002E-2</v>
      </c>
      <c r="AL1523" s="630">
        <f>AJ1523</f>
        <v>2.3E-2</v>
      </c>
      <c r="AM1523" s="630">
        <f>AL1523</f>
        <v>2.3E-2</v>
      </c>
      <c r="AN1523" s="630">
        <f>AM1523</f>
        <v>2.3E-2</v>
      </c>
      <c r="AO1523" s="630">
        <f>AN1523</f>
        <v>2.3E-2</v>
      </c>
      <c r="AP1523" s="635">
        <f>AVERAGE(AL1523:AO1523)</f>
        <v>2.3E-2</v>
      </c>
      <c r="AQ1523" s="635">
        <f>AP1523</f>
        <v>2.3E-2</v>
      </c>
      <c r="AR1523" s="632">
        <f>AQ1523</f>
        <v>2.3E-2</v>
      </c>
      <c r="AS1523" s="632">
        <f>AR1523</f>
        <v>2.3E-2</v>
      </c>
      <c r="AT1523" s="632">
        <f>AS1523</f>
        <v>2.3E-2</v>
      </c>
      <c r="AU1523" s="1709">
        <f>AVERAGE(AQ1523:AT1523)</f>
        <v>2.3E-2</v>
      </c>
      <c r="AV1523" s="1936">
        <f>AU1523</f>
        <v>2.3E-2</v>
      </c>
      <c r="AW1523" s="1851">
        <f>AV1523</f>
        <v>2.3E-2</v>
      </c>
      <c r="AX1523" s="1851">
        <f>AW1523</f>
        <v>2.3E-2</v>
      </c>
      <c r="AY1523" s="632">
        <f>AX1523</f>
        <v>2.3E-2</v>
      </c>
      <c r="AZ1523" s="1709">
        <f>AVERAGE(AV1523:AY1523)</f>
        <v>2.3E-2</v>
      </c>
      <c r="BA1523" s="1936">
        <f>AZ1523</f>
        <v>2.3E-2</v>
      </c>
      <c r="BB1523" s="1851">
        <f>BA1523</f>
        <v>2.3E-2</v>
      </c>
      <c r="BC1523" s="1851">
        <f>BB1523</f>
        <v>2.3E-2</v>
      </c>
      <c r="BD1523" s="632">
        <f>BC1523</f>
        <v>2.3E-2</v>
      </c>
      <c r="BE1523" s="1709">
        <f>AVERAGE(BA1523:BD1523)</f>
        <v>2.3E-2</v>
      </c>
      <c r="BF1523" s="1851">
        <f>BE1523</f>
        <v>2.3E-2</v>
      </c>
      <c r="BG1523" s="1851">
        <f>BF1523</f>
        <v>2.3E-2</v>
      </c>
      <c r="BH1523" s="1851">
        <f>BG1523</f>
        <v>2.3E-2</v>
      </c>
      <c r="BI1523" s="632">
        <f>BH1523</f>
        <v>2.3E-2</v>
      </c>
      <c r="BJ1523" s="1709">
        <f>AVERAGE(BF1523:BI1523)</f>
        <v>2.3E-2</v>
      </c>
      <c r="BK1523" s="1851">
        <f>BJ1523</f>
        <v>2.3E-2</v>
      </c>
      <c r="BL1523" s="1851">
        <f>BK1523</f>
        <v>2.3E-2</v>
      </c>
      <c r="BM1523" s="1851">
        <f>BL1523</f>
        <v>2.3E-2</v>
      </c>
      <c r="BN1523" s="632">
        <f>BM1523</f>
        <v>2.3E-2</v>
      </c>
      <c r="BO1523" s="1709">
        <f>AVERAGE(BK1523:BN1523)</f>
        <v>2.3E-2</v>
      </c>
      <c r="BP1523" s="1851">
        <f>BO1523</f>
        <v>2.3E-2</v>
      </c>
      <c r="BQ1523" s="1851">
        <f>BP1523</f>
        <v>2.3E-2</v>
      </c>
      <c r="BR1523" s="1851">
        <f>BQ1523</f>
        <v>2.3E-2</v>
      </c>
      <c r="BS1523" s="1851">
        <f>BR1523</f>
        <v>2.3E-2</v>
      </c>
      <c r="BT1523" s="3258">
        <f>AVERAGE(BP1523:BS1523)</f>
        <v>2.3E-2</v>
      </c>
      <c r="BU1523" s="1851">
        <f>BT1523</f>
        <v>2.3E-2</v>
      </c>
      <c r="BV1523" s="1851">
        <f>BU1523</f>
        <v>2.3E-2</v>
      </c>
      <c r="BW1523" s="1851">
        <f>BV1523</f>
        <v>2.3E-2</v>
      </c>
      <c r="BX1523" s="1851">
        <f>BW1523</f>
        <v>2.3E-2</v>
      </c>
      <c r="BY1523" s="3258">
        <f>AVERAGE(BU1523:BX1523)</f>
        <v>2.3E-2</v>
      </c>
      <c r="BZ1523" s="631">
        <f t="shared" ref="BZ1523:CF1523" si="3477">BY1523</f>
        <v>2.3E-2</v>
      </c>
      <c r="CA1523" s="631">
        <f t="shared" si="3477"/>
        <v>2.3E-2</v>
      </c>
      <c r="CB1523" s="631">
        <f t="shared" si="3477"/>
        <v>2.3E-2</v>
      </c>
      <c r="CC1523" s="631">
        <f t="shared" si="3477"/>
        <v>2.3E-2</v>
      </c>
      <c r="CD1523" s="631">
        <f t="shared" si="3477"/>
        <v>2.3E-2</v>
      </c>
      <c r="CE1523" s="631">
        <f t="shared" si="3477"/>
        <v>2.3E-2</v>
      </c>
      <c r="CF1523" s="631">
        <f t="shared" si="3477"/>
        <v>2.3E-2</v>
      </c>
      <c r="CG1523" s="980"/>
      <c r="CH1523" s="980"/>
      <c r="CI1523" s="980"/>
      <c r="CJ1523" s="980"/>
      <c r="CK1523" s="980"/>
      <c r="CL1523" s="635" t="str">
        <f>A1523</f>
        <v>Average Pay Rate</v>
      </c>
      <c r="CM1523" s="632">
        <f>G1523</f>
        <v>2.12E-2</v>
      </c>
      <c r="CN1523" s="632">
        <f>L1523</f>
        <v>3.5950000000000003E-2</v>
      </c>
      <c r="CO1523" s="632">
        <f>Q1523</f>
        <v>4.8075E-2</v>
      </c>
      <c r="CP1523" s="632">
        <f>V1523</f>
        <v>4.8625000000000002E-2</v>
      </c>
      <c r="CQ1523" s="632">
        <f>AA1523</f>
        <v>4.7349999999999996E-2</v>
      </c>
      <c r="CR1523" s="632">
        <f>AF1523</f>
        <v>2.7975E-2</v>
      </c>
      <c r="CS1523" s="632">
        <f>AK1523</f>
        <v>2.3675000000000002E-2</v>
      </c>
      <c r="CT1523" s="632">
        <f>AP1523</f>
        <v>2.3E-2</v>
      </c>
      <c r="CU1523" s="632">
        <f>AU1523</f>
        <v>2.3E-2</v>
      </c>
      <c r="CV1523" s="632">
        <f>AZ1523</f>
        <v>2.3E-2</v>
      </c>
      <c r="CW1523" s="632">
        <f>BE1523</f>
        <v>2.3E-2</v>
      </c>
      <c r="CX1523" s="632">
        <f>BJ1523</f>
        <v>2.3E-2</v>
      </c>
      <c r="CY1523" s="632">
        <f>BO1523</f>
        <v>2.3E-2</v>
      </c>
      <c r="CZ1523" s="632">
        <f>BT1523</f>
        <v>2.3E-2</v>
      </c>
      <c r="DA1523" s="632">
        <f t="shared" si="3476"/>
        <v>2.3E-2</v>
      </c>
      <c r="DB1523" s="632">
        <f t="shared" si="3476"/>
        <v>2.3E-2</v>
      </c>
      <c r="DC1523" s="2046">
        <f t="shared" si="3476"/>
        <v>2.3E-2</v>
      </c>
      <c r="DD1523" s="980"/>
      <c r="DE1523" s="980"/>
      <c r="DF1523" s="981"/>
      <c r="DG1523" s="981"/>
      <c r="DH1523" s="3310"/>
      <c r="DI1523" s="3213"/>
      <c r="DJ1523" s="981"/>
      <c r="DK1523" s="981"/>
      <c r="DL1523" s="981"/>
      <c r="DM1523" s="981"/>
      <c r="DN1523" s="981"/>
      <c r="DO1523" s="981"/>
      <c r="DP1523" s="981"/>
      <c r="DQ1523" s="981"/>
      <c r="DR1523" s="630"/>
      <c r="DS1523" s="630"/>
      <c r="DT1523" s="630"/>
    </row>
    <row r="1524" spans="1:124" ht="12" customHeight="1" x14ac:dyDescent="0.25">
      <c r="A1524" s="632" t="s">
        <v>2179</v>
      </c>
      <c r="B1524" s="634"/>
      <c r="C1524" s="619">
        <f>C1442</f>
        <v>1.1211E-2</v>
      </c>
      <c r="D1524" s="619">
        <f>D1442</f>
        <v>1.3093E-2</v>
      </c>
      <c r="E1524" s="619">
        <f>E1442</f>
        <v>1.7558000000000001E-2</v>
      </c>
      <c r="F1524" s="619">
        <f>F1442</f>
        <v>2.2988999999999999E-2</v>
      </c>
      <c r="G1524" s="657">
        <f>AVERAGE(C1524:F1524)</f>
        <v>1.6212749999999998E-2</v>
      </c>
      <c r="H1524" s="619">
        <f>H1442</f>
        <v>2.8410000000000001E-2</v>
      </c>
      <c r="I1524" s="619">
        <f>I1442</f>
        <v>3.286E-2</v>
      </c>
      <c r="J1524" s="619">
        <f>J1442</f>
        <v>3.78E-2</v>
      </c>
      <c r="K1524" s="619">
        <f>K1442</f>
        <v>4.3366700000000001E-2</v>
      </c>
      <c r="L1524" s="657">
        <f>AVERAGE(H1524:K1524)</f>
        <v>3.5609175E-2</v>
      </c>
      <c r="M1524" s="619">
        <f>M1442</f>
        <v>4.7678999999999999E-2</v>
      </c>
      <c r="N1524" s="619">
        <f>N1442</f>
        <v>5.2198000000000001E-2</v>
      </c>
      <c r="O1524" s="619">
        <f>O1442</f>
        <v>5.4330158730158729E-2</v>
      </c>
      <c r="P1524" s="619">
        <f>P1442</f>
        <v>5.3688E-2</v>
      </c>
      <c r="Q1524" s="657">
        <f>AVERAGE(M1524:P1524)</f>
        <v>5.1973789682539684E-2</v>
      </c>
      <c r="R1524" s="619">
        <f>R1442</f>
        <v>5.3554838709677498E-2</v>
      </c>
      <c r="S1524" s="619">
        <f>S1442</f>
        <v>5.3589062500000097E-2</v>
      </c>
      <c r="T1524" s="619">
        <f>T1442</f>
        <v>5.3920000000000003E-2</v>
      </c>
      <c r="U1524" s="619">
        <f>U1442</f>
        <v>5.0306456249999992E-2</v>
      </c>
      <c r="V1524" s="657">
        <f>AVERAGE(R1524:U1524)</f>
        <v>5.2842589364919396E-2</v>
      </c>
      <c r="W1524" s="619">
        <f>W1442</f>
        <v>3.2835723076923097E-2</v>
      </c>
      <c r="X1524" s="619">
        <f>X1442</f>
        <v>2.7508000000000001E-2</v>
      </c>
      <c r="Y1524" s="619">
        <f>Y1442</f>
        <v>2.9080000000000002E-2</v>
      </c>
      <c r="Z1524" s="619">
        <f>Z1442</f>
        <v>2.7224000000000002E-2</v>
      </c>
      <c r="AA1524" s="657">
        <f>AVERAGE(W1524:Z1524)</f>
        <v>2.9161930769230772E-2</v>
      </c>
      <c r="AB1524" s="619">
        <f>AB1442</f>
        <v>1.24E-2</v>
      </c>
      <c r="AC1524" s="619">
        <f>AC1442</f>
        <v>8.4779999999999994E-3</v>
      </c>
      <c r="AD1524" s="619">
        <f>AD1442</f>
        <v>4.1260000000000003E-3</v>
      </c>
      <c r="AE1524" s="630">
        <f>AE1442</f>
        <v>2.6809999999999998E-3</v>
      </c>
      <c r="AF1524" s="631">
        <f>AVERAGE(AB1524:AE1524)</f>
        <v>6.9212500000000003E-3</v>
      </c>
      <c r="AG1524" s="630">
        <f>AG1442</f>
        <v>2.5000000000000001E-3</v>
      </c>
      <c r="AH1524" s="630">
        <f>AH1442</f>
        <v>3.0000000000000001E-3</v>
      </c>
      <c r="AI1524" s="630">
        <f>AI1442</f>
        <v>3.0000000000000001E-3</v>
      </c>
      <c r="AJ1524" s="630">
        <f>AJ1442</f>
        <v>3.0000000000000001E-3</v>
      </c>
      <c r="AK1524" s="631">
        <f>AVERAGE(AG1524:AJ1524)</f>
        <v>2.875E-3</v>
      </c>
      <c r="AL1524" s="630">
        <f>AL1442</f>
        <v>3.0000000000000001E-3</v>
      </c>
      <c r="AM1524" s="630">
        <f>AM1442</f>
        <v>3.0000000000000001E-3</v>
      </c>
      <c r="AN1524" s="630">
        <f>AN1442</f>
        <v>3.0000000000000001E-3</v>
      </c>
      <c r="AO1524" s="630">
        <f>AO1442</f>
        <v>3.0000000000000001E-3</v>
      </c>
      <c r="AP1524" s="635">
        <f>AVERAGE(AL1524:AO1524)</f>
        <v>3.0000000000000001E-3</v>
      </c>
      <c r="AQ1524" s="635">
        <f>AQ1442</f>
        <v>2.5000000000000001E-3</v>
      </c>
      <c r="AR1524" s="632">
        <f>AR1442</f>
        <v>2.5000000000000001E-3</v>
      </c>
      <c r="AS1524" s="632">
        <f>AS1442</f>
        <v>2.5000000000000001E-3</v>
      </c>
      <c r="AT1524" s="632">
        <f>AT1442</f>
        <v>2.5000000000000001E-3</v>
      </c>
      <c r="AU1524" s="1709">
        <f>AVERAGE(AQ1524:AT1524)</f>
        <v>2.5000000000000001E-3</v>
      </c>
      <c r="AV1524" s="1936">
        <f>AV1442</f>
        <v>2.5000000000000001E-3</v>
      </c>
      <c r="AW1524" s="1851">
        <f>AW1442</f>
        <v>2.5000000000000001E-3</v>
      </c>
      <c r="AX1524" s="1851">
        <f>AX1442</f>
        <v>2.5000000000000001E-3</v>
      </c>
      <c r="AY1524" s="632">
        <f>AY1442</f>
        <v>2.5000000000000001E-3</v>
      </c>
      <c r="AZ1524" s="1709">
        <f>AVERAGE(AV1524:AY1524)</f>
        <v>2.5000000000000001E-3</v>
      </c>
      <c r="BA1524" s="1936">
        <f>BA1442</f>
        <v>2.5000000000000001E-3</v>
      </c>
      <c r="BB1524" s="1851">
        <f>BB1442</f>
        <v>2.5000000000000001E-3</v>
      </c>
      <c r="BC1524" s="1851">
        <f>BC1442</f>
        <v>2.5000000000000001E-3</v>
      </c>
      <c r="BD1524" s="632">
        <f>BD1442</f>
        <v>2.5000000000000001E-3</v>
      </c>
      <c r="BE1524" s="1709">
        <f>AVERAGE(BA1524:BD1524)</f>
        <v>2.5000000000000001E-3</v>
      </c>
      <c r="BF1524" s="1851">
        <f>BF1442</f>
        <v>3.2500000000000003E-3</v>
      </c>
      <c r="BG1524" s="1851">
        <f>BG1442</f>
        <v>3.2500000000000003E-3</v>
      </c>
      <c r="BH1524" s="1851">
        <f>BH1442</f>
        <v>3.2500000000000003E-3</v>
      </c>
      <c r="BI1524" s="632">
        <f>BI1442</f>
        <v>5.7499999999999999E-3</v>
      </c>
      <c r="BJ1524" s="1709">
        <f>AVERAGE(BF1524:BI1524)</f>
        <v>3.8750000000000004E-3</v>
      </c>
      <c r="BK1524" s="1851">
        <f>BK1442</f>
        <v>3.2500000000000003E-3</v>
      </c>
      <c r="BL1524" s="1851">
        <f>BL1442</f>
        <v>6.2500000000000003E-3</v>
      </c>
      <c r="BM1524" s="1851">
        <f>BM1442</f>
        <v>6.2500000000000003E-3</v>
      </c>
      <c r="BN1524" s="632">
        <f>BN1442</f>
        <v>8.7500000000000008E-3</v>
      </c>
      <c r="BO1524" s="1709">
        <f>AVERAGE(BK1524:BN1524)</f>
        <v>6.1250000000000002E-3</v>
      </c>
      <c r="BP1524" s="1851">
        <f>BP1442</f>
        <v>8.7500000000000008E-3</v>
      </c>
      <c r="BQ1524" s="1851">
        <f>BQ1442</f>
        <v>8.7500000000000008E-3</v>
      </c>
      <c r="BR1524" s="1851">
        <f>BR1442</f>
        <v>1.1250000000000001E-2</v>
      </c>
      <c r="BS1524" s="1851">
        <f>BS1442</f>
        <v>1.375E-2</v>
      </c>
      <c r="BT1524" s="3258">
        <f>AVERAGE(BP1524:BS1524)</f>
        <v>1.0625000000000001E-2</v>
      </c>
      <c r="BU1524" s="3428">
        <f>BU1442</f>
        <v>1.8749999999999999E-2</v>
      </c>
      <c r="BV1524" s="3310">
        <f>BV1442</f>
        <v>2.1250000000000002E-2</v>
      </c>
      <c r="BW1524" s="3310">
        <f>BW1442</f>
        <v>2.375E-2</v>
      </c>
      <c r="BX1524" s="3310">
        <f>BX1442</f>
        <v>2.6249999999999999E-2</v>
      </c>
      <c r="BY1524" s="3258">
        <f>AVERAGE(BU1524:BX1524)</f>
        <v>2.2499999999999999E-2</v>
      </c>
      <c r="BZ1524" s="631">
        <f t="shared" ref="BZ1524:CF1524" si="3478">BZ1442</f>
        <v>2.8749999999999998E-2</v>
      </c>
      <c r="CA1524" s="631">
        <f t="shared" si="3478"/>
        <v>3.1249999999999997E-2</v>
      </c>
      <c r="CB1524" s="631">
        <f t="shared" si="3478"/>
        <v>3.1249999999999997E-2</v>
      </c>
      <c r="CC1524" s="631">
        <f t="shared" si="3478"/>
        <v>3.1249999999999997E-2</v>
      </c>
      <c r="CD1524" s="631">
        <f t="shared" si="3478"/>
        <v>3.1249999999999997E-2</v>
      </c>
      <c r="CE1524" s="631">
        <f t="shared" si="3478"/>
        <v>3.1249999999999997E-2</v>
      </c>
      <c r="CF1524" s="631">
        <f t="shared" si="3478"/>
        <v>3.1249999999999997E-2</v>
      </c>
      <c r="CG1524" s="980"/>
      <c r="CH1524" s="980"/>
      <c r="CI1524" s="980"/>
      <c r="CJ1524" s="980"/>
      <c r="CK1524" s="980"/>
      <c r="CL1524" s="635" t="str">
        <f>A1524</f>
        <v>LIBOR</v>
      </c>
      <c r="CM1524" s="632">
        <f>G1524</f>
        <v>1.6212749999999998E-2</v>
      </c>
      <c r="CN1524" s="632">
        <f>L1524</f>
        <v>3.5609175E-2</v>
      </c>
      <c r="CO1524" s="632">
        <f>Q1524</f>
        <v>5.1973789682539684E-2</v>
      </c>
      <c r="CP1524" s="632">
        <f>V1524</f>
        <v>5.2842589364919396E-2</v>
      </c>
      <c r="CQ1524" s="632">
        <f>AA1524</f>
        <v>2.9161930769230772E-2</v>
      </c>
      <c r="CR1524" s="632">
        <f>AF1524</f>
        <v>6.9212500000000003E-3</v>
      </c>
      <c r="CS1524" s="632">
        <f>AK1524</f>
        <v>2.875E-3</v>
      </c>
      <c r="CT1524" s="632">
        <f>AP1524</f>
        <v>3.0000000000000001E-3</v>
      </c>
      <c r="CU1524" s="632">
        <f>AU1524</f>
        <v>2.5000000000000001E-3</v>
      </c>
      <c r="CV1524" s="632">
        <f>AZ1524</f>
        <v>2.5000000000000001E-3</v>
      </c>
      <c r="CW1524" s="632">
        <f>BE1524</f>
        <v>2.5000000000000001E-3</v>
      </c>
      <c r="CX1524" s="632">
        <f>BJ1524</f>
        <v>3.8750000000000004E-3</v>
      </c>
      <c r="CY1524" s="632">
        <f>BO1524</f>
        <v>6.1250000000000002E-3</v>
      </c>
      <c r="CZ1524" s="632">
        <f>BT1524</f>
        <v>1.0625000000000001E-2</v>
      </c>
      <c r="DA1524" s="632">
        <f t="shared" si="3476"/>
        <v>2.2499999999999999E-2</v>
      </c>
      <c r="DB1524" s="632">
        <f t="shared" si="3476"/>
        <v>2.8749999999999998E-2</v>
      </c>
      <c r="DC1524" s="2046">
        <f t="shared" si="3476"/>
        <v>3.1249999999999997E-2</v>
      </c>
      <c r="DD1524" s="980"/>
      <c r="DE1524" s="980"/>
      <c r="DF1524" s="981"/>
      <c r="DG1524" s="981"/>
      <c r="DH1524" s="3310"/>
      <c r="DI1524" s="3213"/>
      <c r="DJ1524" s="981"/>
      <c r="DK1524" s="981"/>
      <c r="DL1524" s="981"/>
      <c r="DM1524" s="981"/>
      <c r="DN1524" s="981"/>
      <c r="DO1524" s="981"/>
      <c r="DP1524" s="981"/>
      <c r="DQ1524" s="981"/>
      <c r="DR1524" s="630"/>
      <c r="DS1524" s="630"/>
      <c r="DT1524" s="630"/>
    </row>
    <row r="1525" spans="1:124" ht="12" customHeight="1" x14ac:dyDescent="0.25">
      <c r="A1525" s="669" t="s">
        <v>1813</v>
      </c>
      <c r="B1525" s="634"/>
      <c r="C1525" s="543">
        <f>((AVERAGE(B1522:C1522)*C$1523/4)-(AVERAGE(B1522:C1522)*C$1524/4))</f>
        <v>0.93646874999999996</v>
      </c>
      <c r="D1525" s="543">
        <f>((AVERAGE(C1522:D1522)*D$1523/4)-(AVERAGE(C1522:D1522)*D$1524/4))</f>
        <v>0.76003124999999994</v>
      </c>
      <c r="E1525" s="543">
        <f>((AVERAGE(D1522:E1522)*E$1523/4)-(AVERAGE(D1522:E1522)*E$1524/4))</f>
        <v>0.31639874999999984</v>
      </c>
      <c r="F1525" s="543">
        <f>((AVERAGE(E1522:F1522)*F$1523/4)-(AVERAGE(E1522:F1522)*F$1524/4))</f>
        <v>-0.12858437499999997</v>
      </c>
      <c r="G1525" s="510">
        <f>SUM(C1525:F1525)</f>
        <v>1.8843143749999998</v>
      </c>
      <c r="H1525" s="543">
        <f>((AVERAGE(G1522:H1522)*H$1523/4)-(AVERAGE(G1522:H1522)*H$1524/4))</f>
        <v>-0.17598750000000019</v>
      </c>
      <c r="I1525" s="543">
        <v>0</v>
      </c>
      <c r="J1525" s="543">
        <v>0</v>
      </c>
      <c r="K1525" s="543">
        <f>((AVERAGE(J1522:K1522)*K$1523/4)-(AVERAGE(J1522:K1522)*K$1524/4))</f>
        <v>0.44799599999999984</v>
      </c>
      <c r="L1525" s="510">
        <f>SUM(H1525:K1525)</f>
        <v>0.27200849999999965</v>
      </c>
      <c r="M1525" s="543">
        <f>((AVERAGE(L1522:M1522)*M$1523/4)-(AVERAGE(L1522:M1522)*M$1524/4))</f>
        <v>-0.13895999999999908</v>
      </c>
      <c r="N1525" s="543">
        <f>((AVERAGE(M1522:N1522)*N$1523/4)-(AVERAGE(M1522:N1522)*N$1524/4))</f>
        <v>-1.0539450000000006</v>
      </c>
      <c r="O1525" s="543">
        <f>((AVERAGE(N1522:O1522)*O$1523/4)-(AVERAGE(N1522:O1522)*O$1524/4))</f>
        <v>-1.8680000000000021</v>
      </c>
      <c r="P1525" s="543">
        <f>((AVERAGE(O1522:P1522)*P$1523/4)-(AVERAGE(O1522:P1522)*P$1524/4))</f>
        <v>-1.6657200000000003</v>
      </c>
      <c r="Q1525" s="510">
        <f>SUM(M1525:P1525)</f>
        <v>-4.7266250000000021</v>
      </c>
      <c r="R1525" s="543">
        <f>((AVERAGE(Q1522:R1522)*R$1523/4)-(AVERAGE(Q1522:R1522)*R$1524/4))</f>
        <v>-1.6237741935484138</v>
      </c>
      <c r="S1525" s="543">
        <f>((AVERAGE(R1522:S1522)*S$1523/4)-(AVERAGE(R1522:S1522)*S$1524/4))</f>
        <v>-1.6345546875000316</v>
      </c>
      <c r="T1525" s="543">
        <f>((AVERAGE(S1522:T1522)*T$1523/4)-(AVERAGE(S1522:T1522)*T$1524/4))</f>
        <v>-1.9996200000000037</v>
      </c>
      <c r="U1525" s="543">
        <f>((AVERAGE(T1522:U1522)*U$1523/4)-(AVERAGE(T1522:U1522)*U$1524/4))</f>
        <v>-0.41214383437499791</v>
      </c>
      <c r="V1525" s="510">
        <f>SUM(R1525:U1525)</f>
        <v>-5.6700927154234471</v>
      </c>
      <c r="W1525" s="543">
        <f>((AVERAGE(V1522:W1522)*W$1523/4)-(AVERAGE(V1522:W1522)*W$1524/4))</f>
        <v>7.0425944538461458</v>
      </c>
      <c r="X1525" s="543">
        <f>((AVERAGE(W1522:X1522)*X$1523/4)-(AVERAGE(W1522:X1522)*X$1524/4))</f>
        <v>8.7848999999999968</v>
      </c>
      <c r="Y1525" s="543">
        <f>((AVERAGE(X1522:Y1522)*Y$1523/4)-(AVERAGE(X1522:Y1522)*Y$1524/4))</f>
        <v>6.8267775000000004</v>
      </c>
      <c r="Z1525" s="543">
        <f>((AVERAGE(Y1522:Z1522)*Z$1523/4)-(AVERAGE(Y1522:Z1522)*Z$1524/4))</f>
        <v>4.4094995000000008</v>
      </c>
      <c r="AA1525" s="510">
        <f>SUM(W1525:Z1525)</f>
        <v>27.063771453846144</v>
      </c>
      <c r="AB1525" s="543">
        <f>((AVERAGE(AA1522:AB1522)*AB$1523/4)-(AVERAGE(AA1522:AB1522)*AB$1524/4))</f>
        <v>7.975274999999999</v>
      </c>
      <c r="AC1525" s="543">
        <f>((AVERAGE(AB1522:AC1522)*AC$1523/4)-(AVERAGE(AB1522:AC1522)*AC$1524/4))</f>
        <v>8.3037607499999986</v>
      </c>
      <c r="AD1525" s="543">
        <f>((AVERAGE(AC1522:AD1522)*AD$1523/4)-(AVERAGE(AC1522:AD1522)*AD$1524/4))</f>
        <v>11.634596999999999</v>
      </c>
      <c r="AE1525" s="608">
        <f>((AVERAGE(AD1522:AE1522)*AE$1523/4)-(AVERAGE(AD1522:AE1522)*AE$1524/4))</f>
        <v>10.12034225</v>
      </c>
      <c r="AF1525" s="481">
        <f>SUM(AB1525:AE1525)</f>
        <v>38.033974999999998</v>
      </c>
      <c r="AG1525" s="608">
        <f>((AVERAGE(AF1522:AG1522)*AG$1523/4)-(AVERAGE(AF1522:AG1522)*AG$1524/4))</f>
        <v>7.1920000000000002</v>
      </c>
      <c r="AH1525" s="608">
        <f>((AVERAGE(AG1522:AH1522)*AH$1523/4)-(AVERAGE(AG1522:AH1522)*AH$1524/4))</f>
        <v>4.4499999999999993</v>
      </c>
      <c r="AI1525" s="608">
        <f>((AVERAGE(AH1522:AI1522)*AI$1523/4)-(AVERAGE(AH1522:AI1522)*AI$1524/4))</f>
        <v>2.7</v>
      </c>
      <c r="AJ1525" s="608">
        <f>((AVERAGE(AI1522:AJ1522)*AJ$1523/4)-(AVERAGE(AI1522:AJ1522)*AJ$1524/4))</f>
        <v>2.7</v>
      </c>
      <c r="AK1525" s="481">
        <f>SUM(AG1525:AJ1525)</f>
        <v>17.041999999999998</v>
      </c>
      <c r="AL1525" s="608">
        <f>((AVERAGE(AK1522:AL1522)*AL$1523/4)-(AVERAGE(AK1522:AL1522)*AL$1524/4))</f>
        <v>2.7</v>
      </c>
      <c r="AM1525" s="608">
        <f>((AVERAGE(AL1522:AM1522)*AM$1523/4)-(AVERAGE(AL1522:AM1522)*AM$1524/4))</f>
        <v>2.7</v>
      </c>
      <c r="AN1525" s="608">
        <f>((AVERAGE(AM1522:AN1522)*AN$1523/4)-(AVERAGE(AM1522:AN1522)*AN$1524/4))</f>
        <v>2.4499999999999997</v>
      </c>
      <c r="AO1525" s="608">
        <f>((AVERAGE(AN1522:AO1522)*AO$1523/4)-(AVERAGE(AN1522:AO1522)*AO$1524/4))</f>
        <v>1.0999999999999999</v>
      </c>
      <c r="AP1525" s="483">
        <f>SUM(AL1525:AO1525)</f>
        <v>8.9499999999999993</v>
      </c>
      <c r="AQ1525" s="483">
        <f>((AVERAGE(AP1522:AQ1522)*AQ$1523/4)-(AVERAGE(AP1522:AQ1522)*AQ$1524/4))</f>
        <v>0</v>
      </c>
      <c r="AR1525" s="430">
        <f>((AVERAGE(AQ1522:AR1522)*AR$1523/4)-(AVERAGE(AQ1522:AR1522)*AR$1524/4))</f>
        <v>0</v>
      </c>
      <c r="AS1525" s="430">
        <f>((AVERAGE(AR1522:AS1522)*AS$1523/4)-(AVERAGE(AR1522:AS1522)*AS$1524/4))</f>
        <v>0</v>
      </c>
      <c r="AT1525" s="430">
        <f>((AVERAGE(AS1522:AT1522)*AT$1523/4)-(AVERAGE(AS1522:AT1522)*AT$1524/4))</f>
        <v>0</v>
      </c>
      <c r="AU1525" s="1684">
        <f>SUM(AQ1525:AT1525)</f>
        <v>0</v>
      </c>
      <c r="AV1525" s="1935">
        <f>((AVERAGE(AU1522:AV1522)*AV$1523/4)-(AVERAGE(AU1522:AV1522)*AV$1524/4))</f>
        <v>0</v>
      </c>
      <c r="AW1525" s="1850">
        <f>((AVERAGE(AV1522:AW1522)*AW$1523/4)-(AVERAGE(AV1522:AW1522)*AW$1524/4))</f>
        <v>0</v>
      </c>
      <c r="AX1525" s="1850">
        <f>((AVERAGE(AW1522:AX1522)*AX$1523/4)-(AVERAGE(AW1522:AX1522)*AX$1524/4))</f>
        <v>0</v>
      </c>
      <c r="AY1525" s="430">
        <f>((AVERAGE(AX1522:AY1522)*AY$1523/4)-(AVERAGE(AX1522:AY1522)*AY$1524/4))</f>
        <v>0</v>
      </c>
      <c r="AZ1525" s="1684">
        <f>SUM(AV1525:AY1525)</f>
        <v>0</v>
      </c>
      <c r="BA1525" s="1935">
        <f>((AVERAGE(AZ1522:BA1522)*BA$1523/4)-(AVERAGE(AZ1522:BA1522)*BA$1524/4))</f>
        <v>0</v>
      </c>
      <c r="BB1525" s="1850">
        <f>((AVERAGE(BA1522:BB1522)*BB$1523/4)-(AVERAGE(BA1522:BB1522)*BB$1524/4))</f>
        <v>0</v>
      </c>
      <c r="BC1525" s="1850">
        <f>((AVERAGE(BB1522:BC1522)*BC$1523/4)-(AVERAGE(BB1522:BC1522)*BC$1524/4))</f>
        <v>0</v>
      </c>
      <c r="BD1525" s="430">
        <f>((AVERAGE(BC1522:BD1522)*BD$1523/4)-(AVERAGE(BC1522:BD1522)*BD$1524/4))</f>
        <v>0</v>
      </c>
      <c r="BE1525" s="1684">
        <f>SUM(BA1525:BD1525)</f>
        <v>0</v>
      </c>
      <c r="BF1525" s="1850">
        <f>((AVERAGE(BE1522:BF1522)*BF$1523/4)-(AVERAGE(BE1522:BF1522)*BF$1524/4))</f>
        <v>0</v>
      </c>
      <c r="BG1525" s="1850">
        <f>((AVERAGE(BF1522:BG1522)*BG$1523/4)-(AVERAGE(BF1522:BG1522)*BG$1524/4))</f>
        <v>0</v>
      </c>
      <c r="BH1525" s="1850">
        <f>((AVERAGE(BG1522:BH1522)*BH$1523/4)-(AVERAGE(BG1522:BH1522)*BH$1524/4))</f>
        <v>0</v>
      </c>
      <c r="BI1525" s="430">
        <f>((AVERAGE(BH1522:BI1522)*BI$1523/4)-(AVERAGE(BH1522:BI1522)*BI$1524/4))</f>
        <v>0</v>
      </c>
      <c r="BJ1525" s="1684">
        <f>SUM(BF1525:BI1525)</f>
        <v>0</v>
      </c>
      <c r="BK1525" s="1850">
        <f>((AVERAGE(BJ1522:BK1522)*BK$1523/4)-(AVERAGE(BJ1522:BK1522)*BK$1524/4))</f>
        <v>0</v>
      </c>
      <c r="BL1525" s="1850">
        <f>((AVERAGE(BK1522:BL1522)*BL$1523/4)-(AVERAGE(BK1522:BL1522)*BL$1524/4))</f>
        <v>0</v>
      </c>
      <c r="BM1525" s="1850">
        <f>((AVERAGE(BL1522:BM1522)*BM$1523/4)-(AVERAGE(BL1522:BM1522)*BM$1524/4))</f>
        <v>0</v>
      </c>
      <c r="BN1525" s="430">
        <f>((AVERAGE(BM1522:BN1522)*BN$1523/4)-(AVERAGE(BM1522:BN1522)*BN$1524/4))</f>
        <v>0</v>
      </c>
      <c r="BO1525" s="1684">
        <f>SUM(BK1525:BN1525)</f>
        <v>0</v>
      </c>
      <c r="BP1525" s="1850">
        <f>((AVERAGE(BO1522:BP1522)*BP$1523/4)-(AVERAGE(BO1522:BP1522)*BP$1524/4))</f>
        <v>0</v>
      </c>
      <c r="BQ1525" s="1850">
        <f>((AVERAGE(BP1522:BQ1522)*BQ$1523/4)-(AVERAGE(BP1522:BQ1522)*BQ$1524/4))</f>
        <v>0</v>
      </c>
      <c r="BR1525" s="1850">
        <f>((AVERAGE(BQ1522:BR1522)*BR$1523/4)-(AVERAGE(BQ1522:BR1522)*BR$1524/4))</f>
        <v>0</v>
      </c>
      <c r="BS1525" s="1850">
        <f>((AVERAGE(BR1522:BS1522)*BS$1523/4)-(AVERAGE(BR1522:BS1522)*BS$1524/4))</f>
        <v>0</v>
      </c>
      <c r="BT1525" s="2587">
        <f>SUM(BP1525:BS1525)</f>
        <v>0</v>
      </c>
      <c r="BU1525" s="1850">
        <f>((AVERAGE(BT1522:BU1522)*BU$1523/4)-(AVERAGE(BT1522:BU1522)*BU$1524/4))</f>
        <v>0</v>
      </c>
      <c r="BV1525" s="1850">
        <f>((AVERAGE(BU1522:BV1522)*BV$1523/4)-(AVERAGE(BU1522:BV1522)*BV$1524/4))</f>
        <v>0</v>
      </c>
      <c r="BW1525" s="1850">
        <f>((AVERAGE(BV1522:BW1522)*BW$1523/4)-(AVERAGE(BV1522:BW1522)*BW$1524/4))</f>
        <v>0</v>
      </c>
      <c r="BX1525" s="1850">
        <f>((AVERAGE(BW1522:BX1522)*BX$1523/4)-(AVERAGE(BW1522:BX1522)*BX$1524/4))</f>
        <v>0</v>
      </c>
      <c r="BY1525" s="2587">
        <f>SUM(BU1525:BX1525)</f>
        <v>0</v>
      </c>
      <c r="BZ1525" s="481">
        <f t="shared" ref="BZ1525:CF1525" si="3479">((AVERAGE(BY1522:BZ1522)*BZ$1523)-(AVERAGE(BY1522:BZ1522)*BZ$1524))</f>
        <v>0</v>
      </c>
      <c r="CA1525" s="481">
        <f t="shared" si="3479"/>
        <v>0</v>
      </c>
      <c r="CB1525" s="481">
        <f t="shared" si="3479"/>
        <v>0</v>
      </c>
      <c r="CC1525" s="481">
        <f t="shared" si="3479"/>
        <v>0</v>
      </c>
      <c r="CD1525" s="481">
        <f t="shared" si="3479"/>
        <v>0</v>
      </c>
      <c r="CE1525" s="481">
        <f t="shared" si="3479"/>
        <v>0</v>
      </c>
      <c r="CF1525" s="481">
        <f t="shared" si="3479"/>
        <v>0</v>
      </c>
      <c r="CG1525" s="982"/>
      <c r="CH1525" s="982"/>
      <c r="CI1525" s="982"/>
      <c r="CJ1525" s="982"/>
      <c r="CK1525" s="982"/>
      <c r="CL1525" s="670" t="str">
        <f>A1525</f>
        <v xml:space="preserve">Impact on int. exp. </v>
      </c>
      <c r="CM1525" s="430">
        <f>G1525</f>
        <v>1.8843143749999998</v>
      </c>
      <c r="CN1525" s="430">
        <f>L1525</f>
        <v>0.27200849999999965</v>
      </c>
      <c r="CO1525" s="430">
        <f>Q1525</f>
        <v>-4.7266250000000021</v>
      </c>
      <c r="CP1525" s="430">
        <f>V1525</f>
        <v>-5.6700927154234471</v>
      </c>
      <c r="CQ1525" s="430">
        <f>AA1525</f>
        <v>27.063771453846144</v>
      </c>
      <c r="CR1525" s="430">
        <f>AF1525</f>
        <v>38.033974999999998</v>
      </c>
      <c r="CS1525" s="430">
        <f>AK1525</f>
        <v>17.041999999999998</v>
      </c>
      <c r="CT1525" s="430">
        <f>AP1525</f>
        <v>8.9499999999999993</v>
      </c>
      <c r="CU1525" s="430">
        <f>AU1525</f>
        <v>0</v>
      </c>
      <c r="CV1525" s="430">
        <f>AZ1525</f>
        <v>0</v>
      </c>
      <c r="CW1525" s="430">
        <f>BE1525</f>
        <v>0</v>
      </c>
      <c r="CX1525" s="430">
        <f>BJ1525</f>
        <v>0</v>
      </c>
      <c r="CY1525" s="430">
        <f>BO1525</f>
        <v>0</v>
      </c>
      <c r="CZ1525" s="430">
        <f>BT1525</f>
        <v>0</v>
      </c>
      <c r="DA1525" s="430">
        <f t="shared" si="3476"/>
        <v>0</v>
      </c>
      <c r="DB1525" s="430">
        <f t="shared" si="3476"/>
        <v>0</v>
      </c>
      <c r="DC1525" s="853">
        <f t="shared" si="3476"/>
        <v>0</v>
      </c>
      <c r="DD1525" s="982"/>
      <c r="DE1525" s="982"/>
      <c r="DF1525" s="983"/>
      <c r="DG1525" s="983"/>
      <c r="DH1525" s="2840"/>
      <c r="DI1525" s="3213"/>
      <c r="DJ1525" s="983"/>
      <c r="DK1525" s="983"/>
      <c r="DL1525" s="983"/>
      <c r="DM1525" s="983"/>
      <c r="DN1525" s="983"/>
      <c r="DO1525" s="983"/>
      <c r="DP1525" s="983"/>
      <c r="DQ1525" s="983"/>
      <c r="DR1525" s="667"/>
      <c r="DS1525" s="667"/>
      <c r="DT1525" s="667"/>
    </row>
    <row r="1526" spans="1:124" ht="12" customHeight="1" x14ac:dyDescent="0.25">
      <c r="A1526" s="662"/>
      <c r="B1526" s="664"/>
      <c r="C1526" s="665"/>
      <c r="D1526" s="665"/>
      <c r="E1526" s="665"/>
      <c r="F1526" s="665"/>
      <c r="G1526" s="666"/>
      <c r="H1526" s="665"/>
      <c r="I1526" s="665"/>
      <c r="J1526" s="665"/>
      <c r="K1526" s="665"/>
      <c r="L1526" s="666"/>
      <c r="M1526" s="665"/>
      <c r="N1526" s="665"/>
      <c r="O1526" s="665"/>
      <c r="P1526" s="665"/>
      <c r="Q1526" s="666"/>
      <c r="R1526" s="665"/>
      <c r="S1526" s="665"/>
      <c r="T1526" s="665"/>
      <c r="U1526" s="665"/>
      <c r="V1526" s="666"/>
      <c r="W1526" s="663"/>
      <c r="X1526" s="663"/>
      <c r="Y1526" s="663"/>
      <c r="Z1526" s="665"/>
      <c r="AA1526" s="666"/>
      <c r="AB1526" s="663"/>
      <c r="AC1526" s="663"/>
      <c r="AD1526" s="663"/>
      <c r="AE1526" s="667"/>
      <c r="AF1526" s="668"/>
      <c r="AG1526" s="667"/>
      <c r="AH1526" s="667"/>
      <c r="AI1526" s="667"/>
      <c r="AJ1526" s="667"/>
      <c r="AK1526" s="668"/>
      <c r="AL1526" s="669"/>
      <c r="AM1526" s="669"/>
      <c r="AN1526" s="669"/>
      <c r="AO1526" s="669"/>
      <c r="AP1526" s="670"/>
      <c r="AQ1526" s="670"/>
      <c r="AR1526" s="669"/>
      <c r="AS1526" s="669"/>
      <c r="AT1526" s="669"/>
      <c r="AU1526" s="668"/>
      <c r="AV1526" s="670"/>
      <c r="AW1526" s="669"/>
      <c r="AX1526" s="669"/>
      <c r="AY1526" s="1937"/>
      <c r="AZ1526" s="668"/>
      <c r="BA1526" s="670"/>
      <c r="BB1526" s="669"/>
      <c r="BC1526" s="669"/>
      <c r="BD1526" s="1937"/>
      <c r="BE1526" s="668"/>
      <c r="BF1526" s="669"/>
      <c r="BG1526" s="669"/>
      <c r="BH1526" s="669"/>
      <c r="BI1526" s="1937"/>
      <c r="BJ1526" s="668"/>
      <c r="BK1526" s="669"/>
      <c r="BL1526" s="669"/>
      <c r="BM1526" s="669"/>
      <c r="BN1526" s="1937"/>
      <c r="BO1526" s="668"/>
      <c r="BP1526" s="669"/>
      <c r="BQ1526" s="669"/>
      <c r="BR1526" s="669"/>
      <c r="BS1526" s="669"/>
      <c r="BT1526" s="3262"/>
      <c r="BU1526" s="3430"/>
      <c r="BV1526" s="3314"/>
      <c r="BW1526" s="3314"/>
      <c r="BX1526" s="3314"/>
      <c r="BY1526" s="3262"/>
      <c r="BZ1526" s="668"/>
      <c r="CA1526" s="668"/>
      <c r="CB1526" s="668"/>
      <c r="CC1526" s="668"/>
      <c r="CD1526" s="668"/>
      <c r="CE1526" s="668"/>
      <c r="CF1526" s="668"/>
      <c r="CG1526" s="982"/>
      <c r="CH1526" s="982"/>
      <c r="CI1526" s="982"/>
      <c r="CJ1526" s="982"/>
      <c r="CK1526" s="982"/>
      <c r="CL1526" s="670"/>
      <c r="CM1526" s="669"/>
      <c r="CN1526" s="669"/>
      <c r="CO1526" s="669"/>
      <c r="CP1526" s="669"/>
      <c r="CQ1526" s="669"/>
      <c r="CR1526" s="669"/>
      <c r="CS1526" s="669"/>
      <c r="CT1526" s="669"/>
      <c r="CU1526" s="669"/>
      <c r="CV1526" s="669"/>
      <c r="CW1526" s="669"/>
      <c r="CX1526" s="669"/>
      <c r="CY1526" s="669"/>
      <c r="CZ1526" s="669"/>
      <c r="DA1526" s="669"/>
      <c r="DB1526" s="669"/>
      <c r="DC1526" s="1937"/>
      <c r="DD1526" s="982"/>
      <c r="DE1526" s="982"/>
      <c r="DF1526" s="983"/>
      <c r="DG1526" s="983"/>
      <c r="DH1526" s="3314"/>
      <c r="DI1526" s="3213"/>
      <c r="DJ1526" s="983"/>
      <c r="DK1526" s="983"/>
      <c r="DL1526" s="983"/>
      <c r="DM1526" s="983"/>
      <c r="DN1526" s="983"/>
      <c r="DO1526" s="983"/>
      <c r="DP1526" s="983"/>
      <c r="DQ1526" s="983"/>
      <c r="DR1526" s="667"/>
      <c r="DS1526" s="667"/>
      <c r="DT1526" s="667"/>
    </row>
    <row r="1527" spans="1:124" ht="12" customHeight="1" x14ac:dyDescent="0.25">
      <c r="A1527" s="659" t="s">
        <v>2012</v>
      </c>
      <c r="B1527" s="281"/>
      <c r="C1527" s="305"/>
      <c r="D1527" s="305"/>
      <c r="E1527" s="305"/>
      <c r="F1527" s="305"/>
      <c r="G1527" s="440"/>
      <c r="H1527" s="305"/>
      <c r="I1527" s="305"/>
      <c r="J1527" s="305"/>
      <c r="K1527" s="305"/>
      <c r="L1527" s="440"/>
      <c r="M1527" s="305"/>
      <c r="N1527" s="305"/>
      <c r="O1527" s="305"/>
      <c r="P1527" s="305"/>
      <c r="Q1527" s="440"/>
      <c r="R1527" s="305"/>
      <c r="S1527" s="305"/>
      <c r="T1527" s="305"/>
      <c r="U1527" s="305"/>
      <c r="V1527" s="440"/>
      <c r="W1527" s="305"/>
      <c r="X1527" s="305"/>
      <c r="Y1527" s="305"/>
      <c r="Z1527" s="305"/>
      <c r="AA1527" s="440"/>
      <c r="AB1527" s="305"/>
      <c r="AC1527" s="305"/>
      <c r="AD1527" s="305"/>
      <c r="AE1527" s="331"/>
      <c r="AF1527" s="441"/>
      <c r="AG1527" s="331"/>
      <c r="AH1527" s="331"/>
      <c r="AI1527" s="331"/>
      <c r="AJ1527" s="331"/>
      <c r="AK1527" s="441"/>
      <c r="AL1527" s="442"/>
      <c r="AM1527" s="442"/>
      <c r="AN1527" s="442"/>
      <c r="AO1527" s="442"/>
      <c r="AP1527" s="443"/>
      <c r="AQ1527" s="443"/>
      <c r="AR1527" s="331"/>
      <c r="AS1527" s="331"/>
      <c r="AT1527" s="331"/>
      <c r="AU1527" s="349"/>
      <c r="AV1527" s="443"/>
      <c r="AW1527" s="331"/>
      <c r="AX1527" s="331"/>
      <c r="AY1527" s="1306"/>
      <c r="AZ1527" s="349"/>
      <c r="BA1527" s="443"/>
      <c r="BB1527" s="331"/>
      <c r="BC1527" s="331"/>
      <c r="BD1527" s="1306"/>
      <c r="BE1527" s="349"/>
      <c r="BF1527" s="331"/>
      <c r="BG1527" s="331"/>
      <c r="BH1527" s="331"/>
      <c r="BI1527" s="1306"/>
      <c r="BJ1527" s="349"/>
      <c r="BK1527" s="331"/>
      <c r="BL1527" s="331"/>
      <c r="BM1527" s="331"/>
      <c r="BN1527" s="1306"/>
      <c r="BO1527" s="349"/>
      <c r="BP1527" s="331"/>
      <c r="BQ1527" s="331"/>
      <c r="BR1527" s="331"/>
      <c r="BS1527" s="331"/>
      <c r="BT1527" s="3222"/>
      <c r="BU1527" s="3393"/>
      <c r="BV1527" s="2601"/>
      <c r="BW1527" s="2601"/>
      <c r="BX1527" s="2601"/>
      <c r="BY1527" s="3222"/>
      <c r="BZ1527" s="349"/>
      <c r="CA1527" s="349"/>
      <c r="CB1527" s="349"/>
      <c r="CC1527" s="349"/>
      <c r="CD1527" s="349"/>
      <c r="CE1527" s="349"/>
      <c r="CF1527" s="349"/>
      <c r="CG1527" s="331"/>
      <c r="CH1527" s="331"/>
      <c r="CI1527" s="331"/>
      <c r="CJ1527" s="331"/>
      <c r="CK1527" s="331"/>
      <c r="CL1527" s="2042" t="str">
        <f t="shared" ref="CL1527:CL1536" si="3480">A1527</f>
        <v>Property Depreciation</v>
      </c>
      <c r="CM1527" s="331"/>
      <c r="CN1527" s="331"/>
      <c r="CO1527" s="331"/>
      <c r="CP1527" s="331"/>
      <c r="CQ1527" s="331"/>
      <c r="CR1527" s="331"/>
      <c r="CS1527" s="331"/>
      <c r="CT1527" s="331"/>
      <c r="CU1527" s="331"/>
      <c r="CV1527" s="331"/>
      <c r="CW1527" s="331"/>
      <c r="CX1527" s="331"/>
      <c r="CY1527" s="331"/>
      <c r="CZ1527" s="331"/>
      <c r="DA1527" s="331"/>
      <c r="DB1527" s="331"/>
      <c r="DC1527" s="1306"/>
      <c r="DD1527" s="331"/>
      <c r="DE1527" s="331"/>
      <c r="DF1527" s="502"/>
      <c r="DG1527" s="503"/>
      <c r="DH1527" s="2601"/>
      <c r="DI1527" s="3213"/>
      <c r="DJ1527" s="502"/>
      <c r="DK1527" s="503"/>
      <c r="DL1527" s="502"/>
      <c r="DM1527" s="502"/>
      <c r="DN1527" s="502"/>
      <c r="DO1527" s="502"/>
      <c r="DP1527" s="503"/>
      <c r="DQ1527" s="503"/>
      <c r="DR1527" s="296"/>
      <c r="DS1527" s="296"/>
      <c r="DT1527" s="296"/>
    </row>
    <row r="1528" spans="1:124" ht="12" customHeight="1" x14ac:dyDescent="0.25">
      <c r="A1528" s="671" t="s">
        <v>1788</v>
      </c>
      <c r="B1528" s="281"/>
      <c r="C1528" s="446">
        <f>C356</f>
        <v>4.6130000000000004</v>
      </c>
      <c r="D1528" s="446">
        <f>D356</f>
        <v>4.6900000000000004</v>
      </c>
      <c r="E1528" s="446">
        <f>E356</f>
        <v>4.577</v>
      </c>
      <c r="F1528" s="446">
        <f>F356</f>
        <v>4.181</v>
      </c>
      <c r="G1528" s="447">
        <f t="shared" ref="G1528:G1556" si="3481">SUM(C1528:F1528)</f>
        <v>18.061</v>
      </c>
      <c r="H1528" s="446">
        <f>H356</f>
        <v>4.1289999999999996</v>
      </c>
      <c r="I1528" s="446">
        <f>I356</f>
        <v>4.5670000000000002</v>
      </c>
      <c r="J1528" s="446">
        <f>J356</f>
        <v>4.8280000000000003</v>
      </c>
      <c r="K1528" s="446">
        <f>K356</f>
        <v>4.7610000000000001</v>
      </c>
      <c r="L1528" s="447">
        <f t="shared" ref="L1528:L1556" si="3482">SUM(H1528:K1528)</f>
        <v>18.285</v>
      </c>
      <c r="M1528" s="446">
        <f>M356</f>
        <v>4.657</v>
      </c>
      <c r="N1528" s="446">
        <f>N356</f>
        <v>4.8710000000000004</v>
      </c>
      <c r="O1528" s="446">
        <f>O356</f>
        <v>5.7119999999999997</v>
      </c>
      <c r="P1528" s="446">
        <f>P356</f>
        <v>5.681</v>
      </c>
      <c r="Q1528" s="447">
        <f t="shared" ref="Q1528:Q1556" si="3483">SUM(M1528:P1528)</f>
        <v>20.920999999999999</v>
      </c>
      <c r="R1528" s="446">
        <f>R356</f>
        <v>6.0620000000000003</v>
      </c>
      <c r="S1528" s="446">
        <f>S356</f>
        <v>6.4720000000000004</v>
      </c>
      <c r="T1528" s="446">
        <f>T356</f>
        <v>6.0679999999999996</v>
      </c>
      <c r="U1528" s="446">
        <f>U356</f>
        <v>5.7960000000000003</v>
      </c>
      <c r="V1528" s="447">
        <f t="shared" ref="V1528:V1556" si="3484">SUM(R1528:U1528)</f>
        <v>24.398</v>
      </c>
      <c r="W1528" s="446">
        <f>W356</f>
        <v>5.7560000000000002</v>
      </c>
      <c r="X1528" s="446">
        <f>X356</f>
        <v>5.9459999999999997</v>
      </c>
      <c r="Y1528" s="446">
        <f>Y356</f>
        <v>5.6349999999999998</v>
      </c>
      <c r="Z1528" s="446">
        <f>Z356</f>
        <v>5.8449999999999998</v>
      </c>
      <c r="AA1528" s="447">
        <f t="shared" ref="AA1528:AA1556" si="3485">SUM(W1528:Z1528)</f>
        <v>23.181999999999999</v>
      </c>
      <c r="AB1528" s="446">
        <f>AB356</f>
        <v>6.0380000000000003</v>
      </c>
      <c r="AC1528" s="446">
        <f>AC356</f>
        <v>6.1509999999999998</v>
      </c>
      <c r="AD1528" s="446">
        <f>AD356</f>
        <v>6.0839999999999996</v>
      </c>
      <c r="AE1528" s="454">
        <f>AE356</f>
        <v>6.3739999999999997</v>
      </c>
      <c r="AF1528" s="455">
        <f t="shared" ref="AF1528:AF1556" si="3486">SUM(AB1528:AE1528)</f>
        <v>24.646999999999998</v>
      </c>
      <c r="AG1528" s="454">
        <f>AG356</f>
        <v>6.2640000000000002</v>
      </c>
      <c r="AH1528" s="446">
        <f>AH356</f>
        <v>5.9409999999999998</v>
      </c>
      <c r="AI1528" s="446">
        <f>AI356</f>
        <v>6.0049999999999999</v>
      </c>
      <c r="AJ1528" s="454">
        <f>AJ356</f>
        <v>6.1929999999999996</v>
      </c>
      <c r="AK1528" s="455">
        <f t="shared" ref="AK1528:AK1542" si="3487">SUM(AG1528:AJ1528)</f>
        <v>24.402999999999999</v>
      </c>
      <c r="AL1528" s="446">
        <f>AL356</f>
        <v>6.1449999999999996</v>
      </c>
      <c r="AM1528" s="446">
        <f>AM356</f>
        <v>6.258</v>
      </c>
      <c r="AN1528" s="446">
        <f>AN356</f>
        <v>6.258</v>
      </c>
      <c r="AO1528" s="454">
        <f>AO356</f>
        <v>6.258</v>
      </c>
      <c r="AP1528" s="456">
        <f t="shared" ref="AP1528:AP1542" si="3488">SUM(AL1528:AO1528)</f>
        <v>24.918999999999997</v>
      </c>
      <c r="AQ1528" s="456">
        <f>AQ356</f>
        <v>6.258</v>
      </c>
      <c r="AR1528" s="454">
        <f>AR356</f>
        <v>6.258</v>
      </c>
      <c r="AS1528" s="454">
        <f>AS356</f>
        <v>6.258</v>
      </c>
      <c r="AT1528" s="454">
        <f>AT356</f>
        <v>6.258</v>
      </c>
      <c r="AU1528" s="455">
        <f t="shared" ref="AU1528:AU1542" si="3489">SUM(AQ1528:AT1528)</f>
        <v>25.032</v>
      </c>
      <c r="AV1528" s="456">
        <f>AV356</f>
        <v>6.258</v>
      </c>
      <c r="AW1528" s="454">
        <f>AW356</f>
        <v>6.258</v>
      </c>
      <c r="AX1528" s="454">
        <f>AX356</f>
        <v>6.258</v>
      </c>
      <c r="AY1528" s="1666">
        <f>AY356</f>
        <v>6.258</v>
      </c>
      <c r="AZ1528" s="455">
        <f t="shared" ref="AZ1528:AZ1554" si="3490">SUM(AV1528:AY1528)</f>
        <v>25.032</v>
      </c>
      <c r="BA1528" s="456">
        <f>BA356</f>
        <v>6.258</v>
      </c>
      <c r="BB1528" s="454">
        <f>BB356</f>
        <v>6.258</v>
      </c>
      <c r="BC1528" s="454">
        <f>BC356</f>
        <v>6.258</v>
      </c>
      <c r="BD1528" s="1666">
        <f>BD356</f>
        <v>6.258</v>
      </c>
      <c r="BE1528" s="455">
        <f t="shared" ref="BE1528:BE1542" si="3491">SUM(BA1528:BD1528)</f>
        <v>25.032</v>
      </c>
      <c r="BF1528" s="454">
        <f>BF356</f>
        <v>6.258</v>
      </c>
      <c r="BG1528" s="454">
        <f>BG356</f>
        <v>6.258</v>
      </c>
      <c r="BH1528" s="454">
        <f>BH356</f>
        <v>6.258</v>
      </c>
      <c r="BI1528" s="1666">
        <f>BI356</f>
        <v>6.258</v>
      </c>
      <c r="BJ1528" s="455">
        <f t="shared" ref="BJ1528:BJ1542" si="3492">SUM(BF1528:BI1528)</f>
        <v>25.032</v>
      </c>
      <c r="BK1528" s="454">
        <f>BK356</f>
        <v>6.258</v>
      </c>
      <c r="BL1528" s="454">
        <f>BL356</f>
        <v>6.258</v>
      </c>
      <c r="BM1528" s="454">
        <f>BM356</f>
        <v>6.258</v>
      </c>
      <c r="BN1528" s="1666">
        <f>BN356</f>
        <v>6.258</v>
      </c>
      <c r="BO1528" s="455">
        <f t="shared" ref="BO1528:BO1543" si="3493">SUM(BK1528:BN1528)</f>
        <v>25.032</v>
      </c>
      <c r="BP1528" s="454">
        <f>BP356</f>
        <v>6.258</v>
      </c>
      <c r="BQ1528" s="454">
        <f>BQ356</f>
        <v>6.258</v>
      </c>
      <c r="BR1528" s="454">
        <f>BR356</f>
        <v>6.258</v>
      </c>
      <c r="BS1528" s="454">
        <f>BS356</f>
        <v>6.258</v>
      </c>
      <c r="BT1528" s="3066">
        <f t="shared" ref="BT1528:BT1543" si="3494">SUM(BP1528:BS1528)</f>
        <v>25.032</v>
      </c>
      <c r="BU1528" s="2915">
        <f>BU356</f>
        <v>6.258</v>
      </c>
      <c r="BV1528" s="2915">
        <f>BV356</f>
        <v>6.258</v>
      </c>
      <c r="BW1528" s="2915">
        <f>BW356</f>
        <v>6.258</v>
      </c>
      <c r="BX1528" s="2915">
        <f>BX356</f>
        <v>6.258</v>
      </c>
      <c r="BY1528" s="3066">
        <f t="shared" ref="BY1528:BY1536" si="3495">SUM(BU1528:BX1528)</f>
        <v>25.032</v>
      </c>
      <c r="BZ1528" s="455">
        <f t="shared" ref="BZ1528:CF1528" si="3496">BZ356</f>
        <v>25.032</v>
      </c>
      <c r="CA1528" s="455">
        <f t="shared" si="3496"/>
        <v>25.032</v>
      </c>
      <c r="CB1528" s="455">
        <f t="shared" si="3496"/>
        <v>25.032</v>
      </c>
      <c r="CC1528" s="455">
        <f t="shared" si="3496"/>
        <v>25.032</v>
      </c>
      <c r="CD1528" s="455">
        <f t="shared" si="3496"/>
        <v>25.032</v>
      </c>
      <c r="CE1528" s="455">
        <f t="shared" si="3496"/>
        <v>25.032</v>
      </c>
      <c r="CF1528" s="455">
        <f t="shared" si="3496"/>
        <v>25.032</v>
      </c>
      <c r="CG1528" s="331"/>
      <c r="CH1528" s="331"/>
      <c r="CI1528" s="331"/>
      <c r="CJ1528" s="331"/>
      <c r="CK1528" s="331"/>
      <c r="CL1528" s="2051" t="str">
        <f t="shared" si="3480"/>
        <v>Hollywood at Charles Town Races (WV)</v>
      </c>
      <c r="CM1528" s="454">
        <f t="shared" ref="CM1528:CM1536" si="3497">G1528</f>
        <v>18.061</v>
      </c>
      <c r="CN1528" s="454">
        <f t="shared" ref="CN1528:CN1536" si="3498">L1528</f>
        <v>18.285</v>
      </c>
      <c r="CO1528" s="454">
        <f t="shared" ref="CO1528:CO1536" si="3499">Q1528</f>
        <v>20.920999999999999</v>
      </c>
      <c r="CP1528" s="454">
        <f t="shared" ref="CP1528:CP1536" si="3500">V1528</f>
        <v>24.398</v>
      </c>
      <c r="CQ1528" s="454">
        <f t="shared" ref="CQ1528:CQ1536" si="3501">AA1528</f>
        <v>23.181999999999999</v>
      </c>
      <c r="CR1528" s="454">
        <f t="shared" ref="CR1528:CR1536" si="3502">AF1528</f>
        <v>24.646999999999998</v>
      </c>
      <c r="CS1528" s="454">
        <f t="shared" ref="CS1528:CS1536" si="3503">AK1528</f>
        <v>24.402999999999999</v>
      </c>
      <c r="CT1528" s="454">
        <f t="shared" ref="CT1528:CT1536" si="3504">AP1528</f>
        <v>24.918999999999997</v>
      </c>
      <c r="CU1528" s="454">
        <f t="shared" ref="CU1528:CU1536" si="3505">AU1528</f>
        <v>25.032</v>
      </c>
      <c r="CV1528" s="454">
        <f t="shared" ref="CV1528:CV1536" si="3506">AZ1528</f>
        <v>25.032</v>
      </c>
      <c r="CW1528" s="454">
        <f t="shared" ref="CW1528:CW1536" si="3507">BE1528</f>
        <v>25.032</v>
      </c>
      <c r="CX1528" s="454">
        <f t="shared" ref="CX1528:CX1536" si="3508">BJ1528</f>
        <v>25.032</v>
      </c>
      <c r="CY1528" s="454">
        <f t="shared" ref="CY1528:CY1536" si="3509">BO1528</f>
        <v>25.032</v>
      </c>
      <c r="CZ1528" s="454">
        <f t="shared" ref="CZ1528:CZ1536" si="3510">BT1528</f>
        <v>25.032</v>
      </c>
      <c r="DA1528" s="454">
        <f t="shared" ref="DA1528:DA1549" si="3511">BY1528</f>
        <v>25.032</v>
      </c>
      <c r="DB1528" s="454">
        <f t="shared" ref="DB1528:DB1549" si="3512">BZ1528</f>
        <v>25.032</v>
      </c>
      <c r="DC1528" s="1666">
        <f t="shared" ref="DC1528:DC1549" si="3513">CA1528</f>
        <v>25.032</v>
      </c>
      <c r="DD1528" s="331"/>
      <c r="DE1528" s="331"/>
      <c r="DF1528" s="502"/>
      <c r="DG1528" s="503"/>
      <c r="DH1528" s="2915"/>
      <c r="DI1528" s="3213"/>
      <c r="DJ1528" s="502"/>
      <c r="DK1528" s="503"/>
      <c r="DL1528" s="502"/>
      <c r="DM1528" s="502"/>
      <c r="DN1528" s="502"/>
      <c r="DO1528" s="502"/>
      <c r="DP1528" s="503"/>
      <c r="DQ1528" s="503"/>
      <c r="DR1528" s="296"/>
      <c r="DS1528" s="296"/>
      <c r="DT1528" s="296"/>
    </row>
    <row r="1529" spans="1:124" ht="12" customHeight="1" x14ac:dyDescent="0.25">
      <c r="A1529" s="671" t="s">
        <v>1092</v>
      </c>
      <c r="B1529" s="281"/>
      <c r="C1529" s="446"/>
      <c r="D1529" s="446"/>
      <c r="E1529" s="446"/>
      <c r="F1529" s="446"/>
      <c r="G1529" s="447">
        <f t="shared" si="3481"/>
        <v>0</v>
      </c>
      <c r="H1529" s="446"/>
      <c r="I1529" s="446"/>
      <c r="J1529" s="446"/>
      <c r="K1529" s="446">
        <f>K903</f>
        <v>3.8180000000000001</v>
      </c>
      <c r="L1529" s="447">
        <f t="shared" si="3482"/>
        <v>3.8180000000000001</v>
      </c>
      <c r="M1529" s="446">
        <f>M903</f>
        <v>4.6349999999999998</v>
      </c>
      <c r="N1529" s="446">
        <f>N903</f>
        <v>4.2560000000000002</v>
      </c>
      <c r="O1529" s="446">
        <f>O903</f>
        <v>4.2729999999999997</v>
      </c>
      <c r="P1529" s="446">
        <f>P903</f>
        <v>4.3099999999999996</v>
      </c>
      <c r="Q1529" s="447">
        <f t="shared" si="3483"/>
        <v>17.474</v>
      </c>
      <c r="R1529" s="446">
        <f>R903</f>
        <v>4.2919999999999998</v>
      </c>
      <c r="S1529" s="446">
        <f>S903</f>
        <v>4.2919999999999998</v>
      </c>
      <c r="T1529" s="446">
        <f>T903</f>
        <v>4.3120000000000003</v>
      </c>
      <c r="U1529" s="446">
        <f>U903</f>
        <v>4.306</v>
      </c>
      <c r="V1529" s="447">
        <f t="shared" si="3484"/>
        <v>17.202000000000002</v>
      </c>
      <c r="W1529" s="446">
        <f>W903</f>
        <v>4.3540000000000001</v>
      </c>
      <c r="X1529" s="446">
        <f>X903</f>
        <v>4.3209999999999997</v>
      </c>
      <c r="Y1529" s="446">
        <f>Y903</f>
        <v>4.67</v>
      </c>
      <c r="Z1529" s="446">
        <f>Z903</f>
        <v>4.6059999999999999</v>
      </c>
      <c r="AA1529" s="447">
        <f t="shared" si="3485"/>
        <v>17.951000000000001</v>
      </c>
      <c r="AB1529" s="446">
        <f>AB903</f>
        <v>4.407</v>
      </c>
      <c r="AC1529" s="446">
        <f>AC903</f>
        <v>4.0709999999999997</v>
      </c>
      <c r="AD1529" s="446">
        <f>AD903</f>
        <v>9.8740000000000006</v>
      </c>
      <c r="AE1529" s="454">
        <f>AE903</f>
        <v>9.4939999999999998</v>
      </c>
      <c r="AF1529" s="455">
        <f t="shared" si="3486"/>
        <v>27.846</v>
      </c>
      <c r="AG1529" s="454">
        <f>AG903</f>
        <v>9.41</v>
      </c>
      <c r="AH1529" s="446">
        <f>AH903</f>
        <v>9.5939999999999994</v>
      </c>
      <c r="AI1529" s="446">
        <f>AI903</f>
        <v>9.4920000000000009</v>
      </c>
      <c r="AJ1529" s="454">
        <f>AJ903</f>
        <v>9.2170000000000005</v>
      </c>
      <c r="AK1529" s="455">
        <f t="shared" si="3487"/>
        <v>37.713000000000001</v>
      </c>
      <c r="AL1529" s="446">
        <f>AL903</f>
        <v>8.859</v>
      </c>
      <c r="AM1529" s="446">
        <f>AM903</f>
        <v>8.8849999999999998</v>
      </c>
      <c r="AN1529" s="446">
        <f>AN903</f>
        <v>8.8849999999999998</v>
      </c>
      <c r="AO1529" s="454">
        <f>AO903</f>
        <v>8.8849999999999998</v>
      </c>
      <c r="AP1529" s="456">
        <f t="shared" si="3488"/>
        <v>35.513999999999996</v>
      </c>
      <c r="AQ1529" s="456">
        <f>AQ903</f>
        <v>8.8849999999999998</v>
      </c>
      <c r="AR1529" s="454">
        <f>AR903</f>
        <v>8.8849999999999998</v>
      </c>
      <c r="AS1529" s="454">
        <f>AS903</f>
        <v>8.8849999999999998</v>
      </c>
      <c r="AT1529" s="454">
        <f>AT903</f>
        <v>8.8849999999999998</v>
      </c>
      <c r="AU1529" s="455">
        <f t="shared" si="3489"/>
        <v>35.54</v>
      </c>
      <c r="AV1529" s="456">
        <f>AV903</f>
        <v>8.8849999999999998</v>
      </c>
      <c r="AW1529" s="454">
        <f>AW903</f>
        <v>8.8849999999999998</v>
      </c>
      <c r="AX1529" s="454">
        <f>AX903</f>
        <v>8.8849999999999998</v>
      </c>
      <c r="AY1529" s="1666">
        <f>AY903</f>
        <v>8.8849999999999998</v>
      </c>
      <c r="AZ1529" s="455">
        <f t="shared" si="3490"/>
        <v>35.54</v>
      </c>
      <c r="BA1529" s="456">
        <f>BA903</f>
        <v>8.8849999999999998</v>
      </c>
      <c r="BB1529" s="454">
        <f>BB903</f>
        <v>8.8849999999999998</v>
      </c>
      <c r="BC1529" s="454">
        <f>BC903</f>
        <v>8.8849999999999998</v>
      </c>
      <c r="BD1529" s="1666">
        <f>BD903</f>
        <v>8.8849999999999998</v>
      </c>
      <c r="BE1529" s="455">
        <f t="shared" si="3491"/>
        <v>35.54</v>
      </c>
      <c r="BF1529" s="454">
        <f>BF903</f>
        <v>8.8849999999999998</v>
      </c>
      <c r="BG1529" s="454">
        <f>BG903</f>
        <v>8.8849999999999998</v>
      </c>
      <c r="BH1529" s="454">
        <f>BH903</f>
        <v>8.8849999999999998</v>
      </c>
      <c r="BI1529" s="1666">
        <f>BI903</f>
        <v>8.8849999999999998</v>
      </c>
      <c r="BJ1529" s="455">
        <f t="shared" si="3492"/>
        <v>35.54</v>
      </c>
      <c r="BK1529" s="454">
        <f>BK903</f>
        <v>8.8849999999999998</v>
      </c>
      <c r="BL1529" s="454">
        <f>BL903</f>
        <v>8.8849999999999998</v>
      </c>
      <c r="BM1529" s="454">
        <f>BM903</f>
        <v>8.8849999999999998</v>
      </c>
      <c r="BN1529" s="1666">
        <f>BN903</f>
        <v>8.8849999999999998</v>
      </c>
      <c r="BO1529" s="455">
        <f t="shared" si="3493"/>
        <v>35.54</v>
      </c>
      <c r="BP1529" s="454">
        <f>BP903</f>
        <v>8.8849999999999998</v>
      </c>
      <c r="BQ1529" s="454">
        <f>BQ903</f>
        <v>8.8849999999999998</v>
      </c>
      <c r="BR1529" s="454">
        <f>BR903</f>
        <v>8.8849999999999998</v>
      </c>
      <c r="BS1529" s="454">
        <f>BS903</f>
        <v>8.8849999999999998</v>
      </c>
      <c r="BT1529" s="3066">
        <f t="shared" si="3494"/>
        <v>35.54</v>
      </c>
      <c r="BU1529" s="2915">
        <f>BU903</f>
        <v>8.8849999999999998</v>
      </c>
      <c r="BV1529" s="2915">
        <f>BV903</f>
        <v>8.8849999999999998</v>
      </c>
      <c r="BW1529" s="2915">
        <f>BW903</f>
        <v>8.8849999999999998</v>
      </c>
      <c r="BX1529" s="2915">
        <f>BX903</f>
        <v>8.8849999999999998</v>
      </c>
      <c r="BY1529" s="3066">
        <f t="shared" si="3495"/>
        <v>35.54</v>
      </c>
      <c r="BZ1529" s="455">
        <f t="shared" ref="BZ1529:CF1529" si="3514">BZ903</f>
        <v>35.54</v>
      </c>
      <c r="CA1529" s="455">
        <f t="shared" si="3514"/>
        <v>35.54</v>
      </c>
      <c r="CB1529" s="455">
        <f t="shared" si="3514"/>
        <v>35.54</v>
      </c>
      <c r="CC1529" s="455">
        <f t="shared" si="3514"/>
        <v>35.54</v>
      </c>
      <c r="CD1529" s="455">
        <f t="shared" si="3514"/>
        <v>35.54</v>
      </c>
      <c r="CE1529" s="455">
        <f t="shared" si="3514"/>
        <v>35.54</v>
      </c>
      <c r="CF1529" s="455">
        <f t="shared" si="3514"/>
        <v>35.54</v>
      </c>
      <c r="CG1529" s="331"/>
      <c r="CH1529" s="331"/>
      <c r="CI1529" s="331"/>
      <c r="CJ1529" s="331"/>
      <c r="CK1529" s="331"/>
      <c r="CL1529" s="2051" t="str">
        <f t="shared" si="3480"/>
        <v>Hollywood Lawrenceburg (IN)</v>
      </c>
      <c r="CM1529" s="454">
        <f t="shared" si="3497"/>
        <v>0</v>
      </c>
      <c r="CN1529" s="454">
        <f t="shared" si="3498"/>
        <v>3.8180000000000001</v>
      </c>
      <c r="CO1529" s="454">
        <f t="shared" si="3499"/>
        <v>17.474</v>
      </c>
      <c r="CP1529" s="454">
        <f t="shared" si="3500"/>
        <v>17.202000000000002</v>
      </c>
      <c r="CQ1529" s="454">
        <f t="shared" si="3501"/>
        <v>17.951000000000001</v>
      </c>
      <c r="CR1529" s="454">
        <f t="shared" si="3502"/>
        <v>27.846</v>
      </c>
      <c r="CS1529" s="454">
        <f t="shared" si="3503"/>
        <v>37.713000000000001</v>
      </c>
      <c r="CT1529" s="454">
        <f t="shared" si="3504"/>
        <v>35.513999999999996</v>
      </c>
      <c r="CU1529" s="454">
        <f t="shared" si="3505"/>
        <v>35.54</v>
      </c>
      <c r="CV1529" s="454">
        <f t="shared" si="3506"/>
        <v>35.54</v>
      </c>
      <c r="CW1529" s="454">
        <f t="shared" si="3507"/>
        <v>35.54</v>
      </c>
      <c r="CX1529" s="454">
        <f t="shared" si="3508"/>
        <v>35.54</v>
      </c>
      <c r="CY1529" s="454">
        <f t="shared" si="3509"/>
        <v>35.54</v>
      </c>
      <c r="CZ1529" s="454">
        <f t="shared" si="3510"/>
        <v>35.54</v>
      </c>
      <c r="DA1529" s="454">
        <f t="shared" si="3511"/>
        <v>35.54</v>
      </c>
      <c r="DB1529" s="454">
        <f t="shared" si="3512"/>
        <v>35.54</v>
      </c>
      <c r="DC1529" s="1666">
        <f t="shared" si="3513"/>
        <v>35.54</v>
      </c>
      <c r="DD1529" s="331"/>
      <c r="DE1529" s="331"/>
      <c r="DF1529" s="502"/>
      <c r="DG1529" s="503"/>
      <c r="DH1529" s="2915"/>
      <c r="DI1529" s="3213"/>
      <c r="DJ1529" s="502"/>
      <c r="DK1529" s="503"/>
      <c r="DL1529" s="502"/>
      <c r="DM1529" s="502"/>
      <c r="DN1529" s="502"/>
      <c r="DO1529" s="502"/>
      <c r="DP1529" s="503"/>
      <c r="DQ1529" s="503"/>
      <c r="DR1529" s="296"/>
      <c r="DS1529" s="296"/>
      <c r="DT1529" s="296"/>
    </row>
    <row r="1530" spans="1:124" ht="12" customHeight="1" x14ac:dyDescent="0.25">
      <c r="A1530" s="671" t="s">
        <v>1549</v>
      </c>
      <c r="B1530" s="281"/>
      <c r="C1530" s="446">
        <f>C416</f>
        <v>0.78300000000000003</v>
      </c>
      <c r="D1530" s="446">
        <f>D416</f>
        <v>0.73599999999999999</v>
      </c>
      <c r="E1530" s="446">
        <f>E416</f>
        <v>0.34899999999999998</v>
      </c>
      <c r="F1530" s="446">
        <f>F416</f>
        <v>0.38700000000000001</v>
      </c>
      <c r="G1530" s="447">
        <f t="shared" si="3481"/>
        <v>2.2549999999999999</v>
      </c>
      <c r="H1530" s="446">
        <f>H416</f>
        <v>0.36099999999999999</v>
      </c>
      <c r="I1530" s="446">
        <f>I416</f>
        <v>0.35699999999999998</v>
      </c>
      <c r="J1530" s="446">
        <f>J416</f>
        <v>0.34300000000000003</v>
      </c>
      <c r="K1530" s="446">
        <f>K416</f>
        <v>0.36099999999999999</v>
      </c>
      <c r="L1530" s="447">
        <f t="shared" si="3482"/>
        <v>1.4219999999999999</v>
      </c>
      <c r="M1530" s="446">
        <f>M416</f>
        <v>0.27200000000000002</v>
      </c>
      <c r="N1530" s="446">
        <f>N416</f>
        <v>0.34899999999999998</v>
      </c>
      <c r="O1530" s="446">
        <f>O416</f>
        <v>0.34599999999999997</v>
      </c>
      <c r="P1530" s="446">
        <f>P416</f>
        <v>0.35199999999999998</v>
      </c>
      <c r="Q1530" s="447">
        <f t="shared" si="3483"/>
        <v>1.319</v>
      </c>
      <c r="R1530" s="446">
        <f>R416</f>
        <v>0.36699999999999999</v>
      </c>
      <c r="S1530" s="446">
        <f>S416</f>
        <v>0.40799999999999997</v>
      </c>
      <c r="T1530" s="446">
        <f>T416</f>
        <v>0.38100000000000001</v>
      </c>
      <c r="U1530" s="446">
        <f>U416</f>
        <v>0.41299999999999998</v>
      </c>
      <c r="V1530" s="447">
        <f t="shared" si="3484"/>
        <v>1.569</v>
      </c>
      <c r="W1530" s="446">
        <f>W416</f>
        <v>2.97</v>
      </c>
      <c r="X1530" s="446">
        <f>X416</f>
        <v>7.0819999999999999</v>
      </c>
      <c r="Y1530" s="446">
        <f>Y416</f>
        <v>6</v>
      </c>
      <c r="Z1530" s="446">
        <f>Z416</f>
        <v>6.7779999999999996</v>
      </c>
      <c r="AA1530" s="447">
        <f t="shared" si="3485"/>
        <v>22.83</v>
      </c>
      <c r="AB1530" s="446">
        <f>AB416</f>
        <v>6.5659999999999998</v>
      </c>
      <c r="AC1530" s="446">
        <f>AC416</f>
        <v>11.552</v>
      </c>
      <c r="AD1530" s="446">
        <f>AD416</f>
        <v>7.758</v>
      </c>
      <c r="AE1530" s="454">
        <f>AE416</f>
        <v>10.244</v>
      </c>
      <c r="AF1530" s="455">
        <f t="shared" si="3486"/>
        <v>36.119999999999997</v>
      </c>
      <c r="AG1530" s="454">
        <f>AG416</f>
        <v>8.4410000000000007</v>
      </c>
      <c r="AH1530" s="446">
        <f>AH416</f>
        <v>8.6820000000000004</v>
      </c>
      <c r="AI1530" s="446">
        <f>AI416</f>
        <v>8.8930000000000007</v>
      </c>
      <c r="AJ1530" s="454">
        <f>AJ416</f>
        <v>8.9619999999999997</v>
      </c>
      <c r="AK1530" s="455">
        <f t="shared" si="3487"/>
        <v>34.978000000000002</v>
      </c>
      <c r="AL1530" s="446">
        <f>AL416</f>
        <v>8.4749999999999996</v>
      </c>
      <c r="AM1530" s="446">
        <f>AM416</f>
        <v>8.0440000000000005</v>
      </c>
      <c r="AN1530" s="446">
        <f>AN416</f>
        <v>8.0440000000000005</v>
      </c>
      <c r="AO1530" s="454">
        <f>AO416</f>
        <v>8.0440000000000005</v>
      </c>
      <c r="AP1530" s="456">
        <f t="shared" si="3488"/>
        <v>32.606999999999999</v>
      </c>
      <c r="AQ1530" s="456">
        <f>AQ416</f>
        <v>8.0440000000000005</v>
      </c>
      <c r="AR1530" s="454">
        <f>AR416</f>
        <v>8.0440000000000005</v>
      </c>
      <c r="AS1530" s="454">
        <f>AS416</f>
        <v>8.0440000000000005</v>
      </c>
      <c r="AT1530" s="454">
        <f>AT416</f>
        <v>8.0440000000000005</v>
      </c>
      <c r="AU1530" s="455">
        <f t="shared" si="3489"/>
        <v>32.176000000000002</v>
      </c>
      <c r="AV1530" s="456">
        <f>AV416</f>
        <v>8.0440000000000005</v>
      </c>
      <c r="AW1530" s="454">
        <f>AW416</f>
        <v>8.0440000000000005</v>
      </c>
      <c r="AX1530" s="454">
        <f>AX416</f>
        <v>8.0440000000000005</v>
      </c>
      <c r="AY1530" s="1666">
        <f>AY416</f>
        <v>8.0440000000000005</v>
      </c>
      <c r="AZ1530" s="455">
        <f t="shared" si="3490"/>
        <v>32.176000000000002</v>
      </c>
      <c r="BA1530" s="456">
        <f>BA416</f>
        <v>8.0440000000000005</v>
      </c>
      <c r="BB1530" s="454">
        <f>BB416</f>
        <v>8.0440000000000005</v>
      </c>
      <c r="BC1530" s="454">
        <f>BC416</f>
        <v>8.0440000000000005</v>
      </c>
      <c r="BD1530" s="1666">
        <f>BD416</f>
        <v>8.0440000000000005</v>
      </c>
      <c r="BE1530" s="455">
        <f t="shared" si="3491"/>
        <v>32.176000000000002</v>
      </c>
      <c r="BF1530" s="454">
        <f>BF416</f>
        <v>8.0440000000000005</v>
      </c>
      <c r="BG1530" s="454">
        <f>BG416</f>
        <v>8.0440000000000005</v>
      </c>
      <c r="BH1530" s="454">
        <f>BH416</f>
        <v>8.0440000000000005</v>
      </c>
      <c r="BI1530" s="1666">
        <f>BI416</f>
        <v>8.0440000000000005</v>
      </c>
      <c r="BJ1530" s="455">
        <f t="shared" si="3492"/>
        <v>32.176000000000002</v>
      </c>
      <c r="BK1530" s="454">
        <f>BK416</f>
        <v>8.0440000000000005</v>
      </c>
      <c r="BL1530" s="454">
        <f>BL416</f>
        <v>8.0440000000000005</v>
      </c>
      <c r="BM1530" s="454">
        <f>BM416</f>
        <v>8.0440000000000005</v>
      </c>
      <c r="BN1530" s="1666">
        <f>BN416</f>
        <v>8.0440000000000005</v>
      </c>
      <c r="BO1530" s="455">
        <f t="shared" si="3493"/>
        <v>32.176000000000002</v>
      </c>
      <c r="BP1530" s="454">
        <f>BP416</f>
        <v>8.0440000000000005</v>
      </c>
      <c r="BQ1530" s="454">
        <f>BQ416</f>
        <v>8.0440000000000005</v>
      </c>
      <c r="BR1530" s="454">
        <f>BR416</f>
        <v>8.0440000000000005</v>
      </c>
      <c r="BS1530" s="454">
        <f>BS416</f>
        <v>8.0440000000000005</v>
      </c>
      <c r="BT1530" s="3066">
        <f t="shared" si="3494"/>
        <v>32.176000000000002</v>
      </c>
      <c r="BU1530" s="2915">
        <f>BU416</f>
        <v>8.0440000000000005</v>
      </c>
      <c r="BV1530" s="2915">
        <f>BV416</f>
        <v>8.0440000000000005</v>
      </c>
      <c r="BW1530" s="2915">
        <f>BW416</f>
        <v>8.0440000000000005</v>
      </c>
      <c r="BX1530" s="2915">
        <f>BX416</f>
        <v>8.0440000000000005</v>
      </c>
      <c r="BY1530" s="3066">
        <f t="shared" si="3495"/>
        <v>32.176000000000002</v>
      </c>
      <c r="BZ1530" s="455">
        <f t="shared" ref="BZ1530:CF1530" si="3515">BZ416</f>
        <v>32.176000000000002</v>
      </c>
      <c r="CA1530" s="455">
        <f t="shared" si="3515"/>
        <v>32.176000000000002</v>
      </c>
      <c r="CB1530" s="455">
        <f t="shared" si="3515"/>
        <v>32.176000000000002</v>
      </c>
      <c r="CC1530" s="455">
        <f t="shared" si="3515"/>
        <v>32.176000000000002</v>
      </c>
      <c r="CD1530" s="455">
        <f t="shared" si="3515"/>
        <v>32.176000000000002</v>
      </c>
      <c r="CE1530" s="455">
        <f t="shared" si="3515"/>
        <v>32.176000000000002</v>
      </c>
      <c r="CF1530" s="455">
        <f t="shared" si="3515"/>
        <v>32.176000000000002</v>
      </c>
      <c r="CG1530" s="331"/>
      <c r="CH1530" s="331"/>
      <c r="CI1530" s="331"/>
      <c r="CJ1530" s="331"/>
      <c r="CK1530" s="331"/>
      <c r="CL1530" s="2051" t="str">
        <f t="shared" si="3480"/>
        <v>Hollywood at Penn National (PA)</v>
      </c>
      <c r="CM1530" s="454">
        <f t="shared" si="3497"/>
        <v>2.2549999999999999</v>
      </c>
      <c r="CN1530" s="454">
        <f t="shared" si="3498"/>
        <v>1.4219999999999999</v>
      </c>
      <c r="CO1530" s="454">
        <f t="shared" si="3499"/>
        <v>1.319</v>
      </c>
      <c r="CP1530" s="454">
        <f t="shared" si="3500"/>
        <v>1.569</v>
      </c>
      <c r="CQ1530" s="454">
        <f t="shared" si="3501"/>
        <v>22.83</v>
      </c>
      <c r="CR1530" s="454">
        <f t="shared" si="3502"/>
        <v>36.119999999999997</v>
      </c>
      <c r="CS1530" s="454">
        <f t="shared" si="3503"/>
        <v>34.978000000000002</v>
      </c>
      <c r="CT1530" s="454">
        <f t="shared" si="3504"/>
        <v>32.606999999999999</v>
      </c>
      <c r="CU1530" s="454">
        <f t="shared" si="3505"/>
        <v>32.176000000000002</v>
      </c>
      <c r="CV1530" s="454">
        <f t="shared" si="3506"/>
        <v>32.176000000000002</v>
      </c>
      <c r="CW1530" s="454">
        <f t="shared" si="3507"/>
        <v>32.176000000000002</v>
      </c>
      <c r="CX1530" s="454">
        <f t="shared" si="3508"/>
        <v>32.176000000000002</v>
      </c>
      <c r="CY1530" s="454">
        <f t="shared" si="3509"/>
        <v>32.176000000000002</v>
      </c>
      <c r="CZ1530" s="454">
        <f t="shared" si="3510"/>
        <v>32.176000000000002</v>
      </c>
      <c r="DA1530" s="454">
        <f t="shared" si="3511"/>
        <v>32.176000000000002</v>
      </c>
      <c r="DB1530" s="454">
        <f t="shared" si="3512"/>
        <v>32.176000000000002</v>
      </c>
      <c r="DC1530" s="1666">
        <f t="shared" si="3513"/>
        <v>32.176000000000002</v>
      </c>
      <c r="DD1530" s="331"/>
      <c r="DE1530" s="331"/>
      <c r="DF1530" s="502"/>
      <c r="DG1530" s="503"/>
      <c r="DH1530" s="2915"/>
      <c r="DI1530" s="3213"/>
      <c r="DJ1530" s="502"/>
      <c r="DK1530" s="503"/>
      <c r="DL1530" s="502"/>
      <c r="DM1530" s="502"/>
      <c r="DN1530" s="502"/>
      <c r="DO1530" s="502"/>
      <c r="DP1530" s="503"/>
      <c r="DQ1530" s="503"/>
      <c r="DR1530" s="296"/>
      <c r="DS1530" s="296"/>
      <c r="DT1530" s="296"/>
    </row>
    <row r="1531" spans="1:124" ht="12" customHeight="1" x14ac:dyDescent="0.25">
      <c r="A1531" s="671" t="s">
        <v>1094</v>
      </c>
      <c r="B1531" s="281"/>
      <c r="C1531" s="446">
        <f>C810</f>
        <v>2.63</v>
      </c>
      <c r="D1531" s="446">
        <f>D810</f>
        <v>2.4089999999999998</v>
      </c>
      <c r="E1531" s="446">
        <f>E810</f>
        <v>2.3620000000000001</v>
      </c>
      <c r="F1531" s="446">
        <f>F810</f>
        <v>2.3719999999999999</v>
      </c>
      <c r="G1531" s="447">
        <f t="shared" si="3481"/>
        <v>9.7729999999999997</v>
      </c>
      <c r="H1531" s="446">
        <f>H810</f>
        <v>2.4169999999999998</v>
      </c>
      <c r="I1531" s="446">
        <f>I810</f>
        <v>2.2629999999999999</v>
      </c>
      <c r="J1531" s="446">
        <f>J810</f>
        <v>2.2170000000000001</v>
      </c>
      <c r="K1531" s="446">
        <f>K810</f>
        <v>2.2389999999999999</v>
      </c>
      <c r="L1531" s="447">
        <f t="shared" si="3482"/>
        <v>9.1359999999999992</v>
      </c>
      <c r="M1531" s="446">
        <f>M810</f>
        <v>2.1840000000000002</v>
      </c>
      <c r="N1531" s="446">
        <f>N810</f>
        <v>2.2589999999999999</v>
      </c>
      <c r="O1531" s="446">
        <f>O810</f>
        <v>2.2839999999999998</v>
      </c>
      <c r="P1531" s="446">
        <f>P810</f>
        <v>2.3570000000000002</v>
      </c>
      <c r="Q1531" s="447">
        <f t="shared" si="3483"/>
        <v>9.0839999999999996</v>
      </c>
      <c r="R1531" s="446">
        <f>R810</f>
        <v>2.339</v>
      </c>
      <c r="S1531" s="446">
        <f>S810</f>
        <v>2.1840000000000002</v>
      </c>
      <c r="T1531" s="446">
        <f>T810</f>
        <v>1.974</v>
      </c>
      <c r="U1531" s="446">
        <f>U810</f>
        <v>1.994</v>
      </c>
      <c r="V1531" s="447">
        <f t="shared" si="3484"/>
        <v>8.4909999999999997</v>
      </c>
      <c r="W1531" s="446">
        <f>W810</f>
        <v>1.986</v>
      </c>
      <c r="X1531" s="446">
        <f>X810</f>
        <v>1.9419999999999999</v>
      </c>
      <c r="Y1531" s="446">
        <f>Y810</f>
        <v>1.9350000000000001</v>
      </c>
      <c r="Z1531" s="446">
        <f>Z810</f>
        <v>1.9319999999999999</v>
      </c>
      <c r="AA1531" s="447">
        <f t="shared" si="3485"/>
        <v>7.7949999999999999</v>
      </c>
      <c r="AB1531" s="446">
        <f>AB810</f>
        <v>1.8320000000000001</v>
      </c>
      <c r="AC1531" s="446">
        <f>AC810</f>
        <v>1.8280000000000001</v>
      </c>
      <c r="AD1531" s="446">
        <f>AD810</f>
        <v>1.7809999999999999</v>
      </c>
      <c r="AE1531" s="454">
        <f>AE810</f>
        <v>1.841</v>
      </c>
      <c r="AF1531" s="455">
        <f t="shared" si="3486"/>
        <v>7.282</v>
      </c>
      <c r="AG1531" s="454">
        <f>AG810</f>
        <v>1.8220000000000001</v>
      </c>
      <c r="AH1531" s="446">
        <f>AH810</f>
        <v>1.8120000000000001</v>
      </c>
      <c r="AI1531" s="446">
        <f>AI810</f>
        <v>1.841</v>
      </c>
      <c r="AJ1531" s="454">
        <f>AJ810</f>
        <v>1.859</v>
      </c>
      <c r="AK1531" s="455">
        <f t="shared" si="3487"/>
        <v>7.3340000000000005</v>
      </c>
      <c r="AL1531" s="446">
        <f>AL810</f>
        <v>1.859</v>
      </c>
      <c r="AM1531" s="446">
        <f>AM810</f>
        <v>1.849</v>
      </c>
      <c r="AN1531" s="446">
        <f>AN810</f>
        <v>1.849</v>
      </c>
      <c r="AO1531" s="454">
        <f>AO810</f>
        <v>1.849</v>
      </c>
      <c r="AP1531" s="456">
        <f t="shared" si="3488"/>
        <v>7.4060000000000006</v>
      </c>
      <c r="AQ1531" s="456">
        <f>AQ810</f>
        <v>1.849</v>
      </c>
      <c r="AR1531" s="454">
        <f>AR810</f>
        <v>1.849</v>
      </c>
      <c r="AS1531" s="454">
        <f>AS810</f>
        <v>1.849</v>
      </c>
      <c r="AT1531" s="454">
        <f>AT810</f>
        <v>1.849</v>
      </c>
      <c r="AU1531" s="455">
        <f t="shared" si="3489"/>
        <v>7.3959999999999999</v>
      </c>
      <c r="AV1531" s="456">
        <f>AV810</f>
        <v>1.849</v>
      </c>
      <c r="AW1531" s="454">
        <f>AW810</f>
        <v>1.849</v>
      </c>
      <c r="AX1531" s="454">
        <f>AX810</f>
        <v>1.849</v>
      </c>
      <c r="AY1531" s="1666">
        <f>AY810</f>
        <v>1.849</v>
      </c>
      <c r="AZ1531" s="455">
        <f t="shared" si="3490"/>
        <v>7.3959999999999999</v>
      </c>
      <c r="BA1531" s="456">
        <f>BA810</f>
        <v>1.849</v>
      </c>
      <c r="BB1531" s="454">
        <f>BB810</f>
        <v>1.849</v>
      </c>
      <c r="BC1531" s="454">
        <f>BC810</f>
        <v>1.849</v>
      </c>
      <c r="BD1531" s="1666">
        <f>BD810</f>
        <v>1.849</v>
      </c>
      <c r="BE1531" s="455">
        <f t="shared" si="3491"/>
        <v>7.3959999999999999</v>
      </c>
      <c r="BF1531" s="454">
        <f>BF810</f>
        <v>1.849</v>
      </c>
      <c r="BG1531" s="454">
        <f>BG810</f>
        <v>1.849</v>
      </c>
      <c r="BH1531" s="454">
        <f>BH810</f>
        <v>1.849</v>
      </c>
      <c r="BI1531" s="1666">
        <f>BI810</f>
        <v>1.849</v>
      </c>
      <c r="BJ1531" s="455">
        <f t="shared" si="3492"/>
        <v>7.3959999999999999</v>
      </c>
      <c r="BK1531" s="454">
        <f>BK810</f>
        <v>1.849</v>
      </c>
      <c r="BL1531" s="454">
        <f>BL810</f>
        <v>1.849</v>
      </c>
      <c r="BM1531" s="454">
        <f>BM810</f>
        <v>1.849</v>
      </c>
      <c r="BN1531" s="1666">
        <f>BN810</f>
        <v>1.849</v>
      </c>
      <c r="BO1531" s="455">
        <f t="shared" si="3493"/>
        <v>7.3959999999999999</v>
      </c>
      <c r="BP1531" s="454">
        <f>BP810</f>
        <v>1.849</v>
      </c>
      <c r="BQ1531" s="454">
        <f>BQ810</f>
        <v>1.849</v>
      </c>
      <c r="BR1531" s="454">
        <f>BR810</f>
        <v>1.849</v>
      </c>
      <c r="BS1531" s="454">
        <f>BS810</f>
        <v>1.849</v>
      </c>
      <c r="BT1531" s="3066">
        <f t="shared" si="3494"/>
        <v>7.3959999999999999</v>
      </c>
      <c r="BU1531" s="2915">
        <f>BU810</f>
        <v>1.849</v>
      </c>
      <c r="BV1531" s="2915">
        <f>BV810</f>
        <v>1.849</v>
      </c>
      <c r="BW1531" s="2915">
        <f>BW810</f>
        <v>1.849</v>
      </c>
      <c r="BX1531" s="2915">
        <f>BX810</f>
        <v>1.849</v>
      </c>
      <c r="BY1531" s="3066">
        <f t="shared" si="3495"/>
        <v>7.3959999999999999</v>
      </c>
      <c r="BZ1531" s="455">
        <f t="shared" ref="BZ1531:CF1531" si="3516">BZ810</f>
        <v>7.3959999999999999</v>
      </c>
      <c r="CA1531" s="455">
        <f t="shared" si="3516"/>
        <v>7.3959999999999999</v>
      </c>
      <c r="CB1531" s="455">
        <f t="shared" si="3516"/>
        <v>7.3959999999999999</v>
      </c>
      <c r="CC1531" s="455">
        <f t="shared" si="3516"/>
        <v>7.3959999999999999</v>
      </c>
      <c r="CD1531" s="455">
        <f t="shared" si="3516"/>
        <v>7.3959999999999999</v>
      </c>
      <c r="CE1531" s="455">
        <f t="shared" si="3516"/>
        <v>7.3959999999999999</v>
      </c>
      <c r="CF1531" s="455">
        <f t="shared" si="3516"/>
        <v>7.3959999999999999</v>
      </c>
      <c r="CG1531" s="331"/>
      <c r="CH1531" s="331"/>
      <c r="CI1531" s="331"/>
      <c r="CJ1531" s="331"/>
      <c r="CK1531" s="331"/>
      <c r="CL1531" s="2051" t="str">
        <f t="shared" si="3480"/>
        <v>Hollywood Aurora (IL)</v>
      </c>
      <c r="CM1531" s="454">
        <f t="shared" si="3497"/>
        <v>9.7729999999999997</v>
      </c>
      <c r="CN1531" s="454">
        <f t="shared" si="3498"/>
        <v>9.1359999999999992</v>
      </c>
      <c r="CO1531" s="454">
        <f t="shared" si="3499"/>
        <v>9.0839999999999996</v>
      </c>
      <c r="CP1531" s="454">
        <f t="shared" si="3500"/>
        <v>8.4909999999999997</v>
      </c>
      <c r="CQ1531" s="454">
        <f t="shared" si="3501"/>
        <v>7.7949999999999999</v>
      </c>
      <c r="CR1531" s="454">
        <f t="shared" si="3502"/>
        <v>7.282</v>
      </c>
      <c r="CS1531" s="454">
        <f t="shared" si="3503"/>
        <v>7.3340000000000005</v>
      </c>
      <c r="CT1531" s="454">
        <f t="shared" si="3504"/>
        <v>7.4060000000000006</v>
      </c>
      <c r="CU1531" s="454">
        <f t="shared" si="3505"/>
        <v>7.3959999999999999</v>
      </c>
      <c r="CV1531" s="454">
        <f t="shared" si="3506"/>
        <v>7.3959999999999999</v>
      </c>
      <c r="CW1531" s="454">
        <f t="shared" si="3507"/>
        <v>7.3959999999999999</v>
      </c>
      <c r="CX1531" s="454">
        <f t="shared" si="3508"/>
        <v>7.3959999999999999</v>
      </c>
      <c r="CY1531" s="454">
        <f t="shared" si="3509"/>
        <v>7.3959999999999999</v>
      </c>
      <c r="CZ1531" s="454">
        <f t="shared" si="3510"/>
        <v>7.3959999999999999</v>
      </c>
      <c r="DA1531" s="454">
        <f t="shared" si="3511"/>
        <v>7.3959999999999999</v>
      </c>
      <c r="DB1531" s="454">
        <f t="shared" si="3512"/>
        <v>7.3959999999999999</v>
      </c>
      <c r="DC1531" s="1666">
        <f t="shared" si="3513"/>
        <v>7.3959999999999999</v>
      </c>
      <c r="DD1531" s="331"/>
      <c r="DE1531" s="331"/>
      <c r="DF1531" s="502"/>
      <c r="DG1531" s="503"/>
      <c r="DH1531" s="2915"/>
      <c r="DI1531" s="3213"/>
      <c r="DJ1531" s="502"/>
      <c r="DK1531" s="503"/>
      <c r="DL1531" s="502"/>
      <c r="DM1531" s="502"/>
      <c r="DN1531" s="502"/>
      <c r="DO1531" s="502"/>
      <c r="DP1531" s="503"/>
      <c r="DQ1531" s="503"/>
      <c r="DR1531" s="296"/>
      <c r="DS1531" s="296"/>
      <c r="DT1531" s="296"/>
    </row>
    <row r="1532" spans="1:124" ht="12" customHeight="1" x14ac:dyDescent="0.25">
      <c r="A1532" s="671" t="s">
        <v>1786</v>
      </c>
      <c r="B1532" s="281"/>
      <c r="C1532" s="446"/>
      <c r="D1532" s="446"/>
      <c r="E1532" s="446"/>
      <c r="F1532" s="446"/>
      <c r="G1532" s="447">
        <f t="shared" si="3481"/>
        <v>0</v>
      </c>
      <c r="H1532" s="446"/>
      <c r="I1532" s="446"/>
      <c r="J1532" s="446"/>
      <c r="K1532" s="446">
        <f>K841</f>
        <v>1.95</v>
      </c>
      <c r="L1532" s="447">
        <f t="shared" si="3482"/>
        <v>1.95</v>
      </c>
      <c r="M1532" s="446">
        <f>M841</f>
        <v>4.1130000000000004</v>
      </c>
      <c r="N1532" s="446">
        <f>N841</f>
        <v>2.794</v>
      </c>
      <c r="O1532" s="446">
        <f>O841</f>
        <v>3.016</v>
      </c>
      <c r="P1532" s="446">
        <f>P841</f>
        <v>3.0270000000000001</v>
      </c>
      <c r="Q1532" s="447">
        <f t="shared" si="3483"/>
        <v>12.95</v>
      </c>
      <c r="R1532" s="446">
        <f>R841</f>
        <v>3.032</v>
      </c>
      <c r="S1532" s="446">
        <f>S841</f>
        <v>3.0489999999999999</v>
      </c>
      <c r="T1532" s="446">
        <f>T841</f>
        <v>3.0550000000000002</v>
      </c>
      <c r="U1532" s="446">
        <f>U841</f>
        <v>3.1070000000000002</v>
      </c>
      <c r="V1532" s="447">
        <f t="shared" si="3484"/>
        <v>12.242999999999999</v>
      </c>
      <c r="W1532" s="446">
        <f>W841</f>
        <v>3.2109999999999999</v>
      </c>
      <c r="X1532" s="446">
        <f>X841</f>
        <v>2.6659999999999999</v>
      </c>
      <c r="Y1532" s="446">
        <f>Y841</f>
        <v>2.4710000000000001</v>
      </c>
      <c r="Z1532" s="446">
        <f>Z841</f>
        <v>2.3319999999999999</v>
      </c>
      <c r="AA1532" s="447">
        <f t="shared" si="3485"/>
        <v>10.68</v>
      </c>
      <c r="AB1532" s="446">
        <f>AB841</f>
        <v>2.8050000000000002</v>
      </c>
      <c r="AC1532" s="446">
        <f>AC841</f>
        <v>0.253</v>
      </c>
      <c r="AD1532" s="446">
        <f>AD841</f>
        <v>2.29</v>
      </c>
      <c r="AE1532" s="454">
        <f>AE841</f>
        <v>2.5710000000000002</v>
      </c>
      <c r="AF1532" s="455">
        <f t="shared" si="3486"/>
        <v>7.9190000000000005</v>
      </c>
      <c r="AG1532" s="454">
        <f>AG841</f>
        <v>2.4740000000000002</v>
      </c>
      <c r="AH1532" s="446">
        <f>AH841</f>
        <v>3.5089999999999999</v>
      </c>
      <c r="AI1532" s="446">
        <f>AI841</f>
        <v>4.1059999999999999</v>
      </c>
      <c r="AJ1532" s="454">
        <f>AJ841</f>
        <v>3.6440000000000001</v>
      </c>
      <c r="AK1532" s="455">
        <f t="shared" si="3487"/>
        <v>13.733000000000001</v>
      </c>
      <c r="AL1532" s="446">
        <f>AL841</f>
        <v>3.5670000000000002</v>
      </c>
      <c r="AM1532" s="446">
        <f>AM841</f>
        <v>3.5379999999999998</v>
      </c>
      <c r="AN1532" s="446">
        <f>AN841</f>
        <v>3.5379999999999998</v>
      </c>
      <c r="AO1532" s="454">
        <f>AO841</f>
        <v>3.5379999999999998</v>
      </c>
      <c r="AP1532" s="456">
        <f t="shared" si="3488"/>
        <v>14.181000000000001</v>
      </c>
      <c r="AQ1532" s="456">
        <f>AQ841</f>
        <v>3.5379999999999998</v>
      </c>
      <c r="AR1532" s="454">
        <f>AR841</f>
        <v>3.5379999999999998</v>
      </c>
      <c r="AS1532" s="454">
        <f>AS841</f>
        <v>3.5379999999999998</v>
      </c>
      <c r="AT1532" s="454">
        <f>AT841</f>
        <v>3.5379999999999998</v>
      </c>
      <c r="AU1532" s="455">
        <f t="shared" si="3489"/>
        <v>14.151999999999999</v>
      </c>
      <c r="AV1532" s="456">
        <f>AV841</f>
        <v>3.5379999999999998</v>
      </c>
      <c r="AW1532" s="454">
        <f>AW841</f>
        <v>3.5379999999999998</v>
      </c>
      <c r="AX1532" s="454">
        <f>AX841</f>
        <v>3.5379999999999998</v>
      </c>
      <c r="AY1532" s="1666">
        <f>AY841</f>
        <v>3.5379999999999998</v>
      </c>
      <c r="AZ1532" s="455">
        <f t="shared" si="3490"/>
        <v>14.151999999999999</v>
      </c>
      <c r="BA1532" s="456">
        <f>BA841</f>
        <v>3.5379999999999998</v>
      </c>
      <c r="BB1532" s="454">
        <f>BB841</f>
        <v>3.5379999999999998</v>
      </c>
      <c r="BC1532" s="454">
        <f>BC841</f>
        <v>3.5379999999999998</v>
      </c>
      <c r="BD1532" s="1666">
        <f>BD841</f>
        <v>3.5379999999999998</v>
      </c>
      <c r="BE1532" s="455">
        <f t="shared" si="3491"/>
        <v>14.151999999999999</v>
      </c>
      <c r="BF1532" s="454">
        <f>BF841</f>
        <v>3.5379999999999998</v>
      </c>
      <c r="BG1532" s="454">
        <f>BG841</f>
        <v>3.5379999999999998</v>
      </c>
      <c r="BH1532" s="454">
        <f>BH841</f>
        <v>3.5379999999999998</v>
      </c>
      <c r="BI1532" s="1666">
        <f>BI841</f>
        <v>3.5379999999999998</v>
      </c>
      <c r="BJ1532" s="455">
        <f t="shared" si="3492"/>
        <v>14.151999999999999</v>
      </c>
      <c r="BK1532" s="454">
        <f>BK841</f>
        <v>3.5379999999999998</v>
      </c>
      <c r="BL1532" s="454">
        <f>BL841</f>
        <v>3.5379999999999998</v>
      </c>
      <c r="BM1532" s="454">
        <f>BM841</f>
        <v>3.5379999999999998</v>
      </c>
      <c r="BN1532" s="1666">
        <f>BN841</f>
        <v>3.5379999999999998</v>
      </c>
      <c r="BO1532" s="455">
        <f t="shared" si="3493"/>
        <v>14.151999999999999</v>
      </c>
      <c r="BP1532" s="454">
        <f>BP841</f>
        <v>3.5379999999999998</v>
      </c>
      <c r="BQ1532" s="454">
        <f>BQ841</f>
        <v>3.5379999999999998</v>
      </c>
      <c r="BR1532" s="454">
        <f>BR841</f>
        <v>3.5379999999999998</v>
      </c>
      <c r="BS1532" s="454">
        <f>BS841</f>
        <v>3.5379999999999998</v>
      </c>
      <c r="BT1532" s="3066">
        <f t="shared" si="3494"/>
        <v>14.151999999999999</v>
      </c>
      <c r="BU1532" s="2915">
        <f>BU841</f>
        <v>3.5379999999999998</v>
      </c>
      <c r="BV1532" s="2915">
        <f>BV841</f>
        <v>3.5379999999999998</v>
      </c>
      <c r="BW1532" s="2915">
        <f>BW841</f>
        <v>3.5379999999999998</v>
      </c>
      <c r="BX1532" s="2915">
        <f>BX841</f>
        <v>3.5379999999999998</v>
      </c>
      <c r="BY1532" s="3066">
        <f t="shared" si="3495"/>
        <v>14.151999999999999</v>
      </c>
      <c r="BZ1532" s="455">
        <f t="shared" ref="BZ1532:CF1532" si="3517">BZ841</f>
        <v>14.151999999999999</v>
      </c>
      <c r="CA1532" s="455">
        <f t="shared" si="3517"/>
        <v>14.151999999999999</v>
      </c>
      <c r="CB1532" s="455">
        <f t="shared" si="3517"/>
        <v>14.151999999999999</v>
      </c>
      <c r="CC1532" s="455">
        <f t="shared" si="3517"/>
        <v>14.151999999999999</v>
      </c>
      <c r="CD1532" s="455">
        <f t="shared" si="3517"/>
        <v>14.151999999999999</v>
      </c>
      <c r="CE1532" s="455">
        <f t="shared" si="3517"/>
        <v>14.151999999999999</v>
      </c>
      <c r="CF1532" s="455">
        <f t="shared" si="3517"/>
        <v>14.151999999999999</v>
      </c>
      <c r="CG1532" s="331"/>
      <c r="CH1532" s="331"/>
      <c r="CI1532" s="331"/>
      <c r="CJ1532" s="331"/>
      <c r="CK1532" s="331"/>
      <c r="CL1532" s="2051" t="str">
        <f t="shared" si="3480"/>
        <v>Hollywood Casino Joliet (IL)</v>
      </c>
      <c r="CM1532" s="454">
        <f t="shared" si="3497"/>
        <v>0</v>
      </c>
      <c r="CN1532" s="454">
        <f t="shared" si="3498"/>
        <v>1.95</v>
      </c>
      <c r="CO1532" s="454">
        <f t="shared" si="3499"/>
        <v>12.95</v>
      </c>
      <c r="CP1532" s="454">
        <f t="shared" si="3500"/>
        <v>12.242999999999999</v>
      </c>
      <c r="CQ1532" s="454">
        <f t="shared" si="3501"/>
        <v>10.68</v>
      </c>
      <c r="CR1532" s="454">
        <f t="shared" si="3502"/>
        <v>7.9190000000000005</v>
      </c>
      <c r="CS1532" s="454">
        <f t="shared" si="3503"/>
        <v>13.733000000000001</v>
      </c>
      <c r="CT1532" s="454">
        <f t="shared" si="3504"/>
        <v>14.181000000000001</v>
      </c>
      <c r="CU1532" s="454">
        <f t="shared" si="3505"/>
        <v>14.151999999999999</v>
      </c>
      <c r="CV1532" s="454">
        <f t="shared" si="3506"/>
        <v>14.151999999999999</v>
      </c>
      <c r="CW1532" s="454">
        <f t="shared" si="3507"/>
        <v>14.151999999999999</v>
      </c>
      <c r="CX1532" s="454">
        <f t="shared" si="3508"/>
        <v>14.151999999999999</v>
      </c>
      <c r="CY1532" s="454">
        <f t="shared" si="3509"/>
        <v>14.151999999999999</v>
      </c>
      <c r="CZ1532" s="454">
        <f t="shared" si="3510"/>
        <v>14.151999999999999</v>
      </c>
      <c r="DA1532" s="454">
        <f t="shared" si="3511"/>
        <v>14.151999999999999</v>
      </c>
      <c r="DB1532" s="454">
        <f t="shared" si="3512"/>
        <v>14.151999999999999</v>
      </c>
      <c r="DC1532" s="1666">
        <f t="shared" si="3513"/>
        <v>14.151999999999999</v>
      </c>
      <c r="DD1532" s="331"/>
      <c r="DE1532" s="331"/>
      <c r="DF1532" s="502"/>
      <c r="DG1532" s="503"/>
      <c r="DH1532" s="2915"/>
      <c r="DI1532" s="3213"/>
      <c r="DJ1532" s="502"/>
      <c r="DK1532" s="503"/>
      <c r="DL1532" s="502"/>
      <c r="DM1532" s="502"/>
      <c r="DN1532" s="502"/>
      <c r="DO1532" s="502"/>
      <c r="DP1532" s="503"/>
      <c r="DQ1532" s="503"/>
      <c r="DR1532" s="296"/>
      <c r="DS1532" s="296"/>
      <c r="DT1532" s="296"/>
    </row>
    <row r="1533" spans="1:124" ht="12" customHeight="1" x14ac:dyDescent="0.25">
      <c r="A1533" s="671" t="s">
        <v>1093</v>
      </c>
      <c r="B1533" s="281"/>
      <c r="C1533" s="446"/>
      <c r="D1533" s="446"/>
      <c r="E1533" s="446"/>
      <c r="F1533" s="446"/>
      <c r="G1533" s="447">
        <f t="shared" si="3481"/>
        <v>0</v>
      </c>
      <c r="H1533" s="446"/>
      <c r="I1533" s="446"/>
      <c r="J1533" s="446"/>
      <c r="K1533" s="446">
        <f>K934</f>
        <v>3.0259999999999998</v>
      </c>
      <c r="L1533" s="447">
        <f t="shared" si="3482"/>
        <v>3.0259999999999998</v>
      </c>
      <c r="M1533" s="446">
        <f>M934</f>
        <v>2.887</v>
      </c>
      <c r="N1533" s="446">
        <f>N934</f>
        <v>2.7589999999999999</v>
      </c>
      <c r="O1533" s="446">
        <f>O934</f>
        <v>2.8919999999999999</v>
      </c>
      <c r="P1533" s="446">
        <f>P934</f>
        <v>2.9039999999999999</v>
      </c>
      <c r="Q1533" s="447">
        <f t="shared" si="3483"/>
        <v>11.442</v>
      </c>
      <c r="R1533" s="446">
        <f>R934</f>
        <v>3.133</v>
      </c>
      <c r="S1533" s="446">
        <f>S934</f>
        <v>3.6840000000000002</v>
      </c>
      <c r="T1533" s="446">
        <f>T934</f>
        <v>3.758</v>
      </c>
      <c r="U1533" s="446">
        <f>U934</f>
        <v>3.7919999999999998</v>
      </c>
      <c r="V1533" s="447">
        <f t="shared" si="3484"/>
        <v>14.366999999999999</v>
      </c>
      <c r="W1533" s="446">
        <f>W934</f>
        <v>3.82</v>
      </c>
      <c r="X1533" s="446">
        <f>X934</f>
        <v>3.8250000000000002</v>
      </c>
      <c r="Y1533" s="446">
        <f>Y934</f>
        <v>3.8090000000000002</v>
      </c>
      <c r="Z1533" s="446">
        <f>Z934</f>
        <v>3.4969999999999999</v>
      </c>
      <c r="AA1533" s="447">
        <f t="shared" si="3485"/>
        <v>14.951000000000001</v>
      </c>
      <c r="AB1533" s="446">
        <f>AB934</f>
        <v>2.8639999999999999</v>
      </c>
      <c r="AC1533" s="446">
        <f>AC934</f>
        <v>2.9079999999999999</v>
      </c>
      <c r="AD1533" s="446">
        <f>AD934</f>
        <v>2.9529999999999998</v>
      </c>
      <c r="AE1533" s="454">
        <f>AE934</f>
        <v>3.04</v>
      </c>
      <c r="AF1533" s="455">
        <f t="shared" si="3486"/>
        <v>11.765000000000001</v>
      </c>
      <c r="AG1533" s="454">
        <f>AG934</f>
        <v>3.1440000000000001</v>
      </c>
      <c r="AH1533" s="446">
        <f>AH934</f>
        <v>3.2149999999999999</v>
      </c>
      <c r="AI1533" s="446">
        <f>AI934</f>
        <v>3.2170000000000001</v>
      </c>
      <c r="AJ1533" s="454">
        <f>AJ934</f>
        <v>3.206</v>
      </c>
      <c r="AK1533" s="455">
        <f t="shared" si="3487"/>
        <v>12.782</v>
      </c>
      <c r="AL1533" s="446">
        <f>AL934</f>
        <v>3.177</v>
      </c>
      <c r="AM1533" s="446">
        <f>AM934</f>
        <v>3.2240000000000002</v>
      </c>
      <c r="AN1533" s="446">
        <f>AN934</f>
        <v>3.2240000000000002</v>
      </c>
      <c r="AO1533" s="454">
        <f>AO934</f>
        <v>3.2240000000000002</v>
      </c>
      <c r="AP1533" s="456">
        <f t="shared" si="3488"/>
        <v>12.849</v>
      </c>
      <c r="AQ1533" s="456">
        <f>AQ934</f>
        <v>3.2240000000000002</v>
      </c>
      <c r="AR1533" s="454">
        <f>AR934</f>
        <v>3.2240000000000002</v>
      </c>
      <c r="AS1533" s="454">
        <f>AS934</f>
        <v>3.2240000000000002</v>
      </c>
      <c r="AT1533" s="454">
        <f>AT934</f>
        <v>3.2240000000000002</v>
      </c>
      <c r="AU1533" s="455">
        <f t="shared" si="3489"/>
        <v>12.896000000000001</v>
      </c>
      <c r="AV1533" s="456">
        <f>AV934</f>
        <v>3.2240000000000002</v>
      </c>
      <c r="AW1533" s="454">
        <f>AW934</f>
        <v>3.2240000000000002</v>
      </c>
      <c r="AX1533" s="454">
        <f>AX934</f>
        <v>3.2240000000000002</v>
      </c>
      <c r="AY1533" s="1666">
        <f>AY934</f>
        <v>3.2240000000000002</v>
      </c>
      <c r="AZ1533" s="455">
        <f t="shared" si="3490"/>
        <v>12.896000000000001</v>
      </c>
      <c r="BA1533" s="456">
        <f>BA934</f>
        <v>3.2240000000000002</v>
      </c>
      <c r="BB1533" s="454">
        <f>BB934</f>
        <v>3.2240000000000002</v>
      </c>
      <c r="BC1533" s="454">
        <f>BC934</f>
        <v>3.2240000000000002</v>
      </c>
      <c r="BD1533" s="1666">
        <f>BD934</f>
        <v>3.2240000000000002</v>
      </c>
      <c r="BE1533" s="455">
        <f t="shared" si="3491"/>
        <v>12.896000000000001</v>
      </c>
      <c r="BF1533" s="454">
        <f>BF934</f>
        <v>3.2240000000000002</v>
      </c>
      <c r="BG1533" s="454">
        <f>BG934</f>
        <v>3.2240000000000002</v>
      </c>
      <c r="BH1533" s="454">
        <f>BH934</f>
        <v>3.2240000000000002</v>
      </c>
      <c r="BI1533" s="1666">
        <f>BI934</f>
        <v>3.2240000000000002</v>
      </c>
      <c r="BJ1533" s="455">
        <f t="shared" si="3492"/>
        <v>12.896000000000001</v>
      </c>
      <c r="BK1533" s="454">
        <f>BK934</f>
        <v>3.2240000000000002</v>
      </c>
      <c r="BL1533" s="454">
        <f>BL934</f>
        <v>3.2240000000000002</v>
      </c>
      <c r="BM1533" s="454">
        <f>BM934</f>
        <v>3.2240000000000002</v>
      </c>
      <c r="BN1533" s="1666">
        <f>BN934</f>
        <v>3.2240000000000002</v>
      </c>
      <c r="BO1533" s="455">
        <f t="shared" si="3493"/>
        <v>12.896000000000001</v>
      </c>
      <c r="BP1533" s="454">
        <f>BP934</f>
        <v>3.2240000000000002</v>
      </c>
      <c r="BQ1533" s="454">
        <f>BQ934</f>
        <v>3.2240000000000002</v>
      </c>
      <c r="BR1533" s="454">
        <f>BR934</f>
        <v>3.2240000000000002</v>
      </c>
      <c r="BS1533" s="454">
        <f>BS934</f>
        <v>3.2240000000000002</v>
      </c>
      <c r="BT1533" s="3066">
        <f t="shared" si="3494"/>
        <v>12.896000000000001</v>
      </c>
      <c r="BU1533" s="2915">
        <f>BU934</f>
        <v>3.2240000000000002</v>
      </c>
      <c r="BV1533" s="2915">
        <f>BV934</f>
        <v>3.2240000000000002</v>
      </c>
      <c r="BW1533" s="2915">
        <f>BW934</f>
        <v>3.2240000000000002</v>
      </c>
      <c r="BX1533" s="2915">
        <f>BX934</f>
        <v>3.2240000000000002</v>
      </c>
      <c r="BY1533" s="3066">
        <f t="shared" si="3495"/>
        <v>12.896000000000001</v>
      </c>
      <c r="BZ1533" s="455">
        <f t="shared" ref="BZ1533:CF1533" si="3518">BZ934</f>
        <v>12.896000000000001</v>
      </c>
      <c r="CA1533" s="455">
        <f t="shared" si="3518"/>
        <v>12.896000000000001</v>
      </c>
      <c r="CB1533" s="455">
        <f t="shared" si="3518"/>
        <v>12.896000000000001</v>
      </c>
      <c r="CC1533" s="455">
        <f t="shared" si="3518"/>
        <v>12.896000000000001</v>
      </c>
      <c r="CD1533" s="455">
        <f t="shared" si="3518"/>
        <v>12.896000000000001</v>
      </c>
      <c r="CE1533" s="455">
        <f t="shared" si="3518"/>
        <v>12.896000000000001</v>
      </c>
      <c r="CF1533" s="455">
        <f t="shared" si="3518"/>
        <v>12.896000000000001</v>
      </c>
      <c r="CG1533" s="331"/>
      <c r="CH1533" s="331"/>
      <c r="CI1533" s="331"/>
      <c r="CJ1533" s="331"/>
      <c r="CK1533" s="331"/>
      <c r="CL1533" s="2051" t="str">
        <f t="shared" si="3480"/>
        <v>Argosy Riverside (MO)</v>
      </c>
      <c r="CM1533" s="454">
        <f t="shared" si="3497"/>
        <v>0</v>
      </c>
      <c r="CN1533" s="454">
        <f t="shared" si="3498"/>
        <v>3.0259999999999998</v>
      </c>
      <c r="CO1533" s="454">
        <f t="shared" si="3499"/>
        <v>11.442</v>
      </c>
      <c r="CP1533" s="454">
        <f t="shared" si="3500"/>
        <v>14.366999999999999</v>
      </c>
      <c r="CQ1533" s="454">
        <f t="shared" si="3501"/>
        <v>14.951000000000001</v>
      </c>
      <c r="CR1533" s="454">
        <f t="shared" si="3502"/>
        <v>11.765000000000001</v>
      </c>
      <c r="CS1533" s="454">
        <f t="shared" si="3503"/>
        <v>12.782</v>
      </c>
      <c r="CT1533" s="454">
        <f t="shared" si="3504"/>
        <v>12.849</v>
      </c>
      <c r="CU1533" s="454">
        <f t="shared" si="3505"/>
        <v>12.896000000000001</v>
      </c>
      <c r="CV1533" s="454">
        <f t="shared" si="3506"/>
        <v>12.896000000000001</v>
      </c>
      <c r="CW1533" s="454">
        <f t="shared" si="3507"/>
        <v>12.896000000000001</v>
      </c>
      <c r="CX1533" s="454">
        <f t="shared" si="3508"/>
        <v>12.896000000000001</v>
      </c>
      <c r="CY1533" s="454">
        <f t="shared" si="3509"/>
        <v>12.896000000000001</v>
      </c>
      <c r="CZ1533" s="454">
        <f t="shared" si="3510"/>
        <v>12.896000000000001</v>
      </c>
      <c r="DA1533" s="454">
        <f t="shared" si="3511"/>
        <v>12.896000000000001</v>
      </c>
      <c r="DB1533" s="454">
        <f t="shared" si="3512"/>
        <v>12.896000000000001</v>
      </c>
      <c r="DC1533" s="1666">
        <f t="shared" si="3513"/>
        <v>12.896000000000001</v>
      </c>
      <c r="DD1533" s="331"/>
      <c r="DE1533" s="331"/>
      <c r="DF1533" s="502"/>
      <c r="DG1533" s="503"/>
      <c r="DH1533" s="2915"/>
      <c r="DI1533" s="3213"/>
      <c r="DJ1533" s="502"/>
      <c r="DK1533" s="503"/>
      <c r="DL1533" s="502"/>
      <c r="DM1533" s="502"/>
      <c r="DN1533" s="502"/>
      <c r="DO1533" s="502"/>
      <c r="DP1533" s="503"/>
      <c r="DQ1533" s="503"/>
      <c r="DR1533" s="296"/>
      <c r="DS1533" s="296"/>
      <c r="DT1533" s="296"/>
    </row>
    <row r="1534" spans="1:124" ht="12" customHeight="1" x14ac:dyDescent="0.25">
      <c r="A1534" s="671" t="s">
        <v>1548</v>
      </c>
      <c r="B1534" s="281"/>
      <c r="C1534" s="446">
        <f>C1027</f>
        <v>1.7709999999999999</v>
      </c>
      <c r="D1534" s="446">
        <f>D1027</f>
        <v>1.8169999999999999</v>
      </c>
      <c r="E1534" s="446">
        <f>E1027</f>
        <v>1.87</v>
      </c>
      <c r="F1534" s="446">
        <f>F1027</f>
        <v>1.901</v>
      </c>
      <c r="G1534" s="447">
        <f t="shared" si="3481"/>
        <v>7.359</v>
      </c>
      <c r="H1534" s="446">
        <f>H1027</f>
        <v>1.9159999999999999</v>
      </c>
      <c r="I1534" s="446">
        <f>I1027</f>
        <v>1.9790000000000001</v>
      </c>
      <c r="J1534" s="446">
        <f>J1027</f>
        <v>1.8839999999999999</v>
      </c>
      <c r="K1534" s="446">
        <f>K1027</f>
        <v>1.988</v>
      </c>
      <c r="L1534" s="447">
        <f t="shared" si="3482"/>
        <v>7.7669999999999995</v>
      </c>
      <c r="M1534" s="446">
        <f>M1027</f>
        <v>2.11</v>
      </c>
      <c r="N1534" s="446">
        <f>N1027</f>
        <v>2.0670000000000002</v>
      </c>
      <c r="O1534" s="446">
        <f>O1027</f>
        <v>2.0609999999999999</v>
      </c>
      <c r="P1534" s="446">
        <f>P1027</f>
        <v>2.024</v>
      </c>
      <c r="Q1534" s="447">
        <f t="shared" si="3483"/>
        <v>8.2620000000000005</v>
      </c>
      <c r="R1534" s="446">
        <f>R1027</f>
        <v>2.056</v>
      </c>
      <c r="S1534" s="446">
        <f>S1027</f>
        <v>2.12</v>
      </c>
      <c r="T1534" s="446">
        <f>T1027</f>
        <v>2.149</v>
      </c>
      <c r="U1534" s="446">
        <f>U1027</f>
        <v>2.1440000000000001</v>
      </c>
      <c r="V1534" s="447">
        <f t="shared" si="3484"/>
        <v>8.4690000000000012</v>
      </c>
      <c r="W1534" s="446">
        <f>W1027</f>
        <v>2.2570000000000001</v>
      </c>
      <c r="X1534" s="446">
        <f>X1027</f>
        <v>2.3479999999999999</v>
      </c>
      <c r="Y1534" s="446">
        <f>Y1027</f>
        <v>2.371</v>
      </c>
      <c r="Z1534" s="446">
        <f>Z1027</f>
        <v>2.2599999999999998</v>
      </c>
      <c r="AA1534" s="447">
        <f t="shared" si="3485"/>
        <v>9.2360000000000007</v>
      </c>
      <c r="AB1534" s="446">
        <f>AB1027</f>
        <v>2.2930000000000001</v>
      </c>
      <c r="AC1534" s="446">
        <f>AC1027</f>
        <v>2.302</v>
      </c>
      <c r="AD1534" s="446">
        <f>AD1027</f>
        <v>2.2879999999999998</v>
      </c>
      <c r="AE1534" s="454">
        <f>AE1027</f>
        <v>2.2749999999999999</v>
      </c>
      <c r="AF1534" s="455">
        <f t="shared" si="3486"/>
        <v>9.1580000000000013</v>
      </c>
      <c r="AG1534" s="454">
        <f>AG1027</f>
        <v>2.2719999999999998</v>
      </c>
      <c r="AH1534" s="446">
        <f>AH1027</f>
        <v>2.2789999999999999</v>
      </c>
      <c r="AI1534" s="446">
        <f>AI1027</f>
        <v>2.323</v>
      </c>
      <c r="AJ1534" s="454">
        <f>AJ1027</f>
        <v>2.3370000000000002</v>
      </c>
      <c r="AK1534" s="455">
        <f t="shared" si="3487"/>
        <v>9.2110000000000003</v>
      </c>
      <c r="AL1534" s="446">
        <f>AL1027</f>
        <v>1.98</v>
      </c>
      <c r="AM1534" s="446">
        <f>AM1027</f>
        <v>1.83</v>
      </c>
      <c r="AN1534" s="446">
        <f>AN1027</f>
        <v>1.83</v>
      </c>
      <c r="AO1534" s="454">
        <f>AO1027</f>
        <v>1.83</v>
      </c>
      <c r="AP1534" s="456">
        <f t="shared" si="3488"/>
        <v>7.4700000000000006</v>
      </c>
      <c r="AQ1534" s="456">
        <f>AQ1027</f>
        <v>1.83</v>
      </c>
      <c r="AR1534" s="454">
        <f>AR1027</f>
        <v>1.83</v>
      </c>
      <c r="AS1534" s="454">
        <f>AS1027</f>
        <v>1.83</v>
      </c>
      <c r="AT1534" s="454">
        <f>AT1027</f>
        <v>1.83</v>
      </c>
      <c r="AU1534" s="455">
        <f t="shared" si="3489"/>
        <v>7.32</v>
      </c>
      <c r="AV1534" s="456">
        <f>AV1027</f>
        <v>1.83</v>
      </c>
      <c r="AW1534" s="454">
        <f>AW1027</f>
        <v>1.83</v>
      </c>
      <c r="AX1534" s="454">
        <f>AX1027</f>
        <v>1.83</v>
      </c>
      <c r="AY1534" s="1666">
        <f>AY1027</f>
        <v>1.83</v>
      </c>
      <c r="AZ1534" s="455">
        <f t="shared" si="3490"/>
        <v>7.32</v>
      </c>
      <c r="BA1534" s="456">
        <f>BA1027</f>
        <v>0</v>
      </c>
      <c r="BB1534" s="454">
        <f>BB1027</f>
        <v>0</v>
      </c>
      <c r="BC1534" s="454">
        <f>BC1027</f>
        <v>0</v>
      </c>
      <c r="BD1534" s="1666">
        <f>BD1027</f>
        <v>0</v>
      </c>
      <c r="BE1534" s="455">
        <f t="shared" si="3491"/>
        <v>0</v>
      </c>
      <c r="BF1534" s="454">
        <f>BF1027</f>
        <v>0</v>
      </c>
      <c r="BG1534" s="454">
        <f>BG1027</f>
        <v>0</v>
      </c>
      <c r="BH1534" s="454">
        <f>BH1027</f>
        <v>0</v>
      </c>
      <c r="BI1534" s="1666">
        <f>BI1027</f>
        <v>0</v>
      </c>
      <c r="BJ1534" s="455">
        <f t="shared" si="3492"/>
        <v>0</v>
      </c>
      <c r="BK1534" s="454">
        <f>BK1027</f>
        <v>0</v>
      </c>
      <c r="BL1534" s="454">
        <f>BL1027</f>
        <v>0</v>
      </c>
      <c r="BM1534" s="454">
        <f>BM1027</f>
        <v>0</v>
      </c>
      <c r="BN1534" s="1666">
        <f>BN1027</f>
        <v>0</v>
      </c>
      <c r="BO1534" s="455">
        <f t="shared" si="3493"/>
        <v>0</v>
      </c>
      <c r="BP1534" s="454">
        <f>BP1027</f>
        <v>0</v>
      </c>
      <c r="BQ1534" s="454">
        <f>BQ1027</f>
        <v>0</v>
      </c>
      <c r="BR1534" s="454">
        <f>BR1027</f>
        <v>0</v>
      </c>
      <c r="BS1534" s="454">
        <f>BS1027</f>
        <v>0</v>
      </c>
      <c r="BT1534" s="3066">
        <f t="shared" si="3494"/>
        <v>0</v>
      </c>
      <c r="BU1534" s="2915">
        <f>BU1027</f>
        <v>0</v>
      </c>
      <c r="BV1534" s="2915">
        <f>BV1027</f>
        <v>0</v>
      </c>
      <c r="BW1534" s="2915">
        <f>BW1027</f>
        <v>0</v>
      </c>
      <c r="BX1534" s="2915">
        <f>BX1027</f>
        <v>0</v>
      </c>
      <c r="BY1534" s="3066">
        <f t="shared" si="3495"/>
        <v>0</v>
      </c>
      <c r="BZ1534" s="455">
        <f t="shared" ref="BZ1534:CF1534" si="3519">BZ1027</f>
        <v>0</v>
      </c>
      <c r="CA1534" s="455">
        <f t="shared" si="3519"/>
        <v>0</v>
      </c>
      <c r="CB1534" s="455">
        <f t="shared" si="3519"/>
        <v>0</v>
      </c>
      <c r="CC1534" s="455">
        <f t="shared" si="3519"/>
        <v>0</v>
      </c>
      <c r="CD1534" s="455">
        <f t="shared" si="3519"/>
        <v>0</v>
      </c>
      <c r="CE1534" s="455">
        <f t="shared" si="3519"/>
        <v>0</v>
      </c>
      <c r="CF1534" s="455">
        <f t="shared" si="3519"/>
        <v>0</v>
      </c>
      <c r="CG1534" s="331"/>
      <c r="CH1534" s="331"/>
      <c r="CI1534" s="331"/>
      <c r="CJ1534" s="331"/>
      <c r="CK1534" s="331"/>
      <c r="CL1534" s="2051" t="str">
        <f t="shared" si="3480"/>
        <v>Hollywood Baton Rouge (LA)</v>
      </c>
      <c r="CM1534" s="454">
        <f t="shared" si="3497"/>
        <v>7.359</v>
      </c>
      <c r="CN1534" s="454">
        <f t="shared" si="3498"/>
        <v>7.7669999999999995</v>
      </c>
      <c r="CO1534" s="454">
        <f t="shared" si="3499"/>
        <v>8.2620000000000005</v>
      </c>
      <c r="CP1534" s="454">
        <f t="shared" si="3500"/>
        <v>8.4690000000000012</v>
      </c>
      <c r="CQ1534" s="454">
        <f t="shared" si="3501"/>
        <v>9.2360000000000007</v>
      </c>
      <c r="CR1534" s="454">
        <f t="shared" si="3502"/>
        <v>9.1580000000000013</v>
      </c>
      <c r="CS1534" s="454">
        <f t="shared" si="3503"/>
        <v>9.2110000000000003</v>
      </c>
      <c r="CT1534" s="454">
        <f t="shared" si="3504"/>
        <v>7.4700000000000006</v>
      </c>
      <c r="CU1534" s="454">
        <f t="shared" si="3505"/>
        <v>7.32</v>
      </c>
      <c r="CV1534" s="454">
        <f t="shared" si="3506"/>
        <v>7.32</v>
      </c>
      <c r="CW1534" s="454">
        <f t="shared" si="3507"/>
        <v>0</v>
      </c>
      <c r="CX1534" s="454">
        <f t="shared" si="3508"/>
        <v>0</v>
      </c>
      <c r="CY1534" s="454">
        <f t="shared" si="3509"/>
        <v>0</v>
      </c>
      <c r="CZ1534" s="454">
        <f t="shared" si="3510"/>
        <v>0</v>
      </c>
      <c r="DA1534" s="454">
        <f t="shared" si="3511"/>
        <v>0</v>
      </c>
      <c r="DB1534" s="454">
        <f t="shared" si="3512"/>
        <v>0</v>
      </c>
      <c r="DC1534" s="1666">
        <f t="shared" si="3513"/>
        <v>0</v>
      </c>
      <c r="DD1534" s="331"/>
      <c r="DE1534" s="331"/>
      <c r="DF1534" s="502"/>
      <c r="DG1534" s="503"/>
      <c r="DH1534" s="2915"/>
      <c r="DI1534" s="3213"/>
      <c r="DJ1534" s="502"/>
      <c r="DK1534" s="503"/>
      <c r="DL1534" s="502"/>
      <c r="DM1534" s="502"/>
      <c r="DN1534" s="502"/>
      <c r="DO1534" s="502"/>
      <c r="DP1534" s="503"/>
      <c r="DQ1534" s="503"/>
      <c r="DR1534" s="296"/>
      <c r="DS1534" s="296"/>
      <c r="DT1534" s="296"/>
    </row>
    <row r="1535" spans="1:124" ht="12" customHeight="1" x14ac:dyDescent="0.25">
      <c r="A1535" s="671" t="s">
        <v>1020</v>
      </c>
      <c r="B1535" s="281"/>
      <c r="C1535" s="446"/>
      <c r="D1535" s="446"/>
      <c r="E1535" s="446"/>
      <c r="F1535" s="446"/>
      <c r="G1535" s="447">
        <f t="shared" si="3481"/>
        <v>0</v>
      </c>
      <c r="H1535" s="446"/>
      <c r="I1535" s="446"/>
      <c r="J1535" s="446"/>
      <c r="K1535" s="446">
        <f>K872</f>
        <v>1.59</v>
      </c>
      <c r="L1535" s="447">
        <f t="shared" si="3482"/>
        <v>1.59</v>
      </c>
      <c r="M1535" s="446">
        <f>M872</f>
        <v>2.742</v>
      </c>
      <c r="N1535" s="446">
        <f>N872</f>
        <v>2.2280000000000002</v>
      </c>
      <c r="O1535" s="446">
        <f>O872</f>
        <v>2.0649999999999999</v>
      </c>
      <c r="P1535" s="446">
        <f>P872</f>
        <v>2.04</v>
      </c>
      <c r="Q1535" s="447">
        <f t="shared" si="3483"/>
        <v>9.0749999999999993</v>
      </c>
      <c r="R1535" s="446">
        <f>R872</f>
        <v>2.0329999999999999</v>
      </c>
      <c r="S1535" s="446">
        <f>S872</f>
        <v>2.089</v>
      </c>
      <c r="T1535" s="446">
        <f>T872</f>
        <v>1.9990000000000001</v>
      </c>
      <c r="U1535" s="446">
        <f>U872</f>
        <v>1.794</v>
      </c>
      <c r="V1535" s="447">
        <f t="shared" si="3484"/>
        <v>7.9150000000000009</v>
      </c>
      <c r="W1535" s="446">
        <f>W872</f>
        <v>1.52</v>
      </c>
      <c r="X1535" s="446">
        <f>X872</f>
        <v>1.5660000000000001</v>
      </c>
      <c r="Y1535" s="446">
        <f>Y872</f>
        <v>1.4990000000000001</v>
      </c>
      <c r="Z1535" s="446">
        <f>Z872</f>
        <v>1.405</v>
      </c>
      <c r="AA1535" s="447">
        <f t="shared" si="3485"/>
        <v>5.9900000000000011</v>
      </c>
      <c r="AB1535" s="446">
        <f>AB872</f>
        <v>1.4950000000000001</v>
      </c>
      <c r="AC1535" s="446">
        <f>AC872</f>
        <v>1.577</v>
      </c>
      <c r="AD1535" s="446">
        <f>AD872</f>
        <v>1.4770000000000001</v>
      </c>
      <c r="AE1535" s="454">
        <f>AE872</f>
        <v>1.411</v>
      </c>
      <c r="AF1535" s="455">
        <f t="shared" si="3486"/>
        <v>5.9600000000000009</v>
      </c>
      <c r="AG1535" s="454">
        <f>AG872</f>
        <v>1.421</v>
      </c>
      <c r="AH1535" s="446">
        <f>AH872</f>
        <v>1.44</v>
      </c>
      <c r="AI1535" s="446">
        <f>AI872</f>
        <v>1.415</v>
      </c>
      <c r="AJ1535" s="454">
        <f>AJ872</f>
        <v>1.3460000000000001</v>
      </c>
      <c r="AK1535" s="455">
        <f t="shared" si="3487"/>
        <v>5.6219999999999999</v>
      </c>
      <c r="AL1535" s="446">
        <f>AL872</f>
        <v>1.35</v>
      </c>
      <c r="AM1535" s="446">
        <f>AM872</f>
        <v>1.337</v>
      </c>
      <c r="AN1535" s="446">
        <f>AN872</f>
        <v>1.337</v>
      </c>
      <c r="AO1535" s="454">
        <f>AO872</f>
        <v>1.337</v>
      </c>
      <c r="AP1535" s="456">
        <f t="shared" si="3488"/>
        <v>5.3609999999999998</v>
      </c>
      <c r="AQ1535" s="456">
        <f>AQ872</f>
        <v>1.337</v>
      </c>
      <c r="AR1535" s="454">
        <f>AR872</f>
        <v>1.337</v>
      </c>
      <c r="AS1535" s="454">
        <f>AS872</f>
        <v>1.337</v>
      </c>
      <c r="AT1535" s="454">
        <f>AT872</f>
        <v>1.337</v>
      </c>
      <c r="AU1535" s="455">
        <f t="shared" si="3489"/>
        <v>5.3479999999999999</v>
      </c>
      <c r="AV1535" s="456">
        <f>AV872</f>
        <v>1.337</v>
      </c>
      <c r="AW1535" s="454">
        <f>AW872</f>
        <v>1.337</v>
      </c>
      <c r="AX1535" s="454">
        <f>AX872</f>
        <v>1.337</v>
      </c>
      <c r="AY1535" s="1666">
        <f>AY872</f>
        <v>1.337</v>
      </c>
      <c r="AZ1535" s="455">
        <f t="shared" si="3490"/>
        <v>5.3479999999999999</v>
      </c>
      <c r="BA1535" s="456">
        <f>BA872</f>
        <v>1.337</v>
      </c>
      <c r="BB1535" s="454">
        <f>BB872</f>
        <v>1.337</v>
      </c>
      <c r="BC1535" s="454">
        <f>BC872</f>
        <v>1.337</v>
      </c>
      <c r="BD1535" s="1666">
        <f>BD872</f>
        <v>1.337</v>
      </c>
      <c r="BE1535" s="455">
        <f t="shared" si="3491"/>
        <v>5.3479999999999999</v>
      </c>
      <c r="BF1535" s="454">
        <f>BF872</f>
        <v>1.337</v>
      </c>
      <c r="BG1535" s="454">
        <f>BG872</f>
        <v>1.337</v>
      </c>
      <c r="BH1535" s="454">
        <f>BH872</f>
        <v>1.337</v>
      </c>
      <c r="BI1535" s="1666">
        <f>BI872</f>
        <v>1.337</v>
      </c>
      <c r="BJ1535" s="455">
        <f t="shared" si="3492"/>
        <v>5.3479999999999999</v>
      </c>
      <c r="BK1535" s="454">
        <f>BK872</f>
        <v>1.337</v>
      </c>
      <c r="BL1535" s="454">
        <f>BL872</f>
        <v>1.337</v>
      </c>
      <c r="BM1535" s="454">
        <f>BM872</f>
        <v>1.337</v>
      </c>
      <c r="BN1535" s="1666">
        <f>BN872</f>
        <v>1.337</v>
      </c>
      <c r="BO1535" s="455">
        <f t="shared" si="3493"/>
        <v>5.3479999999999999</v>
      </c>
      <c r="BP1535" s="454">
        <f>BP872</f>
        <v>1.337</v>
      </c>
      <c r="BQ1535" s="454">
        <f>BQ872</f>
        <v>1.337</v>
      </c>
      <c r="BR1535" s="454">
        <f>BR872</f>
        <v>1.337</v>
      </c>
      <c r="BS1535" s="454">
        <f>BS872</f>
        <v>1.337</v>
      </c>
      <c r="BT1535" s="3066">
        <f t="shared" si="3494"/>
        <v>5.3479999999999999</v>
      </c>
      <c r="BU1535" s="2915">
        <f>BU872</f>
        <v>1.337</v>
      </c>
      <c r="BV1535" s="2915">
        <f>BV872</f>
        <v>1.337</v>
      </c>
      <c r="BW1535" s="2915">
        <f>BW872</f>
        <v>1.337</v>
      </c>
      <c r="BX1535" s="2915">
        <f>BX872</f>
        <v>1.337</v>
      </c>
      <c r="BY1535" s="3066">
        <f t="shared" si="3495"/>
        <v>5.3479999999999999</v>
      </c>
      <c r="BZ1535" s="455">
        <f t="shared" ref="BZ1535:CF1535" si="3520">BZ872</f>
        <v>5.3479999999999999</v>
      </c>
      <c r="CA1535" s="455">
        <f t="shared" si="3520"/>
        <v>5.3479999999999999</v>
      </c>
      <c r="CB1535" s="455">
        <f t="shared" si="3520"/>
        <v>5.3479999999999999</v>
      </c>
      <c r="CC1535" s="455">
        <f t="shared" si="3520"/>
        <v>5.3479999999999999</v>
      </c>
      <c r="CD1535" s="455">
        <f t="shared" si="3520"/>
        <v>5.3479999999999999</v>
      </c>
      <c r="CE1535" s="455">
        <f t="shared" si="3520"/>
        <v>5.3479999999999999</v>
      </c>
      <c r="CF1535" s="455">
        <f t="shared" si="3520"/>
        <v>5.3479999999999999</v>
      </c>
      <c r="CG1535" s="331"/>
      <c r="CH1535" s="331"/>
      <c r="CI1535" s="331"/>
      <c r="CJ1535" s="331"/>
      <c r="CK1535" s="331"/>
      <c r="CL1535" s="2051" t="str">
        <f t="shared" si="3480"/>
        <v>Argosy Alton (IL)</v>
      </c>
      <c r="CM1535" s="454">
        <f t="shared" si="3497"/>
        <v>0</v>
      </c>
      <c r="CN1535" s="454">
        <f t="shared" si="3498"/>
        <v>1.59</v>
      </c>
      <c r="CO1535" s="454">
        <f t="shared" si="3499"/>
        <v>9.0749999999999993</v>
      </c>
      <c r="CP1535" s="454">
        <f t="shared" si="3500"/>
        <v>7.9150000000000009</v>
      </c>
      <c r="CQ1535" s="454">
        <f t="shared" si="3501"/>
        <v>5.9900000000000011</v>
      </c>
      <c r="CR1535" s="454">
        <f t="shared" si="3502"/>
        <v>5.9600000000000009</v>
      </c>
      <c r="CS1535" s="454">
        <f t="shared" si="3503"/>
        <v>5.6219999999999999</v>
      </c>
      <c r="CT1535" s="454">
        <f t="shared" si="3504"/>
        <v>5.3609999999999998</v>
      </c>
      <c r="CU1535" s="454">
        <f t="shared" si="3505"/>
        <v>5.3479999999999999</v>
      </c>
      <c r="CV1535" s="454">
        <f t="shared" si="3506"/>
        <v>5.3479999999999999</v>
      </c>
      <c r="CW1535" s="454">
        <f t="shared" si="3507"/>
        <v>5.3479999999999999</v>
      </c>
      <c r="CX1535" s="454">
        <f t="shared" si="3508"/>
        <v>5.3479999999999999</v>
      </c>
      <c r="CY1535" s="454">
        <f t="shared" si="3509"/>
        <v>5.3479999999999999</v>
      </c>
      <c r="CZ1535" s="454">
        <f t="shared" si="3510"/>
        <v>5.3479999999999999</v>
      </c>
      <c r="DA1535" s="454">
        <f t="shared" si="3511"/>
        <v>5.3479999999999999</v>
      </c>
      <c r="DB1535" s="454">
        <f t="shared" si="3512"/>
        <v>5.3479999999999999</v>
      </c>
      <c r="DC1535" s="1666">
        <f t="shared" si="3513"/>
        <v>5.3479999999999999</v>
      </c>
      <c r="DD1535" s="331"/>
      <c r="DE1535" s="331"/>
      <c r="DF1535" s="502"/>
      <c r="DG1535" s="503"/>
      <c r="DH1535" s="2915"/>
      <c r="DI1535" s="3213"/>
      <c r="DJ1535" s="502"/>
      <c r="DK1535" s="503"/>
      <c r="DL1535" s="502"/>
      <c r="DM1535" s="502"/>
      <c r="DN1535" s="502"/>
      <c r="DO1535" s="502"/>
      <c r="DP1535" s="503"/>
      <c r="DQ1535" s="503"/>
      <c r="DR1535" s="296"/>
      <c r="DS1535" s="296"/>
      <c r="DT1535" s="296"/>
    </row>
    <row r="1536" spans="1:124" ht="12" customHeight="1" x14ac:dyDescent="0.25">
      <c r="A1536" s="671" t="s">
        <v>616</v>
      </c>
      <c r="B1536" s="281"/>
      <c r="C1536" s="446">
        <f>C720</f>
        <v>1.738</v>
      </c>
      <c r="D1536" s="446">
        <f>D720</f>
        <v>1.7749999999999999</v>
      </c>
      <c r="E1536" s="446">
        <f>E720</f>
        <v>1.8420000000000001</v>
      </c>
      <c r="F1536" s="446">
        <f>F720</f>
        <v>1.901</v>
      </c>
      <c r="G1536" s="447">
        <f t="shared" si="3481"/>
        <v>7.2560000000000002</v>
      </c>
      <c r="H1536" s="446">
        <f>H720</f>
        <v>2.0630000000000002</v>
      </c>
      <c r="I1536" s="446">
        <f>I720</f>
        <v>2.14</v>
      </c>
      <c r="J1536" s="446">
        <f>J720</f>
        <v>2.2160000000000002</v>
      </c>
      <c r="K1536" s="446">
        <f>K720</f>
        <v>2.2509999999999999</v>
      </c>
      <c r="L1536" s="447">
        <f t="shared" si="3482"/>
        <v>8.67</v>
      </c>
      <c r="M1536" s="446">
        <f>M720</f>
        <v>2.0939999999999999</v>
      </c>
      <c r="N1536" s="446">
        <f>N720</f>
        <v>1.7749999999999999</v>
      </c>
      <c r="O1536" s="446">
        <f>O720</f>
        <v>1.8120000000000001</v>
      </c>
      <c r="P1536" s="446">
        <f>P720</f>
        <v>1.8160000000000001</v>
      </c>
      <c r="Q1536" s="447">
        <f t="shared" si="3483"/>
        <v>7.4969999999999999</v>
      </c>
      <c r="R1536" s="446">
        <f>R720</f>
        <v>1.8240000000000001</v>
      </c>
      <c r="S1536" s="446">
        <f>S720</f>
        <v>1.8680000000000001</v>
      </c>
      <c r="T1536" s="446">
        <f>T720</f>
        <v>2.04</v>
      </c>
      <c r="U1536" s="446">
        <f>U720</f>
        <v>1.8460000000000001</v>
      </c>
      <c r="V1536" s="447">
        <f t="shared" si="3484"/>
        <v>7.5780000000000003</v>
      </c>
      <c r="W1536" s="446">
        <f>W720</f>
        <v>1.7989999999999999</v>
      </c>
      <c r="X1536" s="446">
        <f>X720</f>
        <v>1.8149999999999999</v>
      </c>
      <c r="Y1536" s="446">
        <f>Y720</f>
        <v>1.7</v>
      </c>
      <c r="Z1536" s="446">
        <f>Z720</f>
        <v>1.6890000000000001</v>
      </c>
      <c r="AA1536" s="447">
        <f t="shared" si="3485"/>
        <v>7.0030000000000001</v>
      </c>
      <c r="AB1536" s="446">
        <f>AB720</f>
        <v>1.7310000000000001</v>
      </c>
      <c r="AC1536" s="446">
        <f>AC720</f>
        <v>1.722</v>
      </c>
      <c r="AD1536" s="446">
        <f>AD720</f>
        <v>1.538</v>
      </c>
      <c r="AE1536" s="454">
        <f>AE720</f>
        <v>1.603</v>
      </c>
      <c r="AF1536" s="455">
        <f t="shared" si="3486"/>
        <v>6.5940000000000003</v>
      </c>
      <c r="AG1536" s="454">
        <f>AG720</f>
        <v>1.6439999999999999</v>
      </c>
      <c r="AH1536" s="446">
        <f>AH720</f>
        <v>1.573</v>
      </c>
      <c r="AI1536" s="446">
        <f>AI720</f>
        <v>1.647</v>
      </c>
      <c r="AJ1536" s="454">
        <f>AJ720</f>
        <v>1.5860000000000001</v>
      </c>
      <c r="AK1536" s="455">
        <f t="shared" si="3487"/>
        <v>6.45</v>
      </c>
      <c r="AL1536" s="446">
        <f>AL720</f>
        <v>1.5740000000000001</v>
      </c>
      <c r="AM1536" s="446">
        <f>AM720</f>
        <v>1.5740000000000001</v>
      </c>
      <c r="AN1536" s="446">
        <f>AN720</f>
        <v>1.5740000000000001</v>
      </c>
      <c r="AO1536" s="454">
        <f>AO720</f>
        <v>1.5740000000000001</v>
      </c>
      <c r="AP1536" s="456">
        <f t="shared" si="3488"/>
        <v>6.2960000000000003</v>
      </c>
      <c r="AQ1536" s="456">
        <f>AQ720</f>
        <v>1.5740000000000001</v>
      </c>
      <c r="AR1536" s="454">
        <f>AR720</f>
        <v>1.5740000000000001</v>
      </c>
      <c r="AS1536" s="454">
        <f>AS720</f>
        <v>1.5740000000000001</v>
      </c>
      <c r="AT1536" s="454">
        <f>AT720</f>
        <v>1.5740000000000001</v>
      </c>
      <c r="AU1536" s="455">
        <f t="shared" si="3489"/>
        <v>6.2960000000000003</v>
      </c>
      <c r="AV1536" s="456">
        <f>AV720</f>
        <v>1.5740000000000001</v>
      </c>
      <c r="AW1536" s="454">
        <f>AW720</f>
        <v>1.5740000000000001</v>
      </c>
      <c r="AX1536" s="454">
        <f>AX720</f>
        <v>1.5740000000000001</v>
      </c>
      <c r="AY1536" s="1666">
        <f>AY720</f>
        <v>1.5740000000000001</v>
      </c>
      <c r="AZ1536" s="455">
        <f t="shared" si="3490"/>
        <v>6.2960000000000003</v>
      </c>
      <c r="BA1536" s="456">
        <f>BA720</f>
        <v>1.5740000000000001</v>
      </c>
      <c r="BB1536" s="454">
        <f>BB720</f>
        <v>1.5740000000000001</v>
      </c>
      <c r="BC1536" s="454">
        <f>BC720</f>
        <v>1.5740000000000001</v>
      </c>
      <c r="BD1536" s="1666">
        <f>BD720</f>
        <v>1.5740000000000001</v>
      </c>
      <c r="BE1536" s="455">
        <f t="shared" si="3491"/>
        <v>6.2960000000000003</v>
      </c>
      <c r="BF1536" s="454">
        <f>BF720</f>
        <v>1.5740000000000001</v>
      </c>
      <c r="BG1536" s="454">
        <f>BG720</f>
        <v>1.5740000000000001</v>
      </c>
      <c r="BH1536" s="454">
        <f>BH720</f>
        <v>1.5740000000000001</v>
      </c>
      <c r="BI1536" s="1666">
        <f>BI720</f>
        <v>1.5740000000000001</v>
      </c>
      <c r="BJ1536" s="455">
        <f t="shared" si="3492"/>
        <v>6.2960000000000003</v>
      </c>
      <c r="BK1536" s="454">
        <f>BK720</f>
        <v>1.5740000000000001</v>
      </c>
      <c r="BL1536" s="454">
        <f>BL720</f>
        <v>1.5740000000000001</v>
      </c>
      <c r="BM1536" s="454">
        <f>BM720</f>
        <v>1.5740000000000001</v>
      </c>
      <c r="BN1536" s="1666">
        <f>BN720</f>
        <v>1.5740000000000001</v>
      </c>
      <c r="BO1536" s="455">
        <f t="shared" si="3493"/>
        <v>6.2960000000000003</v>
      </c>
      <c r="BP1536" s="454">
        <f>BP720</f>
        <v>1.5740000000000001</v>
      </c>
      <c r="BQ1536" s="454">
        <f>BQ720</f>
        <v>1.5740000000000001</v>
      </c>
      <c r="BR1536" s="454">
        <f>BR720</f>
        <v>1.5740000000000001</v>
      </c>
      <c r="BS1536" s="454">
        <f>BS720</f>
        <v>1.5740000000000001</v>
      </c>
      <c r="BT1536" s="3066">
        <f t="shared" si="3494"/>
        <v>6.2960000000000003</v>
      </c>
      <c r="BU1536" s="2915">
        <f>BU720</f>
        <v>1.5740000000000001</v>
      </c>
      <c r="BV1536" s="2915">
        <f>BV720</f>
        <v>1.5740000000000001</v>
      </c>
      <c r="BW1536" s="2915">
        <f>BW720</f>
        <v>1.5740000000000001</v>
      </c>
      <c r="BX1536" s="2915">
        <f>BX720</f>
        <v>1.5740000000000001</v>
      </c>
      <c r="BY1536" s="3066">
        <f t="shared" si="3495"/>
        <v>6.2960000000000003</v>
      </c>
      <c r="BZ1536" s="455">
        <f t="shared" ref="BZ1536:CF1536" si="3521">BZ720</f>
        <v>6.2960000000000003</v>
      </c>
      <c r="CA1536" s="455">
        <f t="shared" si="3521"/>
        <v>6.2960000000000003</v>
      </c>
      <c r="CB1536" s="455">
        <f t="shared" si="3521"/>
        <v>6.2960000000000003</v>
      </c>
      <c r="CC1536" s="455">
        <f t="shared" si="3521"/>
        <v>6.2960000000000003</v>
      </c>
      <c r="CD1536" s="455">
        <f t="shared" si="3521"/>
        <v>6.2960000000000003</v>
      </c>
      <c r="CE1536" s="455">
        <f t="shared" si="3521"/>
        <v>6.2960000000000003</v>
      </c>
      <c r="CF1536" s="455">
        <f t="shared" si="3521"/>
        <v>6.2960000000000003</v>
      </c>
      <c r="CG1536" s="331"/>
      <c r="CH1536" s="331"/>
      <c r="CI1536" s="331"/>
      <c r="CJ1536" s="331"/>
      <c r="CK1536" s="331"/>
      <c r="CL1536" s="2051" t="str">
        <f t="shared" si="3480"/>
        <v>Hollywood Tunica (MS)</v>
      </c>
      <c r="CM1536" s="454">
        <f t="shared" si="3497"/>
        <v>7.2560000000000002</v>
      </c>
      <c r="CN1536" s="454">
        <f t="shared" si="3498"/>
        <v>8.67</v>
      </c>
      <c r="CO1536" s="454">
        <f t="shared" si="3499"/>
        <v>7.4969999999999999</v>
      </c>
      <c r="CP1536" s="454">
        <f t="shared" si="3500"/>
        <v>7.5780000000000003</v>
      </c>
      <c r="CQ1536" s="454">
        <f t="shared" si="3501"/>
        <v>7.0030000000000001</v>
      </c>
      <c r="CR1536" s="454">
        <f t="shared" si="3502"/>
        <v>6.5940000000000003</v>
      </c>
      <c r="CS1536" s="454">
        <f t="shared" si="3503"/>
        <v>6.45</v>
      </c>
      <c r="CT1536" s="454">
        <f t="shared" si="3504"/>
        <v>6.2960000000000003</v>
      </c>
      <c r="CU1536" s="454">
        <f t="shared" si="3505"/>
        <v>6.2960000000000003</v>
      </c>
      <c r="CV1536" s="454">
        <f t="shared" si="3506"/>
        <v>6.2960000000000003</v>
      </c>
      <c r="CW1536" s="454">
        <f t="shared" si="3507"/>
        <v>6.2960000000000003</v>
      </c>
      <c r="CX1536" s="454">
        <f t="shared" si="3508"/>
        <v>6.2960000000000003</v>
      </c>
      <c r="CY1536" s="454">
        <f t="shared" si="3509"/>
        <v>6.2960000000000003</v>
      </c>
      <c r="CZ1536" s="454">
        <f t="shared" si="3510"/>
        <v>6.2960000000000003</v>
      </c>
      <c r="DA1536" s="454">
        <f t="shared" si="3511"/>
        <v>6.2960000000000003</v>
      </c>
      <c r="DB1536" s="454">
        <f t="shared" si="3512"/>
        <v>6.2960000000000003</v>
      </c>
      <c r="DC1536" s="1666">
        <f t="shared" si="3513"/>
        <v>6.2960000000000003</v>
      </c>
      <c r="DD1536" s="331"/>
      <c r="DE1536" s="331"/>
      <c r="DF1536" s="502"/>
      <c r="DG1536" s="503"/>
      <c r="DH1536" s="2915"/>
      <c r="DI1536" s="3213"/>
      <c r="DJ1536" s="502"/>
      <c r="DK1536" s="503"/>
      <c r="DL1536" s="502"/>
      <c r="DM1536" s="502"/>
      <c r="DN1536" s="502"/>
      <c r="DO1536" s="502"/>
      <c r="DP1536" s="503"/>
      <c r="DQ1536" s="503"/>
      <c r="DR1536" s="296"/>
      <c r="DS1536" s="296"/>
      <c r="DT1536" s="296"/>
    </row>
    <row r="1537" spans="1:130" ht="12" customHeight="1" x14ac:dyDescent="0.25">
      <c r="A1537" s="671" t="s">
        <v>2569</v>
      </c>
      <c r="B1537" s="281"/>
      <c r="C1537" s="446"/>
      <c r="D1537" s="446"/>
      <c r="E1537" s="446"/>
      <c r="F1537" s="446"/>
      <c r="G1537" s="447"/>
      <c r="H1537" s="446"/>
      <c r="I1537" s="446"/>
      <c r="J1537" s="446"/>
      <c r="K1537" s="446"/>
      <c r="L1537" s="447"/>
      <c r="M1537" s="446"/>
      <c r="N1537" s="446"/>
      <c r="O1537" s="446"/>
      <c r="P1537" s="446"/>
      <c r="Q1537" s="447"/>
      <c r="R1537" s="446"/>
      <c r="S1537" s="446"/>
      <c r="T1537" s="446"/>
      <c r="U1537" s="446"/>
      <c r="V1537" s="447"/>
      <c r="W1537" s="446"/>
      <c r="X1537" s="446"/>
      <c r="Y1537" s="446"/>
      <c r="Z1537" s="446"/>
      <c r="AA1537" s="447"/>
      <c r="AB1537" s="446"/>
      <c r="AC1537" s="446"/>
      <c r="AD1537" s="446"/>
      <c r="AE1537" s="454"/>
      <c r="AF1537" s="455"/>
      <c r="AG1537" s="454"/>
      <c r="AH1537" s="446"/>
      <c r="AI1537" s="446"/>
      <c r="AJ1537" s="454"/>
      <c r="AK1537" s="455"/>
      <c r="AL1537" s="446"/>
      <c r="AM1537" s="446"/>
      <c r="AN1537" s="446"/>
      <c r="AO1537" s="454"/>
      <c r="AP1537" s="456"/>
      <c r="AQ1537" s="456"/>
      <c r="AR1537" s="454"/>
      <c r="AS1537" s="454"/>
      <c r="AT1537" s="454"/>
      <c r="AU1537" s="455"/>
      <c r="AV1537" s="456"/>
      <c r="AW1537" s="454"/>
      <c r="AX1537" s="454"/>
      <c r="AY1537" s="1666"/>
      <c r="AZ1537" s="455"/>
      <c r="BA1537" s="456"/>
      <c r="BB1537" s="454"/>
      <c r="BC1537" s="454"/>
      <c r="BD1537" s="1666"/>
      <c r="BE1537" s="455"/>
      <c r="BF1537" s="454"/>
      <c r="BG1537" s="454"/>
      <c r="BH1537" s="454"/>
      <c r="BI1537" s="1666"/>
      <c r="BJ1537" s="455"/>
      <c r="BK1537" s="454"/>
      <c r="BL1537" s="454"/>
      <c r="BM1537" s="454"/>
      <c r="BN1537" s="1666"/>
      <c r="BO1537" s="455"/>
      <c r="BP1537" s="454"/>
      <c r="BQ1537" s="454">
        <f t="shared" ref="BQ1537:CA1537" si="3522">+BQ739</f>
        <v>1.4066666666666665</v>
      </c>
      <c r="BR1537" s="454">
        <f t="shared" si="3522"/>
        <v>2.11</v>
      </c>
      <c r="BS1537" s="454">
        <f t="shared" si="3522"/>
        <v>2.11</v>
      </c>
      <c r="BT1537" s="3066">
        <f t="shared" si="3522"/>
        <v>5.6266666666666669</v>
      </c>
      <c r="BU1537" s="2915">
        <f t="shared" si="3522"/>
        <v>2.11</v>
      </c>
      <c r="BV1537" s="2915">
        <f t="shared" si="3522"/>
        <v>2.11</v>
      </c>
      <c r="BW1537" s="2915">
        <f t="shared" si="3522"/>
        <v>2.11</v>
      </c>
      <c r="BX1537" s="2915">
        <f t="shared" si="3522"/>
        <v>2.11</v>
      </c>
      <c r="BY1537" s="3066">
        <f t="shared" si="3522"/>
        <v>8.44</v>
      </c>
      <c r="BZ1537" s="455">
        <f t="shared" si="3522"/>
        <v>8.44</v>
      </c>
      <c r="CA1537" s="455">
        <f t="shared" si="3522"/>
        <v>8.44</v>
      </c>
      <c r="CB1537" s="455"/>
      <c r="CC1537" s="455"/>
      <c r="CD1537" s="455"/>
      <c r="CE1537" s="455"/>
      <c r="CF1537" s="455"/>
      <c r="CG1537" s="331"/>
      <c r="CH1537" s="331"/>
      <c r="CI1537" s="331"/>
      <c r="CJ1537" s="331"/>
      <c r="CK1537" s="331"/>
      <c r="CL1537" s="2051"/>
      <c r="CM1537" s="454"/>
      <c r="CN1537" s="454"/>
      <c r="CO1537" s="454"/>
      <c r="CP1537" s="454"/>
      <c r="CQ1537" s="454"/>
      <c r="CR1537" s="454"/>
      <c r="CS1537" s="454"/>
      <c r="CT1537" s="454"/>
      <c r="CU1537" s="454"/>
      <c r="CV1537" s="454"/>
      <c r="CW1537" s="454"/>
      <c r="CX1537" s="454"/>
      <c r="CY1537" s="454"/>
      <c r="CZ1537" s="454"/>
      <c r="DA1537" s="454"/>
      <c r="DB1537" s="454"/>
      <c r="DC1537" s="1666"/>
      <c r="DD1537" s="331"/>
      <c r="DE1537" s="331"/>
      <c r="DF1537" s="502"/>
      <c r="DG1537" s="503"/>
      <c r="DH1537" s="2915"/>
      <c r="DI1537" s="3213"/>
      <c r="DJ1537" s="502"/>
      <c r="DK1537" s="503"/>
      <c r="DL1537" s="502"/>
      <c r="DM1537" s="502"/>
      <c r="DN1537" s="502"/>
      <c r="DO1537" s="502"/>
      <c r="DP1537" s="503"/>
      <c r="DQ1537" s="503"/>
      <c r="DR1537" s="296"/>
      <c r="DS1537" s="296"/>
      <c r="DT1537" s="296"/>
    </row>
    <row r="1538" spans="1:130" ht="12" customHeight="1" x14ac:dyDescent="0.25">
      <c r="A1538" s="671" t="s">
        <v>615</v>
      </c>
      <c r="B1538" s="281"/>
      <c r="C1538" s="446">
        <f>C758</f>
        <v>2.5720000000000001</v>
      </c>
      <c r="D1538" s="446">
        <f>D758</f>
        <v>2.5939999999999999</v>
      </c>
      <c r="E1538" s="446">
        <f>E758</f>
        <v>2.605</v>
      </c>
      <c r="F1538" s="446">
        <f>F758</f>
        <v>2.65</v>
      </c>
      <c r="G1538" s="447">
        <f t="shared" si="3481"/>
        <v>10.421000000000001</v>
      </c>
      <c r="H1538" s="446">
        <f>H758</f>
        <v>2.3130000000000002</v>
      </c>
      <c r="I1538" s="446">
        <f>I758</f>
        <v>2.343</v>
      </c>
      <c r="J1538" s="446">
        <f>J758</f>
        <v>1.4419999999999999</v>
      </c>
      <c r="K1538" s="446">
        <f>K758</f>
        <v>8.1000000000000003E-2</v>
      </c>
      <c r="L1538" s="447">
        <f t="shared" si="3482"/>
        <v>6.1790000000000012</v>
      </c>
      <c r="M1538" s="446">
        <f>M758</f>
        <v>0.156</v>
      </c>
      <c r="N1538" s="446">
        <f>N758</f>
        <v>0.19700000000000001</v>
      </c>
      <c r="O1538" s="446">
        <f>O758</f>
        <v>0.99199999999999999</v>
      </c>
      <c r="P1538" s="446">
        <f>P758</f>
        <v>3.14</v>
      </c>
      <c r="Q1538" s="447">
        <f t="shared" si="3483"/>
        <v>4.4850000000000003</v>
      </c>
      <c r="R1538" s="446">
        <f>R758</f>
        <v>3.15</v>
      </c>
      <c r="S1538" s="446">
        <f>S758</f>
        <v>3.198</v>
      </c>
      <c r="T1538" s="446">
        <f>T758</f>
        <v>3.2189999999999999</v>
      </c>
      <c r="U1538" s="446">
        <f>U758</f>
        <v>3.5</v>
      </c>
      <c r="V1538" s="447">
        <f t="shared" si="3484"/>
        <v>13.067</v>
      </c>
      <c r="W1538" s="446">
        <f>W758</f>
        <v>3.2559999999999998</v>
      </c>
      <c r="X1538" s="446">
        <f>X758</f>
        <v>4.7910000000000004</v>
      </c>
      <c r="Y1538" s="446">
        <f>Y758</f>
        <v>3.51</v>
      </c>
      <c r="Z1538" s="446">
        <f>Z758</f>
        <v>3.508</v>
      </c>
      <c r="AA1538" s="447">
        <f t="shared" si="3485"/>
        <v>15.065000000000001</v>
      </c>
      <c r="AB1538" s="446">
        <f>AB758</f>
        <v>3.5230000000000001</v>
      </c>
      <c r="AC1538" s="446">
        <f>AC758</f>
        <v>3.4790000000000001</v>
      </c>
      <c r="AD1538" s="446">
        <f>AD758</f>
        <v>3.5259999999999998</v>
      </c>
      <c r="AE1538" s="454">
        <f>AE758</f>
        <v>3.5230000000000001</v>
      </c>
      <c r="AF1538" s="455">
        <f t="shared" si="3486"/>
        <v>14.051</v>
      </c>
      <c r="AG1538" s="454">
        <f>AG758</f>
        <v>3.5630000000000002</v>
      </c>
      <c r="AH1538" s="446">
        <f>AH758</f>
        <v>3.585</v>
      </c>
      <c r="AI1538" s="446">
        <f>AI758</f>
        <v>3.645</v>
      </c>
      <c r="AJ1538" s="454">
        <f>AJ758</f>
        <v>3.629</v>
      </c>
      <c r="AK1538" s="455">
        <f t="shared" si="3487"/>
        <v>14.421999999999999</v>
      </c>
      <c r="AL1538" s="446">
        <f>AL758</f>
        <v>3.6080000000000001</v>
      </c>
      <c r="AM1538" s="446">
        <f>AM758</f>
        <v>3.968</v>
      </c>
      <c r="AN1538" s="446">
        <f>AN758</f>
        <v>3.968</v>
      </c>
      <c r="AO1538" s="454">
        <f>AO758</f>
        <v>3.968</v>
      </c>
      <c r="AP1538" s="456">
        <f t="shared" si="3488"/>
        <v>15.512</v>
      </c>
      <c r="AQ1538" s="456">
        <f>AQ758</f>
        <v>3.968</v>
      </c>
      <c r="AR1538" s="454">
        <f>AR758</f>
        <v>3.968</v>
      </c>
      <c r="AS1538" s="454">
        <f>AS758</f>
        <v>3.968</v>
      </c>
      <c r="AT1538" s="454">
        <f>AT758</f>
        <v>3.968</v>
      </c>
      <c r="AU1538" s="455">
        <f t="shared" si="3489"/>
        <v>15.872</v>
      </c>
      <c r="AV1538" s="456">
        <f>AV758</f>
        <v>3.968</v>
      </c>
      <c r="AW1538" s="454">
        <f>AW758</f>
        <v>3.968</v>
      </c>
      <c r="AX1538" s="454">
        <f>AX758</f>
        <v>3.968</v>
      </c>
      <c r="AY1538" s="1666">
        <f>AY758</f>
        <v>3.968</v>
      </c>
      <c r="AZ1538" s="455">
        <f t="shared" si="3490"/>
        <v>15.872</v>
      </c>
      <c r="BA1538" s="456">
        <f>BA758</f>
        <v>3.968</v>
      </c>
      <c r="BB1538" s="454">
        <f>BB758</f>
        <v>3.968</v>
      </c>
      <c r="BC1538" s="454">
        <f>BC758</f>
        <v>3.968</v>
      </c>
      <c r="BD1538" s="1666">
        <f>BD758</f>
        <v>3.968</v>
      </c>
      <c r="BE1538" s="455">
        <f t="shared" si="3491"/>
        <v>15.872</v>
      </c>
      <c r="BF1538" s="454">
        <f>BF758</f>
        <v>3.968</v>
      </c>
      <c r="BG1538" s="454">
        <f>BG758</f>
        <v>3.968</v>
      </c>
      <c r="BH1538" s="454">
        <f>BH758</f>
        <v>3.968</v>
      </c>
      <c r="BI1538" s="1666">
        <f>BI758</f>
        <v>3.968</v>
      </c>
      <c r="BJ1538" s="455">
        <f t="shared" si="3492"/>
        <v>15.872</v>
      </c>
      <c r="BK1538" s="454">
        <f>BK758</f>
        <v>3.968</v>
      </c>
      <c r="BL1538" s="454">
        <f>BL758</f>
        <v>3.968</v>
      </c>
      <c r="BM1538" s="454">
        <f>BM758</f>
        <v>3.968</v>
      </c>
      <c r="BN1538" s="1666">
        <f>BN758</f>
        <v>3.968</v>
      </c>
      <c r="BO1538" s="455">
        <f t="shared" si="3493"/>
        <v>15.872</v>
      </c>
      <c r="BP1538" s="454">
        <f>BP758</f>
        <v>3.968</v>
      </c>
      <c r="BQ1538" s="454">
        <f>BQ758</f>
        <v>3.968</v>
      </c>
      <c r="BR1538" s="454">
        <f>BR758</f>
        <v>3.968</v>
      </c>
      <c r="BS1538" s="454">
        <f>BS758</f>
        <v>3.968</v>
      </c>
      <c r="BT1538" s="3066">
        <f t="shared" si="3494"/>
        <v>15.872</v>
      </c>
      <c r="BU1538" s="2915">
        <f>BU758</f>
        <v>3.968</v>
      </c>
      <c r="BV1538" s="2915">
        <f>BV758</f>
        <v>3.968</v>
      </c>
      <c r="BW1538" s="2915">
        <f>BW758</f>
        <v>3.968</v>
      </c>
      <c r="BX1538" s="2915">
        <f>BX758</f>
        <v>3.968</v>
      </c>
      <c r="BY1538" s="3066">
        <f t="shared" ref="BY1538:BY1543" si="3523">SUM(BU1538:BX1538)</f>
        <v>15.872</v>
      </c>
      <c r="BZ1538" s="455">
        <f t="shared" ref="BZ1538:CF1538" si="3524">BZ758</f>
        <v>15.872</v>
      </c>
      <c r="CA1538" s="455">
        <f t="shared" si="3524"/>
        <v>15.872</v>
      </c>
      <c r="CB1538" s="455">
        <f t="shared" si="3524"/>
        <v>15.872</v>
      </c>
      <c r="CC1538" s="455">
        <f t="shared" si="3524"/>
        <v>15.872</v>
      </c>
      <c r="CD1538" s="455">
        <f t="shared" si="3524"/>
        <v>15.872</v>
      </c>
      <c r="CE1538" s="455">
        <f t="shared" si="3524"/>
        <v>15.872</v>
      </c>
      <c r="CF1538" s="455">
        <f t="shared" si="3524"/>
        <v>15.872</v>
      </c>
      <c r="CG1538" s="331"/>
      <c r="CH1538" s="331"/>
      <c r="CI1538" s="331"/>
      <c r="CJ1538" s="331"/>
      <c r="CK1538" s="331"/>
      <c r="CL1538" s="2051" t="str">
        <f t="shared" ref="CL1538:CL1554" si="3525">A1538</f>
        <v>Hollywood Bay St. Louis (MS)</v>
      </c>
      <c r="CM1538" s="454">
        <f t="shared" ref="CM1538:CM1549" si="3526">G1538</f>
        <v>10.421000000000001</v>
      </c>
      <c r="CN1538" s="454">
        <f t="shared" ref="CN1538:CN1549" si="3527">L1538</f>
        <v>6.1790000000000012</v>
      </c>
      <c r="CO1538" s="454">
        <f t="shared" ref="CO1538:CO1549" si="3528">Q1538</f>
        <v>4.4850000000000003</v>
      </c>
      <c r="CP1538" s="454">
        <f t="shared" ref="CP1538:CP1549" si="3529">V1538</f>
        <v>13.067</v>
      </c>
      <c r="CQ1538" s="454">
        <f t="shared" ref="CQ1538:CQ1549" si="3530">AA1538</f>
        <v>15.065000000000001</v>
      </c>
      <c r="CR1538" s="454">
        <f t="shared" ref="CR1538:CR1549" si="3531">AF1538</f>
        <v>14.051</v>
      </c>
      <c r="CS1538" s="454">
        <f t="shared" ref="CS1538:CS1549" si="3532">AK1538</f>
        <v>14.421999999999999</v>
      </c>
      <c r="CT1538" s="454">
        <f t="shared" ref="CT1538:CT1549" si="3533">AP1538</f>
        <v>15.512</v>
      </c>
      <c r="CU1538" s="454">
        <f t="shared" ref="CU1538:CU1549" si="3534">AU1538</f>
        <v>15.872</v>
      </c>
      <c r="CV1538" s="454">
        <f t="shared" ref="CV1538:CV1549" si="3535">AZ1538</f>
        <v>15.872</v>
      </c>
      <c r="CW1538" s="454">
        <f t="shared" ref="CW1538:CW1549" si="3536">BE1538</f>
        <v>15.872</v>
      </c>
      <c r="CX1538" s="454">
        <f t="shared" ref="CX1538:CX1549" si="3537">BJ1538</f>
        <v>15.872</v>
      </c>
      <c r="CY1538" s="454">
        <f t="shared" ref="CY1538:CY1549" si="3538">BO1538</f>
        <v>15.872</v>
      </c>
      <c r="CZ1538" s="454">
        <f t="shared" ref="CZ1538:CZ1549" si="3539">BT1538</f>
        <v>15.872</v>
      </c>
      <c r="DA1538" s="454">
        <f t="shared" si="3511"/>
        <v>15.872</v>
      </c>
      <c r="DB1538" s="454">
        <f t="shared" si="3512"/>
        <v>15.872</v>
      </c>
      <c r="DC1538" s="1666">
        <f t="shared" si="3513"/>
        <v>15.872</v>
      </c>
      <c r="DD1538" s="331"/>
      <c r="DE1538" s="331"/>
      <c r="DF1538" s="502"/>
      <c r="DG1538" s="503"/>
      <c r="DH1538" s="2915"/>
      <c r="DI1538" s="3213"/>
      <c r="DJ1538" s="502"/>
      <c r="DK1538" s="503"/>
      <c r="DL1538" s="502"/>
      <c r="DM1538" s="502"/>
      <c r="DN1538" s="502"/>
      <c r="DO1538" s="502"/>
      <c r="DP1538" s="503"/>
      <c r="DQ1538" s="503"/>
      <c r="DR1538" s="296"/>
      <c r="DS1538" s="296"/>
      <c r="DT1538" s="296"/>
    </row>
    <row r="1539" spans="1:130" ht="12" customHeight="1" x14ac:dyDescent="0.25">
      <c r="A1539" s="671" t="s">
        <v>1019</v>
      </c>
      <c r="B1539" s="281"/>
      <c r="C1539" s="446"/>
      <c r="D1539" s="446"/>
      <c r="E1539" s="446"/>
      <c r="F1539" s="446"/>
      <c r="G1539" s="447">
        <f t="shared" si="3481"/>
        <v>0</v>
      </c>
      <c r="H1539" s="446"/>
      <c r="I1539" s="446"/>
      <c r="J1539" s="446"/>
      <c r="K1539" s="446">
        <f>K965</f>
        <v>1.226</v>
      </c>
      <c r="L1539" s="447">
        <f t="shared" si="3482"/>
        <v>1.226</v>
      </c>
      <c r="M1539" s="446">
        <f>M965</f>
        <v>0.88800000000000001</v>
      </c>
      <c r="N1539" s="446">
        <f>N965</f>
        <v>1.0900000000000001</v>
      </c>
      <c r="O1539" s="446">
        <f>O965</f>
        <v>1.0820000000000001</v>
      </c>
      <c r="P1539" s="446">
        <f>P965</f>
        <v>1.1060000000000001</v>
      </c>
      <c r="Q1539" s="447">
        <f t="shared" si="3483"/>
        <v>4.1660000000000004</v>
      </c>
      <c r="R1539" s="446">
        <f>R965</f>
        <v>1.107</v>
      </c>
      <c r="S1539" s="446">
        <f>S965</f>
        <v>1.115</v>
      </c>
      <c r="T1539" s="446">
        <f>T965</f>
        <v>1.121</v>
      </c>
      <c r="U1539" s="446">
        <f>U965</f>
        <v>1.1279999999999999</v>
      </c>
      <c r="V1539" s="447">
        <f t="shared" si="3484"/>
        <v>4.4710000000000001</v>
      </c>
      <c r="W1539" s="446">
        <f>W965</f>
        <v>1.1160000000000001</v>
      </c>
      <c r="X1539" s="446">
        <f>X965</f>
        <v>1.115</v>
      </c>
      <c r="Y1539" s="446">
        <f>Y965</f>
        <v>1.101</v>
      </c>
      <c r="Z1539" s="446">
        <f>Z965</f>
        <v>1.119</v>
      </c>
      <c r="AA1539" s="447">
        <f t="shared" si="3485"/>
        <v>4.4509999999999996</v>
      </c>
      <c r="AB1539" s="446">
        <f>AB965</f>
        <v>1.1160000000000001</v>
      </c>
      <c r="AC1539" s="446">
        <f>AC965</f>
        <v>1.1100000000000001</v>
      </c>
      <c r="AD1539" s="446">
        <f>AD965</f>
        <v>1.0620000000000001</v>
      </c>
      <c r="AE1539" s="454">
        <f>AE965</f>
        <v>1.046</v>
      </c>
      <c r="AF1539" s="455">
        <f t="shared" si="3486"/>
        <v>4.3340000000000005</v>
      </c>
      <c r="AG1539" s="454">
        <f>AG965</f>
        <v>1.075</v>
      </c>
      <c r="AH1539" s="446">
        <f>AH965</f>
        <v>1.109</v>
      </c>
      <c r="AI1539" s="446">
        <f>AI965</f>
        <v>1.1299999999999999</v>
      </c>
      <c r="AJ1539" s="454">
        <f>AJ965</f>
        <v>1.1080000000000001</v>
      </c>
      <c r="AK1539" s="455">
        <f t="shared" si="3487"/>
        <v>4.4220000000000006</v>
      </c>
      <c r="AL1539" s="446">
        <f>AL965</f>
        <v>1.2290000000000001</v>
      </c>
      <c r="AM1539" s="446">
        <f>AM965</f>
        <v>1.256</v>
      </c>
      <c r="AN1539" s="446">
        <f>AN965</f>
        <v>1.256</v>
      </c>
      <c r="AO1539" s="454">
        <f>AO965</f>
        <v>1.256</v>
      </c>
      <c r="AP1539" s="456">
        <f t="shared" si="3488"/>
        <v>4.9970000000000008</v>
      </c>
      <c r="AQ1539" s="456">
        <f>AQ965</f>
        <v>1.256</v>
      </c>
      <c r="AR1539" s="454">
        <f>AR965</f>
        <v>1.256</v>
      </c>
      <c r="AS1539" s="454">
        <f>AS965</f>
        <v>1.256</v>
      </c>
      <c r="AT1539" s="454">
        <f>AT965</f>
        <v>1.256</v>
      </c>
      <c r="AU1539" s="455">
        <f t="shared" si="3489"/>
        <v>5.024</v>
      </c>
      <c r="AV1539" s="456">
        <f>AV965</f>
        <v>1.256</v>
      </c>
      <c r="AW1539" s="454">
        <f>AW965</f>
        <v>1.256</v>
      </c>
      <c r="AX1539" s="454">
        <f>AX965</f>
        <v>3.2560000000000002</v>
      </c>
      <c r="AY1539" s="1666">
        <f>AY965</f>
        <v>3.2560000000000002</v>
      </c>
      <c r="AZ1539" s="455">
        <f t="shared" si="3490"/>
        <v>9.0240000000000009</v>
      </c>
      <c r="BA1539" s="456">
        <f>BA965</f>
        <v>3.2560000000000002</v>
      </c>
      <c r="BB1539" s="454">
        <f>BB965</f>
        <v>3.2560000000000002</v>
      </c>
      <c r="BC1539" s="454">
        <f>BC965</f>
        <v>1.0853333333333335</v>
      </c>
      <c r="BD1539" s="1666">
        <f>BD965</f>
        <v>0</v>
      </c>
      <c r="BE1539" s="455">
        <f t="shared" si="3491"/>
        <v>7.5973333333333342</v>
      </c>
      <c r="BF1539" s="454">
        <f>BF965</f>
        <v>0</v>
      </c>
      <c r="BG1539" s="454">
        <f>BG965</f>
        <v>0</v>
      </c>
      <c r="BH1539" s="454">
        <f>BH965</f>
        <v>0</v>
      </c>
      <c r="BI1539" s="1666">
        <f>BI965</f>
        <v>0</v>
      </c>
      <c r="BJ1539" s="455">
        <f t="shared" si="3492"/>
        <v>0</v>
      </c>
      <c r="BK1539" s="454">
        <f>BK965</f>
        <v>0</v>
      </c>
      <c r="BL1539" s="454">
        <f>BL965</f>
        <v>0</v>
      </c>
      <c r="BM1539" s="454">
        <f>BM965</f>
        <v>0</v>
      </c>
      <c r="BN1539" s="1666">
        <f>BN965</f>
        <v>0</v>
      </c>
      <c r="BO1539" s="455">
        <f t="shared" si="3493"/>
        <v>0</v>
      </c>
      <c r="BP1539" s="454">
        <f>BP965</f>
        <v>0</v>
      </c>
      <c r="BQ1539" s="454">
        <f>BQ965</f>
        <v>0</v>
      </c>
      <c r="BR1539" s="454">
        <f>BR965</f>
        <v>0</v>
      </c>
      <c r="BS1539" s="454">
        <f>BS965</f>
        <v>0</v>
      </c>
      <c r="BT1539" s="3066">
        <f t="shared" si="3494"/>
        <v>0</v>
      </c>
      <c r="BU1539" s="2915">
        <f>BU965</f>
        <v>0</v>
      </c>
      <c r="BV1539" s="2915">
        <f>BV965</f>
        <v>0</v>
      </c>
      <c r="BW1539" s="2915">
        <f>BW965</f>
        <v>0</v>
      </c>
      <c r="BX1539" s="2915">
        <f>BX965</f>
        <v>0</v>
      </c>
      <c r="BY1539" s="3066">
        <f t="shared" si="3523"/>
        <v>0</v>
      </c>
      <c r="BZ1539" s="455">
        <f t="shared" ref="BZ1539:CF1539" si="3540">BZ965</f>
        <v>0</v>
      </c>
      <c r="CA1539" s="455">
        <f t="shared" si="3540"/>
        <v>0</v>
      </c>
      <c r="CB1539" s="455">
        <f t="shared" si="3540"/>
        <v>0</v>
      </c>
      <c r="CC1539" s="455">
        <f t="shared" si="3540"/>
        <v>0</v>
      </c>
      <c r="CD1539" s="455">
        <f t="shared" si="3540"/>
        <v>0</v>
      </c>
      <c r="CE1539" s="455">
        <f t="shared" si="3540"/>
        <v>0</v>
      </c>
      <c r="CF1539" s="455">
        <f t="shared" si="3540"/>
        <v>0</v>
      </c>
      <c r="CG1539" s="331"/>
      <c r="CH1539" s="331"/>
      <c r="CI1539" s="331"/>
      <c r="CJ1539" s="331"/>
      <c r="CK1539" s="331"/>
      <c r="CL1539" s="2051" t="str">
        <f t="shared" si="3525"/>
        <v>Argosy Sioux City (IA)</v>
      </c>
      <c r="CM1539" s="454">
        <f t="shared" si="3526"/>
        <v>0</v>
      </c>
      <c r="CN1539" s="454">
        <f t="shared" si="3527"/>
        <v>1.226</v>
      </c>
      <c r="CO1539" s="454">
        <f t="shared" si="3528"/>
        <v>4.1660000000000004</v>
      </c>
      <c r="CP1539" s="454">
        <f t="shared" si="3529"/>
        <v>4.4710000000000001</v>
      </c>
      <c r="CQ1539" s="454">
        <f t="shared" si="3530"/>
        <v>4.4509999999999996</v>
      </c>
      <c r="CR1539" s="454">
        <f t="shared" si="3531"/>
        <v>4.3340000000000005</v>
      </c>
      <c r="CS1539" s="454">
        <f t="shared" si="3532"/>
        <v>4.4220000000000006</v>
      </c>
      <c r="CT1539" s="454">
        <f t="shared" si="3533"/>
        <v>4.9970000000000008</v>
      </c>
      <c r="CU1539" s="454">
        <f t="shared" si="3534"/>
        <v>5.024</v>
      </c>
      <c r="CV1539" s="454">
        <f t="shared" si="3535"/>
        <v>9.0240000000000009</v>
      </c>
      <c r="CW1539" s="454">
        <f t="shared" si="3536"/>
        <v>7.5973333333333342</v>
      </c>
      <c r="CX1539" s="454">
        <f t="shared" si="3537"/>
        <v>0</v>
      </c>
      <c r="CY1539" s="454">
        <f t="shared" si="3538"/>
        <v>0</v>
      </c>
      <c r="CZ1539" s="454">
        <f t="shared" si="3539"/>
        <v>0</v>
      </c>
      <c r="DA1539" s="454">
        <f t="shared" si="3511"/>
        <v>0</v>
      </c>
      <c r="DB1539" s="454">
        <f t="shared" si="3512"/>
        <v>0</v>
      </c>
      <c r="DC1539" s="1666">
        <f t="shared" si="3513"/>
        <v>0</v>
      </c>
      <c r="DD1539" s="331"/>
      <c r="DE1539" s="331"/>
      <c r="DF1539" s="502"/>
      <c r="DG1539" s="503"/>
      <c r="DH1539" s="2915"/>
      <c r="DI1539" s="3213"/>
      <c r="DJ1539" s="502"/>
      <c r="DK1539" s="503"/>
      <c r="DL1539" s="502"/>
      <c r="DM1539" s="502"/>
      <c r="DN1539" s="502"/>
      <c r="DO1539" s="502"/>
      <c r="DP1539" s="503"/>
      <c r="DQ1539" s="503"/>
      <c r="DR1539" s="296"/>
      <c r="DS1539" s="296"/>
      <c r="DT1539" s="296"/>
    </row>
    <row r="1540" spans="1:130" ht="12" customHeight="1" x14ac:dyDescent="0.25">
      <c r="A1540" s="671" t="s">
        <v>1453</v>
      </c>
      <c r="B1540" s="281"/>
      <c r="C1540" s="446">
        <f>C777</f>
        <v>1.6479999999999999</v>
      </c>
      <c r="D1540" s="446">
        <f>D777</f>
        <v>1.6359999999999999</v>
      </c>
      <c r="E1540" s="446">
        <f>E777</f>
        <v>1.7010000000000001</v>
      </c>
      <c r="F1540" s="446">
        <f>F777</f>
        <v>1.7310000000000001</v>
      </c>
      <c r="G1540" s="447">
        <f t="shared" si="3481"/>
        <v>6.7159999999999993</v>
      </c>
      <c r="H1540" s="446">
        <f>H777</f>
        <v>1.036</v>
      </c>
      <c r="I1540" s="446">
        <f>I777</f>
        <v>1.026</v>
      </c>
      <c r="J1540" s="446">
        <f>J777</f>
        <v>0.70399999999999996</v>
      </c>
      <c r="K1540" s="446">
        <f>K777</f>
        <v>0</v>
      </c>
      <c r="L1540" s="447">
        <f t="shared" si="3482"/>
        <v>2.766</v>
      </c>
      <c r="M1540" s="446">
        <f>M777</f>
        <v>0</v>
      </c>
      <c r="N1540" s="446">
        <f>N777</f>
        <v>0</v>
      </c>
      <c r="O1540" s="446">
        <f>O777</f>
        <v>1.4970000000000001</v>
      </c>
      <c r="P1540" s="446">
        <f>P777</f>
        <v>3.282</v>
      </c>
      <c r="Q1540" s="447">
        <f t="shared" si="3483"/>
        <v>4.7789999999999999</v>
      </c>
      <c r="R1540" s="446">
        <f>R777</f>
        <v>2.524</v>
      </c>
      <c r="S1540" s="446">
        <f>S777</f>
        <v>2.722</v>
      </c>
      <c r="T1540" s="446">
        <f>T777</f>
        <v>2.6339999999999999</v>
      </c>
      <c r="U1540" s="446">
        <f>U777</f>
        <v>2.6869999999999998</v>
      </c>
      <c r="V1540" s="447">
        <f t="shared" si="3484"/>
        <v>10.567</v>
      </c>
      <c r="W1540" s="446">
        <f>W777</f>
        <v>2.6579999999999999</v>
      </c>
      <c r="X1540" s="446">
        <f>X777</f>
        <v>2.79</v>
      </c>
      <c r="Y1540" s="446">
        <f>Y777</f>
        <v>2.8679999999999999</v>
      </c>
      <c r="Z1540" s="446">
        <f>Z777</f>
        <v>2.8620000000000001</v>
      </c>
      <c r="AA1540" s="447">
        <f t="shared" si="3485"/>
        <v>11.178000000000001</v>
      </c>
      <c r="AB1540" s="446">
        <f>AB777</f>
        <v>2.8929999999999998</v>
      </c>
      <c r="AC1540" s="446">
        <f>AC777</f>
        <v>2.9329999999999998</v>
      </c>
      <c r="AD1540" s="446">
        <f>AD777</f>
        <v>2.9260000000000002</v>
      </c>
      <c r="AE1540" s="454">
        <f>AE777</f>
        <v>3.0230000000000001</v>
      </c>
      <c r="AF1540" s="455">
        <f t="shared" si="3486"/>
        <v>11.774999999999999</v>
      </c>
      <c r="AG1540" s="454">
        <f>AG777</f>
        <v>3.048</v>
      </c>
      <c r="AH1540" s="446">
        <f>AH777</f>
        <v>3.085</v>
      </c>
      <c r="AI1540" s="446">
        <f>AI777</f>
        <v>3.1739999999999999</v>
      </c>
      <c r="AJ1540" s="454">
        <f>AJ777</f>
        <v>3.1840000000000002</v>
      </c>
      <c r="AK1540" s="455">
        <f t="shared" si="3487"/>
        <v>12.491</v>
      </c>
      <c r="AL1540" s="446">
        <f>AL777</f>
        <v>3.0960000000000001</v>
      </c>
      <c r="AM1540" s="446">
        <f>AM777</f>
        <v>3.07</v>
      </c>
      <c r="AN1540" s="446">
        <f>AN777</f>
        <v>3.07</v>
      </c>
      <c r="AO1540" s="454">
        <f>AO777</f>
        <v>3.07</v>
      </c>
      <c r="AP1540" s="456">
        <f t="shared" si="3488"/>
        <v>12.306000000000001</v>
      </c>
      <c r="AQ1540" s="456">
        <f>AQ777</f>
        <v>3.07</v>
      </c>
      <c r="AR1540" s="454">
        <f>AR777</f>
        <v>3.07</v>
      </c>
      <c r="AS1540" s="454">
        <f>AS777</f>
        <v>3.07</v>
      </c>
      <c r="AT1540" s="454">
        <f>AT777</f>
        <v>3.07</v>
      </c>
      <c r="AU1540" s="455">
        <f t="shared" si="3489"/>
        <v>12.28</v>
      </c>
      <c r="AV1540" s="456">
        <f>AV777</f>
        <v>3.07</v>
      </c>
      <c r="AW1540" s="454">
        <f>AW777</f>
        <v>3.07</v>
      </c>
      <c r="AX1540" s="454">
        <f>AX777</f>
        <v>3.07</v>
      </c>
      <c r="AY1540" s="1666">
        <f>AY777</f>
        <v>3.07</v>
      </c>
      <c r="AZ1540" s="455">
        <f t="shared" si="3490"/>
        <v>12.28</v>
      </c>
      <c r="BA1540" s="456">
        <f>BA777</f>
        <v>3.07</v>
      </c>
      <c r="BB1540" s="454">
        <f>BB777</f>
        <v>3.07</v>
      </c>
      <c r="BC1540" s="454">
        <f>BC777</f>
        <v>3.07</v>
      </c>
      <c r="BD1540" s="1666">
        <f>BD777</f>
        <v>3.07</v>
      </c>
      <c r="BE1540" s="455">
        <f t="shared" si="3491"/>
        <v>12.28</v>
      </c>
      <c r="BF1540" s="454">
        <f>BF777</f>
        <v>3.07</v>
      </c>
      <c r="BG1540" s="454">
        <f>BG777</f>
        <v>3.07</v>
      </c>
      <c r="BH1540" s="454">
        <f>BH777</f>
        <v>3.07</v>
      </c>
      <c r="BI1540" s="1666">
        <f>BI777</f>
        <v>3.07</v>
      </c>
      <c r="BJ1540" s="455">
        <f t="shared" si="3492"/>
        <v>12.28</v>
      </c>
      <c r="BK1540" s="454">
        <f>BK777</f>
        <v>3.07</v>
      </c>
      <c r="BL1540" s="454">
        <f>BL777</f>
        <v>3.07</v>
      </c>
      <c r="BM1540" s="454">
        <f>BM777</f>
        <v>3.07</v>
      </c>
      <c r="BN1540" s="1666">
        <f>BN777</f>
        <v>3.07</v>
      </c>
      <c r="BO1540" s="455">
        <f t="shared" si="3493"/>
        <v>12.28</v>
      </c>
      <c r="BP1540" s="454">
        <f>BP777</f>
        <v>3.07</v>
      </c>
      <c r="BQ1540" s="454">
        <f>BQ777</f>
        <v>3.07</v>
      </c>
      <c r="BR1540" s="454">
        <f>BR777</f>
        <v>3.07</v>
      </c>
      <c r="BS1540" s="454">
        <f>BS777</f>
        <v>3.07</v>
      </c>
      <c r="BT1540" s="3066">
        <f t="shared" si="3494"/>
        <v>12.28</v>
      </c>
      <c r="BU1540" s="2915">
        <f>BU777</f>
        <v>3.07</v>
      </c>
      <c r="BV1540" s="2915">
        <f>BV777</f>
        <v>3.07</v>
      </c>
      <c r="BW1540" s="2915">
        <f>BW777</f>
        <v>3.07</v>
      </c>
      <c r="BX1540" s="2915">
        <f>BX777</f>
        <v>3.07</v>
      </c>
      <c r="BY1540" s="3066">
        <f t="shared" si="3523"/>
        <v>12.28</v>
      </c>
      <c r="BZ1540" s="455">
        <f t="shared" ref="BZ1540:CF1540" si="3541">BZ777</f>
        <v>12.28</v>
      </c>
      <c r="CA1540" s="455">
        <f t="shared" si="3541"/>
        <v>12.28</v>
      </c>
      <c r="CB1540" s="455">
        <f t="shared" si="3541"/>
        <v>12.28</v>
      </c>
      <c r="CC1540" s="455">
        <f t="shared" si="3541"/>
        <v>12.28</v>
      </c>
      <c r="CD1540" s="455">
        <f t="shared" si="3541"/>
        <v>12.28</v>
      </c>
      <c r="CE1540" s="455">
        <f t="shared" si="3541"/>
        <v>12.28</v>
      </c>
      <c r="CF1540" s="455">
        <f t="shared" si="3541"/>
        <v>12.28</v>
      </c>
      <c r="CG1540" s="331"/>
      <c r="CH1540" s="331"/>
      <c r="CI1540" s="331"/>
      <c r="CJ1540" s="331"/>
      <c r="CK1540" s="331"/>
      <c r="CL1540" s="2051" t="str">
        <f t="shared" si="3525"/>
        <v>Boomtown Biloxi (MS)</v>
      </c>
      <c r="CM1540" s="454">
        <f t="shared" si="3526"/>
        <v>6.7159999999999993</v>
      </c>
      <c r="CN1540" s="454">
        <f t="shared" si="3527"/>
        <v>2.766</v>
      </c>
      <c r="CO1540" s="454">
        <f t="shared" si="3528"/>
        <v>4.7789999999999999</v>
      </c>
      <c r="CP1540" s="454">
        <f t="shared" si="3529"/>
        <v>10.567</v>
      </c>
      <c r="CQ1540" s="454">
        <f t="shared" si="3530"/>
        <v>11.178000000000001</v>
      </c>
      <c r="CR1540" s="454">
        <f t="shared" si="3531"/>
        <v>11.774999999999999</v>
      </c>
      <c r="CS1540" s="454">
        <f t="shared" si="3532"/>
        <v>12.491</v>
      </c>
      <c r="CT1540" s="454">
        <f t="shared" si="3533"/>
        <v>12.306000000000001</v>
      </c>
      <c r="CU1540" s="454">
        <f t="shared" si="3534"/>
        <v>12.28</v>
      </c>
      <c r="CV1540" s="454">
        <f t="shared" si="3535"/>
        <v>12.28</v>
      </c>
      <c r="CW1540" s="454">
        <f t="shared" si="3536"/>
        <v>12.28</v>
      </c>
      <c r="CX1540" s="454">
        <f t="shared" si="3537"/>
        <v>12.28</v>
      </c>
      <c r="CY1540" s="454">
        <f t="shared" si="3538"/>
        <v>12.28</v>
      </c>
      <c r="CZ1540" s="454">
        <f t="shared" si="3539"/>
        <v>12.28</v>
      </c>
      <c r="DA1540" s="454">
        <f t="shared" si="3511"/>
        <v>12.28</v>
      </c>
      <c r="DB1540" s="454">
        <f t="shared" si="3512"/>
        <v>12.28</v>
      </c>
      <c r="DC1540" s="1666">
        <f t="shared" si="3513"/>
        <v>12.28</v>
      </c>
      <c r="DD1540" s="331"/>
      <c r="DE1540" s="331"/>
      <c r="DF1540" s="502"/>
      <c r="DG1540" s="503"/>
      <c r="DH1540" s="2915"/>
      <c r="DI1540" s="3213"/>
      <c r="DJ1540" s="502"/>
      <c r="DK1540" s="503"/>
      <c r="DL1540" s="502"/>
      <c r="DM1540" s="502"/>
      <c r="DN1540" s="502"/>
      <c r="DO1540" s="502"/>
      <c r="DP1540" s="503"/>
      <c r="DQ1540" s="503"/>
      <c r="DR1540" s="296"/>
      <c r="DS1540" s="296"/>
      <c r="DT1540" s="296"/>
    </row>
    <row r="1541" spans="1:130" ht="12" customHeight="1" x14ac:dyDescent="0.25">
      <c r="A1541" s="671" t="s">
        <v>1090</v>
      </c>
      <c r="B1541" s="281"/>
      <c r="C1541" s="446">
        <f>C384</f>
        <v>0</v>
      </c>
      <c r="D1541" s="446">
        <f>D384</f>
        <v>0</v>
      </c>
      <c r="E1541" s="446">
        <f>E384</f>
        <v>4.2000000000000003E-2</v>
      </c>
      <c r="F1541" s="446">
        <f>F384</f>
        <v>4.2000000000000003E-2</v>
      </c>
      <c r="G1541" s="447">
        <f t="shared" si="3481"/>
        <v>8.4000000000000005E-2</v>
      </c>
      <c r="H1541" s="446">
        <f>H384</f>
        <v>4.3999999999999997E-2</v>
      </c>
      <c r="I1541" s="446">
        <f>I384</f>
        <v>4.2999999999999997E-2</v>
      </c>
      <c r="J1541" s="446">
        <f>J384</f>
        <v>4.2999999999999997E-2</v>
      </c>
      <c r="K1541" s="446">
        <f>K384</f>
        <v>0.72899999999999998</v>
      </c>
      <c r="L1541" s="447">
        <f t="shared" si="3482"/>
        <v>0.85899999999999999</v>
      </c>
      <c r="M1541" s="446">
        <f>M384</f>
        <v>0.86099999999999999</v>
      </c>
      <c r="N1541" s="446">
        <f>N384</f>
        <v>0.98699999999999999</v>
      </c>
      <c r="O1541" s="446">
        <f>O384</f>
        <v>1.0609999999999999</v>
      </c>
      <c r="P1541" s="446">
        <f>P384</f>
        <v>1.0169999999999999</v>
      </c>
      <c r="Q1541" s="447">
        <f t="shared" si="3483"/>
        <v>3.9259999999999997</v>
      </c>
      <c r="R1541" s="446">
        <f>R384</f>
        <v>1.0509999999999999</v>
      </c>
      <c r="S1541" s="446">
        <f>S384</f>
        <v>1.0660000000000001</v>
      </c>
      <c r="T1541" s="446">
        <f>T384</f>
        <v>1.0469999999999999</v>
      </c>
      <c r="U1541" s="446">
        <f>U384</f>
        <v>1.05</v>
      </c>
      <c r="V1541" s="447">
        <f t="shared" si="3484"/>
        <v>4.2139999999999995</v>
      </c>
      <c r="W1541" s="446">
        <f>W384</f>
        <v>1.1499999999999999</v>
      </c>
      <c r="X1541" s="446">
        <f>X384</f>
        <v>0.86799999999999999</v>
      </c>
      <c r="Y1541" s="446">
        <f>Y384</f>
        <v>2.952</v>
      </c>
      <c r="Z1541" s="446">
        <f>Z384</f>
        <v>3.0219999999999998</v>
      </c>
      <c r="AA1541" s="447">
        <f t="shared" si="3485"/>
        <v>7.9919999999999991</v>
      </c>
      <c r="AB1541" s="446">
        <f>AB384</f>
        <v>3.0670000000000002</v>
      </c>
      <c r="AC1541" s="446">
        <f>AC384</f>
        <v>3.9540000000000002</v>
      </c>
      <c r="AD1541" s="446">
        <f>AD384</f>
        <v>3.4249999999999998</v>
      </c>
      <c r="AE1541" s="454">
        <f>AE384</f>
        <v>3.4279999999999999</v>
      </c>
      <c r="AF1541" s="455">
        <f t="shared" si="3486"/>
        <v>13.874000000000002</v>
      </c>
      <c r="AG1541" s="454">
        <f>AG384</f>
        <v>3.3969999999999998</v>
      </c>
      <c r="AH1541" s="446">
        <f>AH384</f>
        <v>3.4780000000000002</v>
      </c>
      <c r="AI1541" s="446">
        <f>AI384</f>
        <v>3.5790000000000002</v>
      </c>
      <c r="AJ1541" s="454">
        <f>AJ384</f>
        <v>3.39</v>
      </c>
      <c r="AK1541" s="455">
        <f t="shared" si="3487"/>
        <v>13.844000000000001</v>
      </c>
      <c r="AL1541" s="446">
        <f>AL384</f>
        <v>3.2269999999999999</v>
      </c>
      <c r="AM1541" s="446">
        <f>AM384</f>
        <v>3.2639999999999998</v>
      </c>
      <c r="AN1541" s="446">
        <f>AN384</f>
        <v>3.2639999999999998</v>
      </c>
      <c r="AO1541" s="454">
        <f>AO384</f>
        <v>3.2639999999999998</v>
      </c>
      <c r="AP1541" s="456">
        <f t="shared" si="3488"/>
        <v>13.018999999999998</v>
      </c>
      <c r="AQ1541" s="456">
        <f>AQ384</f>
        <v>3.2639999999999998</v>
      </c>
      <c r="AR1541" s="454">
        <f>AR384</f>
        <v>3.2639999999999998</v>
      </c>
      <c r="AS1541" s="454">
        <f>AS384</f>
        <v>3.2639999999999998</v>
      </c>
      <c r="AT1541" s="454">
        <f>AT384</f>
        <v>3.2639999999999998</v>
      </c>
      <c r="AU1541" s="455">
        <f t="shared" si="3489"/>
        <v>13.055999999999999</v>
      </c>
      <c r="AV1541" s="456">
        <f>AV384</f>
        <v>3.2639999999999998</v>
      </c>
      <c r="AW1541" s="454">
        <f>AW384</f>
        <v>3.2639999999999998</v>
      </c>
      <c r="AX1541" s="454">
        <f>AX384</f>
        <v>3.2639999999999998</v>
      </c>
      <c r="AY1541" s="1666">
        <f>AY384</f>
        <v>3.2639999999999998</v>
      </c>
      <c r="AZ1541" s="455">
        <f t="shared" si="3490"/>
        <v>13.055999999999999</v>
      </c>
      <c r="BA1541" s="456">
        <f>BA384</f>
        <v>3.2639999999999998</v>
      </c>
      <c r="BB1541" s="454">
        <f>BB384</f>
        <v>3.2639999999999998</v>
      </c>
      <c r="BC1541" s="454">
        <f>BC384</f>
        <v>3.2639999999999998</v>
      </c>
      <c r="BD1541" s="1666">
        <f>BD384</f>
        <v>3.2639999999999998</v>
      </c>
      <c r="BE1541" s="455">
        <f t="shared" si="3491"/>
        <v>13.055999999999999</v>
      </c>
      <c r="BF1541" s="454">
        <f>BF384</f>
        <v>3.2639999999999998</v>
      </c>
      <c r="BG1541" s="454">
        <f>BG384</f>
        <v>3.2639999999999998</v>
      </c>
      <c r="BH1541" s="454">
        <f>BH384</f>
        <v>3.2639999999999998</v>
      </c>
      <c r="BI1541" s="1666">
        <f>BI384</f>
        <v>3.2639999999999998</v>
      </c>
      <c r="BJ1541" s="455">
        <f t="shared" si="3492"/>
        <v>13.055999999999999</v>
      </c>
      <c r="BK1541" s="454">
        <f>BK384</f>
        <v>3.2639999999999998</v>
      </c>
      <c r="BL1541" s="454">
        <f>BL384</f>
        <v>3.2639999999999998</v>
      </c>
      <c r="BM1541" s="454">
        <f>BM384</f>
        <v>3.2639999999999998</v>
      </c>
      <c r="BN1541" s="1666">
        <f>BN384</f>
        <v>3.2639999999999998</v>
      </c>
      <c r="BO1541" s="455">
        <f t="shared" si="3493"/>
        <v>13.055999999999999</v>
      </c>
      <c r="BP1541" s="454">
        <f>BP384</f>
        <v>3.2639999999999998</v>
      </c>
      <c r="BQ1541" s="454">
        <f>BQ384</f>
        <v>3.2639999999999998</v>
      </c>
      <c r="BR1541" s="454">
        <f>BR384</f>
        <v>3.2639999999999998</v>
      </c>
      <c r="BS1541" s="454">
        <f>BS384</f>
        <v>3.2639999999999998</v>
      </c>
      <c r="BT1541" s="3066">
        <f t="shared" si="3494"/>
        <v>13.055999999999999</v>
      </c>
      <c r="BU1541" s="2915">
        <f>BU384</f>
        <v>3.2639999999999998</v>
      </c>
      <c r="BV1541" s="2915">
        <f>BV384</f>
        <v>3.2639999999999998</v>
      </c>
      <c r="BW1541" s="2915">
        <f>BW384</f>
        <v>3.2639999999999998</v>
      </c>
      <c r="BX1541" s="2915">
        <f>BX384</f>
        <v>3.2639999999999998</v>
      </c>
      <c r="BY1541" s="3066">
        <f t="shared" si="3523"/>
        <v>13.055999999999999</v>
      </c>
      <c r="BZ1541" s="455">
        <f t="shared" ref="BZ1541:CF1541" si="3542">BZ384</f>
        <v>13.055999999999999</v>
      </c>
      <c r="CA1541" s="455">
        <f t="shared" si="3542"/>
        <v>13.055999999999999</v>
      </c>
      <c r="CB1541" s="455">
        <f t="shared" si="3542"/>
        <v>13.055999999999999</v>
      </c>
      <c r="CC1541" s="455">
        <f t="shared" si="3542"/>
        <v>13.055999999999999</v>
      </c>
      <c r="CD1541" s="455">
        <f t="shared" si="3542"/>
        <v>13.055999999999999</v>
      </c>
      <c r="CE1541" s="455">
        <f t="shared" si="3542"/>
        <v>13.055999999999999</v>
      </c>
      <c r="CF1541" s="455">
        <f t="shared" si="3542"/>
        <v>13.055999999999999</v>
      </c>
      <c r="CG1541" s="331"/>
      <c r="CH1541" s="331"/>
      <c r="CI1541" s="331"/>
      <c r="CJ1541" s="331"/>
      <c r="CK1541" s="331"/>
      <c r="CL1541" s="2051" t="str">
        <f t="shared" si="3525"/>
        <v>Hollywood Slots at Bangor (ME)</v>
      </c>
      <c r="CM1541" s="454">
        <f t="shared" si="3526"/>
        <v>8.4000000000000005E-2</v>
      </c>
      <c r="CN1541" s="454">
        <f t="shared" si="3527"/>
        <v>0.85899999999999999</v>
      </c>
      <c r="CO1541" s="454">
        <f t="shared" si="3528"/>
        <v>3.9259999999999997</v>
      </c>
      <c r="CP1541" s="454">
        <f t="shared" si="3529"/>
        <v>4.2139999999999995</v>
      </c>
      <c r="CQ1541" s="454">
        <f t="shared" si="3530"/>
        <v>7.9919999999999991</v>
      </c>
      <c r="CR1541" s="454">
        <f t="shared" si="3531"/>
        <v>13.874000000000002</v>
      </c>
      <c r="CS1541" s="454">
        <f t="shared" si="3532"/>
        <v>13.844000000000001</v>
      </c>
      <c r="CT1541" s="454">
        <f t="shared" si="3533"/>
        <v>13.018999999999998</v>
      </c>
      <c r="CU1541" s="454">
        <f t="shared" si="3534"/>
        <v>13.055999999999999</v>
      </c>
      <c r="CV1541" s="454">
        <f t="shared" si="3535"/>
        <v>13.055999999999999</v>
      </c>
      <c r="CW1541" s="454">
        <f t="shared" si="3536"/>
        <v>13.055999999999999</v>
      </c>
      <c r="CX1541" s="454">
        <f t="shared" si="3537"/>
        <v>13.055999999999999</v>
      </c>
      <c r="CY1541" s="454">
        <f t="shared" si="3538"/>
        <v>13.055999999999999</v>
      </c>
      <c r="CZ1541" s="454">
        <f t="shared" si="3539"/>
        <v>13.055999999999999</v>
      </c>
      <c r="DA1541" s="454">
        <f t="shared" si="3511"/>
        <v>13.055999999999999</v>
      </c>
      <c r="DB1541" s="454">
        <f t="shared" si="3512"/>
        <v>13.055999999999999</v>
      </c>
      <c r="DC1541" s="1666">
        <f t="shared" si="3513"/>
        <v>13.055999999999999</v>
      </c>
      <c r="DD1541" s="331"/>
      <c r="DE1541" s="331"/>
      <c r="DF1541" s="502"/>
      <c r="DG1541" s="503"/>
      <c r="DH1541" s="2915"/>
      <c r="DI1541" s="3213"/>
      <c r="DJ1541" s="502"/>
      <c r="DK1541" s="503"/>
      <c r="DL1541" s="502"/>
      <c r="DM1541" s="502"/>
      <c r="DN1541" s="502"/>
      <c r="DO1541" s="502"/>
      <c r="DP1541" s="503"/>
      <c r="DQ1541" s="503"/>
      <c r="DR1541" s="296"/>
      <c r="DS1541" s="296"/>
      <c r="DT1541" s="296"/>
    </row>
    <row r="1542" spans="1:130" ht="12" customHeight="1" x14ac:dyDescent="0.25">
      <c r="A1542" s="671" t="s">
        <v>1089</v>
      </c>
      <c r="B1542" s="281"/>
      <c r="C1542" s="446">
        <f>C1098</f>
        <v>0.34699999999999998</v>
      </c>
      <c r="D1542" s="446">
        <f>D1098</f>
        <v>0.38400000000000001</v>
      </c>
      <c r="E1542" s="446">
        <f>E1098</f>
        <v>0.40600000000000003</v>
      </c>
      <c r="F1542" s="446">
        <f>F1098</f>
        <v>0.43099999999999999</v>
      </c>
      <c r="G1542" s="447">
        <f t="shared" si="3481"/>
        <v>1.5680000000000001</v>
      </c>
      <c r="H1542" s="446">
        <f>H1098</f>
        <v>0.45500000000000002</v>
      </c>
      <c r="I1542" s="446">
        <f>I1098</f>
        <v>0.48099999999999998</v>
      </c>
      <c r="J1542" s="446">
        <f>J1098</f>
        <v>0.495</v>
      </c>
      <c r="K1542" s="446">
        <f>K1098</f>
        <v>0.52200000000000002</v>
      </c>
      <c r="L1542" s="447">
        <f t="shared" si="3482"/>
        <v>1.9530000000000001</v>
      </c>
      <c r="M1542" s="446">
        <f>M1098</f>
        <v>0.52</v>
      </c>
      <c r="N1542" s="446">
        <f>N1098</f>
        <v>0.52400000000000002</v>
      </c>
      <c r="O1542" s="446">
        <f>O1098</f>
        <v>0.56399999999999995</v>
      </c>
      <c r="P1542" s="446">
        <f>P1098</f>
        <v>0.58699999999999997</v>
      </c>
      <c r="Q1542" s="447">
        <f t="shared" si="3483"/>
        <v>2.1950000000000003</v>
      </c>
      <c r="R1542" s="446">
        <f>R1098</f>
        <v>0.63100000000000001</v>
      </c>
      <c r="S1542" s="446">
        <f>S1098</f>
        <v>0.52800000000000002</v>
      </c>
      <c r="T1542" s="446">
        <f>T1098</f>
        <v>0.53100000000000003</v>
      </c>
      <c r="U1542" s="446">
        <f>U1098</f>
        <v>0.52800000000000002</v>
      </c>
      <c r="V1542" s="447">
        <f t="shared" si="3484"/>
        <v>2.218</v>
      </c>
      <c r="W1542" s="446">
        <f>W1098</f>
        <v>0.51700000000000002</v>
      </c>
      <c r="X1542" s="446">
        <f>X1098</f>
        <v>0.501</v>
      </c>
      <c r="Y1542" s="446">
        <f>Y1098</f>
        <v>0.46899999999999997</v>
      </c>
      <c r="Z1542" s="446">
        <f>Z1098</f>
        <v>0.44700000000000001</v>
      </c>
      <c r="AA1542" s="447">
        <f t="shared" si="3485"/>
        <v>1.9340000000000002</v>
      </c>
      <c r="AB1542" s="446">
        <f>AB1098</f>
        <v>0.61</v>
      </c>
      <c r="AC1542" s="446">
        <f>AC1098</f>
        <v>0.184</v>
      </c>
      <c r="AD1542" s="446">
        <f>AD1098</f>
        <v>0.17799999999999999</v>
      </c>
      <c r="AE1542" s="454">
        <f>AE1098</f>
        <v>0.16200000000000001</v>
      </c>
      <c r="AF1542" s="455">
        <f t="shared" si="3486"/>
        <v>1.1339999999999999</v>
      </c>
      <c r="AG1542" s="454">
        <f>AG1098</f>
        <v>0.23200000000000001</v>
      </c>
      <c r="AH1542" s="446">
        <f>AH1098</f>
        <v>0.21299999999999999</v>
      </c>
      <c r="AI1542" s="446">
        <f>AI1098</f>
        <v>0.23400000000000001</v>
      </c>
      <c r="AJ1542" s="454">
        <f>AJ1098</f>
        <v>0.251</v>
      </c>
      <c r="AK1542" s="455">
        <f t="shared" si="3487"/>
        <v>0.93</v>
      </c>
      <c r="AL1542" s="446">
        <f>AL1098</f>
        <v>0.20599999999999999</v>
      </c>
      <c r="AM1542" s="446">
        <f>AM1098</f>
        <v>0.19900000000000001</v>
      </c>
      <c r="AN1542" s="446">
        <f>AN1098</f>
        <v>0.19900000000000001</v>
      </c>
      <c r="AO1542" s="454">
        <f>AO1098</f>
        <v>0.19900000000000001</v>
      </c>
      <c r="AP1542" s="456">
        <f t="shared" si="3488"/>
        <v>0.80300000000000016</v>
      </c>
      <c r="AQ1542" s="456">
        <f>AQ1098</f>
        <v>0.19900000000000001</v>
      </c>
      <c r="AR1542" s="454">
        <f>AR1098</f>
        <v>0.19900000000000001</v>
      </c>
      <c r="AS1542" s="454">
        <f>AS1098</f>
        <v>0.19900000000000001</v>
      </c>
      <c r="AT1542" s="454">
        <f>AT1098</f>
        <v>0.19900000000000001</v>
      </c>
      <c r="AU1542" s="455">
        <f t="shared" si="3489"/>
        <v>0.79600000000000004</v>
      </c>
      <c r="AV1542" s="456">
        <f>AV1098</f>
        <v>0.19900000000000001</v>
      </c>
      <c r="AW1542" s="454">
        <f>AW1098</f>
        <v>0.19900000000000001</v>
      </c>
      <c r="AX1542" s="454">
        <f>AX1098</f>
        <v>0</v>
      </c>
      <c r="AY1542" s="1666">
        <f>AY1098</f>
        <v>0</v>
      </c>
      <c r="AZ1542" s="455">
        <f t="shared" si="3490"/>
        <v>0.39800000000000002</v>
      </c>
      <c r="BA1542" s="456">
        <f>BA1098</f>
        <v>0</v>
      </c>
      <c r="BB1542" s="454">
        <f>BB1098</f>
        <v>0</v>
      </c>
      <c r="BC1542" s="454">
        <f>BC1098</f>
        <v>0</v>
      </c>
      <c r="BD1542" s="1666">
        <f>BD1098</f>
        <v>0</v>
      </c>
      <c r="BE1542" s="455">
        <f t="shared" si="3491"/>
        <v>0</v>
      </c>
      <c r="BF1542" s="454">
        <f>BF1098</f>
        <v>0</v>
      </c>
      <c r="BG1542" s="454">
        <f>BG1098</f>
        <v>0</v>
      </c>
      <c r="BH1542" s="454">
        <f>BH1098</f>
        <v>0</v>
      </c>
      <c r="BI1542" s="1666">
        <f>BI1098</f>
        <v>0</v>
      </c>
      <c r="BJ1542" s="455">
        <f t="shared" si="3492"/>
        <v>0</v>
      </c>
      <c r="BK1542" s="454">
        <f>BK1098</f>
        <v>0</v>
      </c>
      <c r="BL1542" s="454">
        <f>BL1098</f>
        <v>0</v>
      </c>
      <c r="BM1542" s="454">
        <f>BM1098</f>
        <v>0</v>
      </c>
      <c r="BN1542" s="1666">
        <f>BN1098</f>
        <v>0</v>
      </c>
      <c r="BO1542" s="455">
        <f t="shared" si="3493"/>
        <v>0</v>
      </c>
      <c r="BP1542" s="454">
        <f>BP1098</f>
        <v>0</v>
      </c>
      <c r="BQ1542" s="454">
        <f>BQ1098</f>
        <v>0</v>
      </c>
      <c r="BR1542" s="454">
        <f>BR1098</f>
        <v>0</v>
      </c>
      <c r="BS1542" s="454">
        <f>BS1098</f>
        <v>0</v>
      </c>
      <c r="BT1542" s="3066">
        <f t="shared" si="3494"/>
        <v>0</v>
      </c>
      <c r="BU1542" s="2915">
        <f>BU1098</f>
        <v>0</v>
      </c>
      <c r="BV1542" s="2915">
        <f>BV1098</f>
        <v>0</v>
      </c>
      <c r="BW1542" s="2915">
        <f>BW1098</f>
        <v>0</v>
      </c>
      <c r="BX1542" s="2915">
        <f>BX1098</f>
        <v>0</v>
      </c>
      <c r="BY1542" s="3066">
        <f t="shared" si="3523"/>
        <v>0</v>
      </c>
      <c r="BZ1542" s="455">
        <f t="shared" ref="BZ1542:CF1542" si="3543">BZ1098</f>
        <v>0</v>
      </c>
      <c r="CA1542" s="455">
        <f t="shared" si="3543"/>
        <v>0</v>
      </c>
      <c r="CB1542" s="455">
        <f t="shared" si="3543"/>
        <v>0</v>
      </c>
      <c r="CC1542" s="455">
        <f t="shared" si="3543"/>
        <v>0</v>
      </c>
      <c r="CD1542" s="455">
        <f t="shared" si="3543"/>
        <v>0</v>
      </c>
      <c r="CE1542" s="455">
        <f t="shared" si="3543"/>
        <v>0</v>
      </c>
      <c r="CF1542" s="455">
        <f t="shared" si="3543"/>
        <v>0</v>
      </c>
      <c r="CG1542" s="331"/>
      <c r="CH1542" s="331"/>
      <c r="CI1542" s="331"/>
      <c r="CJ1542" s="331"/>
      <c r="CK1542" s="331"/>
      <c r="CL1542" s="2051" t="str">
        <f t="shared" si="3525"/>
        <v>Bullwhackers (CO)</v>
      </c>
      <c r="CM1542" s="454">
        <f t="shared" si="3526"/>
        <v>1.5680000000000001</v>
      </c>
      <c r="CN1542" s="454">
        <f t="shared" si="3527"/>
        <v>1.9530000000000001</v>
      </c>
      <c r="CO1542" s="454">
        <f t="shared" si="3528"/>
        <v>2.1950000000000003</v>
      </c>
      <c r="CP1542" s="454">
        <f t="shared" si="3529"/>
        <v>2.218</v>
      </c>
      <c r="CQ1542" s="454">
        <f t="shared" si="3530"/>
        <v>1.9340000000000002</v>
      </c>
      <c r="CR1542" s="454">
        <f t="shared" si="3531"/>
        <v>1.1339999999999999</v>
      </c>
      <c r="CS1542" s="454">
        <f t="shared" si="3532"/>
        <v>0.93</v>
      </c>
      <c r="CT1542" s="454">
        <f t="shared" si="3533"/>
        <v>0.80300000000000016</v>
      </c>
      <c r="CU1542" s="454">
        <f t="shared" si="3534"/>
        <v>0.79600000000000004</v>
      </c>
      <c r="CV1542" s="454">
        <f t="shared" si="3535"/>
        <v>0.39800000000000002</v>
      </c>
      <c r="CW1542" s="454">
        <f t="shared" si="3536"/>
        <v>0</v>
      </c>
      <c r="CX1542" s="454">
        <f t="shared" si="3537"/>
        <v>0</v>
      </c>
      <c r="CY1542" s="454">
        <f t="shared" si="3538"/>
        <v>0</v>
      </c>
      <c r="CZ1542" s="454">
        <f t="shared" si="3539"/>
        <v>0</v>
      </c>
      <c r="DA1542" s="454">
        <f t="shared" si="3511"/>
        <v>0</v>
      </c>
      <c r="DB1542" s="454">
        <f t="shared" si="3512"/>
        <v>0</v>
      </c>
      <c r="DC1542" s="1666">
        <f t="shared" si="3513"/>
        <v>0</v>
      </c>
      <c r="DD1542" s="331"/>
      <c r="DE1542" s="331"/>
      <c r="DF1542" s="502"/>
      <c r="DG1542" s="503"/>
      <c r="DH1542" s="2915"/>
      <c r="DI1542" s="3213"/>
      <c r="DJ1542" s="502"/>
      <c r="DK1542" s="503"/>
      <c r="DL1542" s="502"/>
      <c r="DM1542" s="502"/>
      <c r="DN1542" s="502"/>
      <c r="DO1542" s="502"/>
      <c r="DP1542" s="503"/>
      <c r="DQ1542" s="503"/>
      <c r="DR1542" s="296"/>
      <c r="DS1542" s="296"/>
      <c r="DT1542" s="296"/>
    </row>
    <row r="1543" spans="1:130" ht="12" customHeight="1" x14ac:dyDescent="0.25">
      <c r="A1543" s="671" t="s">
        <v>1479</v>
      </c>
      <c r="B1543" s="281"/>
      <c r="C1543" s="446">
        <f>C631</f>
        <v>0</v>
      </c>
      <c r="D1543" s="446">
        <f>D631</f>
        <v>0</v>
      </c>
      <c r="E1543" s="446">
        <f>E631</f>
        <v>0</v>
      </c>
      <c r="F1543" s="446">
        <f>F631</f>
        <v>0</v>
      </c>
      <c r="G1543" s="447">
        <f t="shared" si="3481"/>
        <v>0</v>
      </c>
      <c r="H1543" s="446">
        <f>H631</f>
        <v>0</v>
      </c>
      <c r="I1543" s="446">
        <f>I631</f>
        <v>0</v>
      </c>
      <c r="J1543" s="446">
        <f>J631</f>
        <v>0</v>
      </c>
      <c r="K1543" s="446">
        <f>K631</f>
        <v>0</v>
      </c>
      <c r="L1543" s="447">
        <f t="shared" si="3482"/>
        <v>0</v>
      </c>
      <c r="M1543" s="446">
        <f>M631</f>
        <v>0</v>
      </c>
      <c r="N1543" s="446">
        <f>N631</f>
        <v>0</v>
      </c>
      <c r="O1543" s="446">
        <f>O631</f>
        <v>0</v>
      </c>
      <c r="P1543" s="446">
        <f>P631</f>
        <v>0</v>
      </c>
      <c r="Q1543" s="447">
        <f t="shared" si="3483"/>
        <v>0</v>
      </c>
      <c r="R1543" s="446">
        <f>R631</f>
        <v>0</v>
      </c>
      <c r="S1543" s="446">
        <f>S631</f>
        <v>1.03</v>
      </c>
      <c r="T1543" s="446">
        <f>T631</f>
        <v>1.2350000000000001</v>
      </c>
      <c r="U1543" s="446">
        <f>U631</f>
        <v>1.236</v>
      </c>
      <c r="V1543" s="447">
        <f t="shared" si="3484"/>
        <v>3.5010000000000003</v>
      </c>
      <c r="W1543" s="446">
        <f>W631</f>
        <v>1.246</v>
      </c>
      <c r="X1543" s="446">
        <f>X631</f>
        <v>1.03</v>
      </c>
      <c r="Y1543" s="446">
        <f>Y631</f>
        <v>1.1679999999999999</v>
      </c>
      <c r="Z1543" s="446">
        <f>Z631</f>
        <v>1.05</v>
      </c>
      <c r="AA1543" s="447">
        <f t="shared" si="3485"/>
        <v>4.4939999999999998</v>
      </c>
      <c r="AB1543" s="446">
        <f>AB631</f>
        <v>1.262</v>
      </c>
      <c r="AC1543" s="446">
        <f>AC631</f>
        <v>0.98899999999999999</v>
      </c>
      <c r="AD1543" s="446">
        <f>AD631</f>
        <v>0.96299999999999997</v>
      </c>
      <c r="AE1543" s="454">
        <f>AE631</f>
        <v>1.04</v>
      </c>
      <c r="AF1543" s="455">
        <f t="shared" si="3486"/>
        <v>4.2539999999999996</v>
      </c>
      <c r="AG1543" s="454">
        <f>AG631</f>
        <v>1.073</v>
      </c>
      <c r="AH1543" s="446">
        <f>AH631</f>
        <v>1.2410000000000001</v>
      </c>
      <c r="AI1543" s="446">
        <f>AI631</f>
        <v>1.0049999999999999</v>
      </c>
      <c r="AJ1543" s="454">
        <f>AJ631</f>
        <v>1.101</v>
      </c>
      <c r="AK1543" s="455">
        <f>SUM(AG1543:AJ1543)</f>
        <v>4.42</v>
      </c>
      <c r="AL1543" s="446">
        <f>AL631</f>
        <v>1.127</v>
      </c>
      <c r="AM1543" s="446">
        <f>AM631</f>
        <v>1.0840000000000001</v>
      </c>
      <c r="AN1543" s="446">
        <f>AN631</f>
        <v>1.0840000000000001</v>
      </c>
      <c r="AO1543" s="454">
        <f>AO631</f>
        <v>1.0840000000000001</v>
      </c>
      <c r="AP1543" s="456">
        <f>SUM(AL1543:AO1543)</f>
        <v>4.3790000000000004</v>
      </c>
      <c r="AQ1543" s="456">
        <f>AQ631</f>
        <v>1.0840000000000001</v>
      </c>
      <c r="AR1543" s="454">
        <f>AR631</f>
        <v>1.0840000000000001</v>
      </c>
      <c r="AS1543" s="454">
        <f>AS631</f>
        <v>1.0840000000000001</v>
      </c>
      <c r="AT1543" s="454">
        <f>AT631</f>
        <v>1.0840000000000001</v>
      </c>
      <c r="AU1543" s="455">
        <f>SUM(AQ1543:AT1543)</f>
        <v>4.3360000000000003</v>
      </c>
      <c r="AV1543" s="456">
        <f>AV631</f>
        <v>1.0840000000000001</v>
      </c>
      <c r="AW1543" s="454">
        <f>AW631</f>
        <v>1.0840000000000001</v>
      </c>
      <c r="AX1543" s="454">
        <f>AX631</f>
        <v>1.0840000000000001</v>
      </c>
      <c r="AY1543" s="1666">
        <f>AY631</f>
        <v>1.0840000000000001</v>
      </c>
      <c r="AZ1543" s="455">
        <f t="shared" si="3490"/>
        <v>4.3360000000000003</v>
      </c>
      <c r="BA1543" s="456">
        <f>BA631</f>
        <v>1.0840000000000001</v>
      </c>
      <c r="BB1543" s="454">
        <f>BB631</f>
        <v>1.0840000000000001</v>
      </c>
      <c r="BC1543" s="454">
        <f>BC631</f>
        <v>1.0840000000000001</v>
      </c>
      <c r="BD1543" s="1666">
        <f>BD631</f>
        <v>1.0840000000000001</v>
      </c>
      <c r="BE1543" s="455">
        <f>SUM(BA1543:BD1543)</f>
        <v>4.3360000000000003</v>
      </c>
      <c r="BF1543" s="454">
        <f>BF631</f>
        <v>1.0840000000000001</v>
      </c>
      <c r="BG1543" s="454">
        <f>BG631</f>
        <v>1.0840000000000001</v>
      </c>
      <c r="BH1543" s="454">
        <f>BH631</f>
        <v>1.0840000000000001</v>
      </c>
      <c r="BI1543" s="1666">
        <f>BI631</f>
        <v>1.0840000000000001</v>
      </c>
      <c r="BJ1543" s="455">
        <f>SUM(BF1543:BI1543)</f>
        <v>4.3360000000000003</v>
      </c>
      <c r="BK1543" s="454">
        <f>BK631</f>
        <v>1.0840000000000001</v>
      </c>
      <c r="BL1543" s="454">
        <f>BL631</f>
        <v>1.0840000000000001</v>
      </c>
      <c r="BM1543" s="454">
        <f>BM631</f>
        <v>1.0840000000000001</v>
      </c>
      <c r="BN1543" s="1666">
        <f>BN631</f>
        <v>1.0840000000000001</v>
      </c>
      <c r="BO1543" s="455">
        <f t="shared" si="3493"/>
        <v>4.3360000000000003</v>
      </c>
      <c r="BP1543" s="454">
        <f>BP631</f>
        <v>1.0840000000000001</v>
      </c>
      <c r="BQ1543" s="454">
        <f>BQ631</f>
        <v>1.0840000000000001</v>
      </c>
      <c r="BR1543" s="454">
        <f>BR631</f>
        <v>1.0840000000000001</v>
      </c>
      <c r="BS1543" s="454">
        <f>BS631</f>
        <v>1.0840000000000001</v>
      </c>
      <c r="BT1543" s="3066">
        <f t="shared" si="3494"/>
        <v>4.3360000000000003</v>
      </c>
      <c r="BU1543" s="2915">
        <f>BU631</f>
        <v>1.0840000000000001</v>
      </c>
      <c r="BV1543" s="2915">
        <f>BV631</f>
        <v>1.0840000000000001</v>
      </c>
      <c r="BW1543" s="2915">
        <f>BW631</f>
        <v>1.0840000000000001</v>
      </c>
      <c r="BX1543" s="2915">
        <f>BX631</f>
        <v>1.0840000000000001</v>
      </c>
      <c r="BY1543" s="3066">
        <f t="shared" si="3523"/>
        <v>4.3360000000000003</v>
      </c>
      <c r="BZ1543" s="455">
        <f t="shared" ref="BZ1543:CF1543" si="3544">BZ631</f>
        <v>4.3360000000000003</v>
      </c>
      <c r="CA1543" s="455">
        <f t="shared" si="3544"/>
        <v>4.3360000000000003</v>
      </c>
      <c r="CB1543" s="455">
        <f t="shared" si="3544"/>
        <v>4.3360000000000003</v>
      </c>
      <c r="CC1543" s="455">
        <f t="shared" si="3544"/>
        <v>4.3360000000000003</v>
      </c>
      <c r="CD1543" s="455">
        <f t="shared" si="3544"/>
        <v>4.3360000000000003</v>
      </c>
      <c r="CE1543" s="455">
        <f t="shared" si="3544"/>
        <v>4.3360000000000003</v>
      </c>
      <c r="CF1543" s="455">
        <f t="shared" si="3544"/>
        <v>4.3360000000000003</v>
      </c>
      <c r="CG1543" s="331"/>
      <c r="CH1543" s="331"/>
      <c r="CI1543" s="331"/>
      <c r="CJ1543" s="331"/>
      <c r="CK1543" s="331"/>
      <c r="CL1543" s="2051" t="str">
        <f t="shared" si="3525"/>
        <v>Black Gold at Zia Park (NM)</v>
      </c>
      <c r="CM1543" s="454">
        <f t="shared" si="3526"/>
        <v>0</v>
      </c>
      <c r="CN1543" s="454">
        <f t="shared" si="3527"/>
        <v>0</v>
      </c>
      <c r="CO1543" s="454">
        <f t="shared" si="3528"/>
        <v>0</v>
      </c>
      <c r="CP1543" s="454">
        <f t="shared" si="3529"/>
        <v>3.5010000000000003</v>
      </c>
      <c r="CQ1543" s="454">
        <f t="shared" si="3530"/>
        <v>4.4939999999999998</v>
      </c>
      <c r="CR1543" s="454">
        <f t="shared" si="3531"/>
        <v>4.2539999999999996</v>
      </c>
      <c r="CS1543" s="454">
        <f t="shared" si="3532"/>
        <v>4.42</v>
      </c>
      <c r="CT1543" s="454">
        <f t="shared" si="3533"/>
        <v>4.3790000000000004</v>
      </c>
      <c r="CU1543" s="454">
        <f t="shared" si="3534"/>
        <v>4.3360000000000003</v>
      </c>
      <c r="CV1543" s="454">
        <f t="shared" si="3535"/>
        <v>4.3360000000000003</v>
      </c>
      <c r="CW1543" s="454">
        <f t="shared" si="3536"/>
        <v>4.3360000000000003</v>
      </c>
      <c r="CX1543" s="454">
        <f t="shared" si="3537"/>
        <v>4.3360000000000003</v>
      </c>
      <c r="CY1543" s="454">
        <f t="shared" si="3538"/>
        <v>4.3360000000000003</v>
      </c>
      <c r="CZ1543" s="454">
        <f t="shared" si="3539"/>
        <v>4.3360000000000003</v>
      </c>
      <c r="DA1543" s="454">
        <f t="shared" si="3511"/>
        <v>4.3360000000000003</v>
      </c>
      <c r="DB1543" s="454">
        <f t="shared" si="3512"/>
        <v>4.3360000000000003</v>
      </c>
      <c r="DC1543" s="1666">
        <f t="shared" si="3513"/>
        <v>4.3360000000000003</v>
      </c>
      <c r="DD1543" s="331"/>
      <c r="DE1543" s="331"/>
      <c r="DF1543" s="502"/>
      <c r="DG1543" s="503"/>
      <c r="DH1543" s="2915"/>
      <c r="DI1543" s="3213"/>
      <c r="DJ1543" s="502"/>
      <c r="DK1543" s="503"/>
      <c r="DL1543" s="502"/>
      <c r="DM1543" s="502"/>
      <c r="DN1543" s="502"/>
      <c r="DO1543" s="502"/>
      <c r="DP1543" s="503"/>
      <c r="DQ1543" s="503"/>
      <c r="DR1543" s="296"/>
      <c r="DS1543" s="296"/>
      <c r="DT1543" s="296"/>
    </row>
    <row r="1544" spans="1:130" ht="12" customHeight="1" x14ac:dyDescent="0.25">
      <c r="A1544" s="671" t="s">
        <v>1942</v>
      </c>
      <c r="B1544" s="281"/>
      <c r="C1544" s="446">
        <v>0</v>
      </c>
      <c r="D1544" s="446">
        <v>0</v>
      </c>
      <c r="E1544" s="446">
        <v>0</v>
      </c>
      <c r="F1544" s="446">
        <v>0</v>
      </c>
      <c r="G1544" s="447">
        <v>0</v>
      </c>
      <c r="H1544" s="446">
        <v>0</v>
      </c>
      <c r="I1544" s="446">
        <v>0</v>
      </c>
      <c r="J1544" s="446">
        <v>0</v>
      </c>
      <c r="K1544" s="446">
        <v>0</v>
      </c>
      <c r="L1544" s="447">
        <v>0</v>
      </c>
      <c r="M1544" s="446">
        <v>0</v>
      </c>
      <c r="N1544" s="446">
        <v>0</v>
      </c>
      <c r="O1544" s="446">
        <v>0</v>
      </c>
      <c r="P1544" s="446">
        <v>0</v>
      </c>
      <c r="Q1544" s="447">
        <v>0</v>
      </c>
      <c r="R1544" s="446">
        <v>0</v>
      </c>
      <c r="S1544" s="446">
        <v>0</v>
      </c>
      <c r="T1544" s="446">
        <v>0</v>
      </c>
      <c r="U1544" s="446">
        <v>0</v>
      </c>
      <c r="V1544" s="447">
        <v>0</v>
      </c>
      <c r="W1544" s="446">
        <v>0</v>
      </c>
      <c r="X1544" s="446">
        <v>0</v>
      </c>
      <c r="Y1544" s="446">
        <v>0</v>
      </c>
      <c r="Z1544" s="446">
        <v>0</v>
      </c>
      <c r="AA1544" s="447">
        <v>0</v>
      </c>
      <c r="AB1544" s="446">
        <v>0</v>
      </c>
      <c r="AC1544" s="446">
        <v>0</v>
      </c>
      <c r="AD1544" s="446">
        <v>0</v>
      </c>
      <c r="AE1544" s="446">
        <v>0</v>
      </c>
      <c r="AF1544" s="447">
        <v>0</v>
      </c>
      <c r="AG1544" s="454">
        <v>0</v>
      </c>
      <c r="AH1544" s="446">
        <v>0</v>
      </c>
      <c r="AI1544" s="446">
        <v>0</v>
      </c>
      <c r="AJ1544" s="446">
        <v>0</v>
      </c>
      <c r="AK1544" s="447">
        <v>0</v>
      </c>
      <c r="AL1544" s="446">
        <v>0</v>
      </c>
      <c r="AM1544" s="446">
        <v>0</v>
      </c>
      <c r="AN1544" s="446">
        <v>0</v>
      </c>
      <c r="AO1544" s="446">
        <v>0</v>
      </c>
      <c r="AP1544" s="582">
        <v>0</v>
      </c>
      <c r="AQ1544" s="582">
        <v>0</v>
      </c>
      <c r="AR1544" s="446">
        <v>0</v>
      </c>
      <c r="AS1544" s="446">
        <v>0</v>
      </c>
      <c r="AT1544" s="446">
        <v>0</v>
      </c>
      <c r="AU1544" s="447">
        <v>0</v>
      </c>
      <c r="AV1544" s="582">
        <v>0</v>
      </c>
      <c r="AW1544" s="446">
        <v>0</v>
      </c>
      <c r="AX1544" s="446">
        <v>0</v>
      </c>
      <c r="AY1544" s="856">
        <v>0</v>
      </c>
      <c r="AZ1544" s="447">
        <f t="shared" si="3490"/>
        <v>0</v>
      </c>
      <c r="BA1544" s="582">
        <v>0</v>
      </c>
      <c r="BB1544" s="446">
        <v>0</v>
      </c>
      <c r="BC1544" s="446">
        <v>0</v>
      </c>
      <c r="BD1544" s="856">
        <v>0</v>
      </c>
      <c r="BE1544" s="447">
        <v>0</v>
      </c>
      <c r="BF1544" s="446">
        <v>0</v>
      </c>
      <c r="BG1544" s="446">
        <v>0</v>
      </c>
      <c r="BH1544" s="446">
        <v>0</v>
      </c>
      <c r="BI1544" s="856">
        <v>0</v>
      </c>
      <c r="BJ1544" s="447">
        <v>0</v>
      </c>
      <c r="BK1544" s="446">
        <v>0</v>
      </c>
      <c r="BL1544" s="446">
        <v>0</v>
      </c>
      <c r="BM1544" s="446">
        <v>0</v>
      </c>
      <c r="BN1544" s="856">
        <v>0</v>
      </c>
      <c r="BO1544" s="447">
        <v>0</v>
      </c>
      <c r="BP1544" s="446">
        <v>0</v>
      </c>
      <c r="BQ1544" s="446">
        <v>0</v>
      </c>
      <c r="BR1544" s="446">
        <v>0</v>
      </c>
      <c r="BS1544" s="446">
        <v>0</v>
      </c>
      <c r="BT1544" s="3068">
        <v>0</v>
      </c>
      <c r="BU1544" s="3067">
        <v>0</v>
      </c>
      <c r="BV1544" s="3067">
        <v>0</v>
      </c>
      <c r="BW1544" s="3067">
        <v>0</v>
      </c>
      <c r="BX1544" s="3067">
        <v>0</v>
      </c>
      <c r="BY1544" s="3068">
        <v>0</v>
      </c>
      <c r="BZ1544" s="447">
        <v>0</v>
      </c>
      <c r="CA1544" s="447">
        <v>0</v>
      </c>
      <c r="CB1544" s="447">
        <v>0</v>
      </c>
      <c r="CC1544" s="447">
        <v>0</v>
      </c>
      <c r="CD1544" s="447">
        <v>0</v>
      </c>
      <c r="CE1544" s="447">
        <v>0</v>
      </c>
      <c r="CF1544" s="447">
        <v>0</v>
      </c>
      <c r="CG1544" s="331"/>
      <c r="CH1544" s="331"/>
      <c r="CI1544" s="331"/>
      <c r="CJ1544" s="331"/>
      <c r="CK1544" s="331"/>
      <c r="CL1544" s="2051" t="str">
        <f t="shared" si="3525"/>
        <v>Casino Rama Mgmt Contract (Canada)</v>
      </c>
      <c r="CM1544" s="454">
        <f t="shared" si="3526"/>
        <v>0</v>
      </c>
      <c r="CN1544" s="454">
        <f t="shared" si="3527"/>
        <v>0</v>
      </c>
      <c r="CO1544" s="454">
        <f t="shared" si="3528"/>
        <v>0</v>
      </c>
      <c r="CP1544" s="454">
        <f t="shared" si="3529"/>
        <v>0</v>
      </c>
      <c r="CQ1544" s="454">
        <f t="shared" si="3530"/>
        <v>0</v>
      </c>
      <c r="CR1544" s="454">
        <f t="shared" si="3531"/>
        <v>0</v>
      </c>
      <c r="CS1544" s="454">
        <f t="shared" si="3532"/>
        <v>0</v>
      </c>
      <c r="CT1544" s="454">
        <f t="shared" si="3533"/>
        <v>0</v>
      </c>
      <c r="CU1544" s="454">
        <f t="shared" si="3534"/>
        <v>0</v>
      </c>
      <c r="CV1544" s="454">
        <f t="shared" si="3535"/>
        <v>0</v>
      </c>
      <c r="CW1544" s="454">
        <f t="shared" si="3536"/>
        <v>0</v>
      </c>
      <c r="CX1544" s="454">
        <f t="shared" si="3537"/>
        <v>0</v>
      </c>
      <c r="CY1544" s="454">
        <f t="shared" si="3538"/>
        <v>0</v>
      </c>
      <c r="CZ1544" s="454">
        <f t="shared" si="3539"/>
        <v>0</v>
      </c>
      <c r="DA1544" s="454">
        <f t="shared" si="3511"/>
        <v>0</v>
      </c>
      <c r="DB1544" s="454">
        <f t="shared" si="3512"/>
        <v>0</v>
      </c>
      <c r="DC1544" s="1666">
        <f t="shared" si="3513"/>
        <v>0</v>
      </c>
      <c r="DD1544" s="331"/>
      <c r="DE1544" s="331"/>
      <c r="DF1544" s="502"/>
      <c r="DG1544" s="503"/>
      <c r="DH1544" s="2915"/>
      <c r="DI1544" s="3213"/>
      <c r="DJ1544" s="502"/>
      <c r="DK1544" s="503"/>
      <c r="DL1544" s="502"/>
      <c r="DM1544" s="502"/>
      <c r="DN1544" s="502"/>
      <c r="DO1544" s="502"/>
      <c r="DP1544" s="503"/>
      <c r="DQ1544" s="503"/>
      <c r="DR1544" s="296"/>
      <c r="DS1544" s="296"/>
      <c r="DT1544" s="296"/>
    </row>
    <row r="1545" spans="1:130" ht="12" customHeight="1" x14ac:dyDescent="0.25">
      <c r="A1545" s="272" t="s">
        <v>1787</v>
      </c>
      <c r="B1545" s="281"/>
      <c r="C1545" s="446">
        <f t="shared" ref="C1545:AH1545" si="3545">C604</f>
        <v>0</v>
      </c>
      <c r="D1545" s="446">
        <f t="shared" si="3545"/>
        <v>0</v>
      </c>
      <c r="E1545" s="446">
        <f t="shared" si="3545"/>
        <v>0</v>
      </c>
      <c r="F1545" s="446">
        <f t="shared" si="3545"/>
        <v>0</v>
      </c>
      <c r="G1545" s="447">
        <f t="shared" si="3545"/>
        <v>0</v>
      </c>
      <c r="H1545" s="446">
        <f t="shared" si="3545"/>
        <v>0</v>
      </c>
      <c r="I1545" s="446">
        <f t="shared" si="3545"/>
        <v>0</v>
      </c>
      <c r="J1545" s="446">
        <f t="shared" si="3545"/>
        <v>0</v>
      </c>
      <c r="K1545" s="446">
        <f t="shared" si="3545"/>
        <v>0</v>
      </c>
      <c r="L1545" s="447">
        <f t="shared" si="3545"/>
        <v>0</v>
      </c>
      <c r="M1545" s="446">
        <f t="shared" si="3545"/>
        <v>0</v>
      </c>
      <c r="N1545" s="446">
        <f t="shared" si="3545"/>
        <v>0</v>
      </c>
      <c r="O1545" s="446">
        <f t="shared" si="3545"/>
        <v>0</v>
      </c>
      <c r="P1545" s="446">
        <f t="shared" si="3545"/>
        <v>0</v>
      </c>
      <c r="Q1545" s="447">
        <f t="shared" si="3545"/>
        <v>0</v>
      </c>
      <c r="R1545" s="446">
        <f t="shared" si="3545"/>
        <v>0</v>
      </c>
      <c r="S1545" s="446">
        <f t="shared" si="3545"/>
        <v>0</v>
      </c>
      <c r="T1545" s="446">
        <f t="shared" si="3545"/>
        <v>0</v>
      </c>
      <c r="U1545" s="446">
        <f t="shared" si="3545"/>
        <v>0</v>
      </c>
      <c r="V1545" s="447">
        <f t="shared" si="3545"/>
        <v>0</v>
      </c>
      <c r="W1545" s="446">
        <f t="shared" si="3545"/>
        <v>0</v>
      </c>
      <c r="X1545" s="446">
        <f t="shared" si="3545"/>
        <v>0</v>
      </c>
      <c r="Y1545" s="446">
        <f t="shared" si="3545"/>
        <v>0</v>
      </c>
      <c r="Z1545" s="446">
        <f t="shared" si="3545"/>
        <v>0</v>
      </c>
      <c r="AA1545" s="447">
        <f t="shared" si="3545"/>
        <v>0</v>
      </c>
      <c r="AB1545" s="446">
        <f t="shared" si="3545"/>
        <v>0</v>
      </c>
      <c r="AC1545" s="446">
        <f t="shared" si="3545"/>
        <v>0</v>
      </c>
      <c r="AD1545" s="446">
        <f t="shared" si="3545"/>
        <v>0</v>
      </c>
      <c r="AE1545" s="446">
        <f t="shared" si="3545"/>
        <v>0</v>
      </c>
      <c r="AF1545" s="447">
        <f t="shared" si="3545"/>
        <v>0</v>
      </c>
      <c r="AG1545" s="454">
        <f t="shared" si="3545"/>
        <v>0</v>
      </c>
      <c r="AH1545" s="446">
        <f t="shared" si="3545"/>
        <v>0</v>
      </c>
      <c r="AI1545" s="446">
        <f t="shared" ref="AI1545:AY1545" si="3546">AI604</f>
        <v>2E-3</v>
      </c>
      <c r="AJ1545" s="446">
        <f t="shared" si="3546"/>
        <v>1.593</v>
      </c>
      <c r="AK1545" s="447">
        <f t="shared" si="3546"/>
        <v>1.593</v>
      </c>
      <c r="AL1545" s="446">
        <f t="shared" si="3546"/>
        <v>1.593</v>
      </c>
      <c r="AM1545" s="446">
        <f t="shared" si="3546"/>
        <v>1.883</v>
      </c>
      <c r="AN1545" s="446">
        <f t="shared" si="3546"/>
        <v>1.883</v>
      </c>
      <c r="AO1545" s="446">
        <f t="shared" si="3546"/>
        <v>1.883</v>
      </c>
      <c r="AP1545" s="582">
        <f t="shared" si="3546"/>
        <v>7.242</v>
      </c>
      <c r="AQ1545" s="582">
        <f t="shared" si="3546"/>
        <v>1.883</v>
      </c>
      <c r="AR1545" s="446">
        <f t="shared" si="3546"/>
        <v>1.883</v>
      </c>
      <c r="AS1545" s="446">
        <f t="shared" si="3546"/>
        <v>1.883</v>
      </c>
      <c r="AT1545" s="446">
        <f t="shared" si="3546"/>
        <v>1.883</v>
      </c>
      <c r="AU1545" s="447">
        <f t="shared" si="3546"/>
        <v>7.532</v>
      </c>
      <c r="AV1545" s="582">
        <f t="shared" si="3546"/>
        <v>1.883</v>
      </c>
      <c r="AW1545" s="446">
        <f t="shared" si="3546"/>
        <v>1.883</v>
      </c>
      <c r="AX1545" s="446">
        <f t="shared" si="3546"/>
        <v>1.883</v>
      </c>
      <c r="AY1545" s="856">
        <f t="shared" si="3546"/>
        <v>1.883</v>
      </c>
      <c r="AZ1545" s="447">
        <f t="shared" si="3490"/>
        <v>7.532</v>
      </c>
      <c r="BA1545" s="582">
        <f t="shared" ref="BA1545:CF1545" si="3547">BA604</f>
        <v>0</v>
      </c>
      <c r="BB1545" s="446">
        <f t="shared" si="3547"/>
        <v>0</v>
      </c>
      <c r="BC1545" s="446">
        <f t="shared" si="3547"/>
        <v>0</v>
      </c>
      <c r="BD1545" s="856">
        <f t="shared" si="3547"/>
        <v>0</v>
      </c>
      <c r="BE1545" s="447">
        <f t="shared" si="3547"/>
        <v>0</v>
      </c>
      <c r="BF1545" s="446">
        <f t="shared" si="3547"/>
        <v>0</v>
      </c>
      <c r="BG1545" s="446">
        <f t="shared" si="3547"/>
        <v>0</v>
      </c>
      <c r="BH1545" s="446">
        <f t="shared" si="3547"/>
        <v>0</v>
      </c>
      <c r="BI1545" s="856">
        <f t="shared" si="3547"/>
        <v>0</v>
      </c>
      <c r="BJ1545" s="447">
        <f t="shared" si="3547"/>
        <v>0</v>
      </c>
      <c r="BK1545" s="446">
        <f t="shared" si="3547"/>
        <v>0</v>
      </c>
      <c r="BL1545" s="446">
        <f t="shared" si="3547"/>
        <v>0</v>
      </c>
      <c r="BM1545" s="446">
        <f t="shared" si="3547"/>
        <v>0</v>
      </c>
      <c r="BN1545" s="856">
        <f t="shared" si="3547"/>
        <v>0</v>
      </c>
      <c r="BO1545" s="447">
        <f t="shared" si="3547"/>
        <v>0</v>
      </c>
      <c r="BP1545" s="446">
        <f t="shared" si="3547"/>
        <v>0</v>
      </c>
      <c r="BQ1545" s="446">
        <f t="shared" si="3547"/>
        <v>0</v>
      </c>
      <c r="BR1545" s="446">
        <f t="shared" si="3547"/>
        <v>0</v>
      </c>
      <c r="BS1545" s="446">
        <f t="shared" si="3547"/>
        <v>0</v>
      </c>
      <c r="BT1545" s="3068">
        <f t="shared" si="3547"/>
        <v>0</v>
      </c>
      <c r="BU1545" s="3067">
        <f t="shared" si="3547"/>
        <v>0</v>
      </c>
      <c r="BV1545" s="3067">
        <f t="shared" si="3547"/>
        <v>0</v>
      </c>
      <c r="BW1545" s="3067">
        <f t="shared" si="3547"/>
        <v>0</v>
      </c>
      <c r="BX1545" s="3067">
        <f t="shared" si="3547"/>
        <v>0</v>
      </c>
      <c r="BY1545" s="3068">
        <f t="shared" si="3547"/>
        <v>0</v>
      </c>
      <c r="BZ1545" s="447">
        <f t="shared" si="3547"/>
        <v>0</v>
      </c>
      <c r="CA1545" s="447">
        <f t="shared" si="3547"/>
        <v>0</v>
      </c>
      <c r="CB1545" s="447">
        <f t="shared" si="3547"/>
        <v>0</v>
      </c>
      <c r="CC1545" s="447">
        <f t="shared" si="3547"/>
        <v>0</v>
      </c>
      <c r="CD1545" s="447">
        <f t="shared" si="3547"/>
        <v>0</v>
      </c>
      <c r="CE1545" s="447">
        <f t="shared" si="3547"/>
        <v>0</v>
      </c>
      <c r="CF1545" s="447">
        <f t="shared" si="3547"/>
        <v>0</v>
      </c>
      <c r="CG1545" s="331"/>
      <c r="CH1545" s="331"/>
      <c r="CI1545" s="331"/>
      <c r="CJ1545" s="331"/>
      <c r="CK1545" s="331"/>
      <c r="CL1545" s="995" t="str">
        <f t="shared" si="3525"/>
        <v>Hollywood Perryville (MD)</v>
      </c>
      <c r="CM1545" s="454">
        <f t="shared" si="3526"/>
        <v>0</v>
      </c>
      <c r="CN1545" s="454">
        <f t="shared" si="3527"/>
        <v>0</v>
      </c>
      <c r="CO1545" s="454">
        <f t="shared" si="3528"/>
        <v>0</v>
      </c>
      <c r="CP1545" s="454">
        <f t="shared" si="3529"/>
        <v>0</v>
      </c>
      <c r="CQ1545" s="454">
        <f t="shared" si="3530"/>
        <v>0</v>
      </c>
      <c r="CR1545" s="454">
        <f t="shared" si="3531"/>
        <v>0</v>
      </c>
      <c r="CS1545" s="454">
        <f t="shared" si="3532"/>
        <v>1.593</v>
      </c>
      <c r="CT1545" s="454">
        <f t="shared" si="3533"/>
        <v>7.242</v>
      </c>
      <c r="CU1545" s="454">
        <f t="shared" si="3534"/>
        <v>7.532</v>
      </c>
      <c r="CV1545" s="454">
        <f t="shared" si="3535"/>
        <v>7.532</v>
      </c>
      <c r="CW1545" s="454">
        <f t="shared" si="3536"/>
        <v>0</v>
      </c>
      <c r="CX1545" s="454">
        <f t="shared" si="3537"/>
        <v>0</v>
      </c>
      <c r="CY1545" s="454">
        <f t="shared" si="3538"/>
        <v>0</v>
      </c>
      <c r="CZ1545" s="454">
        <f t="shared" si="3539"/>
        <v>0</v>
      </c>
      <c r="DA1545" s="454">
        <f t="shared" si="3511"/>
        <v>0</v>
      </c>
      <c r="DB1545" s="454">
        <f t="shared" si="3512"/>
        <v>0</v>
      </c>
      <c r="DC1545" s="1666">
        <f t="shared" si="3513"/>
        <v>0</v>
      </c>
      <c r="DD1545" s="331"/>
      <c r="DE1545" s="331"/>
      <c r="DF1545" s="502"/>
      <c r="DG1545" s="503"/>
      <c r="DH1545" s="2915"/>
      <c r="DI1545" s="3213"/>
      <c r="DJ1545" s="502"/>
      <c r="DK1545" s="503"/>
      <c r="DL1545" s="502"/>
      <c r="DM1545" s="502"/>
      <c r="DN1545" s="502"/>
      <c r="DO1545" s="502"/>
      <c r="DP1545" s="503"/>
      <c r="DQ1545" s="503"/>
      <c r="DR1545" s="296"/>
      <c r="DS1545" s="296"/>
      <c r="DT1545" s="296"/>
    </row>
    <row r="1546" spans="1:130" ht="12" customHeight="1" x14ac:dyDescent="0.25">
      <c r="A1546" s="272" t="s">
        <v>443</v>
      </c>
      <c r="B1546" s="281"/>
      <c r="C1546" s="446">
        <f t="shared" ref="C1546:AH1546" si="3548">C443</f>
        <v>0</v>
      </c>
      <c r="D1546" s="446">
        <f t="shared" si="3548"/>
        <v>0</v>
      </c>
      <c r="E1546" s="446">
        <f t="shared" si="3548"/>
        <v>0</v>
      </c>
      <c r="F1546" s="446">
        <f t="shared" si="3548"/>
        <v>0</v>
      </c>
      <c r="G1546" s="447">
        <f t="shared" si="3548"/>
        <v>0</v>
      </c>
      <c r="H1546" s="446">
        <f t="shared" si="3548"/>
        <v>0</v>
      </c>
      <c r="I1546" s="446">
        <f t="shared" si="3548"/>
        <v>0</v>
      </c>
      <c r="J1546" s="446">
        <f t="shared" si="3548"/>
        <v>0</v>
      </c>
      <c r="K1546" s="446">
        <f t="shared" si="3548"/>
        <v>0</v>
      </c>
      <c r="L1546" s="447">
        <f t="shared" si="3548"/>
        <v>0</v>
      </c>
      <c r="M1546" s="446">
        <f t="shared" si="3548"/>
        <v>0</v>
      </c>
      <c r="N1546" s="446">
        <f t="shared" si="3548"/>
        <v>0</v>
      </c>
      <c r="O1546" s="446">
        <f t="shared" si="3548"/>
        <v>0</v>
      </c>
      <c r="P1546" s="446">
        <f t="shared" si="3548"/>
        <v>0</v>
      </c>
      <c r="Q1546" s="447">
        <f t="shared" si="3548"/>
        <v>0</v>
      </c>
      <c r="R1546" s="446">
        <f t="shared" si="3548"/>
        <v>0</v>
      </c>
      <c r="S1546" s="446">
        <f t="shared" si="3548"/>
        <v>0</v>
      </c>
      <c r="T1546" s="446">
        <f t="shared" si="3548"/>
        <v>0</v>
      </c>
      <c r="U1546" s="446">
        <f t="shared" si="3548"/>
        <v>0</v>
      </c>
      <c r="V1546" s="447">
        <f t="shared" si="3548"/>
        <v>0</v>
      </c>
      <c r="W1546" s="446">
        <f t="shared" si="3548"/>
        <v>0</v>
      </c>
      <c r="X1546" s="446">
        <f t="shared" si="3548"/>
        <v>0</v>
      </c>
      <c r="Y1546" s="446">
        <f t="shared" si="3548"/>
        <v>0</v>
      </c>
      <c r="Z1546" s="446">
        <f t="shared" si="3548"/>
        <v>0</v>
      </c>
      <c r="AA1546" s="447">
        <f t="shared" si="3548"/>
        <v>0</v>
      </c>
      <c r="AB1546" s="446">
        <f t="shared" si="3548"/>
        <v>0</v>
      </c>
      <c r="AC1546" s="446">
        <f t="shared" si="3548"/>
        <v>0</v>
      </c>
      <c r="AD1546" s="446">
        <f t="shared" si="3548"/>
        <v>0</v>
      </c>
      <c r="AE1546" s="446">
        <f t="shared" si="3548"/>
        <v>0</v>
      </c>
      <c r="AF1546" s="447">
        <f t="shared" si="3548"/>
        <v>0</v>
      </c>
      <c r="AG1546" s="454">
        <f t="shared" si="3548"/>
        <v>0</v>
      </c>
      <c r="AH1546" s="446">
        <f t="shared" si="3548"/>
        <v>0</v>
      </c>
      <c r="AI1546" s="446">
        <f t="shared" ref="AI1546:AY1546" si="3549">AI443</f>
        <v>0</v>
      </c>
      <c r="AJ1546" s="446">
        <f t="shared" si="3549"/>
        <v>0</v>
      </c>
      <c r="AK1546" s="447">
        <f t="shared" si="3549"/>
        <v>0</v>
      </c>
      <c r="AL1546" s="446">
        <f t="shared" si="3549"/>
        <v>0</v>
      </c>
      <c r="AM1546" s="446">
        <f t="shared" si="3549"/>
        <v>0</v>
      </c>
      <c r="AN1546" s="446">
        <f t="shared" si="3549"/>
        <v>0</v>
      </c>
      <c r="AO1546" s="446">
        <f t="shared" si="3549"/>
        <v>0</v>
      </c>
      <c r="AP1546" s="582">
        <f t="shared" si="3549"/>
        <v>0</v>
      </c>
      <c r="AQ1546" s="582">
        <f t="shared" si="3549"/>
        <v>0</v>
      </c>
      <c r="AR1546" s="446">
        <f t="shared" si="3549"/>
        <v>0</v>
      </c>
      <c r="AS1546" s="446">
        <f t="shared" si="3549"/>
        <v>0</v>
      </c>
      <c r="AT1546" s="446">
        <f t="shared" si="3549"/>
        <v>4.8636363636363633</v>
      </c>
      <c r="AU1546" s="447">
        <f t="shared" si="3549"/>
        <v>4.8636363636363633</v>
      </c>
      <c r="AV1546" s="582">
        <f t="shared" si="3549"/>
        <v>4.8636363636363633</v>
      </c>
      <c r="AW1546" s="446">
        <f t="shared" si="3549"/>
        <v>4.8636363636363633</v>
      </c>
      <c r="AX1546" s="446">
        <f t="shared" si="3549"/>
        <v>4.8636363636363633</v>
      </c>
      <c r="AY1546" s="856">
        <f t="shared" si="3549"/>
        <v>4.8636363636363633</v>
      </c>
      <c r="AZ1546" s="447">
        <f t="shared" si="3490"/>
        <v>19.454545454545453</v>
      </c>
      <c r="BA1546" s="582">
        <f t="shared" ref="BA1546:CF1546" si="3550">BA443</f>
        <v>4.8636363636363633</v>
      </c>
      <c r="BB1546" s="446">
        <f t="shared" si="3550"/>
        <v>4.8636363636363633</v>
      </c>
      <c r="BC1546" s="446">
        <f t="shared" si="3550"/>
        <v>4.8636363636363633</v>
      </c>
      <c r="BD1546" s="856">
        <f t="shared" si="3550"/>
        <v>4.8636363636363633</v>
      </c>
      <c r="BE1546" s="447">
        <f t="shared" si="3550"/>
        <v>19.454545454545453</v>
      </c>
      <c r="BF1546" s="446">
        <f t="shared" si="3550"/>
        <v>4.8636363636363633</v>
      </c>
      <c r="BG1546" s="446">
        <f t="shared" si="3550"/>
        <v>4.8636363636363633</v>
      </c>
      <c r="BH1546" s="446">
        <f t="shared" si="3550"/>
        <v>4.8636363636363633</v>
      </c>
      <c r="BI1546" s="856">
        <f t="shared" si="3550"/>
        <v>4.8636363636363633</v>
      </c>
      <c r="BJ1546" s="447">
        <f t="shared" si="3550"/>
        <v>19.454545454545453</v>
      </c>
      <c r="BK1546" s="446">
        <f t="shared" si="3550"/>
        <v>4.8636363636363633</v>
      </c>
      <c r="BL1546" s="446">
        <f t="shared" si="3550"/>
        <v>4.8636363636363633</v>
      </c>
      <c r="BM1546" s="446">
        <f t="shared" si="3550"/>
        <v>4.8636363636363633</v>
      </c>
      <c r="BN1546" s="856">
        <f t="shared" si="3550"/>
        <v>4.8636363636363633</v>
      </c>
      <c r="BO1546" s="447">
        <f t="shared" si="3550"/>
        <v>19.454545454545453</v>
      </c>
      <c r="BP1546" s="446">
        <f t="shared" si="3550"/>
        <v>4.8636363636363633</v>
      </c>
      <c r="BQ1546" s="446">
        <f t="shared" si="3550"/>
        <v>4.8636363636363633</v>
      </c>
      <c r="BR1546" s="446">
        <f t="shared" si="3550"/>
        <v>4.8636363636363633</v>
      </c>
      <c r="BS1546" s="446">
        <f t="shared" si="3550"/>
        <v>4.8636363636363633</v>
      </c>
      <c r="BT1546" s="3068">
        <f t="shared" si="3550"/>
        <v>19.454545454545453</v>
      </c>
      <c r="BU1546" s="3067">
        <f t="shared" si="3550"/>
        <v>4.8636363636363633</v>
      </c>
      <c r="BV1546" s="3067">
        <f t="shared" si="3550"/>
        <v>4.8636363636363633</v>
      </c>
      <c r="BW1546" s="3067">
        <f t="shared" si="3550"/>
        <v>4.8636363636363633</v>
      </c>
      <c r="BX1546" s="3067">
        <f t="shared" si="3550"/>
        <v>4.8636363636363633</v>
      </c>
      <c r="BY1546" s="3068">
        <f t="shared" si="3550"/>
        <v>19.454545454545453</v>
      </c>
      <c r="BZ1546" s="447">
        <f t="shared" si="3550"/>
        <v>19.454545454545453</v>
      </c>
      <c r="CA1546" s="447">
        <f t="shared" si="3550"/>
        <v>19.454545454545453</v>
      </c>
      <c r="CB1546" s="447">
        <f t="shared" si="3550"/>
        <v>19.454545454545453</v>
      </c>
      <c r="CC1546" s="447">
        <f t="shared" si="3550"/>
        <v>19.454545454545453</v>
      </c>
      <c r="CD1546" s="447">
        <f t="shared" si="3550"/>
        <v>19.454545454545453</v>
      </c>
      <c r="CE1546" s="447">
        <f t="shared" si="3550"/>
        <v>19.454545454545453</v>
      </c>
      <c r="CF1546" s="447">
        <f t="shared" si="3550"/>
        <v>19.454545454545453</v>
      </c>
      <c r="CG1546" s="331"/>
      <c r="CH1546" s="331"/>
      <c r="CI1546" s="331"/>
      <c r="CJ1546" s="331"/>
      <c r="CK1546" s="331"/>
      <c r="CL1546" s="995" t="str">
        <f t="shared" si="3525"/>
        <v>Hollywood Columbus (OH)</v>
      </c>
      <c r="CM1546" s="454">
        <f t="shared" si="3526"/>
        <v>0</v>
      </c>
      <c r="CN1546" s="454">
        <f t="shared" si="3527"/>
        <v>0</v>
      </c>
      <c r="CO1546" s="454">
        <f t="shared" si="3528"/>
        <v>0</v>
      </c>
      <c r="CP1546" s="454">
        <f t="shared" si="3529"/>
        <v>0</v>
      </c>
      <c r="CQ1546" s="454">
        <f t="shared" si="3530"/>
        <v>0</v>
      </c>
      <c r="CR1546" s="454">
        <f t="shared" si="3531"/>
        <v>0</v>
      </c>
      <c r="CS1546" s="454">
        <f t="shared" si="3532"/>
        <v>0</v>
      </c>
      <c r="CT1546" s="454">
        <f t="shared" si="3533"/>
        <v>0</v>
      </c>
      <c r="CU1546" s="454">
        <f t="shared" si="3534"/>
        <v>4.8636363636363633</v>
      </c>
      <c r="CV1546" s="454">
        <f t="shared" si="3535"/>
        <v>19.454545454545453</v>
      </c>
      <c r="CW1546" s="454">
        <f t="shared" si="3536"/>
        <v>19.454545454545453</v>
      </c>
      <c r="CX1546" s="454">
        <f t="shared" si="3537"/>
        <v>19.454545454545453</v>
      </c>
      <c r="CY1546" s="454">
        <f t="shared" si="3538"/>
        <v>19.454545454545453</v>
      </c>
      <c r="CZ1546" s="454">
        <f t="shared" si="3539"/>
        <v>19.454545454545453</v>
      </c>
      <c r="DA1546" s="454">
        <f t="shared" si="3511"/>
        <v>19.454545454545453</v>
      </c>
      <c r="DB1546" s="454">
        <f t="shared" si="3512"/>
        <v>19.454545454545453</v>
      </c>
      <c r="DC1546" s="1666">
        <f t="shared" si="3513"/>
        <v>19.454545454545453</v>
      </c>
      <c r="DD1546" s="331"/>
      <c r="DE1546" s="331"/>
      <c r="DF1546" s="502"/>
      <c r="DG1546" s="503"/>
      <c r="DH1546" s="2915"/>
      <c r="DI1546" s="3213"/>
      <c r="DJ1546" s="502"/>
      <c r="DK1546" s="503"/>
      <c r="DL1546" s="502"/>
      <c r="DM1546" s="502"/>
      <c r="DN1546" s="502"/>
      <c r="DO1546" s="502"/>
      <c r="DP1546" s="503"/>
      <c r="DQ1546" s="503"/>
      <c r="DR1546" s="296"/>
      <c r="DS1546" s="296"/>
      <c r="DT1546" s="296"/>
    </row>
    <row r="1547" spans="1:130" ht="12" customHeight="1" x14ac:dyDescent="0.25">
      <c r="A1547" s="272" t="s">
        <v>636</v>
      </c>
      <c r="B1547" s="281"/>
      <c r="C1547" s="446">
        <f t="shared" ref="C1547:AH1547" si="3551">C472</f>
        <v>0</v>
      </c>
      <c r="D1547" s="446">
        <f t="shared" si="3551"/>
        <v>0</v>
      </c>
      <c r="E1547" s="446">
        <f t="shared" si="3551"/>
        <v>0</v>
      </c>
      <c r="F1547" s="446">
        <f t="shared" si="3551"/>
        <v>0</v>
      </c>
      <c r="G1547" s="447">
        <f t="shared" si="3551"/>
        <v>0</v>
      </c>
      <c r="H1547" s="446">
        <f t="shared" si="3551"/>
        <v>0</v>
      </c>
      <c r="I1547" s="446">
        <f t="shared" si="3551"/>
        <v>0</v>
      </c>
      <c r="J1547" s="446">
        <f t="shared" si="3551"/>
        <v>0</v>
      </c>
      <c r="K1547" s="446">
        <f t="shared" si="3551"/>
        <v>0</v>
      </c>
      <c r="L1547" s="447">
        <f t="shared" si="3551"/>
        <v>0</v>
      </c>
      <c r="M1547" s="446">
        <f t="shared" si="3551"/>
        <v>0</v>
      </c>
      <c r="N1547" s="446">
        <f t="shared" si="3551"/>
        <v>0</v>
      </c>
      <c r="O1547" s="446">
        <f t="shared" si="3551"/>
        <v>0</v>
      </c>
      <c r="P1547" s="446">
        <f t="shared" si="3551"/>
        <v>0</v>
      </c>
      <c r="Q1547" s="447">
        <f t="shared" si="3551"/>
        <v>0</v>
      </c>
      <c r="R1547" s="446">
        <f t="shared" si="3551"/>
        <v>0</v>
      </c>
      <c r="S1547" s="446">
        <f t="shared" si="3551"/>
        <v>0</v>
      </c>
      <c r="T1547" s="446">
        <f t="shared" si="3551"/>
        <v>0</v>
      </c>
      <c r="U1547" s="446">
        <f t="shared" si="3551"/>
        <v>0</v>
      </c>
      <c r="V1547" s="447">
        <f t="shared" si="3551"/>
        <v>0</v>
      </c>
      <c r="W1547" s="446">
        <f t="shared" si="3551"/>
        <v>0</v>
      </c>
      <c r="X1547" s="446">
        <f t="shared" si="3551"/>
        <v>0</v>
      </c>
      <c r="Y1547" s="446">
        <f t="shared" si="3551"/>
        <v>0</v>
      </c>
      <c r="Z1547" s="446">
        <f t="shared" si="3551"/>
        <v>0</v>
      </c>
      <c r="AA1547" s="447">
        <f t="shared" si="3551"/>
        <v>0</v>
      </c>
      <c r="AB1547" s="446">
        <f t="shared" si="3551"/>
        <v>0</v>
      </c>
      <c r="AC1547" s="446">
        <f t="shared" si="3551"/>
        <v>0</v>
      </c>
      <c r="AD1547" s="446">
        <f t="shared" si="3551"/>
        <v>0</v>
      </c>
      <c r="AE1547" s="446">
        <f t="shared" si="3551"/>
        <v>0</v>
      </c>
      <c r="AF1547" s="447">
        <f t="shared" si="3551"/>
        <v>0</v>
      </c>
      <c r="AG1547" s="454">
        <f t="shared" si="3551"/>
        <v>0</v>
      </c>
      <c r="AH1547" s="446">
        <f t="shared" si="3551"/>
        <v>0</v>
      </c>
      <c r="AI1547" s="446">
        <f t="shared" ref="AI1547:AY1547" si="3552">AI472</f>
        <v>0</v>
      </c>
      <c r="AJ1547" s="446">
        <f t="shared" si="3552"/>
        <v>0</v>
      </c>
      <c r="AK1547" s="447">
        <f t="shared" si="3552"/>
        <v>0</v>
      </c>
      <c r="AL1547" s="446">
        <f t="shared" si="3552"/>
        <v>0</v>
      </c>
      <c r="AM1547" s="446">
        <f t="shared" si="3552"/>
        <v>0</v>
      </c>
      <c r="AN1547" s="446">
        <f t="shared" si="3552"/>
        <v>0</v>
      </c>
      <c r="AO1547" s="446">
        <f t="shared" si="3552"/>
        <v>0</v>
      </c>
      <c r="AP1547" s="582">
        <f t="shared" si="3552"/>
        <v>0</v>
      </c>
      <c r="AQ1547" s="582">
        <f t="shared" si="3552"/>
        <v>0</v>
      </c>
      <c r="AR1547" s="446">
        <f t="shared" si="3552"/>
        <v>1.5046875</v>
      </c>
      <c r="AS1547" s="446">
        <f t="shared" si="3552"/>
        <v>4.5596590909090908</v>
      </c>
      <c r="AT1547" s="446">
        <f t="shared" si="3552"/>
        <v>4.5596590909090908</v>
      </c>
      <c r="AU1547" s="447">
        <f t="shared" si="3552"/>
        <v>10.624005681818183</v>
      </c>
      <c r="AV1547" s="582">
        <f t="shared" si="3552"/>
        <v>4.5596590909090908</v>
      </c>
      <c r="AW1547" s="446">
        <f t="shared" si="3552"/>
        <v>4.5596590909090908</v>
      </c>
      <c r="AX1547" s="446">
        <f t="shared" si="3552"/>
        <v>4.5596590909090908</v>
      </c>
      <c r="AY1547" s="856">
        <f t="shared" si="3552"/>
        <v>4.5596590909090908</v>
      </c>
      <c r="AZ1547" s="447">
        <f t="shared" si="3490"/>
        <v>18.238636363636363</v>
      </c>
      <c r="BA1547" s="582">
        <f t="shared" ref="BA1547:CF1547" si="3553">BA472</f>
        <v>4.5596590909090908</v>
      </c>
      <c r="BB1547" s="446">
        <f t="shared" si="3553"/>
        <v>4.5596590909090908</v>
      </c>
      <c r="BC1547" s="446">
        <f t="shared" si="3553"/>
        <v>4.5596590909090908</v>
      </c>
      <c r="BD1547" s="856">
        <f t="shared" si="3553"/>
        <v>4.5596590909090908</v>
      </c>
      <c r="BE1547" s="447">
        <f t="shared" si="3553"/>
        <v>18.238636363636363</v>
      </c>
      <c r="BF1547" s="446">
        <f t="shared" si="3553"/>
        <v>4.5596590909090908</v>
      </c>
      <c r="BG1547" s="446">
        <f t="shared" si="3553"/>
        <v>4.5596590909090908</v>
      </c>
      <c r="BH1547" s="446">
        <f t="shared" si="3553"/>
        <v>4.5596590909090908</v>
      </c>
      <c r="BI1547" s="856">
        <f t="shared" si="3553"/>
        <v>4.5596590909090908</v>
      </c>
      <c r="BJ1547" s="447">
        <f t="shared" si="3553"/>
        <v>18.238636363636363</v>
      </c>
      <c r="BK1547" s="446">
        <f t="shared" si="3553"/>
        <v>4.5596590909090908</v>
      </c>
      <c r="BL1547" s="446">
        <f t="shared" si="3553"/>
        <v>4.5596590909090908</v>
      </c>
      <c r="BM1547" s="446">
        <f t="shared" si="3553"/>
        <v>4.5596590909090908</v>
      </c>
      <c r="BN1547" s="856">
        <f t="shared" si="3553"/>
        <v>4.5596590909090908</v>
      </c>
      <c r="BO1547" s="447">
        <f t="shared" si="3553"/>
        <v>18.238636363636363</v>
      </c>
      <c r="BP1547" s="446">
        <f t="shared" si="3553"/>
        <v>4.5596590909090908</v>
      </c>
      <c r="BQ1547" s="446">
        <f t="shared" si="3553"/>
        <v>4.5596590909090908</v>
      </c>
      <c r="BR1547" s="446">
        <f t="shared" si="3553"/>
        <v>4.5596590909090908</v>
      </c>
      <c r="BS1547" s="446">
        <f t="shared" si="3553"/>
        <v>4.5596590909090908</v>
      </c>
      <c r="BT1547" s="3068">
        <f t="shared" si="3553"/>
        <v>18.238636363636363</v>
      </c>
      <c r="BU1547" s="3067">
        <f t="shared" si="3553"/>
        <v>4.5596590909090908</v>
      </c>
      <c r="BV1547" s="3067">
        <f t="shared" si="3553"/>
        <v>4.5596590909090908</v>
      </c>
      <c r="BW1547" s="3067">
        <f t="shared" si="3553"/>
        <v>4.5596590909090908</v>
      </c>
      <c r="BX1547" s="3067">
        <f t="shared" si="3553"/>
        <v>4.5596590909090908</v>
      </c>
      <c r="BY1547" s="3068">
        <f t="shared" si="3553"/>
        <v>18.238636363636363</v>
      </c>
      <c r="BZ1547" s="447">
        <f t="shared" si="3553"/>
        <v>18.238636363636363</v>
      </c>
      <c r="CA1547" s="447">
        <f t="shared" si="3553"/>
        <v>18.238636363636363</v>
      </c>
      <c r="CB1547" s="447">
        <f t="shared" si="3553"/>
        <v>18.238636363636363</v>
      </c>
      <c r="CC1547" s="447">
        <f t="shared" si="3553"/>
        <v>18.238636363636363</v>
      </c>
      <c r="CD1547" s="447">
        <f t="shared" si="3553"/>
        <v>18.238636363636363</v>
      </c>
      <c r="CE1547" s="447">
        <f t="shared" si="3553"/>
        <v>18.238636363636363</v>
      </c>
      <c r="CF1547" s="447">
        <f t="shared" si="3553"/>
        <v>18.238636363636363</v>
      </c>
      <c r="CG1547" s="331"/>
      <c r="CH1547" s="331"/>
      <c r="CI1547" s="331"/>
      <c r="CJ1547" s="331"/>
      <c r="CK1547" s="331"/>
      <c r="CL1547" s="995" t="str">
        <f t="shared" si="3525"/>
        <v>Hollywood Toledo (OH)</v>
      </c>
      <c r="CM1547" s="454">
        <f t="shared" si="3526"/>
        <v>0</v>
      </c>
      <c r="CN1547" s="454">
        <f t="shared" si="3527"/>
        <v>0</v>
      </c>
      <c r="CO1547" s="454">
        <f t="shared" si="3528"/>
        <v>0</v>
      </c>
      <c r="CP1547" s="454">
        <f t="shared" si="3529"/>
        <v>0</v>
      </c>
      <c r="CQ1547" s="454">
        <f t="shared" si="3530"/>
        <v>0</v>
      </c>
      <c r="CR1547" s="454">
        <f t="shared" si="3531"/>
        <v>0</v>
      </c>
      <c r="CS1547" s="454">
        <f t="shared" si="3532"/>
        <v>0</v>
      </c>
      <c r="CT1547" s="454">
        <f t="shared" si="3533"/>
        <v>0</v>
      </c>
      <c r="CU1547" s="454">
        <f t="shared" si="3534"/>
        <v>10.624005681818183</v>
      </c>
      <c r="CV1547" s="454">
        <f t="shared" si="3535"/>
        <v>18.238636363636363</v>
      </c>
      <c r="CW1547" s="454">
        <f t="shared" si="3536"/>
        <v>18.238636363636363</v>
      </c>
      <c r="CX1547" s="454">
        <f t="shared" si="3537"/>
        <v>18.238636363636363</v>
      </c>
      <c r="CY1547" s="454">
        <f t="shared" si="3538"/>
        <v>18.238636363636363</v>
      </c>
      <c r="CZ1547" s="454">
        <f t="shared" si="3539"/>
        <v>18.238636363636363</v>
      </c>
      <c r="DA1547" s="454">
        <f t="shared" si="3511"/>
        <v>18.238636363636363</v>
      </c>
      <c r="DB1547" s="454">
        <f t="shared" si="3512"/>
        <v>18.238636363636363</v>
      </c>
      <c r="DC1547" s="1666">
        <f t="shared" si="3513"/>
        <v>18.238636363636363</v>
      </c>
      <c r="DD1547" s="331"/>
      <c r="DE1547" s="331"/>
      <c r="DF1547" s="502"/>
      <c r="DG1547" s="503"/>
      <c r="DH1547" s="2915"/>
      <c r="DI1547" s="3213"/>
      <c r="DJ1547" s="502"/>
      <c r="DK1547" s="503"/>
      <c r="DL1547" s="502"/>
      <c r="DM1547" s="502"/>
      <c r="DN1547" s="502"/>
      <c r="DO1547" s="502"/>
      <c r="DP1547" s="503"/>
      <c r="DQ1547" s="503"/>
      <c r="DR1547" s="296"/>
      <c r="DS1547" s="296"/>
      <c r="DT1547" s="296"/>
    </row>
    <row r="1548" spans="1:130" ht="12" customHeight="1" x14ac:dyDescent="0.25">
      <c r="A1548" s="272" t="s">
        <v>637</v>
      </c>
      <c r="B1548" s="281"/>
      <c r="C1548" s="446">
        <f t="shared" ref="C1548:AH1548" si="3554">C1169</f>
        <v>0</v>
      </c>
      <c r="D1548" s="446">
        <f t="shared" si="3554"/>
        <v>0</v>
      </c>
      <c r="E1548" s="446">
        <f t="shared" si="3554"/>
        <v>0</v>
      </c>
      <c r="F1548" s="446">
        <f t="shared" si="3554"/>
        <v>0</v>
      </c>
      <c r="G1548" s="447">
        <f t="shared" si="3554"/>
        <v>0</v>
      </c>
      <c r="H1548" s="446">
        <f t="shared" si="3554"/>
        <v>0</v>
      </c>
      <c r="I1548" s="446">
        <f t="shared" si="3554"/>
        <v>0</v>
      </c>
      <c r="J1548" s="446">
        <f t="shared" si="3554"/>
        <v>0</v>
      </c>
      <c r="K1548" s="446">
        <f t="shared" si="3554"/>
        <v>0</v>
      </c>
      <c r="L1548" s="447">
        <f t="shared" si="3554"/>
        <v>0</v>
      </c>
      <c r="M1548" s="446">
        <f t="shared" si="3554"/>
        <v>0</v>
      </c>
      <c r="N1548" s="446">
        <f t="shared" si="3554"/>
        <v>0</v>
      </c>
      <c r="O1548" s="446">
        <f t="shared" si="3554"/>
        <v>0</v>
      </c>
      <c r="P1548" s="446">
        <f t="shared" si="3554"/>
        <v>0</v>
      </c>
      <c r="Q1548" s="447">
        <f t="shared" si="3554"/>
        <v>0</v>
      </c>
      <c r="R1548" s="446">
        <f t="shared" si="3554"/>
        <v>0</v>
      </c>
      <c r="S1548" s="446">
        <f t="shared" si="3554"/>
        <v>0</v>
      </c>
      <c r="T1548" s="446">
        <f t="shared" si="3554"/>
        <v>0</v>
      </c>
      <c r="U1548" s="446">
        <f t="shared" si="3554"/>
        <v>0</v>
      </c>
      <c r="V1548" s="447">
        <f t="shared" si="3554"/>
        <v>0</v>
      </c>
      <c r="W1548" s="446">
        <f t="shared" si="3554"/>
        <v>0</v>
      </c>
      <c r="X1548" s="446">
        <f t="shared" si="3554"/>
        <v>0</v>
      </c>
      <c r="Y1548" s="446">
        <f t="shared" si="3554"/>
        <v>0</v>
      </c>
      <c r="Z1548" s="446">
        <f t="shared" si="3554"/>
        <v>0</v>
      </c>
      <c r="AA1548" s="447">
        <f t="shared" si="3554"/>
        <v>0</v>
      </c>
      <c r="AB1548" s="446">
        <f t="shared" si="3554"/>
        <v>0</v>
      </c>
      <c r="AC1548" s="446">
        <f t="shared" si="3554"/>
        <v>0</v>
      </c>
      <c r="AD1548" s="446">
        <f t="shared" si="3554"/>
        <v>0</v>
      </c>
      <c r="AE1548" s="446">
        <f t="shared" si="3554"/>
        <v>0</v>
      </c>
      <c r="AF1548" s="447">
        <f t="shared" si="3554"/>
        <v>0</v>
      </c>
      <c r="AG1548" s="454">
        <f t="shared" si="3554"/>
        <v>0</v>
      </c>
      <c r="AH1548" s="446">
        <f t="shared" si="3554"/>
        <v>0</v>
      </c>
      <c r="AI1548" s="446">
        <f t="shared" ref="AI1548:AY1548" si="3555">AI1169</f>
        <v>0</v>
      </c>
      <c r="AJ1548" s="446">
        <f t="shared" si="3555"/>
        <v>0</v>
      </c>
      <c r="AK1548" s="447">
        <f t="shared" si="3555"/>
        <v>0</v>
      </c>
      <c r="AL1548" s="446">
        <f t="shared" si="3555"/>
        <v>0</v>
      </c>
      <c r="AM1548" s="446">
        <f t="shared" si="3555"/>
        <v>0</v>
      </c>
      <c r="AN1548" s="446">
        <f t="shared" si="3555"/>
        <v>0</v>
      </c>
      <c r="AO1548" s="446">
        <f t="shared" si="3555"/>
        <v>0</v>
      </c>
      <c r="AP1548" s="582">
        <f t="shared" si="3555"/>
        <v>0</v>
      </c>
      <c r="AQ1548" s="582">
        <f t="shared" si="3555"/>
        <v>2.791666666666667</v>
      </c>
      <c r="AR1548" s="446">
        <f t="shared" si="3555"/>
        <v>5.5833333333333339</v>
      </c>
      <c r="AS1548" s="446">
        <f t="shared" si="3555"/>
        <v>5.5833333333333339</v>
      </c>
      <c r="AT1548" s="446">
        <f t="shared" si="3555"/>
        <v>5.5833333333333339</v>
      </c>
      <c r="AU1548" s="447">
        <f t="shared" si="3555"/>
        <v>19.541666666666668</v>
      </c>
      <c r="AV1548" s="582">
        <f t="shared" si="3555"/>
        <v>5.5833333333333339</v>
      </c>
      <c r="AW1548" s="446">
        <f t="shared" si="3555"/>
        <v>5.5833333333333339</v>
      </c>
      <c r="AX1548" s="446">
        <f t="shared" si="3555"/>
        <v>5.5833333333333339</v>
      </c>
      <c r="AY1548" s="856">
        <f t="shared" si="3555"/>
        <v>5.5833333333333339</v>
      </c>
      <c r="AZ1548" s="447">
        <f t="shared" si="3490"/>
        <v>22.333333333333336</v>
      </c>
      <c r="BA1548" s="582">
        <f t="shared" ref="BA1548:CF1548" si="3556">BA1169</f>
        <v>5.5833333333333339</v>
      </c>
      <c r="BB1548" s="446">
        <f t="shared" si="3556"/>
        <v>5.5833333333333339</v>
      </c>
      <c r="BC1548" s="446">
        <f t="shared" si="3556"/>
        <v>5.5833333333333339</v>
      </c>
      <c r="BD1548" s="856">
        <f t="shared" si="3556"/>
        <v>5.5833333333333339</v>
      </c>
      <c r="BE1548" s="447">
        <f t="shared" si="3556"/>
        <v>22.333333333333336</v>
      </c>
      <c r="BF1548" s="446">
        <f t="shared" si="3556"/>
        <v>5.5833333333333339</v>
      </c>
      <c r="BG1548" s="446">
        <f t="shared" si="3556"/>
        <v>5.5833333333333339</v>
      </c>
      <c r="BH1548" s="446">
        <f t="shared" si="3556"/>
        <v>5.5833333333333339</v>
      </c>
      <c r="BI1548" s="856">
        <f t="shared" si="3556"/>
        <v>5.5833333333333339</v>
      </c>
      <c r="BJ1548" s="447">
        <f t="shared" si="3556"/>
        <v>22.333333333333336</v>
      </c>
      <c r="BK1548" s="446">
        <f t="shared" si="3556"/>
        <v>5.5833333333333339</v>
      </c>
      <c r="BL1548" s="446">
        <f t="shared" si="3556"/>
        <v>5.5833333333333339</v>
      </c>
      <c r="BM1548" s="446">
        <f t="shared" si="3556"/>
        <v>5.5833333333333339</v>
      </c>
      <c r="BN1548" s="856">
        <f t="shared" si="3556"/>
        <v>5.5833333333333339</v>
      </c>
      <c r="BO1548" s="447">
        <f t="shared" si="3556"/>
        <v>22.333333333333336</v>
      </c>
      <c r="BP1548" s="446">
        <f t="shared" si="3556"/>
        <v>5.5833333333333339</v>
      </c>
      <c r="BQ1548" s="446">
        <f t="shared" si="3556"/>
        <v>5.5833333333333339</v>
      </c>
      <c r="BR1548" s="446">
        <f t="shared" si="3556"/>
        <v>5.5833333333333339</v>
      </c>
      <c r="BS1548" s="446">
        <f t="shared" si="3556"/>
        <v>5.5833333333333339</v>
      </c>
      <c r="BT1548" s="3068">
        <f t="shared" si="3556"/>
        <v>22.333333333333336</v>
      </c>
      <c r="BU1548" s="3067">
        <f t="shared" si="3556"/>
        <v>5.5833333333333339</v>
      </c>
      <c r="BV1548" s="3067">
        <f t="shared" si="3556"/>
        <v>5.5833333333333339</v>
      </c>
      <c r="BW1548" s="3067">
        <f t="shared" si="3556"/>
        <v>5.5833333333333339</v>
      </c>
      <c r="BX1548" s="3067">
        <f t="shared" si="3556"/>
        <v>5.5833333333333339</v>
      </c>
      <c r="BY1548" s="3068">
        <f t="shared" si="3556"/>
        <v>22.333333333333336</v>
      </c>
      <c r="BZ1548" s="447">
        <f t="shared" si="3556"/>
        <v>22.333333333333336</v>
      </c>
      <c r="CA1548" s="447">
        <f t="shared" si="3556"/>
        <v>22.333333333333336</v>
      </c>
      <c r="CB1548" s="447">
        <f t="shared" si="3556"/>
        <v>22.333333333333336</v>
      </c>
      <c r="CC1548" s="447">
        <f t="shared" si="3556"/>
        <v>22.333333333333336</v>
      </c>
      <c r="CD1548" s="447">
        <f t="shared" si="3556"/>
        <v>22.333333333333336</v>
      </c>
      <c r="CE1548" s="447">
        <f t="shared" si="3556"/>
        <v>22.333333333333336</v>
      </c>
      <c r="CF1548" s="447">
        <f t="shared" si="3556"/>
        <v>22.333333333333336</v>
      </c>
      <c r="CG1548" s="331"/>
      <c r="CH1548" s="331"/>
      <c r="CI1548" s="331"/>
      <c r="CJ1548" s="331"/>
      <c r="CK1548" s="331"/>
      <c r="CL1548" s="995" t="str">
        <f t="shared" si="3525"/>
        <v>Hollywood Kansas JV (KS)</v>
      </c>
      <c r="CM1548" s="454">
        <f t="shared" si="3526"/>
        <v>0</v>
      </c>
      <c r="CN1548" s="454">
        <f t="shared" si="3527"/>
        <v>0</v>
      </c>
      <c r="CO1548" s="454">
        <f t="shared" si="3528"/>
        <v>0</v>
      </c>
      <c r="CP1548" s="454">
        <f t="shared" si="3529"/>
        <v>0</v>
      </c>
      <c r="CQ1548" s="454">
        <f t="shared" si="3530"/>
        <v>0</v>
      </c>
      <c r="CR1548" s="454">
        <f t="shared" si="3531"/>
        <v>0</v>
      </c>
      <c r="CS1548" s="454">
        <f t="shared" si="3532"/>
        <v>0</v>
      </c>
      <c r="CT1548" s="454">
        <f t="shared" si="3533"/>
        <v>0</v>
      </c>
      <c r="CU1548" s="454">
        <f t="shared" si="3534"/>
        <v>19.541666666666668</v>
      </c>
      <c r="CV1548" s="454">
        <f t="shared" si="3535"/>
        <v>22.333333333333336</v>
      </c>
      <c r="CW1548" s="454">
        <f t="shared" si="3536"/>
        <v>22.333333333333336</v>
      </c>
      <c r="CX1548" s="454">
        <f t="shared" si="3537"/>
        <v>22.333333333333336</v>
      </c>
      <c r="CY1548" s="454">
        <f t="shared" si="3538"/>
        <v>22.333333333333336</v>
      </c>
      <c r="CZ1548" s="454">
        <f t="shared" si="3539"/>
        <v>22.333333333333336</v>
      </c>
      <c r="DA1548" s="454">
        <f t="shared" si="3511"/>
        <v>22.333333333333336</v>
      </c>
      <c r="DB1548" s="454">
        <f t="shared" si="3512"/>
        <v>22.333333333333336</v>
      </c>
      <c r="DC1548" s="1666">
        <f t="shared" si="3513"/>
        <v>22.333333333333336</v>
      </c>
      <c r="DD1548" s="331"/>
      <c r="DE1548" s="331"/>
      <c r="DF1548" s="502"/>
      <c r="DG1548" s="503"/>
      <c r="DH1548" s="2915"/>
      <c r="DI1548" s="3213"/>
      <c r="DJ1548" s="502"/>
      <c r="DK1548" s="503"/>
      <c r="DL1548" s="502"/>
      <c r="DM1548" s="502"/>
      <c r="DN1548" s="502"/>
      <c r="DO1548" s="502"/>
      <c r="DP1548" s="503"/>
      <c r="DQ1548" s="503"/>
      <c r="DR1548" s="296"/>
      <c r="DS1548" s="296"/>
      <c r="DT1548" s="296"/>
    </row>
    <row r="1549" spans="1:130" ht="12" customHeight="1" x14ac:dyDescent="0.25">
      <c r="A1549" s="272" t="s">
        <v>2144</v>
      </c>
      <c r="B1549" s="281"/>
      <c r="C1549" s="446"/>
      <c r="D1549" s="446"/>
      <c r="E1549" s="446"/>
      <c r="F1549" s="446"/>
      <c r="G1549" s="447"/>
      <c r="H1549" s="446"/>
      <c r="I1549" s="446"/>
      <c r="J1549" s="446"/>
      <c r="K1549" s="446"/>
      <c r="L1549" s="447"/>
      <c r="M1549" s="446"/>
      <c r="N1549" s="446"/>
      <c r="O1549" s="446"/>
      <c r="P1549" s="446"/>
      <c r="Q1549" s="447"/>
      <c r="R1549" s="446"/>
      <c r="S1549" s="446"/>
      <c r="T1549" s="446"/>
      <c r="U1549" s="446"/>
      <c r="V1549" s="447"/>
      <c r="W1549" s="446"/>
      <c r="X1549" s="446"/>
      <c r="Y1549" s="446"/>
      <c r="Z1549" s="446"/>
      <c r="AA1549" s="447"/>
      <c r="AB1549" s="446"/>
      <c r="AC1549" s="446"/>
      <c r="AD1549" s="446"/>
      <c r="AE1549" s="446"/>
      <c r="AF1549" s="447"/>
      <c r="AG1549" s="454"/>
      <c r="AH1549" s="446"/>
      <c r="AI1549" s="446"/>
      <c r="AJ1549" s="446"/>
      <c r="AK1549" s="447"/>
      <c r="AL1549" s="446"/>
      <c r="AM1549" s="446"/>
      <c r="AN1549" s="446"/>
      <c r="AO1549" s="446"/>
      <c r="AP1549" s="582"/>
      <c r="AQ1549" s="582"/>
      <c r="AR1549" s="446"/>
      <c r="AS1549" s="446"/>
      <c r="AT1549" s="446">
        <f>+AT995*0.66</f>
        <v>4.125</v>
      </c>
      <c r="AU1549" s="447">
        <f>+SUM(AQ1549:AT1549)</f>
        <v>4.125</v>
      </c>
      <c r="AV1549" s="582">
        <f>+AV995</f>
        <v>6.25</v>
      </c>
      <c r="AW1549" s="446">
        <f>+AW995</f>
        <v>6.25</v>
      </c>
      <c r="AX1549" s="446">
        <f>+AX995</f>
        <v>6.25</v>
      </c>
      <c r="AY1549" s="856">
        <f>+AY995</f>
        <v>6.25</v>
      </c>
      <c r="AZ1549" s="447">
        <f t="shared" si="3490"/>
        <v>25</v>
      </c>
      <c r="BA1549" s="582">
        <f>+BA995</f>
        <v>6.25</v>
      </c>
      <c r="BB1549" s="446">
        <f>+BB995</f>
        <v>6.25</v>
      </c>
      <c r="BC1549" s="446">
        <f>+BC995</f>
        <v>6.25</v>
      </c>
      <c r="BD1549" s="856">
        <f>+BD995</f>
        <v>6.25</v>
      </c>
      <c r="BE1549" s="447">
        <f>+SUM(BA1549:BD1549)</f>
        <v>25</v>
      </c>
      <c r="BF1549" s="446">
        <f>+BF995</f>
        <v>6.25</v>
      </c>
      <c r="BG1549" s="446">
        <f>+BG995</f>
        <v>6.25</v>
      </c>
      <c r="BH1549" s="446">
        <f>+BH995</f>
        <v>6.25</v>
      </c>
      <c r="BI1549" s="856">
        <f>+BI995</f>
        <v>6.25</v>
      </c>
      <c r="BJ1549" s="447">
        <f>+SUM(BF1549:BI1549)</f>
        <v>25</v>
      </c>
      <c r="BK1549" s="446">
        <f>+BK995</f>
        <v>6.25</v>
      </c>
      <c r="BL1549" s="446">
        <f>+BL995</f>
        <v>6.25</v>
      </c>
      <c r="BM1549" s="446">
        <f>+BM995</f>
        <v>6.25</v>
      </c>
      <c r="BN1549" s="856">
        <f>+BN995</f>
        <v>6.25</v>
      </c>
      <c r="BO1549" s="447">
        <f>+SUM(BK1549:BN1549)</f>
        <v>25</v>
      </c>
      <c r="BP1549" s="446">
        <f>+BP995</f>
        <v>6.25</v>
      </c>
      <c r="BQ1549" s="446">
        <f>+BQ995</f>
        <v>6.25</v>
      </c>
      <c r="BR1549" s="446">
        <f>+BR995</f>
        <v>6.25</v>
      </c>
      <c r="BS1549" s="446">
        <f>+BS995</f>
        <v>6.25</v>
      </c>
      <c r="BT1549" s="3068">
        <f>+SUM(BP1549:BS1549)</f>
        <v>25</v>
      </c>
      <c r="BU1549" s="3067">
        <f>+BU995</f>
        <v>6.25</v>
      </c>
      <c r="BV1549" s="3067">
        <f>+BV995</f>
        <v>6.25</v>
      </c>
      <c r="BW1549" s="3067">
        <f>+BW995</f>
        <v>6.25</v>
      </c>
      <c r="BX1549" s="3067">
        <f>+BX995</f>
        <v>6.25</v>
      </c>
      <c r="BY1549" s="3068">
        <f>+SUM(BU1549:BX1549)</f>
        <v>25</v>
      </c>
      <c r="BZ1549" s="447">
        <f t="shared" ref="BZ1549:CF1549" si="3557">+BZ995</f>
        <v>25</v>
      </c>
      <c r="CA1549" s="447">
        <f t="shared" si="3557"/>
        <v>25</v>
      </c>
      <c r="CB1549" s="447">
        <f t="shared" si="3557"/>
        <v>25</v>
      </c>
      <c r="CC1549" s="447">
        <f t="shared" si="3557"/>
        <v>25</v>
      </c>
      <c r="CD1549" s="447">
        <f t="shared" si="3557"/>
        <v>25</v>
      </c>
      <c r="CE1549" s="447">
        <f t="shared" si="3557"/>
        <v>25</v>
      </c>
      <c r="CF1549" s="447">
        <f t="shared" si="3557"/>
        <v>25</v>
      </c>
      <c r="CG1549" s="331"/>
      <c r="CH1549" s="331"/>
      <c r="CI1549" s="331"/>
      <c r="CJ1549" s="331"/>
      <c r="CK1549" s="331"/>
      <c r="CL1549" s="995" t="str">
        <f t="shared" si="3525"/>
        <v>Hollywood Maryland Heights</v>
      </c>
      <c r="CM1549" s="454">
        <f t="shared" si="3526"/>
        <v>0</v>
      </c>
      <c r="CN1549" s="454">
        <f t="shared" si="3527"/>
        <v>0</v>
      </c>
      <c r="CO1549" s="454">
        <f t="shared" si="3528"/>
        <v>0</v>
      </c>
      <c r="CP1549" s="454">
        <f t="shared" si="3529"/>
        <v>0</v>
      </c>
      <c r="CQ1549" s="454">
        <f t="shared" si="3530"/>
        <v>0</v>
      </c>
      <c r="CR1549" s="454">
        <f t="shared" si="3531"/>
        <v>0</v>
      </c>
      <c r="CS1549" s="454">
        <f t="shared" si="3532"/>
        <v>0</v>
      </c>
      <c r="CT1549" s="454">
        <f t="shared" si="3533"/>
        <v>0</v>
      </c>
      <c r="CU1549" s="454">
        <f t="shared" si="3534"/>
        <v>4.125</v>
      </c>
      <c r="CV1549" s="454">
        <f t="shared" si="3535"/>
        <v>25</v>
      </c>
      <c r="CW1549" s="454">
        <f t="shared" si="3536"/>
        <v>25</v>
      </c>
      <c r="CX1549" s="454">
        <f t="shared" si="3537"/>
        <v>25</v>
      </c>
      <c r="CY1549" s="454">
        <f t="shared" si="3538"/>
        <v>25</v>
      </c>
      <c r="CZ1549" s="454">
        <f t="shared" si="3539"/>
        <v>25</v>
      </c>
      <c r="DA1549" s="454">
        <f t="shared" si="3511"/>
        <v>25</v>
      </c>
      <c r="DB1549" s="454">
        <f t="shared" si="3512"/>
        <v>25</v>
      </c>
      <c r="DC1549" s="1666">
        <f t="shared" si="3513"/>
        <v>25</v>
      </c>
      <c r="DD1549" s="331"/>
      <c r="DE1549" s="331"/>
      <c r="DF1549" s="502"/>
      <c r="DG1549" s="503"/>
      <c r="DH1549" s="2915"/>
      <c r="DI1549" s="3213"/>
      <c r="DJ1549" s="502"/>
      <c r="DK1549" s="503"/>
      <c r="DL1549" s="502"/>
      <c r="DM1549" s="502"/>
      <c r="DN1549" s="502"/>
      <c r="DO1549" s="502"/>
      <c r="DP1549" s="503"/>
      <c r="DQ1549" s="503"/>
      <c r="DR1549" s="296"/>
      <c r="DS1549" s="296"/>
      <c r="DT1549" s="296"/>
    </row>
    <row r="1550" spans="1:130" ht="12" customHeight="1" x14ac:dyDescent="0.25">
      <c r="A1550" s="272" t="s">
        <v>428</v>
      </c>
      <c r="B1550" s="281"/>
      <c r="C1550" s="446"/>
      <c r="D1550" s="446"/>
      <c r="E1550" s="446"/>
      <c r="F1550" s="446"/>
      <c r="G1550" s="447"/>
      <c r="H1550" s="446"/>
      <c r="I1550" s="446"/>
      <c r="J1550" s="446"/>
      <c r="K1550" s="446"/>
      <c r="L1550" s="447"/>
      <c r="M1550" s="446"/>
      <c r="N1550" s="446"/>
      <c r="O1550" s="446"/>
      <c r="P1550" s="446"/>
      <c r="Q1550" s="447"/>
      <c r="R1550" s="446"/>
      <c r="S1550" s="446"/>
      <c r="T1550" s="446"/>
      <c r="U1550" s="446"/>
      <c r="V1550" s="447"/>
      <c r="W1550" s="446"/>
      <c r="X1550" s="446"/>
      <c r="Y1550" s="446"/>
      <c r="Z1550" s="446"/>
      <c r="AA1550" s="447"/>
      <c r="AB1550" s="446"/>
      <c r="AC1550" s="446"/>
      <c r="AD1550" s="446"/>
      <c r="AE1550" s="446"/>
      <c r="AF1550" s="447"/>
      <c r="AG1550" s="454"/>
      <c r="AH1550" s="446"/>
      <c r="AI1550" s="446"/>
      <c r="AJ1550" s="446"/>
      <c r="AK1550" s="447"/>
      <c r="AL1550" s="446"/>
      <c r="AM1550" s="446"/>
      <c r="AN1550" s="446"/>
      <c r="AO1550" s="446"/>
      <c r="AP1550" s="582"/>
      <c r="AQ1550" s="582"/>
      <c r="AR1550" s="446"/>
      <c r="AS1550" s="446"/>
      <c r="AT1550" s="446"/>
      <c r="AU1550" s="447"/>
      <c r="AV1550" s="582"/>
      <c r="AW1550" s="446"/>
      <c r="AX1550" s="446"/>
      <c r="AY1550" s="856"/>
      <c r="AZ1550" s="447"/>
      <c r="BA1550" s="582">
        <f>+BA517</f>
        <v>0</v>
      </c>
      <c r="BB1550" s="446">
        <f>+BB517</f>
        <v>0</v>
      </c>
      <c r="BC1550" s="446">
        <f>+BC517</f>
        <v>0.8</v>
      </c>
      <c r="BD1550" s="856">
        <f>+BD517</f>
        <v>2.5</v>
      </c>
      <c r="BE1550" s="447">
        <f>+SUM(BA1550:BD1550)</f>
        <v>3.3</v>
      </c>
      <c r="BF1550" s="446">
        <f>+BF517</f>
        <v>2.5</v>
      </c>
      <c r="BG1550" s="446">
        <f>+BG517</f>
        <v>2.5</v>
      </c>
      <c r="BH1550" s="446">
        <f>+BH517</f>
        <v>2.5</v>
      </c>
      <c r="BI1550" s="856">
        <f>+BI517</f>
        <v>2.5</v>
      </c>
      <c r="BJ1550" s="447">
        <f>+SUM(BF1550:BI1550)</f>
        <v>10</v>
      </c>
      <c r="BK1550" s="446">
        <f>+BK517</f>
        <v>2.5</v>
      </c>
      <c r="BL1550" s="446">
        <f>+BL517</f>
        <v>2.5</v>
      </c>
      <c r="BM1550" s="446">
        <f>+BM517</f>
        <v>2.5</v>
      </c>
      <c r="BN1550" s="856">
        <f>+BN517</f>
        <v>2.5</v>
      </c>
      <c r="BO1550" s="447">
        <f>+SUM(BK1550:BN1550)</f>
        <v>10</v>
      </c>
      <c r="BP1550" s="446">
        <f>+BP517</f>
        <v>2.5</v>
      </c>
      <c r="BQ1550" s="446">
        <f>+BQ517</f>
        <v>2.5</v>
      </c>
      <c r="BR1550" s="446">
        <f>+BR517</f>
        <v>2.5</v>
      </c>
      <c r="BS1550" s="446">
        <f>+BS517</f>
        <v>2.5</v>
      </c>
      <c r="BT1550" s="3068">
        <f>+SUM(BP1550:BS1550)</f>
        <v>10</v>
      </c>
      <c r="BU1550" s="3067">
        <f>+BU517</f>
        <v>2.5</v>
      </c>
      <c r="BV1550" s="3067">
        <f>+BV517</f>
        <v>2.5</v>
      </c>
      <c r="BW1550" s="3067">
        <f>+BW517</f>
        <v>2.5</v>
      </c>
      <c r="BX1550" s="3067">
        <f>+BX517</f>
        <v>2.5</v>
      </c>
      <c r="BY1550" s="3068">
        <f>+SUM(BU1550:BX1550)</f>
        <v>10</v>
      </c>
      <c r="BZ1550" s="447">
        <f t="shared" ref="BZ1550:CF1550" si="3558">+BZ517</f>
        <v>10</v>
      </c>
      <c r="CA1550" s="447">
        <f t="shared" si="3558"/>
        <v>10</v>
      </c>
      <c r="CB1550" s="447">
        <f t="shared" si="3558"/>
        <v>10</v>
      </c>
      <c r="CC1550" s="447">
        <f t="shared" si="3558"/>
        <v>10</v>
      </c>
      <c r="CD1550" s="447">
        <f t="shared" si="3558"/>
        <v>10</v>
      </c>
      <c r="CE1550" s="447">
        <f t="shared" si="3558"/>
        <v>10</v>
      </c>
      <c r="CF1550" s="447">
        <f t="shared" si="3558"/>
        <v>10</v>
      </c>
      <c r="CG1550" s="331"/>
      <c r="CH1550" s="331"/>
      <c r="CI1550" s="331"/>
      <c r="CJ1550" s="331"/>
      <c r="CK1550" s="331"/>
      <c r="CL1550" s="995" t="str">
        <f t="shared" si="3525"/>
        <v>OH racinos</v>
      </c>
      <c r="CM1550" s="454"/>
      <c r="CN1550" s="454"/>
      <c r="CO1550" s="454"/>
      <c r="CP1550" s="454"/>
      <c r="CQ1550" s="454"/>
      <c r="CR1550" s="454"/>
      <c r="CS1550" s="454"/>
      <c r="CT1550" s="454"/>
      <c r="CU1550" s="454"/>
      <c r="CV1550" s="454"/>
      <c r="CW1550" s="454"/>
      <c r="CX1550" s="454"/>
      <c r="CY1550" s="454"/>
      <c r="CZ1550" s="454"/>
      <c r="DA1550" s="454"/>
      <c r="DB1550" s="454"/>
      <c r="DC1550" s="1666"/>
      <c r="DD1550" s="331"/>
      <c r="DE1550" s="331"/>
      <c r="DF1550" s="502"/>
      <c r="DG1550" s="503"/>
      <c r="DH1550" s="2915"/>
      <c r="DI1550" s="3213"/>
      <c r="DJ1550" s="502"/>
      <c r="DK1550" s="503"/>
      <c r="DL1550" s="502"/>
      <c r="DM1550" s="502"/>
      <c r="DN1550" s="502"/>
      <c r="DO1550" s="502"/>
      <c r="DP1550" s="503"/>
      <c r="DQ1550" s="503"/>
      <c r="DR1550" s="296"/>
      <c r="DS1550" s="296"/>
      <c r="DT1550" s="296"/>
    </row>
    <row r="1551" spans="1:130" s="1049" customFormat="1" ht="12" customHeight="1" x14ac:dyDescent="0.25">
      <c r="A1551" s="2576" t="s">
        <v>204</v>
      </c>
      <c r="B1551" s="428"/>
      <c r="C1551" s="454"/>
      <c r="D1551" s="454"/>
      <c r="E1551" s="454"/>
      <c r="F1551" s="454"/>
      <c r="G1551" s="455"/>
      <c r="H1551" s="454"/>
      <c r="I1551" s="454"/>
      <c r="J1551" s="454"/>
      <c r="K1551" s="454"/>
      <c r="L1551" s="455"/>
      <c r="M1551" s="454"/>
      <c r="N1551" s="454"/>
      <c r="O1551" s="454"/>
      <c r="P1551" s="454"/>
      <c r="Q1551" s="455"/>
      <c r="R1551" s="454"/>
      <c r="S1551" s="454"/>
      <c r="T1551" s="454"/>
      <c r="U1551" s="454"/>
      <c r="V1551" s="455"/>
      <c r="W1551" s="454"/>
      <c r="X1551" s="454"/>
      <c r="Y1551" s="454"/>
      <c r="Z1551" s="454"/>
      <c r="AA1551" s="455"/>
      <c r="AB1551" s="454"/>
      <c r="AC1551" s="454"/>
      <c r="AD1551" s="454"/>
      <c r="AE1551" s="454"/>
      <c r="AF1551" s="455"/>
      <c r="AG1551" s="454"/>
      <c r="AH1551" s="454"/>
      <c r="AI1551" s="454"/>
      <c r="AJ1551" s="454"/>
      <c r="AK1551" s="455"/>
      <c r="AL1551" s="454"/>
      <c r="AM1551" s="454"/>
      <c r="AN1551" s="454"/>
      <c r="AO1551" s="454"/>
      <c r="AP1551" s="456"/>
      <c r="AQ1551" s="456"/>
      <c r="AR1551" s="454"/>
      <c r="AS1551" s="454"/>
      <c r="AT1551" s="454"/>
      <c r="AU1551" s="455"/>
      <c r="AV1551" s="456"/>
      <c r="AW1551" s="454"/>
      <c r="AX1551" s="454"/>
      <c r="AY1551" s="1666"/>
      <c r="AZ1551" s="455"/>
      <c r="BA1551" s="456"/>
      <c r="BB1551" s="454"/>
      <c r="BC1551" s="454"/>
      <c r="BD1551" s="1666"/>
      <c r="BE1551" s="455"/>
      <c r="BF1551" s="454">
        <f>+BF576</f>
        <v>0</v>
      </c>
      <c r="BG1551" s="454">
        <f>+BG576</f>
        <v>0</v>
      </c>
      <c r="BH1551" s="454">
        <f>+BH576</f>
        <v>2.0833333333333335</v>
      </c>
      <c r="BI1551" s="1666">
        <f>+BI576</f>
        <v>2.0833333333333335</v>
      </c>
      <c r="BJ1551" s="447">
        <f>+SUM(BF1551:BI1551)</f>
        <v>4.166666666666667</v>
      </c>
      <c r="BK1551" s="454">
        <f>+BK576</f>
        <v>2.0833333333333335</v>
      </c>
      <c r="BL1551" s="454">
        <f>+BL576</f>
        <v>2.0833333333333335</v>
      </c>
      <c r="BM1551" s="454">
        <f>+BM576</f>
        <v>2.0833333333333335</v>
      </c>
      <c r="BN1551" s="1666">
        <f>+BN576</f>
        <v>2.0833333333333335</v>
      </c>
      <c r="BO1551" s="447">
        <f>+SUM(BK1551:BN1551)</f>
        <v>8.3333333333333339</v>
      </c>
      <c r="BP1551" s="454">
        <f>+BP576</f>
        <v>2.0833333333333335</v>
      </c>
      <c r="BQ1551" s="454">
        <f>+BQ576</f>
        <v>2.0833333333333335</v>
      </c>
      <c r="BR1551" s="454">
        <f>+BR576</f>
        <v>2.0833333333333335</v>
      </c>
      <c r="BS1551" s="454">
        <f>+BS576</f>
        <v>2.0833333333333335</v>
      </c>
      <c r="BT1551" s="3066">
        <f>+SUM(BP1551:BS1551)</f>
        <v>8.3333333333333339</v>
      </c>
      <c r="BU1551" s="2915">
        <f>+BU576</f>
        <v>2.0833333333333335</v>
      </c>
      <c r="BV1551" s="2915">
        <f>+BV576</f>
        <v>2.0833333333333335</v>
      </c>
      <c r="BW1551" s="2915">
        <f>+BW576</f>
        <v>2.0833333333333335</v>
      </c>
      <c r="BX1551" s="2915">
        <f>+BX576</f>
        <v>2.0833333333333335</v>
      </c>
      <c r="BY1551" s="3066">
        <f>+SUM(BU1551:BX1551)</f>
        <v>8.3333333333333339</v>
      </c>
      <c r="BZ1551" s="455">
        <f>+BZ576</f>
        <v>8.3333333333333339</v>
      </c>
      <c r="CA1551" s="455">
        <f>+CA576</f>
        <v>8.3333333333333339</v>
      </c>
      <c r="CB1551" s="455"/>
      <c r="CC1551" s="455"/>
      <c r="CD1551" s="455"/>
      <c r="CE1551" s="455"/>
      <c r="CF1551" s="455"/>
      <c r="CG1551" s="331"/>
      <c r="CH1551" s="331"/>
      <c r="CI1551" s="331"/>
      <c r="CJ1551" s="331"/>
      <c r="CK1551" s="331"/>
      <c r="CL1551" s="995" t="str">
        <f t="shared" si="3525"/>
        <v>Plainridge Park Casino (MA)</v>
      </c>
      <c r="CM1551" s="454"/>
      <c r="CN1551" s="454"/>
      <c r="CO1551" s="454"/>
      <c r="CP1551" s="454"/>
      <c r="CQ1551" s="454"/>
      <c r="CR1551" s="454"/>
      <c r="CS1551" s="454"/>
      <c r="CT1551" s="454"/>
      <c r="CU1551" s="454"/>
      <c r="CV1551" s="454"/>
      <c r="CW1551" s="454"/>
      <c r="CX1551" s="454"/>
      <c r="CY1551" s="454"/>
      <c r="CZ1551" s="454"/>
      <c r="DA1551" s="454"/>
      <c r="DB1551" s="454"/>
      <c r="DC1551" s="1666"/>
      <c r="DD1551" s="331"/>
      <c r="DE1551" s="331"/>
      <c r="DF1551" s="502"/>
      <c r="DG1551" s="503"/>
      <c r="DH1551" s="2915"/>
      <c r="DI1551" s="3213"/>
      <c r="DJ1551" s="502"/>
      <c r="DK1551" s="503"/>
      <c r="DL1551" s="502"/>
      <c r="DM1551" s="502"/>
      <c r="DN1551" s="502"/>
      <c r="DO1551" s="502"/>
      <c r="DP1551" s="503"/>
      <c r="DQ1551" s="503"/>
      <c r="DR1551" s="296"/>
      <c r="DS1551" s="296"/>
      <c r="DT1551" s="296"/>
      <c r="DU1551"/>
      <c r="DV1551"/>
      <c r="DW1551"/>
      <c r="DX1551"/>
      <c r="DY1551"/>
      <c r="DZ1551"/>
    </row>
    <row r="1552" spans="1:130" ht="12" customHeight="1" x14ac:dyDescent="0.25">
      <c r="A1552" s="671" t="s">
        <v>2009</v>
      </c>
      <c r="B1552" s="281"/>
      <c r="C1552" s="446">
        <f>C1124</f>
        <v>0</v>
      </c>
      <c r="D1552" s="446">
        <f>D1124</f>
        <v>0</v>
      </c>
      <c r="E1552" s="446">
        <f>E1124</f>
        <v>0</v>
      </c>
      <c r="F1552" s="446">
        <f>F1124</f>
        <v>0</v>
      </c>
      <c r="G1552" s="447">
        <f t="shared" si="3481"/>
        <v>0</v>
      </c>
      <c r="H1552" s="446">
        <f>H1124</f>
        <v>0</v>
      </c>
      <c r="I1552" s="446">
        <f>I1124</f>
        <v>0</v>
      </c>
      <c r="J1552" s="446">
        <f>J1124</f>
        <v>0</v>
      </c>
      <c r="K1552" s="446">
        <f>K1124</f>
        <v>0.01</v>
      </c>
      <c r="L1552" s="447">
        <f t="shared" si="3482"/>
        <v>0.01</v>
      </c>
      <c r="M1552" s="446">
        <f>M1124</f>
        <v>0</v>
      </c>
      <c r="N1552" s="446">
        <f>N1124</f>
        <v>0.113</v>
      </c>
      <c r="O1552" s="446">
        <f>O1124</f>
        <v>2.7E-2</v>
      </c>
      <c r="P1552" s="446">
        <f>P1124</f>
        <v>0.11600000000000001</v>
      </c>
      <c r="Q1552" s="447">
        <f t="shared" si="3483"/>
        <v>0.25600000000000001</v>
      </c>
      <c r="R1552" s="446">
        <f>R1124</f>
        <v>7.0999999999999994E-2</v>
      </c>
      <c r="S1552" s="446">
        <f>S1124</f>
        <v>7.9000000000000001E-2</v>
      </c>
      <c r="T1552" s="446">
        <f>T1124</f>
        <v>8.2000000000000003E-2</v>
      </c>
      <c r="U1552" s="446">
        <f>U1124</f>
        <v>8.5999999999999993E-2</v>
      </c>
      <c r="V1552" s="447">
        <f t="shared" si="3484"/>
        <v>0.31799999999999995</v>
      </c>
      <c r="W1552" s="446">
        <f>W1124</f>
        <v>0.09</v>
      </c>
      <c r="X1552" s="446">
        <f>X1124</f>
        <v>9.2999999999999999E-2</v>
      </c>
      <c r="Y1552" s="446">
        <f>Y1124</f>
        <v>9.5000000000000001E-2</v>
      </c>
      <c r="Z1552" s="446">
        <f>Z1124</f>
        <v>9.5000000000000001E-2</v>
      </c>
      <c r="AA1552" s="447">
        <f t="shared" si="3485"/>
        <v>0.373</v>
      </c>
      <c r="AB1552" s="446">
        <f>AB1124</f>
        <v>0.22900000000000001</v>
      </c>
      <c r="AC1552" s="446">
        <f>AC1124</f>
        <v>0.23300000000000001</v>
      </c>
      <c r="AD1552" s="446">
        <f>AD1124</f>
        <v>0.22900000000000001</v>
      </c>
      <c r="AE1552" s="454">
        <f>AE1124</f>
        <v>0.23400000000000001</v>
      </c>
      <c r="AF1552" s="455">
        <f t="shared" si="3486"/>
        <v>0.92500000000000004</v>
      </c>
      <c r="AG1552" s="454">
        <f>AG1124</f>
        <v>0.22600000000000001</v>
      </c>
      <c r="AH1552" s="446">
        <f>AH1124</f>
        <v>0.22900000000000001</v>
      </c>
      <c r="AI1552" s="446">
        <f>AI1124</f>
        <v>0.42500000000000004</v>
      </c>
      <c r="AJ1552" s="454">
        <f>AJ1124</f>
        <v>0.38100000000000001</v>
      </c>
      <c r="AK1552" s="455">
        <f>SUM(AG1552:AJ1552)</f>
        <v>1.2610000000000001</v>
      </c>
      <c r="AL1552" s="446">
        <f>AL1124</f>
        <v>0.31799999999999995</v>
      </c>
      <c r="AM1552" s="446">
        <f>AM1124</f>
        <v>1.262</v>
      </c>
      <c r="AN1552" s="446">
        <f>AN1124</f>
        <v>2.262</v>
      </c>
      <c r="AO1552" s="446">
        <f>AO1124</f>
        <v>2.262</v>
      </c>
      <c r="AP1552" s="456">
        <f>SUM(AL1552:AO1552)</f>
        <v>6.1040000000000001</v>
      </c>
      <c r="AQ1552" s="456">
        <f>AQ1124</f>
        <v>2.262</v>
      </c>
      <c r="AR1552" s="454">
        <f>AR1124</f>
        <v>2.262</v>
      </c>
      <c r="AS1552" s="454">
        <f>AS1124</f>
        <v>2.262</v>
      </c>
      <c r="AT1552" s="454">
        <f>AT1124</f>
        <v>2.262</v>
      </c>
      <c r="AU1552" s="455">
        <f>SUM(AQ1552:AT1552)</f>
        <v>9.048</v>
      </c>
      <c r="AV1552" s="456">
        <f>AV1124</f>
        <v>2.262</v>
      </c>
      <c r="AW1552" s="454">
        <f>AW1124</f>
        <v>2.262</v>
      </c>
      <c r="AX1552" s="454">
        <f>AX1124</f>
        <v>2.262</v>
      </c>
      <c r="AY1552" s="1666">
        <f>AY1124</f>
        <v>2.262</v>
      </c>
      <c r="AZ1552" s="455">
        <f t="shared" si="3490"/>
        <v>9.048</v>
      </c>
      <c r="BA1552" s="456">
        <f>BA1124</f>
        <v>2.262</v>
      </c>
      <c r="BB1552" s="454">
        <f>BB1124</f>
        <v>2.262</v>
      </c>
      <c r="BC1552" s="454">
        <f>BC1124</f>
        <v>2.262</v>
      </c>
      <c r="BD1552" s="1666">
        <f>BD1124</f>
        <v>2.262</v>
      </c>
      <c r="BE1552" s="455">
        <f>SUM(BA1552:BD1552)</f>
        <v>9.048</v>
      </c>
      <c r="BF1552" s="454">
        <f>BF1124</f>
        <v>2.262</v>
      </c>
      <c r="BG1552" s="454">
        <f>BG1124</f>
        <v>2.262</v>
      </c>
      <c r="BH1552" s="454">
        <f>BH1124</f>
        <v>2.262</v>
      </c>
      <c r="BI1552" s="1666">
        <f>BI1124</f>
        <v>2.262</v>
      </c>
      <c r="BJ1552" s="455">
        <f>SUM(BF1552:BI1552)</f>
        <v>9.048</v>
      </c>
      <c r="BK1552" s="454">
        <f>BK1124</f>
        <v>2.262</v>
      </c>
      <c r="BL1552" s="454">
        <f>BL1124</f>
        <v>2.262</v>
      </c>
      <c r="BM1552" s="454">
        <f>BM1124</f>
        <v>2.262</v>
      </c>
      <c r="BN1552" s="1666">
        <f>BN1124</f>
        <v>2.262</v>
      </c>
      <c r="BO1552" s="455">
        <f>SUM(BK1552:BN1552)</f>
        <v>9.048</v>
      </c>
      <c r="BP1552" s="454">
        <f>BP1124</f>
        <v>2.262</v>
      </c>
      <c r="BQ1552" s="454">
        <f>BQ1124</f>
        <v>2.262</v>
      </c>
      <c r="BR1552" s="454">
        <f>BR1124</f>
        <v>2.262</v>
      </c>
      <c r="BS1552" s="454">
        <f>BS1124</f>
        <v>2.262</v>
      </c>
      <c r="BT1552" s="3066">
        <f>SUM(BP1552:BS1552)</f>
        <v>9.048</v>
      </c>
      <c r="BU1552" s="2915">
        <f>BU1124</f>
        <v>2.262</v>
      </c>
      <c r="BV1552" s="2915">
        <f>BV1124</f>
        <v>2.262</v>
      </c>
      <c r="BW1552" s="2915">
        <f>BW1124</f>
        <v>2.262</v>
      </c>
      <c r="BX1552" s="2915">
        <f>BX1124</f>
        <v>2.262</v>
      </c>
      <c r="BY1552" s="3066">
        <f>SUM(BU1552:BX1552)</f>
        <v>9.048</v>
      </c>
      <c r="BZ1552" s="455">
        <f t="shared" ref="BZ1552:CF1552" si="3559">BZ1124</f>
        <v>9.048</v>
      </c>
      <c r="CA1552" s="455">
        <f t="shared" si="3559"/>
        <v>9.048</v>
      </c>
      <c r="CB1552" s="455">
        <f t="shared" si="3559"/>
        <v>9.048</v>
      </c>
      <c r="CC1552" s="455">
        <f t="shared" si="3559"/>
        <v>9.048</v>
      </c>
      <c r="CD1552" s="455">
        <f t="shared" si="3559"/>
        <v>9.048</v>
      </c>
      <c r="CE1552" s="455">
        <f t="shared" si="3559"/>
        <v>9.048</v>
      </c>
      <c r="CF1552" s="455">
        <f t="shared" si="3559"/>
        <v>9.048</v>
      </c>
      <c r="CG1552" s="331"/>
      <c r="CH1552" s="331"/>
      <c r="CI1552" s="331"/>
      <c r="CJ1552" s="331"/>
      <c r="CK1552" s="331"/>
      <c r="CL1552" s="2051" t="str">
        <f t="shared" si="3525"/>
        <v>Other Operations</v>
      </c>
      <c r="CM1552" s="454">
        <f>G1552</f>
        <v>0</v>
      </c>
      <c r="CN1552" s="454">
        <f>L1552</f>
        <v>0.01</v>
      </c>
      <c r="CO1552" s="454">
        <f>Q1552</f>
        <v>0.25600000000000001</v>
      </c>
      <c r="CP1552" s="454">
        <f>V1552</f>
        <v>0.31799999999999995</v>
      </c>
      <c r="CQ1552" s="454">
        <f>AA1552</f>
        <v>0.373</v>
      </c>
      <c r="CR1552" s="454">
        <f>AF1552</f>
        <v>0.92500000000000004</v>
      </c>
      <c r="CS1552" s="454">
        <f>AK1552</f>
        <v>1.2610000000000001</v>
      </c>
      <c r="CT1552" s="454">
        <f>AP1552</f>
        <v>6.1040000000000001</v>
      </c>
      <c r="CU1552" s="454">
        <f>AU1552</f>
        <v>9.048</v>
      </c>
      <c r="CV1552" s="454">
        <f>AZ1552</f>
        <v>9.048</v>
      </c>
      <c r="CW1552" s="454">
        <f>BE1552</f>
        <v>9.048</v>
      </c>
      <c r="CX1552" s="454">
        <f>BJ1552</f>
        <v>9.048</v>
      </c>
      <c r="CY1552" s="454">
        <f>BO1552</f>
        <v>9.048</v>
      </c>
      <c r="CZ1552" s="454">
        <f>BT1552</f>
        <v>9.048</v>
      </c>
      <c r="DA1552" s="454">
        <f t="shared" ref="DA1552:DC1558" si="3560">BY1552</f>
        <v>9.048</v>
      </c>
      <c r="DB1552" s="454">
        <f t="shared" si="3560"/>
        <v>9.048</v>
      </c>
      <c r="DC1552" s="1666">
        <f t="shared" si="3560"/>
        <v>9.048</v>
      </c>
      <c r="DD1552" s="331"/>
      <c r="DE1552" s="331"/>
      <c r="DF1552" s="502"/>
      <c r="DG1552" s="503"/>
      <c r="DH1552" s="2915"/>
      <c r="DI1552" s="3213"/>
      <c r="DJ1552" s="502"/>
      <c r="DK1552" s="503"/>
      <c r="DL1552" s="502"/>
      <c r="DM1552" s="502"/>
      <c r="DN1552" s="502"/>
      <c r="DO1552" s="502"/>
      <c r="DP1552" s="503"/>
      <c r="DQ1552" s="503"/>
      <c r="DR1552" s="296"/>
      <c r="DS1552" s="296"/>
      <c r="DT1552" s="296"/>
    </row>
    <row r="1553" spans="1:130" ht="12" customHeight="1" x14ac:dyDescent="0.25">
      <c r="A1553" s="3152" t="s">
        <v>2442</v>
      </c>
      <c r="B1553" s="281"/>
      <c r="C1553" s="446"/>
      <c r="D1553" s="446"/>
      <c r="E1553" s="446"/>
      <c r="F1553" s="446"/>
      <c r="G1553" s="447"/>
      <c r="H1553" s="446"/>
      <c r="I1553" s="446"/>
      <c r="J1553" s="446"/>
      <c r="K1553" s="446"/>
      <c r="L1553" s="447"/>
      <c r="M1553" s="446"/>
      <c r="N1553" s="446"/>
      <c r="O1553" s="446"/>
      <c r="P1553" s="446"/>
      <c r="Q1553" s="447"/>
      <c r="R1553" s="446"/>
      <c r="S1553" s="446"/>
      <c r="T1553" s="446"/>
      <c r="U1553" s="446"/>
      <c r="V1553" s="447"/>
      <c r="W1553" s="446"/>
      <c r="X1553" s="446"/>
      <c r="Y1553" s="446"/>
      <c r="Z1553" s="446"/>
      <c r="AA1553" s="447"/>
      <c r="AB1553" s="446"/>
      <c r="AC1553" s="446"/>
      <c r="AD1553" s="446"/>
      <c r="AE1553" s="454"/>
      <c r="AF1553" s="455"/>
      <c r="AG1553" s="454"/>
      <c r="AH1553" s="446"/>
      <c r="AI1553" s="446"/>
      <c r="AJ1553" s="454"/>
      <c r="AK1553" s="455"/>
      <c r="AL1553" s="446"/>
      <c r="AM1553" s="446"/>
      <c r="AN1553" s="446"/>
      <c r="AO1553" s="446"/>
      <c r="AP1553" s="456"/>
      <c r="AQ1553" s="454"/>
      <c r="AR1553" s="454"/>
      <c r="AS1553" s="454"/>
      <c r="AT1553" s="454"/>
      <c r="AU1553" s="455"/>
      <c r="AV1553" s="454"/>
      <c r="AW1553" s="454"/>
      <c r="AX1553" s="454"/>
      <c r="AY1553" s="1666"/>
      <c r="AZ1553" s="455"/>
      <c r="BA1553" s="3136">
        <f>+BA1263</f>
        <v>11.209000000000003</v>
      </c>
      <c r="BB1553" s="3136">
        <f>+BB1263</f>
        <v>10.613</v>
      </c>
      <c r="BC1553" s="3136">
        <f>+BC1263</f>
        <v>10.025000000000006</v>
      </c>
      <c r="BD1553" s="3136">
        <f>+BD1263</f>
        <v>10.340999999999994</v>
      </c>
      <c r="BE1553" s="455">
        <f>SUM(BA1553:BD1553)</f>
        <v>42.188000000000002</v>
      </c>
      <c r="BF1553" s="3136">
        <f>+BF1263</f>
        <v>12.444999999999993</v>
      </c>
      <c r="BG1553" s="3136">
        <f>+BG1263</f>
        <v>11.819000000000003</v>
      </c>
      <c r="BH1553" s="3136">
        <f>+BH1263</f>
        <v>11.200000000000003</v>
      </c>
      <c r="BI1553" s="3136">
        <f>+BI1263</f>
        <v>11.424202831033341</v>
      </c>
      <c r="BJ1553" s="455">
        <f>SUM(BF1553:BI1553)</f>
        <v>46.88820283103334</v>
      </c>
      <c r="BK1553" s="3136">
        <f>+BK1263</f>
        <v>11.608846091472143</v>
      </c>
      <c r="BL1553" s="3136">
        <f>+BL1263</f>
        <v>11.546735492612962</v>
      </c>
      <c r="BM1553" s="3136">
        <f>+BM1263</f>
        <v>11.43314396114231</v>
      </c>
      <c r="BN1553" s="3136">
        <f>+BN1263</f>
        <v>11.507134775219523</v>
      </c>
      <c r="BO1553" s="455">
        <f>SUM(BK1553:BN1553)</f>
        <v>46.095860320446945</v>
      </c>
      <c r="BP1553" s="3136">
        <f>+BP1263</f>
        <v>14.618500000000001</v>
      </c>
      <c r="BQ1553" s="3136">
        <f>+BQ1263</f>
        <v>14.807</v>
      </c>
      <c r="BR1553" s="3136">
        <f>+BR1263</f>
        <v>14.883570000000001</v>
      </c>
      <c r="BS1553" s="3136">
        <f>+BS1263</f>
        <v>14.88916</v>
      </c>
      <c r="BT1553" s="3066">
        <f>SUM(BP1553:BS1553)</f>
        <v>59.198229999999995</v>
      </c>
      <c r="BU1553" s="2076">
        <f>+BU1263</f>
        <v>15.06943581758912</v>
      </c>
      <c r="BV1553" s="2076">
        <f>+BV1263</f>
        <v>15.022519111647512</v>
      </c>
      <c r="BW1553" s="2076">
        <f>+BW1263</f>
        <v>26.36728949455723</v>
      </c>
      <c r="BX1553" s="2076">
        <f>+BX1263</f>
        <v>26.18711277408082</v>
      </c>
      <c r="BY1553" s="3066">
        <f>SUM(BU1553:BX1553)</f>
        <v>82.646357197874678</v>
      </c>
      <c r="BZ1553" s="3153">
        <f>+BZ1263</f>
        <v>105.21323192105194</v>
      </c>
      <c r="CA1553" s="3153">
        <f>+CA1263</f>
        <v>106.08563874915177</v>
      </c>
      <c r="CB1553" s="455"/>
      <c r="CC1553" s="455"/>
      <c r="CD1553" s="455"/>
      <c r="CE1553" s="455"/>
      <c r="CF1553" s="455"/>
      <c r="CG1553" s="331"/>
      <c r="CH1553" s="331"/>
      <c r="CI1553" s="331"/>
      <c r="CJ1553" s="331"/>
      <c r="CK1553" s="331"/>
      <c r="CL1553" s="2051" t="str">
        <f t="shared" si="3525"/>
        <v>Depreciation of Master Lease Assets</v>
      </c>
      <c r="CM1553" s="454"/>
      <c r="CN1553" s="454"/>
      <c r="CO1553" s="454"/>
      <c r="CP1553" s="454"/>
      <c r="CQ1553" s="454"/>
      <c r="CR1553" s="454"/>
      <c r="CS1553" s="454"/>
      <c r="CT1553" s="454"/>
      <c r="CU1553" s="454"/>
      <c r="CV1553" s="454"/>
      <c r="CW1553" s="454"/>
      <c r="CX1553" s="454"/>
      <c r="CY1553" s="454"/>
      <c r="CZ1553" s="454"/>
      <c r="DA1553" s="454"/>
      <c r="DB1553" s="454"/>
      <c r="DC1553" s="1666"/>
      <c r="DD1553" s="331"/>
      <c r="DE1553" s="331"/>
      <c r="DF1553" s="502"/>
      <c r="DG1553" s="503"/>
      <c r="DH1553" s="2915"/>
      <c r="DI1553" s="3213"/>
      <c r="DJ1553" s="502"/>
      <c r="DK1553" s="503"/>
      <c r="DL1553" s="502"/>
      <c r="DM1553" s="502"/>
      <c r="DN1553" s="502"/>
      <c r="DO1553" s="502"/>
      <c r="DP1553" s="503"/>
      <c r="DQ1553" s="503"/>
      <c r="DR1553" s="296"/>
      <c r="DS1553" s="296"/>
      <c r="DT1553" s="296"/>
    </row>
    <row r="1554" spans="1:130" ht="12" customHeight="1" x14ac:dyDescent="0.25">
      <c r="A1554" s="2006" t="s">
        <v>16</v>
      </c>
      <c r="B1554" s="281"/>
      <c r="C1554" s="2002">
        <f>C1556-SUM(C1528:C1552)</f>
        <v>0.73799999999999955</v>
      </c>
      <c r="D1554" s="2002">
        <f>D1556-SUM(D1528:D1552)</f>
        <v>0.79200000000000159</v>
      </c>
      <c r="E1554" s="2002">
        <f>E1556-SUM(E1528:E1552)</f>
        <v>0.73799999999999777</v>
      </c>
      <c r="F1554" s="2002">
        <f>F1556-SUM(F1528:F1552)</f>
        <v>0.77600000000000158</v>
      </c>
      <c r="G1554" s="447">
        <f t="shared" si="3481"/>
        <v>3.0440000000000005</v>
      </c>
      <c r="H1554" s="2002">
        <f>H1556-SUM(H1528:H1552)</f>
        <v>0.76099999999999923</v>
      </c>
      <c r="I1554" s="2002">
        <f>I1556-SUM(I1528:I1552)</f>
        <v>0.76999999999999957</v>
      </c>
      <c r="J1554" s="2002">
        <f>J1556-SUM(J1528:J1552)</f>
        <v>0.77000000000000135</v>
      </c>
      <c r="K1554" s="2002">
        <f>K1556-SUM(K1528:K1552)</f>
        <v>1.5730000000000004</v>
      </c>
      <c r="L1554" s="447">
        <f t="shared" si="3482"/>
        <v>3.8740000000000006</v>
      </c>
      <c r="M1554" s="2002">
        <f>M1556-SUM(M1528:M1552)</f>
        <v>1.5989999999999966</v>
      </c>
      <c r="N1554" s="2002">
        <f>N1556-SUM(N1528:N1552)</f>
        <v>1.4590000000000032</v>
      </c>
      <c r="O1554" s="2002">
        <f>O1556-SUM(O1528:O1552)</f>
        <v>1.5119999999999969</v>
      </c>
      <c r="P1554" s="2002">
        <f>P1556-SUM(P1528:P1552)</f>
        <v>1.5499999999999901</v>
      </c>
      <c r="Q1554" s="447">
        <f t="shared" si="3483"/>
        <v>6.1199999999999868</v>
      </c>
      <c r="R1554" s="2002">
        <f>R1556-SUM(R1528:R1552)</f>
        <v>1.6859999999999999</v>
      </c>
      <c r="S1554" s="2002">
        <f>S1556-SUM(S1528:S1552)</f>
        <v>1.7180000000000106</v>
      </c>
      <c r="T1554" s="2002">
        <f>T1556-SUM(T1528:T1552)</f>
        <v>1.6360000000000028</v>
      </c>
      <c r="U1554" s="2002">
        <f>U1556-SUM(U1528:U1552)</f>
        <v>2.2870000000000061</v>
      </c>
      <c r="V1554" s="447">
        <f t="shared" si="3484"/>
        <v>7.3270000000000195</v>
      </c>
      <c r="W1554" s="2002">
        <f>W1556-SUM(W1528:W1552)</f>
        <v>2.0859999999999914</v>
      </c>
      <c r="X1554" s="2002">
        <f>X1556-SUM(X1528:X1552)</f>
        <v>2.482999999999997</v>
      </c>
      <c r="Y1554" s="2002">
        <f>Y1556-SUM(Y1528:Y1552)</f>
        <v>1.9710000000000036</v>
      </c>
      <c r="Z1554" s="2002">
        <f>Z1556-SUM(Z1528:Z1552)</f>
        <v>1.8999999999999986</v>
      </c>
      <c r="AA1554" s="447">
        <f t="shared" si="3485"/>
        <v>8.4399999999999906</v>
      </c>
      <c r="AB1554" s="2002">
        <f>AB1556-SUM(AB1528:AB1552)</f>
        <v>1.6989999999999981</v>
      </c>
      <c r="AC1554" s="2002">
        <f>AC1556-SUM(AC1528:AC1552)</f>
        <v>1.6960000000000051</v>
      </c>
      <c r="AD1554" s="2002">
        <f>AD1556-SUM(AD1528:AD1552)</f>
        <v>1.7030000000000172</v>
      </c>
      <c r="AE1554" s="2003">
        <v>1.7</v>
      </c>
      <c r="AF1554" s="455">
        <f t="shared" si="3486"/>
        <v>6.7980000000000205</v>
      </c>
      <c r="AG1554" s="2004">
        <f>AG1556-SUM(AG1528:AG1552)</f>
        <v>1.6739999999999995</v>
      </c>
      <c r="AH1554" s="2004">
        <f>AH1556-SUM(AH1528:AH1552)</f>
        <v>1.6679999999999993</v>
      </c>
      <c r="AI1554" s="2004">
        <f>AI1556-SUM(AI1528:AI1552)</f>
        <v>1.708999999999989</v>
      </c>
      <c r="AJ1554" s="2004">
        <f>AJ1556-SUM(AJ1528:AJ1552)</f>
        <v>1.7250000000000085</v>
      </c>
      <c r="AK1554" s="455">
        <f>SUM(AG1554:AJ1554)</f>
        <v>6.7759999999999962</v>
      </c>
      <c r="AL1554" s="2075">
        <f>AL1556-SUM(AL1528:AL1552)</f>
        <v>1.7680000000000007</v>
      </c>
      <c r="AM1554" s="2075">
        <f>AM1556-SUM(AM1528:AM1552)</f>
        <v>1.7049999999999841</v>
      </c>
      <c r="AN1554" s="2075">
        <f>AN1556-SUM(AN1528:AN1552)</f>
        <v>-1.3300000000000125</v>
      </c>
      <c r="AO1554" s="2075">
        <f>AO1556-SUM(AO1528:AO1552)</f>
        <v>-1.6320000000000121</v>
      </c>
      <c r="AP1554" s="455">
        <f>SUM(AL1554:AO1554)</f>
        <v>0.51099999999996015</v>
      </c>
      <c r="AQ1554" s="2075">
        <f>AQ1556-SUM(AQ1528:AQ1552)</f>
        <v>-2.9796666666666738</v>
      </c>
      <c r="AR1554" s="2075">
        <f>AR1556-SUM(AR1528:AR1552)</f>
        <v>-3.8220208333333545</v>
      </c>
      <c r="AS1554" s="2076">
        <f>AS1556-SUM(AS1528:AS1552)</f>
        <v>-1.2689924242424411</v>
      </c>
      <c r="AT1554" s="2076">
        <f>AT1556-SUM(AT1528:AT1552)</f>
        <v>0.16437121212119621</v>
      </c>
      <c r="AU1554" s="2005">
        <f>SUM(AQ1554:AT1554)</f>
        <v>-7.9063087121212732</v>
      </c>
      <c r="AV1554" s="2076">
        <f>AV1556-SUM(AV1528:AV1552)</f>
        <v>2.2893712121211962</v>
      </c>
      <c r="AW1554" s="2076">
        <f>AW1556-SUM(AW1528:AW1552)</f>
        <v>5.8333712121211931</v>
      </c>
      <c r="AX1554" s="2076">
        <f>AX1556-SUM(AX1528:AX1552)</f>
        <v>3.3853712121211998</v>
      </c>
      <c r="AY1554" s="2583">
        <f>AY1556-SUM(AY1528:AY1552)</f>
        <v>-15.910628787878807</v>
      </c>
      <c r="AZ1554" s="2005">
        <f t="shared" si="3490"/>
        <v>-4.4025151515152174</v>
      </c>
      <c r="BA1554" s="2076">
        <f>BA1556-SUM(BA1528:BA1553)</f>
        <v>-13.893628787878797</v>
      </c>
      <c r="BB1554" s="2076">
        <f>BB1556-SUM(BB1528:BB1553)</f>
        <v>-13.6086287878788</v>
      </c>
      <c r="BC1554" s="2076">
        <f t="shared" ref="BC1554:BN1554" si="3561">BC1556-SUM(BC1528:BC1553)</f>
        <v>-19.502962121212136</v>
      </c>
      <c r="BD1554" s="2076">
        <f t="shared" si="3561"/>
        <v>-17.792628787878769</v>
      </c>
      <c r="BE1554" s="2005">
        <f>+SUM(BA1554:BD1554)</f>
        <v>-64.797848484848501</v>
      </c>
      <c r="BF1554" s="2076">
        <f t="shared" si="3561"/>
        <v>-21.189628787878803</v>
      </c>
      <c r="BG1554" s="2076">
        <f t="shared" si="3561"/>
        <v>-21.657628787878814</v>
      </c>
      <c r="BH1554" s="2076">
        <f t="shared" si="3561"/>
        <v>-19.255962121212136</v>
      </c>
      <c r="BI1554" s="3136">
        <f t="shared" si="3561"/>
        <v>-17.945164952245491</v>
      </c>
      <c r="BJ1554" s="2005">
        <f>+SUM(BF1554:BI1554)</f>
        <v>-80.048384649215251</v>
      </c>
      <c r="BK1554" s="3136">
        <f t="shared" si="3561"/>
        <v>-19.785808212684287</v>
      </c>
      <c r="BL1554" s="3136">
        <f t="shared" si="3561"/>
        <v>-19.561697613825103</v>
      </c>
      <c r="BM1554" s="3136">
        <f t="shared" si="3561"/>
        <v>-17.727106082354439</v>
      </c>
      <c r="BN1554" s="3136">
        <f t="shared" si="3561"/>
        <v>-14.59509689643167</v>
      </c>
      <c r="BO1554" s="2005">
        <f>+SUM(BK1554:BN1554)</f>
        <v>-71.6697088052955</v>
      </c>
      <c r="BP1554" s="3136">
        <f>BP1556-SUM(BP1528:BP1553)</f>
        <v>-18.579462121212131</v>
      </c>
      <c r="BQ1554" s="3136">
        <f>BQ1556-SUM(BQ1528:BQ1553)</f>
        <v>-21.441628787878813</v>
      </c>
      <c r="BR1554" s="3136">
        <f>BR1556-SUM(BR1528:BR1553)</f>
        <v>-24.707532121212125</v>
      </c>
      <c r="BS1554" s="3136">
        <f>BS1556-SUM(BS1528:BS1553)</f>
        <v>-29.822122121212125</v>
      </c>
      <c r="BT1554" s="3263">
        <f>+SUM(BP1554:BS1554)</f>
        <v>-94.550745151515201</v>
      </c>
      <c r="BU1554" s="3543">
        <f>+BS1554</f>
        <v>-29.822122121212125</v>
      </c>
      <c r="BV1554" s="3543">
        <f>+BU1554</f>
        <v>-29.822122121212125</v>
      </c>
      <c r="BW1554" s="3543">
        <f>+BV1554</f>
        <v>-29.822122121212125</v>
      </c>
      <c r="BX1554" s="3543">
        <f>+BW1554</f>
        <v>-29.822122121212125</v>
      </c>
      <c r="BY1554" s="3263">
        <f>+SUM(BU1554:BX1554)</f>
        <v>-119.2884884848485</v>
      </c>
      <c r="BZ1554" s="2194">
        <f t="shared" ref="BZ1554:CF1554" si="3562">BY1554</f>
        <v>-119.2884884848485</v>
      </c>
      <c r="CA1554" s="2194">
        <f t="shared" si="3562"/>
        <v>-119.2884884848485</v>
      </c>
      <c r="CB1554" s="2194">
        <f t="shared" si="3562"/>
        <v>-119.2884884848485</v>
      </c>
      <c r="CC1554" s="2194">
        <f t="shared" si="3562"/>
        <v>-119.2884884848485</v>
      </c>
      <c r="CD1554" s="2194">
        <f t="shared" si="3562"/>
        <v>-119.2884884848485</v>
      </c>
      <c r="CE1554" s="2194">
        <f t="shared" si="3562"/>
        <v>-119.2884884848485</v>
      </c>
      <c r="CF1554" s="2194">
        <f t="shared" si="3562"/>
        <v>-119.2884884848485</v>
      </c>
      <c r="CG1554" s="741"/>
      <c r="CH1554" s="741"/>
      <c r="CI1554" s="741"/>
      <c r="CJ1554" s="741"/>
      <c r="CK1554" s="741"/>
      <c r="CL1554" s="2051" t="str">
        <f t="shared" si="3525"/>
        <v>Corporate/Other</v>
      </c>
      <c r="CM1554" s="454">
        <f>G1554</f>
        <v>3.0440000000000005</v>
      </c>
      <c r="CN1554" s="454">
        <f>L1554</f>
        <v>3.8740000000000006</v>
      </c>
      <c r="CO1554" s="454">
        <f>Q1554</f>
        <v>6.1199999999999868</v>
      </c>
      <c r="CP1554" s="454">
        <f>V1554</f>
        <v>7.3270000000000195</v>
      </c>
      <c r="CQ1554" s="454">
        <f>AA1554</f>
        <v>8.4399999999999906</v>
      </c>
      <c r="CR1554" s="454">
        <f>AF1554</f>
        <v>6.7980000000000205</v>
      </c>
      <c r="CS1554" s="454">
        <f>AK1554</f>
        <v>6.7759999999999962</v>
      </c>
      <c r="CT1554" s="454">
        <f>AP1554</f>
        <v>0.51099999999996015</v>
      </c>
      <c r="CU1554" s="454">
        <f>AU1554</f>
        <v>-7.9063087121212732</v>
      </c>
      <c r="CV1554" s="454">
        <f>AZ1554</f>
        <v>-4.4025151515152174</v>
      </c>
      <c r="CW1554" s="454">
        <f>BE1554</f>
        <v>-64.797848484848501</v>
      </c>
      <c r="CX1554" s="454">
        <f>BJ1554</f>
        <v>-80.048384649215251</v>
      </c>
      <c r="CY1554" s="454">
        <f>BO1554</f>
        <v>-71.6697088052955</v>
      </c>
      <c r="CZ1554" s="454">
        <f>BT1554</f>
        <v>-94.550745151515201</v>
      </c>
      <c r="DA1554" s="454">
        <f t="shared" si="3560"/>
        <v>-119.2884884848485</v>
      </c>
      <c r="DB1554" s="454">
        <f t="shared" si="3560"/>
        <v>-119.2884884848485</v>
      </c>
      <c r="DC1554" s="1666">
        <f t="shared" si="3560"/>
        <v>-119.2884884848485</v>
      </c>
      <c r="DD1554" s="741"/>
      <c r="DE1554" s="741"/>
      <c r="DF1554" s="742"/>
      <c r="DG1554" s="743"/>
      <c r="DH1554" s="3315"/>
      <c r="DI1554" s="3215"/>
      <c r="DJ1554" s="742"/>
      <c r="DK1554" s="743"/>
      <c r="DL1554" s="742"/>
      <c r="DM1554" s="742"/>
      <c r="DN1554" s="742"/>
      <c r="DO1554" s="742"/>
      <c r="DP1554" s="743"/>
      <c r="DQ1554" s="743"/>
      <c r="DR1554" s="740"/>
      <c r="DS1554" s="740"/>
      <c r="DT1554" s="740"/>
    </row>
    <row r="1555" spans="1:130" ht="4.5" customHeight="1" x14ac:dyDescent="0.25">
      <c r="A1555" s="2007"/>
      <c r="B1555" s="291"/>
      <c r="C1555" s="544" t="s">
        <v>1151</v>
      </c>
      <c r="D1555" s="544" t="s">
        <v>1151</v>
      </c>
      <c r="E1555" s="544" t="s">
        <v>1151</v>
      </c>
      <c r="F1555" s="544" t="s">
        <v>1151</v>
      </c>
      <c r="G1555" s="461" t="s">
        <v>1151</v>
      </c>
      <c r="H1555" s="544" t="s">
        <v>1151</v>
      </c>
      <c r="I1555" s="544" t="s">
        <v>1151</v>
      </c>
      <c r="J1555" s="544" t="s">
        <v>1151</v>
      </c>
      <c r="K1555" s="544" t="s">
        <v>1151</v>
      </c>
      <c r="L1555" s="461" t="s">
        <v>1151</v>
      </c>
      <c r="M1555" s="544" t="s">
        <v>1151</v>
      </c>
      <c r="N1555" s="544" t="s">
        <v>1151</v>
      </c>
      <c r="O1555" s="544" t="s">
        <v>1151</v>
      </c>
      <c r="P1555" s="544" t="s">
        <v>1151</v>
      </c>
      <c r="Q1555" s="461" t="s">
        <v>1151</v>
      </c>
      <c r="R1555" s="544" t="s">
        <v>1151</v>
      </c>
      <c r="S1555" s="544" t="s">
        <v>1151</v>
      </c>
      <c r="T1555" s="544" t="s">
        <v>1151</v>
      </c>
      <c r="U1555" s="544" t="s">
        <v>1151</v>
      </c>
      <c r="V1555" s="461" t="s">
        <v>1151</v>
      </c>
      <c r="W1555" s="544" t="s">
        <v>1151</v>
      </c>
      <c r="X1555" s="544" t="s">
        <v>1151</v>
      </c>
      <c r="Y1555" s="544" t="s">
        <v>1151</v>
      </c>
      <c r="Z1555" s="544" t="s">
        <v>1151</v>
      </c>
      <c r="AA1555" s="461" t="s">
        <v>1151</v>
      </c>
      <c r="AB1555" s="544" t="s">
        <v>1151</v>
      </c>
      <c r="AC1555" s="544" t="s">
        <v>1151</v>
      </c>
      <c r="AD1555" s="544" t="s">
        <v>1151</v>
      </c>
      <c r="AE1555" s="544" t="s">
        <v>1151</v>
      </c>
      <c r="AF1555" s="461" t="s">
        <v>1151</v>
      </c>
      <c r="AG1555" s="544" t="s">
        <v>1151</v>
      </c>
      <c r="AH1555" s="544" t="s">
        <v>1151</v>
      </c>
      <c r="AI1555" s="544" t="s">
        <v>1151</v>
      </c>
      <c r="AJ1555" s="544" t="s">
        <v>1151</v>
      </c>
      <c r="AK1555" s="461" t="s">
        <v>1151</v>
      </c>
      <c r="AL1555" s="544" t="s">
        <v>1151</v>
      </c>
      <c r="AM1555" s="544" t="s">
        <v>1151</v>
      </c>
      <c r="AN1555" s="544" t="s">
        <v>1151</v>
      </c>
      <c r="AO1555" s="544" t="s">
        <v>1151</v>
      </c>
      <c r="AP1555" s="461" t="s">
        <v>1151</v>
      </c>
      <c r="AQ1555" s="544" t="s">
        <v>1151</v>
      </c>
      <c r="AR1555" s="544" t="s">
        <v>1151</v>
      </c>
      <c r="AS1555" s="544" t="s">
        <v>1151</v>
      </c>
      <c r="AT1555" s="544" t="s">
        <v>1151</v>
      </c>
      <c r="AU1555" s="461" t="s">
        <v>1151</v>
      </c>
      <c r="AV1555" s="544" t="s">
        <v>1151</v>
      </c>
      <c r="AW1555" s="544" t="s">
        <v>1151</v>
      </c>
      <c r="AX1555" s="544" t="s">
        <v>1151</v>
      </c>
      <c r="AY1555" s="544" t="s">
        <v>1151</v>
      </c>
      <c r="AZ1555" s="461" t="s">
        <v>1151</v>
      </c>
      <c r="BA1555" s="544" t="s">
        <v>1151</v>
      </c>
      <c r="BB1555" s="544" t="s">
        <v>1151</v>
      </c>
      <c r="BC1555" s="544" t="s">
        <v>1151</v>
      </c>
      <c r="BD1555" s="544" t="s">
        <v>1151</v>
      </c>
      <c r="BE1555" s="461" t="s">
        <v>1151</v>
      </c>
      <c r="BF1555" s="544" t="s">
        <v>1151</v>
      </c>
      <c r="BG1555" s="544" t="s">
        <v>1151</v>
      </c>
      <c r="BH1555" s="544" t="s">
        <v>1151</v>
      </c>
      <c r="BI1555" s="544" t="s">
        <v>1151</v>
      </c>
      <c r="BJ1555" s="461" t="s">
        <v>1151</v>
      </c>
      <c r="BK1555" s="544" t="s">
        <v>1151</v>
      </c>
      <c r="BL1555" s="544" t="s">
        <v>1151</v>
      </c>
      <c r="BM1555" s="544" t="s">
        <v>1151</v>
      </c>
      <c r="BN1555" s="544" t="s">
        <v>1151</v>
      </c>
      <c r="BO1555" s="461" t="s">
        <v>1151</v>
      </c>
      <c r="BP1555" s="544" t="s">
        <v>1151</v>
      </c>
      <c r="BQ1555" s="544" t="s">
        <v>1151</v>
      </c>
      <c r="BR1555" s="544" t="s">
        <v>1151</v>
      </c>
      <c r="BS1555" s="544" t="s">
        <v>1151</v>
      </c>
      <c r="BT1555" s="461" t="s">
        <v>1151</v>
      </c>
      <c r="BU1555" s="544" t="s">
        <v>1151</v>
      </c>
      <c r="BV1555" s="544" t="s">
        <v>1151</v>
      </c>
      <c r="BW1555" s="544" t="s">
        <v>1151</v>
      </c>
      <c r="BX1555" s="544" t="s">
        <v>1151</v>
      </c>
      <c r="BY1555" s="461" t="s">
        <v>1151</v>
      </c>
      <c r="BZ1555" s="461" t="s">
        <v>1151</v>
      </c>
      <c r="CA1555" s="461" t="s">
        <v>1151</v>
      </c>
      <c r="CB1555" s="461" t="s">
        <v>1151</v>
      </c>
      <c r="CC1555" s="461" t="s">
        <v>1151</v>
      </c>
      <c r="CD1555" s="461" t="s">
        <v>1151</v>
      </c>
      <c r="CE1555" s="461" t="s">
        <v>1151</v>
      </c>
      <c r="CF1555" s="461" t="s">
        <v>1151</v>
      </c>
      <c r="CG1555" s="741"/>
      <c r="CH1555" s="741"/>
      <c r="CI1555" s="741"/>
      <c r="CJ1555" s="741"/>
      <c r="CK1555" s="741"/>
      <c r="CL1555" s="2052"/>
      <c r="CM1555" s="2029" t="str">
        <f>G1555</f>
        <v xml:space="preserve">                </v>
      </c>
      <c r="CN1555" s="2029" t="str">
        <f>L1555</f>
        <v xml:space="preserve">                </v>
      </c>
      <c r="CO1555" s="2029" t="str">
        <f>Q1555</f>
        <v xml:space="preserve">                </v>
      </c>
      <c r="CP1555" s="2029" t="str">
        <f>V1555</f>
        <v xml:space="preserve">                </v>
      </c>
      <c r="CQ1555" s="2029" t="str">
        <f>AA1555</f>
        <v xml:space="preserve">                </v>
      </c>
      <c r="CR1555" s="2029" t="str">
        <f>AF1555</f>
        <v xml:space="preserve">                </v>
      </c>
      <c r="CS1555" s="2029" t="str">
        <f>AK1555</f>
        <v xml:space="preserve">                </v>
      </c>
      <c r="CT1555" s="2029" t="str">
        <f>AP1555</f>
        <v xml:space="preserve">                </v>
      </c>
      <c r="CU1555" s="2029" t="str">
        <f>AU1555</f>
        <v xml:space="preserve">                </v>
      </c>
      <c r="CV1555" s="2029" t="str">
        <f>AZ1555</f>
        <v xml:space="preserve">                </v>
      </c>
      <c r="CW1555" s="2029" t="str">
        <f>BE1555</f>
        <v xml:space="preserve">                </v>
      </c>
      <c r="CX1555" s="2029" t="str">
        <f>BJ1555</f>
        <v xml:space="preserve">                </v>
      </c>
      <c r="CY1555" s="2029" t="str">
        <f>BO1555</f>
        <v xml:space="preserve">                </v>
      </c>
      <c r="CZ1555" s="2029" t="str">
        <f>BT1555</f>
        <v xml:space="preserve">                </v>
      </c>
      <c r="DA1555" s="2029" t="str">
        <f t="shared" si="3560"/>
        <v xml:space="preserve">                </v>
      </c>
      <c r="DB1555" s="2029" t="str">
        <f t="shared" si="3560"/>
        <v xml:space="preserve">                </v>
      </c>
      <c r="DC1555" s="2030" t="str">
        <f t="shared" si="3560"/>
        <v xml:space="preserve">                </v>
      </c>
      <c r="DD1555" s="741"/>
      <c r="DE1555" s="741"/>
      <c r="DF1555" s="742"/>
      <c r="DG1555" s="743"/>
      <c r="DH1555" s="2029"/>
      <c r="DI1555" s="3215"/>
      <c r="DJ1555" s="742"/>
      <c r="DK1555" s="743"/>
      <c r="DL1555" s="742"/>
      <c r="DM1555" s="742"/>
      <c r="DN1555" s="742"/>
      <c r="DO1555" s="742"/>
      <c r="DP1555" s="743"/>
      <c r="DQ1555" s="743"/>
      <c r="DR1555" s="740"/>
      <c r="DS1555" s="740"/>
      <c r="DT1555" s="740"/>
    </row>
    <row r="1556" spans="1:130" ht="12" customHeight="1" x14ac:dyDescent="0.25">
      <c r="A1556" s="2008" t="s">
        <v>1969</v>
      </c>
      <c r="B1556" s="333"/>
      <c r="C1556" s="912">
        <v>16.84</v>
      </c>
      <c r="D1556" s="912">
        <v>16.832999999999998</v>
      </c>
      <c r="E1556" s="912">
        <v>16.492000000000001</v>
      </c>
      <c r="F1556" s="912">
        <v>16.372</v>
      </c>
      <c r="G1556" s="913">
        <f t="shared" si="3481"/>
        <v>66.537000000000006</v>
      </c>
      <c r="H1556" s="912">
        <v>15.494999999999999</v>
      </c>
      <c r="I1556" s="912">
        <v>15.968999999999999</v>
      </c>
      <c r="J1556" s="912">
        <v>14.942</v>
      </c>
      <c r="K1556" s="912">
        <v>26.125</v>
      </c>
      <c r="L1556" s="913">
        <f t="shared" si="3482"/>
        <v>72.531000000000006</v>
      </c>
      <c r="M1556" s="912">
        <v>29.718</v>
      </c>
      <c r="N1556" s="912">
        <v>27.728000000000002</v>
      </c>
      <c r="O1556" s="912">
        <v>31.196000000000002</v>
      </c>
      <c r="P1556" s="912">
        <v>35.308999999999997</v>
      </c>
      <c r="Q1556" s="913">
        <f t="shared" si="3483"/>
        <v>123.95099999999999</v>
      </c>
      <c r="R1556" s="912">
        <v>35.357999999999997</v>
      </c>
      <c r="S1556" s="912">
        <v>37.622000000000007</v>
      </c>
      <c r="T1556" s="912">
        <v>37.240999999999993</v>
      </c>
      <c r="U1556" s="912">
        <v>37.693999999999996</v>
      </c>
      <c r="V1556" s="913">
        <f t="shared" si="3484"/>
        <v>147.91499999999999</v>
      </c>
      <c r="W1556" s="912">
        <v>39.792000000000002</v>
      </c>
      <c r="X1556" s="912">
        <v>45.182000000000002</v>
      </c>
      <c r="Y1556" s="912">
        <v>44.223999999999997</v>
      </c>
      <c r="Z1556" s="912">
        <v>44.347000000000001</v>
      </c>
      <c r="AA1556" s="913">
        <f t="shared" si="3485"/>
        <v>173.54500000000002</v>
      </c>
      <c r="AB1556" s="912">
        <v>44.43</v>
      </c>
      <c r="AC1556" s="912">
        <v>46.942</v>
      </c>
      <c r="AD1556" s="912">
        <v>50.055</v>
      </c>
      <c r="AE1556" s="463">
        <f>SUM(AE1528:AE1554)</f>
        <v>53.009000000000007</v>
      </c>
      <c r="AF1556" s="913">
        <f t="shared" si="3486"/>
        <v>194.43600000000001</v>
      </c>
      <c r="AG1556" s="914">
        <v>51.18</v>
      </c>
      <c r="AH1556" s="914">
        <v>52.652999999999999</v>
      </c>
      <c r="AI1556" s="914">
        <v>53.841999999999999</v>
      </c>
      <c r="AJ1556" s="914">
        <v>54.712000000000003</v>
      </c>
      <c r="AK1556" s="913">
        <f>SUM(AG1556:AJ1556)</f>
        <v>212.387</v>
      </c>
      <c r="AL1556" s="912">
        <v>53.158000000000001</v>
      </c>
      <c r="AM1556" s="912">
        <v>54.23</v>
      </c>
      <c r="AN1556" s="912">
        <v>52.195</v>
      </c>
      <c r="AO1556" s="912">
        <v>51.893000000000001</v>
      </c>
      <c r="AP1556" s="959">
        <f>SUM(AL1556:AO1556)</f>
        <v>211.476</v>
      </c>
      <c r="AQ1556" s="2074">
        <f>+AQ63</f>
        <v>53.337000000000003</v>
      </c>
      <c r="AR1556" s="2073">
        <f>+AR63</f>
        <v>56.790999999999997</v>
      </c>
      <c r="AS1556" s="2073">
        <f>+AS63</f>
        <v>62.399000000000001</v>
      </c>
      <c r="AT1556" s="2073">
        <f>+AT63</f>
        <v>72.820999999999998</v>
      </c>
      <c r="AU1556" s="464">
        <f>SUM(AQ1556:AT1556)</f>
        <v>245.34799999999998</v>
      </c>
      <c r="AV1556" s="2073">
        <f>+AV63</f>
        <v>77.070999999999998</v>
      </c>
      <c r="AW1556" s="2073">
        <f>+AW63</f>
        <v>80.614999999999995</v>
      </c>
      <c r="AX1556" s="2073">
        <f>+AX63</f>
        <v>79.968000000000004</v>
      </c>
      <c r="AY1556" s="2582">
        <f>+AY63</f>
        <v>60.671999999999997</v>
      </c>
      <c r="AZ1556" s="464">
        <f>SUM(AZ1528:AZ1554)</f>
        <v>298.32599999999996</v>
      </c>
      <c r="BA1556" s="2719">
        <f>+BA63</f>
        <v>70.185000000000002</v>
      </c>
      <c r="BB1556" s="2881">
        <f>+BB63</f>
        <v>69.873999999999995</v>
      </c>
      <c r="BC1556" s="2931">
        <f>+BC63</f>
        <v>62.021000000000001</v>
      </c>
      <c r="BD1556" s="2931">
        <f>+BD63</f>
        <v>64.662000000000035</v>
      </c>
      <c r="BE1556" s="464">
        <f>SUM(BE1528:BE1554)</f>
        <v>266.74200000000002</v>
      </c>
      <c r="BF1556" s="2931">
        <f>+BF63</f>
        <v>63.369</v>
      </c>
      <c r="BG1556" s="3092">
        <f>+BG63</f>
        <v>62.274999999999999</v>
      </c>
      <c r="BH1556" s="3092">
        <f>+BH63</f>
        <v>66.141000000000005</v>
      </c>
      <c r="BI1556" s="3092">
        <f>+BI63</f>
        <v>67.675999999999988</v>
      </c>
      <c r="BJ1556" s="464">
        <f>SUM(BJ1528:BJ1554)</f>
        <v>259.46100000000001</v>
      </c>
      <c r="BK1556" s="3092">
        <f>+BK63</f>
        <v>66.02</v>
      </c>
      <c r="BL1556" s="3092">
        <f>+BL63</f>
        <v>66.182000000000002</v>
      </c>
      <c r="BM1556" s="3092">
        <f>+BM63</f>
        <v>67.903000000000006</v>
      </c>
      <c r="BN1556" s="3092">
        <f>+BN63</f>
        <v>71.108999999999995</v>
      </c>
      <c r="BO1556" s="464">
        <f t="shared" ref="BO1556:CF1556" si="3563">SUM(BO1528:BO1554)</f>
        <v>271.214</v>
      </c>
      <c r="BP1556" s="3092">
        <f>+BP63</f>
        <v>70.236000000000004</v>
      </c>
      <c r="BQ1556" s="3092">
        <f>+BQ63</f>
        <v>68.968999999999994</v>
      </c>
      <c r="BR1556" s="3092">
        <f>+BR63</f>
        <v>66.483000000000004</v>
      </c>
      <c r="BS1556" s="3092">
        <f>+BS63</f>
        <v>61.374000000000002</v>
      </c>
      <c r="BT1556" s="464">
        <f t="shared" si="3563"/>
        <v>267.06200000000001</v>
      </c>
      <c r="BU1556" s="485">
        <f>SUM(BU1528:BU1554)</f>
        <v>61.554275817589122</v>
      </c>
      <c r="BV1556" s="485">
        <f>SUM(BV1528:BV1554)</f>
        <v>61.50735911164751</v>
      </c>
      <c r="BW1556" s="485">
        <f>SUM(BW1528:BW1554)</f>
        <v>72.852129494557232</v>
      </c>
      <c r="BX1556" s="485">
        <f>SUM(BX1528:BX1554)</f>
        <v>72.671952774080808</v>
      </c>
      <c r="BY1556" s="464">
        <f>SUM(BY1528:BY1554)</f>
        <v>268.58571719787471</v>
      </c>
      <c r="BZ1556" s="464">
        <f t="shared" si="3563"/>
        <v>291.15259192105191</v>
      </c>
      <c r="CA1556" s="464">
        <f t="shared" si="3563"/>
        <v>292.02499874915179</v>
      </c>
      <c r="CB1556" s="464">
        <f t="shared" si="3563"/>
        <v>169.16602666666674</v>
      </c>
      <c r="CC1556" s="464">
        <f t="shared" si="3563"/>
        <v>169.16602666666674</v>
      </c>
      <c r="CD1556" s="464">
        <f t="shared" si="3563"/>
        <v>169.16602666666674</v>
      </c>
      <c r="CE1556" s="464">
        <f t="shared" si="3563"/>
        <v>169.16602666666674</v>
      </c>
      <c r="CF1556" s="464">
        <f t="shared" si="3563"/>
        <v>169.16602666666674</v>
      </c>
      <c r="CG1556" s="331"/>
      <c r="CH1556" s="331"/>
      <c r="CI1556" s="331"/>
      <c r="CJ1556" s="331"/>
      <c r="CK1556" s="331"/>
      <c r="CL1556" s="2053" t="str">
        <f>A1556</f>
        <v>Total Depreciation</v>
      </c>
      <c r="CM1556" s="463">
        <f>G1556</f>
        <v>66.537000000000006</v>
      </c>
      <c r="CN1556" s="463">
        <f>L1556</f>
        <v>72.531000000000006</v>
      </c>
      <c r="CO1556" s="463">
        <f>Q1556</f>
        <v>123.95099999999999</v>
      </c>
      <c r="CP1556" s="463">
        <f>V1556</f>
        <v>147.91499999999999</v>
      </c>
      <c r="CQ1556" s="463">
        <f>AA1556</f>
        <v>173.54500000000002</v>
      </c>
      <c r="CR1556" s="463">
        <f>AF1556</f>
        <v>194.43600000000001</v>
      </c>
      <c r="CS1556" s="463">
        <f>AK1556</f>
        <v>212.387</v>
      </c>
      <c r="CT1556" s="463">
        <f>AP1556</f>
        <v>211.476</v>
      </c>
      <c r="CU1556" s="463">
        <f>AU1556</f>
        <v>245.34799999999998</v>
      </c>
      <c r="CV1556" s="463">
        <f>AZ1556</f>
        <v>298.32599999999996</v>
      </c>
      <c r="CW1556" s="463">
        <f>BE1556</f>
        <v>266.74200000000002</v>
      </c>
      <c r="CX1556" s="463">
        <f>BJ1556</f>
        <v>259.46100000000001</v>
      </c>
      <c r="CY1556" s="463">
        <f>BO1556</f>
        <v>271.214</v>
      </c>
      <c r="CZ1556" s="463">
        <f>BT1556</f>
        <v>267.06200000000001</v>
      </c>
      <c r="DA1556" s="463">
        <f t="shared" si="3560"/>
        <v>268.58571719787471</v>
      </c>
      <c r="DB1556" s="463">
        <f t="shared" si="3560"/>
        <v>291.15259192105191</v>
      </c>
      <c r="DC1556" s="1927">
        <f t="shared" si="3560"/>
        <v>292.02499874915179</v>
      </c>
      <c r="DD1556" s="331"/>
      <c r="DE1556" s="331"/>
      <c r="DF1556" s="502"/>
      <c r="DG1556" s="503"/>
      <c r="DH1556" s="463"/>
      <c r="DI1556" s="3213"/>
      <c r="DJ1556" s="502"/>
      <c r="DK1556" s="503"/>
      <c r="DL1556" s="502"/>
      <c r="DM1556" s="502"/>
      <c r="DN1556" s="502"/>
      <c r="DO1556" s="502"/>
      <c r="DP1556" s="503"/>
      <c r="DQ1556" s="503"/>
      <c r="DR1556" s="296"/>
      <c r="DS1556" s="296"/>
      <c r="DT1556" s="296"/>
    </row>
    <row r="1557" spans="1:130" s="905" customFormat="1" ht="12.6" customHeight="1" x14ac:dyDescent="0.25">
      <c r="A1557" s="1617" t="s">
        <v>843</v>
      </c>
      <c r="B1557" s="428"/>
      <c r="C1557" s="331"/>
      <c r="D1557" s="331"/>
      <c r="E1557" s="331"/>
      <c r="F1557" s="331"/>
      <c r="G1557" s="441"/>
      <c r="H1557" s="331"/>
      <c r="I1557" s="331"/>
      <c r="J1557" s="331"/>
      <c r="K1557" s="331"/>
      <c r="L1557" s="441"/>
      <c r="M1557" s="331"/>
      <c r="N1557" s="331"/>
      <c r="O1557" s="331"/>
      <c r="P1557" s="331"/>
      <c r="Q1557" s="441"/>
      <c r="R1557" s="331"/>
      <c r="S1557" s="331"/>
      <c r="T1557" s="331"/>
      <c r="U1557" s="331"/>
      <c r="V1557" s="441"/>
      <c r="W1557" s="331"/>
      <c r="X1557" s="331"/>
      <c r="Y1557" s="331"/>
      <c r="Z1557" s="331"/>
      <c r="AA1557" s="441"/>
      <c r="AB1557" s="598"/>
      <c r="AC1557" s="598"/>
      <c r="AD1557" s="598"/>
      <c r="AE1557" s="598"/>
      <c r="AF1557" s="591" t="e">
        <f>AF1556/AA1774-1</f>
        <v>#DIV/0!</v>
      </c>
      <c r="AG1557" s="519">
        <f t="shared" ref="AG1557:BE1557" si="3564">AG1556/AB1556-1</f>
        <v>0.15192437542201209</v>
      </c>
      <c r="AH1557" s="519">
        <f t="shared" si="3564"/>
        <v>0.12166077286864629</v>
      </c>
      <c r="AI1557" s="519">
        <f t="shared" si="3564"/>
        <v>7.5656777544700793E-2</v>
      </c>
      <c r="AJ1557" s="519">
        <f t="shared" si="3564"/>
        <v>3.2126620007923101E-2</v>
      </c>
      <c r="AK1557" s="591">
        <f t="shared" si="3564"/>
        <v>9.2323438046452155E-2</v>
      </c>
      <c r="AL1557" s="519">
        <f t="shared" si="3564"/>
        <v>3.8647909339585729E-2</v>
      </c>
      <c r="AM1557" s="519">
        <f t="shared" si="3564"/>
        <v>2.9950810020321628E-2</v>
      </c>
      <c r="AN1557" s="519">
        <f t="shared" si="3564"/>
        <v>-3.0589502618773468E-2</v>
      </c>
      <c r="AO1557" s="519">
        <f t="shared" si="3564"/>
        <v>-5.152434566457087E-2</v>
      </c>
      <c r="AP1557" s="591">
        <f t="shared" si="3564"/>
        <v>-4.2893397430162628E-3</v>
      </c>
      <c r="AQ1557" s="1618">
        <f t="shared" si="3564"/>
        <v>3.3673200647128532E-3</v>
      </c>
      <c r="AR1557" s="519">
        <f t="shared" si="3564"/>
        <v>4.7224783330259923E-2</v>
      </c>
      <c r="AS1557" s="519">
        <f t="shared" si="3564"/>
        <v>0.1954976530318997</v>
      </c>
      <c r="AT1557" s="519">
        <f t="shared" si="3564"/>
        <v>0.4032913880484843</v>
      </c>
      <c r="AU1557" s="1618">
        <f t="shared" si="3564"/>
        <v>0.16016947549603722</v>
      </c>
      <c r="AV1557" s="1618">
        <f t="shared" si="3564"/>
        <v>0.44498190749385969</v>
      </c>
      <c r="AW1557" s="519">
        <f t="shared" si="3564"/>
        <v>0.41950309027838917</v>
      </c>
      <c r="AX1557" s="519">
        <f t="shared" si="3564"/>
        <v>0.28155899934293815</v>
      </c>
      <c r="AY1557" s="519">
        <f t="shared" si="3564"/>
        <v>-0.16683374301369114</v>
      </c>
      <c r="AZ1557" s="1618">
        <f t="shared" si="3564"/>
        <v>0.21593002592236332</v>
      </c>
      <c r="BA1557" s="1618">
        <f t="shared" si="3564"/>
        <v>-8.9346187281856948E-2</v>
      </c>
      <c r="BB1557" s="519">
        <f t="shared" si="3564"/>
        <v>-0.1332382310984308</v>
      </c>
      <c r="BC1557" s="519">
        <f t="shared" si="3564"/>
        <v>-0.22442727090836334</v>
      </c>
      <c r="BD1557" s="519">
        <f t="shared" si="3564"/>
        <v>6.5763449367089333E-2</v>
      </c>
      <c r="BE1557" s="591">
        <f t="shared" si="3564"/>
        <v>-0.1058707588342952</v>
      </c>
      <c r="BF1557" s="519">
        <f t="shared" ref="BF1557:BK1557" si="3565">BF1556/BA1556-1</f>
        <v>-9.7114768112844696E-2</v>
      </c>
      <c r="BG1557" s="519">
        <f t="shared" si="3565"/>
        <v>-0.10875289807367539</v>
      </c>
      <c r="BH1557" s="519">
        <f t="shared" si="3565"/>
        <v>6.6429112719885275E-2</v>
      </c>
      <c r="BI1557" s="519">
        <f t="shared" si="3565"/>
        <v>4.6611611147195475E-2</v>
      </c>
      <c r="BJ1557" s="591">
        <f t="shared" si="3565"/>
        <v>-2.7296038869019545E-2</v>
      </c>
      <c r="BK1557" s="519">
        <f t="shared" si="3565"/>
        <v>4.1834335400590117E-2</v>
      </c>
      <c r="BL1557" s="519">
        <f t="shared" ref="BL1557:BT1557" si="3566">BL1556/BG1556-1</f>
        <v>6.2737856282617521E-2</v>
      </c>
      <c r="BM1557" s="519">
        <f t="shared" si="3566"/>
        <v>2.664005684824855E-2</v>
      </c>
      <c r="BN1557" s="519">
        <f t="shared" si="3566"/>
        <v>5.0726993321118297E-2</v>
      </c>
      <c r="BO1557" s="591">
        <f t="shared" si="3566"/>
        <v>4.5297751877931391E-2</v>
      </c>
      <c r="BP1557" s="519">
        <f t="shared" si="3566"/>
        <v>6.385943653438364E-2</v>
      </c>
      <c r="BQ1557" s="519">
        <f t="shared" si="3566"/>
        <v>4.2111148046296343E-2</v>
      </c>
      <c r="BR1557" s="519">
        <f t="shared" si="3566"/>
        <v>-2.0912183555954811E-2</v>
      </c>
      <c r="BS1557" s="519">
        <f t="shared" si="3566"/>
        <v>-0.13690250179302188</v>
      </c>
      <c r="BT1557" s="591">
        <f t="shared" si="3566"/>
        <v>-1.5308944228542676E-2</v>
      </c>
      <c r="BU1557" s="519">
        <f>BU1556/BP1556-1</f>
        <v>-0.1236078959851199</v>
      </c>
      <c r="BV1557" s="519">
        <f>BV1556/BQ1556-1</f>
        <v>-0.10818832937047784</v>
      </c>
      <c r="BW1557" s="519">
        <f>BW1556/BR1556-1</f>
        <v>9.5800873825748312E-2</v>
      </c>
      <c r="BX1557" s="519">
        <f>BX1556/BS1556-1</f>
        <v>0.18408369625706</v>
      </c>
      <c r="BY1557" s="591">
        <f>BY1556/BT1556-1</f>
        <v>5.7054811162753349E-3</v>
      </c>
      <c r="BZ1557" s="591">
        <f t="shared" ref="BZ1557:CF1557" si="3567">BZ1556/BY1556-1</f>
        <v>8.4021127253581795E-2</v>
      </c>
      <c r="CA1557" s="591">
        <f t="shared" si="3567"/>
        <v>2.9963903887775256E-3</v>
      </c>
      <c r="CB1557" s="591">
        <f t="shared" si="3567"/>
        <v>-0.42071388616979455</v>
      </c>
      <c r="CC1557" s="591">
        <f t="shared" si="3567"/>
        <v>0</v>
      </c>
      <c r="CD1557" s="591">
        <f t="shared" si="3567"/>
        <v>0</v>
      </c>
      <c r="CE1557" s="591">
        <f t="shared" si="3567"/>
        <v>0</v>
      </c>
      <c r="CF1557" s="591">
        <f t="shared" si="3567"/>
        <v>0</v>
      </c>
      <c r="CG1557" s="331"/>
      <c r="CH1557" s="331"/>
      <c r="CI1557" s="331"/>
      <c r="CJ1557" s="331"/>
      <c r="CK1557" s="331"/>
      <c r="CL1557" s="1617" t="str">
        <f>A1557</f>
        <v>% growth</v>
      </c>
      <c r="CM1557" s="519"/>
      <c r="CN1557" s="519"/>
      <c r="CO1557" s="519"/>
      <c r="CP1557" s="519"/>
      <c r="CQ1557" s="519"/>
      <c r="CR1557" s="519" t="e">
        <f>AF1557</f>
        <v>#DIV/0!</v>
      </c>
      <c r="CS1557" s="519">
        <f>AK1557</f>
        <v>9.2323438046452155E-2</v>
      </c>
      <c r="CT1557" s="519">
        <f>AP1557</f>
        <v>-4.2893397430162628E-3</v>
      </c>
      <c r="CU1557" s="519">
        <f>AU1557</f>
        <v>0.16016947549603722</v>
      </c>
      <c r="CV1557" s="519">
        <f>AZ1557</f>
        <v>0.21593002592236332</v>
      </c>
      <c r="CW1557" s="519">
        <f>BE1557</f>
        <v>-0.1058707588342952</v>
      </c>
      <c r="CX1557" s="519">
        <f>BJ1557</f>
        <v>-2.7296038869019545E-2</v>
      </c>
      <c r="CY1557" s="519">
        <f>BO1557</f>
        <v>4.5297751877931391E-2</v>
      </c>
      <c r="CZ1557" s="519">
        <f>BT1557</f>
        <v>-1.5308944228542676E-2</v>
      </c>
      <c r="DA1557" s="519">
        <f t="shared" si="3560"/>
        <v>5.7054811162753349E-3</v>
      </c>
      <c r="DB1557" s="519">
        <f t="shared" si="3560"/>
        <v>8.4021127253581795E-2</v>
      </c>
      <c r="DC1557" s="1462">
        <f t="shared" si="3560"/>
        <v>2.9963903887775256E-3</v>
      </c>
      <c r="DD1557" s="331"/>
      <c r="DE1557" s="331"/>
      <c r="DF1557" s="502"/>
      <c r="DG1557" s="503"/>
      <c r="DH1557" s="519"/>
      <c r="DI1557" s="3213"/>
      <c r="DJ1557" s="502"/>
      <c r="DK1557" s="503"/>
      <c r="DL1557" s="502"/>
      <c r="DM1557" s="502"/>
      <c r="DN1557" s="502"/>
      <c r="DO1557" s="502"/>
      <c r="DP1557" s="503"/>
      <c r="DQ1557" s="503"/>
      <c r="DR1557" s="428"/>
      <c r="DS1557" s="428"/>
      <c r="DT1557" s="428"/>
      <c r="DU1557"/>
      <c r="DV1557"/>
      <c r="DW1557"/>
      <c r="DX1557"/>
      <c r="DY1557"/>
      <c r="DZ1557"/>
    </row>
    <row r="1558" spans="1:130" ht="12" customHeight="1" x14ac:dyDescent="0.25">
      <c r="A1558" s="465" t="s">
        <v>1506</v>
      </c>
      <c r="B1558" s="466"/>
      <c r="C1558" s="467">
        <f t="shared" ref="C1558:AH1558" si="3568">C1556/C258</f>
        <v>5.724269679726432E-2</v>
      </c>
      <c r="D1558" s="467">
        <f t="shared" si="3568"/>
        <v>5.5910399872455323E-2</v>
      </c>
      <c r="E1558" s="467">
        <f t="shared" si="3568"/>
        <v>5.7118909988882388E-2</v>
      </c>
      <c r="F1558" s="467">
        <f t="shared" si="3568"/>
        <v>5.9171341005030936E-2</v>
      </c>
      <c r="G1558" s="468">
        <f t="shared" si="3568"/>
        <v>5.7326075493936299E-2</v>
      </c>
      <c r="H1558" s="467">
        <f t="shared" si="3568"/>
        <v>5.5058096151796181E-2</v>
      </c>
      <c r="I1558" s="467">
        <f t="shared" si="3568"/>
        <v>5.3912168640531534E-2</v>
      </c>
      <c r="J1558" s="467">
        <f t="shared" si="3568"/>
        <v>5.2074148680720855E-2</v>
      </c>
      <c r="K1558" s="467">
        <f t="shared" si="3568"/>
        <v>4.9814660859882086E-2</v>
      </c>
      <c r="L1558" s="468">
        <f t="shared" si="3568"/>
        <v>5.2217578643859147E-2</v>
      </c>
      <c r="M1558" s="467">
        <f t="shared" si="3568"/>
        <v>5.4251607850582625E-2</v>
      </c>
      <c r="N1558" s="467">
        <f t="shared" si="3568"/>
        <v>5.1558679422456517E-2</v>
      </c>
      <c r="O1558" s="467">
        <f t="shared" si="3568"/>
        <v>5.3225412933727581E-2</v>
      </c>
      <c r="P1558" s="467">
        <f t="shared" si="3568"/>
        <v>6.163624334698993E-2</v>
      </c>
      <c r="Q1558" s="468">
        <f t="shared" si="3568"/>
        <v>5.5223145149936641E-2</v>
      </c>
      <c r="R1558" s="467">
        <f t="shared" si="3568"/>
        <v>5.9299833293641344E-2</v>
      </c>
      <c r="S1558" s="467">
        <f t="shared" si="3568"/>
        <v>6.0171708964820152E-2</v>
      </c>
      <c r="T1558" s="467">
        <f t="shared" si="3568"/>
        <v>5.9164349829215965E-2</v>
      </c>
      <c r="U1558" s="467">
        <f t="shared" si="3568"/>
        <v>6.4341689980728548E-2</v>
      </c>
      <c r="V1558" s="468">
        <f t="shared" si="3568"/>
        <v>6.0700683234070359E-2</v>
      </c>
      <c r="W1558" s="467">
        <f t="shared" si="3568"/>
        <v>6.4861270036870769E-2</v>
      </c>
      <c r="X1558" s="467">
        <f t="shared" si="3568"/>
        <v>7.2805380720802615E-2</v>
      </c>
      <c r="Y1558" s="467">
        <f t="shared" si="3568"/>
        <v>7.1572957514885405E-2</v>
      </c>
      <c r="Z1558" s="467">
        <f t="shared" si="3568"/>
        <v>7.7653803455171366E-2</v>
      </c>
      <c r="AA1558" s="985">
        <f t="shared" si="3568"/>
        <v>7.1622453161362967E-2</v>
      </c>
      <c r="AB1558" s="467">
        <f t="shared" si="3568"/>
        <v>7.2571240032275663E-2</v>
      </c>
      <c r="AC1558" s="467">
        <f t="shared" si="3568"/>
        <v>8.0820637136998399E-2</v>
      </c>
      <c r="AD1558" s="467">
        <f t="shared" si="3568"/>
        <v>8.0678437073881476E-2</v>
      </c>
      <c r="AE1558" s="469">
        <f t="shared" si="3568"/>
        <v>9.5373205758843921E-2</v>
      </c>
      <c r="AF1558" s="984">
        <f t="shared" si="3568"/>
        <v>8.2065610788110283E-2</v>
      </c>
      <c r="AG1558" s="469">
        <f t="shared" si="3568"/>
        <v>8.6405559129056272E-2</v>
      </c>
      <c r="AH1558" s="467">
        <f t="shared" si="3568"/>
        <v>8.8002727678414758E-2</v>
      </c>
      <c r="AI1558" s="467">
        <f t="shared" ref="AI1558:BN1558" si="3569">AI1556/AI258</f>
        <v>8.4358000551502846E-2</v>
      </c>
      <c r="AJ1558" s="469">
        <f t="shared" si="3569"/>
        <v>8.6813990647725173E-2</v>
      </c>
      <c r="AK1558" s="984">
        <f t="shared" si="3569"/>
        <v>8.6367390491929819E-2</v>
      </c>
      <c r="AL1558" s="467">
        <f t="shared" si="3569"/>
        <v>7.9694403341414019E-2</v>
      </c>
      <c r="AM1558" s="467">
        <f t="shared" si="3569"/>
        <v>7.8836539565824815E-2</v>
      </c>
      <c r="AN1558" s="467">
        <f t="shared" si="3569"/>
        <v>7.3420499222821636E-2</v>
      </c>
      <c r="AO1558" s="469">
        <f t="shared" si="3569"/>
        <v>7.6713726069923882E-2</v>
      </c>
      <c r="AP1558" s="984">
        <f t="shared" si="3569"/>
        <v>7.7117498469326556E-2</v>
      </c>
      <c r="AQ1558" s="467">
        <f t="shared" si="3569"/>
        <v>7.246294115009802E-2</v>
      </c>
      <c r="AR1558" s="467">
        <f t="shared" si="3569"/>
        <v>7.970096175571996E-2</v>
      </c>
      <c r="AS1558" s="467">
        <f t="shared" si="3569"/>
        <v>8.8253347740734678E-2</v>
      </c>
      <c r="AT1558" s="469">
        <f t="shared" si="3569"/>
        <v>9.7902558580069424E-2</v>
      </c>
      <c r="AU1558" s="984">
        <f t="shared" si="3569"/>
        <v>8.4618369250879039E-2</v>
      </c>
      <c r="AV1558" s="471">
        <f t="shared" si="3569"/>
        <v>9.655043683275584E-2</v>
      </c>
      <c r="AW1558" s="469">
        <f t="shared" si="3569"/>
        <v>0.10588136401307639</v>
      </c>
      <c r="AX1558" s="469">
        <f t="shared" si="3569"/>
        <v>0.11193180625249323</v>
      </c>
      <c r="AY1558" s="1463">
        <f t="shared" si="3569"/>
        <v>9.4108595909427911E-2</v>
      </c>
      <c r="AZ1558" s="984">
        <f t="shared" si="3569"/>
        <v>0.10221005264575224</v>
      </c>
      <c r="BA1558" s="471">
        <f t="shared" si="3569"/>
        <v>0.10947931615399016</v>
      </c>
      <c r="BB1558" s="469">
        <f t="shared" si="3569"/>
        <v>0.10714471912731198</v>
      </c>
      <c r="BC1558" s="469">
        <f t="shared" si="3569"/>
        <v>9.6016657893922025E-2</v>
      </c>
      <c r="BD1558" s="1463">
        <f t="shared" si="3569"/>
        <v>9.9271987005689677E-2</v>
      </c>
      <c r="BE1558" s="984">
        <f t="shared" si="3569"/>
        <v>0.10296819798898138</v>
      </c>
      <c r="BF1558" s="469">
        <f t="shared" si="3569"/>
        <v>9.5415410652605323E-2</v>
      </c>
      <c r="BG1558" s="469">
        <f t="shared" si="3569"/>
        <v>8.8842951626064981E-2</v>
      </c>
      <c r="BH1558" s="469">
        <f t="shared" si="3569"/>
        <v>8.9464721214883872E-2</v>
      </c>
      <c r="BI1558" s="1463">
        <f t="shared" si="3569"/>
        <v>9.2205780368872156E-2</v>
      </c>
      <c r="BJ1558" s="984">
        <f t="shared" si="3569"/>
        <v>9.1412358835636656E-2</v>
      </c>
      <c r="BK1558" s="469">
        <f t="shared" si="3569"/>
        <v>8.7275976897379995E-2</v>
      </c>
      <c r="BL1558" s="469">
        <f t="shared" si="3569"/>
        <v>8.6015216617148935E-2</v>
      </c>
      <c r="BM1558" s="469">
        <f t="shared" si="3569"/>
        <v>8.8692876278250829E-2</v>
      </c>
      <c r="BN1558" s="1463">
        <f t="shared" si="3569"/>
        <v>9.5716843224616724E-2</v>
      </c>
      <c r="BO1558" s="984">
        <f t="shared" ref="BO1558:CF1558" si="3570">BO1556/BO258</f>
        <v>8.9380367653359175E-2</v>
      </c>
      <c r="BP1558" s="469">
        <f t="shared" si="3570"/>
        <v>9.0484190130683956E-2</v>
      </c>
      <c r="BQ1558" s="469">
        <f t="shared" si="3570"/>
        <v>8.6594104183119622E-2</v>
      </c>
      <c r="BR1558" s="469">
        <f t="shared" si="3570"/>
        <v>8.2459841711038928E-2</v>
      </c>
      <c r="BS1558" s="469">
        <f t="shared" si="3570"/>
        <v>7.9806406982247904E-2</v>
      </c>
      <c r="BT1558" s="984">
        <f t="shared" si="3570"/>
        <v>8.4836259557746763E-2</v>
      </c>
      <c r="BU1558" s="469">
        <f t="shared" si="3570"/>
        <v>7.6603786079022712E-2</v>
      </c>
      <c r="BV1558" s="469">
        <f t="shared" si="3570"/>
        <v>7.5520013839156713E-2</v>
      </c>
      <c r="BW1558" s="469">
        <f t="shared" si="3570"/>
        <v>5.6013877136951266E-2</v>
      </c>
      <c r="BX1558" s="469">
        <f t="shared" si="3570"/>
        <v>5.8175732451289458E-2</v>
      </c>
      <c r="BY1558" s="984">
        <f t="shared" si="3570"/>
        <v>6.4559538688635426E-2</v>
      </c>
      <c r="BZ1558" s="984">
        <f t="shared" si="3570"/>
        <v>5.6478110924579362E-2</v>
      </c>
      <c r="CA1558" s="984">
        <f t="shared" si="3570"/>
        <v>5.6885280434220004E-2</v>
      </c>
      <c r="CB1558" s="984">
        <f t="shared" si="3570"/>
        <v>5.8504893376507043E-2</v>
      </c>
      <c r="CC1558" s="984">
        <f t="shared" si="3570"/>
        <v>6.1332216238016497E-2</v>
      </c>
      <c r="CD1558" s="984">
        <f t="shared" si="3570"/>
        <v>6.0176833560919157E-2</v>
      </c>
      <c r="CE1558" s="984">
        <f t="shared" si="3570"/>
        <v>5.9013023752379587E-2</v>
      </c>
      <c r="CF1558" s="984">
        <f t="shared" si="3570"/>
        <v>5.7928187567546509E-2</v>
      </c>
      <c r="CG1558" s="492"/>
      <c r="CH1558" s="492"/>
      <c r="CI1558" s="492"/>
      <c r="CJ1558" s="492"/>
      <c r="CK1558" s="492"/>
      <c r="CL1558" s="2237" t="str">
        <f>A1558</f>
        <v>% of net revenue</v>
      </c>
      <c r="CM1558" s="2238">
        <f>G1558</f>
        <v>5.7326075493936299E-2</v>
      </c>
      <c r="CN1558" s="2238">
        <f>L1558</f>
        <v>5.2217578643859147E-2</v>
      </c>
      <c r="CO1558" s="2238">
        <f>Q1558</f>
        <v>5.5223145149936641E-2</v>
      </c>
      <c r="CP1558" s="2238">
        <f>V1558</f>
        <v>6.0700683234070359E-2</v>
      </c>
      <c r="CQ1558" s="2238">
        <f>AA1558</f>
        <v>7.1622453161362967E-2</v>
      </c>
      <c r="CR1558" s="2238">
        <f>AF1558</f>
        <v>8.2065610788110283E-2</v>
      </c>
      <c r="CS1558" s="2238">
        <f>AK1558</f>
        <v>8.6367390491929819E-2</v>
      </c>
      <c r="CT1558" s="2238">
        <f>AP1558</f>
        <v>7.7117498469326556E-2</v>
      </c>
      <c r="CU1558" s="2238">
        <f>AU1558</f>
        <v>8.4618369250879039E-2</v>
      </c>
      <c r="CV1558" s="2238">
        <f>AZ1558</f>
        <v>0.10221005264575224</v>
      </c>
      <c r="CW1558" s="2238">
        <f>BE1558</f>
        <v>0.10296819798898138</v>
      </c>
      <c r="CX1558" s="2238">
        <f>BJ1558</f>
        <v>9.1412358835636656E-2</v>
      </c>
      <c r="CY1558" s="2238">
        <f>BO1558</f>
        <v>8.9380367653359175E-2</v>
      </c>
      <c r="CZ1558" s="2238">
        <f>BT1558</f>
        <v>8.4836259557746763E-2</v>
      </c>
      <c r="DA1558" s="2238">
        <f t="shared" si="3560"/>
        <v>6.4559538688635426E-2</v>
      </c>
      <c r="DB1558" s="2238">
        <f t="shared" si="3560"/>
        <v>5.6478110924579362E-2</v>
      </c>
      <c r="DC1558" s="1884">
        <f t="shared" si="3560"/>
        <v>5.6885280434220004E-2</v>
      </c>
      <c r="DD1558" s="492"/>
      <c r="DE1558" s="492"/>
      <c r="DF1558" s="962"/>
      <c r="DG1558" s="962"/>
      <c r="DH1558" s="469"/>
      <c r="DI1558" s="3213"/>
      <c r="DJ1558" s="962"/>
      <c r="DK1558" s="962"/>
      <c r="DL1558" s="962"/>
      <c r="DM1558" s="962"/>
      <c r="DN1558" s="962"/>
      <c r="DO1558" s="962"/>
      <c r="DP1558" s="962"/>
      <c r="DQ1558" s="962"/>
      <c r="DR1558" s="963"/>
      <c r="DS1558" s="963"/>
      <c r="DT1558" s="963"/>
    </row>
    <row r="1559" spans="1:130" ht="12" customHeight="1" x14ac:dyDescent="0.25">
      <c r="A1559" s="465"/>
      <c r="B1559" s="466"/>
      <c r="C1559" s="467"/>
      <c r="D1559" s="467"/>
      <c r="E1559" s="467"/>
      <c r="F1559" s="467"/>
      <c r="G1559" s="467"/>
      <c r="H1559" s="467"/>
      <c r="I1559" s="467"/>
      <c r="J1559" s="467"/>
      <c r="K1559" s="467"/>
      <c r="L1559" s="467"/>
      <c r="M1559" s="467"/>
      <c r="N1559" s="467"/>
      <c r="O1559" s="467"/>
      <c r="P1559" s="467"/>
      <c r="Q1559" s="467"/>
      <c r="R1559" s="467"/>
      <c r="S1559" s="467"/>
      <c r="T1559" s="467"/>
      <c r="U1559" s="467"/>
      <c r="V1559" s="467"/>
      <c r="W1559" s="467"/>
      <c r="X1559" s="467"/>
      <c r="Y1559" s="467"/>
      <c r="Z1559" s="467"/>
      <c r="AA1559" s="467"/>
      <c r="AB1559" s="467"/>
      <c r="AC1559" s="467"/>
      <c r="AD1559" s="467"/>
      <c r="AE1559" s="469"/>
      <c r="AF1559" s="469"/>
      <c r="AG1559" s="469"/>
      <c r="AH1559" s="467"/>
      <c r="AI1559" s="467"/>
      <c r="AJ1559" s="469"/>
      <c r="AK1559" s="469"/>
      <c r="AL1559" s="467"/>
      <c r="AM1559" s="467"/>
      <c r="AN1559" s="467"/>
      <c r="AO1559" s="469"/>
      <c r="AP1559" s="469"/>
      <c r="AQ1559" s="469"/>
      <c r="AR1559" s="469"/>
      <c r="AS1559" s="469"/>
      <c r="AT1559" s="469"/>
      <c r="AU1559" s="469"/>
      <c r="AV1559" s="469"/>
      <c r="AW1559" s="469"/>
      <c r="AX1559" s="469"/>
      <c r="AY1559" s="469"/>
      <c r="AZ1559" s="469"/>
      <c r="BA1559" s="469"/>
      <c r="BB1559" s="469"/>
      <c r="BC1559" s="469"/>
      <c r="BD1559" s="469"/>
      <c r="BE1559" s="469"/>
      <c r="BF1559" s="469"/>
      <c r="BG1559" s="469"/>
      <c r="BH1559" s="469"/>
      <c r="BI1559" s="3093"/>
      <c r="BJ1559" s="469"/>
      <c r="BK1559" s="469"/>
      <c r="BL1559" s="469"/>
      <c r="BM1559" s="469"/>
      <c r="BN1559" s="469"/>
      <c r="BO1559" s="469"/>
      <c r="BP1559" s="469"/>
      <c r="BQ1559" s="469"/>
      <c r="BR1559" s="469"/>
      <c r="BS1559" s="469"/>
      <c r="BT1559" s="469"/>
      <c r="BU1559" s="469"/>
      <c r="BV1559" s="469"/>
      <c r="BW1559" s="469"/>
      <c r="BX1559" s="469"/>
      <c r="BY1559" s="469"/>
      <c r="BZ1559" s="469"/>
      <c r="CA1559" s="469"/>
      <c r="CB1559" s="469"/>
      <c r="CC1559" s="469"/>
      <c r="CD1559" s="469"/>
      <c r="CE1559" s="469"/>
      <c r="CF1559" s="469"/>
      <c r="CG1559" s="492"/>
      <c r="CH1559" s="492"/>
      <c r="CI1559" s="492"/>
      <c r="CJ1559" s="492"/>
      <c r="CK1559" s="492"/>
      <c r="CL1559" s="2239"/>
      <c r="CM1559" s="469"/>
      <c r="CN1559" s="469"/>
      <c r="CO1559" s="469"/>
      <c r="CP1559" s="469"/>
      <c r="CQ1559" s="469"/>
      <c r="CR1559" s="469"/>
      <c r="CS1559" s="469"/>
      <c r="CT1559" s="469"/>
      <c r="CU1559" s="469"/>
      <c r="CV1559" s="469"/>
      <c r="CW1559" s="469"/>
      <c r="CX1559" s="469"/>
      <c r="CY1559" s="469"/>
      <c r="CZ1559" s="469"/>
      <c r="DA1559" s="469"/>
      <c r="DB1559" s="469"/>
      <c r="DC1559" s="469"/>
      <c r="DD1559" s="492"/>
      <c r="DE1559" s="492"/>
      <c r="DF1559" s="962"/>
      <c r="DG1559" s="962"/>
      <c r="DH1559" s="469"/>
      <c r="DI1559" s="3213"/>
      <c r="DJ1559" s="962"/>
      <c r="DK1559" s="962"/>
      <c r="DL1559" s="962"/>
      <c r="DM1559" s="962"/>
      <c r="DN1559" s="962"/>
      <c r="DO1559" s="962"/>
      <c r="DP1559" s="962"/>
      <c r="DQ1559" s="962"/>
      <c r="DR1559" s="603"/>
      <c r="DS1559" s="603"/>
      <c r="DT1559" s="603"/>
    </row>
    <row r="1560" spans="1:130" ht="12" customHeight="1" x14ac:dyDescent="0.25">
      <c r="A1560" s="333"/>
      <c r="B1560" s="281"/>
      <c r="C1560" s="305"/>
      <c r="D1560" s="305"/>
      <c r="E1560" s="305"/>
      <c r="F1560" s="305"/>
      <c r="G1560" s="444"/>
      <c r="H1560" s="305"/>
      <c r="I1560" s="305"/>
      <c r="J1560" s="305"/>
      <c r="K1560" s="305"/>
      <c r="L1560" s="444"/>
      <c r="M1560" s="305"/>
      <c r="N1560" s="305"/>
      <c r="O1560" s="305"/>
      <c r="P1560" s="305"/>
      <c r="Q1560" s="444"/>
      <c r="R1560" s="305"/>
      <c r="S1560" s="305"/>
      <c r="T1560" s="305"/>
      <c r="U1560" s="305"/>
      <c r="V1560" s="444"/>
      <c r="W1560" s="305"/>
      <c r="X1560" s="305"/>
      <c r="Y1560" s="305"/>
      <c r="Z1560" s="305"/>
      <c r="AA1560" s="444"/>
      <c r="AB1560" s="305"/>
      <c r="AC1560" s="305"/>
      <c r="AD1560" s="305"/>
      <c r="AE1560" s="331"/>
      <c r="AF1560" s="442"/>
      <c r="AG1560" s="331"/>
      <c r="AH1560" s="331"/>
      <c r="AI1560" s="331"/>
      <c r="AJ1560" s="331"/>
      <c r="AK1560" s="442"/>
      <c r="AL1560" s="442"/>
      <c r="AM1560" s="442"/>
      <c r="AN1560" s="442"/>
      <c r="AO1560" s="442"/>
      <c r="AP1560" s="331"/>
      <c r="AQ1560" s="331"/>
      <c r="AR1560" s="331"/>
      <c r="AS1560" s="331"/>
      <c r="AT1560" s="331"/>
      <c r="AU1560" s="331"/>
      <c r="AV1560" s="331"/>
      <c r="AW1560" s="331"/>
      <c r="AX1560" s="331"/>
      <c r="AY1560" s="331"/>
      <c r="AZ1560" s="331"/>
      <c r="BA1560" s="331"/>
      <c r="BB1560" s="331"/>
      <c r="BC1560" s="331"/>
      <c r="BD1560" s="331"/>
      <c r="BE1560" s="331"/>
      <c r="BF1560" s="331"/>
      <c r="BG1560" s="331"/>
      <c r="BH1560" s="331"/>
      <c r="BI1560" s="331"/>
      <c r="BJ1560" s="331"/>
      <c r="BK1560" s="331"/>
      <c r="BL1560" s="331"/>
      <c r="BM1560" s="331"/>
      <c r="BN1560" s="331"/>
      <c r="BO1560" s="331"/>
      <c r="BP1560" s="331"/>
      <c r="BQ1560" s="331"/>
      <c r="BR1560" s="331"/>
      <c r="BS1560" s="331"/>
      <c r="BT1560" s="2601"/>
      <c r="BU1560" s="2601"/>
      <c r="BV1560" s="2601"/>
      <c r="BW1560" s="2601"/>
      <c r="BX1560" s="2601"/>
      <c r="BY1560" s="2601"/>
      <c r="BZ1560" s="331"/>
      <c r="CA1560" s="331"/>
      <c r="CB1560" s="331"/>
      <c r="CC1560" s="331"/>
      <c r="CD1560" s="331"/>
      <c r="CE1560" s="331"/>
      <c r="CF1560" s="331"/>
      <c r="CG1560" s="331"/>
      <c r="CH1560" s="331"/>
      <c r="CI1560" s="331"/>
      <c r="CJ1560" s="331"/>
      <c r="CK1560" s="331"/>
      <c r="CL1560" s="533"/>
      <c r="CM1560" s="331"/>
      <c r="CN1560" s="331"/>
      <c r="CO1560" s="331"/>
      <c r="CP1560" s="331"/>
      <c r="CQ1560" s="331"/>
      <c r="CR1560" s="331"/>
      <c r="CS1560" s="331"/>
      <c r="CT1560" s="331"/>
      <c r="CU1560" s="331"/>
      <c r="CV1560" s="331"/>
      <c r="CW1560" s="331"/>
      <c r="CX1560" s="331"/>
      <c r="CY1560" s="331"/>
      <c r="CZ1560" s="331"/>
      <c r="DA1560" s="331"/>
      <c r="DB1560" s="331"/>
      <c r="DC1560" s="331"/>
      <c r="DD1560" s="331"/>
      <c r="DE1560" s="331"/>
      <c r="DF1560" s="502"/>
      <c r="DG1560" s="503"/>
      <c r="DH1560" s="2601"/>
      <c r="DI1560" s="3213"/>
      <c r="DJ1560" s="502"/>
      <c r="DK1560" s="503"/>
      <c r="DL1560" s="502"/>
      <c r="DM1560" s="502"/>
      <c r="DN1560" s="502"/>
      <c r="DO1560" s="502"/>
      <c r="DP1560" s="503"/>
      <c r="DQ1560" s="503"/>
      <c r="DR1560" s="428"/>
      <c r="DS1560" s="428"/>
      <c r="DT1560" s="428"/>
    </row>
    <row r="1561" spans="1:130" ht="13.5" customHeight="1" x14ac:dyDescent="0.25">
      <c r="A1561" s="432" t="s">
        <v>924</v>
      </c>
      <c r="B1561" s="522"/>
      <c r="C1561" s="433" t="str">
        <f>C$6</f>
        <v>1Q04</v>
      </c>
      <c r="D1561" s="433" t="str">
        <f t="shared" ref="D1561:CB1561" si="3571">D$6</f>
        <v>2Q04</v>
      </c>
      <c r="E1561" s="433" t="str">
        <f t="shared" si="3571"/>
        <v>3Q04</v>
      </c>
      <c r="F1561" s="433" t="str">
        <f t="shared" si="3571"/>
        <v>4Q04</v>
      </c>
      <c r="G1561" s="434">
        <f t="shared" si="3571"/>
        <v>2004</v>
      </c>
      <c r="H1561" s="433" t="str">
        <f t="shared" si="3571"/>
        <v>1Q05</v>
      </c>
      <c r="I1561" s="433" t="str">
        <f t="shared" si="3571"/>
        <v>2Q05</v>
      </c>
      <c r="J1561" s="433" t="str">
        <f t="shared" si="3571"/>
        <v>3Q05</v>
      </c>
      <c r="K1561" s="433" t="str">
        <f t="shared" si="3571"/>
        <v>4Q05</v>
      </c>
      <c r="L1561" s="434">
        <f t="shared" si="3571"/>
        <v>2005</v>
      </c>
      <c r="M1561" s="433" t="str">
        <f t="shared" si="3571"/>
        <v>1Q06</v>
      </c>
      <c r="N1561" s="433" t="str">
        <f t="shared" si="3571"/>
        <v>2Q06</v>
      </c>
      <c r="O1561" s="433" t="str">
        <f t="shared" si="3571"/>
        <v>3Q06</v>
      </c>
      <c r="P1561" s="433" t="str">
        <f t="shared" si="3571"/>
        <v>4Q06</v>
      </c>
      <c r="Q1561" s="434">
        <f t="shared" si="3571"/>
        <v>2006</v>
      </c>
      <c r="R1561" s="433" t="str">
        <f t="shared" si="3571"/>
        <v>1Q07</v>
      </c>
      <c r="S1561" s="433" t="str">
        <f t="shared" si="3571"/>
        <v>2Q07</v>
      </c>
      <c r="T1561" s="433" t="str">
        <f t="shared" si="3571"/>
        <v>3Q07</v>
      </c>
      <c r="U1561" s="433" t="str">
        <f t="shared" si="3571"/>
        <v>4Q07</v>
      </c>
      <c r="V1561" s="434">
        <f t="shared" si="3571"/>
        <v>2007</v>
      </c>
      <c r="W1561" s="433" t="str">
        <f t="shared" si="3571"/>
        <v>1Q08</v>
      </c>
      <c r="X1561" s="433" t="str">
        <f t="shared" si="3571"/>
        <v>2Q08</v>
      </c>
      <c r="Y1561" s="433" t="str">
        <f t="shared" si="3571"/>
        <v>3Q08</v>
      </c>
      <c r="Z1561" s="433" t="str">
        <f t="shared" si="3571"/>
        <v>4Q08</v>
      </c>
      <c r="AA1561" s="434">
        <f t="shared" si="3571"/>
        <v>2008</v>
      </c>
      <c r="AB1561" s="433" t="str">
        <f t="shared" si="3571"/>
        <v>1Q09</v>
      </c>
      <c r="AC1561" s="433" t="str">
        <f t="shared" si="3571"/>
        <v>2Q09</v>
      </c>
      <c r="AD1561" s="433" t="str">
        <f t="shared" si="3571"/>
        <v>3Q09</v>
      </c>
      <c r="AE1561" s="433" t="str">
        <f t="shared" si="3571"/>
        <v>4Q09</v>
      </c>
      <c r="AF1561" s="434">
        <f t="shared" si="3571"/>
        <v>2009</v>
      </c>
      <c r="AG1561" s="433" t="str">
        <f t="shared" si="3571"/>
        <v>1Q10</v>
      </c>
      <c r="AH1561" s="433" t="str">
        <f t="shared" si="3571"/>
        <v>2Q10</v>
      </c>
      <c r="AI1561" s="433" t="str">
        <f t="shared" si="3571"/>
        <v>3Q10</v>
      </c>
      <c r="AJ1561" s="433" t="str">
        <f t="shared" si="3571"/>
        <v>4Q10</v>
      </c>
      <c r="AK1561" s="434">
        <f t="shared" si="3571"/>
        <v>2010</v>
      </c>
      <c r="AL1561" s="435" t="str">
        <f t="shared" si="3571"/>
        <v>1Q11</v>
      </c>
      <c r="AM1561" s="435" t="str">
        <f t="shared" si="3571"/>
        <v>2Q11</v>
      </c>
      <c r="AN1561" s="435" t="str">
        <f t="shared" si="3571"/>
        <v>3Q11</v>
      </c>
      <c r="AO1561" s="435" t="str">
        <f t="shared" si="3571"/>
        <v>4Q11</v>
      </c>
      <c r="AP1561" s="436">
        <f t="shared" si="3571"/>
        <v>2011</v>
      </c>
      <c r="AQ1561" s="436" t="str">
        <f t="shared" si="3571"/>
        <v>1Q12</v>
      </c>
      <c r="AR1561" s="437" t="str">
        <f t="shared" si="3571"/>
        <v>2Q12</v>
      </c>
      <c r="AS1561" s="437" t="str">
        <f t="shared" si="3571"/>
        <v>3Q12</v>
      </c>
      <c r="AT1561" s="437" t="str">
        <f t="shared" si="3571"/>
        <v>4Q12</v>
      </c>
      <c r="AU1561" s="438">
        <f t="shared" si="3571"/>
        <v>2012</v>
      </c>
      <c r="AV1561" s="436" t="str">
        <f t="shared" si="3571"/>
        <v>1Q13</v>
      </c>
      <c r="AW1561" s="437" t="str">
        <f t="shared" si="3571"/>
        <v>2Q13</v>
      </c>
      <c r="AX1561" s="437" t="str">
        <f t="shared" si="3571"/>
        <v>3Q13</v>
      </c>
      <c r="AY1561" s="861" t="str">
        <f t="shared" si="3571"/>
        <v>4Q13</v>
      </c>
      <c r="AZ1561" s="438">
        <f t="shared" si="3571"/>
        <v>2013</v>
      </c>
      <c r="BA1561" s="436" t="str">
        <f t="shared" si="3571"/>
        <v>1Q14</v>
      </c>
      <c r="BB1561" s="437" t="str">
        <f t="shared" si="3571"/>
        <v>2Q14</v>
      </c>
      <c r="BC1561" s="437" t="str">
        <f t="shared" si="3571"/>
        <v>3Q14</v>
      </c>
      <c r="BD1561" s="861" t="str">
        <f t="shared" si="3571"/>
        <v>4Q14</v>
      </c>
      <c r="BE1561" s="438">
        <f t="shared" si="3571"/>
        <v>2014</v>
      </c>
      <c r="BF1561" s="437" t="str">
        <f t="shared" si="3571"/>
        <v>1Q15</v>
      </c>
      <c r="BG1561" s="437" t="str">
        <f t="shared" si="3571"/>
        <v>2Q15</v>
      </c>
      <c r="BH1561" s="437" t="str">
        <f t="shared" si="3571"/>
        <v>3Q15</v>
      </c>
      <c r="BI1561" s="861" t="str">
        <f t="shared" si="3571"/>
        <v>4Q15</v>
      </c>
      <c r="BJ1561" s="438">
        <f t="shared" si="3571"/>
        <v>2015</v>
      </c>
      <c r="BK1561" s="437" t="str">
        <f t="shared" si="3571"/>
        <v>1Q16</v>
      </c>
      <c r="BL1561" s="437" t="str">
        <f t="shared" si="3571"/>
        <v>2Q16</v>
      </c>
      <c r="BM1561" s="437" t="str">
        <f t="shared" si="3571"/>
        <v>3Q16</v>
      </c>
      <c r="BN1561" s="861" t="str">
        <f t="shared" si="3571"/>
        <v>4Q16</v>
      </c>
      <c r="BO1561" s="438">
        <f t="shared" si="3571"/>
        <v>2016</v>
      </c>
      <c r="BP1561" s="437" t="str">
        <f t="shared" si="3571"/>
        <v>1Q17</v>
      </c>
      <c r="BQ1561" s="437" t="str">
        <f t="shared" si="3571"/>
        <v>2Q17</v>
      </c>
      <c r="BR1561" s="437" t="str">
        <f t="shared" si="3571"/>
        <v>3Q17</v>
      </c>
      <c r="BS1561" s="437" t="str">
        <f t="shared" si="3571"/>
        <v>4Q17</v>
      </c>
      <c r="BT1561" s="438">
        <f t="shared" si="3571"/>
        <v>2017</v>
      </c>
      <c r="BU1561" s="437" t="str">
        <f t="shared" si="3571"/>
        <v>1Q18E</v>
      </c>
      <c r="BV1561" s="437" t="str">
        <f t="shared" si="3571"/>
        <v>2Q18E</v>
      </c>
      <c r="BW1561" s="437" t="str">
        <f t="shared" si="3571"/>
        <v>3Q18E</v>
      </c>
      <c r="BX1561" s="437" t="str">
        <f t="shared" si="3571"/>
        <v>4Q18E</v>
      </c>
      <c r="BY1561" s="438" t="str">
        <f t="shared" si="3571"/>
        <v>2018E</v>
      </c>
      <c r="BZ1561" s="438" t="str">
        <f t="shared" si="3571"/>
        <v>2019E</v>
      </c>
      <c r="CA1561" s="438" t="str">
        <f t="shared" si="3571"/>
        <v>2020E</v>
      </c>
      <c r="CB1561" s="438" t="str">
        <f t="shared" si="3571"/>
        <v>2021E</v>
      </c>
      <c r="CC1561" s="438" t="str">
        <f>CC$6</f>
        <v>2022E</v>
      </c>
      <c r="CD1561" s="438" t="str">
        <f>CD$6</f>
        <v>2023E</v>
      </c>
      <c r="CE1561" s="438" t="str">
        <f>CE$6</f>
        <v>2024E</v>
      </c>
      <c r="CF1561" s="438" t="str">
        <f>CF$6</f>
        <v>2025E</v>
      </c>
      <c r="CG1561" s="331"/>
      <c r="CH1561" s="331"/>
      <c r="CI1561" s="331"/>
      <c r="CJ1561" s="331"/>
      <c r="CK1561" s="331"/>
      <c r="CL1561" s="2102" t="str">
        <f>A1561</f>
        <v>COVENANT ANALYSIS ($ in millions)</v>
      </c>
      <c r="CM1561" s="2199">
        <f>G1561</f>
        <v>2004</v>
      </c>
      <c r="CN1561" s="2199">
        <f>L1561</f>
        <v>2005</v>
      </c>
      <c r="CO1561" s="2199">
        <f>Q1561</f>
        <v>2006</v>
      </c>
      <c r="CP1561" s="2199">
        <f>V1561</f>
        <v>2007</v>
      </c>
      <c r="CQ1561" s="2199">
        <f>AA1561</f>
        <v>2008</v>
      </c>
      <c r="CR1561" s="2199">
        <f>AF1561</f>
        <v>2009</v>
      </c>
      <c r="CS1561" s="2199">
        <f>AK1561</f>
        <v>2010</v>
      </c>
      <c r="CT1561" s="2199">
        <f>AP1561</f>
        <v>2011</v>
      </c>
      <c r="CU1561" s="2199">
        <f>AU1561</f>
        <v>2012</v>
      </c>
      <c r="CV1561" s="2199">
        <f>AZ1561</f>
        <v>2013</v>
      </c>
      <c r="CW1561" s="2199">
        <f>BE1561</f>
        <v>2014</v>
      </c>
      <c r="CX1561" s="2199">
        <f>BJ1561</f>
        <v>2015</v>
      </c>
      <c r="CY1561" s="2199">
        <f>BO1561</f>
        <v>2016</v>
      </c>
      <c r="CZ1561" s="2199">
        <f>BT1561</f>
        <v>2017</v>
      </c>
      <c r="DA1561" s="2199" t="str">
        <f>BY1561</f>
        <v>2018E</v>
      </c>
      <c r="DB1561" s="2199" t="str">
        <f>BZ1561</f>
        <v>2019E</v>
      </c>
      <c r="DC1561" s="2200" t="str">
        <f>CA1561</f>
        <v>2020E</v>
      </c>
      <c r="DD1561" s="331"/>
      <c r="DE1561" s="331"/>
      <c r="DF1561" s="502"/>
      <c r="DG1561" s="503"/>
      <c r="DH1561" s="537"/>
      <c r="DI1561" s="3213"/>
      <c r="DJ1561" s="502"/>
      <c r="DK1561" s="503"/>
      <c r="DL1561" s="502"/>
      <c r="DM1561" s="502"/>
      <c r="DN1561" s="502"/>
      <c r="DO1561" s="502"/>
      <c r="DP1561" s="503"/>
      <c r="DQ1561" s="503"/>
      <c r="DR1561" s="296"/>
      <c r="DS1561" s="296"/>
      <c r="DT1561" s="296"/>
    </row>
    <row r="1562" spans="1:130" ht="12.75" customHeight="1" x14ac:dyDescent="0.25">
      <c r="A1562" s="281"/>
      <c r="B1562" s="281"/>
      <c r="C1562" s="281"/>
      <c r="D1562" s="281"/>
      <c r="E1562" s="281"/>
      <c r="F1562" s="281"/>
      <c r="G1562" s="419"/>
      <c r="H1562" s="281"/>
      <c r="I1562" s="281"/>
      <c r="J1562" s="281"/>
      <c r="K1562" s="281"/>
      <c r="L1562" s="419"/>
      <c r="M1562" s="281"/>
      <c r="N1562" s="281"/>
      <c r="O1562" s="281"/>
      <c r="P1562" s="281"/>
      <c r="Q1562" s="419"/>
      <c r="R1562" s="281"/>
      <c r="S1562" s="281"/>
      <c r="T1562" s="281"/>
      <c r="U1562" s="281"/>
      <c r="V1562" s="419"/>
      <c r="W1562" s="281"/>
      <c r="X1562" s="281"/>
      <c r="Y1562" s="281"/>
      <c r="Z1562" s="281"/>
      <c r="AA1562" s="419"/>
      <c r="AB1562" s="281"/>
      <c r="AC1562" s="281"/>
      <c r="AD1562" s="281"/>
      <c r="AE1562" s="428"/>
      <c r="AF1562" s="429"/>
      <c r="AG1562" s="428"/>
      <c r="AH1562" s="428"/>
      <c r="AI1562" s="428"/>
      <c r="AJ1562" s="428"/>
      <c r="AK1562" s="429"/>
      <c r="AL1562" s="428"/>
      <c r="AM1562" s="428"/>
      <c r="AN1562" s="428"/>
      <c r="AO1562" s="428"/>
      <c r="AP1562" s="520"/>
      <c r="AQ1562" s="520"/>
      <c r="AR1562" s="428"/>
      <c r="AS1562" s="428"/>
      <c r="AT1562" s="428"/>
      <c r="AU1562" s="429"/>
      <c r="AV1562" s="520"/>
      <c r="AW1562" s="428"/>
      <c r="AX1562" s="428"/>
      <c r="AY1562" s="840"/>
      <c r="AZ1562" s="524"/>
      <c r="BA1562" s="428"/>
      <c r="BB1562" s="428"/>
      <c r="BC1562" s="428"/>
      <c r="BD1562" s="428"/>
      <c r="BE1562" s="429"/>
      <c r="BF1562" s="428"/>
      <c r="BG1562" s="428"/>
      <c r="BH1562" s="428"/>
      <c r="BI1562" s="428"/>
      <c r="BJ1562" s="429"/>
      <c r="BK1562" s="428"/>
      <c r="BL1562" s="428"/>
      <c r="BM1562" s="428"/>
      <c r="BN1562" s="428"/>
      <c r="BO1562" s="429"/>
      <c r="BP1562" s="428"/>
      <c r="BQ1562" s="428"/>
      <c r="BR1562" s="428"/>
      <c r="BS1562" s="428"/>
      <c r="BT1562" s="3252"/>
      <c r="BU1562" s="2774"/>
      <c r="BV1562" s="3011"/>
      <c r="BW1562" s="3011"/>
      <c r="BX1562" s="3011"/>
      <c r="BY1562" s="3252"/>
      <c r="BZ1562" s="429"/>
      <c r="CA1562" s="429"/>
      <c r="CB1562" s="429"/>
      <c r="CC1562" s="429"/>
      <c r="CD1562" s="429"/>
      <c r="CE1562" s="429"/>
      <c r="CF1562" s="429"/>
      <c r="CG1562" s="331"/>
      <c r="CH1562" s="331"/>
      <c r="CI1562" s="331"/>
      <c r="CJ1562" s="331"/>
      <c r="CK1562" s="331"/>
      <c r="CL1562" s="520"/>
      <c r="CM1562" s="428"/>
      <c r="CN1562" s="428"/>
      <c r="CO1562" s="428"/>
      <c r="CP1562" s="428"/>
      <c r="CQ1562" s="428"/>
      <c r="CR1562" s="428"/>
      <c r="CS1562" s="428"/>
      <c r="CT1562" s="428"/>
      <c r="CU1562" s="428"/>
      <c r="CV1562" s="428"/>
      <c r="CW1562" s="428"/>
      <c r="CX1562" s="428"/>
      <c r="CY1562" s="428"/>
      <c r="CZ1562" s="428"/>
      <c r="DA1562" s="428"/>
      <c r="DB1562" s="428"/>
      <c r="DC1562" s="840"/>
      <c r="DD1562" s="331"/>
      <c r="DE1562" s="331"/>
      <c r="DF1562" s="502"/>
      <c r="DG1562" s="503"/>
      <c r="DH1562" s="3011"/>
      <c r="DI1562" s="3213"/>
      <c r="DJ1562" s="502"/>
      <c r="DK1562" s="503"/>
      <c r="DL1562" s="502"/>
      <c r="DM1562" s="502"/>
      <c r="DN1562" s="502"/>
      <c r="DO1562" s="502"/>
      <c r="DP1562" s="503"/>
      <c r="DQ1562" s="503"/>
      <c r="DR1562" s="296"/>
      <c r="DS1562" s="296"/>
      <c r="DT1562" s="296"/>
    </row>
    <row r="1563" spans="1:130" ht="13.5" customHeight="1" x14ac:dyDescent="0.25">
      <c r="A1563" s="281" t="s">
        <v>1589</v>
      </c>
      <c r="B1563" s="281"/>
      <c r="C1563" s="509">
        <f t="shared" ref="C1563:AM1563" si="3572">SUM(C1377:C1380)+C1395</f>
        <v>393.89</v>
      </c>
      <c r="D1563" s="509">
        <f t="shared" si="3572"/>
        <v>392.53200000000004</v>
      </c>
      <c r="E1563" s="509">
        <f t="shared" si="3572"/>
        <v>334.79399999999998</v>
      </c>
      <c r="F1563" s="509">
        <f t="shared" si="3572"/>
        <v>283.90899999999999</v>
      </c>
      <c r="G1563" s="510">
        <f t="shared" si="3572"/>
        <v>283.90899999999999</v>
      </c>
      <c r="H1563" s="509">
        <f t="shared" si="3572"/>
        <v>172.96700000000001</v>
      </c>
      <c r="I1563" s="509">
        <f t="shared" si="3572"/>
        <v>13.382</v>
      </c>
      <c r="J1563" s="509">
        <f t="shared" si="3572"/>
        <v>13.112</v>
      </c>
      <c r="K1563" s="509">
        <f t="shared" si="3572"/>
        <v>2161.0659999999998</v>
      </c>
      <c r="L1563" s="510">
        <f t="shared" si="3572"/>
        <v>2161.0659999999998</v>
      </c>
      <c r="M1563" s="509">
        <f t="shared" si="3572"/>
        <v>2295.6669999999999</v>
      </c>
      <c r="N1563" s="509">
        <f t="shared" si="3572"/>
        <v>2357.2420000000002</v>
      </c>
      <c r="O1563" s="509">
        <f t="shared" si="3572"/>
        <v>2327.5770000000002</v>
      </c>
      <c r="P1563" s="509">
        <f t="shared" si="3572"/>
        <v>2354.4070000000002</v>
      </c>
      <c r="Q1563" s="510">
        <f t="shared" si="3572"/>
        <v>2354.4070000000002</v>
      </c>
      <c r="R1563" s="509">
        <f t="shared" si="3572"/>
        <v>2317.9560000000001</v>
      </c>
      <c r="S1563" s="509">
        <f t="shared" si="3572"/>
        <v>2469.5189999999998</v>
      </c>
      <c r="T1563" s="509">
        <f t="shared" si="3572"/>
        <v>2449.576</v>
      </c>
      <c r="U1563" s="509">
        <f t="shared" si="3572"/>
        <v>2505.1120000000001</v>
      </c>
      <c r="V1563" s="510">
        <f t="shared" si="3572"/>
        <v>2505.1120000000001</v>
      </c>
      <c r="W1563" s="509">
        <f t="shared" si="3572"/>
        <v>2539.4050000000002</v>
      </c>
      <c r="X1563" s="509">
        <f t="shared" si="3572"/>
        <v>2486.692</v>
      </c>
      <c r="Y1563" s="509">
        <f t="shared" si="3572"/>
        <v>1922.885</v>
      </c>
      <c r="Z1563" s="509">
        <f t="shared" si="3572"/>
        <v>1965.979</v>
      </c>
      <c r="AA1563" s="881">
        <f t="shared" si="3572"/>
        <v>1965.979</v>
      </c>
      <c r="AB1563" s="882">
        <f t="shared" si="3572"/>
        <v>1934.2159999999999</v>
      </c>
      <c r="AC1563" s="882">
        <f t="shared" si="3572"/>
        <v>1929.3589999999999</v>
      </c>
      <c r="AD1563" s="882">
        <f t="shared" si="3572"/>
        <v>1701.069</v>
      </c>
      <c r="AE1563" s="883">
        <f t="shared" si="3572"/>
        <v>1759.777</v>
      </c>
      <c r="AF1563" s="881">
        <f t="shared" si="3572"/>
        <v>1759.777</v>
      </c>
      <c r="AG1563" s="883">
        <f t="shared" si="3572"/>
        <v>1727.828</v>
      </c>
      <c r="AH1563" s="883">
        <f t="shared" si="3572"/>
        <v>1522.26</v>
      </c>
      <c r="AI1563" s="883">
        <f t="shared" si="3572"/>
        <v>1522.3520000000001</v>
      </c>
      <c r="AJ1563" s="883">
        <f t="shared" si="3572"/>
        <v>1592.3409999999999</v>
      </c>
      <c r="AK1563" s="881">
        <f t="shared" si="3572"/>
        <v>1592.3409999999999</v>
      </c>
      <c r="AL1563" s="883">
        <f t="shared" si="3572"/>
        <v>1556.298</v>
      </c>
      <c r="AM1563" s="883">
        <f t="shared" si="3572"/>
        <v>1521.2460000000001</v>
      </c>
      <c r="AN1563" s="883">
        <f t="shared" ref="AN1563:AZ1563" si="3573">SUM(AN1377:AN1383)+AN1395</f>
        <v>1642.664</v>
      </c>
      <c r="AO1563" s="883">
        <f t="shared" si="3573"/>
        <v>1717.9649999999999</v>
      </c>
      <c r="AP1563" s="884">
        <f t="shared" si="3573"/>
        <v>1717.9649999999999</v>
      </c>
      <c r="AQ1563" s="885">
        <f t="shared" si="3573"/>
        <v>1705.31</v>
      </c>
      <c r="AR1563" s="883">
        <f t="shared" si="3573"/>
        <v>1778.6610000000001</v>
      </c>
      <c r="AS1563" s="883">
        <f t="shared" si="3573"/>
        <v>1843.0150000000001</v>
      </c>
      <c r="AT1563" s="886">
        <f t="shared" si="3573"/>
        <v>2397.0740000000001</v>
      </c>
      <c r="AU1563" s="1710">
        <f t="shared" si="3573"/>
        <v>2397.0740000000001</v>
      </c>
      <c r="AV1563" s="1885">
        <f t="shared" si="3573"/>
        <v>2280.1260000000002</v>
      </c>
      <c r="AW1563" s="1886">
        <f t="shared" si="3573"/>
        <v>2141.3610000000003</v>
      </c>
      <c r="AX1563" s="1886">
        <f t="shared" si="3573"/>
        <v>2065.7130000000002</v>
      </c>
      <c r="AY1563" s="886">
        <f t="shared" si="3573"/>
        <v>2.0150000000000001</v>
      </c>
      <c r="AZ1563" s="1710">
        <f t="shared" si="3573"/>
        <v>2.0150000000000001</v>
      </c>
      <c r="BA1563" s="1885">
        <f t="shared" ref="BA1563:CF1563" si="3574">SUM(BA1377:BA1383,BA1386:BA1387)+BA1395</f>
        <v>301.99099999999999</v>
      </c>
      <c r="BB1563" s="1886">
        <f t="shared" si="3574"/>
        <v>302.18900000000002</v>
      </c>
      <c r="BC1563" s="1886">
        <f t="shared" si="3574"/>
        <v>302.16199999999998</v>
      </c>
      <c r="BD1563" s="1887">
        <f t="shared" si="3574"/>
        <v>325.137</v>
      </c>
      <c r="BE1563" s="884">
        <f t="shared" si="3574"/>
        <v>325.137</v>
      </c>
      <c r="BF1563" s="1886">
        <f t="shared" si="3574"/>
        <v>325.12599999999998</v>
      </c>
      <c r="BG1563" s="1886">
        <f t="shared" si="3574"/>
        <v>325.11500000000001</v>
      </c>
      <c r="BH1563" s="1886">
        <f t="shared" si="3574"/>
        <v>328.89699999999999</v>
      </c>
      <c r="BI1563" s="1887">
        <f t="shared" si="3574"/>
        <v>328.46600000000001</v>
      </c>
      <c r="BJ1563" s="884">
        <f t="shared" si="3574"/>
        <v>328.46600000000001</v>
      </c>
      <c r="BK1563" s="1886">
        <f t="shared" si="3574"/>
        <v>328.036</v>
      </c>
      <c r="BL1563" s="1886">
        <f t="shared" si="3574"/>
        <v>327.59800000000001</v>
      </c>
      <c r="BM1563" s="1886">
        <f t="shared" si="3574"/>
        <v>302.21499999999997</v>
      </c>
      <c r="BN1563" s="1887">
        <f t="shared" si="3574"/>
        <v>301.76</v>
      </c>
      <c r="BO1563" s="884">
        <f t="shared" si="3574"/>
        <v>301.76</v>
      </c>
      <c r="BP1563" s="1886">
        <f t="shared" si="3574"/>
        <v>1.321</v>
      </c>
      <c r="BQ1563" s="1886">
        <f t="shared" si="3574"/>
        <v>0.879</v>
      </c>
      <c r="BR1563" s="1886">
        <f t="shared" si="3574"/>
        <v>1.319</v>
      </c>
      <c r="BS1563" s="1886">
        <f t="shared" si="3574"/>
        <v>0.89100000000000001</v>
      </c>
      <c r="BT1563" s="3205">
        <f t="shared" si="3574"/>
        <v>0.89100000000000001</v>
      </c>
      <c r="BU1563" s="1886">
        <f t="shared" si="3574"/>
        <v>0.89100000000000001</v>
      </c>
      <c r="BV1563" s="1886">
        <f t="shared" si="3574"/>
        <v>0.89100000000000001</v>
      </c>
      <c r="BW1563" s="1886">
        <f t="shared" si="3574"/>
        <v>0.89100000000000001</v>
      </c>
      <c r="BX1563" s="1886">
        <f t="shared" si="3574"/>
        <v>0.89100000000000001</v>
      </c>
      <c r="BY1563" s="3205">
        <f t="shared" si="3574"/>
        <v>0.89100000000000001</v>
      </c>
      <c r="BZ1563" s="884">
        <f t="shared" si="3574"/>
        <v>0.89100000000000001</v>
      </c>
      <c r="CA1563" s="884">
        <f t="shared" si="3574"/>
        <v>0.89100000000000001</v>
      </c>
      <c r="CB1563" s="884">
        <f t="shared" si="3574"/>
        <v>0.89100000000000001</v>
      </c>
      <c r="CC1563" s="884">
        <f t="shared" si="3574"/>
        <v>0.89100000000000001</v>
      </c>
      <c r="CD1563" s="884">
        <f t="shared" si="3574"/>
        <v>0.89100000000000001</v>
      </c>
      <c r="CE1563" s="884">
        <f t="shared" si="3574"/>
        <v>0.89100000000000001</v>
      </c>
      <c r="CF1563" s="884">
        <f t="shared" si="3574"/>
        <v>0.89100000000000001</v>
      </c>
      <c r="CG1563" s="331"/>
      <c r="CH1563" s="331"/>
      <c r="CI1563" s="331"/>
      <c r="CJ1563" s="331"/>
      <c r="CK1563" s="331"/>
      <c r="CL1563" s="520" t="str">
        <f>A1563</f>
        <v>Senior Secured Debt</v>
      </c>
      <c r="CM1563" s="883">
        <f>G1563</f>
        <v>283.90899999999999</v>
      </c>
      <c r="CN1563" s="883">
        <f>L1563</f>
        <v>2161.0659999999998</v>
      </c>
      <c r="CO1563" s="883">
        <f>Q1563</f>
        <v>2354.4070000000002</v>
      </c>
      <c r="CP1563" s="883">
        <f>V1563</f>
        <v>2505.1120000000001</v>
      </c>
      <c r="CQ1563" s="883">
        <f>AA1563</f>
        <v>1965.979</v>
      </c>
      <c r="CR1563" s="883">
        <f>AF1563</f>
        <v>1759.777</v>
      </c>
      <c r="CS1563" s="883">
        <f>AK1563</f>
        <v>1592.3409999999999</v>
      </c>
      <c r="CT1563" s="883">
        <f>AP1563</f>
        <v>1717.9649999999999</v>
      </c>
      <c r="CU1563" s="883">
        <f>AU1563</f>
        <v>2397.0740000000001</v>
      </c>
      <c r="CV1563" s="883">
        <f>AZ1563</f>
        <v>2.0150000000000001</v>
      </c>
      <c r="CW1563" s="883">
        <f>BE1563</f>
        <v>325.137</v>
      </c>
      <c r="CX1563" s="883">
        <f>BJ1563</f>
        <v>328.46600000000001</v>
      </c>
      <c r="CY1563" s="883">
        <f>BO1563</f>
        <v>301.76</v>
      </c>
      <c r="CZ1563" s="883">
        <f>BT1563</f>
        <v>0.89100000000000001</v>
      </c>
      <c r="DA1563" s="883">
        <f t="shared" ref="DA1563:DC1567" si="3575">BY1563</f>
        <v>0.89100000000000001</v>
      </c>
      <c r="DB1563" s="883">
        <f t="shared" si="3575"/>
        <v>0.89100000000000001</v>
      </c>
      <c r="DC1563" s="886">
        <f t="shared" si="3575"/>
        <v>0.89100000000000001</v>
      </c>
      <c r="DD1563" s="331"/>
      <c r="DE1563" s="331"/>
      <c r="DF1563" s="502"/>
      <c r="DG1563" s="503"/>
      <c r="DH1563" s="3151"/>
      <c r="DI1563" s="3213"/>
      <c r="DJ1563" s="502"/>
      <c r="DK1563" s="503"/>
      <c r="DL1563" s="502"/>
      <c r="DM1563" s="502"/>
      <c r="DN1563" s="502"/>
      <c r="DO1563" s="502"/>
      <c r="DP1563" s="503"/>
      <c r="DQ1563" s="503"/>
      <c r="DR1563" s="296"/>
      <c r="DS1563" s="296"/>
      <c r="DT1563" s="296"/>
    </row>
    <row r="1564" spans="1:130" ht="13.5" customHeight="1" x14ac:dyDescent="0.25">
      <c r="A1564" s="281" t="s">
        <v>1507</v>
      </c>
      <c r="B1564" s="281"/>
      <c r="C1564" s="509">
        <f t="shared" ref="C1564:AH1564" si="3576">C1402</f>
        <v>1088.165</v>
      </c>
      <c r="D1564" s="509">
        <f t="shared" si="3576"/>
        <v>967.53200000000004</v>
      </c>
      <c r="E1564" s="509">
        <f t="shared" si="3576"/>
        <v>909.79399999999998</v>
      </c>
      <c r="F1564" s="509">
        <f t="shared" si="3576"/>
        <v>858.90899999999999</v>
      </c>
      <c r="G1564" s="510">
        <f t="shared" si="3576"/>
        <v>858.90899999999999</v>
      </c>
      <c r="H1564" s="509">
        <f t="shared" si="3576"/>
        <v>797.96699999999998</v>
      </c>
      <c r="I1564" s="509">
        <f t="shared" si="3576"/>
        <v>638.38200000000006</v>
      </c>
      <c r="J1564" s="509">
        <f t="shared" si="3576"/>
        <v>638.11200000000008</v>
      </c>
      <c r="K1564" s="509">
        <f t="shared" si="3576"/>
        <v>2786.2289999999998</v>
      </c>
      <c r="L1564" s="510">
        <f t="shared" si="3576"/>
        <v>2786.2289999999998</v>
      </c>
      <c r="M1564" s="509">
        <f t="shared" si="3576"/>
        <v>2745.83</v>
      </c>
      <c r="N1564" s="509">
        <f t="shared" si="3576"/>
        <v>2807.4050000000002</v>
      </c>
      <c r="O1564" s="509">
        <f t="shared" si="3576"/>
        <v>2802.1940000000004</v>
      </c>
      <c r="P1564" s="509">
        <f t="shared" si="3576"/>
        <v>2829.4480000000003</v>
      </c>
      <c r="Q1564" s="510">
        <f t="shared" si="3576"/>
        <v>2829.4480000000003</v>
      </c>
      <c r="R1564" s="509">
        <f t="shared" si="3576"/>
        <v>2793.4380000000001</v>
      </c>
      <c r="S1564" s="509">
        <f t="shared" si="3576"/>
        <v>2945.4489999999996</v>
      </c>
      <c r="T1564" s="509">
        <f t="shared" si="3576"/>
        <v>2925.962</v>
      </c>
      <c r="U1564" s="509">
        <f t="shared" si="3576"/>
        <v>2974.922</v>
      </c>
      <c r="V1564" s="510">
        <f t="shared" si="3576"/>
        <v>2974.922</v>
      </c>
      <c r="W1564" s="509">
        <f t="shared" si="3576"/>
        <v>3009.5630000000001</v>
      </c>
      <c r="X1564" s="509">
        <f t="shared" si="3576"/>
        <v>2957.2060000000001</v>
      </c>
      <c r="Y1564" s="509">
        <f t="shared" si="3576"/>
        <v>2393.7599999999998</v>
      </c>
      <c r="Z1564" s="509">
        <f t="shared" si="3576"/>
        <v>2430.1800000000003</v>
      </c>
      <c r="AA1564" s="510">
        <f t="shared" si="3576"/>
        <v>2430.1800000000003</v>
      </c>
      <c r="AB1564" s="509">
        <f t="shared" si="3576"/>
        <v>2384.2159999999999</v>
      </c>
      <c r="AC1564" s="509">
        <f t="shared" si="3576"/>
        <v>2379.3589999999999</v>
      </c>
      <c r="AD1564" s="509">
        <f t="shared" si="3576"/>
        <v>2381.605</v>
      </c>
      <c r="AE1564" s="430">
        <f t="shared" si="3576"/>
        <v>2334.777</v>
      </c>
      <c r="AF1564" s="510">
        <f t="shared" si="3576"/>
        <v>2334.777</v>
      </c>
      <c r="AG1564" s="430">
        <f t="shared" si="3576"/>
        <v>2302.828</v>
      </c>
      <c r="AH1564" s="430">
        <f t="shared" si="3576"/>
        <v>2102.384</v>
      </c>
      <c r="AI1564" s="430">
        <f t="shared" ref="AI1564:BN1564" si="3577">AI1402</f>
        <v>2101.0749999999998</v>
      </c>
      <c r="AJ1564" s="430">
        <f t="shared" si="3577"/>
        <v>2171.123</v>
      </c>
      <c r="AK1564" s="510">
        <f t="shared" si="3577"/>
        <v>2171.123</v>
      </c>
      <c r="AL1564" s="430">
        <f t="shared" si="3577"/>
        <v>2135.1379999999999</v>
      </c>
      <c r="AM1564" s="430">
        <f t="shared" si="3577"/>
        <v>2098.136</v>
      </c>
      <c r="AN1564" s="430">
        <f t="shared" si="3577"/>
        <v>1969.5830000000001</v>
      </c>
      <c r="AO1564" s="430">
        <f t="shared" si="3577"/>
        <v>2044.914</v>
      </c>
      <c r="AP1564" s="672">
        <f t="shared" si="3577"/>
        <v>2044.914</v>
      </c>
      <c r="AQ1564" s="672">
        <f t="shared" si="3577"/>
        <v>2032.289</v>
      </c>
      <c r="AR1564" s="509">
        <f t="shared" si="3577"/>
        <v>2103.6610000000001</v>
      </c>
      <c r="AS1564" s="509">
        <f t="shared" si="3577"/>
        <v>2178.0149999999999</v>
      </c>
      <c r="AT1564" s="509">
        <f t="shared" si="3577"/>
        <v>2732.0740000000001</v>
      </c>
      <c r="AU1564" s="1684">
        <f t="shared" si="3577"/>
        <v>2732.0740000000001</v>
      </c>
      <c r="AV1564" s="1935">
        <f t="shared" si="3577"/>
        <v>2615.1260000000002</v>
      </c>
      <c r="AW1564" s="1850">
        <f t="shared" si="3577"/>
        <v>2477.5780000000004</v>
      </c>
      <c r="AX1564" s="1850">
        <f t="shared" si="3577"/>
        <v>2401.9300000000003</v>
      </c>
      <c r="AY1564" s="509">
        <f t="shared" si="3577"/>
        <v>1052.0150000000001</v>
      </c>
      <c r="AZ1564" s="1684">
        <f t="shared" si="3577"/>
        <v>1052.0150000000001</v>
      </c>
      <c r="BA1564" s="1935">
        <f t="shared" si="3577"/>
        <v>1063.616</v>
      </c>
      <c r="BB1564" s="1850">
        <f t="shared" si="3577"/>
        <v>1056.9390000000001</v>
      </c>
      <c r="BC1564" s="1850">
        <f t="shared" si="3577"/>
        <v>1230.4930000000002</v>
      </c>
      <c r="BD1564" s="1726">
        <f t="shared" si="3577"/>
        <v>4832.2659999999996</v>
      </c>
      <c r="BE1564" s="481">
        <f t="shared" si="3577"/>
        <v>4832.2659999999996</v>
      </c>
      <c r="BF1564" s="1850">
        <f t="shared" si="3577"/>
        <v>4858.0320000000002</v>
      </c>
      <c r="BG1564" s="1850">
        <f t="shared" si="3577"/>
        <v>4828.1949999999997</v>
      </c>
      <c r="BH1564" s="1850">
        <f t="shared" si="3577"/>
        <v>5239.1949999999997</v>
      </c>
      <c r="BI1564" s="1726">
        <f t="shared" si="3577"/>
        <v>5249.2780000000002</v>
      </c>
      <c r="BJ1564" s="481">
        <f t="shared" si="3577"/>
        <v>5249.2780000000002</v>
      </c>
      <c r="BK1564" s="1850">
        <f t="shared" si="3577"/>
        <v>5215.8559999999998</v>
      </c>
      <c r="BL1564" s="1850">
        <f t="shared" si="3577"/>
        <v>5173.2309999999998</v>
      </c>
      <c r="BM1564" s="1850">
        <f t="shared" si="3577"/>
        <v>5160.9549999999999</v>
      </c>
      <c r="BN1564" s="1726">
        <f t="shared" si="3577"/>
        <v>4890.1740000000009</v>
      </c>
      <c r="BO1564" s="481">
        <f t="shared" ref="BO1564:CF1564" si="3578">BO1402</f>
        <v>4890.1740000000009</v>
      </c>
      <c r="BP1564" s="1850">
        <f t="shared" si="3578"/>
        <v>4864.1710000000003</v>
      </c>
      <c r="BQ1564" s="1850">
        <f t="shared" si="3578"/>
        <v>4842.83</v>
      </c>
      <c r="BR1564" s="1850">
        <f t="shared" si="3578"/>
        <v>4841.331000000001</v>
      </c>
      <c r="BS1564" s="1850">
        <f t="shared" si="3578"/>
        <v>4762.7739999999994</v>
      </c>
      <c r="BT1564" s="2587">
        <f t="shared" si="3578"/>
        <v>4762.7739999999994</v>
      </c>
      <c r="BU1564" s="1850">
        <f t="shared" si="3578"/>
        <v>4747.7045641824097</v>
      </c>
      <c r="BV1564" s="1850">
        <f t="shared" si="3578"/>
        <v>4732.6820450707628</v>
      </c>
      <c r="BW1564" s="1850">
        <f t="shared" si="3578"/>
        <v>8392.2016555762057</v>
      </c>
      <c r="BX1564" s="1850">
        <f t="shared" si="3578"/>
        <v>8366.014542802126</v>
      </c>
      <c r="BY1564" s="2587">
        <f t="shared" si="3578"/>
        <v>8366.014542802126</v>
      </c>
      <c r="BZ1564" s="481">
        <f t="shared" si="3578"/>
        <v>8010.8013108810737</v>
      </c>
      <c r="CA1564" s="481">
        <f t="shared" si="3578"/>
        <v>7904.7156721319207</v>
      </c>
      <c r="CB1564" s="481">
        <f t="shared" si="3578"/>
        <v>880.20099999999991</v>
      </c>
      <c r="CC1564" s="481">
        <f t="shared" si="3578"/>
        <v>880.20099999999991</v>
      </c>
      <c r="CD1564" s="481">
        <f t="shared" si="3578"/>
        <v>880.20099999999991</v>
      </c>
      <c r="CE1564" s="481">
        <f t="shared" si="3578"/>
        <v>880.20099999999991</v>
      </c>
      <c r="CF1564" s="481">
        <f t="shared" si="3578"/>
        <v>880.20099999999991</v>
      </c>
      <c r="CG1564" s="331"/>
      <c r="CH1564" s="331"/>
      <c r="CI1564" s="331"/>
      <c r="CJ1564" s="331"/>
      <c r="CK1564" s="331"/>
      <c r="CL1564" s="520" t="str">
        <f>A1564</f>
        <v>Total debt</v>
      </c>
      <c r="CM1564" s="430">
        <f>G1564</f>
        <v>858.90899999999999</v>
      </c>
      <c r="CN1564" s="430">
        <f>L1564</f>
        <v>2786.2289999999998</v>
      </c>
      <c r="CO1564" s="430">
        <f>Q1564</f>
        <v>2829.4480000000003</v>
      </c>
      <c r="CP1564" s="430">
        <f>V1564</f>
        <v>2974.922</v>
      </c>
      <c r="CQ1564" s="430">
        <f>AA1564</f>
        <v>2430.1800000000003</v>
      </c>
      <c r="CR1564" s="430">
        <f>AF1564</f>
        <v>2334.777</v>
      </c>
      <c r="CS1564" s="430">
        <f>AK1564</f>
        <v>2171.123</v>
      </c>
      <c r="CT1564" s="430">
        <f>AP1564</f>
        <v>2044.914</v>
      </c>
      <c r="CU1564" s="430">
        <f>AU1564</f>
        <v>2732.0740000000001</v>
      </c>
      <c r="CV1564" s="430">
        <f>AZ1564</f>
        <v>1052.0150000000001</v>
      </c>
      <c r="CW1564" s="430">
        <f>BE1564</f>
        <v>4832.2659999999996</v>
      </c>
      <c r="CX1564" s="430">
        <f>BJ1564</f>
        <v>5249.2780000000002</v>
      </c>
      <c r="CY1564" s="430">
        <f>BO1564</f>
        <v>4890.1740000000009</v>
      </c>
      <c r="CZ1564" s="430">
        <f>BT1564</f>
        <v>4762.7739999999994</v>
      </c>
      <c r="DA1564" s="430">
        <f t="shared" si="3575"/>
        <v>8366.014542802126</v>
      </c>
      <c r="DB1564" s="430">
        <f t="shared" si="3575"/>
        <v>8010.8013108810737</v>
      </c>
      <c r="DC1564" s="853">
        <f t="shared" si="3575"/>
        <v>7904.7156721319207</v>
      </c>
      <c r="DD1564" s="331"/>
      <c r="DE1564" s="331"/>
      <c r="DF1564" s="502"/>
      <c r="DG1564" s="503"/>
      <c r="DH1564" s="2840"/>
      <c r="DI1564" s="3213"/>
      <c r="DJ1564" s="502"/>
      <c r="DK1564" s="503"/>
      <c r="DL1564" s="502"/>
      <c r="DM1564" s="502"/>
      <c r="DN1564" s="502"/>
      <c r="DO1564" s="502"/>
      <c r="DP1564" s="503"/>
      <c r="DQ1564" s="503"/>
      <c r="DR1564" s="296"/>
      <c r="DS1564" s="296"/>
      <c r="DT1564" s="296"/>
    </row>
    <row r="1565" spans="1:130" ht="13.5" customHeight="1" x14ac:dyDescent="0.25">
      <c r="A1565" s="2841" t="s">
        <v>329</v>
      </c>
      <c r="B1565" s="281"/>
      <c r="C1565" s="2664">
        <f t="shared" ref="C1565:AH1565" si="3579">+C1339</f>
        <v>0</v>
      </c>
      <c r="D1565" s="2664">
        <f t="shared" si="3579"/>
        <v>122.57300000000005</v>
      </c>
      <c r="E1565" s="2664">
        <f t="shared" si="3579"/>
        <v>83.2</v>
      </c>
      <c r="F1565" s="2664">
        <f t="shared" si="3579"/>
        <v>87.62</v>
      </c>
      <c r="G1565" s="2842">
        <f t="shared" si="3579"/>
        <v>87.62</v>
      </c>
      <c r="H1565" s="2664">
        <f t="shared" si="3579"/>
        <v>307.46300000000002</v>
      </c>
      <c r="I1565" s="2664">
        <f t="shared" si="3579"/>
        <v>155.30300000000005</v>
      </c>
      <c r="J1565" s="2664">
        <f t="shared" si="3579"/>
        <v>173.94300000000004</v>
      </c>
      <c r="K1565" s="2664">
        <f t="shared" si="3579"/>
        <v>132.62</v>
      </c>
      <c r="L1565" s="2842">
        <f t="shared" si="3579"/>
        <v>132.62</v>
      </c>
      <c r="M1565" s="2664">
        <f t="shared" si="3579"/>
        <v>138.12</v>
      </c>
      <c r="N1565" s="2664">
        <f t="shared" si="3579"/>
        <v>130.31799999999993</v>
      </c>
      <c r="O1565" s="2664">
        <f t="shared" si="3579"/>
        <v>136.32199999999992</v>
      </c>
      <c r="P1565" s="2664">
        <f t="shared" si="3579"/>
        <v>168.51499999999999</v>
      </c>
      <c r="Q1565" s="2842">
        <f t="shared" si="3579"/>
        <v>168.51499999999999</v>
      </c>
      <c r="R1565" s="2664">
        <f t="shared" si="3579"/>
        <v>170.82200000000006</v>
      </c>
      <c r="S1565" s="2664">
        <f t="shared" si="3579"/>
        <v>159.59400000000011</v>
      </c>
      <c r="T1565" s="2664">
        <f t="shared" si="3579"/>
        <v>179.13700000000011</v>
      </c>
      <c r="U1565" s="2664">
        <f t="shared" si="3579"/>
        <v>174.3720000000001</v>
      </c>
      <c r="V1565" s="2842">
        <f t="shared" si="3579"/>
        <v>174.3720000000001</v>
      </c>
      <c r="W1565" s="2664">
        <f t="shared" si="3579"/>
        <v>167.89900000000006</v>
      </c>
      <c r="X1565" s="2664">
        <f t="shared" si="3579"/>
        <v>124.37100000000004</v>
      </c>
      <c r="Y1565" s="2664">
        <f t="shared" si="3579"/>
        <v>125.65599999999999</v>
      </c>
      <c r="Z1565" s="2664">
        <f t="shared" si="3579"/>
        <v>746.27800000000013</v>
      </c>
      <c r="AA1565" s="2842">
        <f t="shared" si="3579"/>
        <v>746.27800000000013</v>
      </c>
      <c r="AB1565" s="2664">
        <f t="shared" si="3579"/>
        <v>738.23599999999999</v>
      </c>
      <c r="AC1565" s="2664">
        <f t="shared" si="3579"/>
        <v>795.11699999999996</v>
      </c>
      <c r="AD1565" s="2664">
        <f t="shared" si="3579"/>
        <v>764.40899999999999</v>
      </c>
      <c r="AE1565" s="2664">
        <f t="shared" si="3579"/>
        <v>713.11800000000005</v>
      </c>
      <c r="AF1565" s="2842">
        <f t="shared" si="3579"/>
        <v>713.11800000000005</v>
      </c>
      <c r="AG1565" s="2840">
        <f t="shared" si="3579"/>
        <v>642.50699999999995</v>
      </c>
      <c r="AH1565" s="2664">
        <f t="shared" si="3579"/>
        <v>398.20399999999995</v>
      </c>
      <c r="AI1565" s="2664">
        <f t="shared" ref="AI1565:BN1565" si="3580">+AI1339</f>
        <v>355.44199999999995</v>
      </c>
      <c r="AJ1565" s="2664">
        <f t="shared" si="3580"/>
        <v>246.38499999999993</v>
      </c>
      <c r="AK1565" s="2842">
        <f t="shared" si="3580"/>
        <v>246.38499999999993</v>
      </c>
      <c r="AL1565" s="2664">
        <f t="shared" si="3580"/>
        <v>234.47799999999989</v>
      </c>
      <c r="AM1565" s="2664">
        <f t="shared" si="3580"/>
        <v>321.9849999999999</v>
      </c>
      <c r="AN1565" s="2664">
        <f t="shared" si="3580"/>
        <v>207.8209999999998</v>
      </c>
      <c r="AO1565" s="2664">
        <f t="shared" si="3580"/>
        <v>238.43999999999994</v>
      </c>
      <c r="AP1565" s="2843">
        <f t="shared" si="3580"/>
        <v>238.43999999999994</v>
      </c>
      <c r="AQ1565" s="2843">
        <f t="shared" si="3580"/>
        <v>217.45100000000002</v>
      </c>
      <c r="AR1565" s="2664">
        <f t="shared" si="3580"/>
        <v>204.12600000000003</v>
      </c>
      <c r="AS1565" s="2664">
        <f t="shared" si="3580"/>
        <v>217.43200000000004</v>
      </c>
      <c r="AT1565" s="2664">
        <f t="shared" si="3580"/>
        <v>260.46699999999987</v>
      </c>
      <c r="AU1565" s="2842">
        <f t="shared" si="3580"/>
        <v>260.46699999999987</v>
      </c>
      <c r="AV1565" s="2843">
        <f t="shared" si="3580"/>
        <v>247.70199999999988</v>
      </c>
      <c r="AW1565" s="2664">
        <f t="shared" si="3580"/>
        <v>235.13499999999988</v>
      </c>
      <c r="AX1565" s="2664">
        <f t="shared" si="3580"/>
        <v>267.87099999999998</v>
      </c>
      <c r="AY1565" s="2664">
        <f t="shared" si="3580"/>
        <v>292.99499999999972</v>
      </c>
      <c r="AZ1565" s="2842">
        <f t="shared" si="3580"/>
        <v>292.99499999999972</v>
      </c>
      <c r="BA1565" s="2843">
        <f t="shared" si="3580"/>
        <v>287.6949999999996</v>
      </c>
      <c r="BB1565" s="2664">
        <f t="shared" si="3580"/>
        <v>251.29899999999958</v>
      </c>
      <c r="BC1565" s="2664">
        <f t="shared" si="3580"/>
        <v>230.70699999999957</v>
      </c>
      <c r="BD1565" s="2844">
        <f t="shared" si="3580"/>
        <v>208.67299999999966</v>
      </c>
      <c r="BE1565" s="2842">
        <f t="shared" si="3580"/>
        <v>208.67299999999966</v>
      </c>
      <c r="BF1565" s="2664">
        <f t="shared" si="3580"/>
        <v>237.72899999999976</v>
      </c>
      <c r="BG1565" s="2664">
        <f t="shared" si="3580"/>
        <v>233.11799999999974</v>
      </c>
      <c r="BH1565" s="2664">
        <f t="shared" si="3580"/>
        <v>223.48899999999966</v>
      </c>
      <c r="BI1565" s="2844">
        <f t="shared" si="3580"/>
        <v>237.00899999999973</v>
      </c>
      <c r="BJ1565" s="2842">
        <f t="shared" si="3580"/>
        <v>237.00899999999973</v>
      </c>
      <c r="BK1565" s="2664">
        <f t="shared" si="3580"/>
        <v>214.23799999999969</v>
      </c>
      <c r="BL1565" s="2664">
        <f t="shared" si="3580"/>
        <v>221.35999999999967</v>
      </c>
      <c r="BM1565" s="2664">
        <f t="shared" si="3580"/>
        <v>201.76799999999972</v>
      </c>
      <c r="BN1565" s="2844">
        <f t="shared" si="3580"/>
        <v>229.50999999999974</v>
      </c>
      <c r="BO1565" s="2842">
        <f t="shared" ref="BO1565:CF1565" si="3581">+BO1339</f>
        <v>229.50999999999974</v>
      </c>
      <c r="BP1565" s="2664">
        <f t="shared" si="3581"/>
        <v>259.48799999999977</v>
      </c>
      <c r="BQ1565" s="2664">
        <f t="shared" si="3581"/>
        <v>224.39899999999983</v>
      </c>
      <c r="BR1565" s="2664">
        <f t="shared" si="3581"/>
        <v>264.90699999999958</v>
      </c>
      <c r="BS1565" s="2664">
        <f t="shared" si="3581"/>
        <v>277.95299999999992</v>
      </c>
      <c r="BT1565" s="2842">
        <f t="shared" si="3581"/>
        <v>277.95299999999992</v>
      </c>
      <c r="BU1565" s="2664">
        <f t="shared" si="3581"/>
        <v>309.30133940693827</v>
      </c>
      <c r="BV1565" s="2664">
        <f t="shared" si="3581"/>
        <v>363.04690894997117</v>
      </c>
      <c r="BW1565" s="2664">
        <f t="shared" si="3581"/>
        <v>382.69028201256134</v>
      </c>
      <c r="BX1565" s="2664">
        <f t="shared" si="3581"/>
        <v>425.46427251445709</v>
      </c>
      <c r="BY1565" s="2842">
        <f t="shared" si="3581"/>
        <v>425.46427251445709</v>
      </c>
      <c r="BZ1565" s="2842">
        <f t="shared" si="3581"/>
        <v>414.2020599770957</v>
      </c>
      <c r="CA1565" s="2842">
        <f t="shared" si="3581"/>
        <v>624.10862582614357</v>
      </c>
      <c r="CB1565" s="2842">
        <f t="shared" si="3581"/>
        <v>-6252.2665324495902</v>
      </c>
      <c r="CC1565" s="2842">
        <f t="shared" si="3581"/>
        <v>-6159.1745943703236</v>
      </c>
      <c r="CD1565" s="2842">
        <f t="shared" si="3581"/>
        <v>-6063.1931594064272</v>
      </c>
      <c r="CE1565" s="2842">
        <f t="shared" si="3581"/>
        <v>-5955.209849118748</v>
      </c>
      <c r="CF1565" s="2842">
        <f t="shared" si="3581"/>
        <v>-5816.9029355274497</v>
      </c>
      <c r="CG1565" s="741"/>
      <c r="CH1565" s="741"/>
      <c r="CI1565" s="741"/>
      <c r="CJ1565" s="741"/>
      <c r="CK1565" s="741"/>
      <c r="CL1565" s="2025" t="str">
        <f>A1565</f>
        <v>Less: Cash</v>
      </c>
      <c r="CM1565" s="430">
        <f>G1565</f>
        <v>87.62</v>
      </c>
      <c r="CN1565" s="430">
        <f>L1565</f>
        <v>132.62</v>
      </c>
      <c r="CO1565" s="430">
        <f>Q1565</f>
        <v>168.51499999999999</v>
      </c>
      <c r="CP1565" s="430">
        <f>V1565</f>
        <v>174.3720000000001</v>
      </c>
      <c r="CQ1565" s="430">
        <f>AA1565</f>
        <v>746.27800000000013</v>
      </c>
      <c r="CR1565" s="430">
        <f>AF1565</f>
        <v>713.11800000000005</v>
      </c>
      <c r="CS1565" s="430">
        <f>AK1565</f>
        <v>246.38499999999993</v>
      </c>
      <c r="CT1565" s="430">
        <f>AP1565</f>
        <v>238.43999999999994</v>
      </c>
      <c r="CU1565" s="430">
        <f>AU1565</f>
        <v>260.46699999999987</v>
      </c>
      <c r="CV1565" s="430">
        <f>AZ1565</f>
        <v>292.99499999999972</v>
      </c>
      <c r="CW1565" s="430">
        <f>BE1565</f>
        <v>208.67299999999966</v>
      </c>
      <c r="CX1565" s="430">
        <f>BJ1565</f>
        <v>237.00899999999973</v>
      </c>
      <c r="CY1565" s="430">
        <f>BO1565</f>
        <v>229.50999999999974</v>
      </c>
      <c r="CZ1565" s="430">
        <f>BT1565</f>
        <v>277.95299999999992</v>
      </c>
      <c r="DA1565" s="430">
        <f t="shared" si="3575"/>
        <v>425.46427251445709</v>
      </c>
      <c r="DB1565" s="430">
        <f t="shared" si="3575"/>
        <v>414.2020599770957</v>
      </c>
      <c r="DC1565" s="853">
        <f t="shared" si="3575"/>
        <v>624.10862582614357</v>
      </c>
      <c r="DD1565" s="741"/>
      <c r="DE1565" s="741"/>
      <c r="DF1565" s="742"/>
      <c r="DG1565" s="743"/>
      <c r="DH1565" s="2840"/>
      <c r="DI1565" s="3215"/>
      <c r="DJ1565" s="742"/>
      <c r="DK1565" s="743"/>
      <c r="DL1565" s="742"/>
      <c r="DM1565" s="742"/>
      <c r="DN1565" s="742"/>
      <c r="DO1565" s="742"/>
      <c r="DP1565" s="743"/>
      <c r="DQ1565" s="743"/>
      <c r="DR1565" s="740"/>
      <c r="DS1565" s="740"/>
      <c r="DT1565" s="740"/>
    </row>
    <row r="1566" spans="1:130" ht="4.5" customHeight="1" x14ac:dyDescent="0.25">
      <c r="A1566" s="1953"/>
      <c r="B1566" s="291"/>
      <c r="C1566" s="544" t="s">
        <v>1151</v>
      </c>
      <c r="D1566" s="544" t="s">
        <v>1151</v>
      </c>
      <c r="E1566" s="544" t="s">
        <v>1151</v>
      </c>
      <c r="F1566" s="544" t="s">
        <v>1151</v>
      </c>
      <c r="G1566" s="461" t="s">
        <v>1151</v>
      </c>
      <c r="H1566" s="544" t="s">
        <v>1151</v>
      </c>
      <c r="I1566" s="544" t="s">
        <v>1151</v>
      </c>
      <c r="J1566" s="544" t="s">
        <v>1151</v>
      </c>
      <c r="K1566" s="544" t="s">
        <v>1151</v>
      </c>
      <c r="L1566" s="461" t="s">
        <v>1151</v>
      </c>
      <c r="M1566" s="544" t="s">
        <v>1151</v>
      </c>
      <c r="N1566" s="544" t="s">
        <v>1151</v>
      </c>
      <c r="O1566" s="544" t="s">
        <v>1151</v>
      </c>
      <c r="P1566" s="544" t="s">
        <v>1151</v>
      </c>
      <c r="Q1566" s="461" t="s">
        <v>1151</v>
      </c>
      <c r="R1566" s="544" t="s">
        <v>1151</v>
      </c>
      <c r="S1566" s="544" t="s">
        <v>1151</v>
      </c>
      <c r="T1566" s="544" t="s">
        <v>1151</v>
      </c>
      <c r="U1566" s="544" t="s">
        <v>1151</v>
      </c>
      <c r="V1566" s="461" t="s">
        <v>1151</v>
      </c>
      <c r="W1566" s="544" t="s">
        <v>1151</v>
      </c>
      <c r="X1566" s="544" t="s">
        <v>1151</v>
      </c>
      <c r="Y1566" s="544" t="s">
        <v>1151</v>
      </c>
      <c r="Z1566" s="544" t="s">
        <v>1151</v>
      </c>
      <c r="AA1566" s="461" t="s">
        <v>1151</v>
      </c>
      <c r="AB1566" s="544" t="s">
        <v>1151</v>
      </c>
      <c r="AC1566" s="544" t="s">
        <v>1151</v>
      </c>
      <c r="AD1566" s="544" t="s">
        <v>1151</v>
      </c>
      <c r="AE1566" s="544" t="s">
        <v>1151</v>
      </c>
      <c r="AF1566" s="461" t="s">
        <v>1151</v>
      </c>
      <c r="AG1566" s="544" t="s">
        <v>1151</v>
      </c>
      <c r="AH1566" s="544" t="s">
        <v>1151</v>
      </c>
      <c r="AI1566" s="544" t="s">
        <v>1151</v>
      </c>
      <c r="AJ1566" s="544" t="s">
        <v>1151</v>
      </c>
      <c r="AK1566" s="461" t="s">
        <v>1151</v>
      </c>
      <c r="AL1566" s="544" t="s">
        <v>1151</v>
      </c>
      <c r="AM1566" s="544" t="s">
        <v>1151</v>
      </c>
      <c r="AN1566" s="544" t="s">
        <v>1151</v>
      </c>
      <c r="AO1566" s="544" t="s">
        <v>1151</v>
      </c>
      <c r="AP1566" s="461" t="s">
        <v>1151</v>
      </c>
      <c r="AQ1566" s="544" t="s">
        <v>1151</v>
      </c>
      <c r="AR1566" s="544" t="s">
        <v>1151</v>
      </c>
      <c r="AS1566" s="544" t="s">
        <v>1151</v>
      </c>
      <c r="AT1566" s="544" t="s">
        <v>1151</v>
      </c>
      <c r="AU1566" s="461" t="s">
        <v>1151</v>
      </c>
      <c r="AV1566" s="544" t="s">
        <v>1151</v>
      </c>
      <c r="AW1566" s="544" t="s">
        <v>1151</v>
      </c>
      <c r="AX1566" s="544" t="s">
        <v>1151</v>
      </c>
      <c r="AY1566" s="544" t="s">
        <v>1151</v>
      </c>
      <c r="AZ1566" s="461" t="s">
        <v>1151</v>
      </c>
      <c r="BA1566" s="544" t="s">
        <v>1151</v>
      </c>
      <c r="BB1566" s="544" t="s">
        <v>1151</v>
      </c>
      <c r="BC1566" s="544" t="s">
        <v>1151</v>
      </c>
      <c r="BD1566" s="544" t="s">
        <v>1151</v>
      </c>
      <c r="BE1566" s="461" t="s">
        <v>1151</v>
      </c>
      <c r="BF1566" s="544" t="s">
        <v>1151</v>
      </c>
      <c r="BG1566" s="544" t="s">
        <v>1151</v>
      </c>
      <c r="BH1566" s="544" t="s">
        <v>1151</v>
      </c>
      <c r="BI1566" s="544" t="s">
        <v>1151</v>
      </c>
      <c r="BJ1566" s="461" t="s">
        <v>1151</v>
      </c>
      <c r="BK1566" s="544" t="s">
        <v>1151</v>
      </c>
      <c r="BL1566" s="544" t="s">
        <v>1151</v>
      </c>
      <c r="BM1566" s="544" t="s">
        <v>1151</v>
      </c>
      <c r="BN1566" s="544" t="s">
        <v>1151</v>
      </c>
      <c r="BO1566" s="461" t="s">
        <v>1151</v>
      </c>
      <c r="BP1566" s="544" t="s">
        <v>1151</v>
      </c>
      <c r="BQ1566" s="544" t="s">
        <v>1151</v>
      </c>
      <c r="BR1566" s="544" t="s">
        <v>1151</v>
      </c>
      <c r="BS1566" s="544" t="s">
        <v>1151</v>
      </c>
      <c r="BT1566" s="461" t="s">
        <v>1151</v>
      </c>
      <c r="BU1566" s="544" t="s">
        <v>1151</v>
      </c>
      <c r="BV1566" s="544" t="s">
        <v>1151</v>
      </c>
      <c r="BW1566" s="544" t="s">
        <v>1151</v>
      </c>
      <c r="BX1566" s="544" t="s">
        <v>1151</v>
      </c>
      <c r="BY1566" s="461" t="s">
        <v>1151</v>
      </c>
      <c r="BZ1566" s="461" t="s">
        <v>1151</v>
      </c>
      <c r="CA1566" s="461" t="s">
        <v>1151</v>
      </c>
      <c r="CB1566" s="461" t="s">
        <v>1151</v>
      </c>
      <c r="CC1566" s="461" t="s">
        <v>1151</v>
      </c>
      <c r="CD1566" s="461" t="s">
        <v>1151</v>
      </c>
      <c r="CE1566" s="461" t="s">
        <v>1151</v>
      </c>
      <c r="CF1566" s="461" t="s">
        <v>1151</v>
      </c>
      <c r="CG1566" s="741"/>
      <c r="CH1566" s="741"/>
      <c r="CI1566" s="741"/>
      <c r="CJ1566" s="741"/>
      <c r="CK1566" s="741"/>
      <c r="CL1566" s="2027"/>
      <c r="CM1566" s="2029" t="str">
        <f>G1566</f>
        <v xml:space="preserve">                </v>
      </c>
      <c r="CN1566" s="2029" t="str">
        <f>L1566</f>
        <v xml:space="preserve">                </v>
      </c>
      <c r="CO1566" s="2029" t="str">
        <f>Q1566</f>
        <v xml:space="preserve">                </v>
      </c>
      <c r="CP1566" s="2029" t="str">
        <f>V1566</f>
        <v xml:space="preserve">                </v>
      </c>
      <c r="CQ1566" s="2029" t="str">
        <f>AA1566</f>
        <v xml:space="preserve">                </v>
      </c>
      <c r="CR1566" s="2029" t="str">
        <f>AF1566</f>
        <v xml:space="preserve">                </v>
      </c>
      <c r="CS1566" s="2029" t="str">
        <f>AK1566</f>
        <v xml:space="preserve">                </v>
      </c>
      <c r="CT1566" s="2029" t="str">
        <f>AP1566</f>
        <v xml:space="preserve">                </v>
      </c>
      <c r="CU1566" s="2029" t="str">
        <f>AU1566</f>
        <v xml:space="preserve">                </v>
      </c>
      <c r="CV1566" s="2029" t="str">
        <f>AZ1566</f>
        <v xml:space="preserve">                </v>
      </c>
      <c r="CW1566" s="2029" t="str">
        <f>BE1566</f>
        <v xml:space="preserve">                </v>
      </c>
      <c r="CX1566" s="2029" t="str">
        <f>BJ1566</f>
        <v xml:space="preserve">                </v>
      </c>
      <c r="CY1566" s="2029" t="str">
        <f>BO1566</f>
        <v xml:space="preserve">                </v>
      </c>
      <c r="CZ1566" s="2029" t="str">
        <f>BT1566</f>
        <v xml:space="preserve">                </v>
      </c>
      <c r="DA1566" s="2029" t="str">
        <f t="shared" si="3575"/>
        <v xml:space="preserve">                </v>
      </c>
      <c r="DB1566" s="2029" t="str">
        <f t="shared" si="3575"/>
        <v xml:space="preserve">                </v>
      </c>
      <c r="DC1566" s="2030" t="str">
        <f t="shared" si="3575"/>
        <v xml:space="preserve">                </v>
      </c>
      <c r="DD1566" s="741"/>
      <c r="DE1566" s="741"/>
      <c r="DF1566" s="742"/>
      <c r="DG1566" s="743"/>
      <c r="DH1566" s="2029"/>
      <c r="DI1566" s="3215"/>
      <c r="DJ1566" s="742"/>
      <c r="DK1566" s="743"/>
      <c r="DL1566" s="742"/>
      <c r="DM1566" s="742"/>
      <c r="DN1566" s="742"/>
      <c r="DO1566" s="742"/>
      <c r="DP1566" s="743"/>
      <c r="DQ1566" s="743"/>
      <c r="DR1566" s="740"/>
      <c r="DS1566" s="740"/>
      <c r="DT1566" s="740"/>
    </row>
    <row r="1567" spans="1:130" ht="12.75" customHeight="1" x14ac:dyDescent="0.25">
      <c r="A1567" s="719" t="s">
        <v>1502</v>
      </c>
      <c r="B1567" s="333"/>
      <c r="C1567" s="488">
        <f>C1564-C1565</f>
        <v>1088.165</v>
      </c>
      <c r="D1567" s="488">
        <f t="shared" ref="D1567:AB1567" si="3582">D1564-D1565</f>
        <v>844.95899999999995</v>
      </c>
      <c r="E1567" s="488">
        <f t="shared" si="3582"/>
        <v>826.59399999999994</v>
      </c>
      <c r="F1567" s="488">
        <f t="shared" si="3582"/>
        <v>771.28899999999999</v>
      </c>
      <c r="G1567" s="489">
        <f t="shared" si="3582"/>
        <v>771.28899999999999</v>
      </c>
      <c r="H1567" s="488">
        <f t="shared" si="3582"/>
        <v>490.50399999999996</v>
      </c>
      <c r="I1567" s="488">
        <f t="shared" si="3582"/>
        <v>483.07900000000001</v>
      </c>
      <c r="J1567" s="488">
        <f t="shared" si="3582"/>
        <v>464.16900000000004</v>
      </c>
      <c r="K1567" s="488">
        <f t="shared" si="3582"/>
        <v>2653.6089999999999</v>
      </c>
      <c r="L1567" s="489">
        <f t="shared" si="3582"/>
        <v>2653.6089999999999</v>
      </c>
      <c r="M1567" s="488">
        <f t="shared" si="3582"/>
        <v>2607.71</v>
      </c>
      <c r="N1567" s="488">
        <f t="shared" si="3582"/>
        <v>2677.0870000000004</v>
      </c>
      <c r="O1567" s="488">
        <f t="shared" si="3582"/>
        <v>2665.8720000000003</v>
      </c>
      <c r="P1567" s="488">
        <f t="shared" si="3582"/>
        <v>2660.9330000000004</v>
      </c>
      <c r="Q1567" s="489">
        <f t="shared" si="3582"/>
        <v>2660.9330000000004</v>
      </c>
      <c r="R1567" s="488">
        <f t="shared" si="3582"/>
        <v>2622.616</v>
      </c>
      <c r="S1567" s="488">
        <f t="shared" si="3582"/>
        <v>2785.8549999999996</v>
      </c>
      <c r="T1567" s="488">
        <f t="shared" si="3582"/>
        <v>2746.8249999999998</v>
      </c>
      <c r="U1567" s="488">
        <f t="shared" si="3582"/>
        <v>2800.5499999999997</v>
      </c>
      <c r="V1567" s="489">
        <f t="shared" si="3582"/>
        <v>2800.5499999999997</v>
      </c>
      <c r="W1567" s="488">
        <f t="shared" si="3582"/>
        <v>2841.6640000000002</v>
      </c>
      <c r="X1567" s="488">
        <f t="shared" si="3582"/>
        <v>2832.835</v>
      </c>
      <c r="Y1567" s="488">
        <f t="shared" si="3582"/>
        <v>2268.1039999999998</v>
      </c>
      <c r="Z1567" s="488">
        <f t="shared" si="3582"/>
        <v>1683.902</v>
      </c>
      <c r="AA1567" s="489">
        <f t="shared" si="3582"/>
        <v>1683.902</v>
      </c>
      <c r="AB1567" s="488">
        <f t="shared" si="3582"/>
        <v>1645.98</v>
      </c>
      <c r="AC1567" s="488">
        <f t="shared" ref="AC1567:AK1567" si="3583">AC1564-AC1565</f>
        <v>1584.242</v>
      </c>
      <c r="AD1567" s="488">
        <f t="shared" si="3583"/>
        <v>1617.1959999999999</v>
      </c>
      <c r="AE1567" s="485">
        <f t="shared" si="3583"/>
        <v>1621.6590000000001</v>
      </c>
      <c r="AF1567" s="489">
        <f t="shared" si="3583"/>
        <v>1621.6590000000001</v>
      </c>
      <c r="AG1567" s="485">
        <f t="shared" si="3583"/>
        <v>1660.3209999999999</v>
      </c>
      <c r="AH1567" s="485">
        <f t="shared" si="3583"/>
        <v>1704.18</v>
      </c>
      <c r="AI1567" s="485">
        <f t="shared" si="3583"/>
        <v>1745.6329999999998</v>
      </c>
      <c r="AJ1567" s="485">
        <f t="shared" si="3583"/>
        <v>1924.7380000000001</v>
      </c>
      <c r="AK1567" s="489">
        <f t="shared" si="3583"/>
        <v>1924.7380000000001</v>
      </c>
      <c r="AL1567" s="485">
        <f t="shared" ref="AL1567:AU1567" si="3584">AL1564-AL1565</f>
        <v>1900.66</v>
      </c>
      <c r="AM1567" s="485">
        <f t="shared" si="3584"/>
        <v>1776.1510000000001</v>
      </c>
      <c r="AN1567" s="485">
        <f t="shared" si="3584"/>
        <v>1761.7620000000002</v>
      </c>
      <c r="AO1567" s="485">
        <f t="shared" si="3584"/>
        <v>1806.4740000000002</v>
      </c>
      <c r="AP1567" s="960">
        <f t="shared" si="3584"/>
        <v>1806.4740000000002</v>
      </c>
      <c r="AQ1567" s="960">
        <f t="shared" si="3584"/>
        <v>1814.838</v>
      </c>
      <c r="AR1567" s="488">
        <f t="shared" si="3584"/>
        <v>1899.5350000000001</v>
      </c>
      <c r="AS1567" s="488">
        <f t="shared" si="3584"/>
        <v>1960.5829999999999</v>
      </c>
      <c r="AT1567" s="488">
        <f t="shared" si="3584"/>
        <v>2471.607</v>
      </c>
      <c r="AU1567" s="1711">
        <f t="shared" si="3584"/>
        <v>2471.607</v>
      </c>
      <c r="AV1567" s="1940">
        <f t="shared" ref="AV1567:BE1567" si="3585">AV1564-AV1565</f>
        <v>2367.4240000000004</v>
      </c>
      <c r="AW1567" s="1852">
        <f t="shared" si="3585"/>
        <v>2242.4430000000007</v>
      </c>
      <c r="AX1567" s="1852">
        <f t="shared" si="3585"/>
        <v>2134.0590000000002</v>
      </c>
      <c r="AY1567" s="488">
        <f t="shared" si="3585"/>
        <v>759.02000000000044</v>
      </c>
      <c r="AZ1567" s="1711">
        <f t="shared" si="3585"/>
        <v>759.02000000000044</v>
      </c>
      <c r="BA1567" s="1940">
        <f t="shared" si="3585"/>
        <v>775.92100000000039</v>
      </c>
      <c r="BB1567" s="1852">
        <f t="shared" si="3585"/>
        <v>805.64000000000055</v>
      </c>
      <c r="BC1567" s="1852">
        <f t="shared" si="3585"/>
        <v>999.78600000000063</v>
      </c>
      <c r="BD1567" s="1941">
        <f t="shared" si="3585"/>
        <v>4623.5929999999998</v>
      </c>
      <c r="BE1567" s="486">
        <f t="shared" si="3585"/>
        <v>4623.5929999999998</v>
      </c>
      <c r="BF1567" s="1852">
        <f t="shared" ref="BF1567:BK1567" si="3586">BF1564-BF1565</f>
        <v>4620.3030000000008</v>
      </c>
      <c r="BG1567" s="1852">
        <f t="shared" si="3586"/>
        <v>4595.0770000000002</v>
      </c>
      <c r="BH1567" s="1852">
        <f t="shared" si="3586"/>
        <v>5015.7060000000001</v>
      </c>
      <c r="BI1567" s="1941">
        <f t="shared" si="3586"/>
        <v>5012.2690000000002</v>
      </c>
      <c r="BJ1567" s="486">
        <f t="shared" si="3586"/>
        <v>5012.2690000000002</v>
      </c>
      <c r="BK1567" s="1852">
        <f t="shared" si="3586"/>
        <v>5001.6180000000004</v>
      </c>
      <c r="BL1567" s="1852">
        <f t="shared" ref="BL1567:BU1567" si="3587">BL1564-BL1565</f>
        <v>4951.8710000000001</v>
      </c>
      <c r="BM1567" s="1852">
        <f t="shared" si="3587"/>
        <v>4959.1869999999999</v>
      </c>
      <c r="BN1567" s="1941">
        <f t="shared" si="3587"/>
        <v>4660.6640000000016</v>
      </c>
      <c r="BO1567" s="486">
        <f t="shared" si="3587"/>
        <v>4660.6640000000016</v>
      </c>
      <c r="BP1567" s="1852">
        <f t="shared" si="3587"/>
        <v>4604.6830000000009</v>
      </c>
      <c r="BQ1567" s="1852">
        <f t="shared" si="3587"/>
        <v>4618.4310000000005</v>
      </c>
      <c r="BR1567" s="1852">
        <f t="shared" si="3587"/>
        <v>4576.4240000000018</v>
      </c>
      <c r="BS1567" s="1852">
        <f t="shared" si="3587"/>
        <v>4484.8209999999999</v>
      </c>
      <c r="BT1567" s="486">
        <f t="shared" si="3587"/>
        <v>4484.8209999999999</v>
      </c>
      <c r="BU1567" s="1852">
        <f t="shared" si="3587"/>
        <v>4438.4032247754712</v>
      </c>
      <c r="BV1567" s="1852">
        <f t="shared" ref="BV1567:CF1567" si="3588">BV1564-BV1565</f>
        <v>4369.6351361207917</v>
      </c>
      <c r="BW1567" s="1852">
        <f t="shared" si="3588"/>
        <v>8009.5113735636442</v>
      </c>
      <c r="BX1567" s="1852">
        <f t="shared" si="3588"/>
        <v>7940.5502702876693</v>
      </c>
      <c r="BY1567" s="486">
        <f t="shared" si="3588"/>
        <v>7940.5502702876693</v>
      </c>
      <c r="BZ1567" s="486">
        <f t="shared" si="3588"/>
        <v>7596.5992509039779</v>
      </c>
      <c r="CA1567" s="486">
        <f t="shared" si="3588"/>
        <v>7280.6070463057767</v>
      </c>
      <c r="CB1567" s="486">
        <f t="shared" si="3588"/>
        <v>7132.4675324495902</v>
      </c>
      <c r="CC1567" s="486">
        <f t="shared" si="3588"/>
        <v>7039.3755943703236</v>
      </c>
      <c r="CD1567" s="486">
        <f t="shared" si="3588"/>
        <v>6943.3941594064272</v>
      </c>
      <c r="CE1567" s="486">
        <f t="shared" si="3588"/>
        <v>6835.410849118748</v>
      </c>
      <c r="CF1567" s="486">
        <f t="shared" si="3588"/>
        <v>6697.1039355274497</v>
      </c>
      <c r="CG1567" s="331"/>
      <c r="CH1567" s="331"/>
      <c r="CI1567" s="331"/>
      <c r="CJ1567" s="331"/>
      <c r="CK1567" s="331"/>
      <c r="CL1567" s="1149" t="str">
        <f>A1567</f>
        <v>Total Net Debt</v>
      </c>
      <c r="CM1567" s="485">
        <f>G1567</f>
        <v>771.28899999999999</v>
      </c>
      <c r="CN1567" s="485">
        <f>L1567</f>
        <v>2653.6089999999999</v>
      </c>
      <c r="CO1567" s="485">
        <f>Q1567</f>
        <v>2660.9330000000004</v>
      </c>
      <c r="CP1567" s="485">
        <f>V1567</f>
        <v>2800.5499999999997</v>
      </c>
      <c r="CQ1567" s="485">
        <f>AA1567</f>
        <v>1683.902</v>
      </c>
      <c r="CR1567" s="485">
        <f>AF1567</f>
        <v>1621.6590000000001</v>
      </c>
      <c r="CS1567" s="485">
        <f>AK1567</f>
        <v>1924.7380000000001</v>
      </c>
      <c r="CT1567" s="485">
        <f>AP1567</f>
        <v>1806.4740000000002</v>
      </c>
      <c r="CU1567" s="485">
        <f>AU1567</f>
        <v>2471.607</v>
      </c>
      <c r="CV1567" s="485">
        <f>AZ1567</f>
        <v>759.02000000000044</v>
      </c>
      <c r="CW1567" s="485">
        <f>BE1567</f>
        <v>4623.5929999999998</v>
      </c>
      <c r="CX1567" s="485">
        <f>BJ1567</f>
        <v>5012.2690000000002</v>
      </c>
      <c r="CY1567" s="485">
        <f>BO1567</f>
        <v>4660.6640000000016</v>
      </c>
      <c r="CZ1567" s="485">
        <f>BT1567</f>
        <v>4484.8209999999999</v>
      </c>
      <c r="DA1567" s="485">
        <f t="shared" si="3575"/>
        <v>7940.5502702876693</v>
      </c>
      <c r="DB1567" s="485">
        <f t="shared" si="3575"/>
        <v>7596.5992509039779</v>
      </c>
      <c r="DC1567" s="854">
        <f t="shared" si="3575"/>
        <v>7280.6070463057767</v>
      </c>
      <c r="DD1567" s="331"/>
      <c r="DE1567" s="331"/>
      <c r="DF1567" s="502"/>
      <c r="DG1567" s="503"/>
      <c r="DH1567" s="485"/>
      <c r="DI1567" s="3213"/>
      <c r="DJ1567" s="502"/>
      <c r="DK1567" s="503"/>
      <c r="DL1567" s="502"/>
      <c r="DM1567" s="502"/>
      <c r="DN1567" s="502"/>
      <c r="DO1567" s="502"/>
      <c r="DP1567" s="503"/>
      <c r="DQ1567" s="503"/>
      <c r="DR1567" s="296"/>
      <c r="DS1567" s="296"/>
      <c r="DT1567" s="296"/>
    </row>
    <row r="1568" spans="1:130" ht="12.75" customHeight="1" x14ac:dyDescent="0.25">
      <c r="A1568" s="457"/>
      <c r="B1568" s="281"/>
      <c r="C1568" s="509"/>
      <c r="D1568" s="509"/>
      <c r="E1568" s="509"/>
      <c r="F1568" s="509"/>
      <c r="G1568" s="510"/>
      <c r="H1568" s="509"/>
      <c r="I1568" s="509"/>
      <c r="J1568" s="509"/>
      <c r="K1568" s="509"/>
      <c r="L1568" s="510"/>
      <c r="M1568" s="509"/>
      <c r="N1568" s="509"/>
      <c r="O1568" s="509"/>
      <c r="P1568" s="509"/>
      <c r="Q1568" s="510"/>
      <c r="R1568" s="509"/>
      <c r="S1568" s="509"/>
      <c r="T1568" s="509"/>
      <c r="U1568" s="509"/>
      <c r="V1568" s="510"/>
      <c r="W1568" s="509"/>
      <c r="X1568" s="509"/>
      <c r="Y1568" s="509"/>
      <c r="Z1568" s="509"/>
      <c r="AA1568" s="510"/>
      <c r="AB1568" s="509"/>
      <c r="AC1568" s="509"/>
      <c r="AD1568" s="509"/>
      <c r="AE1568" s="430"/>
      <c r="AF1568" s="510"/>
      <c r="AG1568" s="430"/>
      <c r="AH1568" s="430"/>
      <c r="AI1568" s="430"/>
      <c r="AJ1568" s="430"/>
      <c r="AK1568" s="510"/>
      <c r="AL1568" s="430"/>
      <c r="AM1568" s="430"/>
      <c r="AN1568" s="430"/>
      <c r="AO1568" s="430"/>
      <c r="AP1568" s="672"/>
      <c r="AQ1568" s="672"/>
      <c r="AR1568" s="509"/>
      <c r="AS1568" s="509"/>
      <c r="AT1568" s="509"/>
      <c r="AU1568" s="1632"/>
      <c r="AV1568" s="1747"/>
      <c r="AW1568" s="1853"/>
      <c r="AX1568" s="1853"/>
      <c r="AY1568" s="509"/>
      <c r="AZ1568" s="1632"/>
      <c r="BA1568" s="1747"/>
      <c r="BB1568" s="1853"/>
      <c r="BC1568" s="1853"/>
      <c r="BD1568" s="1942"/>
      <c r="BE1568" s="510"/>
      <c r="BF1568" s="1853"/>
      <c r="BG1568" s="1853"/>
      <c r="BH1568" s="1853"/>
      <c r="BI1568" s="1942"/>
      <c r="BJ1568" s="510"/>
      <c r="BK1568" s="1853"/>
      <c r="BL1568" s="1853"/>
      <c r="BM1568" s="1853"/>
      <c r="BN1568" s="1942"/>
      <c r="BO1568" s="510"/>
      <c r="BP1568" s="1853"/>
      <c r="BQ1568" s="1853"/>
      <c r="BR1568" s="1853"/>
      <c r="BS1568" s="1853"/>
      <c r="BT1568" s="2842"/>
      <c r="BU1568" s="1853"/>
      <c r="BV1568" s="1853"/>
      <c r="BW1568" s="1853"/>
      <c r="BX1568" s="1853"/>
      <c r="BY1568" s="2842"/>
      <c r="BZ1568" s="510"/>
      <c r="CA1568" s="510"/>
      <c r="CB1568" s="510"/>
      <c r="CC1568" s="510"/>
      <c r="CD1568" s="510"/>
      <c r="CE1568" s="510"/>
      <c r="CF1568" s="510"/>
      <c r="CG1568" s="331"/>
      <c r="CH1568" s="331"/>
      <c r="CI1568" s="331"/>
      <c r="CJ1568" s="331"/>
      <c r="CK1568" s="331"/>
      <c r="CL1568" s="2209"/>
      <c r="CM1568" s="430"/>
      <c r="CN1568" s="430"/>
      <c r="CO1568" s="430"/>
      <c r="CP1568" s="430"/>
      <c r="CQ1568" s="430"/>
      <c r="CR1568" s="430"/>
      <c r="CS1568" s="430"/>
      <c r="CT1568" s="430"/>
      <c r="CU1568" s="430"/>
      <c r="CV1568" s="430"/>
      <c r="CW1568" s="430"/>
      <c r="CX1568" s="430"/>
      <c r="CY1568" s="430"/>
      <c r="CZ1568" s="430"/>
      <c r="DA1568" s="430"/>
      <c r="DB1568" s="430"/>
      <c r="DC1568" s="853"/>
      <c r="DD1568" s="331"/>
      <c r="DE1568" s="331"/>
      <c r="DF1568" s="502"/>
      <c r="DG1568" s="503"/>
      <c r="DH1568" s="2840"/>
      <c r="DI1568" s="3213"/>
      <c r="DJ1568" s="502"/>
      <c r="DK1568" s="503"/>
      <c r="DL1568" s="502"/>
      <c r="DM1568" s="502"/>
      <c r="DN1568" s="502"/>
      <c r="DO1568" s="502"/>
      <c r="DP1568" s="503"/>
      <c r="DQ1568" s="503"/>
      <c r="DR1568" s="296"/>
      <c r="DS1568" s="296"/>
      <c r="DT1568" s="296"/>
    </row>
    <row r="1569" spans="1:130" ht="12.75" customHeight="1" x14ac:dyDescent="0.25">
      <c r="A1569" s="11" t="s">
        <v>88</v>
      </c>
      <c r="B1569" s="281"/>
      <c r="C1569" s="563">
        <f>C54+67.6+65.8+58.5</f>
        <v>262.78199999999998</v>
      </c>
      <c r="D1569" s="563">
        <f>D54+C54+58.5+65.8</f>
        <v>271.03800000000001</v>
      </c>
      <c r="E1569" s="563">
        <f>E54+D54+C54+58.5</f>
        <v>277.62800000000004</v>
      </c>
      <c r="F1569" s="446">
        <f>SUM(C54:F54)</f>
        <v>286.23599999999999</v>
      </c>
      <c r="G1569" s="447">
        <f>F1569</f>
        <v>286.23599999999999</v>
      </c>
      <c r="H1569" s="446">
        <f>H54+F54+E54+D54</f>
        <v>287.52700000000004</v>
      </c>
      <c r="I1569" s="446">
        <f>I54+H54+F54+E54</f>
        <v>290.286</v>
      </c>
      <c r="J1569" s="446">
        <f>J54+I54+H54+F54</f>
        <v>296.46899999999999</v>
      </c>
      <c r="K1569" s="446">
        <f>SUM(H54:K54)</f>
        <v>373.286</v>
      </c>
      <c r="L1569" s="447">
        <f>K1569</f>
        <v>373.286</v>
      </c>
      <c r="M1569" s="446">
        <f>M54+K54+J54+I54</f>
        <v>465.928</v>
      </c>
      <c r="N1569" s="446">
        <f>N54+M54+K54+J54</f>
        <v>542.447</v>
      </c>
      <c r="O1569" s="446">
        <f>O54+N54+M54+K54</f>
        <v>626.70900000000006</v>
      </c>
      <c r="P1569" s="446">
        <f>SUM(M54:P54)</f>
        <v>629.22500000000002</v>
      </c>
      <c r="Q1569" s="447">
        <f>P1569</f>
        <v>629.22500000000002</v>
      </c>
      <c r="R1569" s="446">
        <f>R54+P54+O54+N54</f>
        <v>632.10900000000004</v>
      </c>
      <c r="S1569" s="446">
        <f>S54+R54+P54+O54</f>
        <v>649.73299999999995</v>
      </c>
      <c r="T1569" s="446">
        <f>T54+S54+R54+P54</f>
        <v>664.53400000000011</v>
      </c>
      <c r="U1569" s="446">
        <f>SUM(R54:U54)</f>
        <v>672.72699999999998</v>
      </c>
      <c r="V1569" s="447">
        <f>U1569</f>
        <v>672.72699999999998</v>
      </c>
      <c r="W1569" s="446">
        <f>W54+U54+T54+S54</f>
        <v>666.87699999999995</v>
      </c>
      <c r="X1569" s="446">
        <f>X54+W54+U54+T54</f>
        <v>658.36799999999994</v>
      </c>
      <c r="Y1569" s="446">
        <f>Y54+X54+W54+U54</f>
        <v>649.02699999999993</v>
      </c>
      <c r="Z1569" s="446">
        <f>SUM(W54:Z54)</f>
        <v>639.57799999999997</v>
      </c>
      <c r="AA1569" s="447">
        <f>Z1569</f>
        <v>639.57799999999997</v>
      </c>
      <c r="AB1569" s="446">
        <f>AB54+Z54+Y54+X54</f>
        <v>636.58799999999997</v>
      </c>
      <c r="AC1569" s="446">
        <f>AC54+AB54+Z54+Y54</f>
        <v>614.06900000000007</v>
      </c>
      <c r="AD1569" s="446">
        <f>AD54+AC54+AB54+Z54</f>
        <v>602.41599999999994</v>
      </c>
      <c r="AE1569" s="454">
        <f>SUM(AB54:AE54)</f>
        <v>590.94900000000007</v>
      </c>
      <c r="AF1569" s="447">
        <f>AE1569</f>
        <v>590.94900000000007</v>
      </c>
      <c r="AG1569" s="454">
        <f>AG54+AE54+AD54+AC54</f>
        <v>581.20800000000008</v>
      </c>
      <c r="AH1569" s="454">
        <f>AH54+AG54+AE54+AD54</f>
        <v>588.30399999999997</v>
      </c>
      <c r="AI1569" s="454">
        <f>AI54+AH54+AG54+AE54</f>
        <v>596.471</v>
      </c>
      <c r="AJ1569" s="454">
        <f>SUM(AG54:AJ54)</f>
        <v>613.03899999999999</v>
      </c>
      <c r="AK1569" s="447">
        <f>AJ1569</f>
        <v>613.03899999999999</v>
      </c>
      <c r="AL1569" s="454">
        <f>AL54+AJ54+AI54+AH54</f>
        <v>641.95600000000002</v>
      </c>
      <c r="AM1569" s="454">
        <f>AM54+AL54+AJ54+AI54</f>
        <v>683.71</v>
      </c>
      <c r="AN1569" s="454">
        <f>AN54+AM54+AL54+AJ54</f>
        <v>710.80700000000002</v>
      </c>
      <c r="AO1569" s="454">
        <f>SUM(AL54:AO54)</f>
        <v>721.7940000000001</v>
      </c>
      <c r="AP1569" s="447">
        <f>AO1569</f>
        <v>721.7940000000001</v>
      </c>
      <c r="AQ1569" s="454">
        <f>AQ54+AO54+AN54+AM54</f>
        <v>750.899</v>
      </c>
      <c r="AR1569" s="454">
        <f>AR54+AQ54+AO54+AN54</f>
        <v>759.51700000000005</v>
      </c>
      <c r="AS1569" s="454">
        <f>AS54+AR54+AQ54+AO54</f>
        <v>765.702</v>
      </c>
      <c r="AT1569" s="454">
        <f>SUM(AQ54:AT54)</f>
        <v>789.53199999999993</v>
      </c>
      <c r="AU1569" s="1693">
        <f>AT1569</f>
        <v>789.53199999999993</v>
      </c>
      <c r="AV1569" s="1863">
        <f>AV54+AT54+AS54+AR54</f>
        <v>810.19899999999996</v>
      </c>
      <c r="AW1569" s="1841">
        <f>AW54+AV54+AT54+AS54</f>
        <v>830.12099999999998</v>
      </c>
      <c r="AX1569" s="1841">
        <f>AX54+AW54+AV54+AT54</f>
        <v>822.82799999999997</v>
      </c>
      <c r="AY1569" s="454">
        <f>SUM(AV54:AY54)</f>
        <v>721.41700000000003</v>
      </c>
      <c r="AZ1569" s="1693">
        <f>AY1569</f>
        <v>721.41700000000003</v>
      </c>
      <c r="BA1569" s="1863">
        <f>BA54+AY54+AX54+AW54</f>
        <v>569.93399999999997</v>
      </c>
      <c r="BB1569" s="1841">
        <f>BB54+BA54+AY54+AX54</f>
        <v>433.03399999999999</v>
      </c>
      <c r="BC1569" s="1841">
        <f>BC54+BB54+BA54+AY54</f>
        <v>308.10599999999999</v>
      </c>
      <c r="BD1569" s="1864">
        <f>SUM(BA40:BD40)</f>
        <v>709.99099999999999</v>
      </c>
      <c r="BE1569" s="455">
        <f>BE40</f>
        <v>709.99099999999999</v>
      </c>
      <c r="BF1569" s="1863">
        <f>BF40+BD40+BC40+BB40</f>
        <v>713.73699999999997</v>
      </c>
      <c r="BG1569" s="1841">
        <f>BG40+BF40+BD40+BC40</f>
        <v>722.28599999999994</v>
      </c>
      <c r="BH1569" s="1841">
        <f>BH40+BG40+BF40+BD40</f>
        <v>762.05299999999988</v>
      </c>
      <c r="BI1569" s="1864">
        <f>SUM(BF40:BI40)</f>
        <v>796.35099999999989</v>
      </c>
      <c r="BJ1569" s="455">
        <f>BJ40</f>
        <v>796.351</v>
      </c>
      <c r="BK1569" s="1841">
        <f>BK40+BI40+BH40+BG40</f>
        <v>824.85500000000002</v>
      </c>
      <c r="BL1569" s="1841">
        <f>BL40+BK40+BI40+BH40</f>
        <v>853.25299999999993</v>
      </c>
      <c r="BM1569" s="1841">
        <f>BM40+BL40+BK40+BI40</f>
        <v>854.25099999999998</v>
      </c>
      <c r="BN1569" s="1864">
        <f>SUM(BK40:BN40)</f>
        <v>843.827</v>
      </c>
      <c r="BO1569" s="455">
        <f>BO40</f>
        <v>843.827</v>
      </c>
      <c r="BP1569" s="1841">
        <f>BP40+BN40+BM40+BL40</f>
        <v>852.654</v>
      </c>
      <c r="BQ1569" s="1841">
        <f>BQ40+BP40+BN40+BM40</f>
        <v>848.01200000000006</v>
      </c>
      <c r="BR1569" s="1841">
        <f>BR40+BQ40+BP40+BN40</f>
        <v>858.53899999999999</v>
      </c>
      <c r="BS1569" s="1864">
        <f>SUM(BP40:BS40)</f>
        <v>845.94600000000003</v>
      </c>
      <c r="BT1569" s="3066">
        <f>BT40</f>
        <v>845.94600000000003</v>
      </c>
      <c r="BU1569" s="1841">
        <f>BU40+BS40+BR40+BQ40</f>
        <v>853.79416787702519</v>
      </c>
      <c r="BV1569" s="1841">
        <f>BV40+BU40+BS40+BR40</f>
        <v>872.30224459980286</v>
      </c>
      <c r="BW1569" s="1841">
        <f>BW40+BV40+BU40+BS40</f>
        <v>1027.84331469734</v>
      </c>
      <c r="BX1569" s="1841">
        <f>SUM(BU40:BX40)</f>
        <v>1193.4537743384185</v>
      </c>
      <c r="BY1569" s="3066">
        <f>BY40</f>
        <v>1193.4537743384185</v>
      </c>
      <c r="BZ1569" s="455">
        <f>BZ40</f>
        <v>1541.1009163027868</v>
      </c>
      <c r="CA1569" s="455">
        <f>CA40</f>
        <v>1528.974999834531</v>
      </c>
      <c r="CB1569" s="455">
        <f>CB54</f>
        <v>331.41049901397969</v>
      </c>
      <c r="CC1569" s="455">
        <f>CC54</f>
        <v>265.50484095538252</v>
      </c>
      <c r="CD1569" s="455">
        <f>CD54</f>
        <v>281.51134530596107</v>
      </c>
      <c r="CE1569" s="455">
        <f>CE54</f>
        <v>298.73207446100207</v>
      </c>
      <c r="CF1569" s="455">
        <f>CF54</f>
        <v>314.74699192055084</v>
      </c>
      <c r="CG1569" s="331"/>
      <c r="CH1569" s="331"/>
      <c r="CI1569" s="331"/>
      <c r="CJ1569" s="331"/>
      <c r="CK1569" s="331"/>
      <c r="CL1569" s="520" t="str">
        <f>A1569</f>
        <v>LTM Morgan Stanley EBITDA</v>
      </c>
      <c r="CM1569" s="454">
        <f>G1569</f>
        <v>286.23599999999999</v>
      </c>
      <c r="CN1569" s="454">
        <f>L1569</f>
        <v>373.286</v>
      </c>
      <c r="CO1569" s="454">
        <f>Q1569</f>
        <v>629.22500000000002</v>
      </c>
      <c r="CP1569" s="454">
        <f>V1569</f>
        <v>672.72699999999998</v>
      </c>
      <c r="CQ1569" s="454">
        <f>AA1569</f>
        <v>639.57799999999997</v>
      </c>
      <c r="CR1569" s="454">
        <f>AF1569</f>
        <v>590.94900000000007</v>
      </c>
      <c r="CS1569" s="454">
        <f>AK1569</f>
        <v>613.03899999999999</v>
      </c>
      <c r="CT1569" s="454">
        <f>AP1569</f>
        <v>721.7940000000001</v>
      </c>
      <c r="CU1569" s="454">
        <f>AU1569</f>
        <v>789.53199999999993</v>
      </c>
      <c r="CV1569" s="454">
        <f>AZ1569</f>
        <v>721.41700000000003</v>
      </c>
      <c r="CW1569" s="454">
        <f>BE1569</f>
        <v>709.99099999999999</v>
      </c>
      <c r="CX1569" s="454">
        <f>BJ1569</f>
        <v>796.351</v>
      </c>
      <c r="CY1569" s="454">
        <f>BO1569</f>
        <v>843.827</v>
      </c>
      <c r="CZ1569" s="454">
        <f>BT1569</f>
        <v>845.94600000000003</v>
      </c>
      <c r="DA1569" s="454">
        <f t="shared" ref="DA1569:DC1572" si="3589">BY1569</f>
        <v>1193.4537743384185</v>
      </c>
      <c r="DB1569" s="454">
        <f t="shared" si="3589"/>
        <v>1541.1009163027868</v>
      </c>
      <c r="DC1569" s="1666">
        <f t="shared" si="3589"/>
        <v>1528.974999834531</v>
      </c>
      <c r="DD1569" s="331"/>
      <c r="DE1569" s="331"/>
      <c r="DF1569" s="502"/>
      <c r="DG1569" s="503"/>
      <c r="DH1569" s="2915"/>
      <c r="DI1569" s="3213"/>
      <c r="DJ1569" s="502"/>
      <c r="DK1569" s="503"/>
      <c r="DL1569" s="502"/>
      <c r="DM1569" s="502"/>
      <c r="DN1569" s="502"/>
      <c r="DO1569" s="502"/>
      <c r="DP1569" s="503"/>
      <c r="DQ1569" s="503"/>
      <c r="DR1569" s="296"/>
      <c r="DS1569" s="296"/>
      <c r="DT1569" s="296"/>
    </row>
    <row r="1570" spans="1:130" ht="12.75" customHeight="1" x14ac:dyDescent="0.25">
      <c r="A1570" s="705" t="s">
        <v>2194</v>
      </c>
      <c r="B1570" s="281"/>
      <c r="C1570" s="446">
        <v>0</v>
      </c>
      <c r="D1570" s="446">
        <v>0</v>
      </c>
      <c r="E1570" s="446">
        <v>0</v>
      </c>
      <c r="F1570" s="446">
        <v>0</v>
      </c>
      <c r="G1570" s="447">
        <f>F1570</f>
        <v>0</v>
      </c>
      <c r="H1570" s="446">
        <v>0</v>
      </c>
      <c r="I1570" s="446">
        <v>0</v>
      </c>
      <c r="J1570" s="446">
        <v>0</v>
      </c>
      <c r="K1570" s="446">
        <f>$H$899+$I$899+$J$899+$H$930+$I$930+$J$930+$H$837+$I$837+$H$961+$I$961+$J$961+$H$868+$I$868+$J$868+$J$837</f>
        <v>216.928</v>
      </c>
      <c r="L1570" s="447">
        <f>K1570</f>
        <v>216.928</v>
      </c>
      <c r="M1570" s="446">
        <f>$I$899+$J$899+$I$930+$J$930+$I$837+$I$961+$J$961+$I$868+$J$868+$J$837</f>
        <v>144.864</v>
      </c>
      <c r="N1570" s="446">
        <f>$J$899+$J$930+$J$961+$J$868+$J$837</f>
        <v>74.394000000000005</v>
      </c>
      <c r="O1570" s="446">
        <v>0</v>
      </c>
      <c r="P1570" s="446">
        <v>0</v>
      </c>
      <c r="Q1570" s="447">
        <v>0</v>
      </c>
      <c r="R1570" s="446">
        <v>0</v>
      </c>
      <c r="S1570" s="446">
        <v>0</v>
      </c>
      <c r="T1570" s="446">
        <v>0</v>
      </c>
      <c r="U1570" s="446">
        <v>0</v>
      </c>
      <c r="V1570" s="447">
        <v>0</v>
      </c>
      <c r="W1570" s="565">
        <v>15</v>
      </c>
      <c r="X1570" s="565">
        <v>10</v>
      </c>
      <c r="Y1570" s="446">
        <v>0</v>
      </c>
      <c r="Z1570" s="446">
        <v>0</v>
      </c>
      <c r="AA1570" s="447">
        <v>0</v>
      </c>
      <c r="AB1570" s="446">
        <v>0</v>
      </c>
      <c r="AC1570" s="446">
        <v>0</v>
      </c>
      <c r="AD1570" s="446">
        <v>0</v>
      </c>
      <c r="AE1570" s="454">
        <v>0</v>
      </c>
      <c r="AF1570" s="447">
        <v>0</v>
      </c>
      <c r="AG1570" s="454">
        <v>0</v>
      </c>
      <c r="AH1570" s="454">
        <v>0</v>
      </c>
      <c r="AI1570" s="454">
        <v>0</v>
      </c>
      <c r="AJ1570" s="454">
        <v>0</v>
      </c>
      <c r="AK1570" s="447">
        <v>0</v>
      </c>
      <c r="AL1570" s="454">
        <v>0</v>
      </c>
      <c r="AM1570" s="454">
        <v>0</v>
      </c>
      <c r="AN1570" s="454">
        <v>0</v>
      </c>
      <c r="AO1570" s="454">
        <v>0</v>
      </c>
      <c r="AP1570" s="447">
        <v>0</v>
      </c>
      <c r="AQ1570" s="446">
        <v>0</v>
      </c>
      <c r="AR1570" s="446">
        <v>0</v>
      </c>
      <c r="AS1570" s="446">
        <v>0</v>
      </c>
      <c r="AT1570" s="446">
        <v>0</v>
      </c>
      <c r="AU1570" s="1693">
        <v>0</v>
      </c>
      <c r="AV1570" s="1863">
        <v>0</v>
      </c>
      <c r="AW1570" s="1841">
        <v>0</v>
      </c>
      <c r="AX1570" s="1841">
        <v>0</v>
      </c>
      <c r="AY1570" s="446">
        <v>0</v>
      </c>
      <c r="AZ1570" s="1693">
        <v>0</v>
      </c>
      <c r="BA1570" s="1863">
        <v>0</v>
      </c>
      <c r="BB1570" s="1841">
        <v>0</v>
      </c>
      <c r="BC1570" s="1841">
        <v>0</v>
      </c>
      <c r="BD1570" s="1864">
        <v>0</v>
      </c>
      <c r="BE1570" s="455">
        <v>0</v>
      </c>
      <c r="BF1570" s="1841">
        <v>0</v>
      </c>
      <c r="BG1570" s="1841">
        <v>0</v>
      </c>
      <c r="BH1570" s="1841">
        <v>0</v>
      </c>
      <c r="BI1570" s="1864">
        <v>0</v>
      </c>
      <c r="BJ1570" s="455">
        <v>0</v>
      </c>
      <c r="BK1570" s="1841">
        <v>0</v>
      </c>
      <c r="BL1570" s="1841">
        <v>0</v>
      </c>
      <c r="BM1570" s="1841">
        <v>0</v>
      </c>
      <c r="BN1570" s="1864">
        <v>0</v>
      </c>
      <c r="BO1570" s="455">
        <v>0</v>
      </c>
      <c r="BP1570" s="1841">
        <v>0</v>
      </c>
      <c r="BQ1570" s="1841">
        <v>0</v>
      </c>
      <c r="BR1570" s="1841">
        <v>0</v>
      </c>
      <c r="BS1570" s="1841">
        <v>0</v>
      </c>
      <c r="BT1570" s="3066">
        <v>0</v>
      </c>
      <c r="BU1570" s="1841">
        <v>0</v>
      </c>
      <c r="BV1570" s="1841">
        <v>0</v>
      </c>
      <c r="BW1570" s="1841">
        <v>0</v>
      </c>
      <c r="BX1570" s="1841">
        <v>0</v>
      </c>
      <c r="BY1570" s="3066">
        <v>0</v>
      </c>
      <c r="BZ1570" s="455">
        <v>0</v>
      </c>
      <c r="CA1570" s="455">
        <v>0</v>
      </c>
      <c r="CB1570" s="455">
        <v>0</v>
      </c>
      <c r="CC1570" s="455">
        <v>0</v>
      </c>
      <c r="CD1570" s="455">
        <v>0</v>
      </c>
      <c r="CE1570" s="455">
        <v>0</v>
      </c>
      <c r="CF1570" s="455">
        <v>0</v>
      </c>
      <c r="CG1570" s="741"/>
      <c r="CH1570" s="741"/>
      <c r="CI1570" s="741"/>
      <c r="CJ1570" s="741"/>
      <c r="CK1570" s="741"/>
      <c r="CL1570" s="2025" t="str">
        <f>A1570</f>
        <v>Plus: Covenant adjustments (Argosy, etc.)</v>
      </c>
      <c r="CM1570" s="454">
        <f>G1570</f>
        <v>0</v>
      </c>
      <c r="CN1570" s="454">
        <f>L1570</f>
        <v>216.928</v>
      </c>
      <c r="CO1570" s="454">
        <f>Q1570</f>
        <v>0</v>
      </c>
      <c r="CP1570" s="454">
        <f>V1570</f>
        <v>0</v>
      </c>
      <c r="CQ1570" s="454">
        <f>AA1570</f>
        <v>0</v>
      </c>
      <c r="CR1570" s="454">
        <f>AF1570</f>
        <v>0</v>
      </c>
      <c r="CS1570" s="454">
        <f>AK1570</f>
        <v>0</v>
      </c>
      <c r="CT1570" s="454">
        <f>AP1570</f>
        <v>0</v>
      </c>
      <c r="CU1570" s="454">
        <f>AU1570</f>
        <v>0</v>
      </c>
      <c r="CV1570" s="454">
        <f>AZ1570</f>
        <v>0</v>
      </c>
      <c r="CW1570" s="454">
        <f>BE1570</f>
        <v>0</v>
      </c>
      <c r="CX1570" s="454">
        <f>BJ1570</f>
        <v>0</v>
      </c>
      <c r="CY1570" s="454">
        <f>BO1570</f>
        <v>0</v>
      </c>
      <c r="CZ1570" s="454">
        <f>BT1570</f>
        <v>0</v>
      </c>
      <c r="DA1570" s="454">
        <f t="shared" si="3589"/>
        <v>0</v>
      </c>
      <c r="DB1570" s="454">
        <f t="shared" si="3589"/>
        <v>0</v>
      </c>
      <c r="DC1570" s="1666">
        <f t="shared" si="3589"/>
        <v>0</v>
      </c>
      <c r="DD1570" s="741"/>
      <c r="DE1570" s="741"/>
      <c r="DF1570" s="742"/>
      <c r="DG1570" s="743"/>
      <c r="DH1570" s="2915"/>
      <c r="DI1570" s="3215"/>
      <c r="DJ1570" s="742"/>
      <c r="DK1570" s="743"/>
      <c r="DL1570" s="742"/>
      <c r="DM1570" s="742"/>
      <c r="DN1570" s="742"/>
      <c r="DO1570" s="742"/>
      <c r="DP1570" s="743"/>
      <c r="DQ1570" s="743"/>
      <c r="DR1570" s="740"/>
      <c r="DS1570" s="740"/>
      <c r="DT1570" s="740"/>
    </row>
    <row r="1571" spans="1:130" ht="4.5" customHeight="1" x14ac:dyDescent="0.25">
      <c r="A1571" s="1953"/>
      <c r="B1571" s="291"/>
      <c r="C1571" s="544" t="s">
        <v>1151</v>
      </c>
      <c r="D1571" s="544" t="s">
        <v>1151</v>
      </c>
      <c r="E1571" s="544" t="s">
        <v>1151</v>
      </c>
      <c r="F1571" s="544" t="s">
        <v>1151</v>
      </c>
      <c r="G1571" s="461" t="s">
        <v>1151</v>
      </c>
      <c r="H1571" s="544" t="s">
        <v>1151</v>
      </c>
      <c r="I1571" s="544" t="s">
        <v>1151</v>
      </c>
      <c r="J1571" s="544" t="s">
        <v>1151</v>
      </c>
      <c r="K1571" s="544" t="s">
        <v>1151</v>
      </c>
      <c r="L1571" s="461" t="s">
        <v>1151</v>
      </c>
      <c r="M1571" s="544" t="s">
        <v>1151</v>
      </c>
      <c r="N1571" s="544" t="s">
        <v>1151</v>
      </c>
      <c r="O1571" s="544" t="s">
        <v>1151</v>
      </c>
      <c r="P1571" s="544" t="s">
        <v>1151</v>
      </c>
      <c r="Q1571" s="461" t="s">
        <v>1151</v>
      </c>
      <c r="R1571" s="544" t="s">
        <v>1151</v>
      </c>
      <c r="S1571" s="544" t="s">
        <v>1151</v>
      </c>
      <c r="T1571" s="544" t="s">
        <v>1151</v>
      </c>
      <c r="U1571" s="544" t="s">
        <v>1151</v>
      </c>
      <c r="V1571" s="461" t="s">
        <v>1151</v>
      </c>
      <c r="W1571" s="544" t="s">
        <v>1151</v>
      </c>
      <c r="X1571" s="544" t="s">
        <v>1151</v>
      </c>
      <c r="Y1571" s="544" t="s">
        <v>1151</v>
      </c>
      <c r="Z1571" s="544" t="s">
        <v>1151</v>
      </c>
      <c r="AA1571" s="461" t="s">
        <v>1151</v>
      </c>
      <c r="AB1571" s="544" t="s">
        <v>1151</v>
      </c>
      <c r="AC1571" s="544" t="s">
        <v>1151</v>
      </c>
      <c r="AD1571" s="544" t="s">
        <v>1151</v>
      </c>
      <c r="AE1571" s="544" t="s">
        <v>1151</v>
      </c>
      <c r="AF1571" s="461" t="s">
        <v>1151</v>
      </c>
      <c r="AG1571" s="544" t="s">
        <v>1151</v>
      </c>
      <c r="AH1571" s="544" t="s">
        <v>1151</v>
      </c>
      <c r="AI1571" s="544" t="s">
        <v>1151</v>
      </c>
      <c r="AJ1571" s="544" t="s">
        <v>1151</v>
      </c>
      <c r="AK1571" s="461" t="s">
        <v>1151</v>
      </c>
      <c r="AL1571" s="544" t="s">
        <v>1151</v>
      </c>
      <c r="AM1571" s="544" t="s">
        <v>1151</v>
      </c>
      <c r="AN1571" s="544" t="s">
        <v>1151</v>
      </c>
      <c r="AO1571" s="544" t="s">
        <v>1151</v>
      </c>
      <c r="AP1571" s="461" t="s">
        <v>1151</v>
      </c>
      <c r="AQ1571" s="544" t="s">
        <v>1151</v>
      </c>
      <c r="AR1571" s="544" t="s">
        <v>1151</v>
      </c>
      <c r="AS1571" s="544" t="s">
        <v>1151</v>
      </c>
      <c r="AT1571" s="544" t="s">
        <v>1151</v>
      </c>
      <c r="AU1571" s="461" t="s">
        <v>1151</v>
      </c>
      <c r="AV1571" s="544" t="s">
        <v>1151</v>
      </c>
      <c r="AW1571" s="544" t="s">
        <v>1151</v>
      </c>
      <c r="AX1571" s="544" t="s">
        <v>1151</v>
      </c>
      <c r="AY1571" s="544" t="s">
        <v>1151</v>
      </c>
      <c r="AZ1571" s="461" t="s">
        <v>1151</v>
      </c>
      <c r="BA1571" s="544" t="s">
        <v>1151</v>
      </c>
      <c r="BB1571" s="544" t="s">
        <v>1151</v>
      </c>
      <c r="BC1571" s="544" t="s">
        <v>1151</v>
      </c>
      <c r="BD1571" s="544" t="s">
        <v>1151</v>
      </c>
      <c r="BE1571" s="461" t="s">
        <v>1151</v>
      </c>
      <c r="BF1571" s="544" t="s">
        <v>1151</v>
      </c>
      <c r="BG1571" s="544" t="s">
        <v>1151</v>
      </c>
      <c r="BH1571" s="544" t="s">
        <v>1151</v>
      </c>
      <c r="BI1571" s="544" t="s">
        <v>1151</v>
      </c>
      <c r="BJ1571" s="461" t="s">
        <v>1151</v>
      </c>
      <c r="BK1571" s="544" t="s">
        <v>1151</v>
      </c>
      <c r="BL1571" s="544" t="s">
        <v>1151</v>
      </c>
      <c r="BM1571" s="544" t="s">
        <v>1151</v>
      </c>
      <c r="BN1571" s="544" t="s">
        <v>1151</v>
      </c>
      <c r="BO1571" s="461" t="s">
        <v>1151</v>
      </c>
      <c r="BP1571" s="544" t="s">
        <v>1151</v>
      </c>
      <c r="BQ1571" s="544" t="s">
        <v>1151</v>
      </c>
      <c r="BR1571" s="544" t="s">
        <v>1151</v>
      </c>
      <c r="BS1571" s="544" t="s">
        <v>1151</v>
      </c>
      <c r="BT1571" s="461" t="s">
        <v>1151</v>
      </c>
      <c r="BU1571" s="544" t="s">
        <v>1151</v>
      </c>
      <c r="BV1571" s="544" t="s">
        <v>1151</v>
      </c>
      <c r="BW1571" s="544" t="s">
        <v>1151</v>
      </c>
      <c r="BX1571" s="544" t="s">
        <v>1151</v>
      </c>
      <c r="BY1571" s="461" t="s">
        <v>1151</v>
      </c>
      <c r="BZ1571" s="461" t="s">
        <v>1151</v>
      </c>
      <c r="CA1571" s="461" t="s">
        <v>1151</v>
      </c>
      <c r="CB1571" s="461" t="s">
        <v>1151</v>
      </c>
      <c r="CC1571" s="461" t="s">
        <v>1151</v>
      </c>
      <c r="CD1571" s="461" t="s">
        <v>1151</v>
      </c>
      <c r="CE1571" s="461" t="s">
        <v>1151</v>
      </c>
      <c r="CF1571" s="461" t="s">
        <v>1151</v>
      </c>
      <c r="CG1571" s="741"/>
      <c r="CH1571" s="741"/>
      <c r="CI1571" s="741"/>
      <c r="CJ1571" s="741"/>
      <c r="CK1571" s="741"/>
      <c r="CL1571" s="2027"/>
      <c r="CM1571" s="2029" t="str">
        <f>G1571</f>
        <v xml:space="preserve">                </v>
      </c>
      <c r="CN1571" s="2029" t="str">
        <f>L1571</f>
        <v xml:space="preserve">                </v>
      </c>
      <c r="CO1571" s="2029" t="str">
        <f>Q1571</f>
        <v xml:space="preserve">                </v>
      </c>
      <c r="CP1571" s="2029" t="str">
        <f>V1571</f>
        <v xml:space="preserve">                </v>
      </c>
      <c r="CQ1571" s="2029" t="str">
        <f>AA1571</f>
        <v xml:space="preserve">                </v>
      </c>
      <c r="CR1571" s="2029" t="str">
        <f>AF1571</f>
        <v xml:space="preserve">                </v>
      </c>
      <c r="CS1571" s="2029" t="str">
        <f>AK1571</f>
        <v xml:space="preserve">                </v>
      </c>
      <c r="CT1571" s="2029" t="str">
        <f>AP1571</f>
        <v xml:space="preserve">                </v>
      </c>
      <c r="CU1571" s="2029" t="str">
        <f>AU1571</f>
        <v xml:space="preserve">                </v>
      </c>
      <c r="CV1571" s="2029" t="str">
        <f>AZ1571</f>
        <v xml:space="preserve">                </v>
      </c>
      <c r="CW1571" s="2029" t="str">
        <f>BE1571</f>
        <v xml:space="preserve">                </v>
      </c>
      <c r="CX1571" s="2029" t="str">
        <f>BJ1571</f>
        <v xml:space="preserve">                </v>
      </c>
      <c r="CY1571" s="2029" t="str">
        <f>BO1571</f>
        <v xml:space="preserve">                </v>
      </c>
      <c r="CZ1571" s="2029" t="str">
        <f>BT1571</f>
        <v xml:space="preserve">                </v>
      </c>
      <c r="DA1571" s="2029" t="str">
        <f t="shared" si="3589"/>
        <v xml:space="preserve">                </v>
      </c>
      <c r="DB1571" s="2029" t="str">
        <f t="shared" si="3589"/>
        <v xml:space="preserve">                </v>
      </c>
      <c r="DC1571" s="2030" t="str">
        <f t="shared" si="3589"/>
        <v xml:space="preserve">                </v>
      </c>
      <c r="DD1571" s="741"/>
      <c r="DE1571" s="741"/>
      <c r="DF1571" s="742"/>
      <c r="DG1571" s="743"/>
      <c r="DH1571" s="2029"/>
      <c r="DI1571" s="3215"/>
      <c r="DJ1571" s="742"/>
      <c r="DK1571" s="743"/>
      <c r="DL1571" s="742"/>
      <c r="DM1571" s="742"/>
      <c r="DN1571" s="742"/>
      <c r="DO1571" s="742"/>
      <c r="DP1571" s="743"/>
      <c r="DQ1571" s="743"/>
      <c r="DR1571" s="740"/>
      <c r="DS1571" s="740"/>
      <c r="DT1571" s="740"/>
    </row>
    <row r="1572" spans="1:130" ht="12.75" customHeight="1" x14ac:dyDescent="0.25">
      <c r="A1572" s="719" t="s">
        <v>1516</v>
      </c>
      <c r="B1572" s="333"/>
      <c r="C1572" s="542">
        <f>SUM(C1569:C1570)</f>
        <v>262.78199999999998</v>
      </c>
      <c r="D1572" s="542">
        <f>SUM(D1569:D1570)</f>
        <v>271.03800000000001</v>
      </c>
      <c r="E1572" s="542">
        <f>SUM(E1569:E1570)</f>
        <v>277.62800000000004</v>
      </c>
      <c r="F1572" s="542">
        <f>SUM(F1569:F1570)</f>
        <v>286.23599999999999</v>
      </c>
      <c r="G1572" s="913">
        <f>SUM(G1569:G1570)</f>
        <v>286.23599999999999</v>
      </c>
      <c r="H1572" s="542">
        <f t="shared" ref="H1572:AA1572" si="3590">SUM(H1569:H1570)</f>
        <v>287.52700000000004</v>
      </c>
      <c r="I1572" s="542">
        <f t="shared" si="3590"/>
        <v>290.286</v>
      </c>
      <c r="J1572" s="542">
        <f t="shared" si="3590"/>
        <v>296.46899999999999</v>
      </c>
      <c r="K1572" s="542">
        <f t="shared" si="3590"/>
        <v>590.21399999999994</v>
      </c>
      <c r="L1572" s="913">
        <f t="shared" si="3590"/>
        <v>590.21399999999994</v>
      </c>
      <c r="M1572" s="542">
        <f t="shared" si="3590"/>
        <v>610.79200000000003</v>
      </c>
      <c r="N1572" s="542">
        <f t="shared" si="3590"/>
        <v>616.84100000000001</v>
      </c>
      <c r="O1572" s="542">
        <f t="shared" si="3590"/>
        <v>626.70900000000006</v>
      </c>
      <c r="P1572" s="542">
        <f t="shared" si="3590"/>
        <v>629.22500000000002</v>
      </c>
      <c r="Q1572" s="913">
        <f t="shared" si="3590"/>
        <v>629.22500000000002</v>
      </c>
      <c r="R1572" s="542">
        <f t="shared" si="3590"/>
        <v>632.10900000000004</v>
      </c>
      <c r="S1572" s="542">
        <f t="shared" si="3590"/>
        <v>649.73299999999995</v>
      </c>
      <c r="T1572" s="542">
        <f t="shared" si="3590"/>
        <v>664.53400000000011</v>
      </c>
      <c r="U1572" s="542">
        <f t="shared" si="3590"/>
        <v>672.72699999999998</v>
      </c>
      <c r="V1572" s="913">
        <f t="shared" si="3590"/>
        <v>672.72699999999998</v>
      </c>
      <c r="W1572" s="542">
        <f>SUM(W1569:W1570)</f>
        <v>681.87699999999995</v>
      </c>
      <c r="X1572" s="542">
        <f t="shared" si="3590"/>
        <v>668.36799999999994</v>
      </c>
      <c r="Y1572" s="542">
        <f t="shared" si="3590"/>
        <v>649.02699999999993</v>
      </c>
      <c r="Z1572" s="542">
        <f t="shared" si="3590"/>
        <v>639.57799999999997</v>
      </c>
      <c r="AA1572" s="913">
        <f t="shared" si="3590"/>
        <v>639.57799999999997</v>
      </c>
      <c r="AB1572" s="542">
        <f t="shared" ref="AB1572:AK1572" si="3591">SUM(AB1569:AB1570)</f>
        <v>636.58799999999997</v>
      </c>
      <c r="AC1572" s="542">
        <f t="shared" si="3591"/>
        <v>614.06900000000007</v>
      </c>
      <c r="AD1572" s="542">
        <f t="shared" si="3591"/>
        <v>602.41599999999994</v>
      </c>
      <c r="AE1572" s="463">
        <f t="shared" si="3591"/>
        <v>590.94900000000007</v>
      </c>
      <c r="AF1572" s="913">
        <f t="shared" si="3591"/>
        <v>590.94900000000007</v>
      </c>
      <c r="AG1572" s="463">
        <f t="shared" si="3591"/>
        <v>581.20800000000008</v>
      </c>
      <c r="AH1572" s="463">
        <f t="shared" si="3591"/>
        <v>588.30399999999997</v>
      </c>
      <c r="AI1572" s="463">
        <f t="shared" si="3591"/>
        <v>596.471</v>
      </c>
      <c r="AJ1572" s="463">
        <f t="shared" si="3591"/>
        <v>613.03899999999999</v>
      </c>
      <c r="AK1572" s="913">
        <f t="shared" si="3591"/>
        <v>613.03899999999999</v>
      </c>
      <c r="AL1572" s="463">
        <f t="shared" ref="AL1572:AU1572" si="3592">SUM(AL1569:AL1570)</f>
        <v>641.95600000000002</v>
      </c>
      <c r="AM1572" s="463">
        <f t="shared" si="3592"/>
        <v>683.71</v>
      </c>
      <c r="AN1572" s="463">
        <f t="shared" si="3592"/>
        <v>710.80700000000002</v>
      </c>
      <c r="AO1572" s="463">
        <f t="shared" si="3592"/>
        <v>721.7940000000001</v>
      </c>
      <c r="AP1572" s="913">
        <f t="shared" si="3592"/>
        <v>721.7940000000001</v>
      </c>
      <c r="AQ1572" s="542">
        <f t="shared" si="3592"/>
        <v>750.899</v>
      </c>
      <c r="AR1572" s="542">
        <f t="shared" si="3592"/>
        <v>759.51700000000005</v>
      </c>
      <c r="AS1572" s="542">
        <f t="shared" si="3592"/>
        <v>765.702</v>
      </c>
      <c r="AT1572" s="542">
        <f t="shared" si="3592"/>
        <v>789.53199999999993</v>
      </c>
      <c r="AU1572" s="1712">
        <f t="shared" si="3592"/>
        <v>789.53199999999993</v>
      </c>
      <c r="AV1572" s="1943">
        <f t="shared" ref="AV1572:BE1572" si="3593">SUM(AV1569:AV1570)</f>
        <v>810.19899999999996</v>
      </c>
      <c r="AW1572" s="1854">
        <f t="shared" si="3593"/>
        <v>830.12099999999998</v>
      </c>
      <c r="AX1572" s="1854">
        <f t="shared" si="3593"/>
        <v>822.82799999999997</v>
      </c>
      <c r="AY1572" s="542">
        <f t="shared" si="3593"/>
        <v>721.41700000000003</v>
      </c>
      <c r="AZ1572" s="1712">
        <f t="shared" si="3593"/>
        <v>721.41700000000003</v>
      </c>
      <c r="BA1572" s="1943">
        <f t="shared" si="3593"/>
        <v>569.93399999999997</v>
      </c>
      <c r="BB1572" s="1854">
        <f t="shared" si="3593"/>
        <v>433.03399999999999</v>
      </c>
      <c r="BC1572" s="1854">
        <f t="shared" si="3593"/>
        <v>308.10599999999999</v>
      </c>
      <c r="BD1572" s="1944">
        <f t="shared" si="3593"/>
        <v>709.99099999999999</v>
      </c>
      <c r="BE1572" s="464">
        <f t="shared" si="3593"/>
        <v>709.99099999999999</v>
      </c>
      <c r="BF1572" s="1854">
        <f t="shared" ref="BF1572:BK1572" si="3594">SUM(BF1569:BF1570)</f>
        <v>713.73699999999997</v>
      </c>
      <c r="BG1572" s="1854">
        <f t="shared" si="3594"/>
        <v>722.28599999999994</v>
      </c>
      <c r="BH1572" s="1854">
        <f t="shared" si="3594"/>
        <v>762.05299999999988</v>
      </c>
      <c r="BI1572" s="1944">
        <f t="shared" si="3594"/>
        <v>796.35099999999989</v>
      </c>
      <c r="BJ1572" s="464">
        <f t="shared" si="3594"/>
        <v>796.351</v>
      </c>
      <c r="BK1572" s="1854">
        <f t="shared" si="3594"/>
        <v>824.85500000000002</v>
      </c>
      <c r="BL1572" s="1854">
        <f t="shared" ref="BL1572:BU1572" si="3595">SUM(BL1569:BL1570)</f>
        <v>853.25299999999993</v>
      </c>
      <c r="BM1572" s="1854">
        <f t="shared" si="3595"/>
        <v>854.25099999999998</v>
      </c>
      <c r="BN1572" s="1944">
        <f t="shared" si="3595"/>
        <v>843.827</v>
      </c>
      <c r="BO1572" s="464">
        <f t="shared" si="3595"/>
        <v>843.827</v>
      </c>
      <c r="BP1572" s="1854">
        <f t="shared" si="3595"/>
        <v>852.654</v>
      </c>
      <c r="BQ1572" s="1854">
        <f t="shared" si="3595"/>
        <v>848.01200000000006</v>
      </c>
      <c r="BR1572" s="1854">
        <f t="shared" si="3595"/>
        <v>858.53899999999999</v>
      </c>
      <c r="BS1572" s="1854">
        <f t="shared" si="3595"/>
        <v>845.94600000000003</v>
      </c>
      <c r="BT1572" s="464">
        <f t="shared" si="3595"/>
        <v>845.94600000000003</v>
      </c>
      <c r="BU1572" s="1854">
        <f t="shared" si="3595"/>
        <v>853.79416787702519</v>
      </c>
      <c r="BV1572" s="1854">
        <f t="shared" ref="BV1572:CF1572" si="3596">SUM(BV1569:BV1570)</f>
        <v>872.30224459980286</v>
      </c>
      <c r="BW1572" s="1854">
        <f t="shared" si="3596"/>
        <v>1027.84331469734</v>
      </c>
      <c r="BX1572" s="1854">
        <f t="shared" si="3596"/>
        <v>1193.4537743384185</v>
      </c>
      <c r="BY1572" s="464">
        <f t="shared" si="3596"/>
        <v>1193.4537743384185</v>
      </c>
      <c r="BZ1572" s="464">
        <f t="shared" si="3596"/>
        <v>1541.1009163027868</v>
      </c>
      <c r="CA1572" s="464">
        <f t="shared" si="3596"/>
        <v>1528.974999834531</v>
      </c>
      <c r="CB1572" s="464">
        <f t="shared" si="3596"/>
        <v>331.41049901397969</v>
      </c>
      <c r="CC1572" s="464">
        <f t="shared" si="3596"/>
        <v>265.50484095538252</v>
      </c>
      <c r="CD1572" s="464">
        <f t="shared" si="3596"/>
        <v>281.51134530596107</v>
      </c>
      <c r="CE1572" s="464">
        <f t="shared" si="3596"/>
        <v>298.73207446100207</v>
      </c>
      <c r="CF1572" s="464">
        <f t="shared" si="3596"/>
        <v>314.74699192055084</v>
      </c>
      <c r="CG1572" s="331"/>
      <c r="CH1572" s="331"/>
      <c r="CI1572" s="331"/>
      <c r="CJ1572" s="331"/>
      <c r="CK1572" s="331"/>
      <c r="CL1572" s="1149" t="str">
        <f>A1572</f>
        <v>LTM Covenant EBITDA</v>
      </c>
      <c r="CM1572" s="463">
        <f>G1572</f>
        <v>286.23599999999999</v>
      </c>
      <c r="CN1572" s="463">
        <f>L1572</f>
        <v>590.21399999999994</v>
      </c>
      <c r="CO1572" s="463">
        <f>Q1572</f>
        <v>629.22500000000002</v>
      </c>
      <c r="CP1572" s="463">
        <f>V1572</f>
        <v>672.72699999999998</v>
      </c>
      <c r="CQ1572" s="463">
        <f>AA1572</f>
        <v>639.57799999999997</v>
      </c>
      <c r="CR1572" s="463">
        <f>AF1572</f>
        <v>590.94900000000007</v>
      </c>
      <c r="CS1572" s="463">
        <f>AK1572</f>
        <v>613.03899999999999</v>
      </c>
      <c r="CT1572" s="463">
        <f>AP1572</f>
        <v>721.7940000000001</v>
      </c>
      <c r="CU1572" s="463">
        <f>AU1572</f>
        <v>789.53199999999993</v>
      </c>
      <c r="CV1572" s="463">
        <f>AZ1572</f>
        <v>721.41700000000003</v>
      </c>
      <c r="CW1572" s="463">
        <f>BE1572</f>
        <v>709.99099999999999</v>
      </c>
      <c r="CX1572" s="463">
        <f>BJ1572</f>
        <v>796.351</v>
      </c>
      <c r="CY1572" s="463">
        <f>BO1572</f>
        <v>843.827</v>
      </c>
      <c r="CZ1572" s="463">
        <f>BT1572</f>
        <v>845.94600000000003</v>
      </c>
      <c r="DA1572" s="463">
        <f t="shared" si="3589"/>
        <v>1193.4537743384185</v>
      </c>
      <c r="DB1572" s="463">
        <f t="shared" si="3589"/>
        <v>1541.1009163027868</v>
      </c>
      <c r="DC1572" s="1927">
        <f t="shared" si="3589"/>
        <v>1528.974999834531</v>
      </c>
      <c r="DD1572" s="331"/>
      <c r="DE1572" s="331"/>
      <c r="DF1572" s="502"/>
      <c r="DG1572" s="503"/>
      <c r="DH1572" s="463"/>
      <c r="DI1572" s="3213"/>
      <c r="DJ1572" s="502"/>
      <c r="DK1572" s="503"/>
      <c r="DL1572" s="502"/>
      <c r="DM1572" s="502"/>
      <c r="DN1572" s="502"/>
      <c r="DO1572" s="502"/>
      <c r="DP1572" s="503"/>
      <c r="DQ1572" s="503"/>
      <c r="DR1572" s="296"/>
      <c r="DS1572" s="296"/>
      <c r="DT1572" s="296"/>
    </row>
    <row r="1573" spans="1:130" ht="12.75" customHeight="1" x14ac:dyDescent="0.25">
      <c r="A1573" s="281"/>
      <c r="B1573" s="281"/>
      <c r="C1573" s="446"/>
      <c r="D1573" s="446"/>
      <c r="E1573" s="446"/>
      <c r="F1573" s="446"/>
      <c r="G1573" s="447"/>
      <c r="H1573" s="446"/>
      <c r="I1573" s="446"/>
      <c r="J1573" s="446"/>
      <c r="K1573" s="446"/>
      <c r="L1573" s="447"/>
      <c r="M1573" s="446"/>
      <c r="N1573" s="446"/>
      <c r="O1573" s="446"/>
      <c r="P1573" s="446"/>
      <c r="Q1573" s="447"/>
      <c r="R1573" s="446"/>
      <c r="S1573" s="446"/>
      <c r="T1573" s="446"/>
      <c r="U1573" s="446"/>
      <c r="V1573" s="447"/>
      <c r="W1573" s="446"/>
      <c r="X1573" s="446"/>
      <c r="Y1573" s="446"/>
      <c r="Z1573" s="446"/>
      <c r="AA1573" s="447"/>
      <c r="AB1573" s="446"/>
      <c r="AC1573" s="446"/>
      <c r="AD1573" s="446"/>
      <c r="AE1573" s="454"/>
      <c r="AF1573" s="447"/>
      <c r="AG1573" s="454"/>
      <c r="AH1573" s="454"/>
      <c r="AI1573" s="454"/>
      <c r="AJ1573" s="454"/>
      <c r="AK1573" s="447"/>
      <c r="AL1573" s="454"/>
      <c r="AM1573" s="454"/>
      <c r="AN1573" s="454"/>
      <c r="AO1573" s="454"/>
      <c r="AP1573" s="447"/>
      <c r="AQ1573" s="446"/>
      <c r="AR1573" s="446"/>
      <c r="AS1573" s="446"/>
      <c r="AT1573" s="446"/>
      <c r="AU1573" s="1700"/>
      <c r="AV1573" s="1917"/>
      <c r="AW1573" s="1845"/>
      <c r="AX1573" s="1845"/>
      <c r="AY1573" s="446"/>
      <c r="AZ1573" s="1700"/>
      <c r="BA1573" s="1917"/>
      <c r="BB1573" s="1845"/>
      <c r="BC1573" s="1845"/>
      <c r="BD1573" s="1859"/>
      <c r="BE1573" s="447"/>
      <c r="BF1573" s="1845"/>
      <c r="BG1573" s="1845"/>
      <c r="BH1573" s="1845"/>
      <c r="BI1573" s="1859"/>
      <c r="BJ1573" s="447"/>
      <c r="BK1573" s="1845"/>
      <c r="BL1573" s="1845"/>
      <c r="BM1573" s="1845"/>
      <c r="BN1573" s="1859"/>
      <c r="BO1573" s="447"/>
      <c r="BP1573" s="1845"/>
      <c r="BQ1573" s="1845"/>
      <c r="BR1573" s="1845"/>
      <c r="BS1573" s="1845"/>
      <c r="BT1573" s="3068"/>
      <c r="BU1573" s="1845"/>
      <c r="BV1573" s="1845"/>
      <c r="BW1573" s="1845"/>
      <c r="BX1573" s="1845"/>
      <c r="BY1573" s="3068"/>
      <c r="BZ1573" s="447"/>
      <c r="CA1573" s="447"/>
      <c r="CB1573" s="447"/>
      <c r="CC1573" s="447"/>
      <c r="CD1573" s="447"/>
      <c r="CE1573" s="447"/>
      <c r="CF1573" s="447"/>
      <c r="CG1573" s="331"/>
      <c r="CH1573" s="331"/>
      <c r="CI1573" s="331"/>
      <c r="CJ1573" s="331"/>
      <c r="CK1573" s="331"/>
      <c r="CL1573" s="520"/>
      <c r="CM1573" s="454"/>
      <c r="CN1573" s="454"/>
      <c r="CO1573" s="454"/>
      <c r="CP1573" s="454"/>
      <c r="CQ1573" s="454"/>
      <c r="CR1573" s="454"/>
      <c r="CS1573" s="454"/>
      <c r="CT1573" s="454"/>
      <c r="CU1573" s="454"/>
      <c r="CV1573" s="454"/>
      <c r="CW1573" s="454"/>
      <c r="CX1573" s="454"/>
      <c r="CY1573" s="454"/>
      <c r="CZ1573" s="454"/>
      <c r="DA1573" s="454"/>
      <c r="DB1573" s="454"/>
      <c r="DC1573" s="1666"/>
      <c r="DD1573" s="331"/>
      <c r="DE1573" s="331"/>
      <c r="DF1573" s="502"/>
      <c r="DG1573" s="503"/>
      <c r="DH1573" s="2915"/>
      <c r="DI1573" s="3213"/>
      <c r="DJ1573" s="502"/>
      <c r="DK1573" s="503"/>
      <c r="DL1573" s="502"/>
      <c r="DM1573" s="502"/>
      <c r="DN1573" s="502"/>
      <c r="DO1573" s="502"/>
      <c r="DP1573" s="503"/>
      <c r="DQ1573" s="503"/>
      <c r="DR1573" s="296"/>
      <c r="DS1573" s="296"/>
      <c r="DT1573" s="296"/>
    </row>
    <row r="1574" spans="1:130" ht="12.75" customHeight="1" x14ac:dyDescent="0.25">
      <c r="A1574" s="312" t="s">
        <v>2096</v>
      </c>
      <c r="B1574" s="281"/>
      <c r="C1574" s="446">
        <f t="shared" ref="C1574:AH1574" si="3597">-(C68)</f>
        <v>19.489000000000001</v>
      </c>
      <c r="D1574" s="446">
        <f t="shared" si="3597"/>
        <v>19.207000000000001</v>
      </c>
      <c r="E1574" s="446">
        <f t="shared" si="3597"/>
        <v>18.97</v>
      </c>
      <c r="F1574" s="446">
        <f t="shared" si="3597"/>
        <v>18.13</v>
      </c>
      <c r="G1574" s="447">
        <f t="shared" si="3597"/>
        <v>75.795999999999992</v>
      </c>
      <c r="H1574" s="446">
        <f t="shared" si="3597"/>
        <v>16.503</v>
      </c>
      <c r="I1574" s="446">
        <f t="shared" si="3597"/>
        <v>12.324</v>
      </c>
      <c r="J1574" s="446">
        <f t="shared" si="3597"/>
        <v>12.824</v>
      </c>
      <c r="K1574" s="446">
        <f t="shared" si="3597"/>
        <v>47.692999999999998</v>
      </c>
      <c r="L1574" s="447">
        <f t="shared" si="3597"/>
        <v>89.343999999999994</v>
      </c>
      <c r="M1574" s="446">
        <f t="shared" si="3597"/>
        <v>48.429000000000002</v>
      </c>
      <c r="N1574" s="446">
        <f t="shared" si="3597"/>
        <v>47.765999999999998</v>
      </c>
      <c r="O1574" s="446">
        <f t="shared" si="3597"/>
        <v>49.731999999999999</v>
      </c>
      <c r="P1574" s="446">
        <f t="shared" si="3597"/>
        <v>50.401000000000003</v>
      </c>
      <c r="Q1574" s="447">
        <f t="shared" si="3597"/>
        <v>196.328</v>
      </c>
      <c r="R1574" s="446">
        <f t="shared" si="3597"/>
        <v>48.347000000000001</v>
      </c>
      <c r="S1574" s="446">
        <f t="shared" si="3597"/>
        <v>51.302</v>
      </c>
      <c r="T1574" s="446">
        <f t="shared" si="3597"/>
        <v>50.203000000000003</v>
      </c>
      <c r="U1574" s="446">
        <f t="shared" si="3597"/>
        <v>48.207000000000001</v>
      </c>
      <c r="V1574" s="447">
        <f t="shared" si="3597"/>
        <v>198.059</v>
      </c>
      <c r="W1574" s="446">
        <f t="shared" si="3597"/>
        <v>47.215000000000003</v>
      </c>
      <c r="X1574" s="446">
        <f t="shared" si="3597"/>
        <v>44.536000000000001</v>
      </c>
      <c r="Y1574" s="446">
        <f t="shared" si="3597"/>
        <v>37.880000000000003</v>
      </c>
      <c r="Z1574" s="446">
        <f t="shared" si="3597"/>
        <v>40.195999999999998</v>
      </c>
      <c r="AA1574" s="447">
        <f t="shared" si="3597"/>
        <v>169.827</v>
      </c>
      <c r="AB1574" s="446">
        <f t="shared" si="3597"/>
        <v>31.238</v>
      </c>
      <c r="AC1574" s="446">
        <f t="shared" si="3597"/>
        <v>29.850999999999999</v>
      </c>
      <c r="AD1574" s="446">
        <f t="shared" si="3597"/>
        <v>36.784999999999997</v>
      </c>
      <c r="AE1574" s="454">
        <f t="shared" si="3597"/>
        <v>37.11</v>
      </c>
      <c r="AF1574" s="447">
        <f t="shared" si="3597"/>
        <v>134.98399999999998</v>
      </c>
      <c r="AG1574" s="454">
        <f t="shared" si="3597"/>
        <v>34.292000000000002</v>
      </c>
      <c r="AH1574" s="454">
        <f t="shared" si="3597"/>
        <v>32.911000000000001</v>
      </c>
      <c r="AI1574" s="454">
        <f t="shared" ref="AI1574:BN1574" si="3598">-(AI68)</f>
        <v>32.411999999999999</v>
      </c>
      <c r="AJ1574" s="454">
        <f t="shared" si="3598"/>
        <v>30.6</v>
      </c>
      <c r="AK1574" s="447">
        <f t="shared" si="3598"/>
        <v>130.215</v>
      </c>
      <c r="AL1574" s="454">
        <f t="shared" si="3598"/>
        <v>29.026</v>
      </c>
      <c r="AM1574" s="454">
        <f t="shared" si="3598"/>
        <v>26.109000000000002</v>
      </c>
      <c r="AN1574" s="454">
        <f t="shared" si="3598"/>
        <v>23.513999999999999</v>
      </c>
      <c r="AO1574" s="454">
        <f t="shared" si="3598"/>
        <v>20.914999999999999</v>
      </c>
      <c r="AP1574" s="447">
        <f t="shared" si="3598"/>
        <v>99.563999999999993</v>
      </c>
      <c r="AQ1574" s="454">
        <f t="shared" si="3598"/>
        <v>18.042999999999999</v>
      </c>
      <c r="AR1574" s="454">
        <f t="shared" si="3598"/>
        <v>17.823</v>
      </c>
      <c r="AS1574" s="454">
        <f t="shared" si="3598"/>
        <v>19.952999999999999</v>
      </c>
      <c r="AT1574" s="454">
        <f t="shared" si="3598"/>
        <v>25.620999999999999</v>
      </c>
      <c r="AU1574" s="1693">
        <f t="shared" si="3598"/>
        <v>81.44</v>
      </c>
      <c r="AV1574" s="1863">
        <f t="shared" si="3598"/>
        <v>27.923999999999999</v>
      </c>
      <c r="AW1574" s="1841">
        <f t="shared" si="3598"/>
        <v>27.06</v>
      </c>
      <c r="AX1574" s="1841">
        <f t="shared" si="3598"/>
        <v>25.06</v>
      </c>
      <c r="AY1574" s="454">
        <f t="shared" si="3598"/>
        <v>17.047999999999998</v>
      </c>
      <c r="AZ1574" s="1693">
        <f t="shared" si="3598"/>
        <v>97.091999999999999</v>
      </c>
      <c r="BA1574" s="1863">
        <f t="shared" si="3598"/>
        <v>104.514</v>
      </c>
      <c r="BB1574" s="1841">
        <f t="shared" si="3598"/>
        <v>105.069</v>
      </c>
      <c r="BC1574" s="1841">
        <f t="shared" si="3598"/>
        <v>105.93300000000001</v>
      </c>
      <c r="BD1574" s="1864">
        <f t="shared" si="3598"/>
        <v>109.59799999999996</v>
      </c>
      <c r="BE1574" s="455">
        <f t="shared" si="3598"/>
        <v>425.11399999999998</v>
      </c>
      <c r="BF1574" s="1841">
        <f t="shared" si="3598"/>
        <v>108.346</v>
      </c>
      <c r="BG1574" s="1841">
        <f t="shared" si="3598"/>
        <v>109.798</v>
      </c>
      <c r="BH1574" s="1841">
        <f t="shared" si="3598"/>
        <v>111.40600000000001</v>
      </c>
      <c r="BI1574" s="1864">
        <f t="shared" si="3598"/>
        <v>113.577</v>
      </c>
      <c r="BJ1574" s="455">
        <f t="shared" si="3598"/>
        <v>443.12700000000001</v>
      </c>
      <c r="BK1574" s="1841">
        <f t="shared" si="3598"/>
        <v>116.512</v>
      </c>
      <c r="BL1574" s="1841">
        <f t="shared" si="3598"/>
        <v>114.687</v>
      </c>
      <c r="BM1574" s="1841">
        <f t="shared" si="3598"/>
        <v>114.349</v>
      </c>
      <c r="BN1574" s="1864">
        <f t="shared" si="3598"/>
        <v>113.69499999999999</v>
      </c>
      <c r="BO1574" s="455">
        <f t="shared" ref="BO1574:CF1574" si="3599">-(BO68)</f>
        <v>459.24299999999999</v>
      </c>
      <c r="BP1574" s="1841">
        <f t="shared" si="3599"/>
        <v>114.996</v>
      </c>
      <c r="BQ1574" s="1841">
        <f t="shared" si="3599"/>
        <v>116.768</v>
      </c>
      <c r="BR1574" s="1841">
        <f t="shared" si="3599"/>
        <v>118.236</v>
      </c>
      <c r="BS1574" s="1841">
        <f t="shared" si="3599"/>
        <v>116.761</v>
      </c>
      <c r="BT1574" s="3066">
        <f t="shared" si="3599"/>
        <v>466.76099999999997</v>
      </c>
      <c r="BU1574" s="1841">
        <f t="shared" si="3599"/>
        <v>118.03488311578862</v>
      </c>
      <c r="BV1574" s="1841">
        <f t="shared" si="3599"/>
        <v>118.26247083371786</v>
      </c>
      <c r="BW1574" s="1841">
        <f t="shared" si="3599"/>
        <v>208.40060868472895</v>
      </c>
      <c r="BX1574" s="1841">
        <f t="shared" si="3599"/>
        <v>208.51962938230994</v>
      </c>
      <c r="BY1574" s="3066">
        <f t="shared" si="3599"/>
        <v>653.21759201654538</v>
      </c>
      <c r="BZ1574" s="455">
        <f t="shared" si="3599"/>
        <v>836.37049881780922</v>
      </c>
      <c r="CA1574" s="455">
        <f t="shared" si="3599"/>
        <v>840.71743874432332</v>
      </c>
      <c r="CB1574" s="455">
        <f t="shared" si="3599"/>
        <v>56.913702499999992</v>
      </c>
      <c r="CC1574" s="455">
        <f t="shared" si="3599"/>
        <v>56.817702499999989</v>
      </c>
      <c r="CD1574" s="455">
        <f t="shared" si="3599"/>
        <v>56.721702499999992</v>
      </c>
      <c r="CE1574" s="455">
        <f t="shared" si="3599"/>
        <v>56.625702499999989</v>
      </c>
      <c r="CF1574" s="455">
        <f t="shared" si="3599"/>
        <v>56.577702499999994</v>
      </c>
      <c r="CG1574" s="331"/>
      <c r="CH1574" s="331"/>
      <c r="CI1574" s="331"/>
      <c r="CJ1574" s="331"/>
      <c r="CK1574" s="331"/>
      <c r="CL1574" s="2025" t="str">
        <f>A1574</f>
        <v>Interest expense, net</v>
      </c>
      <c r="CM1574" s="454">
        <f t="shared" ref="CM1574:CM1579" si="3600">G1574</f>
        <v>75.795999999999992</v>
      </c>
      <c r="CN1574" s="454">
        <f t="shared" ref="CN1574:CN1579" si="3601">L1574</f>
        <v>89.343999999999994</v>
      </c>
      <c r="CO1574" s="454">
        <f t="shared" ref="CO1574:CO1579" si="3602">Q1574</f>
        <v>196.328</v>
      </c>
      <c r="CP1574" s="454">
        <f t="shared" ref="CP1574:CP1579" si="3603">V1574</f>
        <v>198.059</v>
      </c>
      <c r="CQ1574" s="454">
        <f t="shared" ref="CQ1574:CQ1579" si="3604">AA1574</f>
        <v>169.827</v>
      </c>
      <c r="CR1574" s="454">
        <f t="shared" ref="CR1574:CR1579" si="3605">AF1574</f>
        <v>134.98399999999998</v>
      </c>
      <c r="CS1574" s="454">
        <f t="shared" ref="CS1574:CS1579" si="3606">AK1574</f>
        <v>130.215</v>
      </c>
      <c r="CT1574" s="454">
        <f t="shared" ref="CT1574:CT1579" si="3607">AP1574</f>
        <v>99.563999999999993</v>
      </c>
      <c r="CU1574" s="454">
        <f t="shared" ref="CU1574:CU1579" si="3608">AU1574</f>
        <v>81.44</v>
      </c>
      <c r="CV1574" s="454">
        <f t="shared" ref="CV1574:CV1579" si="3609">AZ1574</f>
        <v>97.091999999999999</v>
      </c>
      <c r="CW1574" s="454">
        <f t="shared" ref="CW1574:CW1579" si="3610">BE1574</f>
        <v>425.11399999999998</v>
      </c>
      <c r="CX1574" s="454">
        <f t="shared" ref="CX1574:CX1579" si="3611">BJ1574</f>
        <v>443.12700000000001</v>
      </c>
      <c r="CY1574" s="454">
        <f t="shared" ref="CY1574:CY1579" si="3612">BO1574</f>
        <v>459.24299999999999</v>
      </c>
      <c r="CZ1574" s="454">
        <f t="shared" ref="CZ1574:CZ1579" si="3613">BT1574</f>
        <v>466.76099999999997</v>
      </c>
      <c r="DA1574" s="454">
        <f t="shared" ref="DA1574:DC1579" si="3614">BY1574</f>
        <v>653.21759201654538</v>
      </c>
      <c r="DB1574" s="454">
        <f t="shared" si="3614"/>
        <v>836.37049881780922</v>
      </c>
      <c r="DC1574" s="1666">
        <f t="shared" si="3614"/>
        <v>840.71743874432332</v>
      </c>
      <c r="DD1574" s="331"/>
      <c r="DE1574" s="331"/>
      <c r="DF1574" s="502"/>
      <c r="DG1574" s="503"/>
      <c r="DH1574" s="2915"/>
      <c r="DI1574" s="3213"/>
      <c r="DJ1574" s="502"/>
      <c r="DK1574" s="503"/>
      <c r="DL1574" s="502"/>
      <c r="DM1574" s="502"/>
      <c r="DN1574" s="502"/>
      <c r="DO1574" s="502"/>
      <c r="DP1574" s="503"/>
      <c r="DQ1574" s="503"/>
      <c r="DR1574" s="296"/>
      <c r="DS1574" s="296"/>
      <c r="DT1574" s="296"/>
    </row>
    <row r="1575" spans="1:130" ht="12.75" customHeight="1" x14ac:dyDescent="0.25">
      <c r="A1575" s="705" t="s">
        <v>1291</v>
      </c>
      <c r="B1575" s="281"/>
      <c r="C1575" s="446">
        <f t="shared" ref="C1575:AH1575" si="3615">-C1500</f>
        <v>0</v>
      </c>
      <c r="D1575" s="446">
        <f t="shared" si="3615"/>
        <v>0.1</v>
      </c>
      <c r="E1575" s="446">
        <f t="shared" si="3615"/>
        <v>0.19999999999999998</v>
      </c>
      <c r="F1575" s="446">
        <f t="shared" si="3615"/>
        <v>0.10000000000000006</v>
      </c>
      <c r="G1575" s="447">
        <f t="shared" si="3615"/>
        <v>0.4</v>
      </c>
      <c r="H1575" s="446">
        <f t="shared" si="3615"/>
        <v>0.4</v>
      </c>
      <c r="I1575" s="446">
        <f t="shared" si="3615"/>
        <v>0.29999999999999993</v>
      </c>
      <c r="J1575" s="446">
        <f t="shared" si="3615"/>
        <v>0</v>
      </c>
      <c r="K1575" s="446">
        <f t="shared" si="3615"/>
        <v>0.80000000000000016</v>
      </c>
      <c r="L1575" s="447">
        <f t="shared" si="3615"/>
        <v>1.5</v>
      </c>
      <c r="M1575" s="446">
        <f t="shared" si="3615"/>
        <v>1.3</v>
      </c>
      <c r="N1575" s="446">
        <f t="shared" si="3615"/>
        <v>1.9999999999999998</v>
      </c>
      <c r="O1575" s="446">
        <f t="shared" si="3615"/>
        <v>2.2999999999999998</v>
      </c>
      <c r="P1575" s="446">
        <f t="shared" si="3615"/>
        <v>2.4000000000000004</v>
      </c>
      <c r="Q1575" s="447">
        <f t="shared" si="3615"/>
        <v>8</v>
      </c>
      <c r="R1575" s="446">
        <f t="shared" si="3615"/>
        <v>3.1</v>
      </c>
      <c r="S1575" s="446">
        <f t="shared" si="3615"/>
        <v>2.6</v>
      </c>
      <c r="T1575" s="446">
        <f t="shared" si="3615"/>
        <v>3.7</v>
      </c>
      <c r="U1575" s="446">
        <f t="shared" si="3615"/>
        <v>5.1999999999999993</v>
      </c>
      <c r="V1575" s="447">
        <f t="shared" si="3615"/>
        <v>14.6</v>
      </c>
      <c r="W1575" s="446">
        <f t="shared" si="3615"/>
        <v>5.0999999999999996</v>
      </c>
      <c r="X1575" s="446">
        <f t="shared" si="3615"/>
        <v>3.8</v>
      </c>
      <c r="Y1575" s="446">
        <f t="shared" si="3615"/>
        <v>2.4</v>
      </c>
      <c r="Z1575" s="446">
        <f t="shared" si="3615"/>
        <v>2.5000000000000009</v>
      </c>
      <c r="AA1575" s="447">
        <f t="shared" si="3615"/>
        <v>13.8</v>
      </c>
      <c r="AB1575" s="446">
        <f t="shared" si="3615"/>
        <v>2.9</v>
      </c>
      <c r="AC1575" s="446">
        <f t="shared" si="3615"/>
        <v>3.5</v>
      </c>
      <c r="AD1575" s="446">
        <f t="shared" si="3615"/>
        <v>0.1</v>
      </c>
      <c r="AE1575" s="454">
        <f t="shared" si="3615"/>
        <v>0.5</v>
      </c>
      <c r="AF1575" s="447">
        <f t="shared" si="3615"/>
        <v>7</v>
      </c>
      <c r="AG1575" s="454">
        <f t="shared" si="3615"/>
        <v>1.1000000000000001</v>
      </c>
      <c r="AH1575" s="454">
        <f t="shared" si="3615"/>
        <v>1.7</v>
      </c>
      <c r="AI1575" s="454">
        <f t="shared" ref="AI1575:BN1575" si="3616">-AI1500</f>
        <v>1.6</v>
      </c>
      <c r="AJ1575" s="454">
        <f t="shared" si="3616"/>
        <v>1.0999999999999996</v>
      </c>
      <c r="AK1575" s="447">
        <f t="shared" si="3616"/>
        <v>5.5</v>
      </c>
      <c r="AL1575" s="454">
        <f t="shared" si="3616"/>
        <v>0.8</v>
      </c>
      <c r="AM1575" s="454">
        <f t="shared" si="3616"/>
        <v>1</v>
      </c>
      <c r="AN1575" s="454">
        <f t="shared" si="3616"/>
        <v>1.7</v>
      </c>
      <c r="AO1575" s="454">
        <f t="shared" si="3616"/>
        <v>2.0999999999999996</v>
      </c>
      <c r="AP1575" s="447">
        <f t="shared" si="3616"/>
        <v>5.6</v>
      </c>
      <c r="AQ1575" s="454">
        <f t="shared" si="3616"/>
        <v>2.9</v>
      </c>
      <c r="AR1575" s="454">
        <f t="shared" si="3616"/>
        <v>3</v>
      </c>
      <c r="AS1575" s="454">
        <f t="shared" si="3616"/>
        <v>2.4</v>
      </c>
      <c r="AT1575" s="454">
        <f t="shared" si="3616"/>
        <v>9.9999999999999645E-2</v>
      </c>
      <c r="AU1575" s="1693">
        <f t="shared" si="3616"/>
        <v>8.4</v>
      </c>
      <c r="AV1575" s="1863">
        <f t="shared" si="3616"/>
        <v>0.1</v>
      </c>
      <c r="AW1575" s="1841">
        <f t="shared" si="3616"/>
        <v>0.3</v>
      </c>
      <c r="AX1575" s="1841">
        <f t="shared" si="3616"/>
        <v>0.5</v>
      </c>
      <c r="AY1575" s="454">
        <f t="shared" si="3616"/>
        <v>0.49999999999999989</v>
      </c>
      <c r="AZ1575" s="1693">
        <f t="shared" si="3616"/>
        <v>1.4</v>
      </c>
      <c r="BA1575" s="1863">
        <f t="shared" si="3616"/>
        <v>0.1</v>
      </c>
      <c r="BB1575" s="1841">
        <f t="shared" si="3616"/>
        <v>0.1</v>
      </c>
      <c r="BC1575" s="1841">
        <f t="shared" si="3616"/>
        <v>0.3</v>
      </c>
      <c r="BD1575" s="1864">
        <f t="shared" si="3616"/>
        <v>0.9</v>
      </c>
      <c r="BE1575" s="455">
        <f t="shared" si="3616"/>
        <v>1.4</v>
      </c>
      <c r="BF1575" s="1841">
        <f t="shared" si="3616"/>
        <v>0.6</v>
      </c>
      <c r="BG1575" s="1841">
        <f t="shared" si="3616"/>
        <v>1.2</v>
      </c>
      <c r="BH1575" s="1841">
        <f t="shared" si="3616"/>
        <v>0</v>
      </c>
      <c r="BI1575" s="1864">
        <f t="shared" si="3616"/>
        <v>1.8</v>
      </c>
      <c r="BJ1575" s="455">
        <f t="shared" si="3616"/>
        <v>3.5999999999999996</v>
      </c>
      <c r="BK1575" s="1841">
        <f t="shared" si="3616"/>
        <v>4.7891875E-2</v>
      </c>
      <c r="BL1575" s="1841">
        <f t="shared" si="3616"/>
        <v>0.11864875</v>
      </c>
      <c r="BM1575" s="1841">
        <f t="shared" si="3616"/>
        <v>0.19619124999999998</v>
      </c>
      <c r="BN1575" s="1864">
        <f t="shared" si="3616"/>
        <v>-1.3987500000000352E-3</v>
      </c>
      <c r="BO1575" s="455">
        <f t="shared" ref="BO1575:CF1575" si="3617">-BO1500</f>
        <v>0.36133312499999992</v>
      </c>
      <c r="BP1575" s="1841">
        <f t="shared" si="3617"/>
        <v>-0.2346558333333334</v>
      </c>
      <c r="BQ1575" s="1841">
        <f t="shared" si="3617"/>
        <v>-0.21457250000000005</v>
      </c>
      <c r="BR1575" s="1841">
        <f t="shared" si="3617"/>
        <v>-0.19919750000000008</v>
      </c>
      <c r="BS1575" s="1841">
        <f t="shared" si="3617"/>
        <v>-0.18651000000000006</v>
      </c>
      <c r="BT1575" s="3066">
        <f t="shared" si="3617"/>
        <v>-0.83493583333333354</v>
      </c>
      <c r="BU1575" s="1841">
        <f t="shared" si="3617"/>
        <v>-0.18019750000000007</v>
      </c>
      <c r="BV1575" s="1841">
        <f t="shared" si="3617"/>
        <v>-0.17219750000000009</v>
      </c>
      <c r="BW1575" s="1841">
        <f t="shared" si="3617"/>
        <v>-0.16619750000000011</v>
      </c>
      <c r="BX1575" s="1841">
        <f t="shared" si="3617"/>
        <v>-0.1601975000000001</v>
      </c>
      <c r="BY1575" s="3066">
        <f t="shared" si="3617"/>
        <v>-0.67879000000000034</v>
      </c>
      <c r="BZ1575" s="455">
        <f t="shared" si="3617"/>
        <v>-0.59279000000000037</v>
      </c>
      <c r="CA1575" s="455">
        <f t="shared" si="3617"/>
        <v>-0.49679000000000034</v>
      </c>
      <c r="CB1575" s="455">
        <f t="shared" si="3617"/>
        <v>-0.40079000000000037</v>
      </c>
      <c r="CC1575" s="455">
        <f t="shared" si="3617"/>
        <v>-0.30479000000000034</v>
      </c>
      <c r="CD1575" s="455">
        <f t="shared" si="3617"/>
        <v>-0.20879000000000031</v>
      </c>
      <c r="CE1575" s="455">
        <f t="shared" si="3617"/>
        <v>-0.11279000000000028</v>
      </c>
      <c r="CF1575" s="455">
        <f t="shared" si="3617"/>
        <v>-6.4790000000000292E-2</v>
      </c>
      <c r="CG1575" s="331"/>
      <c r="CH1575" s="331"/>
      <c r="CI1575" s="331"/>
      <c r="CJ1575" s="331"/>
      <c r="CK1575" s="331"/>
      <c r="CL1575" s="2025" t="str">
        <f>A1575</f>
        <v>Quarterly capitalized int.</v>
      </c>
      <c r="CM1575" s="454">
        <f t="shared" si="3600"/>
        <v>0.4</v>
      </c>
      <c r="CN1575" s="454">
        <f t="shared" si="3601"/>
        <v>1.5</v>
      </c>
      <c r="CO1575" s="454">
        <f t="shared" si="3602"/>
        <v>8</v>
      </c>
      <c r="CP1575" s="454">
        <f t="shared" si="3603"/>
        <v>14.6</v>
      </c>
      <c r="CQ1575" s="454">
        <f t="shared" si="3604"/>
        <v>13.8</v>
      </c>
      <c r="CR1575" s="454">
        <f t="shared" si="3605"/>
        <v>7</v>
      </c>
      <c r="CS1575" s="454">
        <f t="shared" si="3606"/>
        <v>5.5</v>
      </c>
      <c r="CT1575" s="454">
        <f t="shared" si="3607"/>
        <v>5.6</v>
      </c>
      <c r="CU1575" s="454">
        <f t="shared" si="3608"/>
        <v>8.4</v>
      </c>
      <c r="CV1575" s="454">
        <f t="shared" si="3609"/>
        <v>1.4</v>
      </c>
      <c r="CW1575" s="454">
        <f t="shared" si="3610"/>
        <v>1.4</v>
      </c>
      <c r="CX1575" s="454">
        <f t="shared" si="3611"/>
        <v>3.5999999999999996</v>
      </c>
      <c r="CY1575" s="454">
        <f t="shared" si="3612"/>
        <v>0.36133312499999992</v>
      </c>
      <c r="CZ1575" s="454">
        <f t="shared" si="3613"/>
        <v>-0.83493583333333354</v>
      </c>
      <c r="DA1575" s="454">
        <f t="shared" si="3614"/>
        <v>-0.67879000000000034</v>
      </c>
      <c r="DB1575" s="454">
        <f t="shared" si="3614"/>
        <v>-0.59279000000000037</v>
      </c>
      <c r="DC1575" s="1666">
        <f t="shared" si="3614"/>
        <v>-0.49679000000000034</v>
      </c>
      <c r="DD1575" s="331"/>
      <c r="DE1575" s="331"/>
      <c r="DF1575" s="502"/>
      <c r="DG1575" s="503"/>
      <c r="DH1575" s="2915"/>
      <c r="DI1575" s="3213"/>
      <c r="DJ1575" s="502"/>
      <c r="DK1575" s="503"/>
      <c r="DL1575" s="502"/>
      <c r="DM1575" s="502"/>
      <c r="DN1575" s="502"/>
      <c r="DO1575" s="502"/>
      <c r="DP1575" s="503"/>
      <c r="DQ1575" s="503"/>
      <c r="DR1575" s="296"/>
      <c r="DS1575" s="296"/>
      <c r="DT1575" s="296"/>
    </row>
    <row r="1576" spans="1:130" ht="4.5" customHeight="1" x14ac:dyDescent="0.25">
      <c r="A1576" s="705"/>
      <c r="B1576" s="281"/>
      <c r="C1576" s="544" t="s">
        <v>1151</v>
      </c>
      <c r="D1576" s="544" t="s">
        <v>1151</v>
      </c>
      <c r="E1576" s="544" t="s">
        <v>1151</v>
      </c>
      <c r="F1576" s="544" t="s">
        <v>1151</v>
      </c>
      <c r="G1576" s="461" t="s">
        <v>1151</v>
      </c>
      <c r="H1576" s="544" t="s">
        <v>1151</v>
      </c>
      <c r="I1576" s="544" t="s">
        <v>1151</v>
      </c>
      <c r="J1576" s="544" t="s">
        <v>1151</v>
      </c>
      <c r="K1576" s="544" t="s">
        <v>1151</v>
      </c>
      <c r="L1576" s="461" t="s">
        <v>1151</v>
      </c>
      <c r="M1576" s="544" t="s">
        <v>1151</v>
      </c>
      <c r="N1576" s="544" t="s">
        <v>1151</v>
      </c>
      <c r="O1576" s="544" t="s">
        <v>1151</v>
      </c>
      <c r="P1576" s="544" t="s">
        <v>1151</v>
      </c>
      <c r="Q1576" s="461" t="s">
        <v>1151</v>
      </c>
      <c r="R1576" s="544" t="s">
        <v>1151</v>
      </c>
      <c r="S1576" s="544" t="s">
        <v>1151</v>
      </c>
      <c r="T1576" s="544" t="s">
        <v>1151</v>
      </c>
      <c r="U1576" s="544" t="s">
        <v>1151</v>
      </c>
      <c r="V1576" s="461" t="s">
        <v>1151</v>
      </c>
      <c r="W1576" s="544" t="s">
        <v>1151</v>
      </c>
      <c r="X1576" s="544" t="s">
        <v>1151</v>
      </c>
      <c r="Y1576" s="544" t="s">
        <v>1151</v>
      </c>
      <c r="Z1576" s="544" t="s">
        <v>1151</v>
      </c>
      <c r="AA1576" s="461" t="s">
        <v>1151</v>
      </c>
      <c r="AB1576" s="544" t="s">
        <v>1151</v>
      </c>
      <c r="AC1576" s="544" t="s">
        <v>1151</v>
      </c>
      <c r="AD1576" s="544" t="s">
        <v>1151</v>
      </c>
      <c r="AE1576" s="544" t="s">
        <v>1151</v>
      </c>
      <c r="AF1576" s="461" t="s">
        <v>1151</v>
      </c>
      <c r="AG1576" s="544" t="s">
        <v>1151</v>
      </c>
      <c r="AH1576" s="544" t="s">
        <v>1151</v>
      </c>
      <c r="AI1576" s="544" t="s">
        <v>1151</v>
      </c>
      <c r="AJ1576" s="544" t="s">
        <v>1151</v>
      </c>
      <c r="AK1576" s="461" t="s">
        <v>1151</v>
      </c>
      <c r="AL1576" s="544" t="s">
        <v>1151</v>
      </c>
      <c r="AM1576" s="544" t="s">
        <v>1151</v>
      </c>
      <c r="AN1576" s="544" t="s">
        <v>1151</v>
      </c>
      <c r="AO1576" s="544" t="s">
        <v>1151</v>
      </c>
      <c r="AP1576" s="461" t="s">
        <v>1151</v>
      </c>
      <c r="AQ1576" s="544" t="s">
        <v>1151</v>
      </c>
      <c r="AR1576" s="544" t="s">
        <v>1151</v>
      </c>
      <c r="AS1576" s="544" t="s">
        <v>1151</v>
      </c>
      <c r="AT1576" s="544" t="s">
        <v>1151</v>
      </c>
      <c r="AU1576" s="461" t="s">
        <v>1151</v>
      </c>
      <c r="AV1576" s="544" t="s">
        <v>1151</v>
      </c>
      <c r="AW1576" s="544" t="s">
        <v>1151</v>
      </c>
      <c r="AX1576" s="544" t="s">
        <v>1151</v>
      </c>
      <c r="AY1576" s="544" t="s">
        <v>1151</v>
      </c>
      <c r="AZ1576" s="461" t="s">
        <v>1151</v>
      </c>
      <c r="BA1576" s="544" t="s">
        <v>1151</v>
      </c>
      <c r="BB1576" s="544" t="s">
        <v>1151</v>
      </c>
      <c r="BC1576" s="544" t="s">
        <v>1151</v>
      </c>
      <c r="BD1576" s="544" t="s">
        <v>1151</v>
      </c>
      <c r="BE1576" s="461" t="s">
        <v>1151</v>
      </c>
      <c r="BF1576" s="544" t="s">
        <v>1151</v>
      </c>
      <c r="BG1576" s="544" t="s">
        <v>1151</v>
      </c>
      <c r="BH1576" s="544" t="s">
        <v>1151</v>
      </c>
      <c r="BI1576" s="544" t="s">
        <v>1151</v>
      </c>
      <c r="BJ1576" s="461" t="s">
        <v>1151</v>
      </c>
      <c r="BK1576" s="544" t="s">
        <v>1151</v>
      </c>
      <c r="BL1576" s="544" t="s">
        <v>1151</v>
      </c>
      <c r="BM1576" s="544" t="s">
        <v>1151</v>
      </c>
      <c r="BN1576" s="544" t="s">
        <v>1151</v>
      </c>
      <c r="BO1576" s="461" t="s">
        <v>1151</v>
      </c>
      <c r="BP1576" s="544" t="s">
        <v>1151</v>
      </c>
      <c r="BQ1576" s="544" t="s">
        <v>1151</v>
      </c>
      <c r="BR1576" s="544" t="s">
        <v>1151</v>
      </c>
      <c r="BS1576" s="544" t="s">
        <v>1151</v>
      </c>
      <c r="BT1576" s="461" t="s">
        <v>1151</v>
      </c>
      <c r="BU1576" s="544" t="s">
        <v>1151</v>
      </c>
      <c r="BV1576" s="544" t="s">
        <v>1151</v>
      </c>
      <c r="BW1576" s="544" t="s">
        <v>1151</v>
      </c>
      <c r="BX1576" s="544" t="s">
        <v>1151</v>
      </c>
      <c r="BY1576" s="461" t="s">
        <v>1151</v>
      </c>
      <c r="BZ1576" s="461" t="s">
        <v>1151</v>
      </c>
      <c r="CA1576" s="461" t="s">
        <v>1151</v>
      </c>
      <c r="CB1576" s="461" t="s">
        <v>1151</v>
      </c>
      <c r="CC1576" s="461" t="s">
        <v>1151</v>
      </c>
      <c r="CD1576" s="461" t="s">
        <v>1151</v>
      </c>
      <c r="CE1576" s="461" t="s">
        <v>1151</v>
      </c>
      <c r="CF1576" s="461" t="s">
        <v>1151</v>
      </c>
      <c r="CG1576" s="331"/>
      <c r="CH1576" s="331"/>
      <c r="CI1576" s="331"/>
      <c r="CJ1576" s="331"/>
      <c r="CK1576" s="331"/>
      <c r="CL1576" s="2025"/>
      <c r="CM1576" s="2029" t="str">
        <f t="shared" si="3600"/>
        <v xml:space="preserve">                </v>
      </c>
      <c r="CN1576" s="2029" t="str">
        <f t="shared" si="3601"/>
        <v xml:space="preserve">                </v>
      </c>
      <c r="CO1576" s="2029" t="str">
        <f t="shared" si="3602"/>
        <v xml:space="preserve">                </v>
      </c>
      <c r="CP1576" s="2029" t="str">
        <f t="shared" si="3603"/>
        <v xml:space="preserve">                </v>
      </c>
      <c r="CQ1576" s="2029" t="str">
        <f t="shared" si="3604"/>
        <v xml:space="preserve">                </v>
      </c>
      <c r="CR1576" s="2029" t="str">
        <f t="shared" si="3605"/>
        <v xml:space="preserve">                </v>
      </c>
      <c r="CS1576" s="2029" t="str">
        <f t="shared" si="3606"/>
        <v xml:space="preserve">                </v>
      </c>
      <c r="CT1576" s="2029" t="str">
        <f t="shared" si="3607"/>
        <v xml:space="preserve">                </v>
      </c>
      <c r="CU1576" s="2029" t="str">
        <f t="shared" si="3608"/>
        <v xml:space="preserve">                </v>
      </c>
      <c r="CV1576" s="2029" t="str">
        <f t="shared" si="3609"/>
        <v xml:space="preserve">                </v>
      </c>
      <c r="CW1576" s="2029" t="str">
        <f t="shared" si="3610"/>
        <v xml:space="preserve">                </v>
      </c>
      <c r="CX1576" s="2029" t="str">
        <f t="shared" si="3611"/>
        <v xml:space="preserve">                </v>
      </c>
      <c r="CY1576" s="2029" t="str">
        <f t="shared" si="3612"/>
        <v xml:space="preserve">                </v>
      </c>
      <c r="CZ1576" s="2029" t="str">
        <f t="shared" si="3613"/>
        <v xml:space="preserve">                </v>
      </c>
      <c r="DA1576" s="2029" t="str">
        <f t="shared" si="3614"/>
        <v xml:space="preserve">                </v>
      </c>
      <c r="DB1576" s="2029" t="str">
        <f t="shared" si="3614"/>
        <v xml:space="preserve">                </v>
      </c>
      <c r="DC1576" s="2030" t="str">
        <f t="shared" si="3614"/>
        <v xml:space="preserve">                </v>
      </c>
      <c r="DD1576" s="331"/>
      <c r="DE1576" s="331"/>
      <c r="DF1576" s="502"/>
      <c r="DG1576" s="503"/>
      <c r="DH1576" s="2029"/>
      <c r="DI1576" s="3213"/>
      <c r="DJ1576" s="502"/>
      <c r="DK1576" s="503"/>
      <c r="DL1576" s="502"/>
      <c r="DM1576" s="502"/>
      <c r="DN1576" s="502"/>
      <c r="DO1576" s="502"/>
      <c r="DP1576" s="503"/>
      <c r="DQ1576" s="503"/>
      <c r="DR1576" s="296"/>
      <c r="DS1576" s="296"/>
      <c r="DT1576" s="296"/>
    </row>
    <row r="1577" spans="1:130" ht="12.75" customHeight="1" x14ac:dyDescent="0.25">
      <c r="A1577" s="705" t="s">
        <v>1292</v>
      </c>
      <c r="B1577" s="281"/>
      <c r="C1577" s="446">
        <f>SUM(C1574:C1575)</f>
        <v>19.489000000000001</v>
      </c>
      <c r="D1577" s="446">
        <f t="shared" ref="D1577:AP1577" si="3618">SUM(D1574:D1575)</f>
        <v>19.307000000000002</v>
      </c>
      <c r="E1577" s="446">
        <f t="shared" si="3618"/>
        <v>19.169999999999998</v>
      </c>
      <c r="F1577" s="446">
        <f t="shared" si="3618"/>
        <v>18.23</v>
      </c>
      <c r="G1577" s="447">
        <f t="shared" si="3618"/>
        <v>76.195999999999998</v>
      </c>
      <c r="H1577" s="446">
        <f t="shared" si="3618"/>
        <v>16.902999999999999</v>
      </c>
      <c r="I1577" s="446">
        <f t="shared" si="3618"/>
        <v>12.624000000000001</v>
      </c>
      <c r="J1577" s="446">
        <f t="shared" si="3618"/>
        <v>12.824</v>
      </c>
      <c r="K1577" s="446">
        <f t="shared" si="3618"/>
        <v>48.492999999999995</v>
      </c>
      <c r="L1577" s="447">
        <f t="shared" si="3618"/>
        <v>90.843999999999994</v>
      </c>
      <c r="M1577" s="446">
        <f t="shared" si="3618"/>
        <v>49.728999999999999</v>
      </c>
      <c r="N1577" s="446">
        <f t="shared" si="3618"/>
        <v>49.765999999999998</v>
      </c>
      <c r="O1577" s="446">
        <f t="shared" si="3618"/>
        <v>52.031999999999996</v>
      </c>
      <c r="P1577" s="446">
        <f t="shared" si="3618"/>
        <v>52.801000000000002</v>
      </c>
      <c r="Q1577" s="447">
        <f t="shared" si="3618"/>
        <v>204.328</v>
      </c>
      <c r="R1577" s="446">
        <f t="shared" si="3618"/>
        <v>51.447000000000003</v>
      </c>
      <c r="S1577" s="446">
        <f t="shared" si="3618"/>
        <v>53.902000000000001</v>
      </c>
      <c r="T1577" s="446">
        <f t="shared" si="3618"/>
        <v>53.903000000000006</v>
      </c>
      <c r="U1577" s="446">
        <f t="shared" si="3618"/>
        <v>53.406999999999996</v>
      </c>
      <c r="V1577" s="447">
        <f t="shared" si="3618"/>
        <v>212.65899999999999</v>
      </c>
      <c r="W1577" s="446">
        <f t="shared" si="3618"/>
        <v>52.315000000000005</v>
      </c>
      <c r="X1577" s="446">
        <f t="shared" si="3618"/>
        <v>48.335999999999999</v>
      </c>
      <c r="Y1577" s="446">
        <f t="shared" si="3618"/>
        <v>40.28</v>
      </c>
      <c r="Z1577" s="446">
        <f t="shared" si="3618"/>
        <v>42.695999999999998</v>
      </c>
      <c r="AA1577" s="447">
        <f t="shared" si="3618"/>
        <v>183.62700000000001</v>
      </c>
      <c r="AB1577" s="446">
        <f t="shared" si="3618"/>
        <v>34.137999999999998</v>
      </c>
      <c r="AC1577" s="446">
        <f t="shared" si="3618"/>
        <v>33.350999999999999</v>
      </c>
      <c r="AD1577" s="446">
        <f t="shared" si="3618"/>
        <v>36.884999999999998</v>
      </c>
      <c r="AE1577" s="454">
        <f t="shared" si="3618"/>
        <v>37.61</v>
      </c>
      <c r="AF1577" s="447">
        <f t="shared" si="3618"/>
        <v>141.98399999999998</v>
      </c>
      <c r="AG1577" s="454">
        <f t="shared" si="3618"/>
        <v>35.392000000000003</v>
      </c>
      <c r="AH1577" s="454">
        <f t="shared" si="3618"/>
        <v>34.611000000000004</v>
      </c>
      <c r="AI1577" s="454">
        <f t="shared" si="3618"/>
        <v>34.012</v>
      </c>
      <c r="AJ1577" s="454">
        <f t="shared" si="3618"/>
        <v>31.700000000000003</v>
      </c>
      <c r="AK1577" s="447">
        <f t="shared" si="3618"/>
        <v>135.715</v>
      </c>
      <c r="AL1577" s="454">
        <f>SUM(AL1574:AL1575)</f>
        <v>29.826000000000001</v>
      </c>
      <c r="AM1577" s="454">
        <f>SUM(AM1574:AM1575)</f>
        <v>27.109000000000002</v>
      </c>
      <c r="AN1577" s="454">
        <f>SUM(AN1574:AN1575)</f>
        <v>25.213999999999999</v>
      </c>
      <c r="AO1577" s="454">
        <f>SUM(AO1574:AO1575)</f>
        <v>23.015000000000001</v>
      </c>
      <c r="AP1577" s="447">
        <f t="shared" si="3618"/>
        <v>105.16399999999999</v>
      </c>
      <c r="AQ1577" s="454">
        <f t="shared" ref="AQ1577:BE1577" si="3619">SUM(AQ1574:AQ1575)</f>
        <v>20.942999999999998</v>
      </c>
      <c r="AR1577" s="454">
        <f t="shared" si="3619"/>
        <v>20.823</v>
      </c>
      <c r="AS1577" s="454">
        <f t="shared" si="3619"/>
        <v>22.352999999999998</v>
      </c>
      <c r="AT1577" s="454">
        <f t="shared" si="3619"/>
        <v>25.720999999999997</v>
      </c>
      <c r="AU1577" s="1700">
        <f t="shared" si="3619"/>
        <v>89.84</v>
      </c>
      <c r="AV1577" s="1917">
        <f t="shared" si="3619"/>
        <v>28.024000000000001</v>
      </c>
      <c r="AW1577" s="1845">
        <f t="shared" si="3619"/>
        <v>27.36</v>
      </c>
      <c r="AX1577" s="1845">
        <f t="shared" si="3619"/>
        <v>25.56</v>
      </c>
      <c r="AY1577" s="454">
        <f>SUM(AY1574:AY1575)</f>
        <v>17.547999999999998</v>
      </c>
      <c r="AZ1577" s="1700">
        <f>SUM(AZ1574:AZ1575)</f>
        <v>98.492000000000004</v>
      </c>
      <c r="BA1577" s="1917">
        <f t="shared" si="3619"/>
        <v>104.61399999999999</v>
      </c>
      <c r="BB1577" s="1845">
        <f t="shared" si="3619"/>
        <v>105.169</v>
      </c>
      <c r="BC1577" s="1845">
        <f t="shared" si="3619"/>
        <v>106.233</v>
      </c>
      <c r="BD1577" s="1859">
        <f t="shared" si="3619"/>
        <v>110.49799999999996</v>
      </c>
      <c r="BE1577" s="447">
        <f t="shared" si="3619"/>
        <v>426.51399999999995</v>
      </c>
      <c r="BF1577" s="1845">
        <f t="shared" ref="BF1577:BO1577" si="3620">SUM(BF1574:BF1575)</f>
        <v>108.946</v>
      </c>
      <c r="BG1577" s="1845">
        <f t="shared" si="3620"/>
        <v>110.998</v>
      </c>
      <c r="BH1577" s="1845">
        <f t="shared" si="3620"/>
        <v>111.40600000000001</v>
      </c>
      <c r="BI1577" s="1859">
        <f t="shared" si="3620"/>
        <v>115.377</v>
      </c>
      <c r="BJ1577" s="447">
        <f t="shared" si="3620"/>
        <v>446.72700000000003</v>
      </c>
      <c r="BK1577" s="1845">
        <f t="shared" si="3620"/>
        <v>116.55989187500001</v>
      </c>
      <c r="BL1577" s="1845">
        <f t="shared" si="3620"/>
        <v>114.80564875</v>
      </c>
      <c r="BM1577" s="1845">
        <f t="shared" si="3620"/>
        <v>114.54519125</v>
      </c>
      <c r="BN1577" s="1859">
        <f t="shared" si="3620"/>
        <v>113.69360124999999</v>
      </c>
      <c r="BO1577" s="447">
        <f t="shared" si="3620"/>
        <v>459.60433312499998</v>
      </c>
      <c r="BP1577" s="1845">
        <f t="shared" ref="BP1577:BX1577" si="3621">SUM(BP1574:BP1575)</f>
        <v>114.76134416666666</v>
      </c>
      <c r="BQ1577" s="1845">
        <f t="shared" si="3621"/>
        <v>116.5534275</v>
      </c>
      <c r="BR1577" s="1845">
        <f t="shared" si="3621"/>
        <v>118.03680250000001</v>
      </c>
      <c r="BS1577" s="1845">
        <f t="shared" si="3621"/>
        <v>116.57449</v>
      </c>
      <c r="BT1577" s="3068">
        <f>SUM(BT1574:BT1575)</f>
        <v>465.92606416666661</v>
      </c>
      <c r="BU1577" s="1454">
        <f t="shared" si="3621"/>
        <v>117.85468561578861</v>
      </c>
      <c r="BV1577" s="1454">
        <f t="shared" si="3621"/>
        <v>118.09027333371786</v>
      </c>
      <c r="BW1577" s="1454">
        <f t="shared" si="3621"/>
        <v>208.23441118472894</v>
      </c>
      <c r="BX1577" s="1454">
        <f t="shared" si="3621"/>
        <v>208.35943188230993</v>
      </c>
      <c r="BY1577">
        <f t="shared" ref="BY1577:CF1577" si="3622">SUM(BY1574:BY1575)</f>
        <v>652.53880201654533</v>
      </c>
      <c r="BZ1577" s="447">
        <f t="shared" si="3622"/>
        <v>835.77770881780918</v>
      </c>
      <c r="CA1577" s="447">
        <f t="shared" si="3622"/>
        <v>840.22064874432328</v>
      </c>
      <c r="CB1577" s="447">
        <f t="shared" si="3622"/>
        <v>56.512912499999992</v>
      </c>
      <c r="CC1577" s="447">
        <f t="shared" si="3622"/>
        <v>56.512912499999992</v>
      </c>
      <c r="CD1577" s="447">
        <f t="shared" si="3622"/>
        <v>56.512912499999992</v>
      </c>
      <c r="CE1577" s="447">
        <f t="shared" si="3622"/>
        <v>56.512912499999992</v>
      </c>
      <c r="CF1577" s="447">
        <f t="shared" si="3622"/>
        <v>56.512912499999992</v>
      </c>
      <c r="CG1577" s="741"/>
      <c r="CH1577" s="741"/>
      <c r="CI1577" s="741"/>
      <c r="CJ1577" s="741"/>
      <c r="CK1577" s="741"/>
      <c r="CL1577" s="2025" t="str">
        <f>A1577</f>
        <v>Total interest expense</v>
      </c>
      <c r="CM1577" s="454">
        <f t="shared" si="3600"/>
        <v>76.195999999999998</v>
      </c>
      <c r="CN1577" s="454">
        <f t="shared" si="3601"/>
        <v>90.843999999999994</v>
      </c>
      <c r="CO1577" s="454">
        <f t="shared" si="3602"/>
        <v>204.328</v>
      </c>
      <c r="CP1577" s="454">
        <f t="shared" si="3603"/>
        <v>212.65899999999999</v>
      </c>
      <c r="CQ1577" s="454">
        <f t="shared" si="3604"/>
        <v>183.62700000000001</v>
      </c>
      <c r="CR1577" s="454">
        <f t="shared" si="3605"/>
        <v>141.98399999999998</v>
      </c>
      <c r="CS1577" s="454">
        <f t="shared" si="3606"/>
        <v>135.715</v>
      </c>
      <c r="CT1577" s="454">
        <f t="shared" si="3607"/>
        <v>105.16399999999999</v>
      </c>
      <c r="CU1577" s="454">
        <f t="shared" si="3608"/>
        <v>89.84</v>
      </c>
      <c r="CV1577" s="454">
        <f t="shared" si="3609"/>
        <v>98.492000000000004</v>
      </c>
      <c r="CW1577" s="454">
        <f t="shared" si="3610"/>
        <v>426.51399999999995</v>
      </c>
      <c r="CX1577" s="454">
        <f t="shared" si="3611"/>
        <v>446.72700000000003</v>
      </c>
      <c r="CY1577" s="454">
        <f t="shared" si="3612"/>
        <v>459.60433312499998</v>
      </c>
      <c r="CZ1577" s="454">
        <f t="shared" si="3613"/>
        <v>465.92606416666661</v>
      </c>
      <c r="DA1577" s="454">
        <f t="shared" si="3614"/>
        <v>652.53880201654533</v>
      </c>
      <c r="DB1577" s="454">
        <f t="shared" si="3614"/>
        <v>835.77770881780918</v>
      </c>
      <c r="DC1577" s="1666">
        <f t="shared" si="3614"/>
        <v>840.22064874432328</v>
      </c>
      <c r="DD1577" s="741"/>
      <c r="DE1577" s="741"/>
      <c r="DF1577" s="742"/>
      <c r="DG1577" s="743"/>
      <c r="DH1577" s="2915"/>
      <c r="DI1577" s="3215"/>
      <c r="DJ1577" s="742"/>
      <c r="DK1577" s="743"/>
      <c r="DL1577" s="742"/>
      <c r="DM1577" s="742"/>
      <c r="DN1577" s="742"/>
      <c r="DO1577" s="742"/>
      <c r="DP1577" s="743"/>
      <c r="DQ1577" s="743"/>
      <c r="DR1577" s="740"/>
      <c r="DS1577" s="740"/>
      <c r="DT1577" s="740"/>
    </row>
    <row r="1578" spans="1:130" ht="4.5" customHeight="1" x14ac:dyDescent="0.25">
      <c r="A1578" s="1953"/>
      <c r="B1578" s="291"/>
      <c r="C1578" s="544" t="s">
        <v>1151</v>
      </c>
      <c r="D1578" s="544" t="s">
        <v>1151</v>
      </c>
      <c r="E1578" s="544" t="s">
        <v>1151</v>
      </c>
      <c r="F1578" s="544" t="s">
        <v>1151</v>
      </c>
      <c r="G1578" s="461" t="s">
        <v>1151</v>
      </c>
      <c r="H1578" s="544" t="s">
        <v>1151</v>
      </c>
      <c r="I1578" s="544" t="s">
        <v>1151</v>
      </c>
      <c r="J1578" s="544" t="s">
        <v>1151</v>
      </c>
      <c r="K1578" s="544" t="s">
        <v>1151</v>
      </c>
      <c r="L1578" s="461" t="s">
        <v>1151</v>
      </c>
      <c r="M1578" s="544" t="s">
        <v>1151</v>
      </c>
      <c r="N1578" s="544" t="s">
        <v>1151</v>
      </c>
      <c r="O1578" s="544" t="s">
        <v>1151</v>
      </c>
      <c r="P1578" s="544" t="s">
        <v>1151</v>
      </c>
      <c r="Q1578" s="461" t="s">
        <v>1151</v>
      </c>
      <c r="R1578" s="544" t="s">
        <v>1151</v>
      </c>
      <c r="S1578" s="544" t="s">
        <v>1151</v>
      </c>
      <c r="T1578" s="544" t="s">
        <v>1151</v>
      </c>
      <c r="U1578" s="544" t="s">
        <v>1151</v>
      </c>
      <c r="V1578" s="461" t="s">
        <v>1151</v>
      </c>
      <c r="W1578" s="544" t="s">
        <v>1151</v>
      </c>
      <c r="X1578" s="544" t="s">
        <v>1151</v>
      </c>
      <c r="Y1578" s="544" t="s">
        <v>1151</v>
      </c>
      <c r="Z1578" s="544" t="s">
        <v>1151</v>
      </c>
      <c r="AA1578" s="461" t="s">
        <v>1151</v>
      </c>
      <c r="AB1578" s="544" t="s">
        <v>1151</v>
      </c>
      <c r="AC1578" s="544" t="s">
        <v>1151</v>
      </c>
      <c r="AD1578" s="544" t="s">
        <v>1151</v>
      </c>
      <c r="AE1578" s="544" t="s">
        <v>1151</v>
      </c>
      <c r="AF1578" s="461" t="s">
        <v>1151</v>
      </c>
      <c r="AG1578" s="544" t="s">
        <v>1151</v>
      </c>
      <c r="AH1578" s="544" t="s">
        <v>1151</v>
      </c>
      <c r="AI1578" s="544" t="s">
        <v>1151</v>
      </c>
      <c r="AJ1578" s="544" t="s">
        <v>1151</v>
      </c>
      <c r="AK1578" s="461" t="s">
        <v>1151</v>
      </c>
      <c r="AL1578" s="544" t="s">
        <v>1151</v>
      </c>
      <c r="AM1578" s="544" t="s">
        <v>1151</v>
      </c>
      <c r="AN1578" s="544" t="s">
        <v>1151</v>
      </c>
      <c r="AO1578" s="544" t="s">
        <v>1151</v>
      </c>
      <c r="AP1578" s="461" t="s">
        <v>1151</v>
      </c>
      <c r="AQ1578" s="544" t="s">
        <v>1151</v>
      </c>
      <c r="AR1578" s="544" t="s">
        <v>1151</v>
      </c>
      <c r="AS1578" s="544" t="s">
        <v>1151</v>
      </c>
      <c r="AT1578" s="544" t="s">
        <v>1151</v>
      </c>
      <c r="AU1578" s="461" t="s">
        <v>1151</v>
      </c>
      <c r="AV1578" s="544" t="s">
        <v>1151</v>
      </c>
      <c r="AW1578" s="544" t="s">
        <v>1151</v>
      </c>
      <c r="AX1578" s="544" t="s">
        <v>1151</v>
      </c>
      <c r="AY1578" s="544" t="s">
        <v>1151</v>
      </c>
      <c r="AZ1578" s="461" t="s">
        <v>1151</v>
      </c>
      <c r="BA1578" s="544" t="s">
        <v>1151</v>
      </c>
      <c r="BB1578" s="544" t="s">
        <v>1151</v>
      </c>
      <c r="BC1578" s="544" t="s">
        <v>1151</v>
      </c>
      <c r="BD1578" s="544" t="s">
        <v>1151</v>
      </c>
      <c r="BE1578" s="461" t="s">
        <v>1151</v>
      </c>
      <c r="BF1578" s="544" t="s">
        <v>1151</v>
      </c>
      <c r="BG1578" s="544" t="s">
        <v>1151</v>
      </c>
      <c r="BH1578" s="544" t="s">
        <v>1151</v>
      </c>
      <c r="BI1578" s="544" t="s">
        <v>1151</v>
      </c>
      <c r="BJ1578" s="461" t="s">
        <v>1151</v>
      </c>
      <c r="BK1578" s="544" t="s">
        <v>1151</v>
      </c>
      <c r="BL1578" s="544" t="s">
        <v>1151</v>
      </c>
      <c r="BM1578" s="544" t="s">
        <v>1151</v>
      </c>
      <c r="BN1578" s="544" t="s">
        <v>1151</v>
      </c>
      <c r="BO1578" s="461" t="s">
        <v>1151</v>
      </c>
      <c r="BP1578" s="544" t="s">
        <v>1151</v>
      </c>
      <c r="BQ1578" s="544" t="s">
        <v>1151</v>
      </c>
      <c r="BR1578" s="544" t="s">
        <v>1151</v>
      </c>
      <c r="BS1578" s="544" t="s">
        <v>1151</v>
      </c>
      <c r="BT1578" s="461" t="s">
        <v>1151</v>
      </c>
      <c r="BU1578" s="544" t="s">
        <v>1151</v>
      </c>
      <c r="BV1578" s="544" t="s">
        <v>1151</v>
      </c>
      <c r="BW1578" s="544" t="s">
        <v>1151</v>
      </c>
      <c r="BX1578" s="544" t="s">
        <v>1151</v>
      </c>
      <c r="BY1578" s="461" t="s">
        <v>1151</v>
      </c>
      <c r="BZ1578" s="461" t="s">
        <v>1151</v>
      </c>
      <c r="CA1578" s="461" t="s">
        <v>1151</v>
      </c>
      <c r="CB1578" s="461" t="s">
        <v>1151</v>
      </c>
      <c r="CC1578" s="461" t="s">
        <v>1151</v>
      </c>
      <c r="CD1578" s="461" t="s">
        <v>1151</v>
      </c>
      <c r="CE1578" s="461" t="s">
        <v>1151</v>
      </c>
      <c r="CF1578" s="461" t="s">
        <v>1151</v>
      </c>
      <c r="CG1578" s="741"/>
      <c r="CH1578" s="741"/>
      <c r="CI1578" s="741"/>
      <c r="CJ1578" s="741"/>
      <c r="CK1578" s="741"/>
      <c r="CL1578" s="2027"/>
      <c r="CM1578" s="2029" t="str">
        <f t="shared" si="3600"/>
        <v xml:space="preserve">                </v>
      </c>
      <c r="CN1578" s="2029" t="str">
        <f t="shared" si="3601"/>
        <v xml:space="preserve">                </v>
      </c>
      <c r="CO1578" s="2029" t="str">
        <f t="shared" si="3602"/>
        <v xml:space="preserve">                </v>
      </c>
      <c r="CP1578" s="2029" t="str">
        <f t="shared" si="3603"/>
        <v xml:space="preserve">                </v>
      </c>
      <c r="CQ1578" s="2029" t="str">
        <f t="shared" si="3604"/>
        <v xml:space="preserve">                </v>
      </c>
      <c r="CR1578" s="2029" t="str">
        <f t="shared" si="3605"/>
        <v xml:space="preserve">                </v>
      </c>
      <c r="CS1578" s="2029" t="str">
        <f t="shared" si="3606"/>
        <v xml:space="preserve">                </v>
      </c>
      <c r="CT1578" s="2029" t="str">
        <f t="shared" si="3607"/>
        <v xml:space="preserve">                </v>
      </c>
      <c r="CU1578" s="2029" t="str">
        <f t="shared" si="3608"/>
        <v xml:space="preserve">                </v>
      </c>
      <c r="CV1578" s="2029" t="str">
        <f t="shared" si="3609"/>
        <v xml:space="preserve">                </v>
      </c>
      <c r="CW1578" s="2029" t="str">
        <f t="shared" si="3610"/>
        <v xml:space="preserve">                </v>
      </c>
      <c r="CX1578" s="2029" t="str">
        <f t="shared" si="3611"/>
        <v xml:space="preserve">                </v>
      </c>
      <c r="CY1578" s="2029" t="str">
        <f t="shared" si="3612"/>
        <v xml:space="preserve">                </v>
      </c>
      <c r="CZ1578" s="2029" t="str">
        <f t="shared" si="3613"/>
        <v xml:space="preserve">                </v>
      </c>
      <c r="DA1578" s="2029" t="str">
        <f t="shared" si="3614"/>
        <v xml:space="preserve">                </v>
      </c>
      <c r="DB1578" s="2029" t="str">
        <f t="shared" si="3614"/>
        <v xml:space="preserve">                </v>
      </c>
      <c r="DC1578" s="2030" t="str">
        <f t="shared" si="3614"/>
        <v xml:space="preserve">                </v>
      </c>
      <c r="DD1578" s="741"/>
      <c r="DE1578" s="741"/>
      <c r="DF1578" s="742"/>
      <c r="DG1578" s="743"/>
      <c r="DH1578" s="2029"/>
      <c r="DI1578" s="3215"/>
      <c r="DJ1578" s="742"/>
      <c r="DK1578" s="743"/>
      <c r="DL1578" s="742"/>
      <c r="DM1578" s="742"/>
      <c r="DN1578" s="742"/>
      <c r="DO1578" s="742"/>
      <c r="DP1578" s="743"/>
      <c r="DQ1578" s="743"/>
      <c r="DR1578" s="740"/>
      <c r="DS1578" s="740"/>
      <c r="DT1578" s="740"/>
    </row>
    <row r="1579" spans="1:130" ht="12.75" customHeight="1" x14ac:dyDescent="0.25">
      <c r="A1579" s="533" t="s">
        <v>118</v>
      </c>
      <c r="B1579" s="333"/>
      <c r="C1579" s="914">
        <f>C1577+15.1+12.2+12.4</f>
        <v>59.189</v>
      </c>
      <c r="D1579" s="914">
        <f>D1577+C1577+15.1+12.2</f>
        <v>66.096000000000004</v>
      </c>
      <c r="E1579" s="914">
        <f>E1577+D1577+C1577+15.1</f>
        <v>73.066000000000003</v>
      </c>
      <c r="F1579" s="542">
        <f>F1577+E1577+D1577+C1577</f>
        <v>76.195999999999998</v>
      </c>
      <c r="G1579" s="913">
        <f>F1579</f>
        <v>76.195999999999998</v>
      </c>
      <c r="H1579" s="542">
        <f>H1577+F1577+E1577+D1577</f>
        <v>73.61</v>
      </c>
      <c r="I1579" s="542">
        <f>I1577+H1577+F1577+E1577</f>
        <v>66.927000000000007</v>
      </c>
      <c r="J1579" s="542">
        <f>J1577+I1577+H1577+F1577</f>
        <v>60.581000000000003</v>
      </c>
      <c r="K1579" s="542">
        <f>K1577+J1577+I1577+H1577</f>
        <v>90.843999999999994</v>
      </c>
      <c r="L1579" s="913">
        <f>K1579</f>
        <v>90.843999999999994</v>
      </c>
      <c r="M1579" s="542">
        <f>M1577+K1577+J1577+I1577</f>
        <v>123.66999999999999</v>
      </c>
      <c r="N1579" s="542">
        <f>N1577+M1577+K1577+J1577</f>
        <v>160.81200000000001</v>
      </c>
      <c r="O1579" s="542">
        <f>O1577+N1577+M1577+K1577</f>
        <v>200.01999999999998</v>
      </c>
      <c r="P1579" s="542">
        <f>P1577+O1577+N1577+M1577</f>
        <v>204.32799999999997</v>
      </c>
      <c r="Q1579" s="913">
        <f>P1579</f>
        <v>204.32799999999997</v>
      </c>
      <c r="R1579" s="542">
        <f>R1577+P1577+O1577+N1577</f>
        <v>206.04599999999999</v>
      </c>
      <c r="S1579" s="542">
        <f>S1577+R1577+P1577+O1577</f>
        <v>210.18200000000002</v>
      </c>
      <c r="T1579" s="542">
        <f>T1577+S1577+R1577+P1577</f>
        <v>212.053</v>
      </c>
      <c r="U1579" s="542">
        <f>U1577+T1577+S1577+R1577</f>
        <v>212.65899999999999</v>
      </c>
      <c r="V1579" s="913">
        <f>U1579</f>
        <v>212.65899999999999</v>
      </c>
      <c r="W1579" s="542">
        <f>W1577+U1577+T1577+S1577</f>
        <v>213.52699999999999</v>
      </c>
      <c r="X1579" s="542">
        <f>X1577+W1577+U1577+T1577</f>
        <v>207.96100000000001</v>
      </c>
      <c r="Y1579" s="542">
        <f>Y1577+X1577+W1577+U1577</f>
        <v>194.33800000000002</v>
      </c>
      <c r="Z1579" s="542">
        <f>Z1577+Y1577+X1577+W1577</f>
        <v>183.62700000000001</v>
      </c>
      <c r="AA1579" s="913">
        <f>Z1579</f>
        <v>183.62700000000001</v>
      </c>
      <c r="AB1579" s="542">
        <f>AB1577+Z1577+Y1577+X1577</f>
        <v>165.45</v>
      </c>
      <c r="AC1579" s="542">
        <f>AC1577+AB1577+Z1577+Y1577</f>
        <v>150.465</v>
      </c>
      <c r="AD1579" s="542">
        <f>AD1577+AC1577+AB1577+Z1577</f>
        <v>147.07</v>
      </c>
      <c r="AE1579" s="463">
        <f>AE1577+AD1577+AC1577+AB1577</f>
        <v>141.98400000000001</v>
      </c>
      <c r="AF1579" s="913">
        <f>AE1579</f>
        <v>141.98400000000001</v>
      </c>
      <c r="AG1579" s="463">
        <f>AG1577+AE1577+AD1577+AC1577</f>
        <v>143.238</v>
      </c>
      <c r="AH1579" s="463">
        <f>AH1577+AG1577+AE1577+AD1577</f>
        <v>144.49800000000002</v>
      </c>
      <c r="AI1579" s="463">
        <f>AI1577+AH1577+AG1577+AE1577</f>
        <v>141.625</v>
      </c>
      <c r="AJ1579" s="463">
        <f>AJ1577+AI1577+AH1577+AG1577</f>
        <v>135.715</v>
      </c>
      <c r="AK1579" s="913">
        <f>AJ1579</f>
        <v>135.715</v>
      </c>
      <c r="AL1579" s="463">
        <f>AL1577+AJ1577+AI1577+AH1577</f>
        <v>130.149</v>
      </c>
      <c r="AM1579" s="463">
        <f>AM1577+AL1577+AJ1577+AI1577</f>
        <v>122.64700000000001</v>
      </c>
      <c r="AN1579" s="463">
        <f>AN1577+AM1577+AL1577+AJ1577</f>
        <v>113.849</v>
      </c>
      <c r="AO1579" s="463">
        <f>AO1577+AN1577+AM1577+AL1577</f>
        <v>105.16399999999999</v>
      </c>
      <c r="AP1579" s="913">
        <f>AO1579</f>
        <v>105.16399999999999</v>
      </c>
      <c r="AQ1579" s="463">
        <f>AQ1577+AO1577+AN1577+AM1577</f>
        <v>96.281000000000006</v>
      </c>
      <c r="AR1579" s="463">
        <f>AR1577+AQ1577+AO1577+AN1577</f>
        <v>89.995000000000005</v>
      </c>
      <c r="AS1579" s="463">
        <f>AS1577+AR1577+AQ1577+AO1577</f>
        <v>87.134</v>
      </c>
      <c r="AT1579" s="463">
        <f>AT1577+AS1577+AR1577+AQ1577</f>
        <v>89.839999999999989</v>
      </c>
      <c r="AU1579" s="1713">
        <f>AT1579</f>
        <v>89.839999999999989</v>
      </c>
      <c r="AV1579" s="1945">
        <f>AV1577+AT1577+AS1577+AR1577</f>
        <v>96.920999999999992</v>
      </c>
      <c r="AW1579" s="1855">
        <f>AW1577+AV1577+AT1577+AS1577</f>
        <v>103.45799999999998</v>
      </c>
      <c r="AX1579" s="1855">
        <f>AX1577+AW1577+AV1577+AT1577</f>
        <v>106.66499999999999</v>
      </c>
      <c r="AY1579" s="463">
        <f>AY1577+AX1577+AW1577+AV1577</f>
        <v>98.49199999999999</v>
      </c>
      <c r="AZ1579" s="1713">
        <f>AY1579</f>
        <v>98.49199999999999</v>
      </c>
      <c r="BA1579" s="1945">
        <f>BA1577+AY1577+AX1577+AW1577</f>
        <v>175.08199999999999</v>
      </c>
      <c r="BB1579" s="1855">
        <f>BB1577+BA1577+AY1577+AX1577</f>
        <v>252.89099999999999</v>
      </c>
      <c r="BC1579" s="1855">
        <f>BC1577+BB1577+BA1577+AY1577</f>
        <v>333.56399999999996</v>
      </c>
      <c r="BD1579" s="1946">
        <f>BD1577+BC1577+BB1577+BA1577</f>
        <v>426.51399999999995</v>
      </c>
      <c r="BE1579" s="913">
        <f>BD1579</f>
        <v>426.51399999999995</v>
      </c>
      <c r="BF1579" s="1945">
        <f>BF1577+BD1577+BC1577+BB1577</f>
        <v>430.84599999999995</v>
      </c>
      <c r="BG1579" s="1855">
        <f>BG1577+BF1577+BD1577+BC1577</f>
        <v>436.67500000000001</v>
      </c>
      <c r="BH1579" s="1855">
        <f>BH1577+BG1577+BF1577+BD1577</f>
        <v>441.84799999999996</v>
      </c>
      <c r="BI1579" s="1946">
        <f>BI1577+BH1577+BG1577+BF1577</f>
        <v>446.72699999999998</v>
      </c>
      <c r="BJ1579" s="913">
        <f>BI1579</f>
        <v>446.72699999999998</v>
      </c>
      <c r="BK1579" s="1854">
        <f>BK1577+BI1577+BH1577+BG1577</f>
        <v>454.34089187500001</v>
      </c>
      <c r="BL1579" s="1855">
        <f>BL1577+BK1577+BI1577+BH1577</f>
        <v>458.14854062500001</v>
      </c>
      <c r="BM1579" s="1855">
        <f>BM1577+BL1577+BK1577+BI1577</f>
        <v>461.28773187500002</v>
      </c>
      <c r="BN1579" s="1946">
        <f>BN1577+BM1577+BL1577+BK1577</f>
        <v>459.60433312499998</v>
      </c>
      <c r="BO1579" s="913">
        <f>BN1579</f>
        <v>459.60433312499998</v>
      </c>
      <c r="BP1579" s="1855">
        <f>BP1577+BM1577+BN1577+BL1577</f>
        <v>457.80578541666665</v>
      </c>
      <c r="BQ1579" s="1855">
        <f>BQ1577+BP1577+BN1577+BM1577</f>
        <v>459.55356416666666</v>
      </c>
      <c r="BR1579" s="1855">
        <f>BR1577+BQ1577+BP1577+BN1577</f>
        <v>463.04517541666667</v>
      </c>
      <c r="BS1579" s="1855">
        <f>BS1577+BR1577+BQ1577+BP1577</f>
        <v>465.92606416666666</v>
      </c>
      <c r="BT1579" s="913">
        <f>BS1579</f>
        <v>465.92606416666666</v>
      </c>
      <c r="BU1579" s="1855">
        <f>BU1577+BR1577+BS1577+BQ1577</f>
        <v>469.01940561578863</v>
      </c>
      <c r="BV1579" s="1855">
        <f>BV1577+BU1577+BS1577+BR1577</f>
        <v>470.55625144950648</v>
      </c>
      <c r="BW1579" s="1855">
        <f>BW1577+BV1577+BU1577+BS1577</f>
        <v>560.75386013423542</v>
      </c>
      <c r="BX1579" s="1855">
        <f>BX1577+BW1577+BV1577+BU1577</f>
        <v>652.53880201654533</v>
      </c>
      <c r="BY1579" s="913">
        <f>BX1579</f>
        <v>652.53880201654533</v>
      </c>
      <c r="BZ1579" s="913">
        <f t="shared" ref="BZ1579:CF1579" si="3623">SUM(BZ1574:BZ1575)</f>
        <v>835.77770881780918</v>
      </c>
      <c r="CA1579" s="913">
        <f t="shared" si="3623"/>
        <v>840.22064874432328</v>
      </c>
      <c r="CB1579" s="913">
        <f t="shared" si="3623"/>
        <v>56.512912499999992</v>
      </c>
      <c r="CC1579" s="913">
        <f t="shared" si="3623"/>
        <v>56.512912499999992</v>
      </c>
      <c r="CD1579" s="913">
        <f t="shared" si="3623"/>
        <v>56.512912499999992</v>
      </c>
      <c r="CE1579" s="913">
        <f t="shared" si="3623"/>
        <v>56.512912499999992</v>
      </c>
      <c r="CF1579" s="913">
        <f t="shared" si="3623"/>
        <v>56.512912499999992</v>
      </c>
      <c r="CG1579" s="331"/>
      <c r="CH1579" s="331"/>
      <c r="CI1579" s="331"/>
      <c r="CJ1579" s="331"/>
      <c r="CK1579" s="331"/>
      <c r="CL1579" s="1149" t="str">
        <f>A1579</f>
        <v>LTM Interest Expense</v>
      </c>
      <c r="CM1579" s="463">
        <f t="shared" si="3600"/>
        <v>76.195999999999998</v>
      </c>
      <c r="CN1579" s="463">
        <f t="shared" si="3601"/>
        <v>90.843999999999994</v>
      </c>
      <c r="CO1579" s="463">
        <f t="shared" si="3602"/>
        <v>204.32799999999997</v>
      </c>
      <c r="CP1579" s="463">
        <f t="shared" si="3603"/>
        <v>212.65899999999999</v>
      </c>
      <c r="CQ1579" s="463">
        <f t="shared" si="3604"/>
        <v>183.62700000000001</v>
      </c>
      <c r="CR1579" s="463">
        <f t="shared" si="3605"/>
        <v>141.98400000000001</v>
      </c>
      <c r="CS1579" s="463">
        <f t="shared" si="3606"/>
        <v>135.715</v>
      </c>
      <c r="CT1579" s="463">
        <f t="shared" si="3607"/>
        <v>105.16399999999999</v>
      </c>
      <c r="CU1579" s="463">
        <f t="shared" si="3608"/>
        <v>89.839999999999989</v>
      </c>
      <c r="CV1579" s="463">
        <f t="shared" si="3609"/>
        <v>98.49199999999999</v>
      </c>
      <c r="CW1579" s="463">
        <f t="shared" si="3610"/>
        <v>426.51399999999995</v>
      </c>
      <c r="CX1579" s="463">
        <f t="shared" si="3611"/>
        <v>446.72699999999998</v>
      </c>
      <c r="CY1579" s="463">
        <f t="shared" si="3612"/>
        <v>459.60433312499998</v>
      </c>
      <c r="CZ1579" s="463">
        <f t="shared" si="3613"/>
        <v>465.92606416666666</v>
      </c>
      <c r="DA1579" s="463">
        <f t="shared" si="3614"/>
        <v>652.53880201654533</v>
      </c>
      <c r="DB1579" s="463">
        <f t="shared" si="3614"/>
        <v>835.77770881780918</v>
      </c>
      <c r="DC1579" s="1927">
        <f t="shared" si="3614"/>
        <v>840.22064874432328</v>
      </c>
      <c r="DD1579" s="331"/>
      <c r="DE1579" s="331"/>
      <c r="DF1579" s="502"/>
      <c r="DG1579" s="503"/>
      <c r="DH1579" s="463"/>
      <c r="DI1579" s="3213"/>
      <c r="DJ1579" s="502"/>
      <c r="DK1579" s="503"/>
      <c r="DL1579" s="502"/>
      <c r="DM1579" s="502"/>
      <c r="DN1579" s="502"/>
      <c r="DO1579" s="502"/>
      <c r="DP1579" s="503"/>
      <c r="DQ1579" s="503"/>
      <c r="DR1579" s="296"/>
      <c r="DS1579" s="296"/>
      <c r="DT1579" s="296"/>
    </row>
    <row r="1580" spans="1:130" ht="12.75" customHeight="1" x14ac:dyDescent="0.25">
      <c r="A1580" s="281"/>
      <c r="B1580" s="281"/>
      <c r="C1580" s="565"/>
      <c r="D1580" s="565"/>
      <c r="E1580" s="565"/>
      <c r="F1580" s="446"/>
      <c r="G1580" s="447"/>
      <c r="H1580" s="446"/>
      <c r="I1580" s="446"/>
      <c r="J1580" s="446"/>
      <c r="K1580" s="446"/>
      <c r="L1580" s="447"/>
      <c r="M1580" s="446"/>
      <c r="N1580" s="446"/>
      <c r="O1580" s="446"/>
      <c r="P1580" s="446"/>
      <c r="Q1580" s="447"/>
      <c r="R1580" s="446"/>
      <c r="S1580" s="446"/>
      <c r="T1580" s="446"/>
      <c r="U1580" s="446"/>
      <c r="V1580" s="447"/>
      <c r="W1580" s="446"/>
      <c r="X1580" s="446"/>
      <c r="Y1580" s="446"/>
      <c r="Z1580" s="446"/>
      <c r="AA1580" s="447"/>
      <c r="AB1580" s="446"/>
      <c r="AC1580" s="446"/>
      <c r="AD1580" s="446"/>
      <c r="AE1580" s="454"/>
      <c r="AF1580" s="447"/>
      <c r="AG1580" s="454"/>
      <c r="AH1580" s="454"/>
      <c r="AI1580" s="454"/>
      <c r="AJ1580" s="454"/>
      <c r="AK1580" s="447"/>
      <c r="AL1580" s="430"/>
      <c r="AM1580" s="430"/>
      <c r="AN1580" s="430"/>
      <c r="AO1580" s="430"/>
      <c r="AP1580" s="447"/>
      <c r="AQ1580" s="446"/>
      <c r="AR1580" s="446"/>
      <c r="AS1580" s="446"/>
      <c r="AT1580" s="446"/>
      <c r="AU1580" s="1700"/>
      <c r="AV1580" s="1917"/>
      <c r="AW1580" s="1845"/>
      <c r="AX1580" s="1845"/>
      <c r="AY1580" s="446"/>
      <c r="AZ1580" s="1700"/>
      <c r="BA1580" s="1917"/>
      <c r="BB1580" s="1845"/>
      <c r="BC1580" s="1845"/>
      <c r="BD1580" s="1859"/>
      <c r="BE1580" s="447"/>
      <c r="BF1580" s="1845"/>
      <c r="BG1580" s="1845"/>
      <c r="BH1580" s="1845"/>
      <c r="BI1580" s="1859"/>
      <c r="BJ1580" s="447"/>
      <c r="BK1580" s="1845"/>
      <c r="BL1580" s="1845"/>
      <c r="BM1580" s="1845"/>
      <c r="BN1580" s="1859"/>
      <c r="BO1580" s="447"/>
      <c r="BP1580" s="1845"/>
      <c r="BQ1580" s="1845"/>
      <c r="BR1580" s="1845"/>
      <c r="BS1580" s="1845"/>
      <c r="BT1580" s="3068"/>
      <c r="BU1580" s="3406"/>
      <c r="BV1580" s="3067"/>
      <c r="BW1580" s="1845"/>
      <c r="BX1580" s="3067"/>
      <c r="BY1580" s="3068"/>
      <c r="BZ1580" s="447"/>
      <c r="CA1580" s="447"/>
      <c r="CB1580" s="447"/>
      <c r="CC1580" s="447"/>
      <c r="CD1580" s="447"/>
      <c r="CE1580" s="447"/>
      <c r="CF1580" s="447"/>
      <c r="CG1580" s="331"/>
      <c r="CH1580" s="331"/>
      <c r="CI1580" s="331"/>
      <c r="CJ1580" s="331"/>
      <c r="CK1580" s="331"/>
      <c r="CL1580" s="520"/>
      <c r="CM1580" s="454"/>
      <c r="CN1580" s="454"/>
      <c r="CO1580" s="454"/>
      <c r="CP1580" s="454"/>
      <c r="CQ1580" s="454"/>
      <c r="CR1580" s="454"/>
      <c r="CS1580" s="454"/>
      <c r="CT1580" s="454"/>
      <c r="CU1580" s="454"/>
      <c r="CV1580" s="454"/>
      <c r="CW1580" s="454"/>
      <c r="CX1580" s="454"/>
      <c r="CY1580" s="454"/>
      <c r="CZ1580" s="454"/>
      <c r="DA1580" s="454"/>
      <c r="DB1580" s="454"/>
      <c r="DC1580" s="1666"/>
      <c r="DD1580" s="331"/>
      <c r="DE1580" s="331"/>
      <c r="DF1580" s="502"/>
      <c r="DG1580" s="503"/>
      <c r="DH1580" s="2915"/>
      <c r="DI1580" s="3213"/>
      <c r="DJ1580" s="502"/>
      <c r="DK1580" s="503"/>
      <c r="DL1580" s="502"/>
      <c r="DM1580" s="502"/>
      <c r="DN1580" s="502"/>
      <c r="DO1580" s="502"/>
      <c r="DP1580" s="503"/>
      <c r="DQ1580" s="503"/>
      <c r="DR1580" s="296"/>
      <c r="DS1580" s="296"/>
      <c r="DT1580" s="296"/>
    </row>
    <row r="1581" spans="1:130" s="1049" customFormat="1" ht="12.75" customHeight="1" x14ac:dyDescent="0.25">
      <c r="A1581" s="1070" t="s">
        <v>1503</v>
      </c>
      <c r="B1581" s="428"/>
      <c r="C1581" s="526"/>
      <c r="D1581" s="526"/>
      <c r="E1581" s="526"/>
      <c r="F1581" s="526"/>
      <c r="G1581" s="527"/>
      <c r="H1581" s="526"/>
      <c r="I1581" s="526"/>
      <c r="J1581" s="526"/>
      <c r="K1581" s="526"/>
      <c r="L1581" s="527"/>
      <c r="M1581" s="526"/>
      <c r="N1581" s="526"/>
      <c r="O1581" s="526"/>
      <c r="P1581" s="526"/>
      <c r="Q1581" s="527"/>
      <c r="R1581" s="526"/>
      <c r="S1581" s="526"/>
      <c r="T1581" s="526"/>
      <c r="U1581" s="526"/>
      <c r="V1581" s="527"/>
      <c r="W1581" s="526"/>
      <c r="X1581" s="526"/>
      <c r="Y1581" s="526"/>
      <c r="Z1581" s="526"/>
      <c r="AA1581" s="527"/>
      <c r="AB1581" s="526"/>
      <c r="AC1581" s="526"/>
      <c r="AD1581" s="526"/>
      <c r="AE1581" s="526"/>
      <c r="AF1581" s="527"/>
      <c r="AG1581" s="526"/>
      <c r="AH1581" s="526"/>
      <c r="AI1581" s="526"/>
      <c r="AJ1581" s="526"/>
      <c r="AK1581" s="527"/>
      <c r="AL1581" s="526"/>
      <c r="AM1581" s="526"/>
      <c r="AN1581" s="526"/>
      <c r="AO1581" s="526"/>
      <c r="AP1581" s="527"/>
      <c r="AQ1581" s="526"/>
      <c r="AR1581" s="526"/>
      <c r="AS1581" s="526"/>
      <c r="AT1581" s="526"/>
      <c r="AU1581" s="1706"/>
      <c r="AV1581" s="1879"/>
      <c r="AW1581" s="1849"/>
      <c r="AX1581" s="1849"/>
      <c r="AY1581" s="526"/>
      <c r="AZ1581" s="1706"/>
      <c r="BA1581" s="1879"/>
      <c r="BB1581" s="1849"/>
      <c r="BC1581" s="1849"/>
      <c r="BD1581" s="1880"/>
      <c r="BE1581" s="527"/>
      <c r="BF1581" s="1849"/>
      <c r="BG1581" s="1849"/>
      <c r="BH1581" s="1849"/>
      <c r="BI1581" s="1880"/>
      <c r="BJ1581" s="527"/>
      <c r="BK1581" s="1849"/>
      <c r="BL1581" s="1849"/>
      <c r="BM1581" s="1849"/>
      <c r="BN1581" s="1880"/>
      <c r="BO1581" s="527"/>
      <c r="BP1581" s="1849"/>
      <c r="BQ1581" s="1849"/>
      <c r="BR1581" s="1849"/>
      <c r="BS1581" s="1849"/>
      <c r="BT1581" s="3230"/>
      <c r="BU1581" s="3401"/>
      <c r="BV1581" s="2585"/>
      <c r="BW1581" s="1849"/>
      <c r="BX1581" s="2585"/>
      <c r="BY1581" s="3230"/>
      <c r="BZ1581" s="527"/>
      <c r="CA1581" s="527"/>
      <c r="CB1581" s="527"/>
      <c r="CC1581" s="527"/>
      <c r="CD1581" s="527"/>
      <c r="CE1581" s="527"/>
      <c r="CF1581" s="527"/>
      <c r="CG1581" s="331"/>
      <c r="CH1581" s="331"/>
      <c r="CI1581" s="331"/>
      <c r="CJ1581" s="331"/>
      <c r="CK1581" s="331"/>
      <c r="CL1581" s="2042" t="str">
        <f t="shared" ref="CL1581:CL1587" si="3624">A1581</f>
        <v>Maximum Total Leverage Ratio</v>
      </c>
      <c r="CM1581" s="526"/>
      <c r="CN1581" s="526"/>
      <c r="CO1581" s="526"/>
      <c r="CP1581" s="526"/>
      <c r="CQ1581" s="526"/>
      <c r="CR1581" s="526"/>
      <c r="CS1581" s="526"/>
      <c r="CT1581" s="526"/>
      <c r="CU1581" s="526"/>
      <c r="CV1581" s="526"/>
      <c r="CW1581" s="526"/>
      <c r="CX1581" s="526"/>
      <c r="CY1581" s="526"/>
      <c r="CZ1581" s="526"/>
      <c r="DA1581" s="526"/>
      <c r="DB1581" s="526"/>
      <c r="DC1581" s="684"/>
      <c r="DD1581" s="331"/>
      <c r="DE1581" s="331"/>
      <c r="DF1581" s="502"/>
      <c r="DG1581" s="503"/>
      <c r="DH1581" s="2585"/>
      <c r="DI1581" s="3213"/>
      <c r="DJ1581" s="502"/>
      <c r="DK1581" s="503"/>
      <c r="DL1581" s="502"/>
      <c r="DM1581" s="502"/>
      <c r="DN1581" s="502"/>
      <c r="DO1581" s="502"/>
      <c r="DP1581" s="503"/>
      <c r="DQ1581" s="503"/>
      <c r="DR1581" s="296"/>
      <c r="DS1581" s="296"/>
      <c r="DT1581" s="296"/>
      <c r="DU1581"/>
      <c r="DV1581"/>
      <c r="DW1581"/>
      <c r="DX1581"/>
      <c r="DY1581"/>
      <c r="DZ1581"/>
    </row>
    <row r="1582" spans="1:130" s="1049" customFormat="1" ht="12.75" customHeight="1" x14ac:dyDescent="0.25">
      <c r="A1582" s="428" t="s">
        <v>779</v>
      </c>
      <c r="B1582" s="428"/>
      <c r="C1582" s="677">
        <v>5</v>
      </c>
      <c r="D1582" s="677">
        <v>5</v>
      </c>
      <c r="E1582" s="677">
        <v>5</v>
      </c>
      <c r="F1582" s="677">
        <v>4.75</v>
      </c>
      <c r="G1582" s="681">
        <f>F1582</f>
        <v>4.75</v>
      </c>
      <c r="H1582" s="677">
        <v>4.75</v>
      </c>
      <c r="I1582" s="677">
        <v>4.75</v>
      </c>
      <c r="J1582" s="677">
        <v>6.5</v>
      </c>
      <c r="K1582" s="677">
        <v>6.5</v>
      </c>
      <c r="L1582" s="681">
        <f>K1582</f>
        <v>6.5</v>
      </c>
      <c r="M1582" s="677">
        <v>6.5</v>
      </c>
      <c r="N1582" s="677">
        <v>6.25</v>
      </c>
      <c r="O1582" s="677">
        <v>6.25</v>
      </c>
      <c r="P1582" s="677">
        <v>6</v>
      </c>
      <c r="Q1582" s="681">
        <f>P1582</f>
        <v>6</v>
      </c>
      <c r="R1582" s="677">
        <v>6</v>
      </c>
      <c r="S1582" s="677">
        <v>5.75</v>
      </c>
      <c r="T1582" s="677">
        <v>5.5</v>
      </c>
      <c r="U1582" s="677">
        <v>5.25</v>
      </c>
      <c r="V1582" s="681">
        <f>U1582</f>
        <v>5.25</v>
      </c>
      <c r="W1582" s="677">
        <v>5.25</v>
      </c>
      <c r="X1582" s="677">
        <v>5</v>
      </c>
      <c r="Y1582" s="677">
        <v>5</v>
      </c>
      <c r="Z1582" s="677">
        <v>4.75</v>
      </c>
      <c r="AA1582" s="681">
        <f>Z1582</f>
        <v>4.75</v>
      </c>
      <c r="AB1582" s="677">
        <v>4.75</v>
      </c>
      <c r="AC1582" s="677">
        <v>4.75</v>
      </c>
      <c r="AD1582" s="677">
        <v>5.5</v>
      </c>
      <c r="AE1582" s="677">
        <v>5.25</v>
      </c>
      <c r="AF1582" s="681">
        <f>AE1582</f>
        <v>5.25</v>
      </c>
      <c r="AG1582" s="677">
        <v>5.25</v>
      </c>
      <c r="AH1582" s="677">
        <v>5.25</v>
      </c>
      <c r="AI1582" s="677">
        <v>5.25</v>
      </c>
      <c r="AJ1582" s="677">
        <v>5.25</v>
      </c>
      <c r="AK1582" s="681">
        <f>AJ1582</f>
        <v>5.25</v>
      </c>
      <c r="AL1582" s="678">
        <f>AJ1582</f>
        <v>5.25</v>
      </c>
      <c r="AM1582" s="678">
        <f t="shared" ref="AM1582:BE1582" si="3625">AL1582</f>
        <v>5.25</v>
      </c>
      <c r="AN1582" s="678">
        <f t="shared" si="3625"/>
        <v>5.25</v>
      </c>
      <c r="AO1582" s="678">
        <f t="shared" si="3625"/>
        <v>5.25</v>
      </c>
      <c r="AP1582" s="681">
        <f t="shared" si="3625"/>
        <v>5.25</v>
      </c>
      <c r="AQ1582" s="678">
        <f t="shared" si="3625"/>
        <v>5.25</v>
      </c>
      <c r="AR1582" s="678">
        <f t="shared" si="3625"/>
        <v>5.25</v>
      </c>
      <c r="AS1582" s="678">
        <f t="shared" si="3625"/>
        <v>5.25</v>
      </c>
      <c r="AT1582" s="678">
        <f t="shared" si="3625"/>
        <v>5.25</v>
      </c>
      <c r="AU1582" s="1715">
        <f t="shared" si="3625"/>
        <v>5.25</v>
      </c>
      <c r="AV1582" s="3163">
        <f t="shared" si="3625"/>
        <v>5.25</v>
      </c>
      <c r="AW1582" s="678">
        <f t="shared" si="3625"/>
        <v>5.25</v>
      </c>
      <c r="AX1582" s="678">
        <f t="shared" si="3625"/>
        <v>5.25</v>
      </c>
      <c r="AY1582" s="678">
        <f t="shared" si="3625"/>
        <v>5.25</v>
      </c>
      <c r="AZ1582" s="1715">
        <f t="shared" si="3625"/>
        <v>5.25</v>
      </c>
      <c r="BA1582" s="2802">
        <f t="shared" si="3625"/>
        <v>5.25</v>
      </c>
      <c r="BB1582" s="2522">
        <f t="shared" si="3625"/>
        <v>5.25</v>
      </c>
      <c r="BC1582" s="2522">
        <f t="shared" si="3625"/>
        <v>5.25</v>
      </c>
      <c r="BD1582" s="2523">
        <f t="shared" si="3625"/>
        <v>5.25</v>
      </c>
      <c r="BE1582" s="2524">
        <f t="shared" si="3625"/>
        <v>5.25</v>
      </c>
      <c r="BF1582" s="2522">
        <f t="shared" ref="BF1582:BO1582" si="3626">BE1582</f>
        <v>5.25</v>
      </c>
      <c r="BG1582" s="2522">
        <f t="shared" si="3626"/>
        <v>5.25</v>
      </c>
      <c r="BH1582" s="2522">
        <f t="shared" si="3626"/>
        <v>5.25</v>
      </c>
      <c r="BI1582" s="2523">
        <f t="shared" si="3626"/>
        <v>5.25</v>
      </c>
      <c r="BJ1582" s="2524">
        <f t="shared" si="3626"/>
        <v>5.25</v>
      </c>
      <c r="BK1582" s="2522">
        <f t="shared" si="3626"/>
        <v>5.25</v>
      </c>
      <c r="BL1582" s="2522">
        <f>BK1582</f>
        <v>5.25</v>
      </c>
      <c r="BM1582" s="2522">
        <f t="shared" si="3626"/>
        <v>5.25</v>
      </c>
      <c r="BN1582" s="2523">
        <f t="shared" si="3626"/>
        <v>5.25</v>
      </c>
      <c r="BO1582" s="2524">
        <f t="shared" si="3626"/>
        <v>5.25</v>
      </c>
      <c r="BP1582" s="2522">
        <f t="shared" ref="BP1582:BX1582" si="3627">BO1582</f>
        <v>5.25</v>
      </c>
      <c r="BQ1582" s="2522">
        <f t="shared" si="3627"/>
        <v>5.25</v>
      </c>
      <c r="BR1582" s="2522">
        <f t="shared" si="3627"/>
        <v>5.25</v>
      </c>
      <c r="BS1582" s="2522">
        <f t="shared" si="3627"/>
        <v>5.25</v>
      </c>
      <c r="BT1582" s="3264">
        <f t="shared" si="3627"/>
        <v>5.25</v>
      </c>
      <c r="BU1582" s="2522">
        <f t="shared" si="3627"/>
        <v>5.25</v>
      </c>
      <c r="BV1582" s="2522">
        <f t="shared" si="3627"/>
        <v>5.25</v>
      </c>
      <c r="BW1582" s="2522">
        <f t="shared" si="3627"/>
        <v>5.25</v>
      </c>
      <c r="BX1582" s="2522">
        <f t="shared" si="3627"/>
        <v>5.25</v>
      </c>
      <c r="BY1582" s="3264">
        <f>BX1582</f>
        <v>5.25</v>
      </c>
      <c r="BZ1582" s="2524">
        <f t="shared" ref="BZ1582:CF1582" si="3628">BY1582</f>
        <v>5.25</v>
      </c>
      <c r="CA1582" s="2524">
        <f t="shared" si="3628"/>
        <v>5.25</v>
      </c>
      <c r="CB1582" s="2524">
        <f t="shared" si="3628"/>
        <v>5.25</v>
      </c>
      <c r="CC1582" s="2524">
        <f t="shared" si="3628"/>
        <v>5.25</v>
      </c>
      <c r="CD1582" s="2524">
        <f t="shared" si="3628"/>
        <v>5.25</v>
      </c>
      <c r="CE1582" s="2524">
        <f t="shared" si="3628"/>
        <v>5.25</v>
      </c>
      <c r="CF1582" s="2524">
        <f t="shared" si="3628"/>
        <v>5.25</v>
      </c>
      <c r="CG1582" s="331"/>
      <c r="CH1582" s="331"/>
      <c r="CI1582" s="331"/>
      <c r="CJ1582" s="331"/>
      <c r="CK1582" s="331"/>
      <c r="CL1582" s="520" t="str">
        <f t="shared" si="3624"/>
        <v>Leverage covenant</v>
      </c>
      <c r="CM1582" s="678">
        <f>G1582</f>
        <v>4.75</v>
      </c>
      <c r="CN1582" s="678">
        <f>L1582</f>
        <v>6.5</v>
      </c>
      <c r="CO1582" s="678">
        <f>Q1582</f>
        <v>6</v>
      </c>
      <c r="CP1582" s="678">
        <f>V1582</f>
        <v>5.25</v>
      </c>
      <c r="CQ1582" s="678">
        <f t="shared" ref="CQ1582:CQ1587" si="3629">AA1582</f>
        <v>4.75</v>
      </c>
      <c r="CR1582" s="678">
        <f t="shared" ref="CR1582:CR1587" si="3630">AF1582</f>
        <v>5.25</v>
      </c>
      <c r="CS1582" s="678">
        <f t="shared" ref="CS1582:CS1587" si="3631">AK1582</f>
        <v>5.25</v>
      </c>
      <c r="CT1582" s="678">
        <f t="shared" ref="CT1582:CT1587" si="3632">AP1582</f>
        <v>5.25</v>
      </c>
      <c r="CU1582" s="678">
        <f t="shared" ref="CU1582:CU1587" si="3633">AU1582</f>
        <v>5.25</v>
      </c>
      <c r="CV1582" s="678">
        <f t="shared" ref="CV1582:CV1587" si="3634">AZ1582</f>
        <v>5.25</v>
      </c>
      <c r="CW1582" s="678">
        <f t="shared" ref="CW1582:CW1587" si="3635">BE1582</f>
        <v>5.25</v>
      </c>
      <c r="CX1582" s="678">
        <f t="shared" ref="CX1582:CX1587" si="3636">BJ1582</f>
        <v>5.25</v>
      </c>
      <c r="CY1582" s="678">
        <f t="shared" ref="CY1582:CY1587" si="3637">BO1582</f>
        <v>5.25</v>
      </c>
      <c r="CZ1582" s="678">
        <f t="shared" ref="CZ1582:CZ1587" si="3638">BT1582</f>
        <v>5.25</v>
      </c>
      <c r="DA1582" s="678">
        <f t="shared" ref="DA1582:DC1587" si="3639">BY1582</f>
        <v>5.25</v>
      </c>
      <c r="DB1582" s="678">
        <f t="shared" si="3639"/>
        <v>5.25</v>
      </c>
      <c r="DC1582" s="2240">
        <f t="shared" si="3639"/>
        <v>5.25</v>
      </c>
      <c r="DD1582" s="331"/>
      <c r="DE1582" s="331"/>
      <c r="DF1582" s="502"/>
      <c r="DG1582" s="503"/>
      <c r="DH1582" s="3316"/>
      <c r="DI1582" s="3213"/>
      <c r="DJ1582" s="502"/>
      <c r="DK1582" s="503"/>
      <c r="DL1582" s="502"/>
      <c r="DM1582" s="502"/>
      <c r="DN1582" s="502"/>
      <c r="DO1582" s="502"/>
      <c r="DP1582" s="503"/>
      <c r="DQ1582" s="503"/>
      <c r="DR1582" s="296"/>
      <c r="DS1582" s="296"/>
      <c r="DT1582" s="296"/>
      <c r="DU1582"/>
      <c r="DV1582"/>
      <c r="DW1582"/>
      <c r="DX1582"/>
      <c r="DY1582"/>
      <c r="DZ1582"/>
    </row>
    <row r="1583" spans="1:130" s="1049" customFormat="1" ht="12.75" customHeight="1" x14ac:dyDescent="0.25">
      <c r="A1583" s="428" t="s">
        <v>780</v>
      </c>
      <c r="B1583" s="428"/>
      <c r="C1583" s="678">
        <f>C1564/C1572</f>
        <v>4.1409419214405858</v>
      </c>
      <c r="D1583" s="678">
        <f t="shared" ref="D1583:BC1583" si="3640">D1564/D1572</f>
        <v>3.5697282299898907</v>
      </c>
      <c r="E1583" s="678">
        <f t="shared" si="3640"/>
        <v>3.2770253720806255</v>
      </c>
      <c r="F1583" s="678">
        <f t="shared" si="3640"/>
        <v>3.0007022177503879</v>
      </c>
      <c r="G1583" s="681">
        <f t="shared" si="3640"/>
        <v>3.0007022177503879</v>
      </c>
      <c r="H1583" s="678">
        <f t="shared" si="3640"/>
        <v>2.7752767566176391</v>
      </c>
      <c r="I1583" s="678">
        <f t="shared" si="3640"/>
        <v>2.199148426035014</v>
      </c>
      <c r="J1583" s="678">
        <f t="shared" si="3640"/>
        <v>2.1523734353338799</v>
      </c>
      <c r="K1583" s="678">
        <f t="shared" si="3640"/>
        <v>4.7207097764539645</v>
      </c>
      <c r="L1583" s="681">
        <f t="shared" si="3640"/>
        <v>4.7207097764539645</v>
      </c>
      <c r="M1583" s="678">
        <f t="shared" si="3640"/>
        <v>4.4955238444511387</v>
      </c>
      <c r="N1583" s="678">
        <f t="shared" si="3640"/>
        <v>4.551261994582072</v>
      </c>
      <c r="O1583" s="678">
        <f t="shared" si="3640"/>
        <v>4.4712841207003571</v>
      </c>
      <c r="P1583" s="678">
        <f t="shared" si="3640"/>
        <v>4.4967189796972473</v>
      </c>
      <c r="Q1583" s="681">
        <f t="shared" si="3640"/>
        <v>4.4967189796972473</v>
      </c>
      <c r="R1583" s="678">
        <f t="shared" si="3640"/>
        <v>4.419234657313849</v>
      </c>
      <c r="S1583" s="678">
        <f t="shared" si="3640"/>
        <v>4.5333221492520774</v>
      </c>
      <c r="T1583" s="678">
        <f t="shared" si="3640"/>
        <v>4.4030282874916855</v>
      </c>
      <c r="U1583" s="678">
        <f t="shared" si="3640"/>
        <v>4.4221831441283017</v>
      </c>
      <c r="V1583" s="681">
        <f t="shared" si="3640"/>
        <v>4.4221831441283017</v>
      </c>
      <c r="W1583" s="678">
        <f t="shared" si="3640"/>
        <v>4.4136449828928095</v>
      </c>
      <c r="X1583" s="678">
        <f t="shared" si="3640"/>
        <v>4.4245176310056742</v>
      </c>
      <c r="Y1583" s="678">
        <f>Y1564/Y1572</f>
        <v>3.6882286869421459</v>
      </c>
      <c r="Z1583" s="678">
        <f t="shared" si="3640"/>
        <v>3.7996616519017232</v>
      </c>
      <c r="AA1583" s="681">
        <f t="shared" si="3640"/>
        <v>3.7996616519017232</v>
      </c>
      <c r="AB1583" s="678">
        <f t="shared" si="3640"/>
        <v>3.7453046554443379</v>
      </c>
      <c r="AC1583" s="678">
        <f t="shared" si="3640"/>
        <v>3.8747420892440418</v>
      </c>
      <c r="AD1583" s="678">
        <f t="shared" si="3640"/>
        <v>3.953422551857853</v>
      </c>
      <c r="AE1583" s="678">
        <f t="shared" si="3640"/>
        <v>3.9508942396044326</v>
      </c>
      <c r="AF1583" s="681">
        <f>AF1564/AF1572</f>
        <v>3.9508942396044326</v>
      </c>
      <c r="AG1583" s="678">
        <f t="shared" si="3640"/>
        <v>3.9621409202901536</v>
      </c>
      <c r="AH1583" s="678">
        <f t="shared" si="3640"/>
        <v>3.5736353993853518</v>
      </c>
      <c r="AI1583" s="678">
        <f t="shared" si="3640"/>
        <v>3.5225098957032275</v>
      </c>
      <c r="AJ1583" s="678">
        <f t="shared" si="3640"/>
        <v>3.5415740271010492</v>
      </c>
      <c r="AK1583" s="681">
        <f>AK1564/AK1572</f>
        <v>3.5415740271010492</v>
      </c>
      <c r="AL1583" s="678">
        <f t="shared" si="3640"/>
        <v>3.3259880739489933</v>
      </c>
      <c r="AM1583" s="678">
        <f t="shared" si="3640"/>
        <v>3.0687513711953898</v>
      </c>
      <c r="AN1583" s="678">
        <f t="shared" si="3640"/>
        <v>2.7709110911963446</v>
      </c>
      <c r="AO1583" s="678">
        <f t="shared" si="3640"/>
        <v>2.8330991945070196</v>
      </c>
      <c r="AP1583" s="681">
        <f t="shared" ref="AP1583:AX1583" si="3641">AP1564/AP1572</f>
        <v>2.8330991945070196</v>
      </c>
      <c r="AQ1583" s="678">
        <f t="shared" si="3641"/>
        <v>2.7064745058922703</v>
      </c>
      <c r="AR1583" s="678">
        <f t="shared" si="3641"/>
        <v>2.7697352396325559</v>
      </c>
      <c r="AS1583" s="678">
        <f t="shared" si="3641"/>
        <v>2.8444682134825294</v>
      </c>
      <c r="AT1583" s="678">
        <f t="shared" si="3641"/>
        <v>3.4603714605614471</v>
      </c>
      <c r="AU1583" s="1715">
        <f t="shared" si="3641"/>
        <v>3.4603714605614471</v>
      </c>
      <c r="AV1583" s="1947">
        <f t="shared" si="3641"/>
        <v>3.2277576249785551</v>
      </c>
      <c r="AW1583" s="1858">
        <f t="shared" si="3641"/>
        <v>2.984598630802016</v>
      </c>
      <c r="AX1583" s="1858">
        <f t="shared" si="3641"/>
        <v>2.9191155381197533</v>
      </c>
      <c r="AY1583" s="678">
        <f>AY1564/AY1572</f>
        <v>1.4582620038063978</v>
      </c>
      <c r="AZ1583" s="1715">
        <f>AZ1564/AZ1572</f>
        <v>1.4582620038063978</v>
      </c>
      <c r="BA1583" s="1947">
        <f t="shared" si="3640"/>
        <v>1.8662090698221199</v>
      </c>
      <c r="BB1583" s="1858">
        <f t="shared" si="3640"/>
        <v>2.4407760129689589</v>
      </c>
      <c r="BC1583" s="1858">
        <f t="shared" si="3640"/>
        <v>3.9937326764165584</v>
      </c>
      <c r="BD1583" s="3164">
        <f>(BD1564-BD1393)/(BD1572-SUM(BA1243:BD1243))</f>
        <v>4.3923209391447768</v>
      </c>
      <c r="BE1583" s="681">
        <f>+BD1583</f>
        <v>4.3923209391447768</v>
      </c>
      <c r="BF1583" s="3165">
        <f>(BF1564-BF1393)/(BF1572-SUM(BF1243,BD1243,BC1243,BB1243))</f>
        <v>4.5378457540138912</v>
      </c>
      <c r="BG1583" s="3165">
        <f>(BG1564-BG1393)/(BG1572-SUM(BG1243,BF1243,BD1243,BC1243))</f>
        <v>4.4231890920070258</v>
      </c>
      <c r="BH1583" s="3165">
        <f>(BH1564-BH1393)/(BH1572-SUM(BH1243,BG1243,BF1243,BD1243))</f>
        <v>5.2393956823967125</v>
      </c>
      <c r="BI1583" s="3164">
        <f>(BI1564-BI1393)/(BI1572-SUM(BF1243:BI1243))</f>
        <v>4.8285409999859796</v>
      </c>
      <c r="BJ1583" s="681">
        <f>+BI1583</f>
        <v>4.8285409999859796</v>
      </c>
      <c r="BK1583" s="3165">
        <f>(BK1564-BK1393)/(BK1572-SUM(BK1243,BI1243,BH1243,BG1243))</f>
        <v>4.4549458200574685</v>
      </c>
      <c r="BL1583" s="3165">
        <f>(BL1564-BL1393)/(BL1572-SUM(BL1243,BK1243,BI1243,BH1243))</f>
        <v>4.0931492635596447</v>
      </c>
      <c r="BM1583" s="3165">
        <f>(BM1564-BM1393)/(BM1572-SUM(BM1243,BL1243,BK1243,BI1243))</f>
        <v>4.0935712752762559</v>
      </c>
      <c r="BN1583" s="3164">
        <f>(BN1564-BN1393)/(BN1572-SUM(BK1243:BN1243))</f>
        <v>3.5683323329207171</v>
      </c>
      <c r="BO1583" s="681">
        <f>+BN1583</f>
        <v>3.5683323329207171</v>
      </c>
      <c r="BP1583" s="3165">
        <f>(BP1564-BP1393)/(BP1572-SUM(BP1243,BN1243,BM1243,BL1243))</f>
        <v>3.4764289937792294</v>
      </c>
      <c r="BQ1583" s="3165">
        <f>(BQ1564-BQ1393)/(BQ1572-SUM(BQ1243,BP1243,BN1243,BM1243))</f>
        <v>3.3291916958050662</v>
      </c>
      <c r="BR1583" s="3165">
        <f>(BR1564-BR1393)/(BR1572-SUM(BR1243,BQ1243,BP1243,BN1243))</f>
        <v>3.3167722451384822</v>
      </c>
      <c r="BS1583" s="3164">
        <f>(BS1564-BS1393)/(BS1572-SUM(BP1243:BS1243))</f>
        <v>3.2777341099660746</v>
      </c>
      <c r="BT1583" s="3264">
        <f>+BS1583</f>
        <v>3.2777341099660746</v>
      </c>
      <c r="BU1583" s="3449">
        <f>(BU1564-BU1393)/(BU1572-SUM(BU1243,BS1243,BR1243,BQ1243))</f>
        <v>3.2413891327828486</v>
      </c>
      <c r="BV1583" s="3449">
        <f>(BV1564-BV1393)/(BV1572-SUM(BV1243,BU1243,BS1243,BR1243))</f>
        <v>3.1087578621444338</v>
      </c>
      <c r="BW1583" s="3449">
        <f>(BW1564-BW1393)/(BW1572-SUM(BW1243,BV1243,BU1243,BS1243))</f>
        <v>4.4663318743181888</v>
      </c>
      <c r="BX1583" s="3449">
        <f>(BX1564-BX1393)/(BX1572-SUM(BU1243:BX1243))</f>
        <v>3.4532355223230313</v>
      </c>
      <c r="BY1583" s="3264">
        <f>+BX1583</f>
        <v>3.4532355223230313</v>
      </c>
      <c r="BZ1583" s="3166">
        <f>(BZ1564-BZ1393)/(BZ1572-BZ1243)</f>
        <v>2.1078775557383658</v>
      </c>
      <c r="CA1583" s="3166">
        <f>(CA1564-CA1393)/(CA1572-CA1243)</f>
        <v>2.1437319615511217</v>
      </c>
      <c r="CB1583" s="681">
        <f>CB1564/CB1572</f>
        <v>2.6559237037414163</v>
      </c>
      <c r="CC1583" s="681">
        <f>CC1564/CC1572</f>
        <v>3.3151975565971532</v>
      </c>
      <c r="CD1583" s="681">
        <f>CD1564/CD1572</f>
        <v>3.1266981408630334</v>
      </c>
      <c r="CE1583" s="681">
        <f>CE1564/CE1572</f>
        <v>2.9464562906013145</v>
      </c>
      <c r="CF1583" s="681">
        <f>CF1564/CF1572</f>
        <v>2.7965350665596902</v>
      </c>
      <c r="CG1583" s="331"/>
      <c r="CH1583" s="331"/>
      <c r="CI1583" s="331"/>
      <c r="CJ1583" s="331"/>
      <c r="CK1583" s="331"/>
      <c r="CL1583" s="520" t="str">
        <f t="shared" si="3624"/>
        <v>Debt/ Covenant EBITDA</v>
      </c>
      <c r="CM1583" s="678">
        <f>G1583</f>
        <v>3.0007022177503879</v>
      </c>
      <c r="CN1583" s="678">
        <f>L1583</f>
        <v>4.7207097764539645</v>
      </c>
      <c r="CO1583" s="678">
        <f>Q1583</f>
        <v>4.4967189796972473</v>
      </c>
      <c r="CP1583" s="678">
        <f>V1583</f>
        <v>4.4221831441283017</v>
      </c>
      <c r="CQ1583" s="678">
        <f t="shared" si="3629"/>
        <v>3.7996616519017232</v>
      </c>
      <c r="CR1583" s="678">
        <f t="shared" si="3630"/>
        <v>3.9508942396044326</v>
      </c>
      <c r="CS1583" s="678">
        <f t="shared" si="3631"/>
        <v>3.5415740271010492</v>
      </c>
      <c r="CT1583" s="678">
        <f t="shared" si="3632"/>
        <v>2.8330991945070196</v>
      </c>
      <c r="CU1583" s="678">
        <f t="shared" si="3633"/>
        <v>3.4603714605614471</v>
      </c>
      <c r="CV1583" s="678">
        <f t="shared" si="3634"/>
        <v>1.4582620038063978</v>
      </c>
      <c r="CW1583" s="678">
        <f t="shared" si="3635"/>
        <v>4.3923209391447768</v>
      </c>
      <c r="CX1583" s="678">
        <f t="shared" si="3636"/>
        <v>4.8285409999859796</v>
      </c>
      <c r="CY1583" s="678">
        <f t="shared" si="3637"/>
        <v>3.5683323329207171</v>
      </c>
      <c r="CZ1583" s="678">
        <f t="shared" si="3638"/>
        <v>3.2777341099660746</v>
      </c>
      <c r="DA1583" s="678">
        <f t="shared" si="3639"/>
        <v>3.4532355223230313</v>
      </c>
      <c r="DB1583" s="678">
        <f t="shared" si="3639"/>
        <v>2.1078775557383658</v>
      </c>
      <c r="DC1583" s="2240">
        <f t="shared" si="3639"/>
        <v>2.1437319615511217</v>
      </c>
      <c r="DD1583" s="331"/>
      <c r="DE1583" s="331"/>
      <c r="DF1583" s="502"/>
      <c r="DG1583" s="503"/>
      <c r="DH1583" s="3316"/>
      <c r="DI1583" s="3213"/>
      <c r="DJ1583" s="502"/>
      <c r="DK1583" s="503"/>
      <c r="DL1583" s="502"/>
      <c r="DM1583" s="502"/>
      <c r="DN1583" s="502"/>
      <c r="DO1583" s="502"/>
      <c r="DP1583" s="503"/>
      <c r="DQ1583" s="503"/>
      <c r="DR1583" s="296"/>
      <c r="DS1583" s="296"/>
      <c r="DT1583" s="296"/>
      <c r="DU1583"/>
      <c r="DV1583"/>
      <c r="DW1583"/>
      <c r="DX1583"/>
      <c r="DY1583"/>
      <c r="DZ1583"/>
    </row>
    <row r="1584" spans="1:130" s="1049" customFormat="1" ht="12.75" customHeight="1" x14ac:dyDescent="0.25">
      <c r="A1584" s="428" t="s">
        <v>1504</v>
      </c>
      <c r="B1584" s="428"/>
      <c r="C1584" s="476" t="str">
        <f>IF(C1583&gt;C1582, "N", "Y")</f>
        <v>Y</v>
      </c>
      <c r="D1584" s="476" t="str">
        <f t="shared" ref="D1584:AP1584" si="3642">IF(D1583&gt;D1582, "N", "Y")</f>
        <v>Y</v>
      </c>
      <c r="E1584" s="476" t="str">
        <f t="shared" si="3642"/>
        <v>Y</v>
      </c>
      <c r="F1584" s="476" t="str">
        <f t="shared" si="3642"/>
        <v>Y</v>
      </c>
      <c r="G1584" s="477" t="str">
        <f t="shared" si="3642"/>
        <v>Y</v>
      </c>
      <c r="H1584" s="476" t="str">
        <f t="shared" si="3642"/>
        <v>Y</v>
      </c>
      <c r="I1584" s="476" t="str">
        <f t="shared" si="3642"/>
        <v>Y</v>
      </c>
      <c r="J1584" s="476" t="str">
        <f t="shared" si="3642"/>
        <v>Y</v>
      </c>
      <c r="K1584" s="476" t="str">
        <f t="shared" si="3642"/>
        <v>Y</v>
      </c>
      <c r="L1584" s="477" t="str">
        <f t="shared" si="3642"/>
        <v>Y</v>
      </c>
      <c r="M1584" s="476" t="str">
        <f t="shared" si="3642"/>
        <v>Y</v>
      </c>
      <c r="N1584" s="476" t="str">
        <f t="shared" si="3642"/>
        <v>Y</v>
      </c>
      <c r="O1584" s="476" t="str">
        <f t="shared" si="3642"/>
        <v>Y</v>
      </c>
      <c r="P1584" s="476" t="str">
        <f t="shared" si="3642"/>
        <v>Y</v>
      </c>
      <c r="Q1584" s="477" t="str">
        <f t="shared" si="3642"/>
        <v>Y</v>
      </c>
      <c r="R1584" s="476" t="str">
        <f t="shared" si="3642"/>
        <v>Y</v>
      </c>
      <c r="S1584" s="476" t="str">
        <f t="shared" si="3642"/>
        <v>Y</v>
      </c>
      <c r="T1584" s="476" t="str">
        <f t="shared" si="3642"/>
        <v>Y</v>
      </c>
      <c r="U1584" s="476" t="str">
        <f t="shared" si="3642"/>
        <v>Y</v>
      </c>
      <c r="V1584" s="477" t="str">
        <f t="shared" si="3642"/>
        <v>Y</v>
      </c>
      <c r="W1584" s="476" t="str">
        <f t="shared" si="3642"/>
        <v>Y</v>
      </c>
      <c r="X1584" s="476" t="str">
        <f t="shared" si="3642"/>
        <v>Y</v>
      </c>
      <c r="Y1584" s="476" t="str">
        <f>IF(Y1583&gt;Y1582, "N", "Y")</f>
        <v>Y</v>
      </c>
      <c r="Z1584" s="476" t="str">
        <f t="shared" si="3642"/>
        <v>Y</v>
      </c>
      <c r="AA1584" s="477" t="str">
        <f t="shared" si="3642"/>
        <v>Y</v>
      </c>
      <c r="AB1584" s="476" t="str">
        <f t="shared" si="3642"/>
        <v>Y</v>
      </c>
      <c r="AC1584" s="476" t="str">
        <f t="shared" si="3642"/>
        <v>Y</v>
      </c>
      <c r="AD1584" s="476" t="str">
        <f t="shared" si="3642"/>
        <v>Y</v>
      </c>
      <c r="AE1584" s="476" t="str">
        <f t="shared" si="3642"/>
        <v>Y</v>
      </c>
      <c r="AF1584" s="477" t="str">
        <f t="shared" si="3642"/>
        <v>Y</v>
      </c>
      <c r="AG1584" s="476" t="str">
        <f t="shared" si="3642"/>
        <v>Y</v>
      </c>
      <c r="AH1584" s="476" t="str">
        <f t="shared" si="3642"/>
        <v>Y</v>
      </c>
      <c r="AI1584" s="476" t="str">
        <f t="shared" si="3642"/>
        <v>Y</v>
      </c>
      <c r="AJ1584" s="476" t="str">
        <f t="shared" si="3642"/>
        <v>Y</v>
      </c>
      <c r="AK1584" s="477" t="str">
        <f t="shared" si="3642"/>
        <v>Y</v>
      </c>
      <c r="AL1584" s="476" t="str">
        <f>IF(AL1583&gt;AL1582, "N", "Y")</f>
        <v>Y</v>
      </c>
      <c r="AM1584" s="476" t="str">
        <f>IF(AM1583&gt;AM1582, "N", "Y")</f>
        <v>Y</v>
      </c>
      <c r="AN1584" s="476" t="str">
        <f>IF(AN1583&gt;AN1582, "N", "Y")</f>
        <v>Y</v>
      </c>
      <c r="AO1584" s="682" t="str">
        <f>IF(AO1583&gt;AO1582, "N", "Y")</f>
        <v>Y</v>
      </c>
      <c r="AP1584" s="477" t="str">
        <f t="shared" si="3642"/>
        <v>Y</v>
      </c>
      <c r="AQ1584" s="476" t="str">
        <f t="shared" ref="AQ1584:BJ1584" si="3643">IF(AQ1583&gt;AQ1582, "N", "Y")</f>
        <v>Y</v>
      </c>
      <c r="AR1584" s="476" t="str">
        <f t="shared" si="3643"/>
        <v>Y</v>
      </c>
      <c r="AS1584" s="476" t="str">
        <f t="shared" si="3643"/>
        <v>Y</v>
      </c>
      <c r="AT1584" s="476" t="str">
        <f t="shared" si="3643"/>
        <v>Y</v>
      </c>
      <c r="AU1584" s="1464" t="str">
        <f t="shared" si="3643"/>
        <v>Y</v>
      </c>
      <c r="AV1584" s="1865" t="str">
        <f t="shared" si="3643"/>
        <v>Y</v>
      </c>
      <c r="AW1584" s="1771" t="str">
        <f t="shared" si="3643"/>
        <v>Y</v>
      </c>
      <c r="AX1584" s="1771" t="str">
        <f t="shared" si="3643"/>
        <v>Y</v>
      </c>
      <c r="AY1584" s="476" t="str">
        <f t="shared" si="3643"/>
        <v>Y</v>
      </c>
      <c r="AZ1584" s="1464" t="str">
        <f t="shared" si="3643"/>
        <v>Y</v>
      </c>
      <c r="BA1584" s="1865" t="str">
        <f t="shared" si="3643"/>
        <v>Y</v>
      </c>
      <c r="BB1584" s="1771" t="str">
        <f t="shared" si="3643"/>
        <v>Y</v>
      </c>
      <c r="BC1584" s="1771" t="str">
        <f t="shared" si="3643"/>
        <v>Y</v>
      </c>
      <c r="BD1584" s="1866" t="str">
        <f t="shared" si="3643"/>
        <v>Y</v>
      </c>
      <c r="BE1584" s="477" t="str">
        <f t="shared" si="3643"/>
        <v>Y</v>
      </c>
      <c r="BF1584" s="1771" t="str">
        <f t="shared" si="3643"/>
        <v>Y</v>
      </c>
      <c r="BG1584" s="1771" t="str">
        <f t="shared" si="3643"/>
        <v>Y</v>
      </c>
      <c r="BH1584" s="1771" t="str">
        <f t="shared" si="3643"/>
        <v>Y</v>
      </c>
      <c r="BI1584" s="1866" t="str">
        <f t="shared" si="3643"/>
        <v>Y</v>
      </c>
      <c r="BJ1584" s="477" t="str">
        <f t="shared" si="3643"/>
        <v>Y</v>
      </c>
      <c r="BK1584" s="1771" t="str">
        <f t="shared" ref="BK1584:BT1584" si="3644">IF(BK1583&gt;BK1582, "N", "Y")</f>
        <v>Y</v>
      </c>
      <c r="BL1584" s="1771" t="str">
        <f t="shared" si="3644"/>
        <v>Y</v>
      </c>
      <c r="BM1584" s="1771" t="str">
        <f t="shared" si="3644"/>
        <v>Y</v>
      </c>
      <c r="BN1584" s="1866" t="str">
        <f t="shared" si="3644"/>
        <v>Y</v>
      </c>
      <c r="BO1584" s="477" t="str">
        <f t="shared" si="3644"/>
        <v>Y</v>
      </c>
      <c r="BP1584" s="1771" t="str">
        <f>IF(BP1583&gt;BP1582, "N", "Y")</f>
        <v>Y</v>
      </c>
      <c r="BQ1584" s="1771" t="str">
        <f>IF(BQ1583&gt;BQ1582, "N", "Y")</f>
        <v>Y</v>
      </c>
      <c r="BR1584" s="1771" t="str">
        <f>IF(BR1583&gt;BR1582, "N", "Y")</f>
        <v>Y</v>
      </c>
      <c r="BS1584" s="1866" t="str">
        <f>IF(BS1583&gt;BS1582, "N", "Y")</f>
        <v>Y</v>
      </c>
      <c r="BT1584" s="2604" t="str">
        <f t="shared" si="3644"/>
        <v>Y</v>
      </c>
      <c r="BU1584" s="1771" t="str">
        <f t="shared" ref="BU1584:CF1584" si="3645">IF(BU1583&gt;BU1582, "N", "Y")</f>
        <v>Y</v>
      </c>
      <c r="BV1584" s="1771" t="str">
        <f t="shared" si="3645"/>
        <v>Y</v>
      </c>
      <c r="BW1584" s="1771" t="str">
        <f t="shared" si="3645"/>
        <v>Y</v>
      </c>
      <c r="BX1584" s="1771" t="str">
        <f t="shared" si="3645"/>
        <v>Y</v>
      </c>
      <c r="BY1584" s="2604" t="str">
        <f t="shared" si="3645"/>
        <v>Y</v>
      </c>
      <c r="BZ1584" s="477" t="str">
        <f t="shared" si="3645"/>
        <v>Y</v>
      </c>
      <c r="CA1584" s="477" t="str">
        <f t="shared" si="3645"/>
        <v>Y</v>
      </c>
      <c r="CB1584" s="477" t="str">
        <f t="shared" si="3645"/>
        <v>Y</v>
      </c>
      <c r="CC1584" s="477" t="str">
        <f t="shared" si="3645"/>
        <v>Y</v>
      </c>
      <c r="CD1584" s="477" t="str">
        <f t="shared" si="3645"/>
        <v>Y</v>
      </c>
      <c r="CE1584" s="477" t="str">
        <f t="shared" si="3645"/>
        <v>Y</v>
      </c>
      <c r="CF1584" s="477" t="str">
        <f t="shared" si="3645"/>
        <v>Y</v>
      </c>
      <c r="CG1584" s="331"/>
      <c r="CH1584" s="331"/>
      <c r="CI1584" s="331"/>
      <c r="CJ1584" s="331"/>
      <c r="CK1584" s="331"/>
      <c r="CL1584" s="520" t="str">
        <f t="shared" si="3624"/>
        <v>Compliance?</v>
      </c>
      <c r="CM1584" s="476" t="str">
        <f>G1584</f>
        <v>Y</v>
      </c>
      <c r="CN1584" s="476" t="str">
        <f>L1584</f>
        <v>Y</v>
      </c>
      <c r="CO1584" s="476" t="str">
        <f>Q1584</f>
        <v>Y</v>
      </c>
      <c r="CP1584" s="476" t="str">
        <f>V1584</f>
        <v>Y</v>
      </c>
      <c r="CQ1584" s="476" t="str">
        <f t="shared" si="3629"/>
        <v>Y</v>
      </c>
      <c r="CR1584" s="476" t="str">
        <f t="shared" si="3630"/>
        <v>Y</v>
      </c>
      <c r="CS1584" s="476" t="str">
        <f t="shared" si="3631"/>
        <v>Y</v>
      </c>
      <c r="CT1584" s="476" t="str">
        <f t="shared" si="3632"/>
        <v>Y</v>
      </c>
      <c r="CU1584" s="476" t="str">
        <f t="shared" si="3633"/>
        <v>Y</v>
      </c>
      <c r="CV1584" s="476" t="str">
        <f t="shared" si="3634"/>
        <v>Y</v>
      </c>
      <c r="CW1584" s="476" t="str">
        <f t="shared" si="3635"/>
        <v>Y</v>
      </c>
      <c r="CX1584" s="476" t="str">
        <f t="shared" si="3636"/>
        <v>Y</v>
      </c>
      <c r="CY1584" s="476" t="str">
        <f t="shared" si="3637"/>
        <v>Y</v>
      </c>
      <c r="CZ1584" s="476" t="str">
        <f t="shared" si="3638"/>
        <v>Y</v>
      </c>
      <c r="DA1584" s="476" t="str">
        <f t="shared" si="3639"/>
        <v>Y</v>
      </c>
      <c r="DB1584" s="476" t="str">
        <f t="shared" si="3639"/>
        <v>Y</v>
      </c>
      <c r="DC1584" s="682" t="str">
        <f t="shared" si="3639"/>
        <v>Y</v>
      </c>
      <c r="DD1584" s="331"/>
      <c r="DE1584" s="331"/>
      <c r="DF1584" s="502"/>
      <c r="DG1584" s="503"/>
      <c r="DH1584" s="2577"/>
      <c r="DI1584" s="3213"/>
      <c r="DJ1584" s="502"/>
      <c r="DK1584" s="503"/>
      <c r="DL1584" s="502"/>
      <c r="DM1584" s="502"/>
      <c r="DN1584" s="502"/>
      <c r="DO1584" s="502"/>
      <c r="DP1584" s="503"/>
      <c r="DQ1584" s="503"/>
      <c r="DR1584" s="296"/>
      <c r="DS1584" s="296"/>
      <c r="DT1584" s="296"/>
      <c r="DU1584"/>
      <c r="DV1584"/>
      <c r="DW1584"/>
      <c r="DX1584"/>
      <c r="DY1584"/>
      <c r="DZ1584"/>
    </row>
    <row r="1585" spans="1:130" s="1049" customFormat="1" ht="12.75" customHeight="1" x14ac:dyDescent="0.25">
      <c r="A1585" s="428" t="s">
        <v>1149</v>
      </c>
      <c r="B1585" s="428"/>
      <c r="C1585" s="572"/>
      <c r="D1585" s="572"/>
      <c r="E1585" s="572"/>
      <c r="F1585" s="572"/>
      <c r="G1585" s="573"/>
      <c r="H1585" s="572"/>
      <c r="I1585" s="572"/>
      <c r="J1585" s="572"/>
      <c r="K1585" s="572"/>
      <c r="L1585" s="573"/>
      <c r="M1585" s="572"/>
      <c r="N1585" s="572"/>
      <c r="O1585" s="572"/>
      <c r="P1585" s="572"/>
      <c r="Q1585" s="573"/>
      <c r="R1585" s="572"/>
      <c r="S1585" s="572"/>
      <c r="T1585" s="572"/>
      <c r="U1585" s="572"/>
      <c r="V1585" s="573"/>
      <c r="W1585" s="476">
        <f t="shared" ref="W1585:AX1585" si="3646">W1564/W1582</f>
        <v>573.25009523809524</v>
      </c>
      <c r="X1585" s="476">
        <f t="shared" si="3646"/>
        <v>591.44119999999998</v>
      </c>
      <c r="Y1585" s="476">
        <f t="shared" si="3646"/>
        <v>478.75199999999995</v>
      </c>
      <c r="Z1585" s="476">
        <f t="shared" si="3646"/>
        <v>511.61684210526323</v>
      </c>
      <c r="AA1585" s="477">
        <f t="shared" si="3646"/>
        <v>511.61684210526323</v>
      </c>
      <c r="AB1585" s="476">
        <f t="shared" si="3646"/>
        <v>501.94021052631575</v>
      </c>
      <c r="AC1585" s="476">
        <f t="shared" si="3646"/>
        <v>500.91768421052632</v>
      </c>
      <c r="AD1585" s="476">
        <f t="shared" si="3646"/>
        <v>433.01909090909089</v>
      </c>
      <c r="AE1585" s="476">
        <f t="shared" si="3646"/>
        <v>444.71942857142858</v>
      </c>
      <c r="AF1585" s="477">
        <f t="shared" si="3646"/>
        <v>444.71942857142858</v>
      </c>
      <c r="AG1585" s="476">
        <f t="shared" si="3646"/>
        <v>438.63390476190477</v>
      </c>
      <c r="AH1585" s="476">
        <f t="shared" si="3646"/>
        <v>400.45409523809525</v>
      </c>
      <c r="AI1585" s="476">
        <f t="shared" si="3646"/>
        <v>400.20476190476188</v>
      </c>
      <c r="AJ1585" s="476">
        <f t="shared" si="3646"/>
        <v>413.54723809523813</v>
      </c>
      <c r="AK1585" s="477">
        <f t="shared" si="3646"/>
        <v>413.54723809523813</v>
      </c>
      <c r="AL1585" s="476">
        <f t="shared" si="3646"/>
        <v>406.69295238095236</v>
      </c>
      <c r="AM1585" s="476">
        <f t="shared" si="3646"/>
        <v>399.64495238095236</v>
      </c>
      <c r="AN1585" s="476">
        <f t="shared" si="3646"/>
        <v>375.1586666666667</v>
      </c>
      <c r="AO1585" s="682">
        <f t="shared" si="3646"/>
        <v>389.50742857142859</v>
      </c>
      <c r="AP1585" s="477">
        <f t="shared" si="3646"/>
        <v>389.50742857142859</v>
      </c>
      <c r="AQ1585" s="476">
        <f>AQ1564/AQ1582</f>
        <v>387.10266666666666</v>
      </c>
      <c r="AR1585" s="476">
        <f>AR1564/AR1582</f>
        <v>400.69733333333335</v>
      </c>
      <c r="AS1585" s="476">
        <f>AS1564/AS1582</f>
        <v>414.85999999999996</v>
      </c>
      <c r="AT1585" s="476">
        <f>AT1564/AT1582</f>
        <v>520.39504761904766</v>
      </c>
      <c r="AU1585" s="1464">
        <f>AU1564/AU1582</f>
        <v>520.39504761904766</v>
      </c>
      <c r="AV1585" s="1865">
        <f t="shared" si="3646"/>
        <v>498.11923809523813</v>
      </c>
      <c r="AW1585" s="1771">
        <f t="shared" si="3646"/>
        <v>471.91961904761911</v>
      </c>
      <c r="AX1585" s="1771">
        <f t="shared" si="3646"/>
        <v>457.51047619047625</v>
      </c>
      <c r="AY1585" s="476">
        <f>AY1564/AY1582</f>
        <v>200.38380952380953</v>
      </c>
      <c r="AZ1585" s="1464">
        <f>AZ1564/AZ1582</f>
        <v>200.38380952380953</v>
      </c>
      <c r="BA1585" s="1865">
        <f>BA1564/BA1582</f>
        <v>202.59352380952382</v>
      </c>
      <c r="BB1585" s="1771">
        <f>BB1564/BB1582</f>
        <v>201.32171428571431</v>
      </c>
      <c r="BC1585" s="1771">
        <f>BC1564/BC1582</f>
        <v>234.37961904761909</v>
      </c>
      <c r="BD1585" s="3150">
        <f>(BD1564-BD1393)/BD1582</f>
        <v>241.45466666666661</v>
      </c>
      <c r="BE1585" s="477">
        <f>+BD1585</f>
        <v>241.45466666666661</v>
      </c>
      <c r="BF1585" s="3145">
        <f>(BF1564-BF1393)/BF1582</f>
        <v>248.77161904761903</v>
      </c>
      <c r="BG1585" s="3145">
        <f>(BG1564-BG1393)/BG1582</f>
        <v>245.555238095238</v>
      </c>
      <c r="BH1585" s="3145">
        <f>(BH1564-BH1393)/BH1582</f>
        <v>326.18780952380951</v>
      </c>
      <c r="BI1585" s="3150">
        <f>(BI1564-BI1393)/BI1582</f>
        <v>330.51390476190483</v>
      </c>
      <c r="BJ1585" s="477">
        <f>+BI1585</f>
        <v>330.51390476190483</v>
      </c>
      <c r="BK1585" s="3145">
        <f>(BK1564-BK1393)/BK1582</f>
        <v>326.96399999999994</v>
      </c>
      <c r="BL1585" s="3145">
        <f>(BL1564-BL1393)/BL1582</f>
        <v>321.55219047619045</v>
      </c>
      <c r="BM1585" s="3145">
        <f>(BM1564-BM1393)/BM1582</f>
        <v>321.80990476190476</v>
      </c>
      <c r="BN1585" s="3150">
        <f>(BN1564-BN1393)/BN1582</f>
        <v>272.893142857143</v>
      </c>
      <c r="BO1585" s="477">
        <f>+BN1585</f>
        <v>272.893142857143</v>
      </c>
      <c r="BP1585" s="3145">
        <f>(BP1564-BP1393)/BP1582</f>
        <v>271.01180952380957</v>
      </c>
      <c r="BQ1585" s="3145">
        <f>(BQ1564-BQ1393)/BQ1582</f>
        <v>254.62419047619048</v>
      </c>
      <c r="BR1585" s="3145">
        <f>(BR1564-BR1393)/BR1582</f>
        <v>257.30571428571449</v>
      </c>
      <c r="BS1585" s="3150">
        <f>(BS1564-BS1393)/BS1582</f>
        <v>243.84780952380945</v>
      </c>
      <c r="BT1585" s="2604">
        <f>+BS1585</f>
        <v>243.84780952380945</v>
      </c>
      <c r="BU1585" s="2169">
        <f>(BU1564-BU1393)/BU1582</f>
        <v>243.84780952380936</v>
      </c>
      <c r="BV1585" s="2169">
        <f>(BV1564-BV1393)/BV1582</f>
        <v>243.84780952380945</v>
      </c>
      <c r="BW1585" s="2169">
        <f>(BW1564-BW1393)/BW1582</f>
        <v>481.94304761904743</v>
      </c>
      <c r="BX1585" s="2169">
        <f>(BX1564-BX1393)/BX1582</f>
        <v>481.9430476190476</v>
      </c>
      <c r="BY1585" s="2604">
        <f>+BX1585</f>
        <v>481.9430476190476</v>
      </c>
      <c r="BZ1585" s="3167">
        <f>(BZ1564-BZ1393)/BZ1582</f>
        <v>434.32400000000001</v>
      </c>
      <c r="CA1585" s="3167">
        <f>(CA1564-CA1393)/CA1582</f>
        <v>434.32399999999984</v>
      </c>
      <c r="CB1585" s="477">
        <f>CB1564/CB1582</f>
        <v>167.65733333333333</v>
      </c>
      <c r="CC1585" s="477">
        <f>CC1564/CC1582</f>
        <v>167.65733333333333</v>
      </c>
      <c r="CD1585" s="477">
        <f>CD1564/CD1582</f>
        <v>167.65733333333333</v>
      </c>
      <c r="CE1585" s="477">
        <f>CE1564/CE1582</f>
        <v>167.65733333333333</v>
      </c>
      <c r="CF1585" s="477">
        <f>CF1564/CF1582</f>
        <v>167.65733333333333</v>
      </c>
      <c r="CG1585" s="331"/>
      <c r="CH1585" s="331"/>
      <c r="CI1585" s="331"/>
      <c r="CJ1585" s="331"/>
      <c r="CK1585" s="331"/>
      <c r="CL1585" s="520" t="str">
        <f t="shared" si="3624"/>
        <v>Minimum EBITDA</v>
      </c>
      <c r="CM1585" s="476"/>
      <c r="CN1585" s="476"/>
      <c r="CO1585" s="476"/>
      <c r="CP1585" s="476"/>
      <c r="CQ1585" s="476">
        <f t="shared" si="3629"/>
        <v>511.61684210526323</v>
      </c>
      <c r="CR1585" s="476">
        <f t="shared" si="3630"/>
        <v>444.71942857142858</v>
      </c>
      <c r="CS1585" s="476">
        <f t="shared" si="3631"/>
        <v>413.54723809523813</v>
      </c>
      <c r="CT1585" s="476">
        <f t="shared" si="3632"/>
        <v>389.50742857142859</v>
      </c>
      <c r="CU1585" s="476">
        <f t="shared" si="3633"/>
        <v>520.39504761904766</v>
      </c>
      <c r="CV1585" s="476">
        <f t="shared" si="3634"/>
        <v>200.38380952380953</v>
      </c>
      <c r="CW1585" s="476">
        <f t="shared" si="3635"/>
        <v>241.45466666666661</v>
      </c>
      <c r="CX1585" s="476">
        <f t="shared" si="3636"/>
        <v>330.51390476190483</v>
      </c>
      <c r="CY1585" s="476">
        <f t="shared" si="3637"/>
        <v>272.893142857143</v>
      </c>
      <c r="CZ1585" s="476">
        <f t="shared" si="3638"/>
        <v>243.84780952380945</v>
      </c>
      <c r="DA1585" s="476">
        <f t="shared" si="3639"/>
        <v>481.9430476190476</v>
      </c>
      <c r="DB1585" s="476">
        <f t="shared" si="3639"/>
        <v>434.32400000000001</v>
      </c>
      <c r="DC1585" s="682">
        <f t="shared" si="3639"/>
        <v>434.32399999999984</v>
      </c>
      <c r="DD1585" s="331"/>
      <c r="DE1585" s="331"/>
      <c r="DF1585" s="502"/>
      <c r="DG1585" s="503"/>
      <c r="DH1585" s="2577"/>
      <c r="DI1585" s="3213"/>
      <c r="DJ1585" s="502"/>
      <c r="DK1585" s="503"/>
      <c r="DL1585" s="502"/>
      <c r="DM1585" s="502"/>
      <c r="DN1585" s="502"/>
      <c r="DO1585" s="502"/>
      <c r="DP1585" s="503"/>
      <c r="DQ1585" s="503"/>
      <c r="DR1585" s="296"/>
      <c r="DS1585" s="296"/>
      <c r="DT1585" s="296"/>
      <c r="DU1585"/>
      <c r="DV1585"/>
      <c r="DW1585"/>
      <c r="DX1585"/>
      <c r="DY1585"/>
      <c r="DZ1585"/>
    </row>
    <row r="1586" spans="1:130" s="1049" customFormat="1" ht="12.75" customHeight="1" x14ac:dyDescent="0.25">
      <c r="A1586" s="428" t="s">
        <v>1295</v>
      </c>
      <c r="B1586" s="428"/>
      <c r="C1586" s="572"/>
      <c r="D1586" s="572"/>
      <c r="E1586" s="572"/>
      <c r="F1586" s="572"/>
      <c r="G1586" s="573"/>
      <c r="H1586" s="572"/>
      <c r="I1586" s="572"/>
      <c r="J1586" s="572"/>
      <c r="K1586" s="572"/>
      <c r="L1586" s="573"/>
      <c r="M1586" s="572"/>
      <c r="N1586" s="572"/>
      <c r="O1586" s="572"/>
      <c r="P1586" s="572"/>
      <c r="Q1586" s="573"/>
      <c r="R1586" s="572"/>
      <c r="S1586" s="572"/>
      <c r="T1586" s="572"/>
      <c r="U1586" s="572"/>
      <c r="V1586" s="573"/>
      <c r="W1586" s="476">
        <f t="shared" ref="W1586:AU1586" si="3647">W1572-W1585</f>
        <v>108.62690476190471</v>
      </c>
      <c r="X1586" s="476">
        <f t="shared" si="3647"/>
        <v>76.926799999999957</v>
      </c>
      <c r="Y1586" s="476">
        <f t="shared" si="3647"/>
        <v>170.27499999999998</v>
      </c>
      <c r="Z1586" s="476">
        <f t="shared" si="3647"/>
        <v>127.96115789473674</v>
      </c>
      <c r="AA1586" s="477">
        <f t="shared" si="3647"/>
        <v>127.96115789473674</v>
      </c>
      <c r="AB1586" s="476">
        <f t="shared" si="3647"/>
        <v>134.64778947368421</v>
      </c>
      <c r="AC1586" s="476">
        <f t="shared" si="3647"/>
        <v>113.15131578947376</v>
      </c>
      <c r="AD1586" s="476">
        <f t="shared" si="3647"/>
        <v>169.39690909090905</v>
      </c>
      <c r="AE1586" s="476">
        <f t="shared" si="3647"/>
        <v>146.22957142857149</v>
      </c>
      <c r="AF1586" s="477">
        <f t="shared" si="3647"/>
        <v>146.22957142857149</v>
      </c>
      <c r="AG1586" s="476">
        <f t="shared" si="3647"/>
        <v>142.57409523809531</v>
      </c>
      <c r="AH1586" s="476">
        <f t="shared" si="3647"/>
        <v>187.84990476190472</v>
      </c>
      <c r="AI1586" s="476">
        <f t="shared" si="3647"/>
        <v>196.26623809523812</v>
      </c>
      <c r="AJ1586" s="476">
        <f t="shared" si="3647"/>
        <v>199.49176190476186</v>
      </c>
      <c r="AK1586" s="477">
        <f t="shared" si="3647"/>
        <v>199.49176190476186</v>
      </c>
      <c r="AL1586" s="476">
        <f t="shared" si="3647"/>
        <v>235.26304761904765</v>
      </c>
      <c r="AM1586" s="476">
        <f t="shared" si="3647"/>
        <v>284.06504761904768</v>
      </c>
      <c r="AN1586" s="476">
        <f t="shared" si="3647"/>
        <v>335.64833333333331</v>
      </c>
      <c r="AO1586" s="682">
        <f t="shared" si="3647"/>
        <v>332.28657142857151</v>
      </c>
      <c r="AP1586" s="477">
        <f t="shared" si="3647"/>
        <v>332.28657142857151</v>
      </c>
      <c r="AQ1586" s="476">
        <f t="shared" si="3647"/>
        <v>363.79633333333334</v>
      </c>
      <c r="AR1586" s="476">
        <f t="shared" si="3647"/>
        <v>358.81966666666671</v>
      </c>
      <c r="AS1586" s="476">
        <f t="shared" si="3647"/>
        <v>350.84200000000004</v>
      </c>
      <c r="AT1586" s="476">
        <f t="shared" si="3647"/>
        <v>269.13695238095227</v>
      </c>
      <c r="AU1586" s="1464">
        <f t="shared" si="3647"/>
        <v>269.13695238095227</v>
      </c>
      <c r="AV1586" s="1865">
        <f t="shared" ref="AV1586:BC1586" si="3648">AV1572-AV1585</f>
        <v>312.07976190476182</v>
      </c>
      <c r="AW1586" s="1771">
        <f t="shared" si="3648"/>
        <v>358.20138095238087</v>
      </c>
      <c r="AX1586" s="1771">
        <f t="shared" si="3648"/>
        <v>365.31752380952372</v>
      </c>
      <c r="AY1586" s="476">
        <f t="shared" si="3648"/>
        <v>521.0331904761905</v>
      </c>
      <c r="AZ1586" s="1464">
        <f t="shared" si="3648"/>
        <v>521.0331904761905</v>
      </c>
      <c r="BA1586" s="1865">
        <f t="shared" si="3648"/>
        <v>367.34047619047612</v>
      </c>
      <c r="BB1586" s="1771">
        <f t="shared" si="3648"/>
        <v>231.71228571428568</v>
      </c>
      <c r="BC1586" s="1771">
        <f t="shared" si="3648"/>
        <v>73.726380952380907</v>
      </c>
      <c r="BD1586" s="3145">
        <f>(BD1572-SUM(BA1243:BD1243))-BD1585</f>
        <v>47.148333333333341</v>
      </c>
      <c r="BE1586" s="477">
        <f>+BD1586</f>
        <v>47.148333333333341</v>
      </c>
      <c r="BF1586" s="3145">
        <f>(BF1572-SUM(BF1243,BD1243,BC1243,BB1243))-BF1585</f>
        <v>39.041380952380962</v>
      </c>
      <c r="BG1586" s="3145">
        <f>(BG1572-SUM(BG1243,BF1243,BD1243,BC1243))-BG1585</f>
        <v>45.900761904761964</v>
      </c>
      <c r="BH1586" s="3145">
        <f>(BH1572-SUM(BH1243,BG1243,BF1243,BD1243))-BH1585</f>
        <v>0.66019047619033699</v>
      </c>
      <c r="BI1586" s="3145">
        <f>(BI1572-SUM(BF1243:BI1243))-BI1585</f>
        <v>28.848892407061669</v>
      </c>
      <c r="BJ1586" s="477">
        <f>+BI1586</f>
        <v>28.848892407061669</v>
      </c>
      <c r="BK1586" s="3145">
        <f>(BK1572-SUM(BK1243,BI1243,BH1243,BG1243))-BK1585</f>
        <v>58.351797168966755</v>
      </c>
      <c r="BL1586" s="3145">
        <f>(BL1572-SUM(BL1243,BK1243,BI1243,BH1243))-BL1585</f>
        <v>90.880606692776155</v>
      </c>
      <c r="BM1586" s="3145">
        <f>(BM1572-SUM(BM1243,BL1243,BK1243,BI1243))-BM1585</f>
        <v>90.910892407061908</v>
      </c>
      <c r="BN1586" s="3145">
        <f>(BN1572-SUM(BK1243:BN1243))-BN1585</f>
        <v>128.60785714285697</v>
      </c>
      <c r="BO1586" s="477">
        <f>+BN1586</f>
        <v>128.60785714285697</v>
      </c>
      <c r="BP1586" s="3145">
        <f>(BP1572-SUM(BP1243,BN1243,BM1243,BL1243))-BP1585</f>
        <v>138.26219047619043</v>
      </c>
      <c r="BQ1586" s="3145">
        <f>(BQ1572-SUM(BQ1243,BP1243,BN1243,BM1243))-BQ1585</f>
        <v>146.90780952380956</v>
      </c>
      <c r="BR1586" s="3145">
        <f>(BR1572-SUM(BR1243,BQ1243,BP1243,BN1243))-BR1585</f>
        <v>149.97428571428549</v>
      </c>
      <c r="BS1586" s="3145">
        <f>(BS1572-SUM(BP1243:BS1243))-BS1585</f>
        <v>146.72719047619054</v>
      </c>
      <c r="BT1586" s="2604">
        <f>+BS1586</f>
        <v>146.72719047619054</v>
      </c>
      <c r="BU1586" s="2169">
        <f>(BU1572-SUM(BU1243,BS1243,BR1243,BQ1243))-BU1585</f>
        <v>151.10662129483808</v>
      </c>
      <c r="BV1586" s="2169">
        <f>(BV1572-SUM(BV1243,BU1243,BS1243,BR1243))-BV1585</f>
        <v>167.95685869725028</v>
      </c>
      <c r="BW1586" s="2169">
        <f>(BW1572-SUM(BW1243,BV1243,BU1243,BS1243))-BW1585</f>
        <v>84.562324395263317</v>
      </c>
      <c r="BX1586" s="2169">
        <f>(BX1572-SUM(BU1243:BX1243))-BX1585</f>
        <v>250.76139250495083</v>
      </c>
      <c r="BY1586" s="2604">
        <f>+BX1586</f>
        <v>250.76139250495083</v>
      </c>
      <c r="BZ1586" s="477">
        <f>(BZ1572-BZ1243)-BZ1585</f>
        <v>647.42811306392559</v>
      </c>
      <c r="CA1586" s="477">
        <f>(CA1572-CA1243)-CA1585</f>
        <v>629.33556234105595</v>
      </c>
      <c r="CB1586" s="477">
        <f>CB1572-CB1585</f>
        <v>163.75316568064636</v>
      </c>
      <c r="CC1586" s="477">
        <f>CC1572-CC1585</f>
        <v>97.847507622049193</v>
      </c>
      <c r="CD1586" s="477">
        <f>CD1572-CD1585</f>
        <v>113.85401197262775</v>
      </c>
      <c r="CE1586" s="477">
        <f>CE1572-CE1585</f>
        <v>131.07474112766874</v>
      </c>
      <c r="CF1586" s="477">
        <f>CF1572-CF1585</f>
        <v>147.08965858721751</v>
      </c>
      <c r="CG1586" s="331"/>
      <c r="CH1586" s="331"/>
      <c r="CI1586" s="331"/>
      <c r="CJ1586" s="331"/>
      <c r="CK1586" s="331"/>
      <c r="CL1586" s="520" t="str">
        <f t="shared" si="3624"/>
        <v>Implied Cushion - EBITDA</v>
      </c>
      <c r="CM1586" s="476"/>
      <c r="CN1586" s="476"/>
      <c r="CO1586" s="476"/>
      <c r="CP1586" s="476"/>
      <c r="CQ1586" s="476">
        <f t="shared" si="3629"/>
        <v>127.96115789473674</v>
      </c>
      <c r="CR1586" s="476">
        <f t="shared" si="3630"/>
        <v>146.22957142857149</v>
      </c>
      <c r="CS1586" s="476">
        <f t="shared" si="3631"/>
        <v>199.49176190476186</v>
      </c>
      <c r="CT1586" s="476">
        <f t="shared" si="3632"/>
        <v>332.28657142857151</v>
      </c>
      <c r="CU1586" s="476">
        <f t="shared" si="3633"/>
        <v>269.13695238095227</v>
      </c>
      <c r="CV1586" s="476">
        <f t="shared" si="3634"/>
        <v>521.0331904761905</v>
      </c>
      <c r="CW1586" s="476">
        <f t="shared" si="3635"/>
        <v>47.148333333333341</v>
      </c>
      <c r="CX1586" s="476">
        <f t="shared" si="3636"/>
        <v>28.848892407061669</v>
      </c>
      <c r="CY1586" s="476">
        <f t="shared" si="3637"/>
        <v>128.60785714285697</v>
      </c>
      <c r="CZ1586" s="476">
        <f t="shared" si="3638"/>
        <v>146.72719047619054</v>
      </c>
      <c r="DA1586" s="476">
        <f t="shared" si="3639"/>
        <v>250.76139250495083</v>
      </c>
      <c r="DB1586" s="476">
        <f t="shared" si="3639"/>
        <v>647.42811306392559</v>
      </c>
      <c r="DC1586" s="682">
        <f t="shared" si="3639"/>
        <v>629.33556234105595</v>
      </c>
      <c r="DD1586" s="331"/>
      <c r="DE1586" s="331"/>
      <c r="DF1586" s="502"/>
      <c r="DG1586" s="503"/>
      <c r="DH1586" s="2577"/>
      <c r="DI1586" s="3213"/>
      <c r="DJ1586" s="502"/>
      <c r="DK1586" s="503"/>
      <c r="DL1586" s="502"/>
      <c r="DM1586" s="502"/>
      <c r="DN1586" s="502"/>
      <c r="DO1586" s="502"/>
      <c r="DP1586" s="503"/>
      <c r="DQ1586" s="503"/>
      <c r="DR1586" s="296"/>
      <c r="DS1586" s="296"/>
      <c r="DT1586" s="296"/>
      <c r="DU1586"/>
      <c r="DV1586"/>
      <c r="DW1586"/>
      <c r="DX1586"/>
      <c r="DY1586"/>
      <c r="DZ1586"/>
    </row>
    <row r="1587" spans="1:130" s="1049" customFormat="1" ht="12.75" customHeight="1" x14ac:dyDescent="0.25">
      <c r="A1587" s="428" t="s">
        <v>1294</v>
      </c>
      <c r="B1587" s="428"/>
      <c r="C1587" s="572"/>
      <c r="D1587" s="572"/>
      <c r="E1587" s="572"/>
      <c r="F1587" s="572"/>
      <c r="G1587" s="573"/>
      <c r="H1587" s="572"/>
      <c r="I1587" s="572"/>
      <c r="J1587" s="572"/>
      <c r="K1587" s="572"/>
      <c r="L1587" s="573"/>
      <c r="M1587" s="572"/>
      <c r="N1587" s="572"/>
      <c r="O1587" s="572"/>
      <c r="P1587" s="572"/>
      <c r="Q1587" s="573"/>
      <c r="R1587" s="572"/>
      <c r="S1587" s="572"/>
      <c r="T1587" s="572"/>
      <c r="U1587" s="572"/>
      <c r="V1587" s="573"/>
      <c r="W1587" s="476">
        <f>W1586*W1582</f>
        <v>570.29124999999976</v>
      </c>
      <c r="X1587" s="476">
        <f t="shared" ref="X1587:AP1587" si="3649">X1586*X1582</f>
        <v>384.63399999999979</v>
      </c>
      <c r="Y1587" s="476">
        <f>Y1586*Y1582</f>
        <v>851.37499999999989</v>
      </c>
      <c r="Z1587" s="476">
        <f t="shared" si="3649"/>
        <v>607.81549999999947</v>
      </c>
      <c r="AA1587" s="477">
        <f t="shared" si="3649"/>
        <v>607.81549999999947</v>
      </c>
      <c r="AB1587" s="476">
        <f t="shared" si="3649"/>
        <v>639.577</v>
      </c>
      <c r="AC1587" s="476">
        <f t="shared" si="3649"/>
        <v>537.46875000000034</v>
      </c>
      <c r="AD1587" s="476">
        <f t="shared" si="3649"/>
        <v>931.68299999999977</v>
      </c>
      <c r="AE1587" s="476">
        <f t="shared" si="3649"/>
        <v>767.70525000000032</v>
      </c>
      <c r="AF1587" s="477">
        <f t="shared" si="3649"/>
        <v>767.70525000000032</v>
      </c>
      <c r="AG1587" s="476">
        <f t="shared" si="3649"/>
        <v>748.51400000000035</v>
      </c>
      <c r="AH1587" s="476">
        <f t="shared" si="3649"/>
        <v>986.21199999999976</v>
      </c>
      <c r="AI1587" s="476">
        <f t="shared" si="3649"/>
        <v>1030.3977500000001</v>
      </c>
      <c r="AJ1587" s="476">
        <f t="shared" si="3649"/>
        <v>1047.3317499999998</v>
      </c>
      <c r="AK1587" s="477">
        <f t="shared" si="3649"/>
        <v>1047.3317499999998</v>
      </c>
      <c r="AL1587" s="476">
        <f>AL1586*AL1582</f>
        <v>1235.1310000000001</v>
      </c>
      <c r="AM1587" s="476">
        <f>AM1586*AM1582</f>
        <v>1491.3415000000002</v>
      </c>
      <c r="AN1587" s="476">
        <f>AN1586*AN1582</f>
        <v>1762.1537499999999</v>
      </c>
      <c r="AO1587" s="682">
        <f>AO1586*AO1582</f>
        <v>1744.5045000000005</v>
      </c>
      <c r="AP1587" s="477">
        <f t="shared" si="3649"/>
        <v>1744.5045000000005</v>
      </c>
      <c r="AQ1587" s="476">
        <f t="shared" ref="AQ1587:BJ1587" si="3650">AQ1586*AQ1582</f>
        <v>1909.93075</v>
      </c>
      <c r="AR1587" s="476">
        <f t="shared" si="3650"/>
        <v>1883.8032500000002</v>
      </c>
      <c r="AS1587" s="476">
        <f t="shared" si="3650"/>
        <v>1841.9205000000002</v>
      </c>
      <c r="AT1587" s="476">
        <f t="shared" si="3650"/>
        <v>1412.9689999999994</v>
      </c>
      <c r="AU1587" s="1464">
        <f t="shared" si="3650"/>
        <v>1412.9689999999994</v>
      </c>
      <c r="AV1587" s="1865">
        <f t="shared" si="3650"/>
        <v>1638.4187499999996</v>
      </c>
      <c r="AW1587" s="1771">
        <f t="shared" si="3650"/>
        <v>1880.5572499999996</v>
      </c>
      <c r="AX1587" s="1771">
        <f t="shared" si="3650"/>
        <v>1917.9169999999995</v>
      </c>
      <c r="AY1587" s="476">
        <f t="shared" si="3650"/>
        <v>2735.42425</v>
      </c>
      <c r="AZ1587" s="1464">
        <f t="shared" si="3650"/>
        <v>2735.42425</v>
      </c>
      <c r="BA1587" s="1865">
        <f t="shared" si="3650"/>
        <v>1928.5374999999997</v>
      </c>
      <c r="BB1587" s="1771">
        <f t="shared" si="3650"/>
        <v>1216.4894999999999</v>
      </c>
      <c r="BC1587" s="1771">
        <f t="shared" si="3650"/>
        <v>387.06349999999975</v>
      </c>
      <c r="BD1587" s="1866">
        <f t="shared" si="3650"/>
        <v>247.52875000000003</v>
      </c>
      <c r="BE1587" s="477">
        <f t="shared" si="3650"/>
        <v>247.52875000000003</v>
      </c>
      <c r="BF1587" s="1771">
        <f t="shared" si="3650"/>
        <v>204.96725000000004</v>
      </c>
      <c r="BG1587" s="1771">
        <f t="shared" si="3650"/>
        <v>240.97900000000033</v>
      </c>
      <c r="BH1587" s="1771">
        <f t="shared" si="3650"/>
        <v>3.4659999999992692</v>
      </c>
      <c r="BI1587" s="1866">
        <f t="shared" si="3650"/>
        <v>151.45668513707375</v>
      </c>
      <c r="BJ1587" s="477">
        <f t="shared" si="3650"/>
        <v>151.45668513707375</v>
      </c>
      <c r="BK1587" s="1771">
        <f t="shared" ref="BK1587:BT1587" si="3651">BK1586*BK1582</f>
        <v>306.34693513707543</v>
      </c>
      <c r="BL1587" s="1771">
        <f t="shared" si="3651"/>
        <v>477.12318513707481</v>
      </c>
      <c r="BM1587" s="1771">
        <f t="shared" si="3651"/>
        <v>477.28218513707503</v>
      </c>
      <c r="BN1587" s="1866">
        <f t="shared" si="3651"/>
        <v>675.19124999999906</v>
      </c>
      <c r="BO1587" s="477">
        <f t="shared" si="3651"/>
        <v>675.19124999999906</v>
      </c>
      <c r="BP1587" s="1771">
        <f>BP1586*BP1582</f>
        <v>725.87649999999974</v>
      </c>
      <c r="BQ1587" s="1771">
        <f>BQ1586*BQ1582</f>
        <v>771.26600000000019</v>
      </c>
      <c r="BR1587" s="1771">
        <f>BR1586*BR1582</f>
        <v>787.36499999999876</v>
      </c>
      <c r="BS1587" s="1866">
        <f>BS1586*BS1582</f>
        <v>770.31775000000039</v>
      </c>
      <c r="BT1587" s="2604">
        <f t="shared" si="3651"/>
        <v>770.31775000000039</v>
      </c>
      <c r="BU1587" s="1771">
        <f t="shared" ref="BU1587:CF1587" si="3652">BU1586*BU1582</f>
        <v>793.30976179789991</v>
      </c>
      <c r="BV1587" s="1771">
        <f t="shared" si="3652"/>
        <v>881.77350816056401</v>
      </c>
      <c r="BW1587" s="1771">
        <f t="shared" si="3652"/>
        <v>443.95220307513239</v>
      </c>
      <c r="BX1587" s="1771">
        <f t="shared" si="3652"/>
        <v>1316.4973106509919</v>
      </c>
      <c r="BY1587" s="2604">
        <f t="shared" si="3652"/>
        <v>1316.4973106509919</v>
      </c>
      <c r="BZ1587" s="477">
        <f t="shared" si="3652"/>
        <v>3398.9975935856091</v>
      </c>
      <c r="CA1587" s="477">
        <f t="shared" si="3652"/>
        <v>3304.0117022905438</v>
      </c>
      <c r="CB1587" s="477">
        <f t="shared" si="3652"/>
        <v>859.7041198233934</v>
      </c>
      <c r="CC1587" s="477">
        <f t="shared" si="3652"/>
        <v>513.69941501575829</v>
      </c>
      <c r="CD1587" s="477">
        <f t="shared" si="3652"/>
        <v>597.73356285629563</v>
      </c>
      <c r="CE1587" s="477">
        <f t="shared" si="3652"/>
        <v>688.14239092026094</v>
      </c>
      <c r="CF1587" s="477">
        <f t="shared" si="3652"/>
        <v>772.22070758289192</v>
      </c>
      <c r="CG1587" s="331"/>
      <c r="CH1587" s="331"/>
      <c r="CI1587" s="331"/>
      <c r="CJ1587" s="331"/>
      <c r="CK1587" s="331"/>
      <c r="CL1587" s="520" t="str">
        <f t="shared" si="3624"/>
        <v>Implied Cushion - Debt</v>
      </c>
      <c r="CM1587" s="476"/>
      <c r="CN1587" s="476"/>
      <c r="CO1587" s="476"/>
      <c r="CP1587" s="476"/>
      <c r="CQ1587" s="476">
        <f t="shared" si="3629"/>
        <v>607.81549999999947</v>
      </c>
      <c r="CR1587" s="476">
        <f t="shared" si="3630"/>
        <v>767.70525000000032</v>
      </c>
      <c r="CS1587" s="476">
        <f t="shared" si="3631"/>
        <v>1047.3317499999998</v>
      </c>
      <c r="CT1587" s="476">
        <f t="shared" si="3632"/>
        <v>1744.5045000000005</v>
      </c>
      <c r="CU1587" s="476">
        <f t="shared" si="3633"/>
        <v>1412.9689999999994</v>
      </c>
      <c r="CV1587" s="476">
        <f t="shared" si="3634"/>
        <v>2735.42425</v>
      </c>
      <c r="CW1587" s="476">
        <f t="shared" si="3635"/>
        <v>247.52875000000003</v>
      </c>
      <c r="CX1587" s="476">
        <f t="shared" si="3636"/>
        <v>151.45668513707375</v>
      </c>
      <c r="CY1587" s="476">
        <f t="shared" si="3637"/>
        <v>675.19124999999906</v>
      </c>
      <c r="CZ1587" s="476">
        <f t="shared" si="3638"/>
        <v>770.31775000000039</v>
      </c>
      <c r="DA1587" s="476">
        <f t="shared" si="3639"/>
        <v>1316.4973106509919</v>
      </c>
      <c r="DB1587" s="476">
        <f t="shared" si="3639"/>
        <v>3398.9975935856091</v>
      </c>
      <c r="DC1587" s="682">
        <f t="shared" si="3639"/>
        <v>3304.0117022905438</v>
      </c>
      <c r="DD1587" s="331"/>
      <c r="DE1587" s="331"/>
      <c r="DF1587" s="502"/>
      <c r="DG1587" s="503"/>
      <c r="DH1587" s="2577"/>
      <c r="DI1587" s="3213"/>
      <c r="DJ1587" s="502"/>
      <c r="DK1587" s="503"/>
      <c r="DL1587" s="502"/>
      <c r="DM1587" s="502"/>
      <c r="DN1587" s="502"/>
      <c r="DO1587" s="502"/>
      <c r="DP1587" s="503"/>
      <c r="DQ1587" s="503"/>
      <c r="DR1587" s="296"/>
      <c r="DS1587" s="296"/>
      <c r="DT1587" s="296"/>
      <c r="DU1587"/>
      <c r="DV1587"/>
      <c r="DW1587"/>
      <c r="DX1587"/>
      <c r="DY1587"/>
      <c r="DZ1587"/>
    </row>
    <row r="1588" spans="1:130" ht="12.75" customHeight="1" x14ac:dyDescent="0.25">
      <c r="A1588" s="281"/>
      <c r="B1588" s="281"/>
      <c r="C1588" s="311"/>
      <c r="D1588" s="311"/>
      <c r="E1588" s="311"/>
      <c r="F1588" s="311"/>
      <c r="G1588" s="518"/>
      <c r="H1588" s="311"/>
      <c r="I1588" s="311"/>
      <c r="J1588" s="311"/>
      <c r="K1588" s="311"/>
      <c r="L1588" s="518"/>
      <c r="M1588" s="311"/>
      <c r="N1588" s="311"/>
      <c r="O1588" s="311"/>
      <c r="P1588" s="311"/>
      <c r="Q1588" s="518"/>
      <c r="R1588" s="311"/>
      <c r="S1588" s="311"/>
      <c r="T1588" s="311"/>
      <c r="U1588" s="311"/>
      <c r="V1588" s="518"/>
      <c r="W1588" s="311"/>
      <c r="X1588" s="311"/>
      <c r="Y1588" s="311"/>
      <c r="Z1588" s="311"/>
      <c r="AA1588" s="518"/>
      <c r="AB1588" s="311"/>
      <c r="AC1588" s="311"/>
      <c r="AD1588" s="311"/>
      <c r="AE1588" s="526"/>
      <c r="AF1588" s="518"/>
      <c r="AG1588" s="526"/>
      <c r="AH1588" s="526"/>
      <c r="AI1588" s="526"/>
      <c r="AJ1588" s="526"/>
      <c r="AK1588" s="518"/>
      <c r="AL1588" s="526"/>
      <c r="AM1588" s="526"/>
      <c r="AN1588" s="526"/>
      <c r="AO1588" s="684"/>
      <c r="AP1588" s="518"/>
      <c r="AQ1588" s="311"/>
      <c r="AR1588" s="311"/>
      <c r="AS1588" s="311"/>
      <c r="AT1588" s="311"/>
      <c r="AU1588" s="1708"/>
      <c r="AV1588" s="1882"/>
      <c r="AW1588" s="1856"/>
      <c r="AX1588" s="1856"/>
      <c r="AY1588" s="311"/>
      <c r="AZ1588" s="1708"/>
      <c r="BA1588" s="1882"/>
      <c r="BB1588" s="1856"/>
      <c r="BC1588" s="1856"/>
      <c r="BD1588" s="1883"/>
      <c r="BE1588" s="518"/>
      <c r="BF1588" s="1856"/>
      <c r="BG1588" s="1856"/>
      <c r="BH1588" s="1856"/>
      <c r="BI1588" s="1883"/>
      <c r="BJ1588" s="518"/>
      <c r="BK1588" s="1856"/>
      <c r="BL1588" s="1856"/>
      <c r="BM1588" s="1856"/>
      <c r="BN1588" s="1883"/>
      <c r="BO1588" s="518"/>
      <c r="BP1588" s="1856"/>
      <c r="BQ1588" s="1856"/>
      <c r="BR1588" s="1856"/>
      <c r="BS1588" s="1856"/>
      <c r="BT1588" s="3231"/>
      <c r="BU1588" s="1856"/>
      <c r="BV1588" s="1856"/>
      <c r="BW1588" s="1856"/>
      <c r="BX1588" s="1856"/>
      <c r="BY1588" s="3231"/>
      <c r="BZ1588" s="518"/>
      <c r="CA1588" s="518"/>
      <c r="CB1588" s="518"/>
      <c r="CC1588" s="518"/>
      <c r="CD1588" s="518"/>
      <c r="CE1588" s="518"/>
      <c r="CF1588" s="518"/>
      <c r="CG1588" s="331"/>
      <c r="CH1588" s="331"/>
      <c r="CI1588" s="331"/>
      <c r="CJ1588" s="331"/>
      <c r="CK1588" s="331"/>
      <c r="CL1588" s="520"/>
      <c r="CM1588" s="526"/>
      <c r="CN1588" s="526"/>
      <c r="CO1588" s="526"/>
      <c r="CP1588" s="526"/>
      <c r="CQ1588" s="526"/>
      <c r="CR1588" s="526"/>
      <c r="CS1588" s="526"/>
      <c r="CT1588" s="526"/>
      <c r="CU1588" s="526"/>
      <c r="CV1588" s="526"/>
      <c r="CW1588" s="526"/>
      <c r="CX1588" s="526"/>
      <c r="CY1588" s="526"/>
      <c r="CZ1588" s="526"/>
      <c r="DA1588" s="526"/>
      <c r="DB1588" s="526"/>
      <c r="DC1588" s="684"/>
      <c r="DD1588" s="331"/>
      <c r="DE1588" s="331"/>
      <c r="DF1588" s="502"/>
      <c r="DG1588" s="503"/>
      <c r="DH1588" s="2585"/>
      <c r="DI1588" s="3213"/>
      <c r="DJ1588" s="502"/>
      <c r="DK1588" s="503"/>
      <c r="DL1588" s="502"/>
      <c r="DM1588" s="502"/>
      <c r="DN1588" s="502"/>
      <c r="DO1588" s="502"/>
      <c r="DP1588" s="503"/>
      <c r="DQ1588" s="503"/>
      <c r="DR1588" s="296"/>
      <c r="DS1588" s="296"/>
      <c r="DT1588" s="296"/>
    </row>
    <row r="1589" spans="1:130" ht="12.75" customHeight="1" x14ac:dyDescent="0.25">
      <c r="A1589" s="659" t="s">
        <v>664</v>
      </c>
      <c r="B1589" s="281"/>
      <c r="C1589" s="311"/>
      <c r="D1589" s="311"/>
      <c r="E1589" s="311"/>
      <c r="F1589" s="311"/>
      <c r="G1589" s="518"/>
      <c r="H1589" s="311"/>
      <c r="I1589" s="311"/>
      <c r="J1589" s="311"/>
      <c r="K1589" s="311"/>
      <c r="L1589" s="518"/>
      <c r="M1589" s="311"/>
      <c r="N1589" s="311"/>
      <c r="O1589" s="311"/>
      <c r="P1589" s="311"/>
      <c r="Q1589" s="518"/>
      <c r="R1589" s="311"/>
      <c r="S1589" s="311"/>
      <c r="T1589" s="311"/>
      <c r="U1589" s="311"/>
      <c r="V1589" s="518"/>
      <c r="W1589" s="311"/>
      <c r="X1589" s="311"/>
      <c r="Y1589" s="311"/>
      <c r="Z1589" s="311"/>
      <c r="AA1589" s="518"/>
      <c r="AB1589" s="311"/>
      <c r="AC1589" s="311"/>
      <c r="AD1589" s="311"/>
      <c r="AE1589" s="526"/>
      <c r="AF1589" s="518"/>
      <c r="AG1589" s="526"/>
      <c r="AH1589" s="526"/>
      <c r="AI1589" s="526"/>
      <c r="AJ1589" s="526"/>
      <c r="AK1589" s="518"/>
      <c r="AL1589" s="526"/>
      <c r="AM1589" s="526"/>
      <c r="AN1589" s="526"/>
      <c r="AO1589" s="684"/>
      <c r="AP1589" s="518"/>
      <c r="AQ1589" s="311"/>
      <c r="AR1589" s="311"/>
      <c r="AS1589" s="311"/>
      <c r="AT1589" s="311"/>
      <c r="AU1589" s="1708"/>
      <c r="AV1589" s="1882"/>
      <c r="AW1589" s="1856"/>
      <c r="AX1589" s="1856"/>
      <c r="AY1589" s="311"/>
      <c r="AZ1589" s="1708"/>
      <c r="BA1589" s="1882"/>
      <c r="BB1589" s="1856"/>
      <c r="BC1589" s="1856"/>
      <c r="BD1589" s="1883"/>
      <c r="BE1589" s="518"/>
      <c r="BF1589" s="1856"/>
      <c r="BG1589" s="1856"/>
      <c r="BH1589" s="1856"/>
      <c r="BI1589" s="1883"/>
      <c r="BJ1589" s="518"/>
      <c r="BK1589" s="1856"/>
      <c r="BL1589" s="1856"/>
      <c r="BM1589" s="1856"/>
      <c r="BN1589" s="1883"/>
      <c r="BO1589" s="518"/>
      <c r="BP1589" s="1856"/>
      <c r="BQ1589" s="1856"/>
      <c r="BR1589" s="1856"/>
      <c r="BS1589" s="1856"/>
      <c r="BT1589" s="3231"/>
      <c r="BU1589" s="1856"/>
      <c r="BV1589" s="1856"/>
      <c r="BW1589" s="1856"/>
      <c r="BX1589" s="1856"/>
      <c r="BY1589" s="3231"/>
      <c r="BZ1589" s="518"/>
      <c r="CA1589" s="518"/>
      <c r="CB1589" s="518"/>
      <c r="CC1589" s="518"/>
      <c r="CD1589" s="518"/>
      <c r="CE1589" s="518"/>
      <c r="CF1589" s="518"/>
      <c r="CG1589" s="331"/>
      <c r="CH1589" s="331"/>
      <c r="CI1589" s="331"/>
      <c r="CJ1589" s="331"/>
      <c r="CK1589" s="331"/>
      <c r="CL1589" s="2042" t="str">
        <f t="shared" ref="CL1589:CL1595" si="3653">A1589</f>
        <v>Maximum Senior Leverage Ratio</v>
      </c>
      <c r="CM1589" s="526"/>
      <c r="CN1589" s="526"/>
      <c r="CO1589" s="526"/>
      <c r="CP1589" s="526"/>
      <c r="CQ1589" s="526"/>
      <c r="CR1589" s="526"/>
      <c r="CS1589" s="526"/>
      <c r="CT1589" s="526"/>
      <c r="CU1589" s="526"/>
      <c r="CV1589" s="526"/>
      <c r="CW1589" s="526"/>
      <c r="CX1589" s="526"/>
      <c r="CY1589" s="526"/>
      <c r="CZ1589" s="526"/>
      <c r="DA1589" s="526"/>
      <c r="DB1589" s="526"/>
      <c r="DC1589" s="684"/>
      <c r="DD1589" s="331"/>
      <c r="DE1589" s="331"/>
      <c r="DF1589" s="502"/>
      <c r="DG1589" s="503"/>
      <c r="DH1589" s="2585"/>
      <c r="DI1589" s="3213"/>
      <c r="DJ1589" s="502"/>
      <c r="DK1589" s="503"/>
      <c r="DL1589" s="502"/>
      <c r="DM1589" s="502"/>
      <c r="DN1589" s="502"/>
      <c r="DO1589" s="502"/>
      <c r="DP1589" s="503"/>
      <c r="DQ1589" s="503"/>
      <c r="DR1589" s="296"/>
      <c r="DS1589" s="296"/>
      <c r="DT1589" s="296"/>
    </row>
    <row r="1590" spans="1:130" ht="12.75" customHeight="1" x14ac:dyDescent="0.25">
      <c r="A1590" s="281" t="s">
        <v>779</v>
      </c>
      <c r="B1590" s="281"/>
      <c r="C1590" s="675">
        <v>3.25</v>
      </c>
      <c r="D1590" s="675">
        <v>3.25</v>
      </c>
      <c r="E1590" s="675">
        <v>3.25</v>
      </c>
      <c r="F1590" s="675">
        <v>2.75</v>
      </c>
      <c r="G1590" s="676">
        <f>F1590</f>
        <v>2.75</v>
      </c>
      <c r="H1590" s="675">
        <v>2.75</v>
      </c>
      <c r="I1590" s="675">
        <v>2.75</v>
      </c>
      <c r="J1590" s="675">
        <v>5.25</v>
      </c>
      <c r="K1590" s="675">
        <v>5.25</v>
      </c>
      <c r="L1590" s="676">
        <f>K1590</f>
        <v>5.25</v>
      </c>
      <c r="M1590" s="675">
        <v>5.25</v>
      </c>
      <c r="N1590" s="675">
        <v>5.25</v>
      </c>
      <c r="O1590" s="675">
        <v>5</v>
      </c>
      <c r="P1590" s="675">
        <v>4.75</v>
      </c>
      <c r="Q1590" s="676">
        <f>P1590</f>
        <v>4.75</v>
      </c>
      <c r="R1590" s="675">
        <v>4.5</v>
      </c>
      <c r="S1590" s="675">
        <v>4.25</v>
      </c>
      <c r="T1590" s="675">
        <v>4</v>
      </c>
      <c r="U1590" s="675">
        <v>4</v>
      </c>
      <c r="V1590" s="676">
        <f>U1590</f>
        <v>4</v>
      </c>
      <c r="W1590" s="677">
        <v>3.75</v>
      </c>
      <c r="X1590" s="677">
        <v>3.75</v>
      </c>
      <c r="Y1590" s="675">
        <v>3.5</v>
      </c>
      <c r="Z1590" s="675">
        <v>3.5</v>
      </c>
      <c r="AA1590" s="676">
        <f>Z1590</f>
        <v>3.5</v>
      </c>
      <c r="AB1590" s="675">
        <v>3.5</v>
      </c>
      <c r="AC1590" s="675">
        <v>3.5</v>
      </c>
      <c r="AD1590" s="675">
        <v>4</v>
      </c>
      <c r="AE1590" s="677">
        <v>4</v>
      </c>
      <c r="AF1590" s="676">
        <f>AE1590</f>
        <v>4</v>
      </c>
      <c r="AG1590" s="677">
        <v>4</v>
      </c>
      <c r="AH1590" s="677">
        <v>4</v>
      </c>
      <c r="AI1590" s="677">
        <v>4</v>
      </c>
      <c r="AJ1590" s="677">
        <v>4</v>
      </c>
      <c r="AK1590" s="676">
        <f>AJ1590</f>
        <v>4</v>
      </c>
      <c r="AL1590" s="678">
        <f>AJ1590</f>
        <v>4</v>
      </c>
      <c r="AM1590" s="678">
        <f>AK1590</f>
        <v>4</v>
      </c>
      <c r="AN1590" s="678">
        <f>AL1590</f>
        <v>4</v>
      </c>
      <c r="AO1590" s="678">
        <f>AM1590</f>
        <v>4</v>
      </c>
      <c r="AP1590" s="676">
        <f>AO1590</f>
        <v>4</v>
      </c>
      <c r="AQ1590" s="680">
        <f>AO1590</f>
        <v>4</v>
      </c>
      <c r="AR1590" s="680">
        <f>AP1590</f>
        <v>4</v>
      </c>
      <c r="AS1590" s="680">
        <f>AQ1590</f>
        <v>4</v>
      </c>
      <c r="AT1590" s="680">
        <f>AR1590</f>
        <v>4</v>
      </c>
      <c r="AU1590" s="1714">
        <f>AT1590</f>
        <v>4</v>
      </c>
      <c r="AV1590" s="1949">
        <f>AU1590</f>
        <v>4</v>
      </c>
      <c r="AW1590" s="1857">
        <f>AV1590</f>
        <v>4</v>
      </c>
      <c r="AX1590" s="1857">
        <f>AW1590</f>
        <v>4</v>
      </c>
      <c r="AY1590" s="680">
        <f>AW1590</f>
        <v>4</v>
      </c>
      <c r="AZ1590" s="1714">
        <f t="shared" ref="AZ1590:BE1590" si="3654">AY1590</f>
        <v>4</v>
      </c>
      <c r="BA1590" s="2802">
        <f t="shared" si="3654"/>
        <v>4</v>
      </c>
      <c r="BB1590" s="2522">
        <f t="shared" si="3654"/>
        <v>4</v>
      </c>
      <c r="BC1590" s="2522">
        <f t="shared" si="3654"/>
        <v>4</v>
      </c>
      <c r="BD1590" s="2523">
        <f t="shared" si="3654"/>
        <v>4</v>
      </c>
      <c r="BE1590" s="2524">
        <f t="shared" si="3654"/>
        <v>4</v>
      </c>
      <c r="BF1590" s="677">
        <v>2</v>
      </c>
      <c r="BG1590" s="2522">
        <f t="shared" ref="BG1590:BO1590" si="3655">BF1590</f>
        <v>2</v>
      </c>
      <c r="BH1590" s="2522">
        <f t="shared" si="3655"/>
        <v>2</v>
      </c>
      <c r="BI1590" s="2523">
        <f t="shared" si="3655"/>
        <v>2</v>
      </c>
      <c r="BJ1590" s="2524">
        <f t="shared" si="3655"/>
        <v>2</v>
      </c>
      <c r="BK1590" s="2522">
        <f t="shared" si="3655"/>
        <v>2</v>
      </c>
      <c r="BL1590" s="2522">
        <f>BK1590</f>
        <v>2</v>
      </c>
      <c r="BM1590" s="2522">
        <f t="shared" si="3655"/>
        <v>2</v>
      </c>
      <c r="BN1590" s="2523">
        <f t="shared" si="3655"/>
        <v>2</v>
      </c>
      <c r="BO1590" s="2524">
        <f t="shared" si="3655"/>
        <v>2</v>
      </c>
      <c r="BP1590" s="2522">
        <f t="shared" ref="BP1590:BX1590" si="3656">BO1590</f>
        <v>2</v>
      </c>
      <c r="BQ1590" s="2522">
        <f t="shared" si="3656"/>
        <v>2</v>
      </c>
      <c r="BR1590" s="2522">
        <f t="shared" si="3656"/>
        <v>2</v>
      </c>
      <c r="BS1590" s="2522">
        <f t="shared" si="3656"/>
        <v>2</v>
      </c>
      <c r="BT1590" s="3264">
        <f t="shared" si="3656"/>
        <v>2</v>
      </c>
      <c r="BU1590" s="2522">
        <f t="shared" si="3656"/>
        <v>2</v>
      </c>
      <c r="BV1590" s="2522">
        <f t="shared" si="3656"/>
        <v>2</v>
      </c>
      <c r="BW1590" s="2522">
        <f t="shared" si="3656"/>
        <v>2</v>
      </c>
      <c r="BX1590" s="2522">
        <f t="shared" si="3656"/>
        <v>2</v>
      </c>
      <c r="BY1590" s="3264">
        <f>BX1590</f>
        <v>2</v>
      </c>
      <c r="BZ1590" s="2524">
        <f t="shared" ref="BZ1590:CF1590" si="3657">BY1590</f>
        <v>2</v>
      </c>
      <c r="CA1590" s="2524">
        <f t="shared" si="3657"/>
        <v>2</v>
      </c>
      <c r="CB1590" s="2524">
        <f t="shared" si="3657"/>
        <v>2</v>
      </c>
      <c r="CC1590" s="2524">
        <f t="shared" si="3657"/>
        <v>2</v>
      </c>
      <c r="CD1590" s="2524">
        <f t="shared" si="3657"/>
        <v>2</v>
      </c>
      <c r="CE1590" s="2524">
        <f t="shared" si="3657"/>
        <v>2</v>
      </c>
      <c r="CF1590" s="2524">
        <f t="shared" si="3657"/>
        <v>2</v>
      </c>
      <c r="CG1590" s="331"/>
      <c r="CH1590" s="331"/>
      <c r="CI1590" s="331"/>
      <c r="CJ1590" s="331"/>
      <c r="CK1590" s="331"/>
      <c r="CL1590" s="520" t="str">
        <f t="shared" si="3653"/>
        <v>Leverage covenant</v>
      </c>
      <c r="CM1590" s="678">
        <f>G1590</f>
        <v>2.75</v>
      </c>
      <c r="CN1590" s="678">
        <f>L1590</f>
        <v>5.25</v>
      </c>
      <c r="CO1590" s="678">
        <f>Q1590</f>
        <v>4.75</v>
      </c>
      <c r="CP1590" s="678">
        <f>V1590</f>
        <v>4</v>
      </c>
      <c r="CQ1590" s="678">
        <f t="shared" ref="CQ1590:CQ1595" si="3658">AA1590</f>
        <v>3.5</v>
      </c>
      <c r="CR1590" s="678">
        <f t="shared" ref="CR1590:CR1595" si="3659">AF1590</f>
        <v>4</v>
      </c>
      <c r="CS1590" s="678">
        <f t="shared" ref="CS1590:CS1595" si="3660">AK1590</f>
        <v>4</v>
      </c>
      <c r="CT1590" s="678">
        <f t="shared" ref="CT1590:CT1595" si="3661">AP1590</f>
        <v>4</v>
      </c>
      <c r="CU1590" s="678">
        <f t="shared" ref="CU1590:CU1595" si="3662">AU1590</f>
        <v>4</v>
      </c>
      <c r="CV1590" s="678">
        <f t="shared" ref="CV1590:CV1595" si="3663">AZ1590</f>
        <v>4</v>
      </c>
      <c r="CW1590" s="678">
        <f t="shared" ref="CW1590:CW1595" si="3664">BE1590</f>
        <v>4</v>
      </c>
      <c r="CX1590" s="678">
        <f t="shared" ref="CX1590:CX1595" si="3665">BJ1590</f>
        <v>2</v>
      </c>
      <c r="CY1590" s="678">
        <f t="shared" ref="CY1590:CY1595" si="3666">BO1590</f>
        <v>2</v>
      </c>
      <c r="CZ1590" s="678">
        <f t="shared" ref="CZ1590:CZ1595" si="3667">BT1590</f>
        <v>2</v>
      </c>
      <c r="DA1590" s="678">
        <f t="shared" ref="DA1590:DC1595" si="3668">BY1590</f>
        <v>2</v>
      </c>
      <c r="DB1590" s="678">
        <f t="shared" si="3668"/>
        <v>2</v>
      </c>
      <c r="DC1590" s="2240">
        <f t="shared" si="3668"/>
        <v>2</v>
      </c>
      <c r="DD1590" s="331"/>
      <c r="DE1590" s="331"/>
      <c r="DF1590" s="502"/>
      <c r="DG1590" s="503"/>
      <c r="DH1590" s="3316"/>
      <c r="DI1590" s="3213"/>
      <c r="DJ1590" s="502"/>
      <c r="DK1590" s="503"/>
      <c r="DL1590" s="502"/>
      <c r="DM1590" s="502"/>
      <c r="DN1590" s="502"/>
      <c r="DO1590" s="502"/>
      <c r="DP1590" s="503"/>
      <c r="DQ1590" s="503"/>
      <c r="DR1590" s="296"/>
      <c r="DS1590" s="296"/>
      <c r="DT1590" s="296"/>
    </row>
    <row r="1591" spans="1:130" ht="12.75" customHeight="1" x14ac:dyDescent="0.25">
      <c r="A1591" s="428" t="s">
        <v>418</v>
      </c>
      <c r="B1591" s="281"/>
      <c r="C1591" s="678">
        <f t="shared" ref="C1591:AH1591" si="3669">C1563/C1572</f>
        <v>1.4989230617013343</v>
      </c>
      <c r="D1591" s="678">
        <f t="shared" si="3669"/>
        <v>1.4482544883005335</v>
      </c>
      <c r="E1591" s="678">
        <f t="shared" si="3669"/>
        <v>1.2059086259311018</v>
      </c>
      <c r="F1591" s="680">
        <f t="shared" si="3669"/>
        <v>0.99187034475048563</v>
      </c>
      <c r="G1591" s="676">
        <f t="shared" si="3669"/>
        <v>0.99187034475048563</v>
      </c>
      <c r="H1591" s="680">
        <f t="shared" si="3669"/>
        <v>0.6015678527581757</v>
      </c>
      <c r="I1591" s="680">
        <f t="shared" si="3669"/>
        <v>4.6099364075429056E-2</v>
      </c>
      <c r="J1591" s="680">
        <f t="shared" si="3669"/>
        <v>4.4227221058525515E-2</v>
      </c>
      <c r="K1591" s="680">
        <f t="shared" si="3669"/>
        <v>3.6614956608958784</v>
      </c>
      <c r="L1591" s="676">
        <f t="shared" si="3669"/>
        <v>3.6614956608958784</v>
      </c>
      <c r="M1591" s="680">
        <f t="shared" si="3669"/>
        <v>3.7585086248673849</v>
      </c>
      <c r="N1591" s="680">
        <f t="shared" si="3669"/>
        <v>3.8214742534948232</v>
      </c>
      <c r="O1591" s="680">
        <f t="shared" si="3669"/>
        <v>3.7139677266482529</v>
      </c>
      <c r="P1591" s="680">
        <f t="shared" si="3669"/>
        <v>3.7417569231991736</v>
      </c>
      <c r="Q1591" s="676">
        <f t="shared" si="3669"/>
        <v>3.7417569231991736</v>
      </c>
      <c r="R1591" s="680">
        <f t="shared" si="3669"/>
        <v>3.6670194539232948</v>
      </c>
      <c r="S1591" s="680">
        <f t="shared" si="3669"/>
        <v>3.8008212604254363</v>
      </c>
      <c r="T1591" s="680">
        <f t="shared" si="3669"/>
        <v>3.6861560130858613</v>
      </c>
      <c r="U1591" s="680">
        <f t="shared" si="3669"/>
        <v>3.7238166447905319</v>
      </c>
      <c r="V1591" s="676">
        <f t="shared" si="3669"/>
        <v>3.7238166447905319</v>
      </c>
      <c r="W1591" s="678">
        <f t="shared" si="3669"/>
        <v>3.7241393975746364</v>
      </c>
      <c r="X1591" s="678">
        <f t="shared" si="3669"/>
        <v>3.7205431738204107</v>
      </c>
      <c r="Y1591" s="680">
        <f t="shared" si="3669"/>
        <v>2.9627195786924121</v>
      </c>
      <c r="Z1591" s="680">
        <f t="shared" si="3669"/>
        <v>3.0738690198849867</v>
      </c>
      <c r="AA1591" s="676">
        <f t="shared" si="3669"/>
        <v>3.0738690198849867</v>
      </c>
      <c r="AB1591" s="680">
        <f t="shared" si="3669"/>
        <v>3.0384110287972756</v>
      </c>
      <c r="AC1591" s="680">
        <f t="shared" si="3669"/>
        <v>3.1419254188047265</v>
      </c>
      <c r="AD1591" s="680">
        <f t="shared" si="3669"/>
        <v>2.8237447212557436</v>
      </c>
      <c r="AE1591" s="678">
        <f t="shared" si="3669"/>
        <v>2.9778830322075169</v>
      </c>
      <c r="AF1591" s="676">
        <f t="shared" si="3669"/>
        <v>2.9778830322075169</v>
      </c>
      <c r="AG1591" s="678">
        <f t="shared" si="3669"/>
        <v>2.9728221222006574</v>
      </c>
      <c r="AH1591" s="678">
        <f t="shared" si="3669"/>
        <v>2.5875397753542386</v>
      </c>
      <c r="AI1591" s="678">
        <f t="shared" ref="AI1591:BN1591" si="3670">AI1563/AI1572</f>
        <v>2.5522649047480934</v>
      </c>
      <c r="AJ1591" s="678">
        <f t="shared" si="3670"/>
        <v>2.597454648072961</v>
      </c>
      <c r="AK1591" s="676">
        <f t="shared" si="3670"/>
        <v>2.597454648072961</v>
      </c>
      <c r="AL1591" s="678">
        <f t="shared" si="3670"/>
        <v>2.4243063387521886</v>
      </c>
      <c r="AM1591" s="678">
        <f t="shared" si="3670"/>
        <v>2.2249872021763615</v>
      </c>
      <c r="AN1591" s="678">
        <f t="shared" si="3670"/>
        <v>2.31098455698945</v>
      </c>
      <c r="AO1591" s="678">
        <f t="shared" si="3670"/>
        <v>2.3801320044223138</v>
      </c>
      <c r="AP1591" s="676">
        <f t="shared" si="3670"/>
        <v>2.3801320044223138</v>
      </c>
      <c r="AQ1591" s="680">
        <f t="shared" si="3670"/>
        <v>2.271024465340878</v>
      </c>
      <c r="AR1591" s="680">
        <f t="shared" si="3670"/>
        <v>2.3418317167357676</v>
      </c>
      <c r="AS1591" s="680">
        <f t="shared" si="3670"/>
        <v>2.4069611937803481</v>
      </c>
      <c r="AT1591" s="680">
        <f t="shared" si="3670"/>
        <v>3.0360694690018901</v>
      </c>
      <c r="AU1591" s="1715">
        <f t="shared" si="3670"/>
        <v>3.0360694690018901</v>
      </c>
      <c r="AV1591" s="1947">
        <f t="shared" si="3670"/>
        <v>2.8142789610947436</v>
      </c>
      <c r="AW1591" s="1858">
        <f t="shared" si="3670"/>
        <v>2.5795769532393473</v>
      </c>
      <c r="AX1591" s="1858">
        <f t="shared" si="3670"/>
        <v>2.5105040178506326</v>
      </c>
      <c r="AY1591" s="680">
        <f t="shared" si="3670"/>
        <v>2.7931141073747915E-3</v>
      </c>
      <c r="AZ1591" s="1715">
        <f t="shared" si="3670"/>
        <v>2.7931141073747915E-3</v>
      </c>
      <c r="BA1591" s="1947">
        <f t="shared" si="3670"/>
        <v>0.52987012531275557</v>
      </c>
      <c r="BB1591" s="1858">
        <f t="shared" si="3670"/>
        <v>0.69784127805206986</v>
      </c>
      <c r="BC1591" s="1858">
        <f t="shared" si="3670"/>
        <v>0.98070793817712076</v>
      </c>
      <c r="BD1591" s="1948">
        <f t="shared" si="3670"/>
        <v>0.45794524155940008</v>
      </c>
      <c r="BE1591" s="681">
        <f t="shared" si="3670"/>
        <v>0.45794524155940008</v>
      </c>
      <c r="BF1591" s="1858">
        <f t="shared" si="3670"/>
        <v>0.45552633533080111</v>
      </c>
      <c r="BG1591" s="1858">
        <f t="shared" si="3670"/>
        <v>0.45011948175653416</v>
      </c>
      <c r="BH1591" s="1858">
        <f t="shared" si="3670"/>
        <v>0.43159334062066557</v>
      </c>
      <c r="BI1591" s="1948">
        <f t="shared" si="3670"/>
        <v>0.41246385073918418</v>
      </c>
      <c r="BJ1591" s="681">
        <f t="shared" si="3670"/>
        <v>0.41246385073918412</v>
      </c>
      <c r="BK1591" s="1858">
        <f t="shared" si="3670"/>
        <v>0.39768929084505761</v>
      </c>
      <c r="BL1591" s="1858">
        <f t="shared" si="3670"/>
        <v>0.38394005060632663</v>
      </c>
      <c r="BM1591" s="1858">
        <f t="shared" si="3670"/>
        <v>0.35377775384518134</v>
      </c>
      <c r="BN1591" s="1948">
        <f t="shared" si="3670"/>
        <v>0.35760884636305784</v>
      </c>
      <c r="BO1591" s="681">
        <f t="shared" ref="BO1591:CF1591" si="3671">BO1563/BO1572</f>
        <v>0.35760884636305784</v>
      </c>
      <c r="BP1591" s="1858">
        <f t="shared" si="3671"/>
        <v>1.5492802473218914E-3</v>
      </c>
      <c r="BQ1591" s="1858">
        <f t="shared" si="3671"/>
        <v>1.0365419357273246E-3</v>
      </c>
      <c r="BR1591" s="1858">
        <f t="shared" si="3671"/>
        <v>1.5363309063420531E-3</v>
      </c>
      <c r="BS1591" s="1858">
        <f t="shared" si="3671"/>
        <v>1.0532587186416155E-3</v>
      </c>
      <c r="BT1591" s="3264">
        <f t="shared" ref="BT1591:BY1591" si="3672">BT1563/BT1572</f>
        <v>1.0532587186416155E-3</v>
      </c>
      <c r="BU1591" s="1858">
        <f t="shared" si="3672"/>
        <v>1.0435770511474536E-3</v>
      </c>
      <c r="BV1591" s="1858">
        <f t="shared" si="3672"/>
        <v>1.0214349504612079E-3</v>
      </c>
      <c r="BW1591" s="1858">
        <f t="shared" si="3672"/>
        <v>8.6686364279400406E-4</v>
      </c>
      <c r="BX1591" s="1858">
        <f t="shared" si="3672"/>
        <v>7.4657269444216114E-4</v>
      </c>
      <c r="BY1591" s="3264">
        <f t="shared" si="3672"/>
        <v>7.4657269444216114E-4</v>
      </c>
      <c r="BZ1591" s="681">
        <f t="shared" si="3671"/>
        <v>5.7815811448452955E-4</v>
      </c>
      <c r="CA1591" s="681">
        <f t="shared" si="3671"/>
        <v>5.8274334119029156E-4</v>
      </c>
      <c r="CB1591" s="681">
        <f t="shared" si="3671"/>
        <v>2.6885086702169189E-3</v>
      </c>
      <c r="CC1591" s="681">
        <f t="shared" si="3671"/>
        <v>3.3558710146069635E-3</v>
      </c>
      <c r="CD1591" s="681">
        <f t="shared" si="3671"/>
        <v>3.1650589393888021E-3</v>
      </c>
      <c r="CE1591" s="681">
        <f t="shared" si="3671"/>
        <v>2.9826057399682253E-3</v>
      </c>
      <c r="CF1591" s="681">
        <f t="shared" si="3671"/>
        <v>2.8308451641212455E-3</v>
      </c>
      <c r="CG1591" s="331"/>
      <c r="CH1591" s="331"/>
      <c r="CI1591" s="331"/>
      <c r="CJ1591" s="331"/>
      <c r="CK1591" s="331"/>
      <c r="CL1591" s="520" t="str">
        <f t="shared" si="3653"/>
        <v xml:space="preserve">Sr. Secured Debt / EBITDA </v>
      </c>
      <c r="CM1591" s="678">
        <f>G1591</f>
        <v>0.99187034475048563</v>
      </c>
      <c r="CN1591" s="678">
        <f>L1591</f>
        <v>3.6614956608958784</v>
      </c>
      <c r="CO1591" s="678">
        <f>Q1591</f>
        <v>3.7417569231991736</v>
      </c>
      <c r="CP1591" s="678">
        <f>V1591</f>
        <v>3.7238166447905319</v>
      </c>
      <c r="CQ1591" s="678">
        <f t="shared" si="3658"/>
        <v>3.0738690198849867</v>
      </c>
      <c r="CR1591" s="678">
        <f t="shared" si="3659"/>
        <v>2.9778830322075169</v>
      </c>
      <c r="CS1591" s="678">
        <f t="shared" si="3660"/>
        <v>2.597454648072961</v>
      </c>
      <c r="CT1591" s="678">
        <f t="shared" si="3661"/>
        <v>2.3801320044223138</v>
      </c>
      <c r="CU1591" s="678">
        <f t="shared" si="3662"/>
        <v>3.0360694690018901</v>
      </c>
      <c r="CV1591" s="678">
        <f t="shared" si="3663"/>
        <v>2.7931141073747915E-3</v>
      </c>
      <c r="CW1591" s="678">
        <f t="shared" si="3664"/>
        <v>0.45794524155940008</v>
      </c>
      <c r="CX1591" s="678">
        <f t="shared" si="3665"/>
        <v>0.41246385073918412</v>
      </c>
      <c r="CY1591" s="678">
        <f t="shared" si="3666"/>
        <v>0.35760884636305784</v>
      </c>
      <c r="CZ1591" s="678">
        <f t="shared" si="3667"/>
        <v>1.0532587186416155E-3</v>
      </c>
      <c r="DA1591" s="678">
        <f t="shared" si="3668"/>
        <v>7.4657269444216114E-4</v>
      </c>
      <c r="DB1591" s="678">
        <f t="shared" si="3668"/>
        <v>5.7815811448452955E-4</v>
      </c>
      <c r="DC1591" s="2240">
        <f t="shared" si="3668"/>
        <v>5.8274334119029156E-4</v>
      </c>
      <c r="DD1591" s="331"/>
      <c r="DE1591" s="331"/>
      <c r="DF1591" s="502"/>
      <c r="DG1591" s="503"/>
      <c r="DH1591" s="3316"/>
      <c r="DI1591" s="3213"/>
      <c r="DJ1591" s="502"/>
      <c r="DK1591" s="503"/>
      <c r="DL1591" s="502"/>
      <c r="DM1591" s="502"/>
      <c r="DN1591" s="502"/>
      <c r="DO1591" s="502"/>
      <c r="DP1591" s="503"/>
      <c r="DQ1591" s="503"/>
      <c r="DR1591" s="296"/>
      <c r="DS1591" s="296"/>
      <c r="DT1591" s="296"/>
    </row>
    <row r="1592" spans="1:130" ht="12.75" customHeight="1" x14ac:dyDescent="0.25">
      <c r="A1592" s="281" t="s">
        <v>1504</v>
      </c>
      <c r="B1592" s="281"/>
      <c r="C1592" s="476" t="str">
        <f>IF(C1591&gt;C1590, "N", "Y")</f>
        <v>Y</v>
      </c>
      <c r="D1592" s="476" t="str">
        <f t="shared" ref="D1592:AP1592" si="3673">IF(D1591&gt;D1590, "N", "Y")</f>
        <v>Y</v>
      </c>
      <c r="E1592" s="476" t="str">
        <f t="shared" si="3673"/>
        <v>Y</v>
      </c>
      <c r="F1592" s="452" t="str">
        <f t="shared" si="3673"/>
        <v>Y</v>
      </c>
      <c r="G1592" s="475" t="str">
        <f t="shared" si="3673"/>
        <v>Y</v>
      </c>
      <c r="H1592" s="452" t="str">
        <f t="shared" si="3673"/>
        <v>Y</v>
      </c>
      <c r="I1592" s="452" t="str">
        <f t="shared" si="3673"/>
        <v>Y</v>
      </c>
      <c r="J1592" s="452" t="str">
        <f t="shared" si="3673"/>
        <v>Y</v>
      </c>
      <c r="K1592" s="452" t="str">
        <f t="shared" si="3673"/>
        <v>Y</v>
      </c>
      <c r="L1592" s="475" t="str">
        <f t="shared" si="3673"/>
        <v>Y</v>
      </c>
      <c r="M1592" s="452" t="str">
        <f t="shared" si="3673"/>
        <v>Y</v>
      </c>
      <c r="N1592" s="452" t="str">
        <f t="shared" si="3673"/>
        <v>Y</v>
      </c>
      <c r="O1592" s="452" t="str">
        <f t="shared" si="3673"/>
        <v>Y</v>
      </c>
      <c r="P1592" s="452" t="str">
        <f t="shared" si="3673"/>
        <v>Y</v>
      </c>
      <c r="Q1592" s="475" t="str">
        <f t="shared" si="3673"/>
        <v>Y</v>
      </c>
      <c r="R1592" s="452" t="str">
        <f t="shared" si="3673"/>
        <v>Y</v>
      </c>
      <c r="S1592" s="452" t="str">
        <f t="shared" si="3673"/>
        <v>Y</v>
      </c>
      <c r="T1592" s="452" t="str">
        <f t="shared" si="3673"/>
        <v>Y</v>
      </c>
      <c r="U1592" s="452" t="str">
        <f t="shared" si="3673"/>
        <v>Y</v>
      </c>
      <c r="V1592" s="475" t="str">
        <f t="shared" si="3673"/>
        <v>Y</v>
      </c>
      <c r="W1592" s="476" t="str">
        <f>IF(W1591&gt;W1590, "N", "Y")</f>
        <v>Y</v>
      </c>
      <c r="X1592" s="476" t="str">
        <f>IF(X1591&gt;X1590, "N", "Y")</f>
        <v>Y</v>
      </c>
      <c r="Y1592" s="452" t="str">
        <f>IF(Y1591&gt;Y1590, "N", "Y")</f>
        <v>Y</v>
      </c>
      <c r="Z1592" s="452" t="str">
        <f t="shared" si="3673"/>
        <v>Y</v>
      </c>
      <c r="AA1592" s="475" t="str">
        <f t="shared" si="3673"/>
        <v>Y</v>
      </c>
      <c r="AB1592" s="452" t="str">
        <f t="shared" si="3673"/>
        <v>Y</v>
      </c>
      <c r="AC1592" s="452" t="str">
        <f t="shared" si="3673"/>
        <v>Y</v>
      </c>
      <c r="AD1592" s="452" t="str">
        <f t="shared" si="3673"/>
        <v>Y</v>
      </c>
      <c r="AE1592" s="476" t="str">
        <f t="shared" si="3673"/>
        <v>Y</v>
      </c>
      <c r="AF1592" s="475" t="str">
        <f t="shared" si="3673"/>
        <v>Y</v>
      </c>
      <c r="AG1592" s="476" t="str">
        <f t="shared" si="3673"/>
        <v>Y</v>
      </c>
      <c r="AH1592" s="476" t="str">
        <f t="shared" si="3673"/>
        <v>Y</v>
      </c>
      <c r="AI1592" s="476" t="str">
        <f t="shared" si="3673"/>
        <v>Y</v>
      </c>
      <c r="AJ1592" s="476" t="str">
        <f t="shared" si="3673"/>
        <v>Y</v>
      </c>
      <c r="AK1592" s="475" t="str">
        <f t="shared" si="3673"/>
        <v>Y</v>
      </c>
      <c r="AL1592" s="476" t="str">
        <f>IF(AL1591&gt;AL1590, "N", "Y")</f>
        <v>Y</v>
      </c>
      <c r="AM1592" s="476" t="str">
        <f>IF(AM1591&gt;AM1590, "N", "Y")</f>
        <v>Y</v>
      </c>
      <c r="AN1592" s="476" t="str">
        <f>IF(AN1591&gt;AN1590, "N", "Y")</f>
        <v>Y</v>
      </c>
      <c r="AO1592" s="476" t="str">
        <f>IF(AO1591&gt;AO1590, "N", "Y")</f>
        <v>Y</v>
      </c>
      <c r="AP1592" s="475" t="str">
        <f t="shared" si="3673"/>
        <v>Y</v>
      </c>
      <c r="AQ1592" s="452" t="str">
        <f t="shared" ref="AQ1592:BJ1592" si="3674">IF(AQ1591&gt;AQ1590, "N", "Y")</f>
        <v>Y</v>
      </c>
      <c r="AR1592" s="452" t="str">
        <f t="shared" si="3674"/>
        <v>Y</v>
      </c>
      <c r="AS1592" s="452" t="str">
        <f t="shared" si="3674"/>
        <v>Y</v>
      </c>
      <c r="AT1592" s="452" t="str">
        <f t="shared" si="3674"/>
        <v>Y</v>
      </c>
      <c r="AU1592" s="1464" t="str">
        <f t="shared" si="3674"/>
        <v>Y</v>
      </c>
      <c r="AV1592" s="1865" t="str">
        <f t="shared" si="3674"/>
        <v>Y</v>
      </c>
      <c r="AW1592" s="1771" t="str">
        <f t="shared" si="3674"/>
        <v>Y</v>
      </c>
      <c r="AX1592" s="1771" t="str">
        <f t="shared" si="3674"/>
        <v>Y</v>
      </c>
      <c r="AY1592" s="452" t="str">
        <f t="shared" si="3674"/>
        <v>Y</v>
      </c>
      <c r="AZ1592" s="1464" t="str">
        <f t="shared" si="3674"/>
        <v>Y</v>
      </c>
      <c r="BA1592" s="1865" t="str">
        <f t="shared" si="3674"/>
        <v>Y</v>
      </c>
      <c r="BB1592" s="1771" t="str">
        <f t="shared" si="3674"/>
        <v>Y</v>
      </c>
      <c r="BC1592" s="1771" t="str">
        <f t="shared" si="3674"/>
        <v>Y</v>
      </c>
      <c r="BD1592" s="1866" t="str">
        <f t="shared" si="3674"/>
        <v>Y</v>
      </c>
      <c r="BE1592" s="477" t="str">
        <f t="shared" si="3674"/>
        <v>Y</v>
      </c>
      <c r="BF1592" s="1771" t="str">
        <f t="shared" si="3674"/>
        <v>Y</v>
      </c>
      <c r="BG1592" s="1771" t="str">
        <f t="shared" si="3674"/>
        <v>Y</v>
      </c>
      <c r="BH1592" s="1771" t="str">
        <f t="shared" si="3674"/>
        <v>Y</v>
      </c>
      <c r="BI1592" s="1866" t="str">
        <f t="shared" si="3674"/>
        <v>Y</v>
      </c>
      <c r="BJ1592" s="477" t="str">
        <f t="shared" si="3674"/>
        <v>Y</v>
      </c>
      <c r="BK1592" s="1771" t="str">
        <f t="shared" ref="BK1592:BU1592" si="3675">IF(BK1591&gt;BK1590, "N", "Y")</f>
        <v>Y</v>
      </c>
      <c r="BL1592" s="1771" t="str">
        <f t="shared" si="3675"/>
        <v>Y</v>
      </c>
      <c r="BM1592" s="1771" t="str">
        <f t="shared" si="3675"/>
        <v>Y</v>
      </c>
      <c r="BN1592" s="1866" t="str">
        <f t="shared" si="3675"/>
        <v>Y</v>
      </c>
      <c r="BO1592" s="477" t="str">
        <f t="shared" si="3675"/>
        <v>Y</v>
      </c>
      <c r="BP1592" s="1771" t="str">
        <f t="shared" si="3675"/>
        <v>Y</v>
      </c>
      <c r="BQ1592" s="1771" t="str">
        <f t="shared" si="3675"/>
        <v>Y</v>
      </c>
      <c r="BR1592" s="1771" t="str">
        <f t="shared" si="3675"/>
        <v>Y</v>
      </c>
      <c r="BS1592" s="1771" t="str">
        <f t="shared" si="3675"/>
        <v>Y</v>
      </c>
      <c r="BT1592" s="2604" t="str">
        <f t="shared" si="3675"/>
        <v>Y</v>
      </c>
      <c r="BU1592" s="1771" t="str">
        <f t="shared" si="3675"/>
        <v>Y</v>
      </c>
      <c r="BV1592" s="1771" t="str">
        <f t="shared" ref="BV1592:CF1592" si="3676">IF(BV1591&gt;BV1590, "N", "Y")</f>
        <v>Y</v>
      </c>
      <c r="BW1592" s="1771" t="str">
        <f t="shared" si="3676"/>
        <v>Y</v>
      </c>
      <c r="BX1592" s="1771" t="str">
        <f t="shared" si="3676"/>
        <v>Y</v>
      </c>
      <c r="BY1592" s="2604" t="str">
        <f t="shared" si="3676"/>
        <v>Y</v>
      </c>
      <c r="BZ1592" s="477" t="str">
        <f t="shared" si="3676"/>
        <v>Y</v>
      </c>
      <c r="CA1592" s="477" t="str">
        <f t="shared" si="3676"/>
        <v>Y</v>
      </c>
      <c r="CB1592" s="477" t="str">
        <f t="shared" si="3676"/>
        <v>Y</v>
      </c>
      <c r="CC1592" s="477" t="str">
        <f t="shared" si="3676"/>
        <v>Y</v>
      </c>
      <c r="CD1592" s="477" t="str">
        <f t="shared" si="3676"/>
        <v>Y</v>
      </c>
      <c r="CE1592" s="477" t="str">
        <f t="shared" si="3676"/>
        <v>Y</v>
      </c>
      <c r="CF1592" s="477" t="str">
        <f t="shared" si="3676"/>
        <v>Y</v>
      </c>
      <c r="CG1592" s="331"/>
      <c r="CH1592" s="331"/>
      <c r="CI1592" s="331"/>
      <c r="CJ1592" s="331"/>
      <c r="CK1592" s="331"/>
      <c r="CL1592" s="520" t="str">
        <f t="shared" si="3653"/>
        <v>Compliance?</v>
      </c>
      <c r="CM1592" s="476" t="str">
        <f>G1592</f>
        <v>Y</v>
      </c>
      <c r="CN1592" s="476" t="str">
        <f>L1592</f>
        <v>Y</v>
      </c>
      <c r="CO1592" s="476" t="str">
        <f>Q1592</f>
        <v>Y</v>
      </c>
      <c r="CP1592" s="476" t="str">
        <f>V1592</f>
        <v>Y</v>
      </c>
      <c r="CQ1592" s="476" t="str">
        <f t="shared" si="3658"/>
        <v>Y</v>
      </c>
      <c r="CR1592" s="476" t="str">
        <f t="shared" si="3659"/>
        <v>Y</v>
      </c>
      <c r="CS1592" s="476" t="str">
        <f t="shared" si="3660"/>
        <v>Y</v>
      </c>
      <c r="CT1592" s="476" t="str">
        <f t="shared" si="3661"/>
        <v>Y</v>
      </c>
      <c r="CU1592" s="476" t="str">
        <f t="shared" si="3662"/>
        <v>Y</v>
      </c>
      <c r="CV1592" s="476" t="str">
        <f t="shared" si="3663"/>
        <v>Y</v>
      </c>
      <c r="CW1592" s="476" t="str">
        <f t="shared" si="3664"/>
        <v>Y</v>
      </c>
      <c r="CX1592" s="476" t="str">
        <f t="shared" si="3665"/>
        <v>Y</v>
      </c>
      <c r="CY1592" s="476" t="str">
        <f t="shared" si="3666"/>
        <v>Y</v>
      </c>
      <c r="CZ1592" s="476" t="str">
        <f t="shared" si="3667"/>
        <v>Y</v>
      </c>
      <c r="DA1592" s="476" t="str">
        <f t="shared" si="3668"/>
        <v>Y</v>
      </c>
      <c r="DB1592" s="476" t="str">
        <f t="shared" si="3668"/>
        <v>Y</v>
      </c>
      <c r="DC1592" s="682" t="str">
        <f t="shared" si="3668"/>
        <v>Y</v>
      </c>
      <c r="DD1592" s="331"/>
      <c r="DE1592" s="331"/>
      <c r="DF1592" s="502"/>
      <c r="DG1592" s="503"/>
      <c r="DH1592" s="2577"/>
      <c r="DI1592" s="3213"/>
      <c r="DJ1592" s="502"/>
      <c r="DK1592" s="503"/>
      <c r="DL1592" s="502"/>
      <c r="DM1592" s="502"/>
      <c r="DN1592" s="502"/>
      <c r="DO1592" s="502"/>
      <c r="DP1592" s="503"/>
      <c r="DQ1592" s="503"/>
      <c r="DR1592" s="296"/>
      <c r="DS1592" s="296"/>
      <c r="DT1592" s="296"/>
    </row>
    <row r="1593" spans="1:130" ht="12.75" customHeight="1" x14ac:dyDescent="0.25">
      <c r="A1593" s="281" t="s">
        <v>1149</v>
      </c>
      <c r="B1593" s="281"/>
      <c r="C1593" s="572"/>
      <c r="D1593" s="572"/>
      <c r="E1593" s="572"/>
      <c r="F1593" s="572"/>
      <c r="G1593" s="573"/>
      <c r="H1593" s="572"/>
      <c r="I1593" s="572"/>
      <c r="J1593" s="572"/>
      <c r="K1593" s="572"/>
      <c r="L1593" s="573"/>
      <c r="M1593" s="572"/>
      <c r="N1593" s="572"/>
      <c r="O1593" s="572"/>
      <c r="P1593" s="572"/>
      <c r="Q1593" s="573"/>
      <c r="R1593" s="572"/>
      <c r="S1593" s="572"/>
      <c r="T1593" s="572"/>
      <c r="U1593" s="572"/>
      <c r="V1593" s="573"/>
      <c r="W1593" s="452">
        <f t="shared" ref="W1593:BB1593" si="3677">W1563/W1590</f>
        <v>677.17466666666667</v>
      </c>
      <c r="X1593" s="452">
        <f t="shared" si="3677"/>
        <v>663.11786666666671</v>
      </c>
      <c r="Y1593" s="452">
        <f t="shared" si="3677"/>
        <v>549.39571428571423</v>
      </c>
      <c r="Z1593" s="452">
        <f t="shared" si="3677"/>
        <v>561.70828571428569</v>
      </c>
      <c r="AA1593" s="475">
        <f t="shared" si="3677"/>
        <v>561.70828571428569</v>
      </c>
      <c r="AB1593" s="452">
        <f t="shared" si="3677"/>
        <v>552.63314285714284</v>
      </c>
      <c r="AC1593" s="452">
        <f t="shared" si="3677"/>
        <v>551.24542857142853</v>
      </c>
      <c r="AD1593" s="452">
        <f t="shared" si="3677"/>
        <v>425.26724999999999</v>
      </c>
      <c r="AE1593" s="476">
        <f t="shared" si="3677"/>
        <v>439.94425000000001</v>
      </c>
      <c r="AF1593" s="475">
        <f t="shared" si="3677"/>
        <v>439.94425000000001</v>
      </c>
      <c r="AG1593" s="476">
        <f t="shared" si="3677"/>
        <v>431.95699999999999</v>
      </c>
      <c r="AH1593" s="476">
        <f t="shared" si="3677"/>
        <v>380.565</v>
      </c>
      <c r="AI1593" s="476">
        <f t="shared" si="3677"/>
        <v>380.58800000000002</v>
      </c>
      <c r="AJ1593" s="476">
        <f t="shared" si="3677"/>
        <v>398.08524999999997</v>
      </c>
      <c r="AK1593" s="475">
        <f t="shared" si="3677"/>
        <v>398.08524999999997</v>
      </c>
      <c r="AL1593" s="452">
        <f t="shared" si="3677"/>
        <v>389.0745</v>
      </c>
      <c r="AM1593" s="452">
        <f t="shared" si="3677"/>
        <v>380.31150000000002</v>
      </c>
      <c r="AN1593" s="452">
        <f t="shared" si="3677"/>
        <v>410.666</v>
      </c>
      <c r="AO1593" s="452">
        <f t="shared" si="3677"/>
        <v>429.49124999999998</v>
      </c>
      <c r="AP1593" s="475">
        <f t="shared" si="3677"/>
        <v>429.49124999999998</v>
      </c>
      <c r="AQ1593" s="452">
        <f t="shared" si="3677"/>
        <v>426.32749999999999</v>
      </c>
      <c r="AR1593" s="452">
        <f t="shared" si="3677"/>
        <v>444.66525000000001</v>
      </c>
      <c r="AS1593" s="452">
        <f t="shared" si="3677"/>
        <v>460.75375000000003</v>
      </c>
      <c r="AT1593" s="452">
        <f t="shared" si="3677"/>
        <v>599.26850000000002</v>
      </c>
      <c r="AU1593" s="1695">
        <f t="shared" si="3677"/>
        <v>599.26850000000002</v>
      </c>
      <c r="AV1593" s="1914">
        <f t="shared" si="3677"/>
        <v>570.03150000000005</v>
      </c>
      <c r="AW1593" s="1842">
        <f t="shared" si="3677"/>
        <v>535.34025000000008</v>
      </c>
      <c r="AX1593" s="1842">
        <f t="shared" si="3677"/>
        <v>516.42825000000005</v>
      </c>
      <c r="AY1593" s="452">
        <f t="shared" si="3677"/>
        <v>0.50375000000000003</v>
      </c>
      <c r="AZ1593" s="1695">
        <f t="shared" si="3677"/>
        <v>0.50375000000000003</v>
      </c>
      <c r="BA1593" s="1914">
        <f t="shared" si="3677"/>
        <v>75.497749999999996</v>
      </c>
      <c r="BB1593" s="1842">
        <f t="shared" si="3677"/>
        <v>75.547250000000005</v>
      </c>
      <c r="BC1593" s="1842">
        <f t="shared" ref="BC1593:CF1593" si="3678">BC1563/BC1590</f>
        <v>75.540499999999994</v>
      </c>
      <c r="BD1593" s="1908">
        <f t="shared" si="3678"/>
        <v>81.28425</v>
      </c>
      <c r="BE1593" s="475">
        <f t="shared" si="3678"/>
        <v>81.28425</v>
      </c>
      <c r="BF1593" s="1842">
        <f t="shared" si="3678"/>
        <v>162.56299999999999</v>
      </c>
      <c r="BG1593" s="1842">
        <f t="shared" si="3678"/>
        <v>162.5575</v>
      </c>
      <c r="BH1593" s="1842">
        <f t="shared" si="3678"/>
        <v>164.4485</v>
      </c>
      <c r="BI1593" s="1908">
        <f t="shared" si="3678"/>
        <v>164.233</v>
      </c>
      <c r="BJ1593" s="475">
        <f t="shared" si="3678"/>
        <v>164.233</v>
      </c>
      <c r="BK1593" s="1842">
        <f t="shared" si="3678"/>
        <v>164.018</v>
      </c>
      <c r="BL1593" s="1842">
        <f t="shared" si="3678"/>
        <v>163.79900000000001</v>
      </c>
      <c r="BM1593" s="1842">
        <f t="shared" si="3678"/>
        <v>151.10749999999999</v>
      </c>
      <c r="BN1593" s="1908">
        <f t="shared" si="3678"/>
        <v>150.88</v>
      </c>
      <c r="BO1593" s="475">
        <f t="shared" si="3678"/>
        <v>150.88</v>
      </c>
      <c r="BP1593" s="1842">
        <f t="shared" ref="BP1593:BX1593" si="3679">BP1563/BP1590</f>
        <v>0.66049999999999998</v>
      </c>
      <c r="BQ1593" s="1842">
        <f t="shared" si="3679"/>
        <v>0.4395</v>
      </c>
      <c r="BR1593" s="1842">
        <f t="shared" si="3679"/>
        <v>0.65949999999999998</v>
      </c>
      <c r="BS1593" s="1842">
        <f t="shared" si="3679"/>
        <v>0.44550000000000001</v>
      </c>
      <c r="BT1593" s="3239">
        <f t="shared" si="3679"/>
        <v>0.44550000000000001</v>
      </c>
      <c r="BU1593" s="1842">
        <f t="shared" si="3679"/>
        <v>0.44550000000000001</v>
      </c>
      <c r="BV1593" s="1842">
        <f t="shared" si="3679"/>
        <v>0.44550000000000001</v>
      </c>
      <c r="BW1593" s="1842">
        <f t="shared" si="3679"/>
        <v>0.44550000000000001</v>
      </c>
      <c r="BX1593" s="1842">
        <f t="shared" si="3679"/>
        <v>0.44550000000000001</v>
      </c>
      <c r="BY1593" s="3239">
        <f>BY1563/BY1590</f>
        <v>0.44550000000000001</v>
      </c>
      <c r="BZ1593" s="475">
        <f t="shared" si="3678"/>
        <v>0.44550000000000001</v>
      </c>
      <c r="CA1593" s="475">
        <f t="shared" si="3678"/>
        <v>0.44550000000000001</v>
      </c>
      <c r="CB1593" s="475">
        <f t="shared" si="3678"/>
        <v>0.44550000000000001</v>
      </c>
      <c r="CC1593" s="475">
        <f t="shared" si="3678"/>
        <v>0.44550000000000001</v>
      </c>
      <c r="CD1593" s="475">
        <f t="shared" si="3678"/>
        <v>0.44550000000000001</v>
      </c>
      <c r="CE1593" s="475">
        <f t="shared" si="3678"/>
        <v>0.44550000000000001</v>
      </c>
      <c r="CF1593" s="475">
        <f t="shared" si="3678"/>
        <v>0.44550000000000001</v>
      </c>
      <c r="CG1593" s="331"/>
      <c r="CH1593" s="331"/>
      <c r="CI1593" s="331"/>
      <c r="CJ1593" s="331"/>
      <c r="CK1593" s="331"/>
      <c r="CL1593" s="520" t="str">
        <f t="shared" si="3653"/>
        <v>Minimum EBITDA</v>
      </c>
      <c r="CM1593" s="476"/>
      <c r="CN1593" s="476"/>
      <c r="CO1593" s="476"/>
      <c r="CP1593" s="476"/>
      <c r="CQ1593" s="476">
        <f t="shared" si="3658"/>
        <v>561.70828571428569</v>
      </c>
      <c r="CR1593" s="476">
        <f t="shared" si="3659"/>
        <v>439.94425000000001</v>
      </c>
      <c r="CS1593" s="476">
        <f t="shared" si="3660"/>
        <v>398.08524999999997</v>
      </c>
      <c r="CT1593" s="476">
        <f t="shared" si="3661"/>
        <v>429.49124999999998</v>
      </c>
      <c r="CU1593" s="476">
        <f t="shared" si="3662"/>
        <v>599.26850000000002</v>
      </c>
      <c r="CV1593" s="476">
        <f t="shared" si="3663"/>
        <v>0.50375000000000003</v>
      </c>
      <c r="CW1593" s="476">
        <f t="shared" si="3664"/>
        <v>81.28425</v>
      </c>
      <c r="CX1593" s="476">
        <f t="shared" si="3665"/>
        <v>164.233</v>
      </c>
      <c r="CY1593" s="476">
        <f t="shared" si="3666"/>
        <v>150.88</v>
      </c>
      <c r="CZ1593" s="476">
        <f t="shared" si="3667"/>
        <v>0.44550000000000001</v>
      </c>
      <c r="DA1593" s="476">
        <f t="shared" si="3668"/>
        <v>0.44550000000000001</v>
      </c>
      <c r="DB1593" s="476">
        <f t="shared" si="3668"/>
        <v>0.44550000000000001</v>
      </c>
      <c r="DC1593" s="682">
        <f t="shared" si="3668"/>
        <v>0.44550000000000001</v>
      </c>
      <c r="DD1593" s="331"/>
      <c r="DE1593" s="331"/>
      <c r="DF1593" s="502"/>
      <c r="DG1593" s="503"/>
      <c r="DH1593" s="2577"/>
      <c r="DI1593" s="3213"/>
      <c r="DJ1593" s="502"/>
      <c r="DK1593" s="503"/>
      <c r="DL1593" s="502"/>
      <c r="DM1593" s="502"/>
      <c r="DN1593" s="502"/>
      <c r="DO1593" s="502"/>
      <c r="DP1593" s="503"/>
      <c r="DQ1593" s="503"/>
      <c r="DR1593" s="296"/>
      <c r="DS1593" s="296"/>
      <c r="DT1593" s="296"/>
    </row>
    <row r="1594" spans="1:130" ht="12.75" customHeight="1" x14ac:dyDescent="0.25">
      <c r="A1594" s="428" t="s">
        <v>1295</v>
      </c>
      <c r="B1594" s="281"/>
      <c r="C1594" s="572"/>
      <c r="D1594" s="572"/>
      <c r="E1594" s="572"/>
      <c r="F1594" s="572"/>
      <c r="G1594" s="573"/>
      <c r="H1594" s="572"/>
      <c r="I1594" s="572"/>
      <c r="J1594" s="572"/>
      <c r="K1594" s="572"/>
      <c r="L1594" s="573"/>
      <c r="M1594" s="572"/>
      <c r="N1594" s="572"/>
      <c r="O1594" s="572"/>
      <c r="P1594" s="572"/>
      <c r="Q1594" s="573"/>
      <c r="R1594" s="572"/>
      <c r="S1594" s="572"/>
      <c r="T1594" s="572"/>
      <c r="U1594" s="572"/>
      <c r="V1594" s="573"/>
      <c r="W1594" s="452">
        <f t="shared" ref="W1594:BB1594" si="3680">W1572-W1593</f>
        <v>4.7023333333332857</v>
      </c>
      <c r="X1594" s="452">
        <f t="shared" si="3680"/>
        <v>5.2501333333332241</v>
      </c>
      <c r="Y1594" s="452">
        <f t="shared" si="3680"/>
        <v>99.631285714285696</v>
      </c>
      <c r="Z1594" s="452">
        <f t="shared" si="3680"/>
        <v>77.869714285714281</v>
      </c>
      <c r="AA1594" s="475">
        <f t="shared" si="3680"/>
        <v>77.869714285714281</v>
      </c>
      <c r="AB1594" s="452">
        <f t="shared" si="3680"/>
        <v>83.954857142857122</v>
      </c>
      <c r="AC1594" s="452">
        <f t="shared" si="3680"/>
        <v>62.82357142857154</v>
      </c>
      <c r="AD1594" s="452">
        <f t="shared" si="3680"/>
        <v>177.14874999999995</v>
      </c>
      <c r="AE1594" s="476">
        <f t="shared" si="3680"/>
        <v>151.00475000000006</v>
      </c>
      <c r="AF1594" s="475">
        <f t="shared" si="3680"/>
        <v>151.00475000000006</v>
      </c>
      <c r="AG1594" s="476">
        <f t="shared" si="3680"/>
        <v>149.25100000000009</v>
      </c>
      <c r="AH1594" s="476">
        <f t="shared" si="3680"/>
        <v>207.73899999999998</v>
      </c>
      <c r="AI1594" s="476">
        <f t="shared" si="3680"/>
        <v>215.88299999999998</v>
      </c>
      <c r="AJ1594" s="476">
        <f t="shared" si="3680"/>
        <v>214.95375000000001</v>
      </c>
      <c r="AK1594" s="475">
        <f t="shared" si="3680"/>
        <v>214.95375000000001</v>
      </c>
      <c r="AL1594" s="452">
        <f t="shared" si="3680"/>
        <v>252.88150000000002</v>
      </c>
      <c r="AM1594" s="452">
        <f t="shared" si="3680"/>
        <v>303.39850000000001</v>
      </c>
      <c r="AN1594" s="452">
        <f t="shared" si="3680"/>
        <v>300.14100000000002</v>
      </c>
      <c r="AO1594" s="452">
        <f t="shared" si="3680"/>
        <v>292.30275000000012</v>
      </c>
      <c r="AP1594" s="584">
        <f t="shared" si="3680"/>
        <v>292.30275000000012</v>
      </c>
      <c r="AQ1594" s="584">
        <f t="shared" si="3680"/>
        <v>324.57150000000001</v>
      </c>
      <c r="AR1594" s="452">
        <f t="shared" si="3680"/>
        <v>314.85175000000004</v>
      </c>
      <c r="AS1594" s="452">
        <f t="shared" si="3680"/>
        <v>304.94824999999997</v>
      </c>
      <c r="AT1594" s="452">
        <f t="shared" si="3680"/>
        <v>190.26349999999991</v>
      </c>
      <c r="AU1594" s="1695">
        <f t="shared" si="3680"/>
        <v>190.26349999999991</v>
      </c>
      <c r="AV1594" s="1914">
        <f t="shared" si="3680"/>
        <v>240.1674999999999</v>
      </c>
      <c r="AW1594" s="1842">
        <f t="shared" si="3680"/>
        <v>294.7807499999999</v>
      </c>
      <c r="AX1594" s="1842">
        <f t="shared" si="3680"/>
        <v>306.39974999999993</v>
      </c>
      <c r="AY1594" s="452">
        <f t="shared" si="3680"/>
        <v>720.91325000000006</v>
      </c>
      <c r="AZ1594" s="1695">
        <f t="shared" si="3680"/>
        <v>720.91325000000006</v>
      </c>
      <c r="BA1594" s="1914">
        <f t="shared" si="3680"/>
        <v>494.43624999999997</v>
      </c>
      <c r="BB1594" s="1842">
        <f t="shared" si="3680"/>
        <v>357.48674999999997</v>
      </c>
      <c r="BC1594" s="1842">
        <f t="shared" ref="BC1594:CF1594" si="3681">BC1572-BC1593</f>
        <v>232.56549999999999</v>
      </c>
      <c r="BD1594" s="1908">
        <f t="shared" si="3681"/>
        <v>628.70674999999994</v>
      </c>
      <c r="BE1594" s="475">
        <f t="shared" si="3681"/>
        <v>628.70674999999994</v>
      </c>
      <c r="BF1594" s="1842">
        <f t="shared" si="3681"/>
        <v>551.17399999999998</v>
      </c>
      <c r="BG1594" s="1842">
        <f t="shared" si="3681"/>
        <v>559.72849999999994</v>
      </c>
      <c r="BH1594" s="1842">
        <f t="shared" si="3681"/>
        <v>597.60449999999992</v>
      </c>
      <c r="BI1594" s="1908">
        <f t="shared" si="3681"/>
        <v>632.11799999999994</v>
      </c>
      <c r="BJ1594" s="475">
        <f t="shared" si="3681"/>
        <v>632.11799999999994</v>
      </c>
      <c r="BK1594" s="1842">
        <f t="shared" si="3681"/>
        <v>660.83699999999999</v>
      </c>
      <c r="BL1594" s="1842">
        <f t="shared" si="3681"/>
        <v>689.45399999999995</v>
      </c>
      <c r="BM1594" s="1842">
        <f t="shared" si="3681"/>
        <v>703.14350000000002</v>
      </c>
      <c r="BN1594" s="1908">
        <f t="shared" si="3681"/>
        <v>692.947</v>
      </c>
      <c r="BO1594" s="475">
        <f t="shared" si="3681"/>
        <v>692.947</v>
      </c>
      <c r="BP1594" s="1842">
        <f t="shared" ref="BP1594:BY1594" si="3682">BP1572-BP1593</f>
        <v>851.99350000000004</v>
      </c>
      <c r="BQ1594" s="1842">
        <f t="shared" si="3682"/>
        <v>847.5725000000001</v>
      </c>
      <c r="BR1594" s="1842">
        <f t="shared" si="3682"/>
        <v>857.87950000000001</v>
      </c>
      <c r="BS1594" s="1842">
        <f t="shared" si="3682"/>
        <v>845.50049999999999</v>
      </c>
      <c r="BT1594" s="3239">
        <f t="shared" si="3682"/>
        <v>845.50049999999999</v>
      </c>
      <c r="BU1594" s="1842">
        <f t="shared" si="3682"/>
        <v>853.34866787702515</v>
      </c>
      <c r="BV1594" s="1842">
        <f t="shared" si="3682"/>
        <v>871.85674459980282</v>
      </c>
      <c r="BW1594" s="1842">
        <f t="shared" si="3682"/>
        <v>1027.39781469734</v>
      </c>
      <c r="BX1594" s="1842">
        <f t="shared" si="3682"/>
        <v>1193.0082743384185</v>
      </c>
      <c r="BY1594" s="3239">
        <f t="shared" si="3682"/>
        <v>1193.0082743384185</v>
      </c>
      <c r="BZ1594" s="475">
        <f t="shared" si="3681"/>
        <v>1540.6554163027868</v>
      </c>
      <c r="CA1594" s="475">
        <f t="shared" si="3681"/>
        <v>1528.529499834531</v>
      </c>
      <c r="CB1594" s="475">
        <f t="shared" si="3681"/>
        <v>330.96499901397971</v>
      </c>
      <c r="CC1594" s="475">
        <f t="shared" si="3681"/>
        <v>265.05934095538254</v>
      </c>
      <c r="CD1594" s="475">
        <f t="shared" si="3681"/>
        <v>281.06584530596109</v>
      </c>
      <c r="CE1594" s="475">
        <f t="shared" si="3681"/>
        <v>298.28657446100209</v>
      </c>
      <c r="CF1594" s="475">
        <f t="shared" si="3681"/>
        <v>314.30149192055086</v>
      </c>
      <c r="CG1594" s="331"/>
      <c r="CH1594" s="331"/>
      <c r="CI1594" s="331"/>
      <c r="CJ1594" s="331"/>
      <c r="CK1594" s="331"/>
      <c r="CL1594" s="520" t="str">
        <f t="shared" si="3653"/>
        <v>Implied Cushion - EBITDA</v>
      </c>
      <c r="CM1594" s="476"/>
      <c r="CN1594" s="476"/>
      <c r="CO1594" s="476"/>
      <c r="CP1594" s="476"/>
      <c r="CQ1594" s="476">
        <f t="shared" si="3658"/>
        <v>77.869714285714281</v>
      </c>
      <c r="CR1594" s="476">
        <f t="shared" si="3659"/>
        <v>151.00475000000006</v>
      </c>
      <c r="CS1594" s="476">
        <f t="shared" si="3660"/>
        <v>214.95375000000001</v>
      </c>
      <c r="CT1594" s="476">
        <f t="shared" si="3661"/>
        <v>292.30275000000012</v>
      </c>
      <c r="CU1594" s="476">
        <f t="shared" si="3662"/>
        <v>190.26349999999991</v>
      </c>
      <c r="CV1594" s="476">
        <f t="shared" si="3663"/>
        <v>720.91325000000006</v>
      </c>
      <c r="CW1594" s="476">
        <f t="shared" si="3664"/>
        <v>628.70674999999994</v>
      </c>
      <c r="CX1594" s="476">
        <f t="shared" si="3665"/>
        <v>632.11799999999994</v>
      </c>
      <c r="CY1594" s="476">
        <f t="shared" si="3666"/>
        <v>692.947</v>
      </c>
      <c r="CZ1594" s="476">
        <f t="shared" si="3667"/>
        <v>845.50049999999999</v>
      </c>
      <c r="DA1594" s="476">
        <f t="shared" si="3668"/>
        <v>1193.0082743384185</v>
      </c>
      <c r="DB1594" s="476">
        <f t="shared" si="3668"/>
        <v>1540.6554163027868</v>
      </c>
      <c r="DC1594" s="682">
        <f t="shared" si="3668"/>
        <v>1528.529499834531</v>
      </c>
      <c r="DD1594" s="331"/>
      <c r="DE1594" s="331"/>
      <c r="DF1594" s="502"/>
      <c r="DG1594" s="503"/>
      <c r="DH1594" s="2577"/>
      <c r="DI1594" s="3213"/>
      <c r="DJ1594" s="502"/>
      <c r="DK1594" s="503"/>
      <c r="DL1594" s="502"/>
      <c r="DM1594" s="502"/>
      <c r="DN1594" s="502"/>
      <c r="DO1594" s="502"/>
      <c r="DP1594" s="503"/>
      <c r="DQ1594" s="503"/>
      <c r="DR1594" s="296"/>
      <c r="DS1594" s="296"/>
      <c r="DT1594" s="296"/>
    </row>
    <row r="1595" spans="1:130" ht="12.75" customHeight="1" x14ac:dyDescent="0.25">
      <c r="A1595" s="428" t="s">
        <v>1294</v>
      </c>
      <c r="B1595" s="281"/>
      <c r="C1595" s="572"/>
      <c r="D1595" s="572"/>
      <c r="E1595" s="572"/>
      <c r="F1595" s="572"/>
      <c r="G1595" s="573"/>
      <c r="H1595" s="572"/>
      <c r="I1595" s="572"/>
      <c r="J1595" s="572"/>
      <c r="K1595" s="572"/>
      <c r="L1595" s="573"/>
      <c r="M1595" s="572"/>
      <c r="N1595" s="572"/>
      <c r="O1595" s="572"/>
      <c r="P1595" s="572"/>
      <c r="Q1595" s="573"/>
      <c r="R1595" s="572"/>
      <c r="S1595" s="572"/>
      <c r="T1595" s="572"/>
      <c r="U1595" s="572"/>
      <c r="V1595" s="573"/>
      <c r="W1595" s="452">
        <f>W1594*W1590</f>
        <v>17.633749999999822</v>
      </c>
      <c r="X1595" s="452">
        <f t="shared" ref="X1595:AP1595" si="3683">X1594*X1590</f>
        <v>19.68799999999959</v>
      </c>
      <c r="Y1595" s="452">
        <f>Y1594*Y1590</f>
        <v>348.70949999999993</v>
      </c>
      <c r="Z1595" s="452">
        <f t="shared" si="3683"/>
        <v>272.54399999999998</v>
      </c>
      <c r="AA1595" s="475">
        <f t="shared" si="3683"/>
        <v>272.54399999999998</v>
      </c>
      <c r="AB1595" s="452">
        <f t="shared" si="3683"/>
        <v>293.84199999999993</v>
      </c>
      <c r="AC1595" s="452">
        <f t="shared" si="3683"/>
        <v>219.88250000000039</v>
      </c>
      <c r="AD1595" s="452">
        <f t="shared" si="3683"/>
        <v>708.5949999999998</v>
      </c>
      <c r="AE1595" s="476">
        <f t="shared" si="3683"/>
        <v>604.01900000000023</v>
      </c>
      <c r="AF1595" s="475">
        <f t="shared" si="3683"/>
        <v>604.01900000000023</v>
      </c>
      <c r="AG1595" s="476">
        <f t="shared" si="3683"/>
        <v>597.00400000000036</v>
      </c>
      <c r="AH1595" s="476">
        <f t="shared" si="3683"/>
        <v>830.9559999999999</v>
      </c>
      <c r="AI1595" s="476">
        <f t="shared" si="3683"/>
        <v>863.53199999999993</v>
      </c>
      <c r="AJ1595" s="476">
        <f t="shared" si="3683"/>
        <v>859.81500000000005</v>
      </c>
      <c r="AK1595" s="475">
        <f t="shared" si="3683"/>
        <v>859.81500000000005</v>
      </c>
      <c r="AL1595" s="452">
        <f>AL1594*AL1590</f>
        <v>1011.5260000000001</v>
      </c>
      <c r="AM1595" s="452">
        <f>AM1594*AM1590</f>
        <v>1213.5940000000001</v>
      </c>
      <c r="AN1595" s="452">
        <f>AN1594*AN1590</f>
        <v>1200.5640000000001</v>
      </c>
      <c r="AO1595" s="452">
        <f>AO1594*AO1590</f>
        <v>1169.2110000000005</v>
      </c>
      <c r="AP1595" s="584">
        <f t="shared" si="3683"/>
        <v>1169.2110000000005</v>
      </c>
      <c r="AQ1595" s="584">
        <f t="shared" ref="AQ1595:BJ1595" si="3684">AQ1594*AQ1590</f>
        <v>1298.2860000000001</v>
      </c>
      <c r="AR1595" s="452">
        <f t="shared" si="3684"/>
        <v>1259.4070000000002</v>
      </c>
      <c r="AS1595" s="452">
        <f t="shared" si="3684"/>
        <v>1219.7929999999999</v>
      </c>
      <c r="AT1595" s="452">
        <f t="shared" si="3684"/>
        <v>761.05399999999963</v>
      </c>
      <c r="AU1595" s="1695">
        <f t="shared" si="3684"/>
        <v>761.05399999999963</v>
      </c>
      <c r="AV1595" s="1914">
        <f t="shared" si="3684"/>
        <v>960.66999999999962</v>
      </c>
      <c r="AW1595" s="1842">
        <f t="shared" si="3684"/>
        <v>1179.1229999999996</v>
      </c>
      <c r="AX1595" s="1842">
        <f t="shared" si="3684"/>
        <v>1225.5989999999997</v>
      </c>
      <c r="AY1595" s="452">
        <f t="shared" si="3684"/>
        <v>2883.6530000000002</v>
      </c>
      <c r="AZ1595" s="1695">
        <f t="shared" si="3684"/>
        <v>2883.6530000000002</v>
      </c>
      <c r="BA1595" s="1914">
        <f t="shared" si="3684"/>
        <v>1977.7449999999999</v>
      </c>
      <c r="BB1595" s="1842">
        <f t="shared" si="3684"/>
        <v>1429.9469999999999</v>
      </c>
      <c r="BC1595" s="1842">
        <f t="shared" si="3684"/>
        <v>930.26199999999994</v>
      </c>
      <c r="BD1595" s="1908">
        <f t="shared" si="3684"/>
        <v>2514.8269999999998</v>
      </c>
      <c r="BE1595" s="475">
        <f t="shared" si="3684"/>
        <v>2514.8269999999998</v>
      </c>
      <c r="BF1595" s="1842">
        <f t="shared" si="3684"/>
        <v>1102.348</v>
      </c>
      <c r="BG1595" s="1842">
        <f t="shared" si="3684"/>
        <v>1119.4569999999999</v>
      </c>
      <c r="BH1595" s="1842">
        <f t="shared" si="3684"/>
        <v>1195.2089999999998</v>
      </c>
      <c r="BI1595" s="1908">
        <f t="shared" si="3684"/>
        <v>1264.2359999999999</v>
      </c>
      <c r="BJ1595" s="475">
        <f t="shared" si="3684"/>
        <v>1264.2359999999999</v>
      </c>
      <c r="BK1595" s="1842">
        <f t="shared" ref="BK1595:BU1595" si="3685">BK1594*BK1590</f>
        <v>1321.674</v>
      </c>
      <c r="BL1595" s="1842">
        <f t="shared" si="3685"/>
        <v>1378.9079999999999</v>
      </c>
      <c r="BM1595" s="1842">
        <f t="shared" si="3685"/>
        <v>1406.287</v>
      </c>
      <c r="BN1595" s="1908">
        <f t="shared" si="3685"/>
        <v>1385.894</v>
      </c>
      <c r="BO1595" s="475">
        <f t="shared" si="3685"/>
        <v>1385.894</v>
      </c>
      <c r="BP1595" s="1842">
        <f t="shared" si="3685"/>
        <v>1703.9870000000001</v>
      </c>
      <c r="BQ1595" s="1842">
        <f t="shared" si="3685"/>
        <v>1695.1450000000002</v>
      </c>
      <c r="BR1595" s="1842">
        <f t="shared" si="3685"/>
        <v>1715.759</v>
      </c>
      <c r="BS1595" s="1842">
        <f t="shared" si="3685"/>
        <v>1691.001</v>
      </c>
      <c r="BT1595" s="3239">
        <f t="shared" si="3685"/>
        <v>1691.001</v>
      </c>
      <c r="BU1595" s="1842">
        <f t="shared" si="3685"/>
        <v>1706.6973357540503</v>
      </c>
      <c r="BV1595" s="1842">
        <f t="shared" ref="BV1595:CF1595" si="3686">BV1594*BV1590</f>
        <v>1743.7134891996056</v>
      </c>
      <c r="BW1595" s="1842">
        <f t="shared" si="3686"/>
        <v>2054.79562939468</v>
      </c>
      <c r="BX1595" s="1842">
        <f t="shared" si="3686"/>
        <v>2386.0165486768369</v>
      </c>
      <c r="BY1595" s="3239">
        <f t="shared" si="3686"/>
        <v>2386.0165486768369</v>
      </c>
      <c r="BZ1595" s="475">
        <f t="shared" si="3686"/>
        <v>3081.3108326055735</v>
      </c>
      <c r="CA1595" s="475">
        <f t="shared" si="3686"/>
        <v>3057.0589996690619</v>
      </c>
      <c r="CB1595" s="475">
        <f t="shared" si="3686"/>
        <v>661.92999802795941</v>
      </c>
      <c r="CC1595" s="475">
        <f t="shared" si="3686"/>
        <v>530.11868191076508</v>
      </c>
      <c r="CD1595" s="475">
        <f t="shared" si="3686"/>
        <v>562.13169061192218</v>
      </c>
      <c r="CE1595" s="475">
        <f t="shared" si="3686"/>
        <v>596.57314892200418</v>
      </c>
      <c r="CF1595" s="475">
        <f t="shared" si="3686"/>
        <v>628.60298384110172</v>
      </c>
      <c r="CG1595" s="331"/>
      <c r="CH1595" s="331"/>
      <c r="CI1595" s="331"/>
      <c r="CJ1595" s="331"/>
      <c r="CK1595" s="331"/>
      <c r="CL1595" s="520" t="str">
        <f t="shared" si="3653"/>
        <v>Implied Cushion - Debt</v>
      </c>
      <c r="CM1595" s="476"/>
      <c r="CN1595" s="476"/>
      <c r="CO1595" s="476"/>
      <c r="CP1595" s="476"/>
      <c r="CQ1595" s="476">
        <f t="shared" si="3658"/>
        <v>272.54399999999998</v>
      </c>
      <c r="CR1595" s="476">
        <f t="shared" si="3659"/>
        <v>604.01900000000023</v>
      </c>
      <c r="CS1595" s="476">
        <f t="shared" si="3660"/>
        <v>859.81500000000005</v>
      </c>
      <c r="CT1595" s="476">
        <f t="shared" si="3661"/>
        <v>1169.2110000000005</v>
      </c>
      <c r="CU1595" s="476">
        <f t="shared" si="3662"/>
        <v>761.05399999999963</v>
      </c>
      <c r="CV1595" s="476">
        <f t="shared" si="3663"/>
        <v>2883.6530000000002</v>
      </c>
      <c r="CW1595" s="476">
        <f t="shared" si="3664"/>
        <v>2514.8269999999998</v>
      </c>
      <c r="CX1595" s="476">
        <f t="shared" si="3665"/>
        <v>1264.2359999999999</v>
      </c>
      <c r="CY1595" s="476">
        <f t="shared" si="3666"/>
        <v>1385.894</v>
      </c>
      <c r="CZ1595" s="476">
        <f t="shared" si="3667"/>
        <v>1691.001</v>
      </c>
      <c r="DA1595" s="476">
        <f t="shared" si="3668"/>
        <v>2386.0165486768369</v>
      </c>
      <c r="DB1595" s="476">
        <f t="shared" si="3668"/>
        <v>3081.3108326055735</v>
      </c>
      <c r="DC1595" s="682">
        <f t="shared" si="3668"/>
        <v>3057.0589996690619</v>
      </c>
      <c r="DD1595" s="331"/>
      <c r="DE1595" s="331"/>
      <c r="DF1595" s="502"/>
      <c r="DG1595" s="503"/>
      <c r="DH1595" s="2577"/>
      <c r="DI1595" s="3213"/>
      <c r="DJ1595" s="502"/>
      <c r="DK1595" s="503"/>
      <c r="DL1595" s="502"/>
      <c r="DM1595" s="502"/>
      <c r="DN1595" s="502"/>
      <c r="DO1595" s="502"/>
      <c r="DP1595" s="503"/>
      <c r="DQ1595" s="503"/>
      <c r="DR1595" s="296"/>
      <c r="DS1595" s="296"/>
      <c r="DT1595" s="296"/>
    </row>
    <row r="1596" spans="1:130" ht="12.75" customHeight="1" x14ac:dyDescent="0.25">
      <c r="A1596" s="428"/>
      <c r="B1596" s="281"/>
      <c r="C1596" s="572"/>
      <c r="D1596" s="572"/>
      <c r="E1596" s="572"/>
      <c r="F1596" s="572"/>
      <c r="G1596" s="573"/>
      <c r="H1596" s="572"/>
      <c r="I1596" s="572"/>
      <c r="J1596" s="572"/>
      <c r="K1596" s="572"/>
      <c r="L1596" s="573"/>
      <c r="M1596" s="572"/>
      <c r="N1596" s="572"/>
      <c r="O1596" s="572"/>
      <c r="P1596" s="572"/>
      <c r="Q1596" s="573"/>
      <c r="R1596" s="572"/>
      <c r="S1596" s="572"/>
      <c r="T1596" s="572"/>
      <c r="U1596" s="572"/>
      <c r="V1596" s="573"/>
      <c r="W1596" s="452"/>
      <c r="X1596" s="452"/>
      <c r="Y1596" s="452"/>
      <c r="Z1596" s="452"/>
      <c r="AA1596" s="475"/>
      <c r="AB1596" s="452"/>
      <c r="AC1596" s="452"/>
      <c r="AD1596" s="452"/>
      <c r="AE1596" s="476"/>
      <c r="AF1596" s="475"/>
      <c r="AG1596" s="476"/>
      <c r="AH1596" s="476"/>
      <c r="AI1596" s="476"/>
      <c r="AJ1596" s="476"/>
      <c r="AK1596" s="475"/>
      <c r="AL1596" s="452"/>
      <c r="AM1596" s="452"/>
      <c r="AN1596" s="452"/>
      <c r="AO1596" s="452"/>
      <c r="AP1596" s="584"/>
      <c r="AQ1596" s="584"/>
      <c r="AR1596" s="452"/>
      <c r="AS1596" s="452"/>
      <c r="AT1596" s="452"/>
      <c r="AU1596" s="1695"/>
      <c r="AV1596" s="1914"/>
      <c r="AW1596" s="1842"/>
      <c r="AX1596" s="1842"/>
      <c r="AY1596" s="452"/>
      <c r="AZ1596" s="1695"/>
      <c r="BA1596" s="1914"/>
      <c r="BB1596" s="1842"/>
      <c r="BC1596" s="1842"/>
      <c r="BD1596" s="1908"/>
      <c r="BE1596" s="475"/>
      <c r="BF1596" s="1842"/>
      <c r="BG1596" s="1842"/>
      <c r="BH1596" s="1842"/>
      <c r="BI1596" s="1908"/>
      <c r="BJ1596" s="475"/>
      <c r="BK1596" s="1842"/>
      <c r="BL1596" s="1842"/>
      <c r="BM1596" s="1842"/>
      <c r="BN1596" s="1908"/>
      <c r="BO1596" s="475"/>
      <c r="BP1596" s="1842"/>
      <c r="BQ1596" s="1842"/>
      <c r="BR1596" s="1842"/>
      <c r="BS1596" s="1842"/>
      <c r="BT1596" s="3239"/>
      <c r="BU1596" s="3413"/>
      <c r="BV1596" s="2785"/>
      <c r="BW1596" s="1842"/>
      <c r="BX1596" s="2785"/>
      <c r="BY1596" s="3239"/>
      <c r="BZ1596" s="475"/>
      <c r="CA1596" s="475"/>
      <c r="CB1596" s="475"/>
      <c r="CC1596" s="475"/>
      <c r="CD1596" s="475"/>
      <c r="CE1596" s="475"/>
      <c r="CF1596" s="475"/>
      <c r="CG1596" s="331"/>
      <c r="CH1596" s="331"/>
      <c r="CI1596" s="331"/>
      <c r="CJ1596" s="331"/>
      <c r="CK1596" s="331"/>
      <c r="CL1596" s="520"/>
      <c r="CM1596" s="476"/>
      <c r="CN1596" s="476"/>
      <c r="CO1596" s="476"/>
      <c r="CP1596" s="476"/>
      <c r="CQ1596" s="476"/>
      <c r="CR1596" s="476"/>
      <c r="CS1596" s="476"/>
      <c r="CT1596" s="476"/>
      <c r="CU1596" s="476"/>
      <c r="CV1596" s="476"/>
      <c r="CW1596" s="476"/>
      <c r="CX1596" s="476"/>
      <c r="CY1596" s="476"/>
      <c r="CZ1596" s="476"/>
      <c r="DA1596" s="476"/>
      <c r="DB1596" s="476"/>
      <c r="DC1596" s="682"/>
      <c r="DD1596" s="331"/>
      <c r="DE1596" s="331"/>
      <c r="DF1596" s="502"/>
      <c r="DG1596" s="503"/>
      <c r="DH1596" s="2577"/>
      <c r="DI1596" s="3213"/>
      <c r="DJ1596" s="502"/>
      <c r="DK1596" s="503"/>
      <c r="DL1596" s="502"/>
      <c r="DM1596" s="502"/>
      <c r="DN1596" s="502"/>
      <c r="DO1596" s="502"/>
      <c r="DP1596" s="503"/>
      <c r="DQ1596" s="503"/>
      <c r="DR1596" s="296"/>
      <c r="DS1596" s="296"/>
      <c r="DT1596" s="296"/>
    </row>
    <row r="1597" spans="1:130" ht="12.75" customHeight="1" x14ac:dyDescent="0.25">
      <c r="A1597" s="659" t="s">
        <v>1951</v>
      </c>
      <c r="B1597" s="281"/>
      <c r="C1597" s="572"/>
      <c r="D1597" s="572"/>
      <c r="E1597" s="572"/>
      <c r="F1597" s="572"/>
      <c r="G1597" s="573"/>
      <c r="H1597" s="572"/>
      <c r="I1597" s="572"/>
      <c r="J1597" s="572"/>
      <c r="K1597" s="572"/>
      <c r="L1597" s="573"/>
      <c r="M1597" s="572"/>
      <c r="N1597" s="572"/>
      <c r="O1597" s="572"/>
      <c r="P1597" s="572"/>
      <c r="Q1597" s="573"/>
      <c r="R1597" s="572"/>
      <c r="S1597" s="572"/>
      <c r="T1597" s="572"/>
      <c r="U1597" s="572"/>
      <c r="V1597" s="573"/>
      <c r="W1597" s="452"/>
      <c r="X1597" s="452"/>
      <c r="Y1597" s="452"/>
      <c r="Z1597" s="452"/>
      <c r="AA1597" s="475"/>
      <c r="AB1597" s="452"/>
      <c r="AC1597" s="452"/>
      <c r="AD1597" s="452"/>
      <c r="AE1597" s="476"/>
      <c r="AF1597" s="475"/>
      <c r="AG1597" s="476"/>
      <c r="AH1597" s="476"/>
      <c r="AI1597" s="476"/>
      <c r="AJ1597" s="476"/>
      <c r="AK1597" s="475"/>
      <c r="AL1597" s="452"/>
      <c r="AM1597" s="452"/>
      <c r="AN1597" s="452"/>
      <c r="AO1597" s="452"/>
      <c r="AP1597" s="584"/>
      <c r="AQ1597" s="584"/>
      <c r="AR1597" s="452"/>
      <c r="AS1597" s="452"/>
      <c r="AT1597" s="452"/>
      <c r="AU1597" s="1695"/>
      <c r="AV1597" s="1914"/>
      <c r="AW1597" s="1842"/>
      <c r="AX1597" s="1842"/>
      <c r="AY1597" s="452"/>
      <c r="AZ1597" s="1695"/>
      <c r="BA1597" s="1914"/>
      <c r="BB1597" s="1842"/>
      <c r="BC1597" s="1842"/>
      <c r="BD1597" s="1908"/>
      <c r="BE1597" s="475"/>
      <c r="BF1597" s="1842"/>
      <c r="BG1597" s="1842"/>
      <c r="BH1597" s="1842"/>
      <c r="BI1597" s="1908"/>
      <c r="BJ1597" s="475"/>
      <c r="BK1597" s="1842"/>
      <c r="BL1597" s="1842"/>
      <c r="BM1597" s="1842"/>
      <c r="BN1597" s="1908"/>
      <c r="BO1597" s="475"/>
      <c r="BP1597" s="1842"/>
      <c r="BQ1597" s="1842"/>
      <c r="BR1597" s="1842"/>
      <c r="BS1597" s="1842"/>
      <c r="BT1597" s="3239"/>
      <c r="BU1597" s="3413"/>
      <c r="BV1597" s="2785"/>
      <c r="BW1597" s="1842"/>
      <c r="BX1597" s="2785"/>
      <c r="BY1597" s="3239"/>
      <c r="BZ1597" s="475"/>
      <c r="CA1597" s="475"/>
      <c r="CB1597" s="475"/>
      <c r="CC1597" s="475"/>
      <c r="CD1597" s="475"/>
      <c r="CE1597" s="475"/>
      <c r="CF1597" s="475"/>
      <c r="CG1597" s="331"/>
      <c r="CH1597" s="331"/>
      <c r="CI1597" s="331"/>
      <c r="CJ1597" s="331"/>
      <c r="CK1597" s="331"/>
      <c r="CL1597" s="520"/>
      <c r="CM1597" s="476"/>
      <c r="CN1597" s="476"/>
      <c r="CO1597" s="476"/>
      <c r="CP1597" s="476"/>
      <c r="CQ1597" s="476"/>
      <c r="CR1597" s="476"/>
      <c r="CS1597" s="476"/>
      <c r="CT1597" s="476"/>
      <c r="CU1597" s="476"/>
      <c r="CV1597" s="476"/>
      <c r="CW1597" s="476"/>
      <c r="CX1597" s="476"/>
      <c r="CY1597" s="476"/>
      <c r="CZ1597" s="476"/>
      <c r="DA1597" s="476"/>
      <c r="DB1597" s="476"/>
      <c r="DC1597" s="682"/>
      <c r="DD1597" s="331"/>
      <c r="DE1597" s="331"/>
      <c r="DF1597" s="502"/>
      <c r="DG1597" s="503"/>
      <c r="DH1597" s="2577"/>
      <c r="DI1597" s="3213"/>
      <c r="DJ1597" s="502"/>
      <c r="DK1597" s="503"/>
      <c r="DL1597" s="502"/>
      <c r="DM1597" s="502"/>
      <c r="DN1597" s="502"/>
      <c r="DO1597" s="502"/>
      <c r="DP1597" s="503"/>
      <c r="DQ1597" s="503"/>
      <c r="DR1597" s="296"/>
      <c r="DS1597" s="296"/>
      <c r="DT1597" s="296"/>
    </row>
    <row r="1598" spans="1:130" ht="12.75" customHeight="1" x14ac:dyDescent="0.25">
      <c r="A1598" s="428" t="s">
        <v>1953</v>
      </c>
      <c r="B1598" s="281"/>
      <c r="C1598" s="572"/>
      <c r="D1598" s="572"/>
      <c r="E1598" s="572"/>
      <c r="F1598" s="572"/>
      <c r="G1598" s="573"/>
      <c r="H1598" s="572"/>
      <c r="I1598" s="572"/>
      <c r="J1598" s="572"/>
      <c r="K1598" s="572"/>
      <c r="L1598" s="573"/>
      <c r="M1598" s="572"/>
      <c r="N1598" s="572"/>
      <c r="O1598" s="572"/>
      <c r="P1598" s="572"/>
      <c r="Q1598" s="573"/>
      <c r="R1598" s="572"/>
      <c r="S1598" s="572"/>
      <c r="T1598" s="572"/>
      <c r="U1598" s="572"/>
      <c r="V1598" s="573"/>
      <c r="W1598" s="452"/>
      <c r="X1598" s="452"/>
      <c r="Y1598" s="452"/>
      <c r="Z1598" s="452"/>
      <c r="AA1598" s="475"/>
      <c r="AB1598" s="452"/>
      <c r="AC1598" s="452"/>
      <c r="AD1598" s="452"/>
      <c r="AE1598" s="476"/>
      <c r="AF1598" s="475"/>
      <c r="AG1598" s="476"/>
      <c r="AH1598" s="476"/>
      <c r="AI1598" s="476"/>
      <c r="AJ1598" s="476"/>
      <c r="AK1598" s="475"/>
      <c r="AL1598" s="452"/>
      <c r="AM1598" s="452"/>
      <c r="AN1598" s="452"/>
      <c r="AO1598" s="452"/>
      <c r="AP1598" s="584"/>
      <c r="AQ1598" s="584"/>
      <c r="AR1598" s="452"/>
      <c r="AS1598" s="452"/>
      <c r="AT1598" s="452"/>
      <c r="AU1598" s="1695"/>
      <c r="AV1598" s="1914"/>
      <c r="AW1598" s="1842"/>
      <c r="AX1598" s="1842"/>
      <c r="AY1598" s="452"/>
      <c r="AZ1598" s="1695"/>
      <c r="BA1598" s="2802">
        <f t="shared" ref="BA1598:CA1598" si="3687">AZ1598</f>
        <v>0</v>
      </c>
      <c r="BB1598" s="2522">
        <f t="shared" si="3687"/>
        <v>0</v>
      </c>
      <c r="BC1598" s="2522">
        <f t="shared" si="3687"/>
        <v>0</v>
      </c>
      <c r="BD1598" s="2523">
        <f t="shared" si="3687"/>
        <v>0</v>
      </c>
      <c r="BE1598" s="2524">
        <f t="shared" si="3687"/>
        <v>0</v>
      </c>
      <c r="BF1598" s="2522">
        <f t="shared" si="3687"/>
        <v>0</v>
      </c>
      <c r="BG1598" s="2522">
        <f t="shared" si="3687"/>
        <v>0</v>
      </c>
      <c r="BH1598" s="2522">
        <f t="shared" si="3687"/>
        <v>0</v>
      </c>
      <c r="BI1598" s="2523">
        <f t="shared" si="3687"/>
        <v>0</v>
      </c>
      <c r="BJ1598" s="2524">
        <f t="shared" si="3687"/>
        <v>0</v>
      </c>
      <c r="BK1598" s="2522">
        <f t="shared" si="3687"/>
        <v>0</v>
      </c>
      <c r="BL1598" s="2522">
        <f>BK1598</f>
        <v>0</v>
      </c>
      <c r="BM1598" s="2522">
        <f t="shared" si="3687"/>
        <v>0</v>
      </c>
      <c r="BN1598" s="2523">
        <f t="shared" si="3687"/>
        <v>0</v>
      </c>
      <c r="BO1598" s="2524">
        <f t="shared" si="3687"/>
        <v>0</v>
      </c>
      <c r="BP1598" s="2522">
        <f>BO1598</f>
        <v>0</v>
      </c>
      <c r="BQ1598" s="2522">
        <f>BP1598</f>
        <v>0</v>
      </c>
      <c r="BR1598" s="2522">
        <f>BQ1598</f>
        <v>0</v>
      </c>
      <c r="BS1598" s="2522">
        <f>BR1598</f>
        <v>0</v>
      </c>
      <c r="BT1598" s="3264">
        <f t="shared" si="3687"/>
        <v>0</v>
      </c>
      <c r="BU1598" s="2522">
        <f>BT1598</f>
        <v>0</v>
      </c>
      <c r="BV1598" s="2522">
        <f>BU1598</f>
        <v>0</v>
      </c>
      <c r="BW1598" s="2522">
        <f>BV1598</f>
        <v>0</v>
      </c>
      <c r="BX1598" s="2522">
        <f>BW1598</f>
        <v>0</v>
      </c>
      <c r="BY1598" s="3264">
        <f>BX1598</f>
        <v>0</v>
      </c>
      <c r="BZ1598" s="2524">
        <f t="shared" si="3687"/>
        <v>0</v>
      </c>
      <c r="CA1598" s="2524">
        <f t="shared" si="3687"/>
        <v>0</v>
      </c>
      <c r="CB1598" s="2524">
        <f>CA1598</f>
        <v>0</v>
      </c>
      <c r="CC1598" s="2524">
        <f>CB1598</f>
        <v>0</v>
      </c>
      <c r="CD1598" s="2524">
        <f>CC1598</f>
        <v>0</v>
      </c>
      <c r="CE1598" s="2524">
        <f>CD1598</f>
        <v>0</v>
      </c>
      <c r="CF1598" s="2524">
        <f>CE1598</f>
        <v>0</v>
      </c>
      <c r="CG1598" s="331"/>
      <c r="CH1598" s="331"/>
      <c r="CI1598" s="331"/>
      <c r="CJ1598" s="331"/>
      <c r="CK1598" s="331"/>
      <c r="CL1598" s="520"/>
      <c r="CM1598" s="476"/>
      <c r="CN1598" s="476"/>
      <c r="CO1598" s="476"/>
      <c r="CP1598" s="476"/>
      <c r="CQ1598" s="476"/>
      <c r="CR1598" s="476"/>
      <c r="CS1598" s="476"/>
      <c r="CT1598" s="476"/>
      <c r="CU1598" s="476"/>
      <c r="CV1598" s="476"/>
      <c r="CW1598" s="476"/>
      <c r="CX1598" s="476"/>
      <c r="CY1598" s="476"/>
      <c r="CZ1598" s="476"/>
      <c r="DA1598" s="476"/>
      <c r="DB1598" s="476"/>
      <c r="DC1598" s="682"/>
      <c r="DD1598" s="331"/>
      <c r="DE1598" s="331"/>
      <c r="DF1598" s="502"/>
      <c r="DG1598" s="503"/>
      <c r="DH1598" s="3316"/>
      <c r="DI1598" s="3213"/>
      <c r="DJ1598" s="502"/>
      <c r="DK1598" s="503"/>
      <c r="DL1598" s="502"/>
      <c r="DM1598" s="502"/>
      <c r="DN1598" s="502"/>
      <c r="DO1598" s="502"/>
      <c r="DP1598" s="503"/>
      <c r="DQ1598" s="503"/>
      <c r="DR1598" s="296"/>
      <c r="DS1598" s="296"/>
      <c r="DT1598" s="296"/>
    </row>
    <row r="1599" spans="1:130" ht="12.75" customHeight="1" x14ac:dyDescent="0.25">
      <c r="A1599" s="428" t="s">
        <v>1952</v>
      </c>
      <c r="B1599" s="281"/>
      <c r="C1599" s="572"/>
      <c r="D1599" s="572"/>
      <c r="E1599" s="572"/>
      <c r="F1599" s="572"/>
      <c r="G1599" s="573"/>
      <c r="H1599" s="572"/>
      <c r="I1599" s="572"/>
      <c r="J1599" s="572"/>
      <c r="K1599" s="572"/>
      <c r="L1599" s="573"/>
      <c r="M1599" s="572"/>
      <c r="N1599" s="572"/>
      <c r="O1599" s="572"/>
      <c r="P1599" s="572"/>
      <c r="Q1599" s="573"/>
      <c r="R1599" s="572"/>
      <c r="S1599" s="572"/>
      <c r="T1599" s="572"/>
      <c r="U1599" s="572"/>
      <c r="V1599" s="573"/>
      <c r="W1599" s="452"/>
      <c r="X1599" s="452"/>
      <c r="Y1599" s="452"/>
      <c r="Z1599" s="452"/>
      <c r="AA1599" s="475"/>
      <c r="AB1599" s="452"/>
      <c r="AC1599" s="452"/>
      <c r="AD1599" s="452"/>
      <c r="AE1599" s="476"/>
      <c r="AF1599" s="475"/>
      <c r="AG1599" s="476"/>
      <c r="AH1599" s="476"/>
      <c r="AI1599" s="476"/>
      <c r="AJ1599" s="476"/>
      <c r="AK1599" s="475"/>
      <c r="AL1599" s="452"/>
      <c r="AM1599" s="452"/>
      <c r="AN1599" s="452"/>
      <c r="AO1599" s="452"/>
      <c r="AP1599" s="584"/>
      <c r="AQ1599" s="584"/>
      <c r="AR1599" s="452"/>
      <c r="AS1599" s="452"/>
      <c r="AT1599" s="452"/>
      <c r="AU1599" s="1695"/>
      <c r="AV1599" s="1914"/>
      <c r="AW1599" s="1842"/>
      <c r="AX1599" s="1842"/>
      <c r="AY1599" s="452"/>
      <c r="AZ1599" s="1695"/>
      <c r="BA1599" s="1842">
        <f t="shared" ref="BA1599:CF1599" si="3688">+BA1572</f>
        <v>569.93399999999997</v>
      </c>
      <c r="BB1599" s="1842">
        <f t="shared" si="3688"/>
        <v>433.03399999999999</v>
      </c>
      <c r="BC1599" s="1842">
        <f t="shared" si="3688"/>
        <v>308.10599999999999</v>
      </c>
      <c r="BD1599" s="1908">
        <f t="shared" si="3688"/>
        <v>709.99099999999999</v>
      </c>
      <c r="BE1599" s="475">
        <f t="shared" si="3688"/>
        <v>709.99099999999999</v>
      </c>
      <c r="BF1599" s="1842">
        <f t="shared" si="3688"/>
        <v>713.73699999999997</v>
      </c>
      <c r="BG1599" s="1842">
        <f t="shared" si="3688"/>
        <v>722.28599999999994</v>
      </c>
      <c r="BH1599" s="1842">
        <f t="shared" si="3688"/>
        <v>762.05299999999988</v>
      </c>
      <c r="BI1599" s="1908">
        <f t="shared" si="3688"/>
        <v>796.35099999999989</v>
      </c>
      <c r="BJ1599" s="475">
        <f t="shared" si="3688"/>
        <v>796.351</v>
      </c>
      <c r="BK1599" s="1842">
        <f t="shared" si="3688"/>
        <v>824.85500000000002</v>
      </c>
      <c r="BL1599" s="1842">
        <f t="shared" si="3688"/>
        <v>853.25299999999993</v>
      </c>
      <c r="BM1599" s="1842">
        <f t="shared" si="3688"/>
        <v>854.25099999999998</v>
      </c>
      <c r="BN1599" s="1908">
        <f t="shared" si="3688"/>
        <v>843.827</v>
      </c>
      <c r="BO1599" s="475">
        <f t="shared" si="3688"/>
        <v>843.827</v>
      </c>
      <c r="BP1599" s="1842">
        <f t="shared" ref="BP1599:BX1599" si="3689">+BP1572</f>
        <v>852.654</v>
      </c>
      <c r="BQ1599" s="1842">
        <f t="shared" si="3689"/>
        <v>848.01200000000006</v>
      </c>
      <c r="BR1599" s="1842">
        <f t="shared" si="3689"/>
        <v>858.53899999999999</v>
      </c>
      <c r="BS1599" s="1842">
        <f t="shared" si="3689"/>
        <v>845.94600000000003</v>
      </c>
      <c r="BT1599" s="3239">
        <f t="shared" si="3689"/>
        <v>845.94600000000003</v>
      </c>
      <c r="BU1599" s="1842">
        <f t="shared" si="3689"/>
        <v>853.79416787702519</v>
      </c>
      <c r="BV1599" s="1842">
        <f t="shared" si="3689"/>
        <v>872.30224459980286</v>
      </c>
      <c r="BW1599" s="1842">
        <f t="shared" si="3689"/>
        <v>1027.84331469734</v>
      </c>
      <c r="BX1599" s="1842">
        <f t="shared" si="3689"/>
        <v>1193.4537743384185</v>
      </c>
      <c r="BY1599" s="3239">
        <f>+BY1572</f>
        <v>1193.4537743384185</v>
      </c>
      <c r="BZ1599" s="475">
        <f t="shared" si="3688"/>
        <v>1541.1009163027868</v>
      </c>
      <c r="CA1599" s="475">
        <f t="shared" si="3688"/>
        <v>1528.974999834531</v>
      </c>
      <c r="CB1599" s="475">
        <f t="shared" si="3688"/>
        <v>331.41049901397969</v>
      </c>
      <c r="CC1599" s="475">
        <f t="shared" si="3688"/>
        <v>265.50484095538252</v>
      </c>
      <c r="CD1599" s="475">
        <f t="shared" si="3688"/>
        <v>281.51134530596107</v>
      </c>
      <c r="CE1599" s="475">
        <f t="shared" si="3688"/>
        <v>298.73207446100207</v>
      </c>
      <c r="CF1599" s="475">
        <f t="shared" si="3688"/>
        <v>314.74699192055084</v>
      </c>
      <c r="CG1599" s="331"/>
      <c r="CH1599" s="331"/>
      <c r="CI1599" s="331"/>
      <c r="CJ1599" s="331"/>
      <c r="CK1599" s="331"/>
      <c r="CL1599" s="520"/>
      <c r="CM1599" s="476"/>
      <c r="CN1599" s="476"/>
      <c r="CO1599" s="476"/>
      <c r="CP1599" s="476"/>
      <c r="CQ1599" s="476"/>
      <c r="CR1599" s="476"/>
      <c r="CS1599" s="476"/>
      <c r="CT1599" s="476"/>
      <c r="CU1599" s="476"/>
      <c r="CV1599" s="476"/>
      <c r="CW1599" s="476"/>
      <c r="CX1599" s="476"/>
      <c r="CY1599" s="476"/>
      <c r="CZ1599" s="476"/>
      <c r="DA1599" s="476"/>
      <c r="DB1599" s="476"/>
      <c r="DC1599" s="682"/>
      <c r="DD1599" s="331"/>
      <c r="DE1599" s="331"/>
      <c r="DF1599" s="502"/>
      <c r="DG1599" s="503"/>
      <c r="DH1599" s="2577"/>
      <c r="DI1599" s="3213"/>
      <c r="DJ1599" s="502"/>
      <c r="DK1599" s="503"/>
      <c r="DL1599" s="502"/>
      <c r="DM1599" s="502"/>
      <c r="DN1599" s="502"/>
      <c r="DO1599" s="502"/>
      <c r="DP1599" s="503"/>
      <c r="DQ1599" s="503"/>
      <c r="DR1599" s="296"/>
      <c r="DS1599" s="296"/>
      <c r="DT1599" s="296"/>
    </row>
    <row r="1600" spans="1:130" ht="12.75" customHeight="1" x14ac:dyDescent="0.25">
      <c r="A1600" s="428" t="s">
        <v>118</v>
      </c>
      <c r="B1600" s="281"/>
      <c r="C1600" s="572"/>
      <c r="D1600" s="572"/>
      <c r="E1600" s="572"/>
      <c r="F1600" s="572"/>
      <c r="G1600" s="573"/>
      <c r="H1600" s="572"/>
      <c r="I1600" s="572"/>
      <c r="J1600" s="572"/>
      <c r="K1600" s="572"/>
      <c r="L1600" s="573"/>
      <c r="M1600" s="572"/>
      <c r="N1600" s="572"/>
      <c r="O1600" s="572"/>
      <c r="P1600" s="572"/>
      <c r="Q1600" s="573"/>
      <c r="R1600" s="572"/>
      <c r="S1600" s="572"/>
      <c r="T1600" s="572"/>
      <c r="U1600" s="572"/>
      <c r="V1600" s="573"/>
      <c r="W1600" s="452"/>
      <c r="X1600" s="452"/>
      <c r="Y1600" s="452"/>
      <c r="Z1600" s="452"/>
      <c r="AA1600" s="475"/>
      <c r="AB1600" s="452"/>
      <c r="AC1600" s="452"/>
      <c r="AD1600" s="452"/>
      <c r="AE1600" s="476"/>
      <c r="AF1600" s="475"/>
      <c r="AG1600" s="476"/>
      <c r="AH1600" s="476"/>
      <c r="AI1600" s="476"/>
      <c r="AJ1600" s="476"/>
      <c r="AK1600" s="475"/>
      <c r="AL1600" s="452"/>
      <c r="AM1600" s="452"/>
      <c r="AN1600" s="452"/>
      <c r="AO1600" s="452"/>
      <c r="AP1600" s="584"/>
      <c r="AQ1600" s="584"/>
      <c r="AR1600" s="452"/>
      <c r="AS1600" s="452"/>
      <c r="AT1600" s="452"/>
      <c r="AU1600" s="1695"/>
      <c r="AV1600" s="1914"/>
      <c r="AW1600" s="1842"/>
      <c r="AX1600" s="1842"/>
      <c r="AY1600" s="452"/>
      <c r="AZ1600" s="1695"/>
      <c r="BA1600" s="1914">
        <f t="shared" ref="BA1600:CF1600" si="3690">+BA1579</f>
        <v>175.08199999999999</v>
      </c>
      <c r="BB1600" s="1842">
        <f t="shared" si="3690"/>
        <v>252.89099999999999</v>
      </c>
      <c r="BC1600" s="1842">
        <f t="shared" si="3690"/>
        <v>333.56399999999996</v>
      </c>
      <c r="BD1600" s="1908">
        <f t="shared" si="3690"/>
        <v>426.51399999999995</v>
      </c>
      <c r="BE1600" s="475">
        <f t="shared" si="3690"/>
        <v>426.51399999999995</v>
      </c>
      <c r="BF1600" s="1842">
        <f t="shared" si="3690"/>
        <v>430.84599999999995</v>
      </c>
      <c r="BG1600" s="1842">
        <f t="shared" si="3690"/>
        <v>436.67500000000001</v>
      </c>
      <c r="BH1600" s="1842">
        <f t="shared" si="3690"/>
        <v>441.84799999999996</v>
      </c>
      <c r="BI1600" s="1908">
        <f t="shared" si="3690"/>
        <v>446.72699999999998</v>
      </c>
      <c r="BJ1600" s="475">
        <f t="shared" si="3690"/>
        <v>446.72699999999998</v>
      </c>
      <c r="BK1600" s="1842">
        <f t="shared" si="3690"/>
        <v>454.34089187500001</v>
      </c>
      <c r="BL1600" s="1842">
        <f t="shared" si="3690"/>
        <v>458.14854062500001</v>
      </c>
      <c r="BM1600" s="1842">
        <f t="shared" si="3690"/>
        <v>461.28773187500002</v>
      </c>
      <c r="BN1600" s="1908">
        <f t="shared" si="3690"/>
        <v>459.60433312499998</v>
      </c>
      <c r="BO1600" s="475">
        <f t="shared" si="3690"/>
        <v>459.60433312499998</v>
      </c>
      <c r="BP1600" s="1842">
        <f t="shared" ref="BP1600:BX1600" si="3691">+BP1579</f>
        <v>457.80578541666665</v>
      </c>
      <c r="BQ1600" s="1842">
        <f t="shared" si="3691"/>
        <v>459.55356416666666</v>
      </c>
      <c r="BR1600" s="1842">
        <f t="shared" si="3691"/>
        <v>463.04517541666667</v>
      </c>
      <c r="BS1600" s="1842">
        <f t="shared" si="3691"/>
        <v>465.92606416666666</v>
      </c>
      <c r="BT1600" s="3239">
        <f t="shared" si="3691"/>
        <v>465.92606416666666</v>
      </c>
      <c r="BU1600" s="1842">
        <f t="shared" si="3691"/>
        <v>469.01940561578863</v>
      </c>
      <c r="BV1600" s="1842">
        <f t="shared" si="3691"/>
        <v>470.55625144950648</v>
      </c>
      <c r="BW1600" s="1842">
        <f t="shared" si="3691"/>
        <v>560.75386013423542</v>
      </c>
      <c r="BX1600" s="1842">
        <f t="shared" si="3691"/>
        <v>652.53880201654533</v>
      </c>
      <c r="BY1600" s="3239">
        <f>+BY1579</f>
        <v>652.53880201654533</v>
      </c>
      <c r="BZ1600" s="475">
        <f t="shared" si="3690"/>
        <v>835.77770881780918</v>
      </c>
      <c r="CA1600" s="475">
        <f t="shared" si="3690"/>
        <v>840.22064874432328</v>
      </c>
      <c r="CB1600" s="475">
        <f t="shared" si="3690"/>
        <v>56.512912499999992</v>
      </c>
      <c r="CC1600" s="475">
        <f t="shared" si="3690"/>
        <v>56.512912499999992</v>
      </c>
      <c r="CD1600" s="475">
        <f t="shared" si="3690"/>
        <v>56.512912499999992</v>
      </c>
      <c r="CE1600" s="475">
        <f t="shared" si="3690"/>
        <v>56.512912499999992</v>
      </c>
      <c r="CF1600" s="475">
        <f t="shared" si="3690"/>
        <v>56.512912499999992</v>
      </c>
      <c r="CG1600" s="331"/>
      <c r="CH1600" s="331"/>
      <c r="CI1600" s="331"/>
      <c r="CJ1600" s="331"/>
      <c r="CK1600" s="331"/>
      <c r="CL1600" s="520"/>
      <c r="CM1600" s="476"/>
      <c r="CN1600" s="476"/>
      <c r="CO1600" s="476"/>
      <c r="CP1600" s="476"/>
      <c r="CQ1600" s="476"/>
      <c r="CR1600" s="476"/>
      <c r="CS1600" s="476"/>
      <c r="CT1600" s="476"/>
      <c r="CU1600" s="476"/>
      <c r="CV1600" s="476"/>
      <c r="CW1600" s="476"/>
      <c r="CX1600" s="476"/>
      <c r="CY1600" s="476"/>
      <c r="CZ1600" s="476"/>
      <c r="DA1600" s="476"/>
      <c r="DB1600" s="476"/>
      <c r="DC1600" s="682"/>
      <c r="DD1600" s="331"/>
      <c r="DE1600" s="331"/>
      <c r="DF1600" s="502"/>
      <c r="DG1600" s="503"/>
      <c r="DH1600" s="2577"/>
      <c r="DI1600" s="3213"/>
      <c r="DJ1600" s="502"/>
      <c r="DK1600" s="503"/>
      <c r="DL1600" s="502"/>
      <c r="DM1600" s="502"/>
      <c r="DN1600" s="502"/>
      <c r="DO1600" s="502"/>
      <c r="DP1600" s="503"/>
      <c r="DQ1600" s="503"/>
      <c r="DR1600" s="296"/>
      <c r="DS1600" s="296"/>
      <c r="DT1600" s="296"/>
    </row>
    <row r="1601" spans="1:124" ht="12.75" customHeight="1" x14ac:dyDescent="0.25">
      <c r="A1601" s="428" t="s">
        <v>1162</v>
      </c>
      <c r="B1601" s="281"/>
      <c r="C1601" s="572"/>
      <c r="D1601" s="572"/>
      <c r="E1601" s="572"/>
      <c r="F1601" s="572"/>
      <c r="G1601" s="573"/>
      <c r="H1601" s="572"/>
      <c r="I1601" s="572"/>
      <c r="J1601" s="572"/>
      <c r="K1601" s="572"/>
      <c r="L1601" s="573"/>
      <c r="M1601" s="572"/>
      <c r="N1601" s="572"/>
      <c r="O1601" s="572"/>
      <c r="P1601" s="572"/>
      <c r="Q1601" s="573"/>
      <c r="R1601" s="572"/>
      <c r="S1601" s="572"/>
      <c r="T1601" s="572"/>
      <c r="U1601" s="572"/>
      <c r="V1601" s="573"/>
      <c r="W1601" s="452"/>
      <c r="X1601" s="452"/>
      <c r="Y1601" s="452"/>
      <c r="Z1601" s="452"/>
      <c r="AA1601" s="475"/>
      <c r="AB1601" s="452"/>
      <c r="AC1601" s="452"/>
      <c r="AD1601" s="452"/>
      <c r="AE1601" s="476"/>
      <c r="AF1601" s="475"/>
      <c r="AG1601" s="476"/>
      <c r="AH1601" s="476"/>
      <c r="AI1601" s="476"/>
      <c r="AJ1601" s="476"/>
      <c r="AK1601" s="475"/>
      <c r="AL1601" s="452"/>
      <c r="AM1601" s="452"/>
      <c r="AN1601" s="452"/>
      <c r="AO1601" s="452"/>
      <c r="AP1601" s="584"/>
      <c r="AQ1601" s="584"/>
      <c r="AR1601" s="452"/>
      <c r="AS1601" s="452"/>
      <c r="AT1601" s="452"/>
      <c r="AU1601" s="1695"/>
      <c r="AV1601" s="1914"/>
      <c r="AW1601" s="1842"/>
      <c r="AX1601" s="1842"/>
      <c r="AY1601" s="452"/>
      <c r="AZ1601" s="1695"/>
      <c r="BA1601" s="680">
        <f t="shared" ref="BA1601:CF1601" si="3692">+BA1599/BA1600</f>
        <v>3.255240401640374</v>
      </c>
      <c r="BB1601" s="678">
        <f t="shared" si="3692"/>
        <v>1.7123345631121709</v>
      </c>
      <c r="BC1601" s="678">
        <f t="shared" si="3692"/>
        <v>0.92367881426053178</v>
      </c>
      <c r="BD1601" s="857">
        <f t="shared" si="3692"/>
        <v>1.6646370341887957</v>
      </c>
      <c r="BE1601" s="676">
        <f t="shared" si="3692"/>
        <v>1.6646370341887957</v>
      </c>
      <c r="BF1601" s="678">
        <f t="shared" si="3692"/>
        <v>1.6565942355273116</v>
      </c>
      <c r="BG1601" s="678">
        <f t="shared" si="3692"/>
        <v>1.6540585103337722</v>
      </c>
      <c r="BH1601" s="678">
        <f t="shared" si="3692"/>
        <v>1.7246949177092574</v>
      </c>
      <c r="BI1601" s="857">
        <f t="shared" si="3692"/>
        <v>1.782634584432998</v>
      </c>
      <c r="BJ1601" s="676">
        <f t="shared" si="3692"/>
        <v>1.7826345844329983</v>
      </c>
      <c r="BK1601" s="678">
        <f t="shared" si="3692"/>
        <v>1.815498042881285</v>
      </c>
      <c r="BL1601" s="678">
        <f t="shared" si="3692"/>
        <v>1.8623937966407222</v>
      </c>
      <c r="BM1601" s="678">
        <f t="shared" si="3692"/>
        <v>1.8518831977770553</v>
      </c>
      <c r="BN1601" s="857">
        <f t="shared" si="3692"/>
        <v>1.8359857363888294</v>
      </c>
      <c r="BO1601" s="676">
        <f t="shared" si="3692"/>
        <v>1.8359857363888294</v>
      </c>
      <c r="BP1601" s="678">
        <f t="shared" si="3692"/>
        <v>1.8624797395777051</v>
      </c>
      <c r="BQ1601" s="678">
        <f t="shared" si="3692"/>
        <v>1.8452952302475254</v>
      </c>
      <c r="BR1601" s="678">
        <f t="shared" si="3692"/>
        <v>1.8541149882999042</v>
      </c>
      <c r="BS1601" s="678">
        <f t="shared" si="3692"/>
        <v>1.8156228317319381</v>
      </c>
      <c r="BT1601" s="3266">
        <f t="shared" si="3692"/>
        <v>1.8156228317319381</v>
      </c>
      <c r="BU1601" s="3316">
        <f t="shared" si="3692"/>
        <v>1.8203813267727271</v>
      </c>
      <c r="BV1601" s="3316">
        <f>+BV1599/BV1600</f>
        <v>1.8537682623761851</v>
      </c>
      <c r="BW1601" s="3316">
        <f>+BW1599/BW1600</f>
        <v>1.8329669892085825</v>
      </c>
      <c r="BX1601" s="3316">
        <f>+BX1599/BX1600</f>
        <v>1.8289391690582686</v>
      </c>
      <c r="BY1601" s="3266">
        <f>+BY1599/BY1600</f>
        <v>1.8289391690582686</v>
      </c>
      <c r="BZ1601" s="857">
        <f t="shared" si="3692"/>
        <v>1.843912442319912</v>
      </c>
      <c r="CA1601" s="857">
        <f t="shared" si="3692"/>
        <v>1.8197303316926619</v>
      </c>
      <c r="CB1601" s="857">
        <f t="shared" si="3692"/>
        <v>5.8643323154505573</v>
      </c>
      <c r="CC1601" s="857">
        <f t="shared" si="3692"/>
        <v>4.6981270157573736</v>
      </c>
      <c r="CD1601" s="857">
        <f t="shared" si="3692"/>
        <v>4.9813632469563682</v>
      </c>
      <c r="CE1601" s="857">
        <f t="shared" si="3692"/>
        <v>5.2860852722995322</v>
      </c>
      <c r="CF1601" s="857">
        <f t="shared" si="3692"/>
        <v>5.5694703740592182</v>
      </c>
      <c r="CG1601" s="331"/>
      <c r="CH1601" s="331"/>
      <c r="CI1601" s="331"/>
      <c r="CJ1601" s="331"/>
      <c r="CK1601" s="331"/>
      <c r="CL1601" s="520"/>
      <c r="CM1601" s="476"/>
      <c r="CN1601" s="476"/>
      <c r="CO1601" s="476"/>
      <c r="CP1601" s="476"/>
      <c r="CQ1601" s="476"/>
      <c r="CR1601" s="476"/>
      <c r="CS1601" s="476"/>
      <c r="CT1601" s="476"/>
      <c r="CU1601" s="476"/>
      <c r="CV1601" s="476"/>
      <c r="CW1601" s="476"/>
      <c r="CX1601" s="476"/>
      <c r="CY1601" s="476"/>
      <c r="CZ1601" s="476"/>
      <c r="DA1601" s="476"/>
      <c r="DB1601" s="476"/>
      <c r="DC1601" s="682"/>
      <c r="DD1601" s="331"/>
      <c r="DE1601" s="331"/>
      <c r="DF1601" s="502"/>
      <c r="DG1601" s="503"/>
      <c r="DH1601" s="3316"/>
      <c r="DI1601" s="3213"/>
      <c r="DJ1601" s="502"/>
      <c r="DK1601" s="503"/>
      <c r="DL1601" s="502"/>
      <c r="DM1601" s="502"/>
      <c r="DN1601" s="502"/>
      <c r="DO1601" s="502"/>
      <c r="DP1601" s="503"/>
      <c r="DQ1601" s="503"/>
      <c r="DR1601" s="296"/>
      <c r="DS1601" s="296"/>
      <c r="DT1601" s="296"/>
    </row>
    <row r="1602" spans="1:124" ht="12.75" customHeight="1" x14ac:dyDescent="0.25">
      <c r="A1602" s="281" t="s">
        <v>1504</v>
      </c>
      <c r="B1602" s="281"/>
      <c r="C1602" s="572"/>
      <c r="D1602" s="572"/>
      <c r="E1602" s="572"/>
      <c r="F1602" s="572"/>
      <c r="G1602" s="573"/>
      <c r="H1602" s="572"/>
      <c r="I1602" s="572"/>
      <c r="J1602" s="572"/>
      <c r="K1602" s="572"/>
      <c r="L1602" s="573"/>
      <c r="M1602" s="572"/>
      <c r="N1602" s="572"/>
      <c r="O1602" s="572"/>
      <c r="P1602" s="572"/>
      <c r="Q1602" s="573"/>
      <c r="R1602" s="572"/>
      <c r="S1602" s="572"/>
      <c r="T1602" s="572"/>
      <c r="U1602" s="572"/>
      <c r="V1602" s="573"/>
      <c r="W1602" s="452"/>
      <c r="X1602" s="452"/>
      <c r="Y1602" s="452"/>
      <c r="Z1602" s="452"/>
      <c r="AA1602" s="475"/>
      <c r="AB1602" s="452"/>
      <c r="AC1602" s="452"/>
      <c r="AD1602" s="452"/>
      <c r="AE1602" s="476"/>
      <c r="AF1602" s="475"/>
      <c r="AG1602" s="476"/>
      <c r="AH1602" s="476"/>
      <c r="AI1602" s="476"/>
      <c r="AJ1602" s="476"/>
      <c r="AK1602" s="475"/>
      <c r="AL1602" s="452"/>
      <c r="AM1602" s="452"/>
      <c r="AN1602" s="452"/>
      <c r="AO1602" s="452"/>
      <c r="AP1602" s="584"/>
      <c r="AQ1602" s="584"/>
      <c r="AR1602" s="452"/>
      <c r="AS1602" s="452"/>
      <c r="AT1602" s="452"/>
      <c r="AU1602" s="1695"/>
      <c r="AV1602" s="1914"/>
      <c r="AW1602" s="1842"/>
      <c r="AX1602" s="1842"/>
      <c r="AY1602" s="452"/>
      <c r="AZ1602" s="1695"/>
      <c r="BA1602" s="2527" t="str">
        <f t="shared" ref="BA1602:CF1602" si="3693">+IF(BA1601&gt;BA1598,"Y","N")</f>
        <v>Y</v>
      </c>
      <c r="BB1602" s="2528" t="str">
        <f t="shared" si="3693"/>
        <v>Y</v>
      </c>
      <c r="BC1602" s="2528" t="str">
        <f t="shared" si="3693"/>
        <v>Y</v>
      </c>
      <c r="BD1602" s="2525" t="str">
        <f t="shared" si="3693"/>
        <v>Y</v>
      </c>
      <c r="BE1602" s="2526" t="str">
        <f t="shared" si="3693"/>
        <v>Y</v>
      </c>
      <c r="BF1602" s="2528" t="str">
        <f t="shared" si="3693"/>
        <v>Y</v>
      </c>
      <c r="BG1602" s="2528" t="str">
        <f t="shared" si="3693"/>
        <v>Y</v>
      </c>
      <c r="BH1602" s="2528" t="str">
        <f t="shared" si="3693"/>
        <v>Y</v>
      </c>
      <c r="BI1602" s="2525" t="str">
        <f t="shared" si="3693"/>
        <v>Y</v>
      </c>
      <c r="BJ1602" s="2526" t="str">
        <f t="shared" si="3693"/>
        <v>Y</v>
      </c>
      <c r="BK1602" s="2528" t="str">
        <f t="shared" si="3693"/>
        <v>Y</v>
      </c>
      <c r="BL1602" s="2528" t="str">
        <f t="shared" si="3693"/>
        <v>Y</v>
      </c>
      <c r="BM1602" s="2528" t="str">
        <f t="shared" si="3693"/>
        <v>Y</v>
      </c>
      <c r="BN1602" s="2525" t="str">
        <f t="shared" si="3693"/>
        <v>Y</v>
      </c>
      <c r="BO1602" s="2526" t="str">
        <f t="shared" si="3693"/>
        <v>Y</v>
      </c>
      <c r="BP1602" s="2528" t="str">
        <f t="shared" si="3693"/>
        <v>Y</v>
      </c>
      <c r="BQ1602" s="2528" t="str">
        <f t="shared" si="3693"/>
        <v>Y</v>
      </c>
      <c r="BR1602" s="2528" t="str">
        <f t="shared" si="3693"/>
        <v>Y</v>
      </c>
      <c r="BS1602" s="2528" t="str">
        <f t="shared" si="3693"/>
        <v>Y</v>
      </c>
      <c r="BT1602" s="3265" t="str">
        <f t="shared" si="3693"/>
        <v>Y</v>
      </c>
      <c r="BU1602" s="3317" t="str">
        <f t="shared" si="3693"/>
        <v>Y</v>
      </c>
      <c r="BV1602" s="3317" t="str">
        <f>+IF(BV1601&gt;BV1598,"Y","N")</f>
        <v>Y</v>
      </c>
      <c r="BW1602" s="3317" t="str">
        <f>+IF(BW1601&gt;BW1598,"Y","N")</f>
        <v>Y</v>
      </c>
      <c r="BX1602" s="3317" t="str">
        <f>+IF(BX1601&gt;BX1598,"Y","N")</f>
        <v>Y</v>
      </c>
      <c r="BY1602" s="3265" t="str">
        <f>+IF(BY1601&gt;BY1598,"Y","N")</f>
        <v>Y</v>
      </c>
      <c r="BZ1602" s="2526" t="str">
        <f t="shared" si="3693"/>
        <v>Y</v>
      </c>
      <c r="CA1602" s="2526" t="str">
        <f t="shared" si="3693"/>
        <v>Y</v>
      </c>
      <c r="CB1602" s="2526" t="str">
        <f t="shared" si="3693"/>
        <v>Y</v>
      </c>
      <c r="CC1602" s="2526" t="str">
        <f t="shared" si="3693"/>
        <v>Y</v>
      </c>
      <c r="CD1602" s="2526" t="str">
        <f t="shared" si="3693"/>
        <v>Y</v>
      </c>
      <c r="CE1602" s="2526" t="str">
        <f t="shared" si="3693"/>
        <v>Y</v>
      </c>
      <c r="CF1602" s="2526" t="str">
        <f t="shared" si="3693"/>
        <v>Y</v>
      </c>
      <c r="CG1602" s="331"/>
      <c r="CH1602" s="331"/>
      <c r="CI1602" s="331"/>
      <c r="CJ1602" s="331"/>
      <c r="CK1602" s="331"/>
      <c r="CL1602" s="520"/>
      <c r="CM1602" s="476"/>
      <c r="CN1602" s="476"/>
      <c r="CO1602" s="476"/>
      <c r="CP1602" s="476"/>
      <c r="CQ1602" s="476"/>
      <c r="CR1602" s="476"/>
      <c r="CS1602" s="476"/>
      <c r="CT1602" s="476"/>
      <c r="CU1602" s="476"/>
      <c r="CV1602" s="476"/>
      <c r="CW1602" s="476"/>
      <c r="CX1602" s="476"/>
      <c r="CY1602" s="476"/>
      <c r="CZ1602" s="476"/>
      <c r="DA1602" s="476"/>
      <c r="DB1602" s="476"/>
      <c r="DC1602" s="682"/>
      <c r="DD1602" s="331"/>
      <c r="DE1602" s="331"/>
      <c r="DF1602" s="502"/>
      <c r="DG1602" s="503"/>
      <c r="DH1602" s="3317"/>
      <c r="DI1602" s="3213"/>
      <c r="DJ1602" s="502"/>
      <c r="DK1602" s="503"/>
      <c r="DL1602" s="502"/>
      <c r="DM1602" s="502"/>
      <c r="DN1602" s="502"/>
      <c r="DO1602" s="502"/>
      <c r="DP1602" s="503"/>
      <c r="DQ1602" s="503"/>
      <c r="DR1602" s="296"/>
      <c r="DS1602" s="296"/>
      <c r="DT1602" s="296"/>
    </row>
    <row r="1603" spans="1:124" ht="12.75" customHeight="1" x14ac:dyDescent="0.25">
      <c r="A1603" s="281" t="s">
        <v>1149</v>
      </c>
      <c r="B1603" s="281"/>
      <c r="C1603" s="572"/>
      <c r="D1603" s="572"/>
      <c r="E1603" s="572"/>
      <c r="F1603" s="572"/>
      <c r="G1603" s="573"/>
      <c r="H1603" s="572"/>
      <c r="I1603" s="572"/>
      <c r="J1603" s="572"/>
      <c r="K1603" s="572"/>
      <c r="L1603" s="573"/>
      <c r="M1603" s="572"/>
      <c r="N1603" s="572"/>
      <c r="O1603" s="572"/>
      <c r="P1603" s="572"/>
      <c r="Q1603" s="573"/>
      <c r="R1603" s="572"/>
      <c r="S1603" s="572"/>
      <c r="T1603" s="572"/>
      <c r="U1603" s="572"/>
      <c r="V1603" s="573"/>
      <c r="W1603" s="452"/>
      <c r="X1603" s="452"/>
      <c r="Y1603" s="452"/>
      <c r="Z1603" s="452"/>
      <c r="AA1603" s="475"/>
      <c r="AB1603" s="452"/>
      <c r="AC1603" s="452"/>
      <c r="AD1603" s="452"/>
      <c r="AE1603" s="476"/>
      <c r="AF1603" s="475"/>
      <c r="AG1603" s="476"/>
      <c r="AH1603" s="476"/>
      <c r="AI1603" s="476"/>
      <c r="AJ1603" s="476"/>
      <c r="AK1603" s="475"/>
      <c r="AL1603" s="452"/>
      <c r="AM1603" s="452"/>
      <c r="AN1603" s="452"/>
      <c r="AO1603" s="683"/>
      <c r="AP1603" s="475"/>
      <c r="AQ1603" s="452"/>
      <c r="AR1603" s="452"/>
      <c r="AS1603" s="452"/>
      <c r="AT1603" s="452"/>
      <c r="AU1603" s="1695"/>
      <c r="AV1603" s="1914"/>
      <c r="AW1603" s="1842"/>
      <c r="AX1603" s="1842"/>
      <c r="AY1603" s="452"/>
      <c r="AZ1603" s="1695"/>
      <c r="BA1603" s="1914">
        <f t="shared" ref="BA1603:CF1603" si="3694">+BA1579*BA1598</f>
        <v>0</v>
      </c>
      <c r="BB1603" s="1842">
        <f t="shared" si="3694"/>
        <v>0</v>
      </c>
      <c r="BC1603" s="1842">
        <f t="shared" si="3694"/>
        <v>0</v>
      </c>
      <c r="BD1603" s="1908">
        <f t="shared" si="3694"/>
        <v>0</v>
      </c>
      <c r="BE1603" s="475">
        <f t="shared" si="3694"/>
        <v>0</v>
      </c>
      <c r="BF1603" s="1842">
        <f t="shared" si="3694"/>
        <v>0</v>
      </c>
      <c r="BG1603" s="1842">
        <f t="shared" si="3694"/>
        <v>0</v>
      </c>
      <c r="BH1603" s="1842">
        <f t="shared" si="3694"/>
        <v>0</v>
      </c>
      <c r="BI1603" s="1908">
        <f t="shared" si="3694"/>
        <v>0</v>
      </c>
      <c r="BJ1603" s="475">
        <f t="shared" si="3694"/>
        <v>0</v>
      </c>
      <c r="BK1603" s="1842">
        <f t="shared" si="3694"/>
        <v>0</v>
      </c>
      <c r="BL1603" s="1842">
        <f t="shared" si="3694"/>
        <v>0</v>
      </c>
      <c r="BM1603" s="1842">
        <f t="shared" si="3694"/>
        <v>0</v>
      </c>
      <c r="BN1603" s="1908">
        <f t="shared" si="3694"/>
        <v>0</v>
      </c>
      <c r="BO1603" s="475">
        <f t="shared" si="3694"/>
        <v>0</v>
      </c>
      <c r="BP1603" s="1842">
        <f t="shared" ref="BP1603:BX1603" si="3695">+BP1579*BP1598</f>
        <v>0</v>
      </c>
      <c r="BQ1603" s="1842">
        <f t="shared" si="3695"/>
        <v>0</v>
      </c>
      <c r="BR1603" s="1842">
        <f t="shared" si="3695"/>
        <v>0</v>
      </c>
      <c r="BS1603" s="1842">
        <f t="shared" si="3695"/>
        <v>0</v>
      </c>
      <c r="BT1603" s="3239">
        <f t="shared" si="3695"/>
        <v>0</v>
      </c>
      <c r="BU1603" s="1842">
        <f t="shared" si="3695"/>
        <v>0</v>
      </c>
      <c r="BV1603" s="1842">
        <f t="shared" si="3695"/>
        <v>0</v>
      </c>
      <c r="BW1603" s="1842">
        <f t="shared" si="3695"/>
        <v>0</v>
      </c>
      <c r="BX1603" s="1842">
        <f t="shared" si="3695"/>
        <v>0</v>
      </c>
      <c r="BY1603" s="3239">
        <f>+BY1579*BY1598</f>
        <v>0</v>
      </c>
      <c r="BZ1603" s="475">
        <f t="shared" si="3694"/>
        <v>0</v>
      </c>
      <c r="CA1603" s="475">
        <f t="shared" si="3694"/>
        <v>0</v>
      </c>
      <c r="CB1603" s="475">
        <f t="shared" si="3694"/>
        <v>0</v>
      </c>
      <c r="CC1603" s="475">
        <f t="shared" si="3694"/>
        <v>0</v>
      </c>
      <c r="CD1603" s="475">
        <f t="shared" si="3694"/>
        <v>0</v>
      </c>
      <c r="CE1603" s="475">
        <f t="shared" si="3694"/>
        <v>0</v>
      </c>
      <c r="CF1603" s="475">
        <f t="shared" si="3694"/>
        <v>0</v>
      </c>
      <c r="CG1603" s="331"/>
      <c r="CH1603" s="331"/>
      <c r="CI1603" s="331"/>
      <c r="CJ1603" s="331"/>
      <c r="CK1603" s="331"/>
      <c r="CL1603" s="520" t="str">
        <f>A1603</f>
        <v>Minimum EBITDA</v>
      </c>
      <c r="CM1603" s="476"/>
      <c r="CN1603" s="476"/>
      <c r="CO1603" s="476"/>
      <c r="CP1603" s="476"/>
      <c r="CQ1603" s="476">
        <f>AA1603</f>
        <v>0</v>
      </c>
      <c r="CR1603" s="476">
        <f>AF1603</f>
        <v>0</v>
      </c>
      <c r="CS1603" s="476">
        <f>AK1603</f>
        <v>0</v>
      </c>
      <c r="CT1603" s="476">
        <f>AP1603</f>
        <v>0</v>
      </c>
      <c r="CU1603" s="476">
        <f>AU1603</f>
        <v>0</v>
      </c>
      <c r="CV1603" s="476">
        <f>AZ1603</f>
        <v>0</v>
      </c>
      <c r="CW1603" s="476">
        <f>BE1603</f>
        <v>0</v>
      </c>
      <c r="CX1603" s="476">
        <f>BJ1603</f>
        <v>0</v>
      </c>
      <c r="CY1603" s="476">
        <f>BO1603</f>
        <v>0</v>
      </c>
      <c r="CZ1603" s="476">
        <f>BT1603</f>
        <v>0</v>
      </c>
      <c r="DA1603" s="476">
        <f t="shared" ref="DA1603:DC1605" si="3696">BY1603</f>
        <v>0</v>
      </c>
      <c r="DB1603" s="476">
        <f t="shared" si="3696"/>
        <v>0</v>
      </c>
      <c r="DC1603" s="682">
        <f t="shared" si="3696"/>
        <v>0</v>
      </c>
      <c r="DD1603" s="331"/>
      <c r="DE1603" s="331"/>
      <c r="DF1603" s="502"/>
      <c r="DG1603" s="503"/>
      <c r="DH1603" s="2577"/>
      <c r="DI1603" s="3213"/>
      <c r="DJ1603" s="502"/>
      <c r="DK1603" s="503"/>
      <c r="DL1603" s="502"/>
      <c r="DM1603" s="502"/>
      <c r="DN1603" s="502"/>
      <c r="DO1603" s="502"/>
      <c r="DP1603" s="503"/>
      <c r="DQ1603" s="503"/>
      <c r="DR1603" s="296"/>
      <c r="DS1603" s="296"/>
      <c r="DT1603" s="296"/>
    </row>
    <row r="1604" spans="1:124" ht="12.75" customHeight="1" x14ac:dyDescent="0.25">
      <c r="A1604" s="428" t="s">
        <v>1295</v>
      </c>
      <c r="B1604" s="281"/>
      <c r="C1604" s="572"/>
      <c r="D1604" s="572"/>
      <c r="E1604" s="572"/>
      <c r="F1604" s="572"/>
      <c r="G1604" s="573"/>
      <c r="H1604" s="572"/>
      <c r="I1604" s="572"/>
      <c r="J1604" s="572"/>
      <c r="K1604" s="572"/>
      <c r="L1604" s="573"/>
      <c r="M1604" s="572"/>
      <c r="N1604" s="572"/>
      <c r="O1604" s="572"/>
      <c r="P1604" s="572"/>
      <c r="Q1604" s="573"/>
      <c r="R1604" s="572"/>
      <c r="S1604" s="572"/>
      <c r="T1604" s="572"/>
      <c r="U1604" s="572"/>
      <c r="V1604" s="573"/>
      <c r="W1604" s="452"/>
      <c r="X1604" s="452"/>
      <c r="Y1604" s="452"/>
      <c r="Z1604" s="452"/>
      <c r="AA1604" s="475"/>
      <c r="AB1604" s="452"/>
      <c r="AC1604" s="452"/>
      <c r="AD1604" s="452"/>
      <c r="AE1604" s="476"/>
      <c r="AF1604" s="475"/>
      <c r="AG1604" s="476"/>
      <c r="AH1604" s="476"/>
      <c r="AI1604" s="476"/>
      <c r="AJ1604" s="476"/>
      <c r="AK1604" s="475"/>
      <c r="AL1604" s="452"/>
      <c r="AM1604" s="452"/>
      <c r="AN1604" s="452"/>
      <c r="AO1604" s="683"/>
      <c r="AP1604" s="475"/>
      <c r="AQ1604" s="452"/>
      <c r="AR1604" s="452"/>
      <c r="AS1604" s="452"/>
      <c r="AT1604" s="452"/>
      <c r="AU1604" s="1695"/>
      <c r="AV1604" s="1914"/>
      <c r="AW1604" s="1842"/>
      <c r="AX1604" s="1842"/>
      <c r="AY1604" s="452"/>
      <c r="AZ1604" s="1695"/>
      <c r="BA1604" s="1914">
        <f t="shared" ref="BA1604:CF1604" si="3697">BA1599-BA1603</f>
        <v>569.93399999999997</v>
      </c>
      <c r="BB1604" s="1842">
        <f t="shared" si="3697"/>
        <v>433.03399999999999</v>
      </c>
      <c r="BC1604" s="1842">
        <f t="shared" si="3697"/>
        <v>308.10599999999999</v>
      </c>
      <c r="BD1604" s="1908">
        <f t="shared" si="3697"/>
        <v>709.99099999999999</v>
      </c>
      <c r="BE1604" s="475">
        <f t="shared" si="3697"/>
        <v>709.99099999999999</v>
      </c>
      <c r="BF1604" s="1842">
        <f t="shared" si="3697"/>
        <v>713.73699999999997</v>
      </c>
      <c r="BG1604" s="1842">
        <f t="shared" si="3697"/>
        <v>722.28599999999994</v>
      </c>
      <c r="BH1604" s="1842">
        <f t="shared" si="3697"/>
        <v>762.05299999999988</v>
      </c>
      <c r="BI1604" s="1908">
        <f t="shared" si="3697"/>
        <v>796.35099999999989</v>
      </c>
      <c r="BJ1604" s="475">
        <f t="shared" si="3697"/>
        <v>796.351</v>
      </c>
      <c r="BK1604" s="1842">
        <f t="shared" si="3697"/>
        <v>824.85500000000002</v>
      </c>
      <c r="BL1604" s="1842">
        <f t="shared" si="3697"/>
        <v>853.25299999999993</v>
      </c>
      <c r="BM1604" s="1842">
        <f t="shared" si="3697"/>
        <v>854.25099999999998</v>
      </c>
      <c r="BN1604" s="1908">
        <f t="shared" si="3697"/>
        <v>843.827</v>
      </c>
      <c r="BO1604" s="475">
        <f t="shared" si="3697"/>
        <v>843.827</v>
      </c>
      <c r="BP1604" s="1842">
        <f t="shared" si="3697"/>
        <v>852.654</v>
      </c>
      <c r="BQ1604" s="1842">
        <f t="shared" si="3697"/>
        <v>848.01200000000006</v>
      </c>
      <c r="BR1604" s="1842">
        <f t="shared" si="3697"/>
        <v>858.53899999999999</v>
      </c>
      <c r="BS1604" s="1842">
        <f t="shared" si="3697"/>
        <v>845.94600000000003</v>
      </c>
      <c r="BT1604" s="3239">
        <f t="shared" si="3697"/>
        <v>845.94600000000003</v>
      </c>
      <c r="BU1604" s="1842">
        <f t="shared" si="3697"/>
        <v>853.79416787702519</v>
      </c>
      <c r="BV1604" s="1842">
        <f>BV1599-BV1603</f>
        <v>872.30224459980286</v>
      </c>
      <c r="BW1604" s="1842">
        <f>BW1599-BW1603</f>
        <v>1027.84331469734</v>
      </c>
      <c r="BX1604" s="1842">
        <f>BX1599-BX1603</f>
        <v>1193.4537743384185</v>
      </c>
      <c r="BY1604" s="3239">
        <f>BY1599-BY1603</f>
        <v>1193.4537743384185</v>
      </c>
      <c r="BZ1604" s="475">
        <f t="shared" si="3697"/>
        <v>1541.1009163027868</v>
      </c>
      <c r="CA1604" s="475">
        <f t="shared" si="3697"/>
        <v>1528.974999834531</v>
      </c>
      <c r="CB1604" s="475">
        <f t="shared" si="3697"/>
        <v>331.41049901397969</v>
      </c>
      <c r="CC1604" s="475">
        <f t="shared" si="3697"/>
        <v>265.50484095538252</v>
      </c>
      <c r="CD1604" s="475">
        <f t="shared" si="3697"/>
        <v>281.51134530596107</v>
      </c>
      <c r="CE1604" s="475">
        <f t="shared" si="3697"/>
        <v>298.73207446100207</v>
      </c>
      <c r="CF1604" s="475">
        <f t="shared" si="3697"/>
        <v>314.74699192055084</v>
      </c>
      <c r="CG1604" s="331"/>
      <c r="CH1604" s="331"/>
      <c r="CI1604" s="331"/>
      <c r="CJ1604" s="331"/>
      <c r="CK1604" s="331"/>
      <c r="CL1604" s="520" t="str">
        <f>A1604</f>
        <v>Implied Cushion - EBITDA</v>
      </c>
      <c r="CM1604" s="476"/>
      <c r="CN1604" s="476"/>
      <c r="CO1604" s="476"/>
      <c r="CP1604" s="476"/>
      <c r="CQ1604" s="476">
        <f>AA1604</f>
        <v>0</v>
      </c>
      <c r="CR1604" s="476">
        <f>AF1604</f>
        <v>0</v>
      </c>
      <c r="CS1604" s="476">
        <f>AK1604</f>
        <v>0</v>
      </c>
      <c r="CT1604" s="476">
        <f>AP1604</f>
        <v>0</v>
      </c>
      <c r="CU1604" s="476">
        <f>AU1604</f>
        <v>0</v>
      </c>
      <c r="CV1604" s="476">
        <f>AZ1604</f>
        <v>0</v>
      </c>
      <c r="CW1604" s="476">
        <f>BE1604</f>
        <v>709.99099999999999</v>
      </c>
      <c r="CX1604" s="476">
        <f>BJ1604</f>
        <v>796.351</v>
      </c>
      <c r="CY1604" s="476">
        <f>BO1604</f>
        <v>843.827</v>
      </c>
      <c r="CZ1604" s="476">
        <f>BT1604</f>
        <v>845.94600000000003</v>
      </c>
      <c r="DA1604" s="476">
        <f t="shared" si="3696"/>
        <v>1193.4537743384185</v>
      </c>
      <c r="DB1604" s="476">
        <f t="shared" si="3696"/>
        <v>1541.1009163027868</v>
      </c>
      <c r="DC1604" s="682">
        <f t="shared" si="3696"/>
        <v>1528.974999834531</v>
      </c>
      <c r="DD1604" s="331"/>
      <c r="DE1604" s="331"/>
      <c r="DF1604" s="502"/>
      <c r="DG1604" s="503"/>
      <c r="DH1604" s="2577"/>
      <c r="DI1604" s="3213"/>
      <c r="DJ1604" s="502"/>
      <c r="DK1604" s="503"/>
      <c r="DL1604" s="502"/>
      <c r="DM1604" s="502"/>
      <c r="DN1604" s="502"/>
      <c r="DO1604" s="502"/>
      <c r="DP1604" s="503"/>
      <c r="DQ1604" s="503"/>
      <c r="DR1604" s="296"/>
      <c r="DS1604" s="296"/>
      <c r="DT1604" s="296"/>
    </row>
    <row r="1605" spans="1:124" ht="12.75" customHeight="1" x14ac:dyDescent="0.25">
      <c r="A1605" s="428" t="s">
        <v>1294</v>
      </c>
      <c r="B1605" s="281"/>
      <c r="C1605" s="572"/>
      <c r="D1605" s="572"/>
      <c r="E1605" s="572"/>
      <c r="F1605" s="572"/>
      <c r="G1605" s="573"/>
      <c r="H1605" s="572"/>
      <c r="I1605" s="572"/>
      <c r="J1605" s="572"/>
      <c r="K1605" s="572"/>
      <c r="L1605" s="573"/>
      <c r="M1605" s="572"/>
      <c r="N1605" s="572"/>
      <c r="O1605" s="572"/>
      <c r="P1605" s="572"/>
      <c r="Q1605" s="573"/>
      <c r="R1605" s="572"/>
      <c r="S1605" s="572"/>
      <c r="T1605" s="572"/>
      <c r="U1605" s="572"/>
      <c r="V1605" s="573"/>
      <c r="W1605" s="452"/>
      <c r="X1605" s="452"/>
      <c r="Y1605" s="452"/>
      <c r="Z1605" s="452"/>
      <c r="AA1605" s="475"/>
      <c r="AB1605" s="452"/>
      <c r="AC1605" s="452"/>
      <c r="AD1605" s="452"/>
      <c r="AE1605" s="476"/>
      <c r="AF1605" s="475"/>
      <c r="AG1605" s="476"/>
      <c r="AH1605" s="476"/>
      <c r="AI1605" s="476"/>
      <c r="AJ1605" s="476"/>
      <c r="AK1605" s="475"/>
      <c r="AL1605" s="452"/>
      <c r="AM1605" s="452"/>
      <c r="AN1605" s="452"/>
      <c r="AO1605" s="683"/>
      <c r="AP1605" s="475"/>
      <c r="AQ1605" s="452"/>
      <c r="AR1605" s="452"/>
      <c r="AS1605" s="452"/>
      <c r="AT1605" s="452"/>
      <c r="AU1605" s="1695"/>
      <c r="AV1605" s="1914"/>
      <c r="AW1605" s="1842"/>
      <c r="AX1605" s="1842"/>
      <c r="AY1605" s="452"/>
      <c r="AZ1605" s="1695"/>
      <c r="BA1605" s="1914">
        <f t="shared" ref="BA1605:CF1605" si="3698">+BA1598*BA1604</f>
        <v>0</v>
      </c>
      <c r="BB1605" s="1842">
        <f t="shared" si="3698"/>
        <v>0</v>
      </c>
      <c r="BC1605" s="1842">
        <f t="shared" si="3698"/>
        <v>0</v>
      </c>
      <c r="BD1605" s="1908">
        <f t="shared" si="3698"/>
        <v>0</v>
      </c>
      <c r="BE1605" s="475">
        <f t="shared" si="3698"/>
        <v>0</v>
      </c>
      <c r="BF1605" s="1842">
        <f t="shared" si="3698"/>
        <v>0</v>
      </c>
      <c r="BG1605" s="1842">
        <f t="shared" si="3698"/>
        <v>0</v>
      </c>
      <c r="BH1605" s="1842">
        <f t="shared" si="3698"/>
        <v>0</v>
      </c>
      <c r="BI1605" s="1908">
        <f t="shared" si="3698"/>
        <v>0</v>
      </c>
      <c r="BJ1605" s="475">
        <f t="shared" si="3698"/>
        <v>0</v>
      </c>
      <c r="BK1605" s="1842">
        <f t="shared" si="3698"/>
        <v>0</v>
      </c>
      <c r="BL1605" s="1842">
        <f t="shared" si="3698"/>
        <v>0</v>
      </c>
      <c r="BM1605" s="1842">
        <f t="shared" si="3698"/>
        <v>0</v>
      </c>
      <c r="BN1605" s="1908">
        <f t="shared" si="3698"/>
        <v>0</v>
      </c>
      <c r="BO1605" s="475">
        <f t="shared" si="3698"/>
        <v>0</v>
      </c>
      <c r="BP1605" s="1842">
        <f t="shared" si="3698"/>
        <v>0</v>
      </c>
      <c r="BQ1605" s="1842">
        <f t="shared" si="3698"/>
        <v>0</v>
      </c>
      <c r="BR1605" s="1842">
        <f t="shared" si="3698"/>
        <v>0</v>
      </c>
      <c r="BS1605" s="1842">
        <f t="shared" si="3698"/>
        <v>0</v>
      </c>
      <c r="BT1605" s="3239">
        <f t="shared" si="3698"/>
        <v>0</v>
      </c>
      <c r="BU1605" s="1842">
        <f t="shared" si="3698"/>
        <v>0</v>
      </c>
      <c r="BV1605" s="1842">
        <f>+BV1598*BV1604</f>
        <v>0</v>
      </c>
      <c r="BW1605" s="1842">
        <f>+BW1598*BW1604</f>
        <v>0</v>
      </c>
      <c r="BX1605" s="1842">
        <f>+BX1598*BX1604</f>
        <v>0</v>
      </c>
      <c r="BY1605" s="3239">
        <f>+BY1598*BY1604</f>
        <v>0</v>
      </c>
      <c r="BZ1605" s="475">
        <f t="shared" si="3698"/>
        <v>0</v>
      </c>
      <c r="CA1605" s="475">
        <f t="shared" si="3698"/>
        <v>0</v>
      </c>
      <c r="CB1605" s="475">
        <f t="shared" si="3698"/>
        <v>0</v>
      </c>
      <c r="CC1605" s="475">
        <f t="shared" si="3698"/>
        <v>0</v>
      </c>
      <c r="CD1605" s="475">
        <f t="shared" si="3698"/>
        <v>0</v>
      </c>
      <c r="CE1605" s="475">
        <f t="shared" si="3698"/>
        <v>0</v>
      </c>
      <c r="CF1605" s="475">
        <f t="shared" si="3698"/>
        <v>0</v>
      </c>
      <c r="CG1605" s="331"/>
      <c r="CH1605" s="331"/>
      <c r="CI1605" s="331"/>
      <c r="CJ1605" s="331"/>
      <c r="CK1605" s="331"/>
      <c r="CL1605" s="520" t="str">
        <f>A1605</f>
        <v>Implied Cushion - Debt</v>
      </c>
      <c r="CM1605" s="476"/>
      <c r="CN1605" s="476"/>
      <c r="CO1605" s="476"/>
      <c r="CP1605" s="476"/>
      <c r="CQ1605" s="476">
        <f>AA1605</f>
        <v>0</v>
      </c>
      <c r="CR1605" s="476">
        <f>AF1605</f>
        <v>0</v>
      </c>
      <c r="CS1605" s="476">
        <f>AK1605</f>
        <v>0</v>
      </c>
      <c r="CT1605" s="476">
        <f>AP1605</f>
        <v>0</v>
      </c>
      <c r="CU1605" s="476">
        <f>AU1605</f>
        <v>0</v>
      </c>
      <c r="CV1605" s="476">
        <f>AZ1605</f>
        <v>0</v>
      </c>
      <c r="CW1605" s="476">
        <f>BE1605</f>
        <v>0</v>
      </c>
      <c r="CX1605" s="476">
        <f>BJ1605</f>
        <v>0</v>
      </c>
      <c r="CY1605" s="476">
        <f>BO1605</f>
        <v>0</v>
      </c>
      <c r="CZ1605" s="476">
        <f>BT1605</f>
        <v>0</v>
      </c>
      <c r="DA1605" s="476">
        <f t="shared" si="3696"/>
        <v>0</v>
      </c>
      <c r="DB1605" s="476">
        <f t="shared" si="3696"/>
        <v>0</v>
      </c>
      <c r="DC1605" s="682">
        <f t="shared" si="3696"/>
        <v>0</v>
      </c>
      <c r="DD1605" s="331"/>
      <c r="DE1605" s="331"/>
      <c r="DF1605" s="502"/>
      <c r="DG1605" s="503"/>
      <c r="DH1605" s="2577"/>
      <c r="DI1605" s="3213"/>
      <c r="DJ1605" s="502"/>
      <c r="DK1605" s="503"/>
      <c r="DL1605" s="502"/>
      <c r="DM1605" s="502"/>
      <c r="DN1605" s="502"/>
      <c r="DO1605" s="502"/>
      <c r="DP1605" s="503"/>
      <c r="DQ1605" s="503"/>
      <c r="DR1605" s="296"/>
      <c r="DS1605" s="296"/>
      <c r="DT1605" s="296"/>
    </row>
    <row r="1606" spans="1:124" ht="12.75" customHeight="1" x14ac:dyDescent="0.25">
      <c r="A1606" s="428"/>
      <c r="B1606" s="281"/>
      <c r="C1606" s="572"/>
      <c r="D1606" s="572"/>
      <c r="E1606" s="572"/>
      <c r="F1606" s="572"/>
      <c r="G1606" s="573"/>
      <c r="H1606" s="572"/>
      <c r="I1606" s="572"/>
      <c r="J1606" s="572"/>
      <c r="K1606" s="572"/>
      <c r="L1606" s="573"/>
      <c r="M1606" s="572"/>
      <c r="N1606" s="572"/>
      <c r="O1606" s="572"/>
      <c r="P1606" s="572"/>
      <c r="Q1606" s="573"/>
      <c r="R1606" s="572"/>
      <c r="S1606" s="572"/>
      <c r="T1606" s="572"/>
      <c r="U1606" s="572"/>
      <c r="V1606" s="573"/>
      <c r="W1606" s="452"/>
      <c r="X1606" s="452"/>
      <c r="Y1606" s="452"/>
      <c r="Z1606" s="452"/>
      <c r="AA1606" s="475"/>
      <c r="AB1606" s="452"/>
      <c r="AC1606" s="452"/>
      <c r="AD1606" s="452"/>
      <c r="AE1606" s="476"/>
      <c r="AF1606" s="475"/>
      <c r="AG1606" s="476"/>
      <c r="AH1606" s="476"/>
      <c r="AI1606" s="476"/>
      <c r="AJ1606" s="476"/>
      <c r="AK1606" s="475"/>
      <c r="AL1606" s="452"/>
      <c r="AM1606" s="452"/>
      <c r="AN1606" s="452"/>
      <c r="AO1606" s="452"/>
      <c r="AP1606" s="584"/>
      <c r="AQ1606" s="584"/>
      <c r="AR1606" s="452"/>
      <c r="AS1606" s="452"/>
      <c r="AT1606" s="452"/>
      <c r="AU1606" s="1695"/>
      <c r="AV1606" s="1914"/>
      <c r="AW1606" s="1842"/>
      <c r="AX1606" s="1842"/>
      <c r="AY1606" s="452"/>
      <c r="AZ1606" s="1695"/>
      <c r="BA1606" s="1914"/>
      <c r="BB1606" s="1842"/>
      <c r="BC1606" s="1842"/>
      <c r="BD1606" s="1908"/>
      <c r="BE1606" s="475"/>
      <c r="BF1606" s="1842"/>
      <c r="BG1606" s="1842"/>
      <c r="BH1606" s="1842"/>
      <c r="BI1606" s="1908"/>
      <c r="BJ1606" s="475"/>
      <c r="BK1606" s="1842"/>
      <c r="BL1606" s="1842"/>
      <c r="BM1606" s="1842"/>
      <c r="BN1606" s="1908"/>
      <c r="BO1606" s="475"/>
      <c r="BP1606" s="1842"/>
      <c r="BQ1606" s="1842"/>
      <c r="BR1606" s="1842"/>
      <c r="BS1606" s="1842"/>
      <c r="BT1606" s="3239"/>
      <c r="BU1606" s="1842"/>
      <c r="BV1606" s="1842"/>
      <c r="BW1606" s="1842"/>
      <c r="BX1606" s="1842"/>
      <c r="BY1606" s="3239"/>
      <c r="BZ1606" s="475"/>
      <c r="CA1606" s="475"/>
      <c r="CB1606" s="475"/>
      <c r="CC1606" s="475"/>
      <c r="CD1606" s="475"/>
      <c r="CE1606" s="475"/>
      <c r="CF1606" s="475"/>
      <c r="CG1606" s="331"/>
      <c r="CH1606" s="331"/>
      <c r="CI1606" s="331"/>
      <c r="CJ1606" s="331"/>
      <c r="CK1606" s="331"/>
      <c r="CL1606" s="520"/>
      <c r="CM1606" s="476"/>
      <c r="CN1606" s="476"/>
      <c r="CO1606" s="476"/>
      <c r="CP1606" s="476"/>
      <c r="CQ1606" s="476"/>
      <c r="CR1606" s="476"/>
      <c r="CS1606" s="476"/>
      <c r="CT1606" s="476"/>
      <c r="CU1606" s="476"/>
      <c r="CV1606" s="476"/>
      <c r="CW1606" s="476"/>
      <c r="CX1606" s="476"/>
      <c r="CY1606" s="476"/>
      <c r="CZ1606" s="476"/>
      <c r="DA1606" s="476"/>
      <c r="DB1606" s="476"/>
      <c r="DC1606" s="682"/>
      <c r="DD1606" s="331"/>
      <c r="DE1606" s="331"/>
      <c r="DF1606" s="502"/>
      <c r="DG1606" s="503"/>
      <c r="DH1606" s="2577"/>
      <c r="DI1606" s="3213"/>
      <c r="DJ1606" s="502"/>
      <c r="DK1606" s="503"/>
      <c r="DL1606" s="502"/>
      <c r="DM1606" s="502"/>
      <c r="DN1606" s="502"/>
      <c r="DO1606" s="502"/>
      <c r="DP1606" s="503"/>
      <c r="DQ1606" s="503"/>
      <c r="DR1606" s="296"/>
      <c r="DS1606" s="296"/>
      <c r="DT1606" s="296"/>
    </row>
    <row r="1607" spans="1:124" ht="12.75" hidden="1" customHeight="1" outlineLevel="1" x14ac:dyDescent="0.25">
      <c r="A1607" s="312" t="s">
        <v>1784</v>
      </c>
      <c r="B1607" s="281"/>
      <c r="C1607" s="565">
        <v>0</v>
      </c>
      <c r="D1607" s="565">
        <v>0</v>
      </c>
      <c r="E1607" s="565">
        <v>0</v>
      </c>
      <c r="F1607" s="565">
        <v>0</v>
      </c>
      <c r="G1607" s="574">
        <v>0</v>
      </c>
      <c r="H1607" s="565">
        <v>0</v>
      </c>
      <c r="I1607" s="565">
        <v>0</v>
      </c>
      <c r="J1607" s="565">
        <v>0</v>
      </c>
      <c r="K1607" s="565">
        <v>0</v>
      </c>
      <c r="L1607" s="574">
        <v>0</v>
      </c>
      <c r="M1607" s="565">
        <v>0</v>
      </c>
      <c r="N1607" s="565">
        <v>0</v>
      </c>
      <c r="O1607" s="565">
        <v>0</v>
      </c>
      <c r="P1607" s="565">
        <v>0</v>
      </c>
      <c r="Q1607" s="574">
        <v>0</v>
      </c>
      <c r="R1607" s="565">
        <v>0</v>
      </c>
      <c r="S1607" s="565">
        <v>0</v>
      </c>
      <c r="T1607" s="565">
        <v>0</v>
      </c>
      <c r="U1607" s="565">
        <v>16.25</v>
      </c>
      <c r="V1607" s="447">
        <f>U1607</f>
        <v>16.25</v>
      </c>
      <c r="W1607" s="565">
        <v>16.25</v>
      </c>
      <c r="X1607" s="565">
        <v>16.25</v>
      </c>
      <c r="Y1607" s="565">
        <v>16.25</v>
      </c>
      <c r="Z1607" s="565">
        <v>20.3125</v>
      </c>
      <c r="AA1607" s="447">
        <f>SUM(W1607:Z1607)</f>
        <v>69.0625</v>
      </c>
      <c r="AB1607" s="565">
        <v>20.3125</v>
      </c>
      <c r="AC1607" s="565">
        <v>20.3125</v>
      </c>
      <c r="AD1607" s="565">
        <v>20.3125</v>
      </c>
      <c r="AE1607" s="563">
        <v>0</v>
      </c>
      <c r="AF1607" s="447">
        <f>SUM(AB1607:AE1607)</f>
        <v>60.9375</v>
      </c>
      <c r="AG1607" s="563">
        <v>0</v>
      </c>
      <c r="AH1607" s="563">
        <v>0</v>
      </c>
      <c r="AI1607" s="563">
        <v>0</v>
      </c>
      <c r="AJ1607" s="563">
        <v>0</v>
      </c>
      <c r="AK1607" s="447">
        <f>SUM(AG1607:AJ1607)</f>
        <v>0</v>
      </c>
      <c r="AL1607" s="563">
        <v>0</v>
      </c>
      <c r="AM1607" s="563">
        <v>0</v>
      </c>
      <c r="AN1607" s="563">
        <v>0</v>
      </c>
      <c r="AO1607" s="563">
        <v>0</v>
      </c>
      <c r="AP1607" s="582">
        <f>SUM(AL1607:AO1607)</f>
        <v>0</v>
      </c>
      <c r="AQ1607" s="582">
        <v>0</v>
      </c>
      <c r="AR1607" s="446">
        <v>0</v>
      </c>
      <c r="AS1607" s="446">
        <v>0</v>
      </c>
      <c r="AT1607" s="446">
        <v>0</v>
      </c>
      <c r="AU1607" s="1693">
        <f>SUM(AQ1607:AT1607)</f>
        <v>0</v>
      </c>
      <c r="AV1607" s="582">
        <v>0</v>
      </c>
      <c r="AW1607" s="446">
        <v>0</v>
      </c>
      <c r="AX1607" s="446">
        <v>0</v>
      </c>
      <c r="AY1607" s="446">
        <v>0</v>
      </c>
      <c r="AZ1607" s="1693">
        <f>SUM(AV1607:AY1607)</f>
        <v>0</v>
      </c>
      <c r="BA1607" s="582">
        <v>0</v>
      </c>
      <c r="BB1607" s="446">
        <v>0</v>
      </c>
      <c r="BC1607" s="446">
        <v>0</v>
      </c>
      <c r="BD1607" s="856">
        <v>0</v>
      </c>
      <c r="BE1607" s="1693">
        <f>SUM(BA1607:BD1607)</f>
        <v>0</v>
      </c>
      <c r="BF1607" s="446">
        <v>0</v>
      </c>
      <c r="BG1607" s="446">
        <v>0</v>
      </c>
      <c r="BH1607" s="446">
        <v>0</v>
      </c>
      <c r="BI1607" s="856">
        <v>0</v>
      </c>
      <c r="BJ1607" s="1693">
        <f>SUM(BF1607:BI1607)</f>
        <v>0</v>
      </c>
      <c r="BK1607" s="446">
        <v>0</v>
      </c>
      <c r="BL1607" s="446">
        <v>0</v>
      </c>
      <c r="BM1607" s="446">
        <v>0</v>
      </c>
      <c r="BN1607" s="856">
        <v>0</v>
      </c>
      <c r="BO1607" s="1693">
        <f>SUM(BK1607:BN1607)</f>
        <v>0</v>
      </c>
      <c r="BP1607" s="446">
        <v>0</v>
      </c>
      <c r="BQ1607" s="446">
        <v>0</v>
      </c>
      <c r="BR1607" s="446">
        <v>0</v>
      </c>
      <c r="BS1607" s="446">
        <v>0</v>
      </c>
      <c r="BT1607" s="3066">
        <f>SUM(BP1607:BS1607)</f>
        <v>0</v>
      </c>
      <c r="BU1607" s="3067">
        <v>0</v>
      </c>
      <c r="BV1607" s="3067">
        <v>0</v>
      </c>
      <c r="BW1607" s="3067">
        <v>0</v>
      </c>
      <c r="BX1607" s="3067">
        <v>0</v>
      </c>
      <c r="BY1607" s="3066">
        <f>SUM(BU1607:BX1607)</f>
        <v>0</v>
      </c>
      <c r="BZ1607" s="564">
        <v>0</v>
      </c>
      <c r="CA1607" s="564">
        <v>0</v>
      </c>
      <c r="CB1607" s="564">
        <v>0</v>
      </c>
      <c r="CC1607" s="564">
        <v>0</v>
      </c>
      <c r="CD1607" s="564">
        <v>0</v>
      </c>
      <c r="CE1607" s="564">
        <v>0</v>
      </c>
      <c r="CF1607" s="564">
        <v>0</v>
      </c>
      <c r="CG1607" s="331"/>
      <c r="CH1607" s="331"/>
      <c r="CI1607" s="331"/>
      <c r="CJ1607" s="331"/>
      <c r="CK1607" s="331"/>
      <c r="CL1607" s="2025" t="str">
        <f>A1607</f>
        <v>Quarterly principal payments - TLA</v>
      </c>
      <c r="CM1607" s="454">
        <f>G1607</f>
        <v>0</v>
      </c>
      <c r="CN1607" s="454">
        <f>L1607</f>
        <v>0</v>
      </c>
      <c r="CO1607" s="454">
        <f>Q1607</f>
        <v>0</v>
      </c>
      <c r="CP1607" s="454">
        <f>V1607</f>
        <v>16.25</v>
      </c>
      <c r="CQ1607" s="454">
        <f>AA1607</f>
        <v>69.0625</v>
      </c>
      <c r="CR1607" s="454">
        <f>AF1607</f>
        <v>60.9375</v>
      </c>
      <c r="CS1607" s="454">
        <f>AK1607</f>
        <v>0</v>
      </c>
      <c r="CT1607" s="454">
        <f>AP1607</f>
        <v>0</v>
      </c>
      <c r="CU1607" s="454">
        <f>AU1607</f>
        <v>0</v>
      </c>
      <c r="CV1607" s="454">
        <f>AZ1607</f>
        <v>0</v>
      </c>
      <c r="CW1607" s="454">
        <f>BE1607</f>
        <v>0</v>
      </c>
      <c r="CX1607" s="454">
        <f>BJ1607</f>
        <v>0</v>
      </c>
      <c r="CY1607" s="454">
        <f>BO1607</f>
        <v>0</v>
      </c>
      <c r="CZ1607" s="454">
        <f>BT1607</f>
        <v>0</v>
      </c>
      <c r="DA1607" s="454">
        <f t="shared" ref="DA1607:DC1611" si="3699">BY1607</f>
        <v>0</v>
      </c>
      <c r="DB1607" s="454">
        <f t="shared" si="3699"/>
        <v>0</v>
      </c>
      <c r="DC1607" s="1666">
        <f t="shared" si="3699"/>
        <v>0</v>
      </c>
      <c r="DD1607" s="331"/>
      <c r="DE1607" s="331"/>
      <c r="DF1607" s="502"/>
      <c r="DG1607" s="503"/>
      <c r="DH1607" s="2915"/>
      <c r="DI1607" s="3213"/>
      <c r="DJ1607" s="502"/>
      <c r="DK1607" s="503"/>
      <c r="DL1607" s="502"/>
      <c r="DM1607" s="502"/>
      <c r="DN1607" s="502"/>
      <c r="DO1607" s="502"/>
      <c r="DP1607" s="503"/>
      <c r="DQ1607" s="503"/>
      <c r="DR1607" s="296"/>
      <c r="DS1607" s="296"/>
      <c r="DT1607" s="296"/>
    </row>
    <row r="1608" spans="1:124" ht="12.75" hidden="1" customHeight="1" outlineLevel="1" x14ac:dyDescent="0.25">
      <c r="A1608" s="705" t="s">
        <v>1785</v>
      </c>
      <c r="B1608" s="281"/>
      <c r="C1608" s="565">
        <v>0.97499999999999998</v>
      </c>
      <c r="D1608" s="565">
        <v>0.97499999999999998</v>
      </c>
      <c r="E1608" s="565">
        <v>0.97499999999999998</v>
      </c>
      <c r="F1608" s="565">
        <v>0.97499999999999998</v>
      </c>
      <c r="G1608" s="447">
        <f>SUM(C1608:F1608)</f>
        <v>3.9</v>
      </c>
      <c r="H1608" s="565">
        <v>0.97499999999999998</v>
      </c>
      <c r="I1608" s="565">
        <v>0</v>
      </c>
      <c r="J1608" s="565">
        <v>0</v>
      </c>
      <c r="K1608" s="565">
        <v>4.125</v>
      </c>
      <c r="L1608" s="447">
        <f>SUM(H1608:K1608)</f>
        <v>5.0999999999999996</v>
      </c>
      <c r="M1608" s="565">
        <v>4.125</v>
      </c>
      <c r="N1608" s="565">
        <v>4.125</v>
      </c>
      <c r="O1608" s="565">
        <v>4.125</v>
      </c>
      <c r="P1608" s="565">
        <v>4.125</v>
      </c>
      <c r="Q1608" s="447">
        <f>SUM(M1608:P1608)</f>
        <v>16.5</v>
      </c>
      <c r="R1608" s="565">
        <v>4.125</v>
      </c>
      <c r="S1608" s="565">
        <v>4.125</v>
      </c>
      <c r="T1608" s="565">
        <v>4.125</v>
      </c>
      <c r="U1608" s="565">
        <v>4.125</v>
      </c>
      <c r="V1608" s="447">
        <f>SUM(R1608:U1608)</f>
        <v>16.5</v>
      </c>
      <c r="W1608" s="565">
        <v>4.125</v>
      </c>
      <c r="X1608" s="565">
        <v>4.125</v>
      </c>
      <c r="Y1608" s="565">
        <v>4.125</v>
      </c>
      <c r="Z1608" s="565">
        <v>4.125</v>
      </c>
      <c r="AA1608" s="447">
        <f>SUM(W1608:Z1608)</f>
        <v>16.5</v>
      </c>
      <c r="AB1608" s="565">
        <v>4.125</v>
      </c>
      <c r="AC1608" s="565">
        <v>4.125</v>
      </c>
      <c r="AD1608" s="565">
        <v>4.125</v>
      </c>
      <c r="AE1608" s="563">
        <v>4.125</v>
      </c>
      <c r="AF1608" s="447">
        <f>SUM(AB1608:AE1608)</f>
        <v>16.5</v>
      </c>
      <c r="AG1608" s="563">
        <v>4.125</v>
      </c>
      <c r="AH1608" s="563">
        <v>4.125</v>
      </c>
      <c r="AI1608" s="563">
        <v>4.125</v>
      </c>
      <c r="AJ1608" s="563">
        <v>4.125</v>
      </c>
      <c r="AK1608" s="447">
        <f>SUM(AG1608:AJ1608)</f>
        <v>16.5</v>
      </c>
      <c r="AL1608" s="563">
        <v>4.125</v>
      </c>
      <c r="AM1608" s="563">
        <v>4.125</v>
      </c>
      <c r="AN1608" s="563">
        <v>4.125</v>
      </c>
      <c r="AO1608" s="563">
        <v>4.125</v>
      </c>
      <c r="AP1608" s="582">
        <f>SUM(AL1608:AO1608)</f>
        <v>16.5</v>
      </c>
      <c r="AQ1608" s="2090">
        <v>4.125</v>
      </c>
      <c r="AR1608" s="565">
        <v>4.125</v>
      </c>
      <c r="AS1608" s="565">
        <v>4.125</v>
      </c>
      <c r="AT1608" s="565">
        <v>4.125</v>
      </c>
      <c r="AU1608" s="1700">
        <f>SUM(AQ1608:AT1608)</f>
        <v>16.5</v>
      </c>
      <c r="AV1608" s="2090">
        <v>4.125</v>
      </c>
      <c r="AW1608" s="446">
        <v>4.125</v>
      </c>
      <c r="AX1608" s="446">
        <v>4.125</v>
      </c>
      <c r="AY1608" s="565">
        <v>4.125</v>
      </c>
      <c r="AZ1608" s="1700">
        <f>SUM(AV1608:AY1608)</f>
        <v>16.5</v>
      </c>
      <c r="BA1608" s="582">
        <v>4.125</v>
      </c>
      <c r="BB1608" s="446">
        <v>4.125</v>
      </c>
      <c r="BC1608" s="446">
        <v>4.125</v>
      </c>
      <c r="BD1608" s="856">
        <v>4.125</v>
      </c>
      <c r="BE1608" s="1700">
        <f>SUM(BA1608:BD1608)</f>
        <v>16.5</v>
      </c>
      <c r="BF1608" s="446">
        <v>4.125</v>
      </c>
      <c r="BG1608" s="446">
        <v>4.125</v>
      </c>
      <c r="BH1608" s="446">
        <v>4.125</v>
      </c>
      <c r="BI1608" s="856">
        <v>4.125</v>
      </c>
      <c r="BJ1608" s="1700">
        <f>SUM(BF1608:BI1608)</f>
        <v>16.5</v>
      </c>
      <c r="BK1608" s="446">
        <v>4.125</v>
      </c>
      <c r="BL1608" s="446">
        <v>4.125</v>
      </c>
      <c r="BM1608" s="446">
        <v>4.125</v>
      </c>
      <c r="BN1608" s="856">
        <v>4.125</v>
      </c>
      <c r="BO1608" s="1700">
        <f>SUM(BK1608:BN1608)</f>
        <v>16.5</v>
      </c>
      <c r="BP1608" s="446">
        <v>4.125</v>
      </c>
      <c r="BQ1608" s="446">
        <v>4.125</v>
      </c>
      <c r="BR1608" s="446">
        <v>4.125</v>
      </c>
      <c r="BS1608" s="446">
        <v>4.125</v>
      </c>
      <c r="BT1608" s="3068">
        <f>SUM(BP1608:BS1608)</f>
        <v>16.5</v>
      </c>
      <c r="BU1608" s="3067">
        <v>4.125</v>
      </c>
      <c r="BV1608" s="3067">
        <v>4.125</v>
      </c>
      <c r="BW1608" s="3067">
        <v>4.125</v>
      </c>
      <c r="BX1608" s="3067">
        <v>4.125</v>
      </c>
      <c r="BY1608" s="3068">
        <f>SUM(BU1608:BX1608)</f>
        <v>16.5</v>
      </c>
      <c r="BZ1608" s="447">
        <f t="shared" ref="BZ1608:CF1608" si="3700">4.125*4</f>
        <v>16.5</v>
      </c>
      <c r="CA1608" s="447">
        <f t="shared" si="3700"/>
        <v>16.5</v>
      </c>
      <c r="CB1608" s="447">
        <f t="shared" si="3700"/>
        <v>16.5</v>
      </c>
      <c r="CC1608" s="447">
        <f t="shared" si="3700"/>
        <v>16.5</v>
      </c>
      <c r="CD1608" s="447">
        <f t="shared" si="3700"/>
        <v>16.5</v>
      </c>
      <c r="CE1608" s="447">
        <f t="shared" si="3700"/>
        <v>16.5</v>
      </c>
      <c r="CF1608" s="447">
        <f t="shared" si="3700"/>
        <v>16.5</v>
      </c>
      <c r="CG1608" s="331"/>
      <c r="CH1608" s="331"/>
      <c r="CI1608" s="331"/>
      <c r="CJ1608" s="331"/>
      <c r="CK1608" s="331"/>
      <c r="CL1608" s="2025" t="str">
        <f>A1608</f>
        <v>Quarterly principal payments - TLB</v>
      </c>
      <c r="CM1608" s="454">
        <f>G1608</f>
        <v>3.9</v>
      </c>
      <c r="CN1608" s="454">
        <f>L1608</f>
        <v>5.0999999999999996</v>
      </c>
      <c r="CO1608" s="454">
        <f>Q1608</f>
        <v>16.5</v>
      </c>
      <c r="CP1608" s="454">
        <f>V1608</f>
        <v>16.5</v>
      </c>
      <c r="CQ1608" s="454">
        <f>AA1608</f>
        <v>16.5</v>
      </c>
      <c r="CR1608" s="454">
        <f>AF1608</f>
        <v>16.5</v>
      </c>
      <c r="CS1608" s="454">
        <f>AK1608</f>
        <v>16.5</v>
      </c>
      <c r="CT1608" s="454">
        <f>AP1608</f>
        <v>16.5</v>
      </c>
      <c r="CU1608" s="454">
        <f>AU1608</f>
        <v>16.5</v>
      </c>
      <c r="CV1608" s="454">
        <f>AZ1608</f>
        <v>16.5</v>
      </c>
      <c r="CW1608" s="454">
        <f>BE1608</f>
        <v>16.5</v>
      </c>
      <c r="CX1608" s="454">
        <f>BJ1608</f>
        <v>16.5</v>
      </c>
      <c r="CY1608" s="454">
        <f>BO1608</f>
        <v>16.5</v>
      </c>
      <c r="CZ1608" s="454">
        <f>BT1608</f>
        <v>16.5</v>
      </c>
      <c r="DA1608" s="454">
        <f t="shared" si="3699"/>
        <v>16.5</v>
      </c>
      <c r="DB1608" s="454">
        <f t="shared" si="3699"/>
        <v>16.5</v>
      </c>
      <c r="DC1608" s="1666">
        <f t="shared" si="3699"/>
        <v>16.5</v>
      </c>
      <c r="DD1608" s="331"/>
      <c r="DE1608" s="331"/>
      <c r="DF1608" s="502"/>
      <c r="DG1608" s="503"/>
      <c r="DH1608" s="2915"/>
      <c r="DI1608" s="3213"/>
      <c r="DJ1608" s="502"/>
      <c r="DK1608" s="503"/>
      <c r="DL1608" s="502"/>
      <c r="DM1608" s="502"/>
      <c r="DN1608" s="502"/>
      <c r="DO1608" s="502"/>
      <c r="DP1608" s="503"/>
      <c r="DQ1608" s="503"/>
      <c r="DR1608" s="296"/>
      <c r="DS1608" s="296"/>
      <c r="DT1608" s="296"/>
    </row>
    <row r="1609" spans="1:124" ht="4.5" hidden="1" customHeight="1" outlineLevel="1" x14ac:dyDescent="0.25">
      <c r="A1609" s="1953"/>
      <c r="B1609" s="291"/>
      <c r="C1609" s="544" t="s">
        <v>1151</v>
      </c>
      <c r="D1609" s="544" t="s">
        <v>1151</v>
      </c>
      <c r="E1609" s="544" t="s">
        <v>1151</v>
      </c>
      <c r="F1609" s="544" t="s">
        <v>1151</v>
      </c>
      <c r="G1609" s="461" t="s">
        <v>1151</v>
      </c>
      <c r="H1609" s="544" t="s">
        <v>1151</v>
      </c>
      <c r="I1609" s="544" t="s">
        <v>1151</v>
      </c>
      <c r="J1609" s="544" t="s">
        <v>1151</v>
      </c>
      <c r="K1609" s="544" t="s">
        <v>1151</v>
      </c>
      <c r="L1609" s="461" t="s">
        <v>1151</v>
      </c>
      <c r="M1609" s="544" t="s">
        <v>1151</v>
      </c>
      <c r="N1609" s="544" t="s">
        <v>1151</v>
      </c>
      <c r="O1609" s="544" t="s">
        <v>1151</v>
      </c>
      <c r="P1609" s="544" t="s">
        <v>1151</v>
      </c>
      <c r="Q1609" s="461" t="s">
        <v>1151</v>
      </c>
      <c r="R1609" s="544" t="s">
        <v>1151</v>
      </c>
      <c r="S1609" s="544" t="s">
        <v>1151</v>
      </c>
      <c r="T1609" s="544" t="s">
        <v>1151</v>
      </c>
      <c r="U1609" s="544" t="s">
        <v>1151</v>
      </c>
      <c r="V1609" s="461" t="s">
        <v>1151</v>
      </c>
      <c r="W1609" s="544" t="s">
        <v>1151</v>
      </c>
      <c r="X1609" s="544" t="s">
        <v>1151</v>
      </c>
      <c r="Y1609" s="544" t="s">
        <v>1151</v>
      </c>
      <c r="Z1609" s="544" t="s">
        <v>1151</v>
      </c>
      <c r="AA1609" s="461" t="s">
        <v>1151</v>
      </c>
      <c r="AB1609" s="544" t="s">
        <v>1151</v>
      </c>
      <c r="AC1609" s="544" t="s">
        <v>1151</v>
      </c>
      <c r="AD1609" s="544" t="s">
        <v>1151</v>
      </c>
      <c r="AE1609" s="544" t="s">
        <v>1151</v>
      </c>
      <c r="AF1609" s="461" t="s">
        <v>1151</v>
      </c>
      <c r="AG1609" s="544" t="s">
        <v>1151</v>
      </c>
      <c r="AH1609" s="544" t="s">
        <v>1151</v>
      </c>
      <c r="AI1609" s="544" t="s">
        <v>1151</v>
      </c>
      <c r="AJ1609" s="544" t="s">
        <v>1151</v>
      </c>
      <c r="AK1609" s="461" t="s">
        <v>1151</v>
      </c>
      <c r="AL1609" s="544" t="s">
        <v>1151</v>
      </c>
      <c r="AM1609" s="544" t="s">
        <v>1151</v>
      </c>
      <c r="AN1609" s="544" t="s">
        <v>1151</v>
      </c>
      <c r="AO1609" s="544" t="s">
        <v>1151</v>
      </c>
      <c r="AP1609" s="461" t="s">
        <v>1151</v>
      </c>
      <c r="AQ1609" s="544" t="s">
        <v>1151</v>
      </c>
      <c r="AR1609" s="544" t="s">
        <v>1151</v>
      </c>
      <c r="AS1609" s="544" t="s">
        <v>1151</v>
      </c>
      <c r="AT1609" s="544" t="s">
        <v>1151</v>
      </c>
      <c r="AU1609" s="461" t="s">
        <v>1151</v>
      </c>
      <c r="AV1609" s="544" t="s">
        <v>1151</v>
      </c>
      <c r="AW1609" s="544" t="s">
        <v>1151</v>
      </c>
      <c r="AX1609" s="544" t="s">
        <v>1151</v>
      </c>
      <c r="AY1609" s="544" t="s">
        <v>1151</v>
      </c>
      <c r="AZ1609" s="461" t="s">
        <v>1151</v>
      </c>
      <c r="BA1609" s="544" t="s">
        <v>1151</v>
      </c>
      <c r="BB1609" s="544" t="s">
        <v>1151</v>
      </c>
      <c r="BC1609" s="544" t="s">
        <v>1151</v>
      </c>
      <c r="BD1609" s="544" t="s">
        <v>1151</v>
      </c>
      <c r="BE1609" s="461" t="s">
        <v>1151</v>
      </c>
      <c r="BF1609" s="544" t="s">
        <v>1151</v>
      </c>
      <c r="BG1609" s="544" t="s">
        <v>1151</v>
      </c>
      <c r="BH1609" s="544" t="s">
        <v>1151</v>
      </c>
      <c r="BI1609" s="544" t="s">
        <v>1151</v>
      </c>
      <c r="BJ1609" s="461" t="s">
        <v>1151</v>
      </c>
      <c r="BK1609" s="544" t="s">
        <v>1151</v>
      </c>
      <c r="BL1609" s="544" t="s">
        <v>1151</v>
      </c>
      <c r="BM1609" s="544" t="s">
        <v>1151</v>
      </c>
      <c r="BN1609" s="544" t="s">
        <v>1151</v>
      </c>
      <c r="BO1609" s="461" t="s">
        <v>1151</v>
      </c>
      <c r="BP1609" s="544" t="s">
        <v>1151</v>
      </c>
      <c r="BQ1609" s="544" t="s">
        <v>1151</v>
      </c>
      <c r="BR1609" s="544" t="s">
        <v>1151</v>
      </c>
      <c r="BS1609" s="544" t="s">
        <v>1151</v>
      </c>
      <c r="BT1609" s="461" t="s">
        <v>1151</v>
      </c>
      <c r="BU1609" s="544" t="s">
        <v>1151</v>
      </c>
      <c r="BV1609" s="544" t="s">
        <v>1151</v>
      </c>
      <c r="BW1609" s="544" t="s">
        <v>1151</v>
      </c>
      <c r="BX1609" s="544" t="s">
        <v>1151</v>
      </c>
      <c r="BY1609" s="461" t="s">
        <v>1151</v>
      </c>
      <c r="BZ1609" s="461" t="s">
        <v>1151</v>
      </c>
      <c r="CA1609" s="461" t="s">
        <v>1151</v>
      </c>
      <c r="CB1609" s="461" t="s">
        <v>1151</v>
      </c>
      <c r="CC1609" s="461" t="s">
        <v>1151</v>
      </c>
      <c r="CD1609" s="461" t="s">
        <v>1151</v>
      </c>
      <c r="CE1609" s="461" t="s">
        <v>1151</v>
      </c>
      <c r="CF1609" s="461" t="s">
        <v>1151</v>
      </c>
      <c r="CG1609" s="331"/>
      <c r="CH1609" s="331"/>
      <c r="CI1609" s="331"/>
      <c r="CJ1609" s="331"/>
      <c r="CK1609" s="331"/>
      <c r="CL1609" s="2027"/>
      <c r="CM1609" s="2029" t="str">
        <f>G1609</f>
        <v xml:space="preserve">                </v>
      </c>
      <c r="CN1609" s="2029" t="str">
        <f>L1609</f>
        <v xml:space="preserve">                </v>
      </c>
      <c r="CO1609" s="2029" t="str">
        <f>Q1609</f>
        <v xml:space="preserve">                </v>
      </c>
      <c r="CP1609" s="2029" t="str">
        <f>V1609</f>
        <v xml:space="preserve">                </v>
      </c>
      <c r="CQ1609" s="2029" t="str">
        <f>AA1609</f>
        <v xml:space="preserve">                </v>
      </c>
      <c r="CR1609" s="2029" t="str">
        <f>AF1609</f>
        <v xml:space="preserve">                </v>
      </c>
      <c r="CS1609" s="2029" t="str">
        <f>AK1609</f>
        <v xml:space="preserve">                </v>
      </c>
      <c r="CT1609" s="2029" t="str">
        <f>AP1609</f>
        <v xml:space="preserve">                </v>
      </c>
      <c r="CU1609" s="2029" t="str">
        <f>AU1609</f>
        <v xml:space="preserve">                </v>
      </c>
      <c r="CV1609" s="2029" t="str">
        <f>AZ1609</f>
        <v xml:space="preserve">                </v>
      </c>
      <c r="CW1609" s="2029" t="str">
        <f>BE1609</f>
        <v xml:space="preserve">                </v>
      </c>
      <c r="CX1609" s="2029" t="str">
        <f>BJ1609</f>
        <v xml:space="preserve">                </v>
      </c>
      <c r="CY1609" s="2029" t="str">
        <f>BO1609</f>
        <v xml:space="preserve">                </v>
      </c>
      <c r="CZ1609" s="2029" t="str">
        <f>BT1609</f>
        <v xml:space="preserve">                </v>
      </c>
      <c r="DA1609" s="2029" t="str">
        <f t="shared" si="3699"/>
        <v xml:space="preserve">                </v>
      </c>
      <c r="DB1609" s="2029" t="str">
        <f t="shared" si="3699"/>
        <v xml:space="preserve">                </v>
      </c>
      <c r="DC1609" s="2030" t="str">
        <f t="shared" si="3699"/>
        <v xml:space="preserve">                </v>
      </c>
      <c r="DD1609" s="331"/>
      <c r="DE1609" s="331"/>
      <c r="DF1609" s="502"/>
      <c r="DG1609" s="503"/>
      <c r="DH1609" s="2029"/>
      <c r="DI1609" s="3213"/>
      <c r="DJ1609" s="502"/>
      <c r="DK1609" s="503"/>
      <c r="DL1609" s="502"/>
      <c r="DM1609" s="502"/>
      <c r="DN1609" s="502"/>
      <c r="DO1609" s="502"/>
      <c r="DP1609" s="503"/>
      <c r="DQ1609" s="503"/>
      <c r="DR1609" s="296"/>
      <c r="DS1609" s="296"/>
      <c r="DT1609" s="296"/>
    </row>
    <row r="1610" spans="1:124" ht="12.75" hidden="1" customHeight="1" outlineLevel="1" x14ac:dyDescent="0.25">
      <c r="A1610" s="705" t="s">
        <v>841</v>
      </c>
      <c r="B1610" s="281"/>
      <c r="C1610" s="446">
        <f t="shared" ref="C1610:J1610" si="3701">SUM(C1607:C1608)</f>
        <v>0.97499999999999998</v>
      </c>
      <c r="D1610" s="446">
        <f t="shared" si="3701"/>
        <v>0.97499999999999998</v>
      </c>
      <c r="E1610" s="446">
        <f t="shared" si="3701"/>
        <v>0.97499999999999998</v>
      </c>
      <c r="F1610" s="446">
        <f t="shared" si="3701"/>
        <v>0.97499999999999998</v>
      </c>
      <c r="G1610" s="447">
        <f t="shared" si="3701"/>
        <v>3.9</v>
      </c>
      <c r="H1610" s="446">
        <f t="shared" si="3701"/>
        <v>0.97499999999999998</v>
      </c>
      <c r="I1610" s="446">
        <f t="shared" si="3701"/>
        <v>0</v>
      </c>
      <c r="J1610" s="446">
        <f t="shared" si="3701"/>
        <v>0</v>
      </c>
      <c r="K1610" s="446">
        <f>SUM(K1607:K1608)</f>
        <v>4.125</v>
      </c>
      <c r="L1610" s="447">
        <f t="shared" ref="L1610:AP1610" si="3702">SUM(L1607:L1608)</f>
        <v>5.0999999999999996</v>
      </c>
      <c r="M1610" s="446">
        <f t="shared" si="3702"/>
        <v>4.125</v>
      </c>
      <c r="N1610" s="446">
        <f t="shared" si="3702"/>
        <v>4.125</v>
      </c>
      <c r="O1610" s="446">
        <f t="shared" si="3702"/>
        <v>4.125</v>
      </c>
      <c r="P1610" s="446">
        <f t="shared" si="3702"/>
        <v>4.125</v>
      </c>
      <c r="Q1610" s="447">
        <f t="shared" si="3702"/>
        <v>16.5</v>
      </c>
      <c r="R1610" s="446">
        <f t="shared" si="3702"/>
        <v>4.125</v>
      </c>
      <c r="S1610" s="446">
        <f t="shared" si="3702"/>
        <v>4.125</v>
      </c>
      <c r="T1610" s="446">
        <f t="shared" si="3702"/>
        <v>4.125</v>
      </c>
      <c r="U1610" s="446">
        <f t="shared" si="3702"/>
        <v>20.375</v>
      </c>
      <c r="V1610" s="447">
        <f t="shared" si="3702"/>
        <v>32.75</v>
      </c>
      <c r="W1610" s="446">
        <f t="shared" si="3702"/>
        <v>20.375</v>
      </c>
      <c r="X1610" s="446">
        <f t="shared" si="3702"/>
        <v>20.375</v>
      </c>
      <c r="Y1610" s="446">
        <f t="shared" si="3702"/>
        <v>20.375</v>
      </c>
      <c r="Z1610" s="446">
        <f t="shared" si="3702"/>
        <v>24.4375</v>
      </c>
      <c r="AA1610" s="447">
        <f t="shared" si="3702"/>
        <v>85.5625</v>
      </c>
      <c r="AB1610" s="446">
        <f t="shared" si="3702"/>
        <v>24.4375</v>
      </c>
      <c r="AC1610" s="446">
        <f t="shared" si="3702"/>
        <v>24.4375</v>
      </c>
      <c r="AD1610" s="446">
        <f t="shared" si="3702"/>
        <v>24.4375</v>
      </c>
      <c r="AE1610" s="454">
        <f t="shared" si="3702"/>
        <v>4.125</v>
      </c>
      <c r="AF1610" s="447">
        <f t="shared" si="3702"/>
        <v>77.4375</v>
      </c>
      <c r="AG1610" s="454">
        <f t="shared" si="3702"/>
        <v>4.125</v>
      </c>
      <c r="AH1610" s="454">
        <f t="shared" si="3702"/>
        <v>4.125</v>
      </c>
      <c r="AI1610" s="454">
        <f t="shared" si="3702"/>
        <v>4.125</v>
      </c>
      <c r="AJ1610" s="454">
        <f t="shared" si="3702"/>
        <v>4.125</v>
      </c>
      <c r="AK1610" s="447">
        <f t="shared" si="3702"/>
        <v>16.5</v>
      </c>
      <c r="AL1610" s="454">
        <f>SUM(AL1607:AL1608)</f>
        <v>4.125</v>
      </c>
      <c r="AM1610" s="454">
        <f>SUM(AM1607:AM1608)</f>
        <v>4.125</v>
      </c>
      <c r="AN1610" s="454">
        <f>SUM(AN1607:AN1608)</f>
        <v>4.125</v>
      </c>
      <c r="AO1610" s="454">
        <f>SUM(AO1607:AO1608)</f>
        <v>4.125</v>
      </c>
      <c r="AP1610" s="582">
        <f t="shared" si="3702"/>
        <v>16.5</v>
      </c>
      <c r="AQ1610" s="582">
        <f>SUM(AQ1607:AQ1608)</f>
        <v>4.125</v>
      </c>
      <c r="AR1610" s="446">
        <f>SUM(AR1607:AR1608)</f>
        <v>4.125</v>
      </c>
      <c r="AS1610" s="446">
        <f>SUM(AS1607:AS1608)</f>
        <v>4.125</v>
      </c>
      <c r="AT1610" s="446">
        <f>SUM(AT1607:AT1608)</f>
        <v>4.125</v>
      </c>
      <c r="AU1610" s="1700">
        <f>SUM(AU1607:AU1608)</f>
        <v>16.5</v>
      </c>
      <c r="AV1610" s="582" t="s">
        <v>553</v>
      </c>
      <c r="AW1610" s="446" t="s">
        <v>553</v>
      </c>
      <c r="AX1610" s="446" t="s">
        <v>553</v>
      </c>
      <c r="AY1610" s="446">
        <f>SUM(AY1607:AY1608)</f>
        <v>4.125</v>
      </c>
      <c r="AZ1610" s="1700">
        <f>SUM(AZ1607:AZ1608)</f>
        <v>16.5</v>
      </c>
      <c r="BA1610" s="582" t="s">
        <v>553</v>
      </c>
      <c r="BB1610" s="446" t="s">
        <v>553</v>
      </c>
      <c r="BC1610" s="446" t="s">
        <v>553</v>
      </c>
      <c r="BD1610" s="856" t="s">
        <v>553</v>
      </c>
      <c r="BE1610" s="447" t="s">
        <v>553</v>
      </c>
      <c r="BF1610" s="446" t="s">
        <v>553</v>
      </c>
      <c r="BG1610" s="446" t="s">
        <v>553</v>
      </c>
      <c r="BH1610" s="446" t="s">
        <v>553</v>
      </c>
      <c r="BI1610" s="856" t="s">
        <v>553</v>
      </c>
      <c r="BJ1610" s="447" t="s">
        <v>553</v>
      </c>
      <c r="BK1610" s="446" t="s">
        <v>553</v>
      </c>
      <c r="BL1610" s="446" t="s">
        <v>553</v>
      </c>
      <c r="BM1610" s="446" t="s">
        <v>553</v>
      </c>
      <c r="BN1610" s="856" t="s">
        <v>553</v>
      </c>
      <c r="BO1610" s="447" t="s">
        <v>553</v>
      </c>
      <c r="BP1610" s="446" t="s">
        <v>553</v>
      </c>
      <c r="BQ1610" s="446" t="s">
        <v>553</v>
      </c>
      <c r="BR1610" s="446" t="s">
        <v>553</v>
      </c>
      <c r="BS1610" s="446" t="s">
        <v>553</v>
      </c>
      <c r="BT1610" s="3068" t="s">
        <v>553</v>
      </c>
      <c r="BU1610" s="3067" t="s">
        <v>553</v>
      </c>
      <c r="BV1610" s="3067" t="s">
        <v>553</v>
      </c>
      <c r="BW1610" s="3067" t="s">
        <v>553</v>
      </c>
      <c r="BX1610" s="3067" t="s">
        <v>553</v>
      </c>
      <c r="BY1610" s="3068" t="s">
        <v>553</v>
      </c>
      <c r="BZ1610" s="447" t="s">
        <v>553</v>
      </c>
      <c r="CA1610" s="447" t="s">
        <v>553</v>
      </c>
      <c r="CB1610" s="447" t="s">
        <v>553</v>
      </c>
      <c r="CC1610" s="447" t="s">
        <v>553</v>
      </c>
      <c r="CD1610" s="447" t="s">
        <v>553</v>
      </c>
      <c r="CE1610" s="447" t="s">
        <v>553</v>
      </c>
      <c r="CF1610" s="447" t="s">
        <v>553</v>
      </c>
      <c r="CG1610" s="741"/>
      <c r="CH1610" s="741"/>
      <c r="CI1610" s="741"/>
      <c r="CJ1610" s="741"/>
      <c r="CK1610" s="741"/>
      <c r="CL1610" s="2025" t="str">
        <f>A1610</f>
        <v>Total</v>
      </c>
      <c r="CM1610" s="454">
        <f>G1610</f>
        <v>3.9</v>
      </c>
      <c r="CN1610" s="454">
        <f>L1610</f>
        <v>5.0999999999999996</v>
      </c>
      <c r="CO1610" s="454">
        <f>Q1610</f>
        <v>16.5</v>
      </c>
      <c r="CP1610" s="454">
        <f>V1610</f>
        <v>32.75</v>
      </c>
      <c r="CQ1610" s="454">
        <f>AA1610</f>
        <v>85.5625</v>
      </c>
      <c r="CR1610" s="454">
        <f>AF1610</f>
        <v>77.4375</v>
      </c>
      <c r="CS1610" s="454">
        <f>AK1610</f>
        <v>16.5</v>
      </c>
      <c r="CT1610" s="454">
        <f>AP1610</f>
        <v>16.5</v>
      </c>
      <c r="CU1610" s="454">
        <f>AU1610</f>
        <v>16.5</v>
      </c>
      <c r="CV1610" s="454">
        <f>AZ1610</f>
        <v>16.5</v>
      </c>
      <c r="CW1610" s="454" t="str">
        <f>BE1610</f>
        <v xml:space="preserve">n/a </v>
      </c>
      <c r="CX1610" s="454" t="str">
        <f>BJ1610</f>
        <v xml:space="preserve">n/a </v>
      </c>
      <c r="CY1610" s="454" t="str">
        <f>BO1610</f>
        <v xml:space="preserve">n/a </v>
      </c>
      <c r="CZ1610" s="454" t="str">
        <f>BT1610</f>
        <v xml:space="preserve">n/a </v>
      </c>
      <c r="DA1610" s="454" t="str">
        <f t="shared" si="3699"/>
        <v xml:space="preserve">n/a </v>
      </c>
      <c r="DB1610" s="454" t="str">
        <f t="shared" si="3699"/>
        <v xml:space="preserve">n/a </v>
      </c>
      <c r="DC1610" s="1666" t="str">
        <f t="shared" si="3699"/>
        <v xml:space="preserve">n/a </v>
      </c>
      <c r="DD1610" s="741"/>
      <c r="DE1610" s="741"/>
      <c r="DF1610" s="742"/>
      <c r="DG1610" s="743"/>
      <c r="DH1610" s="2915"/>
      <c r="DI1610" s="3215"/>
      <c r="DJ1610" s="742"/>
      <c r="DK1610" s="743"/>
      <c r="DL1610" s="742"/>
      <c r="DM1610" s="742"/>
      <c r="DN1610" s="742"/>
      <c r="DO1610" s="742"/>
      <c r="DP1610" s="743"/>
      <c r="DQ1610" s="743"/>
      <c r="DR1610" s="740"/>
      <c r="DS1610" s="740"/>
      <c r="DT1610" s="740"/>
    </row>
    <row r="1611" spans="1:124" ht="12.75" hidden="1" customHeight="1" outlineLevel="1" x14ac:dyDescent="0.25">
      <c r="A1611" s="281" t="s">
        <v>2133</v>
      </c>
      <c r="B1611" s="281"/>
      <c r="C1611" s="563">
        <f>C1610+0.975+0.975+0.975</f>
        <v>3.9</v>
      </c>
      <c r="D1611" s="563">
        <f>D1610+C1610+0.975+0.975</f>
        <v>3.9</v>
      </c>
      <c r="E1611" s="563">
        <f>E1610+D1610+C1610+0.975</f>
        <v>3.9</v>
      </c>
      <c r="F1611" s="446">
        <f>F1610+E1610+D1610+C1610</f>
        <v>3.9</v>
      </c>
      <c r="G1611" s="447">
        <f>F1611</f>
        <v>3.9</v>
      </c>
      <c r="H1611" s="446">
        <f>H1610+F1610+E1610+D1610</f>
        <v>3.9</v>
      </c>
      <c r="I1611" s="446">
        <f>I1610+H1610+F1610+E1610</f>
        <v>2.9249999999999998</v>
      </c>
      <c r="J1611" s="446">
        <f>J1610+I1610+H1610+F1610</f>
        <v>1.95</v>
      </c>
      <c r="K1611" s="446">
        <f>K1610+J1610+I1610+H1610</f>
        <v>5.0999999999999996</v>
      </c>
      <c r="L1611" s="447">
        <f>K1611</f>
        <v>5.0999999999999996</v>
      </c>
      <c r="M1611" s="446">
        <f>M1610+K1610+J1610+I1610</f>
        <v>8.25</v>
      </c>
      <c r="N1611" s="446">
        <f>N1610+M1610+K1610+J1610</f>
        <v>12.375</v>
      </c>
      <c r="O1611" s="446">
        <f>O1610+N1610+M1610+K1610</f>
        <v>16.5</v>
      </c>
      <c r="P1611" s="446">
        <f>P1610+O1610+N1610+M1610</f>
        <v>16.5</v>
      </c>
      <c r="Q1611" s="447">
        <f>P1611</f>
        <v>16.5</v>
      </c>
      <c r="R1611" s="446">
        <f>R1610+P1610+O1610+N1610</f>
        <v>16.5</v>
      </c>
      <c r="S1611" s="446">
        <f>S1610+R1610+P1610+O1610</f>
        <v>16.5</v>
      </c>
      <c r="T1611" s="446">
        <f>T1610+S1610+R1610+P1610</f>
        <v>16.5</v>
      </c>
      <c r="U1611" s="446">
        <f>U1610+T1610+S1610+R1610</f>
        <v>32.75</v>
      </c>
      <c r="V1611" s="447">
        <f>U1611</f>
        <v>32.75</v>
      </c>
      <c r="W1611" s="446">
        <f>W1610+U1610+T1610+S1610</f>
        <v>49</v>
      </c>
      <c r="X1611" s="446">
        <f>X1610+W1610+U1610+T1610</f>
        <v>65.25</v>
      </c>
      <c r="Y1611" s="446">
        <f>Y1610+X1610+W1610+U1610</f>
        <v>81.5</v>
      </c>
      <c r="Z1611" s="446">
        <f>Z1610+Y1610+X1610+W1610</f>
        <v>85.5625</v>
      </c>
      <c r="AA1611" s="447">
        <f>Z1611</f>
        <v>85.5625</v>
      </c>
      <c r="AB1611" s="446">
        <f>AB1610+Z1610+Y1610+X1610</f>
        <v>89.625</v>
      </c>
      <c r="AC1611" s="446">
        <f>AC1610+AB1610+Z1610+Y1610</f>
        <v>93.6875</v>
      </c>
      <c r="AD1611" s="446">
        <f>AD1610+AC1610+AB1610+Z1610</f>
        <v>97.75</v>
      </c>
      <c r="AE1611" s="454">
        <f>AE1610+AD1610+AC1610+AB1610</f>
        <v>77.4375</v>
      </c>
      <c r="AF1611" s="447">
        <f>AE1611</f>
        <v>77.4375</v>
      </c>
      <c r="AG1611" s="454">
        <f>AG1610+AE1610+AD1610+AC1610</f>
        <v>57.125</v>
      </c>
      <c r="AH1611" s="454">
        <f>AH1610+AG1610+AE1610+AD1610</f>
        <v>36.8125</v>
      </c>
      <c r="AI1611" s="454">
        <f>AI1610+AH1610+AG1610+AE1610</f>
        <v>16.5</v>
      </c>
      <c r="AJ1611" s="454">
        <f>AJ1610+AI1610+AH1610+AG1610</f>
        <v>16.5</v>
      </c>
      <c r="AK1611" s="447">
        <f>AJ1611</f>
        <v>16.5</v>
      </c>
      <c r="AL1611" s="430"/>
      <c r="AM1611" s="430"/>
      <c r="AN1611" s="430"/>
      <c r="AO1611" s="430"/>
      <c r="AP1611" s="582">
        <f>AO1611</f>
        <v>0</v>
      </c>
      <c r="AQ1611" s="582"/>
      <c r="AR1611" s="446"/>
      <c r="AS1611" s="446"/>
      <c r="AT1611" s="446"/>
      <c r="AU1611" s="1700">
        <f>AT1611</f>
        <v>0</v>
      </c>
      <c r="AV1611" s="582">
        <f>SUM(AV1607:AV1608)</f>
        <v>4.125</v>
      </c>
      <c r="AW1611" s="446">
        <f>SUM(AW1607:AW1608)</f>
        <v>4.125</v>
      </c>
      <c r="AX1611" s="446">
        <f>SUM(AX1607:AX1608)</f>
        <v>4.125</v>
      </c>
      <c r="AY1611" s="446">
        <f>SUM(AY1607:AY1608)</f>
        <v>4.125</v>
      </c>
      <c r="AZ1611" s="1700">
        <f>AY1611</f>
        <v>4.125</v>
      </c>
      <c r="BA1611" s="582">
        <f>SUM(BA1607:BA1608)</f>
        <v>4.125</v>
      </c>
      <c r="BB1611" s="446">
        <f>SUM(BB1607:BB1608)</f>
        <v>4.125</v>
      </c>
      <c r="BC1611" s="446">
        <f>SUM(BC1607:BC1608)</f>
        <v>4.125</v>
      </c>
      <c r="BD1611" s="856">
        <f>SUM(BD1607:BD1608)</f>
        <v>4.125</v>
      </c>
      <c r="BE1611" s="447">
        <f>SUM(BE1607:BE1608)</f>
        <v>16.5</v>
      </c>
      <c r="BF1611" s="446">
        <f t="shared" ref="BF1611:BO1611" si="3703">SUM(BF1607:BF1608)</f>
        <v>4.125</v>
      </c>
      <c r="BG1611" s="446">
        <f t="shared" si="3703"/>
        <v>4.125</v>
      </c>
      <c r="BH1611" s="446">
        <f t="shared" si="3703"/>
        <v>4.125</v>
      </c>
      <c r="BI1611" s="856">
        <f t="shared" si="3703"/>
        <v>4.125</v>
      </c>
      <c r="BJ1611" s="447">
        <f t="shared" si="3703"/>
        <v>16.5</v>
      </c>
      <c r="BK1611" s="446">
        <f t="shared" si="3703"/>
        <v>4.125</v>
      </c>
      <c r="BL1611" s="446">
        <f t="shared" si="3703"/>
        <v>4.125</v>
      </c>
      <c r="BM1611" s="446">
        <f t="shared" si="3703"/>
        <v>4.125</v>
      </c>
      <c r="BN1611" s="856">
        <f t="shared" si="3703"/>
        <v>4.125</v>
      </c>
      <c r="BO1611" s="447">
        <f t="shared" si="3703"/>
        <v>16.5</v>
      </c>
      <c r="BP1611" s="446">
        <f t="shared" ref="BP1611:CF1611" si="3704">SUM(BP1607:BP1608)</f>
        <v>4.125</v>
      </c>
      <c r="BQ1611" s="446">
        <f t="shared" si="3704"/>
        <v>4.125</v>
      </c>
      <c r="BR1611" s="446">
        <f t="shared" si="3704"/>
        <v>4.125</v>
      </c>
      <c r="BS1611" s="446">
        <f t="shared" si="3704"/>
        <v>4.125</v>
      </c>
      <c r="BT1611" s="3068">
        <f t="shared" si="3704"/>
        <v>16.5</v>
      </c>
      <c r="BU1611" s="3067">
        <f t="shared" si="3704"/>
        <v>4.125</v>
      </c>
      <c r="BV1611" s="3067">
        <f>SUM(BV1607:BV1608)</f>
        <v>4.125</v>
      </c>
      <c r="BW1611" s="3067">
        <f>SUM(BW1607:BW1608)</f>
        <v>4.125</v>
      </c>
      <c r="BX1611" s="3067">
        <f>SUM(BX1607:BX1608)</f>
        <v>4.125</v>
      </c>
      <c r="BY1611" s="3068">
        <f>SUM(BY1607:BY1608)</f>
        <v>16.5</v>
      </c>
      <c r="BZ1611" s="447">
        <f t="shared" si="3704"/>
        <v>16.5</v>
      </c>
      <c r="CA1611" s="447">
        <f t="shared" si="3704"/>
        <v>16.5</v>
      </c>
      <c r="CB1611" s="447">
        <f t="shared" si="3704"/>
        <v>16.5</v>
      </c>
      <c r="CC1611" s="447">
        <f t="shared" si="3704"/>
        <v>16.5</v>
      </c>
      <c r="CD1611" s="447">
        <f t="shared" si="3704"/>
        <v>16.5</v>
      </c>
      <c r="CE1611" s="447">
        <f t="shared" si="3704"/>
        <v>16.5</v>
      </c>
      <c r="CF1611" s="447">
        <f t="shared" si="3704"/>
        <v>16.5</v>
      </c>
      <c r="CG1611" s="331"/>
      <c r="CH1611" s="331"/>
      <c r="CI1611" s="331"/>
      <c r="CJ1611" s="331"/>
      <c r="CK1611" s="331"/>
      <c r="CL1611" s="520" t="str">
        <f>A1611</f>
        <v>LTM scheduled principal payments</v>
      </c>
      <c r="CM1611" s="454">
        <f>G1611</f>
        <v>3.9</v>
      </c>
      <c r="CN1611" s="454">
        <f>L1611</f>
        <v>5.0999999999999996</v>
      </c>
      <c r="CO1611" s="454">
        <f>Q1611</f>
        <v>16.5</v>
      </c>
      <c r="CP1611" s="454">
        <f>V1611</f>
        <v>32.75</v>
      </c>
      <c r="CQ1611" s="454">
        <f>AA1611</f>
        <v>85.5625</v>
      </c>
      <c r="CR1611" s="454">
        <f>AF1611</f>
        <v>77.4375</v>
      </c>
      <c r="CS1611" s="454">
        <f>AK1611</f>
        <v>16.5</v>
      </c>
      <c r="CT1611" s="454">
        <f>AP1611</f>
        <v>0</v>
      </c>
      <c r="CU1611" s="454">
        <f>AU1611</f>
        <v>0</v>
      </c>
      <c r="CV1611" s="454">
        <f>AZ1611</f>
        <v>4.125</v>
      </c>
      <c r="CW1611" s="454">
        <f>BE1611</f>
        <v>16.5</v>
      </c>
      <c r="CX1611" s="454">
        <f>BJ1611</f>
        <v>16.5</v>
      </c>
      <c r="CY1611" s="454">
        <f>BO1611</f>
        <v>16.5</v>
      </c>
      <c r="CZ1611" s="454">
        <f>BT1611</f>
        <v>16.5</v>
      </c>
      <c r="DA1611" s="454">
        <f t="shared" si="3699"/>
        <v>16.5</v>
      </c>
      <c r="DB1611" s="454">
        <f t="shared" si="3699"/>
        <v>16.5</v>
      </c>
      <c r="DC1611" s="1666">
        <f t="shared" si="3699"/>
        <v>16.5</v>
      </c>
      <c r="DD1611" s="331"/>
      <c r="DE1611" s="331"/>
      <c r="DF1611" s="502"/>
      <c r="DG1611" s="503"/>
      <c r="DH1611" s="2915"/>
      <c r="DI1611" s="3213"/>
      <c r="DJ1611" s="502"/>
      <c r="DK1611" s="503"/>
      <c r="DL1611" s="502"/>
      <c r="DM1611" s="502"/>
      <c r="DN1611" s="502"/>
      <c r="DO1611" s="502"/>
      <c r="DP1611" s="503"/>
      <c r="DQ1611" s="503"/>
      <c r="DR1611" s="296"/>
      <c r="DS1611" s="296"/>
      <c r="DT1611" s="296"/>
    </row>
    <row r="1612" spans="1:124" ht="12.75" hidden="1" customHeight="1" outlineLevel="1" x14ac:dyDescent="0.25">
      <c r="A1612" s="281"/>
      <c r="B1612" s="281"/>
      <c r="C1612" s="565"/>
      <c r="D1612" s="565"/>
      <c r="E1612" s="565"/>
      <c r="F1612" s="565"/>
      <c r="G1612" s="447"/>
      <c r="H1612" s="565"/>
      <c r="I1612" s="565"/>
      <c r="J1612" s="565"/>
      <c r="K1612" s="565"/>
      <c r="L1612" s="447"/>
      <c r="M1612" s="509"/>
      <c r="N1612" s="509"/>
      <c r="O1612" s="509"/>
      <c r="P1612" s="509"/>
      <c r="Q1612" s="510"/>
      <c r="R1612" s="509"/>
      <c r="S1612" s="509"/>
      <c r="T1612" s="509"/>
      <c r="U1612" s="509"/>
      <c r="V1612" s="510"/>
      <c r="W1612" s="509"/>
      <c r="X1612" s="509"/>
      <c r="Y1612" s="509"/>
      <c r="Z1612" s="509"/>
      <c r="AA1612" s="510"/>
      <c r="AB1612" s="509"/>
      <c r="AC1612" s="509"/>
      <c r="AD1612" s="509"/>
      <c r="AE1612" s="430"/>
      <c r="AF1612" s="510"/>
      <c r="AG1612" s="430"/>
      <c r="AH1612" s="430"/>
      <c r="AI1612" s="430"/>
      <c r="AJ1612" s="430"/>
      <c r="AK1612" s="510"/>
      <c r="AL1612" s="430"/>
      <c r="AM1612" s="430"/>
      <c r="AN1612" s="430"/>
      <c r="AO1612" s="430"/>
      <c r="AP1612" s="672"/>
      <c r="AQ1612" s="672"/>
      <c r="AR1612" s="509"/>
      <c r="AS1612" s="509"/>
      <c r="AT1612" s="509"/>
      <c r="AU1612" s="1632"/>
      <c r="AV1612" s="1747"/>
      <c r="AW1612" s="1853"/>
      <c r="AX1612" s="1853"/>
      <c r="AY1612" s="509"/>
      <c r="AZ1612" s="1632"/>
      <c r="BA1612" s="1747"/>
      <c r="BB1612" s="1853"/>
      <c r="BC1612" s="1853"/>
      <c r="BD1612" s="1942"/>
      <c r="BE1612" s="510"/>
      <c r="BF1612" s="1853"/>
      <c r="BG1612" s="1853"/>
      <c r="BH1612" s="1853"/>
      <c r="BI1612" s="1942"/>
      <c r="BJ1612" s="510"/>
      <c r="BK1612" s="1853"/>
      <c r="BL1612" s="1853"/>
      <c r="BM1612" s="1853"/>
      <c r="BN1612" s="1942"/>
      <c r="BO1612" s="510"/>
      <c r="BP1612" s="1853"/>
      <c r="BQ1612" s="1853"/>
      <c r="BR1612" s="1853"/>
      <c r="BS1612" s="1853"/>
      <c r="BT1612" s="2842"/>
      <c r="BU1612" s="1853"/>
      <c r="BV1612" s="1853"/>
      <c r="BW1612" s="1853"/>
      <c r="BX1612" s="1853"/>
      <c r="BY1612" s="2842"/>
      <c r="BZ1612" s="510"/>
      <c r="CA1612" s="510"/>
      <c r="CB1612" s="510"/>
      <c r="CC1612" s="510"/>
      <c r="CD1612" s="510"/>
      <c r="CE1612" s="510"/>
      <c r="CF1612" s="510"/>
      <c r="CG1612" s="331"/>
      <c r="CH1612" s="331"/>
      <c r="CI1612" s="331"/>
      <c r="CJ1612" s="331"/>
      <c r="CK1612" s="331"/>
      <c r="CL1612" s="520"/>
      <c r="CM1612" s="430"/>
      <c r="CN1612" s="430"/>
      <c r="CO1612" s="430"/>
      <c r="CP1612" s="430"/>
      <c r="CQ1612" s="430"/>
      <c r="CR1612" s="430"/>
      <c r="CS1612" s="430"/>
      <c r="CT1612" s="430"/>
      <c r="CU1612" s="430"/>
      <c r="CV1612" s="430"/>
      <c r="CW1612" s="430"/>
      <c r="CX1612" s="430"/>
      <c r="CY1612" s="430"/>
      <c r="CZ1612" s="430"/>
      <c r="DA1612" s="430"/>
      <c r="DB1612" s="430"/>
      <c r="DC1612" s="853"/>
      <c r="DD1612" s="331"/>
      <c r="DE1612" s="331"/>
      <c r="DF1612" s="502"/>
      <c r="DG1612" s="503"/>
      <c r="DH1612" s="2840"/>
      <c r="DI1612" s="3213"/>
      <c r="DJ1612" s="502"/>
      <c r="DK1612" s="503"/>
      <c r="DL1612" s="502"/>
      <c r="DM1612" s="502"/>
      <c r="DN1612" s="502"/>
      <c r="DO1612" s="502"/>
      <c r="DP1612" s="503"/>
      <c r="DQ1612" s="503"/>
      <c r="DR1612" s="296"/>
      <c r="DS1612" s="296"/>
      <c r="DT1612" s="296"/>
    </row>
    <row r="1613" spans="1:124" ht="12.75" hidden="1" customHeight="1" outlineLevel="1" x14ac:dyDescent="0.25">
      <c r="A1613" s="312" t="s">
        <v>973</v>
      </c>
      <c r="B1613" s="281"/>
      <c r="C1613" s="565">
        <v>0</v>
      </c>
      <c r="D1613" s="565">
        <v>8.3109999999999999</v>
      </c>
      <c r="E1613" s="565">
        <f>13.079-D1613-C1613</f>
        <v>4.7680000000000007</v>
      </c>
      <c r="F1613" s="565">
        <f>13.388-E1613-D1613-C1613</f>
        <v>0.30899999999999928</v>
      </c>
      <c r="G1613" s="447">
        <f>SUM(C1613:F1613)</f>
        <v>13.388</v>
      </c>
      <c r="H1613" s="565">
        <v>7.4999999999999997E-2</v>
      </c>
      <c r="I1613" s="565">
        <f>21.275-H1613</f>
        <v>21.2</v>
      </c>
      <c r="J1613" s="565">
        <f>21.456-I1613-H1613</f>
        <v>0.18100000000000022</v>
      </c>
      <c r="K1613" s="565">
        <f>92.971-J1613-I1613-H1613</f>
        <v>71.515000000000001</v>
      </c>
      <c r="L1613" s="447">
        <f>SUM(H1613:K1613)</f>
        <v>92.971000000000004</v>
      </c>
      <c r="M1613" s="480">
        <v>3.052</v>
      </c>
      <c r="N1613" s="480">
        <f>68.5-M1613</f>
        <v>65.447999999999993</v>
      </c>
      <c r="O1613" s="480">
        <f>94.069-N1613-M1613</f>
        <v>25.56900000000001</v>
      </c>
      <c r="P1613" s="480">
        <f>127.787-O1613-N1613-M1613</f>
        <v>33.717999999999996</v>
      </c>
      <c r="Q1613" s="447">
        <f>SUM(M1613:P1613)</f>
        <v>127.78700000000001</v>
      </c>
      <c r="R1613" s="480">
        <v>11.308999999999999</v>
      </c>
      <c r="S1613" s="480">
        <f>50.446-R1613</f>
        <v>39.137</v>
      </c>
      <c r="T1613" s="480">
        <f>85.475-S1613-R1613</f>
        <v>35.028999999999996</v>
      </c>
      <c r="U1613" s="480">
        <f>88.546-T1613-S1613-R1613</f>
        <v>3.0710000000000104</v>
      </c>
      <c r="V1613" s="447">
        <f>SUM(R1613:U1613)</f>
        <v>88.546000000000006</v>
      </c>
      <c r="W1613" s="480">
        <v>3.5859999999999999</v>
      </c>
      <c r="X1613" s="480">
        <f>9.934-W1613</f>
        <v>6.347999999999999</v>
      </c>
      <c r="Y1613" s="961">
        <f>135.598-X1613-W1613</f>
        <v>125.664</v>
      </c>
      <c r="Z1613" s="480">
        <f>190.287-Y1613-X1613-W1613</f>
        <v>54.689000000000007</v>
      </c>
      <c r="AA1613" s="447">
        <f>SUM(W1613:Z1613)</f>
        <v>190.28700000000003</v>
      </c>
      <c r="AB1613" s="480">
        <v>0.44500000000000001</v>
      </c>
      <c r="AC1613" s="480">
        <f>54.55-AB1613</f>
        <v>54.104999999999997</v>
      </c>
      <c r="AD1613" s="480">
        <f>58.741-AC1613-AB1613</f>
        <v>4.1910000000000025</v>
      </c>
      <c r="AE1613" s="602">
        <f>AE1616</f>
        <v>-140.761</v>
      </c>
      <c r="AF1613" s="447">
        <f>SUM(AB1613:AE1613)</f>
        <v>-82.02</v>
      </c>
      <c r="AG1613" s="563" t="s">
        <v>553</v>
      </c>
      <c r="AH1613" s="563" t="s">
        <v>553</v>
      </c>
      <c r="AI1613" s="563" t="s">
        <v>553</v>
      </c>
      <c r="AJ1613" s="563" t="s">
        <v>553</v>
      </c>
      <c r="AK1613" s="447">
        <f>SUM(AG1613:AJ1613)</f>
        <v>0</v>
      </c>
      <c r="AL1613" s="563" t="s">
        <v>553</v>
      </c>
      <c r="AM1613" s="454" t="str">
        <f>AL1613</f>
        <v xml:space="preserve">n/a </v>
      </c>
      <c r="AN1613" s="454" t="str">
        <f>AM1613</f>
        <v xml:space="preserve">n/a </v>
      </c>
      <c r="AO1613" s="454" t="str">
        <f>AN1613</f>
        <v xml:space="preserve">n/a </v>
      </c>
      <c r="AP1613" s="582">
        <f>SUM(AL1613:AO1613)</f>
        <v>0</v>
      </c>
      <c r="AQ1613" s="582">
        <f>AP1613</f>
        <v>0</v>
      </c>
      <c r="AR1613" s="446">
        <f>AQ1613</f>
        <v>0</v>
      </c>
      <c r="AS1613" s="446">
        <f>AR1613</f>
        <v>0</v>
      </c>
      <c r="AT1613" s="446">
        <f>AS1613</f>
        <v>0</v>
      </c>
      <c r="AU1613" s="1693">
        <f>SUM(AQ1613:AT1613)</f>
        <v>0</v>
      </c>
      <c r="AV1613" s="582">
        <f>AU1613</f>
        <v>0</v>
      </c>
      <c r="AW1613" s="446">
        <f>AV1613</f>
        <v>0</v>
      </c>
      <c r="AX1613" s="446">
        <f>AW1613</f>
        <v>0</v>
      </c>
      <c r="AY1613" s="446">
        <f>AX1613</f>
        <v>0</v>
      </c>
      <c r="AZ1613" s="1693">
        <f>SUM(AV1613:AY1613)</f>
        <v>0</v>
      </c>
      <c r="BA1613" s="582">
        <f>AZ1613</f>
        <v>0</v>
      </c>
      <c r="BB1613" s="446">
        <f>BA1613</f>
        <v>0</v>
      </c>
      <c r="BC1613" s="446">
        <f>BB1613</f>
        <v>0</v>
      </c>
      <c r="BD1613" s="856">
        <f>BC1613</f>
        <v>0</v>
      </c>
      <c r="BE1613" s="455">
        <f>AZ1613</f>
        <v>0</v>
      </c>
      <c r="BF1613" s="446">
        <f>BE1613</f>
        <v>0</v>
      </c>
      <c r="BG1613" s="446">
        <f>BF1613</f>
        <v>0</v>
      </c>
      <c r="BH1613" s="446">
        <f>BG1613</f>
        <v>0</v>
      </c>
      <c r="BI1613" s="856">
        <f>BH1613</f>
        <v>0</v>
      </c>
      <c r="BJ1613" s="455">
        <f>BE1613</f>
        <v>0</v>
      </c>
      <c r="BK1613" s="454">
        <f>BJ1613</f>
        <v>0</v>
      </c>
      <c r="BL1613" s="446">
        <f>BK1613</f>
        <v>0</v>
      </c>
      <c r="BM1613" s="446">
        <f>BL1613</f>
        <v>0</v>
      </c>
      <c r="BN1613" s="856">
        <f>BM1613</f>
        <v>0</v>
      </c>
      <c r="BO1613" s="455">
        <f>BJ1613</f>
        <v>0</v>
      </c>
      <c r="BP1613" s="446">
        <f>BO1613</f>
        <v>0</v>
      </c>
      <c r="BQ1613" s="446">
        <f>BP1613</f>
        <v>0</v>
      </c>
      <c r="BR1613" s="446">
        <f>BQ1613</f>
        <v>0</v>
      </c>
      <c r="BS1613" s="446">
        <f>BR1613</f>
        <v>0</v>
      </c>
      <c r="BT1613" s="3066">
        <f>BO1613</f>
        <v>0</v>
      </c>
      <c r="BU1613" s="3067">
        <f>BT1613</f>
        <v>0</v>
      </c>
      <c r="BV1613" s="3067">
        <f>BU1613</f>
        <v>0</v>
      </c>
      <c r="BW1613" s="3067">
        <f>BV1613</f>
        <v>0</v>
      </c>
      <c r="BX1613" s="3067">
        <f>BW1613</f>
        <v>0</v>
      </c>
      <c r="BY1613" s="3066">
        <f>BT1613</f>
        <v>0</v>
      </c>
      <c r="BZ1613" s="455">
        <f t="shared" ref="BZ1613:CF1613" si="3705">BY1613</f>
        <v>0</v>
      </c>
      <c r="CA1613" s="455">
        <f t="shared" si="3705"/>
        <v>0</v>
      </c>
      <c r="CB1613" s="455">
        <f t="shared" si="3705"/>
        <v>0</v>
      </c>
      <c r="CC1613" s="455">
        <f t="shared" si="3705"/>
        <v>0</v>
      </c>
      <c r="CD1613" s="455">
        <f t="shared" si="3705"/>
        <v>0</v>
      </c>
      <c r="CE1613" s="455">
        <f t="shared" si="3705"/>
        <v>0</v>
      </c>
      <c r="CF1613" s="455">
        <f t="shared" si="3705"/>
        <v>0</v>
      </c>
      <c r="CG1613" s="741"/>
      <c r="CH1613" s="741"/>
      <c r="CI1613" s="741"/>
      <c r="CJ1613" s="741"/>
      <c r="CK1613" s="741"/>
      <c r="CL1613" s="2025" t="str">
        <f>A1613</f>
        <v>Cash income taxes (paid)</v>
      </c>
      <c r="CM1613" s="454">
        <f>G1613</f>
        <v>13.388</v>
      </c>
      <c r="CN1613" s="454">
        <f>L1613</f>
        <v>92.971000000000004</v>
      </c>
      <c r="CO1613" s="454">
        <f>Q1613</f>
        <v>127.78700000000001</v>
      </c>
      <c r="CP1613" s="454">
        <f>V1613</f>
        <v>88.546000000000006</v>
      </c>
      <c r="CQ1613" s="454">
        <f>AA1613</f>
        <v>190.28700000000003</v>
      </c>
      <c r="CR1613" s="454">
        <f>AF1613</f>
        <v>-82.02</v>
      </c>
      <c r="CS1613" s="454">
        <f>AK1613</f>
        <v>0</v>
      </c>
      <c r="CT1613" s="454">
        <f>AP1613</f>
        <v>0</v>
      </c>
      <c r="CU1613" s="454">
        <f>AU1613</f>
        <v>0</v>
      </c>
      <c r="CV1613" s="454">
        <f>AZ1613</f>
        <v>0</v>
      </c>
      <c r="CW1613" s="454">
        <f>BE1613</f>
        <v>0</v>
      </c>
      <c r="CX1613" s="454">
        <f>BJ1613</f>
        <v>0</v>
      </c>
      <c r="CY1613" s="454">
        <f>BO1613</f>
        <v>0</v>
      </c>
      <c r="CZ1613" s="454">
        <f>BT1613</f>
        <v>0</v>
      </c>
      <c r="DA1613" s="454">
        <f t="shared" ref="DA1613:DC1614" si="3706">BY1613</f>
        <v>0</v>
      </c>
      <c r="DB1613" s="454">
        <f t="shared" si="3706"/>
        <v>0</v>
      </c>
      <c r="DC1613" s="1666">
        <f t="shared" si="3706"/>
        <v>0</v>
      </c>
      <c r="DD1613" s="741"/>
      <c r="DE1613" s="741"/>
      <c r="DF1613" s="742"/>
      <c r="DG1613" s="743"/>
      <c r="DH1613" s="2915"/>
      <c r="DI1613" s="3215"/>
      <c r="DJ1613" s="742"/>
      <c r="DK1613" s="743"/>
      <c r="DL1613" s="742"/>
      <c r="DM1613" s="742"/>
      <c r="DN1613" s="742"/>
      <c r="DO1613" s="742"/>
      <c r="DP1613" s="743"/>
      <c r="DQ1613" s="743"/>
      <c r="DR1613" s="740"/>
      <c r="DS1613" s="740"/>
      <c r="DT1613" s="740"/>
    </row>
    <row r="1614" spans="1:124" ht="12.75" hidden="1" customHeight="1" outlineLevel="1" x14ac:dyDescent="0.25">
      <c r="A1614" s="312" t="s">
        <v>2134</v>
      </c>
      <c r="B1614" s="281"/>
      <c r="C1614" s="563">
        <f>C1613+0+0+0</f>
        <v>0</v>
      </c>
      <c r="D1614" s="563">
        <f>D1613+C1613+0+0</f>
        <v>8.3109999999999999</v>
      </c>
      <c r="E1614" s="563">
        <f>E1613+D1613+C1613+0</f>
        <v>13.079000000000001</v>
      </c>
      <c r="F1614" s="446">
        <f>SUM(C1613:F1613)</f>
        <v>13.388</v>
      </c>
      <c r="G1614" s="447">
        <f>F1614</f>
        <v>13.388</v>
      </c>
      <c r="H1614" s="446">
        <f>H1613+F1613+E1613+D1613</f>
        <v>13.463000000000001</v>
      </c>
      <c r="I1614" s="446">
        <f>I1613+H1613+F1613+E1613</f>
        <v>26.351999999999997</v>
      </c>
      <c r="J1614" s="446">
        <f>J1613+I1613+H1613+F1613</f>
        <v>21.765000000000001</v>
      </c>
      <c r="K1614" s="446">
        <f>K1613+J1613+I1613+H1613</f>
        <v>92.971000000000004</v>
      </c>
      <c r="L1614" s="447">
        <f>K1614</f>
        <v>92.971000000000004</v>
      </c>
      <c r="M1614" s="446">
        <f>M1613+K1613+J1613+I1613</f>
        <v>95.948000000000008</v>
      </c>
      <c r="N1614" s="446">
        <f>N1613+M1613+K1613+J1613</f>
        <v>140.196</v>
      </c>
      <c r="O1614" s="446">
        <f>O1613+N1613+M1613+K1613</f>
        <v>165.584</v>
      </c>
      <c r="P1614" s="446">
        <f>P1613+O1613+N1613+M1613</f>
        <v>127.78700000000001</v>
      </c>
      <c r="Q1614" s="447">
        <f>P1614</f>
        <v>127.78700000000001</v>
      </c>
      <c r="R1614" s="446">
        <f>R1613+P1613+O1613+N1613</f>
        <v>136.04399999999998</v>
      </c>
      <c r="S1614" s="446">
        <f>S1613+R1613+P1613+O1613</f>
        <v>109.733</v>
      </c>
      <c r="T1614" s="446">
        <f>T1613+S1613+R1613+P1613</f>
        <v>119.19299999999998</v>
      </c>
      <c r="U1614" s="446">
        <f>U1613+T1613+S1613+R1613</f>
        <v>88.546000000000006</v>
      </c>
      <c r="V1614" s="447">
        <f>U1614</f>
        <v>88.546000000000006</v>
      </c>
      <c r="W1614" s="446">
        <f>W1613+U1613+T1613+S1613</f>
        <v>80.823000000000008</v>
      </c>
      <c r="X1614" s="446">
        <f>X1613+W1613+U1613+T1613</f>
        <v>48.034000000000006</v>
      </c>
      <c r="Y1614" s="674">
        <f>Y1613+X1613+W1613+U1613</f>
        <v>138.66900000000001</v>
      </c>
      <c r="Z1614" s="446">
        <f>Z1613+Y1613+X1613+W1613</f>
        <v>190.28700000000003</v>
      </c>
      <c r="AA1614" s="447">
        <f>Z1614</f>
        <v>190.28700000000003</v>
      </c>
      <c r="AB1614" s="446">
        <f>AB1613+Z1613+Y1613+X1613</f>
        <v>187.14600000000002</v>
      </c>
      <c r="AC1614" s="446">
        <f>AC1613+AB1613+Z1613+Y1613</f>
        <v>234.90300000000002</v>
      </c>
      <c r="AD1614" s="446">
        <f>AD1613+AC1613+AB1613+Z1613</f>
        <v>113.43</v>
      </c>
      <c r="AE1614" s="454">
        <f>AE1613+AD1613+AC1613+AB1613</f>
        <v>-82.02000000000001</v>
      </c>
      <c r="AF1614" s="447">
        <f>AE1614</f>
        <v>-82.02000000000001</v>
      </c>
      <c r="AG1614" s="430">
        <f>SUM(AG1613)</f>
        <v>0</v>
      </c>
      <c r="AH1614" s="430">
        <f>SUM(AH1613)</f>
        <v>0</v>
      </c>
      <c r="AI1614" s="430">
        <f>SUM(AI1613)</f>
        <v>0</v>
      </c>
      <c r="AJ1614" s="430">
        <f>SUM(AJ1613)</f>
        <v>0</v>
      </c>
      <c r="AK1614" s="447">
        <f>AJ1614</f>
        <v>0</v>
      </c>
      <c r="AL1614" s="430">
        <f>SUM(AL1613)</f>
        <v>0</v>
      </c>
      <c r="AM1614" s="430">
        <f>SUM(AM1613)</f>
        <v>0</v>
      </c>
      <c r="AN1614" s="430">
        <f>SUM(AN1613)</f>
        <v>0</v>
      </c>
      <c r="AO1614" s="430">
        <f>SUM(AO1613)</f>
        <v>0</v>
      </c>
      <c r="AP1614" s="582">
        <f>AO1614</f>
        <v>0</v>
      </c>
      <c r="AQ1614" s="582">
        <f>SUM(AQ1613)</f>
        <v>0</v>
      </c>
      <c r="AR1614" s="446">
        <f>SUM(AR1613)</f>
        <v>0</v>
      </c>
      <c r="AS1614" s="446">
        <f>SUM(AS1613)</f>
        <v>0</v>
      </c>
      <c r="AT1614" s="446">
        <f>SUM(AT1613)</f>
        <v>0</v>
      </c>
      <c r="AU1614" s="1684">
        <f>AT1614</f>
        <v>0</v>
      </c>
      <c r="AV1614" s="582">
        <f>SUM(AV1613)</f>
        <v>0</v>
      </c>
      <c r="AW1614" s="446">
        <f>SUM(AW1613)</f>
        <v>0</v>
      </c>
      <c r="AX1614" s="446">
        <f>SUM(AX1613)</f>
        <v>0</v>
      </c>
      <c r="AY1614" s="446">
        <f>SUM(AY1613)</f>
        <v>0</v>
      </c>
      <c r="AZ1614" s="1684">
        <f>AY1614</f>
        <v>0</v>
      </c>
      <c r="BA1614" s="582">
        <f t="shared" ref="BA1614:CF1614" si="3707">SUM(BA1613)</f>
        <v>0</v>
      </c>
      <c r="BB1614" s="446">
        <f t="shared" si="3707"/>
        <v>0</v>
      </c>
      <c r="BC1614" s="446">
        <f t="shared" si="3707"/>
        <v>0</v>
      </c>
      <c r="BD1614" s="856">
        <f t="shared" si="3707"/>
        <v>0</v>
      </c>
      <c r="BE1614" s="481">
        <f t="shared" si="3707"/>
        <v>0</v>
      </c>
      <c r="BF1614" s="446">
        <f t="shared" si="3707"/>
        <v>0</v>
      </c>
      <c r="BG1614" s="446">
        <f t="shared" si="3707"/>
        <v>0</v>
      </c>
      <c r="BH1614" s="446">
        <f t="shared" si="3707"/>
        <v>0</v>
      </c>
      <c r="BI1614" s="856">
        <f t="shared" si="3707"/>
        <v>0</v>
      </c>
      <c r="BJ1614" s="481">
        <f t="shared" si="3707"/>
        <v>0</v>
      </c>
      <c r="BK1614" s="446">
        <f t="shared" si="3707"/>
        <v>0</v>
      </c>
      <c r="BL1614" s="446">
        <f t="shared" si="3707"/>
        <v>0</v>
      </c>
      <c r="BM1614" s="446">
        <f t="shared" si="3707"/>
        <v>0</v>
      </c>
      <c r="BN1614" s="856">
        <f t="shared" si="3707"/>
        <v>0</v>
      </c>
      <c r="BO1614" s="481">
        <f t="shared" si="3707"/>
        <v>0</v>
      </c>
      <c r="BP1614" s="446">
        <f t="shared" si="3707"/>
        <v>0</v>
      </c>
      <c r="BQ1614" s="446">
        <f t="shared" si="3707"/>
        <v>0</v>
      </c>
      <c r="BR1614" s="446">
        <f t="shared" si="3707"/>
        <v>0</v>
      </c>
      <c r="BS1614" s="446">
        <f t="shared" si="3707"/>
        <v>0</v>
      </c>
      <c r="BT1614" s="2587">
        <f t="shared" si="3707"/>
        <v>0</v>
      </c>
      <c r="BU1614" s="2915">
        <f t="shared" si="3707"/>
        <v>0</v>
      </c>
      <c r="BV1614" s="2915">
        <f t="shared" si="3707"/>
        <v>0</v>
      </c>
      <c r="BW1614" s="3067">
        <f t="shared" si="3707"/>
        <v>0</v>
      </c>
      <c r="BX1614" s="3067">
        <f t="shared" si="3707"/>
        <v>0</v>
      </c>
      <c r="BY1614" s="2587">
        <f>SUM(BY1613)</f>
        <v>0</v>
      </c>
      <c r="BZ1614" s="481">
        <f t="shared" si="3707"/>
        <v>0</v>
      </c>
      <c r="CA1614" s="481">
        <f t="shared" si="3707"/>
        <v>0</v>
      </c>
      <c r="CB1614" s="481">
        <f t="shared" si="3707"/>
        <v>0</v>
      </c>
      <c r="CC1614" s="481">
        <f t="shared" si="3707"/>
        <v>0</v>
      </c>
      <c r="CD1614" s="481">
        <f t="shared" si="3707"/>
        <v>0</v>
      </c>
      <c r="CE1614" s="481">
        <f t="shared" si="3707"/>
        <v>0</v>
      </c>
      <c r="CF1614" s="481">
        <f t="shared" si="3707"/>
        <v>0</v>
      </c>
      <c r="CG1614" s="331"/>
      <c r="CH1614" s="331"/>
      <c r="CI1614" s="331"/>
      <c r="CJ1614" s="331"/>
      <c r="CK1614" s="331"/>
      <c r="CL1614" s="2025" t="str">
        <f>A1614</f>
        <v>LTM cash income taxes (paid)</v>
      </c>
      <c r="CM1614" s="454">
        <f>G1614</f>
        <v>13.388</v>
      </c>
      <c r="CN1614" s="454">
        <f>L1614</f>
        <v>92.971000000000004</v>
      </c>
      <c r="CO1614" s="454">
        <f>Q1614</f>
        <v>127.78700000000001</v>
      </c>
      <c r="CP1614" s="454">
        <f>V1614</f>
        <v>88.546000000000006</v>
      </c>
      <c r="CQ1614" s="454">
        <f>AA1614</f>
        <v>190.28700000000003</v>
      </c>
      <c r="CR1614" s="454">
        <f>AF1614</f>
        <v>-82.02000000000001</v>
      </c>
      <c r="CS1614" s="454">
        <f>AK1614</f>
        <v>0</v>
      </c>
      <c r="CT1614" s="454">
        <f>AP1614</f>
        <v>0</v>
      </c>
      <c r="CU1614" s="454">
        <f>AU1614</f>
        <v>0</v>
      </c>
      <c r="CV1614" s="454">
        <f>AZ1614</f>
        <v>0</v>
      </c>
      <c r="CW1614" s="454">
        <f>BE1614</f>
        <v>0</v>
      </c>
      <c r="CX1614" s="454">
        <f>BJ1614</f>
        <v>0</v>
      </c>
      <c r="CY1614" s="454">
        <f>BO1614</f>
        <v>0</v>
      </c>
      <c r="CZ1614" s="454">
        <f>BT1614</f>
        <v>0</v>
      </c>
      <c r="DA1614" s="454">
        <f t="shared" si="3706"/>
        <v>0</v>
      </c>
      <c r="DB1614" s="454">
        <f t="shared" si="3706"/>
        <v>0</v>
      </c>
      <c r="DC1614" s="1666">
        <f t="shared" si="3706"/>
        <v>0</v>
      </c>
      <c r="DD1614" s="331"/>
      <c r="DE1614" s="331"/>
      <c r="DF1614" s="502"/>
      <c r="DG1614" s="503"/>
      <c r="DH1614" s="2840"/>
      <c r="DI1614" s="3213"/>
      <c r="DJ1614" s="502"/>
      <c r="DK1614" s="503"/>
      <c r="DL1614" s="502"/>
      <c r="DM1614" s="502"/>
      <c r="DN1614" s="502"/>
      <c r="DO1614" s="502"/>
      <c r="DP1614" s="503"/>
      <c r="DQ1614" s="503"/>
      <c r="DR1614" s="296"/>
      <c r="DS1614" s="296"/>
      <c r="DT1614" s="296"/>
    </row>
    <row r="1615" spans="1:124" ht="12.75" hidden="1" customHeight="1" outlineLevel="1" x14ac:dyDescent="0.25">
      <c r="A1615" s="281"/>
      <c r="B1615" s="281"/>
      <c r="C1615" s="565"/>
      <c r="D1615" s="565"/>
      <c r="E1615" s="565"/>
      <c r="F1615" s="446"/>
      <c r="G1615" s="447"/>
      <c r="H1615" s="446"/>
      <c r="I1615" s="446"/>
      <c r="J1615" s="446"/>
      <c r="K1615" s="446"/>
      <c r="L1615" s="447"/>
      <c r="M1615" s="509"/>
      <c r="N1615" s="509"/>
      <c r="O1615" s="509"/>
      <c r="P1615" s="509"/>
      <c r="Q1615" s="447"/>
      <c r="R1615" s="509"/>
      <c r="S1615" s="509"/>
      <c r="T1615" s="509"/>
      <c r="U1615" s="509"/>
      <c r="V1615" s="447"/>
      <c r="W1615" s="509"/>
      <c r="X1615" s="509"/>
      <c r="Y1615" s="605"/>
      <c r="Z1615" s="509"/>
      <c r="AA1615" s="447"/>
      <c r="AB1615" s="509"/>
      <c r="AC1615" s="509"/>
      <c r="AD1615" s="509"/>
      <c r="AE1615" s="430"/>
      <c r="AF1615" s="447"/>
      <c r="AG1615" s="430"/>
      <c r="AH1615" s="430"/>
      <c r="AI1615" s="430"/>
      <c r="AJ1615" s="430"/>
      <c r="AK1615" s="447"/>
      <c r="AL1615" s="430"/>
      <c r="AM1615" s="430"/>
      <c r="AN1615" s="430"/>
      <c r="AO1615" s="430"/>
      <c r="AP1615" s="582"/>
      <c r="AQ1615" s="582"/>
      <c r="AR1615" s="446"/>
      <c r="AS1615" s="446"/>
      <c r="AT1615" s="446"/>
      <c r="AU1615" s="1700"/>
      <c r="AV1615" s="1917"/>
      <c r="AW1615" s="1845"/>
      <c r="AX1615" s="1845"/>
      <c r="AY1615" s="446"/>
      <c r="AZ1615" s="1700"/>
      <c r="BA1615" s="1917"/>
      <c r="BB1615" s="1845"/>
      <c r="BC1615" s="1845"/>
      <c r="BD1615" s="1859"/>
      <c r="BE1615" s="447"/>
      <c r="BF1615" s="1845"/>
      <c r="BG1615" s="1845"/>
      <c r="BH1615" s="1845"/>
      <c r="BI1615" s="1859"/>
      <c r="BJ1615" s="447"/>
      <c r="BK1615" s="1845"/>
      <c r="BL1615" s="1845"/>
      <c r="BM1615" s="1845"/>
      <c r="BN1615" s="1859"/>
      <c r="BO1615" s="447"/>
      <c r="BP1615" s="1845"/>
      <c r="BQ1615" s="1845"/>
      <c r="BR1615" s="1845"/>
      <c r="BS1615" s="1845"/>
      <c r="BT1615" s="3068"/>
      <c r="BU1615" s="3406"/>
      <c r="BV1615" s="3067"/>
      <c r="BW1615" s="1845"/>
      <c r="BX1615" s="3067"/>
      <c r="BY1615" s="3068"/>
      <c r="BZ1615" s="447"/>
      <c r="CA1615" s="447"/>
      <c r="CB1615" s="447"/>
      <c r="CC1615" s="447"/>
      <c r="CD1615" s="447"/>
      <c r="CE1615" s="447"/>
      <c r="CF1615" s="447"/>
      <c r="CG1615" s="331"/>
      <c r="CH1615" s="331"/>
      <c r="CI1615" s="331"/>
      <c r="CJ1615" s="331"/>
      <c r="CK1615" s="331"/>
      <c r="CL1615" s="520"/>
      <c r="CM1615" s="454"/>
      <c r="CN1615" s="454"/>
      <c r="CO1615" s="454"/>
      <c r="CP1615" s="454"/>
      <c r="CQ1615" s="454"/>
      <c r="CR1615" s="454"/>
      <c r="CS1615" s="454"/>
      <c r="CT1615" s="454"/>
      <c r="CU1615" s="454"/>
      <c r="CV1615" s="454"/>
      <c r="CW1615" s="454"/>
      <c r="CX1615" s="454"/>
      <c r="CY1615" s="454"/>
      <c r="CZ1615" s="454"/>
      <c r="DA1615" s="454"/>
      <c r="DB1615" s="454"/>
      <c r="DC1615" s="1666"/>
      <c r="DD1615" s="331"/>
      <c r="DE1615" s="331"/>
      <c r="DF1615" s="502"/>
      <c r="DG1615" s="503"/>
      <c r="DH1615" s="2915"/>
      <c r="DI1615" s="3213"/>
      <c r="DJ1615" s="502"/>
      <c r="DK1615" s="503"/>
      <c r="DL1615" s="502"/>
      <c r="DM1615" s="502"/>
      <c r="DN1615" s="502"/>
      <c r="DO1615" s="502"/>
      <c r="DP1615" s="503"/>
      <c r="DQ1615" s="503"/>
      <c r="DR1615" s="296"/>
      <c r="DS1615" s="296"/>
      <c r="DT1615" s="296"/>
    </row>
    <row r="1616" spans="1:124" ht="12.75" hidden="1" customHeight="1" outlineLevel="1" x14ac:dyDescent="0.25">
      <c r="A1616" s="312" t="s">
        <v>974</v>
      </c>
      <c r="B1616" s="281"/>
      <c r="C1616" s="565">
        <v>10.58</v>
      </c>
      <c r="D1616" s="565">
        <v>14.374000000000001</v>
      </c>
      <c r="E1616" s="565">
        <v>13.41</v>
      </c>
      <c r="F1616" s="565">
        <f>50.288-E1616-D1616-C1616</f>
        <v>11.923999999999998</v>
      </c>
      <c r="G1616" s="447">
        <f>SUM(C1616:F1616)</f>
        <v>50.288000000000004</v>
      </c>
      <c r="H1616" s="565">
        <v>9.3520000000000003</v>
      </c>
      <c r="I1616" s="565">
        <v>7.0549999999999997</v>
      </c>
      <c r="J1616" s="565">
        <v>11.385999999999999</v>
      </c>
      <c r="K1616" s="565">
        <f>54.593-J1616-I1616-H1616</f>
        <v>26.800000000000008</v>
      </c>
      <c r="L1616" s="447">
        <f>SUM(H1616:K1616)</f>
        <v>54.593000000000004</v>
      </c>
      <c r="M1616" s="480">
        <v>29.672999999999998</v>
      </c>
      <c r="N1616" s="480">
        <v>33.000999999999998</v>
      </c>
      <c r="O1616" s="480">
        <v>36.548000000000002</v>
      </c>
      <c r="P1616" s="480">
        <f>156.852-O1616-N1616-M1616</f>
        <v>57.629999999999995</v>
      </c>
      <c r="Q1616" s="447">
        <f>SUM(M1616:P1616)</f>
        <v>156.85199999999998</v>
      </c>
      <c r="R1616" s="480">
        <v>34.18</v>
      </c>
      <c r="S1616" s="480">
        <v>34.957000000000001</v>
      </c>
      <c r="T1616" s="480">
        <v>35.347000000000001</v>
      </c>
      <c r="U1616" s="480">
        <f>132.187-T1616-S1616-R1616</f>
        <v>27.703000000000003</v>
      </c>
      <c r="V1616" s="447">
        <f>SUM(R1616:U1616)</f>
        <v>132.18700000000001</v>
      </c>
      <c r="W1616" s="480">
        <v>31.99</v>
      </c>
      <c r="X1616" s="480">
        <v>31.859000000000002</v>
      </c>
      <c r="Y1616" s="961">
        <v>107.694</v>
      </c>
      <c r="Z1616" s="480">
        <f>105.738-Y1616-X1616-W1616</f>
        <v>-65.805000000000007</v>
      </c>
      <c r="AA1616" s="447">
        <f>SUM(W1616:Z1616)</f>
        <v>105.738</v>
      </c>
      <c r="AB1616" s="480">
        <v>33.816000000000003</v>
      </c>
      <c r="AC1616" s="480">
        <f>22.448</f>
        <v>22.448</v>
      </c>
      <c r="AD1616" s="480">
        <v>24.029</v>
      </c>
      <c r="AE1616" s="602">
        <f>-AE76</f>
        <v>-140.761</v>
      </c>
      <c r="AF1616" s="447">
        <f>SUM(AB1616:AE1616)</f>
        <v>-60.467999999999989</v>
      </c>
      <c r="AG1616" s="482">
        <f>-AG76</f>
        <v>19.901</v>
      </c>
      <c r="AH1616" s="482">
        <f>-AH76</f>
        <v>12.802</v>
      </c>
      <c r="AI1616" s="482">
        <f>-AI76</f>
        <v>34.436999999999998</v>
      </c>
      <c r="AJ1616" s="482">
        <f>-AJ76</f>
        <v>-0.96199999999999997</v>
      </c>
      <c r="AK1616" s="447">
        <f>SUM(AG1616:AJ1616)</f>
        <v>66.177999999999997</v>
      </c>
      <c r="AL1616" s="482">
        <f>-AL76</f>
        <v>38.237000000000002</v>
      </c>
      <c r="AM1616" s="482">
        <f>-AM76</f>
        <v>38.32</v>
      </c>
      <c r="AN1616" s="482">
        <f>-AN76</f>
        <v>38.277999999999999</v>
      </c>
      <c r="AO1616" s="482">
        <f>-AO76</f>
        <v>32.045999999999999</v>
      </c>
      <c r="AP1616" s="582">
        <f>SUM(AL1616:AO1616)</f>
        <v>146.881</v>
      </c>
      <c r="AQ1616" s="582">
        <f>-AQ76</f>
        <v>46.853999999999999</v>
      </c>
      <c r="AR1616" s="446">
        <f>-AR76</f>
        <v>46.298999999999999</v>
      </c>
      <c r="AS1616" s="446">
        <f>-AS76</f>
        <v>31.338000000000001</v>
      </c>
      <c r="AT1616" s="446">
        <f>-AT76</f>
        <v>28.064</v>
      </c>
      <c r="AU1616" s="1693">
        <f>SUM(AQ1616:AT1616)</f>
        <v>152.55499999999998</v>
      </c>
      <c r="AV1616" s="582">
        <f>-AV76</f>
        <v>42.767000000000003</v>
      </c>
      <c r="AW1616" s="446">
        <f>-AW76</f>
        <v>38.567</v>
      </c>
      <c r="AX1616" s="446">
        <f>-AX76</f>
        <v>29.132000000000001</v>
      </c>
      <c r="AY1616" s="446">
        <f>-AY76</f>
        <v>-232.00399999999999</v>
      </c>
      <c r="AZ1616" s="1693">
        <f>SUM(AV1616:AY1616)</f>
        <v>-121.53799999999998</v>
      </c>
      <c r="BA1616" s="582">
        <f>-BA76</f>
        <v>2.0009999999999999</v>
      </c>
      <c r="BB1616" s="446">
        <f>-BB76</f>
        <v>20.111000000000001</v>
      </c>
      <c r="BC1616" s="446">
        <f>-BC76</f>
        <v>20.167000000000002</v>
      </c>
      <c r="BD1616" s="856">
        <f>-BD76</f>
        <v>-11.760000000000005</v>
      </c>
      <c r="BE1616" s="1693">
        <f>SUM(BA1616:BD1616)</f>
        <v>30.518999999999998</v>
      </c>
      <c r="BF1616" s="454">
        <f>-BF76</f>
        <v>10.414999999999999</v>
      </c>
      <c r="BG1616" s="454">
        <f>-BG76</f>
        <v>16.221</v>
      </c>
      <c r="BH1616" s="454">
        <f>-BH76</f>
        <v>35.380000000000003</v>
      </c>
      <c r="BI1616" s="1666">
        <f>-BI76</f>
        <v>-6.0920000000000059</v>
      </c>
      <c r="BJ1616" s="1693">
        <f>SUM(BF1616:BI1616)</f>
        <v>55.923999999999999</v>
      </c>
      <c r="BK1616" s="454">
        <f>-BK76</f>
        <v>7.734</v>
      </c>
      <c r="BL1616" s="454">
        <f>-BL76</f>
        <v>10.804</v>
      </c>
      <c r="BM1616" s="446">
        <f>-BM76</f>
        <v>-9.4730000000000008</v>
      </c>
      <c r="BN1616" s="856">
        <f>-BN76</f>
        <v>2.242</v>
      </c>
      <c r="BO1616" s="1693">
        <f>SUM(BK1616:BN1616)</f>
        <v>11.306999999999999</v>
      </c>
      <c r="BP1616" s="454">
        <f>-BP76</f>
        <v>2.198</v>
      </c>
      <c r="BQ1616" s="454">
        <f>-BQ76</f>
        <v>6.2249999999999996</v>
      </c>
      <c r="BR1616" s="454">
        <f>-BR76</f>
        <v>-759.06399999999996</v>
      </c>
      <c r="BS1616" s="1666">
        <f>-BS76</f>
        <v>252.13399999999999</v>
      </c>
      <c r="BT1616" s="3066">
        <f>SUM(BP1616:BS1616)</f>
        <v>-498.50699999999995</v>
      </c>
      <c r="BU1616" s="454">
        <f>-BU76</f>
        <v>9.9464587612909501</v>
      </c>
      <c r="BV1616" s="454">
        <f>-BV76</f>
        <v>11.62643255560987</v>
      </c>
      <c r="BW1616" s="454">
        <f>-BW76</f>
        <v>19.668111861765823</v>
      </c>
      <c r="BX1616" s="1666">
        <f>-BX76</f>
        <v>13.692516091197694</v>
      </c>
      <c r="BY1616" s="3066">
        <f>SUM(BU1616:BX1616)</f>
        <v>54.933519269864341</v>
      </c>
      <c r="BZ1616" s="455">
        <f t="shared" ref="BZ1616:CF1616" si="3708">BY1616</f>
        <v>54.933519269864341</v>
      </c>
      <c r="CA1616" s="455">
        <f t="shared" si="3708"/>
        <v>54.933519269864341</v>
      </c>
      <c r="CB1616" s="455">
        <f t="shared" si="3708"/>
        <v>54.933519269864341</v>
      </c>
      <c r="CC1616" s="455">
        <f t="shared" si="3708"/>
        <v>54.933519269864341</v>
      </c>
      <c r="CD1616" s="455">
        <f t="shared" si="3708"/>
        <v>54.933519269864341</v>
      </c>
      <c r="CE1616" s="455">
        <f t="shared" si="3708"/>
        <v>54.933519269864341</v>
      </c>
      <c r="CF1616" s="455">
        <f t="shared" si="3708"/>
        <v>54.933519269864341</v>
      </c>
      <c r="CG1616" s="741"/>
      <c r="CH1616" s="741"/>
      <c r="CI1616" s="741"/>
      <c r="CJ1616" s="741"/>
      <c r="CK1616" s="741"/>
      <c r="CL1616" s="2025" t="str">
        <f>A1616</f>
        <v>Accrued income taxes</v>
      </c>
      <c r="CM1616" s="454">
        <f>G1616</f>
        <v>50.288000000000004</v>
      </c>
      <c r="CN1616" s="454">
        <f>L1616</f>
        <v>54.593000000000004</v>
      </c>
      <c r="CO1616" s="454">
        <f>Q1616</f>
        <v>156.85199999999998</v>
      </c>
      <c r="CP1616" s="454">
        <f>V1616</f>
        <v>132.18700000000001</v>
      </c>
      <c r="CQ1616" s="454">
        <f>AA1616</f>
        <v>105.738</v>
      </c>
      <c r="CR1616" s="454">
        <f>AF1616</f>
        <v>-60.467999999999989</v>
      </c>
      <c r="CS1616" s="454">
        <f>AK1616</f>
        <v>66.177999999999997</v>
      </c>
      <c r="CT1616" s="454">
        <f>AP1616</f>
        <v>146.881</v>
      </c>
      <c r="CU1616" s="454">
        <f>AU1616</f>
        <v>152.55499999999998</v>
      </c>
      <c r="CV1616" s="454">
        <f>AZ1616</f>
        <v>-121.53799999999998</v>
      </c>
      <c r="CW1616" s="454">
        <f>BE1616</f>
        <v>30.518999999999998</v>
      </c>
      <c r="CX1616" s="454">
        <f>BJ1616</f>
        <v>55.923999999999999</v>
      </c>
      <c r="CY1616" s="454">
        <f>BO1616</f>
        <v>11.306999999999999</v>
      </c>
      <c r="CZ1616" s="454">
        <f>BT1616</f>
        <v>-498.50699999999995</v>
      </c>
      <c r="DA1616" s="454">
        <f t="shared" ref="DA1616:DC1617" si="3709">BY1616</f>
        <v>54.933519269864341</v>
      </c>
      <c r="DB1616" s="454">
        <f t="shared" si="3709"/>
        <v>54.933519269864341</v>
      </c>
      <c r="DC1616" s="1666">
        <f t="shared" si="3709"/>
        <v>54.933519269864341</v>
      </c>
      <c r="DD1616" s="741"/>
      <c r="DE1616" s="741"/>
      <c r="DF1616" s="742"/>
      <c r="DG1616" s="743"/>
      <c r="DH1616" s="2915"/>
      <c r="DI1616" s="3215"/>
      <c r="DJ1616" s="742"/>
      <c r="DK1616" s="743"/>
      <c r="DL1616" s="742"/>
      <c r="DM1616" s="742"/>
      <c r="DN1616" s="742"/>
      <c r="DO1616" s="742"/>
      <c r="DP1616" s="743"/>
      <c r="DQ1616" s="743"/>
      <c r="DR1616" s="740"/>
      <c r="DS1616" s="740"/>
      <c r="DT1616" s="740"/>
    </row>
    <row r="1617" spans="1:124" ht="12.75" hidden="1" customHeight="1" outlineLevel="1" x14ac:dyDescent="0.25">
      <c r="A1617" s="312" t="s">
        <v>975</v>
      </c>
      <c r="B1617" s="281"/>
      <c r="C1617" s="563">
        <f>C1616+5.631+8.373+9.343</f>
        <v>33.926999999999992</v>
      </c>
      <c r="D1617" s="563">
        <f>D1616+C1616+5.631+8.373</f>
        <v>38.957999999999998</v>
      </c>
      <c r="E1617" s="563">
        <f>E1616+D1616+C1616+5.631</f>
        <v>43.994999999999997</v>
      </c>
      <c r="F1617" s="446">
        <f>SUM(C1616:F1616)</f>
        <v>50.288000000000004</v>
      </c>
      <c r="G1617" s="447">
        <f>F1617</f>
        <v>50.288000000000004</v>
      </c>
      <c r="H1617" s="446">
        <f>H1616+F1616+E1616+D1616</f>
        <v>49.059999999999995</v>
      </c>
      <c r="I1617" s="446">
        <f>I1616+H1616+F1616+E1616</f>
        <v>41.741</v>
      </c>
      <c r="J1617" s="446">
        <f>J1616+I1616+H1616+F1616</f>
        <v>39.716999999999999</v>
      </c>
      <c r="K1617" s="446">
        <f>K1616+J1616+I1616+H1616</f>
        <v>54.593000000000004</v>
      </c>
      <c r="L1617" s="447">
        <f>K1617</f>
        <v>54.593000000000004</v>
      </c>
      <c r="M1617" s="446">
        <f>M1616+K1616+J1616+I1616</f>
        <v>74.914000000000016</v>
      </c>
      <c r="N1617" s="446">
        <f>N1616+M1616+K1616+J1616</f>
        <v>100.86</v>
      </c>
      <c r="O1617" s="446">
        <f>O1616+N1616+M1616+K1616</f>
        <v>126.02200000000002</v>
      </c>
      <c r="P1617" s="446">
        <f>P1616+O1616+N1616+M1616</f>
        <v>156.852</v>
      </c>
      <c r="Q1617" s="447">
        <f>P1617</f>
        <v>156.852</v>
      </c>
      <c r="R1617" s="446">
        <f>R1616+P1616+O1616+N1616</f>
        <v>161.35900000000001</v>
      </c>
      <c r="S1617" s="446">
        <f>S1616+R1616+P1616+O1616</f>
        <v>163.315</v>
      </c>
      <c r="T1617" s="446">
        <f>T1616+S1616+R1616+P1616</f>
        <v>162.114</v>
      </c>
      <c r="U1617" s="446">
        <f>U1616+T1616+S1616+R1616</f>
        <v>132.18700000000001</v>
      </c>
      <c r="V1617" s="447">
        <f>U1617</f>
        <v>132.18700000000001</v>
      </c>
      <c r="W1617" s="446">
        <f>W1616+U1616+T1616+S1616</f>
        <v>129.99699999999999</v>
      </c>
      <c r="X1617" s="446">
        <f>X1616+W1616+U1616+T1616</f>
        <v>126.899</v>
      </c>
      <c r="Y1617" s="674">
        <f>Y1616+X1616+W1616+U1616</f>
        <v>199.24600000000001</v>
      </c>
      <c r="Z1617" s="446">
        <f>Z1616+Y1616+X1616+W1616</f>
        <v>105.73799999999999</v>
      </c>
      <c r="AA1617" s="447">
        <f>Z1617</f>
        <v>105.73799999999999</v>
      </c>
      <c r="AB1617" s="446">
        <f>AB1616+Z1616+Y1616+X1616</f>
        <v>107.56399999999999</v>
      </c>
      <c r="AC1617" s="446">
        <f>AC1616+AB1616+Z1616+Y1616</f>
        <v>98.152999999999992</v>
      </c>
      <c r="AD1617" s="446">
        <f>AD1616+AC1616+AB1616+Z1616</f>
        <v>14.488</v>
      </c>
      <c r="AE1617" s="454">
        <f>AE1616+AD1616+AC1616+AB1616</f>
        <v>-60.467999999999989</v>
      </c>
      <c r="AF1617" s="447">
        <f>AE1617</f>
        <v>-60.467999999999989</v>
      </c>
      <c r="AG1617" s="454">
        <f>AG1616+AE1616+AD1616+AC1616</f>
        <v>-74.38300000000001</v>
      </c>
      <c r="AH1617" s="446">
        <f>AH1616+AG1616+AE1616+AD1616</f>
        <v>-84.028999999999996</v>
      </c>
      <c r="AI1617" s="446">
        <f>AI1616+AH1616+AG1616+AE1616</f>
        <v>-73.620999999999995</v>
      </c>
      <c r="AJ1617" s="454">
        <f>AJ1616+AI1616+AH1616+AG1616</f>
        <v>66.177999999999997</v>
      </c>
      <c r="AK1617" s="447">
        <f>AJ1617</f>
        <v>66.177999999999997</v>
      </c>
      <c r="AL1617" s="446">
        <f>AL1616+AJ1616+AI1616+AH1616</f>
        <v>84.513999999999982</v>
      </c>
      <c r="AM1617" s="446">
        <f>AM1616+AL1616+AJ1616+AI1616</f>
        <v>110.032</v>
      </c>
      <c r="AN1617" s="446">
        <f>AN1616+AM1616+AL1616+AJ1616</f>
        <v>113.873</v>
      </c>
      <c r="AO1617" s="454">
        <f>AO1616+AN1616+AM1616+AL1616</f>
        <v>146.881</v>
      </c>
      <c r="AP1617" s="582">
        <f>AO1617</f>
        <v>146.881</v>
      </c>
      <c r="AQ1617" s="582">
        <f>AQ1616+AP1616+AO1616+AN1616</f>
        <v>264.05900000000003</v>
      </c>
      <c r="AR1617" s="446">
        <f>AR1616+AQ1616+AP1616+AO1616</f>
        <v>272.08</v>
      </c>
      <c r="AS1617" s="446">
        <f>AS1616+AR1616+AQ1616+AP1616</f>
        <v>271.37200000000001</v>
      </c>
      <c r="AT1617" s="446">
        <f>AT1616+AS1616+AR1616+AQ1616</f>
        <v>152.55500000000001</v>
      </c>
      <c r="AU1617" s="1700">
        <f>AT1617</f>
        <v>152.55500000000001</v>
      </c>
      <c r="AV1617" s="582">
        <f>AV1616+AU1616+AT1616+AS1616</f>
        <v>254.72399999999996</v>
      </c>
      <c r="AW1617" s="446">
        <f>AW1616+AV1616+AU1616+AT1616</f>
        <v>261.95299999999997</v>
      </c>
      <c r="AX1617" s="446">
        <f>AX1616+AW1616+AV1616+AU1616</f>
        <v>263.02099999999996</v>
      </c>
      <c r="AY1617" s="446">
        <f>AY1616+AX1616+AW1616+AV1616</f>
        <v>-121.53799999999998</v>
      </c>
      <c r="AZ1617" s="1700">
        <f>AY1617</f>
        <v>-121.53799999999998</v>
      </c>
      <c r="BA1617" s="582">
        <f>BA1616+AZ1616+AY1616+AX1616</f>
        <v>-322.40899999999993</v>
      </c>
      <c r="BB1617" s="446">
        <f>BB1616+BA1616+AZ1616+AY1616</f>
        <v>-331.42999999999995</v>
      </c>
      <c r="BC1617" s="446">
        <f>BC1616+BB1616+BA1616+AZ1616</f>
        <v>-79.258999999999986</v>
      </c>
      <c r="BD1617" s="856">
        <f>BD1616+BC1616+BB1616+BA1616</f>
        <v>30.518999999999998</v>
      </c>
      <c r="BE1617" s="1700">
        <f>BD1617</f>
        <v>30.518999999999998</v>
      </c>
      <c r="BF1617" s="454">
        <f>BF1616+BB1616+BD1616+BC1616</f>
        <v>38.932999999999993</v>
      </c>
      <c r="BG1617" s="454">
        <f>BG1616+BC1616+BF1616+BD1616</f>
        <v>35.042999999999999</v>
      </c>
      <c r="BH1617" s="454">
        <f>BH1616+BG1616+BF1616+BD1616</f>
        <v>50.255999999999993</v>
      </c>
      <c r="BI1617" s="1666">
        <f>BI1616+BH1616+BG1616+BF1616</f>
        <v>55.923999999999999</v>
      </c>
      <c r="BJ1617" s="1693">
        <f>BI1617</f>
        <v>55.923999999999999</v>
      </c>
      <c r="BK1617" s="454">
        <f>BK1616+BG1616+BI1616+BH1616</f>
        <v>53.242999999999995</v>
      </c>
      <c r="BL1617" s="454">
        <f>BL1616+BH1616+BK1616+BI1616</f>
        <v>47.826000000000001</v>
      </c>
      <c r="BM1617" s="446">
        <f>BM1616+BL1616+BK1616+BI1616</f>
        <v>2.9729999999999936</v>
      </c>
      <c r="BN1617" s="856">
        <f>BN1616+BM1616+BL1616+BK1616</f>
        <v>11.306999999999999</v>
      </c>
      <c r="BO1617" s="1700">
        <f>BN1617</f>
        <v>11.306999999999999</v>
      </c>
      <c r="BP1617" s="454">
        <f>BP1616+BL1616+BN1616+BM1616</f>
        <v>5.770999999999999</v>
      </c>
      <c r="BQ1617" s="454">
        <f>BQ1616+BM1616+BP1616+BN1616</f>
        <v>1.1919999999999988</v>
      </c>
      <c r="BR1617" s="446">
        <f>BR1616+BQ1616+BP1616+BN1616</f>
        <v>-748.399</v>
      </c>
      <c r="BS1617" s="856">
        <f>BS1616+BR1616+BQ1616+BP1616</f>
        <v>-498.50699999999995</v>
      </c>
      <c r="BT1617" s="3068">
        <f>BS1617</f>
        <v>-498.50699999999995</v>
      </c>
      <c r="BU1617" s="454">
        <f>BU1616+BQ1616+BS1616+BR1616</f>
        <v>-490.75854123870903</v>
      </c>
      <c r="BV1617" s="454">
        <f>BV1616+BR1616+BU1616+BS1616</f>
        <v>-485.35710868309911</v>
      </c>
      <c r="BW1617" s="446">
        <f>BW1616+BV1616+BU1616+BS1616</f>
        <v>293.37500317866665</v>
      </c>
      <c r="BX1617" s="856">
        <f>BX1616+BW1616+BV1616+BU1616</f>
        <v>54.933519269864341</v>
      </c>
      <c r="BY1617" s="3068">
        <f>BX1617</f>
        <v>54.933519269864341</v>
      </c>
      <c r="BZ1617" s="447">
        <f t="shared" ref="BZ1617:CF1617" si="3710">-BZ76</f>
        <v>84.788660996766382</v>
      </c>
      <c r="CA1617" s="447">
        <f t="shared" si="3710"/>
        <v>81.1367552988565</v>
      </c>
      <c r="CB1617" s="447">
        <f t="shared" si="3710"/>
        <v>20.027763096463723</v>
      </c>
      <c r="CC1617" s="447">
        <f t="shared" si="3710"/>
        <v>4.0027972975439239</v>
      </c>
      <c r="CD1617" s="447">
        <f t="shared" si="3710"/>
        <v>5.1425889968035374</v>
      </c>
      <c r="CE1617" s="447">
        <f t="shared" si="3710"/>
        <v>8.7336602318707417</v>
      </c>
      <c r="CF1617" s="447">
        <f t="shared" si="3710"/>
        <v>12.066121793130224</v>
      </c>
      <c r="CG1617" s="331"/>
      <c r="CH1617" s="331"/>
      <c r="CI1617" s="331"/>
      <c r="CJ1617" s="331"/>
      <c r="CK1617" s="331"/>
      <c r="CL1617" s="2025" t="str">
        <f>A1617</f>
        <v>LTM accrued income taxes</v>
      </c>
      <c r="CM1617" s="454">
        <f>G1617</f>
        <v>50.288000000000004</v>
      </c>
      <c r="CN1617" s="454">
        <f>L1617</f>
        <v>54.593000000000004</v>
      </c>
      <c r="CO1617" s="454">
        <f>Q1617</f>
        <v>156.852</v>
      </c>
      <c r="CP1617" s="454">
        <f>V1617</f>
        <v>132.18700000000001</v>
      </c>
      <c r="CQ1617" s="454">
        <f>AA1617</f>
        <v>105.73799999999999</v>
      </c>
      <c r="CR1617" s="454">
        <f>AF1617</f>
        <v>-60.467999999999989</v>
      </c>
      <c r="CS1617" s="454">
        <f>AK1617</f>
        <v>66.177999999999997</v>
      </c>
      <c r="CT1617" s="454">
        <f>AP1617</f>
        <v>146.881</v>
      </c>
      <c r="CU1617" s="454">
        <f>AU1617</f>
        <v>152.55500000000001</v>
      </c>
      <c r="CV1617" s="454">
        <f>AZ1617</f>
        <v>-121.53799999999998</v>
      </c>
      <c r="CW1617" s="454">
        <f>BE1617</f>
        <v>30.518999999999998</v>
      </c>
      <c r="CX1617" s="454">
        <f>BJ1617</f>
        <v>55.923999999999999</v>
      </c>
      <c r="CY1617" s="454">
        <f>BO1617</f>
        <v>11.306999999999999</v>
      </c>
      <c r="CZ1617" s="454">
        <f>BT1617</f>
        <v>-498.50699999999995</v>
      </c>
      <c r="DA1617" s="454">
        <f t="shared" si="3709"/>
        <v>54.933519269864341</v>
      </c>
      <c r="DB1617" s="454">
        <f t="shared" si="3709"/>
        <v>84.788660996766382</v>
      </c>
      <c r="DC1617" s="1666">
        <f t="shared" si="3709"/>
        <v>81.1367552988565</v>
      </c>
      <c r="DD1617" s="331"/>
      <c r="DE1617" s="331"/>
      <c r="DF1617" s="502"/>
      <c r="DG1617" s="503"/>
      <c r="DH1617" s="2915"/>
      <c r="DI1617" s="3213"/>
      <c r="DJ1617" s="502"/>
      <c r="DK1617" s="503"/>
      <c r="DL1617" s="502"/>
      <c r="DM1617" s="502"/>
      <c r="DN1617" s="502"/>
      <c r="DO1617" s="502"/>
      <c r="DP1617" s="503"/>
      <c r="DQ1617" s="503"/>
      <c r="DR1617" s="296"/>
      <c r="DS1617" s="296"/>
      <c r="DT1617" s="296"/>
    </row>
    <row r="1618" spans="1:124" ht="12.75" hidden="1" customHeight="1" outlineLevel="1" x14ac:dyDescent="0.25">
      <c r="A1618" s="281"/>
      <c r="B1618" s="281"/>
      <c r="C1618" s="565"/>
      <c r="D1618" s="565"/>
      <c r="E1618" s="565"/>
      <c r="F1618" s="565"/>
      <c r="G1618" s="447"/>
      <c r="H1618" s="565"/>
      <c r="I1618" s="565"/>
      <c r="J1618" s="565"/>
      <c r="K1618" s="565"/>
      <c r="L1618" s="447"/>
      <c r="M1618" s="509"/>
      <c r="N1618" s="509"/>
      <c r="O1618" s="509"/>
      <c r="P1618" s="509"/>
      <c r="Q1618" s="510"/>
      <c r="R1618" s="509"/>
      <c r="S1618" s="509"/>
      <c r="T1618" s="509"/>
      <c r="U1618" s="509"/>
      <c r="V1618" s="510"/>
      <c r="W1618" s="509"/>
      <c r="X1618" s="509"/>
      <c r="Y1618" s="509"/>
      <c r="Z1618" s="509"/>
      <c r="AA1618" s="510"/>
      <c r="AB1618" s="509"/>
      <c r="AC1618" s="509"/>
      <c r="AD1618" s="509"/>
      <c r="AE1618" s="430"/>
      <c r="AF1618" s="510"/>
      <c r="AG1618" s="430"/>
      <c r="AH1618" s="430"/>
      <c r="AI1618" s="430"/>
      <c r="AJ1618" s="430"/>
      <c r="AK1618" s="510"/>
      <c r="AL1618" s="430"/>
      <c r="AM1618" s="430"/>
      <c r="AN1618" s="430"/>
      <c r="AO1618" s="430"/>
      <c r="AP1618" s="672"/>
      <c r="AQ1618" s="672"/>
      <c r="AR1618" s="509"/>
      <c r="AS1618" s="509"/>
      <c r="AT1618" s="509"/>
      <c r="AU1618" s="1632"/>
      <c r="AV1618" s="1747"/>
      <c r="AW1618" s="1853"/>
      <c r="AX1618" s="1853"/>
      <c r="AY1618" s="509"/>
      <c r="AZ1618" s="1632"/>
      <c r="BA1618" s="1747"/>
      <c r="BB1618" s="1853"/>
      <c r="BC1618" s="1853"/>
      <c r="BD1618" s="1942"/>
      <c r="BE1618" s="510"/>
      <c r="BF1618" s="1853"/>
      <c r="BG1618" s="1853"/>
      <c r="BH1618" s="1853"/>
      <c r="BI1618" s="1942"/>
      <c r="BJ1618" s="510"/>
      <c r="BK1618" s="1853"/>
      <c r="BL1618" s="1853"/>
      <c r="BM1618" s="1853"/>
      <c r="BN1618" s="1942"/>
      <c r="BO1618" s="510"/>
      <c r="BP1618" s="1853"/>
      <c r="BQ1618" s="1853"/>
      <c r="BR1618" s="1853"/>
      <c r="BS1618" s="1942"/>
      <c r="BT1618" s="2842"/>
      <c r="BU1618" s="1853"/>
      <c r="BV1618" s="1853"/>
      <c r="BW1618" s="1853"/>
      <c r="BX1618" s="1942"/>
      <c r="BY1618" s="2842"/>
      <c r="BZ1618" s="510"/>
      <c r="CA1618" s="510"/>
      <c r="CB1618" s="510"/>
      <c r="CC1618" s="510"/>
      <c r="CD1618" s="510"/>
      <c r="CE1618" s="510"/>
      <c r="CF1618" s="510"/>
      <c r="CG1618" s="331"/>
      <c r="CH1618" s="331"/>
      <c r="CI1618" s="331"/>
      <c r="CJ1618" s="331"/>
      <c r="CK1618" s="331"/>
      <c r="CL1618" s="520"/>
      <c r="CM1618" s="430"/>
      <c r="CN1618" s="430"/>
      <c r="CO1618" s="430"/>
      <c r="CP1618" s="430"/>
      <c r="CQ1618" s="430"/>
      <c r="CR1618" s="430"/>
      <c r="CS1618" s="430"/>
      <c r="CT1618" s="430"/>
      <c r="CU1618" s="430"/>
      <c r="CV1618" s="430"/>
      <c r="CW1618" s="430"/>
      <c r="CX1618" s="430"/>
      <c r="CY1618" s="430"/>
      <c r="CZ1618" s="430"/>
      <c r="DA1618" s="430"/>
      <c r="DB1618" s="430"/>
      <c r="DC1618" s="853"/>
      <c r="DD1618" s="331"/>
      <c r="DE1618" s="331"/>
      <c r="DF1618" s="502"/>
      <c r="DG1618" s="503"/>
      <c r="DH1618" s="2840"/>
      <c r="DI1618" s="3213"/>
      <c r="DJ1618" s="502"/>
      <c r="DK1618" s="503"/>
      <c r="DL1618" s="502"/>
      <c r="DM1618" s="502"/>
      <c r="DN1618" s="502"/>
      <c r="DO1618" s="502"/>
      <c r="DP1618" s="503"/>
      <c r="DQ1618" s="503"/>
      <c r="DR1618" s="296"/>
      <c r="DS1618" s="296"/>
      <c r="DT1618" s="296"/>
    </row>
    <row r="1619" spans="1:124" ht="12.75" hidden="1" customHeight="1" outlineLevel="1" x14ac:dyDescent="0.25">
      <c r="A1619" s="312" t="s">
        <v>770</v>
      </c>
      <c r="B1619" s="281"/>
      <c r="C1619" s="446">
        <f>0.45*C90</f>
        <v>9.6326999999999963</v>
      </c>
      <c r="D1619" s="446">
        <f>0.45*D90</f>
        <v>11.21625</v>
      </c>
      <c r="E1619" s="446">
        <f>0.45*E90</f>
        <v>10.607400000000005</v>
      </c>
      <c r="F1619" s="446">
        <f>0.45*F90</f>
        <v>8.4600000000000044</v>
      </c>
      <c r="G1619" s="447">
        <f>SUM(C1619:F1619)</f>
        <v>39.916350000000008</v>
      </c>
      <c r="H1619" s="446">
        <f>0.45*H90</f>
        <v>11.828964980863864</v>
      </c>
      <c r="I1619" s="446">
        <f>0.45*I90</f>
        <v>14.503359841451958</v>
      </c>
      <c r="J1619" s="446">
        <f>0.45*J90</f>
        <v>14.4468</v>
      </c>
      <c r="K1619" s="446">
        <f>0.45*K90</f>
        <v>17.164284541300429</v>
      </c>
      <c r="L1619" s="447">
        <f>SUM(H1619:K1619)</f>
        <v>57.943409363616254</v>
      </c>
      <c r="M1619" s="446">
        <f>0.45*M90</f>
        <v>21.817349999999998</v>
      </c>
      <c r="N1619" s="446">
        <f>0.45*N90</f>
        <v>19.212750000000007</v>
      </c>
      <c r="O1619" s="446">
        <f>0.45*O90</f>
        <v>18.179550000000003</v>
      </c>
      <c r="P1619" s="446">
        <f>0.45*P90</f>
        <v>-0.87794999999998424</v>
      </c>
      <c r="Q1619" s="447">
        <f>SUM(M1619:P1619)</f>
        <v>58.331700000000026</v>
      </c>
      <c r="R1619" s="446">
        <f>0.45*R90</f>
        <v>19.323449999999998</v>
      </c>
      <c r="S1619" s="446">
        <f>0.45*S90</f>
        <v>17.234549999999995</v>
      </c>
      <c r="T1619" s="446">
        <f>0.45*T90</f>
        <v>20.965499999999999</v>
      </c>
      <c r="U1619" s="446">
        <f>0.45*U90</f>
        <v>14.500349999999999</v>
      </c>
      <c r="V1619" s="447">
        <f>SUM(R1619:U1619)</f>
        <v>72.023849999999996</v>
      </c>
      <c r="W1619" s="446">
        <f>0.45*W90</f>
        <v>17.931559499999995</v>
      </c>
      <c r="X1619" s="446">
        <f>0.45*X90</f>
        <v>16.660349999999976</v>
      </c>
      <c r="Y1619" s="446">
        <f>0.45*Y90</f>
        <v>20.444355000000012</v>
      </c>
      <c r="Z1619" s="446">
        <f>0.45*Z90</f>
        <v>14.936399999999978</v>
      </c>
      <c r="AA1619" s="447">
        <f>SUM(W1619:Z1619)</f>
        <v>69.972664499999965</v>
      </c>
      <c r="AB1619" s="446">
        <f>0.45*AB90</f>
        <v>19.256256000000008</v>
      </c>
      <c r="AC1619" s="446">
        <f>0.45*AC90</f>
        <v>15.224512500000001</v>
      </c>
      <c r="AD1619" s="446">
        <f>0.45*AD90</f>
        <v>15.880261499999991</v>
      </c>
      <c r="AE1619" s="446">
        <f>0.45*AE90</f>
        <v>-1.5372225000000441</v>
      </c>
      <c r="AF1619" s="447">
        <f>SUM(AB1619:AE1619)</f>
        <v>48.823807499999958</v>
      </c>
      <c r="AG1619" s="454">
        <f>0.45*AG90</f>
        <v>16.276050000000019</v>
      </c>
      <c r="AH1619" s="446">
        <f>0.45*AH90</f>
        <v>13.73175</v>
      </c>
      <c r="AI1619" s="446">
        <f>0.45*AI90</f>
        <v>17.482135500000005</v>
      </c>
      <c r="AJ1619" s="446">
        <f>0.45*AJ90</f>
        <v>-21.021367500000007</v>
      </c>
      <c r="AK1619" s="447">
        <f>SUM(AG1619:AJ1619)</f>
        <v>26.468568000000015</v>
      </c>
      <c r="AL1619" s="446">
        <f>0.45*AL90</f>
        <v>23.164649999999998</v>
      </c>
      <c r="AM1619" s="446">
        <f>0.45*AM90</f>
        <v>27.080437500000016</v>
      </c>
      <c r="AN1619" s="446">
        <f>0.45*AN90</f>
        <v>33.976755000000026</v>
      </c>
      <c r="AO1619" s="446">
        <f>0.45*AO90</f>
        <v>25.319092499999989</v>
      </c>
      <c r="AP1619" s="582">
        <f>SUM(AL1619:AO1619)</f>
        <v>109.54093500000002</v>
      </c>
      <c r="AQ1619" s="582">
        <f>0.45*AQ90</f>
        <v>35.808389999999982</v>
      </c>
      <c r="AR1619" s="446">
        <f>0.45*AR90</f>
        <v>31.604490000000016</v>
      </c>
      <c r="AS1619" s="446">
        <f>0.45*AS90</f>
        <v>28.865700000000015</v>
      </c>
      <c r="AT1619" s="446">
        <f>0.45*AT90</f>
        <v>17.96354999999998</v>
      </c>
      <c r="AU1619" s="1700">
        <f>SUM(AQ1619:AT1619)</f>
        <v>114.24213</v>
      </c>
      <c r="AV1619" s="582">
        <f>0.45*AV90</f>
        <v>31.581449999999993</v>
      </c>
      <c r="AW1619" s="446">
        <f>0.45*AW90</f>
        <v>15.965369999999991</v>
      </c>
      <c r="AX1619" s="446">
        <f>0.45*AX90</f>
        <v>20.208060000000003</v>
      </c>
      <c r="AY1619" s="446">
        <f>0.45*AY90</f>
        <v>3.5007300000000043</v>
      </c>
      <c r="AZ1619" s="1700">
        <f>SUM(AV1619:AY1619)</f>
        <v>71.25560999999999</v>
      </c>
      <c r="BA1619" s="582">
        <f>0.45*BA90</f>
        <v>0.24777000000000585</v>
      </c>
      <c r="BB1619" s="446">
        <f>0.45*BB90</f>
        <v>-7.440840000000013</v>
      </c>
      <c r="BC1619" s="446">
        <f>0.45*BC90</f>
        <v>-8.3994299999999971</v>
      </c>
      <c r="BD1619" s="856">
        <f>0.45*BD90</f>
        <v>-11.006729999999981</v>
      </c>
      <c r="BE1619" s="1700">
        <f>SUM(BA1619:BD1619)</f>
        <v>-26.599229999999984</v>
      </c>
      <c r="BF1619" s="446" t="s">
        <v>553</v>
      </c>
      <c r="BG1619" s="446" t="s">
        <v>553</v>
      </c>
      <c r="BH1619" s="446" t="s">
        <v>553</v>
      </c>
      <c r="BI1619" s="856" t="s">
        <v>553</v>
      </c>
      <c r="BJ1619" s="447" t="s">
        <v>553</v>
      </c>
      <c r="BK1619" s="446" t="s">
        <v>553</v>
      </c>
      <c r="BL1619" s="446" t="s">
        <v>553</v>
      </c>
      <c r="BM1619" s="446" t="s">
        <v>553</v>
      </c>
      <c r="BN1619" s="856" t="s">
        <v>553</v>
      </c>
      <c r="BO1619" s="447" t="s">
        <v>553</v>
      </c>
      <c r="BP1619" s="446" t="s">
        <v>553</v>
      </c>
      <c r="BQ1619" s="446" t="s">
        <v>553</v>
      </c>
      <c r="BR1619" s="446" t="s">
        <v>553</v>
      </c>
      <c r="BS1619" s="856" t="s">
        <v>553</v>
      </c>
      <c r="BT1619" s="3068" t="s">
        <v>553</v>
      </c>
      <c r="BU1619" s="446" t="s">
        <v>553</v>
      </c>
      <c r="BV1619" s="446" t="s">
        <v>553</v>
      </c>
      <c r="BW1619" s="446" t="s">
        <v>553</v>
      </c>
      <c r="BX1619" s="856" t="s">
        <v>553</v>
      </c>
      <c r="BY1619" s="3068" t="s">
        <v>553</v>
      </c>
      <c r="BZ1619" s="447" t="s">
        <v>553</v>
      </c>
      <c r="CA1619" s="447" t="s">
        <v>553</v>
      </c>
      <c r="CB1619" s="447" t="s">
        <v>553</v>
      </c>
      <c r="CC1619" s="447" t="s">
        <v>553</v>
      </c>
      <c r="CD1619" s="447" t="s">
        <v>553</v>
      </c>
      <c r="CE1619" s="447" t="s">
        <v>553</v>
      </c>
      <c r="CF1619" s="447" t="s">
        <v>553</v>
      </c>
      <c r="CG1619" s="741"/>
      <c r="CH1619" s="741"/>
      <c r="CI1619" s="741"/>
      <c r="CJ1619" s="741"/>
      <c r="CK1619" s="741"/>
      <c r="CL1619" s="2025" t="str">
        <f>A1619</f>
        <v>Recurring income taxes</v>
      </c>
      <c r="CM1619" s="454">
        <f>G1619</f>
        <v>39.916350000000008</v>
      </c>
      <c r="CN1619" s="454">
        <f>L1619</f>
        <v>57.943409363616254</v>
      </c>
      <c r="CO1619" s="454">
        <f>Q1619</f>
        <v>58.331700000000026</v>
      </c>
      <c r="CP1619" s="454">
        <f>V1619</f>
        <v>72.023849999999996</v>
      </c>
      <c r="CQ1619" s="454">
        <f>AA1619</f>
        <v>69.972664499999965</v>
      </c>
      <c r="CR1619" s="454">
        <f>AF1619</f>
        <v>48.823807499999958</v>
      </c>
      <c r="CS1619" s="454">
        <f>AK1619</f>
        <v>26.468568000000015</v>
      </c>
      <c r="CT1619" s="454">
        <f>AP1619</f>
        <v>109.54093500000002</v>
      </c>
      <c r="CU1619" s="454">
        <f>AU1619</f>
        <v>114.24213</v>
      </c>
      <c r="CV1619" s="454">
        <f>AZ1619</f>
        <v>71.25560999999999</v>
      </c>
      <c r="CW1619" s="454">
        <f>BE1619</f>
        <v>-26.599229999999984</v>
      </c>
      <c r="CX1619" s="454" t="str">
        <f>BJ1619</f>
        <v xml:space="preserve">n/a </v>
      </c>
      <c r="CY1619" s="454" t="str">
        <f>BO1619</f>
        <v xml:space="preserve">n/a </v>
      </c>
      <c r="CZ1619" s="454" t="str">
        <f>BT1619</f>
        <v xml:space="preserve">n/a </v>
      </c>
      <c r="DA1619" s="454" t="str">
        <f t="shared" ref="DA1619:DC1620" si="3711">BY1619</f>
        <v xml:space="preserve">n/a </v>
      </c>
      <c r="DB1619" s="454" t="str">
        <f t="shared" si="3711"/>
        <v xml:space="preserve">n/a </v>
      </c>
      <c r="DC1619" s="1666" t="str">
        <f t="shared" si="3711"/>
        <v xml:space="preserve">n/a </v>
      </c>
      <c r="DD1619" s="741"/>
      <c r="DE1619" s="741"/>
      <c r="DF1619" s="742"/>
      <c r="DG1619" s="743"/>
      <c r="DH1619" s="2915"/>
      <c r="DI1619" s="3215"/>
      <c r="DJ1619" s="742"/>
      <c r="DK1619" s="743"/>
      <c r="DL1619" s="742"/>
      <c r="DM1619" s="742"/>
      <c r="DN1619" s="742"/>
      <c r="DO1619" s="742"/>
      <c r="DP1619" s="743"/>
      <c r="DQ1619" s="743"/>
      <c r="DR1619" s="740"/>
      <c r="DS1619" s="740"/>
      <c r="DT1619" s="740"/>
    </row>
    <row r="1620" spans="1:124" ht="12.75" hidden="1" customHeight="1" outlineLevel="1" x14ac:dyDescent="0.25">
      <c r="A1620" s="312" t="s">
        <v>771</v>
      </c>
      <c r="B1620" s="281"/>
      <c r="C1620" s="454">
        <f>C1617</f>
        <v>33.926999999999992</v>
      </c>
      <c r="D1620" s="454">
        <f>D1617</f>
        <v>38.957999999999998</v>
      </c>
      <c r="E1620" s="454">
        <f>E1617</f>
        <v>43.994999999999997</v>
      </c>
      <c r="F1620" s="446">
        <f>SUM(C1619:F1619)</f>
        <v>39.916350000000008</v>
      </c>
      <c r="G1620" s="447">
        <f>F1620</f>
        <v>39.916350000000008</v>
      </c>
      <c r="H1620" s="446">
        <f>H1619+F1619+E1619+D1619</f>
        <v>42.112614980863874</v>
      </c>
      <c r="I1620" s="446">
        <f>I1619+H1619+F1619+E1619</f>
        <v>45.399724822315832</v>
      </c>
      <c r="J1620" s="446">
        <f>J1619+I1619+H1619+F1619</f>
        <v>49.23912482231583</v>
      </c>
      <c r="K1620" s="446">
        <f>K1619+J1619+I1619+H1619</f>
        <v>57.943409363616254</v>
      </c>
      <c r="L1620" s="447">
        <f>K1620</f>
        <v>57.943409363616254</v>
      </c>
      <c r="M1620" s="446">
        <f>M1619+K1619+J1619+I1619</f>
        <v>67.931794382752372</v>
      </c>
      <c r="N1620" s="446">
        <f>N1619+M1619+K1619+J1619</f>
        <v>72.641184541300433</v>
      </c>
      <c r="O1620" s="446">
        <f>O1619+N1619+M1619+K1619</f>
        <v>76.373934541300429</v>
      </c>
      <c r="P1620" s="446">
        <f>P1619+O1619+N1619+M1619</f>
        <v>58.331700000000019</v>
      </c>
      <c r="Q1620" s="447">
        <f>P1620</f>
        <v>58.331700000000019</v>
      </c>
      <c r="R1620" s="446">
        <f>R1619+P1619+O1619+N1619</f>
        <v>55.837800000000023</v>
      </c>
      <c r="S1620" s="446">
        <f>S1619+R1619+P1619+O1619</f>
        <v>53.859600000000015</v>
      </c>
      <c r="T1620" s="446">
        <f>T1619+S1619+R1619+P1619</f>
        <v>56.64555</v>
      </c>
      <c r="U1620" s="446">
        <f>U1619+T1619+S1619+R1619</f>
        <v>72.023849999999982</v>
      </c>
      <c r="V1620" s="447">
        <f>U1620</f>
        <v>72.023849999999982</v>
      </c>
      <c r="W1620" s="446">
        <f>W1619+U1619+T1619+S1619</f>
        <v>70.631959499999994</v>
      </c>
      <c r="X1620" s="446">
        <f>X1619+W1619+U1619+T1619</f>
        <v>70.057759499999975</v>
      </c>
      <c r="Y1620" s="454">
        <f>Y1619+X1619+W1619+U1619</f>
        <v>69.536614499999985</v>
      </c>
      <c r="Z1620" s="446">
        <f>Z1619+Y1619+X1619+W1619</f>
        <v>69.972664499999965</v>
      </c>
      <c r="AA1620" s="447">
        <f>Z1620</f>
        <v>69.972664499999965</v>
      </c>
      <c r="AB1620" s="446">
        <f>AB1619+Z1619+Y1619+X1619</f>
        <v>71.297360999999981</v>
      </c>
      <c r="AC1620" s="446">
        <f>AC1619+AB1619+Z1619+Y1619</f>
        <v>69.861523500000004</v>
      </c>
      <c r="AD1620" s="446">
        <f>AD1619+AC1619+AB1619+Z1619</f>
        <v>65.297429999999977</v>
      </c>
      <c r="AE1620" s="454">
        <f>AE1619+AD1619+AC1619+AB1619</f>
        <v>48.823807499999958</v>
      </c>
      <c r="AF1620" s="447">
        <f>AE1620</f>
        <v>48.823807499999958</v>
      </c>
      <c r="AG1620" s="454">
        <f>AG1619+AE1619+AD1619+AC1619</f>
        <v>45.84360149999997</v>
      </c>
      <c r="AH1620" s="446">
        <f>AH1619+AG1619+AE1619+AD1619</f>
        <v>44.350838999999965</v>
      </c>
      <c r="AI1620" s="446">
        <f>AI1619+AH1619+AG1619+AE1619</f>
        <v>45.952712999999981</v>
      </c>
      <c r="AJ1620" s="454">
        <f>AJ1619+AI1619+AH1619+AG1619</f>
        <v>26.468568000000019</v>
      </c>
      <c r="AK1620" s="447">
        <f>AJ1620</f>
        <v>26.468568000000019</v>
      </c>
      <c r="AL1620" s="446">
        <f>AL1619+AJ1619+AI1619+AH1619</f>
        <v>33.357167999999994</v>
      </c>
      <c r="AM1620" s="446">
        <f>AM1619+AL1619+AJ1619+AI1619</f>
        <v>46.705855500000013</v>
      </c>
      <c r="AN1620" s="446">
        <f>AN1619+AM1619+AL1619+AJ1619</f>
        <v>63.200475000000026</v>
      </c>
      <c r="AO1620" s="454">
        <f>AO1619+AN1619+AM1619+AL1619</f>
        <v>109.54093500000002</v>
      </c>
      <c r="AP1620" s="582">
        <f>AO1620</f>
        <v>109.54093500000002</v>
      </c>
      <c r="AQ1620" s="582">
        <f>AQ1619+AP1619+AO1619+AN1619</f>
        <v>204.6451725</v>
      </c>
      <c r="AR1620" s="446">
        <f>AR1619+AQ1619+AP1619+AO1619</f>
        <v>202.2729075</v>
      </c>
      <c r="AS1620" s="446">
        <f>AS1619+AR1619+AQ1619+AP1619</f>
        <v>205.81951500000002</v>
      </c>
      <c r="AT1620" s="446">
        <f>AT1619+AS1619+AR1619+AQ1619</f>
        <v>114.24213</v>
      </c>
      <c r="AU1620" s="1700">
        <f>AT1620</f>
        <v>114.24213</v>
      </c>
      <c r="AV1620" s="582">
        <f>AV1619+AU1619+AT1619+AS1619</f>
        <v>192.65282999999997</v>
      </c>
      <c r="AW1620" s="446">
        <f>AW1619+AV1619+AU1619+AT1619</f>
        <v>179.75249999999997</v>
      </c>
      <c r="AX1620" s="446">
        <f>AX1619+AW1619+AV1619+AU1619</f>
        <v>181.99700999999999</v>
      </c>
      <c r="AY1620" s="446">
        <f>AY1619+AX1619+AW1619+AV1619</f>
        <v>71.25560999999999</v>
      </c>
      <c r="AZ1620" s="1700">
        <f>AY1620</f>
        <v>71.25560999999999</v>
      </c>
      <c r="BA1620" s="582">
        <f>BA1619+AZ1619+AY1619+AX1619</f>
        <v>95.21217</v>
      </c>
      <c r="BB1620" s="446">
        <f>BB1619+BA1619+AZ1619+AY1619</f>
        <v>67.563269999999989</v>
      </c>
      <c r="BC1620" s="446">
        <f>BC1619+BB1619+BA1619+AZ1619</f>
        <v>55.663109999999989</v>
      </c>
      <c r="BD1620" s="856">
        <f>BD1619+BC1619+BB1619+BA1619</f>
        <v>-26.599229999999984</v>
      </c>
      <c r="BE1620" s="1700">
        <f>BD1620</f>
        <v>-26.599229999999984</v>
      </c>
      <c r="BF1620" s="582">
        <f t="shared" ref="BF1620:CF1620" si="3712">0.45*BF90</f>
        <v>0.97712999999998473</v>
      </c>
      <c r="BG1620" s="446">
        <f t="shared" si="3712"/>
        <v>1.5386400000000002</v>
      </c>
      <c r="BH1620" s="446">
        <f t="shared" si="3712"/>
        <v>0.4840199999999803</v>
      </c>
      <c r="BI1620" s="856">
        <f t="shared" si="3712"/>
        <v>7.0173900000000087</v>
      </c>
      <c r="BJ1620" s="1700">
        <f t="shared" si="3712"/>
        <v>10.01717999999998</v>
      </c>
      <c r="BK1620" s="446">
        <f t="shared" si="3712"/>
        <v>10.047060000000005</v>
      </c>
      <c r="BL1620" s="446">
        <f t="shared" si="3712"/>
        <v>15.466949999999999</v>
      </c>
      <c r="BM1620" s="446">
        <f t="shared" si="3712"/>
        <v>19.985760000000006</v>
      </c>
      <c r="BN1620" s="856">
        <f t="shared" si="3712"/>
        <v>2.264400000000018</v>
      </c>
      <c r="BO1620" s="1700">
        <f t="shared" si="3712"/>
        <v>47.76417000000005</v>
      </c>
      <c r="BP1620" s="446">
        <f t="shared" si="3712"/>
        <v>2.975849999999987</v>
      </c>
      <c r="BQ1620" s="446">
        <f t="shared" si="3712"/>
        <v>9.588780000000023</v>
      </c>
      <c r="BR1620" s="446">
        <f t="shared" si="3712"/>
        <v>11.411189999999953</v>
      </c>
      <c r="BS1620" s="856">
        <f t="shared" si="3712"/>
        <v>-128.47715999999997</v>
      </c>
      <c r="BT1620" s="3068">
        <f t="shared" si="3712"/>
        <v>-104.50133999999997</v>
      </c>
      <c r="BU1620" s="446">
        <f t="shared" si="3712"/>
        <v>16.837933760185393</v>
      </c>
      <c r="BV1620" s="446">
        <f t="shared" si="3712"/>
        <v>19.681889397710997</v>
      </c>
      <c r="BW1620" s="446">
        <f t="shared" si="3712"/>
        <v>33.295303651703577</v>
      </c>
      <c r="BX1620" s="856">
        <f t="shared" si="3712"/>
        <v>23.179473668670383</v>
      </c>
      <c r="BY1620" s="3068">
        <f t="shared" si="3712"/>
        <v>92.99460047827047</v>
      </c>
      <c r="BZ1620" s="447">
        <f t="shared" si="3712"/>
        <v>143.53509040166898</v>
      </c>
      <c r="CA1620" s="447">
        <f t="shared" si="3712"/>
        <v>137.35293575592152</v>
      </c>
      <c r="CB1620" s="447">
        <f t="shared" si="3712"/>
        <v>-655.67585818670068</v>
      </c>
      <c r="CC1620" s="447">
        <f t="shared" si="3712"/>
        <v>-1372.3838360034435</v>
      </c>
      <c r="CD1620" s="447">
        <f t="shared" si="3712"/>
        <v>-2749.6143314839828</v>
      </c>
      <c r="CE1620" s="447">
        <f t="shared" si="3712"/>
        <v>-5501.8551608931903</v>
      </c>
      <c r="CF1620" s="447">
        <f t="shared" si="3712"/>
        <v>-11012.853779535915</v>
      </c>
      <c r="CG1620" s="331"/>
      <c r="CH1620" s="331"/>
      <c r="CI1620" s="331"/>
      <c r="CJ1620" s="331"/>
      <c r="CK1620" s="331"/>
      <c r="CL1620" s="2025" t="str">
        <f>A1620</f>
        <v>LTM recurring income taxes</v>
      </c>
      <c r="CM1620" s="454">
        <f>G1620</f>
        <v>39.916350000000008</v>
      </c>
      <c r="CN1620" s="454">
        <f>L1620</f>
        <v>57.943409363616254</v>
      </c>
      <c r="CO1620" s="454">
        <f>Q1620</f>
        <v>58.331700000000019</v>
      </c>
      <c r="CP1620" s="454">
        <f>V1620</f>
        <v>72.023849999999982</v>
      </c>
      <c r="CQ1620" s="454">
        <f>AA1620</f>
        <v>69.972664499999965</v>
      </c>
      <c r="CR1620" s="454">
        <f>AF1620</f>
        <v>48.823807499999958</v>
      </c>
      <c r="CS1620" s="454">
        <f>AK1620</f>
        <v>26.468568000000019</v>
      </c>
      <c r="CT1620" s="454">
        <f>AP1620</f>
        <v>109.54093500000002</v>
      </c>
      <c r="CU1620" s="454">
        <f>AU1620</f>
        <v>114.24213</v>
      </c>
      <c r="CV1620" s="454">
        <f>AZ1620</f>
        <v>71.25560999999999</v>
      </c>
      <c r="CW1620" s="454">
        <f>BE1620</f>
        <v>-26.599229999999984</v>
      </c>
      <c r="CX1620" s="454">
        <f>BJ1620</f>
        <v>10.01717999999998</v>
      </c>
      <c r="CY1620" s="454">
        <f>BO1620</f>
        <v>47.76417000000005</v>
      </c>
      <c r="CZ1620" s="454">
        <f>BT1620</f>
        <v>-104.50133999999997</v>
      </c>
      <c r="DA1620" s="454">
        <f t="shared" si="3711"/>
        <v>92.99460047827047</v>
      </c>
      <c r="DB1620" s="454">
        <f t="shared" si="3711"/>
        <v>143.53509040166898</v>
      </c>
      <c r="DC1620" s="1666">
        <f t="shared" si="3711"/>
        <v>137.35293575592152</v>
      </c>
      <c r="DD1620" s="331"/>
      <c r="DE1620" s="331"/>
      <c r="DF1620" s="502"/>
      <c r="DG1620" s="503"/>
      <c r="DH1620" s="2915"/>
      <c r="DI1620" s="3213"/>
      <c r="DJ1620" s="502"/>
      <c r="DK1620" s="503"/>
      <c r="DL1620" s="502"/>
      <c r="DM1620" s="502"/>
      <c r="DN1620" s="502"/>
      <c r="DO1620" s="502"/>
      <c r="DP1620" s="503"/>
      <c r="DQ1620" s="503"/>
      <c r="DR1620" s="296"/>
      <c r="DS1620" s="296"/>
      <c r="DT1620" s="296"/>
    </row>
    <row r="1621" spans="1:124" ht="12.75" hidden="1" customHeight="1" outlineLevel="1" x14ac:dyDescent="0.25">
      <c r="A1621" s="281"/>
      <c r="B1621" s="281"/>
      <c r="C1621" s="565"/>
      <c r="D1621" s="565"/>
      <c r="E1621" s="565"/>
      <c r="F1621" s="565"/>
      <c r="G1621" s="447"/>
      <c r="H1621" s="565"/>
      <c r="I1621" s="565"/>
      <c r="J1621" s="565"/>
      <c r="K1621" s="565"/>
      <c r="L1621" s="447"/>
      <c r="M1621" s="509"/>
      <c r="N1621" s="509"/>
      <c r="O1621" s="509"/>
      <c r="P1621" s="509"/>
      <c r="Q1621" s="510"/>
      <c r="R1621" s="509"/>
      <c r="S1621" s="509"/>
      <c r="T1621" s="509"/>
      <c r="U1621" s="509"/>
      <c r="V1621" s="510"/>
      <c r="W1621" s="509"/>
      <c r="X1621" s="509"/>
      <c r="Y1621" s="509"/>
      <c r="Z1621" s="509"/>
      <c r="AA1621" s="510"/>
      <c r="AB1621" s="509"/>
      <c r="AC1621" s="509"/>
      <c r="AD1621" s="509"/>
      <c r="AE1621" s="430"/>
      <c r="AF1621" s="510"/>
      <c r="AG1621" s="430"/>
      <c r="AH1621" s="430"/>
      <c r="AI1621" s="430"/>
      <c r="AJ1621" s="430"/>
      <c r="AK1621" s="510"/>
      <c r="AL1621" s="430"/>
      <c r="AM1621" s="430"/>
      <c r="AN1621" s="430"/>
      <c r="AO1621" s="430"/>
      <c r="AP1621" s="672"/>
      <c r="AQ1621" s="672"/>
      <c r="AR1621" s="509"/>
      <c r="AS1621" s="509"/>
      <c r="AT1621" s="509"/>
      <c r="AU1621" s="1632"/>
      <c r="AV1621" s="1747"/>
      <c r="AW1621" s="1853"/>
      <c r="AX1621" s="1853"/>
      <c r="AY1621" s="509"/>
      <c r="AZ1621" s="1632"/>
      <c r="BA1621" s="1747"/>
      <c r="BB1621" s="1853"/>
      <c r="BC1621" s="1853"/>
      <c r="BD1621" s="1942"/>
      <c r="BE1621" s="510"/>
      <c r="BF1621" s="1853"/>
      <c r="BG1621" s="1853"/>
      <c r="BH1621" s="1853"/>
      <c r="BI1621" s="1942"/>
      <c r="BJ1621" s="510"/>
      <c r="BK1621" s="1853"/>
      <c r="BL1621" s="1853"/>
      <c r="BM1621" s="1853"/>
      <c r="BN1621" s="1942"/>
      <c r="BO1621" s="510"/>
      <c r="BP1621" s="1853"/>
      <c r="BQ1621" s="1853"/>
      <c r="BR1621" s="1853"/>
      <c r="BS1621" s="1942"/>
      <c r="BT1621" s="2842"/>
      <c r="BU1621" s="1853"/>
      <c r="BV1621" s="1853"/>
      <c r="BW1621" s="1853"/>
      <c r="BX1621" s="1942"/>
      <c r="BY1621" s="2842"/>
      <c r="BZ1621" s="510"/>
      <c r="CA1621" s="510"/>
      <c r="CB1621" s="510"/>
      <c r="CC1621" s="510"/>
      <c r="CD1621" s="510"/>
      <c r="CE1621" s="510"/>
      <c r="CF1621" s="510"/>
      <c r="CG1621" s="331"/>
      <c r="CH1621" s="331"/>
      <c r="CI1621" s="331"/>
      <c r="CJ1621" s="331"/>
      <c r="CK1621" s="331"/>
      <c r="CL1621" s="520"/>
      <c r="CM1621" s="430"/>
      <c r="CN1621" s="430"/>
      <c r="CO1621" s="430"/>
      <c r="CP1621" s="430"/>
      <c r="CQ1621" s="430"/>
      <c r="CR1621" s="430"/>
      <c r="CS1621" s="430"/>
      <c r="CT1621" s="430"/>
      <c r="CU1621" s="430"/>
      <c r="CV1621" s="430"/>
      <c r="CW1621" s="430"/>
      <c r="CX1621" s="430"/>
      <c r="CY1621" s="430"/>
      <c r="CZ1621" s="430"/>
      <c r="DA1621" s="430"/>
      <c r="DB1621" s="430"/>
      <c r="DC1621" s="853"/>
      <c r="DD1621" s="331"/>
      <c r="DE1621" s="331"/>
      <c r="DF1621" s="502"/>
      <c r="DG1621" s="503"/>
      <c r="DH1621" s="2840"/>
      <c r="DI1621" s="3213"/>
      <c r="DJ1621" s="502"/>
      <c r="DK1621" s="503"/>
      <c r="DL1621" s="502"/>
      <c r="DM1621" s="502"/>
      <c r="DN1621" s="502"/>
      <c r="DO1621" s="502"/>
      <c r="DP1621" s="503"/>
      <c r="DQ1621" s="503"/>
      <c r="DR1621" s="296"/>
      <c r="DS1621" s="296"/>
      <c r="DT1621" s="296"/>
    </row>
    <row r="1622" spans="1:124" ht="12.75" hidden="1" customHeight="1" outlineLevel="1" x14ac:dyDescent="0.25">
      <c r="A1622" s="312" t="s">
        <v>772</v>
      </c>
      <c r="B1622" s="281"/>
      <c r="C1622" s="446">
        <f t="shared" ref="C1622:AU1622" si="3713">C127</f>
        <v>7.6</v>
      </c>
      <c r="D1622" s="446">
        <f t="shared" si="3713"/>
        <v>7.7000000000000011</v>
      </c>
      <c r="E1622" s="446">
        <f t="shared" si="3713"/>
        <v>11.4</v>
      </c>
      <c r="F1622" s="446">
        <f t="shared" si="3713"/>
        <v>12.299999999999999</v>
      </c>
      <c r="G1622" s="447">
        <f t="shared" si="3713"/>
        <v>39</v>
      </c>
      <c r="H1622" s="446">
        <f t="shared" si="3713"/>
        <v>6.8</v>
      </c>
      <c r="I1622" s="446">
        <f t="shared" si="3713"/>
        <v>15.5</v>
      </c>
      <c r="J1622" s="446">
        <f t="shared" si="3713"/>
        <v>8.6999999999999993</v>
      </c>
      <c r="K1622" s="446">
        <f t="shared" si="3713"/>
        <v>19.499999999999996</v>
      </c>
      <c r="L1622" s="447">
        <f t="shared" si="3713"/>
        <v>50.5</v>
      </c>
      <c r="M1622" s="446">
        <f t="shared" si="3713"/>
        <v>12</v>
      </c>
      <c r="N1622" s="446">
        <f t="shared" si="3713"/>
        <v>19.100000000000001</v>
      </c>
      <c r="O1622" s="446">
        <f t="shared" si="3713"/>
        <v>13.8</v>
      </c>
      <c r="P1622" s="446">
        <f t="shared" si="3713"/>
        <v>19.199999999999996</v>
      </c>
      <c r="Q1622" s="447">
        <f t="shared" si="3713"/>
        <v>64.099999999999994</v>
      </c>
      <c r="R1622" s="446">
        <f t="shared" si="3713"/>
        <v>14.6</v>
      </c>
      <c r="S1622" s="446">
        <f t="shared" si="3713"/>
        <v>13.799999999999999</v>
      </c>
      <c r="T1622" s="446">
        <f t="shared" si="3713"/>
        <v>12.300000000000006</v>
      </c>
      <c r="U1622" s="446">
        <f t="shared" si="3713"/>
        <v>31.5</v>
      </c>
      <c r="V1622" s="447">
        <f t="shared" si="3713"/>
        <v>72.2</v>
      </c>
      <c r="W1622" s="446">
        <f t="shared" si="3713"/>
        <v>15.7</v>
      </c>
      <c r="X1622" s="446">
        <f t="shared" si="3713"/>
        <v>16.900000000000002</v>
      </c>
      <c r="Y1622" s="446">
        <f t="shared" si="3713"/>
        <v>12.5</v>
      </c>
      <c r="Z1622" s="446">
        <f t="shared" si="3713"/>
        <v>22.099999999999998</v>
      </c>
      <c r="AA1622" s="447">
        <f t="shared" si="3713"/>
        <v>67.2</v>
      </c>
      <c r="AB1622" s="446">
        <f t="shared" si="3713"/>
        <v>16</v>
      </c>
      <c r="AC1622" s="446">
        <f t="shared" si="3713"/>
        <v>15.600000000000001</v>
      </c>
      <c r="AD1622" s="446">
        <f t="shared" si="3713"/>
        <v>26</v>
      </c>
      <c r="AE1622" s="454">
        <f t="shared" si="3713"/>
        <v>23</v>
      </c>
      <c r="AF1622" s="447">
        <f t="shared" si="3713"/>
        <v>80.599999999999994</v>
      </c>
      <c r="AG1622" s="454">
        <f t="shared" si="3713"/>
        <v>31.2</v>
      </c>
      <c r="AH1622" s="454">
        <f t="shared" si="3713"/>
        <v>23.2</v>
      </c>
      <c r="AI1622" s="454">
        <f t="shared" si="3713"/>
        <v>22.3</v>
      </c>
      <c r="AJ1622" s="454">
        <f t="shared" si="3713"/>
        <v>18.2</v>
      </c>
      <c r="AK1622" s="447">
        <f t="shared" si="3713"/>
        <v>94.9</v>
      </c>
      <c r="AL1622" s="454">
        <f t="shared" si="3713"/>
        <v>14.7</v>
      </c>
      <c r="AM1622" s="454">
        <f t="shared" si="3713"/>
        <v>14.6</v>
      </c>
      <c r="AN1622" s="454">
        <f t="shared" si="3713"/>
        <v>22.900000000000002</v>
      </c>
      <c r="AO1622" s="454">
        <f t="shared" si="3713"/>
        <v>24.8</v>
      </c>
      <c r="AP1622" s="582">
        <f t="shared" si="3713"/>
        <v>77</v>
      </c>
      <c r="AQ1622" s="582">
        <f t="shared" si="3713"/>
        <v>21.5</v>
      </c>
      <c r="AR1622" s="446">
        <f t="shared" si="3713"/>
        <v>30.2</v>
      </c>
      <c r="AS1622" s="446">
        <f t="shared" si="3713"/>
        <v>14</v>
      </c>
      <c r="AT1622" s="446">
        <f t="shared" si="3713"/>
        <v>20.3</v>
      </c>
      <c r="AU1622" s="1693">
        <f t="shared" si="3713"/>
        <v>86</v>
      </c>
      <c r="AV1622" s="582">
        <f>AQ1622</f>
        <v>21.5</v>
      </c>
      <c r="AW1622" s="446">
        <f>AR1622</f>
        <v>30.2</v>
      </c>
      <c r="AX1622" s="446">
        <f>AS1622</f>
        <v>14</v>
      </c>
      <c r="AY1622" s="446">
        <f>AY127</f>
        <v>18.694000000000017</v>
      </c>
      <c r="AZ1622" s="1693">
        <f>AZ127</f>
        <v>80.800000000000011</v>
      </c>
      <c r="BA1622" s="582">
        <f>AV1622</f>
        <v>21.5</v>
      </c>
      <c r="BB1622" s="446">
        <f>AW1622</f>
        <v>30.2</v>
      </c>
      <c r="BC1622" s="446">
        <f>AX1622</f>
        <v>14</v>
      </c>
      <c r="BD1622" s="856">
        <f>AY1622</f>
        <v>18.694000000000017</v>
      </c>
      <c r="BE1622" s="1693">
        <f t="shared" ref="BE1622:BY1622" si="3714">BE127</f>
        <v>83.4</v>
      </c>
      <c r="BF1622" s="446">
        <f t="shared" si="3714"/>
        <v>11.86</v>
      </c>
      <c r="BG1622" s="446">
        <f t="shared" si="3714"/>
        <v>18.305</v>
      </c>
      <c r="BH1622" s="446">
        <f t="shared" si="3714"/>
        <v>11.701000000000001</v>
      </c>
      <c r="BI1622" s="856">
        <f t="shared" si="3714"/>
        <v>20.826000000000001</v>
      </c>
      <c r="BJ1622" s="1693">
        <f t="shared" si="3714"/>
        <v>62.692</v>
      </c>
      <c r="BK1622" s="446">
        <f t="shared" si="3714"/>
        <v>14.872999999999999</v>
      </c>
      <c r="BL1622" s="446">
        <f t="shared" si="3714"/>
        <v>17.670000000000002</v>
      </c>
      <c r="BM1622" s="446">
        <f t="shared" si="3714"/>
        <v>18.887999999999998</v>
      </c>
      <c r="BN1622" s="856">
        <f t="shared" si="3714"/>
        <v>27.074000000000002</v>
      </c>
      <c r="BO1622" s="1693">
        <f t="shared" si="3714"/>
        <v>78.504999999999995</v>
      </c>
      <c r="BP1622" s="446">
        <f t="shared" si="3714"/>
        <v>10.978</v>
      </c>
      <c r="BQ1622" s="446">
        <f t="shared" si="3714"/>
        <v>17.308999999999997</v>
      </c>
      <c r="BR1622" s="446">
        <f t="shared" si="3714"/>
        <v>18.344000000000001</v>
      </c>
      <c r="BS1622" s="856">
        <f t="shared" si="3714"/>
        <v>27.597000000000001</v>
      </c>
      <c r="BT1622" s="3066">
        <f t="shared" si="3714"/>
        <v>74.228000000000009</v>
      </c>
      <c r="BU1622" s="446">
        <f t="shared" si="3714"/>
        <v>27.521276096949332</v>
      </c>
      <c r="BV1622" s="446">
        <f t="shared" si="3714"/>
        <v>20.361277754346851</v>
      </c>
      <c r="BW1622" s="446">
        <f t="shared" si="3714"/>
        <v>27.312780289162671</v>
      </c>
      <c r="BX1622" s="856">
        <f t="shared" si="3714"/>
        <v>28.106546639286464</v>
      </c>
      <c r="BY1622">
        <f t="shared" si="3714"/>
        <v>103.30188077974532</v>
      </c>
      <c r="BZ1622" s="455">
        <f t="shared" ref="BZ1622:CF1622" si="3715">BY1622</f>
        <v>103.30188077974532</v>
      </c>
      <c r="CA1622" s="455">
        <f t="shared" si="3715"/>
        <v>103.30188077974532</v>
      </c>
      <c r="CB1622" s="455">
        <f t="shared" si="3715"/>
        <v>103.30188077974532</v>
      </c>
      <c r="CC1622" s="455">
        <f t="shared" si="3715"/>
        <v>103.30188077974532</v>
      </c>
      <c r="CD1622" s="455">
        <f t="shared" si="3715"/>
        <v>103.30188077974532</v>
      </c>
      <c r="CE1622" s="455">
        <f t="shared" si="3715"/>
        <v>103.30188077974532</v>
      </c>
      <c r="CF1622" s="455">
        <f t="shared" si="3715"/>
        <v>103.30188077974532</v>
      </c>
      <c r="CG1622" s="741"/>
      <c r="CH1622" s="741"/>
      <c r="CI1622" s="741"/>
      <c r="CJ1622" s="741"/>
      <c r="CK1622" s="741"/>
      <c r="CL1622" s="2025" t="str">
        <f>A1622</f>
        <v>Maintenance capex (estimate)</v>
      </c>
      <c r="CM1622" s="454">
        <f>G1622</f>
        <v>39</v>
      </c>
      <c r="CN1622" s="454">
        <f>L1622</f>
        <v>50.5</v>
      </c>
      <c r="CO1622" s="454">
        <f>Q1622</f>
        <v>64.099999999999994</v>
      </c>
      <c r="CP1622" s="454">
        <f>V1622</f>
        <v>72.2</v>
      </c>
      <c r="CQ1622" s="454">
        <f>AA1622</f>
        <v>67.2</v>
      </c>
      <c r="CR1622" s="454">
        <f>AF1622</f>
        <v>80.599999999999994</v>
      </c>
      <c r="CS1622" s="454">
        <f>AK1622</f>
        <v>94.9</v>
      </c>
      <c r="CT1622" s="454">
        <f>AP1622</f>
        <v>77</v>
      </c>
      <c r="CU1622" s="454">
        <f>AU1622</f>
        <v>86</v>
      </c>
      <c r="CV1622" s="454">
        <f>AZ1622</f>
        <v>80.800000000000011</v>
      </c>
      <c r="CW1622" s="454">
        <f>BE1622</f>
        <v>83.4</v>
      </c>
      <c r="CX1622" s="454">
        <f>BJ1622</f>
        <v>62.692</v>
      </c>
      <c r="CY1622" s="454">
        <f>BO1622</f>
        <v>78.504999999999995</v>
      </c>
      <c r="CZ1622" s="454">
        <f>BT1622</f>
        <v>74.228000000000009</v>
      </c>
      <c r="DA1622" s="454">
        <f t="shared" ref="DA1622:DC1623" si="3716">BY1622</f>
        <v>103.30188077974532</v>
      </c>
      <c r="DB1622" s="454">
        <f t="shared" si="3716"/>
        <v>103.30188077974532</v>
      </c>
      <c r="DC1622" s="1666">
        <f t="shared" si="3716"/>
        <v>103.30188077974532</v>
      </c>
      <c r="DD1622" s="741"/>
      <c r="DE1622" s="741"/>
      <c r="DF1622" s="742"/>
      <c r="DG1622" s="743"/>
      <c r="DH1622" s="2915"/>
      <c r="DI1622" s="3215"/>
      <c r="DJ1622" s="742"/>
      <c r="DK1622" s="743"/>
      <c r="DL1622" s="742"/>
      <c r="DM1622" s="742"/>
      <c r="DN1622" s="742"/>
      <c r="DO1622" s="742"/>
      <c r="DP1622" s="743"/>
      <c r="DQ1622" s="743"/>
      <c r="DR1622" s="740"/>
      <c r="DS1622" s="740"/>
      <c r="DT1622" s="740"/>
    </row>
    <row r="1623" spans="1:124" ht="12.75" hidden="1" customHeight="1" outlineLevel="1" x14ac:dyDescent="0.25">
      <c r="A1623" s="281" t="s">
        <v>773</v>
      </c>
      <c r="B1623" s="281"/>
      <c r="C1623" s="563">
        <f>C1622+6.3+7.9+4.8</f>
        <v>26.599999999999998</v>
      </c>
      <c r="D1623" s="563">
        <f>D1622+C1622+6.3+7.9</f>
        <v>29.5</v>
      </c>
      <c r="E1623" s="563">
        <f>E1622+D1622+C1622+6.3</f>
        <v>33</v>
      </c>
      <c r="F1623" s="446">
        <f>SUM(C1622:F1622)</f>
        <v>39</v>
      </c>
      <c r="G1623" s="447">
        <f>F1623</f>
        <v>39</v>
      </c>
      <c r="H1623" s="446">
        <f>H1622+F1622+E1622+D1622</f>
        <v>38.200000000000003</v>
      </c>
      <c r="I1623" s="446">
        <f>I1622+H1622+F1622+E1622</f>
        <v>46</v>
      </c>
      <c r="J1623" s="446">
        <f>J1622+I1622+H1622+F1622</f>
        <v>43.3</v>
      </c>
      <c r="K1623" s="446">
        <f>K1622+J1622+I1622+H1622</f>
        <v>50.499999999999993</v>
      </c>
      <c r="L1623" s="447">
        <f>K1623</f>
        <v>50.499999999999993</v>
      </c>
      <c r="M1623" s="446">
        <f>M1622+K1622+J1622+I1622</f>
        <v>55.699999999999996</v>
      </c>
      <c r="N1623" s="446">
        <f>N1622+M1622+K1622+J1622</f>
        <v>59.3</v>
      </c>
      <c r="O1623" s="446">
        <f>O1622+N1622+M1622+K1622</f>
        <v>64.400000000000006</v>
      </c>
      <c r="P1623" s="446">
        <f>P1622+O1622+N1622+M1622</f>
        <v>64.099999999999994</v>
      </c>
      <c r="Q1623" s="447">
        <f>P1623</f>
        <v>64.099999999999994</v>
      </c>
      <c r="R1623" s="446">
        <f>R1622+P1622+O1622+N1622</f>
        <v>66.699999999999989</v>
      </c>
      <c r="S1623" s="446">
        <f>S1622+R1622+P1622+O1622</f>
        <v>61.399999999999991</v>
      </c>
      <c r="T1623" s="446">
        <f>T1622+S1622+R1622+P1622</f>
        <v>59.9</v>
      </c>
      <c r="U1623" s="446">
        <f>U1622+T1622+S1622+R1622</f>
        <v>72.2</v>
      </c>
      <c r="V1623" s="447">
        <f>U1623</f>
        <v>72.2</v>
      </c>
      <c r="W1623" s="446">
        <f>W1622+U1622+T1622+S1622</f>
        <v>73.300000000000011</v>
      </c>
      <c r="X1623" s="446">
        <f>X1622+W1622+U1622+T1622</f>
        <v>76.400000000000006</v>
      </c>
      <c r="Y1623" s="446">
        <f>Y1622+X1622+W1622+U1622</f>
        <v>76.599999999999994</v>
      </c>
      <c r="Z1623" s="446">
        <f>Z1622+Y1622+X1622+W1622</f>
        <v>67.2</v>
      </c>
      <c r="AA1623" s="447">
        <f>Z1623</f>
        <v>67.2</v>
      </c>
      <c r="AB1623" s="446">
        <f>AB1622+Z1622+Y1622+X1622</f>
        <v>67.5</v>
      </c>
      <c r="AC1623" s="446">
        <f>AC1622+AB1622+Z1622+Y1622</f>
        <v>66.2</v>
      </c>
      <c r="AD1623" s="446">
        <f>AD1622+AC1622+AB1622+Z1622</f>
        <v>79.7</v>
      </c>
      <c r="AE1623" s="454">
        <f>AE1622+AD1622+AC1622+AB1622</f>
        <v>80.599999999999994</v>
      </c>
      <c r="AF1623" s="447">
        <f>AE1623</f>
        <v>80.599999999999994</v>
      </c>
      <c r="AG1623" s="454">
        <f>AG1622+AE1622+AD1622+AC1622</f>
        <v>95.800000000000011</v>
      </c>
      <c r="AH1623" s="454">
        <f>AH1622+AG1622+AE1622+AD1622</f>
        <v>103.4</v>
      </c>
      <c r="AI1623" s="454">
        <f>AI1622+AH1622+AG1622+AE1622</f>
        <v>99.7</v>
      </c>
      <c r="AJ1623" s="454">
        <f>AJ1622+AI1622+AH1622+AG1622</f>
        <v>94.9</v>
      </c>
      <c r="AK1623" s="447">
        <f>AJ1623</f>
        <v>94.9</v>
      </c>
      <c r="AL1623" s="454">
        <f>AL1622+AJ1622+AI1622+AH1622</f>
        <v>78.400000000000006</v>
      </c>
      <c r="AM1623" s="454">
        <f>AM1622+AL1622+AJ1622+AI1622</f>
        <v>69.8</v>
      </c>
      <c r="AN1623" s="454">
        <f>AN1622+AM1622+AL1622+AJ1622</f>
        <v>70.400000000000006</v>
      </c>
      <c r="AO1623" s="454">
        <f>AO1622+AN1622+AM1622+AL1622</f>
        <v>77</v>
      </c>
      <c r="AP1623" s="582">
        <f>AO1623</f>
        <v>77</v>
      </c>
      <c r="AQ1623" s="582">
        <f>AQ1622+AP1622+AO1622+AN1622</f>
        <v>146.19999999999999</v>
      </c>
      <c r="AR1623" s="446">
        <f>AR1622+AQ1622+AP1622+AO1622</f>
        <v>153.5</v>
      </c>
      <c r="AS1623" s="446">
        <f>AS1622+AR1622+AQ1622+AP1622</f>
        <v>142.69999999999999</v>
      </c>
      <c r="AT1623" s="446">
        <f>AT1622+AS1622+AR1622+AQ1622</f>
        <v>86</v>
      </c>
      <c r="AU1623" s="1700">
        <f>AT1623</f>
        <v>86</v>
      </c>
      <c r="AV1623" s="582">
        <f>AV1622+AU1622+AT1622+AS1622</f>
        <v>141.80000000000001</v>
      </c>
      <c r="AW1623" s="446">
        <f>AW1622+AV1622+AU1622+AT1622</f>
        <v>158</v>
      </c>
      <c r="AX1623" s="446">
        <f>AX1622+AW1622+AV1622+AU1622</f>
        <v>151.69999999999999</v>
      </c>
      <c r="AY1623" s="446">
        <f>AY1622+AX1622+AW1622+AV1622</f>
        <v>84.39400000000002</v>
      </c>
      <c r="AZ1623" s="1700">
        <f>AY1623</f>
        <v>84.39400000000002</v>
      </c>
      <c r="BA1623" s="582">
        <f>BA1622+AZ1622+AY1622+AX1622</f>
        <v>134.99400000000003</v>
      </c>
      <c r="BB1623" s="446">
        <f>BB1622+BA1622+AZ1622+AY1622</f>
        <v>151.19400000000002</v>
      </c>
      <c r="BC1623" s="446">
        <f>BC1622+BB1622+BA1622+AZ1622</f>
        <v>146.5</v>
      </c>
      <c r="BD1623" s="856">
        <f>BD1622+BC1622+BB1622+BA1622</f>
        <v>84.39400000000002</v>
      </c>
      <c r="BE1623" s="1700">
        <f>BD1623</f>
        <v>84.39400000000002</v>
      </c>
      <c r="BF1623" s="582">
        <f>BF1622+BB1622+BD1622+BC1622</f>
        <v>74.754000000000019</v>
      </c>
      <c r="BG1623" s="446">
        <f>BG1622+BF1622+BC1622+BD1622</f>
        <v>62.859000000000016</v>
      </c>
      <c r="BH1623" s="446">
        <f>BH1622+BG1622+BF1622+BD1622</f>
        <v>60.560000000000016</v>
      </c>
      <c r="BI1623" s="856">
        <f>BI1622+BH1622+BG1622+BF1622</f>
        <v>62.692</v>
      </c>
      <c r="BJ1623" s="1700">
        <f>BI1623</f>
        <v>62.692</v>
      </c>
      <c r="BK1623" s="446">
        <f>BK1622+BI1622+BG1622+BH1622</f>
        <v>65.704999999999998</v>
      </c>
      <c r="BL1623" s="446">
        <f>BL1622+BK1622+BH1622+BI1622</f>
        <v>65.069999999999993</v>
      </c>
      <c r="BM1623" s="446">
        <f>BM1622+BL1622+BK1622+BI1622</f>
        <v>72.257000000000005</v>
      </c>
      <c r="BN1623" s="856">
        <f>BN1622+BM1622+BL1622+BK1622</f>
        <v>78.50500000000001</v>
      </c>
      <c r="BO1623" s="1700">
        <f>BN1623</f>
        <v>78.50500000000001</v>
      </c>
      <c r="BP1623" s="446">
        <f>BP1622+BN1622+BL1622+BM1622</f>
        <v>74.61</v>
      </c>
      <c r="BQ1623" s="446">
        <f>BQ1622+BP1622+BM1622+BN1622</f>
        <v>74.248999999999995</v>
      </c>
      <c r="BR1623" s="446">
        <f>BR1622+BQ1622+BP1622+BN1622</f>
        <v>73.704999999999998</v>
      </c>
      <c r="BS1623" s="856">
        <f>BS1622+BR1622+BQ1622+BP1622</f>
        <v>74.227999999999994</v>
      </c>
      <c r="BT1623" s="3068">
        <f>BS1623</f>
        <v>74.227999999999994</v>
      </c>
      <c r="BU1623" s="446">
        <f>BU1622+BS1622+BQ1622+BR1622</f>
        <v>90.771276096949322</v>
      </c>
      <c r="BV1623" s="446">
        <f>BV1622+BU1622+BR1622+BS1622</f>
        <v>93.823553851296197</v>
      </c>
      <c r="BW1623" s="446">
        <f>BW1622+BV1622+BU1622+BS1622</f>
        <v>102.79233414045885</v>
      </c>
      <c r="BX1623" s="856">
        <f>BX1622+BW1622+BV1622+BU1622</f>
        <v>103.30188077974533</v>
      </c>
      <c r="BY1623" s="3068">
        <f>BX1623</f>
        <v>103.30188077974533</v>
      </c>
      <c r="BZ1623" s="447">
        <f t="shared" ref="BZ1623:CF1623" si="3717">BZ127</f>
        <v>139.18879107635362</v>
      </c>
      <c r="CA1623" s="447">
        <f t="shared" si="3717"/>
        <v>154.00732659840105</v>
      </c>
      <c r="CB1623" s="447">
        <f t="shared" si="3717"/>
        <v>86.744552585372091</v>
      </c>
      <c r="CC1623" s="447">
        <f t="shared" si="3717"/>
        <v>82.745759264676607</v>
      </c>
      <c r="CD1623" s="447">
        <f t="shared" si="3717"/>
        <v>84.334460617014983</v>
      </c>
      <c r="CE1623" s="447">
        <f t="shared" si="3717"/>
        <v>85.997640475003848</v>
      </c>
      <c r="CF1623" s="447">
        <f t="shared" si="3717"/>
        <v>87.608140580652176</v>
      </c>
      <c r="CG1623" s="331"/>
      <c r="CH1623" s="331"/>
      <c r="CI1623" s="331"/>
      <c r="CJ1623" s="331"/>
      <c r="CK1623" s="331"/>
      <c r="CL1623" s="520" t="str">
        <f>A1623</f>
        <v>LTM maintenance capex</v>
      </c>
      <c r="CM1623" s="454">
        <f>G1623</f>
        <v>39</v>
      </c>
      <c r="CN1623" s="454">
        <f>L1623</f>
        <v>50.499999999999993</v>
      </c>
      <c r="CO1623" s="454">
        <f>Q1623</f>
        <v>64.099999999999994</v>
      </c>
      <c r="CP1623" s="454">
        <f>V1623</f>
        <v>72.2</v>
      </c>
      <c r="CQ1623" s="454">
        <f>AA1623</f>
        <v>67.2</v>
      </c>
      <c r="CR1623" s="454">
        <f>AF1623</f>
        <v>80.599999999999994</v>
      </c>
      <c r="CS1623" s="454">
        <f>AK1623</f>
        <v>94.9</v>
      </c>
      <c r="CT1623" s="454">
        <f>AP1623</f>
        <v>77</v>
      </c>
      <c r="CU1623" s="454">
        <f>AU1623</f>
        <v>86</v>
      </c>
      <c r="CV1623" s="454">
        <f>AZ1623</f>
        <v>84.39400000000002</v>
      </c>
      <c r="CW1623" s="454">
        <f>BE1623</f>
        <v>84.39400000000002</v>
      </c>
      <c r="CX1623" s="454">
        <f>BJ1623</f>
        <v>62.692</v>
      </c>
      <c r="CY1623" s="454">
        <f>BO1623</f>
        <v>78.50500000000001</v>
      </c>
      <c r="CZ1623" s="454">
        <f>BT1623</f>
        <v>74.227999999999994</v>
      </c>
      <c r="DA1623" s="454">
        <f t="shared" si="3716"/>
        <v>103.30188077974533</v>
      </c>
      <c r="DB1623" s="454">
        <f t="shared" si="3716"/>
        <v>139.18879107635362</v>
      </c>
      <c r="DC1623" s="1666">
        <f t="shared" si="3716"/>
        <v>154.00732659840105</v>
      </c>
      <c r="DD1623" s="331"/>
      <c r="DE1623" s="331"/>
      <c r="DF1623" s="502"/>
      <c r="DG1623" s="503"/>
      <c r="DH1623" s="2915"/>
      <c r="DI1623" s="3213"/>
      <c r="DJ1623" s="502"/>
      <c r="DK1623" s="503"/>
      <c r="DL1623" s="502"/>
      <c r="DM1623" s="502"/>
      <c r="DN1623" s="502"/>
      <c r="DO1623" s="502"/>
      <c r="DP1623" s="503"/>
      <c r="DQ1623" s="503"/>
      <c r="DR1623" s="296"/>
      <c r="DS1623" s="296"/>
      <c r="DT1623" s="296"/>
    </row>
    <row r="1624" spans="1:124" ht="12.75" hidden="1" customHeight="1" outlineLevel="1" x14ac:dyDescent="0.25">
      <c r="A1624" s="281"/>
      <c r="B1624" s="281"/>
      <c r="C1624" s="311"/>
      <c r="D1624" s="311"/>
      <c r="E1624" s="311"/>
      <c r="F1624" s="311"/>
      <c r="G1624" s="518"/>
      <c r="H1624" s="311"/>
      <c r="I1624" s="311"/>
      <c r="J1624" s="311"/>
      <c r="K1624" s="311"/>
      <c r="L1624" s="518"/>
      <c r="M1624" s="311"/>
      <c r="N1624" s="311"/>
      <c r="O1624" s="311"/>
      <c r="P1624" s="311"/>
      <c r="Q1624" s="518"/>
      <c r="R1624" s="311"/>
      <c r="S1624" s="311"/>
      <c r="T1624" s="311"/>
      <c r="U1624" s="311"/>
      <c r="V1624" s="518"/>
      <c r="W1624" s="311"/>
      <c r="X1624" s="311"/>
      <c r="Y1624" s="311"/>
      <c r="Z1624" s="311"/>
      <c r="AA1624" s="518"/>
      <c r="AB1624" s="311"/>
      <c r="AC1624" s="311"/>
      <c r="AD1624" s="311"/>
      <c r="AE1624" s="526"/>
      <c r="AF1624" s="518"/>
      <c r="AG1624" s="526"/>
      <c r="AH1624" s="526"/>
      <c r="AI1624" s="526"/>
      <c r="AJ1624" s="526"/>
      <c r="AK1624" s="518"/>
      <c r="AL1624" s="526"/>
      <c r="AM1624" s="526"/>
      <c r="AN1624" s="526"/>
      <c r="AO1624" s="526"/>
      <c r="AP1624" s="329"/>
      <c r="AQ1624" s="329"/>
      <c r="AR1624" s="311"/>
      <c r="AS1624" s="311"/>
      <c r="AT1624" s="311"/>
      <c r="AU1624" s="1708"/>
      <c r="AV1624" s="329"/>
      <c r="AW1624" s="311"/>
      <c r="AX1624" s="311"/>
      <c r="AY1624" s="311"/>
      <c r="AZ1624" s="1708"/>
      <c r="BA1624" s="329"/>
      <c r="BB1624" s="311"/>
      <c r="BC1624" s="311"/>
      <c r="BD1624" s="858"/>
      <c r="BE1624" s="1708"/>
      <c r="BF1624" s="311"/>
      <c r="BG1624" s="311"/>
      <c r="BH1624" s="311"/>
      <c r="BI1624" s="858"/>
      <c r="BJ1624" s="1708"/>
      <c r="BK1624" s="311"/>
      <c r="BL1624" s="311"/>
      <c r="BM1624" s="311"/>
      <c r="BN1624" s="858"/>
      <c r="BO1624" s="1708"/>
      <c r="BP1624" s="311"/>
      <c r="BQ1624" s="311"/>
      <c r="BR1624" s="311"/>
      <c r="BS1624" s="858"/>
      <c r="BT1624" s="3231"/>
      <c r="BU1624" s="311"/>
      <c r="BV1624" s="311"/>
      <c r="BW1624" s="311"/>
      <c r="BX1624" s="858"/>
      <c r="BY1624" s="3231"/>
      <c r="BZ1624" s="518"/>
      <c r="CA1624" s="518"/>
      <c r="CB1624" s="518"/>
      <c r="CC1624" s="518"/>
      <c r="CD1624" s="518"/>
      <c r="CE1624" s="518"/>
      <c r="CF1624" s="518"/>
      <c r="CG1624" s="331"/>
      <c r="CH1624" s="331"/>
      <c r="CI1624" s="331"/>
      <c r="CJ1624" s="331"/>
      <c r="CK1624" s="331"/>
      <c r="CL1624" s="520"/>
      <c r="CM1624" s="526"/>
      <c r="CN1624" s="526"/>
      <c r="CO1624" s="526"/>
      <c r="CP1624" s="526"/>
      <c r="CQ1624" s="526"/>
      <c r="CR1624" s="526"/>
      <c r="CS1624" s="526"/>
      <c r="CT1624" s="526"/>
      <c r="CU1624" s="526"/>
      <c r="CV1624" s="526"/>
      <c r="CW1624" s="526"/>
      <c r="CX1624" s="526"/>
      <c r="CY1624" s="526"/>
      <c r="CZ1624" s="526"/>
      <c r="DA1624" s="526"/>
      <c r="DB1624" s="526"/>
      <c r="DC1624" s="684"/>
      <c r="DD1624" s="331"/>
      <c r="DE1624" s="331"/>
      <c r="DF1624" s="502"/>
      <c r="DG1624" s="503"/>
      <c r="DH1624" s="2585"/>
      <c r="DI1624" s="3213"/>
      <c r="DJ1624" s="502"/>
      <c r="DK1624" s="503"/>
      <c r="DL1624" s="502"/>
      <c r="DM1624" s="502"/>
      <c r="DN1624" s="502"/>
      <c r="DO1624" s="502"/>
      <c r="DP1624" s="503"/>
      <c r="DQ1624" s="503"/>
      <c r="DR1624" s="296"/>
      <c r="DS1624" s="296"/>
      <c r="DT1624" s="296"/>
    </row>
    <row r="1625" spans="1:124" ht="12.75" customHeight="1" collapsed="1" x14ac:dyDescent="0.25">
      <c r="A1625" s="659" t="s">
        <v>2225</v>
      </c>
      <c r="B1625" s="281"/>
      <c r="C1625" s="311"/>
      <c r="D1625" s="311"/>
      <c r="E1625" s="311"/>
      <c r="F1625" s="311"/>
      <c r="G1625" s="518"/>
      <c r="H1625" s="311"/>
      <c r="I1625" s="311"/>
      <c r="J1625" s="311"/>
      <c r="K1625" s="311"/>
      <c r="L1625" s="518"/>
      <c r="M1625" s="311"/>
      <c r="N1625" s="311"/>
      <c r="O1625" s="311"/>
      <c r="P1625" s="311"/>
      <c r="Q1625" s="518"/>
      <c r="R1625" s="311"/>
      <c r="S1625" s="311"/>
      <c r="T1625" s="311"/>
      <c r="U1625" s="311"/>
      <c r="V1625" s="518"/>
      <c r="W1625" s="311"/>
      <c r="X1625" s="311"/>
      <c r="Y1625" s="311"/>
      <c r="Z1625" s="311"/>
      <c r="AA1625" s="518"/>
      <c r="AB1625" s="311"/>
      <c r="AC1625" s="311"/>
      <c r="AD1625" s="311"/>
      <c r="AE1625" s="526"/>
      <c r="AF1625" s="518"/>
      <c r="AG1625" s="526"/>
      <c r="AH1625" s="526"/>
      <c r="AI1625" s="526"/>
      <c r="AJ1625" s="526"/>
      <c r="AK1625" s="518"/>
      <c r="AL1625" s="526"/>
      <c r="AM1625" s="526"/>
      <c r="AN1625" s="526"/>
      <c r="AO1625" s="526"/>
      <c r="AP1625" s="329"/>
      <c r="AQ1625" s="329"/>
      <c r="AR1625" s="311"/>
      <c r="AS1625" s="311"/>
      <c r="AT1625" s="311"/>
      <c r="AU1625" s="1708"/>
      <c r="AV1625" s="329"/>
      <c r="AW1625" s="311"/>
      <c r="AX1625" s="311"/>
      <c r="AY1625" s="311"/>
      <c r="AZ1625" s="1708"/>
      <c r="BA1625" s="329"/>
      <c r="BB1625" s="311"/>
      <c r="BC1625" s="311"/>
      <c r="BD1625" s="858"/>
      <c r="BE1625" s="1708"/>
      <c r="BF1625" s="311"/>
      <c r="BG1625" s="311"/>
      <c r="BH1625" s="311"/>
      <c r="BI1625" s="858"/>
      <c r="BJ1625" s="1708"/>
      <c r="BK1625" s="311"/>
      <c r="BL1625" s="311"/>
      <c r="BM1625" s="311"/>
      <c r="BN1625" s="858"/>
      <c r="BO1625" s="1708"/>
      <c r="BP1625" s="311"/>
      <c r="BQ1625" s="311"/>
      <c r="BR1625" s="311"/>
      <c r="BS1625" s="858"/>
      <c r="BT1625" s="3231"/>
      <c r="BU1625" s="311"/>
      <c r="BV1625" s="311"/>
      <c r="BW1625" s="311"/>
      <c r="BX1625" s="858"/>
      <c r="BY1625" s="3231"/>
      <c r="BZ1625" s="518"/>
      <c r="CA1625" s="518"/>
      <c r="CB1625" s="518"/>
      <c r="CC1625" s="518"/>
      <c r="CD1625" s="518"/>
      <c r="CE1625" s="518"/>
      <c r="CF1625" s="518"/>
      <c r="CG1625" s="331"/>
      <c r="CH1625" s="331"/>
      <c r="CI1625" s="331"/>
      <c r="CJ1625" s="331"/>
      <c r="CK1625" s="331"/>
      <c r="CL1625" s="2042" t="str">
        <f>A1625</f>
        <v>Minimum Fixed Charge Coverage Ratio</v>
      </c>
      <c r="CM1625" s="526"/>
      <c r="CN1625" s="526"/>
      <c r="CO1625" s="526"/>
      <c r="CP1625" s="526"/>
      <c r="CQ1625" s="526"/>
      <c r="CR1625" s="526"/>
      <c r="CS1625" s="526"/>
      <c r="CT1625" s="526"/>
      <c r="CU1625" s="526"/>
      <c r="CV1625" s="526"/>
      <c r="CW1625" s="526"/>
      <c r="CX1625" s="526"/>
      <c r="CY1625" s="526"/>
      <c r="CZ1625" s="526"/>
      <c r="DA1625" s="526"/>
      <c r="DB1625" s="526"/>
      <c r="DC1625" s="684"/>
      <c r="DD1625" s="331"/>
      <c r="DE1625" s="331"/>
      <c r="DF1625" s="502"/>
      <c r="DG1625" s="503"/>
      <c r="DH1625" s="2585"/>
      <c r="DI1625" s="3213"/>
      <c r="DJ1625" s="502"/>
      <c r="DK1625" s="503"/>
      <c r="DL1625" s="502"/>
      <c r="DM1625" s="502"/>
      <c r="DN1625" s="502"/>
      <c r="DO1625" s="502"/>
      <c r="DP1625" s="503"/>
      <c r="DQ1625" s="503"/>
      <c r="DR1625" s="296"/>
      <c r="DS1625" s="296"/>
      <c r="DT1625" s="296"/>
    </row>
    <row r="1626" spans="1:124" ht="12.75" customHeight="1" x14ac:dyDescent="0.25">
      <c r="A1626" s="281" t="s">
        <v>419</v>
      </c>
      <c r="B1626" s="281"/>
      <c r="C1626" s="675">
        <v>1.2</v>
      </c>
      <c r="D1626" s="675">
        <v>1.2</v>
      </c>
      <c r="E1626" s="675">
        <v>1.2</v>
      </c>
      <c r="F1626" s="675">
        <v>1.25</v>
      </c>
      <c r="G1626" s="676">
        <f>F1626</f>
        <v>1.25</v>
      </c>
      <c r="H1626" s="675">
        <v>1.25</v>
      </c>
      <c r="I1626" s="675">
        <v>1.25</v>
      </c>
      <c r="J1626" s="675">
        <v>1.1000000000000001</v>
      </c>
      <c r="K1626" s="675">
        <v>1.1000000000000001</v>
      </c>
      <c r="L1626" s="676">
        <f>K1626</f>
        <v>1.1000000000000001</v>
      </c>
      <c r="M1626" s="675">
        <v>1.1000000000000001</v>
      </c>
      <c r="N1626" s="675">
        <v>1.1000000000000001</v>
      </c>
      <c r="O1626" s="675">
        <v>1.1000000000000001</v>
      </c>
      <c r="P1626" s="675">
        <v>1.1499999999999999</v>
      </c>
      <c r="Q1626" s="676">
        <f>P1626</f>
        <v>1.1499999999999999</v>
      </c>
      <c r="R1626" s="675">
        <v>1.1499999999999999</v>
      </c>
      <c r="S1626" s="675">
        <v>1.1499999999999999</v>
      </c>
      <c r="T1626" s="675">
        <v>1.1499999999999999</v>
      </c>
      <c r="U1626" s="675">
        <v>1.1499999999999999</v>
      </c>
      <c r="V1626" s="676">
        <f>U1626</f>
        <v>1.1499999999999999</v>
      </c>
      <c r="W1626" s="675">
        <v>1.1499999999999999</v>
      </c>
      <c r="X1626" s="675">
        <v>1.1499999999999999</v>
      </c>
      <c r="Y1626" s="675">
        <v>1.1499999999999999</v>
      </c>
      <c r="Z1626" s="675">
        <v>1.2</v>
      </c>
      <c r="AA1626" s="676">
        <f>Z1626</f>
        <v>1.2</v>
      </c>
      <c r="AB1626" s="675">
        <v>1.2</v>
      </c>
      <c r="AC1626" s="677">
        <v>1.2</v>
      </c>
      <c r="AD1626" s="675">
        <v>1.2</v>
      </c>
      <c r="AE1626" s="677">
        <v>1.2</v>
      </c>
      <c r="AF1626" s="676">
        <f>AE1626</f>
        <v>1.2</v>
      </c>
      <c r="AG1626" s="677">
        <v>1.2</v>
      </c>
      <c r="AH1626" s="677">
        <v>1.2</v>
      </c>
      <c r="AI1626" s="677">
        <v>1.2</v>
      </c>
      <c r="AJ1626" s="677">
        <v>1.2</v>
      </c>
      <c r="AK1626" s="676">
        <f>AJ1626</f>
        <v>1.2</v>
      </c>
      <c r="AL1626" s="678">
        <f>AJ1626</f>
        <v>1.2</v>
      </c>
      <c r="AM1626" s="678">
        <f t="shared" ref="AM1626:AU1626" si="3718">AL1626</f>
        <v>1.2</v>
      </c>
      <c r="AN1626" s="678">
        <f t="shared" si="3718"/>
        <v>1.2</v>
      </c>
      <c r="AO1626" s="678">
        <f t="shared" si="3718"/>
        <v>1.2</v>
      </c>
      <c r="AP1626" s="679">
        <f t="shared" si="3718"/>
        <v>1.2</v>
      </c>
      <c r="AQ1626" s="679">
        <f t="shared" si="3718"/>
        <v>1.2</v>
      </c>
      <c r="AR1626" s="680">
        <f t="shared" si="3718"/>
        <v>1.2</v>
      </c>
      <c r="AS1626" s="680">
        <f t="shared" si="3718"/>
        <v>1.2</v>
      </c>
      <c r="AT1626" s="680">
        <f t="shared" si="3718"/>
        <v>1.2</v>
      </c>
      <c r="AU1626" s="1714">
        <f t="shared" si="3718"/>
        <v>1.2</v>
      </c>
      <c r="AV1626" s="679">
        <f t="shared" ref="AV1626:BE1626" si="3719">AU1626</f>
        <v>1.2</v>
      </c>
      <c r="AW1626" s="680">
        <f t="shared" si="3719"/>
        <v>1.2</v>
      </c>
      <c r="AX1626" s="680">
        <f t="shared" si="3719"/>
        <v>1.2</v>
      </c>
      <c r="AY1626" s="680">
        <f t="shared" si="3719"/>
        <v>1.2</v>
      </c>
      <c r="AZ1626" s="1714">
        <f t="shared" si="3719"/>
        <v>1.2</v>
      </c>
      <c r="BA1626" s="679">
        <f t="shared" si="3719"/>
        <v>1.2</v>
      </c>
      <c r="BB1626" s="680">
        <f>BA1626</f>
        <v>1.2</v>
      </c>
      <c r="BC1626" s="680">
        <f t="shared" si="3719"/>
        <v>1.2</v>
      </c>
      <c r="BD1626" s="857">
        <f t="shared" si="3719"/>
        <v>1.2</v>
      </c>
      <c r="BE1626" s="1714">
        <f t="shared" si="3719"/>
        <v>1.2</v>
      </c>
      <c r="BF1626" s="680">
        <f t="shared" ref="BF1626:BO1626" si="3720">BE1626</f>
        <v>1.2</v>
      </c>
      <c r="BG1626" s="680">
        <f t="shared" si="3720"/>
        <v>1.2</v>
      </c>
      <c r="BH1626" s="680">
        <f t="shared" si="3720"/>
        <v>1.2</v>
      </c>
      <c r="BI1626" s="857">
        <f t="shared" si="3720"/>
        <v>1.2</v>
      </c>
      <c r="BJ1626" s="1714">
        <f t="shared" si="3720"/>
        <v>1.2</v>
      </c>
      <c r="BK1626" s="678">
        <f t="shared" si="3720"/>
        <v>1.2</v>
      </c>
      <c r="BL1626" s="680">
        <f>BK1626</f>
        <v>1.2</v>
      </c>
      <c r="BM1626" s="680">
        <f t="shared" si="3720"/>
        <v>1.2</v>
      </c>
      <c r="BN1626" s="857">
        <f t="shared" si="3720"/>
        <v>1.2</v>
      </c>
      <c r="BO1626" s="1714">
        <f t="shared" si="3720"/>
        <v>1.2</v>
      </c>
      <c r="BP1626" s="678">
        <f t="shared" ref="BP1626:BX1626" si="3721">BO1626</f>
        <v>1.2</v>
      </c>
      <c r="BQ1626" s="680">
        <f t="shared" si="3721"/>
        <v>1.2</v>
      </c>
      <c r="BR1626" s="680">
        <f t="shared" si="3721"/>
        <v>1.2</v>
      </c>
      <c r="BS1626" s="857">
        <f t="shared" si="3721"/>
        <v>1.2</v>
      </c>
      <c r="BT1626" s="3266">
        <f t="shared" si="3721"/>
        <v>1.2</v>
      </c>
      <c r="BU1626" s="678">
        <f t="shared" si="3721"/>
        <v>1.2</v>
      </c>
      <c r="BV1626" s="680">
        <f t="shared" si="3721"/>
        <v>1.2</v>
      </c>
      <c r="BW1626" s="680">
        <f t="shared" si="3721"/>
        <v>1.2</v>
      </c>
      <c r="BX1626" s="857">
        <f t="shared" si="3721"/>
        <v>1.2</v>
      </c>
      <c r="BY1626" s="3266">
        <f>BX1626</f>
        <v>1.2</v>
      </c>
      <c r="BZ1626" s="676">
        <f t="shared" ref="BZ1626:CF1626" si="3722">BD1626</f>
        <v>1.2</v>
      </c>
      <c r="CA1626" s="676">
        <f t="shared" si="3722"/>
        <v>1.2</v>
      </c>
      <c r="CB1626" s="676">
        <f t="shared" si="3722"/>
        <v>1.2</v>
      </c>
      <c r="CC1626" s="676">
        <f t="shared" si="3722"/>
        <v>1.2</v>
      </c>
      <c r="CD1626" s="676">
        <f t="shared" si="3722"/>
        <v>1.2</v>
      </c>
      <c r="CE1626" s="676">
        <f t="shared" si="3722"/>
        <v>1.2</v>
      </c>
      <c r="CF1626" s="676">
        <f t="shared" si="3722"/>
        <v>1.2</v>
      </c>
      <c r="CG1626" s="331"/>
      <c r="CH1626" s="331"/>
      <c r="CI1626" s="331"/>
      <c r="CJ1626" s="331"/>
      <c r="CK1626" s="331"/>
      <c r="CL1626" s="520" t="str">
        <f>A1626</f>
        <v>Fixed charge coverage - covenant</v>
      </c>
      <c r="CM1626" s="678">
        <f>G1626</f>
        <v>1.25</v>
      </c>
      <c r="CN1626" s="678">
        <f>L1626</f>
        <v>1.1000000000000001</v>
      </c>
      <c r="CO1626" s="678">
        <f>Q1626</f>
        <v>1.1499999999999999</v>
      </c>
      <c r="CP1626" s="678">
        <f>V1626</f>
        <v>1.1499999999999999</v>
      </c>
      <c r="CQ1626" s="678">
        <f>AA1626</f>
        <v>1.2</v>
      </c>
      <c r="CR1626" s="678">
        <f>AF1626</f>
        <v>1.2</v>
      </c>
      <c r="CS1626" s="678">
        <f>AK1626</f>
        <v>1.2</v>
      </c>
      <c r="CT1626" s="678">
        <f>AP1626</f>
        <v>1.2</v>
      </c>
      <c r="CU1626" s="678">
        <f>AU1626</f>
        <v>1.2</v>
      </c>
      <c r="CV1626" s="678">
        <f>AZ1626</f>
        <v>1.2</v>
      </c>
      <c r="CW1626" s="678">
        <f>BE1626</f>
        <v>1.2</v>
      </c>
      <c r="CX1626" s="678">
        <f>BJ1626</f>
        <v>1.2</v>
      </c>
      <c r="CY1626" s="678">
        <f>BO1626</f>
        <v>1.2</v>
      </c>
      <c r="CZ1626" s="678">
        <f>BT1626</f>
        <v>1.2</v>
      </c>
      <c r="DA1626" s="678">
        <f t="shared" ref="DA1626:DC1628" si="3723">BY1626</f>
        <v>1.2</v>
      </c>
      <c r="DB1626" s="678">
        <f t="shared" si="3723"/>
        <v>1.2</v>
      </c>
      <c r="DC1626" s="2240">
        <f t="shared" si="3723"/>
        <v>1.2</v>
      </c>
      <c r="DD1626" s="331"/>
      <c r="DE1626" s="331"/>
      <c r="DF1626" s="502"/>
      <c r="DG1626" s="503"/>
      <c r="DH1626" s="3316"/>
      <c r="DI1626" s="3213"/>
      <c r="DJ1626" s="502"/>
      <c r="DK1626" s="503"/>
      <c r="DL1626" s="502"/>
      <c r="DM1626" s="502"/>
      <c r="DN1626" s="502"/>
      <c r="DO1626" s="502"/>
      <c r="DP1626" s="503"/>
      <c r="DQ1626" s="503"/>
      <c r="DR1626" s="296"/>
      <c r="DS1626" s="296"/>
      <c r="DT1626" s="296"/>
    </row>
    <row r="1627" spans="1:124" ht="12.75" customHeight="1" x14ac:dyDescent="0.25">
      <c r="A1627" s="428" t="s">
        <v>420</v>
      </c>
      <c r="B1627" s="281"/>
      <c r="C1627" s="678">
        <f t="shared" ref="C1627:AH1627" si="3724">(C1572-C1623)/(C1579+C1611+C1620)</f>
        <v>2.4344644182402901</v>
      </c>
      <c r="D1627" s="678">
        <f t="shared" si="3724"/>
        <v>2.2168805183839049</v>
      </c>
      <c r="E1627" s="678">
        <f t="shared" si="3724"/>
        <v>2.022370846801862</v>
      </c>
      <c r="F1627" s="678">
        <f t="shared" si="3724"/>
        <v>2.060087982611789</v>
      </c>
      <c r="G1627" s="676">
        <f t="shared" si="3724"/>
        <v>2.060087982611789</v>
      </c>
      <c r="H1627" s="678">
        <f t="shared" si="3724"/>
        <v>2.0842797997676699</v>
      </c>
      <c r="I1627" s="678">
        <f t="shared" si="3724"/>
        <v>2.1195864996954881</v>
      </c>
      <c r="J1627" s="678">
        <f t="shared" si="3724"/>
        <v>2.2650864924994045</v>
      </c>
      <c r="K1627" s="678">
        <f t="shared" si="3724"/>
        <v>3.5072005060838007</v>
      </c>
      <c r="L1627" s="676">
        <f t="shared" si="3724"/>
        <v>3.5072005060838007</v>
      </c>
      <c r="M1627" s="678">
        <f t="shared" si="3724"/>
        <v>2.7775182190103247</v>
      </c>
      <c r="N1627" s="678">
        <f t="shared" si="3724"/>
        <v>2.2680108915921728</v>
      </c>
      <c r="O1627" s="678">
        <f t="shared" si="3724"/>
        <v>1.919838322635903</v>
      </c>
      <c r="P1627" s="678">
        <f t="shared" si="3724"/>
        <v>2.024378877037051</v>
      </c>
      <c r="Q1627" s="676">
        <f t="shared" si="3724"/>
        <v>2.024378877037051</v>
      </c>
      <c r="R1627" s="678">
        <f t="shared" si="3724"/>
        <v>2.0310413177778308</v>
      </c>
      <c r="S1627" s="678">
        <f t="shared" si="3724"/>
        <v>2.0971328316370905</v>
      </c>
      <c r="T1627" s="678">
        <f t="shared" si="3724"/>
        <v>2.1200458417477934</v>
      </c>
      <c r="U1627" s="678">
        <f t="shared" si="3724"/>
        <v>1.8918237353191392</v>
      </c>
      <c r="V1627" s="676">
        <f t="shared" si="3724"/>
        <v>1.8918237353191392</v>
      </c>
      <c r="W1627" s="678">
        <f t="shared" si="3724"/>
        <v>1.8266865790232487</v>
      </c>
      <c r="X1627" s="678">
        <f t="shared" si="3724"/>
        <v>1.7245029837910431</v>
      </c>
      <c r="Y1627" s="678">
        <f t="shared" si="3724"/>
        <v>1.6574090160873705</v>
      </c>
      <c r="Z1627" s="678">
        <f t="shared" si="3724"/>
        <v>1.6876233846538033</v>
      </c>
      <c r="AA1627" s="676">
        <f t="shared" si="3724"/>
        <v>1.6876233846538033</v>
      </c>
      <c r="AB1627" s="678">
        <f t="shared" si="3724"/>
        <v>1.7436770633895682</v>
      </c>
      <c r="AC1627" s="678">
        <f t="shared" si="3724"/>
        <v>1.744727811495336</v>
      </c>
      <c r="AD1627" s="678">
        <f t="shared" si="3724"/>
        <v>1.6855421509200561</v>
      </c>
      <c r="AE1627" s="678">
        <f t="shared" si="3724"/>
        <v>1.902545862801347</v>
      </c>
      <c r="AF1627" s="676">
        <f t="shared" si="3724"/>
        <v>1.902545862801347</v>
      </c>
      <c r="AG1627" s="678">
        <f t="shared" si="3724"/>
        <v>1.9715474607207075</v>
      </c>
      <c r="AH1627" s="678">
        <f t="shared" si="3724"/>
        <v>2.1488129165093715</v>
      </c>
      <c r="AI1627" s="678">
        <f t="shared" ref="AI1627:BN1627" si="3725">(AI1572-AI1623)/(AI1579+AI1611+AI1620)</f>
        <v>2.4342246524489424</v>
      </c>
      <c r="AJ1627" s="678">
        <f t="shared" si="3725"/>
        <v>2.899757408023103</v>
      </c>
      <c r="AK1627" s="676">
        <f t="shared" si="3725"/>
        <v>2.899757408023103</v>
      </c>
      <c r="AL1627" s="678">
        <f t="shared" si="3725"/>
        <v>3.446695662270062</v>
      </c>
      <c r="AM1627" s="678">
        <f t="shared" si="3725"/>
        <v>3.6250348314912233</v>
      </c>
      <c r="AN1627" s="678">
        <f t="shared" si="3725"/>
        <v>3.6171075909713934</v>
      </c>
      <c r="AO1627" s="678">
        <f t="shared" si="3725"/>
        <v>3.0031633879305106</v>
      </c>
      <c r="AP1627" s="676">
        <f t="shared" si="3725"/>
        <v>3.0031633879305106</v>
      </c>
      <c r="AQ1627" s="679">
        <f t="shared" si="3725"/>
        <v>2.0094596457873735</v>
      </c>
      <c r="AR1627" s="680">
        <f t="shared" si="3725"/>
        <v>2.0734982680231497</v>
      </c>
      <c r="AS1627" s="680">
        <f t="shared" si="3725"/>
        <v>2.1266240823224116</v>
      </c>
      <c r="AT1627" s="857">
        <f t="shared" si="3725"/>
        <v>3.4472983989338015</v>
      </c>
      <c r="AU1627" s="1714">
        <f t="shared" si="3725"/>
        <v>3.4472983989338015</v>
      </c>
      <c r="AV1627" s="679">
        <f t="shared" si="3725"/>
        <v>2.2757972852666795</v>
      </c>
      <c r="AW1627" s="680">
        <f t="shared" si="3725"/>
        <v>2.3391505748506538</v>
      </c>
      <c r="AX1627" s="680">
        <f t="shared" si="3725"/>
        <v>2.2922055182707726</v>
      </c>
      <c r="AY1627" s="857">
        <f t="shared" si="3725"/>
        <v>3.6637340406864549</v>
      </c>
      <c r="AZ1627" s="1714">
        <f t="shared" si="3725"/>
        <v>3.6637340406864549</v>
      </c>
      <c r="BA1627" s="679">
        <f t="shared" si="3725"/>
        <v>1.5849475821969723</v>
      </c>
      <c r="BB1627" s="680">
        <f t="shared" si="3725"/>
        <v>0.86832409229338647</v>
      </c>
      <c r="BC1627" s="680">
        <f t="shared" si="3725"/>
        <v>0.41084309932899565</v>
      </c>
      <c r="BD1627" s="857">
        <f t="shared" si="3725"/>
        <v>1.5483550047560912</v>
      </c>
      <c r="BE1627" s="1714">
        <f t="shared" si="3725"/>
        <v>1.5023410432823985</v>
      </c>
      <c r="BF1627" s="680">
        <f t="shared" si="3725"/>
        <v>1.4657317144587823</v>
      </c>
      <c r="BG1627" s="680">
        <f t="shared" si="3725"/>
        <v>1.4907741272614119</v>
      </c>
      <c r="BH1627" s="680">
        <f t="shared" si="3725"/>
        <v>1.5712441927780638</v>
      </c>
      <c r="BI1627" s="857">
        <f t="shared" si="3725"/>
        <v>1.6023324904947236</v>
      </c>
      <c r="BJ1627" s="1714">
        <f t="shared" si="3725"/>
        <v>1.5502758005391637</v>
      </c>
      <c r="BK1627" s="680">
        <f t="shared" si="3725"/>
        <v>1.6203394099605222</v>
      </c>
      <c r="BL1627" s="680">
        <f t="shared" si="3725"/>
        <v>1.6498141050779811</v>
      </c>
      <c r="BM1627" s="680">
        <f t="shared" si="3725"/>
        <v>1.6110350837294716</v>
      </c>
      <c r="BN1627" s="857">
        <f t="shared" si="3725"/>
        <v>1.6423439750308981</v>
      </c>
      <c r="BO1627" s="1714">
        <f t="shared" ref="BO1627:CF1627" si="3726">(BO1572-BO1623)/(BO1579+BO1611+BO1620)</f>
        <v>1.4609047794144379</v>
      </c>
      <c r="BP1627" s="680">
        <f t="shared" si="3726"/>
        <v>1.6735489251571727</v>
      </c>
      <c r="BQ1627" s="680">
        <f t="shared" si="3726"/>
        <v>1.6349384962582802</v>
      </c>
      <c r="BR1627" s="680">
        <f t="shared" si="3726"/>
        <v>1.6399175912683124</v>
      </c>
      <c r="BS1627" s="857">
        <f t="shared" si="3726"/>
        <v>2.2593002292805422</v>
      </c>
      <c r="BT1627" s="3266">
        <f t="shared" ref="BT1627:BY1627" si="3727">(BT1572-BT1623)/(BT1579+BT1611+BT1620)</f>
        <v>2.0419886571370984</v>
      </c>
      <c r="BU1627" s="680">
        <f t="shared" si="3727"/>
        <v>1.5572457014508678</v>
      </c>
      <c r="BV1627" s="680">
        <f t="shared" si="3727"/>
        <v>1.5747102209407939</v>
      </c>
      <c r="BW1627" s="680">
        <f t="shared" si="3727"/>
        <v>1.5464575980715836</v>
      </c>
      <c r="BX1627" s="857">
        <f t="shared" si="3727"/>
        <v>1.6035341269793488</v>
      </c>
      <c r="BY1627" s="3266">
        <f t="shared" si="3727"/>
        <v>1.4305828195845911</v>
      </c>
      <c r="BZ1627" s="676">
        <f t="shared" si="3726"/>
        <v>1.407806895357498</v>
      </c>
      <c r="CA1627" s="676">
        <f t="shared" si="3726"/>
        <v>1.3831648830376815</v>
      </c>
      <c r="CB1627" s="676">
        <f t="shared" si="3726"/>
        <v>-0.41990991230831598</v>
      </c>
      <c r="CC1627" s="676">
        <f t="shared" si="3726"/>
        <v>-0.14065197118459422</v>
      </c>
      <c r="CD1627" s="676">
        <f t="shared" si="3726"/>
        <v>-7.3666883418074577E-2</v>
      </c>
      <c r="CE1627" s="676">
        <f t="shared" si="3726"/>
        <v>-3.918596714593478E-2</v>
      </c>
      <c r="CF1627" s="676">
        <f t="shared" si="3726"/>
        <v>-2.0762537051550421E-2</v>
      </c>
      <c r="CG1627" s="331"/>
      <c r="CH1627" s="331"/>
      <c r="CI1627" s="331"/>
      <c r="CJ1627" s="331"/>
      <c r="CK1627" s="331"/>
      <c r="CL1627" s="520" t="str">
        <f>A1627</f>
        <v>Fixed charge coverage - actual</v>
      </c>
      <c r="CM1627" s="678">
        <f>G1627</f>
        <v>2.060087982611789</v>
      </c>
      <c r="CN1627" s="678">
        <f>L1627</f>
        <v>3.5072005060838007</v>
      </c>
      <c r="CO1627" s="678">
        <f>Q1627</f>
        <v>2.024378877037051</v>
      </c>
      <c r="CP1627" s="678">
        <f>V1627</f>
        <v>1.8918237353191392</v>
      </c>
      <c r="CQ1627" s="678">
        <f>AA1627</f>
        <v>1.6876233846538033</v>
      </c>
      <c r="CR1627" s="678">
        <f>AF1627</f>
        <v>1.902545862801347</v>
      </c>
      <c r="CS1627" s="678">
        <f>AK1627</f>
        <v>2.899757408023103</v>
      </c>
      <c r="CT1627" s="678">
        <f>AP1627</f>
        <v>3.0031633879305106</v>
      </c>
      <c r="CU1627" s="678">
        <f>AU1627</f>
        <v>3.4472983989338015</v>
      </c>
      <c r="CV1627" s="678">
        <f>AZ1627</f>
        <v>3.6637340406864549</v>
      </c>
      <c r="CW1627" s="678">
        <f>BE1627</f>
        <v>1.5023410432823985</v>
      </c>
      <c r="CX1627" s="678">
        <f>BJ1627</f>
        <v>1.5502758005391637</v>
      </c>
      <c r="CY1627" s="678">
        <f>BO1627</f>
        <v>1.4609047794144379</v>
      </c>
      <c r="CZ1627" s="678">
        <f>BT1627</f>
        <v>2.0419886571370984</v>
      </c>
      <c r="DA1627" s="678">
        <f t="shared" si="3723"/>
        <v>1.4305828195845911</v>
      </c>
      <c r="DB1627" s="678">
        <f t="shared" si="3723"/>
        <v>1.407806895357498</v>
      </c>
      <c r="DC1627" s="2240">
        <f t="shared" si="3723"/>
        <v>1.3831648830376815</v>
      </c>
      <c r="DD1627" s="331"/>
      <c r="DE1627" s="331"/>
      <c r="DF1627" s="502"/>
      <c r="DG1627" s="503"/>
      <c r="DH1627" s="3316"/>
      <c r="DI1627" s="3213"/>
      <c r="DJ1627" s="502"/>
      <c r="DK1627" s="503"/>
      <c r="DL1627" s="502"/>
      <c r="DM1627" s="502"/>
      <c r="DN1627" s="502"/>
      <c r="DO1627" s="502"/>
      <c r="DP1627" s="503"/>
      <c r="DQ1627" s="503"/>
      <c r="DR1627" s="296"/>
      <c r="DS1627" s="296"/>
      <c r="DT1627" s="296"/>
    </row>
    <row r="1628" spans="1:124" ht="12.75" customHeight="1" x14ac:dyDescent="0.25">
      <c r="A1628" s="281" t="s">
        <v>1504</v>
      </c>
      <c r="B1628" s="281"/>
      <c r="C1628" s="476" t="str">
        <f>IF(C1627&lt;C1626, "N", "Y")</f>
        <v>Y</v>
      </c>
      <c r="D1628" s="476" t="str">
        <f t="shared" ref="D1628:AP1628" si="3728">IF(D1627&lt;D1626, "N", "Y")</f>
        <v>Y</v>
      </c>
      <c r="E1628" s="476" t="str">
        <f t="shared" si="3728"/>
        <v>Y</v>
      </c>
      <c r="F1628" s="452" t="str">
        <f t="shared" si="3728"/>
        <v>Y</v>
      </c>
      <c r="G1628" s="475" t="str">
        <f t="shared" si="3728"/>
        <v>Y</v>
      </c>
      <c r="H1628" s="452" t="str">
        <f t="shared" si="3728"/>
        <v>Y</v>
      </c>
      <c r="I1628" s="452" t="str">
        <f t="shared" si="3728"/>
        <v>Y</v>
      </c>
      <c r="J1628" s="452" t="str">
        <f t="shared" si="3728"/>
        <v>Y</v>
      </c>
      <c r="K1628" s="452" t="str">
        <f t="shared" si="3728"/>
        <v>Y</v>
      </c>
      <c r="L1628" s="475" t="str">
        <f t="shared" si="3728"/>
        <v>Y</v>
      </c>
      <c r="M1628" s="452" t="str">
        <f t="shared" si="3728"/>
        <v>Y</v>
      </c>
      <c r="N1628" s="452" t="str">
        <f t="shared" si="3728"/>
        <v>Y</v>
      </c>
      <c r="O1628" s="452" t="str">
        <f t="shared" si="3728"/>
        <v>Y</v>
      </c>
      <c r="P1628" s="452" t="str">
        <f t="shared" si="3728"/>
        <v>Y</v>
      </c>
      <c r="Q1628" s="475" t="str">
        <f t="shared" si="3728"/>
        <v>Y</v>
      </c>
      <c r="R1628" s="452" t="str">
        <f t="shared" si="3728"/>
        <v>Y</v>
      </c>
      <c r="S1628" s="452" t="str">
        <f t="shared" si="3728"/>
        <v>Y</v>
      </c>
      <c r="T1628" s="452" t="str">
        <f t="shared" si="3728"/>
        <v>Y</v>
      </c>
      <c r="U1628" s="452" t="str">
        <f t="shared" si="3728"/>
        <v>Y</v>
      </c>
      <c r="V1628" s="475" t="str">
        <f t="shared" si="3728"/>
        <v>Y</v>
      </c>
      <c r="W1628" s="452" t="str">
        <f t="shared" si="3728"/>
        <v>Y</v>
      </c>
      <c r="X1628" s="452" t="str">
        <f t="shared" si="3728"/>
        <v>Y</v>
      </c>
      <c r="Y1628" s="452" t="str">
        <f t="shared" si="3728"/>
        <v>Y</v>
      </c>
      <c r="Z1628" s="452" t="str">
        <f t="shared" si="3728"/>
        <v>Y</v>
      </c>
      <c r="AA1628" s="475" t="str">
        <f t="shared" si="3728"/>
        <v>Y</v>
      </c>
      <c r="AB1628" s="452" t="str">
        <f t="shared" si="3728"/>
        <v>Y</v>
      </c>
      <c r="AC1628" s="476" t="str">
        <f t="shared" si="3728"/>
        <v>Y</v>
      </c>
      <c r="AD1628" s="452" t="str">
        <f t="shared" si="3728"/>
        <v>Y</v>
      </c>
      <c r="AE1628" s="476" t="str">
        <f t="shared" si="3728"/>
        <v>Y</v>
      </c>
      <c r="AF1628" s="475" t="str">
        <f t="shared" si="3728"/>
        <v>Y</v>
      </c>
      <c r="AG1628" s="476" t="str">
        <f t="shared" si="3728"/>
        <v>Y</v>
      </c>
      <c r="AH1628" s="476" t="str">
        <f t="shared" si="3728"/>
        <v>Y</v>
      </c>
      <c r="AI1628" s="476" t="str">
        <f t="shared" si="3728"/>
        <v>Y</v>
      </c>
      <c r="AJ1628" s="476" t="str">
        <f t="shared" si="3728"/>
        <v>Y</v>
      </c>
      <c r="AK1628" s="475" t="str">
        <f t="shared" si="3728"/>
        <v>Y</v>
      </c>
      <c r="AL1628" s="584" t="str">
        <f>IF(AL1627&lt;AL1626, "N", "Y")</f>
        <v>Y</v>
      </c>
      <c r="AM1628" s="452" t="str">
        <f>IF(AM1627&lt;AM1626, "N", "Y")</f>
        <v>Y</v>
      </c>
      <c r="AN1628" s="452" t="str">
        <f>IF(AN1627&lt;AN1626, "N", "Y")</f>
        <v>Y</v>
      </c>
      <c r="AO1628" s="683" t="str">
        <f>IF(AO1627&lt;AO1626, "N", "Y")</f>
        <v>Y</v>
      </c>
      <c r="AP1628" s="584" t="str">
        <f t="shared" si="3728"/>
        <v>Y</v>
      </c>
      <c r="AQ1628" s="584" t="str">
        <f t="shared" ref="AQ1628:BJ1628" si="3729">IF(AQ1627&lt;AQ1626, "N", "Y")</f>
        <v>Y</v>
      </c>
      <c r="AR1628" s="452" t="str">
        <f t="shared" si="3729"/>
        <v>Y</v>
      </c>
      <c r="AS1628" s="452" t="str">
        <f t="shared" si="3729"/>
        <v>Y</v>
      </c>
      <c r="AT1628" s="452" t="str">
        <f t="shared" si="3729"/>
        <v>Y</v>
      </c>
      <c r="AU1628" s="1695" t="str">
        <f t="shared" si="3729"/>
        <v>Y</v>
      </c>
      <c r="AV1628" s="584" t="str">
        <f t="shared" si="3729"/>
        <v>Y</v>
      </c>
      <c r="AW1628" s="452" t="str">
        <f t="shared" si="3729"/>
        <v>Y</v>
      </c>
      <c r="AX1628" s="452" t="str">
        <f t="shared" si="3729"/>
        <v>Y</v>
      </c>
      <c r="AY1628" s="452" t="str">
        <f t="shared" si="3729"/>
        <v>Y</v>
      </c>
      <c r="AZ1628" s="1695" t="str">
        <f t="shared" si="3729"/>
        <v>Y</v>
      </c>
      <c r="BA1628" s="584" t="str">
        <f t="shared" si="3729"/>
        <v>Y</v>
      </c>
      <c r="BB1628" s="452" t="str">
        <f t="shared" si="3729"/>
        <v>N</v>
      </c>
      <c r="BC1628" s="452" t="str">
        <f t="shared" si="3729"/>
        <v>N</v>
      </c>
      <c r="BD1628" s="683" t="str">
        <f t="shared" si="3729"/>
        <v>Y</v>
      </c>
      <c r="BE1628" s="1695" t="str">
        <f t="shared" si="3729"/>
        <v>Y</v>
      </c>
      <c r="BF1628" s="452" t="str">
        <f t="shared" si="3729"/>
        <v>Y</v>
      </c>
      <c r="BG1628" s="452" t="str">
        <f t="shared" si="3729"/>
        <v>Y</v>
      </c>
      <c r="BH1628" s="452" t="str">
        <f t="shared" si="3729"/>
        <v>Y</v>
      </c>
      <c r="BI1628" s="683" t="str">
        <f t="shared" si="3729"/>
        <v>Y</v>
      </c>
      <c r="BJ1628" s="1695" t="str">
        <f t="shared" si="3729"/>
        <v>Y</v>
      </c>
      <c r="BK1628" s="452" t="str">
        <f t="shared" ref="BK1628:BT1628" si="3730">IF(BK1627&lt;BK1626, "N", "Y")</f>
        <v>Y</v>
      </c>
      <c r="BL1628" s="452" t="str">
        <f t="shared" si="3730"/>
        <v>Y</v>
      </c>
      <c r="BM1628" s="452" t="str">
        <f t="shared" si="3730"/>
        <v>Y</v>
      </c>
      <c r="BN1628" s="683" t="str">
        <f t="shared" si="3730"/>
        <v>Y</v>
      </c>
      <c r="BO1628" s="1695" t="str">
        <f t="shared" si="3730"/>
        <v>Y</v>
      </c>
      <c r="BP1628" s="452" t="str">
        <f>IF(BP1627&lt;BP1626, "N", "Y")</f>
        <v>Y</v>
      </c>
      <c r="BQ1628" s="452" t="str">
        <f>IF(BQ1627&lt;BQ1626, "N", "Y")</f>
        <v>Y</v>
      </c>
      <c r="BR1628" s="452" t="str">
        <f>IF(BR1627&lt;BR1626, "N", "Y")</f>
        <v>Y</v>
      </c>
      <c r="BS1628" s="683" t="str">
        <f>IF(BS1627&lt;BS1626, "N", "Y")</f>
        <v>Y</v>
      </c>
      <c r="BT1628" s="3239" t="str">
        <f t="shared" si="3730"/>
        <v>Y</v>
      </c>
      <c r="BU1628" s="452" t="str">
        <f t="shared" ref="BU1628:CF1628" si="3731">IF(BU1627&lt;BU1626, "N", "Y")</f>
        <v>Y</v>
      </c>
      <c r="BV1628" s="452" t="str">
        <f t="shared" si="3731"/>
        <v>Y</v>
      </c>
      <c r="BW1628" s="452" t="str">
        <f t="shared" si="3731"/>
        <v>Y</v>
      </c>
      <c r="BX1628" s="683" t="str">
        <f t="shared" si="3731"/>
        <v>Y</v>
      </c>
      <c r="BY1628" s="3239" t="str">
        <f t="shared" si="3731"/>
        <v>Y</v>
      </c>
      <c r="BZ1628" s="475" t="str">
        <f t="shared" si="3731"/>
        <v>Y</v>
      </c>
      <c r="CA1628" s="475" t="str">
        <f t="shared" si="3731"/>
        <v>Y</v>
      </c>
      <c r="CB1628" s="475" t="str">
        <f t="shared" si="3731"/>
        <v>N</v>
      </c>
      <c r="CC1628" s="475" t="str">
        <f t="shared" si="3731"/>
        <v>N</v>
      </c>
      <c r="CD1628" s="475" t="str">
        <f t="shared" si="3731"/>
        <v>N</v>
      </c>
      <c r="CE1628" s="475" t="str">
        <f t="shared" si="3731"/>
        <v>N</v>
      </c>
      <c r="CF1628" s="475" t="str">
        <f t="shared" si="3731"/>
        <v>N</v>
      </c>
      <c r="CG1628" s="331"/>
      <c r="CH1628" s="331"/>
      <c r="CI1628" s="331"/>
      <c r="CJ1628" s="331"/>
      <c r="CK1628" s="331"/>
      <c r="CL1628" s="520" t="str">
        <f>A1628</f>
        <v>Compliance?</v>
      </c>
      <c r="CM1628" s="476" t="str">
        <f>G1628</f>
        <v>Y</v>
      </c>
      <c r="CN1628" s="476" t="str">
        <f>L1628</f>
        <v>Y</v>
      </c>
      <c r="CO1628" s="476" t="str">
        <f>Q1628</f>
        <v>Y</v>
      </c>
      <c r="CP1628" s="476" t="str">
        <f>V1628</f>
        <v>Y</v>
      </c>
      <c r="CQ1628" s="476" t="str">
        <f>AA1628</f>
        <v>Y</v>
      </c>
      <c r="CR1628" s="476" t="str">
        <f>AF1628</f>
        <v>Y</v>
      </c>
      <c r="CS1628" s="476" t="str">
        <f>AK1628</f>
        <v>Y</v>
      </c>
      <c r="CT1628" s="476" t="str">
        <f>AP1628</f>
        <v>Y</v>
      </c>
      <c r="CU1628" s="476" t="str">
        <f>AU1628</f>
        <v>Y</v>
      </c>
      <c r="CV1628" s="476" t="str">
        <f>AZ1628</f>
        <v>Y</v>
      </c>
      <c r="CW1628" s="476" t="str">
        <f>BE1628</f>
        <v>Y</v>
      </c>
      <c r="CX1628" s="476" t="str">
        <f>BJ1628</f>
        <v>Y</v>
      </c>
      <c r="CY1628" s="476" t="str">
        <f>BO1628</f>
        <v>Y</v>
      </c>
      <c r="CZ1628" s="476" t="str">
        <f>BT1628</f>
        <v>Y</v>
      </c>
      <c r="DA1628" s="476" t="str">
        <f t="shared" si="3723"/>
        <v>Y</v>
      </c>
      <c r="DB1628" s="476" t="str">
        <f t="shared" si="3723"/>
        <v>Y</v>
      </c>
      <c r="DC1628" s="682" t="str">
        <f t="shared" si="3723"/>
        <v>Y</v>
      </c>
      <c r="DD1628" s="331"/>
      <c r="DE1628" s="331"/>
      <c r="DF1628" s="502"/>
      <c r="DG1628" s="503"/>
      <c r="DH1628" s="2577"/>
      <c r="DI1628" s="3213"/>
      <c r="DJ1628" s="502"/>
      <c r="DK1628" s="503"/>
      <c r="DL1628" s="502"/>
      <c r="DM1628" s="502"/>
      <c r="DN1628" s="502"/>
      <c r="DO1628" s="502"/>
      <c r="DP1628" s="503"/>
      <c r="DQ1628" s="503"/>
      <c r="DR1628" s="296"/>
      <c r="DS1628" s="296"/>
      <c r="DT1628" s="296"/>
    </row>
    <row r="1629" spans="1:124" ht="12.75" customHeight="1" x14ac:dyDescent="0.25">
      <c r="A1629" s="281"/>
      <c r="B1629" s="281"/>
      <c r="C1629" s="311"/>
      <c r="D1629" s="311"/>
      <c r="E1629" s="311"/>
      <c r="F1629" s="311"/>
      <c r="G1629" s="518"/>
      <c r="H1629" s="311"/>
      <c r="I1629" s="311"/>
      <c r="J1629" s="311"/>
      <c r="K1629" s="311"/>
      <c r="L1629" s="518"/>
      <c r="M1629" s="311"/>
      <c r="N1629" s="311"/>
      <c r="O1629" s="311"/>
      <c r="P1629" s="311"/>
      <c r="Q1629" s="518"/>
      <c r="R1629" s="311"/>
      <c r="S1629" s="311"/>
      <c r="T1629" s="311"/>
      <c r="U1629" s="311"/>
      <c r="V1629" s="518"/>
      <c r="W1629" s="311"/>
      <c r="X1629" s="311"/>
      <c r="Y1629" s="311"/>
      <c r="Z1629" s="311"/>
      <c r="AA1629" s="518"/>
      <c r="AB1629" s="311"/>
      <c r="AC1629" s="311"/>
      <c r="AD1629" s="311"/>
      <c r="AE1629" s="526"/>
      <c r="AF1629" s="518"/>
      <c r="AG1629" s="526"/>
      <c r="AH1629" s="526"/>
      <c r="AI1629" s="526"/>
      <c r="AJ1629" s="526"/>
      <c r="AK1629" s="518"/>
      <c r="AL1629" s="526"/>
      <c r="AM1629" s="526"/>
      <c r="AN1629" s="526"/>
      <c r="AO1629" s="526"/>
      <c r="AP1629" s="329"/>
      <c r="AQ1629" s="329"/>
      <c r="AR1629" s="311"/>
      <c r="AS1629" s="311"/>
      <c r="AT1629" s="311"/>
      <c r="AU1629" s="1708"/>
      <c r="AV1629" s="329"/>
      <c r="AW1629" s="311"/>
      <c r="AX1629" s="311"/>
      <c r="AY1629" s="311"/>
      <c r="AZ1629" s="1708"/>
      <c r="BA1629" s="329"/>
      <c r="BB1629" s="311"/>
      <c r="BC1629" s="311"/>
      <c r="BD1629" s="858"/>
      <c r="BE1629" s="1708"/>
      <c r="BF1629" s="311"/>
      <c r="BG1629" s="311"/>
      <c r="BH1629" s="311"/>
      <c r="BI1629" s="858"/>
      <c r="BJ1629" s="1708"/>
      <c r="BK1629" s="311"/>
      <c r="BL1629" s="311"/>
      <c r="BM1629" s="311"/>
      <c r="BN1629" s="858"/>
      <c r="BO1629" s="1708"/>
      <c r="BP1629" s="311"/>
      <c r="BQ1629" s="311"/>
      <c r="BR1629" s="311"/>
      <c r="BS1629" s="858"/>
      <c r="BT1629" s="3231"/>
      <c r="BU1629" s="311"/>
      <c r="BV1629" s="311"/>
      <c r="BW1629" s="311"/>
      <c r="BX1629" s="858"/>
      <c r="BY1629" s="3231"/>
      <c r="BZ1629" s="518"/>
      <c r="CA1629" s="518"/>
      <c r="CB1629" s="518"/>
      <c r="CC1629" s="518"/>
      <c r="CD1629" s="518"/>
      <c r="CE1629" s="518"/>
      <c r="CF1629" s="518"/>
      <c r="CG1629" s="331"/>
      <c r="CH1629" s="331"/>
      <c r="CI1629" s="331"/>
      <c r="CJ1629" s="331"/>
      <c r="CK1629" s="331"/>
      <c r="CL1629" s="520"/>
      <c r="CM1629" s="526"/>
      <c r="CN1629" s="526"/>
      <c r="CO1629" s="526"/>
      <c r="CP1629" s="526"/>
      <c r="CQ1629" s="526"/>
      <c r="CR1629" s="526"/>
      <c r="CS1629" s="526"/>
      <c r="CT1629" s="526"/>
      <c r="CU1629" s="526"/>
      <c r="CV1629" s="526"/>
      <c r="CW1629" s="526"/>
      <c r="CX1629" s="526"/>
      <c r="CY1629" s="526"/>
      <c r="CZ1629" s="526"/>
      <c r="DA1629" s="526"/>
      <c r="DB1629" s="526"/>
      <c r="DC1629" s="684"/>
      <c r="DD1629" s="331"/>
      <c r="DE1629" s="331"/>
      <c r="DF1629" s="502"/>
      <c r="DG1629" s="503"/>
      <c r="DH1629" s="2585"/>
      <c r="DI1629" s="3213"/>
      <c r="DJ1629" s="502"/>
      <c r="DK1629" s="503"/>
      <c r="DL1629" s="502"/>
      <c r="DM1629" s="502"/>
      <c r="DN1629" s="502"/>
      <c r="DO1629" s="502"/>
      <c r="DP1629" s="503"/>
      <c r="DQ1629" s="503"/>
      <c r="DR1629" s="296"/>
      <c r="DS1629" s="296"/>
      <c r="DT1629" s="296"/>
    </row>
    <row r="1630" spans="1:124" ht="12.75" customHeight="1" x14ac:dyDescent="0.25">
      <c r="A1630" s="659" t="s">
        <v>1293</v>
      </c>
      <c r="B1630" s="281"/>
      <c r="C1630" s="311"/>
      <c r="D1630" s="311"/>
      <c r="E1630" s="311"/>
      <c r="F1630" s="311"/>
      <c r="G1630" s="518"/>
      <c r="H1630" s="311"/>
      <c r="I1630" s="311"/>
      <c r="J1630" s="311"/>
      <c r="K1630" s="311"/>
      <c r="L1630" s="518"/>
      <c r="M1630" s="311"/>
      <c r="N1630" s="311"/>
      <c r="O1630" s="311"/>
      <c r="P1630" s="311"/>
      <c r="Q1630" s="518"/>
      <c r="R1630" s="311"/>
      <c r="S1630" s="311"/>
      <c r="T1630" s="311"/>
      <c r="U1630" s="311"/>
      <c r="V1630" s="518"/>
      <c r="W1630" s="311"/>
      <c r="X1630" s="311"/>
      <c r="Y1630" s="311"/>
      <c r="Z1630" s="311"/>
      <c r="AA1630" s="518"/>
      <c r="AB1630" s="311"/>
      <c r="AC1630" s="311"/>
      <c r="AD1630" s="311"/>
      <c r="AE1630" s="526"/>
      <c r="AF1630" s="518"/>
      <c r="AG1630" s="526"/>
      <c r="AH1630" s="526"/>
      <c r="AI1630" s="526"/>
      <c r="AJ1630" s="526"/>
      <c r="AK1630" s="518"/>
      <c r="AL1630" s="526"/>
      <c r="AM1630" s="526"/>
      <c r="AN1630" s="526"/>
      <c r="AO1630" s="526"/>
      <c r="AP1630" s="329"/>
      <c r="AQ1630" s="329"/>
      <c r="AR1630" s="311"/>
      <c r="AS1630" s="311"/>
      <c r="AT1630" s="311"/>
      <c r="AU1630" s="1708"/>
      <c r="AV1630" s="329"/>
      <c r="AW1630" s="311"/>
      <c r="AX1630" s="311"/>
      <c r="AY1630" s="311"/>
      <c r="AZ1630" s="1708"/>
      <c r="BA1630" s="329"/>
      <c r="BB1630" s="311"/>
      <c r="BC1630" s="311"/>
      <c r="BD1630" s="858"/>
      <c r="BE1630" s="1708"/>
      <c r="BF1630" s="311"/>
      <c r="BG1630" s="311"/>
      <c r="BH1630" s="311"/>
      <c r="BI1630" s="858"/>
      <c r="BJ1630" s="1708"/>
      <c r="BK1630" s="311"/>
      <c r="BL1630" s="311"/>
      <c r="BM1630" s="311"/>
      <c r="BN1630" s="858"/>
      <c r="BO1630" s="1708"/>
      <c r="BP1630" s="311"/>
      <c r="BQ1630" s="311"/>
      <c r="BR1630" s="311"/>
      <c r="BS1630" s="311"/>
      <c r="BT1630" s="3231"/>
      <c r="BU1630" s="311"/>
      <c r="BV1630" s="311"/>
      <c r="BW1630" s="311"/>
      <c r="BX1630" s="311"/>
      <c r="BY1630" s="3231"/>
      <c r="BZ1630" s="518"/>
      <c r="CA1630" s="518"/>
      <c r="CB1630" s="518"/>
      <c r="CC1630" s="518"/>
      <c r="CD1630" s="518"/>
      <c r="CE1630" s="518"/>
      <c r="CF1630" s="518"/>
      <c r="CG1630" s="331"/>
      <c r="CH1630" s="331"/>
      <c r="CI1630" s="331"/>
      <c r="CJ1630" s="331"/>
      <c r="CK1630" s="331"/>
      <c r="CL1630" s="2042" t="str">
        <f>A1630</f>
        <v>Additional Credit Metrics - Not Covenants</v>
      </c>
      <c r="CM1630" s="526"/>
      <c r="CN1630" s="526"/>
      <c r="CO1630" s="526"/>
      <c r="CP1630" s="526"/>
      <c r="CQ1630" s="526"/>
      <c r="CR1630" s="526"/>
      <c r="CS1630" s="526"/>
      <c r="CT1630" s="526"/>
      <c r="CU1630" s="526"/>
      <c r="CV1630" s="526"/>
      <c r="CW1630" s="526"/>
      <c r="CX1630" s="526"/>
      <c r="CY1630" s="526"/>
      <c r="CZ1630" s="526"/>
      <c r="DA1630" s="526"/>
      <c r="DB1630" s="526"/>
      <c r="DC1630" s="684"/>
      <c r="DD1630" s="331"/>
      <c r="DE1630" s="331"/>
      <c r="DF1630" s="502"/>
      <c r="DG1630" s="503"/>
      <c r="DH1630" s="2585"/>
      <c r="DI1630" s="3213"/>
      <c r="DJ1630" s="502"/>
      <c r="DK1630" s="503"/>
      <c r="DL1630" s="502"/>
      <c r="DM1630" s="502"/>
      <c r="DN1630" s="502"/>
      <c r="DO1630" s="502"/>
      <c r="DP1630" s="503"/>
      <c r="DQ1630" s="503"/>
      <c r="DR1630" s="296"/>
      <c r="DS1630" s="296"/>
      <c r="DT1630" s="296"/>
    </row>
    <row r="1631" spans="1:124" ht="12.75" customHeight="1" x14ac:dyDescent="0.25">
      <c r="A1631" s="281" t="s">
        <v>1161</v>
      </c>
      <c r="B1631" s="281"/>
      <c r="C1631" s="680">
        <f t="shared" ref="C1631:AH1631" si="3732">(C1567/C1572)</f>
        <v>4.1409419214405858</v>
      </c>
      <c r="D1631" s="680">
        <f t="shared" si="3732"/>
        <v>3.1174927500940823</v>
      </c>
      <c r="E1631" s="680">
        <f t="shared" si="3732"/>
        <v>2.9773437837682071</v>
      </c>
      <c r="F1631" s="680">
        <f t="shared" si="3732"/>
        <v>2.6945911765116897</v>
      </c>
      <c r="G1631" s="676">
        <f t="shared" si="3732"/>
        <v>2.6945911765116897</v>
      </c>
      <c r="H1631" s="680">
        <f t="shared" si="3732"/>
        <v>1.7059406594858915</v>
      </c>
      <c r="I1631" s="680">
        <f t="shared" si="3732"/>
        <v>1.6641484604837988</v>
      </c>
      <c r="J1631" s="680">
        <f t="shared" si="3732"/>
        <v>1.5656577922143633</v>
      </c>
      <c r="K1631" s="680">
        <f t="shared" si="3732"/>
        <v>4.4960116161256769</v>
      </c>
      <c r="L1631" s="676">
        <f t="shared" si="3732"/>
        <v>4.4960116161256769</v>
      </c>
      <c r="M1631" s="680">
        <f t="shared" si="3732"/>
        <v>4.2693912166498578</v>
      </c>
      <c r="N1631" s="680">
        <f t="shared" si="3732"/>
        <v>4.3399952337798569</v>
      </c>
      <c r="O1631" s="680">
        <f t="shared" si="3732"/>
        <v>4.2537637085154358</v>
      </c>
      <c r="P1631" s="680">
        <f t="shared" si="3732"/>
        <v>4.2289053994993848</v>
      </c>
      <c r="Q1631" s="676">
        <f t="shared" si="3732"/>
        <v>4.2289053994993848</v>
      </c>
      <c r="R1631" s="680">
        <f t="shared" si="3732"/>
        <v>4.1489932907141016</v>
      </c>
      <c r="S1631" s="680">
        <f t="shared" si="3732"/>
        <v>4.2876920211840863</v>
      </c>
      <c r="T1631" s="680">
        <f t="shared" si="3732"/>
        <v>4.1334604399473909</v>
      </c>
      <c r="U1631" s="680">
        <f t="shared" si="3732"/>
        <v>4.1629814174248985</v>
      </c>
      <c r="V1631" s="676">
        <f t="shared" si="3732"/>
        <v>4.1629814174248985</v>
      </c>
      <c r="W1631" s="680">
        <f t="shared" si="3732"/>
        <v>4.167414357721408</v>
      </c>
      <c r="X1631" s="680">
        <f t="shared" si="3732"/>
        <v>4.2384360112991653</v>
      </c>
      <c r="Y1631" s="680">
        <f t="shared" si="3732"/>
        <v>3.4946219494720561</v>
      </c>
      <c r="Z1631" s="680">
        <f t="shared" si="3732"/>
        <v>2.6328328991929055</v>
      </c>
      <c r="AA1631" s="676">
        <f t="shared" si="3732"/>
        <v>2.6328328991929055</v>
      </c>
      <c r="AB1631" s="680">
        <f t="shared" si="3732"/>
        <v>2.5856283813078478</v>
      </c>
      <c r="AC1631" s="680">
        <f t="shared" si="3732"/>
        <v>2.5799087724669372</v>
      </c>
      <c r="AD1631" s="680">
        <f t="shared" si="3732"/>
        <v>2.6845170115003585</v>
      </c>
      <c r="AE1631" s="678">
        <f t="shared" si="3732"/>
        <v>2.7441606636105651</v>
      </c>
      <c r="AF1631" s="676">
        <f t="shared" si="3732"/>
        <v>2.7441606636105651</v>
      </c>
      <c r="AG1631" s="678">
        <f t="shared" si="3732"/>
        <v>2.8566726541960876</v>
      </c>
      <c r="AH1631" s="678">
        <f t="shared" si="3732"/>
        <v>2.8967676575376</v>
      </c>
      <c r="AI1631" s="678">
        <f t="shared" ref="AI1631:BM1631" si="3733">(AI1567/AI1572)</f>
        <v>2.9266016285787573</v>
      </c>
      <c r="AJ1631" s="678">
        <f t="shared" si="3733"/>
        <v>3.1396664812516009</v>
      </c>
      <c r="AK1631" s="676">
        <f t="shared" si="3733"/>
        <v>3.1396664812516009</v>
      </c>
      <c r="AL1631" s="680">
        <f t="shared" si="3733"/>
        <v>2.9607325112624543</v>
      </c>
      <c r="AM1631" s="680">
        <f t="shared" si="3733"/>
        <v>2.597813400418306</v>
      </c>
      <c r="AN1631" s="680">
        <f t="shared" si="3733"/>
        <v>2.4785377746701989</v>
      </c>
      <c r="AO1631" s="680">
        <f t="shared" si="3733"/>
        <v>2.5027556338789183</v>
      </c>
      <c r="AP1631" s="679">
        <f t="shared" si="3733"/>
        <v>2.5027556338789183</v>
      </c>
      <c r="AQ1631" s="679">
        <f t="shared" si="3733"/>
        <v>2.416886958166145</v>
      </c>
      <c r="AR1631" s="680">
        <f t="shared" si="3733"/>
        <v>2.5009775949715412</v>
      </c>
      <c r="AS1631" s="680">
        <f t="shared" si="3733"/>
        <v>2.5605039558470524</v>
      </c>
      <c r="AT1631" s="680">
        <f t="shared" si="3733"/>
        <v>3.1304709625449001</v>
      </c>
      <c r="AU1631" s="1714">
        <f t="shared" si="3733"/>
        <v>3.1304709625449001</v>
      </c>
      <c r="AV1631" s="679">
        <f t="shared" si="3733"/>
        <v>2.9220277981088603</v>
      </c>
      <c r="AW1631" s="680">
        <f t="shared" si="3733"/>
        <v>2.7013447437180855</v>
      </c>
      <c r="AX1631" s="680">
        <f t="shared" si="3733"/>
        <v>2.5935663346410189</v>
      </c>
      <c r="AY1631" s="680">
        <f t="shared" si="3733"/>
        <v>1.0521238063422409</v>
      </c>
      <c r="AZ1631" s="1714">
        <f t="shared" si="3733"/>
        <v>1.0521238063422409</v>
      </c>
      <c r="BA1631" s="679">
        <f t="shared" si="3733"/>
        <v>1.3614225506813078</v>
      </c>
      <c r="BB1631" s="680">
        <f t="shared" si="3733"/>
        <v>1.8604543754070133</v>
      </c>
      <c r="BC1631" s="680">
        <f t="shared" si="3733"/>
        <v>3.2449416759167322</v>
      </c>
      <c r="BD1631" s="857">
        <f t="shared" si="3733"/>
        <v>6.5121853657299882</v>
      </c>
      <c r="BE1631" s="1714">
        <f t="shared" si="3733"/>
        <v>6.5121853657299882</v>
      </c>
      <c r="BF1631" s="680">
        <f t="shared" si="3733"/>
        <v>6.4733970636242777</v>
      </c>
      <c r="BG1631" s="680">
        <f t="shared" si="3733"/>
        <v>6.3618525071785976</v>
      </c>
      <c r="BH1631" s="680">
        <f t="shared" si="3733"/>
        <v>6.5818335470105112</v>
      </c>
      <c r="BI1631" s="857">
        <f t="shared" si="3733"/>
        <v>6.2940449625855948</v>
      </c>
      <c r="BJ1631" s="1714">
        <f t="shared" si="3733"/>
        <v>6.2940449625855939</v>
      </c>
      <c r="BK1631" s="680">
        <f t="shared" si="3733"/>
        <v>6.0636330021640168</v>
      </c>
      <c r="BL1631" s="680">
        <f t="shared" si="3733"/>
        <v>5.8035201751414887</v>
      </c>
      <c r="BM1631" s="680">
        <f t="shared" si="3733"/>
        <v>5.8053042958100134</v>
      </c>
      <c r="BN1631" s="857">
        <f>(BN1567/BN1572)</f>
        <v>5.52324587859834</v>
      </c>
      <c r="BO1631" s="1714">
        <f t="shared" ref="BO1631:CF1631" si="3734">(BO1567/BO1572)</f>
        <v>5.52324587859834</v>
      </c>
      <c r="BP1631" s="680">
        <f t="shared" si="3734"/>
        <v>5.4004121249651096</v>
      </c>
      <c r="BQ1631" s="680">
        <f t="shared" si="3734"/>
        <v>5.446185903029674</v>
      </c>
      <c r="BR1631" s="680">
        <f t="shared" si="3734"/>
        <v>5.330478871664539</v>
      </c>
      <c r="BS1631" s="680">
        <f t="shared" si="3734"/>
        <v>5.3015452522974273</v>
      </c>
      <c r="BT1631" s="3266">
        <f t="shared" ref="BT1631:BY1631" si="3735">(BT1567/BT1572)</f>
        <v>5.3015452522974273</v>
      </c>
      <c r="BU1631" s="680">
        <f t="shared" si="3735"/>
        <v>5.1984464075359549</v>
      </c>
      <c r="BV1631" s="680">
        <f t="shared" si="3735"/>
        <v>5.0093131860797913</v>
      </c>
      <c r="BW1631" s="680">
        <f t="shared" si="3735"/>
        <v>7.792541196731074</v>
      </c>
      <c r="BX1631" s="680">
        <f t="shared" si="3735"/>
        <v>6.6534208873648666</v>
      </c>
      <c r="BY1631" s="3266">
        <f t="shared" si="3735"/>
        <v>6.6534208873648666</v>
      </c>
      <c r="BZ1631" s="676">
        <f t="shared" si="3734"/>
        <v>4.9293327714895998</v>
      </c>
      <c r="CA1631" s="676">
        <f t="shared" si="3734"/>
        <v>4.7617567632523095</v>
      </c>
      <c r="CB1631" s="676">
        <f t="shared" si="3734"/>
        <v>21.521549720573958</v>
      </c>
      <c r="CC1631" s="676">
        <f t="shared" si="3734"/>
        <v>26.513172298629669</v>
      </c>
      <c r="CD1631" s="676">
        <f t="shared" si="3734"/>
        <v>24.664704549864545</v>
      </c>
      <c r="CE1631" s="676">
        <f t="shared" si="3734"/>
        <v>22.881409240878405</v>
      </c>
      <c r="CF1631" s="676">
        <f t="shared" si="3734"/>
        <v>21.277737698659081</v>
      </c>
      <c r="CG1631" s="331"/>
      <c r="CH1631" s="331"/>
      <c r="CI1631" s="331"/>
      <c r="CJ1631" s="331"/>
      <c r="CK1631" s="331"/>
      <c r="CL1631" s="520" t="str">
        <f>A1631</f>
        <v>Net Total Debt / EBITDA</v>
      </c>
      <c r="CM1631" s="678">
        <f>G1631</f>
        <v>2.6945911765116897</v>
      </c>
      <c r="CN1631" s="678">
        <f>L1631</f>
        <v>4.4960116161256769</v>
      </c>
      <c r="CO1631" s="678">
        <f>Q1631</f>
        <v>4.2289053994993848</v>
      </c>
      <c r="CP1631" s="678">
        <f>V1631</f>
        <v>4.1629814174248985</v>
      </c>
      <c r="CQ1631" s="678">
        <f>AA1631</f>
        <v>2.6328328991929055</v>
      </c>
      <c r="CR1631" s="678">
        <f>AF1631</f>
        <v>2.7441606636105651</v>
      </c>
      <c r="CS1631" s="678">
        <f>AK1631</f>
        <v>3.1396664812516009</v>
      </c>
      <c r="CT1631" s="678">
        <f>AP1631</f>
        <v>2.5027556338789183</v>
      </c>
      <c r="CU1631" s="678">
        <f>AU1631</f>
        <v>3.1304709625449001</v>
      </c>
      <c r="CV1631" s="678">
        <f>AZ1631</f>
        <v>1.0521238063422409</v>
      </c>
      <c r="CW1631" s="678">
        <f>BE1631</f>
        <v>6.5121853657299882</v>
      </c>
      <c r="CX1631" s="678">
        <f>BJ1631</f>
        <v>6.2940449625855939</v>
      </c>
      <c r="CY1631" s="678">
        <f>BO1631</f>
        <v>5.52324587859834</v>
      </c>
      <c r="CZ1631" s="678">
        <f>BT1631</f>
        <v>5.3015452522974273</v>
      </c>
      <c r="DA1631" s="678">
        <f t="shared" ref="DA1631:DC1632" si="3736">BY1631</f>
        <v>6.6534208873648666</v>
      </c>
      <c r="DB1631" s="678">
        <f t="shared" si="3736"/>
        <v>4.9293327714895998</v>
      </c>
      <c r="DC1631" s="2240">
        <f t="shared" si="3736"/>
        <v>4.7617567632523095</v>
      </c>
      <c r="DD1631" s="331"/>
      <c r="DE1631" s="331"/>
      <c r="DF1631" s="502"/>
      <c r="DG1631" s="503"/>
      <c r="DH1631" s="3316"/>
      <c r="DI1631" s="3213"/>
      <c r="DJ1631" s="502"/>
      <c r="DK1631" s="503"/>
      <c r="DL1631" s="502"/>
      <c r="DM1631" s="502"/>
      <c r="DN1631" s="502"/>
      <c r="DO1631" s="502"/>
      <c r="DP1631" s="503"/>
      <c r="DQ1631" s="503"/>
      <c r="DR1631" s="296"/>
      <c r="DS1631" s="296"/>
      <c r="DT1631" s="296"/>
    </row>
    <row r="1632" spans="1:124" ht="12.75" customHeight="1" x14ac:dyDescent="0.25">
      <c r="A1632" s="281" t="s">
        <v>1160</v>
      </c>
      <c r="B1632" s="281"/>
      <c r="C1632" s="680">
        <f>(C1563-C1565)/C1572</f>
        <v>1.4989230617013343</v>
      </c>
      <c r="D1632" s="680">
        <f>(D1563-D1565)/D1572</f>
        <v>0.99601900840472546</v>
      </c>
      <c r="E1632" s="680">
        <f>(E1563-E1565)/E1572</f>
        <v>0.90622703761868384</v>
      </c>
      <c r="F1632" s="680">
        <f>(F1563-F1565)/F1572</f>
        <v>0.68575930351178749</v>
      </c>
      <c r="G1632" s="676">
        <f>(G1563-G1565)/G1572</f>
        <v>0.68575930351178749</v>
      </c>
      <c r="H1632" s="677">
        <v>0</v>
      </c>
      <c r="I1632" s="677">
        <v>0</v>
      </c>
      <c r="J1632" s="677">
        <v>0</v>
      </c>
      <c r="K1632" s="680">
        <f t="shared" ref="K1632:AP1632" si="3737">(K1563-K1565)/K1572</f>
        <v>3.4367975005675908</v>
      </c>
      <c r="L1632" s="676">
        <f t="shared" si="3737"/>
        <v>3.4367975005675908</v>
      </c>
      <c r="M1632" s="680">
        <f t="shared" si="3737"/>
        <v>3.5323759970661044</v>
      </c>
      <c r="N1632" s="680">
        <f t="shared" si="3737"/>
        <v>3.6102074926926071</v>
      </c>
      <c r="O1632" s="680">
        <f t="shared" si="3737"/>
        <v>3.4964473144633312</v>
      </c>
      <c r="P1632" s="680">
        <f t="shared" si="3737"/>
        <v>3.4739433430013116</v>
      </c>
      <c r="Q1632" s="676">
        <f t="shared" si="3737"/>
        <v>3.4739433430013116</v>
      </c>
      <c r="R1632" s="680">
        <f t="shared" si="3737"/>
        <v>3.3967780873235469</v>
      </c>
      <c r="S1632" s="680">
        <f t="shared" si="3737"/>
        <v>3.5551911323574452</v>
      </c>
      <c r="T1632" s="680">
        <f t="shared" si="3737"/>
        <v>3.4165881655415666</v>
      </c>
      <c r="U1632" s="680">
        <f t="shared" si="3737"/>
        <v>3.4646149180871286</v>
      </c>
      <c r="V1632" s="676">
        <f t="shared" si="3737"/>
        <v>3.4646149180871286</v>
      </c>
      <c r="W1632" s="680">
        <f t="shared" si="3737"/>
        <v>3.4779087724032349</v>
      </c>
      <c r="X1632" s="680">
        <f t="shared" si="3737"/>
        <v>3.5344615541139017</v>
      </c>
      <c r="Y1632" s="680">
        <f t="shared" si="3737"/>
        <v>2.7691128412223223</v>
      </c>
      <c r="Z1632" s="680">
        <f t="shared" si="3737"/>
        <v>1.9070402671761695</v>
      </c>
      <c r="AA1632" s="676">
        <f t="shared" si="3737"/>
        <v>1.9070402671761695</v>
      </c>
      <c r="AB1632" s="680">
        <f t="shared" si="3737"/>
        <v>1.8787347546607855</v>
      </c>
      <c r="AC1632" s="680">
        <f t="shared" si="3737"/>
        <v>1.8470921020276221</v>
      </c>
      <c r="AD1632" s="680">
        <f t="shared" si="3737"/>
        <v>1.5548391808982498</v>
      </c>
      <c r="AE1632" s="678">
        <f t="shared" si="3737"/>
        <v>1.7711494562136496</v>
      </c>
      <c r="AF1632" s="676">
        <f t="shared" si="3737"/>
        <v>1.7711494562136496</v>
      </c>
      <c r="AG1632" s="678">
        <f t="shared" si="3737"/>
        <v>1.8673538561065914</v>
      </c>
      <c r="AH1632" s="678">
        <f t="shared" si="3737"/>
        <v>1.9106720335064866</v>
      </c>
      <c r="AI1632" s="678">
        <f t="shared" si="3737"/>
        <v>1.956356637623623</v>
      </c>
      <c r="AJ1632" s="678">
        <f t="shared" si="3737"/>
        <v>2.1955471022235127</v>
      </c>
      <c r="AK1632" s="676">
        <f t="shared" si="3737"/>
        <v>2.1955471022235127</v>
      </c>
      <c r="AL1632" s="678">
        <f t="shared" si="3737"/>
        <v>2.0590507760656496</v>
      </c>
      <c r="AM1632" s="678">
        <f t="shared" si="3737"/>
        <v>1.7540492313992777</v>
      </c>
      <c r="AN1632" s="678">
        <f t="shared" si="3737"/>
        <v>2.0186112404633048</v>
      </c>
      <c r="AO1632" s="678">
        <f t="shared" si="3737"/>
        <v>2.0497884437942124</v>
      </c>
      <c r="AP1632" s="679">
        <f t="shared" si="3737"/>
        <v>2.0497884437942124</v>
      </c>
      <c r="AQ1632" s="679">
        <f t="shared" ref="AQ1632:BO1632" si="3738">(AQ1563-AQ1565)/AQ1572</f>
        <v>1.9814369176147524</v>
      </c>
      <c r="AR1632" s="680">
        <f t="shared" si="3738"/>
        <v>2.0730740720747529</v>
      </c>
      <c r="AS1632" s="680">
        <f t="shared" si="3738"/>
        <v>2.1229969361448711</v>
      </c>
      <c r="AT1632" s="680">
        <f t="shared" si="3738"/>
        <v>2.7061689709853436</v>
      </c>
      <c r="AU1632" s="1714">
        <f t="shared" si="3738"/>
        <v>2.7061689709853436</v>
      </c>
      <c r="AV1632" s="679">
        <f t="shared" si="3738"/>
        <v>2.5085491342250492</v>
      </c>
      <c r="AW1632" s="680">
        <f t="shared" si="3738"/>
        <v>2.2963230661554168</v>
      </c>
      <c r="AX1632" s="680">
        <f t="shared" si="3738"/>
        <v>2.1849548143718982</v>
      </c>
      <c r="AY1632" s="680">
        <f t="shared" si="3738"/>
        <v>-0.40334508335678215</v>
      </c>
      <c r="AZ1632" s="1714">
        <f t="shared" si="3738"/>
        <v>-0.40334508335678215</v>
      </c>
      <c r="BA1632" s="679">
        <f t="shared" si="3738"/>
        <v>2.5083606171943402E-2</v>
      </c>
      <c r="BB1632" s="680">
        <f t="shared" si="3738"/>
        <v>0.1175196404901242</v>
      </c>
      <c r="BC1632" s="680">
        <f t="shared" si="3738"/>
        <v>0.23191693767729421</v>
      </c>
      <c r="BD1632" s="857">
        <f t="shared" si="3738"/>
        <v>0.16403588214498541</v>
      </c>
      <c r="BE1632" s="1714">
        <f t="shared" si="3738"/>
        <v>0.16403588214498541</v>
      </c>
      <c r="BF1632" s="680">
        <f t="shared" si="3738"/>
        <v>0.12244986598705157</v>
      </c>
      <c r="BG1632" s="680">
        <f t="shared" si="3738"/>
        <v>0.12736921385711517</v>
      </c>
      <c r="BH1632" s="680">
        <f t="shared" si="3738"/>
        <v>0.13832108790333525</v>
      </c>
      <c r="BI1632" s="857">
        <f t="shared" si="3738"/>
        <v>0.11484508715378054</v>
      </c>
      <c r="BJ1632" s="1714">
        <f t="shared" si="3738"/>
        <v>0.11484508715378053</v>
      </c>
      <c r="BK1632" s="680">
        <f t="shared" si="3738"/>
        <v>0.13796121742609344</v>
      </c>
      <c r="BL1632" s="680">
        <f t="shared" si="3738"/>
        <v>0.12450937764062986</v>
      </c>
      <c r="BM1632" s="680">
        <f t="shared" si="3738"/>
        <v>0.11758487844907441</v>
      </c>
      <c r="BN1632" s="857">
        <f t="shared" si="3738"/>
        <v>8.5621815846139385E-2</v>
      </c>
      <c r="BO1632" s="1714">
        <f t="shared" si="3738"/>
        <v>8.5621815846139385E-2</v>
      </c>
      <c r="BP1632" s="680">
        <f t="shared" ref="BP1632:BX1632" si="3739">(BP1563-BP1565)/BP1572</f>
        <v>-0.30278049478451957</v>
      </c>
      <c r="BQ1632" s="680">
        <f t="shared" si="3739"/>
        <v>-0.26358117573807899</v>
      </c>
      <c r="BR1632" s="680">
        <f t="shared" si="3739"/>
        <v>-0.30701925014472209</v>
      </c>
      <c r="BS1632" s="680">
        <f t="shared" si="3739"/>
        <v>-0.32751735926406639</v>
      </c>
      <c r="BT1632" s="3264">
        <f t="shared" si="3739"/>
        <v>-0.32751735926406639</v>
      </c>
      <c r="BU1632" s="680">
        <f t="shared" si="3739"/>
        <v>-0.36122329129256786</v>
      </c>
      <c r="BV1632" s="680">
        <f t="shared" si="3739"/>
        <v>-0.41517250608030021</v>
      </c>
      <c r="BW1632" s="680">
        <f t="shared" si="3739"/>
        <v>-0.37145669632047607</v>
      </c>
      <c r="BX1632" s="680">
        <f t="shared" si="3739"/>
        <v>-0.35575175314168817</v>
      </c>
      <c r="BY1632" s="3264">
        <f>(BY1563-BY1565)/BY1572</f>
        <v>-0.35575175314168817</v>
      </c>
      <c r="BZ1632" s="681">
        <v>0</v>
      </c>
      <c r="CA1632" s="681">
        <v>0</v>
      </c>
      <c r="CB1632" s="681">
        <v>0</v>
      </c>
      <c r="CC1632" s="681">
        <v>0</v>
      </c>
      <c r="CD1632" s="681">
        <v>0</v>
      </c>
      <c r="CE1632" s="681">
        <v>0</v>
      </c>
      <c r="CF1632" s="681">
        <v>0</v>
      </c>
      <c r="CG1632" s="331"/>
      <c r="CH1632" s="331"/>
      <c r="CI1632" s="331"/>
      <c r="CJ1632" s="331"/>
      <c r="CK1632" s="331"/>
      <c r="CL1632" s="520" t="str">
        <f>A1632</f>
        <v>Net Senior Secured Debt / EBITDA</v>
      </c>
      <c r="CM1632" s="678">
        <f>G1632</f>
        <v>0.68575930351178749</v>
      </c>
      <c r="CN1632" s="678">
        <f>L1632</f>
        <v>3.4367975005675908</v>
      </c>
      <c r="CO1632" s="678">
        <f>Q1632</f>
        <v>3.4739433430013116</v>
      </c>
      <c r="CP1632" s="678">
        <f>V1632</f>
        <v>3.4646149180871286</v>
      </c>
      <c r="CQ1632" s="678">
        <f>AA1632</f>
        <v>1.9070402671761695</v>
      </c>
      <c r="CR1632" s="678">
        <f>AF1632</f>
        <v>1.7711494562136496</v>
      </c>
      <c r="CS1632" s="678">
        <f>AK1632</f>
        <v>2.1955471022235127</v>
      </c>
      <c r="CT1632" s="678">
        <f>AP1632</f>
        <v>2.0497884437942124</v>
      </c>
      <c r="CU1632" s="678">
        <f>AU1632</f>
        <v>2.7061689709853436</v>
      </c>
      <c r="CV1632" s="678">
        <f>AZ1632</f>
        <v>-0.40334508335678215</v>
      </c>
      <c r="CW1632" s="678">
        <f>BE1632</f>
        <v>0.16403588214498541</v>
      </c>
      <c r="CX1632" s="678">
        <f>BJ1632</f>
        <v>0.11484508715378053</v>
      </c>
      <c r="CY1632" s="678">
        <f>BO1632</f>
        <v>8.5621815846139385E-2</v>
      </c>
      <c r="CZ1632" s="678">
        <f>BT1632</f>
        <v>-0.32751735926406639</v>
      </c>
      <c r="DA1632" s="678">
        <f t="shared" si="3736"/>
        <v>-0.35575175314168817</v>
      </c>
      <c r="DB1632" s="678">
        <f t="shared" si="3736"/>
        <v>0</v>
      </c>
      <c r="DC1632" s="2240">
        <f t="shared" si="3736"/>
        <v>0</v>
      </c>
      <c r="DD1632" s="331"/>
      <c r="DE1632" s="331"/>
      <c r="DF1632" s="502"/>
      <c r="DG1632" s="503"/>
      <c r="DH1632" s="3316"/>
      <c r="DI1632" s="3213"/>
      <c r="DJ1632" s="502"/>
      <c r="DK1632" s="503"/>
      <c r="DL1632" s="502"/>
      <c r="DM1632" s="502"/>
      <c r="DN1632" s="502"/>
      <c r="DO1632" s="502"/>
      <c r="DP1632" s="503"/>
      <c r="DQ1632" s="503"/>
      <c r="DR1632" s="296"/>
      <c r="DS1632" s="296"/>
      <c r="DT1632" s="296"/>
    </row>
    <row r="1633" spans="1:124" ht="12.75" customHeight="1" x14ac:dyDescent="0.25">
      <c r="A1633" s="281"/>
      <c r="B1633" s="281"/>
      <c r="C1633" s="680"/>
      <c r="D1633" s="680"/>
      <c r="E1633" s="680"/>
      <c r="F1633" s="680"/>
      <c r="G1633" s="676"/>
      <c r="H1633" s="680"/>
      <c r="I1633" s="680"/>
      <c r="J1633" s="680"/>
      <c r="K1633" s="680"/>
      <c r="L1633" s="676"/>
      <c r="M1633" s="680"/>
      <c r="N1633" s="680"/>
      <c r="O1633" s="680"/>
      <c r="P1633" s="680"/>
      <c r="Q1633" s="676"/>
      <c r="R1633" s="680"/>
      <c r="S1633" s="680"/>
      <c r="T1633" s="680"/>
      <c r="U1633" s="680"/>
      <c r="V1633" s="676"/>
      <c r="W1633" s="680"/>
      <c r="X1633" s="680"/>
      <c r="Y1633" s="680"/>
      <c r="Z1633" s="680"/>
      <c r="AA1633" s="676"/>
      <c r="AB1633" s="680"/>
      <c r="AC1633" s="680"/>
      <c r="AD1633" s="680"/>
      <c r="AE1633" s="678"/>
      <c r="AF1633" s="676"/>
      <c r="AG1633" s="678"/>
      <c r="AH1633" s="678"/>
      <c r="AI1633" s="678"/>
      <c r="AJ1633" s="678"/>
      <c r="AK1633" s="676"/>
      <c r="AL1633" s="678"/>
      <c r="AM1633" s="678"/>
      <c r="AN1633" s="678"/>
      <c r="AO1633" s="678"/>
      <c r="AP1633" s="679"/>
      <c r="AQ1633" s="679"/>
      <c r="AR1633" s="680"/>
      <c r="AS1633" s="680"/>
      <c r="AT1633" s="680"/>
      <c r="AU1633" s="1714"/>
      <c r="AV1633" s="679"/>
      <c r="AW1633" s="680"/>
      <c r="AX1633" s="680"/>
      <c r="AY1633" s="680"/>
      <c r="AZ1633" s="1714"/>
      <c r="BA1633" s="679"/>
      <c r="BB1633" s="680"/>
      <c r="BC1633" s="680"/>
      <c r="BD1633" s="857"/>
      <c r="BE1633" s="1714"/>
      <c r="BF1633" s="680"/>
      <c r="BG1633" s="680"/>
      <c r="BH1633" s="680"/>
      <c r="BI1633" s="857"/>
      <c r="BJ1633" s="1714"/>
      <c r="BK1633" s="680"/>
      <c r="BL1633" s="680"/>
      <c r="BM1633" s="680"/>
      <c r="BN1633" s="857"/>
      <c r="BO1633" s="1714"/>
      <c r="BP1633" s="680"/>
      <c r="BQ1633" s="680"/>
      <c r="BR1633" s="680"/>
      <c r="BS1633" s="680"/>
      <c r="BT1633" s="3266"/>
      <c r="BU1633" s="3450"/>
      <c r="BV1633" s="3450"/>
      <c r="BW1633" s="3450"/>
      <c r="BX1633" s="3450"/>
      <c r="BY1633" s="3266"/>
      <c r="BZ1633" s="676"/>
      <c r="CA1633" s="676"/>
      <c r="CB1633" s="676"/>
      <c r="CC1633" s="676"/>
      <c r="CD1633" s="676"/>
      <c r="CE1633" s="676"/>
      <c r="CF1633" s="676"/>
      <c r="CG1633" s="331"/>
      <c r="CH1633" s="331"/>
      <c r="CI1633" s="331"/>
      <c r="CJ1633" s="331"/>
      <c r="CK1633" s="331"/>
      <c r="CL1633" s="520"/>
      <c r="CM1633" s="678"/>
      <c r="CN1633" s="678"/>
      <c r="CO1633" s="678"/>
      <c r="CP1633" s="678"/>
      <c r="CQ1633" s="678"/>
      <c r="CR1633" s="678"/>
      <c r="CS1633" s="678"/>
      <c r="CT1633" s="678"/>
      <c r="CU1633" s="678"/>
      <c r="CV1633" s="678"/>
      <c r="CW1633" s="678"/>
      <c r="CX1633" s="678"/>
      <c r="CY1633" s="678"/>
      <c r="CZ1633" s="678"/>
      <c r="DA1633" s="678"/>
      <c r="DB1633" s="678"/>
      <c r="DC1633" s="2240"/>
      <c r="DD1633" s="331"/>
      <c r="DE1633" s="331"/>
      <c r="DF1633" s="502"/>
      <c r="DG1633" s="503"/>
      <c r="DH1633" s="3316"/>
      <c r="DI1633" s="3213"/>
      <c r="DJ1633" s="502"/>
      <c r="DK1633" s="503"/>
      <c r="DL1633" s="502"/>
      <c r="DM1633" s="502"/>
      <c r="DN1633" s="502"/>
      <c r="DO1633" s="502"/>
      <c r="DP1633" s="503"/>
      <c r="DQ1633" s="503"/>
      <c r="DR1633" s="296"/>
      <c r="DS1633" s="296"/>
      <c r="DT1633" s="296"/>
    </row>
    <row r="1634" spans="1:124" ht="12.75" customHeight="1" x14ac:dyDescent="0.25">
      <c r="A1634" s="281" t="s">
        <v>1162</v>
      </c>
      <c r="B1634" s="281"/>
      <c r="C1634" s="680">
        <f t="shared" ref="C1634:AH1634" si="3740">C1572/C1579</f>
        <v>4.4397100812650994</v>
      </c>
      <c r="D1634" s="680">
        <f t="shared" si="3740"/>
        <v>4.1006717501815544</v>
      </c>
      <c r="E1634" s="680">
        <f t="shared" si="3740"/>
        <v>3.799687953357239</v>
      </c>
      <c r="F1634" s="680">
        <f t="shared" si="3740"/>
        <v>3.756575148301748</v>
      </c>
      <c r="G1634" s="986">
        <f t="shared" si="3740"/>
        <v>3.756575148301748</v>
      </c>
      <c r="H1634" s="680">
        <f t="shared" si="3740"/>
        <v>3.9060861296019569</v>
      </c>
      <c r="I1634" s="680">
        <f t="shared" si="3740"/>
        <v>4.3373526379488094</v>
      </c>
      <c r="J1634" s="680">
        <f t="shared" si="3740"/>
        <v>4.8937620706161997</v>
      </c>
      <c r="K1634" s="680">
        <f t="shared" si="3740"/>
        <v>6.4970058561930344</v>
      </c>
      <c r="L1634" s="986">
        <f t="shared" si="3740"/>
        <v>6.4970058561930344</v>
      </c>
      <c r="M1634" s="680">
        <f t="shared" si="3740"/>
        <v>4.9388857443195606</v>
      </c>
      <c r="N1634" s="680">
        <f t="shared" si="3740"/>
        <v>3.8357896176902218</v>
      </c>
      <c r="O1634" s="680">
        <f t="shared" si="3740"/>
        <v>3.1332316768323172</v>
      </c>
      <c r="P1634" s="680">
        <f t="shared" si="3740"/>
        <v>3.079484945773463</v>
      </c>
      <c r="Q1634" s="986">
        <f t="shared" si="3740"/>
        <v>3.079484945773463</v>
      </c>
      <c r="R1634" s="680">
        <f t="shared" si="3740"/>
        <v>3.0678052473719464</v>
      </c>
      <c r="S1634" s="680">
        <f t="shared" si="3740"/>
        <v>3.0912875507893154</v>
      </c>
      <c r="T1634" s="680">
        <f t="shared" si="3740"/>
        <v>3.1338108869009167</v>
      </c>
      <c r="U1634" s="680">
        <f t="shared" si="3740"/>
        <v>3.1634071447716767</v>
      </c>
      <c r="V1634" s="986">
        <f t="shared" si="3740"/>
        <v>3.1634071447716767</v>
      </c>
      <c r="W1634" s="680">
        <f t="shared" si="3740"/>
        <v>3.1933994295803343</v>
      </c>
      <c r="X1634" s="680">
        <f t="shared" si="3740"/>
        <v>3.2139103004890335</v>
      </c>
      <c r="Y1634" s="680">
        <f t="shared" si="3740"/>
        <v>3.3396813798639475</v>
      </c>
      <c r="Z1634" s="680">
        <f t="shared" si="3740"/>
        <v>3.4830280949969228</v>
      </c>
      <c r="AA1634" s="986">
        <f t="shared" si="3740"/>
        <v>3.4830280949969228</v>
      </c>
      <c r="AB1634" s="680">
        <f t="shared" si="3740"/>
        <v>3.8476155938349956</v>
      </c>
      <c r="AC1634" s="680">
        <f t="shared" si="3740"/>
        <v>4.0811417937726384</v>
      </c>
      <c r="AD1634" s="680">
        <f t="shared" si="3740"/>
        <v>4.0961174950703745</v>
      </c>
      <c r="AE1634" s="678">
        <f t="shared" si="3740"/>
        <v>4.1620816430020282</v>
      </c>
      <c r="AF1634" s="986">
        <f t="shared" si="3740"/>
        <v>4.1620816430020282</v>
      </c>
      <c r="AG1634" s="678">
        <f t="shared" si="3740"/>
        <v>4.0576383361957031</v>
      </c>
      <c r="AH1634" s="678">
        <f t="shared" si="3740"/>
        <v>4.0713643095406153</v>
      </c>
      <c r="AI1634" s="678">
        <f t="shared" ref="AI1634:BN1634" si="3741">AI1572/AI1579</f>
        <v>4.2116222418358342</v>
      </c>
      <c r="AJ1634" s="678">
        <f t="shared" si="3741"/>
        <v>4.5171056994436869</v>
      </c>
      <c r="AK1634" s="986">
        <f t="shared" si="3741"/>
        <v>4.5171056994436869</v>
      </c>
      <c r="AL1634" s="678">
        <f t="shared" si="3741"/>
        <v>4.9324697077964492</v>
      </c>
      <c r="AM1634" s="678">
        <f t="shared" si="3741"/>
        <v>5.5746165825499201</v>
      </c>
      <c r="AN1634" s="678">
        <f t="shared" si="3741"/>
        <v>6.2434189145271368</v>
      </c>
      <c r="AO1634" s="678">
        <f t="shared" si="3741"/>
        <v>6.8635084249362919</v>
      </c>
      <c r="AP1634" s="986">
        <f t="shared" si="3741"/>
        <v>6.8635084249362919</v>
      </c>
      <c r="AQ1634" s="679">
        <f t="shared" si="3741"/>
        <v>7.7990361545891709</v>
      </c>
      <c r="AR1634" s="680">
        <f t="shared" si="3741"/>
        <v>8.4395466414800833</v>
      </c>
      <c r="AS1634" s="680">
        <f t="shared" si="3741"/>
        <v>8.7876374320012847</v>
      </c>
      <c r="AT1634" s="857">
        <f t="shared" si="3741"/>
        <v>8.78820124666073</v>
      </c>
      <c r="AU1634" s="1716">
        <f t="shared" si="3741"/>
        <v>8.78820124666073</v>
      </c>
      <c r="AV1634" s="679">
        <f t="shared" si="3741"/>
        <v>8.359375161213773</v>
      </c>
      <c r="AW1634" s="680">
        <f t="shared" si="3741"/>
        <v>8.0237487676158459</v>
      </c>
      <c r="AX1634" s="680">
        <f t="shared" si="3741"/>
        <v>7.714133033328646</v>
      </c>
      <c r="AY1634" s="857">
        <f t="shared" si="3741"/>
        <v>7.3246253502822576</v>
      </c>
      <c r="AZ1634" s="1716">
        <f t="shared" si="3741"/>
        <v>7.3246253502822576</v>
      </c>
      <c r="BA1634" s="679">
        <f t="shared" si="3741"/>
        <v>3.255240401640374</v>
      </c>
      <c r="BB1634" s="680">
        <f t="shared" si="3741"/>
        <v>1.7123345631121709</v>
      </c>
      <c r="BC1634" s="680">
        <f t="shared" si="3741"/>
        <v>0.92367881426053178</v>
      </c>
      <c r="BD1634" s="857">
        <f t="shared" si="3741"/>
        <v>1.6646370341887957</v>
      </c>
      <c r="BE1634" s="1716">
        <f t="shared" si="3741"/>
        <v>1.6646370341887957</v>
      </c>
      <c r="BF1634" s="680">
        <f t="shared" si="3741"/>
        <v>1.6565942355273116</v>
      </c>
      <c r="BG1634" s="680">
        <f t="shared" si="3741"/>
        <v>1.6540585103337722</v>
      </c>
      <c r="BH1634" s="680">
        <f t="shared" si="3741"/>
        <v>1.7246949177092574</v>
      </c>
      <c r="BI1634" s="857">
        <f t="shared" si="3741"/>
        <v>1.782634584432998</v>
      </c>
      <c r="BJ1634" s="1716">
        <f t="shared" si="3741"/>
        <v>1.7826345844329983</v>
      </c>
      <c r="BK1634" s="680">
        <f t="shared" si="3741"/>
        <v>1.815498042881285</v>
      </c>
      <c r="BL1634" s="680">
        <f t="shared" si="3741"/>
        <v>1.8623937966407222</v>
      </c>
      <c r="BM1634" s="680">
        <f t="shared" si="3741"/>
        <v>1.8518831977770553</v>
      </c>
      <c r="BN1634" s="857">
        <f t="shared" si="3741"/>
        <v>1.8359857363888294</v>
      </c>
      <c r="BO1634" s="1716">
        <f t="shared" ref="BO1634:CF1634" si="3742">BO1572/BO1579</f>
        <v>1.8359857363888294</v>
      </c>
      <c r="BP1634" s="680">
        <f t="shared" si="3742"/>
        <v>1.8624797395777051</v>
      </c>
      <c r="BQ1634" s="680">
        <f t="shared" si="3742"/>
        <v>1.8452952302475254</v>
      </c>
      <c r="BR1634" s="680">
        <f t="shared" si="3742"/>
        <v>1.8541149882999042</v>
      </c>
      <c r="BS1634" s="680">
        <f t="shared" si="3742"/>
        <v>1.8156228317319381</v>
      </c>
      <c r="BT1634" s="3267">
        <f t="shared" ref="BT1634:BY1634" si="3743">BT1572/BT1579</f>
        <v>1.8156228317319381</v>
      </c>
      <c r="BU1634" s="3450">
        <f t="shared" si="3743"/>
        <v>1.8203813267727271</v>
      </c>
      <c r="BV1634" s="3450">
        <f t="shared" si="3743"/>
        <v>1.8537682623761851</v>
      </c>
      <c r="BW1634" s="3450">
        <f t="shared" si="3743"/>
        <v>1.8329669892085825</v>
      </c>
      <c r="BX1634" s="3450">
        <f t="shared" si="3743"/>
        <v>1.8289391690582686</v>
      </c>
      <c r="BY1634" s="3267">
        <f t="shared" si="3743"/>
        <v>1.8289391690582686</v>
      </c>
      <c r="BZ1634" s="986">
        <f t="shared" si="3742"/>
        <v>1.843912442319912</v>
      </c>
      <c r="CA1634" s="986">
        <f t="shared" si="3742"/>
        <v>1.8197303316926619</v>
      </c>
      <c r="CB1634" s="986">
        <f t="shared" si="3742"/>
        <v>5.8643323154505573</v>
      </c>
      <c r="CC1634" s="986">
        <f t="shared" si="3742"/>
        <v>4.6981270157573736</v>
      </c>
      <c r="CD1634" s="986">
        <f t="shared" si="3742"/>
        <v>4.9813632469563682</v>
      </c>
      <c r="CE1634" s="986">
        <f t="shared" si="3742"/>
        <v>5.2860852722995322</v>
      </c>
      <c r="CF1634" s="986">
        <f t="shared" si="3742"/>
        <v>5.5694703740592182</v>
      </c>
      <c r="CG1634" s="331"/>
      <c r="CH1634" s="331"/>
      <c r="CI1634" s="331"/>
      <c r="CJ1634" s="331"/>
      <c r="CK1634" s="331"/>
      <c r="CL1634" s="1077" t="str">
        <f>A1634</f>
        <v>EBITDA / LTM Interest</v>
      </c>
      <c r="CM1634" s="2241">
        <f>G1634</f>
        <v>3.756575148301748</v>
      </c>
      <c r="CN1634" s="2241">
        <f>L1634</f>
        <v>6.4970058561930344</v>
      </c>
      <c r="CO1634" s="2241">
        <f>Q1634</f>
        <v>3.079484945773463</v>
      </c>
      <c r="CP1634" s="2241">
        <f>V1634</f>
        <v>3.1634071447716767</v>
      </c>
      <c r="CQ1634" s="2241">
        <f>AA1634</f>
        <v>3.4830280949969228</v>
      </c>
      <c r="CR1634" s="2241">
        <f>AF1634</f>
        <v>4.1620816430020282</v>
      </c>
      <c r="CS1634" s="2241">
        <f>AK1634</f>
        <v>4.5171056994436869</v>
      </c>
      <c r="CT1634" s="2241">
        <f>AP1634</f>
        <v>6.8635084249362919</v>
      </c>
      <c r="CU1634" s="2241">
        <f>AU1634</f>
        <v>8.78820124666073</v>
      </c>
      <c r="CV1634" s="2241">
        <f>AZ1634</f>
        <v>7.3246253502822576</v>
      </c>
      <c r="CW1634" s="2241">
        <f>BE1634</f>
        <v>1.6646370341887957</v>
      </c>
      <c r="CX1634" s="2241">
        <f>BJ1634</f>
        <v>1.7826345844329983</v>
      </c>
      <c r="CY1634" s="2241">
        <f>BO1634</f>
        <v>1.8359857363888294</v>
      </c>
      <c r="CZ1634" s="2241">
        <f>BT1634</f>
        <v>1.8156228317319381</v>
      </c>
      <c r="DA1634" s="2241">
        <f>BY1634</f>
        <v>1.8289391690582686</v>
      </c>
      <c r="DB1634" s="2241">
        <f>BZ1634</f>
        <v>1.843912442319912</v>
      </c>
      <c r="DC1634" s="2242">
        <f>CA1634</f>
        <v>1.8197303316926619</v>
      </c>
      <c r="DD1634" s="331"/>
      <c r="DE1634" s="331"/>
      <c r="DF1634" s="502"/>
      <c r="DG1634" s="503"/>
      <c r="DH1634" s="3316"/>
      <c r="DI1634" s="3213"/>
      <c r="DJ1634" s="502"/>
      <c r="DK1634" s="503"/>
      <c r="DL1634" s="502"/>
      <c r="DM1634" s="502"/>
      <c r="DN1634" s="502"/>
      <c r="DO1634" s="502"/>
      <c r="DP1634" s="503"/>
      <c r="DQ1634" s="503"/>
      <c r="DR1634" s="296"/>
      <c r="DS1634" s="296"/>
      <c r="DT1634" s="296"/>
    </row>
    <row r="1635" spans="1:124" ht="12.75" customHeight="1" x14ac:dyDescent="0.25">
      <c r="A1635" s="281"/>
      <c r="B1635" s="281"/>
      <c r="C1635" s="305"/>
      <c r="D1635" s="305"/>
      <c r="E1635" s="305"/>
      <c r="F1635" s="305"/>
      <c r="G1635" s="444"/>
      <c r="H1635" s="305"/>
      <c r="I1635" s="305"/>
      <c r="J1635" s="305"/>
      <c r="K1635" s="305"/>
      <c r="L1635" s="444"/>
      <c r="M1635" s="305"/>
      <c r="N1635" s="305"/>
      <c r="O1635" s="305"/>
      <c r="P1635" s="305"/>
      <c r="Q1635" s="444"/>
      <c r="R1635" s="305"/>
      <c r="S1635" s="305"/>
      <c r="T1635" s="305"/>
      <c r="U1635" s="305"/>
      <c r="V1635" s="444"/>
      <c r="W1635" s="305"/>
      <c r="X1635" s="305"/>
      <c r="Y1635" s="305"/>
      <c r="Z1635" s="305"/>
      <c r="AA1635" s="444"/>
      <c r="AB1635" s="305"/>
      <c r="AC1635" s="305"/>
      <c r="AD1635" s="305"/>
      <c r="AE1635" s="331"/>
      <c r="AF1635" s="442"/>
      <c r="AG1635" s="331"/>
      <c r="AH1635" s="331"/>
      <c r="AI1635" s="331"/>
      <c r="AJ1635" s="331"/>
      <c r="AK1635" s="442"/>
      <c r="AL1635" s="442"/>
      <c r="AM1635" s="442"/>
      <c r="AN1635" s="442"/>
      <c r="AO1635" s="442"/>
      <c r="AP1635" s="331"/>
      <c r="AQ1635" s="331"/>
      <c r="AR1635" s="331"/>
      <c r="AS1635" s="331"/>
      <c r="AT1635" s="331"/>
      <c r="AU1635" s="331"/>
      <c r="AV1635" s="331"/>
      <c r="AW1635" s="331"/>
      <c r="AX1635" s="331"/>
      <c r="AY1635" s="331"/>
      <c r="AZ1635" s="331"/>
      <c r="BA1635" s="331"/>
      <c r="BB1635" s="331"/>
      <c r="BC1635" s="331"/>
      <c r="BD1635" s="331"/>
      <c r="BE1635" s="331"/>
      <c r="BF1635" s="331"/>
      <c r="BG1635" s="331"/>
      <c r="BH1635" s="331"/>
      <c r="BI1635" s="331"/>
      <c r="BJ1635" s="331"/>
      <c r="BK1635" s="331"/>
      <c r="BL1635" s="331"/>
      <c r="BM1635" s="331"/>
      <c r="BN1635" s="331"/>
      <c r="BO1635" s="331"/>
      <c r="BP1635" s="331"/>
      <c r="BQ1635" s="331"/>
      <c r="BR1635" s="331"/>
      <c r="BS1635" s="331"/>
      <c r="BT1635" s="2601"/>
      <c r="BU1635" s="2601"/>
      <c r="BV1635" s="2601"/>
      <c r="BW1635" s="2601"/>
      <c r="BX1635" s="2601"/>
      <c r="BY1635" s="2601"/>
      <c r="BZ1635" s="331"/>
      <c r="CA1635" s="331"/>
      <c r="CB1635" s="331"/>
      <c r="CC1635" s="331"/>
      <c r="CD1635" s="331"/>
      <c r="CE1635" s="331"/>
      <c r="CF1635" s="331"/>
      <c r="CG1635" s="331"/>
      <c r="CH1635" s="331"/>
      <c r="CI1635" s="331"/>
      <c r="CJ1635" s="331"/>
      <c r="CK1635" s="331"/>
      <c r="CL1635" s="428"/>
      <c r="CM1635" s="331"/>
      <c r="CN1635" s="331"/>
      <c r="CO1635" s="331"/>
      <c r="CP1635" s="331"/>
      <c r="CQ1635" s="331"/>
      <c r="CR1635" s="331"/>
      <c r="CS1635" s="331"/>
      <c r="CT1635" s="331"/>
      <c r="CU1635" s="331"/>
      <c r="CV1635" s="331"/>
      <c r="CW1635" s="331"/>
      <c r="CX1635" s="331"/>
      <c r="CY1635" s="331"/>
      <c r="CZ1635" s="331"/>
      <c r="DA1635" s="331"/>
      <c r="DB1635" s="331"/>
      <c r="DC1635" s="331"/>
      <c r="DD1635" s="331"/>
      <c r="DE1635" s="331"/>
      <c r="DF1635" s="502"/>
      <c r="DG1635" s="503"/>
      <c r="DH1635" s="2601"/>
      <c r="DI1635" s="3213"/>
      <c r="DJ1635" s="502"/>
      <c r="DK1635" s="503"/>
      <c r="DL1635" s="502"/>
      <c r="DM1635" s="502"/>
      <c r="DN1635" s="502"/>
      <c r="DO1635" s="502"/>
      <c r="DP1635" s="503"/>
      <c r="DQ1635" s="503"/>
      <c r="DR1635" s="296"/>
      <c r="DS1635" s="296"/>
      <c r="DT1635" s="296"/>
    </row>
    <row r="1636" spans="1:124" ht="12" customHeight="1" x14ac:dyDescent="0.25">
      <c r="A1636" s="281"/>
      <c r="B1636" s="281"/>
      <c r="C1636" s="305"/>
      <c r="D1636" s="305"/>
      <c r="E1636" s="305"/>
      <c r="F1636" s="305"/>
      <c r="G1636" s="444"/>
      <c r="H1636" s="305"/>
      <c r="I1636" s="305"/>
      <c r="J1636" s="305"/>
      <c r="K1636" s="305"/>
      <c r="L1636" s="444"/>
      <c r="M1636" s="305"/>
      <c r="N1636" s="305"/>
      <c r="O1636" s="305"/>
      <c r="P1636" s="305"/>
      <c r="Q1636" s="444"/>
      <c r="R1636" s="305"/>
      <c r="S1636" s="305"/>
      <c r="T1636" s="305"/>
      <c r="U1636" s="305"/>
      <c r="V1636" s="444"/>
      <c r="W1636" s="305"/>
      <c r="X1636" s="305"/>
      <c r="Y1636" s="305"/>
      <c r="Z1636" s="305"/>
      <c r="AA1636" s="444"/>
      <c r="AB1636" s="305"/>
      <c r="AC1636" s="305"/>
      <c r="AD1636" s="305"/>
      <c r="AE1636" s="331"/>
      <c r="AF1636" s="442"/>
      <c r="AG1636" s="331"/>
      <c r="AH1636" s="331"/>
      <c r="AI1636" s="331"/>
      <c r="AJ1636" s="331"/>
      <c r="AK1636" s="442"/>
      <c r="AL1636" s="442"/>
      <c r="AM1636" s="442"/>
      <c r="AN1636" s="442"/>
      <c r="AO1636" s="442"/>
      <c r="AP1636" s="331"/>
      <c r="AQ1636" s="331"/>
      <c r="AR1636" s="331"/>
      <c r="AS1636" s="331"/>
      <c r="AT1636" s="331"/>
      <c r="AU1636" s="331"/>
      <c r="AV1636" s="331"/>
      <c r="AW1636" s="331"/>
      <c r="AX1636" s="331"/>
      <c r="AY1636" s="331"/>
      <c r="AZ1636" s="331"/>
      <c r="BA1636" s="331"/>
      <c r="BB1636" s="331"/>
      <c r="BC1636" s="331"/>
      <c r="BD1636" s="331"/>
      <c r="BE1636" s="331"/>
      <c r="BF1636" s="331"/>
      <c r="BG1636" s="331"/>
      <c r="BH1636" s="331"/>
      <c r="BI1636" s="331"/>
      <c r="BJ1636" s="331"/>
      <c r="BK1636" s="331"/>
      <c r="BL1636" s="331"/>
      <c r="BM1636" s="331"/>
      <c r="BN1636" s="331"/>
      <c r="BO1636" s="331"/>
      <c r="BP1636" s="331"/>
      <c r="BQ1636" s="331"/>
      <c r="BR1636" s="331"/>
      <c r="BS1636" s="331"/>
      <c r="BT1636" s="2601"/>
      <c r="BU1636" s="2601"/>
      <c r="BV1636" s="2601"/>
      <c r="BW1636" s="2601"/>
      <c r="BX1636" s="2601"/>
      <c r="BY1636" s="2601"/>
      <c r="BZ1636" s="331"/>
      <c r="CA1636" s="331"/>
      <c r="CB1636" s="331"/>
      <c r="CC1636" s="331"/>
      <c r="CD1636" s="331"/>
      <c r="CE1636" s="331"/>
      <c r="CF1636" s="331"/>
      <c r="CG1636" s="331"/>
      <c r="CH1636" s="331"/>
      <c r="CI1636" s="331"/>
      <c r="CJ1636" s="331"/>
      <c r="CK1636" s="331"/>
      <c r="CL1636" s="428"/>
      <c r="CM1636" s="331"/>
      <c r="CN1636" s="331"/>
      <c r="CO1636" s="331"/>
      <c r="CP1636" s="331"/>
      <c r="CQ1636" s="331"/>
      <c r="CR1636" s="331"/>
      <c r="CS1636" s="331"/>
      <c r="CT1636" s="331"/>
      <c r="CU1636" s="331"/>
      <c r="CV1636" s="331"/>
      <c r="CW1636" s="331"/>
      <c r="CX1636" s="331"/>
      <c r="CY1636" s="331"/>
      <c r="CZ1636" s="331"/>
      <c r="DA1636" s="331"/>
      <c r="DB1636" s="331"/>
      <c r="DC1636" s="331"/>
      <c r="DD1636" s="331"/>
      <c r="DE1636" s="331"/>
      <c r="DF1636" s="502"/>
      <c r="DG1636" s="503"/>
      <c r="DH1636" s="2601"/>
      <c r="DI1636" s="3213"/>
      <c r="DJ1636" s="502"/>
      <c r="DK1636" s="503"/>
      <c r="DL1636" s="502"/>
      <c r="DM1636" s="502"/>
      <c r="DN1636" s="502"/>
      <c r="DO1636" s="502"/>
      <c r="DP1636" s="503"/>
      <c r="DQ1636" s="503"/>
      <c r="DR1636" s="296"/>
      <c r="DS1636" s="296"/>
      <c r="DT1636" s="296"/>
    </row>
    <row r="1637" spans="1:124" ht="12" customHeight="1" x14ac:dyDescent="0.25">
      <c r="A1637" s="281"/>
      <c r="B1637" s="281"/>
      <c r="C1637" s="305"/>
      <c r="D1637" s="305"/>
      <c r="E1637" s="305"/>
      <c r="F1637" s="305"/>
      <c r="G1637" s="444"/>
      <c r="H1637" s="305"/>
      <c r="I1637" s="305"/>
      <c r="J1637" s="305"/>
      <c r="K1637" s="305"/>
      <c r="L1637" s="444"/>
      <c r="M1637" s="305"/>
      <c r="N1637" s="305"/>
      <c r="O1637" s="305"/>
      <c r="P1637" s="305"/>
      <c r="Q1637" s="444"/>
      <c r="R1637" s="305"/>
      <c r="S1637" s="305"/>
      <c r="T1637" s="305"/>
      <c r="U1637" s="305"/>
      <c r="V1637" s="444"/>
      <c r="W1637" s="305"/>
      <c r="X1637" s="305"/>
      <c r="Y1637" s="305"/>
      <c r="Z1637" s="305"/>
      <c r="AA1637" s="444"/>
      <c r="AB1637" s="305"/>
      <c r="AC1637" s="305"/>
      <c r="AD1637" s="305"/>
      <c r="AE1637" s="331"/>
      <c r="AF1637" s="442"/>
      <c r="AG1637" s="331"/>
      <c r="AH1637" s="331"/>
      <c r="AI1637" s="331"/>
      <c r="AJ1637" s="331"/>
      <c r="AK1637" s="442"/>
      <c r="AL1637" s="442"/>
      <c r="AM1637" s="442"/>
      <c r="AN1637" s="442"/>
      <c r="AO1637" s="442"/>
      <c r="AP1637" s="331"/>
      <c r="AQ1637" s="331"/>
      <c r="AR1637" s="331"/>
      <c r="AS1637" s="331"/>
      <c r="AT1637" s="331"/>
      <c r="AU1637" s="331"/>
      <c r="AV1637" s="331"/>
      <c r="AW1637" s="331"/>
      <c r="AX1637" s="331"/>
      <c r="AY1637" s="331"/>
      <c r="AZ1637" s="331"/>
      <c r="BA1637" s="331"/>
      <c r="BB1637" s="331"/>
      <c r="BC1637" s="331"/>
      <c r="BD1637" s="331"/>
      <c r="BE1637" s="331"/>
      <c r="BF1637" s="331"/>
      <c r="BG1637" s="331"/>
      <c r="BH1637" s="331"/>
      <c r="BI1637" s="331"/>
      <c r="BJ1637" s="331"/>
      <c r="BK1637" s="331"/>
      <c r="BL1637" s="331"/>
      <c r="BM1637" s="331"/>
      <c r="BN1637" s="331"/>
      <c r="BO1637" s="331"/>
      <c r="BP1637" s="331"/>
      <c r="BQ1637" s="331"/>
      <c r="BR1637" s="331"/>
      <c r="BS1637" s="331"/>
      <c r="BT1637" s="2601"/>
      <c r="BU1637" s="2601"/>
      <c r="BV1637" s="2601"/>
      <c r="BW1637" s="2601"/>
      <c r="BX1637" s="2601"/>
      <c r="BY1637" s="2601"/>
      <c r="BZ1637" s="331"/>
      <c r="CA1637" s="331"/>
      <c r="CB1637" s="331"/>
      <c r="CC1637" s="331"/>
      <c r="CD1637" s="331"/>
      <c r="CE1637" s="331"/>
      <c r="CF1637" s="331"/>
      <c r="CG1637" s="331"/>
      <c r="CH1637" s="331"/>
      <c r="CI1637" s="331"/>
      <c r="CJ1637" s="331"/>
      <c r="CK1637" s="331"/>
      <c r="CL1637" s="428"/>
      <c r="CM1637" s="331"/>
      <c r="CN1637" s="331"/>
      <c r="CO1637" s="331"/>
      <c r="CP1637" s="331"/>
      <c r="CQ1637" s="331"/>
      <c r="CR1637" s="331"/>
      <c r="CS1637" s="331"/>
      <c r="CT1637" s="331"/>
      <c r="CU1637" s="331"/>
      <c r="CV1637" s="331"/>
      <c r="CW1637" s="331"/>
      <c r="CX1637" s="331"/>
      <c r="CY1637" s="331"/>
      <c r="CZ1637" s="331"/>
      <c r="DA1637" s="331"/>
      <c r="DB1637" s="331"/>
      <c r="DC1637" s="331"/>
      <c r="DD1637" s="331"/>
      <c r="DE1637" s="331"/>
      <c r="DF1637" s="502"/>
      <c r="DG1637" s="503"/>
      <c r="DH1637" s="2601"/>
      <c r="DI1637" s="3213"/>
      <c r="DJ1637" s="502"/>
      <c r="DK1637" s="503"/>
      <c r="DL1637" s="502"/>
      <c r="DM1637" s="502"/>
      <c r="DN1637" s="502"/>
      <c r="DO1637" s="502"/>
      <c r="DP1637" s="503"/>
      <c r="DQ1637" s="503"/>
      <c r="DR1637" s="296"/>
      <c r="DS1637" s="296"/>
      <c r="DT1637" s="296"/>
    </row>
    <row r="1638" spans="1:124" ht="12" customHeight="1" x14ac:dyDescent="0.25">
      <c r="A1638" s="333" t="s">
        <v>1013</v>
      </c>
      <c r="B1638" s="281"/>
      <c r="C1638" s="305"/>
      <c r="D1638" s="305"/>
      <c r="E1638" s="305"/>
      <c r="F1638" s="305"/>
      <c r="G1638" s="444"/>
      <c r="H1638" s="305"/>
      <c r="I1638" s="305"/>
      <c r="J1638" s="305"/>
      <c r="K1638" s="305"/>
      <c r="L1638" s="444"/>
      <c r="M1638" s="305"/>
      <c r="N1638" s="305"/>
      <c r="O1638" s="305"/>
      <c r="P1638" s="305"/>
      <c r="Q1638" s="444"/>
      <c r="R1638" s="305"/>
      <c r="S1638" s="305"/>
      <c r="T1638" s="305"/>
      <c r="U1638" s="305"/>
      <c r="V1638" s="444"/>
      <c r="W1638" s="305"/>
      <c r="X1638" s="305"/>
      <c r="Y1638" s="305"/>
      <c r="Z1638" s="305"/>
      <c r="AA1638" s="444"/>
      <c r="AB1638" s="305"/>
      <c r="AC1638" s="305"/>
      <c r="AD1638" s="305"/>
      <c r="AE1638" s="331"/>
      <c r="AF1638" s="442"/>
      <c r="AG1638" s="331"/>
      <c r="AH1638" s="331"/>
      <c r="AI1638" s="331"/>
      <c r="AJ1638" s="331"/>
      <c r="AK1638" s="442"/>
      <c r="AL1638" s="442"/>
      <c r="AM1638" s="442"/>
      <c r="AN1638" s="442"/>
      <c r="AO1638" s="442"/>
      <c r="AP1638" s="331"/>
      <c r="AQ1638" s="331"/>
      <c r="AR1638" s="331"/>
      <c r="AS1638" s="331"/>
      <c r="AT1638" s="331"/>
      <c r="AU1638" s="331"/>
      <c r="AV1638" s="331"/>
      <c r="AW1638" s="331"/>
      <c r="AX1638" s="331"/>
      <c r="AY1638" s="331"/>
      <c r="AZ1638" s="331"/>
      <c r="BA1638" s="331"/>
      <c r="BB1638" s="331"/>
      <c r="BC1638" s="331"/>
      <c r="BD1638" s="331"/>
      <c r="BE1638" s="331"/>
      <c r="BF1638" s="331"/>
      <c r="BG1638" s="331"/>
      <c r="BH1638" s="331"/>
      <c r="BI1638" s="331"/>
      <c r="BJ1638" s="331"/>
      <c r="BK1638" s="331"/>
      <c r="BL1638" s="331"/>
      <c r="BM1638" s="331"/>
      <c r="BN1638" s="331"/>
      <c r="BO1638" s="331"/>
      <c r="BP1638" s="331"/>
      <c r="BQ1638" s="331"/>
      <c r="BR1638" s="331"/>
      <c r="BS1638" s="331"/>
      <c r="BT1638" s="2601"/>
      <c r="BU1638" s="2601"/>
      <c r="BV1638" s="2601"/>
      <c r="BW1638" s="2601"/>
      <c r="BX1638" s="2601"/>
      <c r="BY1638" s="2601"/>
      <c r="BZ1638" s="331"/>
      <c r="CA1638" s="331"/>
      <c r="CB1638" s="331"/>
      <c r="CC1638" s="331"/>
      <c r="CD1638" s="331"/>
      <c r="CE1638" s="331"/>
      <c r="CF1638" s="331"/>
      <c r="CG1638" s="331"/>
      <c r="CH1638" s="331"/>
      <c r="CI1638" s="331"/>
      <c r="CJ1638" s="331"/>
      <c r="CK1638" s="331"/>
      <c r="CL1638" s="533" t="str">
        <f t="shared" ref="CL1638:CL1645" si="3744">A1638</f>
        <v>MW Tags</v>
      </c>
      <c r="CM1638" s="331"/>
      <c r="CN1638" s="331"/>
      <c r="CO1638" s="331"/>
      <c r="CP1638" s="331"/>
      <c r="CQ1638" s="331"/>
      <c r="CR1638" s="331"/>
      <c r="CS1638" s="331"/>
      <c r="CT1638" s="331"/>
      <c r="CU1638" s="331"/>
      <c r="CV1638" s="331"/>
      <c r="CW1638" s="331"/>
      <c r="CX1638" s="331"/>
      <c r="CY1638" s="331"/>
      <c r="CZ1638" s="331"/>
      <c r="DA1638" s="331"/>
      <c r="DB1638" s="331"/>
      <c r="DC1638" s="331"/>
      <c r="DD1638" s="331"/>
      <c r="DE1638" s="331"/>
      <c r="DF1638" s="502"/>
      <c r="DG1638" s="503"/>
      <c r="DH1638" s="2601"/>
      <c r="DI1638" s="3213"/>
      <c r="DJ1638" s="502"/>
      <c r="DK1638" s="503"/>
      <c r="DL1638" s="502"/>
      <c r="DM1638" s="502"/>
      <c r="DN1638" s="502"/>
      <c r="DO1638" s="502"/>
      <c r="DP1638" s="503"/>
      <c r="DQ1638" s="503"/>
      <c r="DR1638" s="296"/>
      <c r="DS1638" s="296"/>
      <c r="DT1638" s="296"/>
    </row>
    <row r="1639" spans="1:124" ht="12" customHeight="1" x14ac:dyDescent="0.25">
      <c r="A1639" s="281" t="s">
        <v>1014</v>
      </c>
      <c r="B1639" s="281"/>
      <c r="C1639" s="340" t="s">
        <v>1018</v>
      </c>
      <c r="D1639" s="340" t="s">
        <v>1018</v>
      </c>
      <c r="E1639" s="340" t="s">
        <v>1018</v>
      </c>
      <c r="F1639" s="340" t="s">
        <v>1018</v>
      </c>
      <c r="G1639" s="546" t="s">
        <v>1018</v>
      </c>
      <c r="H1639" s="340" t="s">
        <v>1018</v>
      </c>
      <c r="I1639" s="340" t="s">
        <v>1018</v>
      </c>
      <c r="J1639" s="340" t="s">
        <v>1018</v>
      </c>
      <c r="K1639" s="340" t="s">
        <v>1018</v>
      </c>
      <c r="L1639" s="546" t="s">
        <v>1018</v>
      </c>
      <c r="M1639" s="340" t="s">
        <v>1018</v>
      </c>
      <c r="N1639" s="340" t="s">
        <v>1018</v>
      </c>
      <c r="O1639" s="340" t="s">
        <v>1018</v>
      </c>
      <c r="P1639" s="340" t="s">
        <v>1018</v>
      </c>
      <c r="Q1639" s="546" t="s">
        <v>1018</v>
      </c>
      <c r="R1639" s="340" t="s">
        <v>1018</v>
      </c>
      <c r="S1639" s="340" t="s">
        <v>1018</v>
      </c>
      <c r="T1639" s="340" t="s">
        <v>1018</v>
      </c>
      <c r="U1639" s="340" t="s">
        <v>1018</v>
      </c>
      <c r="V1639" s="546" t="s">
        <v>1018</v>
      </c>
      <c r="W1639" s="340" t="s">
        <v>1018</v>
      </c>
      <c r="X1639" s="340" t="s">
        <v>1018</v>
      </c>
      <c r="Y1639" s="340" t="s">
        <v>1018</v>
      </c>
      <c r="Z1639" s="340" t="s">
        <v>1018</v>
      </c>
      <c r="AA1639" s="546" t="s">
        <v>1018</v>
      </c>
      <c r="AB1639" s="340" t="s">
        <v>1018</v>
      </c>
      <c r="AC1639" s="340" t="s">
        <v>1018</v>
      </c>
      <c r="AD1639" s="340" t="s">
        <v>1018</v>
      </c>
      <c r="AE1639" s="339" t="s">
        <v>1018</v>
      </c>
      <c r="AF1639" s="738" t="s">
        <v>1018</v>
      </c>
      <c r="AG1639" s="339" t="s">
        <v>1018</v>
      </c>
      <c r="AH1639" s="339" t="s">
        <v>1018</v>
      </c>
      <c r="AI1639" s="339" t="s">
        <v>1018</v>
      </c>
      <c r="AJ1639" s="339" t="s">
        <v>1018</v>
      </c>
      <c r="AK1639" s="738" t="s">
        <v>1018</v>
      </c>
      <c r="AL1639" s="738" t="s">
        <v>1018</v>
      </c>
      <c r="AM1639" s="738" t="s">
        <v>1018</v>
      </c>
      <c r="AN1639" s="738" t="s">
        <v>1018</v>
      </c>
      <c r="AO1639" s="738" t="s">
        <v>1018</v>
      </c>
      <c r="AP1639" s="339" t="s">
        <v>1018</v>
      </c>
      <c r="AQ1639" s="738" t="s">
        <v>1018</v>
      </c>
      <c r="AR1639" s="738" t="s">
        <v>1018</v>
      </c>
      <c r="AS1639" s="738" t="s">
        <v>1018</v>
      </c>
      <c r="AT1639" s="738" t="s">
        <v>1018</v>
      </c>
      <c r="AU1639" s="339" t="s">
        <v>1018</v>
      </c>
      <c r="AV1639" s="738" t="s">
        <v>1018</v>
      </c>
      <c r="AW1639" s="738" t="s">
        <v>1018</v>
      </c>
      <c r="AX1639" s="738" t="s">
        <v>1018</v>
      </c>
      <c r="AY1639" s="738" t="s">
        <v>1018</v>
      </c>
      <c r="AZ1639" s="339" t="s">
        <v>1018</v>
      </c>
      <c r="BA1639" s="738" t="s">
        <v>1018</v>
      </c>
      <c r="BB1639" s="738" t="s">
        <v>1018</v>
      </c>
      <c r="BC1639" s="738" t="s">
        <v>1018</v>
      </c>
      <c r="BD1639" s="738" t="s">
        <v>1018</v>
      </c>
      <c r="BE1639" s="339" t="s">
        <v>1018</v>
      </c>
      <c r="BF1639" s="738" t="s">
        <v>1018</v>
      </c>
      <c r="BG1639" s="738" t="s">
        <v>1018</v>
      </c>
      <c r="BH1639" s="738" t="s">
        <v>1018</v>
      </c>
      <c r="BI1639" s="738" t="s">
        <v>1018</v>
      </c>
      <c r="BJ1639" s="339" t="s">
        <v>1018</v>
      </c>
      <c r="BK1639" s="738" t="s">
        <v>1018</v>
      </c>
      <c r="BL1639" s="738" t="s">
        <v>1018</v>
      </c>
      <c r="BM1639" s="738" t="s">
        <v>1018</v>
      </c>
      <c r="BN1639" s="738" t="s">
        <v>1018</v>
      </c>
      <c r="BO1639" s="339" t="s">
        <v>1018</v>
      </c>
      <c r="BP1639" s="738" t="s">
        <v>1018</v>
      </c>
      <c r="BQ1639" s="738" t="s">
        <v>1018</v>
      </c>
      <c r="BR1639" s="738" t="s">
        <v>1018</v>
      </c>
      <c r="BS1639" s="738" t="s">
        <v>1018</v>
      </c>
      <c r="BT1639" s="2601" t="s">
        <v>1018</v>
      </c>
      <c r="BU1639" s="738" t="s">
        <v>1018</v>
      </c>
      <c r="BV1639" s="738" t="s">
        <v>1018</v>
      </c>
      <c r="BW1639" s="738" t="s">
        <v>1018</v>
      </c>
      <c r="BX1639" s="738" t="s">
        <v>1018</v>
      </c>
      <c r="BY1639" s="339" t="s">
        <v>1018</v>
      </c>
      <c r="BZ1639" s="339" t="s">
        <v>1018</v>
      </c>
      <c r="CA1639" s="339" t="s">
        <v>1018</v>
      </c>
      <c r="CB1639" s="339" t="s">
        <v>1018</v>
      </c>
      <c r="CC1639" s="339" t="s">
        <v>1018</v>
      </c>
      <c r="CD1639" s="339" t="s">
        <v>1018</v>
      </c>
      <c r="CE1639" s="339" t="s">
        <v>1018</v>
      </c>
      <c r="CF1639" s="339" t="s">
        <v>1018</v>
      </c>
      <c r="CG1639" s="331"/>
      <c r="CH1639" s="331"/>
      <c r="CI1639" s="331"/>
      <c r="CJ1639" s="331"/>
      <c r="CK1639" s="331"/>
      <c r="CL1639" s="428" t="str">
        <f t="shared" si="3744"/>
        <v>Unrecorded Goodwill</v>
      </c>
      <c r="CM1639" s="442" t="str">
        <f t="shared" ref="CM1639:CM1644" si="3745">G1639</f>
        <v>ND</v>
      </c>
      <c r="CN1639" s="442" t="str">
        <f t="shared" ref="CN1639:CN1644" si="3746">L1639</f>
        <v>ND</v>
      </c>
      <c r="CO1639" s="442" t="str">
        <f t="shared" ref="CO1639:CO1644" si="3747">Q1639</f>
        <v>ND</v>
      </c>
      <c r="CP1639" s="442" t="str">
        <f t="shared" ref="CP1639:CP1644" si="3748">V1639</f>
        <v>ND</v>
      </c>
      <c r="CQ1639" s="442" t="str">
        <f t="shared" ref="CQ1639:CQ1644" si="3749">AA1639</f>
        <v>ND</v>
      </c>
      <c r="CR1639" s="442" t="str">
        <f t="shared" ref="CR1639:CR1644" si="3750">AF1639</f>
        <v>ND</v>
      </c>
      <c r="CS1639" s="442" t="str">
        <f t="shared" ref="CS1639:CS1644" si="3751">AK1639</f>
        <v>ND</v>
      </c>
      <c r="CT1639" s="442" t="str">
        <f t="shared" ref="CT1639:CT1644" si="3752">AP1639</f>
        <v>ND</v>
      </c>
      <c r="CU1639" s="442" t="str">
        <f t="shared" ref="CU1639:CU1644" si="3753">AU1639</f>
        <v>ND</v>
      </c>
      <c r="CV1639" s="442" t="str">
        <f t="shared" ref="CV1639:CV1644" si="3754">AZ1639</f>
        <v>ND</v>
      </c>
      <c r="CW1639" s="442" t="str">
        <f t="shared" ref="CW1639:CW1644" si="3755">BE1639</f>
        <v>ND</v>
      </c>
      <c r="CX1639" s="442" t="str">
        <f t="shared" ref="CX1639:CX1644" si="3756">BJ1639</f>
        <v>ND</v>
      </c>
      <c r="CY1639" s="442" t="str">
        <f t="shared" ref="CY1639:CY1644" si="3757">BO1639</f>
        <v>ND</v>
      </c>
      <c r="CZ1639" s="442" t="str">
        <f t="shared" ref="CZ1639:CZ1644" si="3758">BT1639</f>
        <v>ND</v>
      </c>
      <c r="DA1639" s="442" t="str">
        <f t="shared" ref="DA1639:DC1644" si="3759">BY1639</f>
        <v>ND</v>
      </c>
      <c r="DB1639" s="442" t="str">
        <f t="shared" si="3759"/>
        <v>ND</v>
      </c>
      <c r="DC1639" s="442" t="str">
        <f t="shared" si="3759"/>
        <v>ND</v>
      </c>
      <c r="DD1639" s="331"/>
      <c r="DE1639" s="331"/>
      <c r="DF1639" s="502"/>
      <c r="DG1639" s="503"/>
      <c r="DH1639" s="2601"/>
      <c r="DI1639" s="3213"/>
      <c r="DJ1639" s="502"/>
      <c r="DK1639" s="503"/>
      <c r="DL1639" s="502"/>
      <c r="DM1639" s="502"/>
      <c r="DN1639" s="502"/>
      <c r="DO1639" s="502"/>
      <c r="DP1639" s="503"/>
      <c r="DQ1639" s="503"/>
      <c r="DR1639" s="296"/>
      <c r="DS1639" s="296"/>
      <c r="DT1639" s="296"/>
    </row>
    <row r="1640" spans="1:124" ht="12" customHeight="1" x14ac:dyDescent="0.25">
      <c r="A1640" s="281" t="s">
        <v>1340</v>
      </c>
      <c r="B1640" s="281"/>
      <c r="C1640" s="736">
        <v>0.35</v>
      </c>
      <c r="D1640" s="736">
        <v>0.35</v>
      </c>
      <c r="E1640" s="736">
        <v>0.35</v>
      </c>
      <c r="F1640" s="736">
        <v>0.35</v>
      </c>
      <c r="G1640" s="736">
        <v>0.35</v>
      </c>
      <c r="H1640" s="736">
        <v>0.35</v>
      </c>
      <c r="I1640" s="736">
        <v>0.35</v>
      </c>
      <c r="J1640" s="736">
        <v>0.35</v>
      </c>
      <c r="K1640" s="736">
        <v>0.35</v>
      </c>
      <c r="L1640" s="736">
        <v>0.35</v>
      </c>
      <c r="M1640" s="736">
        <v>0.35</v>
      </c>
      <c r="N1640" s="736">
        <v>0.35</v>
      </c>
      <c r="O1640" s="736">
        <v>0.35</v>
      </c>
      <c r="P1640" s="736">
        <v>0.35</v>
      </c>
      <c r="Q1640" s="736">
        <v>0.35</v>
      </c>
      <c r="R1640" s="736">
        <v>0.35</v>
      </c>
      <c r="S1640" s="736">
        <v>0.35</v>
      </c>
      <c r="T1640" s="736">
        <v>0.35</v>
      </c>
      <c r="U1640" s="736">
        <v>0.35</v>
      </c>
      <c r="V1640" s="736">
        <v>0.35</v>
      </c>
      <c r="W1640" s="736">
        <v>0.35</v>
      </c>
      <c r="X1640" s="736">
        <v>0.35</v>
      </c>
      <c r="Y1640" s="736">
        <v>0.35</v>
      </c>
      <c r="Z1640" s="736">
        <v>0.35</v>
      </c>
      <c r="AA1640" s="736">
        <v>0.35</v>
      </c>
      <c r="AB1640" s="736">
        <v>0.35</v>
      </c>
      <c r="AC1640" s="736">
        <v>0.35</v>
      </c>
      <c r="AD1640" s="736">
        <v>0.35</v>
      </c>
      <c r="AE1640" s="737">
        <v>0.35</v>
      </c>
      <c r="AF1640" s="737">
        <v>0.35</v>
      </c>
      <c r="AG1640" s="737">
        <v>0.35</v>
      </c>
      <c r="AH1640" s="737">
        <v>0.35</v>
      </c>
      <c r="AI1640" s="737">
        <v>0.35</v>
      </c>
      <c r="AJ1640" s="737">
        <v>0.35</v>
      </c>
      <c r="AK1640" s="737">
        <v>0.35</v>
      </c>
      <c r="AL1640" s="737">
        <v>0.35</v>
      </c>
      <c r="AM1640" s="737">
        <v>0.35</v>
      </c>
      <c r="AN1640" s="737">
        <v>0.35</v>
      </c>
      <c r="AO1640" s="737">
        <v>0.35</v>
      </c>
      <c r="AP1640" s="737">
        <v>0.35</v>
      </c>
      <c r="AQ1640" s="737">
        <f>AU1640</f>
        <v>0.36599999999999999</v>
      </c>
      <c r="AR1640" s="737">
        <f>AU1640</f>
        <v>0.36599999999999999</v>
      </c>
      <c r="AS1640" s="737">
        <f>AU1640</f>
        <v>0.36599999999999999</v>
      </c>
      <c r="AT1640" s="737">
        <f>AU1640</f>
        <v>0.36599999999999999</v>
      </c>
      <c r="AU1640" s="737">
        <f>(35%+1.4%+0.2%)</f>
        <v>0.36599999999999999</v>
      </c>
      <c r="AV1640" s="737">
        <v>0.35</v>
      </c>
      <c r="AW1640" s="737">
        <v>0.35</v>
      </c>
      <c r="AX1640" s="737">
        <v>0.35</v>
      </c>
      <c r="AY1640" s="737">
        <f>AZ1640</f>
        <v>0.36</v>
      </c>
      <c r="AZ1640" s="737">
        <f>(35%+1.1%-0.1%)</f>
        <v>0.36</v>
      </c>
      <c r="BA1640" s="737">
        <v>0.35</v>
      </c>
      <c r="BB1640" s="737">
        <v>0.35</v>
      </c>
      <c r="BC1640" s="737">
        <v>0.35</v>
      </c>
      <c r="BD1640" s="737">
        <v>0.35</v>
      </c>
      <c r="BE1640" s="737">
        <v>0.35</v>
      </c>
      <c r="BF1640" s="737">
        <v>0.35</v>
      </c>
      <c r="BG1640" s="737">
        <v>0.35</v>
      </c>
      <c r="BH1640" s="737">
        <v>0.35</v>
      </c>
      <c r="BI1640" s="737">
        <v>0.35</v>
      </c>
      <c r="BJ1640" s="737">
        <v>0.35</v>
      </c>
      <c r="BK1640" s="737">
        <v>0.35</v>
      </c>
      <c r="BL1640" s="737">
        <v>0.35</v>
      </c>
      <c r="BM1640" s="737">
        <v>0.35</v>
      </c>
      <c r="BN1640" s="737">
        <v>0.35</v>
      </c>
      <c r="BO1640" s="737">
        <v>0.35</v>
      </c>
      <c r="BP1640" s="737">
        <v>0.35</v>
      </c>
      <c r="BQ1640" s="737">
        <v>0.35</v>
      </c>
      <c r="BR1640" s="737">
        <v>0.35</v>
      </c>
      <c r="BS1640" s="737">
        <v>0.35</v>
      </c>
      <c r="BT1640" s="2977">
        <v>0.35</v>
      </c>
      <c r="BU1640" s="737">
        <v>0.35</v>
      </c>
      <c r="BV1640" s="737">
        <v>0.35</v>
      </c>
      <c r="BW1640" s="737">
        <v>0.35</v>
      </c>
      <c r="BX1640" s="737">
        <v>0.35</v>
      </c>
      <c r="BY1640" s="737">
        <v>0.35</v>
      </c>
      <c r="BZ1640" s="737">
        <v>0.35</v>
      </c>
      <c r="CA1640" s="737">
        <v>0.35</v>
      </c>
      <c r="CB1640" s="737">
        <v>0.35</v>
      </c>
      <c r="CC1640" s="737">
        <v>0.35</v>
      </c>
      <c r="CD1640" s="737">
        <v>0.35</v>
      </c>
      <c r="CE1640" s="737">
        <v>0.35</v>
      </c>
      <c r="CF1640" s="737">
        <v>0.35</v>
      </c>
      <c r="CG1640" s="331"/>
      <c r="CH1640" s="331"/>
      <c r="CI1640" s="331"/>
      <c r="CJ1640" s="331"/>
      <c r="CK1640" s="331"/>
      <c r="CL1640" s="428" t="str">
        <f t="shared" si="3744"/>
        <v>Statutory Tax Rate</v>
      </c>
      <c r="CM1640" s="588">
        <f t="shared" si="3745"/>
        <v>0.35</v>
      </c>
      <c r="CN1640" s="588">
        <f t="shared" si="3746"/>
        <v>0.35</v>
      </c>
      <c r="CO1640" s="588">
        <f t="shared" si="3747"/>
        <v>0.35</v>
      </c>
      <c r="CP1640" s="588">
        <f t="shared" si="3748"/>
        <v>0.35</v>
      </c>
      <c r="CQ1640" s="588">
        <f t="shared" si="3749"/>
        <v>0.35</v>
      </c>
      <c r="CR1640" s="588">
        <f t="shared" si="3750"/>
        <v>0.35</v>
      </c>
      <c r="CS1640" s="588">
        <f t="shared" si="3751"/>
        <v>0.35</v>
      </c>
      <c r="CT1640" s="588">
        <f t="shared" si="3752"/>
        <v>0.35</v>
      </c>
      <c r="CU1640" s="588">
        <f t="shared" si="3753"/>
        <v>0.36599999999999999</v>
      </c>
      <c r="CV1640" s="588">
        <f t="shared" si="3754"/>
        <v>0.36</v>
      </c>
      <c r="CW1640" s="588">
        <f t="shared" si="3755"/>
        <v>0.35</v>
      </c>
      <c r="CX1640" s="588">
        <f t="shared" si="3756"/>
        <v>0.35</v>
      </c>
      <c r="CY1640" s="588">
        <f t="shared" si="3757"/>
        <v>0.35</v>
      </c>
      <c r="CZ1640" s="588">
        <f t="shared" si="3758"/>
        <v>0.35</v>
      </c>
      <c r="DA1640" s="588">
        <f t="shared" si="3759"/>
        <v>0.35</v>
      </c>
      <c r="DB1640" s="588">
        <f t="shared" si="3759"/>
        <v>0.35</v>
      </c>
      <c r="DC1640" s="588">
        <f t="shared" si="3759"/>
        <v>0.35</v>
      </c>
      <c r="DD1640" s="331"/>
      <c r="DE1640" s="331"/>
      <c r="DF1640" s="502"/>
      <c r="DG1640" s="503"/>
      <c r="DH1640" s="2977"/>
      <c r="DI1640" s="3213"/>
      <c r="DJ1640" s="502"/>
      <c r="DK1640" s="503"/>
      <c r="DL1640" s="502"/>
      <c r="DM1640" s="502"/>
      <c r="DN1640" s="502"/>
      <c r="DO1640" s="502"/>
      <c r="DP1640" s="503"/>
      <c r="DQ1640" s="503"/>
      <c r="DR1640" s="296"/>
      <c r="DS1640" s="296"/>
      <c r="DT1640" s="296"/>
    </row>
    <row r="1641" spans="1:124" ht="12" customHeight="1" x14ac:dyDescent="0.25">
      <c r="A1641" s="281" t="s">
        <v>1015</v>
      </c>
      <c r="B1641" s="281"/>
      <c r="C1641" s="340" t="s">
        <v>1018</v>
      </c>
      <c r="D1641" s="340" t="s">
        <v>1018</v>
      </c>
      <c r="E1641" s="340" t="s">
        <v>1018</v>
      </c>
      <c r="F1641" s="340" t="s">
        <v>1018</v>
      </c>
      <c r="G1641" s="546" t="s">
        <v>1018</v>
      </c>
      <c r="H1641" s="340" t="s">
        <v>1018</v>
      </c>
      <c r="I1641" s="340" t="s">
        <v>1018</v>
      </c>
      <c r="J1641" s="340" t="s">
        <v>1018</v>
      </c>
      <c r="K1641" s="340" t="s">
        <v>1018</v>
      </c>
      <c r="L1641" s="546" t="s">
        <v>1018</v>
      </c>
      <c r="M1641" s="340" t="s">
        <v>1018</v>
      </c>
      <c r="N1641" s="340" t="s">
        <v>1018</v>
      </c>
      <c r="O1641" s="340" t="s">
        <v>1018</v>
      </c>
      <c r="P1641" s="340" t="s">
        <v>1018</v>
      </c>
      <c r="Q1641" s="546" t="s">
        <v>1018</v>
      </c>
      <c r="R1641" s="340" t="s">
        <v>1018</v>
      </c>
      <c r="S1641" s="340" t="s">
        <v>1018</v>
      </c>
      <c r="T1641" s="340" t="s">
        <v>1018</v>
      </c>
      <c r="U1641" s="340" t="s">
        <v>1018</v>
      </c>
      <c r="V1641" s="546" t="s">
        <v>1018</v>
      </c>
      <c r="W1641" s="340" t="s">
        <v>1018</v>
      </c>
      <c r="X1641" s="340" t="s">
        <v>1018</v>
      </c>
      <c r="Y1641" s="340" t="s">
        <v>1018</v>
      </c>
      <c r="Z1641" s="340" t="s">
        <v>1018</v>
      </c>
      <c r="AA1641" s="570">
        <f t="shared" ref="AA1641:AU1641" si="3760">AA1648</f>
        <v>92.590999999999994</v>
      </c>
      <c r="AB1641" s="340">
        <f t="shared" si="3760"/>
        <v>106.53400000000001</v>
      </c>
      <c r="AC1641" s="340">
        <f t="shared" si="3760"/>
        <v>107.045</v>
      </c>
      <c r="AD1641" s="340">
        <f t="shared" si="3760"/>
        <v>107.21899999999999</v>
      </c>
      <c r="AE1641" s="340">
        <f t="shared" si="3760"/>
        <v>107.22499999999999</v>
      </c>
      <c r="AF1641" s="570">
        <f t="shared" si="3760"/>
        <v>107.006</v>
      </c>
      <c r="AG1641" s="340">
        <f t="shared" si="3760"/>
        <v>107.03700000000001</v>
      </c>
      <c r="AH1641" s="340">
        <f t="shared" si="3760"/>
        <v>106.795</v>
      </c>
      <c r="AI1641" s="340">
        <f t="shared" si="3760"/>
        <v>105.509</v>
      </c>
      <c r="AJ1641" s="340">
        <f t="shared" si="3760"/>
        <v>77.635999999999996</v>
      </c>
      <c r="AK1641" s="572">
        <f t="shared" si="3760"/>
        <v>78.078999999999994</v>
      </c>
      <c r="AL1641" s="340">
        <f t="shared" si="3760"/>
        <v>106.919</v>
      </c>
      <c r="AM1641" s="340">
        <f t="shared" si="3760"/>
        <v>107.523</v>
      </c>
      <c r="AN1641" s="340">
        <f t="shared" si="3760"/>
        <v>107.449</v>
      </c>
      <c r="AO1641" s="340">
        <f t="shared" si="3760"/>
        <v>106.19499999999999</v>
      </c>
      <c r="AP1641" s="572">
        <f t="shared" si="3760"/>
        <v>107.051</v>
      </c>
      <c r="AQ1641" s="340">
        <f>AQ1648</f>
        <v>105.63200000000001</v>
      </c>
      <c r="AR1641" s="340">
        <f>AR1648</f>
        <v>106.13</v>
      </c>
      <c r="AS1641" s="340">
        <f>AS1648</f>
        <v>105.84099999999999</v>
      </c>
      <c r="AT1641" s="340">
        <f>AT1648</f>
        <v>104.47</v>
      </c>
      <c r="AU1641" s="339">
        <f t="shared" si="3760"/>
        <v>103.804</v>
      </c>
      <c r="AV1641" s="340">
        <f t="shared" ref="AV1641:BE1641" si="3761">AV1648</f>
        <v>102.887</v>
      </c>
      <c r="AW1641" s="340">
        <f t="shared" si="3761"/>
        <v>78.305999999999997</v>
      </c>
      <c r="AX1641" s="340">
        <f t="shared" si="3761"/>
        <v>103.44199999999999</v>
      </c>
      <c r="AY1641" s="340">
        <f>AY1648</f>
        <v>77.938999999999993</v>
      </c>
      <c r="AZ1641" s="339">
        <f>AZ1648</f>
        <v>78.111000000000004</v>
      </c>
      <c r="BA1641" s="340">
        <f t="shared" si="3761"/>
        <v>88.679000000000002</v>
      </c>
      <c r="BB1641" s="340">
        <f t="shared" si="3761"/>
        <v>78.457999999999998</v>
      </c>
      <c r="BC1641" s="340">
        <f t="shared" si="3761"/>
        <v>78.510000000000005</v>
      </c>
      <c r="BD1641" s="340">
        <f t="shared" si="3761"/>
        <v>78.805000000000007</v>
      </c>
      <c r="BE1641" s="339">
        <f t="shared" si="3761"/>
        <v>78.805000000000007</v>
      </c>
      <c r="BF1641" s="340">
        <f t="shared" ref="BF1641:BK1641" si="3762">BF1648</f>
        <v>90.391999999999996</v>
      </c>
      <c r="BG1641" s="340">
        <f t="shared" si="3762"/>
        <v>90.728999999999999</v>
      </c>
      <c r="BH1641" s="340">
        <f t="shared" si="3762"/>
        <v>91.28</v>
      </c>
      <c r="BI1641" s="340">
        <f t="shared" si="3762"/>
        <v>80.003</v>
      </c>
      <c r="BJ1641" s="339">
        <f t="shared" si="3762"/>
        <v>90.903999999999996</v>
      </c>
      <c r="BK1641" s="340">
        <f t="shared" si="3762"/>
        <v>91.090999999999994</v>
      </c>
      <c r="BL1641" s="340">
        <f t="shared" ref="BL1641:BT1641" si="3763">BL1648</f>
        <v>91.486000000000004</v>
      </c>
      <c r="BM1641" s="340">
        <f t="shared" si="3763"/>
        <v>91.421999999999997</v>
      </c>
      <c r="BN1641" s="340">
        <f t="shared" si="3763"/>
        <v>91.802000000000007</v>
      </c>
      <c r="BO1641" s="339">
        <f t="shared" si="3763"/>
        <v>91.802000000000007</v>
      </c>
      <c r="BP1641" s="340">
        <f t="shared" si="3763"/>
        <v>91.917000000000002</v>
      </c>
      <c r="BQ1641" s="340">
        <f t="shared" si="3763"/>
        <v>93.239000000000004</v>
      </c>
      <c r="BR1641" s="340">
        <f t="shared" si="3763"/>
        <v>93.588999999999999</v>
      </c>
      <c r="BS1641" s="340">
        <f t="shared" si="3763"/>
        <v>90.826999999999998</v>
      </c>
      <c r="BT1641" s="2601">
        <f t="shared" si="3763"/>
        <v>92.393000000000001</v>
      </c>
      <c r="BU1641" s="340">
        <f t="shared" ref="BU1641:CF1641" si="3764">BU1648</f>
        <v>93.3</v>
      </c>
      <c r="BV1641" s="340">
        <f t="shared" si="3764"/>
        <v>93.3</v>
      </c>
      <c r="BW1641" s="340">
        <f t="shared" si="3764"/>
        <v>119.75999999999999</v>
      </c>
      <c r="BX1641" s="340">
        <f t="shared" si="3764"/>
        <v>119.75999999999999</v>
      </c>
      <c r="BY1641" s="339">
        <f t="shared" si="3764"/>
        <v>106.53</v>
      </c>
      <c r="BZ1641" s="339">
        <f t="shared" si="3764"/>
        <v>121.75999999999999</v>
      </c>
      <c r="CA1641" s="339">
        <f t="shared" si="3764"/>
        <v>123.75999999999999</v>
      </c>
      <c r="CB1641" s="339">
        <f t="shared" si="3764"/>
        <v>123.75999999999999</v>
      </c>
      <c r="CC1641" s="339">
        <f t="shared" si="3764"/>
        <v>123.75999999999999</v>
      </c>
      <c r="CD1641" s="339">
        <f t="shared" si="3764"/>
        <v>123.75999999999999</v>
      </c>
      <c r="CE1641" s="339">
        <f t="shared" si="3764"/>
        <v>123.75999999999999</v>
      </c>
      <c r="CF1641" s="339">
        <f t="shared" si="3764"/>
        <v>123.75999999999999</v>
      </c>
      <c r="CG1641" s="331"/>
      <c r="CH1641" s="331"/>
      <c r="CI1641" s="331"/>
      <c r="CJ1641" s="331"/>
      <c r="CK1641" s="331"/>
      <c r="CL1641" s="428" t="str">
        <f t="shared" si="3744"/>
        <v>Period end shares</v>
      </c>
      <c r="CM1641" s="331" t="str">
        <f t="shared" si="3745"/>
        <v>ND</v>
      </c>
      <c r="CN1641" s="331" t="str">
        <f t="shared" si="3746"/>
        <v>ND</v>
      </c>
      <c r="CO1641" s="331" t="str">
        <f t="shared" si="3747"/>
        <v>ND</v>
      </c>
      <c r="CP1641" s="331" t="str">
        <f t="shared" si="3748"/>
        <v>ND</v>
      </c>
      <c r="CQ1641" s="331">
        <f t="shared" si="3749"/>
        <v>92.590999999999994</v>
      </c>
      <c r="CR1641" s="331">
        <f t="shared" si="3750"/>
        <v>107.006</v>
      </c>
      <c r="CS1641" s="331">
        <f t="shared" si="3751"/>
        <v>78.078999999999994</v>
      </c>
      <c r="CT1641" s="331">
        <f t="shared" si="3752"/>
        <v>107.051</v>
      </c>
      <c r="CU1641" s="331">
        <f t="shared" si="3753"/>
        <v>103.804</v>
      </c>
      <c r="CV1641" s="331">
        <f t="shared" si="3754"/>
        <v>78.111000000000004</v>
      </c>
      <c r="CW1641" s="331">
        <f t="shared" si="3755"/>
        <v>78.805000000000007</v>
      </c>
      <c r="CX1641" s="331">
        <f t="shared" si="3756"/>
        <v>90.903999999999996</v>
      </c>
      <c r="CY1641" s="331">
        <f t="shared" si="3757"/>
        <v>91.802000000000007</v>
      </c>
      <c r="CZ1641" s="331">
        <f t="shared" si="3758"/>
        <v>92.393000000000001</v>
      </c>
      <c r="DA1641" s="331">
        <f t="shared" si="3759"/>
        <v>106.53</v>
      </c>
      <c r="DB1641" s="331">
        <f t="shared" si="3759"/>
        <v>121.75999999999999</v>
      </c>
      <c r="DC1641" s="331">
        <f t="shared" si="3759"/>
        <v>123.75999999999999</v>
      </c>
      <c r="DD1641" s="331"/>
      <c r="DE1641" s="331"/>
      <c r="DF1641" s="502"/>
      <c r="DG1641" s="503"/>
      <c r="DH1641" s="2601"/>
      <c r="DI1641" s="3213"/>
      <c r="DJ1641" s="502"/>
      <c r="DK1641" s="503"/>
      <c r="DL1641" s="502"/>
      <c r="DM1641" s="502"/>
      <c r="DN1641" s="502"/>
      <c r="DO1641" s="502"/>
      <c r="DP1641" s="503"/>
      <c r="DQ1641" s="503"/>
      <c r="DR1641" s="296"/>
      <c r="DS1641" s="296"/>
      <c r="DT1641" s="296"/>
    </row>
    <row r="1642" spans="1:124" ht="12" customHeight="1" x14ac:dyDescent="0.25">
      <c r="A1642" s="281" t="s">
        <v>1016</v>
      </c>
      <c r="B1642" s="281"/>
      <c r="C1642" s="340" t="s">
        <v>1018</v>
      </c>
      <c r="D1642" s="305">
        <f>D1414-C1414+D1415-C1415+D1416-C1416+D1417-C1417+D1418-C1418-D1278+D1643</f>
        <v>315.21899999999999</v>
      </c>
      <c r="E1642" s="305">
        <f>E1414-D1414+E1415-D1415+E1416-D1416+E1417-D1417+E1418-D1418-E1278+E1643</f>
        <v>6.8730000000000118</v>
      </c>
      <c r="F1642" s="305">
        <f>F1414-E1414+F1415-E1415+F1416-E1416+F1417-E1417+F1418-E1418-F1278+F1643</f>
        <v>2.8319999999999723</v>
      </c>
      <c r="G1642" s="305">
        <f>G1414-B1414+G1415-B1415+G1416-B1416+G1417-B1417+G1418-B1418-G1278+G1643</f>
        <v>324.96600000000001</v>
      </c>
      <c r="H1642" s="305">
        <f>H1414-F1414+H1415-F1415+H1416-F1416+H1417-F1417+H1418-F1418-H1278+H1643</f>
        <v>17.023000000000014</v>
      </c>
      <c r="I1642" s="305">
        <f>I1414-H1414+I1415-H1415+I1416-H1416+I1417-H1417+I1418-H1418-I1278+I1643</f>
        <v>9.5359999999999907</v>
      </c>
      <c r="J1642" s="305">
        <f>J1414-I1414+J1415-I1415+J1416-I1416+J1417-I1417+J1418-I1418-J1278+J1643</f>
        <v>0.93500000000001648</v>
      </c>
      <c r="K1642" s="305">
        <f>K1414-J1414+K1415-J1415+K1416-J1416+K1417-J1417+K1418-J1418-K1278+K1643</f>
        <v>0.84799999999998477</v>
      </c>
      <c r="L1642" s="305">
        <f>L1414-G1414+L1415-G1415+L1416-G1416+L1417-G1417+L1418-G1418-L1278+L1643</f>
        <v>28.342000000000041</v>
      </c>
      <c r="M1642" s="305">
        <f>M1414-K1414+M1415-K1415+M1416-K1416+M1417-K1417+M1418-K1418-M1278+M1643</f>
        <v>21.39099999999997</v>
      </c>
      <c r="N1642" s="305">
        <f>N1414-M1414+N1415-M1415+N1416-M1416+N1417-M1417+N1418-M1418-N1278+N1643</f>
        <v>7.8249999999999673</v>
      </c>
      <c r="O1642" s="305">
        <f>O1414-N1414+O1415-N1415+O1416-N1416+O1417-N1417+O1418-N1418-O1278+O1643</f>
        <v>5.3350000000000364</v>
      </c>
      <c r="P1642" s="305">
        <f>P1414-O1414+P1415-O1415+P1416-O1416+P1417-O1417+P1418-O1418-P1278+P1643</f>
        <v>10.647000000000048</v>
      </c>
      <c r="Q1642" s="305">
        <f>Q1414-L1414+Q1415-L1415+Q1416-L1416+Q1417-L1417+Q1418-L1418-Q1278+Q1643</f>
        <v>45.197999999999979</v>
      </c>
      <c r="R1642" s="305">
        <f>R1414-P1414+R1415-P1415+R1416-P1416+R1417-P1417+R1418-P1418-R1278+R1643</f>
        <v>3.394000000000041</v>
      </c>
      <c r="S1642" s="305">
        <f>S1414-R1414+S1415-R1415+S1416-R1416+S1417-R1417+S1418-R1418-S1278+S1643</f>
        <v>9.7180000000000675</v>
      </c>
      <c r="T1642" s="305">
        <f>T1414-S1414+T1415-S1415+T1416-S1416+T1417-S1417+T1418-S1418-T1278+T1643</f>
        <v>32.427000000000056</v>
      </c>
      <c r="U1642" s="305">
        <f>U1414-T1414+U1415-T1415+U1416-T1416+U1417-T1417+U1418-T1418-U1278+U1643</f>
        <v>13.364999999999853</v>
      </c>
      <c r="V1642" s="305">
        <f>V1414-Q1414+V1415-Q1415+V1416-Q1416+V1417-Q1417+V1418-Q1418-V1278+V1643</f>
        <v>58.903999999999996</v>
      </c>
      <c r="W1642" s="305">
        <f>W1414-U1414+W1415-U1415+W1416-U1416+W1417-U1417+W1418-U1418-W1278+W1643</f>
        <v>5.2860000000000582</v>
      </c>
      <c r="X1642" s="305">
        <f>X1414-W1414+X1415-W1415+X1416-W1416+X1417-W1417+X1418-W1418-X1278+X1643</f>
        <v>5.4490000000000336</v>
      </c>
      <c r="Y1642" s="305">
        <f>Y1414-X1414+Y1415-X1415+Y1416-X1416+Y1417-X1417+Y1418-X1418-Y1278+Y1643</f>
        <v>-23.384999999999934</v>
      </c>
      <c r="Z1642" s="305">
        <f>Z1414-Y1414+Z1415-Y1415+Z1416-Y1416+Z1417-Y1417+Z1418-Y1418-Z1278+Z1643</f>
        <v>1134.9929999999999</v>
      </c>
      <c r="AA1642" s="305">
        <f>AA1414-V1414+AA1415-V1415+AA1416-V1416+AA1417-V1417+AA1418-V1418-AA1278+AA1643</f>
        <v>1122.3429999999998</v>
      </c>
      <c r="AB1642" s="305">
        <f>AB1414-Z1414+AB1415-Z1415+AB1416-Z1416+AB1417-Z1417+AB1418-Z1418-AB1278+AB1643</f>
        <v>9.9919999999998907</v>
      </c>
      <c r="AC1642" s="305">
        <f>AC1414-AB1414+AC1415-AB1415+AC1416-AB1416+AC1417-AB1417+AC1418-AB1418-AC1278+AC1643</f>
        <v>10.938000000000116</v>
      </c>
      <c r="AD1642" s="305">
        <f>AD1414-AC1414+AD1415-AC1415+AD1416-AC1416+AD1417-AC1417+AD1418-AC1418-AD1278+AD1643</f>
        <v>8.3099999999999632</v>
      </c>
      <c r="AE1642" s="305">
        <f>AE1414-AD1414+AE1415-AD1415+AE1416-AD1416+AE1417-AD1417+AE1418-AD1418-AE1278+AE1643</f>
        <v>10.876000000000033</v>
      </c>
      <c r="AF1642" s="305">
        <f>AF1414-AA1414+AF1415-AA1415+AF1416-AA1416+AF1417-AA1417+AF1418-AA1418-AF1278+AF1643</f>
        <v>40.115999999999985</v>
      </c>
      <c r="AG1642" s="305">
        <f>AG1414-AE1414+AG1415-AE1415+AG1416-AE1416+AG1417-AE1417+AG1418-AE1418-AG1278+AG1643</f>
        <v>-4.3180000000001115</v>
      </c>
      <c r="AH1642" s="305">
        <f>AH1414-AG1414+AH1415-AG1415+AH1416-AG1416+AH1417-AG1417+AH1418-AG1418-AH1278+AH1643</f>
        <v>2.1339999999999968</v>
      </c>
      <c r="AI1642" s="305">
        <f>AI1414-AH1414+AI1415-AH1415+AI1416-AH1416+AI1417-AH1417+AI1418-AH1418-AI1278+AI1643</f>
        <v>-45.783999999999864</v>
      </c>
      <c r="AJ1642" s="305">
        <f>AJ1414-AI1414+AJ1415-AI1415+AJ1416-AI1416+AJ1417-AI1417+AJ1418-AI1418-AJ1278+AJ1643</f>
        <v>16.605000000000047</v>
      </c>
      <c r="AK1642" s="305">
        <f>AK1414-AF1414+AK1415-AF1415+AK1416-AF1416+AK1417-AF1417+AK1418-AF1418-AK1278+AK1643</f>
        <v>-31.363000000000156</v>
      </c>
      <c r="AL1642" s="305">
        <f>AL1414-AJ1414+AL1415-AJ1415+AL1416-AJ1416+AL1417-AJ1417+AL1418-AJ1418-AL1278+AL1643</f>
        <v>14.165999999999848</v>
      </c>
      <c r="AM1642" s="305">
        <f>AM1414-AL1414+AM1415-AL1415+AM1416-AL1416+AM1417-AL1417+AM1418-AL1418-AM1278+AM1643</f>
        <v>10.847999999999956</v>
      </c>
      <c r="AN1642" s="305">
        <f>AN1414-AM1414+AN1415-AM1415+AN1416-AM1416+AN1417-AM1417+AN1418-AM1418-AN1278+AN1643</f>
        <v>-18.101000000000113</v>
      </c>
      <c r="AO1642" s="305">
        <f>AO1414-AN1414+AO1415-AN1415+AO1416-AN1416+AO1417-AN1417+AO1418-AN1418-AO1278+AO1643</f>
        <v>-65.60199999999989</v>
      </c>
      <c r="AP1642" s="305">
        <f>AP1414-AK1414+AP1415-AK1415+AP1416-AK1416+AP1417-AK1417+AP1418-AK1418-AP1278+AP1643</f>
        <v>-58.688999999999965</v>
      </c>
      <c r="AQ1642" s="305">
        <f>AQ1414-AP1414+AQ1415-AP1415+AQ1416-AP1416+AQ1417-AP1417+AQ1418-AP1418-AQ1278+AQ1643</f>
        <v>14.030000000000044</v>
      </c>
      <c r="AR1642" s="305">
        <f>AR1414-AQ1414+AR1415-AQ1415+AR1416-AQ1416+AR1417-AQ1417+AR1418-AQ1418-AR1278+AR1643</f>
        <v>12.288999999999987</v>
      </c>
      <c r="AS1642" s="305">
        <f>AS1414-AR1414+AS1415-AR1415+AS1416-AR1416+AS1417-AR1417+AS1418-AR1418-AS1278+AS1643</f>
        <v>8.4999999999998792</v>
      </c>
      <c r="AT1642" s="305">
        <f>AT1414-AS1414+AT1415-AS1415+AT1416-AS1416+AT1417-AS1417+AT1418-AS1418-AT1278+AT1643</f>
        <v>31.803999999999938</v>
      </c>
      <c r="AU1642" s="305">
        <f>AU1414-AP1414+AU1415-AP1415+AU1416-AP1416+AU1417-AP1417+AU1418-AP1418-AU1278+AU1643</f>
        <v>66.622999999999848</v>
      </c>
      <c r="AV1642" s="305">
        <f>AV1414-AU1414+AV1415-AU1415+AV1416-AU1416+AV1417-AU1417+AV1418-AU1418-AV1278+AV1643</f>
        <v>2.9040000000001953</v>
      </c>
      <c r="AW1642" s="305">
        <f>AW1414-AV1414+AW1415-AV1415+AW1416-AV1416+AW1417-AV1417+AW1418-AV1418-AW1278+AW1643</f>
        <v>25.087000000000053</v>
      </c>
      <c r="AX1642" s="305">
        <f>AX1414-AW1414+AX1415-AW1415+AX1416-AW1416+AX1417-AW1417+AX1418-AW1418-AX1278+AX1643</f>
        <v>20.988000000000284</v>
      </c>
      <c r="AY1642" s="305">
        <f>AY1414-AX1414+AY1415-AX1415+AY1416-AX1416+AY1417-AX1417+AY1418-AX1418-AY1278+AY1643</f>
        <v>-744.53000000000009</v>
      </c>
      <c r="AZ1642" s="305">
        <f>AZ1414-AU1414+AZ1415-AU1415+AZ1416-AU1416+AZ1417-AU1417+AZ1418-AU1418-AZ1278+AZ1643</f>
        <v>-695.55099999999993</v>
      </c>
      <c r="BA1642" s="305">
        <f>BA1414-AZ1414+BA1415-AZ1415+BA1416-AZ1416+BA1417-AZ1417+BA1418-AZ1418-BA1278+BA1643</f>
        <v>19.8689999999999</v>
      </c>
      <c r="BB1642" s="305">
        <f>BB1414-BA1414+BB1415-BA1415+BB1416-BA1416+BB1417-BA1417+BB1418-BA1418-BB1278+BB1643</f>
        <v>28.257999999999999</v>
      </c>
      <c r="BC1642" s="305">
        <f>BC1414-BB1414+BC1415-BB1415+BC1416-BB1416+BC1417-BB1417+BC1418-BB1418-BC1278+BC1643</f>
        <v>26.709000000000042</v>
      </c>
      <c r="BD1642" s="305">
        <f>BD1414-BC1414+BD1415-BC1415+BD1416-BC1416+BD1417-BC1417+BD1418-BC1418-BD1278+BD1643</f>
        <v>-1355.7630000000001</v>
      </c>
      <c r="BE1642" s="305">
        <f>BE1414-AZ1414+BE1415-AZ1415+BE1416-AZ1416+BE1417-AZ1417+BE1418-AZ1418-BE1278+BE1643</f>
        <v>-1280.9270000000001</v>
      </c>
      <c r="BF1642" s="305">
        <f>BF1414-BE1414+BF1415-BE1415+BF1416-BE1416+BF1417-BE1417+BF1418-BE1418-BF1278+BF1643</f>
        <v>11.23300000000035</v>
      </c>
      <c r="BG1642" s="305">
        <f>BG1414-BF1414+BG1415-BF1415+BG1416-BF1416+BG1417-BF1417+BG1418-BF1418-BG1278+BG1643</f>
        <v>6.7969999999999722</v>
      </c>
      <c r="BH1642" s="305">
        <f>BH1414-BG1414+BH1415-BG1415+BH1416-BG1416+BH1417-BG1417+BH1418-BG1418-BH1278+BH1643</f>
        <v>6.6939999999998676</v>
      </c>
      <c r="BI1642" s="305">
        <f>BI1414-BH1414+BI1415-BH1415+BI1416-BH1416+BI1417-BH1417+BI1418-BH1418-BI1278+BI1643</f>
        <v>7.8330000000002027</v>
      </c>
      <c r="BJ1642" s="305">
        <f>BJ1414-BE1414+BJ1415-BE1415+BJ1416-BE1416+BJ1417-BE1417+BJ1418-BE1418-BJ1278+BJ1643</f>
        <v>32.557000000000393</v>
      </c>
      <c r="BK1642" s="331">
        <f>BK1414-BJ1414+BK1415-BJ1415+BK1416-BJ1416+BK1417-BJ1417+BK1418-BJ1418-BK1278+BK1643</f>
        <v>3.9259999999997746</v>
      </c>
      <c r="BL1642" s="305">
        <f>BL1414-BK1414+BL1415-BK1415+BL1416-BK1416+BL1417-BK1417+BL1418-BK1418-BL1278+BL1643</f>
        <v>8.1779999999999688</v>
      </c>
      <c r="BM1642" s="305">
        <f>BM1414-BL1414+BM1415-BL1415+BM1416-BL1416+BM1417-BL1417+BM1418-BL1418-BM1278+BM1643</f>
        <v>6.7389999999998764</v>
      </c>
      <c r="BN1642" s="305">
        <f>BN1414-BM1414+BN1415-BM1415+BN1416-BM1416+BN1417-BM1417+BN1418-BM1418-BN1278+BN1643</f>
        <v>6.6920000000001201</v>
      </c>
      <c r="BO1642" s="305">
        <f>BO1414-BJ1414+BO1415-BJ1415+BO1416-BJ1416+BO1417-BJ1417+BO1418-BJ1418-BO1278+BO1643</f>
        <v>25.534999999999741</v>
      </c>
      <c r="BP1642" s="305">
        <f>BP1414-BO1414+BP1415-BO1415+BP1416-BO1416+BP1417-BO1417+BP1418-BO1418-BP1278+BP1643</f>
        <v>-2.9529999999999035</v>
      </c>
      <c r="BQ1642" s="305">
        <f>BQ1414-BP1414+BQ1415-BP1415+BQ1416-BP1416+BQ1417-BP1417+BQ1418-BP1418-BQ1278+BQ1643</f>
        <v>4.9109999999999587</v>
      </c>
      <c r="BR1642" s="305">
        <f>BR1414-BQ1414+BR1415-BQ1415+BR1416-BQ1416+BR1417-BQ1417+BR1418-BQ1418-BR1278+BR1643</f>
        <v>-13.639999999999986</v>
      </c>
      <c r="BS1642" s="305">
        <f>BS1414-BR1414+BS1415-BR1415+BS1416-BR1416+BS1417-BR1417+BS1418-BR1418-BS1278+BS1643</f>
        <v>5.1699999999998454</v>
      </c>
      <c r="BT1642" s="2707">
        <f>BT1414-BO1414+BT1415-BO1415+BT1416-BO1416+BT1417-BO1417+BT1418-BO1418-BT1278+BT1643</f>
        <v>-6.5119999999999436</v>
      </c>
      <c r="BU1642" s="2707">
        <f>BU1414-BT1414+BU1415-BT1415+BU1416-BT1416+BU1417-BT1417+BU1418-BT1418-BU1278+BU1643</f>
        <v>2.7999999999999901</v>
      </c>
      <c r="BV1642" s="2707">
        <f>BV1414-BU1414+BV1415-BU1415+BV1416-BU1416+BV1417-BU1417+BV1418-BU1418-BV1278+BV1643</f>
        <v>2.7999999999999261</v>
      </c>
      <c r="BW1642" s="2707">
        <f>BW1414-BV1414+BW1415-BV1415+BW1416-BV1416+BW1417-BV1417+BW1418-BV1418-BW1278+BW1643</f>
        <v>730.71460000000002</v>
      </c>
      <c r="BX1642" s="2707">
        <f>BX1414-BW1414+BX1415-BW1415+BX1416-BW1416+BX1417-BW1417+BX1418-BW1418-BX1278+BX1643</f>
        <v>2.9999999999999929</v>
      </c>
      <c r="BY1642" s="2707">
        <f>BY1414-BT1414+BY1415-BT1415+BY1416-BT1416+BY1417-BT1417+BY1418-BT1418-BY1278+BY1643</f>
        <v>739.31459999999993</v>
      </c>
      <c r="BZ1642" s="305">
        <f t="shared" ref="BZ1642:CF1642" si="3765">BZ1414-BY1414+BZ1415-BY1415+BZ1416-BY1416+BZ1417-BY1417+BZ1418-BY1418-BZ1278+BZ1643</f>
        <v>11.900000000000091</v>
      </c>
      <c r="CA1642" s="305">
        <f t="shared" si="3765"/>
        <v>12.400000000000091</v>
      </c>
      <c r="CB1642" s="305">
        <f t="shared" si="3765"/>
        <v>12.900000000000091</v>
      </c>
      <c r="CC1642" s="305">
        <f t="shared" si="3765"/>
        <v>13.400000000000084</v>
      </c>
      <c r="CD1642" s="305">
        <f t="shared" si="3765"/>
        <v>13.900000000000084</v>
      </c>
      <c r="CE1642" s="305">
        <f t="shared" si="3765"/>
        <v>14.400000000000091</v>
      </c>
      <c r="CF1642" s="305">
        <f t="shared" si="3765"/>
        <v>14.900000000000091</v>
      </c>
      <c r="CG1642" s="331"/>
      <c r="CH1642" s="331"/>
      <c r="CI1642" s="331"/>
      <c r="CJ1642" s="331"/>
      <c r="CK1642" s="331"/>
      <c r="CL1642" s="428" t="str">
        <f t="shared" si="3744"/>
        <v>Issuance and repurchase of common stock</v>
      </c>
      <c r="CM1642" s="331">
        <f t="shared" si="3745"/>
        <v>324.96600000000001</v>
      </c>
      <c r="CN1642" s="331">
        <f t="shared" si="3746"/>
        <v>28.342000000000041</v>
      </c>
      <c r="CO1642" s="331">
        <f t="shared" si="3747"/>
        <v>45.197999999999979</v>
      </c>
      <c r="CP1642" s="331">
        <f t="shared" si="3748"/>
        <v>58.903999999999996</v>
      </c>
      <c r="CQ1642" s="331">
        <f t="shared" si="3749"/>
        <v>1122.3429999999998</v>
      </c>
      <c r="CR1642" s="331">
        <f t="shared" si="3750"/>
        <v>40.115999999999985</v>
      </c>
      <c r="CS1642" s="331">
        <f t="shared" si="3751"/>
        <v>-31.363000000000156</v>
      </c>
      <c r="CT1642" s="331">
        <f t="shared" si="3752"/>
        <v>-58.688999999999965</v>
      </c>
      <c r="CU1642" s="331">
        <f t="shared" si="3753"/>
        <v>66.622999999999848</v>
      </c>
      <c r="CV1642" s="331">
        <f t="shared" si="3754"/>
        <v>-695.55099999999993</v>
      </c>
      <c r="CW1642" s="331">
        <f t="shared" si="3755"/>
        <v>-1280.9270000000001</v>
      </c>
      <c r="CX1642" s="331">
        <f t="shared" si="3756"/>
        <v>32.557000000000393</v>
      </c>
      <c r="CY1642" s="331">
        <f t="shared" si="3757"/>
        <v>25.534999999999741</v>
      </c>
      <c r="CZ1642" s="331">
        <f t="shared" si="3758"/>
        <v>-6.5119999999999436</v>
      </c>
      <c r="DA1642" s="331">
        <f t="shared" si="3759"/>
        <v>739.31459999999993</v>
      </c>
      <c r="DB1642" s="331">
        <f t="shared" si="3759"/>
        <v>11.900000000000091</v>
      </c>
      <c r="DC1642" s="331">
        <f t="shared" si="3759"/>
        <v>12.400000000000091</v>
      </c>
      <c r="DD1642" s="331"/>
      <c r="DE1642" s="331"/>
      <c r="DF1642" s="502"/>
      <c r="DG1642" s="503"/>
      <c r="DH1642" s="2601"/>
      <c r="DI1642" s="3213"/>
      <c r="DJ1642" s="502"/>
      <c r="DK1642" s="503"/>
      <c r="DL1642" s="502"/>
      <c r="DM1642" s="502"/>
      <c r="DN1642" s="502"/>
      <c r="DO1642" s="502"/>
      <c r="DP1642" s="503"/>
      <c r="DQ1642" s="503"/>
      <c r="DR1642" s="296"/>
      <c r="DS1642" s="296"/>
      <c r="DT1642" s="296"/>
    </row>
    <row r="1643" spans="1:124" ht="12" customHeight="1" x14ac:dyDescent="0.25">
      <c r="A1643" s="281" t="s">
        <v>1017</v>
      </c>
      <c r="B1643" s="281"/>
      <c r="C1643" s="454">
        <f t="shared" ref="C1643:AH1643" si="3766">C1321</f>
        <v>0</v>
      </c>
      <c r="D1643" s="454">
        <f t="shared" si="3766"/>
        <v>0</v>
      </c>
      <c r="E1643" s="454">
        <f t="shared" si="3766"/>
        <v>0</v>
      </c>
      <c r="F1643" s="454">
        <f t="shared" si="3766"/>
        <v>0</v>
      </c>
      <c r="G1643" s="454">
        <f t="shared" si="3766"/>
        <v>0</v>
      </c>
      <c r="H1643" s="454">
        <f t="shared" si="3766"/>
        <v>0</v>
      </c>
      <c r="I1643" s="454">
        <f t="shared" si="3766"/>
        <v>0</v>
      </c>
      <c r="J1643" s="454">
        <f t="shared" si="3766"/>
        <v>0</v>
      </c>
      <c r="K1643" s="454">
        <f t="shared" si="3766"/>
        <v>0</v>
      </c>
      <c r="L1643" s="454">
        <f t="shared" si="3766"/>
        <v>0</v>
      </c>
      <c r="M1643" s="454">
        <f t="shared" si="3766"/>
        <v>0</v>
      </c>
      <c r="N1643" s="454">
        <f t="shared" si="3766"/>
        <v>0</v>
      </c>
      <c r="O1643" s="454">
        <f t="shared" si="3766"/>
        <v>0</v>
      </c>
      <c r="P1643" s="454">
        <f t="shared" si="3766"/>
        <v>0</v>
      </c>
      <c r="Q1643" s="454">
        <f t="shared" si="3766"/>
        <v>0</v>
      </c>
      <c r="R1643" s="454">
        <f t="shared" si="3766"/>
        <v>0</v>
      </c>
      <c r="S1643" s="454">
        <f t="shared" si="3766"/>
        <v>0</v>
      </c>
      <c r="T1643" s="454">
        <f t="shared" si="3766"/>
        <v>0</v>
      </c>
      <c r="U1643" s="454">
        <f t="shared" si="3766"/>
        <v>0</v>
      </c>
      <c r="V1643" s="454">
        <f t="shared" si="3766"/>
        <v>0</v>
      </c>
      <c r="W1643" s="454">
        <f t="shared" si="3766"/>
        <v>0</v>
      </c>
      <c r="X1643" s="454">
        <f t="shared" si="3766"/>
        <v>0</v>
      </c>
      <c r="Y1643" s="454">
        <f t="shared" si="3766"/>
        <v>0</v>
      </c>
      <c r="Z1643" s="454">
        <f t="shared" si="3766"/>
        <v>0</v>
      </c>
      <c r="AA1643" s="454">
        <f t="shared" si="3766"/>
        <v>0</v>
      </c>
      <c r="AB1643" s="454">
        <f t="shared" si="3766"/>
        <v>0</v>
      </c>
      <c r="AC1643" s="454">
        <f t="shared" si="3766"/>
        <v>0</v>
      </c>
      <c r="AD1643" s="454">
        <f t="shared" si="3766"/>
        <v>0</v>
      </c>
      <c r="AE1643" s="454">
        <f t="shared" si="3766"/>
        <v>0</v>
      </c>
      <c r="AF1643" s="454">
        <f t="shared" si="3766"/>
        <v>0</v>
      </c>
      <c r="AG1643" s="454">
        <f t="shared" si="3766"/>
        <v>0</v>
      </c>
      <c r="AH1643" s="454">
        <f t="shared" si="3766"/>
        <v>0</v>
      </c>
      <c r="AI1643" s="454">
        <f t="shared" ref="AI1643:BN1643" si="3767">AI1321</f>
        <v>0</v>
      </c>
      <c r="AJ1643" s="454">
        <f t="shared" si="3767"/>
        <v>0</v>
      </c>
      <c r="AK1643" s="454">
        <f t="shared" si="3767"/>
        <v>0</v>
      </c>
      <c r="AL1643" s="454">
        <f t="shared" si="3767"/>
        <v>0</v>
      </c>
      <c r="AM1643" s="454">
        <f t="shared" si="3767"/>
        <v>0</v>
      </c>
      <c r="AN1643" s="454">
        <f t="shared" si="3767"/>
        <v>0</v>
      </c>
      <c r="AO1643" s="454">
        <f t="shared" si="3767"/>
        <v>0</v>
      </c>
      <c r="AP1643" s="454">
        <f t="shared" si="3767"/>
        <v>0</v>
      </c>
      <c r="AQ1643" s="454">
        <f t="shared" si="3767"/>
        <v>0</v>
      </c>
      <c r="AR1643" s="454">
        <f t="shared" si="3767"/>
        <v>0</v>
      </c>
      <c r="AS1643" s="454">
        <f t="shared" si="3767"/>
        <v>0</v>
      </c>
      <c r="AT1643" s="454">
        <f t="shared" si="3767"/>
        <v>0</v>
      </c>
      <c r="AU1643" s="454">
        <f t="shared" si="3767"/>
        <v>0</v>
      </c>
      <c r="AV1643" s="454">
        <f t="shared" si="3767"/>
        <v>0</v>
      </c>
      <c r="AW1643" s="454">
        <f t="shared" si="3767"/>
        <v>0</v>
      </c>
      <c r="AX1643" s="454">
        <f t="shared" si="3767"/>
        <v>0</v>
      </c>
      <c r="AY1643" s="454">
        <f t="shared" si="3767"/>
        <v>0</v>
      </c>
      <c r="AZ1643" s="454">
        <f t="shared" si="3767"/>
        <v>0</v>
      </c>
      <c r="BA1643" s="454">
        <f t="shared" si="3767"/>
        <v>0</v>
      </c>
      <c r="BB1643" s="454">
        <f t="shared" si="3767"/>
        <v>0</v>
      </c>
      <c r="BC1643" s="454">
        <f t="shared" si="3767"/>
        <v>0</v>
      </c>
      <c r="BD1643" s="454">
        <f t="shared" si="3767"/>
        <v>0</v>
      </c>
      <c r="BE1643" s="454">
        <f t="shared" si="3767"/>
        <v>0</v>
      </c>
      <c r="BF1643" s="454">
        <f t="shared" si="3767"/>
        <v>0</v>
      </c>
      <c r="BG1643" s="454">
        <f t="shared" si="3767"/>
        <v>0</v>
      </c>
      <c r="BH1643" s="454">
        <f t="shared" si="3767"/>
        <v>0</v>
      </c>
      <c r="BI1643" s="454">
        <f t="shared" si="3767"/>
        <v>0</v>
      </c>
      <c r="BJ1643" s="454">
        <f t="shared" si="3767"/>
        <v>0</v>
      </c>
      <c r="BK1643" s="454">
        <f t="shared" si="3767"/>
        <v>0</v>
      </c>
      <c r="BL1643" s="454">
        <f t="shared" si="3767"/>
        <v>0</v>
      </c>
      <c r="BM1643" s="454">
        <f t="shared" si="3767"/>
        <v>0</v>
      </c>
      <c r="BN1643" s="454">
        <f t="shared" si="3767"/>
        <v>0</v>
      </c>
      <c r="BO1643" s="454">
        <f t="shared" ref="BO1643:CF1643" si="3768">BO1321</f>
        <v>0</v>
      </c>
      <c r="BP1643" s="454">
        <f t="shared" si="3768"/>
        <v>0</v>
      </c>
      <c r="BQ1643" s="454">
        <f t="shared" si="3768"/>
        <v>0</v>
      </c>
      <c r="BR1643" s="454">
        <f t="shared" si="3768"/>
        <v>0</v>
      </c>
      <c r="BS1643" s="454">
        <f t="shared" si="3768"/>
        <v>0</v>
      </c>
      <c r="BT1643" s="2915">
        <f t="shared" si="3768"/>
        <v>0</v>
      </c>
      <c r="BU1643" s="2915">
        <f t="shared" si="3768"/>
        <v>0</v>
      </c>
      <c r="BV1643" s="2915">
        <f t="shared" si="3768"/>
        <v>0</v>
      </c>
      <c r="BW1643" s="2915">
        <f t="shared" si="3768"/>
        <v>0</v>
      </c>
      <c r="BX1643" s="2915">
        <f t="shared" si="3768"/>
        <v>0</v>
      </c>
      <c r="BY1643" s="2915">
        <f t="shared" si="3768"/>
        <v>0</v>
      </c>
      <c r="BZ1643" s="454">
        <f t="shared" si="3768"/>
        <v>0</v>
      </c>
      <c r="CA1643" s="454">
        <f t="shared" si="3768"/>
        <v>0</v>
      </c>
      <c r="CB1643" s="454">
        <f t="shared" si="3768"/>
        <v>0</v>
      </c>
      <c r="CC1643" s="454">
        <f t="shared" si="3768"/>
        <v>0</v>
      </c>
      <c r="CD1643" s="454">
        <f t="shared" si="3768"/>
        <v>0</v>
      </c>
      <c r="CE1643" s="454">
        <f t="shared" si="3768"/>
        <v>0</v>
      </c>
      <c r="CF1643" s="454">
        <f t="shared" si="3768"/>
        <v>0</v>
      </c>
      <c r="CG1643" s="331"/>
      <c r="CH1643" s="331"/>
      <c r="CI1643" s="331"/>
      <c r="CJ1643" s="331"/>
      <c r="CK1643" s="331"/>
      <c r="CL1643" s="428" t="str">
        <f t="shared" si="3744"/>
        <v>Common Dividend</v>
      </c>
      <c r="CM1643" s="454">
        <f t="shared" si="3745"/>
        <v>0</v>
      </c>
      <c r="CN1643" s="454">
        <f t="shared" si="3746"/>
        <v>0</v>
      </c>
      <c r="CO1643" s="454">
        <f t="shared" si="3747"/>
        <v>0</v>
      </c>
      <c r="CP1643" s="454">
        <f t="shared" si="3748"/>
        <v>0</v>
      </c>
      <c r="CQ1643" s="454">
        <f t="shared" si="3749"/>
        <v>0</v>
      </c>
      <c r="CR1643" s="454">
        <f t="shared" si="3750"/>
        <v>0</v>
      </c>
      <c r="CS1643" s="454">
        <f t="shared" si="3751"/>
        <v>0</v>
      </c>
      <c r="CT1643" s="454">
        <f t="shared" si="3752"/>
        <v>0</v>
      </c>
      <c r="CU1643" s="454">
        <f t="shared" si="3753"/>
        <v>0</v>
      </c>
      <c r="CV1643" s="454">
        <f t="shared" si="3754"/>
        <v>0</v>
      </c>
      <c r="CW1643" s="454">
        <f t="shared" si="3755"/>
        <v>0</v>
      </c>
      <c r="CX1643" s="454">
        <f t="shared" si="3756"/>
        <v>0</v>
      </c>
      <c r="CY1643" s="454">
        <f t="shared" si="3757"/>
        <v>0</v>
      </c>
      <c r="CZ1643" s="454">
        <f t="shared" si="3758"/>
        <v>0</v>
      </c>
      <c r="DA1643" s="454">
        <f t="shared" si="3759"/>
        <v>0</v>
      </c>
      <c r="DB1643" s="454">
        <f t="shared" si="3759"/>
        <v>0</v>
      </c>
      <c r="DC1643" s="454">
        <f t="shared" si="3759"/>
        <v>0</v>
      </c>
      <c r="DD1643" s="331"/>
      <c r="DE1643" s="331"/>
      <c r="DF1643" s="502"/>
      <c r="DG1643" s="503"/>
      <c r="DH1643" s="2915"/>
      <c r="DI1643" s="3213"/>
      <c r="DJ1643" s="502"/>
      <c r="DK1643" s="503"/>
      <c r="DL1643" s="502"/>
      <c r="DM1643" s="502"/>
      <c r="DN1643" s="502"/>
      <c r="DO1643" s="502"/>
      <c r="DP1643" s="503"/>
      <c r="DQ1643" s="503"/>
      <c r="DR1643" s="296"/>
      <c r="DS1643" s="296"/>
      <c r="DT1643" s="296"/>
    </row>
    <row r="1644" spans="1:124" ht="12" customHeight="1" x14ac:dyDescent="0.25">
      <c r="A1644" s="281" t="s">
        <v>2007</v>
      </c>
      <c r="B1644" s="281"/>
      <c r="C1644" s="340" t="s">
        <v>1018</v>
      </c>
      <c r="D1644" s="340" t="s">
        <v>1018</v>
      </c>
      <c r="E1644" s="340" t="s">
        <v>1018</v>
      </c>
      <c r="F1644" s="340" t="s">
        <v>1018</v>
      </c>
      <c r="G1644" s="546" t="s">
        <v>1018</v>
      </c>
      <c r="H1644" s="340" t="s">
        <v>1018</v>
      </c>
      <c r="I1644" s="340" t="s">
        <v>1018</v>
      </c>
      <c r="J1644" s="340" t="s">
        <v>1018</v>
      </c>
      <c r="K1644" s="340" t="s">
        <v>1018</v>
      </c>
      <c r="L1644" s="546" t="s">
        <v>1018</v>
      </c>
      <c r="M1644" s="340" t="s">
        <v>1018</v>
      </c>
      <c r="N1644" s="340" t="s">
        <v>1018</v>
      </c>
      <c r="O1644" s="340" t="s">
        <v>1018</v>
      </c>
      <c r="P1644" s="340" t="s">
        <v>1018</v>
      </c>
      <c r="Q1644" s="546" t="s">
        <v>1018</v>
      </c>
      <c r="R1644" s="340" t="s">
        <v>1018</v>
      </c>
      <c r="S1644" s="340" t="s">
        <v>1018</v>
      </c>
      <c r="T1644" s="340" t="s">
        <v>1018</v>
      </c>
      <c r="U1644" s="340" t="s">
        <v>1018</v>
      </c>
      <c r="V1644" s="546" t="s">
        <v>1018</v>
      </c>
      <c r="W1644" s="340" t="s">
        <v>1018</v>
      </c>
      <c r="X1644" s="340" t="s">
        <v>1018</v>
      </c>
      <c r="Y1644" s="340" t="s">
        <v>1018</v>
      </c>
      <c r="Z1644" s="340" t="s">
        <v>1018</v>
      </c>
      <c r="AA1644" s="546" t="s">
        <v>1018</v>
      </c>
      <c r="AB1644" s="340" t="s">
        <v>1018</v>
      </c>
      <c r="AC1644" s="340" t="s">
        <v>1018</v>
      </c>
      <c r="AD1644" s="340" t="s">
        <v>1018</v>
      </c>
      <c r="AE1644" s="339" t="s">
        <v>1018</v>
      </c>
      <c r="AF1644" s="738" t="s">
        <v>1018</v>
      </c>
      <c r="AG1644" s="339" t="s">
        <v>1018</v>
      </c>
      <c r="AH1644" s="339" t="s">
        <v>1018</v>
      </c>
      <c r="AI1644" s="339" t="s">
        <v>1018</v>
      </c>
      <c r="AJ1644" s="339" t="s">
        <v>1018</v>
      </c>
      <c r="AK1644" s="738" t="s">
        <v>1018</v>
      </c>
      <c r="AL1644" s="738" t="s">
        <v>1018</v>
      </c>
      <c r="AM1644" s="738" t="s">
        <v>1018</v>
      </c>
      <c r="AN1644" s="738" t="s">
        <v>1018</v>
      </c>
      <c r="AO1644" s="738" t="s">
        <v>1018</v>
      </c>
      <c r="AP1644" s="339" t="s">
        <v>1018</v>
      </c>
      <c r="AQ1644" s="738" t="s">
        <v>1018</v>
      </c>
      <c r="AR1644" s="738" t="s">
        <v>1018</v>
      </c>
      <c r="AS1644" s="738" t="s">
        <v>1018</v>
      </c>
      <c r="AT1644" s="738" t="s">
        <v>1018</v>
      </c>
      <c r="AU1644" s="339" t="s">
        <v>1018</v>
      </c>
      <c r="AV1644" s="738" t="s">
        <v>1018</v>
      </c>
      <c r="AW1644" s="738" t="s">
        <v>1018</v>
      </c>
      <c r="AX1644" s="738" t="s">
        <v>1018</v>
      </c>
      <c r="AY1644" s="738" t="s">
        <v>1018</v>
      </c>
      <c r="AZ1644" s="339" t="s">
        <v>1018</v>
      </c>
      <c r="BA1644" s="738" t="s">
        <v>1018</v>
      </c>
      <c r="BB1644" s="738" t="s">
        <v>1018</v>
      </c>
      <c r="BC1644" s="738" t="s">
        <v>1018</v>
      </c>
      <c r="BD1644" s="738" t="s">
        <v>1018</v>
      </c>
      <c r="BE1644" s="339" t="s">
        <v>1018</v>
      </c>
      <c r="BF1644" s="738" t="s">
        <v>1018</v>
      </c>
      <c r="BG1644" s="738" t="s">
        <v>1018</v>
      </c>
      <c r="BH1644" s="738" t="s">
        <v>1018</v>
      </c>
      <c r="BI1644" s="738" t="s">
        <v>1018</v>
      </c>
      <c r="BJ1644" s="339" t="s">
        <v>1018</v>
      </c>
      <c r="BK1644" s="738" t="s">
        <v>1018</v>
      </c>
      <c r="BL1644" s="738" t="s">
        <v>1018</v>
      </c>
      <c r="BM1644" s="738" t="s">
        <v>1018</v>
      </c>
      <c r="BN1644" s="738" t="s">
        <v>1018</v>
      </c>
      <c r="BO1644" s="339" t="s">
        <v>1018</v>
      </c>
      <c r="BP1644" s="738" t="s">
        <v>1018</v>
      </c>
      <c r="BQ1644" s="738" t="s">
        <v>1018</v>
      </c>
      <c r="BR1644" s="738" t="s">
        <v>1018</v>
      </c>
      <c r="BS1644" s="738" t="s">
        <v>1018</v>
      </c>
      <c r="BT1644" s="2601" t="s">
        <v>1018</v>
      </c>
      <c r="BU1644" s="738" t="s">
        <v>1018</v>
      </c>
      <c r="BV1644" s="738" t="s">
        <v>1018</v>
      </c>
      <c r="BW1644" s="738" t="s">
        <v>1018</v>
      </c>
      <c r="BX1644" s="738" t="s">
        <v>1018</v>
      </c>
      <c r="BY1644" s="339" t="s">
        <v>1018</v>
      </c>
      <c r="BZ1644" s="339" t="s">
        <v>1018</v>
      </c>
      <c r="CA1644" s="339" t="s">
        <v>1018</v>
      </c>
      <c r="CB1644" s="339" t="s">
        <v>1018</v>
      </c>
      <c r="CC1644" s="339" t="s">
        <v>1018</v>
      </c>
      <c r="CD1644" s="339" t="s">
        <v>1018</v>
      </c>
      <c r="CE1644" s="339" t="s">
        <v>1018</v>
      </c>
      <c r="CF1644" s="339" t="s">
        <v>1018</v>
      </c>
      <c r="CG1644" s="331"/>
      <c r="CH1644" s="331"/>
      <c r="CI1644" s="331"/>
      <c r="CJ1644" s="331"/>
      <c r="CK1644" s="331"/>
      <c r="CL1644" s="428" t="str">
        <f t="shared" si="3744"/>
        <v>Inventories</v>
      </c>
      <c r="CM1644" s="442" t="str">
        <f t="shared" si="3745"/>
        <v>ND</v>
      </c>
      <c r="CN1644" s="442" t="str">
        <f t="shared" si="3746"/>
        <v>ND</v>
      </c>
      <c r="CO1644" s="442" t="str">
        <f t="shared" si="3747"/>
        <v>ND</v>
      </c>
      <c r="CP1644" s="442" t="str">
        <f t="shared" si="3748"/>
        <v>ND</v>
      </c>
      <c r="CQ1644" s="442" t="str">
        <f t="shared" si="3749"/>
        <v>ND</v>
      </c>
      <c r="CR1644" s="442" t="str">
        <f t="shared" si="3750"/>
        <v>ND</v>
      </c>
      <c r="CS1644" s="442" t="str">
        <f t="shared" si="3751"/>
        <v>ND</v>
      </c>
      <c r="CT1644" s="442" t="str">
        <f t="shared" si="3752"/>
        <v>ND</v>
      </c>
      <c r="CU1644" s="442" t="str">
        <f t="shared" si="3753"/>
        <v>ND</v>
      </c>
      <c r="CV1644" s="442" t="str">
        <f t="shared" si="3754"/>
        <v>ND</v>
      </c>
      <c r="CW1644" s="442" t="str">
        <f t="shared" si="3755"/>
        <v>ND</v>
      </c>
      <c r="CX1644" s="442" t="str">
        <f t="shared" si="3756"/>
        <v>ND</v>
      </c>
      <c r="CY1644" s="442" t="str">
        <f t="shared" si="3757"/>
        <v>ND</v>
      </c>
      <c r="CZ1644" s="442" t="str">
        <f t="shared" si="3758"/>
        <v>ND</v>
      </c>
      <c r="DA1644" s="442" t="str">
        <f t="shared" si="3759"/>
        <v>ND</v>
      </c>
      <c r="DB1644" s="442" t="str">
        <f t="shared" si="3759"/>
        <v>ND</v>
      </c>
      <c r="DC1644" s="442" t="str">
        <f t="shared" si="3759"/>
        <v>ND</v>
      </c>
      <c r="DD1644" s="331"/>
      <c r="DE1644" s="331"/>
      <c r="DF1644" s="502"/>
      <c r="DG1644" s="503"/>
      <c r="DH1644" s="2601"/>
      <c r="DI1644" s="3213"/>
      <c r="DJ1644" s="502"/>
      <c r="DK1644" s="503"/>
      <c r="DL1644" s="502"/>
      <c r="DM1644" s="502"/>
      <c r="DN1644" s="502"/>
      <c r="DO1644" s="502"/>
      <c r="DP1644" s="503"/>
      <c r="DQ1644" s="503"/>
      <c r="DR1644" s="296"/>
      <c r="DS1644" s="296"/>
      <c r="DT1644" s="296"/>
    </row>
    <row r="1645" spans="1:124" ht="12" customHeight="1" x14ac:dyDescent="0.25">
      <c r="A1645" s="281" t="s">
        <v>872</v>
      </c>
      <c r="B1645" s="281"/>
      <c r="C1645" s="452">
        <f t="shared" ref="C1645:AH1645" si="3769">-C88/(1-C1640)+C59</f>
        <v>-5.5676923076923055</v>
      </c>
      <c r="D1645" s="452">
        <f t="shared" si="3769"/>
        <v>-8.0046153846153842</v>
      </c>
      <c r="E1645" s="452">
        <f t="shared" si="3769"/>
        <v>-9.8184615384615377</v>
      </c>
      <c r="F1645" s="452">
        <f t="shared" si="3769"/>
        <v>-2.976923076923077</v>
      </c>
      <c r="G1645" s="452">
        <f t="shared" si="3769"/>
        <v>-26.367692307692305</v>
      </c>
      <c r="H1645" s="452">
        <f t="shared" si="3769"/>
        <v>-16.130136686714053</v>
      </c>
      <c r="I1645" s="452">
        <f t="shared" si="3769"/>
        <v>-30.939520825476805</v>
      </c>
      <c r="J1645" s="452">
        <f t="shared" si="3769"/>
        <v>35.841538461538462</v>
      </c>
      <c r="K1645" s="452">
        <f t="shared" si="3769"/>
        <v>-0.85208390188176264</v>
      </c>
      <c r="L1645" s="452">
        <f t="shared" si="3769"/>
        <v>-12.08020295253416</v>
      </c>
      <c r="M1645" s="452">
        <f t="shared" si="3769"/>
        <v>-5.0890000000000004</v>
      </c>
      <c r="N1645" s="452">
        <f t="shared" si="3769"/>
        <v>5.4930000000000003</v>
      </c>
      <c r="O1645" s="452">
        <f t="shared" si="3769"/>
        <v>181.23253846153844</v>
      </c>
      <c r="P1645" s="452">
        <f t="shared" si="3769"/>
        <v>142.71715384615382</v>
      </c>
      <c r="Q1645" s="452">
        <f t="shared" si="3769"/>
        <v>324.35369230769226</v>
      </c>
      <c r="R1645" s="452">
        <f t="shared" si="3769"/>
        <v>6.5979999999999999</v>
      </c>
      <c r="S1645" s="452">
        <f t="shared" si="3769"/>
        <v>6.2560000000000002</v>
      </c>
      <c r="T1645" s="452">
        <f t="shared" si="3769"/>
        <v>6.33</v>
      </c>
      <c r="U1645" s="452">
        <f t="shared" si="3769"/>
        <v>6.2809999999999997</v>
      </c>
      <c r="V1645" s="452">
        <f t="shared" si="3769"/>
        <v>25.464999999999996</v>
      </c>
      <c r="W1645" s="452">
        <f t="shared" si="3769"/>
        <v>5.5112923076923073</v>
      </c>
      <c r="X1645" s="452">
        <f t="shared" si="3769"/>
        <v>5.383</v>
      </c>
      <c r="Y1645" s="452">
        <f t="shared" si="3769"/>
        <v>163.005</v>
      </c>
      <c r="Z1645" s="452">
        <f t="shared" si="3769"/>
        <v>-625.14661538461542</v>
      </c>
      <c r="AA1645" s="452">
        <f t="shared" si="3769"/>
        <v>-459.56409230769225</v>
      </c>
      <c r="AB1645" s="452">
        <f t="shared" si="3769"/>
        <v>5.2070307692307694</v>
      </c>
      <c r="AC1645" s="452">
        <f t="shared" si="3769"/>
        <v>-1.44723076923077</v>
      </c>
      <c r="AD1645" s="452">
        <f t="shared" si="3769"/>
        <v>-14.811799999999996</v>
      </c>
      <c r="AE1645" s="476">
        <f t="shared" si="3769"/>
        <v>-535.11930769230753</v>
      </c>
      <c r="AF1645" s="476">
        <f t="shared" si="3769"/>
        <v>-546.94963076923068</v>
      </c>
      <c r="AG1645" s="476">
        <f t="shared" si="3769"/>
        <v>6.3840000000000003</v>
      </c>
      <c r="AH1645" s="476">
        <f t="shared" si="3769"/>
        <v>-26.190999999999999</v>
      </c>
      <c r="AI1645" s="476">
        <f t="shared" ref="AI1645:BN1645" si="3770">-AI88/(1-AI1640)+AI59</f>
        <v>21.312938461538462</v>
      </c>
      <c r="AJ1645" s="476">
        <f t="shared" si="3770"/>
        <v>-157.52276923076926</v>
      </c>
      <c r="AK1645" s="476">
        <f t="shared" si="3770"/>
        <v>-156.01683076923078</v>
      </c>
      <c r="AL1645" s="476">
        <f t="shared" si="3770"/>
        <v>6.303461538461538</v>
      </c>
      <c r="AM1645" s="476">
        <f t="shared" si="3770"/>
        <v>30.447461538461535</v>
      </c>
      <c r="AN1645" s="476">
        <f t="shared" si="3770"/>
        <v>-1.1251538461538466</v>
      </c>
      <c r="AO1645" s="476">
        <f t="shared" si="3770"/>
        <v>-12.545000000000002</v>
      </c>
      <c r="AP1645" s="476">
        <f t="shared" si="3770"/>
        <v>23.080769230769228</v>
      </c>
      <c r="AQ1645" s="476">
        <f t="shared" si="3770"/>
        <v>6.4043753943217663</v>
      </c>
      <c r="AR1645" s="476">
        <f t="shared" si="3770"/>
        <v>1.7726561514195582</v>
      </c>
      <c r="AS1645" s="476">
        <f t="shared" si="3770"/>
        <v>-21.029981072555202</v>
      </c>
      <c r="AT1645" s="476">
        <f t="shared" si="3770"/>
        <v>-24.626009463722397</v>
      </c>
      <c r="AU1645" s="476">
        <f t="shared" si="3770"/>
        <v>-37.478958990536256</v>
      </c>
      <c r="AV1645" s="476">
        <f t="shared" si="3770"/>
        <v>-1.3028461538461533</v>
      </c>
      <c r="AW1645" s="476">
        <f t="shared" si="3770"/>
        <v>-67.870923076923063</v>
      </c>
      <c r="AX1645" s="476">
        <f t="shared" si="3770"/>
        <v>0.84623076923077001</v>
      </c>
      <c r="AY1645" s="476">
        <f t="shared" si="3770"/>
        <v>-1396.0844999999999</v>
      </c>
      <c r="AZ1645" s="476">
        <f t="shared" si="3770"/>
        <v>-1465.7619999999999</v>
      </c>
      <c r="BA1645" s="476">
        <f t="shared" si="3770"/>
        <v>2.6242307692307696</v>
      </c>
      <c r="BB1645" s="476">
        <f t="shared" si="3770"/>
        <v>-1.6949999999999998</v>
      </c>
      <c r="BC1645" s="476">
        <f t="shared" si="3770"/>
        <v>8.0186923076923087</v>
      </c>
      <c r="BD1645" s="476">
        <f t="shared" si="3770"/>
        <v>-190.14746153846153</v>
      </c>
      <c r="BE1645" s="476">
        <f t="shared" si="3770"/>
        <v>-181.19953846153842</v>
      </c>
      <c r="BF1645" s="476">
        <f t="shared" si="3770"/>
        <v>1.6187692307692307</v>
      </c>
      <c r="BG1645" s="476">
        <f t="shared" si="3770"/>
        <v>1.6659230769230771</v>
      </c>
      <c r="BH1645" s="476">
        <f t="shared" si="3770"/>
        <v>7.9086923076923075</v>
      </c>
      <c r="BI1645" s="476">
        <f t="shared" si="3770"/>
        <v>-36.158692307692306</v>
      </c>
      <c r="BJ1645" s="476">
        <f t="shared" si="3770"/>
        <v>-24.965307692307697</v>
      </c>
      <c r="BK1645" s="476">
        <f t="shared" si="3770"/>
        <v>3.5799230769230768</v>
      </c>
      <c r="BL1645" s="476">
        <f t="shared" si="3770"/>
        <v>1.0650769230769233</v>
      </c>
      <c r="BM1645" s="476">
        <f t="shared" si="3770"/>
        <v>4.7819230769230767</v>
      </c>
      <c r="BN1645" s="476">
        <f t="shared" si="3770"/>
        <v>2.3170000000000002</v>
      </c>
      <c r="BO1645" s="476">
        <f t="shared" ref="BO1645:BX1645" si="3771">-BO88/(1-BO1640)+BO59</f>
        <v>11.743923076923076</v>
      </c>
      <c r="BP1645" s="476">
        <f t="shared" si="3771"/>
        <v>-0.14853846153846151</v>
      </c>
      <c r="BQ1645" s="476">
        <f t="shared" si="3771"/>
        <v>-4.7057692307692305</v>
      </c>
      <c r="BR1645" s="476">
        <f t="shared" si="3771"/>
        <v>1177.2096153846155</v>
      </c>
      <c r="BS1645" s="476">
        <f t="shared" si="3771"/>
        <v>-78.901153846153846</v>
      </c>
      <c r="BT1645" s="2577">
        <f t="shared" si="3771"/>
        <v>1093.4541538461538</v>
      </c>
      <c r="BU1645" s="2577">
        <f t="shared" si="3771"/>
        <v>2.8</v>
      </c>
      <c r="BV1645" s="2577">
        <f t="shared" si="3771"/>
        <v>2.8</v>
      </c>
      <c r="BW1645" s="2577">
        <f t="shared" si="3771"/>
        <v>2.8</v>
      </c>
      <c r="BX1645" s="2577">
        <f t="shared" si="3771"/>
        <v>3</v>
      </c>
      <c r="BY1645" s="2577">
        <f t="shared" ref="BY1645:CF1645" si="3772">BY88/(1-BY1640)+BY59</f>
        <v>11.399999999999999</v>
      </c>
      <c r="BZ1645" s="476">
        <f t="shared" si="3772"/>
        <v>11.899999999999999</v>
      </c>
      <c r="CA1645" s="476">
        <f t="shared" si="3772"/>
        <v>12.399999999999999</v>
      </c>
      <c r="CB1645" s="476">
        <f t="shared" si="3772"/>
        <v>-2344.6384615384613</v>
      </c>
      <c r="CC1645" s="476">
        <f t="shared" si="3772"/>
        <v>-4701.6769230769232</v>
      </c>
      <c r="CD1645" s="476">
        <f t="shared" si="3772"/>
        <v>-9416.2538461538461</v>
      </c>
      <c r="CE1645" s="476">
        <f t="shared" si="3772"/>
        <v>-18845.90769230769</v>
      </c>
      <c r="CF1645" s="476">
        <f t="shared" si="3772"/>
        <v>-37705.715384615381</v>
      </c>
      <c r="CG1645" s="331"/>
      <c r="CH1645" s="331"/>
      <c r="CI1645" s="331"/>
      <c r="CJ1645" s="331"/>
      <c r="CK1645" s="331"/>
      <c r="CL1645" s="428" t="str">
        <f t="shared" si="3744"/>
        <v>Items Excluded from Consensus</v>
      </c>
      <c r="CM1645" s="476"/>
      <c r="CN1645" s="476"/>
      <c r="CO1645" s="476"/>
      <c r="CP1645" s="476"/>
      <c r="CQ1645" s="476"/>
      <c r="CR1645" s="476"/>
      <c r="CS1645" s="476"/>
      <c r="CT1645" s="476"/>
      <c r="CU1645" s="476"/>
      <c r="CV1645" s="476"/>
      <c r="CW1645" s="476"/>
      <c r="CX1645" s="476"/>
      <c r="CY1645" s="476"/>
      <c r="CZ1645" s="476"/>
      <c r="DA1645" s="476"/>
      <c r="DB1645" s="476"/>
      <c r="DC1645" s="476"/>
      <c r="DD1645" s="331"/>
      <c r="DE1645" s="331"/>
      <c r="DF1645" s="331"/>
      <c r="DG1645" s="442"/>
      <c r="DH1645" s="2577"/>
      <c r="DI1645" s="3213"/>
      <c r="DJ1645" s="331"/>
      <c r="DK1645" s="442"/>
      <c r="DL1645" s="331"/>
      <c r="DM1645" s="331"/>
      <c r="DN1645" s="331"/>
      <c r="DO1645" s="331"/>
      <c r="DP1645" s="442"/>
      <c r="DQ1645" s="442"/>
      <c r="DR1645" s="296"/>
      <c r="DS1645" s="296"/>
      <c r="DT1645" s="296"/>
    </row>
    <row r="1646" spans="1:124" ht="12" customHeight="1" x14ac:dyDescent="0.25">
      <c r="A1646" s="281"/>
      <c r="B1646" s="281"/>
      <c r="C1646" s="305"/>
      <c r="D1646" s="305"/>
      <c r="E1646" s="305"/>
      <c r="F1646" s="305"/>
      <c r="G1646" s="444"/>
      <c r="H1646" s="305"/>
      <c r="I1646" s="305"/>
      <c r="J1646" s="305"/>
      <c r="K1646" s="305"/>
      <c r="L1646" s="444"/>
      <c r="M1646" s="305"/>
      <c r="N1646" s="305"/>
      <c r="O1646" s="305"/>
      <c r="P1646" s="305"/>
      <c r="Q1646" s="444"/>
      <c r="R1646" s="305"/>
      <c r="S1646" s="305"/>
      <c r="T1646" s="305"/>
      <c r="U1646" s="305"/>
      <c r="V1646" s="444"/>
      <c r="W1646" s="305"/>
      <c r="X1646" s="305"/>
      <c r="Y1646" s="305"/>
      <c r="Z1646" s="305"/>
      <c r="AA1646" s="444"/>
      <c r="AB1646" s="305"/>
      <c r="AC1646" s="305"/>
      <c r="AD1646" s="305"/>
      <c r="AE1646" s="331"/>
      <c r="AF1646" s="442"/>
      <c r="AG1646" s="331"/>
      <c r="AH1646" s="331"/>
      <c r="AI1646" s="331"/>
      <c r="AJ1646" s="331"/>
      <c r="AK1646" s="442"/>
      <c r="AL1646" s="442"/>
      <c r="AM1646" s="442"/>
      <c r="AN1646" s="442"/>
      <c r="AO1646" s="442"/>
      <c r="AP1646" s="331"/>
      <c r="AQ1646" s="442"/>
      <c r="AR1646" s="442"/>
      <c r="AS1646" s="442"/>
      <c r="AT1646" s="442"/>
      <c r="AU1646" s="331"/>
      <c r="AV1646" s="442"/>
      <c r="AW1646" s="442"/>
      <c r="AX1646" s="442"/>
      <c r="AY1646" s="442"/>
      <c r="AZ1646" s="331"/>
      <c r="BA1646" s="442"/>
      <c r="BB1646" s="442"/>
      <c r="BC1646" s="442"/>
      <c r="BD1646" s="442"/>
      <c r="BE1646" s="331"/>
      <c r="BF1646" s="442"/>
      <c r="BG1646" s="442"/>
      <c r="BH1646" s="442"/>
      <c r="BI1646" s="442"/>
      <c r="BJ1646" s="331"/>
      <c r="BK1646" s="442"/>
      <c r="BL1646" s="442"/>
      <c r="BM1646" s="442"/>
      <c r="BN1646" s="442"/>
      <c r="BO1646" s="331"/>
      <c r="BP1646" s="442"/>
      <c r="BQ1646" s="442"/>
      <c r="BR1646" s="442"/>
      <c r="BS1646" s="442"/>
      <c r="BT1646" s="2601"/>
      <c r="BU1646" s="3298"/>
      <c r="BV1646" s="3298"/>
      <c r="BW1646" s="3298"/>
      <c r="BX1646" s="3298"/>
      <c r="BY1646" s="2601"/>
      <c r="BZ1646" s="331"/>
      <c r="CA1646" s="331"/>
      <c r="CB1646" s="331"/>
      <c r="CC1646" s="331"/>
      <c r="CD1646" s="331"/>
      <c r="CE1646" s="331"/>
      <c r="CF1646" s="331"/>
      <c r="CG1646" s="331"/>
      <c r="CH1646" s="331"/>
      <c r="CI1646" s="331"/>
      <c r="CJ1646" s="331"/>
      <c r="CK1646" s="331"/>
      <c r="CL1646" s="428"/>
      <c r="CM1646" s="442"/>
      <c r="CN1646" s="442"/>
      <c r="CO1646" s="442"/>
      <c r="CP1646" s="442"/>
      <c r="CQ1646" s="442"/>
      <c r="CR1646" s="442"/>
      <c r="CS1646" s="442"/>
      <c r="CT1646" s="442"/>
      <c r="CU1646" s="442"/>
      <c r="CV1646" s="442"/>
      <c r="CW1646" s="442"/>
      <c r="CX1646" s="442"/>
      <c r="CY1646" s="442"/>
      <c r="CZ1646" s="442"/>
      <c r="DA1646" s="442"/>
      <c r="DB1646" s="442"/>
      <c r="DC1646" s="442"/>
      <c r="DD1646" s="331"/>
      <c r="DE1646" s="331"/>
      <c r="DF1646" s="502"/>
      <c r="DG1646" s="503"/>
      <c r="DH1646" s="2601"/>
      <c r="DI1646" s="3213"/>
      <c r="DJ1646" s="502"/>
      <c r="DK1646" s="503"/>
      <c r="DL1646" s="502"/>
      <c r="DM1646" s="502"/>
      <c r="DN1646" s="502"/>
      <c r="DO1646" s="502"/>
      <c r="DP1646" s="503"/>
      <c r="DQ1646" s="503"/>
      <c r="DR1646" s="296"/>
      <c r="DS1646" s="296"/>
      <c r="DT1646" s="296"/>
    </row>
    <row r="1647" spans="1:124" ht="12" customHeight="1" x14ac:dyDescent="0.25">
      <c r="A1647" s="281" t="s">
        <v>601</v>
      </c>
      <c r="B1647" s="281"/>
      <c r="C1647" s="452">
        <f t="shared" ref="C1647:AH1647" si="3773">C258-C314</f>
        <v>217.12299999999999</v>
      </c>
      <c r="D1647" s="452">
        <f t="shared" si="3773"/>
        <v>219.49600000000004</v>
      </c>
      <c r="E1647" s="452">
        <f t="shared" si="3773"/>
        <v>211.09199999999998</v>
      </c>
      <c r="F1647" s="452">
        <f t="shared" si="3773"/>
        <v>203.404</v>
      </c>
      <c r="G1647" s="452">
        <f t="shared" si="3773"/>
        <v>851.11500000000001</v>
      </c>
      <c r="H1647" s="452">
        <f t="shared" si="3773"/>
        <v>201.678</v>
      </c>
      <c r="I1647" s="452">
        <f t="shared" si="3773"/>
        <v>210.40399999999997</v>
      </c>
      <c r="J1647" s="452">
        <f t="shared" si="3773"/>
        <v>201.38000000000002</v>
      </c>
      <c r="K1647" s="452">
        <f t="shared" si="3773"/>
        <v>369.28199999999993</v>
      </c>
      <c r="L1647" s="452">
        <f t="shared" si="3773"/>
        <v>982.74399999999991</v>
      </c>
      <c r="M1647" s="452">
        <f t="shared" si="3773"/>
        <v>370.65999999999997</v>
      </c>
      <c r="N1647" s="452">
        <f t="shared" si="3773"/>
        <v>370.56599999999992</v>
      </c>
      <c r="O1647" s="452">
        <f t="shared" si="3773"/>
        <v>408.88699999999989</v>
      </c>
      <c r="P1647" s="452">
        <f t="shared" si="3773"/>
        <v>411.95599999999996</v>
      </c>
      <c r="Q1647" s="452">
        <f t="shared" si="3773"/>
        <v>1562.0690000000004</v>
      </c>
      <c r="R1647" s="452">
        <f t="shared" si="3773"/>
        <v>416.90199999999993</v>
      </c>
      <c r="S1647" s="452">
        <f t="shared" si="3773"/>
        <v>436.2299999999999</v>
      </c>
      <c r="T1647" s="452">
        <f t="shared" si="3773"/>
        <v>438.08800000000008</v>
      </c>
      <c r="U1647" s="452">
        <f t="shared" si="3773"/>
        <v>418.20600000000002</v>
      </c>
      <c r="V1647" s="452">
        <f t="shared" si="3773"/>
        <v>1709.4259999999995</v>
      </c>
      <c r="W1647" s="452">
        <f t="shared" si="3773"/>
        <v>438.49100000000004</v>
      </c>
      <c r="X1647" s="452">
        <f t="shared" si="3773"/>
        <v>440.98899999999992</v>
      </c>
      <c r="Y1647" s="452">
        <f t="shared" si="3773"/>
        <v>440.43299999999994</v>
      </c>
      <c r="Z1647" s="452">
        <f t="shared" si="3773"/>
        <v>413.98000000000013</v>
      </c>
      <c r="AA1647" s="452">
        <f t="shared" si="3773"/>
        <v>1733.893</v>
      </c>
      <c r="AB1647" s="452">
        <f t="shared" si="3773"/>
        <v>436.97500000000002</v>
      </c>
      <c r="AC1647" s="452">
        <f t="shared" si="3773"/>
        <v>422.42099999999999</v>
      </c>
      <c r="AD1647" s="452">
        <f t="shared" si="3773"/>
        <v>447.92700000000013</v>
      </c>
      <c r="AE1647" s="476">
        <f t="shared" si="3773"/>
        <v>412.05700000000007</v>
      </c>
      <c r="AF1647" s="476">
        <f t="shared" si="3773"/>
        <v>1719.38</v>
      </c>
      <c r="AG1647" s="476">
        <f t="shared" si="3773"/>
        <v>427.40599999999995</v>
      </c>
      <c r="AH1647" s="476">
        <f t="shared" si="3773"/>
        <v>430.09199999999981</v>
      </c>
      <c r="AI1647" s="476">
        <f t="shared" ref="AI1647:BN1647" si="3774">AI258-AI314</f>
        <v>456.50199999999995</v>
      </c>
      <c r="AJ1647" s="476">
        <f t="shared" si="3774"/>
        <v>461.06899999999996</v>
      </c>
      <c r="AK1647" s="476">
        <f t="shared" si="3774"/>
        <v>1775.069</v>
      </c>
      <c r="AL1647" s="476">
        <f t="shared" si="3774"/>
        <v>468.35</v>
      </c>
      <c r="AM1647" s="476">
        <f t="shared" si="3774"/>
        <v>478.11399999999992</v>
      </c>
      <c r="AN1647" s="476">
        <f t="shared" si="3774"/>
        <v>500.19899999999978</v>
      </c>
      <c r="AO1647" s="476">
        <f t="shared" si="3774"/>
        <v>491.1069999999998</v>
      </c>
      <c r="AP1647" s="476">
        <f t="shared" si="3774"/>
        <v>1937.7699999999995</v>
      </c>
      <c r="AQ1647" s="476">
        <f t="shared" si="3774"/>
        <v>506.81900000000013</v>
      </c>
      <c r="AR1647" s="476">
        <f t="shared" si="3774"/>
        <v>492.05299999999977</v>
      </c>
      <c r="AS1647" s="476">
        <f t="shared" si="3774"/>
        <v>488.95299999999986</v>
      </c>
      <c r="AT1647" s="476">
        <f t="shared" si="3774"/>
        <v>532.40799999999979</v>
      </c>
      <c r="AU1647" s="476">
        <f t="shared" si="3774"/>
        <v>2020.2329999999997</v>
      </c>
      <c r="AV1647" s="476">
        <f t="shared" si="3774"/>
        <v>547.43899999999985</v>
      </c>
      <c r="AW1647" s="476">
        <f t="shared" si="3774"/>
        <v>521.35100000000011</v>
      </c>
      <c r="AX1647" s="476">
        <f t="shared" si="3774"/>
        <v>505.06300000000005</v>
      </c>
      <c r="AY1647" s="476">
        <f t="shared" si="3774"/>
        <v>454.60799999999995</v>
      </c>
      <c r="AZ1647" s="476">
        <f t="shared" si="3774"/>
        <v>2028.4610000000007</v>
      </c>
      <c r="BA1647" s="476">
        <f t="shared" si="3774"/>
        <v>444.74699999999996</v>
      </c>
      <c r="BB1647" s="476">
        <f t="shared" si="3774"/>
        <v>450.91300000000001</v>
      </c>
      <c r="BC1647" s="476">
        <f t="shared" si="3774"/>
        <v>455.74500000000006</v>
      </c>
      <c r="BD1647" s="476">
        <f t="shared" si="3774"/>
        <v>459.73199999999997</v>
      </c>
      <c r="BE1647" s="476">
        <f t="shared" si="3774"/>
        <v>1811.1370000000006</v>
      </c>
      <c r="BF1647" s="476">
        <f t="shared" si="3774"/>
        <v>456.45900000000006</v>
      </c>
      <c r="BG1647" s="476">
        <f t="shared" si="3774"/>
        <v>481.87399999999991</v>
      </c>
      <c r="BH1647" s="476">
        <f t="shared" si="3774"/>
        <v>515.13499999999999</v>
      </c>
      <c r="BI1647" s="476">
        <f t="shared" si="3774"/>
        <v>506.53899999999999</v>
      </c>
      <c r="BJ1647" s="476">
        <f t="shared" si="3774"/>
        <v>1960.0070000000003</v>
      </c>
      <c r="BK1647" s="476">
        <f t="shared" si="3774"/>
        <v>522.96800000000007</v>
      </c>
      <c r="BL1647" s="476">
        <f t="shared" si="3774"/>
        <v>531.64200000000039</v>
      </c>
      <c r="BM1647" s="476">
        <f t="shared" si="3774"/>
        <v>537.73700000000008</v>
      </c>
      <c r="BN1647" s="476">
        <f t="shared" si="3774"/>
        <v>528.40599999999984</v>
      </c>
      <c r="BO1647" s="476">
        <f t="shared" ref="BO1647:CF1647" si="3775">BO258-BO314</f>
        <v>2120.7529999999997</v>
      </c>
      <c r="BP1647" s="476">
        <f t="shared" si="3775"/>
        <v>530.51399999999978</v>
      </c>
      <c r="BQ1647" s="476">
        <f t="shared" si="3775"/>
        <v>551.32499999999982</v>
      </c>
      <c r="BR1647" s="476">
        <f t="shared" si="3775"/>
        <v>563.45999999999992</v>
      </c>
      <c r="BS1647" s="476">
        <f t="shared" si="3775"/>
        <v>552.125</v>
      </c>
      <c r="BT1647" s="2577">
        <f t="shared" si="3775"/>
        <v>2197.4239999999991</v>
      </c>
      <c r="BU1647" s="2577">
        <f t="shared" si="3775"/>
        <v>554.48274006310135</v>
      </c>
      <c r="BV1647" s="2577">
        <f t="shared" si="3775"/>
        <v>557.11003345109634</v>
      </c>
      <c r="BW1647" s="2577">
        <f t="shared" si="3775"/>
        <v>891.09051510068502</v>
      </c>
      <c r="BX1647" s="2577">
        <f t="shared" si="3775"/>
        <v>868.32139099387553</v>
      </c>
      <c r="BY1647" s="2577">
        <f t="shared" si="3775"/>
        <v>2863.5035996087581</v>
      </c>
      <c r="BZ1647" s="476">
        <f t="shared" si="3775"/>
        <v>3494.8254439325319</v>
      </c>
      <c r="CA1647" s="476">
        <f t="shared" si="3775"/>
        <v>3489.5663129455043</v>
      </c>
      <c r="CB1647" s="476">
        <f t="shared" si="3775"/>
        <v>1990.6780392019907</v>
      </c>
      <c r="CC1647" s="476">
        <f t="shared" si="3775"/>
        <v>1919.1053433851939</v>
      </c>
      <c r="CD1647" s="476">
        <f t="shared" si="3775"/>
        <v>1945.8180710592528</v>
      </c>
      <c r="CE1647" s="476">
        <f t="shared" si="3775"/>
        <v>1973.449239107164</v>
      </c>
      <c r="CF1647" s="476">
        <f t="shared" si="3775"/>
        <v>2000.516302030816</v>
      </c>
      <c r="CG1647" s="331"/>
      <c r="CH1647" s="331"/>
      <c r="CI1647" s="331"/>
      <c r="CJ1647" s="331"/>
      <c r="CK1647" s="331"/>
      <c r="CL1647" s="428" t="str">
        <f>A1647</f>
        <v>Operating expenses</v>
      </c>
      <c r="CM1647" s="476">
        <f>G1647</f>
        <v>851.11500000000001</v>
      </c>
      <c r="CN1647" s="476">
        <f>L1647</f>
        <v>982.74399999999991</v>
      </c>
      <c r="CO1647" s="476">
        <f>Q1647</f>
        <v>1562.0690000000004</v>
      </c>
      <c r="CP1647" s="476">
        <f>V1647</f>
        <v>1709.4259999999995</v>
      </c>
      <c r="CQ1647" s="476">
        <f>AA1647</f>
        <v>1733.893</v>
      </c>
      <c r="CR1647" s="476">
        <f>AF1647</f>
        <v>1719.38</v>
      </c>
      <c r="CS1647" s="476">
        <f>AK1647</f>
        <v>1775.069</v>
      </c>
      <c r="CT1647" s="476">
        <f>AP1647</f>
        <v>1937.7699999999995</v>
      </c>
      <c r="CU1647" s="476">
        <f>AU1647</f>
        <v>2020.2329999999997</v>
      </c>
      <c r="CV1647" s="476">
        <f>AZ1647</f>
        <v>2028.4610000000007</v>
      </c>
      <c r="CW1647" s="476">
        <f>BE1647</f>
        <v>1811.1370000000006</v>
      </c>
      <c r="CX1647" s="476">
        <f>BJ1647</f>
        <v>1960.0070000000003</v>
      </c>
      <c r="CY1647" s="476">
        <f>BO1647</f>
        <v>2120.7529999999997</v>
      </c>
      <c r="CZ1647" s="476">
        <f>BT1647</f>
        <v>2197.4239999999991</v>
      </c>
      <c r="DA1647" s="476">
        <f t="shared" ref="DA1647:DC1648" si="3776">BY1647</f>
        <v>2863.5035996087581</v>
      </c>
      <c r="DB1647" s="476">
        <f t="shared" si="3776"/>
        <v>3494.8254439325319</v>
      </c>
      <c r="DC1647" s="476">
        <f t="shared" si="3776"/>
        <v>3489.5663129455043</v>
      </c>
      <c r="DD1647" s="331"/>
      <c r="DE1647" s="331"/>
      <c r="DF1647" s="502"/>
      <c r="DG1647" s="503"/>
      <c r="DH1647" s="2577"/>
      <c r="DI1647" s="3213"/>
      <c r="DJ1647" s="502"/>
      <c r="DK1647" s="503"/>
      <c r="DL1647" s="502"/>
      <c r="DM1647" s="502"/>
      <c r="DN1647" s="502"/>
      <c r="DO1647" s="502"/>
      <c r="DP1647" s="503"/>
      <c r="DQ1647" s="503"/>
      <c r="DR1647" s="296"/>
      <c r="DS1647" s="296"/>
      <c r="DT1647" s="296"/>
    </row>
    <row r="1648" spans="1:124" ht="12" customHeight="1" x14ac:dyDescent="0.25">
      <c r="A1648" s="311" t="s">
        <v>1679</v>
      </c>
      <c r="B1648" s="311"/>
      <c r="C1648" s="452">
        <f t="shared" ref="C1648:AF1648" si="3777">C101</f>
        <v>82.224000000000004</v>
      </c>
      <c r="D1648" s="452">
        <f t="shared" si="3777"/>
        <v>82.486000000000004</v>
      </c>
      <c r="E1648" s="452">
        <f t="shared" si="3777"/>
        <v>83.852000000000004</v>
      </c>
      <c r="F1648" s="452">
        <f t="shared" si="3777"/>
        <v>84.567999999999998</v>
      </c>
      <c r="G1648" s="452">
        <f t="shared" si="3777"/>
        <v>83.507999999999996</v>
      </c>
      <c r="H1648" s="452">
        <f t="shared" si="3777"/>
        <v>85.39</v>
      </c>
      <c r="I1648" s="452">
        <f t="shared" si="3777"/>
        <v>85.731999999999999</v>
      </c>
      <c r="J1648" s="452">
        <f t="shared" si="3777"/>
        <v>86.186000000000007</v>
      </c>
      <c r="K1648" s="452">
        <f t="shared" si="3777"/>
        <v>85.899000000000001</v>
      </c>
      <c r="L1648" s="452">
        <f t="shared" si="3777"/>
        <v>85.856999999999999</v>
      </c>
      <c r="M1648" s="452">
        <f t="shared" si="3777"/>
        <v>86.043999999999997</v>
      </c>
      <c r="N1648" s="452">
        <f t="shared" si="3777"/>
        <v>86.728999999999999</v>
      </c>
      <c r="O1648" s="452">
        <f t="shared" si="3777"/>
        <v>86.58</v>
      </c>
      <c r="P1648" s="452">
        <f t="shared" si="3777"/>
        <v>86.986000000000004</v>
      </c>
      <c r="Q1648" s="452">
        <f t="shared" si="3777"/>
        <v>86.634</v>
      </c>
      <c r="R1648" s="452">
        <f t="shared" si="3777"/>
        <v>87.471999999999994</v>
      </c>
      <c r="S1648" s="452">
        <f t="shared" si="3777"/>
        <v>88.069000000000003</v>
      </c>
      <c r="T1648" s="452">
        <f t="shared" si="3777"/>
        <v>88.813000000000002</v>
      </c>
      <c r="U1648" s="452">
        <f t="shared" si="3777"/>
        <v>89.14</v>
      </c>
      <c r="V1648" s="452">
        <f t="shared" si="3777"/>
        <v>88.384</v>
      </c>
      <c r="W1648" s="452">
        <f t="shared" si="3777"/>
        <v>88.808999999999997</v>
      </c>
      <c r="X1648" s="452">
        <f t="shared" si="3777"/>
        <v>88.808999999999997</v>
      </c>
      <c r="Y1648" s="452">
        <f t="shared" si="3777"/>
        <v>87.23</v>
      </c>
      <c r="Z1648" s="452">
        <f t="shared" si="3777"/>
        <v>105.42</v>
      </c>
      <c r="AA1648" s="452">
        <f t="shared" si="3777"/>
        <v>92.590999999999994</v>
      </c>
      <c r="AB1648" s="452">
        <f t="shared" si="3777"/>
        <v>106.53400000000001</v>
      </c>
      <c r="AC1648" s="452">
        <f t="shared" si="3777"/>
        <v>107.045</v>
      </c>
      <c r="AD1648" s="452">
        <f t="shared" si="3777"/>
        <v>107.21899999999999</v>
      </c>
      <c r="AE1648" s="476">
        <f t="shared" si="3777"/>
        <v>107.22499999999999</v>
      </c>
      <c r="AF1648" s="476">
        <f t="shared" si="3777"/>
        <v>107.006</v>
      </c>
      <c r="AG1648" s="476">
        <f t="shared" ref="AG1648:BL1648" si="3778">IF(AG79&lt;0,AG100,AG101)</f>
        <v>107.03700000000001</v>
      </c>
      <c r="AH1648" s="476">
        <f t="shared" si="3778"/>
        <v>106.795</v>
      </c>
      <c r="AI1648" s="476">
        <f t="shared" si="3778"/>
        <v>105.509</v>
      </c>
      <c r="AJ1648" s="476">
        <f t="shared" si="3778"/>
        <v>77.635999999999996</v>
      </c>
      <c r="AK1648" s="476">
        <f t="shared" si="3778"/>
        <v>78.078999999999994</v>
      </c>
      <c r="AL1648" s="476">
        <f t="shared" si="3778"/>
        <v>106.919</v>
      </c>
      <c r="AM1648" s="476">
        <f t="shared" si="3778"/>
        <v>107.523</v>
      </c>
      <c r="AN1648" s="476">
        <f t="shared" si="3778"/>
        <v>107.449</v>
      </c>
      <c r="AO1648" s="476">
        <f t="shared" si="3778"/>
        <v>106.19499999999999</v>
      </c>
      <c r="AP1648" s="476">
        <f t="shared" si="3778"/>
        <v>107.051</v>
      </c>
      <c r="AQ1648" s="476">
        <f t="shared" si="3778"/>
        <v>105.63200000000001</v>
      </c>
      <c r="AR1648" s="476">
        <f t="shared" si="3778"/>
        <v>106.13</v>
      </c>
      <c r="AS1648" s="476">
        <f t="shared" si="3778"/>
        <v>105.84099999999999</v>
      </c>
      <c r="AT1648" s="476">
        <f t="shared" si="3778"/>
        <v>104.47</v>
      </c>
      <c r="AU1648" s="476">
        <f t="shared" si="3778"/>
        <v>103.804</v>
      </c>
      <c r="AV1648" s="476">
        <f t="shared" si="3778"/>
        <v>102.887</v>
      </c>
      <c r="AW1648" s="476">
        <f t="shared" si="3778"/>
        <v>78.305999999999997</v>
      </c>
      <c r="AX1648" s="476">
        <f t="shared" si="3778"/>
        <v>103.44199999999999</v>
      </c>
      <c r="AY1648" s="476">
        <f t="shared" si="3778"/>
        <v>77.938999999999993</v>
      </c>
      <c r="AZ1648" s="476">
        <f t="shared" si="3778"/>
        <v>78.111000000000004</v>
      </c>
      <c r="BA1648" s="476">
        <f t="shared" si="3778"/>
        <v>88.679000000000002</v>
      </c>
      <c r="BB1648" s="476">
        <f t="shared" si="3778"/>
        <v>78.457999999999998</v>
      </c>
      <c r="BC1648" s="476">
        <f t="shared" si="3778"/>
        <v>78.510000000000005</v>
      </c>
      <c r="BD1648" s="476">
        <f t="shared" si="3778"/>
        <v>78.805000000000007</v>
      </c>
      <c r="BE1648" s="476">
        <f t="shared" si="3778"/>
        <v>78.805000000000007</v>
      </c>
      <c r="BF1648" s="476">
        <f t="shared" si="3778"/>
        <v>90.391999999999996</v>
      </c>
      <c r="BG1648" s="476">
        <f t="shared" si="3778"/>
        <v>90.728999999999999</v>
      </c>
      <c r="BH1648" s="476">
        <f t="shared" si="3778"/>
        <v>91.28</v>
      </c>
      <c r="BI1648" s="476">
        <f t="shared" si="3778"/>
        <v>80.003</v>
      </c>
      <c r="BJ1648" s="476">
        <f t="shared" si="3778"/>
        <v>90.903999999999996</v>
      </c>
      <c r="BK1648" s="476">
        <f t="shared" si="3778"/>
        <v>91.090999999999994</v>
      </c>
      <c r="BL1648" s="476">
        <f t="shared" si="3778"/>
        <v>91.486000000000004</v>
      </c>
      <c r="BM1648" s="476">
        <f t="shared" ref="BM1648:CF1648" si="3779">IF(BM79&lt;0,BM100,BM101)</f>
        <v>91.421999999999997</v>
      </c>
      <c r="BN1648" s="476">
        <f t="shared" si="3779"/>
        <v>91.802000000000007</v>
      </c>
      <c r="BO1648" s="476">
        <f t="shared" si="3779"/>
        <v>91.802000000000007</v>
      </c>
      <c r="BP1648" s="476">
        <f t="shared" si="3779"/>
        <v>91.917000000000002</v>
      </c>
      <c r="BQ1648" s="476">
        <f t="shared" si="3779"/>
        <v>93.239000000000004</v>
      </c>
      <c r="BR1648" s="476">
        <f t="shared" si="3779"/>
        <v>93.588999999999999</v>
      </c>
      <c r="BS1648" s="476">
        <f t="shared" si="3779"/>
        <v>90.826999999999998</v>
      </c>
      <c r="BT1648" s="2577">
        <f t="shared" si="3779"/>
        <v>92.393000000000001</v>
      </c>
      <c r="BU1648" s="2577">
        <f t="shared" si="3779"/>
        <v>93.3</v>
      </c>
      <c r="BV1648" s="2577">
        <f t="shared" si="3779"/>
        <v>93.3</v>
      </c>
      <c r="BW1648" s="2577">
        <f t="shared" si="3779"/>
        <v>119.75999999999999</v>
      </c>
      <c r="BX1648" s="2577">
        <f t="shared" si="3779"/>
        <v>119.75999999999999</v>
      </c>
      <c r="BY1648" s="2577">
        <f t="shared" si="3779"/>
        <v>106.53</v>
      </c>
      <c r="BZ1648" s="476">
        <f t="shared" si="3779"/>
        <v>121.75999999999999</v>
      </c>
      <c r="CA1648" s="476">
        <f t="shared" si="3779"/>
        <v>123.75999999999999</v>
      </c>
      <c r="CB1648" s="476">
        <f t="shared" si="3779"/>
        <v>123.75999999999999</v>
      </c>
      <c r="CC1648" s="476">
        <f t="shared" si="3779"/>
        <v>123.75999999999999</v>
      </c>
      <c r="CD1648" s="476">
        <f t="shared" si="3779"/>
        <v>123.75999999999999</v>
      </c>
      <c r="CE1648" s="476">
        <f t="shared" si="3779"/>
        <v>123.75999999999999</v>
      </c>
      <c r="CF1648" s="476">
        <f t="shared" si="3779"/>
        <v>123.75999999999999</v>
      </c>
      <c r="CG1648" s="476"/>
      <c r="CH1648" s="476"/>
      <c r="CI1648" s="476"/>
      <c r="CJ1648" s="476"/>
      <c r="CK1648" s="476"/>
      <c r="CL1648" s="526" t="str">
        <f>A1648</f>
        <v>Average diluted shares outstanding</v>
      </c>
      <c r="CM1648" s="476">
        <f>G1648</f>
        <v>83.507999999999996</v>
      </c>
      <c r="CN1648" s="476">
        <f>L1648</f>
        <v>85.856999999999999</v>
      </c>
      <c r="CO1648" s="476">
        <f>Q1648</f>
        <v>86.634</v>
      </c>
      <c r="CP1648" s="476">
        <f>V1648</f>
        <v>88.384</v>
      </c>
      <c r="CQ1648" s="476">
        <f>AA1648</f>
        <v>92.590999999999994</v>
      </c>
      <c r="CR1648" s="476">
        <f>AF1648</f>
        <v>107.006</v>
      </c>
      <c r="CS1648" s="476">
        <f>AK1648</f>
        <v>78.078999999999994</v>
      </c>
      <c r="CT1648" s="476">
        <f>AP1648</f>
        <v>107.051</v>
      </c>
      <c r="CU1648" s="476">
        <f>AU1648</f>
        <v>103.804</v>
      </c>
      <c r="CV1648" s="476">
        <f>AZ1648</f>
        <v>78.111000000000004</v>
      </c>
      <c r="CW1648" s="476">
        <f>BE1648</f>
        <v>78.805000000000007</v>
      </c>
      <c r="CX1648" s="476">
        <f>BJ1648</f>
        <v>90.903999999999996</v>
      </c>
      <c r="CY1648" s="476">
        <f>BO1648</f>
        <v>91.802000000000007</v>
      </c>
      <c r="CZ1648" s="476">
        <f>BT1648</f>
        <v>92.393000000000001</v>
      </c>
      <c r="DA1648" s="476">
        <f t="shared" si="3776"/>
        <v>106.53</v>
      </c>
      <c r="DB1648" s="476">
        <f t="shared" si="3776"/>
        <v>121.75999999999999</v>
      </c>
      <c r="DC1648" s="476">
        <f t="shared" si="3776"/>
        <v>123.75999999999999</v>
      </c>
      <c r="DD1648" s="476"/>
      <c r="DE1648" s="476"/>
      <c r="DF1648" s="598"/>
      <c r="DG1648" s="598"/>
      <c r="DH1648" s="2577"/>
      <c r="DI1648" s="3213"/>
      <c r="DJ1648" s="598"/>
      <c r="DK1648" s="598"/>
      <c r="DL1648" s="598"/>
      <c r="DM1648" s="598"/>
      <c r="DN1648" s="598"/>
      <c r="DO1648" s="598"/>
      <c r="DP1648" s="598"/>
      <c r="DQ1648" s="598"/>
      <c r="DR1648" s="660"/>
      <c r="DS1648" s="660"/>
      <c r="DT1648" s="660"/>
    </row>
    <row r="1649" spans="1:124" ht="12" customHeight="1" x14ac:dyDescent="0.25">
      <c r="A1649" s="311" t="s">
        <v>1330</v>
      </c>
      <c r="B1649" s="311"/>
      <c r="C1649" s="452"/>
      <c r="D1649" s="452"/>
      <c r="E1649" s="452"/>
      <c r="F1649" s="452"/>
      <c r="G1649" s="452"/>
      <c r="H1649" s="452"/>
      <c r="I1649" s="452"/>
      <c r="J1649" s="452"/>
      <c r="K1649" s="452"/>
      <c r="L1649" s="452"/>
      <c r="M1649" s="452"/>
      <c r="N1649" s="452"/>
      <c r="O1649" s="452"/>
      <c r="P1649" s="452"/>
      <c r="Q1649" s="452"/>
      <c r="R1649" s="452"/>
      <c r="S1649" s="452"/>
      <c r="T1649" s="452"/>
      <c r="U1649" s="452"/>
      <c r="V1649" s="452"/>
      <c r="W1649" s="452"/>
      <c r="X1649" s="452"/>
      <c r="Y1649" s="452"/>
      <c r="Z1649" s="452"/>
      <c r="AA1649" s="452"/>
      <c r="AB1649" s="452"/>
      <c r="AC1649" s="452"/>
      <c r="AD1649" s="452"/>
      <c r="AE1649" s="476"/>
      <c r="AF1649" s="476"/>
      <c r="AG1649" s="476"/>
      <c r="AH1649" s="476"/>
      <c r="AI1649" s="476"/>
      <c r="AJ1649" s="476"/>
      <c r="AK1649" s="476"/>
      <c r="AL1649" s="476"/>
      <c r="AM1649" s="476"/>
      <c r="AN1649" s="476"/>
      <c r="AO1649" s="476"/>
      <c r="AP1649" s="476"/>
      <c r="AQ1649" s="476"/>
      <c r="AR1649" s="476"/>
      <c r="AS1649" s="476">
        <f>+AS101</f>
        <v>105.84099999999999</v>
      </c>
      <c r="AT1649" s="476"/>
      <c r="AU1649" s="476"/>
      <c r="AV1649" s="476"/>
      <c r="AW1649" s="476"/>
      <c r="AX1649" s="476"/>
      <c r="AY1649" s="476"/>
      <c r="AZ1649" s="476"/>
      <c r="BA1649" s="476"/>
      <c r="BB1649" s="476"/>
      <c r="BC1649" s="476"/>
      <c r="BD1649" s="476"/>
      <c r="BE1649" s="476"/>
      <c r="BF1649" s="476"/>
      <c r="BG1649" s="476"/>
      <c r="BH1649" s="476"/>
      <c r="BI1649" s="476"/>
      <c r="BJ1649" s="476"/>
      <c r="BK1649" s="476"/>
      <c r="BL1649" s="476"/>
      <c r="BM1649" s="476"/>
      <c r="BN1649" s="476"/>
      <c r="BO1649" s="476"/>
      <c r="BP1649" s="476"/>
      <c r="BQ1649" s="476"/>
      <c r="BR1649" s="476"/>
      <c r="BS1649" s="476"/>
      <c r="BT1649" s="2577"/>
      <c r="BU1649" s="2577"/>
      <c r="BV1649" s="2577"/>
      <c r="BW1649" s="2577"/>
      <c r="BX1649" s="2577"/>
      <c r="BY1649" s="2577"/>
      <c r="BZ1649" s="476"/>
      <c r="CA1649" s="476"/>
      <c r="CB1649" s="476"/>
      <c r="CC1649" s="476"/>
      <c r="CD1649" s="476"/>
      <c r="CE1649" s="476"/>
      <c r="CF1649" s="476"/>
      <c r="CG1649" s="476"/>
      <c r="CH1649" s="476"/>
      <c r="CI1649" s="476"/>
      <c r="CJ1649" s="476"/>
      <c r="CK1649" s="476"/>
      <c r="CL1649" s="526"/>
      <c r="CM1649" s="476"/>
      <c r="CN1649" s="476"/>
      <c r="CO1649" s="476"/>
      <c r="CP1649" s="476"/>
      <c r="CQ1649" s="476"/>
      <c r="CR1649" s="476"/>
      <c r="CS1649" s="476"/>
      <c r="CT1649" s="476"/>
      <c r="CU1649" s="476"/>
      <c r="CV1649" s="476"/>
      <c r="CW1649" s="476"/>
      <c r="CX1649" s="476"/>
      <c r="CY1649" s="476"/>
      <c r="CZ1649" s="476"/>
      <c r="DA1649" s="476"/>
      <c r="DB1649" s="476"/>
      <c r="DC1649" s="476"/>
      <c r="DD1649" s="476"/>
      <c r="DE1649" s="476"/>
      <c r="DF1649" s="598"/>
      <c r="DG1649" s="598"/>
      <c r="DH1649" s="2577"/>
      <c r="DI1649" s="3213"/>
      <c r="DJ1649" s="598"/>
      <c r="DK1649" s="598"/>
      <c r="DL1649" s="598"/>
      <c r="DM1649" s="598"/>
      <c r="DN1649" s="598"/>
      <c r="DO1649" s="598"/>
      <c r="DP1649" s="598"/>
      <c r="DQ1649" s="598"/>
      <c r="DR1649" s="660"/>
      <c r="DS1649" s="660"/>
      <c r="DT1649" s="660"/>
    </row>
    <row r="1650" spans="1:124" ht="12" customHeight="1" x14ac:dyDescent="0.25">
      <c r="A1650" s="2649" t="s">
        <v>2446</v>
      </c>
      <c r="B1650" s="311"/>
      <c r="C1650" s="452"/>
      <c r="D1650" s="452"/>
      <c r="E1650" s="452"/>
      <c r="F1650" s="452"/>
      <c r="G1650" s="452"/>
      <c r="H1650" s="452"/>
      <c r="I1650" s="452"/>
      <c r="J1650" s="452"/>
      <c r="K1650" s="452"/>
      <c r="L1650" s="452"/>
      <c r="M1650" s="452"/>
      <c r="N1650" s="452"/>
      <c r="O1650" s="452"/>
      <c r="P1650" s="452"/>
      <c r="Q1650" s="452"/>
      <c r="R1650" s="452"/>
      <c r="S1650" s="452"/>
      <c r="T1650" s="452"/>
      <c r="U1650" s="452"/>
      <c r="V1650" s="452"/>
      <c r="W1650" s="452"/>
      <c r="X1650" s="452"/>
      <c r="Y1650" s="452"/>
      <c r="Z1650" s="452"/>
      <c r="AA1650" s="452"/>
      <c r="AB1650" s="452"/>
      <c r="AC1650" s="452"/>
      <c r="AD1650" s="452"/>
      <c r="AE1650" s="476"/>
      <c r="AF1650" s="476"/>
      <c r="AG1650" s="476"/>
      <c r="AH1650" s="476"/>
      <c r="AI1650" s="476"/>
      <c r="AJ1650" s="476"/>
      <c r="AK1650" s="476"/>
      <c r="AL1650" s="476"/>
      <c r="AM1650" s="476"/>
      <c r="AN1650" s="476"/>
      <c r="AO1650" s="476"/>
      <c r="AP1650" s="476"/>
      <c r="AQ1650" s="476"/>
      <c r="AR1650" s="476"/>
      <c r="AS1650" s="476"/>
      <c r="AT1650" s="476"/>
      <c r="AU1650" s="476"/>
      <c r="AV1650" s="476"/>
      <c r="AW1650" s="476"/>
      <c r="AX1650" s="476"/>
      <c r="AY1650" s="476">
        <f>AY47</f>
        <v>69.501999999999995</v>
      </c>
      <c r="AZ1650" s="476">
        <f>AZ47</f>
        <v>69.501999999999995</v>
      </c>
      <c r="BA1650" s="476"/>
      <c r="BB1650" s="476"/>
      <c r="BC1650" s="476"/>
      <c r="BD1650" s="476"/>
      <c r="BE1650" s="476"/>
      <c r="BF1650" s="476"/>
      <c r="BG1650" s="476"/>
      <c r="BH1650" s="476"/>
      <c r="BI1650" s="476"/>
      <c r="BJ1650" s="476"/>
      <c r="BK1650" s="476"/>
      <c r="BL1650" s="476"/>
      <c r="BM1650" s="476"/>
      <c r="BN1650" s="476"/>
      <c r="BO1650" s="476"/>
      <c r="BP1650" s="476"/>
      <c r="BQ1650" s="476"/>
      <c r="BR1650" s="476"/>
      <c r="BS1650" s="476"/>
      <c r="BT1650" s="2577"/>
      <c r="BU1650" s="2577"/>
      <c r="BV1650" s="2577"/>
      <c r="BW1650" s="2577"/>
      <c r="BX1650" s="2577"/>
      <c r="BY1650" s="2577"/>
      <c r="BZ1650" s="476"/>
      <c r="CA1650" s="476"/>
      <c r="CB1650" s="476"/>
      <c r="CC1650" s="476"/>
      <c r="CD1650" s="476"/>
      <c r="CE1650" s="476"/>
      <c r="CF1650" s="476"/>
      <c r="CG1650" s="476"/>
      <c r="CH1650" s="476"/>
      <c r="CI1650" s="476"/>
      <c r="CJ1650" s="476"/>
      <c r="CK1650" s="476"/>
      <c r="CL1650" s="526"/>
      <c r="CM1650" s="476"/>
      <c r="CN1650" s="476"/>
      <c r="CO1650" s="476"/>
      <c r="CP1650" s="476"/>
      <c r="CQ1650" s="476"/>
      <c r="CR1650" s="476"/>
      <c r="CS1650" s="476"/>
      <c r="CT1650" s="476"/>
      <c r="CU1650" s="476"/>
      <c r="CV1650" s="476"/>
      <c r="CW1650" s="476"/>
      <c r="CX1650" s="476"/>
      <c r="CY1650" s="476"/>
      <c r="CZ1650" s="476"/>
      <c r="DA1650" s="476"/>
      <c r="DB1650" s="476"/>
      <c r="DC1650" s="476"/>
      <c r="DD1650" s="476"/>
      <c r="DE1650" s="476"/>
      <c r="DF1650" s="598"/>
      <c r="DG1650" s="598"/>
      <c r="DH1650" s="2577"/>
      <c r="DI1650" s="3213"/>
      <c r="DJ1650" s="598"/>
      <c r="DK1650" s="598"/>
      <c r="DL1650" s="598"/>
      <c r="DM1650" s="598"/>
      <c r="DN1650" s="598"/>
      <c r="DO1650" s="598"/>
      <c r="DP1650" s="598"/>
      <c r="DQ1650" s="598"/>
      <c r="DR1650" s="660"/>
      <c r="DS1650" s="660"/>
      <c r="DT1650" s="660"/>
    </row>
    <row r="1651" spans="1:124" ht="12" customHeight="1" x14ac:dyDescent="0.25">
      <c r="A1651" s="311"/>
      <c r="B1651" s="311"/>
      <c r="C1651" s="452"/>
      <c r="D1651" s="452"/>
      <c r="E1651" s="452"/>
      <c r="F1651" s="452"/>
      <c r="G1651" s="452"/>
      <c r="H1651" s="452"/>
      <c r="I1651" s="452"/>
      <c r="J1651" s="452"/>
      <c r="K1651" s="452"/>
      <c r="L1651" s="452"/>
      <c r="M1651" s="452"/>
      <c r="N1651" s="452"/>
      <c r="O1651" s="452"/>
      <c r="P1651" s="452"/>
      <c r="Q1651" s="452"/>
      <c r="R1651" s="452"/>
      <c r="S1651" s="452"/>
      <c r="T1651" s="452"/>
      <c r="U1651" s="452"/>
      <c r="V1651" s="452"/>
      <c r="W1651" s="452"/>
      <c r="X1651" s="452"/>
      <c r="Y1651" s="452"/>
      <c r="Z1651" s="452"/>
      <c r="AA1651" s="452"/>
      <c r="AB1651" s="452"/>
      <c r="AC1651" s="452"/>
      <c r="AD1651" s="452"/>
      <c r="AE1651" s="476"/>
      <c r="AF1651" s="476"/>
      <c r="AG1651" s="476"/>
      <c r="AH1651" s="476"/>
      <c r="AI1651" s="476"/>
      <c r="AJ1651" s="476"/>
      <c r="AK1651" s="476"/>
      <c r="AL1651" s="476"/>
      <c r="AM1651" s="476"/>
      <c r="AN1651" s="476"/>
      <c r="AO1651" s="476"/>
      <c r="AP1651" s="476"/>
      <c r="AQ1651" s="476"/>
      <c r="AR1651" s="476"/>
      <c r="AS1651" s="476"/>
      <c r="AT1651" s="476"/>
      <c r="AU1651" s="476"/>
      <c r="AV1651" s="476"/>
      <c r="AW1651" s="476"/>
      <c r="AX1651" s="476"/>
      <c r="AY1651" s="476"/>
      <c r="AZ1651" s="476"/>
      <c r="BA1651" s="476"/>
      <c r="BB1651" s="476"/>
      <c r="BC1651" s="476"/>
      <c r="BD1651" s="476"/>
      <c r="BE1651" s="476"/>
      <c r="BF1651" s="476"/>
      <c r="BG1651" s="476"/>
      <c r="BH1651" s="476"/>
      <c r="BI1651" s="476"/>
      <c r="BJ1651" s="476"/>
      <c r="BK1651" s="476"/>
      <c r="BL1651" s="476"/>
      <c r="BM1651" s="476"/>
      <c r="BN1651" s="476"/>
      <c r="BO1651" s="476"/>
      <c r="BP1651" s="476"/>
      <c r="BQ1651" s="476"/>
      <c r="BR1651" s="476"/>
      <c r="BS1651" s="476"/>
      <c r="BT1651" s="2577"/>
      <c r="BU1651" s="2577"/>
      <c r="BV1651" s="2577"/>
      <c r="BW1651" s="2577"/>
      <c r="BX1651" s="2577"/>
      <c r="BY1651" s="2577"/>
      <c r="BZ1651" s="476"/>
      <c r="CA1651" s="476"/>
      <c r="CB1651" s="476"/>
      <c r="CC1651" s="476"/>
      <c r="CD1651" s="476"/>
      <c r="CE1651" s="476"/>
      <c r="CF1651" s="476"/>
      <c r="CG1651" s="476"/>
      <c r="CH1651" s="476"/>
      <c r="CI1651" s="476"/>
      <c r="CJ1651" s="476"/>
      <c r="CK1651" s="476"/>
      <c r="CL1651" s="526"/>
      <c r="CM1651" s="476"/>
      <c r="CN1651" s="476"/>
      <c r="CO1651" s="476"/>
      <c r="CP1651" s="476"/>
      <c r="CQ1651" s="476"/>
      <c r="CR1651" s="476"/>
      <c r="CS1651" s="476"/>
      <c r="CT1651" s="476"/>
      <c r="CU1651" s="476"/>
      <c r="CV1651" s="476"/>
      <c r="CW1651" s="476"/>
      <c r="CX1651" s="476"/>
      <c r="CY1651" s="476"/>
      <c r="CZ1651" s="476"/>
      <c r="DA1651" s="476"/>
      <c r="DB1651" s="476"/>
      <c r="DC1651" s="476"/>
      <c r="DD1651" s="476"/>
      <c r="DE1651" s="476"/>
      <c r="DF1651" s="598"/>
      <c r="DG1651" s="598"/>
      <c r="DH1651" s="2577"/>
      <c r="DI1651" s="3213"/>
      <c r="DJ1651" s="598"/>
      <c r="DK1651" s="598"/>
      <c r="DL1651" s="598"/>
      <c r="DM1651" s="598"/>
      <c r="DN1651" s="598"/>
      <c r="DO1651" s="598"/>
      <c r="DP1651" s="598"/>
      <c r="DQ1651" s="598"/>
      <c r="DR1651" s="660"/>
      <c r="DS1651" s="660"/>
      <c r="DT1651" s="660"/>
    </row>
    <row r="1652" spans="1:124" ht="12" customHeight="1" x14ac:dyDescent="0.25">
      <c r="A1652" s="2085" t="s">
        <v>1156</v>
      </c>
      <c r="B1652" s="2087"/>
      <c r="C1652" s="2088"/>
      <c r="D1652" s="2088"/>
      <c r="E1652" s="2088"/>
      <c r="F1652" s="2088"/>
      <c r="G1652" s="2088"/>
      <c r="H1652" s="2088"/>
      <c r="I1652" s="2088"/>
      <c r="J1652" s="2088"/>
      <c r="K1652" s="2088"/>
      <c r="L1652" s="2088"/>
      <c r="M1652" s="2088"/>
      <c r="N1652" s="2088"/>
      <c r="O1652" s="2088"/>
      <c r="P1652" s="2088"/>
      <c r="Q1652" s="2088"/>
      <c r="R1652" s="2088"/>
      <c r="S1652" s="2088"/>
      <c r="T1652" s="2088"/>
      <c r="U1652" s="2088"/>
      <c r="V1652" s="2088"/>
      <c r="W1652" s="2088"/>
      <c r="X1652" s="2088"/>
      <c r="Y1652" s="2088"/>
      <c r="Z1652" s="2088"/>
      <c r="AA1652" s="2088"/>
      <c r="AB1652" s="2088"/>
      <c r="AC1652" s="2088"/>
      <c r="AD1652" s="2088"/>
      <c r="AE1652" s="2088"/>
      <c r="AF1652" s="2088"/>
      <c r="AG1652" s="2088"/>
      <c r="AH1652" s="2088"/>
      <c r="AI1652" s="2088"/>
      <c r="AJ1652" s="2088"/>
      <c r="AK1652" s="2088"/>
      <c r="AL1652" s="2088"/>
      <c r="AM1652" s="2088"/>
      <c r="AN1652" s="2088"/>
      <c r="AO1652" s="2088"/>
      <c r="AP1652" s="2088"/>
      <c r="AQ1652" s="2088"/>
      <c r="AR1652" s="2088"/>
      <c r="AS1652" s="2088"/>
      <c r="AT1652" s="2088"/>
      <c r="AU1652" s="2088"/>
      <c r="AV1652" s="2088"/>
      <c r="AW1652" s="2088"/>
      <c r="AX1652" s="2088"/>
      <c r="AY1652" s="2088"/>
      <c r="AZ1652" s="2088"/>
      <c r="BA1652" s="2088"/>
      <c r="BB1652" s="2088"/>
      <c r="BC1652" s="2088"/>
      <c r="BD1652" s="2088"/>
      <c r="BE1652" s="2088"/>
      <c r="BF1652" s="2088"/>
      <c r="BG1652" s="2088"/>
      <c r="BH1652" s="2088"/>
      <c r="BI1652" s="2088"/>
      <c r="BJ1652" s="2088"/>
      <c r="BK1652" s="2088"/>
      <c r="BL1652" s="2088"/>
      <c r="BM1652" s="2088"/>
      <c r="BN1652" s="2088"/>
      <c r="BO1652" s="2088"/>
      <c r="BP1652" s="2088"/>
      <c r="BQ1652" s="2088"/>
      <c r="BR1652" s="2088"/>
      <c r="BS1652" s="2088"/>
      <c r="BT1652" s="3268"/>
      <c r="BU1652" s="3268"/>
      <c r="BV1652" s="3268"/>
      <c r="BW1652" s="3268"/>
      <c r="BX1652" s="3268"/>
      <c r="BY1652" s="3268"/>
      <c r="BZ1652" s="2088"/>
      <c r="CA1652" s="2088"/>
      <c r="CB1652" s="2088"/>
      <c r="CC1652" s="2088"/>
      <c r="CD1652" s="2088"/>
      <c r="CE1652" s="2088"/>
      <c r="CF1652" s="2088"/>
      <c r="CG1652" s="476"/>
      <c r="CH1652" s="476"/>
      <c r="CI1652" s="476"/>
      <c r="CJ1652" s="476"/>
      <c r="CK1652" s="476"/>
      <c r="CL1652" s="526"/>
      <c r="CM1652" s="476"/>
      <c r="CN1652" s="476"/>
      <c r="CO1652" s="476"/>
      <c r="CP1652" s="476"/>
      <c r="CQ1652" s="476"/>
      <c r="CR1652" s="476"/>
      <c r="CS1652" s="476"/>
      <c r="CT1652" s="476"/>
      <c r="CU1652" s="476"/>
      <c r="CV1652" s="476"/>
      <c r="CW1652" s="476"/>
      <c r="CX1652" s="476"/>
      <c r="CY1652" s="476"/>
      <c r="CZ1652" s="476"/>
      <c r="DA1652" s="476"/>
      <c r="DB1652" s="476"/>
      <c r="DC1652" s="476"/>
      <c r="DD1652" s="476"/>
      <c r="DE1652" s="476"/>
      <c r="DF1652" s="598"/>
      <c r="DG1652" s="598"/>
      <c r="DH1652" s="2577"/>
      <c r="DI1652" s="3213"/>
      <c r="DJ1652" s="598"/>
      <c r="DK1652" s="598"/>
      <c r="DL1652" s="598"/>
      <c r="DM1652" s="598"/>
      <c r="DN1652" s="598"/>
      <c r="DO1652" s="598"/>
      <c r="DP1652" s="598"/>
      <c r="DQ1652" s="598"/>
      <c r="DR1652" s="660"/>
      <c r="DS1652" s="660"/>
      <c r="DT1652" s="660"/>
    </row>
    <row r="1653" spans="1:124" ht="12" customHeight="1" x14ac:dyDescent="0.25">
      <c r="A1653" s="2085" t="s">
        <v>1157</v>
      </c>
      <c r="B1653" s="2087"/>
      <c r="C1653" s="2088"/>
      <c r="D1653" s="2088"/>
      <c r="E1653" s="2088"/>
      <c r="F1653" s="2088"/>
      <c r="G1653" s="2088"/>
      <c r="H1653" s="2088"/>
      <c r="I1653" s="2088"/>
      <c r="J1653" s="2088"/>
      <c r="K1653" s="2088"/>
      <c r="L1653" s="2088"/>
      <c r="M1653" s="2088"/>
      <c r="N1653" s="2088"/>
      <c r="O1653" s="2088"/>
      <c r="P1653" s="2088"/>
      <c r="Q1653" s="2088"/>
      <c r="R1653" s="2088"/>
      <c r="S1653" s="2088"/>
      <c r="T1653" s="2088"/>
      <c r="U1653" s="2088"/>
      <c r="V1653" s="2088"/>
      <c r="W1653" s="2088"/>
      <c r="X1653" s="2088"/>
      <c r="Y1653" s="2088"/>
      <c r="Z1653" s="2088"/>
      <c r="AA1653" s="2088"/>
      <c r="AB1653" s="2088"/>
      <c r="AC1653" s="2088"/>
      <c r="AD1653" s="2088"/>
      <c r="AE1653" s="2088"/>
      <c r="AF1653" s="2088"/>
      <c r="AG1653" s="2088"/>
      <c r="AH1653" s="2088"/>
      <c r="AI1653" s="2088"/>
      <c r="AJ1653" s="2088"/>
      <c r="AK1653" s="2088"/>
      <c r="AL1653" s="2088"/>
      <c r="AM1653" s="2088"/>
      <c r="AN1653" s="2088"/>
      <c r="AO1653" s="2088"/>
      <c r="AP1653" s="2088"/>
      <c r="AQ1653" s="2088"/>
      <c r="AR1653" s="2088"/>
      <c r="AS1653" s="2088"/>
      <c r="AT1653" s="2088"/>
      <c r="AU1653" s="2088"/>
      <c r="AV1653" s="2088"/>
      <c r="AW1653" s="2088"/>
      <c r="AX1653" s="2088"/>
      <c r="AY1653" s="2088"/>
      <c r="AZ1653" s="2088"/>
      <c r="BA1653" s="2088"/>
      <c r="BB1653" s="2088"/>
      <c r="BC1653" s="2088"/>
      <c r="BD1653" s="2088"/>
      <c r="BE1653" s="2088"/>
      <c r="BF1653" s="2088"/>
      <c r="BG1653" s="2088"/>
      <c r="BH1653" s="2088"/>
      <c r="BI1653" s="2088"/>
      <c r="BJ1653" s="2088"/>
      <c r="BK1653" s="2088"/>
      <c r="BL1653" s="2088"/>
      <c r="BM1653" s="2088"/>
      <c r="BN1653" s="2088"/>
      <c r="BO1653" s="2088"/>
      <c r="BP1653" s="2088"/>
      <c r="BQ1653" s="2088"/>
      <c r="BR1653" s="2088"/>
      <c r="BS1653" s="2088"/>
      <c r="BT1653" s="3268"/>
      <c r="BU1653" s="3268"/>
      <c r="BV1653" s="3268"/>
      <c r="BW1653" s="3268"/>
      <c r="BX1653" s="3268"/>
      <c r="BY1653" s="3268"/>
      <c r="BZ1653" s="2088"/>
      <c r="CA1653" s="2088"/>
      <c r="CB1653" s="2088"/>
      <c r="CC1653" s="2088"/>
      <c r="CD1653" s="2088"/>
      <c r="CE1653" s="2088"/>
      <c r="CF1653" s="2088"/>
      <c r="CG1653" s="476"/>
      <c r="CH1653" s="476"/>
      <c r="CI1653" s="476"/>
      <c r="CJ1653" s="476"/>
      <c r="CK1653" s="476"/>
      <c r="CL1653" s="526"/>
      <c r="CM1653" s="476"/>
      <c r="CN1653" s="476"/>
      <c r="CO1653" s="476"/>
      <c r="CP1653" s="476"/>
      <c r="CQ1653" s="476"/>
      <c r="CR1653" s="476"/>
      <c r="CS1653" s="476"/>
      <c r="CT1653" s="476"/>
      <c r="CU1653" s="476"/>
      <c r="CV1653" s="476"/>
      <c r="CW1653" s="476"/>
      <c r="CX1653" s="476"/>
      <c r="CY1653" s="476"/>
      <c r="CZ1653" s="476"/>
      <c r="DA1653" s="476"/>
      <c r="DB1653" s="476"/>
      <c r="DC1653" s="476"/>
      <c r="DD1653" s="476"/>
      <c r="DE1653" s="476"/>
      <c r="DF1653" s="598"/>
      <c r="DG1653" s="598"/>
      <c r="DH1653" s="2577"/>
      <c r="DI1653" s="3213"/>
      <c r="DJ1653" s="598"/>
      <c r="DK1653" s="598"/>
      <c r="DL1653" s="598"/>
      <c r="DM1653" s="598"/>
      <c r="DN1653" s="598"/>
      <c r="DO1653" s="598"/>
      <c r="DP1653" s="598"/>
      <c r="DQ1653" s="598"/>
      <c r="DR1653" s="660"/>
      <c r="DS1653" s="660"/>
      <c r="DT1653" s="660"/>
    </row>
    <row r="1654" spans="1:124" ht="12" customHeight="1" x14ac:dyDescent="0.25">
      <c r="A1654" s="2086" t="s">
        <v>1737</v>
      </c>
      <c r="B1654" s="2087"/>
      <c r="C1654" s="2198">
        <v>0</v>
      </c>
      <c r="D1654" s="2198">
        <v>0</v>
      </c>
      <c r="E1654" s="2198">
        <v>0</v>
      </c>
      <c r="F1654" s="2198">
        <v>0</v>
      </c>
      <c r="G1654" s="2198">
        <v>0</v>
      </c>
      <c r="H1654" s="2198">
        <v>0</v>
      </c>
      <c r="I1654" s="2198">
        <v>0</v>
      </c>
      <c r="J1654" s="2198">
        <v>0</v>
      </c>
      <c r="K1654" s="2198">
        <v>0</v>
      </c>
      <c r="L1654" s="2198">
        <v>0</v>
      </c>
      <c r="M1654" s="2198">
        <v>0</v>
      </c>
      <c r="N1654" s="2198">
        <v>0</v>
      </c>
      <c r="O1654" s="2198">
        <v>0</v>
      </c>
      <c r="P1654" s="2198">
        <v>0</v>
      </c>
      <c r="Q1654" s="2198">
        <v>0</v>
      </c>
      <c r="R1654" s="2198">
        <v>0</v>
      </c>
      <c r="S1654" s="2198">
        <v>0</v>
      </c>
      <c r="T1654" s="2198">
        <v>0</v>
      </c>
      <c r="U1654" s="2198">
        <v>0</v>
      </c>
      <c r="V1654" s="2198">
        <v>0</v>
      </c>
      <c r="W1654" s="2198">
        <v>0</v>
      </c>
      <c r="X1654" s="2198">
        <v>0</v>
      </c>
      <c r="Y1654" s="2198">
        <v>0</v>
      </c>
      <c r="Z1654" s="2198">
        <v>0</v>
      </c>
      <c r="AA1654" s="2198">
        <v>0</v>
      </c>
      <c r="AB1654" s="2198">
        <v>0</v>
      </c>
      <c r="AC1654" s="2198">
        <v>0</v>
      </c>
      <c r="AD1654" s="2198">
        <v>0</v>
      </c>
      <c r="AE1654" s="2198">
        <v>0</v>
      </c>
      <c r="AF1654" s="2198">
        <v>0</v>
      </c>
      <c r="AG1654" s="2198">
        <v>0</v>
      </c>
      <c r="AH1654" s="2198">
        <v>0</v>
      </c>
      <c r="AI1654" s="2198">
        <v>0</v>
      </c>
      <c r="AJ1654" s="2198">
        <v>0</v>
      </c>
      <c r="AK1654" s="2198">
        <v>0</v>
      </c>
      <c r="AL1654" s="2198">
        <v>0</v>
      </c>
      <c r="AM1654" s="2198">
        <v>0</v>
      </c>
      <c r="AN1654" s="2198">
        <v>0</v>
      </c>
      <c r="AO1654" s="2198">
        <v>0</v>
      </c>
      <c r="AP1654" s="2198">
        <v>0</v>
      </c>
      <c r="AQ1654" s="2198">
        <v>0</v>
      </c>
      <c r="AR1654" s="2198">
        <v>0</v>
      </c>
      <c r="AS1654" s="2198">
        <v>0</v>
      </c>
      <c r="AT1654" s="2198">
        <v>0</v>
      </c>
      <c r="AU1654" s="2198">
        <v>0</v>
      </c>
      <c r="AV1654" s="2198">
        <v>0</v>
      </c>
      <c r="AW1654" s="2198">
        <v>0</v>
      </c>
      <c r="AX1654" s="2198">
        <v>0</v>
      </c>
      <c r="AY1654" s="2198">
        <v>0</v>
      </c>
      <c r="AZ1654" s="2198">
        <v>0</v>
      </c>
      <c r="BA1654" s="2198">
        <v>0</v>
      </c>
      <c r="BB1654" s="2198">
        <v>0</v>
      </c>
      <c r="BC1654" s="2198">
        <v>0</v>
      </c>
      <c r="BD1654" s="2198">
        <v>0</v>
      </c>
      <c r="BE1654" s="2198">
        <v>0</v>
      </c>
      <c r="BF1654" s="2198">
        <v>0</v>
      </c>
      <c r="BG1654" s="2198">
        <v>0</v>
      </c>
      <c r="BH1654" s="2198">
        <v>0</v>
      </c>
      <c r="BI1654" s="2198">
        <v>0</v>
      </c>
      <c r="BJ1654" s="2198">
        <v>0</v>
      </c>
      <c r="BK1654" s="2198">
        <v>0</v>
      </c>
      <c r="BL1654" s="2198">
        <v>0</v>
      </c>
      <c r="BM1654" s="2198">
        <v>0</v>
      </c>
      <c r="BN1654" s="2198">
        <v>0</v>
      </c>
      <c r="BO1654" s="2198">
        <v>0</v>
      </c>
      <c r="BP1654" s="2198">
        <v>0</v>
      </c>
      <c r="BQ1654" s="2198">
        <v>0</v>
      </c>
      <c r="BR1654" s="2198">
        <v>0</v>
      </c>
      <c r="BS1654" s="2198">
        <v>0</v>
      </c>
      <c r="BT1654" s="3269">
        <v>0</v>
      </c>
      <c r="BU1654" s="2198">
        <v>0</v>
      </c>
      <c r="BV1654" s="2198">
        <v>0</v>
      </c>
      <c r="BW1654" s="2198">
        <v>0</v>
      </c>
      <c r="BX1654" s="2198">
        <v>0</v>
      </c>
      <c r="BY1654" s="3269">
        <v>0</v>
      </c>
      <c r="BZ1654" s="2198">
        <v>0</v>
      </c>
      <c r="CA1654" s="2198">
        <v>0</v>
      </c>
      <c r="CB1654" s="2198">
        <v>0</v>
      </c>
      <c r="CC1654" s="2198">
        <v>0</v>
      </c>
      <c r="CD1654" s="2198">
        <v>0</v>
      </c>
      <c r="CE1654" s="2198">
        <v>0</v>
      </c>
      <c r="CF1654" s="2198">
        <v>0</v>
      </c>
      <c r="CG1654" s="476"/>
      <c r="CH1654" s="476"/>
      <c r="CI1654" s="476"/>
      <c r="CJ1654" s="476"/>
      <c r="CK1654" s="476"/>
      <c r="CL1654" s="526"/>
      <c r="CM1654" s="476"/>
      <c r="CN1654" s="476"/>
      <c r="CO1654" s="476"/>
      <c r="CP1654" s="476"/>
      <c r="CQ1654" s="476"/>
      <c r="CR1654" s="476"/>
      <c r="CS1654" s="476"/>
      <c r="CT1654" s="476"/>
      <c r="CU1654" s="476"/>
      <c r="CV1654" s="476"/>
      <c r="CW1654" s="476"/>
      <c r="CX1654" s="476"/>
      <c r="CY1654" s="476"/>
      <c r="CZ1654" s="476"/>
      <c r="DA1654" s="476"/>
      <c r="DB1654" s="476"/>
      <c r="DC1654" s="476"/>
      <c r="DD1654" s="476"/>
      <c r="DE1654" s="476"/>
      <c r="DF1654" s="598"/>
      <c r="DG1654" s="598"/>
      <c r="DH1654" s="3284"/>
      <c r="DI1654" s="3213"/>
      <c r="DJ1654" s="598"/>
      <c r="DK1654" s="598"/>
      <c r="DL1654" s="598"/>
      <c r="DM1654" s="598"/>
      <c r="DN1654" s="598"/>
      <c r="DO1654" s="598"/>
      <c r="DP1654" s="598"/>
      <c r="DQ1654" s="598"/>
      <c r="DR1654" s="660"/>
      <c r="DS1654" s="660"/>
      <c r="DT1654" s="660"/>
    </row>
    <row r="1655" spans="1:124" ht="12" customHeight="1" x14ac:dyDescent="0.25">
      <c r="A1655" s="2087"/>
      <c r="B1655" s="2087"/>
      <c r="C1655" s="2088"/>
      <c r="D1655" s="2088"/>
      <c r="E1655" s="2088"/>
      <c r="F1655" s="2088"/>
      <c r="G1655" s="2088"/>
      <c r="H1655" s="2088"/>
      <c r="I1655" s="2088"/>
      <c r="J1655" s="2088"/>
      <c r="K1655" s="2088"/>
      <c r="L1655" s="2088"/>
      <c r="M1655" s="2088"/>
      <c r="N1655" s="2088"/>
      <c r="O1655" s="2088"/>
      <c r="P1655" s="2088"/>
      <c r="Q1655" s="2088"/>
      <c r="R1655" s="2088"/>
      <c r="S1655" s="2088"/>
      <c r="T1655" s="2088"/>
      <c r="U1655" s="2088"/>
      <c r="V1655" s="2088"/>
      <c r="W1655" s="2088"/>
      <c r="X1655" s="2088"/>
      <c r="Y1655" s="2088"/>
      <c r="Z1655" s="2088"/>
      <c r="AA1655" s="2088"/>
      <c r="AB1655" s="2088"/>
      <c r="AC1655" s="2088"/>
      <c r="AD1655" s="2088"/>
      <c r="AE1655" s="2088"/>
      <c r="AF1655" s="2088"/>
      <c r="AG1655" s="2088"/>
      <c r="AH1655" s="2088"/>
      <c r="AI1655" s="2088"/>
      <c r="AJ1655" s="2088"/>
      <c r="AK1655" s="2088"/>
      <c r="AL1655" s="2088"/>
      <c r="AM1655" s="2088"/>
      <c r="AN1655" s="2088"/>
      <c r="AO1655" s="2088"/>
      <c r="AP1655" s="2088"/>
      <c r="AQ1655" s="2088"/>
      <c r="AR1655" s="2088"/>
      <c r="AS1655" s="2088"/>
      <c r="AT1655" s="2088"/>
      <c r="AU1655" s="2088"/>
      <c r="AV1655" s="2088"/>
      <c r="AW1655" s="2088"/>
      <c r="AX1655" s="2088"/>
      <c r="AY1655" s="2088"/>
      <c r="AZ1655" s="2088"/>
      <c r="BA1655" s="2088"/>
      <c r="BB1655" s="2088"/>
      <c r="BC1655" s="2088"/>
      <c r="BD1655" s="2088"/>
      <c r="BE1655" s="2088"/>
      <c r="BF1655" s="2088"/>
      <c r="BG1655" s="2088"/>
      <c r="BH1655" s="2088"/>
      <c r="BI1655" s="2088"/>
      <c r="BJ1655" s="2088"/>
      <c r="BK1655" s="2088"/>
      <c r="BL1655" s="2088"/>
      <c r="BM1655" s="2088"/>
      <c r="BN1655" s="2088"/>
      <c r="BO1655" s="2088"/>
      <c r="BP1655" s="2088"/>
      <c r="BQ1655" s="2088"/>
      <c r="BR1655" s="2088"/>
      <c r="BS1655" s="2088"/>
      <c r="BT1655" s="3268"/>
      <c r="BU1655" s="2088"/>
      <c r="BV1655" s="2088"/>
      <c r="BW1655" s="2088"/>
      <c r="BX1655" s="2088"/>
      <c r="BY1655" s="3268"/>
      <c r="BZ1655" s="2088"/>
      <c r="CA1655" s="2088"/>
      <c r="CB1655" s="2088"/>
      <c r="CC1655" s="2088"/>
      <c r="CD1655" s="2088"/>
      <c r="CE1655" s="2088"/>
      <c r="CF1655" s="2088"/>
      <c r="CG1655" s="476"/>
      <c r="CH1655" s="476"/>
      <c r="CI1655" s="476"/>
      <c r="CJ1655" s="476"/>
      <c r="CK1655" s="476"/>
      <c r="CL1655" s="526"/>
      <c r="CM1655" s="476"/>
      <c r="CN1655" s="476"/>
      <c r="CO1655" s="476"/>
      <c r="CP1655" s="476"/>
      <c r="CQ1655" s="476"/>
      <c r="CR1655" s="476"/>
      <c r="CS1655" s="476"/>
      <c r="CT1655" s="476"/>
      <c r="CU1655" s="476"/>
      <c r="CV1655" s="476"/>
      <c r="CW1655" s="476"/>
      <c r="CX1655" s="476"/>
      <c r="CY1655" s="476"/>
      <c r="CZ1655" s="476"/>
      <c r="DA1655" s="476"/>
      <c r="DB1655" s="476"/>
      <c r="DC1655" s="476"/>
      <c r="DD1655" s="476"/>
      <c r="DE1655" s="476"/>
      <c r="DF1655" s="598"/>
      <c r="DG1655" s="598"/>
      <c r="DH1655" s="2577"/>
      <c r="DI1655" s="3213"/>
      <c r="DJ1655" s="598"/>
      <c r="DK1655" s="598"/>
      <c r="DL1655" s="598"/>
      <c r="DM1655" s="598"/>
      <c r="DN1655" s="598"/>
      <c r="DO1655" s="598"/>
      <c r="DP1655" s="598"/>
      <c r="DQ1655" s="598"/>
      <c r="DR1655" s="660"/>
      <c r="DS1655" s="660"/>
      <c r="DT1655" s="660"/>
    </row>
    <row r="1656" spans="1:124" ht="12" customHeight="1" x14ac:dyDescent="0.25">
      <c r="A1656" s="2085" t="s">
        <v>1158</v>
      </c>
      <c r="B1656" s="2087"/>
      <c r="C1656" s="2088">
        <f t="shared" ref="C1656:AH1656" si="3780">C120</f>
        <v>28.997388449999995</v>
      </c>
      <c r="D1656" s="2088">
        <f t="shared" si="3780"/>
        <v>29.812915454374995</v>
      </c>
      <c r="E1656" s="2088">
        <f t="shared" si="3780"/>
        <v>15.115704551250005</v>
      </c>
      <c r="F1656" s="2088">
        <f t="shared" si="3780"/>
        <v>49.156583125000026</v>
      </c>
      <c r="G1656" s="2088">
        <f t="shared" si="3780"/>
        <v>123.08259158062502</v>
      </c>
      <c r="H1656" s="2088">
        <f t="shared" si="3780"/>
        <v>-1.1375954511358639</v>
      </c>
      <c r="I1656" s="2088">
        <f t="shared" si="3780"/>
        <v>17.035358601559917</v>
      </c>
      <c r="J1656" s="2088">
        <f t="shared" si="3780"/>
        <v>1.9629374999999953</v>
      </c>
      <c r="K1656" s="2088">
        <f t="shared" si="3780"/>
        <v>-5.6359364544018149</v>
      </c>
      <c r="L1656" s="2088">
        <f t="shared" si="3780"/>
        <v>12.22476419602225</v>
      </c>
      <c r="M1656" s="2088">
        <f t="shared" si="3780"/>
        <v>37.506858140624978</v>
      </c>
      <c r="N1656" s="2088">
        <f t="shared" si="3780"/>
        <v>-69.408577343749997</v>
      </c>
      <c r="O1656" s="2088">
        <f t="shared" si="3780"/>
        <v>17.935623288690465</v>
      </c>
      <c r="P1656" s="2088">
        <f t="shared" si="3780"/>
        <v>-122.47786518749996</v>
      </c>
      <c r="Q1656" s="2088">
        <f t="shared" si="3780"/>
        <v>-136.44396110193452</v>
      </c>
      <c r="R1656" s="2088">
        <f t="shared" si="3780"/>
        <v>98.167028679435461</v>
      </c>
      <c r="S1656" s="2088">
        <f t="shared" si="3780"/>
        <v>32.622777270507768</v>
      </c>
      <c r="T1656" s="2088">
        <f t="shared" si="3780"/>
        <v>-3.0048134375000046</v>
      </c>
      <c r="U1656" s="2088">
        <f t="shared" si="3780"/>
        <v>-39.42662767626949</v>
      </c>
      <c r="V1656" s="2088">
        <f t="shared" si="3780"/>
        <v>88.358364836173735</v>
      </c>
      <c r="W1656" s="2088">
        <f t="shared" si="3780"/>
        <v>-28.212696787019254</v>
      </c>
      <c r="X1656" s="2088">
        <f t="shared" si="3780"/>
        <v>20.788371124999941</v>
      </c>
      <c r="Y1656" s="2088">
        <f t="shared" si="3780"/>
        <v>10.079232755</v>
      </c>
      <c r="Z1656" s="2088">
        <f t="shared" si="3780"/>
        <v>-83.052206250500006</v>
      </c>
      <c r="AA1656" s="2088">
        <f t="shared" si="3780"/>
        <v>-80.397299157519313</v>
      </c>
      <c r="AB1656" s="2088">
        <f t="shared" si="3780"/>
        <v>44.055375650000009</v>
      </c>
      <c r="AC1656" s="2088">
        <f t="shared" si="3780"/>
        <v>-8.9100678509999796</v>
      </c>
      <c r="AD1656" s="2088">
        <f t="shared" si="3780"/>
        <v>27.268458387521704</v>
      </c>
      <c r="AE1656" s="2088">
        <f t="shared" si="3780"/>
        <v>-175.79304321450007</v>
      </c>
      <c r="AF1656" s="2088">
        <f t="shared" si="3780"/>
        <v>-113.37927702797839</v>
      </c>
      <c r="AG1656" s="2088">
        <f t="shared" si="3780"/>
        <v>-32.530593487499956</v>
      </c>
      <c r="AH1656" s="2088">
        <f t="shared" si="3780"/>
        <v>34.316316324999988</v>
      </c>
      <c r="AI1656" s="2088">
        <f t="shared" ref="AI1656:BN1656" si="3781">AI120</f>
        <v>74.162674375000023</v>
      </c>
      <c r="AJ1656" s="2088">
        <f t="shared" si="3781"/>
        <v>-24.035508000000007</v>
      </c>
      <c r="AK1656" s="2088">
        <f t="shared" si="3781"/>
        <v>51.912889212499977</v>
      </c>
      <c r="AL1656" s="2088">
        <f t="shared" si="3781"/>
        <v>44.291915124999967</v>
      </c>
      <c r="AM1656" s="2088">
        <f t="shared" si="3781"/>
        <v>109.27732000000003</v>
      </c>
      <c r="AN1656" s="2088">
        <f t="shared" si="3781"/>
        <v>26.881867187500063</v>
      </c>
      <c r="AO1656" s="2088">
        <f t="shared" si="3781"/>
        <v>32.013887499999953</v>
      </c>
      <c r="AP1656" s="2088">
        <f t="shared" si="3781"/>
        <v>212.46498981250011</v>
      </c>
      <c r="AQ1656" s="2088">
        <f t="shared" si="3781"/>
        <v>7.4525359374999454</v>
      </c>
      <c r="AR1656" s="2088">
        <f t="shared" si="3781"/>
        <v>-39.896104687499985</v>
      </c>
      <c r="AS1656" s="2088">
        <f t="shared" si="3781"/>
        <v>-40.834132812499959</v>
      </c>
      <c r="AT1656" s="2088">
        <f t="shared" si="3781"/>
        <v>84.95697937499996</v>
      </c>
      <c r="AU1656" s="2088">
        <f t="shared" si="3781"/>
        <v>11.679277812499834</v>
      </c>
      <c r="AV1656" s="2088">
        <f t="shared" si="3781"/>
        <v>73.045909062499987</v>
      </c>
      <c r="AW1656" s="2088">
        <f t="shared" si="3781"/>
        <v>77.514271874999991</v>
      </c>
      <c r="AX1656" s="2088">
        <f t="shared" si="3781"/>
        <v>93.720479687499989</v>
      </c>
      <c r="AY1656" s="2088">
        <f t="shared" si="3781"/>
        <v>-224.81476406250005</v>
      </c>
      <c r="AZ1656" s="2088">
        <f t="shared" si="3781"/>
        <v>19.465896562500234</v>
      </c>
      <c r="BA1656" s="2088">
        <f t="shared" si="3781"/>
        <v>-33.42222812499999</v>
      </c>
      <c r="BB1656" s="2088">
        <f t="shared" si="3781"/>
        <v>-39.089871875000043</v>
      </c>
      <c r="BC1656" s="2088">
        <f t="shared" si="3781"/>
        <v>-54.035028124999982</v>
      </c>
      <c r="BD1656" s="2088">
        <f t="shared" si="3781"/>
        <v>-112.25574687499996</v>
      </c>
      <c r="BE1656" s="2088">
        <f t="shared" si="3781"/>
        <v>-238.80287500000006</v>
      </c>
      <c r="BF1656" s="2088">
        <f t="shared" si="3781"/>
        <v>-6.5417492187500415</v>
      </c>
      <c r="BG1656" s="2088">
        <f t="shared" si="3781"/>
        <v>11.946808593750021</v>
      </c>
      <c r="BH1656" s="2088">
        <f t="shared" si="3781"/>
        <v>16.191846343749987</v>
      </c>
      <c r="BI1656" s="2088">
        <f t="shared" si="3781"/>
        <v>-11.863861362283352</v>
      </c>
      <c r="BJ1656" s="2088">
        <f t="shared" si="3781"/>
        <v>9.7330443564665643</v>
      </c>
      <c r="BK1656" s="2088">
        <f t="shared" si="3781"/>
        <v>-16.957666593749991</v>
      </c>
      <c r="BL1656" s="2088">
        <f t="shared" si="3781"/>
        <v>29.036531875000001</v>
      </c>
      <c r="BM1656" s="2088">
        <f t="shared" si="3781"/>
        <v>16.693323437500041</v>
      </c>
      <c r="BN1656" s="2088">
        <f t="shared" si="3781"/>
        <v>432.22332000000006</v>
      </c>
      <c r="BO1656" s="2088">
        <f t="shared" ref="BO1656:CF1656" si="3782">BO120</f>
        <v>460.9955087187501</v>
      </c>
      <c r="BP1656" s="2088">
        <f t="shared" si="3782"/>
        <v>8.3004535416666343</v>
      </c>
      <c r="BQ1656" s="2088">
        <f t="shared" si="3782"/>
        <v>82.573276718750051</v>
      </c>
      <c r="BR1656" s="2088">
        <f t="shared" si="3782"/>
        <v>-699.36267218750004</v>
      </c>
      <c r="BS1656" s="2088">
        <f t="shared" si="3782"/>
        <v>37.610231562500175</v>
      </c>
      <c r="BT1656" s="3268">
        <f t="shared" si="3782"/>
        <v>-570.87871036458318</v>
      </c>
      <c r="BU1656" s="2088">
        <f t="shared" si="3782"/>
        <v>48.417775224527958</v>
      </c>
      <c r="BV1656" s="2088">
        <f t="shared" si="3782"/>
        <v>70.768088654679829</v>
      </c>
      <c r="BW1656" s="2088">
        <f t="shared" si="3782"/>
        <v>812.92526255714927</v>
      </c>
      <c r="BX1656" s="2088">
        <f t="shared" si="3782"/>
        <v>70.961103275975375</v>
      </c>
      <c r="BY1656" s="3268">
        <f t="shared" si="3782"/>
        <v>1003.0722297123327</v>
      </c>
      <c r="BZ1656" s="2088">
        <f t="shared" si="3782"/>
        <v>351.95101938368867</v>
      </c>
      <c r="CA1656" s="2088">
        <f t="shared" si="3782"/>
        <v>323.99220459820089</v>
      </c>
      <c r="CB1656" s="2088">
        <f t="shared" si="3782"/>
        <v>-1384.2604861438131</v>
      </c>
      <c r="CC1656" s="2088">
        <f t="shared" si="3782"/>
        <v>-2971.7080619207331</v>
      </c>
      <c r="CD1656" s="2088">
        <f t="shared" si="3782"/>
        <v>-6033.6185650361049</v>
      </c>
      <c r="CE1656" s="2088">
        <f t="shared" si="3782"/>
        <v>-12151.216689712322</v>
      </c>
      <c r="CF1656" s="2088">
        <f t="shared" si="3782"/>
        <v>-24380.093086408699</v>
      </c>
      <c r="CG1656" s="476"/>
      <c r="CH1656" s="476"/>
      <c r="CI1656" s="476"/>
      <c r="CJ1656" s="476"/>
      <c r="CK1656" s="476"/>
      <c r="CL1656" s="526"/>
      <c r="CM1656" s="476"/>
      <c r="CN1656" s="476"/>
      <c r="CO1656" s="476"/>
      <c r="CP1656" s="476"/>
      <c r="CQ1656" s="476"/>
      <c r="CR1656" s="476"/>
      <c r="CS1656" s="476"/>
      <c r="CT1656" s="476"/>
      <c r="CU1656" s="476"/>
      <c r="CV1656" s="476"/>
      <c r="CW1656" s="476"/>
      <c r="CX1656" s="476"/>
      <c r="CY1656" s="476"/>
      <c r="CZ1656" s="476"/>
      <c r="DA1656" s="476"/>
      <c r="DB1656" s="476"/>
      <c r="DC1656" s="476"/>
      <c r="DD1656" s="476"/>
      <c r="DE1656" s="476"/>
      <c r="DF1656" s="598"/>
      <c r="DG1656" s="598"/>
      <c r="DH1656" s="2577"/>
      <c r="DI1656" s="3213"/>
      <c r="DJ1656" s="598"/>
      <c r="DK1656" s="598"/>
      <c r="DL1656" s="598"/>
      <c r="DM1656" s="598"/>
      <c r="DN1656" s="598"/>
      <c r="DO1656" s="598"/>
      <c r="DP1656" s="598"/>
      <c r="DQ1656" s="598"/>
      <c r="DR1656" s="660"/>
      <c r="DS1656" s="660"/>
      <c r="DT1656" s="660"/>
    </row>
    <row r="1657" spans="1:124" ht="12" customHeight="1" x14ac:dyDescent="0.25">
      <c r="A1657" s="2087"/>
      <c r="B1657" s="2087"/>
      <c r="C1657" s="2088"/>
      <c r="D1657" s="2088"/>
      <c r="E1657" s="2088"/>
      <c r="F1657" s="2088"/>
      <c r="G1657" s="2088"/>
      <c r="H1657" s="2088"/>
      <c r="I1657" s="2088"/>
      <c r="J1657" s="2088"/>
      <c r="K1657" s="2088"/>
      <c r="L1657" s="2088"/>
      <c r="M1657" s="2088"/>
      <c r="N1657" s="2088"/>
      <c r="O1657" s="2088"/>
      <c r="P1657" s="2088"/>
      <c r="Q1657" s="2088"/>
      <c r="R1657" s="2088"/>
      <c r="S1657" s="2088"/>
      <c r="T1657" s="2088"/>
      <c r="U1657" s="2088"/>
      <c r="V1657" s="2088"/>
      <c r="W1657" s="2088"/>
      <c r="X1657" s="2088"/>
      <c r="Y1657" s="2088"/>
      <c r="Z1657" s="2088"/>
      <c r="AA1657" s="2088"/>
      <c r="AB1657" s="2088"/>
      <c r="AC1657" s="2088"/>
      <c r="AD1657" s="2088"/>
      <c r="AE1657" s="2088"/>
      <c r="AF1657" s="2088"/>
      <c r="AG1657" s="2088"/>
      <c r="AH1657" s="2088"/>
      <c r="AI1657" s="2088"/>
      <c r="AJ1657" s="2088"/>
      <c r="AK1657" s="2088"/>
      <c r="AL1657" s="2088"/>
      <c r="AM1657" s="2088"/>
      <c r="AN1657" s="2088"/>
      <c r="AO1657" s="2088"/>
      <c r="AP1657" s="2088"/>
      <c r="AQ1657" s="2088"/>
      <c r="AR1657" s="2088"/>
      <c r="AS1657" s="2088"/>
      <c r="AT1657" s="2088"/>
      <c r="AU1657" s="2088"/>
      <c r="AV1657" s="2088"/>
      <c r="AW1657" s="2088"/>
      <c r="AX1657" s="2088"/>
      <c r="AY1657" s="2088"/>
      <c r="AZ1657" s="2088"/>
      <c r="BA1657" s="2088"/>
      <c r="BB1657" s="2088"/>
      <c r="BC1657" s="2088"/>
      <c r="BD1657" s="2088"/>
      <c r="BE1657" s="2088"/>
      <c r="BF1657" s="2088"/>
      <c r="BG1657" s="2088"/>
      <c r="BH1657" s="2088"/>
      <c r="BI1657" s="2088"/>
      <c r="BJ1657" s="2088"/>
      <c r="BK1657" s="2088"/>
      <c r="BL1657" s="2088"/>
      <c r="BM1657" s="2088"/>
      <c r="BN1657" s="2088"/>
      <c r="BO1657" s="2088"/>
      <c r="BP1657" s="2088"/>
      <c r="BQ1657" s="2088"/>
      <c r="BR1657" s="2088"/>
      <c r="BS1657" s="2088"/>
      <c r="BT1657" s="3268"/>
      <c r="BU1657" s="2088"/>
      <c r="BV1657" s="2088"/>
      <c r="BW1657" s="2088"/>
      <c r="BX1657" s="2088"/>
      <c r="BY1657" s="3268"/>
      <c r="BZ1657" s="2088"/>
      <c r="CA1657" s="2088"/>
      <c r="CB1657" s="2088"/>
      <c r="CC1657" s="2088"/>
      <c r="CD1657" s="2088"/>
      <c r="CE1657" s="2088"/>
      <c r="CF1657" s="2088"/>
      <c r="CG1657" s="476"/>
      <c r="CH1657" s="476"/>
      <c r="CI1657" s="476"/>
      <c r="CJ1657" s="476"/>
      <c r="CK1657" s="476"/>
      <c r="CL1657" s="526"/>
      <c r="CM1657" s="476"/>
      <c r="CN1657" s="476"/>
      <c r="CO1657" s="476"/>
      <c r="CP1657" s="476"/>
      <c r="CQ1657" s="476"/>
      <c r="CR1657" s="476"/>
      <c r="CS1657" s="476"/>
      <c r="CT1657" s="476"/>
      <c r="CU1657" s="476"/>
      <c r="CV1657" s="476"/>
      <c r="CW1657" s="476"/>
      <c r="CX1657" s="476"/>
      <c r="CY1657" s="476"/>
      <c r="CZ1657" s="476"/>
      <c r="DA1657" s="476"/>
      <c r="DB1657" s="476"/>
      <c r="DC1657" s="476"/>
      <c r="DD1657" s="476"/>
      <c r="DE1657" s="476"/>
      <c r="DF1657" s="598"/>
      <c r="DG1657" s="598"/>
      <c r="DH1657" s="2577"/>
      <c r="DI1657" s="3213"/>
      <c r="DJ1657" s="598"/>
      <c r="DK1657" s="598"/>
      <c r="DL1657" s="598"/>
      <c r="DM1657" s="598"/>
      <c r="DN1657" s="598"/>
      <c r="DO1657" s="598"/>
      <c r="DP1657" s="598"/>
      <c r="DQ1657" s="598"/>
      <c r="DR1657" s="660"/>
      <c r="DS1657" s="660"/>
      <c r="DT1657" s="660"/>
    </row>
    <row r="1658" spans="1:124" ht="12" customHeight="1" x14ac:dyDescent="0.25">
      <c r="A1658" s="2085" t="s">
        <v>2127</v>
      </c>
      <c r="B1658" s="2087"/>
      <c r="C1658" s="2089">
        <f t="shared" ref="C1658:AH1658" si="3783">C93</f>
        <v>0.26033761432185237</v>
      </c>
      <c r="D1658" s="2089">
        <f t="shared" si="3783"/>
        <v>0.30217248987707002</v>
      </c>
      <c r="E1658" s="2089">
        <f t="shared" si="3783"/>
        <v>0.28111434432094651</v>
      </c>
      <c r="F1658" s="2089">
        <f t="shared" si="3783"/>
        <v>0.22230630971525883</v>
      </c>
      <c r="G1658" s="2089">
        <f t="shared" si="3783"/>
        <v>1.0622096086602488</v>
      </c>
      <c r="H1658" s="2089">
        <f t="shared" si="3783"/>
        <v>0.30784153702265066</v>
      </c>
      <c r="I1658" s="2089">
        <f t="shared" si="3783"/>
        <v>0.37593533962301012</v>
      </c>
      <c r="J1658" s="2089">
        <f t="shared" si="3783"/>
        <v>0.37249669319843126</v>
      </c>
      <c r="K1658" s="2089">
        <f t="shared" si="3783"/>
        <v>0.44404305680186235</v>
      </c>
      <c r="L1658" s="2089">
        <f t="shared" si="3783"/>
        <v>1.4997394728344478</v>
      </c>
      <c r="M1658" s="2089">
        <f t="shared" si="3783"/>
        <v>0.56346752824136492</v>
      </c>
      <c r="N1658" s="2089">
        <f t="shared" si="3783"/>
        <v>0.49228055206447685</v>
      </c>
      <c r="O1658" s="2089">
        <f t="shared" si="3783"/>
        <v>0.46660891660891662</v>
      </c>
      <c r="P1658" s="2089">
        <f t="shared" si="3783"/>
        <v>-2.307756000047273E-2</v>
      </c>
      <c r="Q1658" s="2089">
        <f t="shared" si="3783"/>
        <v>1.4962485860054955</v>
      </c>
      <c r="R1658" s="2089">
        <f t="shared" si="3783"/>
        <v>0.49091137735503931</v>
      </c>
      <c r="S1658" s="2089">
        <f t="shared" si="3783"/>
        <v>0.43487492761357555</v>
      </c>
      <c r="T1658" s="2089">
        <f t="shared" si="3783"/>
        <v>0.52458536475515971</v>
      </c>
      <c r="U1658" s="2089">
        <f t="shared" si="3783"/>
        <v>0.36148754767781016</v>
      </c>
      <c r="V1658" s="2089">
        <f t="shared" si="3783"/>
        <v>1.8108820601013751</v>
      </c>
      <c r="W1658" s="2089">
        <f t="shared" si="3783"/>
        <v>0.44869224965938131</v>
      </c>
      <c r="X1658" s="2089">
        <f t="shared" si="3783"/>
        <v>0.41688342397729899</v>
      </c>
      <c r="Y1658" s="2089">
        <f t="shared" si="3783"/>
        <v>0.52082884328785994</v>
      </c>
      <c r="Z1658" s="2089">
        <f t="shared" si="3783"/>
        <v>0.3148548662492881</v>
      </c>
      <c r="AA1658" s="2089">
        <f t="shared" si="3783"/>
        <v>1.7377575574299873</v>
      </c>
      <c r="AB1658" s="2089">
        <f t="shared" si="3783"/>
        <v>0.4016715790264142</v>
      </c>
      <c r="AC1658" s="2089">
        <f t="shared" si="3783"/>
        <v>0.31605633144939044</v>
      </c>
      <c r="AD1658" s="2089">
        <f t="shared" si="3783"/>
        <v>0.32913448176162791</v>
      </c>
      <c r="AE1658" s="2089">
        <f t="shared" si="3783"/>
        <v>-4.3599315898968719E-2</v>
      </c>
      <c r="AF1658" s="2089">
        <f t="shared" si="3783"/>
        <v>1.0139370689494038</v>
      </c>
      <c r="AG1658" s="2089">
        <f t="shared" si="3783"/>
        <v>0.33791118958864724</v>
      </c>
      <c r="AH1658" s="2089">
        <f t="shared" si="3783"/>
        <v>0.28573435085912263</v>
      </c>
      <c r="AI1658" s="2089">
        <f t="shared" ref="AI1658:BN1658" si="3784">AI93</f>
        <v>0.36820735671838434</v>
      </c>
      <c r="AJ1658" s="2089">
        <f t="shared" si="3784"/>
        <v>-0.60170732649801661</v>
      </c>
      <c r="AK1658" s="2089">
        <f t="shared" si="3784"/>
        <v>0.75332727109722264</v>
      </c>
      <c r="AL1658" s="2089">
        <f t="shared" si="3784"/>
        <v>0.48145792609358484</v>
      </c>
      <c r="AM1658" s="2089">
        <f t="shared" si="3784"/>
        <v>0.55968257954112177</v>
      </c>
      <c r="AN1658" s="2089">
        <f t="shared" si="3784"/>
        <v>0.70269523215665164</v>
      </c>
      <c r="AO1658" s="2089">
        <f t="shared" si="3784"/>
        <v>0.52982390884693231</v>
      </c>
      <c r="AP1658" s="2089">
        <f t="shared" si="3784"/>
        <v>2.2739096318577134</v>
      </c>
      <c r="AQ1658" s="2089">
        <f t="shared" si="3784"/>
        <v>0.75331528324750041</v>
      </c>
      <c r="AR1658" s="2089">
        <f t="shared" si="3784"/>
        <v>0.66175633656835986</v>
      </c>
      <c r="AS1658" s="2089">
        <f t="shared" si="3784"/>
        <v>0.60606003344639636</v>
      </c>
      <c r="AT1658" s="2089">
        <f t="shared" si="3784"/>
        <v>0.38210969656360633</v>
      </c>
      <c r="AU1658" s="2089">
        <f t="shared" si="3784"/>
        <v>2.4456803206042146</v>
      </c>
      <c r="AV1658" s="2089">
        <f t="shared" si="3784"/>
        <v>0.68211727429121249</v>
      </c>
      <c r="AW1658" s="2089">
        <f t="shared" si="3784"/>
        <v>0.3448307366333937</v>
      </c>
      <c r="AX1658" s="2089">
        <f t="shared" si="3784"/>
        <v>0.43412540360781893</v>
      </c>
      <c r="AY1658" s="2089">
        <f t="shared" si="3784"/>
        <v>9.9813957068989989E-2</v>
      </c>
      <c r="AZ1658" s="2089">
        <f t="shared" si="3784"/>
        <v>2.0271895123606187</v>
      </c>
      <c r="BA1658" s="2089">
        <f t="shared" si="3784"/>
        <v>6.2089107906044601E-3</v>
      </c>
      <c r="BB1658" s="2089">
        <f t="shared" si="3784"/>
        <v>-0.21075224961125735</v>
      </c>
      <c r="BC1658" s="2089">
        <f t="shared" si="3784"/>
        <v>-0.23774551012609851</v>
      </c>
      <c r="BD1658" s="2089">
        <f t="shared" si="3784"/>
        <v>-0.31037878307213956</v>
      </c>
      <c r="BE1658" s="2089">
        <f t="shared" si="3784"/>
        <v>-0.75007169595837808</v>
      </c>
      <c r="BF1658" s="2089">
        <f t="shared" si="3784"/>
        <v>2.4022037348437539E-2</v>
      </c>
      <c r="BG1658" s="2089">
        <f t="shared" si="3784"/>
        <v>3.7685855680102291E-2</v>
      </c>
      <c r="BH1658" s="2089">
        <f t="shared" si="3784"/>
        <v>1.1783523225240537E-2</v>
      </c>
      <c r="BI1658" s="2089">
        <f t="shared" si="3784"/>
        <v>0.17154580656516785</v>
      </c>
      <c r="BJ1658" s="2089">
        <f t="shared" si="3784"/>
        <v>0.24487811317433728</v>
      </c>
      <c r="BK1658" s="2089">
        <f t="shared" si="3784"/>
        <v>0.24510434620324745</v>
      </c>
      <c r="BL1658" s="2089">
        <f t="shared" si="3784"/>
        <v>0.3756968279299564</v>
      </c>
      <c r="BM1658" s="2089">
        <f t="shared" si="3784"/>
        <v>0.48579991686902513</v>
      </c>
      <c r="BN1658" s="2089">
        <f t="shared" si="3784"/>
        <v>5.4813620618287616E-2</v>
      </c>
      <c r="BO1658" s="2089">
        <f t="shared" ref="BO1658:CF1658" si="3785">BO93</f>
        <v>1.1562122829567996</v>
      </c>
      <c r="BP1658" s="2089">
        <f t="shared" si="3785"/>
        <v>7.1945341993319742E-2</v>
      </c>
      <c r="BQ1658" s="2089">
        <f t="shared" si="3785"/>
        <v>0.22853526957603629</v>
      </c>
      <c r="BR1658" s="2089">
        <f t="shared" si="3785"/>
        <v>0.27095278291252067</v>
      </c>
      <c r="BS1658" s="2089">
        <f t="shared" si="3785"/>
        <v>-3.1433912823279413</v>
      </c>
      <c r="BT1658" s="3270">
        <f t="shared" si="3785"/>
        <v>-2.5560050520198438</v>
      </c>
      <c r="BU1658" s="2089">
        <f t="shared" si="3785"/>
        <v>0.40104641562904358</v>
      </c>
      <c r="BV1658" s="2089">
        <f t="shared" si="3785"/>
        <v>0.46878383703015358</v>
      </c>
      <c r="BW1658" s="2089">
        <f t="shared" si="3785"/>
        <v>0.61781532790958904</v>
      </c>
      <c r="BX1658" s="2089">
        <f t="shared" si="3785"/>
        <v>0.43010973184647788</v>
      </c>
      <c r="BY1658" s="3270">
        <f t="shared" si="3785"/>
        <v>1.9398729722096115</v>
      </c>
      <c r="BZ1658" s="2089">
        <f t="shared" si="3785"/>
        <v>2.6196359030820009</v>
      </c>
      <c r="CA1658" s="2089">
        <f t="shared" si="3785"/>
        <v>2.466295621560036</v>
      </c>
      <c r="CB1658" s="2089">
        <f t="shared" si="3785"/>
        <v>-11.818419319450653</v>
      </c>
      <c r="CC1658" s="2089">
        <f t="shared" si="3785"/>
        <v>-24.736929747543783</v>
      </c>
      <c r="CD1658" s="2089">
        <f t="shared" si="3785"/>
        <v>-49.561219511906415</v>
      </c>
      <c r="CE1658" s="2089">
        <f t="shared" si="3785"/>
        <v>-99.169781096018781</v>
      </c>
      <c r="CF1658" s="2089">
        <f t="shared" si="3785"/>
        <v>-198.50437109321098</v>
      </c>
      <c r="CG1658" s="476"/>
      <c r="CH1658" s="476"/>
      <c r="CI1658" s="476"/>
      <c r="CJ1658" s="476"/>
      <c r="CK1658" s="476"/>
      <c r="CL1658" s="526"/>
      <c r="CM1658" s="476"/>
      <c r="CN1658" s="476"/>
      <c r="CO1658" s="476"/>
      <c r="CP1658" s="476"/>
      <c r="CQ1658" s="476"/>
      <c r="CR1658" s="476"/>
      <c r="CS1658" s="476"/>
      <c r="CT1658" s="476"/>
      <c r="CU1658" s="476"/>
      <c r="CV1658" s="476"/>
      <c r="CW1658" s="476"/>
      <c r="CX1658" s="476"/>
      <c r="CY1658" s="476"/>
      <c r="CZ1658" s="476"/>
      <c r="DA1658" s="476"/>
      <c r="DB1658" s="476"/>
      <c r="DC1658" s="476"/>
      <c r="DD1658" s="476"/>
      <c r="DE1658" s="476"/>
      <c r="DF1658" s="598"/>
      <c r="DG1658" s="598"/>
      <c r="DH1658" s="3028"/>
      <c r="DI1658" s="3213"/>
      <c r="DJ1658" s="598"/>
      <c r="DK1658" s="598"/>
      <c r="DL1658" s="598"/>
      <c r="DM1658" s="598"/>
      <c r="DN1658" s="598"/>
      <c r="DO1658" s="598"/>
      <c r="DP1658" s="598"/>
      <c r="DQ1658" s="598"/>
      <c r="DR1658" s="660"/>
      <c r="DS1658" s="660"/>
      <c r="DT1658" s="660"/>
    </row>
    <row r="1659" spans="1:124" ht="12" customHeight="1" x14ac:dyDescent="0.25">
      <c r="A1659" s="2087"/>
      <c r="B1659" s="2087"/>
      <c r="C1659" s="2088"/>
      <c r="D1659" s="2088"/>
      <c r="E1659" s="2088"/>
      <c r="F1659" s="2088"/>
      <c r="G1659" s="2088"/>
      <c r="H1659" s="2088"/>
      <c r="I1659" s="2088"/>
      <c r="J1659" s="2088"/>
      <c r="K1659" s="2088"/>
      <c r="L1659" s="2088"/>
      <c r="M1659" s="2088"/>
      <c r="N1659" s="2088"/>
      <c r="O1659" s="2088"/>
      <c r="P1659" s="2088"/>
      <c r="Q1659" s="2088"/>
      <c r="R1659" s="2088"/>
      <c r="S1659" s="2088"/>
      <c r="T1659" s="2088"/>
      <c r="U1659" s="2088"/>
      <c r="V1659" s="2088"/>
      <c r="W1659" s="2088"/>
      <c r="X1659" s="2088"/>
      <c r="Y1659" s="2088"/>
      <c r="Z1659" s="2088"/>
      <c r="AA1659" s="2088"/>
      <c r="AB1659" s="2088"/>
      <c r="AC1659" s="2088"/>
      <c r="AD1659" s="2088"/>
      <c r="AE1659" s="2088"/>
      <c r="AF1659" s="2088"/>
      <c r="AG1659" s="2088"/>
      <c r="AH1659" s="2088"/>
      <c r="AI1659" s="2088"/>
      <c r="AJ1659" s="2088"/>
      <c r="AK1659" s="2088"/>
      <c r="AL1659" s="2088"/>
      <c r="AM1659" s="2088"/>
      <c r="AN1659" s="2088"/>
      <c r="AO1659" s="2088"/>
      <c r="AP1659" s="2088"/>
      <c r="AQ1659" s="2088"/>
      <c r="AR1659" s="2088"/>
      <c r="AS1659" s="2088"/>
      <c r="AT1659" s="2088"/>
      <c r="AU1659" s="2088"/>
      <c r="AV1659" s="2088"/>
      <c r="AW1659" s="2088"/>
      <c r="AX1659" s="2088"/>
      <c r="AY1659" s="2088"/>
      <c r="AZ1659" s="2088"/>
      <c r="BA1659" s="2088"/>
      <c r="BB1659" s="2088"/>
      <c r="BC1659" s="2088"/>
      <c r="BD1659" s="2088"/>
      <c r="BE1659" s="2088"/>
      <c r="BF1659" s="2088"/>
      <c r="BG1659" s="2088"/>
      <c r="BH1659" s="2088"/>
      <c r="BI1659" s="2088"/>
      <c r="BJ1659" s="2088"/>
      <c r="BK1659" s="2088"/>
      <c r="BL1659" s="2088"/>
      <c r="BM1659" s="2088"/>
      <c r="BN1659" s="2088"/>
      <c r="BO1659" s="2088"/>
      <c r="BP1659" s="2088"/>
      <c r="BQ1659" s="2088"/>
      <c r="BR1659" s="2088"/>
      <c r="BS1659" s="2088"/>
      <c r="BT1659" s="3268"/>
      <c r="BU1659" s="2088"/>
      <c r="BV1659" s="2088"/>
      <c r="BW1659" s="2088"/>
      <c r="BX1659" s="2088"/>
      <c r="BY1659" s="3268"/>
      <c r="BZ1659" s="2088"/>
      <c r="CA1659" s="2088"/>
      <c r="CB1659" s="2088"/>
      <c r="CC1659" s="2088"/>
      <c r="CD1659" s="2088"/>
      <c r="CE1659" s="2088"/>
      <c r="CF1659" s="2088"/>
      <c r="CG1659" s="476"/>
      <c r="CH1659" s="476"/>
      <c r="CI1659" s="476"/>
      <c r="CJ1659" s="476"/>
      <c r="CK1659" s="476"/>
      <c r="CL1659" s="526"/>
      <c r="CM1659" s="476"/>
      <c r="CN1659" s="476"/>
      <c r="CO1659" s="476"/>
      <c r="CP1659" s="476"/>
      <c r="CQ1659" s="476"/>
      <c r="CR1659" s="476"/>
      <c r="CS1659" s="476"/>
      <c r="CT1659" s="476"/>
      <c r="CU1659" s="476"/>
      <c r="CV1659" s="476"/>
      <c r="CW1659" s="476"/>
      <c r="CX1659" s="476"/>
      <c r="CY1659" s="476"/>
      <c r="CZ1659" s="476"/>
      <c r="DA1659" s="476"/>
      <c r="DB1659" s="476"/>
      <c r="DC1659" s="476"/>
      <c r="DD1659" s="476"/>
      <c r="DE1659" s="476"/>
      <c r="DF1659" s="598"/>
      <c r="DG1659" s="598"/>
      <c r="DH1659" s="2577"/>
      <c r="DI1659" s="3213"/>
      <c r="DJ1659" s="598"/>
      <c r="DK1659" s="598"/>
      <c r="DL1659" s="598"/>
      <c r="DM1659" s="598"/>
      <c r="DN1659" s="598"/>
      <c r="DO1659" s="598"/>
      <c r="DP1659" s="598"/>
      <c r="DQ1659" s="598"/>
      <c r="DR1659" s="660"/>
      <c r="DS1659" s="660"/>
      <c r="DT1659" s="660"/>
    </row>
    <row r="1660" spans="1:124" ht="12" customHeight="1" x14ac:dyDescent="0.25">
      <c r="A1660" s="2085" t="s">
        <v>1937</v>
      </c>
      <c r="B1660" s="2087"/>
      <c r="C1660" s="2088">
        <f>C1564</f>
        <v>1088.165</v>
      </c>
      <c r="D1660" s="2088">
        <f t="shared" ref="D1660:CA1660" si="3786">D1564</f>
        <v>967.53200000000004</v>
      </c>
      <c r="E1660" s="2088">
        <f t="shared" si="3786"/>
        <v>909.79399999999998</v>
      </c>
      <c r="F1660" s="2088">
        <f t="shared" si="3786"/>
        <v>858.90899999999999</v>
      </c>
      <c r="G1660" s="2088">
        <f t="shared" si="3786"/>
        <v>858.90899999999999</v>
      </c>
      <c r="H1660" s="2088">
        <f t="shared" si="3786"/>
        <v>797.96699999999998</v>
      </c>
      <c r="I1660" s="2088">
        <f t="shared" si="3786"/>
        <v>638.38200000000006</v>
      </c>
      <c r="J1660" s="2088">
        <f t="shared" si="3786"/>
        <v>638.11200000000008</v>
      </c>
      <c r="K1660" s="2088">
        <f t="shared" si="3786"/>
        <v>2786.2289999999998</v>
      </c>
      <c r="L1660" s="2088">
        <f t="shared" si="3786"/>
        <v>2786.2289999999998</v>
      </c>
      <c r="M1660" s="2088">
        <f t="shared" si="3786"/>
        <v>2745.83</v>
      </c>
      <c r="N1660" s="2088">
        <f t="shared" si="3786"/>
        <v>2807.4050000000002</v>
      </c>
      <c r="O1660" s="2088">
        <f t="shared" si="3786"/>
        <v>2802.1940000000004</v>
      </c>
      <c r="P1660" s="2088">
        <f t="shared" si="3786"/>
        <v>2829.4480000000003</v>
      </c>
      <c r="Q1660" s="2088">
        <f t="shared" si="3786"/>
        <v>2829.4480000000003</v>
      </c>
      <c r="R1660" s="2088">
        <f t="shared" si="3786"/>
        <v>2793.4380000000001</v>
      </c>
      <c r="S1660" s="2088">
        <f t="shared" si="3786"/>
        <v>2945.4489999999996</v>
      </c>
      <c r="T1660" s="2088">
        <f t="shared" si="3786"/>
        <v>2925.962</v>
      </c>
      <c r="U1660" s="2088">
        <f t="shared" si="3786"/>
        <v>2974.922</v>
      </c>
      <c r="V1660" s="2088">
        <f t="shared" si="3786"/>
        <v>2974.922</v>
      </c>
      <c r="W1660" s="2088">
        <f t="shared" si="3786"/>
        <v>3009.5630000000001</v>
      </c>
      <c r="X1660" s="2088">
        <f t="shared" si="3786"/>
        <v>2957.2060000000001</v>
      </c>
      <c r="Y1660" s="2088">
        <f t="shared" si="3786"/>
        <v>2393.7599999999998</v>
      </c>
      <c r="Z1660" s="2088">
        <f t="shared" si="3786"/>
        <v>2430.1800000000003</v>
      </c>
      <c r="AA1660" s="2088">
        <f t="shared" si="3786"/>
        <v>2430.1800000000003</v>
      </c>
      <c r="AB1660" s="2088">
        <f t="shared" si="3786"/>
        <v>2384.2159999999999</v>
      </c>
      <c r="AC1660" s="2088">
        <f t="shared" si="3786"/>
        <v>2379.3589999999999</v>
      </c>
      <c r="AD1660" s="2088">
        <f t="shared" si="3786"/>
        <v>2381.605</v>
      </c>
      <c r="AE1660" s="2088">
        <f t="shared" si="3786"/>
        <v>2334.777</v>
      </c>
      <c r="AF1660" s="2088">
        <f t="shared" si="3786"/>
        <v>2334.777</v>
      </c>
      <c r="AG1660" s="2088">
        <f t="shared" si="3786"/>
        <v>2302.828</v>
      </c>
      <c r="AH1660" s="2088">
        <f t="shared" si="3786"/>
        <v>2102.384</v>
      </c>
      <c r="AI1660" s="2088">
        <f t="shared" si="3786"/>
        <v>2101.0749999999998</v>
      </c>
      <c r="AJ1660" s="2088">
        <f t="shared" si="3786"/>
        <v>2171.123</v>
      </c>
      <c r="AK1660" s="2088">
        <f t="shared" si="3786"/>
        <v>2171.123</v>
      </c>
      <c r="AL1660" s="2088">
        <f t="shared" si="3786"/>
        <v>2135.1379999999999</v>
      </c>
      <c r="AM1660" s="2088">
        <f t="shared" si="3786"/>
        <v>2098.136</v>
      </c>
      <c r="AN1660" s="2088">
        <f t="shared" si="3786"/>
        <v>1969.5830000000001</v>
      </c>
      <c r="AO1660" s="2088">
        <f t="shared" si="3786"/>
        <v>2044.914</v>
      </c>
      <c r="AP1660" s="2088">
        <f t="shared" si="3786"/>
        <v>2044.914</v>
      </c>
      <c r="AQ1660" s="2088">
        <f t="shared" si="3786"/>
        <v>2032.289</v>
      </c>
      <c r="AR1660" s="2088">
        <f t="shared" si="3786"/>
        <v>2103.6610000000001</v>
      </c>
      <c r="AS1660" s="2088">
        <f t="shared" si="3786"/>
        <v>2178.0149999999999</v>
      </c>
      <c r="AT1660" s="2088">
        <f t="shared" si="3786"/>
        <v>2732.0740000000001</v>
      </c>
      <c r="AU1660" s="2088">
        <f t="shared" si="3786"/>
        <v>2732.0740000000001</v>
      </c>
      <c r="AV1660" s="2088">
        <f t="shared" si="3786"/>
        <v>2615.1260000000002</v>
      </c>
      <c r="AW1660" s="2088">
        <f t="shared" si="3786"/>
        <v>2477.5780000000004</v>
      </c>
      <c r="AX1660" s="2088">
        <f t="shared" si="3786"/>
        <v>2401.9300000000003</v>
      </c>
      <c r="AY1660" s="2088">
        <f>AY1564</f>
        <v>1052.0150000000001</v>
      </c>
      <c r="AZ1660" s="2088">
        <f>AZ1564</f>
        <v>1052.0150000000001</v>
      </c>
      <c r="BA1660" s="2088">
        <f t="shared" si="3786"/>
        <v>1063.616</v>
      </c>
      <c r="BB1660" s="2088">
        <f t="shared" si="3786"/>
        <v>1056.9390000000001</v>
      </c>
      <c r="BC1660" s="2088">
        <f t="shared" si="3786"/>
        <v>1230.4930000000002</v>
      </c>
      <c r="BD1660" s="2088">
        <f t="shared" si="3786"/>
        <v>4832.2659999999996</v>
      </c>
      <c r="BE1660" s="2088">
        <f t="shared" si="3786"/>
        <v>4832.2659999999996</v>
      </c>
      <c r="BF1660" s="2088">
        <f t="shared" ref="BF1660:BK1661" si="3787">BF1564</f>
        <v>4858.0320000000002</v>
      </c>
      <c r="BG1660" s="2088">
        <f t="shared" si="3787"/>
        <v>4828.1949999999997</v>
      </c>
      <c r="BH1660" s="2088">
        <f t="shared" si="3787"/>
        <v>5239.1949999999997</v>
      </c>
      <c r="BI1660" s="2088">
        <f t="shared" si="3787"/>
        <v>5249.2780000000002</v>
      </c>
      <c r="BJ1660" s="2088">
        <f t="shared" si="3787"/>
        <v>5249.2780000000002</v>
      </c>
      <c r="BK1660" s="2088">
        <f t="shared" si="3787"/>
        <v>5215.8559999999998</v>
      </c>
      <c r="BL1660" s="2088">
        <f t="shared" ref="BL1660:BO1661" si="3788">BL1564</f>
        <v>5173.2309999999998</v>
      </c>
      <c r="BM1660" s="2088">
        <f t="shared" si="3788"/>
        <v>5160.9549999999999</v>
      </c>
      <c r="BN1660" s="2088">
        <f t="shared" si="3788"/>
        <v>4890.1740000000009</v>
      </c>
      <c r="BO1660" s="2088">
        <f t="shared" si="3788"/>
        <v>4890.1740000000009</v>
      </c>
      <c r="BP1660" s="2088">
        <f t="shared" ref="BP1660:BT1661" si="3789">BP1564</f>
        <v>4864.1710000000003</v>
      </c>
      <c r="BQ1660" s="2088">
        <f t="shared" si="3789"/>
        <v>4842.83</v>
      </c>
      <c r="BR1660" s="2088">
        <f t="shared" si="3789"/>
        <v>4841.331000000001</v>
      </c>
      <c r="BS1660" s="2088">
        <f t="shared" si="3789"/>
        <v>4762.7739999999994</v>
      </c>
      <c r="BT1660" s="3268">
        <f t="shared" si="3789"/>
        <v>4762.7739999999994</v>
      </c>
      <c r="BU1660" s="2088">
        <f t="shared" ref="BU1660:BY1661" si="3790">BU1564</f>
        <v>4747.7045641824097</v>
      </c>
      <c r="BV1660" s="2088">
        <f t="shared" si="3790"/>
        <v>4732.6820450707628</v>
      </c>
      <c r="BW1660" s="2088">
        <f t="shared" si="3790"/>
        <v>8392.2016555762057</v>
      </c>
      <c r="BX1660" s="2088">
        <f t="shared" si="3790"/>
        <v>8366.014542802126</v>
      </c>
      <c r="BY1660" s="3268">
        <f t="shared" si="3790"/>
        <v>8366.014542802126</v>
      </c>
      <c r="BZ1660" s="2088">
        <f t="shared" si="3786"/>
        <v>8010.8013108810737</v>
      </c>
      <c r="CA1660" s="2088">
        <f t="shared" si="3786"/>
        <v>7904.7156721319207</v>
      </c>
      <c r="CB1660" s="2088">
        <f t="shared" ref="CB1660:CF1661" si="3791">CB1564</f>
        <v>880.20099999999991</v>
      </c>
      <c r="CC1660" s="2088">
        <f t="shared" si="3791"/>
        <v>880.20099999999991</v>
      </c>
      <c r="CD1660" s="2088">
        <f t="shared" si="3791"/>
        <v>880.20099999999991</v>
      </c>
      <c r="CE1660" s="2088">
        <f t="shared" si="3791"/>
        <v>880.20099999999991</v>
      </c>
      <c r="CF1660" s="2088">
        <f t="shared" si="3791"/>
        <v>880.20099999999991</v>
      </c>
      <c r="CG1660" s="476"/>
      <c r="CH1660" s="476"/>
      <c r="CI1660" s="476"/>
      <c r="CJ1660" s="476"/>
      <c r="CK1660" s="476"/>
      <c r="CL1660" s="526"/>
      <c r="CM1660" s="476"/>
      <c r="CN1660" s="476"/>
      <c r="CO1660" s="476"/>
      <c r="CP1660" s="476"/>
      <c r="CQ1660" s="476"/>
      <c r="CR1660" s="476"/>
      <c r="CS1660" s="476"/>
      <c r="CT1660" s="476"/>
      <c r="CU1660" s="476"/>
      <c r="CV1660" s="476"/>
      <c r="CW1660" s="476"/>
      <c r="CX1660" s="476"/>
      <c r="CY1660" s="476"/>
      <c r="CZ1660" s="476"/>
      <c r="DA1660" s="476"/>
      <c r="DB1660" s="476"/>
      <c r="DC1660" s="476"/>
      <c r="DD1660" s="476"/>
      <c r="DE1660" s="476"/>
      <c r="DF1660" s="598"/>
      <c r="DG1660" s="598"/>
      <c r="DH1660" s="2577"/>
      <c r="DI1660" s="3213"/>
      <c r="DJ1660" s="598"/>
      <c r="DK1660" s="598"/>
      <c r="DL1660" s="598"/>
      <c r="DM1660" s="598"/>
      <c r="DN1660" s="598"/>
      <c r="DO1660" s="598"/>
      <c r="DP1660" s="598"/>
      <c r="DQ1660" s="598"/>
      <c r="DR1660" s="660"/>
      <c r="DS1660" s="660"/>
      <c r="DT1660" s="660"/>
    </row>
    <row r="1661" spans="1:124" ht="12" customHeight="1" x14ac:dyDescent="0.25">
      <c r="A1661" s="2085" t="s">
        <v>1260</v>
      </c>
      <c r="B1661" s="2087"/>
      <c r="C1661" s="2088">
        <f>C1565</f>
        <v>0</v>
      </c>
      <c r="D1661" s="2088">
        <f t="shared" ref="D1661:CA1661" si="3792">D1565</f>
        <v>122.57300000000005</v>
      </c>
      <c r="E1661" s="2088">
        <f t="shared" si="3792"/>
        <v>83.2</v>
      </c>
      <c r="F1661" s="2088">
        <f t="shared" si="3792"/>
        <v>87.62</v>
      </c>
      <c r="G1661" s="2088">
        <f t="shared" si="3792"/>
        <v>87.62</v>
      </c>
      <c r="H1661" s="2088">
        <f t="shared" si="3792"/>
        <v>307.46300000000002</v>
      </c>
      <c r="I1661" s="2088">
        <f t="shared" si="3792"/>
        <v>155.30300000000005</v>
      </c>
      <c r="J1661" s="2088">
        <f t="shared" si="3792"/>
        <v>173.94300000000004</v>
      </c>
      <c r="K1661" s="2088">
        <f t="shared" si="3792"/>
        <v>132.62</v>
      </c>
      <c r="L1661" s="2088">
        <f t="shared" si="3792"/>
        <v>132.62</v>
      </c>
      <c r="M1661" s="2088">
        <f t="shared" si="3792"/>
        <v>138.12</v>
      </c>
      <c r="N1661" s="2088">
        <f t="shared" si="3792"/>
        <v>130.31799999999993</v>
      </c>
      <c r="O1661" s="2088">
        <f t="shared" si="3792"/>
        <v>136.32199999999992</v>
      </c>
      <c r="P1661" s="2088">
        <f t="shared" si="3792"/>
        <v>168.51499999999999</v>
      </c>
      <c r="Q1661" s="2088">
        <f t="shared" si="3792"/>
        <v>168.51499999999999</v>
      </c>
      <c r="R1661" s="2088">
        <f t="shared" si="3792"/>
        <v>170.82200000000006</v>
      </c>
      <c r="S1661" s="2088">
        <f t="shared" si="3792"/>
        <v>159.59400000000011</v>
      </c>
      <c r="T1661" s="2088">
        <f t="shared" si="3792"/>
        <v>179.13700000000011</v>
      </c>
      <c r="U1661" s="2088">
        <f t="shared" si="3792"/>
        <v>174.3720000000001</v>
      </c>
      <c r="V1661" s="2088">
        <f t="shared" si="3792"/>
        <v>174.3720000000001</v>
      </c>
      <c r="W1661" s="2088">
        <f t="shared" si="3792"/>
        <v>167.89900000000006</v>
      </c>
      <c r="X1661" s="2088">
        <f t="shared" si="3792"/>
        <v>124.37100000000004</v>
      </c>
      <c r="Y1661" s="2088">
        <f t="shared" si="3792"/>
        <v>125.65599999999999</v>
      </c>
      <c r="Z1661" s="2088">
        <f t="shared" si="3792"/>
        <v>746.27800000000013</v>
      </c>
      <c r="AA1661" s="2088">
        <f t="shared" si="3792"/>
        <v>746.27800000000013</v>
      </c>
      <c r="AB1661" s="2088">
        <f t="shared" si="3792"/>
        <v>738.23599999999999</v>
      </c>
      <c r="AC1661" s="2088">
        <f t="shared" si="3792"/>
        <v>795.11699999999996</v>
      </c>
      <c r="AD1661" s="2088">
        <f t="shared" si="3792"/>
        <v>764.40899999999999</v>
      </c>
      <c r="AE1661" s="2088">
        <f t="shared" si="3792"/>
        <v>713.11800000000005</v>
      </c>
      <c r="AF1661" s="2088">
        <f t="shared" si="3792"/>
        <v>713.11800000000005</v>
      </c>
      <c r="AG1661" s="2088">
        <f t="shared" si="3792"/>
        <v>642.50699999999995</v>
      </c>
      <c r="AH1661" s="2088">
        <f t="shared" si="3792"/>
        <v>398.20399999999995</v>
      </c>
      <c r="AI1661" s="2088">
        <f t="shared" si="3792"/>
        <v>355.44199999999995</v>
      </c>
      <c r="AJ1661" s="2088">
        <f t="shared" si="3792"/>
        <v>246.38499999999993</v>
      </c>
      <c r="AK1661" s="2088">
        <f t="shared" si="3792"/>
        <v>246.38499999999993</v>
      </c>
      <c r="AL1661" s="2088">
        <f t="shared" si="3792"/>
        <v>234.47799999999989</v>
      </c>
      <c r="AM1661" s="2088">
        <f t="shared" si="3792"/>
        <v>321.9849999999999</v>
      </c>
      <c r="AN1661" s="2088">
        <f t="shared" si="3792"/>
        <v>207.8209999999998</v>
      </c>
      <c r="AO1661" s="2088">
        <f t="shared" si="3792"/>
        <v>238.43999999999994</v>
      </c>
      <c r="AP1661" s="2088">
        <f t="shared" si="3792"/>
        <v>238.43999999999994</v>
      </c>
      <c r="AQ1661" s="2088">
        <f t="shared" si="3792"/>
        <v>217.45100000000002</v>
      </c>
      <c r="AR1661" s="2088">
        <f t="shared" si="3792"/>
        <v>204.12600000000003</v>
      </c>
      <c r="AS1661" s="2088">
        <f t="shared" si="3792"/>
        <v>217.43200000000004</v>
      </c>
      <c r="AT1661" s="2088">
        <f t="shared" si="3792"/>
        <v>260.46699999999987</v>
      </c>
      <c r="AU1661" s="2088">
        <f t="shared" si="3792"/>
        <v>260.46699999999987</v>
      </c>
      <c r="AV1661" s="2088">
        <f t="shared" si="3792"/>
        <v>247.70199999999988</v>
      </c>
      <c r="AW1661" s="2088">
        <f t="shared" si="3792"/>
        <v>235.13499999999988</v>
      </c>
      <c r="AX1661" s="2088">
        <f t="shared" si="3792"/>
        <v>267.87099999999998</v>
      </c>
      <c r="AY1661" s="2088">
        <f>AY1565</f>
        <v>292.99499999999972</v>
      </c>
      <c r="AZ1661" s="2088">
        <f>AZ1565</f>
        <v>292.99499999999972</v>
      </c>
      <c r="BA1661" s="2088">
        <f t="shared" si="3792"/>
        <v>287.6949999999996</v>
      </c>
      <c r="BB1661" s="2088">
        <f t="shared" si="3792"/>
        <v>251.29899999999958</v>
      </c>
      <c r="BC1661" s="2088">
        <f t="shared" si="3792"/>
        <v>230.70699999999957</v>
      </c>
      <c r="BD1661" s="2088">
        <f t="shared" si="3792"/>
        <v>208.67299999999966</v>
      </c>
      <c r="BE1661" s="2088">
        <f t="shared" si="3792"/>
        <v>208.67299999999966</v>
      </c>
      <c r="BF1661" s="2088">
        <f t="shared" si="3787"/>
        <v>237.72899999999976</v>
      </c>
      <c r="BG1661" s="2088">
        <f t="shared" si="3787"/>
        <v>233.11799999999974</v>
      </c>
      <c r="BH1661" s="2088">
        <f t="shared" si="3787"/>
        <v>223.48899999999966</v>
      </c>
      <c r="BI1661" s="2088">
        <f t="shared" si="3787"/>
        <v>237.00899999999973</v>
      </c>
      <c r="BJ1661" s="2088">
        <f t="shared" si="3787"/>
        <v>237.00899999999973</v>
      </c>
      <c r="BK1661" s="2088">
        <f t="shared" si="3787"/>
        <v>214.23799999999969</v>
      </c>
      <c r="BL1661" s="2088">
        <f t="shared" si="3788"/>
        <v>221.35999999999967</v>
      </c>
      <c r="BM1661" s="2088">
        <f t="shared" si="3788"/>
        <v>201.76799999999972</v>
      </c>
      <c r="BN1661" s="2088">
        <f t="shared" si="3788"/>
        <v>229.50999999999974</v>
      </c>
      <c r="BO1661" s="2088">
        <f t="shared" si="3788"/>
        <v>229.50999999999974</v>
      </c>
      <c r="BP1661" s="2088">
        <f t="shared" si="3789"/>
        <v>259.48799999999977</v>
      </c>
      <c r="BQ1661" s="2088">
        <f t="shared" si="3789"/>
        <v>224.39899999999983</v>
      </c>
      <c r="BR1661" s="2088">
        <f t="shared" si="3789"/>
        <v>264.90699999999958</v>
      </c>
      <c r="BS1661" s="2088">
        <f t="shared" si="3789"/>
        <v>277.95299999999992</v>
      </c>
      <c r="BT1661" s="3268">
        <f t="shared" si="3789"/>
        <v>277.95299999999992</v>
      </c>
      <c r="BU1661" s="2088">
        <f t="shared" si="3790"/>
        <v>309.30133940693827</v>
      </c>
      <c r="BV1661" s="2088">
        <f t="shared" si="3790"/>
        <v>363.04690894997117</v>
      </c>
      <c r="BW1661" s="2088">
        <f t="shared" si="3790"/>
        <v>382.69028201256134</v>
      </c>
      <c r="BX1661" s="2088">
        <f t="shared" si="3790"/>
        <v>425.46427251445709</v>
      </c>
      <c r="BY1661" s="3268">
        <f t="shared" si="3790"/>
        <v>425.46427251445709</v>
      </c>
      <c r="BZ1661" s="2088">
        <f t="shared" si="3792"/>
        <v>414.2020599770957</v>
      </c>
      <c r="CA1661" s="2088">
        <f t="shared" si="3792"/>
        <v>624.10862582614357</v>
      </c>
      <c r="CB1661" s="2088">
        <f t="shared" si="3791"/>
        <v>-6252.2665324495902</v>
      </c>
      <c r="CC1661" s="2088">
        <f t="shared" si="3791"/>
        <v>-6159.1745943703236</v>
      </c>
      <c r="CD1661" s="2088">
        <f t="shared" si="3791"/>
        <v>-6063.1931594064272</v>
      </c>
      <c r="CE1661" s="2088">
        <f t="shared" si="3791"/>
        <v>-5955.209849118748</v>
      </c>
      <c r="CF1661" s="2088">
        <f t="shared" si="3791"/>
        <v>-5816.9029355274497</v>
      </c>
      <c r="CG1661" s="476"/>
      <c r="CH1661" s="476"/>
      <c r="CI1661" s="476"/>
      <c r="CJ1661" s="476"/>
      <c r="CK1661" s="476"/>
      <c r="CL1661" s="526"/>
      <c r="CM1661" s="476"/>
      <c r="CN1661" s="476"/>
      <c r="CO1661" s="476"/>
      <c r="CP1661" s="476"/>
      <c r="CQ1661" s="476"/>
      <c r="CR1661" s="476"/>
      <c r="CS1661" s="476"/>
      <c r="CT1661" s="476"/>
      <c r="CU1661" s="476"/>
      <c r="CV1661" s="476"/>
      <c r="CW1661" s="476"/>
      <c r="CX1661" s="476"/>
      <c r="CY1661" s="476"/>
      <c r="CZ1661" s="476"/>
      <c r="DA1661" s="476"/>
      <c r="DB1661" s="476"/>
      <c r="DC1661" s="476"/>
      <c r="DD1661" s="476"/>
      <c r="DE1661" s="476"/>
      <c r="DF1661" s="598"/>
      <c r="DG1661" s="598"/>
      <c r="DH1661" s="2577"/>
      <c r="DI1661" s="3213"/>
      <c r="DJ1661" s="598"/>
      <c r="DK1661" s="598"/>
      <c r="DL1661" s="598"/>
      <c r="DM1661" s="598"/>
      <c r="DN1661" s="598"/>
      <c r="DO1661" s="598"/>
      <c r="DP1661" s="598"/>
      <c r="DQ1661" s="598"/>
      <c r="DR1661" s="660"/>
      <c r="DS1661" s="660"/>
      <c r="DT1661" s="660"/>
    </row>
    <row r="1662" spans="1:124" ht="12" customHeight="1" x14ac:dyDescent="0.25">
      <c r="A1662" s="2087"/>
      <c r="B1662" s="2087"/>
      <c r="C1662" s="2088"/>
      <c r="D1662" s="2088"/>
      <c r="E1662" s="2088"/>
      <c r="F1662" s="2088"/>
      <c r="G1662" s="2088"/>
      <c r="H1662" s="2088"/>
      <c r="I1662" s="2088"/>
      <c r="J1662" s="2088"/>
      <c r="K1662" s="2088"/>
      <c r="L1662" s="2088"/>
      <c r="M1662" s="2088"/>
      <c r="N1662" s="2088"/>
      <c r="O1662" s="2088"/>
      <c r="P1662" s="2088"/>
      <c r="Q1662" s="2088"/>
      <c r="R1662" s="2088"/>
      <c r="S1662" s="2088"/>
      <c r="T1662" s="2088"/>
      <c r="U1662" s="2088"/>
      <c r="V1662" s="2088"/>
      <c r="W1662" s="2088"/>
      <c r="X1662" s="2088"/>
      <c r="Y1662" s="2088"/>
      <c r="Z1662" s="2088"/>
      <c r="AA1662" s="2088"/>
      <c r="AB1662" s="2088"/>
      <c r="AC1662" s="2088"/>
      <c r="AD1662" s="2088"/>
      <c r="AE1662" s="2088"/>
      <c r="AF1662" s="2088"/>
      <c r="AG1662" s="2088"/>
      <c r="AH1662" s="2088"/>
      <c r="AI1662" s="2088"/>
      <c r="AJ1662" s="2088"/>
      <c r="AK1662" s="2088"/>
      <c r="AL1662" s="2088"/>
      <c r="AM1662" s="2088"/>
      <c r="AN1662" s="2088"/>
      <c r="AO1662" s="2088"/>
      <c r="AP1662" s="2088"/>
      <c r="AQ1662" s="2088"/>
      <c r="AR1662" s="2088"/>
      <c r="AS1662" s="2088"/>
      <c r="AT1662" s="2088"/>
      <c r="AU1662" s="2088"/>
      <c r="AV1662" s="2088"/>
      <c r="AW1662" s="2088"/>
      <c r="AX1662" s="2088"/>
      <c r="AY1662" s="2088"/>
      <c r="AZ1662" s="2088"/>
      <c r="BA1662" s="2088"/>
      <c r="BB1662" s="2088"/>
      <c r="BC1662" s="2088"/>
      <c r="BD1662" s="2088"/>
      <c r="BE1662" s="2088"/>
      <c r="BF1662" s="2088"/>
      <c r="BG1662" s="2088"/>
      <c r="BH1662" s="2088"/>
      <c r="BI1662" s="2088"/>
      <c r="BJ1662" s="2088"/>
      <c r="BK1662" s="2088"/>
      <c r="BL1662" s="2088"/>
      <c r="BM1662" s="2088"/>
      <c r="BN1662" s="2088"/>
      <c r="BO1662" s="2088"/>
      <c r="BP1662" s="2088"/>
      <c r="BQ1662" s="2088"/>
      <c r="BR1662" s="2088"/>
      <c r="BS1662" s="2088"/>
      <c r="BT1662" s="3268"/>
      <c r="BU1662" s="2088"/>
      <c r="BV1662" s="2088"/>
      <c r="BW1662" s="2088"/>
      <c r="BX1662" s="2088"/>
      <c r="BY1662" s="3268"/>
      <c r="BZ1662" s="2088"/>
      <c r="CA1662" s="2088"/>
      <c r="CB1662" s="2088"/>
      <c r="CC1662" s="2088"/>
      <c r="CD1662" s="2088"/>
      <c r="CE1662" s="2088"/>
      <c r="CF1662" s="2088"/>
      <c r="CG1662" s="476"/>
      <c r="CH1662" s="476"/>
      <c r="CI1662" s="476"/>
      <c r="CJ1662" s="476"/>
      <c r="CK1662" s="476"/>
      <c r="CL1662" s="526"/>
      <c r="CM1662" s="476"/>
      <c r="CN1662" s="476"/>
      <c r="CO1662" s="476"/>
      <c r="CP1662" s="476"/>
      <c r="CQ1662" s="476"/>
      <c r="CR1662" s="476"/>
      <c r="CS1662" s="476"/>
      <c r="CT1662" s="476"/>
      <c r="CU1662" s="476"/>
      <c r="CV1662" s="476"/>
      <c r="CW1662" s="476"/>
      <c r="CX1662" s="476"/>
      <c r="CY1662" s="476"/>
      <c r="CZ1662" s="476"/>
      <c r="DA1662" s="476"/>
      <c r="DB1662" s="476"/>
      <c r="DC1662" s="476"/>
      <c r="DD1662" s="476"/>
      <c r="DE1662" s="476"/>
      <c r="DF1662" s="598"/>
      <c r="DG1662" s="598"/>
      <c r="DH1662" s="2577"/>
      <c r="DI1662" s="3213"/>
      <c r="DJ1662" s="598"/>
      <c r="DK1662" s="598"/>
      <c r="DL1662" s="598"/>
      <c r="DM1662" s="598"/>
      <c r="DN1662" s="598"/>
      <c r="DO1662" s="598"/>
      <c r="DP1662" s="598"/>
      <c r="DQ1662" s="598"/>
      <c r="DR1662" s="660"/>
      <c r="DS1662" s="660"/>
      <c r="DT1662" s="660"/>
    </row>
    <row r="1663" spans="1:124" ht="12" customHeight="1" x14ac:dyDescent="0.25">
      <c r="A1663" s="2085" t="s">
        <v>2005</v>
      </c>
      <c r="B1663" s="2087"/>
      <c r="C1663" s="2088">
        <f t="shared" ref="C1663:AH1663" si="3793">C54</f>
        <v>70.881999999999991</v>
      </c>
      <c r="D1663" s="2088">
        <f t="shared" si="3793"/>
        <v>75.856000000000009</v>
      </c>
      <c r="E1663" s="2088">
        <f t="shared" si="3793"/>
        <v>72.390000000000015</v>
      </c>
      <c r="F1663" s="2088">
        <f t="shared" si="3793"/>
        <v>67.108000000000004</v>
      </c>
      <c r="G1663" s="2088">
        <f t="shared" si="3793"/>
        <v>286.23599999999999</v>
      </c>
      <c r="H1663" s="2088">
        <f t="shared" si="3793"/>
        <v>72.173000000000002</v>
      </c>
      <c r="I1663" s="2088">
        <f t="shared" si="3793"/>
        <v>78.614999999999981</v>
      </c>
      <c r="J1663" s="2088">
        <f t="shared" si="3793"/>
        <v>78.572999999999993</v>
      </c>
      <c r="K1663" s="2088">
        <f t="shared" si="3793"/>
        <v>143.92500000000001</v>
      </c>
      <c r="L1663" s="2088">
        <f t="shared" si="3793"/>
        <v>373.286</v>
      </c>
      <c r="M1663" s="2088">
        <f t="shared" si="3793"/>
        <v>164.815</v>
      </c>
      <c r="N1663" s="2088">
        <f t="shared" si="3793"/>
        <v>155.13400000000001</v>
      </c>
      <c r="O1663" s="2088">
        <f t="shared" si="3793"/>
        <v>162.83499999999998</v>
      </c>
      <c r="P1663" s="2088">
        <f t="shared" si="3793"/>
        <v>146.44100000000003</v>
      </c>
      <c r="Q1663" s="2088">
        <f t="shared" si="3793"/>
        <v>629.22499999999991</v>
      </c>
      <c r="R1663" s="2088">
        <f t="shared" si="3793"/>
        <v>167.69900000000001</v>
      </c>
      <c r="S1663" s="2088">
        <f t="shared" si="3793"/>
        <v>172.75800000000001</v>
      </c>
      <c r="T1663" s="2088">
        <f t="shared" si="3793"/>
        <v>177.636</v>
      </c>
      <c r="U1663" s="2088">
        <f t="shared" si="3793"/>
        <v>154.63399999999999</v>
      </c>
      <c r="V1663" s="2088">
        <f t="shared" si="3793"/>
        <v>672.72700000000009</v>
      </c>
      <c r="W1663" s="2088">
        <f t="shared" si="3793"/>
        <v>161.84899999999999</v>
      </c>
      <c r="X1663" s="2088">
        <f t="shared" si="3793"/>
        <v>164.24899999999997</v>
      </c>
      <c r="Y1663" s="2088">
        <f t="shared" si="3793"/>
        <v>168.29500000000002</v>
      </c>
      <c r="Z1663" s="2088">
        <f t="shared" si="3793"/>
        <v>145.185</v>
      </c>
      <c r="AA1663" s="2088">
        <f t="shared" si="3793"/>
        <v>639.57799999999997</v>
      </c>
      <c r="AB1663" s="2088">
        <f t="shared" si="3793"/>
        <v>158.85900000000001</v>
      </c>
      <c r="AC1663" s="2088">
        <f t="shared" si="3793"/>
        <v>141.73000000000002</v>
      </c>
      <c r="AD1663" s="2088">
        <f t="shared" si="3793"/>
        <v>156.642</v>
      </c>
      <c r="AE1663" s="2088">
        <f t="shared" si="3793"/>
        <v>133.71799999999996</v>
      </c>
      <c r="AF1663" s="2088">
        <f t="shared" si="3793"/>
        <v>590.94900000000007</v>
      </c>
      <c r="AG1663" s="2088">
        <f t="shared" si="3793"/>
        <v>149.11800000000002</v>
      </c>
      <c r="AH1663" s="2088">
        <f t="shared" si="3793"/>
        <v>148.82599999999999</v>
      </c>
      <c r="AI1663" s="2088">
        <f t="shared" ref="AI1663:BN1663" si="3794">AI54</f>
        <v>164.80900000000003</v>
      </c>
      <c r="AJ1663" s="2088">
        <f t="shared" si="3794"/>
        <v>150.286</v>
      </c>
      <c r="AK1663" s="2088">
        <f t="shared" si="3794"/>
        <v>613.03899999999987</v>
      </c>
      <c r="AL1663" s="2088">
        <f t="shared" si="3794"/>
        <v>178.035</v>
      </c>
      <c r="AM1663" s="2088">
        <f t="shared" si="3794"/>
        <v>190.58</v>
      </c>
      <c r="AN1663" s="2088">
        <f t="shared" si="3794"/>
        <v>191.90600000000006</v>
      </c>
      <c r="AO1663" s="2088">
        <f t="shared" si="3794"/>
        <v>161.273</v>
      </c>
      <c r="AP1663" s="2088">
        <f t="shared" si="3794"/>
        <v>721.79399999999998</v>
      </c>
      <c r="AQ1663" s="2088">
        <f t="shared" si="3794"/>
        <v>207.13999999999996</v>
      </c>
      <c r="AR1663" s="2088">
        <f t="shared" si="3794"/>
        <v>199.19800000000001</v>
      </c>
      <c r="AS1663" s="2088">
        <f t="shared" si="3794"/>
        <v>198.09100000000004</v>
      </c>
      <c r="AT1663" s="2088">
        <f t="shared" si="3794"/>
        <v>185.10299999999995</v>
      </c>
      <c r="AU1663" s="2088">
        <f t="shared" si="3794"/>
        <v>789.53199999999981</v>
      </c>
      <c r="AV1663" s="2088">
        <f t="shared" si="3794"/>
        <v>227.80699999999999</v>
      </c>
      <c r="AW1663" s="2088">
        <f t="shared" si="3794"/>
        <v>219.12</v>
      </c>
      <c r="AX1663" s="2088">
        <f t="shared" si="3794"/>
        <v>190.798</v>
      </c>
      <c r="AY1663" s="2088">
        <f t="shared" si="3794"/>
        <v>83.691999999999993</v>
      </c>
      <c r="AZ1663" s="2088">
        <f t="shared" si="3794"/>
        <v>721.41700000000003</v>
      </c>
      <c r="BA1663" s="2088">
        <f t="shared" si="3794"/>
        <v>76.324000000000012</v>
      </c>
      <c r="BB1663" s="2088">
        <f t="shared" si="3794"/>
        <v>82.21999999999997</v>
      </c>
      <c r="BC1663" s="2088">
        <f t="shared" si="3794"/>
        <v>65.87</v>
      </c>
      <c r="BD1663" s="2088">
        <f t="shared" si="3794"/>
        <v>64.189000000000007</v>
      </c>
      <c r="BE1663" s="2088">
        <f t="shared" si="3794"/>
        <v>288.60299999999995</v>
      </c>
      <c r="BF1663" s="2088">
        <f t="shared" si="3794"/>
        <v>75.533999999999963</v>
      </c>
      <c r="BG1663" s="2088">
        <f t="shared" si="3794"/>
        <v>85.863</v>
      </c>
      <c r="BH1663" s="2088">
        <f t="shared" si="3794"/>
        <v>101.26199999999997</v>
      </c>
      <c r="BI1663" s="2088">
        <f t="shared" si="3794"/>
        <v>96.703797168966673</v>
      </c>
      <c r="BJ1663" s="2088">
        <f t="shared" si="3794"/>
        <v>359.36279716896661</v>
      </c>
      <c r="BK1663" s="2088">
        <f t="shared" si="3794"/>
        <v>101.48700000000001</v>
      </c>
      <c r="BL1663" s="2088">
        <f t="shared" si="3794"/>
        <v>112.97999999999998</v>
      </c>
      <c r="BM1663" s="2088">
        <f t="shared" si="3794"/>
        <v>101.55000000000003</v>
      </c>
      <c r="BN1663" s="2088">
        <f t="shared" si="3794"/>
        <v>85.484000000000023</v>
      </c>
      <c r="BO1663" s="2088">
        <f t="shared" ref="BO1663:CF1663" si="3795">BO54</f>
        <v>401.50099999999998</v>
      </c>
      <c r="BP1663" s="2088">
        <f t="shared" si="3795"/>
        <v>109.25999999999998</v>
      </c>
      <c r="BQ1663" s="2088">
        <f t="shared" si="3795"/>
        <v>105.23800000000003</v>
      </c>
      <c r="BR1663" s="2088">
        <f t="shared" si="3795"/>
        <v>107.29799999999997</v>
      </c>
      <c r="BS1663" s="2088">
        <f t="shared" si="3795"/>
        <v>68.779000000000039</v>
      </c>
      <c r="BT1663" s="3268">
        <f t="shared" si="3795"/>
        <v>390.57499999999999</v>
      </c>
      <c r="BU1663" s="2088">
        <f t="shared" si="3795"/>
        <v>113.63943081864737</v>
      </c>
      <c r="BV1663" s="2088">
        <f t="shared" si="3795"/>
        <v>122.08823740241228</v>
      </c>
      <c r="BW1663" s="2088">
        <f t="shared" si="3795"/>
        <v>174.50276629325106</v>
      </c>
      <c r="BX1663" s="2088">
        <f t="shared" si="3795"/>
        <v>147.48213060968766</v>
      </c>
      <c r="BY1663" s="3268">
        <f t="shared" si="3795"/>
        <v>557.7125651239985</v>
      </c>
      <c r="BZ1663" s="2088">
        <f t="shared" si="3795"/>
        <v>731.76836306392568</v>
      </c>
      <c r="CA1663" s="2088">
        <f t="shared" si="3795"/>
        <v>712.93162484105585</v>
      </c>
      <c r="CB1663" s="2088">
        <f t="shared" si="3795"/>
        <v>331.41049901397969</v>
      </c>
      <c r="CC1663" s="2088">
        <f t="shared" si="3795"/>
        <v>265.50484095538252</v>
      </c>
      <c r="CD1663" s="2088">
        <f t="shared" si="3795"/>
        <v>281.51134530596107</v>
      </c>
      <c r="CE1663" s="2088">
        <f t="shared" si="3795"/>
        <v>298.73207446100207</v>
      </c>
      <c r="CF1663" s="2088">
        <f t="shared" si="3795"/>
        <v>314.74699192055084</v>
      </c>
      <c r="CG1663" s="476"/>
      <c r="CH1663" s="476"/>
      <c r="CI1663" s="476"/>
      <c r="CJ1663" s="476"/>
      <c r="CK1663" s="476"/>
      <c r="CL1663" s="526"/>
      <c r="CM1663" s="476"/>
      <c r="CN1663" s="476"/>
      <c r="CO1663" s="476"/>
      <c r="CP1663" s="476"/>
      <c r="CQ1663" s="476"/>
      <c r="CR1663" s="476"/>
      <c r="CS1663" s="476"/>
      <c r="CT1663" s="476"/>
      <c r="CU1663" s="476"/>
      <c r="CV1663" s="476"/>
      <c r="CW1663" s="476"/>
      <c r="CX1663" s="476"/>
      <c r="CY1663" s="476"/>
      <c r="CZ1663" s="476"/>
      <c r="DA1663" s="476"/>
      <c r="DB1663" s="476"/>
      <c r="DC1663" s="476"/>
      <c r="DD1663" s="476"/>
      <c r="DE1663" s="476"/>
      <c r="DF1663" s="598"/>
      <c r="DG1663" s="598"/>
      <c r="DH1663" s="2577"/>
      <c r="DI1663" s="3213"/>
      <c r="DJ1663" s="598"/>
      <c r="DK1663" s="598"/>
      <c r="DL1663" s="598"/>
      <c r="DM1663" s="598"/>
      <c r="DN1663" s="598"/>
      <c r="DO1663" s="598"/>
      <c r="DP1663" s="598"/>
      <c r="DQ1663" s="598"/>
      <c r="DR1663" s="660"/>
      <c r="DS1663" s="660"/>
      <c r="DT1663" s="660"/>
    </row>
    <row r="1664" spans="1:124" ht="12" customHeight="1" x14ac:dyDescent="0.25">
      <c r="A1664" s="281"/>
      <c r="B1664" s="281"/>
      <c r="C1664" s="305"/>
      <c r="D1664" s="305"/>
      <c r="E1664" s="305"/>
      <c r="F1664" s="305"/>
      <c r="G1664" s="444"/>
      <c r="H1664" s="305"/>
      <c r="I1664" s="305"/>
      <c r="J1664" s="305"/>
      <c r="K1664" s="305"/>
      <c r="L1664" s="444"/>
      <c r="M1664" s="305"/>
      <c r="N1664" s="305"/>
      <c r="O1664" s="305"/>
      <c r="P1664" s="305"/>
      <c r="Q1664" s="444"/>
      <c r="R1664" s="305"/>
      <c r="S1664" s="305"/>
      <c r="T1664" s="305"/>
      <c r="U1664" s="305"/>
      <c r="V1664" s="444"/>
      <c r="W1664" s="305"/>
      <c r="X1664" s="305"/>
      <c r="Y1664" s="305"/>
      <c r="Z1664" s="305"/>
      <c r="AA1664" s="444"/>
      <c r="AB1664" s="305"/>
      <c r="AC1664" s="305"/>
      <c r="AD1664" s="305"/>
      <c r="AE1664" s="331"/>
      <c r="AF1664" s="442"/>
      <c r="AG1664" s="331"/>
      <c r="AH1664" s="331"/>
      <c r="AI1664" s="331"/>
      <c r="AJ1664" s="331"/>
      <c r="AK1664" s="442"/>
      <c r="AL1664" s="442"/>
      <c r="AM1664" s="442"/>
      <c r="AN1664" s="442"/>
      <c r="AO1664" s="442"/>
      <c r="AP1664" s="331"/>
      <c r="AQ1664" s="442"/>
      <c r="AR1664" s="442"/>
      <c r="AS1664" s="442"/>
      <c r="AT1664" s="442"/>
      <c r="AU1664" s="331"/>
      <c r="AV1664" s="331"/>
      <c r="AW1664" s="331"/>
      <c r="AX1664" s="331"/>
      <c r="AY1664" s="331"/>
      <c r="AZ1664" s="331"/>
      <c r="BA1664" s="331"/>
      <c r="BB1664" s="331"/>
      <c r="BC1664" s="331"/>
      <c r="BD1664" s="331"/>
      <c r="BE1664" s="331"/>
      <c r="BF1664" s="331"/>
      <c r="BG1664" s="331"/>
      <c r="BH1664" s="331"/>
      <c r="BI1664" s="331"/>
      <c r="BJ1664" s="331"/>
      <c r="BK1664" s="331"/>
      <c r="BL1664" s="331"/>
      <c r="BM1664" s="331"/>
      <c r="BN1664" s="331"/>
      <c r="BO1664" s="331"/>
      <c r="BP1664" s="331"/>
      <c r="BQ1664" s="331"/>
      <c r="BR1664" s="331"/>
      <c r="BS1664" s="331"/>
      <c r="BT1664" s="2601"/>
      <c r="BU1664" s="2601"/>
      <c r="BV1664" s="2601"/>
      <c r="BW1664" s="2601"/>
      <c r="BX1664" s="2601"/>
      <c r="BY1664" s="2601"/>
      <c r="BZ1664" s="331"/>
      <c r="CA1664" s="331"/>
      <c r="CB1664" s="331"/>
      <c r="CC1664" s="331"/>
      <c r="CD1664" s="331"/>
      <c r="CE1664" s="331"/>
      <c r="CF1664" s="331"/>
      <c r="CG1664" s="331"/>
      <c r="CH1664" s="331"/>
      <c r="CI1664" s="331"/>
      <c r="CJ1664" s="331"/>
      <c r="CK1664" s="331"/>
      <c r="CL1664" s="428"/>
      <c r="CM1664" s="331"/>
      <c r="CN1664" s="331"/>
      <c r="CO1664" s="331"/>
      <c r="CP1664" s="331"/>
      <c r="CQ1664" s="331"/>
      <c r="CR1664" s="331"/>
      <c r="CS1664" s="331"/>
      <c r="CT1664" s="331"/>
      <c r="CU1664" s="331"/>
      <c r="CV1664" s="331"/>
      <c r="CW1664" s="331"/>
      <c r="CX1664" s="331"/>
      <c r="CY1664" s="331"/>
      <c r="CZ1664" s="331"/>
      <c r="DA1664" s="331"/>
      <c r="DB1664" s="331"/>
      <c r="DC1664" s="331"/>
      <c r="DD1664" s="331"/>
      <c r="DE1664" s="331"/>
      <c r="DF1664" s="502"/>
      <c r="DG1664" s="503"/>
      <c r="DH1664" s="2601"/>
      <c r="DI1664" s="3213"/>
      <c r="DJ1664" s="502"/>
      <c r="DK1664" s="503"/>
      <c r="DL1664" s="502"/>
      <c r="DM1664" s="502"/>
      <c r="DN1664" s="502"/>
      <c r="DO1664" s="502"/>
      <c r="DP1664" s="503"/>
      <c r="DQ1664" s="503"/>
      <c r="DR1664" s="296"/>
      <c r="DS1664" s="296"/>
      <c r="DT1664" s="296"/>
    </row>
    <row r="1665" spans="73:113" ht="12" customHeight="1" x14ac:dyDescent="0.25">
      <c r="BU1665"/>
      <c r="BV1665"/>
      <c r="BW1665"/>
      <c r="BX1665"/>
      <c r="BY1665"/>
      <c r="DH1665"/>
      <c r="DI1665"/>
    </row>
  </sheetData>
  <phoneticPr fontId="13" type="noConversion"/>
  <hyperlinks>
    <hyperlink ref="C1554" r:id="rId1" display="=C98-@sum(C80:C96)"/>
    <hyperlink ref="D1554:F1554" r:id="rId2" display="=C98-@sum(C80:C96)"/>
    <hyperlink ref="H1554:K1554" r:id="rId3" display="=C98-@sum(C80:C96)"/>
    <hyperlink ref="M1554:P1554" r:id="rId4" display="=C98-@sum(C80:C96)"/>
    <hyperlink ref="R1554:U1554" r:id="rId5" display="=C98-@sum(C80:C96)"/>
    <hyperlink ref="W1554:Z1554" r:id="rId6" display="=C98-@sum(C80:C96)"/>
    <hyperlink ref="AB1554:AE1554" r:id="rId7" display="=C98-@sum(C80:C96)"/>
    <hyperlink ref="AG1554" r:id="rId8" display="=C98-@sum(C80:C96)"/>
    <hyperlink ref="AH1554" r:id="rId9" display="=C98-@sum(C80:C96)"/>
    <hyperlink ref="AJ1554" r:id="rId10" display="=C98-@sum(C80:C96)"/>
    <hyperlink ref="AI1554" r:id="rId11" display="=C98-@sum(C80:C96)"/>
    <hyperlink ref="AQ1554" r:id="rId12" display="=C98-@sum(C80:C96)"/>
    <hyperlink ref="AR1554" r:id="rId13" display="=C98-@sum(C80:C96)"/>
    <hyperlink ref="AL1554:AO1554" r:id="rId14" display="=C98-@sum(C80:C96)"/>
  </hyperlinks>
  <pageMargins left="0" right="0" top="0" bottom="0" header="0" footer="0"/>
  <pageSetup paperSize="5" scale="10" orientation="landscape" r:id="rId15"/>
  <headerFooter alignWithMargins="0"/>
  <rowBreaks count="11" manualBreakCount="11">
    <brk id="124" max="59" man="1"/>
    <brk id="214" max="59" man="1"/>
    <brk id="358" max="59" man="1"/>
    <brk id="447" max="59" man="1"/>
    <brk id="579" max="59" man="1"/>
    <brk id="843" max="59" man="1"/>
    <brk id="760" max="59" man="1"/>
    <brk id="1143" max="59" man="1"/>
    <brk id="1273" max="59" man="1"/>
    <brk id="1426" max="59" man="1"/>
    <brk id="1558" max="59" man="1"/>
  </rowBreaks>
  <colBreaks count="2" manualBreakCount="2">
    <brk id="17" max="1441" man="1"/>
    <brk id="88" max="728" man="1"/>
  </colBreaks>
  <ignoredErrors>
    <ignoredError sqref="AP1642 AA1332:AF1332 G1284" formula="1"/>
    <ignoredError sqref="D1642" evalError="1"/>
  </ignoredErrors>
  <legacyDrawing r:id="rId1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IS136"/>
  <sheetViews>
    <sheetView showGridLines="0" zoomScale="85" zoomScaleNormal="85" workbookViewId="0">
      <selection activeCell="H50" sqref="H50"/>
    </sheetView>
  </sheetViews>
  <sheetFormatPr defaultRowHeight="14.1" customHeight="1" outlineLevelRow="1" outlineLevelCol="1" x14ac:dyDescent="0.25"/>
  <cols>
    <col min="1" max="1" width="37.125" customWidth="1"/>
    <col min="2" max="2" width="10.625" hidden="1" customWidth="1" outlineLevel="1"/>
    <col min="3" max="3" width="10.625" customWidth="1" collapsed="1"/>
    <col min="4" max="4" width="5.625" customWidth="1"/>
    <col min="5" max="5" width="9.625" customWidth="1"/>
    <col min="6" max="6" width="5.625" customWidth="1"/>
    <col min="7" max="7" width="10.625" hidden="1" customWidth="1" outlineLevel="1"/>
    <col min="8" max="8" width="10.625" customWidth="1" collapsed="1"/>
    <col min="10" max="10" width="25.625" bestFit="1" customWidth="1"/>
    <col min="12" max="12" width="8.875" customWidth="1"/>
    <col min="13" max="13" width="15.625" customWidth="1"/>
    <col min="14" max="14" width="10.625" customWidth="1"/>
    <col min="15" max="15" width="22.125" customWidth="1"/>
    <col min="19" max="21" width="10.625" customWidth="1"/>
    <col min="23" max="23" width="32.625" style="1454" customWidth="1"/>
    <col min="24" max="26" width="9" style="1454"/>
    <col min="27" max="27" width="35.625" style="1454" customWidth="1"/>
    <col min="28" max="16384" width="9" style="1454"/>
  </cols>
  <sheetData>
    <row r="1" spans="1:24" customFormat="1" ht="14.1" customHeight="1" x14ac:dyDescent="0.25">
      <c r="A1" s="10" t="s">
        <v>892</v>
      </c>
      <c r="B1" s="426"/>
      <c r="C1" s="426"/>
      <c r="D1" s="11"/>
      <c r="E1" s="11"/>
      <c r="F1" s="876"/>
      <c r="G1" s="11"/>
      <c r="H1" s="11"/>
      <c r="I1" s="280"/>
      <c r="J1" s="274"/>
      <c r="K1" s="274"/>
      <c r="L1" s="274"/>
      <c r="M1" s="11"/>
      <c r="N1" s="11"/>
      <c r="O1" s="11"/>
      <c r="P1" s="11"/>
      <c r="Q1" s="11"/>
      <c r="R1" s="11"/>
      <c r="S1" s="11"/>
      <c r="T1" s="11"/>
      <c r="U1" s="11"/>
      <c r="V1" s="11"/>
      <c r="W1" s="11"/>
      <c r="X1" s="11"/>
    </row>
    <row r="2" spans="1:24" customFormat="1" ht="14.1" customHeight="1" x14ac:dyDescent="0.25">
      <c r="A2" s="10" t="s">
        <v>1904</v>
      </c>
      <c r="B2" s="426"/>
      <c r="C2" s="426"/>
      <c r="D2" s="11"/>
      <c r="E2" s="11"/>
      <c r="F2" s="274"/>
      <c r="G2" s="11"/>
      <c r="H2" s="11"/>
      <c r="I2" s="11"/>
      <c r="J2" s="274"/>
      <c r="K2" s="274"/>
      <c r="L2" s="274"/>
      <c r="M2" s="11"/>
      <c r="N2" s="11"/>
      <c r="O2" s="11"/>
      <c r="P2" s="11"/>
      <c r="Q2" s="11"/>
      <c r="R2" s="11"/>
      <c r="S2" s="11"/>
      <c r="T2" s="11"/>
      <c r="U2" s="11"/>
      <c r="V2" s="11"/>
      <c r="W2" s="11"/>
      <c r="X2" s="11"/>
    </row>
    <row r="3" spans="1:24" customFormat="1" ht="14.1" customHeight="1" x14ac:dyDescent="0.25">
      <c r="A3" s="296"/>
      <c r="B3" s="426"/>
      <c r="C3" s="426"/>
      <c r="D3" s="11"/>
      <c r="E3" s="11"/>
      <c r="F3" s="274"/>
      <c r="G3" s="11"/>
      <c r="H3" s="11"/>
      <c r="I3" s="11"/>
      <c r="J3" s="274"/>
      <c r="K3" s="274"/>
      <c r="L3" s="274"/>
      <c r="M3" s="11"/>
      <c r="N3" s="11"/>
      <c r="O3" s="11"/>
      <c r="P3" s="11"/>
      <c r="Q3" s="11"/>
      <c r="R3" s="11"/>
      <c r="S3" s="11"/>
      <c r="T3" s="11"/>
      <c r="U3" s="11"/>
      <c r="V3" s="11"/>
      <c r="W3" s="11"/>
      <c r="X3" s="11"/>
    </row>
    <row r="4" spans="1:24" customFormat="1" ht="14.1" customHeight="1" x14ac:dyDescent="0.25">
      <c r="A4" s="2761"/>
      <c r="B4" s="2762" t="s">
        <v>2044</v>
      </c>
      <c r="C4" s="2762" t="s">
        <v>2045</v>
      </c>
      <c r="D4" s="2118"/>
      <c r="E4" s="2118"/>
      <c r="F4" s="2763"/>
      <c r="G4" s="2764" t="s">
        <v>2535</v>
      </c>
      <c r="H4" s="2764" t="s">
        <v>2585</v>
      </c>
      <c r="I4" s="11"/>
      <c r="J4" s="274"/>
      <c r="K4" s="274"/>
      <c r="L4" s="274"/>
      <c r="M4" s="11"/>
      <c r="N4" s="11"/>
      <c r="O4" s="11"/>
      <c r="P4" s="11"/>
      <c r="Q4" s="11"/>
      <c r="R4" s="11"/>
      <c r="S4" s="11"/>
      <c r="T4" s="11"/>
      <c r="U4" s="11"/>
      <c r="V4" s="11"/>
      <c r="W4" s="11"/>
      <c r="X4" s="11"/>
    </row>
    <row r="5" spans="1:24" customFormat="1" ht="14.1" customHeight="1" x14ac:dyDescent="0.25">
      <c r="A5" s="285" t="s">
        <v>1458</v>
      </c>
      <c r="B5" s="2765" t="s">
        <v>1833</v>
      </c>
      <c r="C5" s="2765" t="s">
        <v>1833</v>
      </c>
      <c r="D5" s="428"/>
      <c r="E5" s="688"/>
      <c r="F5" s="693"/>
      <c r="G5" s="2766" t="s">
        <v>1459</v>
      </c>
      <c r="H5" s="2766" t="s">
        <v>1459</v>
      </c>
      <c r="I5" s="11"/>
      <c r="J5" s="274"/>
      <c r="K5" s="274"/>
      <c r="L5" s="274"/>
      <c r="M5" s="11"/>
      <c r="N5" s="11"/>
      <c r="O5" s="11"/>
      <c r="P5" s="11"/>
      <c r="Q5" s="11"/>
      <c r="R5" s="11"/>
      <c r="S5" s="11"/>
      <c r="T5" s="11"/>
      <c r="U5" s="11"/>
      <c r="V5" s="11"/>
      <c r="W5" s="11"/>
      <c r="X5" s="11"/>
    </row>
    <row r="6" spans="1:24" customFormat="1" ht="14.1" customHeight="1" x14ac:dyDescent="0.25">
      <c r="A6" s="1262" t="s">
        <v>1911</v>
      </c>
      <c r="B6" s="690" t="s">
        <v>1624</v>
      </c>
      <c r="C6" s="690" t="s">
        <v>1624</v>
      </c>
      <c r="D6" s="431"/>
      <c r="E6" s="691" t="s">
        <v>1464</v>
      </c>
      <c r="F6" s="700"/>
      <c r="G6" s="2767" t="s">
        <v>1460</v>
      </c>
      <c r="H6" s="2767" t="s">
        <v>1460</v>
      </c>
      <c r="I6" s="11"/>
      <c r="J6" s="274"/>
      <c r="K6" s="274"/>
      <c r="L6" s="274"/>
      <c r="M6" s="11"/>
      <c r="N6" s="11"/>
      <c r="O6" s="11"/>
      <c r="P6" s="11"/>
      <c r="Q6" s="11"/>
      <c r="R6" s="11"/>
      <c r="S6" s="11"/>
      <c r="T6" s="11"/>
      <c r="U6" s="11"/>
      <c r="V6" s="11"/>
      <c r="W6" s="11"/>
      <c r="X6" s="11"/>
    </row>
    <row r="7" spans="1:24" customFormat="1" ht="14.1" customHeight="1" x14ac:dyDescent="0.25">
      <c r="A7" s="2768" t="s">
        <v>1788</v>
      </c>
      <c r="B7" s="692">
        <f>+PENN!BY265</f>
        <v>110.27235297822028</v>
      </c>
      <c r="C7" s="692">
        <f>+PENN!BZ265</f>
        <v>114.63752029293562</v>
      </c>
      <c r="D7" s="693" t="s">
        <v>1461</v>
      </c>
      <c r="E7" s="3134">
        <v>7.5</v>
      </c>
      <c r="F7" s="695" t="s">
        <v>144</v>
      </c>
      <c r="G7" s="2243">
        <f t="shared" ref="G7:G34" si="0">+B7*E7</f>
        <v>827.04264733665218</v>
      </c>
      <c r="H7" s="2243">
        <f>+C7*E7</f>
        <v>859.78140219701709</v>
      </c>
      <c r="I7" s="11"/>
      <c r="J7" s="2967"/>
      <c r="K7" s="274"/>
      <c r="L7" s="274"/>
      <c r="M7" s="11"/>
      <c r="N7" s="11"/>
      <c r="O7" s="11"/>
      <c r="P7" s="11"/>
      <c r="Q7" s="11"/>
      <c r="R7" s="11"/>
      <c r="S7" s="11"/>
      <c r="T7" s="11"/>
      <c r="U7" s="11"/>
      <c r="V7" s="11"/>
      <c r="W7" s="11"/>
      <c r="X7" s="11"/>
    </row>
    <row r="8" spans="1:24" customFormat="1" ht="14.1" customHeight="1" x14ac:dyDescent="0.25">
      <c r="A8" s="392" t="s">
        <v>443</v>
      </c>
      <c r="B8" s="697">
        <f>PENN!BY268</f>
        <v>91.103522646830669</v>
      </c>
      <c r="C8" s="697">
        <f>PENN!BZ268</f>
        <v>93.618169124830274</v>
      </c>
      <c r="D8" s="693" t="s">
        <v>1461</v>
      </c>
      <c r="E8" s="3134">
        <v>7.5</v>
      </c>
      <c r="F8" s="695" t="s">
        <v>144</v>
      </c>
      <c r="G8" s="1208">
        <f t="shared" si="0"/>
        <v>683.27641985123</v>
      </c>
      <c r="H8" s="1208">
        <f t="shared" ref="H8:H36" si="1">+C8*E8</f>
        <v>702.13626843622706</v>
      </c>
      <c r="I8" s="11"/>
      <c r="J8" s="2967"/>
      <c r="K8" s="274"/>
      <c r="L8" s="274"/>
      <c r="M8" s="11"/>
      <c r="N8" s="11"/>
      <c r="O8" s="11"/>
      <c r="P8" s="11"/>
      <c r="Q8" s="11"/>
      <c r="R8" s="11"/>
      <c r="S8" s="11"/>
      <c r="T8" s="11"/>
      <c r="U8" s="11"/>
      <c r="V8" s="11"/>
      <c r="W8" s="11"/>
      <c r="X8" s="11"/>
    </row>
    <row r="9" spans="1:24" customFormat="1" ht="14.1" customHeight="1" x14ac:dyDescent="0.25">
      <c r="A9" s="392" t="s">
        <v>636</v>
      </c>
      <c r="B9" s="697">
        <f>PENN!BY269</f>
        <v>83.86374641756889</v>
      </c>
      <c r="C9" s="697">
        <f>PENN!BZ269</f>
        <v>90.146156735624544</v>
      </c>
      <c r="D9" s="693" t="s">
        <v>1461</v>
      </c>
      <c r="E9" s="3134">
        <v>7.5</v>
      </c>
      <c r="F9" s="695" t="s">
        <v>144</v>
      </c>
      <c r="G9" s="1208">
        <f t="shared" si="0"/>
        <v>628.97809813176673</v>
      </c>
      <c r="H9" s="1208">
        <f t="shared" si="1"/>
        <v>676.09617551718407</v>
      </c>
      <c r="I9" s="11"/>
      <c r="J9" s="2967"/>
      <c r="K9" s="274"/>
      <c r="L9" s="274"/>
      <c r="M9" s="11"/>
      <c r="N9" s="11"/>
      <c r="O9" s="11"/>
      <c r="P9" s="11"/>
      <c r="Q9" s="11"/>
      <c r="R9" s="11"/>
      <c r="S9" s="11"/>
      <c r="T9" s="11"/>
      <c r="U9" s="11"/>
      <c r="V9" s="11"/>
      <c r="W9" s="11"/>
      <c r="X9" s="11"/>
    </row>
    <row r="10" spans="1:24" customFormat="1" ht="14.1" customHeight="1" x14ac:dyDescent="0.25">
      <c r="A10" s="995" t="s">
        <v>598</v>
      </c>
      <c r="B10" s="697">
        <f>PENN!BY1166*0.5</f>
        <v>30.926183904078457</v>
      </c>
      <c r="C10" s="697">
        <f>PENN!BZ1166*0.5</f>
        <v>31.058083765888682</v>
      </c>
      <c r="D10" s="693" t="s">
        <v>1461</v>
      </c>
      <c r="E10" s="3134">
        <v>7.5</v>
      </c>
      <c r="F10" s="695" t="s">
        <v>144</v>
      </c>
      <c r="G10" s="1208">
        <f t="shared" si="0"/>
        <v>231.94637928058842</v>
      </c>
      <c r="H10" s="1208">
        <f t="shared" si="1"/>
        <v>232.93562824416512</v>
      </c>
      <c r="I10" s="11"/>
      <c r="J10" s="2967"/>
      <c r="K10" s="274"/>
      <c r="L10" s="274"/>
      <c r="M10" s="11"/>
      <c r="N10" s="11"/>
      <c r="O10" s="11"/>
      <c r="P10" s="11"/>
      <c r="Q10" s="11"/>
      <c r="R10" s="11"/>
      <c r="S10" s="11"/>
      <c r="T10" s="11"/>
      <c r="U10" s="11"/>
      <c r="V10" s="11"/>
      <c r="W10" s="11"/>
      <c r="X10" s="11"/>
    </row>
    <row r="11" spans="1:24" customFormat="1" ht="14.1" customHeight="1" x14ac:dyDescent="0.25">
      <c r="A11" s="391" t="s">
        <v>1092</v>
      </c>
      <c r="B11" s="697">
        <f>PENN!BY296</f>
        <v>60.70144835986811</v>
      </c>
      <c r="C11" s="697">
        <f>PENN!BZ296</f>
        <v>62.222363604428594</v>
      </c>
      <c r="D11" s="693" t="s">
        <v>1461</v>
      </c>
      <c r="E11" s="3134">
        <v>7.5</v>
      </c>
      <c r="F11" s="695" t="s">
        <v>144</v>
      </c>
      <c r="G11" s="1208">
        <f t="shared" si="0"/>
        <v>455.26086269901083</v>
      </c>
      <c r="H11" s="1208">
        <f t="shared" si="1"/>
        <v>466.66772703321448</v>
      </c>
      <c r="I11" s="11"/>
      <c r="J11" s="2967"/>
      <c r="K11" s="274"/>
      <c r="L11" s="274"/>
      <c r="M11" s="11"/>
      <c r="N11" s="11"/>
      <c r="O11" s="11"/>
      <c r="P11" s="11"/>
      <c r="Q11" s="11"/>
      <c r="R11" s="11"/>
      <c r="S11" s="11"/>
      <c r="T11" s="696"/>
      <c r="U11" s="696"/>
      <c r="V11" s="696"/>
      <c r="W11" s="696"/>
      <c r="X11" s="696"/>
    </row>
    <row r="12" spans="1:24" customFormat="1" ht="14.1" customHeight="1" x14ac:dyDescent="0.25">
      <c r="A12" s="392" t="s">
        <v>1549</v>
      </c>
      <c r="B12" s="697">
        <f>PENN!BY267</f>
        <v>75.420701361488057</v>
      </c>
      <c r="C12" s="697">
        <f>PENN!BZ267</f>
        <v>78.401725758313432</v>
      </c>
      <c r="D12" s="693" t="s">
        <v>1461</v>
      </c>
      <c r="E12" s="3134">
        <v>7.5</v>
      </c>
      <c r="F12" s="695" t="s">
        <v>144</v>
      </c>
      <c r="G12" s="1208">
        <f t="shared" si="0"/>
        <v>565.65526021116045</v>
      </c>
      <c r="H12" s="1208">
        <f t="shared" si="1"/>
        <v>588.01294318735074</v>
      </c>
      <c r="I12" s="11"/>
      <c r="J12" s="2967"/>
      <c r="K12" s="274"/>
      <c r="L12" s="274"/>
      <c r="M12" s="11"/>
      <c r="N12" s="11"/>
      <c r="O12" s="11"/>
      <c r="P12" s="11"/>
      <c r="Q12" s="11"/>
      <c r="R12" s="11"/>
      <c r="S12" s="11"/>
      <c r="T12" s="11"/>
      <c r="U12" s="11"/>
      <c r="V12" s="11"/>
      <c r="W12" s="11"/>
      <c r="X12" s="11"/>
    </row>
    <row r="13" spans="1:24" customFormat="1" ht="14.1" customHeight="1" x14ac:dyDescent="0.25">
      <c r="A13" s="391" t="s">
        <v>1094</v>
      </c>
      <c r="B13" s="697">
        <f>PENN!BY293</f>
        <v>37.081357423349317</v>
      </c>
      <c r="C13" s="697">
        <f>PENN!BZ293</f>
        <v>38.288060215350328</v>
      </c>
      <c r="D13" s="693" t="s">
        <v>1461</v>
      </c>
      <c r="E13" s="3134">
        <v>7.5</v>
      </c>
      <c r="F13" s="695" t="s">
        <v>144</v>
      </c>
      <c r="G13" s="1208">
        <f t="shared" si="0"/>
        <v>278.11018067511986</v>
      </c>
      <c r="H13" s="1208">
        <f t="shared" si="1"/>
        <v>287.16045161512744</v>
      </c>
      <c r="I13" s="11"/>
      <c r="J13" s="2967"/>
      <c r="K13" s="274"/>
      <c r="L13" s="274"/>
      <c r="M13" s="11"/>
      <c r="N13" s="11"/>
      <c r="O13" s="11"/>
      <c r="P13" s="11"/>
      <c r="Q13" s="11"/>
      <c r="R13" s="11"/>
      <c r="S13" s="11"/>
      <c r="T13" s="11"/>
      <c r="U13" s="11"/>
      <c r="V13" s="11"/>
      <c r="W13" s="11"/>
      <c r="X13" s="11"/>
    </row>
    <row r="14" spans="1:24" customFormat="1" ht="14.1" customHeight="1" x14ac:dyDescent="0.25">
      <c r="A14" s="391" t="s">
        <v>1786</v>
      </c>
      <c r="B14" s="697">
        <f>PENN!BY294</f>
        <v>25.07189306874891</v>
      </c>
      <c r="C14" s="697">
        <f>PENN!BZ294</f>
        <v>25.568544672606919</v>
      </c>
      <c r="D14" s="693" t="s">
        <v>1461</v>
      </c>
      <c r="E14" s="3134">
        <v>7.5</v>
      </c>
      <c r="F14" s="695" t="s">
        <v>144</v>
      </c>
      <c r="G14" s="1208">
        <f t="shared" si="0"/>
        <v>188.03919801561682</v>
      </c>
      <c r="H14" s="1208">
        <f t="shared" si="1"/>
        <v>191.7640850445519</v>
      </c>
      <c r="I14" s="11"/>
      <c r="J14" s="2967"/>
      <c r="K14" s="274"/>
      <c r="L14" s="274"/>
      <c r="M14" s="11"/>
      <c r="N14" s="11"/>
      <c r="O14" s="11"/>
      <c r="P14" s="11"/>
      <c r="Q14" s="11"/>
      <c r="R14" s="11"/>
      <c r="S14" s="11"/>
      <c r="T14" s="11"/>
      <c r="U14" s="11"/>
      <c r="V14" s="11"/>
      <c r="W14" s="11"/>
      <c r="X14" s="11"/>
    </row>
    <row r="15" spans="1:24" customFormat="1" ht="14.1" customHeight="1" x14ac:dyDescent="0.25">
      <c r="A15" s="392" t="s">
        <v>1093</v>
      </c>
      <c r="B15" s="697">
        <f>PENN!BY297</f>
        <v>54.906605364812961</v>
      </c>
      <c r="C15" s="697">
        <f>PENN!BZ297</f>
        <v>56.961116621080379</v>
      </c>
      <c r="D15" s="693" t="s">
        <v>1461</v>
      </c>
      <c r="E15" s="3134">
        <v>7.5</v>
      </c>
      <c r="F15" s="695" t="s">
        <v>144</v>
      </c>
      <c r="G15" s="1208">
        <f t="shared" si="0"/>
        <v>411.79954023609719</v>
      </c>
      <c r="H15" s="1208">
        <f t="shared" si="1"/>
        <v>427.20837465810285</v>
      </c>
      <c r="I15" s="11"/>
      <c r="J15" s="2967"/>
      <c r="K15" s="274"/>
      <c r="L15" s="274"/>
      <c r="M15" s="11"/>
      <c r="N15" s="11"/>
      <c r="O15" s="11"/>
      <c r="P15" s="11"/>
      <c r="Q15" s="11"/>
      <c r="R15" s="11"/>
      <c r="S15" s="11"/>
      <c r="T15" s="11"/>
      <c r="U15" s="11"/>
      <c r="V15" s="11"/>
      <c r="W15" s="11"/>
      <c r="X15" s="11"/>
    </row>
    <row r="16" spans="1:24" customFormat="1" ht="14.1" customHeight="1" x14ac:dyDescent="0.25">
      <c r="A16" s="391" t="s">
        <v>1020</v>
      </c>
      <c r="B16" s="697">
        <f>PENN!BY295</f>
        <v>6.8239537408309996</v>
      </c>
      <c r="C16" s="697">
        <f>PENN!BZ295</f>
        <v>7.1936261364075733</v>
      </c>
      <c r="D16" s="693" t="s">
        <v>1461</v>
      </c>
      <c r="E16" s="3134">
        <v>7.5</v>
      </c>
      <c r="F16" s="695" t="s">
        <v>144</v>
      </c>
      <c r="G16" s="1208">
        <f t="shared" si="0"/>
        <v>51.179653056232496</v>
      </c>
      <c r="H16" s="1208">
        <f t="shared" si="1"/>
        <v>53.9521960230568</v>
      </c>
      <c r="I16" s="11"/>
      <c r="J16" s="2967"/>
      <c r="K16" s="274"/>
      <c r="L16" s="274"/>
      <c r="M16" s="11"/>
      <c r="N16" s="11"/>
      <c r="O16" s="11"/>
      <c r="P16" s="11"/>
      <c r="Q16" s="11"/>
      <c r="R16" s="11"/>
      <c r="S16" s="11"/>
      <c r="T16" s="11"/>
      <c r="U16" s="11"/>
      <c r="V16" s="11"/>
      <c r="W16" s="11"/>
      <c r="X16" s="11"/>
    </row>
    <row r="17" spans="1:24" customFormat="1" ht="14.1" customHeight="1" x14ac:dyDescent="0.25">
      <c r="A17" s="391" t="s">
        <v>616</v>
      </c>
      <c r="B17" s="697">
        <f>PENN!BY284</f>
        <v>11.996987469907619</v>
      </c>
      <c r="C17" s="697">
        <f>PENN!BZ284</f>
        <v>12.218718250620668</v>
      </c>
      <c r="D17" s="693" t="s">
        <v>1461</v>
      </c>
      <c r="E17" s="3134">
        <v>7.5</v>
      </c>
      <c r="F17" s="695" t="s">
        <v>144</v>
      </c>
      <c r="G17" s="1208">
        <f t="shared" si="0"/>
        <v>89.977406024307143</v>
      </c>
      <c r="H17" s="1208">
        <f t="shared" si="1"/>
        <v>91.640386879655011</v>
      </c>
      <c r="I17" s="11"/>
      <c r="J17" s="2967"/>
      <c r="K17" s="274"/>
      <c r="L17" s="274"/>
      <c r="M17" s="11"/>
      <c r="N17" s="11"/>
      <c r="O17" s="11"/>
      <c r="P17" s="11"/>
      <c r="Q17" s="11"/>
      <c r="R17" s="11"/>
      <c r="S17" s="11"/>
      <c r="T17" s="11"/>
      <c r="U17" s="11"/>
      <c r="V17" s="11"/>
      <c r="W17" s="11"/>
      <c r="X17" s="11"/>
    </row>
    <row r="18" spans="1:24" customFormat="1" ht="14.1" customHeight="1" x14ac:dyDescent="0.25">
      <c r="A18" s="3383" t="s">
        <v>2570</v>
      </c>
      <c r="B18" s="697">
        <f>PENN!BY285</f>
        <v>20.641232300828616</v>
      </c>
      <c r="C18" s="697">
        <f>PENN!BZ285</f>
        <v>22.096106499117823</v>
      </c>
      <c r="D18" s="693" t="s">
        <v>1461</v>
      </c>
      <c r="E18" s="3134">
        <v>7.5</v>
      </c>
      <c r="F18" s="695" t="s">
        <v>144</v>
      </c>
      <c r="G18" s="1208">
        <f t="shared" si="0"/>
        <v>154.80924225621462</v>
      </c>
      <c r="H18" s="1208">
        <f t="shared" si="1"/>
        <v>165.72079874338368</v>
      </c>
      <c r="I18" s="11"/>
      <c r="J18" s="2967"/>
      <c r="K18" s="274"/>
      <c r="L18" s="274"/>
      <c r="M18" s="11"/>
      <c r="N18" s="11"/>
      <c r="O18" s="11"/>
      <c r="P18" s="11"/>
      <c r="Q18" s="11"/>
      <c r="R18" s="11"/>
      <c r="S18" s="11"/>
      <c r="T18" s="11"/>
      <c r="U18" s="11"/>
      <c r="V18" s="11"/>
      <c r="W18" s="11"/>
      <c r="X18" s="11"/>
    </row>
    <row r="19" spans="1:24" customFormat="1" ht="14.1" customHeight="1" x14ac:dyDescent="0.25">
      <c r="A19" s="392" t="s">
        <v>615</v>
      </c>
      <c r="B19" s="697">
        <f>PENN!BY286</f>
        <v>22.359529370632092</v>
      </c>
      <c r="C19" s="697">
        <f>PENN!BZ286</f>
        <v>23.366499642113617</v>
      </c>
      <c r="D19" s="693" t="s">
        <v>1461</v>
      </c>
      <c r="E19" s="3134">
        <v>7.5</v>
      </c>
      <c r="F19" s="695" t="s">
        <v>144</v>
      </c>
      <c r="G19" s="1208">
        <f t="shared" si="0"/>
        <v>167.69647027974068</v>
      </c>
      <c r="H19" s="1208">
        <f t="shared" si="1"/>
        <v>175.24874731585211</v>
      </c>
      <c r="I19" s="11"/>
      <c r="J19" s="2967"/>
      <c r="K19" s="274"/>
      <c r="L19" s="274"/>
      <c r="M19" s="11"/>
      <c r="N19" s="11"/>
      <c r="O19" s="11"/>
      <c r="P19" s="11"/>
      <c r="Q19" s="11"/>
      <c r="R19" s="11"/>
      <c r="S19" s="11"/>
      <c r="T19" s="11"/>
      <c r="U19" s="11"/>
      <c r="V19" s="11"/>
      <c r="W19" s="11"/>
      <c r="X19" s="11"/>
    </row>
    <row r="20" spans="1:24" customFormat="1" ht="14.1" hidden="1" customHeight="1" outlineLevel="1" x14ac:dyDescent="0.25">
      <c r="A20" s="392" t="s">
        <v>1019</v>
      </c>
      <c r="B20" s="697">
        <f>PENN!BO298</f>
        <v>0</v>
      </c>
      <c r="C20" s="697">
        <f>PENN!BP298</f>
        <v>0</v>
      </c>
      <c r="D20" s="693" t="s">
        <v>1461</v>
      </c>
      <c r="E20" s="3134">
        <v>7.75</v>
      </c>
      <c r="F20" s="695" t="s">
        <v>144</v>
      </c>
      <c r="G20" s="1208">
        <f t="shared" si="0"/>
        <v>0</v>
      </c>
      <c r="H20" s="1208">
        <f t="shared" si="1"/>
        <v>0</v>
      </c>
      <c r="I20" s="11"/>
      <c r="J20" s="2967"/>
      <c r="K20" s="274"/>
      <c r="L20" s="274"/>
      <c r="M20" s="11"/>
      <c r="N20" s="11"/>
      <c r="O20" s="11"/>
      <c r="P20" s="11"/>
      <c r="Q20" s="11"/>
      <c r="R20" s="11"/>
      <c r="S20" s="11"/>
      <c r="T20" s="11"/>
      <c r="U20" s="11"/>
      <c r="V20" s="11"/>
      <c r="W20" s="11"/>
      <c r="X20" s="11"/>
    </row>
    <row r="21" spans="1:24" customFormat="1" ht="14.1" customHeight="1" collapsed="1" x14ac:dyDescent="0.25">
      <c r="A21" s="391" t="s">
        <v>1453</v>
      </c>
      <c r="B21" s="697">
        <f>PENN!BY287</f>
        <v>7.0416776667584013</v>
      </c>
      <c r="C21" s="697">
        <f>PENN!BZ287</f>
        <v>7.9014406241678259</v>
      </c>
      <c r="D21" s="693" t="s">
        <v>1461</v>
      </c>
      <c r="E21" s="3134">
        <v>7.5</v>
      </c>
      <c r="F21" s="695" t="s">
        <v>144</v>
      </c>
      <c r="G21" s="1208">
        <f t="shared" si="0"/>
        <v>52.812582500688009</v>
      </c>
      <c r="H21" s="1208">
        <f t="shared" si="1"/>
        <v>59.260804681258691</v>
      </c>
      <c r="I21" s="11"/>
      <c r="J21" s="2967"/>
      <c r="K21" s="274"/>
      <c r="L21" s="273"/>
      <c r="M21" s="11"/>
      <c r="N21" s="11"/>
      <c r="O21" s="11"/>
      <c r="P21" s="11"/>
      <c r="Q21" s="11"/>
      <c r="R21" s="11"/>
      <c r="S21" s="11"/>
      <c r="T21" s="11"/>
      <c r="U21" s="11"/>
      <c r="V21" s="11"/>
      <c r="W21" s="11"/>
      <c r="X21" s="11"/>
    </row>
    <row r="22" spans="1:24" customFormat="1" ht="14.1" customHeight="1" x14ac:dyDescent="0.25">
      <c r="A22" s="391" t="s">
        <v>1090</v>
      </c>
      <c r="B22" s="697">
        <f>PENN!BY266</f>
        <v>12.252257720314379</v>
      </c>
      <c r="C22" s="697">
        <f>PENN!BZ266</f>
        <v>13.093367317342569</v>
      </c>
      <c r="D22" s="693" t="s">
        <v>1461</v>
      </c>
      <c r="E22" s="3134">
        <v>7.5</v>
      </c>
      <c r="F22" s="695" t="s">
        <v>144</v>
      </c>
      <c r="G22" s="1208">
        <f t="shared" si="0"/>
        <v>91.891932902357837</v>
      </c>
      <c r="H22" s="1208">
        <f t="shared" si="1"/>
        <v>98.200254880069267</v>
      </c>
      <c r="I22" s="11"/>
      <c r="J22" s="2967"/>
      <c r="K22" s="274"/>
      <c r="L22" s="274"/>
      <c r="M22" s="11"/>
      <c r="N22" s="11"/>
      <c r="O22" s="11"/>
      <c r="P22" s="11"/>
      <c r="Q22" s="11"/>
      <c r="R22" s="11"/>
      <c r="S22" s="11"/>
      <c r="T22" s="11"/>
      <c r="U22" s="11"/>
      <c r="V22" s="11"/>
      <c r="W22" s="11"/>
      <c r="X22" s="11"/>
    </row>
    <row r="23" spans="1:24" customFormat="1" ht="14.1" customHeight="1" x14ac:dyDescent="0.25">
      <c r="A23" s="391" t="s">
        <v>1479</v>
      </c>
      <c r="B23" s="697">
        <f>PENN!BY280</f>
        <v>22.304054998716815</v>
      </c>
      <c r="C23" s="697">
        <f>PENN!BZ280</f>
        <v>23.225117500213642</v>
      </c>
      <c r="D23" s="693" t="s">
        <v>1461</v>
      </c>
      <c r="E23" s="3134">
        <v>7.5</v>
      </c>
      <c r="F23" s="695" t="s">
        <v>144</v>
      </c>
      <c r="G23" s="1208">
        <f t="shared" si="0"/>
        <v>167.28041249037611</v>
      </c>
      <c r="H23" s="1208">
        <f t="shared" si="1"/>
        <v>174.18838125160232</v>
      </c>
      <c r="I23" s="11"/>
      <c r="J23" s="2967"/>
      <c r="K23" s="274"/>
      <c r="L23" s="274"/>
      <c r="M23" s="11"/>
      <c r="N23" s="11"/>
      <c r="O23" s="11"/>
      <c r="P23" s="11"/>
      <c r="Q23" s="11"/>
      <c r="R23" s="11"/>
      <c r="S23" s="11"/>
      <c r="T23" s="11"/>
      <c r="U23" s="11"/>
      <c r="V23" s="11"/>
      <c r="W23" s="11"/>
      <c r="X23" s="11"/>
    </row>
    <row r="24" spans="1:24" customFormat="1" ht="14.1" customHeight="1" x14ac:dyDescent="0.25">
      <c r="A24" s="392" t="s">
        <v>1942</v>
      </c>
      <c r="B24" s="697">
        <f>PENN!BY270</f>
        <v>6.607330000000001</v>
      </c>
      <c r="C24" s="697">
        <f>PENN!BZ270</f>
        <v>0</v>
      </c>
      <c r="D24" s="693" t="s">
        <v>1461</v>
      </c>
      <c r="E24" s="3134">
        <v>7.75</v>
      </c>
      <c r="F24" s="695" t="s">
        <v>144</v>
      </c>
      <c r="G24" s="1208">
        <f t="shared" si="0"/>
        <v>51.206807500000011</v>
      </c>
      <c r="H24" s="1208">
        <f t="shared" si="1"/>
        <v>0</v>
      </c>
      <c r="I24" s="11"/>
      <c r="J24" s="2967"/>
      <c r="K24" s="274"/>
      <c r="L24" s="274"/>
      <c r="M24" s="11"/>
      <c r="N24" s="11"/>
      <c r="O24" s="11"/>
      <c r="P24" s="11"/>
      <c r="Q24" s="11"/>
      <c r="R24" s="11"/>
      <c r="S24" s="11"/>
      <c r="T24" s="11"/>
      <c r="U24" s="11"/>
      <c r="V24" s="11"/>
      <c r="W24" s="11"/>
      <c r="X24" s="11"/>
    </row>
    <row r="25" spans="1:24" customFormat="1" ht="14.1" customHeight="1" x14ac:dyDescent="0.25">
      <c r="A25" s="392" t="s">
        <v>143</v>
      </c>
      <c r="B25" s="697">
        <f>PENN!BY281</f>
        <v>49.730167991293186</v>
      </c>
      <c r="C25" s="697">
        <f>PENN!BZ281</f>
        <v>53.067984189946841</v>
      </c>
      <c r="D25" s="693" t="s">
        <v>1461</v>
      </c>
      <c r="E25" s="3134">
        <v>9.5</v>
      </c>
      <c r="F25" s="695" t="s">
        <v>144</v>
      </c>
      <c r="G25" s="1208">
        <f t="shared" si="0"/>
        <v>472.43659591728527</v>
      </c>
      <c r="H25" s="1208">
        <f t="shared" si="1"/>
        <v>504.14584980449501</v>
      </c>
      <c r="I25" s="11"/>
      <c r="J25" s="2967"/>
      <c r="K25" s="274"/>
      <c r="L25" s="274"/>
      <c r="M25" s="11"/>
      <c r="N25" s="11"/>
      <c r="O25" s="11"/>
      <c r="P25" s="11"/>
      <c r="Q25" s="11"/>
      <c r="R25" s="11"/>
      <c r="S25" s="11"/>
      <c r="T25" s="11"/>
      <c r="U25" s="11"/>
      <c r="V25" s="11"/>
      <c r="W25" s="11"/>
      <c r="X25" s="11"/>
    </row>
    <row r="26" spans="1:24" customFormat="1" ht="14.1" customHeight="1" x14ac:dyDescent="0.25">
      <c r="A26" s="392" t="s">
        <v>1789</v>
      </c>
      <c r="B26" s="697">
        <f>PENN!BY299</f>
        <v>79.317090619946526</v>
      </c>
      <c r="C26" s="697">
        <f>PENN!BZ299</f>
        <v>84.301585728102822</v>
      </c>
      <c r="D26" s="693" t="s">
        <v>1461</v>
      </c>
      <c r="E26" s="3134">
        <v>7.5</v>
      </c>
      <c r="F26" s="695" t="s">
        <v>144</v>
      </c>
      <c r="G26" s="1208">
        <f t="shared" si="0"/>
        <v>594.87817964959891</v>
      </c>
      <c r="H26" s="1208">
        <f t="shared" si="1"/>
        <v>632.26189296077121</v>
      </c>
      <c r="I26" s="11"/>
      <c r="J26" s="2967"/>
      <c r="K26" s="274"/>
      <c r="L26" s="274"/>
      <c r="M26" s="11"/>
      <c r="N26" s="11"/>
      <c r="O26" s="11"/>
      <c r="P26" s="11"/>
      <c r="Q26" s="11"/>
      <c r="R26" s="11"/>
      <c r="S26" s="11"/>
      <c r="T26" s="11"/>
      <c r="U26" s="11"/>
      <c r="V26" s="11"/>
      <c r="W26" s="11"/>
      <c r="X26" s="11"/>
    </row>
    <row r="27" spans="1:24" customFormat="1" ht="14.1" customHeight="1" x14ac:dyDescent="0.25">
      <c r="A27" s="2605" t="s">
        <v>227</v>
      </c>
      <c r="B27" s="697">
        <f>PENN!BY271</f>
        <v>35.475913212553351</v>
      </c>
      <c r="C27" s="697">
        <f>PENN!BZ271</f>
        <v>37.380865460243953</v>
      </c>
      <c r="D27" s="693" t="s">
        <v>1461</v>
      </c>
      <c r="E27" s="3134">
        <v>7.5</v>
      </c>
      <c r="F27" s="695" t="s">
        <v>144</v>
      </c>
      <c r="G27" s="1208">
        <f t="shared" si="0"/>
        <v>266.06934909415014</v>
      </c>
      <c r="H27" s="1208">
        <f t="shared" si="1"/>
        <v>280.35649095182964</v>
      </c>
      <c r="I27" s="11"/>
      <c r="J27" s="2967"/>
      <c r="K27" s="274"/>
      <c r="L27" s="274"/>
      <c r="M27" s="11"/>
      <c r="N27" s="11"/>
      <c r="O27" s="11"/>
      <c r="P27" s="11"/>
      <c r="Q27" s="11"/>
      <c r="R27" s="11"/>
      <c r="S27" s="11"/>
      <c r="T27" s="11"/>
      <c r="U27" s="11"/>
      <c r="V27" s="11"/>
      <c r="W27" s="11"/>
      <c r="X27" s="11"/>
    </row>
    <row r="28" spans="1:24" customFormat="1" ht="14.1" customHeight="1" x14ac:dyDescent="0.25">
      <c r="A28" s="2605" t="s">
        <v>228</v>
      </c>
      <c r="B28" s="697">
        <f>PENN!BY272</f>
        <v>38.776261763680807</v>
      </c>
      <c r="C28" s="697">
        <f>PENN!BZ272</f>
        <v>40.067730439557224</v>
      </c>
      <c r="D28" s="693" t="s">
        <v>1461</v>
      </c>
      <c r="E28" s="3134">
        <v>7.5</v>
      </c>
      <c r="F28" s="695" t="s">
        <v>144</v>
      </c>
      <c r="G28" s="1208">
        <f t="shared" si="0"/>
        <v>290.82196322760603</v>
      </c>
      <c r="H28" s="1208">
        <f t="shared" si="1"/>
        <v>300.5079782966792</v>
      </c>
      <c r="I28" s="11"/>
      <c r="J28" s="2967"/>
      <c r="K28" s="274"/>
      <c r="L28" s="274"/>
      <c r="M28" s="11"/>
      <c r="N28" s="11"/>
      <c r="O28" s="11"/>
      <c r="P28" s="11"/>
      <c r="Q28" s="11"/>
      <c r="R28" s="11"/>
      <c r="S28" s="11"/>
      <c r="T28" s="11"/>
      <c r="U28" s="11"/>
      <c r="V28" s="11"/>
      <c r="W28" s="11"/>
      <c r="X28" s="11"/>
    </row>
    <row r="29" spans="1:24" customFormat="1" ht="14.1" customHeight="1" x14ac:dyDescent="0.25">
      <c r="A29" s="2725" t="s">
        <v>2395</v>
      </c>
      <c r="B29" s="697">
        <f>+PENN!BY282</f>
        <v>-0.17807728269565046</v>
      </c>
      <c r="C29" s="697">
        <f>+PENN!BZ282</f>
        <v>0</v>
      </c>
      <c r="D29" s="693" t="s">
        <v>1461</v>
      </c>
      <c r="E29" s="3134">
        <v>7.5</v>
      </c>
      <c r="F29" s="695" t="s">
        <v>144</v>
      </c>
      <c r="G29" s="1208">
        <f t="shared" si="0"/>
        <v>-1.3355796202173784</v>
      </c>
      <c r="H29" s="1208">
        <f t="shared" si="1"/>
        <v>0</v>
      </c>
      <c r="I29" s="11"/>
      <c r="J29" s="2967"/>
      <c r="K29" s="274"/>
      <c r="L29" s="274"/>
      <c r="M29" s="11"/>
      <c r="N29" s="11"/>
      <c r="O29" s="11"/>
      <c r="P29" s="11"/>
      <c r="Q29" s="11"/>
      <c r="R29" s="11"/>
      <c r="S29" s="11"/>
      <c r="T29" s="11"/>
      <c r="U29" s="11"/>
      <c r="V29" s="11"/>
      <c r="W29" s="11"/>
      <c r="X29" s="11"/>
    </row>
    <row r="30" spans="1:24" customFormat="1" ht="14.1" customHeight="1" x14ac:dyDescent="0.25">
      <c r="A30" s="2725" t="s">
        <v>2372</v>
      </c>
      <c r="B30" s="3322">
        <f>+PENN!BY695</f>
        <v>23.516225617390006</v>
      </c>
      <c r="C30" s="3322">
        <f>+PENN!BZ695</f>
        <v>25.937688690710047</v>
      </c>
      <c r="D30" s="693" t="s">
        <v>1461</v>
      </c>
      <c r="E30" s="3134">
        <v>9.5</v>
      </c>
      <c r="F30" s="695" t="s">
        <v>144</v>
      </c>
      <c r="G30" s="1208">
        <f t="shared" si="0"/>
        <v>223.40414336520507</v>
      </c>
      <c r="H30" s="1208">
        <f t="shared" si="1"/>
        <v>246.40804256174545</v>
      </c>
      <c r="I30" s="423"/>
      <c r="J30" s="2967"/>
      <c r="K30" s="274"/>
      <c r="L30" s="274"/>
      <c r="M30" s="11"/>
      <c r="N30" s="11"/>
      <c r="O30" s="11"/>
      <c r="P30" s="11"/>
      <c r="Q30" s="11"/>
      <c r="R30" s="11"/>
      <c r="S30" s="11"/>
      <c r="T30" s="11"/>
      <c r="U30" s="11"/>
      <c r="V30" s="11"/>
      <c r="W30" s="11"/>
      <c r="X30" s="11"/>
    </row>
    <row r="31" spans="1:24" customFormat="1" ht="14.1" customHeight="1" x14ac:dyDescent="0.25">
      <c r="A31" s="2725" t="s">
        <v>2371</v>
      </c>
      <c r="B31" s="697">
        <f>+PENN!BY302</f>
        <v>17.638625000000005</v>
      </c>
      <c r="C31" s="697">
        <f>+PENN!BZ302</f>
        <v>17.991397500000005</v>
      </c>
      <c r="D31" s="693" t="s">
        <v>1461</v>
      </c>
      <c r="E31" s="3134">
        <v>7.5</v>
      </c>
      <c r="F31" s="695" t="s">
        <v>144</v>
      </c>
      <c r="G31" s="1208">
        <f t="shared" si="0"/>
        <v>132.28968750000004</v>
      </c>
      <c r="H31" s="1208">
        <f t="shared" si="1"/>
        <v>134.93548125000004</v>
      </c>
      <c r="I31" s="11"/>
      <c r="J31" s="2967"/>
      <c r="K31" s="274"/>
      <c r="L31" s="274"/>
      <c r="M31" s="11"/>
      <c r="N31" s="11"/>
      <c r="O31" s="11"/>
      <c r="P31" s="11"/>
      <c r="Q31" s="11"/>
      <c r="R31" s="11"/>
      <c r="S31" s="11"/>
      <c r="T31" s="11"/>
      <c r="U31" s="11"/>
      <c r="V31" s="11"/>
      <c r="W31" s="11"/>
      <c r="X31" s="11"/>
    </row>
    <row r="32" spans="1:24" customFormat="1" ht="14.1" customHeight="1" x14ac:dyDescent="0.25">
      <c r="A32" s="2725" t="s">
        <v>2526</v>
      </c>
      <c r="B32" s="697">
        <f>+PENN!BY311</f>
        <v>14.147941500000004</v>
      </c>
      <c r="C32" s="697">
        <f>+PENN!BZ311</f>
        <v>14.855338575000005</v>
      </c>
      <c r="D32" s="693" t="s">
        <v>1461</v>
      </c>
      <c r="E32" s="3134">
        <v>9</v>
      </c>
      <c r="F32" s="695" t="s">
        <v>144</v>
      </c>
      <c r="G32" s="1208">
        <f t="shared" si="0"/>
        <v>127.33147350000003</v>
      </c>
      <c r="H32" s="1208">
        <f t="shared" si="1"/>
        <v>133.69804717500006</v>
      </c>
      <c r="I32" s="11"/>
      <c r="J32" s="2967"/>
      <c r="K32" s="274"/>
      <c r="L32" s="274"/>
      <c r="M32" s="11"/>
      <c r="N32" s="11"/>
      <c r="O32" s="11"/>
      <c r="P32" s="11"/>
      <c r="Q32" s="11"/>
      <c r="R32" s="11"/>
      <c r="S32" s="11"/>
      <c r="T32" s="11"/>
      <c r="U32" s="11"/>
      <c r="V32" s="11"/>
      <c r="W32" s="11"/>
      <c r="X32" s="11"/>
    </row>
    <row r="33" spans="1:24" customFormat="1" ht="14.1" customHeight="1" x14ac:dyDescent="0.25">
      <c r="A33" s="2725" t="s">
        <v>2587</v>
      </c>
      <c r="B33" s="697"/>
      <c r="C33" s="3473">
        <f>+PENN!BZ22</f>
        <v>642.07786875153533</v>
      </c>
      <c r="D33" s="693" t="s">
        <v>1461</v>
      </c>
      <c r="E33" s="3134">
        <v>7.5</v>
      </c>
      <c r="F33" s="695" t="s">
        <v>144</v>
      </c>
      <c r="G33" s="1208"/>
      <c r="H33" s="1208">
        <f t="shared" si="1"/>
        <v>4815.5840156365148</v>
      </c>
      <c r="I33" s="11"/>
      <c r="J33" s="2967"/>
      <c r="K33" s="274"/>
      <c r="L33" s="274"/>
      <c r="M33" s="11"/>
      <c r="N33" s="11"/>
      <c r="O33" s="11"/>
      <c r="P33" s="11"/>
      <c r="Q33" s="11"/>
      <c r="R33" s="11"/>
      <c r="S33" s="11"/>
      <c r="T33" s="11"/>
      <c r="U33" s="11"/>
      <c r="V33" s="11"/>
      <c r="W33" s="11"/>
      <c r="X33" s="11"/>
    </row>
    <row r="34" spans="1:24" customFormat="1" ht="14.1" customHeight="1" x14ac:dyDescent="0.25">
      <c r="A34" s="2769" t="s">
        <v>435</v>
      </c>
      <c r="B34" s="699">
        <f>PENN!BY312</f>
        <v>-5.0346799999999998</v>
      </c>
      <c r="C34" s="699">
        <f>PENN!BZ312</f>
        <v>-5.0346799999999998</v>
      </c>
      <c r="D34" s="700" t="s">
        <v>1461</v>
      </c>
      <c r="E34" s="2834">
        <v>7.5</v>
      </c>
      <c r="F34" s="702" t="s">
        <v>144</v>
      </c>
      <c r="G34" s="2770">
        <f t="shared" si="0"/>
        <v>-37.760100000000001</v>
      </c>
      <c r="H34" s="2770">
        <f t="shared" si="1"/>
        <v>-37.760100000000001</v>
      </c>
      <c r="I34" s="11"/>
      <c r="J34" s="2967"/>
      <c r="K34" s="876"/>
      <c r="L34" s="274"/>
      <c r="M34" s="11"/>
      <c r="N34" s="11"/>
      <c r="O34" s="11"/>
      <c r="P34" s="11"/>
      <c r="Q34" s="11"/>
      <c r="R34" s="11"/>
      <c r="S34" s="11"/>
      <c r="T34" s="11"/>
      <c r="U34" s="11"/>
      <c r="V34" s="11"/>
      <c r="W34" s="11"/>
      <c r="X34" s="11"/>
    </row>
    <row r="35" spans="1:24" customFormat="1" ht="14.1" customHeight="1" x14ac:dyDescent="0.25">
      <c r="A35" s="2212" t="s">
        <v>1912</v>
      </c>
      <c r="B35" s="3158">
        <f>SUM(B7:B34)</f>
        <v>932.76430321512282</v>
      </c>
      <c r="C35" s="3158">
        <f>SUM(C7:C34)</f>
        <v>1610.6423960961386</v>
      </c>
      <c r="D35" s="1218"/>
      <c r="E35" s="3159">
        <f>+H35/C35</f>
        <v>7.6119394063268242</v>
      </c>
      <c r="F35" s="3160"/>
      <c r="G35" s="3161">
        <f>SUM(G7:G34)</f>
        <v>7165.0988060807867</v>
      </c>
      <c r="H35" s="3161">
        <f>SUM(H7:H34)</f>
        <v>12260.112324344855</v>
      </c>
      <c r="I35" s="11"/>
      <c r="J35" s="2967"/>
      <c r="Q35" s="11"/>
      <c r="R35" s="11"/>
      <c r="S35" s="11"/>
      <c r="T35" s="11"/>
      <c r="U35" s="11"/>
      <c r="V35" s="11"/>
      <c r="W35" s="11"/>
      <c r="X35" s="11"/>
    </row>
    <row r="36" spans="1:24" customFormat="1" ht="14.1" customHeight="1" x14ac:dyDescent="0.25">
      <c r="A36" s="2772" t="s">
        <v>2013</v>
      </c>
      <c r="B36" s="699">
        <f>-PENN!BY34</f>
        <v>-81.405000000000001</v>
      </c>
      <c r="C36" s="699">
        <f>-PENN!BZ38</f>
        <v>-119.21404999999999</v>
      </c>
      <c r="D36" s="700" t="s">
        <v>1461</v>
      </c>
      <c r="E36" s="3162">
        <f>+E35</f>
        <v>7.6119394063268242</v>
      </c>
      <c r="F36" s="702" t="s">
        <v>144</v>
      </c>
      <c r="G36" s="2770">
        <f>+B36*E36</f>
        <v>-619.64992737203511</v>
      </c>
      <c r="H36" s="2770">
        <f t="shared" si="1"/>
        <v>-907.45012498281619</v>
      </c>
      <c r="I36" s="11"/>
      <c r="J36" s="2967"/>
      <c r="Q36" s="11"/>
      <c r="R36" s="11"/>
      <c r="S36" s="11"/>
      <c r="T36" s="11"/>
      <c r="U36" s="11"/>
      <c r="V36" s="11"/>
      <c r="W36" s="11"/>
      <c r="X36" s="11"/>
    </row>
    <row r="37" spans="1:24" customFormat="1" ht="14.1" customHeight="1" x14ac:dyDescent="0.25">
      <c r="A37" s="1149" t="s">
        <v>841</v>
      </c>
      <c r="B37" s="707">
        <f>SUM(B35:B36)</f>
        <v>851.35930321512285</v>
      </c>
      <c r="C37" s="707">
        <f>SUM(C35:C36)</f>
        <v>1491.4283460961385</v>
      </c>
      <c r="D37" s="430"/>
      <c r="E37" s="2835">
        <f>+H37/C37</f>
        <v>7.6119394063268251</v>
      </c>
      <c r="F37" s="877"/>
      <c r="G37" s="2773">
        <f>SUM(G35:G36)</f>
        <v>6545.4488787087521</v>
      </c>
      <c r="H37" s="2773">
        <f>SUM(H35:H36)</f>
        <v>11352.662199362039</v>
      </c>
      <c r="I37" s="11"/>
      <c r="J37" s="2967"/>
      <c r="Q37" s="11"/>
      <c r="R37" s="11"/>
      <c r="S37" s="11"/>
      <c r="T37" s="11"/>
      <c r="U37" s="11"/>
      <c r="V37" s="11"/>
      <c r="W37" s="11"/>
      <c r="X37" s="11"/>
    </row>
    <row r="38" spans="1:24" customFormat="1" ht="14.1" customHeight="1" x14ac:dyDescent="0.25">
      <c r="A38" s="1149"/>
      <c r="B38" s="707"/>
      <c r="C38" s="707"/>
      <c r="D38" s="430"/>
      <c r="E38" s="704"/>
      <c r="F38" s="877"/>
      <c r="G38" s="2773"/>
      <c r="H38" s="2773"/>
      <c r="I38" s="11"/>
      <c r="J38" s="1779"/>
      <c r="Q38" s="11"/>
      <c r="R38" s="11"/>
      <c r="S38" s="11"/>
      <c r="T38" s="11"/>
      <c r="U38" s="11"/>
      <c r="V38" s="11"/>
      <c r="W38" s="11"/>
      <c r="X38" s="11"/>
    </row>
    <row r="39" spans="1:24" customFormat="1" ht="14.1" hidden="1" customHeight="1" outlineLevel="1" x14ac:dyDescent="0.25">
      <c r="A39" s="2774" t="s">
        <v>292</v>
      </c>
      <c r="B39" s="707"/>
      <c r="C39" s="707"/>
      <c r="D39" s="430"/>
      <c r="E39" s="704"/>
      <c r="F39" s="877"/>
      <c r="G39" s="2775"/>
      <c r="H39" s="2775"/>
      <c r="I39" s="11"/>
      <c r="Q39" s="11"/>
      <c r="R39" s="11"/>
      <c r="S39" s="11"/>
      <c r="T39" s="11"/>
      <c r="U39" s="11"/>
      <c r="V39" s="11"/>
      <c r="W39" s="11"/>
      <c r="X39" s="11"/>
    </row>
    <row r="40" spans="1:24" customFormat="1" ht="14.1" customHeight="1" collapsed="1" x14ac:dyDescent="0.25">
      <c r="A40" s="2774" t="s">
        <v>280</v>
      </c>
      <c r="B40" s="707"/>
      <c r="C40" s="707"/>
      <c r="D40" s="430"/>
      <c r="E40" s="704"/>
      <c r="F40" s="877"/>
      <c r="G40" s="2775">
        <f>+'Exhibits 2'!GB499</f>
        <v>142.94989408964267</v>
      </c>
      <c r="H40" s="3135">
        <f>+'Exhibits 2'!GB499</f>
        <v>142.94989408964267</v>
      </c>
      <c r="I40" s="423"/>
      <c r="Q40" s="11"/>
      <c r="R40" s="11"/>
      <c r="S40" s="11"/>
      <c r="T40" s="11"/>
      <c r="U40" s="11"/>
      <c r="V40" s="11"/>
      <c r="W40" s="11"/>
      <c r="X40" s="11"/>
    </row>
    <row r="41" spans="1:24" customFormat="1" ht="14.1" customHeight="1" x14ac:dyDescent="0.25">
      <c r="A41" s="2774" t="s">
        <v>2649</v>
      </c>
      <c r="B41" s="707"/>
      <c r="C41" s="707"/>
      <c r="D41" s="430"/>
      <c r="E41" s="704"/>
      <c r="F41" s="877"/>
      <c r="G41" s="3135">
        <f>+PENN!BT1227+PENN!BT1229</f>
        <v>100.345</v>
      </c>
      <c r="H41" s="3546">
        <v>0</v>
      </c>
      <c r="I41" s="423"/>
      <c r="Q41" s="11"/>
      <c r="R41" s="11"/>
      <c r="S41" s="11"/>
      <c r="T41" s="11"/>
      <c r="U41" s="11"/>
      <c r="V41" s="11"/>
      <c r="W41" s="11"/>
      <c r="X41" s="11"/>
    </row>
    <row r="42" spans="1:24" customFormat="1" ht="14.1" customHeight="1" x14ac:dyDescent="0.25">
      <c r="A42" s="2774"/>
      <c r="B42" s="707"/>
      <c r="C42" s="707"/>
      <c r="D42" s="430"/>
      <c r="E42" s="704"/>
      <c r="F42" s="877"/>
      <c r="G42" s="2775"/>
      <c r="H42" s="3135"/>
      <c r="I42" s="11"/>
      <c r="J42" s="711"/>
      <c r="K42" s="2780"/>
      <c r="L42" s="2780"/>
      <c r="M42" s="1454"/>
      <c r="N42" s="1454"/>
      <c r="O42" s="1454"/>
      <c r="P42" s="11"/>
      <c r="Q42" s="11"/>
      <c r="R42" s="11"/>
      <c r="S42" s="11"/>
      <c r="T42" s="11"/>
      <c r="U42" s="11"/>
      <c r="V42" s="11"/>
      <c r="W42" s="11"/>
      <c r="X42" s="11"/>
    </row>
    <row r="43" spans="1:24" customFormat="1" ht="14.1" customHeight="1" x14ac:dyDescent="0.25">
      <c r="A43" s="2797" t="s">
        <v>2586</v>
      </c>
      <c r="B43" s="708"/>
      <c r="C43" s="708"/>
      <c r="D43" s="1057"/>
      <c r="E43" s="1057"/>
      <c r="F43" s="1720"/>
      <c r="G43" s="3471">
        <f>-PENN!BT1564+PENN!BT1565-PENN!BT1409+8</f>
        <v>-4557.5720000000001</v>
      </c>
      <c r="H43" s="3472">
        <f>-PENN!BY1564+PENN!BY1565-PENN!BY1409+8</f>
        <v>-8013.3012702876695</v>
      </c>
      <c r="I43" s="687"/>
      <c r="J43" s="274"/>
      <c r="K43" s="274"/>
      <c r="L43" s="274"/>
      <c r="M43" s="11"/>
      <c r="N43" s="1454"/>
      <c r="O43" s="1454"/>
      <c r="P43" s="11"/>
      <c r="Q43" s="11"/>
      <c r="R43" s="11"/>
      <c r="S43" s="11"/>
      <c r="T43" s="11"/>
      <c r="U43" s="11"/>
      <c r="V43" s="11"/>
      <c r="W43" s="11"/>
      <c r="X43" s="11"/>
    </row>
    <row r="44" spans="1:24" customFormat="1" ht="14.1" customHeight="1" x14ac:dyDescent="0.25">
      <c r="A44" s="1149" t="s">
        <v>1462</v>
      </c>
      <c r="B44" s="709"/>
      <c r="C44" s="709"/>
      <c r="D44" s="710"/>
      <c r="E44" s="710"/>
      <c r="F44" s="878"/>
      <c r="G44" s="2771">
        <f>SUM(G37:G43)</f>
        <v>2231.1717727983951</v>
      </c>
      <c r="H44" s="2771">
        <f>SUM(H37:H43)</f>
        <v>3482.3108231640126</v>
      </c>
      <c r="I44" s="11"/>
      <c r="J44" s="273"/>
      <c r="K44" s="923"/>
      <c r="L44" s="274"/>
      <c r="M44" s="11"/>
      <c r="N44" s="11"/>
      <c r="O44" s="11"/>
      <c r="P44" s="11"/>
      <c r="Q44" s="11"/>
      <c r="R44" s="11"/>
      <c r="S44" s="11"/>
      <c r="T44" s="11"/>
      <c r="U44" s="11"/>
      <c r="V44" s="11"/>
      <c r="W44" s="11"/>
      <c r="X44" s="11"/>
    </row>
    <row r="45" spans="1:24" customFormat="1" ht="14.1" hidden="1" customHeight="1" outlineLevel="1" x14ac:dyDescent="0.25">
      <c r="A45" s="520" t="s">
        <v>1487</v>
      </c>
      <c r="B45" s="709"/>
      <c r="C45" s="709"/>
      <c r="D45" s="710"/>
      <c r="E45" s="710"/>
      <c r="F45" s="878"/>
      <c r="G45" s="2776">
        <v>1</v>
      </c>
      <c r="H45" s="2776">
        <v>1</v>
      </c>
      <c r="I45" s="11"/>
      <c r="J45" s="274"/>
      <c r="K45" s="274"/>
      <c r="L45" s="274"/>
      <c r="M45" s="11"/>
      <c r="N45" s="11"/>
      <c r="O45" s="11"/>
      <c r="P45" s="11"/>
      <c r="Q45" s="11"/>
      <c r="R45" s="11"/>
      <c r="S45" s="11"/>
      <c r="T45" s="11"/>
      <c r="U45" s="11"/>
      <c r="V45" s="11"/>
      <c r="W45" s="11"/>
      <c r="X45" s="11"/>
    </row>
    <row r="46" spans="1:24" customFormat="1" ht="14.1" hidden="1" customHeight="1" outlineLevel="1" x14ac:dyDescent="0.25">
      <c r="A46" s="1149" t="s">
        <v>1490</v>
      </c>
      <c r="B46" s="709"/>
      <c r="C46" s="709"/>
      <c r="D46" s="710"/>
      <c r="E46" s="710"/>
      <c r="F46" s="878"/>
      <c r="G46" s="1213">
        <f>+G44/G45</f>
        <v>2231.1717727983951</v>
      </c>
      <c r="H46" s="1213">
        <f>+H44/H45</f>
        <v>3482.3108231640126</v>
      </c>
      <c r="I46" s="11"/>
      <c r="J46" s="2590" t="s">
        <v>55</v>
      </c>
      <c r="K46" s="274"/>
      <c r="L46" s="274"/>
      <c r="M46" s="11"/>
      <c r="N46" s="11"/>
      <c r="O46" s="11"/>
      <c r="P46" s="11"/>
      <c r="Q46" s="11"/>
      <c r="R46" s="11"/>
      <c r="S46" s="11"/>
      <c r="T46" s="11"/>
      <c r="U46" s="11"/>
      <c r="V46" s="11"/>
      <c r="W46" s="11"/>
      <c r="X46" s="11"/>
    </row>
    <row r="47" spans="1:24" customFormat="1" ht="14.1" customHeight="1" collapsed="1" x14ac:dyDescent="0.25">
      <c r="A47" s="2772" t="s">
        <v>1567</v>
      </c>
      <c r="B47" s="697"/>
      <c r="C47" s="697"/>
      <c r="D47" s="428"/>
      <c r="E47" s="428"/>
      <c r="F47" s="693"/>
      <c r="G47" s="684">
        <f>PENN!BT101</f>
        <v>92.393000000000001</v>
      </c>
      <c r="H47" s="684">
        <f>PENN!BX101</f>
        <v>119.75999999999999</v>
      </c>
      <c r="I47" s="11"/>
      <c r="J47" s="309"/>
      <c r="K47" s="274"/>
      <c r="L47" s="274"/>
      <c r="M47" s="11"/>
      <c r="N47" s="11"/>
      <c r="O47" s="11"/>
      <c r="P47" s="11"/>
      <c r="Q47" s="11"/>
      <c r="R47" s="11"/>
      <c r="S47" s="11"/>
      <c r="T47" s="11"/>
      <c r="U47" s="11"/>
      <c r="V47" s="11"/>
      <c r="W47" s="11"/>
      <c r="X47" s="11"/>
    </row>
    <row r="48" spans="1:24" customFormat="1" ht="14.1" customHeight="1" x14ac:dyDescent="0.25">
      <c r="A48" s="432" t="s">
        <v>1354</v>
      </c>
      <c r="B48" s="712"/>
      <c r="C48" s="712"/>
      <c r="D48" s="713"/>
      <c r="E48" s="713"/>
      <c r="F48" s="879"/>
      <c r="G48" s="1721">
        <f>+G46/G47</f>
        <v>24.148710105726572</v>
      </c>
      <c r="H48" s="1721">
        <f>+H46/H47</f>
        <v>29.077411683066241</v>
      </c>
      <c r="I48" s="687"/>
      <c r="J48" s="274"/>
      <c r="K48" s="274"/>
      <c r="L48" s="274"/>
      <c r="M48" s="11"/>
      <c r="N48" s="11"/>
      <c r="O48" s="11"/>
      <c r="P48" s="11"/>
      <c r="Q48" s="11"/>
      <c r="R48" s="11"/>
      <c r="S48" s="11"/>
      <c r="T48" s="11"/>
      <c r="U48" s="11"/>
      <c r="V48" s="11"/>
      <c r="W48" s="11"/>
      <c r="X48" s="11"/>
    </row>
    <row r="49" spans="1:24" customFormat="1" ht="14.1" customHeight="1" x14ac:dyDescent="0.25">
      <c r="A49" s="705" t="s">
        <v>1568</v>
      </c>
      <c r="B49" s="697"/>
      <c r="C49" s="697"/>
      <c r="D49" s="430"/>
      <c r="E49" s="430"/>
      <c r="F49" s="877"/>
      <c r="G49" s="752">
        <v>25.36</v>
      </c>
      <c r="H49" s="752">
        <v>27.51</v>
      </c>
      <c r="I49" s="11"/>
      <c r="J49" s="274"/>
      <c r="K49" s="274"/>
      <c r="L49" s="274"/>
      <c r="M49" s="11"/>
      <c r="N49" s="11"/>
      <c r="O49" s="11"/>
      <c r="P49" s="11"/>
      <c r="Q49" s="11"/>
      <c r="R49" s="11"/>
      <c r="S49" s="11"/>
      <c r="T49" s="11"/>
      <c r="U49" s="11"/>
      <c r="V49" s="11"/>
      <c r="W49" s="11"/>
      <c r="X49" s="11"/>
    </row>
    <row r="50" spans="1:24" customFormat="1" ht="14.1" customHeight="1" x14ac:dyDescent="0.25">
      <c r="A50" s="718" t="s">
        <v>1910</v>
      </c>
      <c r="B50" s="697"/>
      <c r="C50" s="697"/>
      <c r="D50" s="428"/>
      <c r="E50" s="428"/>
      <c r="F50" s="693"/>
      <c r="G50" s="2529">
        <f>G48/G49-1</f>
        <v>-4.7763797092800764E-2</v>
      </c>
      <c r="H50" s="2529">
        <f>H48/H49-1</f>
        <v>5.6976069904261628E-2</v>
      </c>
      <c r="I50" s="11"/>
      <c r="J50" s="274"/>
      <c r="K50" s="274"/>
      <c r="L50" s="274"/>
      <c r="M50" s="1454"/>
      <c r="N50" s="11"/>
      <c r="O50" s="11"/>
      <c r="P50" s="11"/>
      <c r="Q50" s="11"/>
      <c r="R50" s="11"/>
      <c r="S50" s="11"/>
      <c r="T50" s="11"/>
      <c r="U50" s="11"/>
      <c r="V50" s="11"/>
      <c r="W50" s="11"/>
      <c r="X50" s="11"/>
    </row>
    <row r="51" spans="1:24" customFormat="1" ht="12.75" customHeight="1" x14ac:dyDescent="0.25">
      <c r="A51" s="11"/>
      <c r="B51" s="426"/>
      <c r="C51" s="426"/>
      <c r="D51" s="11"/>
      <c r="E51" s="11"/>
      <c r="F51" s="274"/>
      <c r="G51" s="11"/>
      <c r="H51" s="11"/>
      <c r="I51" s="11"/>
      <c r="J51" s="753" t="s">
        <v>750</v>
      </c>
      <c r="K51" s="274" t="s">
        <v>749</v>
      </c>
      <c r="L51" s="274"/>
      <c r="M51" s="1454"/>
      <c r="N51" s="932"/>
      <c r="O51" s="11"/>
      <c r="P51" s="11"/>
      <c r="Q51" s="11"/>
      <c r="R51" s="11"/>
      <c r="S51" s="11"/>
      <c r="T51" s="11"/>
      <c r="U51" s="11"/>
      <c r="V51" s="11"/>
      <c r="W51" s="11"/>
      <c r="X51" s="11"/>
    </row>
    <row r="52" spans="1:24" customFormat="1" ht="12.75" customHeight="1" x14ac:dyDescent="0.25">
      <c r="A52" s="11"/>
      <c r="B52" s="426"/>
      <c r="C52" s="426"/>
      <c r="D52" s="11"/>
      <c r="E52" s="11"/>
      <c r="F52" s="274"/>
      <c r="G52" s="11"/>
      <c r="H52" s="11"/>
      <c r="I52" s="11"/>
      <c r="J52" s="3350" t="s">
        <v>2533</v>
      </c>
      <c r="K52" s="2531">
        <f>+(G44-G43)/PENN!$BY$40</f>
        <v>5.6883173179972397</v>
      </c>
      <c r="L52" s="274"/>
      <c r="M52" s="1454"/>
      <c r="N52" s="423"/>
      <c r="O52" s="11"/>
      <c r="P52" s="11"/>
      <c r="Q52" s="11"/>
      <c r="R52" s="11"/>
      <c r="S52" s="11"/>
      <c r="T52" s="11"/>
      <c r="U52" s="11"/>
      <c r="V52" s="11"/>
      <c r="W52" s="11"/>
      <c r="X52" s="11"/>
    </row>
    <row r="53" spans="1:24" customFormat="1" ht="12.75" customHeight="1" x14ac:dyDescent="0.25">
      <c r="A53" s="11"/>
      <c r="B53" s="426"/>
      <c r="C53" s="426"/>
      <c r="D53" s="11"/>
      <c r="E53" s="11"/>
      <c r="F53" s="274"/>
      <c r="G53" s="11"/>
      <c r="H53" s="11"/>
      <c r="I53" s="11"/>
      <c r="J53" s="3350" t="s">
        <v>2534</v>
      </c>
      <c r="K53" s="2531">
        <f>((G49*G47)-G43)/PENN!$BY$40</f>
        <v>5.782091127765149</v>
      </c>
      <c r="L53" s="274"/>
      <c r="M53" s="1454"/>
      <c r="N53" s="11"/>
      <c r="O53" s="11"/>
      <c r="P53" s="11"/>
      <c r="Q53" s="11"/>
      <c r="R53" s="11"/>
      <c r="S53" s="11"/>
      <c r="T53" s="11"/>
      <c r="U53" s="11"/>
      <c r="V53" s="11"/>
      <c r="W53" s="11"/>
      <c r="X53" s="11"/>
    </row>
    <row r="54" spans="1:24" customFormat="1" ht="12.75" customHeight="1" x14ac:dyDescent="0.25">
      <c r="A54" s="11"/>
      <c r="B54" s="426"/>
      <c r="C54" s="426"/>
      <c r="D54" s="11"/>
      <c r="E54" s="11"/>
      <c r="F54" s="274"/>
      <c r="G54" s="11"/>
      <c r="H54" s="11"/>
      <c r="I54" s="11"/>
      <c r="J54" s="2530"/>
      <c r="K54" s="274"/>
      <c r="L54" s="274"/>
      <c r="M54" s="2937"/>
      <c r="N54" s="2961"/>
      <c r="O54" s="11"/>
      <c r="P54" s="11"/>
      <c r="Q54" s="11"/>
      <c r="R54" s="11"/>
      <c r="S54" s="11"/>
      <c r="T54" s="11"/>
      <c r="U54" s="11"/>
      <c r="V54" s="11"/>
      <c r="W54" s="11"/>
      <c r="X54" s="11"/>
    </row>
    <row r="55" spans="1:24" customFormat="1" ht="12.75" customHeight="1" x14ac:dyDescent="0.25">
      <c r="A55" s="11"/>
      <c r="B55" s="426"/>
      <c r="C55" s="426"/>
      <c r="D55" s="11"/>
      <c r="E55" s="11"/>
      <c r="F55" s="274"/>
      <c r="G55" s="11"/>
      <c r="H55" s="11"/>
      <c r="I55" s="11"/>
      <c r="J55" s="2530"/>
      <c r="K55" s="2531"/>
      <c r="L55" s="274"/>
      <c r="M55" s="1454"/>
      <c r="N55" s="11"/>
      <c r="O55" s="11"/>
      <c r="P55" s="11"/>
      <c r="Q55" s="11"/>
      <c r="R55" s="11"/>
      <c r="S55" s="11"/>
      <c r="T55" s="11"/>
      <c r="U55" s="11"/>
      <c r="V55" s="11"/>
      <c r="W55" s="11"/>
      <c r="X55" s="11"/>
    </row>
    <row r="56" spans="1:24" customFormat="1" ht="12.75" customHeight="1" x14ac:dyDescent="0.25">
      <c r="A56" s="11"/>
      <c r="B56" s="426"/>
      <c r="C56" s="426"/>
      <c r="D56" s="11"/>
      <c r="E56" s="11"/>
      <c r="F56" s="274"/>
      <c r="G56" s="11"/>
      <c r="H56" s="11"/>
      <c r="I56" s="11"/>
      <c r="J56" s="2530"/>
      <c r="K56" s="2531"/>
      <c r="L56" s="274"/>
      <c r="M56" s="1454"/>
      <c r="N56" s="11"/>
      <c r="O56" s="11"/>
      <c r="P56" s="11"/>
      <c r="Q56" s="11"/>
      <c r="R56" s="11"/>
      <c r="S56" s="11"/>
      <c r="T56" s="11"/>
      <c r="U56" s="11"/>
      <c r="V56" s="11"/>
      <c r="W56" s="11"/>
      <c r="X56" s="11"/>
    </row>
    <row r="57" spans="1:24" customFormat="1" ht="12.75" customHeight="1" x14ac:dyDescent="0.25">
      <c r="A57" s="11"/>
      <c r="B57" s="426"/>
      <c r="C57" s="426"/>
      <c r="D57" s="11"/>
      <c r="E57" s="11"/>
      <c r="F57" s="274"/>
      <c r="G57" s="11"/>
      <c r="H57" s="11"/>
      <c r="I57" s="11"/>
      <c r="J57" s="274"/>
      <c r="K57" s="274"/>
      <c r="L57" s="274"/>
      <c r="M57" s="1454"/>
      <c r="N57" s="2490"/>
      <c r="O57" s="11"/>
      <c r="P57" s="11"/>
      <c r="Q57" s="11"/>
      <c r="R57" s="11"/>
      <c r="S57" s="11"/>
      <c r="T57" s="11"/>
      <c r="U57" s="11"/>
      <c r="V57" s="11"/>
      <c r="W57" s="11"/>
      <c r="X57" s="11"/>
    </row>
    <row r="58" spans="1:24" customFormat="1" ht="12.75" customHeight="1" x14ac:dyDescent="0.25">
      <c r="A58" s="11"/>
      <c r="B58" s="426"/>
      <c r="C58" s="426"/>
      <c r="D58" s="11"/>
      <c r="E58" s="11"/>
      <c r="F58" s="274"/>
      <c r="G58" s="11"/>
      <c r="H58" s="11"/>
      <c r="I58" s="11"/>
      <c r="J58" s="753"/>
      <c r="K58" s="1728"/>
      <c r="L58" s="274"/>
      <c r="M58" s="11"/>
      <c r="N58" s="11"/>
      <c r="O58" s="11"/>
      <c r="P58" s="11"/>
      <c r="Q58" s="11"/>
      <c r="R58" s="11"/>
      <c r="S58" s="11"/>
      <c r="T58" s="11"/>
      <c r="U58" s="11"/>
      <c r="V58" s="11"/>
      <c r="W58" s="11"/>
      <c r="X58" s="11"/>
    </row>
    <row r="59" spans="1:24" customFormat="1" ht="12.75" customHeight="1" outlineLevel="1" x14ac:dyDescent="0.25">
      <c r="A59" s="359" t="s">
        <v>1489</v>
      </c>
      <c r="B59" s="426"/>
      <c r="C59" s="426"/>
      <c r="D59" s="11"/>
      <c r="E59" s="11"/>
      <c r="F59" s="274"/>
      <c r="G59" s="11"/>
      <c r="H59" s="11"/>
      <c r="I59" s="11"/>
      <c r="J59" s="753"/>
      <c r="K59" s="753"/>
      <c r="L59" s="274"/>
      <c r="M59" s="11"/>
      <c r="N59" s="11"/>
      <c r="O59" s="11"/>
      <c r="P59" s="11"/>
      <c r="Q59" s="11"/>
      <c r="R59" s="11"/>
      <c r="S59" s="11"/>
      <c r="T59" s="11"/>
      <c r="U59" s="11"/>
      <c r="V59" s="11"/>
      <c r="W59" s="11"/>
      <c r="X59" s="11"/>
    </row>
    <row r="60" spans="1:24" customFormat="1" ht="14.1" customHeight="1" outlineLevel="1" x14ac:dyDescent="0.25">
      <c r="A60" s="689" t="s">
        <v>1488</v>
      </c>
      <c r="B60" s="699"/>
      <c r="C60" s="699"/>
      <c r="D60" s="431"/>
      <c r="E60" s="431"/>
      <c r="F60" s="700"/>
      <c r="G60" s="428"/>
      <c r="H60" s="428"/>
      <c r="I60" s="11"/>
      <c r="J60" s="753"/>
      <c r="K60" s="753"/>
      <c r="L60" s="274"/>
      <c r="M60" s="11"/>
      <c r="N60" s="11"/>
      <c r="O60" s="11"/>
      <c r="P60" s="11"/>
      <c r="Q60" s="11"/>
      <c r="R60" s="11"/>
      <c r="S60" s="11"/>
      <c r="T60" s="11"/>
      <c r="U60" s="11"/>
      <c r="V60" s="11"/>
      <c r="W60" s="11"/>
      <c r="X60" s="11"/>
    </row>
    <row r="61" spans="1:24" customFormat="1" ht="14.1" customHeight="1" outlineLevel="1" x14ac:dyDescent="0.25">
      <c r="A61" s="355" t="s">
        <v>443</v>
      </c>
      <c r="B61" s="734"/>
      <c r="C61" s="734"/>
      <c r="D61" s="296"/>
      <c r="E61" s="296"/>
      <c r="F61" s="880"/>
      <c r="G61" s="715"/>
      <c r="H61" s="715"/>
      <c r="I61" s="11"/>
      <c r="J61" s="753"/>
      <c r="K61" s="753"/>
      <c r="L61" s="274"/>
      <c r="M61" s="11"/>
      <c r="N61" s="11"/>
      <c r="O61" s="11"/>
      <c r="P61" s="11"/>
      <c r="Q61" s="11"/>
      <c r="R61" s="11"/>
      <c r="S61" s="11"/>
      <c r="T61" s="11"/>
      <c r="U61" s="11"/>
      <c r="V61" s="753"/>
      <c r="W61" s="274"/>
      <c r="X61" s="274"/>
    </row>
    <row r="62" spans="1:24" customFormat="1" ht="14.1" customHeight="1" outlineLevel="1" x14ac:dyDescent="0.25">
      <c r="A62" s="355" t="s">
        <v>636</v>
      </c>
      <c r="B62" s="734"/>
      <c r="C62" s="734"/>
      <c r="D62" s="296"/>
      <c r="E62" s="296"/>
      <c r="F62" s="880"/>
      <c r="G62" s="937"/>
      <c r="H62" s="937"/>
      <c r="I62" s="11"/>
      <c r="M62" s="11"/>
      <c r="N62" s="11"/>
      <c r="O62" s="11"/>
      <c r="P62" s="11"/>
      <c r="Q62" s="11"/>
      <c r="R62" s="11"/>
      <c r="S62" s="11"/>
      <c r="T62" s="11"/>
      <c r="U62" s="11"/>
      <c r="V62" s="753"/>
      <c r="W62" s="11"/>
      <c r="X62" s="274"/>
    </row>
    <row r="63" spans="1:24" customFormat="1" ht="14.1" customHeight="1" outlineLevel="1" x14ac:dyDescent="0.25">
      <c r="A63" s="355" t="s">
        <v>637</v>
      </c>
      <c r="B63" s="734"/>
      <c r="C63" s="734"/>
      <c r="D63" s="296"/>
      <c r="E63" s="296"/>
      <c r="F63" s="880"/>
      <c r="G63" s="937"/>
      <c r="H63" s="937"/>
      <c r="I63" s="11"/>
      <c r="J63" s="274"/>
      <c r="K63" s="274"/>
      <c r="L63" s="274"/>
      <c r="M63" s="11"/>
      <c r="N63" s="11"/>
      <c r="O63" s="11"/>
      <c r="P63" s="11"/>
      <c r="Q63" s="11"/>
      <c r="R63" s="11"/>
      <c r="S63" s="11"/>
      <c r="T63" s="11"/>
      <c r="U63" s="11"/>
      <c r="V63" s="753"/>
      <c r="W63" s="11"/>
      <c r="X63" s="274"/>
    </row>
    <row r="64" spans="1:24" customFormat="1" ht="14.1" customHeight="1" outlineLevel="1" x14ac:dyDescent="0.25">
      <c r="A64" s="432" t="s">
        <v>2003</v>
      </c>
      <c r="B64" s="712"/>
      <c r="C64" s="712"/>
      <c r="D64" s="713"/>
      <c r="E64" s="713"/>
      <c r="F64" s="879"/>
      <c r="G64" s="2521"/>
      <c r="H64" s="2521"/>
      <c r="I64" s="11"/>
      <c r="J64" s="274"/>
      <c r="K64" s="274"/>
      <c r="L64" s="274"/>
      <c r="M64" s="11"/>
      <c r="N64" s="11"/>
      <c r="O64" s="11"/>
      <c r="P64" s="11"/>
      <c r="Q64" s="11"/>
      <c r="R64" s="11"/>
      <c r="S64" s="11"/>
      <c r="T64" s="11"/>
      <c r="U64" s="11"/>
      <c r="V64" s="753"/>
      <c r="W64" s="11"/>
      <c r="X64" s="274"/>
    </row>
    <row r="65" spans="1:24" customFormat="1" ht="14.1" customHeight="1" outlineLevel="1" x14ac:dyDescent="0.25">
      <c r="A65" s="11"/>
      <c r="B65" s="426"/>
      <c r="C65" s="426"/>
      <c r="D65" s="11"/>
      <c r="E65" s="11"/>
      <c r="F65" s="274"/>
      <c r="G65" s="11"/>
      <c r="H65" s="11"/>
      <c r="I65" s="11"/>
      <c r="J65" s="274"/>
      <c r="K65" s="937"/>
      <c r="L65" s="274"/>
      <c r="M65" s="11"/>
      <c r="N65" s="11"/>
      <c r="O65" s="11"/>
      <c r="P65" s="11"/>
      <c r="Q65" s="11"/>
      <c r="R65" s="11"/>
      <c r="S65" s="11"/>
      <c r="T65" s="11"/>
      <c r="U65" s="11"/>
      <c r="V65" s="11"/>
      <c r="W65" s="11"/>
      <c r="X65" s="11"/>
    </row>
    <row r="66" spans="1:24" customFormat="1" ht="14.25" customHeight="1" outlineLevel="1" x14ac:dyDescent="0.25">
      <c r="A66" s="689" t="s">
        <v>842</v>
      </c>
      <c r="B66" s="699"/>
      <c r="C66" s="699"/>
      <c r="D66" s="431"/>
      <c r="E66" s="431"/>
      <c r="F66" s="700"/>
      <c r="G66" s="428"/>
      <c r="H66" s="428"/>
      <c r="I66" s="11"/>
      <c r="J66" s="274"/>
      <c r="K66" s="274"/>
      <c r="L66" s="274"/>
      <c r="M66" s="11"/>
      <c r="N66" s="11"/>
      <c r="O66" s="11"/>
      <c r="P66" s="11"/>
      <c r="Q66" s="11"/>
      <c r="R66" s="11"/>
      <c r="S66" s="11"/>
      <c r="T66" s="11"/>
      <c r="U66" s="11"/>
      <c r="V66" s="11"/>
      <c r="W66" s="274"/>
      <c r="X66" s="274"/>
    </row>
    <row r="67" spans="1:24" customFormat="1" ht="14.1" customHeight="1" outlineLevel="1" x14ac:dyDescent="0.25">
      <c r="A67" s="705" t="s">
        <v>1717</v>
      </c>
      <c r="B67" s="697"/>
      <c r="C67" s="697"/>
      <c r="D67" s="430"/>
      <c r="E67" s="430"/>
      <c r="F67" s="877"/>
      <c r="G67" s="716"/>
      <c r="H67" s="716"/>
      <c r="I67" s="11"/>
      <c r="J67" s="274"/>
      <c r="K67" s="274"/>
      <c r="L67" s="274"/>
      <c r="M67" s="11"/>
      <c r="N67" s="11"/>
      <c r="O67" s="11"/>
      <c r="P67" s="11"/>
      <c r="Q67" s="11"/>
      <c r="R67" s="11"/>
      <c r="S67" s="11"/>
      <c r="T67" s="11"/>
      <c r="U67" s="11"/>
      <c r="V67" s="11"/>
      <c r="W67" s="274"/>
      <c r="X67" s="274"/>
    </row>
    <row r="68" spans="1:24" customFormat="1" ht="14.1" customHeight="1" outlineLevel="1" x14ac:dyDescent="0.25">
      <c r="A68" s="705" t="s">
        <v>1551</v>
      </c>
      <c r="B68" s="697"/>
      <c r="C68" s="697"/>
      <c r="D68" s="430"/>
      <c r="E68" s="430"/>
      <c r="F68" s="877"/>
      <c r="G68" s="686"/>
      <c r="H68" s="686"/>
      <c r="I68" s="11"/>
      <c r="J68" s="274"/>
      <c r="K68" s="274"/>
      <c r="L68" s="274"/>
      <c r="M68" s="11"/>
      <c r="N68" s="11"/>
      <c r="O68" s="11"/>
      <c r="P68" s="11"/>
      <c r="Q68" s="11"/>
      <c r="R68" s="11"/>
      <c r="S68" s="11"/>
      <c r="T68" s="11"/>
      <c r="U68" s="11"/>
      <c r="V68" s="11"/>
      <c r="W68" s="720"/>
      <c r="X68" s="274"/>
    </row>
    <row r="69" spans="1:24" customFormat="1" ht="14.1" customHeight="1" outlineLevel="1" x14ac:dyDescent="0.25">
      <c r="A69" s="705" t="s">
        <v>1718</v>
      </c>
      <c r="B69" s="697"/>
      <c r="C69" s="697"/>
      <c r="D69" s="430"/>
      <c r="E69" s="430"/>
      <c r="F69" s="877"/>
      <c r="G69" s="686"/>
      <c r="H69" s="686"/>
      <c r="I69" s="11"/>
      <c r="J69" s="274"/>
      <c r="K69" s="274"/>
      <c r="L69" s="274"/>
      <c r="M69" s="11"/>
      <c r="N69" s="11"/>
      <c r="O69" s="11"/>
      <c r="P69" s="11"/>
      <c r="Q69" s="11"/>
      <c r="R69" s="11"/>
      <c r="S69" s="11"/>
      <c r="T69" s="11"/>
      <c r="U69" s="11"/>
      <c r="V69" s="11"/>
      <c r="W69" s="720"/>
      <c r="X69" s="274"/>
    </row>
    <row r="70" spans="1:24" customFormat="1" ht="14.1" customHeight="1" outlineLevel="1" x14ac:dyDescent="0.25">
      <c r="A70" s="705" t="s">
        <v>781</v>
      </c>
      <c r="B70" s="697"/>
      <c r="C70" s="697"/>
      <c r="D70" s="430"/>
      <c r="E70" s="430"/>
      <c r="F70" s="877"/>
      <c r="G70" s="686"/>
      <c r="H70" s="686"/>
      <c r="I70" s="11"/>
      <c r="J70" s="274"/>
      <c r="K70" s="274"/>
      <c r="L70" s="274"/>
      <c r="M70" s="11"/>
      <c r="N70" s="11"/>
      <c r="O70" s="11"/>
      <c r="P70" s="11"/>
      <c r="Q70" s="11"/>
      <c r="R70" s="11"/>
      <c r="S70" s="11"/>
      <c r="T70" s="11"/>
      <c r="U70" s="11"/>
      <c r="V70" s="11"/>
      <c r="W70" s="274"/>
      <c r="X70" s="274"/>
    </row>
    <row r="71" spans="1:24" customFormat="1" ht="14.1" customHeight="1" outlineLevel="1" x14ac:dyDescent="0.25">
      <c r="A71" s="432" t="s">
        <v>1719</v>
      </c>
      <c r="B71" s="712"/>
      <c r="C71" s="712"/>
      <c r="D71" s="713"/>
      <c r="E71" s="713"/>
      <c r="F71" s="879"/>
      <c r="G71" s="2521"/>
      <c r="H71" s="2521"/>
      <c r="I71" s="11"/>
      <c r="J71" s="1571"/>
      <c r="K71" s="274"/>
      <c r="L71" s="274"/>
      <c r="M71" s="11"/>
      <c r="N71" s="11"/>
      <c r="O71" s="11"/>
      <c r="P71" s="11"/>
      <c r="Q71" s="11"/>
      <c r="R71" s="11"/>
      <c r="S71" s="11"/>
      <c r="T71" s="11"/>
      <c r="U71" s="11"/>
      <c r="V71" s="11"/>
      <c r="W71" s="11"/>
      <c r="X71" s="11"/>
    </row>
    <row r="72" spans="1:24" customFormat="1" ht="14.1" customHeight="1" outlineLevel="1" x14ac:dyDescent="0.25">
      <c r="A72" s="11"/>
      <c r="B72" s="426"/>
      <c r="C72" s="426"/>
      <c r="D72" s="11"/>
      <c r="E72" s="11"/>
      <c r="F72" s="274"/>
      <c r="G72" s="11"/>
      <c r="H72" s="11"/>
      <c r="I72" s="11"/>
      <c r="J72" s="274"/>
      <c r="K72" s="274"/>
      <c r="L72" s="274"/>
      <c r="M72" s="11"/>
      <c r="N72" s="11"/>
      <c r="O72" s="11"/>
      <c r="P72" s="11"/>
      <c r="Q72" s="11"/>
      <c r="R72" s="11"/>
      <c r="S72" s="11"/>
      <c r="T72" s="11"/>
      <c r="U72" s="11"/>
      <c r="V72" s="11"/>
      <c r="W72" s="11"/>
      <c r="X72" s="11"/>
    </row>
    <row r="73" spans="1:24" customFormat="1" ht="14.1" customHeight="1" outlineLevel="1" x14ac:dyDescent="0.25">
      <c r="A73" s="432"/>
      <c r="B73" s="712"/>
      <c r="C73" s="712"/>
      <c r="D73" s="713"/>
      <c r="E73" s="713"/>
      <c r="F73" s="879"/>
      <c r="G73" s="2521"/>
      <c r="H73" s="2521"/>
      <c r="I73" s="11"/>
      <c r="J73" s="274"/>
      <c r="K73" s="274"/>
      <c r="L73" s="274"/>
      <c r="M73" s="11"/>
      <c r="N73" s="11"/>
      <c r="O73" s="11"/>
      <c r="P73" s="11"/>
      <c r="Q73" s="11"/>
      <c r="R73" s="11"/>
      <c r="S73" s="11"/>
      <c r="T73" s="11"/>
      <c r="U73" s="11"/>
      <c r="V73" s="11"/>
      <c r="W73" s="11"/>
      <c r="X73" s="11"/>
    </row>
    <row r="74" spans="1:24" customFormat="1" ht="14.1" customHeight="1" x14ac:dyDescent="0.25">
      <c r="A74" s="11"/>
      <c r="B74" s="426"/>
      <c r="C74" s="426"/>
      <c r="D74" s="11"/>
      <c r="E74" s="11"/>
      <c r="F74" s="274"/>
      <c r="G74" s="11"/>
      <c r="H74" s="11"/>
      <c r="I74" s="11"/>
      <c r="J74" s="274"/>
      <c r="K74" s="274"/>
      <c r="L74" s="274"/>
      <c r="M74" s="11"/>
      <c r="N74" s="11"/>
      <c r="O74" s="11"/>
      <c r="P74" s="11"/>
      <c r="Q74" s="11"/>
      <c r="R74" s="11"/>
      <c r="S74" s="11"/>
      <c r="T74" s="11"/>
      <c r="U74" s="11"/>
      <c r="V74" s="11"/>
      <c r="W74" s="11"/>
      <c r="X74" s="11"/>
    </row>
    <row r="75" spans="1:24" customFormat="1" ht="14.1" customHeight="1" x14ac:dyDescent="0.25">
      <c r="A75" s="11"/>
      <c r="B75" s="426"/>
      <c r="C75" s="426"/>
      <c r="D75" s="11"/>
      <c r="E75" s="11"/>
      <c r="F75" s="274"/>
      <c r="G75" s="11"/>
      <c r="H75" s="11"/>
      <c r="I75" s="11"/>
      <c r="J75" s="274"/>
      <c r="K75" s="274"/>
      <c r="L75" s="274"/>
      <c r="M75" s="11"/>
      <c r="N75" s="11"/>
      <c r="O75" s="11"/>
      <c r="P75" s="11"/>
      <c r="Q75" s="11"/>
      <c r="R75" s="11"/>
      <c r="S75" s="11"/>
      <c r="T75" s="11"/>
      <c r="U75" s="11"/>
      <c r="V75" s="11"/>
      <c r="W75" s="11"/>
      <c r="X75" s="11"/>
    </row>
    <row r="76" spans="1:24" customFormat="1" ht="14.1" customHeight="1" x14ac:dyDescent="0.25">
      <c r="A76" s="11"/>
      <c r="B76" s="426"/>
      <c r="C76" s="426"/>
      <c r="D76" s="11"/>
      <c r="E76" s="11"/>
      <c r="F76" s="274"/>
      <c r="G76" s="11"/>
      <c r="H76" s="11"/>
      <c r="I76" s="11"/>
      <c r="J76" s="274"/>
      <c r="K76" s="274"/>
      <c r="L76" s="274"/>
      <c r="M76" s="11"/>
      <c r="N76" s="11"/>
      <c r="O76" s="11"/>
      <c r="P76" s="11"/>
      <c r="Q76" s="11"/>
      <c r="R76" s="11"/>
      <c r="S76" s="11"/>
      <c r="T76" s="11"/>
      <c r="U76" s="11"/>
      <c r="V76" s="11"/>
      <c r="W76" s="11"/>
      <c r="X76" s="11"/>
    </row>
    <row r="77" spans="1:24" customFormat="1" ht="14.1" customHeight="1" x14ac:dyDescent="0.25">
      <c r="A77" s="11"/>
      <c r="B77" s="426"/>
      <c r="C77" s="426"/>
      <c r="D77" s="11"/>
      <c r="E77" s="11"/>
      <c r="F77" s="274"/>
      <c r="G77" s="11"/>
      <c r="H77" s="11"/>
      <c r="I77" s="11"/>
      <c r="J77" s="274"/>
      <c r="K77" s="274"/>
      <c r="L77" s="274"/>
      <c r="M77" s="11"/>
      <c r="N77" s="11"/>
      <c r="O77" s="11"/>
      <c r="P77" s="11"/>
      <c r="Q77" s="11"/>
      <c r="R77" s="11"/>
      <c r="S77" s="11"/>
      <c r="T77" s="11"/>
      <c r="U77" s="11"/>
      <c r="V77" s="11"/>
      <c r="W77" s="11"/>
      <c r="X77" s="11"/>
    </row>
    <row r="78" spans="1:24" customFormat="1" ht="14.1" customHeight="1" x14ac:dyDescent="0.25">
      <c r="A78" s="11"/>
      <c r="B78" s="426"/>
      <c r="C78" s="426"/>
      <c r="D78" s="11"/>
      <c r="E78" s="11"/>
      <c r="F78" s="274"/>
      <c r="G78" s="11"/>
      <c r="H78" s="11"/>
      <c r="I78" s="11"/>
      <c r="N78" s="11"/>
      <c r="O78" s="11"/>
      <c r="P78" s="11"/>
      <c r="Q78" s="11"/>
      <c r="R78" s="11"/>
      <c r="S78" s="11"/>
      <c r="T78" s="11"/>
      <c r="U78" s="11"/>
      <c r="V78" s="11"/>
      <c r="W78" s="11"/>
      <c r="X78" s="11"/>
    </row>
    <row r="79" spans="1:24" customFormat="1" ht="14.1" customHeight="1" x14ac:dyDescent="0.25">
      <c r="A79" s="11"/>
      <c r="B79" s="426"/>
      <c r="C79" s="426"/>
      <c r="D79" s="11"/>
      <c r="E79" s="11"/>
      <c r="F79" s="274"/>
      <c r="G79" s="11"/>
      <c r="H79" s="11"/>
      <c r="I79" s="11"/>
      <c r="P79" s="11"/>
      <c r="Q79" s="11"/>
      <c r="R79" s="11"/>
      <c r="S79" s="11"/>
      <c r="T79" s="11"/>
      <c r="U79" s="11"/>
      <c r="V79" s="11"/>
      <c r="W79" s="11"/>
      <c r="X79" s="11"/>
    </row>
    <row r="80" spans="1:24" customFormat="1" ht="14.1" customHeight="1" x14ac:dyDescent="0.25">
      <c r="O80" s="282" t="s">
        <v>318</v>
      </c>
      <c r="P80" s="2782"/>
      <c r="Q80" s="2782"/>
      <c r="R80" s="2782"/>
      <c r="S80" s="2623"/>
      <c r="T80" s="2623"/>
      <c r="U80" s="2624"/>
      <c r="V80" s="11"/>
    </row>
    <row r="81" spans="15:253" customFormat="1" ht="14.1" customHeight="1" x14ac:dyDescent="0.25">
      <c r="O81" s="2612"/>
      <c r="P81" s="893" t="s">
        <v>286</v>
      </c>
      <c r="Q81" s="893"/>
      <c r="R81" s="893"/>
      <c r="S81" s="445"/>
      <c r="T81" s="445"/>
      <c r="U81" s="2714"/>
      <c r="V81" s="11"/>
    </row>
    <row r="82" spans="15:253" customFormat="1" ht="39" x14ac:dyDescent="0.25">
      <c r="O82" s="2788" t="s">
        <v>1196</v>
      </c>
      <c r="P82" s="747" t="s">
        <v>567</v>
      </c>
      <c r="Q82" s="1450" t="s">
        <v>321</v>
      </c>
      <c r="R82" s="1450" t="s">
        <v>320</v>
      </c>
      <c r="S82" s="2836" t="s">
        <v>1378</v>
      </c>
      <c r="T82" s="1450" t="s">
        <v>322</v>
      </c>
      <c r="U82" s="2700" t="s">
        <v>289</v>
      </c>
      <c r="V82" s="281"/>
    </row>
    <row r="83" spans="15:253" customFormat="1" ht="14.1" customHeight="1" x14ac:dyDescent="0.25">
      <c r="O83" s="2783" t="s">
        <v>262</v>
      </c>
      <c r="P83" s="2784">
        <f>+B7</f>
        <v>110.27235297822028</v>
      </c>
      <c r="Q83" s="2784">
        <v>115.50822561781732</v>
      </c>
      <c r="R83" s="2784">
        <f>+PENN!BT265</f>
        <v>111.69385854479128</v>
      </c>
      <c r="S83" s="2784">
        <f>+R83-P83</f>
        <v>1.4215055665709997</v>
      </c>
      <c r="T83" s="2789">
        <f>+E7</f>
        <v>7.5</v>
      </c>
      <c r="U83" s="2790">
        <f>+S83*T83</f>
        <v>10.661291749282498</v>
      </c>
      <c r="V83" s="687">
        <f>+U83/$G$47</f>
        <v>0.11539068705727162</v>
      </c>
    </row>
    <row r="84" spans="15:253" customFormat="1" ht="14.1" customHeight="1" x14ac:dyDescent="0.25">
      <c r="O84" s="2783" t="s">
        <v>172</v>
      </c>
      <c r="P84" s="2785">
        <f>+B13</f>
        <v>37.081357423349317</v>
      </c>
      <c r="Q84" s="2785">
        <v>51.665374935161083</v>
      </c>
      <c r="R84" s="2785">
        <f>+PENN!BT293</f>
        <v>38.220832589197315</v>
      </c>
      <c r="S84" s="2785">
        <f>+R84-P84</f>
        <v>1.1394751658479976</v>
      </c>
      <c r="T84" s="2789">
        <f>+E13</f>
        <v>7.5</v>
      </c>
      <c r="U84" s="2791">
        <f>+S84*T84</f>
        <v>8.5460637438599818</v>
      </c>
      <c r="V84" s="687">
        <f>+U84/$G$47</f>
        <v>9.2496874696784193E-2</v>
      </c>
    </row>
    <row r="85" spans="15:253" customFormat="1" ht="14.1" customHeight="1" x14ac:dyDescent="0.25">
      <c r="O85" s="2786" t="s">
        <v>287</v>
      </c>
      <c r="P85" s="2787">
        <f>+B14</f>
        <v>25.07189306874891</v>
      </c>
      <c r="Q85" s="2787">
        <v>34.722467459928055</v>
      </c>
      <c r="R85" s="2787">
        <f>+PENN!BT294</f>
        <v>24.712852673045752</v>
      </c>
      <c r="S85" s="2787">
        <f>+R85-P85</f>
        <v>-0.3590403957031576</v>
      </c>
      <c r="T85" s="2789">
        <f>+E14</f>
        <v>7.5</v>
      </c>
      <c r="U85" s="2792">
        <f>+S85*T85</f>
        <v>-2.692802967773682</v>
      </c>
      <c r="V85" s="687">
        <f>+U85/$G$47</f>
        <v>-2.9145097223530807E-2</v>
      </c>
    </row>
    <row r="86" spans="15:253" customFormat="1" ht="14.1" customHeight="1" x14ac:dyDescent="0.25">
      <c r="O86" s="2793" t="s">
        <v>288</v>
      </c>
      <c r="P86" s="786"/>
      <c r="Q86" s="786"/>
      <c r="R86" s="786"/>
      <c r="S86" s="2794">
        <f>SUM(S83:S85)</f>
        <v>2.2019403367158397</v>
      </c>
      <c r="T86" s="2798">
        <f>+U86/S86</f>
        <v>7.5000000000000009</v>
      </c>
      <c r="U86" s="2795">
        <f>SUM(U83:U85)</f>
        <v>16.514552525368799</v>
      </c>
      <c r="V86" s="11"/>
    </row>
    <row r="87" spans="15:253" customFormat="1" ht="14.1" customHeight="1" x14ac:dyDescent="0.25">
      <c r="O87" s="2783" t="s">
        <v>290</v>
      </c>
      <c r="P87" s="2781"/>
      <c r="Q87" s="2781"/>
      <c r="R87" s="2781"/>
      <c r="S87" s="2575"/>
      <c r="T87" s="2575"/>
      <c r="U87" s="2650">
        <f>+G47</f>
        <v>92.393000000000001</v>
      </c>
      <c r="V87" s="11"/>
    </row>
    <row r="88" spans="15:253" customFormat="1" ht="14.1" customHeight="1" x14ac:dyDescent="0.25">
      <c r="O88" s="2796" t="s">
        <v>291</v>
      </c>
      <c r="P88" s="522"/>
      <c r="Q88" s="522"/>
      <c r="R88" s="522"/>
      <c r="S88" s="405"/>
      <c r="T88" s="405"/>
      <c r="U88" s="1721">
        <f>+U86/U87</f>
        <v>0.17874246453052503</v>
      </c>
      <c r="V88" s="11"/>
    </row>
    <row r="89" spans="15:253" customFormat="1" ht="14.1" customHeight="1" x14ac:dyDescent="0.25"/>
    <row r="90" spans="15:253" ht="14.1" customHeight="1" x14ac:dyDescent="0.25">
      <c r="W90" s="282" t="s">
        <v>2319</v>
      </c>
      <c r="X90" s="2623"/>
      <c r="Y90" s="2623"/>
      <c r="Z90" s="2624"/>
    </row>
    <row r="91" spans="15:253" ht="14.1" customHeight="1" x14ac:dyDescent="0.25">
      <c r="W91" s="2625"/>
      <c r="X91" s="2760">
        <v>2016</v>
      </c>
      <c r="Y91" s="2760">
        <f>+X91+1</f>
        <v>2017</v>
      </c>
      <c r="Z91" s="2811">
        <f>+Y91+1</f>
        <v>2018</v>
      </c>
    </row>
    <row r="92" spans="15:253" ht="14.1" customHeight="1" x14ac:dyDescent="0.25">
      <c r="W92" s="2612" t="s">
        <v>1418</v>
      </c>
      <c r="X92" s="2758">
        <f>+PENN!BO675</f>
        <v>119.60116407</v>
      </c>
      <c r="Y92" s="2758">
        <f>+PENN!BT675</f>
        <v>127.25706331110503</v>
      </c>
      <c r="Z92" s="2718">
        <f>+PENN!BY675</f>
        <v>134.79382072863527</v>
      </c>
    </row>
    <row r="93" spans="15:253" ht="14.1" customHeight="1" x14ac:dyDescent="0.25">
      <c r="W93" s="2612" t="s">
        <v>601</v>
      </c>
      <c r="X93" s="3001">
        <f>+X92-X95</f>
        <v>105.53559080700001</v>
      </c>
      <c r="Y93" s="3001">
        <f>+Y92-Y95</f>
        <v>109.916645205725</v>
      </c>
      <c r="Z93" s="3002">
        <f>+Z92-Z95</f>
        <v>111.27759511124526</v>
      </c>
      <c r="IS93" s="2622"/>
    </row>
    <row r="94" spans="15:253" ht="3.95" customHeight="1" x14ac:dyDescent="0.25">
      <c r="W94" s="2612"/>
      <c r="X94" s="2707" t="s">
        <v>229</v>
      </c>
      <c r="Y94" s="2707" t="s">
        <v>229</v>
      </c>
      <c r="Z94" s="2708" t="s">
        <v>229</v>
      </c>
    </row>
    <row r="95" spans="15:253" ht="14.1" customHeight="1" x14ac:dyDescent="0.25">
      <c r="W95" s="2612" t="s">
        <v>2010</v>
      </c>
      <c r="X95" s="2758">
        <f>+PENN!BO695</f>
        <v>14.06557326299999</v>
      </c>
      <c r="Y95" s="2758">
        <f>+PENN!BT695</f>
        <v>17.340418105380024</v>
      </c>
      <c r="Z95" s="2718">
        <f>+PENN!BY695</f>
        <v>23.516225617390006</v>
      </c>
    </row>
    <row r="96" spans="15:253" ht="14.1" customHeight="1" x14ac:dyDescent="0.25">
      <c r="W96" s="2612"/>
      <c r="X96" s="2575"/>
      <c r="Y96" s="2575"/>
      <c r="Z96" s="2626"/>
    </row>
    <row r="97" spans="23:34" ht="14.1" customHeight="1" x14ac:dyDescent="0.25">
      <c r="W97" s="2612" t="s">
        <v>1464</v>
      </c>
      <c r="X97" s="3003">
        <v>10.5</v>
      </c>
      <c r="Y97" s="3003">
        <v>10.5</v>
      </c>
      <c r="Z97" s="3004">
        <v>10.5</v>
      </c>
    </row>
    <row r="98" spans="23:34" ht="14.1" customHeight="1" x14ac:dyDescent="0.25">
      <c r="W98" s="2612" t="s">
        <v>847</v>
      </c>
      <c r="X98" s="2758">
        <f>+X95*X97</f>
        <v>147.68851926149989</v>
      </c>
      <c r="Y98" s="2758">
        <f>+Y95*Y97</f>
        <v>182.07439010649026</v>
      </c>
      <c r="Z98" s="2718">
        <f>+Z95*Z97</f>
        <v>246.92036898259505</v>
      </c>
    </row>
    <row r="99" spans="23:34" ht="14.1" customHeight="1" x14ac:dyDescent="0.25">
      <c r="W99" s="2612" t="s">
        <v>2312</v>
      </c>
      <c r="X99" s="3005">
        <v>-380</v>
      </c>
      <c r="Y99" s="2649">
        <f>+X99</f>
        <v>-380</v>
      </c>
      <c r="Z99" s="2650">
        <f>+Y99</f>
        <v>-380</v>
      </c>
    </row>
    <row r="100" spans="23:34" ht="3.95" customHeight="1" x14ac:dyDescent="0.25">
      <c r="W100" s="2612"/>
      <c r="X100" s="2785" t="s">
        <v>229</v>
      </c>
      <c r="Y100" s="2785" t="s">
        <v>229</v>
      </c>
      <c r="Z100" s="2723" t="s">
        <v>229</v>
      </c>
    </row>
    <row r="101" spans="23:34" ht="14.1" customHeight="1" x14ac:dyDescent="0.25">
      <c r="W101" s="2612" t="s">
        <v>1470</v>
      </c>
      <c r="X101" s="2758">
        <f>+X98+X99</f>
        <v>-232.31148073850011</v>
      </c>
      <c r="Y101" s="2758">
        <f>+Y98+Y99</f>
        <v>-197.92560989350974</v>
      </c>
      <c r="Z101" s="2718">
        <f>+Z98+Z99</f>
        <v>-133.07963101740495</v>
      </c>
    </row>
    <row r="102" spans="23:34" ht="14.1" customHeight="1" x14ac:dyDescent="0.25">
      <c r="W102" s="2612" t="s">
        <v>1536</v>
      </c>
      <c r="X102" s="2649">
        <f>+G47</f>
        <v>92.393000000000001</v>
      </c>
      <c r="Y102" s="2649">
        <f>+X102</f>
        <v>92.393000000000001</v>
      </c>
      <c r="Z102" s="2650">
        <f>+Y102</f>
        <v>92.393000000000001</v>
      </c>
    </row>
    <row r="103" spans="23:34" ht="14.1" customHeight="1" x14ac:dyDescent="0.25">
      <c r="W103" s="2612"/>
      <c r="X103" s="2649"/>
      <c r="Y103" s="2649"/>
      <c r="Z103" s="2650"/>
    </row>
    <row r="104" spans="23:34" ht="14.1" customHeight="1" x14ac:dyDescent="0.25">
      <c r="W104" s="496" t="s">
        <v>1354</v>
      </c>
      <c r="X104" s="2554">
        <f>+X101/X102</f>
        <v>-2.5143839981221534</v>
      </c>
      <c r="Y104" s="2554">
        <f>+Y101/Y102</f>
        <v>-2.1422143440900259</v>
      </c>
      <c r="Z104" s="2555">
        <f>+Z101/Z102</f>
        <v>-1.440364865492028</v>
      </c>
    </row>
    <row r="105" spans="23:34" ht="14.1" customHeight="1" x14ac:dyDescent="0.25">
      <c r="W105" s="2612"/>
      <c r="X105" s="2575"/>
      <c r="Y105" s="2575"/>
      <c r="Z105" s="2626"/>
    </row>
    <row r="106" spans="23:34" ht="14.1" customHeight="1" x14ac:dyDescent="0.25">
      <c r="W106" s="287" t="s">
        <v>2313</v>
      </c>
      <c r="X106" s="2575"/>
      <c r="Y106" s="2575"/>
      <c r="Z106" s="2626"/>
    </row>
    <row r="107" spans="23:34" ht="14.1" customHeight="1" x14ac:dyDescent="0.25">
      <c r="W107" s="2612" t="s">
        <v>2010</v>
      </c>
      <c r="X107" s="2758">
        <f>+X95</f>
        <v>14.06557326299999</v>
      </c>
      <c r="Y107" s="2758">
        <f>+Y95</f>
        <v>17.340418105380024</v>
      </c>
      <c r="Z107" s="2718">
        <f>+Z95</f>
        <v>23.516225617390006</v>
      </c>
    </row>
    <row r="108" spans="23:34" ht="14.1" customHeight="1" x14ac:dyDescent="0.25">
      <c r="W108" s="2612" t="s">
        <v>2317</v>
      </c>
      <c r="X108" s="2649">
        <f>+-X92*0.03</f>
        <v>-3.5880349220999999</v>
      </c>
      <c r="Y108" s="2649">
        <f>+-Y92*0.03</f>
        <v>-3.8177118993331507</v>
      </c>
      <c r="Z108" s="2650">
        <f>+-Z92*0.03</f>
        <v>-4.0438146218590578</v>
      </c>
    </row>
    <row r="109" spans="23:34" ht="3.95" customHeight="1" x14ac:dyDescent="0.25">
      <c r="W109" s="2612"/>
      <c r="X109" s="2785" t="s">
        <v>229</v>
      </c>
      <c r="Y109" s="2785" t="s">
        <v>229</v>
      </c>
      <c r="Z109" s="2723" t="s">
        <v>229</v>
      </c>
    </row>
    <row r="110" spans="23:34" ht="14.1" customHeight="1" x14ac:dyDescent="0.25">
      <c r="W110" s="2625" t="s">
        <v>2313</v>
      </c>
      <c r="X110" s="3006">
        <f>+X107+X108</f>
        <v>10.47753834089999</v>
      </c>
      <c r="Y110" s="3006">
        <f>+Y107+Y108</f>
        <v>13.522706206046873</v>
      </c>
      <c r="Z110" s="3007">
        <f>+Z107+Z108</f>
        <v>19.47241099553095</v>
      </c>
    </row>
    <row r="111" spans="23:34" ht="14.1" customHeight="1" x14ac:dyDescent="0.25">
      <c r="AA111" s="282" t="s">
        <v>2320</v>
      </c>
      <c r="AB111" s="2623"/>
      <c r="AC111" s="2623"/>
      <c r="AD111" s="2623"/>
      <c r="AE111" s="2623"/>
      <c r="AF111" s="2623"/>
      <c r="AG111" s="2623"/>
      <c r="AH111" s="2624"/>
    </row>
    <row r="112" spans="23:34" ht="14.1" customHeight="1" x14ac:dyDescent="0.25">
      <c r="AA112" s="2625"/>
      <c r="AB112" s="2760">
        <v>2016</v>
      </c>
      <c r="AC112" s="2760">
        <f>+AB112+1</f>
        <v>2017</v>
      </c>
      <c r="AD112" s="2760">
        <f>+AC112+1</f>
        <v>2018</v>
      </c>
      <c r="AE112" s="2760">
        <f>+AD112+1</f>
        <v>2019</v>
      </c>
      <c r="AF112" s="2760">
        <f>+AE112+1</f>
        <v>2020</v>
      </c>
      <c r="AG112" s="2760"/>
      <c r="AH112" s="2759"/>
    </row>
    <row r="113" spans="1:34" ht="14.1" customHeight="1" x14ac:dyDescent="0.25">
      <c r="A113" s="1050"/>
      <c r="B113" s="1050"/>
      <c r="C113" s="1050"/>
      <c r="D113" s="1050"/>
      <c r="E113" s="1050"/>
      <c r="F113" s="1050"/>
      <c r="G113" s="1050"/>
      <c r="H113" s="1050"/>
      <c r="I113" s="1050"/>
      <c r="J113" s="1050"/>
      <c r="K113" s="1050"/>
      <c r="L113" s="1050"/>
      <c r="M113" s="1050"/>
      <c r="N113" s="1050"/>
      <c r="O113" s="1050"/>
      <c r="P113" s="1050"/>
      <c r="Q113" s="1050"/>
      <c r="R113" s="1050"/>
      <c r="S113" s="1050"/>
      <c r="T113" s="1050"/>
      <c r="U113" s="1050"/>
      <c r="V113" s="1050"/>
      <c r="AA113" s="2612" t="s">
        <v>898</v>
      </c>
      <c r="AB113" s="3032">
        <f>+PENN!BO675</f>
        <v>119.60116407</v>
      </c>
      <c r="AC113" s="3032">
        <f>+PENN!BT675</f>
        <v>127.25706331110503</v>
      </c>
      <c r="AD113" s="3032">
        <f>+PENN!BY675</f>
        <v>134.79382072863527</v>
      </c>
      <c r="AE113" s="3032">
        <f>+PENN!BZ675</f>
        <v>138.9010671453039</v>
      </c>
      <c r="AF113" s="3032">
        <f>+PENN!CA675</f>
        <v>143.15223560750522</v>
      </c>
      <c r="AG113" s="3032"/>
      <c r="AH113" s="2626"/>
    </row>
    <row r="114" spans="1:34" ht="14.1" customHeight="1" x14ac:dyDescent="0.25">
      <c r="AA114" s="2612" t="s">
        <v>600</v>
      </c>
      <c r="AB114" s="2999">
        <f>+AB113-AB116</f>
        <v>105.53559080700001</v>
      </c>
      <c r="AC114" s="2999">
        <f>+AC113-AC116</f>
        <v>109.916645205725</v>
      </c>
      <c r="AD114" s="2999">
        <f>+AD113-AD116</f>
        <v>111.27759511124526</v>
      </c>
      <c r="AE114" s="2999">
        <f>+AE113-AE116</f>
        <v>112.96337845459385</v>
      </c>
      <c r="AF114" s="2999">
        <f>+AF113-AF116</f>
        <v>114.66402176896997</v>
      </c>
      <c r="AG114" s="2999"/>
      <c r="AH114" s="2626"/>
    </row>
    <row r="115" spans="1:34" ht="3.95" customHeight="1" x14ac:dyDescent="0.25">
      <c r="AA115" s="2612"/>
      <c r="AB115" s="2707" t="s">
        <v>229</v>
      </c>
      <c r="AC115" s="2707" t="s">
        <v>229</v>
      </c>
      <c r="AD115" s="2707" t="s">
        <v>229</v>
      </c>
      <c r="AE115" s="2707" t="s">
        <v>229</v>
      </c>
      <c r="AF115" s="2707" t="s">
        <v>229</v>
      </c>
      <c r="AG115" s="2707"/>
      <c r="AH115" s="2626"/>
    </row>
    <row r="116" spans="1:34" ht="14.1" customHeight="1" x14ac:dyDescent="0.25">
      <c r="AA116" s="2994" t="s">
        <v>2010</v>
      </c>
      <c r="AB116" s="2995">
        <f>+PENN!BO695</f>
        <v>14.06557326299999</v>
      </c>
      <c r="AC116" s="2995">
        <f>+PENN!BT695</f>
        <v>17.340418105380024</v>
      </c>
      <c r="AD116" s="2995">
        <f>+PENN!BY695</f>
        <v>23.516225617390006</v>
      </c>
      <c r="AE116" s="2995">
        <f>+PENN!BZ695</f>
        <v>25.937688690710047</v>
      </c>
      <c r="AF116" s="2995">
        <f>+PENN!CA695</f>
        <v>28.488213838535245</v>
      </c>
      <c r="AG116" s="2995"/>
      <c r="AH116" s="1047"/>
    </row>
    <row r="117" spans="1:34" ht="14.1" customHeight="1" x14ac:dyDescent="0.25">
      <c r="AA117" s="2998" t="s">
        <v>462</v>
      </c>
      <c r="AB117" s="2649">
        <f>-PENN!BO686</f>
        <v>-16.475999999999999</v>
      </c>
      <c r="AC117" s="2649">
        <f>-PENN!BT686</f>
        <v>-16.475999999999999</v>
      </c>
      <c r="AD117" s="2649">
        <f>-PENN!BY686</f>
        <v>-16.475999999999999</v>
      </c>
      <c r="AE117" s="2649">
        <f>-PENN!BZ686</f>
        <v>-16.475999999999999</v>
      </c>
      <c r="AF117" s="2649">
        <f>-PENN!CA686</f>
        <v>-16.475999999999999</v>
      </c>
      <c r="AG117" s="2649"/>
      <c r="AH117" s="1047"/>
    </row>
    <row r="118" spans="1:34" ht="14.1" customHeight="1" x14ac:dyDescent="0.25">
      <c r="AA118" s="2998" t="s">
        <v>2321</v>
      </c>
      <c r="AB118" s="2649">
        <f>+-AB136</f>
        <v>-10.8775</v>
      </c>
      <c r="AC118" s="2649">
        <f>+-AC136</f>
        <v>-12.5875</v>
      </c>
      <c r="AD118" s="2649">
        <f>+-AD136</f>
        <v>-20.474999999999998</v>
      </c>
      <c r="AE118" s="2649">
        <f>+-AE136</f>
        <v>-27.162499999999998</v>
      </c>
      <c r="AF118" s="2649">
        <f>+-AF136</f>
        <v>-32.518749999999997</v>
      </c>
      <c r="AG118" s="2649"/>
      <c r="AH118" s="1047"/>
    </row>
    <row r="119" spans="1:34" ht="3.95" customHeight="1" x14ac:dyDescent="0.25">
      <c r="AA119" s="2612"/>
      <c r="AB119" s="2707" t="s">
        <v>229</v>
      </c>
      <c r="AC119" s="2707" t="s">
        <v>229</v>
      </c>
      <c r="AD119" s="2707" t="s">
        <v>229</v>
      </c>
      <c r="AE119" s="2707" t="s">
        <v>229</v>
      </c>
      <c r="AF119" s="2707" t="s">
        <v>229</v>
      </c>
      <c r="AG119" s="2707"/>
      <c r="AH119" s="2626"/>
    </row>
    <row r="120" spans="1:34" ht="14.1" customHeight="1" x14ac:dyDescent="0.25">
      <c r="AA120" s="2994" t="s">
        <v>2314</v>
      </c>
      <c r="AB120" s="2995">
        <f>+SUM(AB116:AB118)</f>
        <v>-13.287926737000008</v>
      </c>
      <c r="AC120" s="2995">
        <f>+SUM(AC116:AC118)</f>
        <v>-11.723081894619975</v>
      </c>
      <c r="AD120" s="2995">
        <f>+SUM(AD116:AD118)</f>
        <v>-13.434774382609991</v>
      </c>
      <c r="AE120" s="2995">
        <f>+SUM(AE116:AE118)</f>
        <v>-17.70081130928995</v>
      </c>
      <c r="AF120" s="2995">
        <f>+SUM(AF116:AF118)</f>
        <v>-20.506536161464751</v>
      </c>
      <c r="AG120" s="2995"/>
      <c r="AH120" s="1048"/>
    </row>
    <row r="121" spans="1:34" ht="14.1" customHeight="1" x14ac:dyDescent="0.25">
      <c r="AA121" s="2998" t="s">
        <v>2315</v>
      </c>
      <c r="AB121" s="3031">
        <v>0</v>
      </c>
      <c r="AC121" s="3031">
        <v>0</v>
      </c>
      <c r="AD121" s="3031">
        <v>0</v>
      </c>
      <c r="AE121" s="3031">
        <v>0</v>
      </c>
      <c r="AF121" s="3031">
        <v>0</v>
      </c>
      <c r="AG121" s="3031"/>
      <c r="AH121" s="3565" t="s">
        <v>2323</v>
      </c>
    </row>
    <row r="122" spans="1:34" ht="14.1" customHeight="1" x14ac:dyDescent="0.25">
      <c r="AA122" s="2998" t="s">
        <v>2316</v>
      </c>
      <c r="AB122" s="2999">
        <f>-AB113*0.03</f>
        <v>-3.5880349220999999</v>
      </c>
      <c r="AC122" s="2999">
        <f>-AC113*0.03</f>
        <v>-3.8177118993331507</v>
      </c>
      <c r="AD122" s="2999">
        <f>-AD113*0.03</f>
        <v>-4.0438146218590578</v>
      </c>
      <c r="AE122" s="2999">
        <f>-AE113*0.03</f>
        <v>-4.1670320143591164</v>
      </c>
      <c r="AF122" s="2999">
        <f>-AF113*0.03</f>
        <v>-4.294567068225156</v>
      </c>
      <c r="AG122" s="2999"/>
      <c r="AH122" s="3566"/>
    </row>
    <row r="123" spans="1:34" ht="14.1" customHeight="1" x14ac:dyDescent="0.25">
      <c r="AA123" s="2998" t="s">
        <v>1347</v>
      </c>
      <c r="AB123" s="2999">
        <f>+-AB117</f>
        <v>16.475999999999999</v>
      </c>
      <c r="AC123" s="2999">
        <f>+-AC117</f>
        <v>16.475999999999999</v>
      </c>
      <c r="AD123" s="2999">
        <f>+-AD117</f>
        <v>16.475999999999999</v>
      </c>
      <c r="AE123" s="2999">
        <f>+-AE117</f>
        <v>16.475999999999999</v>
      </c>
      <c r="AF123" s="2999">
        <f>+-AF117</f>
        <v>16.475999999999999</v>
      </c>
      <c r="AG123" s="2999"/>
      <c r="AH123" s="3566"/>
    </row>
    <row r="124" spans="1:34" ht="3.95" customHeight="1" x14ac:dyDescent="0.25">
      <c r="AA124" s="2612"/>
      <c r="AB124" s="2707" t="s">
        <v>229</v>
      </c>
      <c r="AC124" s="2707" t="s">
        <v>229</v>
      </c>
      <c r="AD124" s="2707" t="s">
        <v>229</v>
      </c>
      <c r="AE124" s="2707" t="s">
        <v>229</v>
      </c>
      <c r="AF124" s="2707" t="s">
        <v>229</v>
      </c>
      <c r="AG124" s="2707"/>
      <c r="AH124" s="2757"/>
    </row>
    <row r="125" spans="1:34" ht="14.1" customHeight="1" x14ac:dyDescent="0.25">
      <c r="AA125" s="864" t="s">
        <v>275</v>
      </c>
      <c r="AB125" s="512">
        <f>SUM(AB120:AB123)</f>
        <v>-0.39996165910000769</v>
      </c>
      <c r="AC125" s="512">
        <f>SUM(AC120:AC123)</f>
        <v>0.93520620604687288</v>
      </c>
      <c r="AD125" s="512">
        <f>SUM(AD120:AD123)</f>
        <v>-1.0025890044690513</v>
      </c>
      <c r="AE125" s="512">
        <f>SUM(AE120:AE123)</f>
        <v>-5.3918433236490664</v>
      </c>
      <c r="AF125" s="512">
        <f>SUM(AF120:AF123)</f>
        <v>-8.3251032296899083</v>
      </c>
      <c r="AG125" s="512"/>
      <c r="AH125" s="3033">
        <f>AF125*AB128</f>
        <v>-83.251032296899083</v>
      </c>
    </row>
    <row r="126" spans="1:34" ht="14.1" customHeight="1" x14ac:dyDescent="0.25">
      <c r="AA126" s="2612"/>
      <c r="AB126" s="2575"/>
      <c r="AC126" s="2575"/>
      <c r="AD126" s="2575"/>
      <c r="AE126" s="2575"/>
      <c r="AF126" s="2575"/>
      <c r="AG126" s="2575"/>
      <c r="AH126" s="2626"/>
    </row>
    <row r="127" spans="1:34" ht="14.1" customHeight="1" x14ac:dyDescent="0.25">
      <c r="AA127" s="2612" t="s">
        <v>276</v>
      </c>
      <c r="AB127" s="2645">
        <v>0.125</v>
      </c>
      <c r="AC127" s="2575"/>
      <c r="AD127" s="2575"/>
      <c r="AE127" s="2575"/>
      <c r="AF127" s="2575"/>
      <c r="AG127" s="2575"/>
      <c r="AH127" s="2626"/>
    </row>
    <row r="128" spans="1:34" ht="14.1" customHeight="1" x14ac:dyDescent="0.25">
      <c r="AA128" s="2612" t="s">
        <v>277</v>
      </c>
      <c r="AB128" s="3034">
        <v>10</v>
      </c>
      <c r="AC128" s="2575"/>
      <c r="AD128" s="2575"/>
      <c r="AE128" s="2575"/>
      <c r="AF128" s="2575"/>
      <c r="AG128" s="2575"/>
      <c r="AH128" s="2626"/>
    </row>
    <row r="129" spans="27:34" ht="14.1" customHeight="1" x14ac:dyDescent="0.25">
      <c r="AA129" s="2612"/>
      <c r="AB129" s="3034"/>
      <c r="AC129" s="2575"/>
      <c r="AD129" s="2575"/>
      <c r="AE129" s="2575"/>
      <c r="AF129" s="2575"/>
      <c r="AG129" s="2575"/>
      <c r="AH129" s="2626"/>
    </row>
    <row r="130" spans="27:34" ht="14.1" customHeight="1" x14ac:dyDescent="0.25">
      <c r="AA130" s="2612" t="s">
        <v>278</v>
      </c>
      <c r="AB130" s="2758">
        <f>NPV(AB127,AB125:AH125)</f>
        <v>-49.371937556043555</v>
      </c>
      <c r="AC130" s="2575"/>
      <c r="AD130" s="2575"/>
      <c r="AE130" s="2575"/>
      <c r="AF130" s="2575"/>
      <c r="AG130" s="2575"/>
      <c r="AH130" s="2626"/>
    </row>
    <row r="131" spans="27:34" ht="14.1" customHeight="1" x14ac:dyDescent="0.25">
      <c r="AA131" s="2612" t="s">
        <v>1536</v>
      </c>
      <c r="AB131" s="2649">
        <f>+G47</f>
        <v>92.393000000000001</v>
      </c>
      <c r="AC131" s="2575"/>
      <c r="AD131" s="2575"/>
      <c r="AE131" s="2575"/>
      <c r="AF131" s="2575"/>
      <c r="AG131" s="2575"/>
      <c r="AH131" s="2626"/>
    </row>
    <row r="132" spans="27:34" ht="14.1" customHeight="1" x14ac:dyDescent="0.25">
      <c r="AA132" s="432" t="s">
        <v>279</v>
      </c>
      <c r="AB132" s="714">
        <f>+AB130/AB131</f>
        <v>-0.53436881101429279</v>
      </c>
      <c r="AC132" s="2617"/>
      <c r="AD132" s="2617"/>
      <c r="AE132" s="2617"/>
      <c r="AF132" s="2617"/>
      <c r="AG132" s="2617"/>
      <c r="AH132" s="2759"/>
    </row>
    <row r="134" spans="27:34" ht="14.1" customHeight="1" x14ac:dyDescent="0.25">
      <c r="AA134" s="1454" t="s">
        <v>1619</v>
      </c>
      <c r="AB134" s="3035">
        <v>380</v>
      </c>
      <c r="AC134" s="3035">
        <f>+AB134</f>
        <v>380</v>
      </c>
      <c r="AD134" s="3035">
        <f>+AC134+75</f>
        <v>455</v>
      </c>
      <c r="AE134" s="3035">
        <f>+AD134+75</f>
        <v>530</v>
      </c>
      <c r="AF134" s="3035">
        <f>+AE134+75</f>
        <v>605</v>
      </c>
    </row>
    <row r="135" spans="27:34" ht="14.1" customHeight="1" x14ac:dyDescent="0.25">
      <c r="AA135" s="1454" t="s">
        <v>2322</v>
      </c>
      <c r="AB135" s="2610">
        <f>+PENN!BO1458</f>
        <v>2.8624999999999998E-2</v>
      </c>
      <c r="AC135" s="2610">
        <f>+PENN!BT1458</f>
        <v>3.3125000000000002E-2</v>
      </c>
      <c r="AD135" s="2610">
        <f>+PENN!BY1458</f>
        <v>4.4999999999999998E-2</v>
      </c>
      <c r="AE135" s="2610">
        <f>+PENN!BZ1458</f>
        <v>5.1249999999999997E-2</v>
      </c>
      <c r="AF135" s="2610">
        <f>+PENN!CA1458</f>
        <v>5.3749999999999992E-2</v>
      </c>
    </row>
    <row r="136" spans="27:34" ht="14.1" customHeight="1" x14ac:dyDescent="0.25">
      <c r="AA136" s="1454" t="s">
        <v>1486</v>
      </c>
      <c r="AB136" s="2621">
        <f>+AB134*AB135</f>
        <v>10.8775</v>
      </c>
      <c r="AC136" s="2621">
        <f>+AC134*AC135</f>
        <v>12.5875</v>
      </c>
      <c r="AD136" s="2621">
        <f>+AD134*AD135</f>
        <v>20.474999999999998</v>
      </c>
      <c r="AE136" s="2621">
        <f>+AE134*AE135</f>
        <v>27.162499999999998</v>
      </c>
      <c r="AF136" s="2621">
        <f>+AF134*AF135</f>
        <v>32.518749999999997</v>
      </c>
    </row>
  </sheetData>
  <mergeCells count="1">
    <mergeCell ref="AH121:AH123"/>
  </mergeCells>
  <phoneticPr fontId="13" type="noConversion"/>
  <pageMargins left="0" right="0" top="0" bottom="0" header="0" footer="0"/>
  <pageSetup paperSize="5" scale="6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3:FB551"/>
  <sheetViews>
    <sheetView showGridLines="0" topLeftCell="ET514" zoomScale="85" zoomScaleNormal="85" workbookViewId="0">
      <selection activeCell="CU339" sqref="CU339"/>
    </sheetView>
  </sheetViews>
  <sheetFormatPr defaultRowHeight="12.75" x14ac:dyDescent="0.2"/>
  <cols>
    <col min="1" max="1" width="15.625" style="1454" customWidth="1"/>
    <col min="2" max="4" width="12.625" style="1454" customWidth="1"/>
    <col min="5" max="5" width="2.625" style="1454" customWidth="1"/>
    <col min="6" max="6" width="12.625" style="1454" customWidth="1"/>
    <col min="7" max="7" width="10.625" style="1454" customWidth="1"/>
    <col min="8" max="8" width="12.625" style="1454" customWidth="1"/>
    <col min="9" max="9" width="9" style="1454"/>
    <col min="10" max="10" width="14.125" style="1454" bestFit="1" customWidth="1"/>
    <col min="11" max="20" width="9" style="1454"/>
    <col min="21" max="21" width="30.625" style="1454" customWidth="1"/>
    <col min="22" max="23" width="9" style="1454"/>
    <col min="24" max="24" width="40.625" style="1454" customWidth="1"/>
    <col min="25" max="25" width="9" style="1454"/>
    <col min="26" max="26" width="41.125" style="1454" bestFit="1" customWidth="1"/>
    <col min="27" max="27" width="10.625" style="1454" customWidth="1"/>
    <col min="28" max="28" width="9" style="1454"/>
    <col min="29" max="29" width="33.75" style="1454" bestFit="1" customWidth="1"/>
    <col min="30" max="30" width="9" style="2610"/>
    <col min="31" max="45" width="9" style="1454"/>
    <col min="46" max="49" width="10.625" style="1454" customWidth="1"/>
    <col min="50" max="59" width="9" style="1454"/>
    <col min="60" max="60" width="35.625" style="1454" customWidth="1"/>
    <col min="61" max="65" width="9" style="1454"/>
    <col min="66" max="66" width="29.625" style="1454" bestFit="1" customWidth="1"/>
    <col min="67" max="70" width="9" style="1454"/>
    <col min="71" max="71" width="39" style="1454" bestFit="1" customWidth="1"/>
    <col min="72" max="72" width="9" style="1454"/>
    <col min="73" max="73" width="9.125" style="1454" bestFit="1" customWidth="1"/>
    <col min="74" max="74" width="25.625" style="1454" customWidth="1"/>
    <col min="75" max="75" width="9" style="1454"/>
    <col min="76" max="76" width="44.375" style="1454" bestFit="1" customWidth="1"/>
    <col min="77" max="77" width="9" style="1454" customWidth="1"/>
    <col min="78" max="107" width="9" style="1454"/>
    <col min="108" max="108" width="29.25" style="1454" customWidth="1"/>
    <col min="109" max="111" width="9" style="1454"/>
    <col min="112" max="112" width="22" style="1454" bestFit="1" customWidth="1"/>
    <col min="113" max="124" width="9" style="1454"/>
    <col min="125" max="125" width="30.625" style="1454" bestFit="1" customWidth="1"/>
    <col min="126" max="134" width="9" style="1454"/>
    <col min="135" max="135" width="33.75" style="1454" bestFit="1" customWidth="1"/>
    <col min="136" max="141" width="9" style="1454"/>
    <col min="142" max="142" width="53.875" style="1454" customWidth="1"/>
    <col min="143" max="143" width="9.5" style="1454" bestFit="1" customWidth="1"/>
    <col min="144" max="144" width="17.625" style="1454" bestFit="1" customWidth="1"/>
    <col min="145" max="145" width="9" style="1454"/>
    <col min="146" max="146" width="38.125" style="1454" bestFit="1" customWidth="1"/>
    <col min="147" max="147" width="9" style="1454"/>
    <col min="148" max="148" width="19.875" style="1454" bestFit="1" customWidth="1"/>
    <col min="149" max="16384" width="9" style="1454"/>
  </cols>
  <sheetData>
    <row r="3" spans="1:13" ht="38.25" x14ac:dyDescent="0.2">
      <c r="A3" s="2611"/>
      <c r="B3" s="3049" t="s">
        <v>2340</v>
      </c>
      <c r="C3" s="3049" t="s">
        <v>2342</v>
      </c>
      <c r="D3" s="3049" t="s">
        <v>2343</v>
      </c>
      <c r="E3" s="3058"/>
      <c r="F3" s="3049" t="s">
        <v>2347</v>
      </c>
      <c r="G3" s="3049" t="s">
        <v>2345</v>
      </c>
      <c r="H3" s="3050" t="s">
        <v>2346</v>
      </c>
    </row>
    <row r="4" spans="1:13" ht="3.95" customHeight="1" x14ac:dyDescent="0.2">
      <c r="A4" s="2612"/>
      <c r="B4" s="1649"/>
      <c r="C4" s="2575"/>
      <c r="D4" s="2575"/>
      <c r="E4" s="3059"/>
      <c r="F4" s="2575"/>
      <c r="G4" s="2575"/>
      <c r="H4" s="2626"/>
    </row>
    <row r="5" spans="1:13" x14ac:dyDescent="0.2">
      <c r="A5" s="2612" t="s">
        <v>1634</v>
      </c>
      <c r="B5" s="3051">
        <v>337.36821900000001</v>
      </c>
      <c r="C5" s="2575"/>
      <c r="D5" s="2575"/>
      <c r="E5" s="3059"/>
      <c r="F5" s="2627"/>
      <c r="G5" s="2627">
        <v>0</v>
      </c>
      <c r="H5" s="2636">
        <f>+G5/B5-1</f>
        <v>-1</v>
      </c>
    </row>
    <row r="6" spans="1:13" x14ac:dyDescent="0.2">
      <c r="A6" s="2612" t="s">
        <v>1511</v>
      </c>
      <c r="B6" s="3052">
        <v>473.18982299999999</v>
      </c>
      <c r="C6" s="2575"/>
      <c r="D6" s="2575"/>
      <c r="E6" s="3059"/>
      <c r="F6" s="2575"/>
      <c r="G6" s="2575">
        <v>0</v>
      </c>
      <c r="H6" s="2636">
        <f>+G6/B6-1</f>
        <v>-1</v>
      </c>
    </row>
    <row r="7" spans="1:13" x14ac:dyDescent="0.2">
      <c r="A7" s="2612" t="s">
        <v>2055</v>
      </c>
      <c r="B7" s="3052">
        <v>397.64481699999999</v>
      </c>
      <c r="C7" s="2575"/>
      <c r="D7" s="2575"/>
      <c r="E7" s="3059"/>
      <c r="F7" s="2575"/>
      <c r="G7" s="2575">
        <v>0</v>
      </c>
      <c r="H7" s="2636">
        <f>+G7/B7-1</f>
        <v>-1</v>
      </c>
    </row>
    <row r="8" spans="1:13" x14ac:dyDescent="0.2">
      <c r="A8" s="2612" t="s">
        <v>1635</v>
      </c>
      <c r="B8" s="3052">
        <v>215.290706</v>
      </c>
      <c r="C8" s="2575"/>
      <c r="D8" s="2575"/>
      <c r="E8" s="3059"/>
      <c r="F8" s="2575"/>
      <c r="G8" s="2575">
        <v>0</v>
      </c>
      <c r="H8" s="2636">
        <f>+G8/B8-1</f>
        <v>-1</v>
      </c>
    </row>
    <row r="9" spans="1:13" ht="3.95" customHeight="1" x14ac:dyDescent="0.2">
      <c r="A9" s="2612"/>
      <c r="B9" s="2707" t="s">
        <v>401</v>
      </c>
      <c r="C9" s="2707" t="s">
        <v>401</v>
      </c>
      <c r="D9" s="2707" t="s">
        <v>401</v>
      </c>
      <c r="E9" s="3060"/>
      <c r="F9" s="2707" t="s">
        <v>401</v>
      </c>
      <c r="G9" s="2707" t="s">
        <v>401</v>
      </c>
      <c r="H9" s="2708" t="s">
        <v>401</v>
      </c>
    </row>
    <row r="10" spans="1:13" x14ac:dyDescent="0.2">
      <c r="A10" s="864" t="s">
        <v>2344</v>
      </c>
      <c r="B10" s="557">
        <f>SUM(B5:B8)</f>
        <v>1423.493565</v>
      </c>
      <c r="C10" s="3053">
        <v>1100</v>
      </c>
      <c r="D10" s="2575"/>
      <c r="E10" s="3059"/>
      <c r="F10" s="557">
        <f>AVERAGE(B10:D10)</f>
        <v>1261.7467824999999</v>
      </c>
      <c r="G10" s="557">
        <f>SUM(G5:G8)</f>
        <v>0</v>
      </c>
      <c r="H10" s="3054">
        <f>+G10/F10-1</f>
        <v>-1</v>
      </c>
    </row>
    <row r="11" spans="1:13" x14ac:dyDescent="0.2">
      <c r="A11" s="2612" t="s">
        <v>2341</v>
      </c>
      <c r="B11" s="2575"/>
      <c r="C11" s="3055">
        <v>1150</v>
      </c>
      <c r="D11" s="2575"/>
      <c r="E11" s="3059"/>
      <c r="F11" s="2575">
        <f>AVERAGE(B11:D11)</f>
        <v>1150</v>
      </c>
      <c r="G11" s="2575">
        <v>177.99751900000001</v>
      </c>
      <c r="H11" s="2636">
        <f>+G11/F11-1</f>
        <v>-0.84521954869565219</v>
      </c>
    </row>
    <row r="12" spans="1:13" ht="3.95" customHeight="1" x14ac:dyDescent="0.2">
      <c r="A12" s="2612"/>
      <c r="B12" s="2575"/>
      <c r="C12" s="2707" t="s">
        <v>401</v>
      </c>
      <c r="D12" s="2575"/>
      <c r="E12" s="3059"/>
      <c r="F12" s="2575"/>
      <c r="G12" s="2575"/>
      <c r="H12" s="2626"/>
    </row>
    <row r="13" spans="1:13" x14ac:dyDescent="0.2">
      <c r="A13" s="2625" t="s">
        <v>225</v>
      </c>
      <c r="B13" s="2617"/>
      <c r="C13" s="3056">
        <f>+C10+C11</f>
        <v>2250</v>
      </c>
      <c r="D13" s="3057">
        <v>2300</v>
      </c>
      <c r="E13" s="3061"/>
      <c r="F13" s="3056">
        <f>AVERAGE(B13:D13)</f>
        <v>2275</v>
      </c>
      <c r="G13" s="3056">
        <f>+G10+G11</f>
        <v>177.99751900000001</v>
      </c>
      <c r="H13" s="3062">
        <f>+G13/F13-1</f>
        <v>-0.92175933230769225</v>
      </c>
    </row>
    <row r="14" spans="1:13" x14ac:dyDescent="0.2">
      <c r="K14" s="1454" t="s">
        <v>2356</v>
      </c>
      <c r="L14" s="2590" t="s">
        <v>2357</v>
      </c>
      <c r="M14" s="2590" t="s">
        <v>2209</v>
      </c>
    </row>
    <row r="15" spans="1:13" x14ac:dyDescent="0.2">
      <c r="J15" s="3048" t="s">
        <v>1634</v>
      </c>
      <c r="K15" s="2634">
        <f>+B5</f>
        <v>337.36821900000001</v>
      </c>
      <c r="L15" s="2634">
        <f>+G5</f>
        <v>0</v>
      </c>
      <c r="M15" s="2610">
        <f t="shared" ref="M15:M21" si="0">+L15/K15-1</f>
        <v>-1</v>
      </c>
    </row>
    <row r="16" spans="1:13" x14ac:dyDescent="0.2">
      <c r="J16" s="1454" t="s">
        <v>1511</v>
      </c>
      <c r="K16" s="2634">
        <f>+B6</f>
        <v>473.18982299999999</v>
      </c>
      <c r="L16" s="2634">
        <f>+G6</f>
        <v>0</v>
      </c>
      <c r="M16" s="2610">
        <f t="shared" si="0"/>
        <v>-1</v>
      </c>
    </row>
    <row r="17" spans="10:13" x14ac:dyDescent="0.2">
      <c r="J17" s="1454" t="s">
        <v>2055</v>
      </c>
      <c r="K17" s="2634">
        <f>+B7</f>
        <v>397.64481699999999</v>
      </c>
      <c r="L17" s="2634">
        <f>+G7</f>
        <v>0</v>
      </c>
      <c r="M17" s="2610">
        <f t="shared" si="0"/>
        <v>-1</v>
      </c>
    </row>
    <row r="18" spans="10:13" x14ac:dyDescent="0.2">
      <c r="J18" s="1454" t="s">
        <v>1635</v>
      </c>
      <c r="K18" s="2634">
        <f>+B8</f>
        <v>215.290706</v>
      </c>
      <c r="L18" s="2634">
        <f>+G8</f>
        <v>0</v>
      </c>
      <c r="M18" s="2610">
        <f t="shared" si="0"/>
        <v>-1</v>
      </c>
    </row>
    <row r="19" spans="10:13" x14ac:dyDescent="0.2">
      <c r="J19" s="1454" t="s">
        <v>2358</v>
      </c>
      <c r="K19" s="2634">
        <f>+F11</f>
        <v>1150</v>
      </c>
      <c r="L19" s="2634">
        <f>+G11</f>
        <v>177.99751900000001</v>
      </c>
      <c r="M19" s="2610">
        <f t="shared" si="0"/>
        <v>-0.84521954869565219</v>
      </c>
    </row>
    <row r="20" spans="10:13" x14ac:dyDescent="0.2">
      <c r="J20" s="1454" t="s">
        <v>2354</v>
      </c>
      <c r="K20" s="2634">
        <f>+F13</f>
        <v>2275</v>
      </c>
      <c r="L20" s="2634">
        <f>+G13</f>
        <v>177.99751900000001</v>
      </c>
      <c r="M20" s="2610">
        <f t="shared" si="0"/>
        <v>-0.92175933230769225</v>
      </c>
    </row>
    <row r="21" spans="10:13" x14ac:dyDescent="0.2">
      <c r="J21" s="1454" t="s">
        <v>2355</v>
      </c>
      <c r="K21" s="2634">
        <v>1100</v>
      </c>
      <c r="L21" s="2634">
        <v>123</v>
      </c>
      <c r="M21" s="2610">
        <f t="shared" si="0"/>
        <v>-0.88818181818181818</v>
      </c>
    </row>
    <row r="40" spans="8:22" x14ac:dyDescent="0.2">
      <c r="H40" s="2610"/>
    </row>
    <row r="48" spans="8:22" x14ac:dyDescent="0.2">
      <c r="U48" s="282" t="s">
        <v>2381</v>
      </c>
      <c r="V48" s="2624"/>
    </row>
    <row r="49" spans="21:22" x14ac:dyDescent="0.2">
      <c r="U49" s="2612" t="s">
        <v>2382</v>
      </c>
      <c r="V49" s="3041">
        <v>3000000</v>
      </c>
    </row>
    <row r="50" spans="21:22" x14ac:dyDescent="0.2">
      <c r="U50" s="870" t="s">
        <v>2383</v>
      </c>
      <c r="V50" s="3113">
        <v>0.25</v>
      </c>
    </row>
    <row r="51" spans="21:22" ht="3.95" customHeight="1" x14ac:dyDescent="0.2">
      <c r="U51" s="2612"/>
      <c r="V51" s="2708" t="s">
        <v>401</v>
      </c>
    </row>
    <row r="52" spans="21:22" x14ac:dyDescent="0.2">
      <c r="U52" s="2612" t="s">
        <v>2384</v>
      </c>
      <c r="V52" s="2626">
        <f>+V49*V50</f>
        <v>750000</v>
      </c>
    </row>
    <row r="53" spans="21:22" x14ac:dyDescent="0.2">
      <c r="U53" s="2612" t="s">
        <v>2385</v>
      </c>
      <c r="V53" s="3114">
        <v>4</v>
      </c>
    </row>
    <row r="54" spans="21:22" x14ac:dyDescent="0.2">
      <c r="U54" s="2612" t="s">
        <v>2386</v>
      </c>
      <c r="V54" s="3115">
        <v>150</v>
      </c>
    </row>
    <row r="55" spans="21:22" ht="3.95" customHeight="1" x14ac:dyDescent="0.2">
      <c r="U55" s="2612"/>
      <c r="V55" s="2708" t="s">
        <v>401</v>
      </c>
    </row>
    <row r="56" spans="21:22" x14ac:dyDescent="0.2">
      <c r="U56" s="2612" t="s">
        <v>2387</v>
      </c>
      <c r="V56" s="2718">
        <f>+V52*V53*V54/1000000</f>
        <v>450</v>
      </c>
    </row>
    <row r="57" spans="21:22" x14ac:dyDescent="0.2">
      <c r="U57" s="1384" t="s">
        <v>2391</v>
      </c>
      <c r="V57" s="3113">
        <v>0.15</v>
      </c>
    </row>
    <row r="58" spans="21:22" ht="3.95" customHeight="1" x14ac:dyDescent="0.2">
      <c r="U58" s="2612"/>
      <c r="V58" s="2708" t="s">
        <v>401</v>
      </c>
    </row>
    <row r="59" spans="21:22" x14ac:dyDescent="0.2">
      <c r="U59" s="2612" t="s">
        <v>2388</v>
      </c>
      <c r="V59" s="2718">
        <f>+V56*V57</f>
        <v>67.5</v>
      </c>
    </row>
    <row r="60" spans="21:22" x14ac:dyDescent="0.2">
      <c r="U60" s="2612"/>
      <c r="V60" s="2626"/>
    </row>
    <row r="61" spans="21:22" x14ac:dyDescent="0.2">
      <c r="U61" s="2612" t="s">
        <v>2389</v>
      </c>
      <c r="V61" s="2718">
        <f>+PENN!BE675</f>
        <v>109.66</v>
      </c>
    </row>
    <row r="62" spans="21:22" x14ac:dyDescent="0.2">
      <c r="U62" s="2612" t="s">
        <v>2392</v>
      </c>
      <c r="V62" s="2650">
        <f>+PENN!BY675</f>
        <v>134.79382072863527</v>
      </c>
    </row>
    <row r="63" spans="21:22" ht="3.95" customHeight="1" x14ac:dyDescent="0.2">
      <c r="U63" s="2612"/>
      <c r="V63" s="2708" t="s">
        <v>401</v>
      </c>
    </row>
    <row r="64" spans="21:22" x14ac:dyDescent="0.2">
      <c r="U64" s="864" t="s">
        <v>242</v>
      </c>
      <c r="V64" s="2344">
        <f>+V62-V61</f>
        <v>25.133820728635271</v>
      </c>
    </row>
    <row r="65" spans="21:25" x14ac:dyDescent="0.2">
      <c r="U65" s="1081" t="s">
        <v>2390</v>
      </c>
      <c r="V65" s="1082">
        <f>+V64/V56</f>
        <v>5.5852934952522824E-2</v>
      </c>
    </row>
    <row r="67" spans="21:25" x14ac:dyDescent="0.2">
      <c r="X67" s="282" t="s">
        <v>2410</v>
      </c>
      <c r="Y67" s="2624"/>
    </row>
    <row r="68" spans="21:25" x14ac:dyDescent="0.2">
      <c r="X68" s="2625"/>
      <c r="Y68" s="2700" t="s">
        <v>2401</v>
      </c>
    </row>
    <row r="69" spans="21:25" ht="3.95" customHeight="1" x14ac:dyDescent="0.2">
      <c r="X69" s="2611"/>
      <c r="Y69" s="3044"/>
    </row>
    <row r="70" spans="21:25" x14ac:dyDescent="0.2">
      <c r="X70" s="2612" t="s">
        <v>2400</v>
      </c>
      <c r="Y70" s="2635">
        <f>+PENN!BJ1339</f>
        <v>237.00899999999973</v>
      </c>
    </row>
    <row r="71" spans="21:25" ht="3.95" customHeight="1" x14ac:dyDescent="0.2">
      <c r="X71" s="2612"/>
      <c r="Y71" s="2626"/>
    </row>
    <row r="72" spans="21:25" x14ac:dyDescent="0.2">
      <c r="X72" s="2612" t="s">
        <v>2403</v>
      </c>
      <c r="Y72" s="2729">
        <f>+PENN!BO114-PENN!BO113</f>
        <v>336.74717559375011</v>
      </c>
    </row>
    <row r="73" spans="21:25" x14ac:dyDescent="0.2">
      <c r="X73" s="2612" t="s">
        <v>2397</v>
      </c>
      <c r="Y73" s="2729">
        <f>-PENN!BO160</f>
        <v>60.099999999999994</v>
      </c>
    </row>
    <row r="74" spans="21:25" x14ac:dyDescent="0.2">
      <c r="X74" s="2612" t="s">
        <v>2402</v>
      </c>
      <c r="Y74" s="2729">
        <f>-PENN!BO161</f>
        <v>-12</v>
      </c>
    </row>
    <row r="75" spans="21:25" x14ac:dyDescent="0.2">
      <c r="X75" s="2612" t="s">
        <v>2398</v>
      </c>
      <c r="Y75" s="2729">
        <f>-PENN!BO158</f>
        <v>-19.2</v>
      </c>
    </row>
    <row r="76" spans="21:25" x14ac:dyDescent="0.2">
      <c r="X76" s="2612" t="s">
        <v>2361</v>
      </c>
      <c r="Y76" s="2729">
        <f>-PENN!BO127</f>
        <v>-78.504999999999995</v>
      </c>
    </row>
    <row r="77" spans="21:25" x14ac:dyDescent="0.2">
      <c r="X77" s="2612" t="s">
        <v>2399</v>
      </c>
      <c r="Y77" s="2729">
        <f>+-PENN!BO163</f>
        <v>174.03300000000002</v>
      </c>
    </row>
    <row r="78" spans="21:25" x14ac:dyDescent="0.2">
      <c r="X78" s="2612" t="s">
        <v>2411</v>
      </c>
      <c r="Y78" s="3132">
        <f>+Y80-SUM(Y70:Y77)</f>
        <v>-468.67417559375008</v>
      </c>
    </row>
    <row r="79" spans="21:25" ht="3.95" customHeight="1" x14ac:dyDescent="0.2">
      <c r="X79" s="2612"/>
      <c r="Y79" s="2708" t="s">
        <v>229</v>
      </c>
    </row>
    <row r="80" spans="21:25" x14ac:dyDescent="0.2">
      <c r="X80" s="864" t="s">
        <v>2404</v>
      </c>
      <c r="Y80" s="2709">
        <f>+PENN!BO1339</f>
        <v>229.50999999999974</v>
      </c>
    </row>
    <row r="81" spans="24:28" x14ac:dyDescent="0.2">
      <c r="X81" s="2612"/>
      <c r="Y81" s="2626"/>
    </row>
    <row r="82" spans="24:28" x14ac:dyDescent="0.2">
      <c r="X82" s="287" t="s">
        <v>1259</v>
      </c>
      <c r="Y82" s="2626"/>
    </row>
    <row r="83" spans="24:28" x14ac:dyDescent="0.2">
      <c r="X83" s="2612" t="s">
        <v>2406</v>
      </c>
      <c r="Y83" s="2626">
        <f>+PENN!BO1402</f>
        <v>4890.1740000000009</v>
      </c>
    </row>
    <row r="84" spans="24:28" x14ac:dyDescent="0.2">
      <c r="X84" s="2612" t="s">
        <v>2407</v>
      </c>
      <c r="Y84" s="2626">
        <f>+PENN!BO1243*8</f>
        <v>3538.6080000000002</v>
      </c>
    </row>
    <row r="85" spans="24:28" x14ac:dyDescent="0.2">
      <c r="X85" s="2612" t="s">
        <v>329</v>
      </c>
      <c r="Y85" s="2626">
        <f>+-PENN!BO1339</f>
        <v>-229.50999999999974</v>
      </c>
    </row>
    <row r="86" spans="24:28" x14ac:dyDescent="0.2">
      <c r="X86" s="2612" t="s">
        <v>2408</v>
      </c>
      <c r="Y86" s="2626">
        <f>-PENN!BO1227-PENN!BO1229</f>
        <v>-98</v>
      </c>
    </row>
    <row r="87" spans="24:28" ht="3.95" customHeight="1" x14ac:dyDescent="0.2">
      <c r="X87" s="2612"/>
      <c r="Y87" s="2708" t="s">
        <v>229</v>
      </c>
    </row>
    <row r="88" spans="24:28" x14ac:dyDescent="0.2">
      <c r="X88" s="2612" t="s">
        <v>2405</v>
      </c>
      <c r="Y88" s="2635">
        <f>SUM(Y83:Y86)</f>
        <v>8101.2720000000008</v>
      </c>
    </row>
    <row r="89" spans="24:28" x14ac:dyDescent="0.2">
      <c r="X89" s="2612" t="s">
        <v>1255</v>
      </c>
      <c r="Y89" s="2626">
        <f>+PENN!BO40</f>
        <v>843.827</v>
      </c>
    </row>
    <row r="90" spans="24:28" ht="3.95" customHeight="1" x14ac:dyDescent="0.2">
      <c r="X90" s="2612"/>
      <c r="Y90" s="2626"/>
    </row>
    <row r="91" spans="24:28" x14ac:dyDescent="0.2">
      <c r="X91" s="496" t="s">
        <v>2409</v>
      </c>
      <c r="Y91" s="3131">
        <f>+Y88/Y89</f>
        <v>9.6006314090447464</v>
      </c>
    </row>
    <row r="92" spans="24:28" x14ac:dyDescent="0.2">
      <c r="Z92" s="496" t="s">
        <v>2430</v>
      </c>
      <c r="AA92" s="1060" t="s">
        <v>2393</v>
      </c>
      <c r="AB92" s="3139" t="s">
        <v>2412</v>
      </c>
    </row>
    <row r="93" spans="24:28" x14ac:dyDescent="0.2">
      <c r="Z93" s="2612" t="s">
        <v>2420</v>
      </c>
      <c r="AA93" s="2627">
        <f>+PENN!BG1333</f>
        <v>233.11799999999974</v>
      </c>
      <c r="AB93" s="2626">
        <f>+AA102</f>
        <v>223.48899999999966</v>
      </c>
    </row>
    <row r="94" spans="24:28" x14ac:dyDescent="0.2">
      <c r="Z94" s="2612" t="s">
        <v>2421</v>
      </c>
      <c r="AA94" s="2575">
        <f>+PENN!BH54</f>
        <v>101.26199999999997</v>
      </c>
      <c r="AB94" s="2626">
        <f>+PENN!BI54</f>
        <v>96.703797168966673</v>
      </c>
    </row>
    <row r="95" spans="24:28" x14ac:dyDescent="0.2">
      <c r="Z95" s="2612" t="s">
        <v>2422</v>
      </c>
      <c r="AA95" s="2575">
        <f>+PENN!BH68</f>
        <v>-111.40600000000001</v>
      </c>
      <c r="AB95" s="2626">
        <f>+PENN!BI68</f>
        <v>-113.577</v>
      </c>
    </row>
    <row r="96" spans="24:28" x14ac:dyDescent="0.2">
      <c r="Z96" s="2612" t="s">
        <v>2423</v>
      </c>
      <c r="AA96" s="2575">
        <f>+PENN!BH76</f>
        <v>-35.380000000000003</v>
      </c>
      <c r="AB96" s="2626">
        <f>+PENN!BI76</f>
        <v>6.0920000000000059</v>
      </c>
    </row>
    <row r="97" spans="26:34" x14ac:dyDescent="0.2">
      <c r="Z97" s="2612" t="s">
        <v>2424</v>
      </c>
      <c r="AA97" s="2575">
        <f>-PENN!BH133</f>
        <v>-72.318999999999988</v>
      </c>
      <c r="AB97" s="2626">
        <f>-PENN!BI133</f>
        <v>-73.638000000000005</v>
      </c>
    </row>
    <row r="98" spans="26:34" x14ac:dyDescent="0.2">
      <c r="Z98" s="2612" t="s">
        <v>2425</v>
      </c>
      <c r="AA98" s="2575">
        <f>+PENN!BH1311</f>
        <v>-449.92200000000003</v>
      </c>
      <c r="AB98" s="2626">
        <f>+PENN!BI1311</f>
        <v>5.7000000000016371E-2</v>
      </c>
    </row>
    <row r="99" spans="26:34" x14ac:dyDescent="0.2">
      <c r="Z99" s="2612" t="s">
        <v>2426</v>
      </c>
      <c r="AA99" s="2575">
        <f>+PENN!BH1319</f>
        <v>414.87099999999998</v>
      </c>
      <c r="AB99" s="2626">
        <f>+PENN!BI1319</f>
        <v>22.476000000000056</v>
      </c>
    </row>
    <row r="100" spans="26:34" ht="3.95" customHeight="1" x14ac:dyDescent="0.2">
      <c r="Z100" s="2612"/>
      <c r="AA100" s="2707" t="s">
        <v>229</v>
      </c>
      <c r="AB100" s="2708" t="s">
        <v>229</v>
      </c>
    </row>
    <row r="101" spans="26:34" s="2575" customFormat="1" x14ac:dyDescent="0.2">
      <c r="Z101" s="2612" t="s">
        <v>2427</v>
      </c>
      <c r="AA101" s="2627">
        <f>SUM(AA93:AA99)</f>
        <v>80.223999999999705</v>
      </c>
      <c r="AB101" s="2635">
        <f>SUM(AB93:AB99)</f>
        <v>161.60279716896639</v>
      </c>
      <c r="AD101" s="2639"/>
    </row>
    <row r="102" spans="26:34" x14ac:dyDescent="0.2">
      <c r="Z102" s="2612" t="s">
        <v>2428</v>
      </c>
      <c r="AA102" s="2575">
        <f>+PENN!BH1339</f>
        <v>223.48899999999966</v>
      </c>
      <c r="AB102" s="2626">
        <f>+PENN!BI1339</f>
        <v>237.00899999999973</v>
      </c>
    </row>
    <row r="103" spans="26:34" x14ac:dyDescent="0.2">
      <c r="Z103" s="1081" t="s">
        <v>2429</v>
      </c>
      <c r="AA103" s="873">
        <f>+AA101-AA102</f>
        <v>-143.26499999999996</v>
      </c>
      <c r="AB103" s="1410">
        <f>+AB101-AB102</f>
        <v>-75.40620283103334</v>
      </c>
    </row>
    <row r="105" spans="26:34" x14ac:dyDescent="0.2">
      <c r="Z105" s="1454" t="s">
        <v>2431</v>
      </c>
      <c r="AA105" s="1454">
        <v>10</v>
      </c>
      <c r="AB105" s="1454">
        <v>10</v>
      </c>
    </row>
    <row r="106" spans="26:34" x14ac:dyDescent="0.2">
      <c r="Z106" s="1454" t="s">
        <v>2432</v>
      </c>
    </row>
    <row r="107" spans="26:34" x14ac:dyDescent="0.2">
      <c r="Z107" s="1454" t="s">
        <v>2433</v>
      </c>
      <c r="AA107" s="1454">
        <v>6</v>
      </c>
    </row>
    <row r="108" spans="26:34" x14ac:dyDescent="0.2">
      <c r="Z108" s="1454" t="s">
        <v>2434</v>
      </c>
    </row>
    <row r="109" spans="26:34" x14ac:dyDescent="0.2">
      <c r="AC109" s="2615" t="s">
        <v>2449</v>
      </c>
      <c r="AD109" s="2752" t="s">
        <v>2362</v>
      </c>
      <c r="AE109" s="3172" t="s">
        <v>2230</v>
      </c>
      <c r="AF109" s="3172" t="s">
        <v>793</v>
      </c>
      <c r="AG109" s="3172" t="s">
        <v>1696</v>
      </c>
      <c r="AH109" s="3173"/>
    </row>
    <row r="110" spans="26:34" x14ac:dyDescent="0.2">
      <c r="AC110" s="864" t="s">
        <v>2284</v>
      </c>
      <c r="AD110" s="2639"/>
      <c r="AE110" s="2707"/>
      <c r="AF110" s="2707"/>
      <c r="AG110" s="2707"/>
      <c r="AH110" s="2626"/>
    </row>
    <row r="111" spans="26:34" x14ac:dyDescent="0.2">
      <c r="AC111" s="2612" t="s">
        <v>443</v>
      </c>
      <c r="AD111" s="2639"/>
      <c r="AE111" s="3052">
        <v>57.551233631081629</v>
      </c>
      <c r="AF111" s="2575">
        <f>+VLOOKUP(AC111,PENN!$A$218:$BK$257,63,0)</f>
        <v>58.404104485500007</v>
      </c>
      <c r="AG111" s="2575">
        <f t="shared" ref="AG111:AG116" si="1">+AF111-AE111</f>
        <v>0.85287085441837718</v>
      </c>
      <c r="AH111" s="2626"/>
    </row>
    <row r="112" spans="26:34" x14ac:dyDescent="0.2">
      <c r="AC112" s="2612" t="s">
        <v>636</v>
      </c>
      <c r="AD112" s="2639"/>
      <c r="AE112" s="3052">
        <v>51.721067116451401</v>
      </c>
      <c r="AF112" s="2575">
        <f>+VLOOKUP(AC112,PENN!$A$218:$BK$257,63,0)</f>
        <v>53.185766549999997</v>
      </c>
      <c r="AG112" s="2575">
        <f t="shared" si="1"/>
        <v>1.4646994335485957</v>
      </c>
      <c r="AH112" s="2626"/>
    </row>
    <row r="113" spans="29:34" x14ac:dyDescent="0.2">
      <c r="AC113" s="2612" t="s">
        <v>227</v>
      </c>
      <c r="AD113" s="2639"/>
      <c r="AE113" s="3052">
        <v>24.503978061427279</v>
      </c>
      <c r="AF113" s="2575">
        <f>+VLOOKUP(AC113,PENN!$A$218:$BK$257,63,0)</f>
        <v>25.438316275333523</v>
      </c>
      <c r="AG113" s="2575">
        <f t="shared" si="1"/>
        <v>0.93433821390624416</v>
      </c>
      <c r="AH113" s="2626"/>
    </row>
    <row r="114" spans="29:34" x14ac:dyDescent="0.2">
      <c r="AC114" s="2612" t="s">
        <v>228</v>
      </c>
      <c r="AD114" s="2639"/>
      <c r="AE114" s="3052">
        <v>24.524808888888881</v>
      </c>
      <c r="AF114" s="2575">
        <f>+VLOOKUP(AC114,PENN!$A$218:$BK$257,63,0)</f>
        <v>27.521565046431363</v>
      </c>
      <c r="AG114" s="2575">
        <f t="shared" si="1"/>
        <v>2.9967561575424817</v>
      </c>
      <c r="AH114" s="2626"/>
    </row>
    <row r="115" spans="29:34" x14ac:dyDescent="0.2">
      <c r="AC115" s="2612" t="s">
        <v>1093</v>
      </c>
      <c r="AD115" s="2639"/>
      <c r="AE115" s="3052">
        <v>37.871269246600008</v>
      </c>
      <c r="AF115" s="2575">
        <f>+VLOOKUP(AC115,PENN!$A$218:$BK$257,63,0)</f>
        <v>38.422493559999999</v>
      </c>
      <c r="AG115" s="2575">
        <f t="shared" si="1"/>
        <v>0.55122431339999167</v>
      </c>
      <c r="AH115" s="2626"/>
    </row>
    <row r="116" spans="29:34" x14ac:dyDescent="0.2">
      <c r="AC116" s="2612" t="s">
        <v>1789</v>
      </c>
      <c r="AD116" s="2639"/>
      <c r="AE116" s="3052">
        <v>57.222759981599999</v>
      </c>
      <c r="AF116" s="2575">
        <f>+VLOOKUP(AC116,PENN!$A$218:$BK$257,63,0)</f>
        <v>58.309426273249997</v>
      </c>
      <c r="AG116" s="2575">
        <f t="shared" si="1"/>
        <v>1.0866662916499976</v>
      </c>
      <c r="AH116" s="2626"/>
    </row>
    <row r="117" spans="29:34" ht="3.95" customHeight="1" x14ac:dyDescent="0.2">
      <c r="AC117" s="2612"/>
      <c r="AD117" s="3170"/>
      <c r="AE117" s="306" t="s">
        <v>2448</v>
      </c>
      <c r="AF117" s="306" t="s">
        <v>2448</v>
      </c>
      <c r="AG117" s="306" t="s">
        <v>2448</v>
      </c>
      <c r="AH117" s="2626"/>
    </row>
    <row r="118" spans="29:34" x14ac:dyDescent="0.2">
      <c r="AC118" s="2612" t="s">
        <v>841</v>
      </c>
      <c r="AD118" s="2639"/>
      <c r="AE118" s="2575">
        <f>+SUM(AE111:AE116)</f>
        <v>253.39511692604921</v>
      </c>
      <c r="AF118" s="2575">
        <f>+SUM(AF111:AF116)</f>
        <v>261.28167219051488</v>
      </c>
      <c r="AG118" s="2575">
        <f>SUM(AG111:AG116)</f>
        <v>7.886555264465688</v>
      </c>
      <c r="AH118" s="2626"/>
    </row>
    <row r="119" spans="29:34" x14ac:dyDescent="0.2">
      <c r="AC119" s="2612"/>
      <c r="AD119" s="2639"/>
      <c r="AE119" s="2575"/>
      <c r="AF119" s="2575"/>
      <c r="AG119" s="2575"/>
      <c r="AH119" s="2626"/>
    </row>
    <row r="120" spans="29:34" x14ac:dyDescent="0.2">
      <c r="AC120" s="2612" t="s">
        <v>616</v>
      </c>
      <c r="AD120" s="2639"/>
      <c r="AE120" s="3052">
        <v>17.231451999299999</v>
      </c>
      <c r="AF120" s="2575">
        <f>+VLOOKUP(AC120,PENN!$A$218:$BK$257,63,0)</f>
        <v>16.8833418579</v>
      </c>
      <c r="AG120" s="2575">
        <f>+AF120-AE120</f>
        <v>-0.34811014139999941</v>
      </c>
      <c r="AH120" s="2626"/>
    </row>
    <row r="121" spans="29:34" x14ac:dyDescent="0.2">
      <c r="AC121" s="2612" t="s">
        <v>615</v>
      </c>
      <c r="AD121" s="2639"/>
      <c r="AE121" s="3052">
        <v>18.498974349239994</v>
      </c>
      <c r="AF121" s="2575">
        <f>+VLOOKUP(AC121,PENN!$A$218:$BK$257,63,0)</f>
        <v>18.498974349239994</v>
      </c>
      <c r="AG121" s="2575">
        <f>+AF121-AE121</f>
        <v>0</v>
      </c>
      <c r="AH121" s="2626"/>
    </row>
    <row r="122" spans="29:34" x14ac:dyDescent="0.2">
      <c r="AC122" s="2612" t="s">
        <v>1453</v>
      </c>
      <c r="AD122" s="2639"/>
      <c r="AE122" s="3052">
        <v>12.931102551674998</v>
      </c>
      <c r="AF122" s="2575">
        <f>+VLOOKUP(AC122,PENN!$A$218:$BK$257,63,0)</f>
        <v>12.5908103792625</v>
      </c>
      <c r="AG122" s="2575">
        <f>+AF122-AE122</f>
        <v>-0.34029217241249832</v>
      </c>
      <c r="AH122" s="2626"/>
    </row>
    <row r="123" spans="29:34" x14ac:dyDescent="0.2">
      <c r="AC123" s="2612" t="s">
        <v>1020</v>
      </c>
      <c r="AD123" s="2639"/>
      <c r="AE123" s="3052">
        <v>12.862599025</v>
      </c>
      <c r="AF123" s="2575">
        <f>+VLOOKUP(AC123,PENN!$A$218:$BK$257,63,0)</f>
        <v>11.876076999999999</v>
      </c>
      <c r="AG123" s="2575">
        <f>+AF123-AE123</f>
        <v>-0.98652202500000108</v>
      </c>
      <c r="AH123" s="2626"/>
    </row>
    <row r="124" spans="29:34" x14ac:dyDescent="0.2">
      <c r="AC124" s="2612" t="s">
        <v>205</v>
      </c>
      <c r="AD124" s="2639"/>
      <c r="AE124" s="3052">
        <v>22.352918844564002</v>
      </c>
      <c r="AF124" s="2575">
        <f>+VLOOKUP(AC124,PENN!$A$218:$BK$257,63,0)</f>
        <v>20.159330728680001</v>
      </c>
      <c r="AG124" s="2575">
        <f>+AF124-AE124</f>
        <v>-2.1935881158840012</v>
      </c>
      <c r="AH124" s="2626"/>
    </row>
    <row r="125" spans="29:34" ht="3.95" customHeight="1" x14ac:dyDescent="0.2">
      <c r="AC125" s="2612"/>
      <c r="AD125" s="3170"/>
      <c r="AE125" s="306" t="s">
        <v>2448</v>
      </c>
      <c r="AF125" s="306" t="s">
        <v>2448</v>
      </c>
      <c r="AG125" s="306" t="s">
        <v>2448</v>
      </c>
      <c r="AH125" s="2626"/>
    </row>
    <row r="126" spans="29:34" x14ac:dyDescent="0.2">
      <c r="AC126" s="2612" t="s">
        <v>841</v>
      </c>
      <c r="AD126" s="2639"/>
      <c r="AE126" s="2575">
        <f>+SUM(AE120:AE124)</f>
        <v>83.877046769778985</v>
      </c>
      <c r="AF126" s="2575">
        <f>+SUM(AF120:AF124)</f>
        <v>80.0085343150825</v>
      </c>
      <c r="AG126" s="2575">
        <f>SUM(AG120:AG124)</f>
        <v>-3.8685124546965</v>
      </c>
      <c r="AH126" s="2626"/>
    </row>
    <row r="127" spans="29:34" x14ac:dyDescent="0.2">
      <c r="AC127" s="2612"/>
      <c r="AD127" s="2639"/>
      <c r="AE127" s="2575"/>
      <c r="AF127" s="2575"/>
      <c r="AG127" s="2575"/>
      <c r="AH127" s="2626"/>
    </row>
    <row r="128" spans="29:34" x14ac:dyDescent="0.2">
      <c r="AC128" s="864" t="s">
        <v>2450</v>
      </c>
      <c r="AD128" s="2639"/>
      <c r="AE128" s="2575"/>
      <c r="AF128" s="2575"/>
      <c r="AG128" s="2575"/>
      <c r="AH128" s="2626"/>
    </row>
    <row r="129" spans="29:34" x14ac:dyDescent="0.2">
      <c r="AC129" s="2612" t="s">
        <v>443</v>
      </c>
      <c r="AD129" s="3170">
        <v>0.33</v>
      </c>
      <c r="AE129" s="2575">
        <f t="shared" ref="AE129:AF134" si="2">(AE111*(1-$AD129))</f>
        <v>38.559326532824684</v>
      </c>
      <c r="AF129" s="2575">
        <f t="shared" si="2"/>
        <v>39.130750005285002</v>
      </c>
      <c r="AG129" s="2575">
        <f t="shared" ref="AG129:AG134" si="3">+AF129-AE129</f>
        <v>0.57142347246031733</v>
      </c>
      <c r="AH129" s="2626"/>
    </row>
    <row r="130" spans="29:34" x14ac:dyDescent="0.2">
      <c r="AC130" s="2612" t="s">
        <v>636</v>
      </c>
      <c r="AD130" s="3170">
        <v>0.33</v>
      </c>
      <c r="AE130" s="2575">
        <f t="shared" si="2"/>
        <v>34.653114968022436</v>
      </c>
      <c r="AF130" s="2575">
        <f t="shared" si="2"/>
        <v>35.634463588499997</v>
      </c>
      <c r="AG130" s="2575">
        <f t="shared" si="3"/>
        <v>0.98134862047756144</v>
      </c>
      <c r="AH130" s="2626"/>
    </row>
    <row r="131" spans="29:34" x14ac:dyDescent="0.2">
      <c r="AC131" s="2612" t="s">
        <v>227</v>
      </c>
      <c r="AD131" s="3170">
        <v>0.33</v>
      </c>
      <c r="AE131" s="2575">
        <f t="shared" si="2"/>
        <v>16.417665301156276</v>
      </c>
      <c r="AF131" s="2575">
        <f t="shared" si="2"/>
        <v>17.043671904473459</v>
      </c>
      <c r="AG131" s="2575">
        <f t="shared" si="3"/>
        <v>0.62600660331718316</v>
      </c>
      <c r="AH131" s="2626"/>
    </row>
    <row r="132" spans="29:34" x14ac:dyDescent="0.2">
      <c r="AC132" s="2612" t="s">
        <v>228</v>
      </c>
      <c r="AD132" s="3170">
        <v>0.33</v>
      </c>
      <c r="AE132" s="2575">
        <f t="shared" si="2"/>
        <v>16.431621955555549</v>
      </c>
      <c r="AF132" s="2575">
        <f t="shared" si="2"/>
        <v>18.439448581109012</v>
      </c>
      <c r="AG132" s="2575">
        <f t="shared" si="3"/>
        <v>2.0078266255534629</v>
      </c>
      <c r="AH132" s="2626"/>
    </row>
    <row r="133" spans="29:34" x14ac:dyDescent="0.2">
      <c r="AC133" s="2612" t="s">
        <v>1093</v>
      </c>
      <c r="AD133" s="3170">
        <v>0.28999999999999998</v>
      </c>
      <c r="AE133" s="2575">
        <f t="shared" si="2"/>
        <v>26.888601165086005</v>
      </c>
      <c r="AF133" s="2575">
        <f t="shared" si="2"/>
        <v>27.279970427599999</v>
      </c>
      <c r="AG133" s="2575">
        <f t="shared" si="3"/>
        <v>0.39136926251399373</v>
      </c>
      <c r="AH133" s="2626"/>
    </row>
    <row r="134" spans="29:34" x14ac:dyDescent="0.2">
      <c r="AC134" s="2612" t="s">
        <v>1789</v>
      </c>
      <c r="AD134" s="3170">
        <v>0.3</v>
      </c>
      <c r="AE134" s="2575">
        <f t="shared" si="2"/>
        <v>40.055931987119997</v>
      </c>
      <c r="AF134" s="2575">
        <f t="shared" si="2"/>
        <v>40.816598391274994</v>
      </c>
      <c r="AG134" s="2575">
        <f t="shared" si="3"/>
        <v>0.7606664041549962</v>
      </c>
      <c r="AH134" s="2626"/>
    </row>
    <row r="135" spans="29:34" ht="3.95" customHeight="1" x14ac:dyDescent="0.2">
      <c r="AC135" s="2612"/>
      <c r="AD135" s="3170"/>
      <c r="AE135" s="306" t="s">
        <v>2448</v>
      </c>
      <c r="AF135" s="306" t="s">
        <v>2448</v>
      </c>
      <c r="AG135" s="306" t="s">
        <v>2448</v>
      </c>
      <c r="AH135" s="2626"/>
    </row>
    <row r="136" spans="29:34" x14ac:dyDescent="0.2">
      <c r="AC136" s="2612" t="s">
        <v>841</v>
      </c>
      <c r="AD136" s="2639"/>
      <c r="AE136" s="2575">
        <f>+SUM(AE129:AE134)</f>
        <v>173.00626190976496</v>
      </c>
      <c r="AF136" s="2575">
        <f>+SUM(AF129:AF134)</f>
        <v>178.34490289824248</v>
      </c>
      <c r="AG136" s="2575">
        <f>SUM(AG129:AG134)</f>
        <v>5.3386409884775148</v>
      </c>
      <c r="AH136" s="2626">
        <f>+AG118-AG136</f>
        <v>2.5479142759881732</v>
      </c>
    </row>
    <row r="137" spans="29:34" x14ac:dyDescent="0.2">
      <c r="AC137" s="2612"/>
      <c r="AD137" s="2639"/>
      <c r="AE137" s="2639">
        <f>+(AE118-AE136)/AE118</f>
        <v>0.31724705665794234</v>
      </c>
      <c r="AF137" s="2639">
        <f>+(AF118-AF136)/AF118</f>
        <v>0.31742283565836421</v>
      </c>
      <c r="AG137" s="2575"/>
      <c r="AH137" s="2626"/>
    </row>
    <row r="138" spans="29:34" x14ac:dyDescent="0.2">
      <c r="AC138" s="2612"/>
      <c r="AD138" s="2639"/>
      <c r="AE138" s="2575"/>
      <c r="AF138" s="2575"/>
      <c r="AG138" s="2575"/>
      <c r="AH138" s="2626"/>
    </row>
    <row r="139" spans="29:34" x14ac:dyDescent="0.2">
      <c r="AC139" s="2612" t="s">
        <v>616</v>
      </c>
      <c r="AD139" s="3170">
        <v>0.12</v>
      </c>
      <c r="AE139" s="2575">
        <f t="shared" ref="AE139:AF143" si="4">(AE120*(1-$AD139))</f>
        <v>15.163677759383999</v>
      </c>
      <c r="AF139" s="2575">
        <f t="shared" si="4"/>
        <v>14.857340834952</v>
      </c>
      <c r="AG139" s="2575">
        <f>+AF139-AE139</f>
        <v>-0.30633692443199934</v>
      </c>
      <c r="AH139" s="2626"/>
    </row>
    <row r="140" spans="29:34" x14ac:dyDescent="0.2">
      <c r="AC140" s="2612" t="s">
        <v>615</v>
      </c>
      <c r="AD140" s="3170">
        <v>0.12</v>
      </c>
      <c r="AE140" s="2575">
        <f t="shared" si="4"/>
        <v>16.279097427331195</v>
      </c>
      <c r="AF140" s="2575">
        <f t="shared" si="4"/>
        <v>16.279097427331195</v>
      </c>
      <c r="AG140" s="2575">
        <f>+AF140-AE140</f>
        <v>0</v>
      </c>
      <c r="AH140" s="2626"/>
    </row>
    <row r="141" spans="29:34" x14ac:dyDescent="0.2">
      <c r="AC141" s="2612" t="s">
        <v>1453</v>
      </c>
      <c r="AD141" s="3170">
        <v>0.12</v>
      </c>
      <c r="AE141" s="2575">
        <f t="shared" si="4"/>
        <v>11.379370245473998</v>
      </c>
      <c r="AF141" s="2575">
        <f t="shared" si="4"/>
        <v>11.079913133751001</v>
      </c>
      <c r="AG141" s="2575">
        <f>+AF141-AE141</f>
        <v>-0.29945711172299738</v>
      </c>
      <c r="AH141" s="2626"/>
    </row>
    <row r="142" spans="29:34" x14ac:dyDescent="0.2">
      <c r="AC142" s="2612" t="s">
        <v>1020</v>
      </c>
      <c r="AD142" s="3170">
        <v>0.23</v>
      </c>
      <c r="AE142" s="2575">
        <f t="shared" si="4"/>
        <v>9.9042012492500007</v>
      </c>
      <c r="AF142" s="2575">
        <f t="shared" si="4"/>
        <v>9.1445792899999994</v>
      </c>
      <c r="AG142" s="2575">
        <f>+AF142-AE142</f>
        <v>-0.75962195925000131</v>
      </c>
      <c r="AH142" s="2626"/>
    </row>
    <row r="143" spans="29:34" x14ac:dyDescent="0.2">
      <c r="AC143" s="2612" t="s">
        <v>205</v>
      </c>
      <c r="AD143" s="3170">
        <v>0.46500000000000002</v>
      </c>
      <c r="AE143" s="2575">
        <f t="shared" si="4"/>
        <v>11.95881158184174</v>
      </c>
      <c r="AF143" s="2575">
        <f t="shared" si="4"/>
        <v>10.785241939843798</v>
      </c>
      <c r="AG143" s="2575">
        <f>+AF143-AE143</f>
        <v>-1.1735696419979416</v>
      </c>
      <c r="AH143" s="2626"/>
    </row>
    <row r="144" spans="29:34" ht="3.95" customHeight="1" x14ac:dyDescent="0.2">
      <c r="AC144" s="2612"/>
      <c r="AD144" s="3170"/>
      <c r="AE144" s="306" t="s">
        <v>2448</v>
      </c>
      <c r="AF144" s="306" t="s">
        <v>2448</v>
      </c>
      <c r="AG144" s="306" t="s">
        <v>2448</v>
      </c>
      <c r="AH144" s="2626"/>
    </row>
    <row r="145" spans="29:36" x14ac:dyDescent="0.2">
      <c r="AC145" s="2612" t="s">
        <v>841</v>
      </c>
      <c r="AD145" s="2639"/>
      <c r="AE145" s="2575">
        <f>+SUM(AE138:AE143)</f>
        <v>64.68515826328094</v>
      </c>
      <c r="AF145" s="2575">
        <f>+SUM(AF138:AF143)</f>
        <v>62.146172625877995</v>
      </c>
      <c r="AG145" s="2575">
        <f>SUM(AG138:AG143)</f>
        <v>-2.5389856374029396</v>
      </c>
      <c r="AH145" s="2626">
        <f>+AG126-AG145</f>
        <v>-1.3295268172935604</v>
      </c>
    </row>
    <row r="146" spans="29:36" x14ac:dyDescent="0.2">
      <c r="AC146" s="2625"/>
      <c r="AD146" s="2637"/>
      <c r="AE146" s="2637">
        <f>+(AE126-AE145)/AE126</f>
        <v>0.22880977866537033</v>
      </c>
      <c r="AF146" s="2637">
        <f>+(AF126-AF145)/AF126</f>
        <v>0.2232557044334863</v>
      </c>
      <c r="AG146" s="2617"/>
      <c r="AH146" s="3171">
        <f>+AH136+AH145</f>
        <v>1.2183874586946128</v>
      </c>
    </row>
    <row r="147" spans="29:36" x14ac:dyDescent="0.2">
      <c r="AI147" s="1454" t="s">
        <v>2452</v>
      </c>
    </row>
    <row r="148" spans="29:36" x14ac:dyDescent="0.2">
      <c r="AI148" s="1454" t="s">
        <v>2453</v>
      </c>
      <c r="AJ148" s="2610">
        <v>4.0000000000000001E-3</v>
      </c>
    </row>
    <row r="149" spans="29:36" x14ac:dyDescent="0.2">
      <c r="AI149" s="1454" t="s">
        <v>2454</v>
      </c>
      <c r="AJ149" s="2610">
        <v>1E-3</v>
      </c>
    </row>
    <row r="150" spans="29:36" x14ac:dyDescent="0.2">
      <c r="AI150" s="1454" t="s">
        <v>2455</v>
      </c>
      <c r="AJ150" s="2610">
        <v>-1E-3</v>
      </c>
    </row>
    <row r="151" spans="29:36" x14ac:dyDescent="0.2">
      <c r="AI151" s="1454" t="s">
        <v>2456</v>
      </c>
      <c r="AJ151" s="2610">
        <v>-1.7999999999999999E-2</v>
      </c>
    </row>
    <row r="152" spans="29:36" x14ac:dyDescent="0.2">
      <c r="AI152" s="1454" t="s">
        <v>2457</v>
      </c>
      <c r="AJ152" s="2610">
        <v>-5.0000000000000001E-3</v>
      </c>
    </row>
    <row r="153" spans="29:36" x14ac:dyDescent="0.2">
      <c r="AI153" s="1454" t="s">
        <v>2458</v>
      </c>
      <c r="AJ153" s="2610">
        <v>-4.0000000000000001E-3</v>
      </c>
    </row>
    <row r="154" spans="29:36" x14ac:dyDescent="0.2">
      <c r="AI154" s="1454" t="s">
        <v>2459</v>
      </c>
      <c r="AJ154" s="2610">
        <v>-1.7000000000000001E-2</v>
      </c>
    </row>
    <row r="155" spans="29:36" x14ac:dyDescent="0.2">
      <c r="AI155" s="1454" t="s">
        <v>2460</v>
      </c>
      <c r="AJ155" s="2610">
        <v>-1.4E-2</v>
      </c>
    </row>
    <row r="156" spans="29:36" x14ac:dyDescent="0.2">
      <c r="AI156" s="1454" t="s">
        <v>2461</v>
      </c>
      <c r="AJ156" s="2610">
        <v>-1.0999999999999999E-2</v>
      </c>
    </row>
    <row r="157" spans="29:36" x14ac:dyDescent="0.2">
      <c r="AI157" s="1454" t="s">
        <v>2462</v>
      </c>
      <c r="AJ157" s="2610">
        <v>-7.0000000000000001E-3</v>
      </c>
    </row>
    <row r="158" spans="29:36" x14ac:dyDescent="0.2">
      <c r="AI158" s="1454" t="s">
        <v>2463</v>
      </c>
      <c r="AJ158" s="2610">
        <v>1.4E-2</v>
      </c>
    </row>
    <row r="159" spans="29:36" x14ac:dyDescent="0.2">
      <c r="AI159" s="1454" t="s">
        <v>2464</v>
      </c>
      <c r="AJ159" s="2610">
        <v>0.01</v>
      </c>
    </row>
    <row r="160" spans="29:36" x14ac:dyDescent="0.2">
      <c r="AI160" s="1454" t="s">
        <v>2465</v>
      </c>
      <c r="AJ160" s="2610">
        <v>1.2999999999999999E-2</v>
      </c>
    </row>
    <row r="161" spans="35:51" x14ac:dyDescent="0.2">
      <c r="AI161" s="1454" t="s">
        <v>2466</v>
      </c>
      <c r="AJ161" s="2610">
        <v>1.7000000000000001E-2</v>
      </c>
    </row>
    <row r="162" spans="35:51" x14ac:dyDescent="0.2">
      <c r="AI162" s="1454" t="s">
        <v>2467</v>
      </c>
      <c r="AJ162" s="2610">
        <v>7.0000000000000001E-3</v>
      </c>
    </row>
    <row r="163" spans="35:51" x14ac:dyDescent="0.2">
      <c r="AI163" s="1454" t="s">
        <v>2468</v>
      </c>
      <c r="AJ163" s="2610">
        <v>1.4999999999999999E-2</v>
      </c>
    </row>
    <row r="165" spans="35:51" x14ac:dyDescent="0.2">
      <c r="AS165" s="2615" t="s">
        <v>2401</v>
      </c>
      <c r="AT165" s="3172" t="s">
        <v>2469</v>
      </c>
      <c r="AU165" s="3172" t="s">
        <v>2470</v>
      </c>
      <c r="AV165" s="3172" t="s">
        <v>438</v>
      </c>
      <c r="AW165" s="3175" t="s">
        <v>2186</v>
      </c>
    </row>
    <row r="166" spans="35:51" x14ac:dyDescent="0.2">
      <c r="AS166" s="2612" t="s">
        <v>2284</v>
      </c>
      <c r="AT166" s="2627">
        <f>+PENN!BO14</f>
        <v>3034.38</v>
      </c>
      <c r="AU166" s="2627">
        <v>3043.8809313683046</v>
      </c>
      <c r="AV166" s="2627">
        <v>3053.66</v>
      </c>
      <c r="AW166" s="2635">
        <f>+PENN!BO16</f>
        <v>3039.8</v>
      </c>
    </row>
    <row r="167" spans="35:51" x14ac:dyDescent="0.2">
      <c r="AS167" s="2625" t="s">
        <v>1624</v>
      </c>
      <c r="AT167" s="2617">
        <f>+PENN!BO40</f>
        <v>843.827</v>
      </c>
      <c r="AU167" s="2617">
        <v>842.3429604612096</v>
      </c>
      <c r="AV167" s="2617">
        <v>852.58</v>
      </c>
      <c r="AW167" s="2759">
        <f>+PENN!BO44</f>
        <v>840.6</v>
      </c>
    </row>
    <row r="169" spans="35:51" x14ac:dyDescent="0.2">
      <c r="AX169" s="1454" t="s">
        <v>2471</v>
      </c>
    </row>
    <row r="170" spans="35:51" x14ac:dyDescent="0.2">
      <c r="AX170" s="1454" t="s">
        <v>2473</v>
      </c>
      <c r="AY170" s="2610">
        <v>6.0000000000000001E-3</v>
      </c>
    </row>
    <row r="171" spans="35:51" x14ac:dyDescent="0.2">
      <c r="AX171" s="1454" t="s">
        <v>2474</v>
      </c>
      <c r="AY171" s="2610">
        <v>2.8999999999999998E-2</v>
      </c>
    </row>
    <row r="172" spans="35:51" x14ac:dyDescent="0.2">
      <c r="AX172" s="1454" t="s">
        <v>2475</v>
      </c>
      <c r="AY172" s="2610">
        <v>2.1000000000000001E-2</v>
      </c>
    </row>
    <row r="173" spans="35:51" x14ac:dyDescent="0.2">
      <c r="AX173" s="1454" t="s">
        <v>2476</v>
      </c>
      <c r="AY173" s="2610">
        <v>-3.0000000000000001E-3</v>
      </c>
    </row>
    <row r="174" spans="35:51" x14ac:dyDescent="0.2">
      <c r="AX174" s="1454" t="s">
        <v>2472</v>
      </c>
      <c r="AY174" s="2610">
        <v>3.4000000000000002E-2</v>
      </c>
    </row>
    <row r="175" spans="35:51" x14ac:dyDescent="0.2">
      <c r="AX175" s="1454" t="s">
        <v>2453</v>
      </c>
      <c r="AY175" s="2610">
        <v>7.8E-2</v>
      </c>
    </row>
    <row r="176" spans="35:51" x14ac:dyDescent="0.2">
      <c r="AX176" s="1454" t="s">
        <v>2454</v>
      </c>
      <c r="AY176" s="2610">
        <v>3.9E-2</v>
      </c>
    </row>
    <row r="177" spans="50:65" x14ac:dyDescent="0.2">
      <c r="AX177" s="1454" t="s">
        <v>2455</v>
      </c>
      <c r="AY177" s="2610">
        <v>0.04</v>
      </c>
    </row>
    <row r="178" spans="50:65" x14ac:dyDescent="0.2">
      <c r="AX178" s="1454" t="s">
        <v>2456</v>
      </c>
      <c r="AY178" s="2610">
        <v>2.7000000000000003E-2</v>
      </c>
    </row>
    <row r="179" spans="50:65" x14ac:dyDescent="0.2">
      <c r="AX179" s="1454" t="s">
        <v>2457</v>
      </c>
      <c r="AY179" s="2610">
        <v>4.7E-2</v>
      </c>
    </row>
    <row r="180" spans="50:65" x14ac:dyDescent="0.2">
      <c r="AX180" s="1454" t="s">
        <v>2458</v>
      </c>
      <c r="AY180" s="2610">
        <v>5.2000000000000005E-2</v>
      </c>
    </row>
    <row r="181" spans="50:65" x14ac:dyDescent="0.2">
      <c r="AX181" s="1454" t="s">
        <v>2459</v>
      </c>
      <c r="AY181" s="2610">
        <v>6.7000000000000004E-2</v>
      </c>
    </row>
    <row r="182" spans="50:65" x14ac:dyDescent="0.2">
      <c r="AX182" s="1454" t="s">
        <v>2460</v>
      </c>
      <c r="AY182" s="2610">
        <v>8.0000000000000002E-3</v>
      </c>
    </row>
    <row r="183" spans="50:65" x14ac:dyDescent="0.2">
      <c r="AX183" s="1454" t="s">
        <v>2461</v>
      </c>
      <c r="AY183" s="2610">
        <v>5.5999999999999994E-2</v>
      </c>
    </row>
    <row r="184" spans="50:65" x14ac:dyDescent="0.2">
      <c r="AX184" s="1454" t="s">
        <v>2462</v>
      </c>
      <c r="AY184" s="2610">
        <v>2.7999999999999997E-2</v>
      </c>
    </row>
    <row r="185" spans="50:65" x14ac:dyDescent="0.2">
      <c r="AX185" s="1454" t="s">
        <v>2463</v>
      </c>
      <c r="AY185" s="2610">
        <v>1E-3</v>
      </c>
    </row>
    <row r="186" spans="50:65" x14ac:dyDescent="0.2">
      <c r="AX186" s="1454" t="s">
        <v>2464</v>
      </c>
      <c r="AY186" s="2610">
        <v>4.2999999999999997E-2</v>
      </c>
    </row>
    <row r="189" spans="50:65" x14ac:dyDescent="0.2">
      <c r="BH189" s="282" t="s">
        <v>2489</v>
      </c>
      <c r="BI189" s="2623"/>
      <c r="BJ189" s="2623"/>
      <c r="BK189" s="2623"/>
      <c r="BL189" s="2623"/>
      <c r="BM189" s="2624"/>
    </row>
    <row r="190" spans="50:65" x14ac:dyDescent="0.2">
      <c r="BH190" s="2625"/>
      <c r="BI190" s="1046" t="s">
        <v>2295</v>
      </c>
      <c r="BJ190" s="1046" t="s">
        <v>2367</v>
      </c>
      <c r="BK190" s="1046" t="s">
        <v>2393</v>
      </c>
      <c r="BL190" s="1046" t="s">
        <v>2412</v>
      </c>
      <c r="BM190" s="2969" t="s">
        <v>2482</v>
      </c>
    </row>
    <row r="191" spans="50:65" ht="3.95" customHeight="1" x14ac:dyDescent="0.2">
      <c r="BH191" s="2611"/>
      <c r="BI191" s="786"/>
      <c r="BJ191" s="786"/>
      <c r="BK191" s="786"/>
      <c r="BL191" s="786"/>
      <c r="BM191" s="2624"/>
    </row>
    <row r="192" spans="50:65" x14ac:dyDescent="0.2">
      <c r="BH192" s="1220" t="s">
        <v>1831</v>
      </c>
      <c r="BI192" s="2575"/>
      <c r="BJ192" s="2575"/>
      <c r="BK192" s="2575"/>
      <c r="BL192" s="2575"/>
      <c r="BM192" s="2626"/>
    </row>
    <row r="193" spans="30:65" x14ac:dyDescent="0.2">
      <c r="BH193" s="2612" t="s">
        <v>2477</v>
      </c>
      <c r="BI193" s="2627">
        <f>+PENN!BF14</f>
        <v>664.13800000000003</v>
      </c>
      <c r="BJ193" s="2627">
        <f>+PENN!BG14</f>
        <v>700.9559999999999</v>
      </c>
      <c r="BK193" s="2627">
        <f>+PENN!BH14</f>
        <v>739.29700000000003</v>
      </c>
      <c r="BL193" s="2627">
        <f>+PENN!BI14</f>
        <v>733.96699999999998</v>
      </c>
      <c r="BM193" s="2635">
        <f>+PENN!BK14</f>
        <v>756.45100000000002</v>
      </c>
    </row>
    <row r="194" spans="30:65" x14ac:dyDescent="0.2">
      <c r="BH194" s="2612" t="s">
        <v>2478</v>
      </c>
      <c r="BI194" s="2728">
        <f>+PENN!BF16</f>
        <v>670.6</v>
      </c>
      <c r="BJ194" s="2728">
        <f>+PENN!BG16</f>
        <v>672.7</v>
      </c>
      <c r="BK194" s="2728">
        <f>+PENN!BH16</f>
        <v>728.2</v>
      </c>
      <c r="BL194" s="2728">
        <f>+PENN!BI16</f>
        <v>722.5</v>
      </c>
      <c r="BM194" s="2729">
        <f>+PENN!BK16</f>
        <v>756.9</v>
      </c>
    </row>
    <row r="195" spans="30:65" x14ac:dyDescent="0.2">
      <c r="BH195" s="870" t="s">
        <v>2479</v>
      </c>
      <c r="BI195" s="2730">
        <f>+BI193-BI194</f>
        <v>-6.4619999999999891</v>
      </c>
      <c r="BJ195" s="2730">
        <f>+BJ193-BJ194</f>
        <v>28.255999999999858</v>
      </c>
      <c r="BK195" s="2730">
        <f>+BK193-BK194</f>
        <v>11.09699999999998</v>
      </c>
      <c r="BL195" s="2730">
        <f>+BL193-BL194</f>
        <v>11.466999999999985</v>
      </c>
      <c r="BM195" s="2733">
        <f>+BM193-BM194</f>
        <v>-0.44899999999995543</v>
      </c>
    </row>
    <row r="196" spans="30:65" s="416" customFormat="1" x14ac:dyDescent="0.2">
      <c r="AD196" s="417"/>
      <c r="BH196" s="870" t="s">
        <v>2480</v>
      </c>
      <c r="BI196" s="3177">
        <f>+BI193/BI194-1</f>
        <v>-9.6361467342678253E-3</v>
      </c>
      <c r="BJ196" s="3184">
        <f>+BJ193/BJ194-1</f>
        <v>4.2003865021554621E-2</v>
      </c>
      <c r="BK196" s="3185">
        <f>+BK193/BK194-1</f>
        <v>1.5238945344685506E-2</v>
      </c>
      <c r="BL196" s="3186">
        <f>+BL193/BL194-1</f>
        <v>1.5871280276816613E-2</v>
      </c>
      <c r="BM196" s="3181">
        <f>+BM193/BM194-1</f>
        <v>-5.9320914255511781E-4</v>
      </c>
    </row>
    <row r="197" spans="30:65" ht="3.95" customHeight="1" x14ac:dyDescent="0.2">
      <c r="BH197" s="2612"/>
      <c r="BI197" s="2575"/>
      <c r="BJ197" s="2575"/>
      <c r="BK197" s="2575"/>
      <c r="BL197" s="2575"/>
      <c r="BM197" s="2626"/>
    </row>
    <row r="198" spans="30:65" x14ac:dyDescent="0.2">
      <c r="BH198" s="2612" t="s">
        <v>2481</v>
      </c>
      <c r="BI198" s="2827">
        <f>2735.9/2742.3-1</f>
        <v>-2.3338073879590748E-3</v>
      </c>
      <c r="BJ198" s="2827">
        <f>2786.3/2735.9-1</f>
        <v>1.8421725940275691E-2</v>
      </c>
      <c r="BK198" s="2827">
        <f>2826.9/2786.3-1</f>
        <v>1.4571295266123441E-2</v>
      </c>
      <c r="BL198" s="3182">
        <f>BL195/PENN!BJ16</f>
        <v>4.0563868548586738E-3</v>
      </c>
      <c r="BM198" s="2828">
        <f>3053.3/3053.9-1</f>
        <v>-1.9647008742917915E-4</v>
      </c>
    </row>
    <row r="199" spans="30:65" x14ac:dyDescent="0.2">
      <c r="BH199" s="2612"/>
      <c r="BI199" s="2575"/>
      <c r="BJ199" s="2575"/>
      <c r="BK199" s="2575"/>
      <c r="BL199" s="2575"/>
      <c r="BM199" s="2626"/>
    </row>
    <row r="200" spans="30:65" x14ac:dyDescent="0.2">
      <c r="BH200" s="2612" t="s">
        <v>2490</v>
      </c>
      <c r="BI200" s="2627">
        <f>+PENN!BF40</f>
        <v>184.37899999999996</v>
      </c>
      <c r="BJ200" s="2627">
        <f>+PENN!BG40</f>
        <v>195.38200000000001</v>
      </c>
      <c r="BK200" s="2627">
        <f>+PENN!BH40</f>
        <v>210.26199999999997</v>
      </c>
      <c r="BL200" s="2627">
        <f>+PENN!BI40</f>
        <v>206.328</v>
      </c>
      <c r="BM200" s="2635">
        <f>+PENN!BK40</f>
        <v>212.88300000000001</v>
      </c>
    </row>
    <row r="201" spans="30:65" x14ac:dyDescent="0.2">
      <c r="BH201" s="2612" t="s">
        <v>2491</v>
      </c>
      <c r="BI201" s="2575">
        <f>+PENN!BF44</f>
        <v>183.8</v>
      </c>
      <c r="BJ201" s="2575">
        <f>+PENN!BG44</f>
        <v>185.8</v>
      </c>
      <c r="BK201" s="2575">
        <f>+PENN!BH44</f>
        <v>197.7</v>
      </c>
      <c r="BL201" s="2575">
        <f>+PENN!BI44</f>
        <v>181.6</v>
      </c>
      <c r="BM201" s="2626">
        <f>+PENN!BK44</f>
        <v>203.1</v>
      </c>
    </row>
    <row r="202" spans="30:65" x14ac:dyDescent="0.2">
      <c r="BH202" s="870" t="s">
        <v>2479</v>
      </c>
      <c r="BI202" s="2730">
        <f>+BI200-BI201</f>
        <v>0.57899999999995089</v>
      </c>
      <c r="BJ202" s="2730">
        <f>+BJ200-BJ201</f>
        <v>9.5819999999999936</v>
      </c>
      <c r="BK202" s="2730">
        <f>+BK200-BK201</f>
        <v>12.561999999999983</v>
      </c>
      <c r="BL202" s="2730">
        <f>+BL200-BL201</f>
        <v>24.728000000000009</v>
      </c>
      <c r="BM202" s="2733">
        <f>+BM200-BM201</f>
        <v>9.7830000000000155</v>
      </c>
    </row>
    <row r="203" spans="30:65" s="416" customFormat="1" x14ac:dyDescent="0.2">
      <c r="AD203" s="417"/>
      <c r="BH203" s="870" t="s">
        <v>2480</v>
      </c>
      <c r="BI203" s="3177">
        <f>+BI200/BI201-1</f>
        <v>3.1501632208918995E-3</v>
      </c>
      <c r="BJ203" s="3184">
        <f>+BJ200/BJ201-1</f>
        <v>5.157158234660919E-2</v>
      </c>
      <c r="BK203" s="3185">
        <f>+BK200/BK201-1</f>
        <v>6.3540718259989859E-2</v>
      </c>
      <c r="BL203" s="3186">
        <f>+BL200/BL201-1</f>
        <v>0.13616740088105739</v>
      </c>
      <c r="BM203" s="3181">
        <f>+BM200/BM201-1</f>
        <v>4.8168389955686841E-2</v>
      </c>
    </row>
    <row r="204" spans="30:65" ht="3.95" customHeight="1" x14ac:dyDescent="0.2">
      <c r="BH204" s="2612"/>
      <c r="BI204" s="2575"/>
      <c r="BJ204" s="2575"/>
      <c r="BK204" s="2575"/>
      <c r="BL204" s="2575"/>
      <c r="BM204" s="2626"/>
    </row>
    <row r="205" spans="30:65" x14ac:dyDescent="0.2">
      <c r="BH205" s="2612" t="s">
        <v>2486</v>
      </c>
      <c r="BI205" s="2827">
        <f>740.3/739.8-1</f>
        <v>6.7585834009187273E-4</v>
      </c>
      <c r="BJ205" s="2827">
        <f>754.5/740.3-1</f>
        <v>1.9181412940699749E-2</v>
      </c>
      <c r="BK205" s="2827">
        <f>771.1/754.5-1</f>
        <v>2.2001325381047154E-2</v>
      </c>
      <c r="BL205" s="2827">
        <f>+BL202/PENN!BJ44</f>
        <v>3.2068473609129823E-2</v>
      </c>
      <c r="BM205" s="2828">
        <f>851/841.2-1</f>
        <v>1.1650023775558571E-2</v>
      </c>
    </row>
    <row r="206" spans="30:65" x14ac:dyDescent="0.2">
      <c r="BH206" s="2612"/>
      <c r="BI206" s="2575"/>
      <c r="BJ206" s="2575"/>
      <c r="BK206" s="2575"/>
      <c r="BL206" s="2575"/>
      <c r="BM206" s="2626"/>
    </row>
    <row r="207" spans="30:65" x14ac:dyDescent="0.2">
      <c r="BH207" s="2612" t="s">
        <v>2483</v>
      </c>
      <c r="BI207" s="2827"/>
      <c r="BJ207" s="2827"/>
      <c r="BK207" s="2827"/>
      <c r="BL207" s="2827"/>
      <c r="BM207" s="2828"/>
    </row>
    <row r="208" spans="30:65" x14ac:dyDescent="0.2">
      <c r="BH208" s="2612" t="s">
        <v>2484</v>
      </c>
      <c r="BI208" s="2827"/>
      <c r="BJ208" s="2827"/>
      <c r="BK208" s="2827"/>
      <c r="BL208" s="2827"/>
      <c r="BM208" s="2828"/>
    </row>
    <row r="209" spans="30:70" s="416" customFormat="1" x14ac:dyDescent="0.2">
      <c r="AD209" s="417"/>
      <c r="BH209" s="870" t="s">
        <v>2485</v>
      </c>
      <c r="BI209" s="3177"/>
      <c r="BJ209" s="3184"/>
      <c r="BK209" s="3185"/>
      <c r="BL209" s="3186"/>
      <c r="BM209" s="3181"/>
    </row>
    <row r="210" spans="30:70" x14ac:dyDescent="0.2">
      <c r="BH210" s="870"/>
      <c r="BI210" s="732"/>
      <c r="BJ210" s="732"/>
      <c r="BK210" s="732"/>
      <c r="BL210" s="732"/>
      <c r="BM210" s="3176"/>
    </row>
    <row r="211" spans="30:70" x14ac:dyDescent="0.2">
      <c r="BH211" s="1220" t="s">
        <v>1666</v>
      </c>
      <c r="BI211" s="898"/>
      <c r="BJ211" s="898"/>
      <c r="BK211" s="898"/>
      <c r="BL211" s="898"/>
      <c r="BM211" s="1251"/>
    </row>
    <row r="212" spans="30:70" x14ac:dyDescent="0.2">
      <c r="BH212" s="2612" t="s">
        <v>2486</v>
      </c>
      <c r="BI212" s="3178"/>
      <c r="BJ212" s="3179"/>
      <c r="BK212" s="3179"/>
      <c r="BL212" s="3180"/>
      <c r="BM212" s="2828"/>
    </row>
    <row r="213" spans="30:70" x14ac:dyDescent="0.2">
      <c r="BH213" s="2612"/>
      <c r="BI213" s="2575"/>
      <c r="BJ213" s="2575"/>
      <c r="BK213" s="2575"/>
      <c r="BL213" s="2575"/>
      <c r="BM213" s="2626"/>
    </row>
    <row r="214" spans="30:70" x14ac:dyDescent="0.2">
      <c r="BH214" s="2612" t="s">
        <v>2487</v>
      </c>
      <c r="BI214" s="2827"/>
      <c r="BJ214" s="2827"/>
      <c r="BK214" s="2827"/>
      <c r="BL214" s="2827"/>
      <c r="BM214" s="2828"/>
    </row>
    <row r="215" spans="30:70" x14ac:dyDescent="0.2">
      <c r="BH215" s="2612" t="s">
        <v>2484</v>
      </c>
      <c r="BI215" s="2827"/>
      <c r="BJ215" s="2827"/>
      <c r="BK215" s="2827"/>
      <c r="BL215" s="2827"/>
      <c r="BM215" s="2828"/>
    </row>
    <row r="216" spans="30:70" s="416" customFormat="1" x14ac:dyDescent="0.2">
      <c r="AD216" s="417"/>
      <c r="BH216" s="1633" t="s">
        <v>2488</v>
      </c>
      <c r="BI216" s="3184"/>
      <c r="BJ216" s="3185"/>
      <c r="BK216" s="3185"/>
      <c r="BL216" s="3186"/>
      <c r="BM216" s="3183"/>
    </row>
    <row r="217" spans="30:70" x14ac:dyDescent="0.2">
      <c r="BO217" s="2590" t="s">
        <v>2295</v>
      </c>
      <c r="BP217" s="2590" t="s">
        <v>2367</v>
      </c>
      <c r="BQ217" s="2590" t="s">
        <v>2393</v>
      </c>
      <c r="BR217" s="2590" t="s">
        <v>2412</v>
      </c>
    </row>
    <row r="218" spans="30:70" s="2818" customFormat="1" x14ac:dyDescent="0.2">
      <c r="BN218" s="2818" t="s">
        <v>2493</v>
      </c>
      <c r="BO218" s="2818">
        <f>+BI212</f>
        <v>0</v>
      </c>
      <c r="BP218" s="2818">
        <f>+BJ212</f>
        <v>0</v>
      </c>
      <c r="BQ218" s="2818">
        <f>+BK212</f>
        <v>0</v>
      </c>
      <c r="BR218" s="2818">
        <f>+BL212</f>
        <v>0</v>
      </c>
    </row>
    <row r="219" spans="30:70" s="2818" customFormat="1" x14ac:dyDescent="0.2">
      <c r="BN219" s="2818" t="s">
        <v>2492</v>
      </c>
      <c r="BO219" s="2818">
        <f>+BI216</f>
        <v>0</v>
      </c>
      <c r="BP219" s="2818">
        <f>+BJ216</f>
        <v>0</v>
      </c>
      <c r="BQ219" s="2818">
        <f>+BK216</f>
        <v>0</v>
      </c>
      <c r="BR219" s="2818">
        <f>+BL216</f>
        <v>0</v>
      </c>
    </row>
    <row r="221" spans="30:70" s="2818" customFormat="1" x14ac:dyDescent="0.2">
      <c r="BN221" s="2818" t="s">
        <v>2494</v>
      </c>
      <c r="BO221" s="2818">
        <f>+BI205</f>
        <v>6.7585834009187273E-4</v>
      </c>
      <c r="BP221" s="2818">
        <f>+BJ205</f>
        <v>1.9181412940699749E-2</v>
      </c>
      <c r="BQ221" s="2818">
        <f>+BK205</f>
        <v>2.2001325381047154E-2</v>
      </c>
      <c r="BR221" s="2818">
        <f>+BL205</f>
        <v>3.2068473609129823E-2</v>
      </c>
    </row>
    <row r="222" spans="30:70" s="2818" customFormat="1" x14ac:dyDescent="0.2">
      <c r="BN222" s="2818" t="s">
        <v>2495</v>
      </c>
      <c r="BO222" s="2818">
        <f>+BI209</f>
        <v>0</v>
      </c>
      <c r="BP222" s="2818">
        <f>+BJ209</f>
        <v>0</v>
      </c>
      <c r="BQ222" s="2818">
        <f>+BK209</f>
        <v>0</v>
      </c>
      <c r="BR222" s="2818">
        <f>+BL209</f>
        <v>0</v>
      </c>
    </row>
    <row r="261" spans="71:75" ht="25.5" x14ac:dyDescent="0.2">
      <c r="BS261" s="3188" t="s">
        <v>1833</v>
      </c>
      <c r="BT261" s="3189" t="s">
        <v>2496</v>
      </c>
      <c r="BU261" s="3190" t="s">
        <v>2497</v>
      </c>
    </row>
    <row r="262" spans="71:75" x14ac:dyDescent="0.2">
      <c r="BS262" s="3192" t="s">
        <v>2498</v>
      </c>
      <c r="BT262" s="3191">
        <v>494</v>
      </c>
      <c r="BU262" s="3193">
        <v>7.99</v>
      </c>
    </row>
    <row r="263" spans="71:75" x14ac:dyDescent="0.2">
      <c r="BS263" s="3192" t="s">
        <v>2370</v>
      </c>
      <c r="BT263" s="3191">
        <v>1470</v>
      </c>
      <c r="BU263" s="3193">
        <v>29</v>
      </c>
    </row>
    <row r="264" spans="71:75" x14ac:dyDescent="0.2">
      <c r="BS264" s="3192" t="s">
        <v>2499</v>
      </c>
      <c r="BT264" s="3191">
        <v>100</v>
      </c>
      <c r="BU264" s="3193">
        <v>25</v>
      </c>
    </row>
    <row r="265" spans="71:75" x14ac:dyDescent="0.2">
      <c r="BS265" s="3192" t="s">
        <v>2500</v>
      </c>
      <c r="BT265" s="3191">
        <v>291</v>
      </c>
      <c r="BU265" s="3193">
        <v>9.99</v>
      </c>
    </row>
    <row r="266" spans="71:75" x14ac:dyDescent="0.2">
      <c r="BS266" s="3192" t="s">
        <v>2501</v>
      </c>
      <c r="BT266" s="3191">
        <v>502</v>
      </c>
      <c r="BU266" s="3193">
        <v>9.99</v>
      </c>
    </row>
    <row r="267" spans="71:75" ht="3.95" customHeight="1" x14ac:dyDescent="0.2">
      <c r="BS267" s="2612"/>
      <c r="BT267" s="2575"/>
      <c r="BU267" s="3194"/>
    </row>
    <row r="268" spans="71:75" x14ac:dyDescent="0.2">
      <c r="BS268" s="2625" t="s">
        <v>841</v>
      </c>
      <c r="BT268" s="2617">
        <f>SUM(BT262:BT266)</f>
        <v>2857</v>
      </c>
      <c r="BU268" s="3195">
        <f>SUMPRODUCT(BU262:BU266,BT262:BT266)/BT268</f>
        <v>19.950693034651731</v>
      </c>
    </row>
    <row r="269" spans="71:75" x14ac:dyDescent="0.2">
      <c r="BV269" s="496" t="s">
        <v>2510</v>
      </c>
      <c r="BW269" s="3173"/>
    </row>
    <row r="270" spans="71:75" ht="3.95" customHeight="1" x14ac:dyDescent="0.2">
      <c r="BV270" s="2612"/>
      <c r="BW270" s="2626"/>
    </row>
    <row r="271" spans="71:75" x14ac:dyDescent="0.2">
      <c r="BV271" s="2612" t="s">
        <v>2516</v>
      </c>
      <c r="BW271" s="3202">
        <v>60</v>
      </c>
    </row>
    <row r="272" spans="71:75" x14ac:dyDescent="0.2">
      <c r="BV272" s="2612" t="s">
        <v>491</v>
      </c>
      <c r="BW272" s="3114">
        <f>5.6*2</f>
        <v>11.2</v>
      </c>
    </row>
    <row r="273" spans="74:90" x14ac:dyDescent="0.2">
      <c r="BV273" s="2612" t="s">
        <v>2511</v>
      </c>
      <c r="BW273" s="2724">
        <f>+BW271/BW272</f>
        <v>5.3571428571428577</v>
      </c>
    </row>
    <row r="274" spans="74:90" x14ac:dyDescent="0.2">
      <c r="BV274" s="2612"/>
      <c r="BW274" s="2626"/>
    </row>
    <row r="275" spans="74:90" x14ac:dyDescent="0.2">
      <c r="BV275" s="2612" t="s">
        <v>2512</v>
      </c>
      <c r="BW275" s="3323">
        <f>+PENN!BT311</f>
        <v>13.008765000000002</v>
      </c>
      <c r="BX275" s="3201"/>
      <c r="BY275" s="3201"/>
    </row>
    <row r="276" spans="74:90" x14ac:dyDescent="0.2">
      <c r="BV276" s="2612" t="s">
        <v>2513</v>
      </c>
      <c r="BW276" s="3203">
        <v>6.25</v>
      </c>
    </row>
    <row r="277" spans="74:90" x14ac:dyDescent="0.2">
      <c r="BV277" s="2612" t="s">
        <v>2517</v>
      </c>
      <c r="BW277" s="2718">
        <f>IF(BW275&gt;12,(IF(((BW275*BW276)-BW271)&gt;40,40,((BW275*BW276)-BW271))),0)</f>
        <v>21.304781250000019</v>
      </c>
    </row>
    <row r="278" spans="74:90" x14ac:dyDescent="0.2">
      <c r="BV278" s="2612"/>
      <c r="BW278" s="2626"/>
    </row>
    <row r="279" spans="74:90" x14ac:dyDescent="0.2">
      <c r="BV279" s="2612" t="s">
        <v>2514</v>
      </c>
      <c r="BW279" s="3323">
        <f>+PENN!BY311</f>
        <v>14.147941500000004</v>
      </c>
      <c r="BX279" s="3201"/>
      <c r="BY279" s="3201"/>
    </row>
    <row r="280" spans="74:90" x14ac:dyDescent="0.2">
      <c r="BV280" s="2612" t="s">
        <v>2513</v>
      </c>
      <c r="BW280" s="3203">
        <v>6.25</v>
      </c>
    </row>
    <row r="281" spans="74:90" x14ac:dyDescent="0.2">
      <c r="BV281" s="2612" t="s">
        <v>2518</v>
      </c>
      <c r="BW281" s="2718">
        <f>IF(BW279&gt;13,(IF(((BW279*BW280)-BW277-BW271)&gt;50,50,((BW279*BW280)-BW277-BW271))),0)</f>
        <v>7.1198531250000059</v>
      </c>
    </row>
    <row r="282" spans="74:90" x14ac:dyDescent="0.2">
      <c r="BV282" s="2612"/>
      <c r="BW282" s="2626"/>
    </row>
    <row r="283" spans="74:90" x14ac:dyDescent="0.2">
      <c r="BV283" s="2612" t="s">
        <v>2519</v>
      </c>
      <c r="BW283" s="2626">
        <f>IF(BW279&gt;25,(IF(((BW279-25)*2)&gt;20,20,((BW279-25)*2))),0)</f>
        <v>0</v>
      </c>
    </row>
    <row r="284" spans="74:90" x14ac:dyDescent="0.2">
      <c r="BV284" s="2612"/>
      <c r="BW284" s="2626"/>
    </row>
    <row r="285" spans="74:90" x14ac:dyDescent="0.2">
      <c r="BV285" s="2612" t="s">
        <v>2515</v>
      </c>
      <c r="BW285" s="2718">
        <f>+BW271+BW277+BW281+BW283</f>
        <v>88.424634375000025</v>
      </c>
    </row>
    <row r="286" spans="74:90" x14ac:dyDescent="0.2">
      <c r="BV286" s="2612" t="s">
        <v>2514</v>
      </c>
      <c r="BW286" s="2650">
        <f>+BW279</f>
        <v>14.147941500000004</v>
      </c>
    </row>
    <row r="287" spans="74:90" x14ac:dyDescent="0.2">
      <c r="BV287" s="2625" t="s">
        <v>1768</v>
      </c>
      <c r="BW287" s="3204">
        <f>+BW285/BW286</f>
        <v>6.25</v>
      </c>
    </row>
    <row r="288" spans="74:90" x14ac:dyDescent="0.2">
      <c r="BV288" s="2575"/>
      <c r="BW288" s="2789"/>
      <c r="BX288" s="282" t="s">
        <v>2528</v>
      </c>
      <c r="BY288" s="3332"/>
      <c r="BZ288" s="2623"/>
      <c r="CA288" s="2623"/>
      <c r="CB288" s="2623"/>
      <c r="CC288" s="2623"/>
      <c r="CD288" s="3332"/>
      <c r="CE288" s="2623"/>
      <c r="CF288" s="2623"/>
      <c r="CG288" s="2623"/>
      <c r="CH288" s="2623"/>
      <c r="CI288" s="3332" t="s">
        <v>2530</v>
      </c>
      <c r="CJ288" s="2623"/>
      <c r="CK288" s="2623"/>
      <c r="CL288" s="2624"/>
    </row>
    <row r="289" spans="74:90" x14ac:dyDescent="0.2">
      <c r="BV289" s="2575"/>
      <c r="BW289" s="2789"/>
      <c r="BX289" s="2804" t="s">
        <v>1196</v>
      </c>
      <c r="BY289" s="3333">
        <v>2013</v>
      </c>
      <c r="BZ289" s="747" t="s">
        <v>203</v>
      </c>
      <c r="CA289" s="747" t="s">
        <v>379</v>
      </c>
      <c r="CB289" s="747" t="s">
        <v>1380</v>
      </c>
      <c r="CC289" s="747" t="s">
        <v>2290</v>
      </c>
      <c r="CD289" s="3333">
        <v>2014</v>
      </c>
      <c r="CE289" s="747" t="s">
        <v>2295</v>
      </c>
      <c r="CF289" s="747" t="s">
        <v>2367</v>
      </c>
      <c r="CG289" s="747" t="s">
        <v>2393</v>
      </c>
      <c r="CH289" s="747" t="s">
        <v>2412</v>
      </c>
      <c r="CI289" s="3333">
        <v>2015</v>
      </c>
      <c r="CJ289" s="747" t="s">
        <v>2482</v>
      </c>
      <c r="CK289" s="747" t="s">
        <v>2520</v>
      </c>
      <c r="CL289" s="2700" t="s">
        <v>2527</v>
      </c>
    </row>
    <row r="290" spans="74:90" ht="3.95" customHeight="1" x14ac:dyDescent="0.2">
      <c r="BV290" s="2575"/>
      <c r="BW290" s="2789"/>
      <c r="BX290" s="2611"/>
      <c r="BY290" s="3332"/>
      <c r="BZ290" s="917"/>
      <c r="CA290" s="917"/>
      <c r="CB290" s="917"/>
      <c r="CC290" s="917"/>
      <c r="CD290" s="916"/>
      <c r="CE290" s="917"/>
      <c r="CF290" s="917"/>
      <c r="CG290" s="917"/>
      <c r="CH290" s="917"/>
      <c r="CI290" s="916"/>
      <c r="CJ290" s="917"/>
      <c r="CK290" s="917"/>
      <c r="CL290" s="3044"/>
    </row>
    <row r="291" spans="74:90" x14ac:dyDescent="0.2">
      <c r="BX291" s="391" t="s">
        <v>1090</v>
      </c>
      <c r="BY291" s="3334">
        <f>+PENN!AZ367</f>
        <v>54.655051929999999</v>
      </c>
      <c r="BZ291" s="3324">
        <f>+PENN!BA367</f>
        <v>12.4816485</v>
      </c>
      <c r="CA291" s="3324">
        <f>+PENN!BB367</f>
        <v>13.648722162999999</v>
      </c>
      <c r="CB291" s="3324">
        <f>+PENN!BC367</f>
        <v>14.862188</v>
      </c>
      <c r="CC291" s="3324">
        <f>+PENN!BD367</f>
        <v>13.444822</v>
      </c>
      <c r="CD291" s="3334">
        <f>+PENN!BE367</f>
        <v>54.437380662999999</v>
      </c>
      <c r="CE291" s="3324">
        <f>+PENN!BF367</f>
        <v>12.024063</v>
      </c>
      <c r="CF291" s="3324">
        <f>+PENN!BG367</f>
        <v>13.864381520000002</v>
      </c>
      <c r="CG291" s="3324">
        <f>+PENN!BH367</f>
        <v>14.708031829999999</v>
      </c>
      <c r="CH291" s="3324">
        <f>+PENN!BI367</f>
        <v>12.643810170000002</v>
      </c>
      <c r="CI291" s="3334">
        <f>+PENN!BJ367</f>
        <v>53.240286520000005</v>
      </c>
      <c r="CJ291" s="3324">
        <f>+PENN!BK367</f>
        <v>12.578415709999998</v>
      </c>
      <c r="CK291" s="3324">
        <f>+PENN!BL367</f>
        <v>13.06351862</v>
      </c>
      <c r="CL291" s="3326">
        <f>+PENN!BM367</f>
        <v>14.3</v>
      </c>
    </row>
    <row r="292" spans="74:90" x14ac:dyDescent="0.2">
      <c r="BX292" s="392" t="s">
        <v>1549</v>
      </c>
      <c r="BY292" s="3335">
        <f>+PENN!AZ398</f>
        <v>266.7566246400001</v>
      </c>
      <c r="BZ292" s="1474">
        <f>+PENN!BA398</f>
        <v>61.822798290000001</v>
      </c>
      <c r="CA292" s="1474">
        <f>+PENN!BB398</f>
        <v>63.340737319999988</v>
      </c>
      <c r="CB292" s="1474">
        <f>+PENN!BC398</f>
        <v>62.100445369999981</v>
      </c>
      <c r="CC292" s="1474">
        <f>+PENN!BD398</f>
        <v>60.22172371000002</v>
      </c>
      <c r="CD292" s="3335">
        <f>+PENN!BE398</f>
        <v>247.48570469000001</v>
      </c>
      <c r="CE292" s="1474">
        <f>+PENN!BF398</f>
        <v>62.765410610000004</v>
      </c>
      <c r="CF292" s="1474">
        <f>+PENN!BG398</f>
        <v>64.480076380000057</v>
      </c>
      <c r="CG292" s="1474">
        <f>+PENN!BH398</f>
        <v>62.803823939999909</v>
      </c>
      <c r="CH292" s="1474">
        <f>+PENN!BI398</f>
        <v>60.146848939999934</v>
      </c>
      <c r="CI292" s="3335">
        <f>+PENN!BJ398</f>
        <v>250.19615986999989</v>
      </c>
      <c r="CJ292" s="1474">
        <f>+PENN!BK398</f>
        <v>61.158437130000038</v>
      </c>
      <c r="CK292" s="1474">
        <f>+PENN!BL398</f>
        <v>63.379306710000023</v>
      </c>
      <c r="CL292" s="3327">
        <f>+PENN!BM398</f>
        <v>61.5</v>
      </c>
    </row>
    <row r="293" spans="74:90" x14ac:dyDescent="0.2">
      <c r="BX293" s="392" t="s">
        <v>443</v>
      </c>
      <c r="BY293" s="3335">
        <f>+PENN!AZ427</f>
        <v>210.81235199999998</v>
      </c>
      <c r="BZ293" s="1474">
        <f>+PENN!BA427</f>
        <v>53.521681999999998</v>
      </c>
      <c r="CA293" s="1474">
        <f>+PENN!BB427</f>
        <v>51.629798999999991</v>
      </c>
      <c r="CB293" s="1474">
        <f>+PENN!BC427</f>
        <v>51.444672150000002</v>
      </c>
      <c r="CC293" s="1474">
        <f>+PENN!BD427</f>
        <v>51.541496999999993</v>
      </c>
      <c r="CD293" s="3335">
        <f>+PENN!BE427</f>
        <v>208.13765014999998</v>
      </c>
      <c r="CE293" s="1474">
        <f>+PENN!BF427</f>
        <v>52.798429999999996</v>
      </c>
      <c r="CF293" s="1474">
        <f>+PENN!BG427</f>
        <v>53.477963999999993</v>
      </c>
      <c r="CG293" s="1474">
        <f>+PENN!BH427</f>
        <v>51.223411999999996</v>
      </c>
      <c r="CH293" s="1474">
        <f>+PENN!BI427</f>
        <v>52.837793939999997</v>
      </c>
      <c r="CI293" s="3335">
        <f>+PENN!BJ427</f>
        <v>210.33759993999996</v>
      </c>
      <c r="CJ293" s="1474">
        <f>+PENN!BK427</f>
        <v>55.313227350000005</v>
      </c>
      <c r="CK293" s="1474">
        <f>+PENN!BL427</f>
        <v>53.402252999999995</v>
      </c>
      <c r="CL293" s="3327">
        <f>+PENN!BM427</f>
        <v>52.216208359999996</v>
      </c>
    </row>
    <row r="294" spans="74:90" x14ac:dyDescent="0.2">
      <c r="BX294" s="392" t="s">
        <v>636</v>
      </c>
      <c r="BY294" s="3335">
        <f>+PENN!AZ456</f>
        <v>183.36684400000001</v>
      </c>
      <c r="BZ294" s="1474">
        <f>+PENN!BA456</f>
        <v>44.205778000000002</v>
      </c>
      <c r="CA294" s="1474">
        <f>+PENN!BB456</f>
        <v>47.711378000000003</v>
      </c>
      <c r="CB294" s="1474">
        <f>+PENN!BC456</f>
        <v>46.903418189999996</v>
      </c>
      <c r="CC294" s="1474">
        <f>+PENN!BD456</f>
        <v>44.433791999999997</v>
      </c>
      <c r="CD294" s="3335">
        <f>+PENN!BE456</f>
        <v>183.25436618999998</v>
      </c>
      <c r="CE294" s="1474">
        <f>+PENN!BF456</f>
        <v>46.852412999999999</v>
      </c>
      <c r="CF294" s="1474">
        <f>+PENN!BG456</f>
        <v>50.178934999999996</v>
      </c>
      <c r="CG294" s="1474">
        <f>+PENN!BH456</f>
        <v>48.983013</v>
      </c>
      <c r="CH294" s="1474">
        <f>+PENN!BI456</f>
        <v>46.747579000000002</v>
      </c>
      <c r="CI294" s="3335">
        <f>+PENN!BJ456</f>
        <v>192.76194000000001</v>
      </c>
      <c r="CJ294" s="1474">
        <f>+PENN!BK456</f>
        <v>50.653110999999996</v>
      </c>
      <c r="CK294" s="1474">
        <f>+PENN!BL456</f>
        <v>50.279187</v>
      </c>
      <c r="CL294" s="3327">
        <f>+PENN!BM456</f>
        <v>45.8</v>
      </c>
    </row>
    <row r="295" spans="74:90" x14ac:dyDescent="0.2">
      <c r="BX295" s="2605" t="s">
        <v>227</v>
      </c>
      <c r="BY295" s="3336">
        <f>+PENN!AZ501</f>
        <v>0</v>
      </c>
      <c r="BZ295" s="3325">
        <f>+PENN!BA501</f>
        <v>0</v>
      </c>
      <c r="CA295" s="3325">
        <f>+PENN!BB501</f>
        <v>0</v>
      </c>
      <c r="CB295" s="3325">
        <f>+PENN!BC501</f>
        <v>8.0645550000000004</v>
      </c>
      <c r="CC295" s="3325">
        <f>+PENN!BD501</f>
        <v>19.757428000000001</v>
      </c>
      <c r="CD295" s="3335">
        <f>+PENN!BE501</f>
        <v>27.821983000000003</v>
      </c>
      <c r="CE295" s="1474">
        <f>+PENN!BF501</f>
        <v>21.137999999999998</v>
      </c>
      <c r="CF295" s="1474">
        <f>+PENN!BG501</f>
        <v>21.651056000000001</v>
      </c>
      <c r="CG295" s="1474">
        <f>+PENN!BH501</f>
        <v>21.594919999999998</v>
      </c>
      <c r="CH295" s="1474">
        <f>+PENN!BI501</f>
        <v>21.488244000000002</v>
      </c>
      <c r="CI295" s="3335">
        <f>+PENN!BJ501</f>
        <v>85.872219999999999</v>
      </c>
      <c r="CJ295" s="1474">
        <f>+PENN!BK501</f>
        <v>22.276706000000001</v>
      </c>
      <c r="CK295" s="1474">
        <f>+PENN!BL501</f>
        <v>22.410675000000001</v>
      </c>
      <c r="CL295" s="3327">
        <f>+PENN!BM501</f>
        <v>22.5</v>
      </c>
    </row>
    <row r="296" spans="74:90" x14ac:dyDescent="0.2">
      <c r="BX296" s="2605" t="s">
        <v>228</v>
      </c>
      <c r="BY296" s="3336">
        <f>+PENN!AZ529</f>
        <v>0</v>
      </c>
      <c r="BZ296" s="3325">
        <f>+PENN!BA529</f>
        <v>0</v>
      </c>
      <c r="CA296" s="3325">
        <f>+PENN!BB529</f>
        <v>0</v>
      </c>
      <c r="CB296" s="3325">
        <f>+PENN!BC529</f>
        <v>5.93649</v>
      </c>
      <c r="CC296" s="3325">
        <f>+PENN!BD529</f>
        <v>22.757778999999999</v>
      </c>
      <c r="CD296" s="3335">
        <f>+PENN!BE529</f>
        <v>28.694268999999998</v>
      </c>
      <c r="CE296" s="1474">
        <f>+PENN!BF529</f>
        <v>21.730999999999998</v>
      </c>
      <c r="CF296" s="1474">
        <f>+PENN!BG529</f>
        <v>23.168319</v>
      </c>
      <c r="CG296" s="1474">
        <f>+PENN!BH529</f>
        <v>24.177028</v>
      </c>
      <c r="CH296" s="1474">
        <f>+PENN!BI529</f>
        <v>23.048952</v>
      </c>
      <c r="CI296" s="3335">
        <f>+PENN!BJ529</f>
        <v>92.125298999999998</v>
      </c>
      <c r="CJ296" s="1474">
        <f>+PENN!BK529</f>
        <v>25.202103999999999</v>
      </c>
      <c r="CK296" s="1474">
        <f>+PENN!BL529</f>
        <v>25.041172</v>
      </c>
      <c r="CL296" s="3327">
        <f>+PENN!BM529</f>
        <v>25.3</v>
      </c>
    </row>
    <row r="297" spans="74:90" x14ac:dyDescent="0.2">
      <c r="BX297" s="391" t="s">
        <v>1094</v>
      </c>
      <c r="BY297" s="3335">
        <f>+PENN!AZ793</f>
        <v>141.751823</v>
      </c>
      <c r="BZ297" s="1474">
        <f>+PENN!BA793</f>
        <v>31.234246999999996</v>
      </c>
      <c r="CA297" s="1474">
        <f>+PENN!BB793</f>
        <v>33.345424000000001</v>
      </c>
      <c r="CB297" s="1474">
        <f>+PENN!BC793</f>
        <v>31.966752</v>
      </c>
      <c r="CC297" s="1474">
        <f>+PENN!BD793</f>
        <v>30.419910000000002</v>
      </c>
      <c r="CD297" s="3335">
        <f>+PENN!BE793</f>
        <v>126.96633299999999</v>
      </c>
      <c r="CE297" s="1474">
        <f>+PENN!BF793</f>
        <v>30.407322999999998</v>
      </c>
      <c r="CF297" s="1474">
        <f>+PENN!BG793</f>
        <v>32.211692999999997</v>
      </c>
      <c r="CG297" s="1474">
        <f>+PENN!BH793</f>
        <v>29.485301</v>
      </c>
      <c r="CH297" s="1474">
        <f>+PENN!BI793</f>
        <v>29.045582999999997</v>
      </c>
      <c r="CI297" s="3335">
        <f>+PENN!BJ793</f>
        <v>121.14989999999999</v>
      </c>
      <c r="CJ297" s="1474">
        <f>+PENN!BK793</f>
        <v>30.469566999999998</v>
      </c>
      <c r="CK297" s="1474">
        <f>+PENN!BL793</f>
        <v>30.2</v>
      </c>
      <c r="CL297" s="3327">
        <f>+PENN!BM793</f>
        <v>30.406834000000003</v>
      </c>
    </row>
    <row r="298" spans="74:90" x14ac:dyDescent="0.2">
      <c r="BX298" s="391" t="s">
        <v>1786</v>
      </c>
      <c r="BY298" s="3335">
        <f>+PENN!AZ824</f>
        <v>131.26196400000001</v>
      </c>
      <c r="BZ298" s="1474">
        <f>+PENN!BA824</f>
        <v>29.131957999999997</v>
      </c>
      <c r="CA298" s="1474">
        <f>+PENN!BB824</f>
        <v>33.087440000000001</v>
      </c>
      <c r="CB298" s="1474">
        <f>+PENN!BC824</f>
        <v>31.074675999999997</v>
      </c>
      <c r="CC298" s="1474">
        <f>+PENN!BD824</f>
        <v>29.315315999999996</v>
      </c>
      <c r="CD298" s="3335">
        <f>+PENN!BE824</f>
        <v>122.60938999999999</v>
      </c>
      <c r="CE298" s="1474">
        <f>+PENN!BF824</f>
        <v>29.705186999999999</v>
      </c>
      <c r="CF298" s="1474">
        <f>+PENN!BG824</f>
        <v>33.815408999999995</v>
      </c>
      <c r="CG298" s="1474">
        <f>+PENN!BH824</f>
        <v>32.656564000000003</v>
      </c>
      <c r="CH298" s="1474">
        <f>+PENN!BI824</f>
        <v>29.125692999999998</v>
      </c>
      <c r="CI298" s="3335">
        <f>+PENN!BJ824</f>
        <v>125.302853</v>
      </c>
      <c r="CJ298" s="1474">
        <f>+PENN!BK824</f>
        <v>30.901687999999996</v>
      </c>
      <c r="CK298" s="1474">
        <f>+PENN!BL824</f>
        <v>30.6</v>
      </c>
      <c r="CL298" s="3327">
        <f>+PENN!BM824</f>
        <v>29.988585</v>
      </c>
    </row>
    <row r="299" spans="74:90" x14ac:dyDescent="0.2">
      <c r="BX299" s="391" t="s">
        <v>1020</v>
      </c>
      <c r="BY299" s="3335">
        <f>+PENN!AZ855</f>
        <v>64.263102000000003</v>
      </c>
      <c r="BZ299" s="1474">
        <f>+PENN!BA855</f>
        <v>14.669376</v>
      </c>
      <c r="CA299" s="1474">
        <f>+PENN!BB855</f>
        <v>14.479374</v>
      </c>
      <c r="CB299" s="1474">
        <f>+PENN!BC855</f>
        <v>14.215969000000001</v>
      </c>
      <c r="CC299" s="1474">
        <f>+PENN!BD855</f>
        <v>13.181482000000001</v>
      </c>
      <c r="CD299" s="3335">
        <f>+PENN!BE855</f>
        <v>56.546201000000003</v>
      </c>
      <c r="CE299" s="1474">
        <f>+PENN!BF855</f>
        <v>14.446052999999999</v>
      </c>
      <c r="CF299" s="1474">
        <f>+PENN!BG855</f>
        <v>14.771667000000001</v>
      </c>
      <c r="CG299" s="1474">
        <f>+PENN!BH855</f>
        <v>13.604216000000001</v>
      </c>
      <c r="CH299" s="1474">
        <f>+PENN!BI855</f>
        <v>11.756263000000001</v>
      </c>
      <c r="CI299" s="3335">
        <f>+PENN!BJ855</f>
        <v>54.578198999999998</v>
      </c>
      <c r="CJ299" s="1474">
        <f>+PENN!BK855</f>
        <v>12.376076999999999</v>
      </c>
      <c r="CK299" s="1474">
        <f>+PENN!BL855</f>
        <v>12.7</v>
      </c>
      <c r="CL299" s="3327">
        <f>+PENN!BM855</f>
        <v>12.912684</v>
      </c>
    </row>
    <row r="300" spans="74:90" x14ac:dyDescent="0.2">
      <c r="BX300" s="2189" t="s">
        <v>1092</v>
      </c>
      <c r="BY300" s="3335">
        <f>+PENN!AZ886</f>
        <v>271.79388600000004</v>
      </c>
      <c r="BZ300" s="1474">
        <f>+PENN!BA886</f>
        <v>51.681356000000008</v>
      </c>
      <c r="CA300" s="1474">
        <f>+PENN!BB886</f>
        <v>49.092036</v>
      </c>
      <c r="CB300" s="1474">
        <f>+PENN!BC886</f>
        <v>47.885720000000006</v>
      </c>
      <c r="CC300" s="1474">
        <f>+PENN!BD886</f>
        <v>46.342970000000001</v>
      </c>
      <c r="CD300" s="3335">
        <f>+PENN!BE886</f>
        <v>195.002082</v>
      </c>
      <c r="CE300" s="1474">
        <f>+PENN!BF886</f>
        <v>45.152985999999999</v>
      </c>
      <c r="CF300" s="1474">
        <f>+PENN!BG886</f>
        <v>44.784217000000005</v>
      </c>
      <c r="CG300" s="1474">
        <f>+PENN!BH886</f>
        <v>43.057439000000002</v>
      </c>
      <c r="CH300" s="1474">
        <f>+PENN!BI886</f>
        <v>42.821453000000005</v>
      </c>
      <c r="CI300" s="3335">
        <f>+PENN!BJ886</f>
        <v>175.81609500000002</v>
      </c>
      <c r="CJ300" s="1474">
        <f>+PENN!BK886</f>
        <v>44.542905000000005</v>
      </c>
      <c r="CK300" s="1474">
        <f>+PENN!BL886</f>
        <v>43.3</v>
      </c>
      <c r="CL300" s="3327">
        <f>+PENN!BM886</f>
        <v>42.9</v>
      </c>
    </row>
    <row r="301" spans="74:90" x14ac:dyDescent="0.2">
      <c r="BX301" s="392" t="s">
        <v>1093</v>
      </c>
      <c r="BY301" s="3335">
        <f>+PENN!AZ917</f>
        <v>147.99995633999998</v>
      </c>
      <c r="BZ301" s="1474">
        <f>+PENN!BA917</f>
        <v>36.323285029999994</v>
      </c>
      <c r="CA301" s="1474">
        <f>+PENN!BB917</f>
        <v>36.176569579999999</v>
      </c>
      <c r="CB301" s="1474">
        <f>+PENN!BC917</f>
        <v>33.935374729999999</v>
      </c>
      <c r="CC301" s="1474">
        <f>+PENN!BD917</f>
        <v>34.789132599999995</v>
      </c>
      <c r="CD301" s="3335">
        <f>+PENN!BE917</f>
        <v>141.22436193999999</v>
      </c>
      <c r="CE301" s="1474">
        <f>+PENN!BF917</f>
        <v>36.199310610000005</v>
      </c>
      <c r="CF301" s="1474">
        <f>+PENN!BG917</f>
        <v>36.868489449999998</v>
      </c>
      <c r="CG301" s="1474">
        <f>+PENN!BH917</f>
        <v>36.562847809999994</v>
      </c>
      <c r="CH301" s="1474">
        <f>+PENN!BI917</f>
        <v>36.729385779999994</v>
      </c>
      <c r="CI301" s="3335">
        <f>+PENN!BJ917</f>
        <v>146.36003364999999</v>
      </c>
      <c r="CJ301" s="1474">
        <f>+PENN!BK917</f>
        <v>38.922493559999999</v>
      </c>
      <c r="CK301" s="1474">
        <f>+PENN!BL917</f>
        <v>38.1</v>
      </c>
      <c r="CL301" s="3327">
        <f>+PENN!BM917</f>
        <v>38.799999999999997</v>
      </c>
    </row>
    <row r="302" spans="74:90" x14ac:dyDescent="0.2">
      <c r="BX302" s="392" t="s">
        <v>1789</v>
      </c>
      <c r="BY302" s="3335">
        <f>+PENN!AZ979</f>
        <v>232.35441122</v>
      </c>
      <c r="BZ302" s="1474">
        <f>+PENN!BA979</f>
        <v>55.6302132</v>
      </c>
      <c r="CA302" s="1474">
        <f>+PENN!BB979</f>
        <v>56.054980430000001</v>
      </c>
      <c r="CB302" s="1474">
        <f>+PENN!BC979</f>
        <v>53.540775080000003</v>
      </c>
      <c r="CC302" s="1474">
        <f>+PENN!BD979</f>
        <v>53.061041780000004</v>
      </c>
      <c r="CD302" s="3335">
        <f>+PENN!BE979</f>
        <v>218.28701049000003</v>
      </c>
      <c r="CE302" s="1474">
        <f>+PENN!BF979</f>
        <v>56.108040169999995</v>
      </c>
      <c r="CF302" s="1474">
        <f>+PENN!BG979</f>
        <v>56.182618309999995</v>
      </c>
      <c r="CG302" s="1474">
        <f>+PENN!BH979</f>
        <v>58.912269879999997</v>
      </c>
      <c r="CH302" s="1474">
        <f>+PENN!BI979</f>
        <v>54.77271915</v>
      </c>
      <c r="CI302" s="3335">
        <f>+PENN!BJ979</f>
        <v>225.97564750999999</v>
      </c>
      <c r="CJ302" s="1474">
        <f>+PENN!BK979</f>
        <v>58.59368697</v>
      </c>
      <c r="CK302" s="1474">
        <f>+PENN!BL979</f>
        <v>56.203368640000008</v>
      </c>
      <c r="CL302" s="3327">
        <f>+PENN!BM979</f>
        <v>61</v>
      </c>
    </row>
    <row r="303" spans="74:90" ht="3.95" customHeight="1" x14ac:dyDescent="0.2">
      <c r="BX303" s="2612"/>
      <c r="BY303" s="3231"/>
      <c r="BZ303" s="2649"/>
      <c r="CA303" s="2649"/>
      <c r="CB303" s="2649"/>
      <c r="CC303" s="2649"/>
      <c r="CD303" s="3231"/>
      <c r="CE303" s="2649"/>
      <c r="CF303" s="2649"/>
      <c r="CG303" s="2649"/>
      <c r="CH303" s="2649"/>
      <c r="CI303" s="3231"/>
      <c r="CJ303" s="2649"/>
      <c r="CK303" s="2649"/>
      <c r="CL303" s="2650"/>
    </row>
    <row r="304" spans="74:90" x14ac:dyDescent="0.2">
      <c r="BX304" s="3104" t="s">
        <v>841</v>
      </c>
      <c r="BY304" s="3337">
        <f>SUM(BY291:BY302)</f>
        <v>1705.0160151300001</v>
      </c>
      <c r="BZ304" s="3330">
        <f t="shared" ref="BZ304:CL304" si="5">SUM(BZ291:BZ302)</f>
        <v>390.70234202</v>
      </c>
      <c r="CA304" s="3330">
        <f t="shared" si="5"/>
        <v>398.56646049299997</v>
      </c>
      <c r="CB304" s="3330">
        <f t="shared" si="5"/>
        <v>401.93103551999997</v>
      </c>
      <c r="CC304" s="3330">
        <f t="shared" si="5"/>
        <v>419.26689408999999</v>
      </c>
      <c r="CD304" s="3337">
        <f t="shared" si="5"/>
        <v>1610.4667321230002</v>
      </c>
      <c r="CE304" s="3330">
        <f t="shared" si="5"/>
        <v>429.32821638999997</v>
      </c>
      <c r="CF304" s="3330">
        <f t="shared" si="5"/>
        <v>445.45482566000004</v>
      </c>
      <c r="CG304" s="3330">
        <f t="shared" si="5"/>
        <v>437.76886645999986</v>
      </c>
      <c r="CH304" s="3330">
        <f t="shared" si="5"/>
        <v>421.16432497999989</v>
      </c>
      <c r="CI304" s="3337">
        <f t="shared" si="5"/>
        <v>1733.7162334899997</v>
      </c>
      <c r="CJ304" s="3330">
        <f t="shared" si="5"/>
        <v>442.98841872000008</v>
      </c>
      <c r="CK304" s="3330">
        <f t="shared" si="5"/>
        <v>438.67948097000004</v>
      </c>
      <c r="CL304" s="3331">
        <f t="shared" si="5"/>
        <v>437.62431136000004</v>
      </c>
    </row>
    <row r="305" spans="76:90" x14ac:dyDescent="0.2">
      <c r="BX305" s="3338" t="s">
        <v>2529</v>
      </c>
      <c r="BY305" s="3339"/>
      <c r="BZ305" s="3340"/>
      <c r="CA305" s="3340"/>
      <c r="CB305" s="3340"/>
      <c r="CC305" s="3340"/>
      <c r="CD305" s="3341">
        <f>+(CD304-SUM(CD295:CD296))/(BY304-SUM(BY295:BY296))-1</f>
        <v>-8.8600654578298355E-2</v>
      </c>
      <c r="CE305" s="3342">
        <f>+(CE304-SUM(CE295:CE296))/BZ304-1</f>
        <v>-1.0860251331134441E-2</v>
      </c>
      <c r="CF305" s="3342">
        <f>+(CF304-SUM(CF295:CF296))/CA304-1</f>
        <v>5.1910794612293198E-3</v>
      </c>
      <c r="CG305" s="3342">
        <f>+(CG304-SUM(CG295:CG296))/CB304-1</f>
        <v>-2.4715974090300907E-2</v>
      </c>
      <c r="CH305" s="3342">
        <f>+CH304/CC304-1</f>
        <v>4.5255919719542348E-3</v>
      </c>
      <c r="CI305" s="3341">
        <f>+(CI304-SUM(CI295:CI296))/(CD304-SUM(CD295:CD296))-1</f>
        <v>1.1378962133075099E-3</v>
      </c>
      <c r="CJ305" s="3342">
        <f>+CJ304/CE304-1</f>
        <v>3.1817620665284263E-2</v>
      </c>
      <c r="CK305" s="3342">
        <f>+CK304/CF304-1</f>
        <v>-1.5209947899793019E-2</v>
      </c>
      <c r="CL305" s="3343">
        <f>+CL304/CG304-1</f>
        <v>-3.3020872673916735E-4</v>
      </c>
    </row>
    <row r="306" spans="76:90" x14ac:dyDescent="0.2">
      <c r="BX306" s="3328" t="s">
        <v>2531</v>
      </c>
      <c r="BY306" s="3344"/>
      <c r="BZ306" s="3345"/>
      <c r="CA306" s="3329"/>
      <c r="CB306" s="3329"/>
      <c r="CC306" s="3329"/>
      <c r="CD306" s="3347"/>
      <c r="CE306" s="3346">
        <v>1.8687000686913358E-2</v>
      </c>
      <c r="CF306" s="3346">
        <v>2.2461315471509116E-2</v>
      </c>
      <c r="CG306" s="3346">
        <v>1.1204650103588129E-2</v>
      </c>
      <c r="CH306" s="3346">
        <v>1.768570440544737E-2</v>
      </c>
      <c r="CI306" s="3347">
        <f>AVERAGE(CE306:CH306)</f>
        <v>1.7509667666864494E-2</v>
      </c>
      <c r="CJ306" s="3346">
        <v>2.73864408758554E-2</v>
      </c>
      <c r="CK306" s="3346">
        <v>-2.2228769488472568E-3</v>
      </c>
      <c r="CL306" s="3348">
        <v>3.7498752634407486E-3</v>
      </c>
    </row>
    <row r="307" spans="76:90" x14ac:dyDescent="0.2">
      <c r="BY307" s="2622"/>
      <c r="BZ307" s="2622"/>
      <c r="CA307" s="2622"/>
      <c r="CB307" s="2622"/>
      <c r="CC307" s="2622"/>
      <c r="CD307" s="2622"/>
      <c r="CE307" s="2622"/>
      <c r="CF307" s="2622"/>
      <c r="CG307" s="2622"/>
      <c r="CH307" s="2622"/>
      <c r="CI307" s="2622"/>
      <c r="CJ307" s="2622"/>
      <c r="CK307" s="2622"/>
      <c r="CL307" s="2622"/>
    </row>
    <row r="308" spans="76:90" x14ac:dyDescent="0.2">
      <c r="BX308" s="1454" t="s">
        <v>2532</v>
      </c>
      <c r="CI308" s="2610">
        <f>+CI304/2497.497</f>
        <v>0.69418150792173117</v>
      </c>
    </row>
    <row r="325" spans="98:99" x14ac:dyDescent="0.2">
      <c r="CT325" s="1454" t="s">
        <v>2529</v>
      </c>
    </row>
    <row r="326" spans="98:99" x14ac:dyDescent="0.2">
      <c r="CT326" s="1454" t="s">
        <v>2295</v>
      </c>
      <c r="CU326" s="2610">
        <f>INDEX(PENN!$261:$261,MATCH('Exhibits 3'!$CT$326:$CT$337,PENN!$215:$215,0))</f>
        <v>3.2911289390828991E-3</v>
      </c>
    </row>
    <row r="327" spans="98:99" x14ac:dyDescent="0.2">
      <c r="CT327" s="1454" t="s">
        <v>2367</v>
      </c>
      <c r="CU327" s="2610">
        <f>INDEX(PENN!$261:$261,MATCH('Exhibits 3'!$CT$326:$CT$337,PENN!$215:$215,0))</f>
        <v>1.7864913600788679E-2</v>
      </c>
    </row>
    <row r="328" spans="98:99" x14ac:dyDescent="0.2">
      <c r="CT328" s="1454" t="s">
        <v>2393</v>
      </c>
      <c r="CU328" s="2610">
        <f>INDEX(PENN!$261:$261,MATCH('Exhibits 3'!$CT$326:$CT$337,PENN!$215:$215,0))</f>
        <v>1.9735399871059878E-2</v>
      </c>
    </row>
    <row r="329" spans="98:99" x14ac:dyDescent="0.2">
      <c r="CT329" s="1454" t="s">
        <v>2412</v>
      </c>
      <c r="CU329" s="2610">
        <f>INDEX(PENN!$261:$261,MATCH('Exhibits 3'!$CT$326:$CT$337,PENN!$215:$215,0))</f>
        <v>5.382061796116222E-3</v>
      </c>
    </row>
    <row r="330" spans="98:99" x14ac:dyDescent="0.2">
      <c r="CT330" s="1454" t="s">
        <v>2482</v>
      </c>
      <c r="CU330" s="2610">
        <f>INDEX(PENN!$261:$261,MATCH('Exhibits 3'!$CT$326:$CT$337,PENN!$215:$215,0))</f>
        <v>3.032117947320323E-2</v>
      </c>
    </row>
    <row r="331" spans="98:99" x14ac:dyDescent="0.2">
      <c r="CT331" s="1454" t="s">
        <v>2520</v>
      </c>
      <c r="CU331" s="2610">
        <f>INDEX(PENN!$261:$261,MATCH('Exhibits 3'!$CT$326:$CT$337,PENN!$215:$215,0))</f>
        <v>-8.8664757222377544E-3</v>
      </c>
    </row>
    <row r="332" spans="98:99" x14ac:dyDescent="0.2">
      <c r="CT332" s="1454" t="s">
        <v>2525</v>
      </c>
      <c r="CU332" s="2610"/>
    </row>
    <row r="333" spans="98:99" x14ac:dyDescent="0.2">
      <c r="CT333" s="1454" t="s">
        <v>2366</v>
      </c>
      <c r="CU333" s="2610"/>
    </row>
    <row r="334" spans="98:99" x14ac:dyDescent="0.2">
      <c r="CT334" s="1454" t="s">
        <v>2521</v>
      </c>
      <c r="CU334" s="2610"/>
    </row>
    <row r="335" spans="98:99" x14ac:dyDescent="0.2">
      <c r="CT335" s="1454" t="s">
        <v>2522</v>
      </c>
      <c r="CU335" s="2610"/>
    </row>
    <row r="336" spans="98:99" x14ac:dyDescent="0.2">
      <c r="CT336" s="1454" t="s">
        <v>2523</v>
      </c>
      <c r="CU336" s="2610"/>
    </row>
    <row r="337" spans="98:109" x14ac:dyDescent="0.2">
      <c r="CT337" s="1454" t="s">
        <v>2524</v>
      </c>
      <c r="CU337" s="2610"/>
    </row>
    <row r="342" spans="98:109" x14ac:dyDescent="0.2">
      <c r="DD342" s="496" t="s">
        <v>2547</v>
      </c>
      <c r="DE342" s="3173"/>
    </row>
    <row r="343" spans="98:109" ht="3.95" customHeight="1" x14ac:dyDescent="0.2">
      <c r="DD343" s="2612"/>
      <c r="DE343" s="2626"/>
    </row>
    <row r="344" spans="98:109" ht="12.75" customHeight="1" x14ac:dyDescent="0.2">
      <c r="DD344" s="287" t="s">
        <v>2556</v>
      </c>
      <c r="DE344" s="2626"/>
    </row>
    <row r="345" spans="98:109" ht="12.75" customHeight="1" x14ac:dyDescent="0.2">
      <c r="DD345" s="2612" t="s">
        <v>833</v>
      </c>
      <c r="DE345" s="3202">
        <v>44</v>
      </c>
    </row>
    <row r="346" spans="98:109" x14ac:dyDescent="0.2">
      <c r="DD346" s="2612" t="s">
        <v>2548</v>
      </c>
      <c r="DE346" s="3114">
        <v>21</v>
      </c>
    </row>
    <row r="347" spans="98:109" x14ac:dyDescent="0.2">
      <c r="DD347" s="2612" t="s">
        <v>2555</v>
      </c>
      <c r="DE347" s="2724">
        <f>+DE345/DE346</f>
        <v>2.0952380952380953</v>
      </c>
    </row>
    <row r="348" spans="98:109" x14ac:dyDescent="0.2">
      <c r="DD348" s="2612"/>
      <c r="DE348" s="2626"/>
    </row>
    <row r="349" spans="98:109" x14ac:dyDescent="0.2">
      <c r="DD349" s="2612" t="s">
        <v>2549</v>
      </c>
      <c r="DE349" s="3114">
        <v>9</v>
      </c>
    </row>
    <row r="350" spans="98:109" ht="3.95" customHeight="1" x14ac:dyDescent="0.2">
      <c r="DD350" s="2612"/>
      <c r="DE350" s="2708" t="s">
        <v>229</v>
      </c>
    </row>
    <row r="351" spans="98:109" x14ac:dyDescent="0.2">
      <c r="DD351" s="2612" t="s">
        <v>1952</v>
      </c>
      <c r="DE351" s="2718">
        <f>+DE346-DE349</f>
        <v>12</v>
      </c>
    </row>
    <row r="352" spans="98:109" x14ac:dyDescent="0.2">
      <c r="DD352" s="2612" t="s">
        <v>2554</v>
      </c>
      <c r="DE352" s="2724">
        <f>+DE345/DE351</f>
        <v>3.6666666666666665</v>
      </c>
    </row>
    <row r="353" spans="108:109" x14ac:dyDescent="0.2">
      <c r="DD353" s="2612"/>
      <c r="DE353" s="2626"/>
    </row>
    <row r="354" spans="108:109" x14ac:dyDescent="0.2">
      <c r="DD354" s="2612" t="s">
        <v>2550</v>
      </c>
      <c r="DE354" s="3202">
        <v>2.5</v>
      </c>
    </row>
    <row r="355" spans="108:109" x14ac:dyDescent="0.2">
      <c r="DD355" s="2612" t="s">
        <v>2135</v>
      </c>
      <c r="DE355" s="3114">
        <v>2.5</v>
      </c>
    </row>
    <row r="356" spans="108:109" ht="3.95" customHeight="1" x14ac:dyDescent="0.2">
      <c r="DD356" s="2612"/>
      <c r="DE356" s="2708" t="s">
        <v>229</v>
      </c>
    </row>
    <row r="357" spans="108:109" x14ac:dyDescent="0.2">
      <c r="DD357" s="2612" t="s">
        <v>2551</v>
      </c>
      <c r="DE357" s="2718">
        <f>SUM(DE354:DE355)</f>
        <v>5</v>
      </c>
    </row>
    <row r="358" spans="108:109" x14ac:dyDescent="0.2">
      <c r="DD358" s="2612"/>
      <c r="DE358" s="2626"/>
    </row>
    <row r="359" spans="108:109" x14ac:dyDescent="0.2">
      <c r="DD359" s="2612" t="s">
        <v>2552</v>
      </c>
      <c r="DE359" s="2718">
        <f>+DE357+DE345</f>
        <v>49</v>
      </c>
    </row>
    <row r="360" spans="108:109" x14ac:dyDescent="0.2">
      <c r="DD360" s="2612" t="s">
        <v>2553</v>
      </c>
      <c r="DE360" s="2724">
        <f>+DE359/DE351</f>
        <v>4.083333333333333</v>
      </c>
    </row>
    <row r="361" spans="108:109" x14ac:dyDescent="0.2">
      <c r="DD361" s="2612"/>
      <c r="DE361" s="2626"/>
    </row>
    <row r="362" spans="108:109" x14ac:dyDescent="0.2">
      <c r="DD362" s="287" t="s">
        <v>2557</v>
      </c>
      <c r="DE362" s="2626"/>
    </row>
    <row r="363" spans="108:109" x14ac:dyDescent="0.2">
      <c r="DD363" s="2612" t="s">
        <v>2548</v>
      </c>
      <c r="DE363" s="2718">
        <f>+DE346</f>
        <v>21</v>
      </c>
    </row>
    <row r="364" spans="108:109" x14ac:dyDescent="0.2">
      <c r="DD364" s="2612" t="s">
        <v>2558</v>
      </c>
      <c r="DE364" s="3113">
        <v>0.05</v>
      </c>
    </row>
    <row r="365" spans="108:109" ht="3.95" customHeight="1" x14ac:dyDescent="0.2">
      <c r="DD365" s="2612"/>
      <c r="DE365" s="2708" t="s">
        <v>229</v>
      </c>
    </row>
    <row r="366" spans="108:109" x14ac:dyDescent="0.2">
      <c r="DD366" s="2612" t="s">
        <v>2566</v>
      </c>
      <c r="DE366" s="2718">
        <f>+DE363*(1+DE364)</f>
        <v>22.05</v>
      </c>
    </row>
    <row r="367" spans="108:109" x14ac:dyDescent="0.2">
      <c r="DD367" s="2612" t="s">
        <v>2567</v>
      </c>
      <c r="DE367" s="3114">
        <v>3</v>
      </c>
    </row>
    <row r="368" spans="108:109" x14ac:dyDescent="0.2">
      <c r="DD368" s="2612" t="s">
        <v>2565</v>
      </c>
      <c r="DE368" s="2650">
        <v>-9</v>
      </c>
    </row>
    <row r="369" spans="108:109" ht="3.95" customHeight="1" x14ac:dyDescent="0.2">
      <c r="DD369" s="2612"/>
      <c r="DE369" s="2708" t="s">
        <v>229</v>
      </c>
    </row>
    <row r="370" spans="108:109" ht="12.75" customHeight="1" x14ac:dyDescent="0.2">
      <c r="DD370" s="2612" t="s">
        <v>2559</v>
      </c>
      <c r="DE370" s="2718">
        <f>+SUM(DE366:DE368)</f>
        <v>16.05</v>
      </c>
    </row>
    <row r="371" spans="108:109" ht="12.75" customHeight="1" x14ac:dyDescent="0.2">
      <c r="DD371" s="2612" t="s">
        <v>2568</v>
      </c>
      <c r="DE371" s="2724">
        <f>+DE359/DE370</f>
        <v>3.0529595015576323</v>
      </c>
    </row>
    <row r="372" spans="108:109" ht="12.75" customHeight="1" x14ac:dyDescent="0.2">
      <c r="DD372" s="2612"/>
      <c r="DE372" s="2626"/>
    </row>
    <row r="373" spans="108:109" x14ac:dyDescent="0.2">
      <c r="DD373" s="2612" t="s">
        <v>257</v>
      </c>
      <c r="DE373" s="3004">
        <v>7</v>
      </c>
    </row>
    <row r="374" spans="108:109" x14ac:dyDescent="0.2">
      <c r="DD374" s="2612" t="s">
        <v>2560</v>
      </c>
      <c r="DE374" s="2718">
        <f>+DE370*DE373</f>
        <v>112.35000000000001</v>
      </c>
    </row>
    <row r="375" spans="108:109" x14ac:dyDescent="0.2">
      <c r="DD375" s="2612" t="s">
        <v>2561</v>
      </c>
      <c r="DE375" s="2650">
        <f>+-DE359</f>
        <v>-49</v>
      </c>
    </row>
    <row r="376" spans="108:109" ht="3.95" customHeight="1" x14ac:dyDescent="0.2">
      <c r="DD376" s="2612"/>
      <c r="DE376" s="2708" t="s">
        <v>229</v>
      </c>
    </row>
    <row r="377" spans="108:109" x14ac:dyDescent="0.2">
      <c r="DD377" s="2612" t="s">
        <v>2562</v>
      </c>
      <c r="DE377" s="2718">
        <f>SUM(DE374:DE375)</f>
        <v>63.350000000000009</v>
      </c>
    </row>
    <row r="378" spans="108:109" x14ac:dyDescent="0.2">
      <c r="DD378" s="2612" t="s">
        <v>1536</v>
      </c>
      <c r="DE378" s="2650">
        <f>+'EBITDA Val'!G47</f>
        <v>92.393000000000001</v>
      </c>
    </row>
    <row r="379" spans="108:109" ht="3.95" customHeight="1" x14ac:dyDescent="0.2">
      <c r="DD379" s="2625"/>
      <c r="DE379" s="2759"/>
    </row>
    <row r="380" spans="108:109" x14ac:dyDescent="0.2">
      <c r="DD380" s="3104" t="s">
        <v>2563</v>
      </c>
      <c r="DE380" s="3361">
        <f>+DE377/DE378</f>
        <v>0.68565800439427238</v>
      </c>
    </row>
    <row r="381" spans="108:109" x14ac:dyDescent="0.2">
      <c r="DD381" s="3362" t="s">
        <v>2564</v>
      </c>
      <c r="DE381" s="3363">
        <f>+'EBITDA Val'!G49</f>
        <v>25.36</v>
      </c>
    </row>
    <row r="382" spans="108:109" x14ac:dyDescent="0.2">
      <c r="DD382" s="3364" t="s">
        <v>2557</v>
      </c>
      <c r="DE382" s="3365">
        <f>+DE380/DE381</f>
        <v>2.7036987554979196E-2</v>
      </c>
    </row>
    <row r="386" spans="112:121" x14ac:dyDescent="0.2">
      <c r="DI386" s="745" t="s">
        <v>2295</v>
      </c>
      <c r="DJ386" s="745" t="s">
        <v>2367</v>
      </c>
      <c r="DK386" s="745" t="s">
        <v>2393</v>
      </c>
      <c r="DL386" s="745" t="s">
        <v>2412</v>
      </c>
      <c r="DM386" s="745" t="s">
        <v>2482</v>
      </c>
      <c r="DN386" s="745" t="s">
        <v>2520</v>
      </c>
      <c r="DO386" s="745" t="s">
        <v>2527</v>
      </c>
      <c r="DP386" s="745" t="s">
        <v>2544</v>
      </c>
      <c r="DQ386" s="745" t="s">
        <v>2571</v>
      </c>
    </row>
    <row r="387" spans="112:121" x14ac:dyDescent="0.2">
      <c r="DH387" s="1454" t="s">
        <v>2573</v>
      </c>
      <c r="DI387" s="3384">
        <f>AVERAGE(PENN!BF339,PENN!BF368,PENN!BF399,PENN!BF428,PENN!BF457,PENN!BF484,PENN!BF499,PENN!BF527,PENN!BF558,PENN!BF619,PENN!BF641,PENN!BF711,PENN!BF749,PENN!BF768,PENN!BF794,PENN!BF825,PENN!BF856,PENN!BF887,PENN!BF918,PENN!BF980,PENN!BF1154)</f>
        <v>-4.5215502521761593E-3</v>
      </c>
      <c r="DJ387" s="3384">
        <f>AVERAGE(PENN!BG339,PENN!BG368,PENN!BG399,PENN!BG428,PENN!BG457,PENN!BG484,PENN!BG499,PENN!BG527,PENN!BG558,PENN!BG619,PENN!BG641,PENN!BG711,PENN!BG749,PENN!BG768,PENN!BG794,PENN!BG825,PENN!BG856,PENN!BG887,PENN!BG918,PENN!BG980,PENN!BG1154)</f>
        <v>1.3055936818287376E-2</v>
      </c>
      <c r="DK387" s="3384">
        <f>AVERAGE(PENN!BH339,PENN!BH368,PENN!BH399,PENN!BH428,PENN!BH457,PENN!BH484,PENN!BH499,PENN!BH527,PENN!BH558,PENN!BH619,PENN!BH641,PENN!BH711,PENN!BH749,PENN!BH768,PENN!BH794,PENN!BH825,PENN!BH856,PENN!BH887,PENN!BH918,PENN!BH980,PENN!BH1154)</f>
        <v>3.5970059348856848E-3</v>
      </c>
      <c r="DL387" s="3384">
        <f>AVERAGE(PENN!BI339,PENN!BI368,PENN!BI399,PENN!BI428,PENN!BI457,PENN!BI484,PENN!BI499,PENN!BI527,PENN!BI558,PENN!BI619,PENN!BI641,PENN!BI711,PENN!BI749,PENN!BI768,PENN!BI794,PENN!BI825,PENN!BI856,PENN!BI887,PENN!BI918,PENN!BI980,PENN!BI1154)</f>
        <v>-1.638363894365388E-2</v>
      </c>
      <c r="DM387" s="3384">
        <f>AVERAGE(PENN!BK339,PENN!BK368,PENN!BK399,PENN!BK428,PENN!BK457,PENN!BK484,PENN!BK499,PENN!BK527,PENN!BK558,PENN!BK619,PENN!BK641,PENN!BK711,PENN!BK749,PENN!BK768,PENN!BK794,PENN!BK825,PENN!BK856,PENN!BK887,PENN!BK918,PENN!BK980,PENN!BK1154)</f>
        <v>2.9057999360307995E-3</v>
      </c>
      <c r="DN387" s="3384">
        <f>AVERAGE(PENN!BL339,PENN!BL368,PENN!BL399,PENN!BL428,PENN!BL457,PENN!BL484,PENN!BL499,PENN!BL527,PENN!BL619,PENN!BL641,PENN!BL711,PENN!BL749,PENN!BL768,PENN!BL794,PENN!BL825,PENN!BL856,PENN!BL887,PENN!BL918,PENN!BL980,PENN!BL1154)</f>
        <v>-3.1391068431349235E-2</v>
      </c>
      <c r="DO387" s="3384">
        <f>AVERAGE(PENN!BM339,PENN!BM368,PENN!BM399,PENN!BM428,PENN!BM457,PENN!BM484,PENN!BM499,PENN!BM527,PENN!BM558,PENN!BM619,PENN!BM641,PENN!BM711,PENN!BM749,PENN!BM768,PENN!BM794,PENN!BM825,PENN!BM856,PENN!BM887,PENN!BM918,PENN!BM980,PENN!BM1154)</f>
        <v>-2.2636272384971554E-2</v>
      </c>
      <c r="DP387" s="3384">
        <f>AVERAGE(PENN!BN339,PENN!BN368,PENN!BN399,PENN!BN428,PENN!BN457,PENN!BN484,PENN!BN499,PENN!BN527,PENN!BN558,PENN!BN619,PENN!BN641,PENN!BN711,PENN!BN749,PENN!BN768,PENN!BN794,PENN!BN825,PENN!BN856,PENN!BN887,PENN!BN918,PENN!BN980,PENN!BN1154)</f>
        <v>-1.3932245685545783E-2</v>
      </c>
      <c r="DQ387" s="3384">
        <f>AVERAGE(PENN!BP339,PENN!BP368,PENN!BP399,PENN!BP428,PENN!BP457,PENN!BP484,PENN!BP499,PENN!BP527,PENN!BP558,PENN!BP619,PENN!BP641,PENN!BP711,PENN!BP749,PENN!BP768,PENN!BP794,PENN!BP825,PENN!BP856,PENN!BP887,PENN!BP918,PENN!BP980,PENN!BP1154)</f>
        <v>-9.2579991258300662E-3</v>
      </c>
    </row>
    <row r="388" spans="112:121" x14ac:dyDescent="0.2">
      <c r="DH388" s="1454" t="s">
        <v>2572</v>
      </c>
      <c r="DI388" s="3385">
        <v>7.7281780681190266</v>
      </c>
      <c r="DJ388" s="3385">
        <v>7.7692556670064254</v>
      </c>
      <c r="DK388" s="3385">
        <v>7.5707222755916366</v>
      </c>
      <c r="DL388" s="3385">
        <v>6.6768115190312631</v>
      </c>
      <c r="DM388" s="3385">
        <v>6.8351357583720675</v>
      </c>
      <c r="DN388" s="3385">
        <v>7.6185494401102245</v>
      </c>
      <c r="DO388" s="3385">
        <v>7.3139925626072699</v>
      </c>
      <c r="DP388" s="3385">
        <v>7.3109311714146692</v>
      </c>
      <c r="DQ388" s="3385">
        <v>7.2340231585461741</v>
      </c>
    </row>
    <row r="389" spans="112:121" x14ac:dyDescent="0.2">
      <c r="DI389" s="3384"/>
    </row>
    <row r="390" spans="112:121" x14ac:dyDescent="0.2">
      <c r="DI390" s="3384"/>
    </row>
    <row r="391" spans="112:121" x14ac:dyDescent="0.2">
      <c r="DI391" s="3384"/>
    </row>
    <row r="392" spans="112:121" x14ac:dyDescent="0.2">
      <c r="DI392" s="3384"/>
    </row>
    <row r="393" spans="112:121" x14ac:dyDescent="0.2">
      <c r="DI393" s="3384"/>
    </row>
    <row r="394" spans="112:121" x14ac:dyDescent="0.2">
      <c r="DI394" s="3384"/>
    </row>
    <row r="395" spans="112:121" x14ac:dyDescent="0.2">
      <c r="DI395" s="3384"/>
    </row>
    <row r="414" spans="125:135" x14ac:dyDescent="0.2">
      <c r="DV414" s="745" t="s">
        <v>2295</v>
      </c>
      <c r="DW414" s="745" t="s">
        <v>2367</v>
      </c>
      <c r="DX414" s="745" t="s">
        <v>2393</v>
      </c>
      <c r="DY414" s="745" t="s">
        <v>2412</v>
      </c>
      <c r="DZ414" s="745" t="s">
        <v>2482</v>
      </c>
      <c r="EA414" s="745" t="s">
        <v>2520</v>
      </c>
      <c r="EB414" s="745" t="s">
        <v>2527</v>
      </c>
      <c r="EC414" s="745" t="s">
        <v>2544</v>
      </c>
      <c r="ED414" s="745" t="s">
        <v>2571</v>
      </c>
      <c r="EE414" s="745" t="s">
        <v>2522</v>
      </c>
    </row>
    <row r="415" spans="125:135" x14ac:dyDescent="0.2">
      <c r="DU415" s="1454" t="s">
        <v>2575</v>
      </c>
      <c r="DV415" s="3384">
        <f>PENN!BF$260</f>
        <v>-3.1787025627536214E-2</v>
      </c>
      <c r="DW415" s="3384">
        <f>PENN!BG$260</f>
        <v>-1.180215437600951E-2</v>
      </c>
      <c r="DX415" s="3384">
        <f>PENN!BH$260</f>
        <v>-4.7626358367063304E-3</v>
      </c>
      <c r="DY415" s="3384">
        <f>PENN!BI$260</f>
        <v>5.7234805227888153E-3</v>
      </c>
      <c r="DZ415" s="3384">
        <f>PENN!BK$260</f>
        <v>2.5662255542338253E-2</v>
      </c>
      <c r="EA415" s="3384">
        <f>PENN!BL$260</f>
        <v>-2.0610377200269814E-2</v>
      </c>
      <c r="EB415" s="3384">
        <f>PENN!BM$260</f>
        <v>-9.2352084750280117E-3</v>
      </c>
      <c r="EC415" s="3384">
        <f>PENN!BN$260</f>
        <v>-1.1230438742632187E-2</v>
      </c>
      <c r="ED415" s="3384">
        <f>PENN!BP$260</f>
        <v>-2.2951548687750734E-3</v>
      </c>
      <c r="EE415" s="3384">
        <f>PENN!BQ$260</f>
        <v>1.6965543262292382E-2</v>
      </c>
    </row>
    <row r="416" spans="125:135" x14ac:dyDescent="0.2">
      <c r="DU416" s="1454" t="s">
        <v>2572</v>
      </c>
      <c r="DV416" s="3385">
        <v>7.7281780681190266</v>
      </c>
      <c r="DW416" s="3385">
        <v>7.7692556670064254</v>
      </c>
      <c r="DX416" s="3385">
        <v>7.5707222755916366</v>
      </c>
      <c r="DY416" s="3385">
        <v>6.6768115190312631</v>
      </c>
      <c r="DZ416" s="3385">
        <v>6.8351357583720675</v>
      </c>
      <c r="EA416" s="3385">
        <v>7.6185494401102245</v>
      </c>
      <c r="EB416" s="3385">
        <v>7.3139925626072699</v>
      </c>
      <c r="EC416" s="3385">
        <v>7.3109311714146692</v>
      </c>
      <c r="ED416" s="3385">
        <v>7.2340231585461741</v>
      </c>
      <c r="EE416" s="3386">
        <v>7.3801498728683423</v>
      </c>
    </row>
    <row r="439" spans="135:141" x14ac:dyDescent="0.2">
      <c r="EE439" s="282" t="s">
        <v>2582</v>
      </c>
      <c r="EF439" s="2623"/>
      <c r="EG439" s="2623"/>
      <c r="EH439" s="2623"/>
      <c r="EI439" s="2623"/>
      <c r="EJ439" s="2624"/>
    </row>
    <row r="440" spans="135:141" ht="15.75" x14ac:dyDescent="0.25">
      <c r="EE440" s="2625"/>
      <c r="EF440" s="915">
        <v>2014</v>
      </c>
      <c r="EG440" s="915">
        <f>+EF440+1</f>
        <v>2015</v>
      </c>
      <c r="EH440" s="915">
        <f>+EG440+1</f>
        <v>2016</v>
      </c>
      <c r="EI440" s="3458">
        <f>+EH440+1</f>
        <v>2017</v>
      </c>
      <c r="EJ440">
        <f>+EI440+1</f>
        <v>2018</v>
      </c>
      <c r="EK440" s="2810"/>
    </row>
    <row r="441" spans="135:141" ht="3.95" customHeight="1" x14ac:dyDescent="0.25">
      <c r="EE441" s="2612"/>
      <c r="EF441"/>
      <c r="EG441"/>
      <c r="EH441"/>
      <c r="EI441"/>
      <c r="EJ441"/>
      <c r="EK441" s="2810"/>
    </row>
    <row r="442" spans="135:141" x14ac:dyDescent="0.2">
      <c r="EE442" s="2612" t="s">
        <v>1788</v>
      </c>
      <c r="EF442" s="2627">
        <f>INDEX(PENN!$BE$218:$BE$257,MATCH('Exhibits 3'!$EE$442:$EE$459,PENN!$A$218:$A$257,0))</f>
        <v>425.4093031741819</v>
      </c>
      <c r="EG442" s="2627">
        <f>INDEX(PENN!$BJ$218:$BJ$257,MATCH('Exhibits 3'!$EE$442:$EE$459,PENN!$A$218:$A$257,0))</f>
        <v>421.67829944571429</v>
      </c>
      <c r="EH442" s="2627">
        <f>INDEX(PENN!$BO$218:$BO$257,MATCH('Exhibits 3'!$EE$442:$EE$459,PENN!$A$218:$A$257,0))</f>
        <v>414.55844004142853</v>
      </c>
      <c r="EI442" s="2627">
        <f>INDEX(PENN!$BT$218:$BT$257,MATCH('Exhibits 3'!$EE$442:$EE$459,PENN!$A$218:$A$257,0))</f>
        <v>374.77098335750549</v>
      </c>
      <c r="EJ442" s="2635">
        <f>INDEX(PENN!$BY$218:$BY$257,MATCH('Exhibits 3'!$EE$442:$EE$459,PENN!$A$218:$A$257,0))</f>
        <v>368.44095801844685</v>
      </c>
    </row>
    <row r="443" spans="135:141" x14ac:dyDescent="0.2">
      <c r="EE443" s="2612" t="s">
        <v>1090</v>
      </c>
      <c r="EF443" s="2575">
        <f>INDEX(PENN!$BE$218:$BE$257,MATCH('Exhibits 3'!$EE$442:$EE$459,PENN!$A$218:$A$257,0))</f>
        <v>62.328232596528437</v>
      </c>
      <c r="EG443" s="2575">
        <f>INDEX(PENN!$BJ$218:$BJ$257,MATCH('Exhibits 3'!$EE$442:$EE$459,PENN!$A$218:$A$257,0))</f>
        <v>61.110188066122674</v>
      </c>
      <c r="EH443" s="2575">
        <f>INDEX(PENN!$BO$218:$BO$257,MATCH('Exhibits 3'!$EE$442:$EE$459,PENN!$A$218:$A$257,0))</f>
        <v>60.447743106122658</v>
      </c>
      <c r="EI443" s="2575">
        <f>INDEX(PENN!$BT$218:$BT$257,MATCH('Exhibits 3'!$EE$442:$EE$459,PENN!$A$218:$A$257,0))</f>
        <v>58.291930986122665</v>
      </c>
      <c r="EJ443" s="2626">
        <f>INDEX(PENN!$BY$218:$BY$257,MATCH('Exhibits 3'!$EE$442:$EE$459,PENN!$A$218:$A$257,0))</f>
        <v>56.756421203322674</v>
      </c>
    </row>
    <row r="444" spans="135:141" x14ac:dyDescent="0.2">
      <c r="EE444" s="2612" t="s">
        <v>1549</v>
      </c>
      <c r="EF444" s="2575">
        <f>INDEX(PENN!$BE$218:$BE$257,MATCH('Exhibits 3'!$EE$442:$EE$459,PENN!$A$218:$A$257,0))</f>
        <v>288.66774637716179</v>
      </c>
      <c r="EG444" s="2575">
        <f>INDEX(PENN!$BJ$218:$BJ$257,MATCH('Exhibits 3'!$EE$442:$EE$459,PENN!$A$218:$A$257,0))</f>
        <v>292.52464076727557</v>
      </c>
      <c r="EH444" s="2575">
        <f>INDEX(PENN!$BO$218:$BO$257,MATCH('Exhibits 3'!$EE$442:$EE$459,PENN!$A$218:$A$257,0))</f>
        <v>285.51900617258377</v>
      </c>
      <c r="EI444" s="2575">
        <f>INDEX(PENN!$BT$218:$BT$257,MATCH('Exhibits 3'!$EE$442:$EE$459,PENN!$A$218:$A$257,0))</f>
        <v>286.19311076441892</v>
      </c>
      <c r="EJ444" s="2626">
        <f>INDEX(PENN!$BY$218:$BY$257,MATCH('Exhibits 3'!$EE$442:$EE$459,PENN!$A$218:$A$257,0))</f>
        <v>286.88698977243268</v>
      </c>
    </row>
    <row r="445" spans="135:141" x14ac:dyDescent="0.2">
      <c r="EE445" s="2612" t="s">
        <v>205</v>
      </c>
      <c r="EF445" s="2575">
        <f>INDEX(PENN!$BE$218:$BE$257,MATCH('Exhibits 3'!$EE$442:$EE$459,PENN!$A$218:$A$257,0))</f>
        <v>95.605179092500009</v>
      </c>
      <c r="EG445" s="2575">
        <f>INDEX(PENN!$BJ$218:$BJ$257,MATCH('Exhibits 3'!$EE$442:$EE$459,PENN!$A$218:$A$257,0))</f>
        <v>91.053691170255021</v>
      </c>
      <c r="EH445" s="2575">
        <f>INDEX(PENN!$BO$218:$BO$257,MATCH('Exhibits 3'!$EE$442:$EE$459,PENN!$A$218:$A$257,0))</f>
        <v>75.828943081998162</v>
      </c>
      <c r="EI445" s="2575">
        <f>INDEX(PENN!$BT$218:$BT$257,MATCH('Exhibits 3'!$EE$442:$EE$459,PENN!$A$218:$A$257,0))</f>
        <v>69.885960019790673</v>
      </c>
      <c r="EJ445" s="2626">
        <f>INDEX(PENN!$BY$218:$BY$257,MATCH('Exhibits 3'!$EE$442:$EE$459,PENN!$A$218:$A$257,0))</f>
        <v>71.283679220186499</v>
      </c>
    </row>
    <row r="446" spans="135:141" x14ac:dyDescent="0.2">
      <c r="EE446" s="2612" t="s">
        <v>143</v>
      </c>
      <c r="EF446" s="2575">
        <f>INDEX(PENN!$BE$218:$BE$257,MATCH('Exhibits 3'!$EE$442:$EE$459,PENN!$A$218:$A$257,0))</f>
        <v>153.16720385399998</v>
      </c>
      <c r="EG446" s="2575">
        <f>INDEX(PENN!$BJ$218:$BJ$257,MATCH('Exhibits 3'!$EE$442:$EE$459,PENN!$A$218:$A$257,0))</f>
        <v>156.20050658555999</v>
      </c>
      <c r="EH446" s="2575">
        <f>INDEX(PENN!$BO$218:$BO$257,MATCH('Exhibits 3'!$EE$442:$EE$459,PENN!$A$218:$A$257,0))</f>
        <v>160.08940911531238</v>
      </c>
      <c r="EI446" s="2575">
        <f>INDEX(PENN!$BT$218:$BT$257,MATCH('Exhibits 3'!$EE$442:$EE$459,PENN!$A$218:$A$257,0))</f>
        <v>161.6903032064655</v>
      </c>
      <c r="EJ446" s="2626">
        <f>INDEX(PENN!$BY$218:$BY$257,MATCH('Exhibits 3'!$EE$442:$EE$459,PENN!$A$218:$A$257,0))</f>
        <v>164.92410927059481</v>
      </c>
    </row>
    <row r="447" spans="135:141" x14ac:dyDescent="0.2">
      <c r="EE447" s="2612" t="s">
        <v>616</v>
      </c>
      <c r="EF447" s="2575">
        <f>INDEX(PENN!$BE$218:$BE$257,MATCH('Exhibits 3'!$EE$442:$EE$459,PENN!$A$218:$A$257,0))</f>
        <v>62.524300535999998</v>
      </c>
      <c r="EG447" s="2575">
        <f>INDEX(PENN!$BJ$218:$BJ$257,MATCH('Exhibits 3'!$EE$442:$EE$459,PENN!$A$218:$A$257,0))</f>
        <v>62.059283784359998</v>
      </c>
      <c r="EH447" s="2575">
        <f>INDEX(PENN!$BO$218:$BO$257,MATCH('Exhibits 3'!$EE$442:$EE$459,PENN!$A$218:$A$257,0))</f>
        <v>61.983656339403609</v>
      </c>
      <c r="EI447" s="2575">
        <f>INDEX(PENN!$BT$218:$BT$257,MATCH('Exhibits 3'!$EE$442:$EE$459,PENN!$A$218:$A$257,0))</f>
        <v>55.785290705463247</v>
      </c>
      <c r="EJ447" s="2626">
        <f>INDEX(PENN!$BY$218:$BY$257,MATCH('Exhibits 3'!$EE$442:$EE$459,PENN!$A$218:$A$257,0))</f>
        <v>56.343143612517871</v>
      </c>
    </row>
    <row r="448" spans="135:141" x14ac:dyDescent="0.2">
      <c r="EE448" s="2612" t="s">
        <v>2569</v>
      </c>
      <c r="EF448" s="2575">
        <f>+EG448</f>
        <v>78.836200232396763</v>
      </c>
      <c r="EG448" s="2575">
        <f>+EH448</f>
        <v>78.836200232396763</v>
      </c>
      <c r="EH448" s="2575">
        <f>+EI448</f>
        <v>78.836200232396763</v>
      </c>
      <c r="EI448" s="2575">
        <f>+EJ448</f>
        <v>78.836200232396763</v>
      </c>
      <c r="EJ448" s="2626">
        <f>INDEX(PENN!$BY$218:$BY$257,MATCH('Exhibits 3'!$EE$442:$EE$459,PENN!$A$218:$A$257,0))</f>
        <v>78.836200232396763</v>
      </c>
    </row>
    <row r="449" spans="135:143" x14ac:dyDescent="0.2">
      <c r="EE449" s="2612" t="s">
        <v>615</v>
      </c>
      <c r="EF449" s="2575">
        <f>INDEX(PENN!$BE$218:$BE$257,MATCH('Exhibits 3'!$EE$442:$EE$459,PENN!$A$218:$A$257,0))</f>
        <v>72.987797380799989</v>
      </c>
      <c r="EG449" s="2575">
        <f>INDEX(PENN!$BJ$218:$BJ$257,MATCH('Exhibits 3'!$EE$442:$EE$459,PENN!$A$218:$A$257,0))</f>
        <v>72.802522012991986</v>
      </c>
      <c r="EH449" s="2575">
        <f>INDEX(PENN!$BO$218:$BO$257,MATCH('Exhibits 3'!$EE$442:$EE$459,PENN!$A$218:$A$257,0))</f>
        <v>73.156830579601916</v>
      </c>
      <c r="EI449" s="2575">
        <f>INDEX(PENN!$BT$218:$BT$257,MATCH('Exhibits 3'!$EE$442:$EE$459,PENN!$A$218:$A$257,0))</f>
        <v>72.189316331579647</v>
      </c>
      <c r="EJ449" s="2626">
        <f>INDEX(PENN!$BY$218:$BY$257,MATCH('Exhibits 3'!$EE$442:$EE$459,PENN!$A$218:$A$257,0))</f>
        <v>74.584527888978272</v>
      </c>
    </row>
    <row r="450" spans="135:143" x14ac:dyDescent="0.2">
      <c r="EE450" s="2612" t="s">
        <v>1453</v>
      </c>
      <c r="EF450" s="2575">
        <f>INDEX(PENN!$BE$218:$BE$257,MATCH('Exhibits 3'!$EE$442:$EE$459,PENN!$A$218:$A$257,0))</f>
        <v>54.748165322999995</v>
      </c>
      <c r="EG450" s="2575">
        <f>INDEX(PENN!$BJ$218:$BJ$257,MATCH('Exhibits 3'!$EE$442:$EE$459,PENN!$A$218:$A$257,0))</f>
        <v>54.408271891649996</v>
      </c>
      <c r="EH450" s="2575">
        <f>INDEX(PENN!$BO$218:$BO$257,MATCH('Exhibits 3'!$EE$442:$EE$459,PENN!$A$218:$A$257,0))</f>
        <v>50.327651499776252</v>
      </c>
      <c r="EI450" s="2575">
        <f>INDEX(PENN!$BT$218:$BT$257,MATCH('Exhibits 3'!$EE$442:$EE$459,PENN!$A$218:$A$257,0))</f>
        <v>46.8187940404665</v>
      </c>
      <c r="EJ450" s="2626">
        <f>INDEX(PENN!$BY$218:$BY$257,MATCH('Exhibits 3'!$EE$442:$EE$459,PENN!$A$218:$A$257,0))</f>
        <v>48.269406120540204</v>
      </c>
    </row>
    <row r="451" spans="135:143" x14ac:dyDescent="0.2">
      <c r="EE451" s="2612" t="s">
        <v>1094</v>
      </c>
      <c r="EF451" s="2575">
        <f>INDEX(PENN!$BE$218:$BE$257,MATCH('Exhibits 3'!$EE$442:$EE$459,PENN!$A$218:$A$257,0))</f>
        <v>118.96633300000001</v>
      </c>
      <c r="EG451" s="2575">
        <f>INDEX(PENN!$BJ$218:$BJ$257,MATCH('Exhibits 3'!$EE$442:$EE$459,PENN!$A$218:$A$257,0))</f>
        <v>113.64989999999999</v>
      </c>
      <c r="EH451" s="2575">
        <f>INDEX(PENN!$BO$218:$BO$257,MATCH('Exhibits 3'!$EE$442:$EE$459,PENN!$A$218:$A$257,0))</f>
        <v>113.018607</v>
      </c>
      <c r="EI451" s="2575">
        <f>INDEX(PENN!$BT$218:$BT$257,MATCH('Exhibits 3'!$EE$442:$EE$459,PENN!$A$218:$A$257,0))</f>
        <v>112.891515</v>
      </c>
      <c r="EJ451" s="2626">
        <f>INDEX(PENN!$BY$218:$BY$257,MATCH('Exhibits 3'!$EE$442:$EE$459,PENN!$A$218:$A$257,0))</f>
        <v>110.18186399</v>
      </c>
    </row>
    <row r="452" spans="135:143" x14ac:dyDescent="0.2">
      <c r="EE452" s="2612" t="s">
        <v>1786</v>
      </c>
      <c r="EF452" s="2575">
        <f>INDEX(PENN!$BE$218:$BE$257,MATCH('Exhibits 3'!$EE$442:$EE$459,PENN!$A$218:$A$257,0))</f>
        <v>114.60938999999999</v>
      </c>
      <c r="EG452" s="2575">
        <f>INDEX(PENN!$BJ$218:$BJ$257,MATCH('Exhibits 3'!$EE$442:$EE$459,PENN!$A$218:$A$257,0))</f>
        <v>119.302853</v>
      </c>
      <c r="EH452" s="2575">
        <f>INDEX(PENN!$BO$218:$BO$257,MATCH('Exhibits 3'!$EE$442:$EE$459,PENN!$A$218:$A$257,0))</f>
        <v>112.359613</v>
      </c>
      <c r="EI452" s="2575">
        <f>INDEX(PENN!$BT$218:$BT$257,MATCH('Exhibits 3'!$EE$442:$EE$459,PENN!$A$218:$A$257,0))</f>
        <v>115.24074300000001</v>
      </c>
      <c r="EJ452" s="2626">
        <f>INDEX(PENN!$BY$218:$BY$257,MATCH('Exhibits 3'!$EE$442:$EE$459,PENN!$A$218:$A$257,0))</f>
        <v>114.18953189</v>
      </c>
    </row>
    <row r="453" spans="135:143" x14ac:dyDescent="0.2">
      <c r="EE453" s="2612" t="s">
        <v>1020</v>
      </c>
      <c r="EF453" s="2575">
        <f>INDEX(PENN!$BE$218:$BE$257,MATCH('Exhibits 3'!$EE$442:$EE$459,PENN!$A$218:$A$257,0))</f>
        <v>50.546201000000003</v>
      </c>
      <c r="EG453" s="2575">
        <f>INDEX(PENN!$BJ$218:$BJ$257,MATCH('Exhibits 3'!$EE$442:$EE$459,PENN!$A$218:$A$257,0))</f>
        <v>49.578198999999998</v>
      </c>
      <c r="EH453" s="2575">
        <f>INDEX(PENN!$BO$218:$BO$257,MATCH('Exhibits 3'!$EE$442:$EE$459,PENN!$A$218:$A$257,0))</f>
        <v>46.211645999999995</v>
      </c>
      <c r="EI453" s="2575">
        <f>INDEX(PENN!$BT$218:$BT$257,MATCH('Exhibits 3'!$EE$442:$EE$459,PENN!$A$218:$A$257,0))</f>
        <v>42.468655000000005</v>
      </c>
      <c r="EJ453" s="2626">
        <f>INDEX(PENN!$BY$218:$BY$257,MATCH('Exhibits 3'!$EE$442:$EE$459,PENN!$A$218:$A$257,0))</f>
        <v>41.838300029999999</v>
      </c>
    </row>
    <row r="454" spans="135:143" x14ac:dyDescent="0.2">
      <c r="EE454" s="2612" t="s">
        <v>1092</v>
      </c>
      <c r="EF454" s="2575">
        <f>INDEX(PENN!$BE$218:$BE$257,MATCH('Exhibits 3'!$EE$442:$EE$459,PENN!$A$218:$A$257,0))</f>
        <v>196.95210281999999</v>
      </c>
      <c r="EG454" s="2575">
        <f>INDEX(PENN!$BJ$218:$BJ$257,MATCH('Exhibits 3'!$EE$442:$EE$459,PENN!$A$218:$A$257,0))</f>
        <v>181.09057784999999</v>
      </c>
      <c r="EH454" s="2575">
        <f>INDEX(PENN!$BO$218:$BO$257,MATCH('Exhibits 3'!$EE$442:$EE$459,PENN!$A$218:$A$257,0))</f>
        <v>177.01226364999999</v>
      </c>
      <c r="EI454" s="2575">
        <f>INDEX(PENN!$BT$218:$BT$257,MATCH('Exhibits 3'!$EE$442:$EE$459,PENN!$A$218:$A$257,0))</f>
        <v>179.12233952</v>
      </c>
      <c r="EJ454" s="2626">
        <f>INDEX(PENN!$BY$218:$BY$257,MATCH('Exhibits 3'!$EE$442:$EE$459,PENN!$A$218:$A$257,0))</f>
        <v>182.42396046689998</v>
      </c>
    </row>
    <row r="455" spans="135:143" x14ac:dyDescent="0.2">
      <c r="EE455" s="2612" t="s">
        <v>1093</v>
      </c>
      <c r="EF455" s="2575">
        <f>INDEX(PENN!$BE$218:$BE$257,MATCH('Exhibits 3'!$EE$442:$EE$459,PENN!$A$218:$A$257,0))</f>
        <v>135.22436193999999</v>
      </c>
      <c r="EG455" s="2575">
        <f>INDEX(PENN!$BJ$218:$BJ$257,MATCH('Exhibits 3'!$EE$442:$EE$459,PENN!$A$218:$A$257,0))</f>
        <v>141.36003364999999</v>
      </c>
      <c r="EH455" s="2575">
        <f>INDEX(PENN!$BO$218:$BO$257,MATCH('Exhibits 3'!$EE$442:$EE$459,PENN!$A$218:$A$257,0))</f>
        <v>149.44686955999998</v>
      </c>
      <c r="EI455" s="2575">
        <f>INDEX(PENN!$BT$218:$BT$257,MATCH('Exhibits 3'!$EE$442:$EE$459,PENN!$A$218:$A$257,0))</f>
        <v>156.20110402</v>
      </c>
      <c r="EJ455" s="2626">
        <f>INDEX(PENN!$BY$218:$BY$257,MATCH('Exhibits 3'!$EE$442:$EE$459,PENN!$A$218:$A$257,0))</f>
        <v>162.8751116272</v>
      </c>
    </row>
    <row r="456" spans="135:143" x14ac:dyDescent="0.2">
      <c r="EE456" s="2612" t="s">
        <v>1789</v>
      </c>
      <c r="EF456" s="2575">
        <f>INDEX(PENN!$BE$218:$BE$257,MATCH('Exhibits 3'!$EE$442:$EE$459,PENN!$A$218:$A$257,0))</f>
        <v>213.98315020950002</v>
      </c>
      <c r="EG456" s="2575">
        <f>INDEX(PENN!$BJ$218:$BJ$257,MATCH('Exhibits 3'!$EE$442:$EE$459,PENN!$A$218:$A$257,0))</f>
        <v>221.67178722949998</v>
      </c>
      <c r="EH456" s="2575">
        <f>INDEX(PENN!$BO$218:$BO$257,MATCH('Exhibits 3'!$EE$442:$EE$459,PENN!$A$218:$A$257,0))</f>
        <v>231.24505694337503</v>
      </c>
      <c r="EI456" s="2575">
        <f>INDEX(PENN!$BT$218:$BT$257,MATCH('Exhibits 3'!$EE$442:$EE$459,PENN!$A$218:$A$257,0))</f>
        <v>235.28228659337501</v>
      </c>
      <c r="EJ456" s="2626">
        <f>INDEX(PENN!$BY$218:$BY$257,MATCH('Exhibits 3'!$EE$442:$EE$459,PENN!$A$218:$A$257,0))</f>
        <v>235.59078173117501</v>
      </c>
    </row>
    <row r="457" spans="135:143" x14ac:dyDescent="0.2">
      <c r="EE457" s="2612" t="s">
        <v>2119</v>
      </c>
      <c r="EF457" s="2575">
        <f>INDEX(PENN!$BE$218:$BE$257,MATCH('Exhibits 3'!$EE$442:$EE$459,PENN!$A$218:$A$257,0))</f>
        <v>19.515999999999998</v>
      </c>
      <c r="EG457" s="2575">
        <f>INDEX(PENN!$BJ$218:$BJ$257,MATCH('Exhibits 3'!$EE$442:$EE$459,PENN!$A$218:$A$257,0))</f>
        <v>19.515999999999998</v>
      </c>
      <c r="EH457" s="2575">
        <f>INDEX(PENN!$BO$218:$BO$257,MATCH('Exhibits 3'!$EE$442:$EE$459,PENN!$A$218:$A$257,0))</f>
        <v>19.515999999999998</v>
      </c>
      <c r="EI457" s="2575">
        <f>INDEX(PENN!$BT$218:$BT$257,MATCH('Exhibits 3'!$EE$442:$EE$459,PENN!$A$218:$A$257,0))</f>
        <v>19.515999999999998</v>
      </c>
      <c r="EJ457" s="2626">
        <f>INDEX(PENN!$BY$218:$BY$257,MATCH('Exhibits 3'!$EE$442:$EE$459,PENN!$A$218:$A$257,0))</f>
        <v>19.515999999999998</v>
      </c>
    </row>
    <row r="458" spans="135:143" ht="3.95" customHeight="1" x14ac:dyDescent="0.2">
      <c r="EE458" s="2612"/>
      <c r="EF458" s="2707" t="s">
        <v>229</v>
      </c>
      <c r="EG458" s="2707" t="s">
        <v>229</v>
      </c>
      <c r="EH458" s="2707" t="s">
        <v>229</v>
      </c>
      <c r="EI458" s="2707" t="s">
        <v>229</v>
      </c>
      <c r="EJ458" s="2708" t="s">
        <v>229</v>
      </c>
    </row>
    <row r="459" spans="135:143" x14ac:dyDescent="0.2">
      <c r="EE459" s="864" t="s">
        <v>985</v>
      </c>
      <c r="EF459" s="333">
        <f>SUM(EF442:EF457)</f>
        <v>2144.0716675360691</v>
      </c>
      <c r="EG459" s="333">
        <f>SUM(EG442:EG457)</f>
        <v>2136.842954685826</v>
      </c>
      <c r="EH459" s="333">
        <f>SUM(EH442:EH457)</f>
        <v>2109.557936321999</v>
      </c>
      <c r="EI459" s="333">
        <f>SUM(EI442:EI457)</f>
        <v>2065.1845327775841</v>
      </c>
      <c r="EJ459" s="1409">
        <f>SUM(EJ442:EJ457)</f>
        <v>2072.940985074692</v>
      </c>
    </row>
    <row r="460" spans="135:143" x14ac:dyDescent="0.2">
      <c r="EE460" s="2612" t="s">
        <v>2583</v>
      </c>
      <c r="EF460" s="2575"/>
      <c r="EG460" s="2575"/>
      <c r="EH460" s="2575"/>
      <c r="EI460" s="2575"/>
      <c r="EJ460" s="2626">
        <f>AVERAGE(EF459:EJ459)</f>
        <v>2105.7196152792339</v>
      </c>
    </row>
    <row r="461" spans="135:143" x14ac:dyDescent="0.2">
      <c r="EE461" s="2625" t="s">
        <v>2584</v>
      </c>
      <c r="EF461" s="2617"/>
      <c r="EG461" s="2617"/>
      <c r="EH461" s="2617"/>
      <c r="EI461" s="2617"/>
      <c r="EJ461" s="2759">
        <f>+EJ460*0.04</f>
        <v>84.22878461116936</v>
      </c>
    </row>
    <row r="463" spans="135:143" x14ac:dyDescent="0.2">
      <c r="EL463" s="1269" t="s">
        <v>2616</v>
      </c>
      <c r="EM463" s="2624"/>
    </row>
    <row r="464" spans="135:143" x14ac:dyDescent="0.2">
      <c r="EL464" s="2612" t="s">
        <v>2617</v>
      </c>
      <c r="EM464" s="3474">
        <v>63</v>
      </c>
    </row>
    <row r="465" spans="142:143" x14ac:dyDescent="0.2">
      <c r="EL465" s="2612" t="s">
        <v>2618</v>
      </c>
      <c r="EM465" s="3476">
        <v>20</v>
      </c>
    </row>
    <row r="466" spans="142:143" x14ac:dyDescent="0.2">
      <c r="EL466" s="2612" t="s">
        <v>2620</v>
      </c>
      <c r="EM466" s="3477">
        <v>0.42</v>
      </c>
    </row>
    <row r="467" spans="142:143" x14ac:dyDescent="0.2">
      <c r="EL467" s="2612" t="s">
        <v>2621</v>
      </c>
      <c r="EM467" s="3475">
        <f>+'EBITDA Val'!H49</f>
        <v>27.51</v>
      </c>
    </row>
    <row r="468" spans="142:143" x14ac:dyDescent="0.2">
      <c r="EL468" s="2612" t="s">
        <v>2619</v>
      </c>
      <c r="EM468" s="2650">
        <f>+EM464*EM466</f>
        <v>26.459999999999997</v>
      </c>
    </row>
    <row r="469" spans="142:143" x14ac:dyDescent="0.2">
      <c r="EL469" s="2612"/>
      <c r="EM469" s="2626"/>
    </row>
    <row r="470" spans="142:143" x14ac:dyDescent="0.2">
      <c r="EL470" s="287" t="s">
        <v>833</v>
      </c>
      <c r="EM470" s="2626"/>
    </row>
    <row r="471" spans="142:143" x14ac:dyDescent="0.2">
      <c r="EL471" s="2612" t="s">
        <v>1260</v>
      </c>
      <c r="EM471" s="2635">
        <f>+EM465*EM464</f>
        <v>1260</v>
      </c>
    </row>
    <row r="472" spans="142:143" x14ac:dyDescent="0.2">
      <c r="EL472" s="2612" t="s">
        <v>1485</v>
      </c>
      <c r="EM472" s="2626">
        <f>+EM467*EM468</f>
        <v>727.91459999999995</v>
      </c>
    </row>
    <row r="473" spans="142:143" ht="3.95" customHeight="1" x14ac:dyDescent="0.2">
      <c r="EL473" s="2612"/>
      <c r="EM473" s="2708" t="s">
        <v>229</v>
      </c>
    </row>
    <row r="474" spans="142:143" x14ac:dyDescent="0.2">
      <c r="EL474" s="2612" t="s">
        <v>2622</v>
      </c>
      <c r="EM474" s="2635">
        <f>+EM471+EM472</f>
        <v>1987.9146000000001</v>
      </c>
    </row>
    <row r="475" spans="142:143" x14ac:dyDescent="0.2">
      <c r="EL475" s="2612" t="s">
        <v>2623</v>
      </c>
      <c r="EM475" s="3478">
        <f>334+531</f>
        <v>865</v>
      </c>
    </row>
    <row r="476" spans="142:143" ht="3.95" customHeight="1" x14ac:dyDescent="0.2">
      <c r="EL476" s="2612"/>
      <c r="EM476" s="2708" t="s">
        <v>229</v>
      </c>
    </row>
    <row r="477" spans="142:143" x14ac:dyDescent="0.2">
      <c r="EL477" s="2612" t="s">
        <v>2625</v>
      </c>
      <c r="EM477" s="2635">
        <f>SUM(EM474:EM475)</f>
        <v>2852.9146000000001</v>
      </c>
    </row>
    <row r="478" spans="142:143" x14ac:dyDescent="0.2">
      <c r="EL478" s="2612" t="s">
        <v>2626</v>
      </c>
      <c r="EM478" s="3478">
        <v>-575</v>
      </c>
    </row>
    <row r="479" spans="142:143" x14ac:dyDescent="0.2">
      <c r="EL479" s="2612" t="s">
        <v>2627</v>
      </c>
      <c r="EM479" s="3478">
        <v>-315</v>
      </c>
    </row>
    <row r="480" spans="142:143" x14ac:dyDescent="0.2">
      <c r="EL480" s="2612" t="s">
        <v>2628</v>
      </c>
      <c r="EM480" s="3478">
        <v>-151</v>
      </c>
    </row>
    <row r="481" spans="142:147" x14ac:dyDescent="0.2">
      <c r="EL481" s="2612" t="s">
        <v>2624</v>
      </c>
      <c r="EM481" s="3478">
        <v>150</v>
      </c>
    </row>
    <row r="482" spans="142:147" ht="3.95" customHeight="1" x14ac:dyDescent="0.2">
      <c r="EL482" s="2612"/>
      <c r="EM482" s="2708" t="s">
        <v>229</v>
      </c>
    </row>
    <row r="483" spans="142:147" x14ac:dyDescent="0.2">
      <c r="EL483" s="2612" t="s">
        <v>2629</v>
      </c>
      <c r="EM483" s="2635">
        <f>SUM(EM477:EM481)</f>
        <v>1961.9146000000001</v>
      </c>
      <c r="EN483" s="3518"/>
    </row>
    <row r="484" spans="142:147" x14ac:dyDescent="0.2">
      <c r="EL484" s="2612"/>
      <c r="EM484" s="2635"/>
    </row>
    <row r="485" spans="142:147" x14ac:dyDescent="0.2">
      <c r="EL485" s="287" t="s">
        <v>2633</v>
      </c>
      <c r="EM485" s="2635"/>
    </row>
    <row r="486" spans="142:147" x14ac:dyDescent="0.2">
      <c r="EL486" s="2612" t="s">
        <v>2697</v>
      </c>
      <c r="EM486" s="3519">
        <v>728.97</v>
      </c>
    </row>
    <row r="487" spans="142:147" x14ac:dyDescent="0.2">
      <c r="EL487" s="2612" t="s">
        <v>2632</v>
      </c>
      <c r="EM487" s="3519">
        <f>(-98.1-7.2)-92</f>
        <v>-197.3</v>
      </c>
    </row>
    <row r="488" spans="142:147" x14ac:dyDescent="0.2">
      <c r="EL488" s="2612" t="s">
        <v>2651</v>
      </c>
      <c r="EM488" s="3519">
        <v>-284.7</v>
      </c>
    </row>
    <row r="489" spans="142:147" x14ac:dyDescent="0.2">
      <c r="EL489" s="2612" t="s">
        <v>2654</v>
      </c>
      <c r="EM489" s="3519">
        <f>+-PENN!BZ1258</f>
        <v>-26.383749999999999</v>
      </c>
    </row>
    <row r="490" spans="142:147" x14ac:dyDescent="0.2">
      <c r="EL490" s="2612" t="s">
        <v>2652</v>
      </c>
      <c r="EM490" s="3519">
        <v>-25</v>
      </c>
    </row>
    <row r="491" spans="142:147" x14ac:dyDescent="0.2">
      <c r="EL491" s="2612" t="s">
        <v>2630</v>
      </c>
      <c r="EM491" s="3519">
        <v>-13.9</v>
      </c>
    </row>
    <row r="492" spans="142:147" x14ac:dyDescent="0.2">
      <c r="EL492" s="2612" t="s">
        <v>2567</v>
      </c>
      <c r="EM492" s="3519">
        <v>100</v>
      </c>
      <c r="EQ492" s="2619"/>
    </row>
    <row r="493" spans="142:147" ht="3.95" customHeight="1" x14ac:dyDescent="0.2">
      <c r="EL493" s="2612"/>
      <c r="EM493" s="2790" t="s">
        <v>229</v>
      </c>
    </row>
    <row r="494" spans="142:147" x14ac:dyDescent="0.2">
      <c r="EL494" s="2612" t="s">
        <v>2631</v>
      </c>
      <c r="EM494" s="2718">
        <f>SUM(EM486:EM493)</f>
        <v>281.68625000000009</v>
      </c>
    </row>
    <row r="495" spans="142:147" x14ac:dyDescent="0.2">
      <c r="EL495" s="2612"/>
      <c r="EM495" s="2635"/>
      <c r="EN495" s="2619"/>
    </row>
    <row r="496" spans="142:147" x14ac:dyDescent="0.2">
      <c r="EL496" s="282" t="s">
        <v>2657</v>
      </c>
      <c r="EM496" s="3520">
        <f>(EM477+EM478+EM479+EM480)/(EM494-EM492)</f>
        <v>9.9727667889011915</v>
      </c>
      <c r="EN496" s="2619"/>
    </row>
    <row r="497" spans="142:144" x14ac:dyDescent="0.2">
      <c r="EL497" s="864" t="s">
        <v>2658</v>
      </c>
      <c r="EM497" s="3523">
        <f>+EM483/(EM494-EM492)</f>
        <v>10.798365864230227</v>
      </c>
      <c r="EN497" s="2619"/>
    </row>
    <row r="498" spans="142:144" ht="3.95" customHeight="1" x14ac:dyDescent="0.2">
      <c r="EL498" s="864"/>
      <c r="EM498" s="2635"/>
      <c r="EN498" s="2619"/>
    </row>
    <row r="499" spans="142:144" x14ac:dyDescent="0.2">
      <c r="EL499" s="864" t="s">
        <v>2655</v>
      </c>
      <c r="EM499" s="3523">
        <f>(EM477+EM478+EM479+EM480)/EM494</f>
        <v>6.4323856773271659</v>
      </c>
    </row>
    <row r="500" spans="142:144" x14ac:dyDescent="0.2">
      <c r="EL500" s="1081" t="s">
        <v>2656</v>
      </c>
      <c r="EM500" s="3521">
        <f>+EM483/EM494</f>
        <v>6.9648930325850102</v>
      </c>
    </row>
    <row r="501" spans="142:144" ht="15.75" x14ac:dyDescent="0.25">
      <c r="EL501" s="2612"/>
      <c r="EM501" s="3484"/>
    </row>
    <row r="502" spans="142:144" x14ac:dyDescent="0.2">
      <c r="EL502" s="2612" t="s">
        <v>2650</v>
      </c>
      <c r="EM502" s="3479">
        <f>+'EBITDA Val'!E37</f>
        <v>7.6119394063268251</v>
      </c>
    </row>
    <row r="503" spans="142:144" x14ac:dyDescent="0.2">
      <c r="EL503" s="2612" t="s">
        <v>2635</v>
      </c>
      <c r="EM503" s="2635">
        <f>+EM494*EM502</f>
        <v>2144.1786665954305</v>
      </c>
    </row>
    <row r="504" spans="142:144" x14ac:dyDescent="0.2">
      <c r="EL504" s="2612" t="s">
        <v>2634</v>
      </c>
      <c r="EM504" s="2626">
        <f>-EM471-EM475-EM478-EM479-EM480-EM481</f>
        <v>-1234</v>
      </c>
    </row>
    <row r="505" spans="142:144" ht="3.95" customHeight="1" x14ac:dyDescent="0.2">
      <c r="EL505" s="2612"/>
      <c r="EM505" s="2790" t="s">
        <v>229</v>
      </c>
    </row>
    <row r="506" spans="142:144" x14ac:dyDescent="0.2">
      <c r="EL506" s="2612" t="s">
        <v>2636</v>
      </c>
      <c r="EM506" s="2635">
        <f>+EM503+EM504</f>
        <v>910.17866659543051</v>
      </c>
    </row>
    <row r="507" spans="142:144" x14ac:dyDescent="0.2">
      <c r="EL507" s="2612" t="s">
        <v>2637</v>
      </c>
      <c r="EM507" s="2626">
        <f>93.6+EM468</f>
        <v>120.05999999999999</v>
      </c>
    </row>
    <row r="508" spans="142:144" ht="3.95" customHeight="1" x14ac:dyDescent="0.2">
      <c r="EL508" s="2612"/>
      <c r="EM508" s="2790" t="s">
        <v>229</v>
      </c>
    </row>
    <row r="509" spans="142:144" x14ac:dyDescent="0.2">
      <c r="EL509" s="2612" t="s">
        <v>2638</v>
      </c>
      <c r="EM509" s="3475">
        <f>+EM506/EM507</f>
        <v>7.5810317057757004</v>
      </c>
    </row>
    <row r="510" spans="142:144" x14ac:dyDescent="0.2">
      <c r="EL510" s="2612" t="s">
        <v>2639</v>
      </c>
      <c r="EM510" s="3477">
        <f>(2441/EM507)-(2441/93.6)</f>
        <v>-5.7475589128512645</v>
      </c>
    </row>
    <row r="511" spans="142:144" ht="3.95" customHeight="1" x14ac:dyDescent="0.25">
      <c r="EL511" s="2612"/>
      <c r="EM511" s="3485"/>
    </row>
    <row r="512" spans="142:144" x14ac:dyDescent="0.2">
      <c r="EL512" s="3480" t="s">
        <v>2640</v>
      </c>
      <c r="EM512" s="3481">
        <f>+EM509+EM510</f>
        <v>1.8334727929244359</v>
      </c>
    </row>
    <row r="513" spans="142:147" x14ac:dyDescent="0.2">
      <c r="EL513" s="3483" t="s">
        <v>2641</v>
      </c>
      <c r="EM513" s="3482">
        <f>+EM512/EM467</f>
        <v>6.6647502469081632E-2</v>
      </c>
    </row>
    <row r="514" spans="142:147" x14ac:dyDescent="0.2">
      <c r="EN514" s="1454" t="s">
        <v>2668</v>
      </c>
    </row>
    <row r="515" spans="142:147" x14ac:dyDescent="0.2">
      <c r="EN515" s="2615"/>
      <c r="EO515" s="3175" t="s">
        <v>2675</v>
      </c>
    </row>
    <row r="516" spans="142:147" x14ac:dyDescent="0.2">
      <c r="EN516" s="2612" t="s">
        <v>2670</v>
      </c>
      <c r="EO516" s="2635">
        <f>+PENN!BZ40-PENN!BZ22+PENN!BZ35</f>
        <v>981.01804755125147</v>
      </c>
    </row>
    <row r="517" spans="142:147" x14ac:dyDescent="0.2">
      <c r="EN517" s="2612" t="s">
        <v>2671</v>
      </c>
      <c r="EO517" s="2626">
        <f>+PENN!BZ22-PENN!BZ35</f>
        <v>560.08286875153533</v>
      </c>
    </row>
    <row r="518" spans="142:147" x14ac:dyDescent="0.2">
      <c r="EN518" s="2612" t="s">
        <v>2669</v>
      </c>
      <c r="EO518" s="2626">
        <f>-PENN!BZ1260</f>
        <v>-809.33255323886112</v>
      </c>
    </row>
    <row r="519" spans="142:147" x14ac:dyDescent="0.2">
      <c r="EN519" s="2612" t="s">
        <v>2677</v>
      </c>
      <c r="EO519" s="2626">
        <f>-(PENN!BZ1503-PENN!BZ1493)+PENN!BZ1501</f>
        <v>-124.25117750000004</v>
      </c>
    </row>
    <row r="520" spans="142:147" x14ac:dyDescent="0.2">
      <c r="EN520" s="2612" t="s">
        <v>2672</v>
      </c>
      <c r="EO520" s="2626">
        <f>+PENN!BZ76</f>
        <v>-84.788660996766382</v>
      </c>
    </row>
    <row r="521" spans="142:147" x14ac:dyDescent="0.2">
      <c r="EN521" s="2612" t="s">
        <v>2673</v>
      </c>
      <c r="EO521" s="2626">
        <f>-PENN!BZ133</f>
        <v>-158.38879107635361</v>
      </c>
    </row>
    <row r="522" spans="142:147" ht="3.95" customHeight="1" x14ac:dyDescent="0.2">
      <c r="EN522" s="2612"/>
      <c r="EO522" s="2613" t="s">
        <v>2674</v>
      </c>
    </row>
    <row r="523" spans="142:147" x14ac:dyDescent="0.2">
      <c r="EN523" s="2625" t="s">
        <v>841</v>
      </c>
      <c r="EO523" s="3548">
        <f>SUM(EO516:EO522)</f>
        <v>364.33973349080566</v>
      </c>
    </row>
    <row r="524" spans="142:147" x14ac:dyDescent="0.2">
      <c r="EN524" s="2575"/>
      <c r="EO524" s="2627"/>
    </row>
    <row r="525" spans="142:147" x14ac:dyDescent="0.2">
      <c r="EP525" s="496" t="s">
        <v>2687</v>
      </c>
      <c r="EQ525" s="3173"/>
    </row>
    <row r="526" spans="142:147" x14ac:dyDescent="0.2">
      <c r="EP526" s="2612" t="s">
        <v>2678</v>
      </c>
      <c r="EQ526" s="2635">
        <f>+PENN!BP258</f>
        <v>776.22399999999982</v>
      </c>
    </row>
    <row r="527" spans="142:147" x14ac:dyDescent="0.2">
      <c r="EP527" s="2727" t="s">
        <v>2686</v>
      </c>
      <c r="EQ527" s="3549">
        <v>-1.6E-2</v>
      </c>
    </row>
    <row r="528" spans="142:147" ht="3.95" customHeight="1" x14ac:dyDescent="0.2">
      <c r="EP528" s="2727"/>
      <c r="EQ528" s="3550" t="s">
        <v>229</v>
      </c>
    </row>
    <row r="529" spans="146:158" x14ac:dyDescent="0.2">
      <c r="EP529" s="2612" t="s">
        <v>2684</v>
      </c>
      <c r="EQ529" s="2635">
        <f>+EQ526*(1+EQ527)</f>
        <v>763.80441599999983</v>
      </c>
    </row>
    <row r="530" spans="146:158" x14ac:dyDescent="0.2">
      <c r="EP530" s="2694" t="s">
        <v>2683</v>
      </c>
      <c r="EQ530" s="2650">
        <f>+PENN!BU235</f>
        <v>22.750713923352038</v>
      </c>
    </row>
    <row r="531" spans="146:158" x14ac:dyDescent="0.2">
      <c r="EP531" s="2612" t="s">
        <v>2685</v>
      </c>
      <c r="EQ531" s="2635">
        <f>+EQ529+EQ530</f>
        <v>786.55512992335184</v>
      </c>
    </row>
    <row r="532" spans="146:158" x14ac:dyDescent="0.2">
      <c r="EP532" s="2612"/>
      <c r="EQ532" s="2626"/>
    </row>
    <row r="533" spans="146:158" x14ac:dyDescent="0.2">
      <c r="EP533" s="2612" t="s">
        <v>2679</v>
      </c>
      <c r="EQ533" s="2635">
        <f>+PENN!BY16</f>
        <v>3226.3</v>
      </c>
    </row>
    <row r="534" spans="146:158" x14ac:dyDescent="0.2">
      <c r="EP534" s="2612" t="s">
        <v>2680</v>
      </c>
      <c r="EQ534" s="2626">
        <f>+EQ533-EQ531</f>
        <v>2439.7448700766481</v>
      </c>
    </row>
    <row r="535" spans="146:158" x14ac:dyDescent="0.2">
      <c r="EP535" s="2612" t="s">
        <v>2681</v>
      </c>
      <c r="EQ535" s="2626">
        <f>+SUM(PENN!BQ258:BS258)</f>
        <v>2371.7460000000001</v>
      </c>
    </row>
    <row r="536" spans="146:158" x14ac:dyDescent="0.2">
      <c r="EP536" s="864" t="s">
        <v>2682</v>
      </c>
      <c r="EQ536" s="3054">
        <f>+EQ534/EQ535-1</f>
        <v>2.8670384635052892E-2</v>
      </c>
    </row>
    <row r="537" spans="146:158" x14ac:dyDescent="0.2">
      <c r="EP537" s="1081" t="s">
        <v>2695</v>
      </c>
      <c r="EQ537" s="1082">
        <f>(EQ534+PENN!BY232-PENN!BV235/3)/'Exhibits 3'!EQ535-1</f>
        <v>3.0484177560077264E-2</v>
      </c>
    </row>
    <row r="538" spans="146:158" x14ac:dyDescent="0.2">
      <c r="EP538" s="333"/>
      <c r="EQ538" s="1483"/>
    </row>
    <row r="539" spans="146:158" x14ac:dyDescent="0.2">
      <c r="ER539" s="2615" t="s">
        <v>2688</v>
      </c>
      <c r="ES539" s="3172" t="s">
        <v>2482</v>
      </c>
      <c r="ET539" s="3172" t="s">
        <v>2520</v>
      </c>
      <c r="EU539" s="3172" t="s">
        <v>2527</v>
      </c>
      <c r="EV539" s="3172" t="s">
        <v>2544</v>
      </c>
      <c r="EW539" s="3555">
        <v>2016</v>
      </c>
      <c r="EX539" s="3172" t="s">
        <v>2571</v>
      </c>
      <c r="EY539" s="3172" t="s">
        <v>2581</v>
      </c>
      <c r="EZ539" s="3172" t="s">
        <v>2659</v>
      </c>
      <c r="FA539" s="3172" t="s">
        <v>2666</v>
      </c>
      <c r="FB539" s="3552" t="s">
        <v>2667</v>
      </c>
    </row>
    <row r="540" spans="146:158" x14ac:dyDescent="0.2">
      <c r="ER540" s="2612" t="s">
        <v>2689</v>
      </c>
      <c r="ES540" s="2649">
        <f>+PENN!BK14</f>
        <v>756.45100000000002</v>
      </c>
      <c r="ET540" s="2649">
        <f>+PENN!BL14</f>
        <v>769.42200000000003</v>
      </c>
      <c r="EU540" s="2649">
        <f>+PENN!BM14</f>
        <v>765.59700000000009</v>
      </c>
      <c r="EV540" s="2649">
        <f>+PENN!BN14</f>
        <v>742.91000000000008</v>
      </c>
      <c r="EW540" s="3231">
        <f>+PENN!BO14</f>
        <v>3034.38</v>
      </c>
      <c r="EX540" s="2649">
        <f>+PENN!BP14</f>
        <v>776.22399999999993</v>
      </c>
      <c r="EY540" s="2649">
        <f>+PENN!BQ14</f>
        <v>796.46299999999997</v>
      </c>
      <c r="EZ540" s="2649">
        <f>+PENN!BR14</f>
        <v>806.24699999999996</v>
      </c>
      <c r="FA540" s="2649">
        <f>+PENN!BS14</f>
        <v>769.03599999999994</v>
      </c>
      <c r="FB540" s="3231">
        <f>+PENN!BT14</f>
        <v>3147.9700000000003</v>
      </c>
    </row>
    <row r="541" spans="146:158" x14ac:dyDescent="0.2">
      <c r="ER541" s="3551" t="s">
        <v>2690</v>
      </c>
      <c r="ES541" s="2649">
        <f>-PENN!BK232</f>
        <v>0</v>
      </c>
      <c r="ET541" s="2649">
        <f>-PENN!BL232</f>
        <v>0</v>
      </c>
      <c r="EU541" s="2649">
        <f>-PENN!BM232</f>
        <v>0</v>
      </c>
      <c r="EV541" s="2649">
        <f>-PENN!BN232</f>
        <v>-6.5441560000000019</v>
      </c>
      <c r="EW541" s="3231">
        <f>-PENN!BO232</f>
        <v>-6.5441560000000019</v>
      </c>
      <c r="EX541" s="2649">
        <f>-PENN!BP232</f>
        <v>-6.1290501000000015</v>
      </c>
      <c r="EY541" s="2649">
        <f>-PENN!BQ232</f>
        <v>-7.1298689199999998</v>
      </c>
      <c r="EZ541" s="2649">
        <f>-PENN!BR232</f>
        <v>-7.2026445400000005</v>
      </c>
      <c r="FA541" s="2649">
        <f>-PENN!BS232</f>
        <v>-5.8589845000000009</v>
      </c>
      <c r="FB541" s="3231">
        <f>-PENN!BT232</f>
        <v>-26.320548060000004</v>
      </c>
    </row>
    <row r="542" spans="146:158" x14ac:dyDescent="0.2">
      <c r="ER542" s="3551" t="s">
        <v>2692</v>
      </c>
      <c r="ES542" s="2649">
        <f>-PENN!BK235</f>
        <v>0</v>
      </c>
      <c r="ET542" s="2649">
        <f>-PENN!BL235</f>
        <v>0</v>
      </c>
      <c r="EU542" s="2649">
        <f>-PENN!BM235</f>
        <v>0</v>
      </c>
      <c r="EV542" s="2649">
        <f>-PENN!BN235</f>
        <v>0</v>
      </c>
      <c r="EW542" s="3231">
        <f>-PENN!BO235</f>
        <v>0</v>
      </c>
      <c r="EX542" s="2649">
        <f>-PENN!BP235</f>
        <v>0</v>
      </c>
      <c r="EY542" s="2649">
        <f>-PENN!BQ235</f>
        <v>-12.190439122264637</v>
      </c>
      <c r="EZ542" s="2649">
        <f>-PENN!BR235</f>
        <v>-18.663786696187856</v>
      </c>
      <c r="FA542" s="2649">
        <f>-PENN!BS235</f>
        <v>-18.307191378094725</v>
      </c>
      <c r="FB542" s="3231">
        <f>-PENN!BT235</f>
        <v>-49.16141719654722</v>
      </c>
    </row>
    <row r="543" spans="146:158" x14ac:dyDescent="0.2">
      <c r="ER543" s="3551" t="s">
        <v>2691</v>
      </c>
      <c r="ES543" s="2649">
        <f>-PENN!BK218</f>
        <v>-100.21073651428573</v>
      </c>
      <c r="ET543" s="2649">
        <f>-PENN!BL218</f>
        <v>-105.95204794285711</v>
      </c>
      <c r="EU543" s="2649">
        <f>-PENN!BM218</f>
        <v>-108.04239878571428</v>
      </c>
      <c r="EV543" s="2649">
        <f>-PENN!BN218</f>
        <v>-100.35325679857141</v>
      </c>
      <c r="EW543" s="3231">
        <f>-PENN!BO218</f>
        <v>-414.55844004142853</v>
      </c>
      <c r="EX543" s="2649">
        <f>-PENN!BP218</f>
        <v>-91.157414755714285</v>
      </c>
      <c r="EY543" s="2649">
        <f>-PENN!BQ218</f>
        <v>-97.659174802857123</v>
      </c>
      <c r="EZ543" s="2649">
        <f>-PENN!BR218</f>
        <v>-95.301364113876346</v>
      </c>
      <c r="FA543" s="2649">
        <f>-PENN!BS218</f>
        <v>-90.653029685057732</v>
      </c>
      <c r="FB543" s="3231">
        <f>-PENN!BT218</f>
        <v>-374.77098335750549</v>
      </c>
    </row>
    <row r="544" spans="146:158" ht="3.95" customHeight="1" x14ac:dyDescent="0.2">
      <c r="ER544" s="2612"/>
      <c r="ES544" s="306" t="s">
        <v>2674</v>
      </c>
      <c r="ET544" s="306" t="s">
        <v>2674</v>
      </c>
      <c r="EU544" s="306" t="s">
        <v>2674</v>
      </c>
      <c r="EV544" s="306" t="s">
        <v>2674</v>
      </c>
      <c r="EW544" s="3553" t="s">
        <v>2674</v>
      </c>
      <c r="EX544" s="306" t="s">
        <v>2674</v>
      </c>
      <c r="EY544" s="306" t="s">
        <v>2674</v>
      </c>
      <c r="EZ544" s="306" t="s">
        <v>2674</v>
      </c>
      <c r="FA544" s="306" t="s">
        <v>2674</v>
      </c>
      <c r="FB544" s="3553" t="s">
        <v>2674</v>
      </c>
    </row>
    <row r="545" spans="148:158" x14ac:dyDescent="0.2">
      <c r="ER545" s="3551" t="s">
        <v>2693</v>
      </c>
      <c r="ES545" s="2649">
        <f>SUM(ES540:ES544)</f>
        <v>656.24026348571431</v>
      </c>
      <c r="ET545" s="2649">
        <f t="shared" ref="ET545:FB545" si="6">SUM(ET540:ET544)</f>
        <v>663.4699520571429</v>
      </c>
      <c r="EU545" s="2649">
        <f t="shared" si="6"/>
        <v>657.55460121428587</v>
      </c>
      <c r="EV545" s="2649">
        <f t="shared" si="6"/>
        <v>636.01258720142869</v>
      </c>
      <c r="EW545" s="3231">
        <f t="shared" si="6"/>
        <v>2613.2774039585715</v>
      </c>
      <c r="EX545" s="2649">
        <f t="shared" si="6"/>
        <v>678.93753514428568</v>
      </c>
      <c r="EY545" s="2649">
        <f t="shared" si="6"/>
        <v>679.4835171548782</v>
      </c>
      <c r="EZ545" s="2649">
        <f t="shared" si="6"/>
        <v>685.07920464993572</v>
      </c>
      <c r="FA545" s="2649">
        <f t="shared" si="6"/>
        <v>654.21679443684752</v>
      </c>
      <c r="FB545" s="3231">
        <f t="shared" si="6"/>
        <v>2697.7170513859478</v>
      </c>
    </row>
    <row r="546" spans="148:158" s="2610" customFormat="1" x14ac:dyDescent="0.2">
      <c r="ER546" s="2607" t="s">
        <v>1055</v>
      </c>
      <c r="ES546" s="2639"/>
      <c r="ET546" s="2639"/>
      <c r="EU546" s="2639"/>
      <c r="EV546" s="2639"/>
      <c r="EW546" s="3554"/>
      <c r="EX546" s="2639">
        <f>+EX545/ES545-1</f>
        <v>3.4586831868577361E-2</v>
      </c>
      <c r="EY546" s="2639">
        <f t="shared" ref="EY546:FB546" si="7">+EY545/ET545-1</f>
        <v>2.4136081895018702E-2</v>
      </c>
      <c r="EZ546" s="2639">
        <f t="shared" si="7"/>
        <v>4.185903860275797E-2</v>
      </c>
      <c r="FA546" s="2639">
        <f t="shared" si="7"/>
        <v>2.8622400879706911E-2</v>
      </c>
      <c r="FB546" s="3554">
        <f t="shared" si="7"/>
        <v>3.2311781098886661E-2</v>
      </c>
    </row>
    <row r="547" spans="148:158" x14ac:dyDescent="0.2">
      <c r="ER547" s="3551" t="s">
        <v>2694</v>
      </c>
      <c r="ES547" s="2649">
        <f>+ES545-ES543</f>
        <v>756.45100000000002</v>
      </c>
      <c r="ET547" s="2649">
        <f t="shared" ref="ET547:FB547" si="8">+ET545-ET543</f>
        <v>769.42200000000003</v>
      </c>
      <c r="EU547" s="2649">
        <f t="shared" si="8"/>
        <v>765.59700000000021</v>
      </c>
      <c r="EV547" s="2649">
        <f t="shared" si="8"/>
        <v>736.36584400000015</v>
      </c>
      <c r="EW547" s="3231">
        <f t="shared" si="8"/>
        <v>3027.8358440000002</v>
      </c>
      <c r="EX547" s="2649">
        <f t="shared" si="8"/>
        <v>770.09494989999996</v>
      </c>
      <c r="EY547" s="2649">
        <f t="shared" si="8"/>
        <v>777.14269195773534</v>
      </c>
      <c r="EZ547" s="2649">
        <f t="shared" si="8"/>
        <v>780.38056876381211</v>
      </c>
      <c r="FA547" s="2649">
        <f t="shared" si="8"/>
        <v>744.86982412190525</v>
      </c>
      <c r="FB547" s="3231">
        <f t="shared" si="8"/>
        <v>3072.4880347434532</v>
      </c>
    </row>
    <row r="548" spans="148:158" s="2610" customFormat="1" x14ac:dyDescent="0.2">
      <c r="ER548" s="2607" t="s">
        <v>1055</v>
      </c>
      <c r="ES548" s="2639"/>
      <c r="ET548" s="2639"/>
      <c r="EU548" s="2639"/>
      <c r="EV548" s="2639"/>
      <c r="EW548" s="3554"/>
      <c r="EX548" s="2639">
        <f>+EX547/ES547-1</f>
        <v>1.8036792733435503E-2</v>
      </c>
      <c r="EY548" s="2639">
        <f t="shared" ref="EY548" si="9">+EY547/ET547-1</f>
        <v>1.0034404991974943E-2</v>
      </c>
      <c r="EZ548" s="2639">
        <f t="shared" ref="EZ548" si="10">+EZ547/EU547-1</f>
        <v>1.930985722751255E-2</v>
      </c>
      <c r="FA548" s="2639">
        <f t="shared" ref="FA548" si="11">+FA547/EV547-1</f>
        <v>1.1548580357435778E-2</v>
      </c>
      <c r="FB548" s="3554">
        <f t="shared" ref="FB548" si="12">+FB547/EW547-1</f>
        <v>1.4747229719185961E-2</v>
      </c>
    </row>
    <row r="549" spans="148:158" x14ac:dyDescent="0.2">
      <c r="ER549" s="2625"/>
      <c r="ES549" s="2617"/>
      <c r="ET549" s="2617"/>
      <c r="EU549" s="2617"/>
      <c r="EV549" s="2617"/>
      <c r="EW549" s="3079"/>
      <c r="EX549" s="2617"/>
      <c r="EY549" s="2617"/>
      <c r="EZ549" s="2617"/>
      <c r="FA549" s="2617"/>
      <c r="FB549" s="3079"/>
    </row>
    <row r="551" spans="148:158" x14ac:dyDescent="0.2">
      <c r="EY551" s="2610">
        <f>+SUM(EX545:EY545)/SUM(ES545:ET545)-1</f>
        <v>2.933283102638029E-2</v>
      </c>
      <c r="FA551" s="2610">
        <f>+SUM(EZ545:FA545)/SUM(EU545:EV545)-1</f>
        <v>3.5350935831230057E-2</v>
      </c>
    </row>
  </sheetData>
  <pageMargins left="0" right="0" top="0" bottom="0" header="0" footer="0"/>
  <pageSetup paperSize="5" scale="10" orientation="landscape" r:id="rId1"/>
  <ignoredErrors>
    <ignoredError sqref="Y78" emptyCellReference="1"/>
  </ignoredError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sheetPr>
  <dimension ref="A1:S82"/>
  <sheetViews>
    <sheetView showGridLines="0" topLeftCell="A7" zoomScale="85" workbookViewId="0">
      <selection activeCell="B53" sqref="B53"/>
    </sheetView>
  </sheetViews>
  <sheetFormatPr defaultRowHeight="15.75" x14ac:dyDescent="0.25"/>
  <cols>
    <col min="1" max="1" width="20.125" customWidth="1"/>
    <col min="2" max="11" width="9.625" customWidth="1"/>
    <col min="12" max="12" width="8.625" bestFit="1" customWidth="1"/>
    <col min="13" max="13" width="6.875" bestFit="1" customWidth="1"/>
    <col min="14" max="14" width="10.25" bestFit="1" customWidth="1"/>
    <col min="16" max="16" width="21.375" bestFit="1" customWidth="1"/>
  </cols>
  <sheetData>
    <row r="1" spans="1:19" x14ac:dyDescent="0.25">
      <c r="A1" s="10" t="s">
        <v>892</v>
      </c>
      <c r="B1" s="11"/>
      <c r="C1" s="11"/>
      <c r="D1" s="11"/>
      <c r="E1" s="11"/>
      <c r="F1" s="11"/>
      <c r="G1" s="11"/>
      <c r="H1" s="11"/>
      <c r="I1" s="11"/>
      <c r="J1" s="11"/>
      <c r="K1" s="11"/>
      <c r="L1" s="11"/>
      <c r="M1" s="11"/>
      <c r="N1" s="11"/>
      <c r="O1" s="11"/>
      <c r="P1" s="11"/>
      <c r="Q1" s="11"/>
    </row>
    <row r="2" spans="1:19" x14ac:dyDescent="0.25">
      <c r="A2" s="10" t="s">
        <v>625</v>
      </c>
      <c r="B2" s="11"/>
      <c r="C2" s="11"/>
      <c r="D2" s="11"/>
      <c r="E2" s="11"/>
      <c r="F2" s="11"/>
      <c r="G2" s="11"/>
      <c r="H2" s="11"/>
      <c r="I2" s="11"/>
      <c r="J2" s="11"/>
      <c r="K2" s="11"/>
      <c r="L2" s="11"/>
      <c r="M2" s="11"/>
      <c r="N2" s="11"/>
      <c r="O2" s="11"/>
      <c r="P2" s="11"/>
      <c r="Q2" s="11"/>
    </row>
    <row r="3" spans="1:19" x14ac:dyDescent="0.25">
      <c r="A3" s="11"/>
      <c r="B3" s="11"/>
      <c r="C3" s="11"/>
      <c r="D3" s="11"/>
      <c r="E3" s="11"/>
      <c r="F3" s="11"/>
      <c r="G3" s="11"/>
      <c r="H3" s="11"/>
      <c r="I3" s="11"/>
      <c r="J3" s="11"/>
      <c r="K3" s="11"/>
      <c r="L3" s="11"/>
      <c r="M3" s="11"/>
      <c r="N3" s="11"/>
      <c r="O3" s="11"/>
      <c r="P3" s="11"/>
      <c r="Q3" s="11"/>
    </row>
    <row r="4" spans="1:19" ht="16.5" thickBot="1" x14ac:dyDescent="0.3">
      <c r="A4" s="10"/>
      <c r="B4" s="11"/>
      <c r="C4" s="280"/>
      <c r="D4" s="687"/>
      <c r="E4" s="11"/>
      <c r="F4" s="11"/>
      <c r="G4" s="11"/>
      <c r="H4" s="11"/>
      <c r="I4" s="11"/>
      <c r="J4" s="11"/>
      <c r="K4" s="11"/>
      <c r="L4" s="11"/>
      <c r="M4" s="11"/>
      <c r="N4" s="11"/>
      <c r="O4" s="11"/>
      <c r="P4" s="11"/>
      <c r="Q4" s="11"/>
    </row>
    <row r="5" spans="1:19" ht="16.5" thickBot="1" x14ac:dyDescent="0.3">
      <c r="A5" s="1087" t="s">
        <v>790</v>
      </c>
      <c r="B5" s="1088"/>
      <c r="C5" s="11"/>
      <c r="D5" s="11"/>
      <c r="E5" s="11"/>
      <c r="F5" s="11"/>
      <c r="G5" s="11"/>
      <c r="H5" s="745" t="s">
        <v>707</v>
      </c>
      <c r="I5" s="11"/>
      <c r="J5" s="11"/>
      <c r="K5" s="11"/>
      <c r="L5" s="745" t="s">
        <v>1152</v>
      </c>
      <c r="M5" s="11"/>
      <c r="N5" s="11"/>
      <c r="O5" s="11"/>
      <c r="P5" s="11"/>
      <c r="Q5" s="11"/>
    </row>
    <row r="6" spans="1:19" x14ac:dyDescent="0.25">
      <c r="A6" s="1089"/>
      <c r="B6" s="11"/>
      <c r="C6" s="1" t="s">
        <v>751</v>
      </c>
      <c r="D6" s="1" t="s">
        <v>2045</v>
      </c>
      <c r="E6" s="1" t="s">
        <v>602</v>
      </c>
      <c r="F6" s="1"/>
      <c r="G6" s="745" t="s">
        <v>2284</v>
      </c>
      <c r="H6" s="745" t="s">
        <v>1624</v>
      </c>
      <c r="I6" s="745" t="s">
        <v>1466</v>
      </c>
      <c r="J6" s="745" t="s">
        <v>707</v>
      </c>
      <c r="K6" s="745" t="s">
        <v>1152</v>
      </c>
      <c r="L6" s="745" t="s">
        <v>707</v>
      </c>
      <c r="M6" s="745" t="s">
        <v>1152</v>
      </c>
      <c r="N6" s="745" t="s">
        <v>1152</v>
      </c>
      <c r="O6" s="11"/>
      <c r="P6" s="11"/>
      <c r="Q6" s="11"/>
    </row>
    <row r="7" spans="1:19" x14ac:dyDescent="0.25">
      <c r="A7" s="1090" t="s">
        <v>1153</v>
      </c>
      <c r="B7" s="1046" t="s">
        <v>2044</v>
      </c>
      <c r="C7" s="1091" t="s">
        <v>2045</v>
      </c>
      <c r="D7" s="1091" t="s">
        <v>1154</v>
      </c>
      <c r="E7" s="1091" t="s">
        <v>2289</v>
      </c>
      <c r="F7" s="1091" t="s">
        <v>1892</v>
      </c>
      <c r="G7" s="747" t="s">
        <v>1210</v>
      </c>
      <c r="H7" s="747" t="s">
        <v>1210</v>
      </c>
      <c r="I7" s="747" t="s">
        <v>1210</v>
      </c>
      <c r="J7" s="747" t="s">
        <v>1210</v>
      </c>
      <c r="K7" s="747" t="s">
        <v>784</v>
      </c>
      <c r="L7" s="747" t="s">
        <v>1624</v>
      </c>
      <c r="M7" s="747" t="s">
        <v>1466</v>
      </c>
      <c r="N7" s="747" t="s">
        <v>741</v>
      </c>
      <c r="O7" s="11"/>
      <c r="P7" s="1454" t="s">
        <v>2576</v>
      </c>
      <c r="Q7" s="473">
        <f>PENN!$BO$260</f>
        <v>-6.6173305072743105E-3</v>
      </c>
      <c r="R7" s="473">
        <f>PENN!$BT$260</f>
        <v>2.1752853195102784E-2</v>
      </c>
      <c r="S7" s="473">
        <f>PENN!$BY$260</f>
        <v>1.411014662537502E-2</v>
      </c>
    </row>
    <row r="8" spans="1:19" x14ac:dyDescent="0.25">
      <c r="A8" s="11">
        <f>PENN!$BO$258</f>
        <v>3034.3799999999997</v>
      </c>
      <c r="B8" s="11"/>
      <c r="C8" s="11"/>
      <c r="D8" s="11"/>
      <c r="E8" s="11"/>
      <c r="F8" s="11"/>
      <c r="G8" s="11"/>
      <c r="H8" s="11"/>
      <c r="I8" s="11"/>
      <c r="J8" s="11"/>
      <c r="K8" s="11"/>
      <c r="L8" s="11"/>
      <c r="M8" s="11"/>
      <c r="N8" s="11"/>
      <c r="O8" s="11"/>
      <c r="P8" s="11"/>
      <c r="Q8" s="11"/>
    </row>
    <row r="9" spans="1:19" x14ac:dyDescent="0.25">
      <c r="A9" s="406" t="s">
        <v>785</v>
      </c>
      <c r="B9" s="439"/>
      <c r="C9" s="439"/>
      <c r="D9" s="439"/>
      <c r="E9" s="439"/>
      <c r="F9" s="439"/>
      <c r="G9" s="439"/>
      <c r="H9" s="439"/>
      <c r="I9" s="439"/>
      <c r="J9" s="439"/>
      <c r="K9" s="439"/>
      <c r="L9" s="439"/>
      <c r="M9" s="439"/>
      <c r="N9" s="439"/>
      <c r="O9" s="11"/>
      <c r="P9" s="10" t="s">
        <v>2274</v>
      </c>
      <c r="Q9" s="11"/>
    </row>
    <row r="10" spans="1:19" ht="6" customHeight="1" x14ac:dyDescent="0.25">
      <c r="A10" s="11"/>
      <c r="B10" s="11"/>
      <c r="C10" s="11"/>
      <c r="D10" s="11"/>
      <c r="E10" s="11"/>
      <c r="F10" s="11"/>
      <c r="G10" s="11"/>
      <c r="H10" s="11"/>
      <c r="I10" s="11"/>
      <c r="J10" s="11"/>
      <c r="K10" s="11"/>
      <c r="L10" s="11"/>
      <c r="M10" s="11"/>
      <c r="N10" s="11"/>
      <c r="O10" s="11"/>
      <c r="P10" s="11"/>
      <c r="Q10" s="11"/>
    </row>
    <row r="11" spans="1:19" x14ac:dyDescent="0.25">
      <c r="A11" s="11" t="s">
        <v>898</v>
      </c>
      <c r="B11" s="11">
        <f>B28+((C11-C28)/2)</f>
        <v>4090.4533477936475</v>
      </c>
      <c r="C11" s="11">
        <f>C28*(1+D11)</f>
        <v>5000.4861979282596</v>
      </c>
      <c r="D11" s="647">
        <v>-0.03</v>
      </c>
      <c r="E11" s="280">
        <f>(C11/B11)-1</f>
        <v>0.2224772593056159</v>
      </c>
      <c r="F11" s="11"/>
      <c r="G11" s="11">
        <f>C11-C28</f>
        <v>-154.65421230705942</v>
      </c>
      <c r="H11" s="11">
        <f>C14-C31</f>
        <v>-71.235458478724695</v>
      </c>
      <c r="I11" s="11">
        <f>H11*'EBITDA Val'!E35</f>
        <v>-542.23999352196279</v>
      </c>
      <c r="J11" s="1092">
        <f>I11/PENN!$BY$101/'EBITDA Val'!$G$45</f>
        <v>-5.0900215293528843</v>
      </c>
      <c r="K11" s="11"/>
      <c r="L11" s="11"/>
      <c r="M11" s="11"/>
      <c r="N11" s="11"/>
      <c r="O11" s="11"/>
      <c r="P11" s="11"/>
      <c r="Q11" s="2935">
        <v>2017</v>
      </c>
      <c r="R11" s="2935">
        <v>2018</v>
      </c>
      <c r="S11" s="2935">
        <v>2019</v>
      </c>
    </row>
    <row r="12" spans="1:19" x14ac:dyDescent="0.25">
      <c r="A12" s="11" t="s">
        <v>788</v>
      </c>
      <c r="B12" s="280"/>
      <c r="C12" s="647">
        <f>C29-0.005</f>
        <v>0.29394450852259901</v>
      </c>
      <c r="D12" s="280">
        <f>C12-C29</f>
        <v>-5.0000000000000044E-3</v>
      </c>
      <c r="E12" s="280"/>
      <c r="F12" s="11"/>
      <c r="G12" s="11"/>
      <c r="H12" s="11"/>
      <c r="I12" s="11"/>
      <c r="J12" s="11"/>
      <c r="K12" s="11"/>
      <c r="L12" s="11"/>
      <c r="M12" s="11"/>
      <c r="N12" s="11"/>
      <c r="O12" s="11"/>
      <c r="P12" s="2610" t="s">
        <v>1255</v>
      </c>
      <c r="Q12" s="2934">
        <f>+PENN!BT40+SUM(Sensitivity!H11:H20)*0.5+('Exhibits 2'!GB538-'Exhibits 2'!GB482)</f>
        <v>801.74099911997826</v>
      </c>
      <c r="R12" s="2934">
        <f>+PENN!BY40+SUM(Sensitivity!H11:H20)*0.5+('Exhibits 2'!GC538-'Exhibits 2'!GC482)</f>
        <v>1145.8622189517068</v>
      </c>
      <c r="S12" s="2934">
        <f>+PENN!BZ40+SUM(Sensitivity!H11:H20)*0.5+('Exhibits 2'!GD538-'Exhibits 2'!GD482)</f>
        <v>1492.8675871395146</v>
      </c>
    </row>
    <row r="13" spans="1:19" x14ac:dyDescent="0.25">
      <c r="A13" s="11" t="s">
        <v>1255</v>
      </c>
      <c r="B13" s="11"/>
      <c r="C13" s="11">
        <f>C12*C11</f>
        <v>1469.8654578240621</v>
      </c>
      <c r="D13" s="280">
        <f>(C13-C30)/C30</f>
        <v>-4.6223746754770444E-2</v>
      </c>
      <c r="E13" s="280"/>
      <c r="F13" s="280">
        <f>+C13/C11</f>
        <v>0.29394450852259901</v>
      </c>
      <c r="G13" s="11"/>
      <c r="H13" s="11"/>
      <c r="I13" s="11"/>
      <c r="J13" s="11"/>
      <c r="K13" s="11"/>
      <c r="L13" s="11"/>
      <c r="M13" s="11"/>
      <c r="N13" s="11"/>
      <c r="O13" s="11"/>
      <c r="P13" s="1454" t="s">
        <v>1624</v>
      </c>
      <c r="Q13" s="2934">
        <f>+PENN!BT54+SUM(Sensitivity!H11:H20)*0.5+('Exhibits 2'!GB538-'Exhibits 2'!GB482)</f>
        <v>346.36999911997822</v>
      </c>
      <c r="R13" s="2934">
        <f>+PENN!BY54+SUM(Sensitivity!H11:H20)*0.5+('Exhibits 2'!GC538-'Exhibits 2'!GC482)</f>
        <v>510.12100973728684</v>
      </c>
      <c r="S13" s="2934">
        <f>+PENN!BZ54+SUM(Sensitivity!H11:H20)*0.5+('Exhibits 2'!GD538-'Exhibits 2'!GD482)</f>
        <v>683.5350339006535</v>
      </c>
    </row>
    <row r="14" spans="1:19" x14ac:dyDescent="0.25">
      <c r="A14" s="11" t="s">
        <v>1624</v>
      </c>
      <c r="B14" s="11"/>
      <c r="C14" s="11">
        <f>+$C$31+(C13-$C$30)</f>
        <v>660.53290458520098</v>
      </c>
      <c r="D14" s="280">
        <f>(C14-C31)/C31</f>
        <v>-9.7347004973624043E-2</v>
      </c>
      <c r="E14" s="280"/>
      <c r="F14" s="280">
        <f>+C14/C11</f>
        <v>0.13209373617686715</v>
      </c>
      <c r="G14" s="11"/>
      <c r="H14" s="11"/>
      <c r="I14" s="11"/>
      <c r="J14" s="11"/>
      <c r="K14" s="11"/>
      <c r="L14" s="11"/>
      <c r="M14" s="11"/>
      <c r="N14" s="11"/>
      <c r="O14" s="11"/>
      <c r="P14" s="1454"/>
      <c r="R14" s="473"/>
      <c r="S14" s="473"/>
    </row>
    <row r="15" spans="1:19" ht="6" customHeight="1" x14ac:dyDescent="0.25">
      <c r="A15" s="11"/>
      <c r="B15" s="11"/>
      <c r="C15" s="11"/>
      <c r="D15" s="280"/>
      <c r="E15" s="280"/>
      <c r="F15" s="11"/>
      <c r="G15" s="11"/>
      <c r="H15" s="11"/>
      <c r="I15" s="11"/>
      <c r="J15" s="11"/>
      <c r="K15" s="11"/>
      <c r="L15" s="11"/>
      <c r="M15" s="11"/>
      <c r="N15" s="11"/>
      <c r="O15" s="11"/>
      <c r="P15" s="11"/>
      <c r="Q15" s="11"/>
    </row>
    <row r="16" spans="1:19" x14ac:dyDescent="0.25">
      <c r="A16" s="11" t="s">
        <v>789</v>
      </c>
      <c r="B16" s="11"/>
      <c r="C16" s="11"/>
      <c r="D16" s="280"/>
      <c r="E16" s="280"/>
      <c r="F16" s="11"/>
      <c r="G16" s="11"/>
      <c r="H16" s="11"/>
      <c r="I16" s="11"/>
      <c r="J16" s="1092"/>
      <c r="K16" s="11"/>
      <c r="L16" s="11"/>
      <c r="M16" s="11"/>
      <c r="N16" s="11"/>
      <c r="O16" s="11"/>
      <c r="P16" s="11"/>
      <c r="Q16" s="11"/>
    </row>
    <row r="17" spans="1:17" ht="6" customHeight="1" x14ac:dyDescent="0.25">
      <c r="A17" s="11"/>
      <c r="B17" s="11"/>
      <c r="C17" s="11"/>
      <c r="D17" s="280"/>
      <c r="E17" s="280"/>
      <c r="F17" s="11"/>
      <c r="G17" s="11"/>
      <c r="H17" s="11"/>
      <c r="I17" s="11"/>
      <c r="J17" s="1092"/>
      <c r="K17" s="11"/>
      <c r="L17" s="11"/>
      <c r="M17" s="11"/>
      <c r="N17" s="11"/>
      <c r="O17" s="11"/>
      <c r="P17" s="11"/>
      <c r="Q17" s="11"/>
    </row>
    <row r="18" spans="1:17" x14ac:dyDescent="0.25">
      <c r="A18" s="11" t="s">
        <v>2021</v>
      </c>
      <c r="B18" s="11"/>
      <c r="C18" s="11"/>
      <c r="D18" s="1093">
        <v>-0.5</v>
      </c>
      <c r="E18" s="365" t="s">
        <v>553</v>
      </c>
      <c r="F18" s="11"/>
      <c r="G18" s="11"/>
      <c r="H18" s="11"/>
      <c r="I18" s="11">
        <f>D18*('EBITDA Val'!C37+H11)</f>
        <v>-710.09644380870691</v>
      </c>
      <c r="J18" s="1092">
        <f>I18/PENN!$BY$101/'EBITDA Val'!$G$45</f>
        <v>-6.6656945818896736</v>
      </c>
      <c r="K18" s="11"/>
      <c r="O18" s="11"/>
      <c r="P18" s="11"/>
      <c r="Q18" s="11"/>
    </row>
    <row r="19" spans="1:17" ht="6" customHeight="1" x14ac:dyDescent="0.25">
      <c r="A19" s="11"/>
      <c r="B19" s="11"/>
      <c r="C19" s="11"/>
      <c r="D19" s="1093"/>
      <c r="E19" s="365"/>
      <c r="F19" s="11"/>
      <c r="G19" s="11"/>
      <c r="H19" s="11"/>
      <c r="I19" s="11"/>
      <c r="J19" s="1092"/>
      <c r="K19" s="11"/>
      <c r="O19" s="11"/>
      <c r="P19" s="11"/>
      <c r="Q19" s="11"/>
    </row>
    <row r="20" spans="1:17" ht="15.75" customHeight="1" x14ac:dyDescent="0.25">
      <c r="A20" s="1454" t="s">
        <v>319</v>
      </c>
      <c r="B20" s="11"/>
      <c r="C20" s="11"/>
      <c r="D20" s="647">
        <v>-0.15</v>
      </c>
      <c r="E20" s="365"/>
      <c r="F20" s="11"/>
      <c r="G20" s="11"/>
      <c r="H20" s="296">
        <f>+(PENN!BZ293+PENN!BZ294)*D20</f>
        <v>-9.5784907331935862</v>
      </c>
      <c r="I20" s="296">
        <f>+H20*(AVERAGE('EBITDA Val'!E13:E14))</f>
        <v>-71.838680498951902</v>
      </c>
      <c r="J20" s="715">
        <f>I20/PENN!$BY$101/'EBITDA Val'!$G$45</f>
        <v>-0.67435164271990899</v>
      </c>
      <c r="K20" s="11"/>
      <c r="O20" s="11"/>
      <c r="P20" s="11"/>
      <c r="Q20" s="11"/>
    </row>
    <row r="21" spans="1:17" ht="6" customHeight="1" x14ac:dyDescent="0.25">
      <c r="A21" s="11"/>
      <c r="B21" s="11"/>
      <c r="C21" s="11"/>
      <c r="D21" s="280"/>
      <c r="E21" s="280"/>
      <c r="F21" s="11"/>
      <c r="G21" s="11"/>
      <c r="H21" s="11"/>
      <c r="I21" s="11"/>
      <c r="J21" s="1092"/>
      <c r="K21" s="11"/>
      <c r="L21" s="11"/>
      <c r="M21" s="11"/>
      <c r="N21" s="11"/>
      <c r="O21" s="11"/>
      <c r="P21" s="11"/>
      <c r="Q21" s="11"/>
    </row>
    <row r="22" spans="1:17" ht="15.75" customHeight="1" x14ac:dyDescent="0.25">
      <c r="A22" s="1454" t="s">
        <v>327</v>
      </c>
      <c r="B22" s="11"/>
      <c r="C22" s="11"/>
      <c r="D22" s="280"/>
      <c r="E22" s="280"/>
      <c r="F22" s="11"/>
      <c r="G22" s="11"/>
      <c r="H22" s="11"/>
      <c r="I22" s="11"/>
      <c r="J22" s="1092">
        <f>+'Exhibits 2'!GB557-'Exhibits 2'!GB501</f>
        <v>-0.4136777984957215</v>
      </c>
      <c r="K22" s="11"/>
      <c r="L22" s="11"/>
      <c r="M22" s="11"/>
      <c r="N22" s="11"/>
      <c r="O22" s="11"/>
      <c r="P22" s="11"/>
      <c r="Q22" s="11"/>
    </row>
    <row r="23" spans="1:17" ht="6" customHeight="1" x14ac:dyDescent="0.25">
      <c r="A23" s="11"/>
      <c r="B23" s="11"/>
      <c r="C23" s="11"/>
      <c r="D23" s="280"/>
      <c r="E23" s="280"/>
      <c r="F23" s="11"/>
      <c r="G23" s="11"/>
      <c r="H23" s="11"/>
      <c r="I23" s="11"/>
      <c r="J23" s="1092"/>
      <c r="K23" s="11"/>
      <c r="L23" s="11"/>
      <c r="M23" s="11"/>
      <c r="N23" s="11"/>
      <c r="O23" s="11"/>
      <c r="P23" s="11"/>
      <c r="Q23" s="11"/>
    </row>
    <row r="24" spans="1:17" s="1453" customFormat="1" x14ac:dyDescent="0.25">
      <c r="A24" s="10" t="s">
        <v>2157</v>
      </c>
      <c r="B24" s="10"/>
      <c r="C24" s="10"/>
      <c r="D24" s="358"/>
      <c r="E24" s="358"/>
      <c r="F24" s="10"/>
      <c r="G24" s="10"/>
      <c r="H24" s="10">
        <f>+SUM(H11:H21)</f>
        <v>-80.813949211918285</v>
      </c>
      <c r="I24" s="10">
        <f>+SUM(I11:I21)</f>
        <v>-1324.1751178296215</v>
      </c>
      <c r="J24" s="1094">
        <f>+SUM(J11:J22)</f>
        <v>-12.843745552458188</v>
      </c>
      <c r="K24" s="2933">
        <f>+'EBITDA Val'!$H$48+Sensitivity!J24</f>
        <v>16.233666130608054</v>
      </c>
      <c r="L24" s="10">
        <f>'EBITDA Val'!$C$37+H24</f>
        <v>1410.6143968842202</v>
      </c>
      <c r="M24" s="10">
        <f>'EBITDA Val'!$H$37+I24</f>
        <v>10028.487081532418</v>
      </c>
      <c r="N24" s="1096">
        <f>M24/L24</f>
        <v>7.1093043596346703</v>
      </c>
      <c r="O24" s="1096"/>
      <c r="P24" s="358"/>
      <c r="Q24" s="10"/>
    </row>
    <row r="25" spans="1:17" x14ac:dyDescent="0.25">
      <c r="A25" s="11"/>
      <c r="B25" s="11"/>
      <c r="C25" s="11"/>
      <c r="D25" s="11"/>
      <c r="E25" s="11"/>
      <c r="F25" s="11"/>
      <c r="G25" s="11"/>
      <c r="H25" s="11"/>
      <c r="I25" s="11"/>
      <c r="J25" s="11"/>
      <c r="K25" s="11"/>
      <c r="L25" s="11"/>
      <c r="M25" s="11"/>
      <c r="N25" s="11"/>
      <c r="O25" s="11"/>
      <c r="P25" s="11"/>
      <c r="Q25" s="11"/>
    </row>
    <row r="26" spans="1:17" x14ac:dyDescent="0.25">
      <c r="A26" s="406" t="s">
        <v>786</v>
      </c>
      <c r="B26" s="439"/>
      <c r="C26" s="439"/>
      <c r="D26" s="439"/>
      <c r="E26" s="439"/>
      <c r="F26" s="439"/>
      <c r="G26" s="439"/>
      <c r="H26" s="439"/>
      <c r="I26" s="439"/>
      <c r="J26" s="439"/>
      <c r="K26" s="439"/>
      <c r="L26" s="11"/>
      <c r="M26" s="11"/>
      <c r="N26" s="11"/>
      <c r="O26" s="11"/>
      <c r="P26" s="11"/>
      <c r="Q26" s="11"/>
    </row>
    <row r="27" spans="1:17" ht="6" customHeight="1" x14ac:dyDescent="0.25">
      <c r="A27" s="11"/>
      <c r="B27" s="11"/>
      <c r="C27" s="11"/>
      <c r="D27" s="11"/>
      <c r="E27" s="11"/>
      <c r="F27" s="11"/>
      <c r="G27" s="11"/>
      <c r="H27" s="11"/>
      <c r="I27" s="11"/>
      <c r="J27" s="11"/>
      <c r="K27" s="11"/>
      <c r="L27" s="11"/>
      <c r="M27" s="11"/>
      <c r="N27" s="11"/>
      <c r="O27" s="11"/>
      <c r="P27" s="11"/>
      <c r="Q27" s="11"/>
    </row>
    <row r="28" spans="1:17" x14ac:dyDescent="0.25">
      <c r="A28" s="11" t="s">
        <v>2284</v>
      </c>
      <c r="B28" s="11">
        <f>+PENN!BY14</f>
        <v>4167.7804539471772</v>
      </c>
      <c r="C28" s="11">
        <f>+PENN!BZ14</f>
        <v>5155.140410235319</v>
      </c>
      <c r="D28" s="11"/>
      <c r="E28" s="280">
        <f>(C28/B28)-1</f>
        <v>0.2369030632007123</v>
      </c>
      <c r="F28" s="11"/>
      <c r="G28" s="11"/>
      <c r="H28" s="11"/>
      <c r="I28" s="11"/>
      <c r="J28" s="11"/>
      <c r="K28" s="11"/>
      <c r="L28" s="11"/>
      <c r="M28" s="11"/>
      <c r="N28" s="11"/>
      <c r="O28" s="11"/>
      <c r="P28" s="11"/>
      <c r="Q28" s="11"/>
    </row>
    <row r="29" spans="1:17" x14ac:dyDescent="0.25">
      <c r="A29" s="11" t="s">
        <v>752</v>
      </c>
      <c r="B29" s="280">
        <f>+PENN!BY42</f>
        <v>0.28635236129295988</v>
      </c>
      <c r="C29" s="280">
        <f>+PENN!BZ42</f>
        <v>0.29894450852259902</v>
      </c>
      <c r="D29" s="11"/>
      <c r="E29" s="280">
        <f>(C29/B29)-1</f>
        <v>4.3974309039332304E-2</v>
      </c>
      <c r="F29" s="11"/>
      <c r="G29" s="11"/>
      <c r="H29" s="11"/>
      <c r="I29" s="11"/>
      <c r="J29" s="11"/>
      <c r="K29" s="11"/>
      <c r="L29" s="11"/>
      <c r="M29" s="11"/>
      <c r="N29" s="11"/>
      <c r="O29" s="11"/>
      <c r="P29" s="11"/>
      <c r="Q29" s="11"/>
    </row>
    <row r="30" spans="1:17" x14ac:dyDescent="0.25">
      <c r="A30" s="11" t="s">
        <v>1255</v>
      </c>
      <c r="B30" s="11">
        <f>+PENN!BY40</f>
        <v>1193.4537743384185</v>
      </c>
      <c r="C30" s="11">
        <f>+PENN!BZ40</f>
        <v>1541.1009163027868</v>
      </c>
      <c r="D30" s="11"/>
      <c r="E30" s="280">
        <f>(C30/B30)-1</f>
        <v>0.29129502075359692</v>
      </c>
      <c r="F30" s="280">
        <f>+C30/C28</f>
        <v>0.29894450852259902</v>
      </c>
      <c r="G30" s="11"/>
      <c r="H30" s="280"/>
      <c r="I30" s="11"/>
      <c r="J30" s="11"/>
      <c r="K30" s="1"/>
      <c r="L30" s="11"/>
      <c r="M30" s="11"/>
      <c r="N30" s="11"/>
      <c r="O30" s="11"/>
      <c r="P30" s="11"/>
      <c r="Q30" s="11"/>
    </row>
    <row r="31" spans="1:17" x14ac:dyDescent="0.25">
      <c r="A31" s="11" t="s">
        <v>1624</v>
      </c>
      <c r="B31" s="11">
        <f>+PENN!BY54</f>
        <v>557.7125651239985</v>
      </c>
      <c r="C31" s="11">
        <f>+PENN!BZ54</f>
        <v>731.76836306392568</v>
      </c>
      <c r="D31" s="11"/>
      <c r="E31" s="280">
        <f>(C31/B31)-1</f>
        <v>0.31208871527079296</v>
      </c>
      <c r="F31" s="280">
        <f>+C31/C28</f>
        <v>0.14194925934723907</v>
      </c>
      <c r="G31" s="11"/>
      <c r="H31" s="280"/>
      <c r="I31" s="11"/>
      <c r="J31" s="11"/>
      <c r="K31" s="1"/>
      <c r="L31" s="11"/>
      <c r="M31" s="11"/>
      <c r="N31" s="11"/>
      <c r="O31" s="11"/>
      <c r="P31" s="11"/>
      <c r="Q31" s="11"/>
    </row>
    <row r="32" spans="1:17" x14ac:dyDescent="0.25">
      <c r="A32" s="11"/>
      <c r="B32" s="11"/>
      <c r="C32" s="11"/>
      <c r="D32" s="11"/>
      <c r="E32" s="11"/>
      <c r="F32" s="11"/>
      <c r="G32" s="11"/>
      <c r="H32" s="11"/>
      <c r="I32" s="11"/>
      <c r="J32" s="11"/>
      <c r="K32" s="1095"/>
      <c r="L32" s="11"/>
      <c r="M32" s="11"/>
      <c r="N32" s="11"/>
      <c r="O32" s="11"/>
      <c r="P32" s="11"/>
      <c r="Q32" s="11"/>
    </row>
    <row r="33" spans="1:19" x14ac:dyDescent="0.25">
      <c r="A33" s="406" t="s">
        <v>802</v>
      </c>
      <c r="B33" s="439"/>
      <c r="C33" s="439"/>
      <c r="D33" s="439"/>
      <c r="E33" s="439"/>
      <c r="F33" s="439"/>
      <c r="G33" s="439"/>
      <c r="H33" s="439"/>
      <c r="I33" s="439"/>
      <c r="J33" s="439"/>
      <c r="K33" s="439"/>
      <c r="L33" s="11"/>
      <c r="M33" s="11"/>
      <c r="N33" s="11"/>
      <c r="O33" s="11"/>
      <c r="P33" s="11"/>
      <c r="Q33" s="11"/>
    </row>
    <row r="34" spans="1:19" ht="6" customHeight="1" x14ac:dyDescent="0.25">
      <c r="A34" s="11"/>
      <c r="B34" s="11"/>
      <c r="C34" s="11"/>
      <c r="D34" s="11"/>
      <c r="E34" s="11"/>
      <c r="F34" s="11"/>
      <c r="G34" s="11"/>
      <c r="H34" s="11"/>
      <c r="I34" s="11"/>
      <c r="J34" s="11"/>
      <c r="K34" s="11"/>
      <c r="L34" s="11"/>
      <c r="M34" s="11"/>
      <c r="N34" s="11"/>
      <c r="O34" s="11"/>
      <c r="P34" s="11"/>
      <c r="Q34" s="11"/>
    </row>
    <row r="35" spans="1:19" x14ac:dyDescent="0.25">
      <c r="A35" s="11" t="s">
        <v>898</v>
      </c>
      <c r="B35" s="11">
        <f>B28+((C35-C28)/2)</f>
        <v>4219.3318580495306</v>
      </c>
      <c r="C35" s="11">
        <f>C28*(1+D35)</f>
        <v>5258.2432184400259</v>
      </c>
      <c r="D35" s="647">
        <v>0.02</v>
      </c>
      <c r="E35" s="280">
        <f>(C35/B35)-1</f>
        <v>0.24622651058093181</v>
      </c>
      <c r="F35" s="11"/>
      <c r="G35" s="11">
        <f>C35-C28</f>
        <v>103.10280820470689</v>
      </c>
      <c r="H35" s="11">
        <f>C38-C31</f>
        <v>57.11323441825607</v>
      </c>
      <c r="I35" s="11">
        <f>H35*'EBITDA Val'!E35</f>
        <v>434.74247969110485</v>
      </c>
      <c r="J35" s="1092">
        <f>I35/PENN!$BY$101/'EBITDA Val'!$G$45</f>
        <v>4.0809394507754142</v>
      </c>
      <c r="K35" s="687"/>
      <c r="L35" s="11"/>
      <c r="M35" s="11"/>
      <c r="N35" s="11"/>
      <c r="O35" s="11"/>
      <c r="P35" s="10" t="s">
        <v>2273</v>
      </c>
      <c r="Q35" s="11"/>
    </row>
    <row r="36" spans="1:19" x14ac:dyDescent="0.25">
      <c r="A36" s="11" t="s">
        <v>788</v>
      </c>
      <c r="B36" s="280"/>
      <c r="C36" s="647">
        <f>C29+0.005</f>
        <v>0.30394450852259902</v>
      </c>
      <c r="D36" s="1458">
        <f>C36-C29</f>
        <v>5.0000000000000044E-3</v>
      </c>
      <c r="E36" s="280"/>
      <c r="F36" s="11"/>
      <c r="G36" s="11"/>
      <c r="H36" s="11"/>
      <c r="I36" s="11"/>
      <c r="J36" s="11"/>
      <c r="K36" s="11"/>
      <c r="L36" s="11"/>
      <c r="M36" s="11"/>
      <c r="N36" s="11"/>
      <c r="O36" s="11"/>
      <c r="P36" s="11"/>
      <c r="Q36" s="2935">
        <v>2017</v>
      </c>
      <c r="R36" s="2935">
        <v>2018</v>
      </c>
      <c r="S36" s="2935">
        <v>2019</v>
      </c>
    </row>
    <row r="37" spans="1:19" x14ac:dyDescent="0.25">
      <c r="A37" s="11" t="s">
        <v>1255</v>
      </c>
      <c r="B37" s="11"/>
      <c r="C37" s="11">
        <f>C36*C35</f>
        <v>1598.2141507210429</v>
      </c>
      <c r="D37" s="280"/>
      <c r="E37" s="280"/>
      <c r="F37" s="280">
        <f>+C37/C35</f>
        <v>0.30394450852259902</v>
      </c>
      <c r="G37" s="11"/>
      <c r="H37" s="11"/>
      <c r="I37" s="11"/>
      <c r="J37" s="11"/>
      <c r="K37" s="11"/>
      <c r="L37" s="11"/>
      <c r="M37" s="11"/>
      <c r="N37" s="11"/>
      <c r="O37" s="11"/>
      <c r="P37" s="2610" t="s">
        <v>1255</v>
      </c>
      <c r="Q37" s="2934">
        <f>+PENN!BT40+SUM(Sensitivity!H35:H45)*0.5+('Exhibits 2'!GB510-'Exhibits 2'!GB482)</f>
        <v>883.19768209006372</v>
      </c>
      <c r="R37" s="2934">
        <f>+PENN!BY40+SUM(Sensitivity!H35:H45)*0.5+('Exhibits 2'!GC510-'Exhibits 2'!GC482)</f>
        <v>1232.053475196959</v>
      </c>
      <c r="S37" s="2934">
        <f>+PENN!BZ40+SUM(Sensitivity!H35:H45)*0.5+('Exhibits 2'!GD510-'Exhibits 2'!GD482)</f>
        <v>1580.3752330069826</v>
      </c>
    </row>
    <row r="38" spans="1:19" x14ac:dyDescent="0.25">
      <c r="A38" s="11" t="s">
        <v>1624</v>
      </c>
      <c r="B38" s="11"/>
      <c r="C38" s="11">
        <f>+$C$31+(C37-$C$30)</f>
        <v>788.88159748218175</v>
      </c>
      <c r="D38" s="280">
        <f>(C38-C31)/C31</f>
        <v>7.8048242177513744E-2</v>
      </c>
      <c r="E38" s="280"/>
      <c r="F38" s="280">
        <f>+C38/C35</f>
        <v>0.1500275975663638</v>
      </c>
      <c r="G38" s="11"/>
      <c r="H38" s="11"/>
      <c r="I38" s="11"/>
      <c r="J38" s="11"/>
      <c r="K38" s="11"/>
      <c r="L38" s="11"/>
      <c r="M38" s="11"/>
      <c r="N38" s="11"/>
      <c r="O38" s="11"/>
      <c r="P38" s="1454" t="s">
        <v>1624</v>
      </c>
      <c r="Q38" s="2934">
        <f>+PENN!BT54+SUM(Sensitivity!H35:H45)*0.5+('Exhibits 2'!GB510-'Exhibits 2'!GB482)</f>
        <v>427.82668209006368</v>
      </c>
      <c r="R38" s="2934">
        <f>+PENN!BY54+SUM(Sensitivity!H35:H45)*0.5+('Exhibits 2'!GC510-'Exhibits 2'!GC482)</f>
        <v>596.31226598253897</v>
      </c>
      <c r="S38" s="2934">
        <f>+PENN!BZ54+SUM(Sensitivity!H35:H45)*0.5+('Exhibits 2'!GD510-'Exhibits 2'!GD482)</f>
        <v>771.04267976812162</v>
      </c>
    </row>
    <row r="39" spans="1:19" ht="6" customHeight="1" x14ac:dyDescent="0.25">
      <c r="A39" s="11"/>
      <c r="B39" s="11"/>
      <c r="C39" s="11"/>
      <c r="D39" s="280"/>
      <c r="E39" s="280"/>
      <c r="F39" s="11"/>
      <c r="G39" s="11"/>
      <c r="H39" s="11"/>
      <c r="I39" s="11"/>
      <c r="J39" s="11"/>
      <c r="K39" s="11"/>
      <c r="L39" s="11"/>
      <c r="M39" s="11"/>
      <c r="N39" s="11"/>
      <c r="O39" s="11"/>
      <c r="P39" s="11"/>
      <c r="Q39" s="11"/>
    </row>
    <row r="40" spans="1:19" x14ac:dyDescent="0.25">
      <c r="A40" s="11" t="s">
        <v>789</v>
      </c>
      <c r="B40" s="11"/>
      <c r="C40" s="11"/>
      <c r="D40" s="280"/>
      <c r="E40" s="280"/>
      <c r="F40" s="11"/>
      <c r="G40" s="11"/>
      <c r="H40" s="11"/>
      <c r="I40" s="11"/>
      <c r="J40" s="1092"/>
      <c r="K40" s="11"/>
      <c r="L40" s="11"/>
      <c r="M40" s="11"/>
      <c r="N40" s="11"/>
      <c r="O40" s="11"/>
      <c r="P40" s="1454"/>
      <c r="Q40" s="11"/>
      <c r="R40" s="473"/>
      <c r="S40" s="473"/>
    </row>
    <row r="41" spans="1:19" ht="5.0999999999999996" customHeight="1" x14ac:dyDescent="0.25">
      <c r="A41" s="11"/>
      <c r="B41" s="11"/>
      <c r="C41" s="11"/>
      <c r="D41" s="280"/>
      <c r="E41" s="280"/>
      <c r="F41" s="11"/>
      <c r="G41" s="11"/>
      <c r="H41" s="11"/>
      <c r="I41" s="11"/>
      <c r="J41" s="1092"/>
      <c r="K41" s="11"/>
      <c r="L41" s="11"/>
      <c r="M41" s="11"/>
      <c r="N41" s="11"/>
      <c r="O41" s="11"/>
      <c r="P41" s="11"/>
      <c r="Q41" s="11"/>
    </row>
    <row r="42" spans="1:19" x14ac:dyDescent="0.25">
      <c r="A42" s="11" t="s">
        <v>1944</v>
      </c>
      <c r="B42" s="11"/>
      <c r="C42" s="11"/>
      <c r="D42" s="1093">
        <v>0.5</v>
      </c>
      <c r="E42" s="365"/>
      <c r="F42" s="11"/>
      <c r="G42" s="11"/>
      <c r="H42" s="11"/>
      <c r="I42" s="11">
        <f>D42*('EBITDA Val'!B37+Sensitivity!H35)</f>
        <v>454.23626881668946</v>
      </c>
      <c r="J42" s="1092">
        <f>I42/PENN!$BY$101/'EBITDA Val'!$G$45</f>
        <v>4.2639281781346989</v>
      </c>
      <c r="K42" s="11"/>
      <c r="O42" s="11"/>
      <c r="P42" s="11"/>
      <c r="Q42" s="11"/>
    </row>
    <row r="43" spans="1:19" ht="6" customHeight="1" x14ac:dyDescent="0.25">
      <c r="A43" s="11"/>
      <c r="B43" s="11"/>
      <c r="C43" s="11"/>
      <c r="D43" s="280"/>
      <c r="E43" s="280"/>
      <c r="F43" s="11"/>
      <c r="G43" s="11"/>
      <c r="H43" s="11"/>
      <c r="I43" s="11"/>
      <c r="J43" s="1092"/>
      <c r="K43" s="11"/>
      <c r="L43" s="11"/>
      <c r="M43" s="11"/>
      <c r="N43" s="11"/>
      <c r="O43" s="11"/>
      <c r="P43" s="11"/>
      <c r="Q43" s="11"/>
    </row>
    <row r="44" spans="1:19" ht="15.75" customHeight="1" x14ac:dyDescent="0.25">
      <c r="A44" s="1454" t="s">
        <v>2396</v>
      </c>
      <c r="B44" s="11"/>
      <c r="C44" s="11"/>
      <c r="D44" s="647">
        <v>0.05</v>
      </c>
      <c r="E44" s="365"/>
      <c r="F44" s="11"/>
      <c r="G44" s="11"/>
      <c r="H44" s="11">
        <f>PENN!BZ265*D44</f>
        <v>5.7318760146467813</v>
      </c>
      <c r="I44" s="11">
        <f>+H44*'EBITDA Val'!E7</f>
        <v>42.989070109850857</v>
      </c>
      <c r="J44" s="1092">
        <f>I44/PENN!$BY$101/'EBITDA Val'!$G$45</f>
        <v>0.40353956735051966</v>
      </c>
      <c r="K44" s="11"/>
      <c r="O44" s="11"/>
      <c r="P44" s="11"/>
      <c r="Q44" s="11"/>
    </row>
    <row r="45" spans="1:19" ht="6" customHeight="1" x14ac:dyDescent="0.25">
      <c r="A45" s="11"/>
      <c r="B45" s="11"/>
      <c r="C45" s="11"/>
      <c r="D45" s="280"/>
      <c r="E45" s="280"/>
      <c r="F45" s="11"/>
      <c r="G45" s="11"/>
      <c r="H45" s="11"/>
      <c r="I45" s="11"/>
      <c r="J45" s="1092"/>
      <c r="K45" s="11"/>
      <c r="L45" s="11"/>
      <c r="M45" s="11"/>
      <c r="N45" s="11"/>
      <c r="O45" s="11"/>
      <c r="P45" s="11"/>
      <c r="Q45" s="11"/>
    </row>
    <row r="46" spans="1:19" ht="15.75" customHeight="1" x14ac:dyDescent="0.25">
      <c r="A46" s="1454" t="s">
        <v>327</v>
      </c>
      <c r="B46" s="11"/>
      <c r="C46" s="11"/>
      <c r="D46" s="280"/>
      <c r="E46" s="280"/>
      <c r="F46" s="11"/>
      <c r="G46" s="11"/>
      <c r="H46" s="11"/>
      <c r="I46" s="11"/>
      <c r="J46" s="1092">
        <f>+'Exhibits 2'!GB529-'Exhibits 2'!GB501</f>
        <v>0.93067451520265099</v>
      </c>
      <c r="K46" s="11"/>
      <c r="L46" s="11"/>
      <c r="M46" s="11"/>
      <c r="N46" s="11"/>
      <c r="O46" s="11"/>
      <c r="P46" s="11"/>
      <c r="Q46" s="11"/>
    </row>
    <row r="47" spans="1:19" ht="6" customHeight="1" x14ac:dyDescent="0.25">
      <c r="A47" s="11"/>
      <c r="B47" s="11"/>
      <c r="C47" s="11"/>
      <c r="D47" s="280"/>
      <c r="E47" s="280"/>
      <c r="F47" s="11"/>
      <c r="G47" s="11"/>
      <c r="H47" s="11"/>
      <c r="I47" s="11"/>
      <c r="J47" s="1092"/>
      <c r="K47" s="11"/>
      <c r="L47" s="11"/>
      <c r="M47" s="11"/>
      <c r="N47" s="11"/>
      <c r="O47" s="11"/>
      <c r="P47" s="11"/>
      <c r="Q47" s="11"/>
    </row>
    <row r="48" spans="1:19" s="1453" customFormat="1" x14ac:dyDescent="0.25">
      <c r="A48" s="10" t="s">
        <v>2157</v>
      </c>
      <c r="B48" s="10"/>
      <c r="C48" s="10"/>
      <c r="D48" s="358"/>
      <c r="E48" s="358"/>
      <c r="F48" s="10"/>
      <c r="G48" s="10"/>
      <c r="H48" s="10">
        <f>SUM(H35:H44)</f>
        <v>62.84511043290285</v>
      </c>
      <c r="I48" s="10">
        <f>SUM(I35:I44)</f>
        <v>931.96781861764521</v>
      </c>
      <c r="J48" s="1094">
        <f>SUM(J35:J46)</f>
        <v>9.679081711463283</v>
      </c>
      <c r="K48" s="2933">
        <f>+'EBITDA Val'!$H$48+Sensitivity!J48</f>
        <v>38.756493394529528</v>
      </c>
      <c r="L48" s="10">
        <f>'EBITDA Val'!$B$37+H48</f>
        <v>914.20441364802571</v>
      </c>
      <c r="M48" s="10">
        <f>'EBITDA Val'!$G$37+I48</f>
        <v>7477.4166973263973</v>
      </c>
      <c r="N48" s="1096">
        <f>M48/L48</f>
        <v>8.1791518239215684</v>
      </c>
      <c r="O48" s="1096"/>
      <c r="P48" s="358"/>
      <c r="Q48" s="10"/>
    </row>
    <row r="49" spans="1:17" x14ac:dyDescent="0.25">
      <c r="A49" s="11"/>
      <c r="B49" s="11"/>
      <c r="C49" s="11"/>
      <c r="D49" s="11"/>
      <c r="E49" s="11"/>
      <c r="F49" s="11"/>
      <c r="G49" s="11"/>
      <c r="H49" s="11"/>
      <c r="I49" s="11"/>
      <c r="J49" s="11"/>
      <c r="K49" s="11"/>
      <c r="L49" s="11"/>
      <c r="M49" s="11"/>
      <c r="N49" s="11"/>
      <c r="O49" s="11"/>
      <c r="P49" s="11"/>
      <c r="Q49" s="11"/>
    </row>
    <row r="50" spans="1:17" x14ac:dyDescent="0.25">
      <c r="A50" s="11"/>
      <c r="B50" s="11"/>
      <c r="C50" s="11"/>
      <c r="D50" s="11"/>
      <c r="E50" s="11"/>
      <c r="F50" s="11"/>
      <c r="G50" s="11"/>
      <c r="H50" s="11"/>
      <c r="I50" s="11"/>
      <c r="J50" s="11"/>
      <c r="K50" s="11"/>
      <c r="L50" s="11"/>
      <c r="M50" s="11"/>
      <c r="N50" s="11"/>
      <c r="O50" s="11"/>
      <c r="P50" s="11"/>
      <c r="Q50" s="11"/>
    </row>
    <row r="51" spans="1:17" ht="16.5" thickBot="1" x14ac:dyDescent="0.3">
      <c r="A51" s="11"/>
      <c r="B51" s="11"/>
      <c r="C51" s="11"/>
      <c r="D51" s="11"/>
      <c r="E51" s="11"/>
      <c r="F51" s="11"/>
      <c r="G51" s="11"/>
      <c r="H51" s="11"/>
      <c r="I51" s="11"/>
      <c r="J51" s="11"/>
      <c r="K51" s="11"/>
      <c r="L51" s="11"/>
      <c r="M51" s="11"/>
      <c r="N51" s="11"/>
      <c r="O51" s="11"/>
      <c r="P51" s="11"/>
      <c r="Q51" s="11"/>
    </row>
    <row r="52" spans="1:17" x14ac:dyDescent="0.25">
      <c r="A52" s="1102"/>
      <c r="B52" s="1103" t="s">
        <v>707</v>
      </c>
      <c r="C52" s="11"/>
      <c r="D52" s="11"/>
      <c r="E52" s="11"/>
      <c r="F52" s="11"/>
      <c r="G52" s="11"/>
      <c r="H52" s="11"/>
      <c r="I52" s="10"/>
      <c r="J52" s="11"/>
      <c r="K52" s="1094"/>
      <c r="L52" s="11"/>
      <c r="M52" s="11"/>
      <c r="N52" s="11"/>
      <c r="O52" s="687"/>
      <c r="P52" s="11"/>
      <c r="Q52" s="11"/>
    </row>
    <row r="53" spans="1:17" x14ac:dyDescent="0.25">
      <c r="A53" s="2532" t="s">
        <v>786</v>
      </c>
      <c r="B53" s="1105">
        <f>ROUND(+'EBITDA Val'!H48,0)</f>
        <v>29</v>
      </c>
      <c r="C53" s="11"/>
      <c r="D53" s="11" t="s">
        <v>2273</v>
      </c>
      <c r="E53" s="11">
        <f>+B55</f>
        <v>39</v>
      </c>
      <c r="F53" s="280"/>
      <c r="G53" s="687"/>
      <c r="H53" s="11"/>
      <c r="I53" s="11"/>
      <c r="J53" s="11"/>
      <c r="K53" s="11"/>
      <c r="L53" s="11"/>
      <c r="M53" s="11"/>
      <c r="N53" s="11"/>
      <c r="O53" s="11"/>
      <c r="P53" s="11"/>
      <c r="Q53" s="11"/>
    </row>
    <row r="54" spans="1:17" x14ac:dyDescent="0.25">
      <c r="A54" s="2533" t="s">
        <v>785</v>
      </c>
      <c r="B54" s="1104">
        <f>ROUND(+K24,0)</f>
        <v>16</v>
      </c>
      <c r="C54" s="11"/>
      <c r="D54" s="11" t="s">
        <v>2272</v>
      </c>
      <c r="E54" s="11">
        <f>+B53</f>
        <v>29</v>
      </c>
      <c r="F54" s="280"/>
      <c r="G54" s="11"/>
      <c r="H54" s="11"/>
      <c r="I54" s="11"/>
      <c r="J54" s="11"/>
      <c r="K54" s="11"/>
      <c r="L54" s="11"/>
      <c r="M54" s="11"/>
      <c r="N54" s="11"/>
      <c r="O54" s="11"/>
      <c r="P54" s="11"/>
      <c r="Q54" s="11"/>
    </row>
    <row r="55" spans="1:17" ht="16.5" thickBot="1" x14ac:dyDescent="0.3">
      <c r="A55" s="2534" t="s">
        <v>802</v>
      </c>
      <c r="B55" s="1106">
        <f>ROUND(+K48,0)</f>
        <v>39</v>
      </c>
      <c r="C55" s="11"/>
      <c r="D55" s="11" t="s">
        <v>2274</v>
      </c>
      <c r="E55" s="11">
        <f>+B54</f>
        <v>16</v>
      </c>
      <c r="F55" s="280"/>
      <c r="G55" s="11"/>
      <c r="H55" s="11"/>
      <c r="I55" s="11"/>
      <c r="J55" s="11"/>
      <c r="K55" s="11"/>
      <c r="L55" s="11"/>
      <c r="M55" s="11"/>
      <c r="N55" s="11"/>
      <c r="O55" s="11"/>
      <c r="P55" s="11"/>
      <c r="Q55" s="11"/>
    </row>
    <row r="56" spans="1:17" x14ac:dyDescent="0.25">
      <c r="A56" s="511"/>
      <c r="B56" s="383"/>
      <c r="C56" s="11"/>
      <c r="D56" s="11"/>
      <c r="E56" s="11"/>
      <c r="F56" s="11"/>
      <c r="G56" s="11"/>
      <c r="H56" s="11"/>
      <c r="I56" s="11"/>
      <c r="J56" s="11"/>
      <c r="K56" s="11"/>
      <c r="L56" s="11"/>
      <c r="M56" s="11"/>
      <c r="N56" s="11"/>
      <c r="O56" s="11"/>
      <c r="P56" s="11"/>
      <c r="Q56" s="11"/>
    </row>
    <row r="57" spans="1:17" x14ac:dyDescent="0.25">
      <c r="A57" s="11"/>
      <c r="B57" s="11"/>
      <c r="C57" s="11"/>
      <c r="D57" s="11"/>
      <c r="E57" s="11"/>
      <c r="F57" s="11"/>
      <c r="G57" s="11"/>
      <c r="H57" s="11"/>
      <c r="I57" s="11"/>
      <c r="J57" s="11"/>
      <c r="K57" s="11"/>
      <c r="L57" s="11"/>
      <c r="M57" s="11"/>
      <c r="N57" s="11"/>
      <c r="O57" s="11"/>
      <c r="P57" s="11"/>
      <c r="Q57" s="11"/>
    </row>
    <row r="58" spans="1:17" x14ac:dyDescent="0.25">
      <c r="A58" s="359" t="s">
        <v>1494</v>
      </c>
      <c r="B58" s="11"/>
      <c r="C58" s="11"/>
      <c r="D58" s="11"/>
      <c r="E58" s="11"/>
      <c r="F58" s="11"/>
      <c r="G58" s="11"/>
      <c r="H58" s="11"/>
      <c r="I58" s="11"/>
      <c r="J58" s="11"/>
      <c r="K58" s="11"/>
      <c r="L58" s="11"/>
      <c r="M58" s="11"/>
      <c r="N58" s="11"/>
      <c r="O58" s="11"/>
      <c r="P58" s="11"/>
      <c r="Q58" s="11"/>
    </row>
    <row r="59" spans="1:17" x14ac:dyDescent="0.25">
      <c r="A59" s="10"/>
      <c r="B59" s="745" t="s">
        <v>613</v>
      </c>
      <c r="C59" s="745" t="s">
        <v>614</v>
      </c>
      <c r="D59" s="11"/>
      <c r="E59" s="11"/>
      <c r="F59" s="11"/>
      <c r="G59" s="11"/>
      <c r="H59" s="11"/>
      <c r="I59" s="11"/>
      <c r="J59" s="11"/>
      <c r="K59" s="11"/>
      <c r="L59" s="11"/>
      <c r="M59" s="11"/>
      <c r="N59" s="11"/>
      <c r="O59" s="11"/>
      <c r="P59" s="11"/>
      <c r="Q59" s="11"/>
    </row>
    <row r="60" spans="1:17" x14ac:dyDescent="0.25">
      <c r="A60" s="11" t="s">
        <v>894</v>
      </c>
      <c r="B60" s="1101">
        <v>2000</v>
      </c>
      <c r="C60" s="1101">
        <v>2000</v>
      </c>
      <c r="D60" s="11"/>
      <c r="E60" s="11"/>
      <c r="F60" s="11"/>
      <c r="G60" s="11"/>
      <c r="H60" s="11"/>
      <c r="I60" s="11"/>
      <c r="J60" s="11"/>
      <c r="K60" s="11"/>
      <c r="L60" s="11"/>
      <c r="M60" s="11"/>
      <c r="N60" s="11"/>
      <c r="O60" s="11"/>
      <c r="P60" s="11"/>
      <c r="Q60" s="11"/>
    </row>
    <row r="61" spans="1:17" x14ac:dyDescent="0.25">
      <c r="A61" s="11" t="s">
        <v>1569</v>
      </c>
      <c r="B61" s="1582">
        <v>175</v>
      </c>
      <c r="C61" s="1582">
        <v>180</v>
      </c>
      <c r="D61" s="11"/>
      <c r="E61" s="11"/>
      <c r="F61" s="11"/>
      <c r="G61" s="11"/>
      <c r="H61" s="11"/>
      <c r="I61" s="11"/>
      <c r="J61" s="11"/>
      <c r="K61" s="11"/>
      <c r="L61" s="11"/>
      <c r="M61" s="11"/>
      <c r="N61" s="11"/>
      <c r="O61" s="11"/>
      <c r="P61" s="11"/>
      <c r="Q61" s="11"/>
    </row>
    <row r="62" spans="1:17" x14ac:dyDescent="0.25">
      <c r="A62" s="11" t="s">
        <v>730</v>
      </c>
      <c r="B62" s="11">
        <f>+B60*B61*365/1000000</f>
        <v>127.75</v>
      </c>
      <c r="C62" s="11">
        <f>+C60*C61*365/1000000</f>
        <v>131.4</v>
      </c>
      <c r="D62" s="11"/>
      <c r="E62" s="11"/>
      <c r="F62" s="11"/>
      <c r="G62" s="11"/>
      <c r="H62" s="11"/>
      <c r="I62" s="11"/>
      <c r="J62" s="11"/>
      <c r="K62" s="280">
        <v>0.1111111111111111</v>
      </c>
      <c r="L62" s="11"/>
      <c r="M62" s="11"/>
      <c r="N62" s="11"/>
      <c r="O62" s="11"/>
      <c r="P62" s="11"/>
      <c r="Q62" s="11"/>
    </row>
    <row r="63" spans="1:17" x14ac:dyDescent="0.25">
      <c r="A63" s="294" t="s">
        <v>645</v>
      </c>
      <c r="B63" s="294">
        <f>-0.07*B62</f>
        <v>-8.9425000000000008</v>
      </c>
      <c r="C63" s="294">
        <f>-0.07*C62</f>
        <v>-9.1980000000000004</v>
      </c>
      <c r="D63" s="11"/>
      <c r="E63" s="11"/>
      <c r="F63" s="11"/>
      <c r="G63" s="11"/>
      <c r="H63" s="11"/>
      <c r="I63" s="11"/>
      <c r="J63" s="11"/>
      <c r="K63" s="11"/>
      <c r="L63" s="11"/>
      <c r="M63" s="11"/>
      <c r="N63" s="11"/>
      <c r="O63" s="11"/>
      <c r="P63" s="11"/>
      <c r="Q63" s="11"/>
    </row>
    <row r="64" spans="1:17" x14ac:dyDescent="0.25">
      <c r="A64" s="10" t="s">
        <v>1570</v>
      </c>
      <c r="B64" s="10">
        <f>+B62-B63</f>
        <v>136.6925</v>
      </c>
      <c r="C64" s="10">
        <f>+C62-C63</f>
        <v>140.59800000000001</v>
      </c>
      <c r="D64" s="11"/>
      <c r="E64" s="11"/>
      <c r="F64" s="11"/>
      <c r="G64" s="11"/>
      <c r="H64" s="11"/>
      <c r="I64" s="11"/>
      <c r="J64" s="11"/>
      <c r="K64" s="11"/>
      <c r="L64" s="11"/>
      <c r="M64" s="11"/>
      <c r="N64" s="11"/>
      <c r="O64" s="11"/>
      <c r="P64" s="11"/>
      <c r="Q64" s="11"/>
    </row>
    <row r="65" spans="1:17" x14ac:dyDescent="0.25">
      <c r="A65" s="11"/>
      <c r="B65" s="11"/>
      <c r="C65" s="11"/>
      <c r="D65" s="11"/>
      <c r="E65" s="11"/>
      <c r="F65" s="11"/>
      <c r="G65" s="11"/>
      <c r="H65" s="11"/>
      <c r="I65" s="11"/>
      <c r="J65" s="11"/>
      <c r="K65" s="11"/>
      <c r="L65" s="11"/>
      <c r="M65" s="11"/>
      <c r="N65" s="11"/>
      <c r="O65" s="11"/>
      <c r="P65" s="11"/>
      <c r="Q65" s="11"/>
    </row>
    <row r="66" spans="1:17" x14ac:dyDescent="0.25">
      <c r="A66" s="11" t="s">
        <v>601</v>
      </c>
      <c r="B66" s="423">
        <f>-B67*B64</f>
        <v>-54.677</v>
      </c>
      <c r="C66" s="423">
        <f>-C67*C64</f>
        <v>-56.239200000000011</v>
      </c>
      <c r="D66" s="11"/>
      <c r="E66" s="11"/>
      <c r="F66" s="11"/>
      <c r="G66" s="11"/>
      <c r="H66" s="11"/>
      <c r="I66" s="11"/>
      <c r="J66" s="11"/>
      <c r="K66" s="11"/>
      <c r="L66" s="11"/>
      <c r="M66" s="11"/>
      <c r="N66" s="11"/>
      <c r="O66" s="11"/>
      <c r="P66" s="11"/>
      <c r="Q66" s="11"/>
    </row>
    <row r="67" spans="1:17" x14ac:dyDescent="0.25">
      <c r="A67" s="11" t="s">
        <v>1571</v>
      </c>
      <c r="B67" s="647">
        <v>0.4</v>
      </c>
      <c r="C67" s="647">
        <v>0.4</v>
      </c>
      <c r="D67" s="11"/>
      <c r="E67" s="11"/>
      <c r="F67" s="11"/>
      <c r="G67" s="11"/>
      <c r="H67" s="11"/>
      <c r="I67" s="11"/>
      <c r="J67" s="11"/>
      <c r="K67" s="11"/>
      <c r="L67" s="11"/>
      <c r="M67" s="11"/>
      <c r="N67" s="11"/>
      <c r="O67" s="11"/>
      <c r="P67" s="11"/>
      <c r="Q67" s="11"/>
    </row>
    <row r="68" spans="1:17" x14ac:dyDescent="0.25">
      <c r="A68" s="11" t="s">
        <v>2270</v>
      </c>
      <c r="B68" s="423">
        <f>-B69*B62</f>
        <v>-42.796250000000001</v>
      </c>
      <c r="C68" s="423">
        <f>-C69*C62</f>
        <v>-44.019000000000005</v>
      </c>
      <c r="D68" s="11"/>
      <c r="E68" s="11"/>
      <c r="F68" s="11"/>
      <c r="G68" s="11"/>
      <c r="H68" s="11"/>
      <c r="I68" s="11"/>
      <c r="J68" s="11"/>
      <c r="K68" s="11"/>
      <c r="L68" s="11"/>
      <c r="M68" s="11"/>
      <c r="N68" s="11"/>
      <c r="O68" s="11"/>
      <c r="P68" s="11"/>
      <c r="Q68" s="11"/>
    </row>
    <row r="69" spans="1:17" x14ac:dyDescent="0.25">
      <c r="A69" s="294"/>
      <c r="B69" s="1098">
        <v>0.33500000000000002</v>
      </c>
      <c r="C69" s="1098">
        <v>0.33500000000000002</v>
      </c>
      <c r="D69" s="11"/>
      <c r="E69" s="11"/>
      <c r="F69" s="11"/>
      <c r="G69" s="11"/>
      <c r="H69" s="11"/>
      <c r="I69" s="11"/>
      <c r="J69" s="11"/>
      <c r="K69" s="11"/>
      <c r="L69" s="11"/>
      <c r="M69" s="11"/>
      <c r="N69" s="11"/>
      <c r="O69" s="11"/>
      <c r="P69" s="11"/>
      <c r="Q69" s="11"/>
    </row>
    <row r="70" spans="1:17" x14ac:dyDescent="0.25">
      <c r="A70" s="10" t="s">
        <v>2162</v>
      </c>
      <c r="B70" s="10">
        <f>+B66+B68</f>
        <v>-97.473250000000007</v>
      </c>
      <c r="C70" s="10">
        <f>+C66+C68</f>
        <v>-100.25820000000002</v>
      </c>
      <c r="D70" s="11"/>
      <c r="E70" s="11"/>
      <c r="F70" s="11"/>
      <c r="G70" s="11"/>
      <c r="H70" s="11"/>
      <c r="I70" s="11"/>
      <c r="J70" s="11"/>
      <c r="K70" s="11"/>
      <c r="L70" s="11"/>
      <c r="M70" s="11"/>
      <c r="N70" s="11"/>
      <c r="O70" s="11"/>
      <c r="P70" s="11"/>
      <c r="Q70" s="11"/>
    </row>
    <row r="71" spans="1:17" x14ac:dyDescent="0.25">
      <c r="A71" s="11"/>
      <c r="B71" s="11"/>
      <c r="C71" s="11"/>
      <c r="D71" s="11"/>
      <c r="E71" s="11"/>
      <c r="F71" s="11"/>
      <c r="G71" s="11"/>
      <c r="H71" s="11"/>
      <c r="I71" s="11"/>
      <c r="J71" s="11"/>
      <c r="K71" s="11"/>
      <c r="L71" s="11"/>
      <c r="M71" s="11"/>
      <c r="N71" s="11"/>
      <c r="O71" s="11"/>
      <c r="P71" s="11"/>
      <c r="Q71" s="11"/>
    </row>
    <row r="72" spans="1:17" x14ac:dyDescent="0.25">
      <c r="A72" s="1100" t="s">
        <v>1624</v>
      </c>
      <c r="B72" s="385">
        <f>+B64+B70</f>
        <v>39.219249999999988</v>
      </c>
      <c r="C72" s="851">
        <f>+C64+C70</f>
        <v>40.339799999999997</v>
      </c>
      <c r="D72" s="11"/>
      <c r="E72" s="11"/>
      <c r="F72" s="11"/>
      <c r="G72" s="11"/>
      <c r="H72" s="11"/>
      <c r="I72" s="11"/>
      <c r="J72" s="11"/>
      <c r="K72" s="11"/>
      <c r="L72" s="11"/>
      <c r="M72" s="11"/>
      <c r="N72" s="11"/>
      <c r="O72" s="11"/>
      <c r="P72" s="11"/>
      <c r="Q72" s="11"/>
    </row>
    <row r="73" spans="1:17" x14ac:dyDescent="0.25">
      <c r="A73" s="11"/>
      <c r="B73" s="11"/>
      <c r="C73" s="11"/>
      <c r="D73" s="11"/>
      <c r="E73" s="11"/>
      <c r="F73" s="11"/>
      <c r="G73" s="11"/>
      <c r="H73" s="11"/>
      <c r="I73" s="11"/>
      <c r="J73" s="11"/>
      <c r="K73" s="11"/>
      <c r="L73" s="11"/>
      <c r="M73" s="11"/>
      <c r="N73" s="11"/>
      <c r="O73" s="11"/>
      <c r="P73" s="11"/>
      <c r="Q73" s="11"/>
    </row>
    <row r="74" spans="1:17" x14ac:dyDescent="0.25">
      <c r="A74" s="11" t="s">
        <v>1495</v>
      </c>
      <c r="B74" s="1583">
        <f>+'EBITDA Val'!E37</f>
        <v>7.6119394063268251</v>
      </c>
      <c r="C74" s="1583">
        <f>+B74</f>
        <v>7.6119394063268251</v>
      </c>
      <c r="D74" s="11"/>
      <c r="E74" s="11"/>
      <c r="F74" s="11"/>
      <c r="G74" s="11"/>
      <c r="H74" s="11"/>
      <c r="I74" s="11"/>
      <c r="J74" s="11"/>
      <c r="K74" s="11"/>
      <c r="L74" s="11"/>
      <c r="M74" s="11"/>
      <c r="N74" s="11"/>
      <c r="O74" s="11"/>
      <c r="P74" s="11"/>
      <c r="Q74" s="11"/>
    </row>
    <row r="75" spans="1:17" x14ac:dyDescent="0.25">
      <c r="A75" s="11" t="s">
        <v>847</v>
      </c>
      <c r="B75" s="11">
        <f>+B72*B74</f>
        <v>298.53455456158326</v>
      </c>
      <c r="C75" s="11">
        <f>+C72*C74</f>
        <v>307.06411326334285</v>
      </c>
      <c r="D75" s="11"/>
      <c r="E75" s="11"/>
      <c r="F75" s="11"/>
      <c r="G75" s="11"/>
      <c r="H75" s="11"/>
      <c r="I75" s="11"/>
      <c r="J75" s="11"/>
      <c r="K75" s="11"/>
      <c r="L75" s="11"/>
      <c r="M75" s="11"/>
      <c r="N75" s="11"/>
      <c r="O75" s="11"/>
      <c r="P75" s="11"/>
      <c r="Q75" s="11"/>
    </row>
    <row r="76" spans="1:17" x14ac:dyDescent="0.25">
      <c r="A76" s="11" t="s">
        <v>1496</v>
      </c>
      <c r="B76" s="11">
        <v>-50</v>
      </c>
      <c r="C76" s="11">
        <v>-50</v>
      </c>
      <c r="D76" s="11"/>
      <c r="E76" s="11"/>
      <c r="F76" s="11"/>
      <c r="G76" s="11"/>
      <c r="H76" s="11"/>
      <c r="I76" s="11"/>
      <c r="J76" s="11"/>
      <c r="K76" s="11"/>
      <c r="L76" s="11"/>
      <c r="M76" s="11"/>
      <c r="N76" s="11"/>
      <c r="O76" s="11"/>
      <c r="P76" s="11"/>
      <c r="Q76" s="11"/>
    </row>
    <row r="77" spans="1:17" x14ac:dyDescent="0.25">
      <c r="A77" s="11" t="s">
        <v>1348</v>
      </c>
      <c r="B77" s="11">
        <v>-150</v>
      </c>
      <c r="C77" s="11">
        <v>-150</v>
      </c>
      <c r="D77" s="11"/>
      <c r="E77" s="11"/>
      <c r="F77" s="11"/>
      <c r="G77" s="11"/>
      <c r="H77" s="11"/>
      <c r="I77" s="11"/>
      <c r="J77" s="11"/>
      <c r="K77" s="11"/>
      <c r="L77" s="11"/>
      <c r="M77" s="11"/>
      <c r="N77" s="11"/>
      <c r="O77" s="11"/>
      <c r="P77" s="11"/>
      <c r="Q77" s="11"/>
    </row>
    <row r="78" spans="1:17" x14ac:dyDescent="0.25">
      <c r="A78" s="11" t="s">
        <v>1497</v>
      </c>
      <c r="B78" s="11">
        <v>-75</v>
      </c>
      <c r="C78" s="11">
        <v>-75</v>
      </c>
      <c r="D78" s="11"/>
      <c r="E78" s="11"/>
      <c r="F78" s="11"/>
      <c r="G78" s="11"/>
      <c r="H78" s="11"/>
      <c r="I78" s="11"/>
      <c r="J78" s="11"/>
      <c r="K78" s="11"/>
      <c r="L78" s="11"/>
      <c r="M78" s="11"/>
      <c r="N78" s="11"/>
      <c r="O78" s="11"/>
      <c r="P78" s="11"/>
      <c r="Q78" s="11"/>
    </row>
    <row r="79" spans="1:17" x14ac:dyDescent="0.25">
      <c r="A79" s="10" t="s">
        <v>1470</v>
      </c>
      <c r="B79" s="10">
        <f>+SUM(B75:B78)</f>
        <v>23.534554561583263</v>
      </c>
      <c r="C79" s="10">
        <f>+SUM(C75:C78)</f>
        <v>32.064113263342847</v>
      </c>
      <c r="D79" s="11"/>
      <c r="E79" s="11"/>
      <c r="F79" s="11"/>
      <c r="G79" s="11"/>
      <c r="H79" s="11"/>
      <c r="I79" s="11"/>
      <c r="J79" s="11"/>
      <c r="K79" s="11"/>
      <c r="L79" s="11"/>
      <c r="M79" s="11"/>
      <c r="N79" s="11"/>
      <c r="O79" s="11"/>
      <c r="P79" s="11"/>
      <c r="Q79" s="11"/>
    </row>
    <row r="80" spans="1:17" x14ac:dyDescent="0.25">
      <c r="A80" s="11"/>
      <c r="B80" s="11"/>
      <c r="C80" s="11"/>
      <c r="D80" s="11"/>
      <c r="E80" s="11"/>
      <c r="F80" s="11"/>
      <c r="G80" s="11"/>
      <c r="H80" s="11"/>
      <c r="I80" s="11"/>
      <c r="J80" s="11"/>
      <c r="K80" s="11"/>
      <c r="L80" s="11"/>
      <c r="M80" s="11"/>
      <c r="N80" s="11"/>
      <c r="O80" s="11"/>
      <c r="P80" s="11"/>
      <c r="Q80" s="11"/>
    </row>
    <row r="81" spans="1:17" x14ac:dyDescent="0.25">
      <c r="A81" s="11" t="s">
        <v>1536</v>
      </c>
      <c r="B81" s="11">
        <f>'EBITDA Val'!G47</f>
        <v>92.393000000000001</v>
      </c>
      <c r="C81" s="11">
        <f>+B81</f>
        <v>92.393000000000001</v>
      </c>
      <c r="D81" s="11"/>
      <c r="E81" s="11"/>
      <c r="F81" s="11"/>
      <c r="G81" s="11"/>
      <c r="H81" s="11"/>
      <c r="I81" s="11"/>
      <c r="J81" s="11"/>
      <c r="K81" s="11"/>
      <c r="L81" s="11"/>
      <c r="M81" s="11"/>
      <c r="N81" s="11"/>
      <c r="O81" s="11"/>
      <c r="P81" s="11"/>
      <c r="Q81" s="11"/>
    </row>
    <row r="82" spans="1:17" x14ac:dyDescent="0.25">
      <c r="A82" s="1100" t="s">
        <v>1498</v>
      </c>
      <c r="B82" s="1584">
        <f>+B79/B81</f>
        <v>0.25472226858726593</v>
      </c>
      <c r="C82" s="1585">
        <f>+C79/C81</f>
        <v>0.34704050375399487</v>
      </c>
      <c r="D82" s="11"/>
      <c r="E82" s="11"/>
      <c r="F82" s="11"/>
      <c r="G82" s="11"/>
      <c r="H82" s="11"/>
      <c r="I82" s="11"/>
      <c r="J82" s="11"/>
      <c r="K82" s="11"/>
      <c r="L82" s="11"/>
      <c r="M82" s="11"/>
      <c r="N82" s="11"/>
      <c r="O82" s="11"/>
      <c r="P82" s="11"/>
      <c r="Q82" s="11"/>
    </row>
  </sheetData>
  <phoneticPr fontId="13"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autoPageBreaks="0" fitToPage="1"/>
  </sheetPr>
  <dimension ref="B2:IU921"/>
  <sheetViews>
    <sheetView topLeftCell="GL642" zoomScale="70" zoomScaleNormal="70" workbookViewId="0">
      <selection activeCell="GU682" sqref="GU682"/>
    </sheetView>
  </sheetViews>
  <sheetFormatPr defaultColWidth="12.625" defaultRowHeight="12.75" outlineLevelRow="1" outlineLevelCol="2" x14ac:dyDescent="0.2"/>
  <cols>
    <col min="1" max="45" width="9" style="1454" customWidth="1"/>
    <col min="46" max="46" width="2.125" style="1454" customWidth="1"/>
    <col min="47" max="51" width="9" style="1454" customWidth="1"/>
    <col min="52" max="52" width="18.625" style="1454" customWidth="1"/>
    <col min="53" max="67" width="9" style="1454" customWidth="1"/>
    <col min="68" max="68" width="2.5" style="1454" customWidth="1"/>
    <col min="69" max="69" width="9" style="1454" customWidth="1"/>
    <col min="70" max="70" width="26.625" style="1454" customWidth="1"/>
    <col min="71" max="77" width="9" style="1454" customWidth="1"/>
    <col min="78" max="78" width="25.125" style="1454" customWidth="1"/>
    <col min="79" max="82" width="9" style="1454" customWidth="1"/>
    <col min="83" max="83" width="25.125" style="1454" customWidth="1"/>
    <col min="84" max="86" width="9" style="1454" customWidth="1"/>
    <col min="87" max="87" width="11.75" style="1454" bestFit="1" customWidth="1"/>
    <col min="88" max="89" width="9" style="1454" customWidth="1"/>
    <col min="90" max="90" width="18.5" style="1454" bestFit="1" customWidth="1"/>
    <col min="91" max="93" width="9" style="1454" customWidth="1"/>
    <col min="94" max="94" width="27.125" style="1454" bestFit="1" customWidth="1"/>
    <col min="95" max="98" width="9" style="1454" customWidth="1"/>
    <col min="99" max="99" width="19.875" style="1454" customWidth="1"/>
    <col min="100" max="108" width="9" style="1454" customWidth="1"/>
    <col min="109" max="109" width="47.75" style="1454" bestFit="1" customWidth="1"/>
    <col min="110" max="113" width="9" style="1454" hidden="1" customWidth="1" outlineLevel="1"/>
    <col min="114" max="114" width="9" style="1454" customWidth="1" collapsed="1"/>
    <col min="115" max="121" width="9" style="1454" customWidth="1"/>
    <col min="122" max="122" width="15.375" style="1454" bestFit="1" customWidth="1"/>
    <col min="123" max="123" width="42" style="1454" bestFit="1" customWidth="1"/>
    <col min="124" max="126" width="9" style="1454" customWidth="1"/>
    <col min="127" max="127" width="26.25" style="1454" customWidth="1"/>
    <col min="128" max="129" width="9" style="1454" customWidth="1"/>
    <col min="130" max="130" width="27.125" style="1454" customWidth="1"/>
    <col min="131" max="144" width="9" style="1454" customWidth="1"/>
    <col min="145" max="145" width="20.625" style="1454" customWidth="1"/>
    <col min="146" max="157" width="9" style="1454" hidden="1" customWidth="1" outlineLevel="2"/>
    <col min="158" max="158" width="6.625" style="1454" customWidth="1" collapsed="1"/>
    <col min="159" max="169" width="6.625" style="1454" customWidth="1"/>
    <col min="170" max="171" width="9" style="1454" customWidth="1"/>
    <col min="172" max="172" width="28.125" style="1454" customWidth="1"/>
    <col min="173" max="174" width="9" style="1454" customWidth="1"/>
    <col min="175" max="175" width="0" style="1454" hidden="1" customWidth="1"/>
    <col min="176" max="182" width="9" style="1454" customWidth="1"/>
    <col min="183" max="183" width="35.625" style="1454" customWidth="1"/>
    <col min="184" max="189" width="9" style="1454" customWidth="1"/>
    <col min="190" max="190" width="2.625" style="1454" customWidth="1"/>
    <col min="191" max="191" width="11.625" style="1454" bestFit="1" customWidth="1"/>
    <col min="192" max="192" width="9" style="1454" customWidth="1"/>
    <col min="193" max="193" width="27.5" style="1454" bestFit="1" customWidth="1"/>
    <col min="194" max="198" width="9" style="1454" customWidth="1"/>
    <col min="199" max="199" width="18.75" style="1454" customWidth="1"/>
    <col min="200" max="202" width="9" style="1454" customWidth="1"/>
    <col min="203" max="203" width="35.625" style="1454" customWidth="1"/>
    <col min="204" max="208" width="9" style="1454" customWidth="1"/>
    <col min="209" max="210" width="12.625" style="1454" customWidth="1"/>
    <col min="211" max="211" width="31" style="1454" customWidth="1"/>
    <col min="212" max="216" width="9" style="1454" customWidth="1"/>
    <col min="217" max="217" width="23.25" style="1454" bestFit="1" customWidth="1"/>
    <col min="218" max="219" width="9" style="1454" customWidth="1"/>
    <col min="220" max="220" width="5.5" style="1454" customWidth="1"/>
    <col min="221" max="225" width="9" style="1454" customWidth="1"/>
    <col min="226" max="226" width="35.5" style="1454" bestFit="1" customWidth="1"/>
    <col min="227" max="228" width="10.625" style="1454" customWidth="1"/>
    <col min="229" max="229" width="69.625" style="1454" bestFit="1" customWidth="1"/>
    <col min="230" max="230" width="15.125" style="1454" customWidth="1"/>
    <col min="231" max="231" width="13.625" style="1454" customWidth="1"/>
    <col min="232" max="232" width="11.75" style="1454" customWidth="1"/>
    <col min="233" max="233" width="10.375" style="1454" customWidth="1"/>
    <col min="234" max="238" width="9" style="1454" customWidth="1"/>
    <col min="239" max="239" width="24.125" style="1454" bestFit="1" customWidth="1"/>
    <col min="240" max="240" width="17.25" style="1454" customWidth="1"/>
    <col min="241" max="242" width="9" style="1454" customWidth="1"/>
    <col min="243" max="243" width="14.5" style="1454" bestFit="1" customWidth="1"/>
    <col min="244" max="244" width="14.5" style="1454" customWidth="1"/>
    <col min="245" max="247" width="9" style="1454" customWidth="1"/>
    <col min="248" max="248" width="2.625" style="1454" customWidth="1"/>
    <col min="249" max="249" width="24.875" style="1454" bestFit="1" customWidth="1"/>
    <col min="250" max="252" width="12.625" style="1454" customWidth="1"/>
    <col min="253" max="253" width="13.75" style="1454" customWidth="1"/>
    <col min="254" max="16384" width="12.625" style="1454"/>
  </cols>
  <sheetData>
    <row r="2" spans="2:7" x14ac:dyDescent="0.2">
      <c r="B2" s="359" t="s">
        <v>928</v>
      </c>
    </row>
    <row r="3" spans="2:7" x14ac:dyDescent="0.2">
      <c r="B3" s="359"/>
    </row>
    <row r="4" spans="2:7" x14ac:dyDescent="0.2">
      <c r="B4" s="416" t="s">
        <v>929</v>
      </c>
    </row>
    <row r="5" spans="2:7" x14ac:dyDescent="0.2">
      <c r="B5" s="873" t="s">
        <v>1833</v>
      </c>
      <c r="E5" s="745">
        <v>2011</v>
      </c>
      <c r="F5" s="745" t="s">
        <v>1136</v>
      </c>
      <c r="G5" s="745" t="s">
        <v>1137</v>
      </c>
    </row>
    <row r="6" spans="2:7" x14ac:dyDescent="0.2">
      <c r="B6" s="1454" t="s">
        <v>1788</v>
      </c>
      <c r="E6" s="1454">
        <f>+PENN!AP265</f>
        <v>194.67963596871107</v>
      </c>
      <c r="F6" s="1454">
        <f>+PENN!AU265</f>
        <v>196.90871662906051</v>
      </c>
      <c r="G6" s="1454">
        <f>+PENN!AZ265</f>
        <v>155.40752876311831</v>
      </c>
    </row>
    <row r="7" spans="2:7" x14ac:dyDescent="0.2">
      <c r="B7" s="1454" t="s">
        <v>1092</v>
      </c>
      <c r="E7" s="1454">
        <f>+PENN!AP296</f>
        <v>143.28475072690003</v>
      </c>
      <c r="F7" s="1454">
        <f>+PENN!AU296</f>
        <v>136.72670961208999</v>
      </c>
      <c r="G7" s="1454">
        <f>+PENN!AZ296</f>
        <v>96.87660598968597</v>
      </c>
    </row>
    <row r="8" spans="2:7" x14ac:dyDescent="0.2">
      <c r="B8" s="1454" t="s">
        <v>1549</v>
      </c>
      <c r="E8" s="1454">
        <f>+PENN!AP267</f>
        <v>85.15442047735894</v>
      </c>
      <c r="F8" s="1454">
        <f>+PENN!AU267</f>
        <v>86.129964783877639</v>
      </c>
      <c r="G8" s="1454">
        <f>+PENN!AZ267</f>
        <v>79.779594112517515</v>
      </c>
    </row>
    <row r="9" spans="2:7" x14ac:dyDescent="0.2">
      <c r="B9" s="1454" t="s">
        <v>1094</v>
      </c>
      <c r="E9" s="1454">
        <f>+PENN!AP293</f>
        <v>54.015139000000005</v>
      </c>
      <c r="F9" s="1454">
        <f>+PENN!AU293</f>
        <v>49.796918194999982</v>
      </c>
      <c r="G9" s="1454">
        <f>+PENN!AZ293</f>
        <v>49.459153767099991</v>
      </c>
    </row>
    <row r="10" spans="2:7" x14ac:dyDescent="0.2">
      <c r="B10" s="1454" t="s">
        <v>1786</v>
      </c>
      <c r="E10" s="1454">
        <f>+PENN!AP294</f>
        <v>27.943953950000001</v>
      </c>
      <c r="F10" s="1454">
        <f>+PENN!AU294</f>
        <v>33.239632302499999</v>
      </c>
      <c r="G10" s="1454">
        <f>+PENN!AZ294</f>
        <v>31.810766923825003</v>
      </c>
    </row>
    <row r="11" spans="2:7" x14ac:dyDescent="0.2">
      <c r="B11" s="1454" t="s">
        <v>1093</v>
      </c>
      <c r="E11" s="1454">
        <f>+PENN!AP297</f>
        <v>71.420191476650018</v>
      </c>
      <c r="F11" s="1454">
        <f>+PENN!AU297</f>
        <v>54.092685367668764</v>
      </c>
      <c r="G11" s="1454">
        <f>+PENN!AZ297</f>
        <v>46.688362702962152</v>
      </c>
    </row>
    <row r="12" spans="2:7" x14ac:dyDescent="0.2">
      <c r="B12" s="1454" t="s">
        <v>1548</v>
      </c>
      <c r="E12" s="1454">
        <f>+PENN!AP301</f>
        <v>45.801179691455999</v>
      </c>
      <c r="F12" s="1454">
        <f>+PENN!AU301</f>
        <v>41.225239864306388</v>
      </c>
      <c r="G12" s="1454">
        <f>+PENN!AZ301</f>
        <v>19.330864184133802</v>
      </c>
    </row>
    <row r="13" spans="2:7" x14ac:dyDescent="0.2">
      <c r="B13" s="1454" t="s">
        <v>1020</v>
      </c>
      <c r="E13" s="1454">
        <f>+PENN!AP295</f>
        <v>17.980675220000009</v>
      </c>
      <c r="F13" s="1454">
        <f>+PENN!AU295</f>
        <v>18.612909079000012</v>
      </c>
      <c r="G13" s="1454">
        <f>+PENN!AZ295</f>
        <v>15.545179674140014</v>
      </c>
    </row>
    <row r="14" spans="2:7" x14ac:dyDescent="0.2">
      <c r="B14" s="1454" t="s">
        <v>616</v>
      </c>
      <c r="E14" s="1454">
        <f>+PENN!AP284</f>
        <v>17.288400000000003</v>
      </c>
      <c r="F14" s="1454">
        <f>+PENN!AU284</f>
        <v>14.628497000000007</v>
      </c>
      <c r="G14" s="1454">
        <f>+PENN!AZ284</f>
        <v>11.651736330000004</v>
      </c>
    </row>
    <row r="15" spans="2:7" x14ac:dyDescent="0.2">
      <c r="B15" s="1454" t="s">
        <v>615</v>
      </c>
      <c r="E15" s="1454">
        <f>+PENN!AP286</f>
        <v>18.675759999999997</v>
      </c>
      <c r="F15" s="1454">
        <f>+PENN!AU286</f>
        <v>19.398624000000002</v>
      </c>
      <c r="G15" s="1454">
        <f>+PENN!AZ286</f>
        <v>16.037741740000001</v>
      </c>
    </row>
    <row r="16" spans="2:7" x14ac:dyDescent="0.2">
      <c r="B16" s="1454" t="s">
        <v>1019</v>
      </c>
      <c r="E16" s="1454">
        <f>+PENN!AP298</f>
        <v>23.418044780111487</v>
      </c>
      <c r="F16" s="1454">
        <f>+PENN!AU298</f>
        <v>22.905767682646015</v>
      </c>
      <c r="G16" s="1454">
        <f>+PENN!AZ298</f>
        <v>17.96114725166202</v>
      </c>
    </row>
    <row r="17" spans="2:8" x14ac:dyDescent="0.2">
      <c r="B17" s="1454" t="s">
        <v>1453</v>
      </c>
      <c r="E17" s="1454">
        <f>+PENN!AP287</f>
        <v>18.363259999999997</v>
      </c>
      <c r="F17" s="1454">
        <f>+PENN!AU287</f>
        <v>13.926579699999998</v>
      </c>
      <c r="G17" s="1454">
        <f>+PENN!AZ287</f>
        <v>8.4647523759999981</v>
      </c>
    </row>
    <row r="18" spans="2:8" x14ac:dyDescent="0.2">
      <c r="B18" s="1454" t="s">
        <v>1090</v>
      </c>
      <c r="E18" s="1454">
        <f>+PENN!AP266</f>
        <v>15.757923966376</v>
      </c>
      <c r="F18" s="1454">
        <f>+PENN!AU266</f>
        <v>17.932831097228487</v>
      </c>
      <c r="G18" s="1454">
        <f>+PENN!AZ266</f>
        <v>14.140670420505488</v>
      </c>
    </row>
    <row r="19" spans="2:8" x14ac:dyDescent="0.2">
      <c r="B19" s="1454" t="s">
        <v>1089</v>
      </c>
      <c r="E19" s="1454">
        <f>+PENN!AP310</f>
        <v>-0.20414999999999972</v>
      </c>
      <c r="F19" s="1454">
        <f>+PENN!AU310</f>
        <v>-6.3714899999999464E-2</v>
      </c>
      <c r="G19" s="1454">
        <f>+PENN!AZ310</f>
        <v>0.86505930000000131</v>
      </c>
    </row>
    <row r="20" spans="2:8" x14ac:dyDescent="0.2">
      <c r="B20" s="1454" t="s">
        <v>1479</v>
      </c>
      <c r="E20" s="1454">
        <f>+PENN!AP280</f>
        <v>29.551471500000002</v>
      </c>
      <c r="F20" s="1454">
        <f>+PENN!AU280</f>
        <v>29.167682608500002</v>
      </c>
      <c r="G20" s="1454">
        <f>+PENN!AZ280</f>
        <v>30.300081514205001</v>
      </c>
    </row>
    <row r="21" spans="2:8" x14ac:dyDescent="0.2">
      <c r="B21" s="2575" t="s">
        <v>1942</v>
      </c>
      <c r="E21" s="1454">
        <f>+PENN!AP270</f>
        <v>13.973840000000001</v>
      </c>
      <c r="F21" s="1454">
        <f>+PENN!AU270</f>
        <v>14.190196800000002</v>
      </c>
      <c r="G21" s="1454">
        <f>+PENN!AZ270</f>
        <v>14.126196800000001</v>
      </c>
    </row>
    <row r="22" spans="2:8" x14ac:dyDescent="0.2">
      <c r="B22" s="2617" t="s">
        <v>1787</v>
      </c>
      <c r="E22" s="1454">
        <f>+PENN!AP274</f>
        <v>21.38452210258799</v>
      </c>
      <c r="F22" s="1454">
        <f>+PENN!AU274</f>
        <v>18.569591764489971</v>
      </c>
      <c r="G22" s="1454">
        <f>+PENN!AZ274</f>
        <v>12.20014668416761</v>
      </c>
    </row>
    <row r="23" spans="2:8" x14ac:dyDescent="0.2">
      <c r="B23" s="10" t="s">
        <v>1912</v>
      </c>
      <c r="E23" s="10">
        <f>+SUM(E6:E22)</f>
        <v>798.48901886015142</v>
      </c>
      <c r="F23" s="10">
        <f>+SUM(F6:F22)</f>
        <v>767.38883158636793</v>
      </c>
      <c r="G23" s="10">
        <f>+SUM(G6:G22)</f>
        <v>620.64558853402286</v>
      </c>
    </row>
    <row r="25" spans="2:8" x14ac:dyDescent="0.2">
      <c r="B25" s="1454" t="s">
        <v>926</v>
      </c>
      <c r="E25" s="1454">
        <f>+E23-E27</f>
        <v>555.50811081371694</v>
      </c>
      <c r="F25" s="1454">
        <f>+F23-F27</f>
        <v>525.91648167062579</v>
      </c>
      <c r="G25" s="1454">
        <f>+G23-G27</f>
        <v>408.03803470682521</v>
      </c>
    </row>
    <row r="26" spans="2:8" x14ac:dyDescent="0.2">
      <c r="B26" s="416" t="s">
        <v>927</v>
      </c>
      <c r="F26" s="2610">
        <f>+F25/E25-1</f>
        <v>-5.3269481699816934E-2</v>
      </c>
      <c r="G26" s="2610">
        <f>+G25/F25-1</f>
        <v>-0.22413910016538752</v>
      </c>
      <c r="H26" s="2610">
        <f>+(G25/E25)^(0.5)-1</f>
        <v>-0.14295204811558582</v>
      </c>
    </row>
    <row r="27" spans="2:8" x14ac:dyDescent="0.2">
      <c r="B27" s="1454" t="s">
        <v>966</v>
      </c>
      <c r="E27" s="1454">
        <f>+E8+E13+E14+E15+E16+E18+E19+E20+E21+E22</f>
        <v>242.98090804643442</v>
      </c>
      <c r="F27" s="1454">
        <f>+F8+F13+F14+F15+F16+F18+F19+F20+F21+F22</f>
        <v>241.47234991574214</v>
      </c>
      <c r="G27" s="1454">
        <f>+G8+G13+G14+G15+G16+G18+G19+G20+G21+G22</f>
        <v>212.60755382719768</v>
      </c>
    </row>
    <row r="28" spans="2:8" x14ac:dyDescent="0.2">
      <c r="B28" s="416" t="s">
        <v>927</v>
      </c>
      <c r="F28" s="2610">
        <f>+F27/E27-1</f>
        <v>-6.2085459422350775E-3</v>
      </c>
      <c r="G28" s="2610">
        <f>+G27/F27-1</f>
        <v>-0.11953665129202729</v>
      </c>
      <c r="H28" s="2610">
        <f>+(G27/E27)^(0.5)-1</f>
        <v>-6.4587282769223209E-2</v>
      </c>
    </row>
    <row r="33" spans="9:49" x14ac:dyDescent="0.2">
      <c r="J33" s="1778">
        <v>40179</v>
      </c>
      <c r="K33" s="1778">
        <f t="shared" ref="K33:AS33" si="0">+J33+31</f>
        <v>40210</v>
      </c>
      <c r="L33" s="1778">
        <f t="shared" si="0"/>
        <v>40241</v>
      </c>
      <c r="M33" s="1778">
        <f t="shared" si="0"/>
        <v>40272</v>
      </c>
      <c r="N33" s="1778">
        <f t="shared" si="0"/>
        <v>40303</v>
      </c>
      <c r="O33" s="1778">
        <f t="shared" si="0"/>
        <v>40334</v>
      </c>
      <c r="P33" s="1778">
        <f t="shared" si="0"/>
        <v>40365</v>
      </c>
      <c r="Q33" s="1778">
        <f t="shared" si="0"/>
        <v>40396</v>
      </c>
      <c r="R33" s="1778">
        <f t="shared" si="0"/>
        <v>40427</v>
      </c>
      <c r="S33" s="1778">
        <f t="shared" si="0"/>
        <v>40458</v>
      </c>
      <c r="T33" s="1778">
        <f t="shared" si="0"/>
        <v>40489</v>
      </c>
      <c r="U33" s="1778">
        <f t="shared" si="0"/>
        <v>40520</v>
      </c>
      <c r="V33" s="1778">
        <f t="shared" si="0"/>
        <v>40551</v>
      </c>
      <c r="W33" s="1778">
        <f t="shared" si="0"/>
        <v>40582</v>
      </c>
      <c r="X33" s="1778">
        <f t="shared" si="0"/>
        <v>40613</v>
      </c>
      <c r="Y33" s="1778">
        <f t="shared" si="0"/>
        <v>40644</v>
      </c>
      <c r="Z33" s="1778">
        <f t="shared" si="0"/>
        <v>40675</v>
      </c>
      <c r="AA33" s="1778">
        <f t="shared" si="0"/>
        <v>40706</v>
      </c>
      <c r="AB33" s="1778">
        <f t="shared" si="0"/>
        <v>40737</v>
      </c>
      <c r="AC33" s="1778">
        <f t="shared" si="0"/>
        <v>40768</v>
      </c>
      <c r="AD33" s="1778">
        <f t="shared" si="0"/>
        <v>40799</v>
      </c>
      <c r="AE33" s="1778">
        <f t="shared" si="0"/>
        <v>40830</v>
      </c>
      <c r="AF33" s="1778">
        <f t="shared" si="0"/>
        <v>40861</v>
      </c>
      <c r="AG33" s="1778">
        <f t="shared" si="0"/>
        <v>40892</v>
      </c>
      <c r="AH33" s="1778">
        <f t="shared" si="0"/>
        <v>40923</v>
      </c>
      <c r="AI33" s="1778">
        <f t="shared" si="0"/>
        <v>40954</v>
      </c>
      <c r="AJ33" s="1778">
        <f t="shared" si="0"/>
        <v>40985</v>
      </c>
      <c r="AK33" s="1778">
        <f t="shared" si="0"/>
        <v>41016</v>
      </c>
      <c r="AL33" s="1778">
        <f t="shared" si="0"/>
        <v>41047</v>
      </c>
      <c r="AM33" s="1778">
        <f t="shared" si="0"/>
        <v>41078</v>
      </c>
      <c r="AN33" s="1778">
        <f t="shared" si="0"/>
        <v>41109</v>
      </c>
      <c r="AO33" s="1778">
        <f t="shared" si="0"/>
        <v>41140</v>
      </c>
      <c r="AP33" s="1778">
        <f t="shared" si="0"/>
        <v>41171</v>
      </c>
      <c r="AQ33" s="1778">
        <f t="shared" si="0"/>
        <v>41202</v>
      </c>
      <c r="AR33" s="1778">
        <f t="shared" si="0"/>
        <v>41233</v>
      </c>
      <c r="AS33" s="1778">
        <f t="shared" si="0"/>
        <v>41264</v>
      </c>
    </row>
    <row r="34" spans="9:49" x14ac:dyDescent="0.2">
      <c r="I34" s="1454" t="s">
        <v>489</v>
      </c>
      <c r="J34" s="1454">
        <v>152.89998822999999</v>
      </c>
      <c r="K34" s="1454">
        <v>154.65767263000001</v>
      </c>
      <c r="L34" s="1454">
        <v>181.76352328999997</v>
      </c>
      <c r="M34" s="1454">
        <v>163.12462373</v>
      </c>
      <c r="N34" s="1454">
        <v>165.02000954000002</v>
      </c>
      <c r="O34" s="1454">
        <v>156.42659169999999</v>
      </c>
      <c r="P34" s="1454">
        <v>184.31245716999993</v>
      </c>
      <c r="Q34" s="1454">
        <v>171.89318607000013</v>
      </c>
      <c r="R34" s="1454">
        <v>170.59426677000002</v>
      </c>
      <c r="S34" s="1454">
        <v>180.36814913000001</v>
      </c>
      <c r="T34" s="1454">
        <v>166.91353192000005</v>
      </c>
      <c r="U34" s="1454">
        <v>170.73182046999986</v>
      </c>
      <c r="V34" s="1454">
        <v>166.57043068999988</v>
      </c>
      <c r="W34" s="1454">
        <v>180.47088897</v>
      </c>
      <c r="X34" s="1454">
        <v>205.50955409999997</v>
      </c>
      <c r="Y34" s="1454">
        <v>194.13976202999993</v>
      </c>
      <c r="Z34" s="1454">
        <v>186.93186744999997</v>
      </c>
      <c r="AA34" s="1454">
        <v>185.41260732000001</v>
      </c>
      <c r="AB34" s="1454">
        <v>197.97794053000001</v>
      </c>
      <c r="AC34" s="1454">
        <v>179.01348039999999</v>
      </c>
      <c r="AD34" s="1454">
        <v>182.63798955999999</v>
      </c>
      <c r="AE34" s="1454">
        <v>173.08850876000005</v>
      </c>
      <c r="AF34" s="1454">
        <v>171.40142058999999</v>
      </c>
      <c r="AG34" s="1454">
        <v>186.22351787999997</v>
      </c>
      <c r="AH34" s="1454">
        <v>170.55166210999991</v>
      </c>
      <c r="AI34" s="1454">
        <v>192.21560617</v>
      </c>
      <c r="AJ34" s="1454">
        <v>211.64954073999996</v>
      </c>
      <c r="AK34" s="1454">
        <v>182.01512763999995</v>
      </c>
      <c r="AL34" s="1454">
        <v>177.8724733</v>
      </c>
      <c r="AM34" s="1454">
        <v>185.74198223000002</v>
      </c>
      <c r="AN34" s="416">
        <v>175.00516173019994</v>
      </c>
    </row>
    <row r="35" spans="9:49" x14ac:dyDescent="0.2">
      <c r="I35" s="1454" t="s">
        <v>505</v>
      </c>
      <c r="S35" s="1454">
        <v>11.39469761</v>
      </c>
      <c r="T35" s="1454">
        <v>7.5887693900000004</v>
      </c>
      <c r="U35" s="1454">
        <v>6.5371223799999996</v>
      </c>
      <c r="V35" s="1454">
        <v>7.7171438099999996</v>
      </c>
      <c r="W35" s="1454">
        <v>9.0214127299999998</v>
      </c>
      <c r="X35" s="1454">
        <v>9.8348490700000006</v>
      </c>
      <c r="Y35" s="1454">
        <v>10.05205715</v>
      </c>
      <c r="Z35" s="1454">
        <v>9.6064394699999998</v>
      </c>
      <c r="AA35" s="1454">
        <v>8.8223389999999995</v>
      </c>
      <c r="AB35" s="1454">
        <v>10.19453025</v>
      </c>
      <c r="AC35" s="1454">
        <v>8.5478073400000003</v>
      </c>
      <c r="AD35" s="1454">
        <v>9.2982879999999994</v>
      </c>
      <c r="AN35" s="416"/>
    </row>
    <row r="36" spans="9:49" x14ac:dyDescent="0.2">
      <c r="I36" s="1454" t="s">
        <v>506</v>
      </c>
      <c r="J36" s="1454">
        <f t="shared" ref="J36:AN36" si="1">+J34-J35</f>
        <v>152.89998822999999</v>
      </c>
      <c r="K36" s="1454">
        <f t="shared" si="1"/>
        <v>154.65767263000001</v>
      </c>
      <c r="L36" s="1454">
        <f t="shared" si="1"/>
        <v>181.76352328999997</v>
      </c>
      <c r="M36" s="1454">
        <f t="shared" si="1"/>
        <v>163.12462373</v>
      </c>
      <c r="N36" s="1454">
        <f t="shared" si="1"/>
        <v>165.02000954000002</v>
      </c>
      <c r="O36" s="1454">
        <f t="shared" si="1"/>
        <v>156.42659169999999</v>
      </c>
      <c r="P36" s="1454">
        <f t="shared" si="1"/>
        <v>184.31245716999993</v>
      </c>
      <c r="Q36" s="1454">
        <f t="shared" si="1"/>
        <v>171.89318607000013</v>
      </c>
      <c r="R36" s="1454">
        <f t="shared" si="1"/>
        <v>170.59426677000002</v>
      </c>
      <c r="S36" s="1454">
        <f t="shared" si="1"/>
        <v>168.97345152</v>
      </c>
      <c r="T36" s="1454">
        <f t="shared" si="1"/>
        <v>159.32476253000004</v>
      </c>
      <c r="U36" s="1454">
        <f t="shared" si="1"/>
        <v>164.19469808999986</v>
      </c>
      <c r="V36" s="1454">
        <f t="shared" si="1"/>
        <v>158.85328687999987</v>
      </c>
      <c r="W36" s="1454">
        <f t="shared" si="1"/>
        <v>171.44947624</v>
      </c>
      <c r="X36" s="1454">
        <f t="shared" si="1"/>
        <v>195.67470502999998</v>
      </c>
      <c r="Y36" s="1454">
        <f t="shared" si="1"/>
        <v>184.08770487999993</v>
      </c>
      <c r="Z36" s="1454">
        <f t="shared" si="1"/>
        <v>177.32542797999997</v>
      </c>
      <c r="AA36" s="1454">
        <f t="shared" si="1"/>
        <v>176.59026832000001</v>
      </c>
      <c r="AB36" s="1454">
        <f t="shared" si="1"/>
        <v>187.78341028</v>
      </c>
      <c r="AC36" s="1454">
        <f t="shared" si="1"/>
        <v>170.46567306</v>
      </c>
      <c r="AD36" s="1454">
        <f t="shared" si="1"/>
        <v>173.33970155999998</v>
      </c>
      <c r="AE36" s="1454">
        <f t="shared" si="1"/>
        <v>173.08850876000005</v>
      </c>
      <c r="AF36" s="1454">
        <f t="shared" si="1"/>
        <v>171.40142058999999</v>
      </c>
      <c r="AG36" s="1454">
        <f t="shared" si="1"/>
        <v>186.22351787999997</v>
      </c>
      <c r="AH36" s="1454">
        <f t="shared" si="1"/>
        <v>170.55166210999991</v>
      </c>
      <c r="AI36" s="1454">
        <f t="shared" si="1"/>
        <v>192.21560617</v>
      </c>
      <c r="AJ36" s="1454">
        <f t="shared" si="1"/>
        <v>211.64954073999996</v>
      </c>
      <c r="AK36" s="1454">
        <f t="shared" si="1"/>
        <v>182.01512763999995</v>
      </c>
      <c r="AL36" s="1454">
        <f t="shared" si="1"/>
        <v>177.8724733</v>
      </c>
      <c r="AM36" s="1454">
        <f t="shared" si="1"/>
        <v>185.74198223000002</v>
      </c>
      <c r="AN36" s="1454">
        <f t="shared" si="1"/>
        <v>175.00516173019994</v>
      </c>
    </row>
    <row r="37" spans="9:49" x14ac:dyDescent="0.2">
      <c r="I37" s="1454" t="s">
        <v>507</v>
      </c>
      <c r="V37" s="1059">
        <f t="shared" ref="V37:AN37" si="2">+V34/J34-1</f>
        <v>8.9407740433806282E-2</v>
      </c>
      <c r="W37" s="1059">
        <f t="shared" si="2"/>
        <v>0.16690550104006174</v>
      </c>
      <c r="X37" s="1059">
        <f t="shared" si="2"/>
        <v>0.13064244343521936</v>
      </c>
      <c r="Y37" s="1059">
        <f t="shared" si="2"/>
        <v>0.19013155457961672</v>
      </c>
      <c r="Z37" s="1059">
        <f t="shared" si="2"/>
        <v>0.13278303625772492</v>
      </c>
      <c r="AA37" s="1059">
        <f t="shared" si="2"/>
        <v>0.18530107512404514</v>
      </c>
      <c r="AB37" s="1059">
        <f t="shared" si="2"/>
        <v>7.4143026303402637E-2</v>
      </c>
      <c r="AC37" s="1059">
        <f t="shared" si="2"/>
        <v>4.1422784071849517E-2</v>
      </c>
      <c r="AD37" s="1059">
        <f t="shared" si="2"/>
        <v>7.0598637445639767E-2</v>
      </c>
      <c r="AE37" s="1059">
        <f t="shared" si="2"/>
        <v>-4.0359899489533335E-2</v>
      </c>
      <c r="AF37" s="1059">
        <f t="shared" si="2"/>
        <v>2.6887506473417311E-2</v>
      </c>
      <c r="AG37" s="1059">
        <f t="shared" si="2"/>
        <v>9.0737024693778423E-2</v>
      </c>
      <c r="AH37" s="1059">
        <f t="shared" si="2"/>
        <v>2.3901189445859172E-2</v>
      </c>
      <c r="AI37" s="1059">
        <f t="shared" si="2"/>
        <v>6.5078181124005763E-2</v>
      </c>
      <c r="AJ37" s="1059">
        <f t="shared" si="2"/>
        <v>2.9876891451052989E-2</v>
      </c>
      <c r="AK37" s="1059">
        <f t="shared" si="2"/>
        <v>-6.2453122756616963E-2</v>
      </c>
      <c r="AL37" s="1059">
        <f t="shared" si="2"/>
        <v>-4.8463615506452729E-2</v>
      </c>
      <c r="AM37" s="1059">
        <f t="shared" si="2"/>
        <v>1.7764429008408911E-3</v>
      </c>
      <c r="AN37" s="1059">
        <f t="shared" si="2"/>
        <v>-0.11603706321169127</v>
      </c>
      <c r="AO37" s="1059"/>
    </row>
    <row r="38" spans="9:49" x14ac:dyDescent="0.2">
      <c r="I38" s="1454" t="s">
        <v>508</v>
      </c>
      <c r="V38" s="1059">
        <f t="shared" ref="V38:AD38" si="3">+V36/J36-1</f>
        <v>3.8935899988720823E-2</v>
      </c>
      <c r="W38" s="1059">
        <f t="shared" si="3"/>
        <v>0.10857400945229778</v>
      </c>
      <c r="X38" s="1059">
        <f t="shared" si="3"/>
        <v>7.6534507519448791E-2</v>
      </c>
      <c r="Y38" s="1059">
        <f t="shared" si="3"/>
        <v>0.12850960615668616</v>
      </c>
      <c r="Z38" s="1059">
        <f t="shared" si="3"/>
        <v>7.4569250567260381E-2</v>
      </c>
      <c r="AA38" s="1059">
        <f t="shared" si="3"/>
        <v>0.12890184719149644</v>
      </c>
      <c r="AB38" s="1059">
        <f t="shared" si="3"/>
        <v>1.8831896461554143E-2</v>
      </c>
      <c r="AC38" s="1059">
        <f t="shared" si="3"/>
        <v>-8.3046515259702636E-3</v>
      </c>
      <c r="AD38" s="1059">
        <f t="shared" si="3"/>
        <v>1.6093359067578916E-2</v>
      </c>
      <c r="AE38" s="1059">
        <f t="shared" ref="AE38:AN38" si="4">+AE37</f>
        <v>-4.0359899489533335E-2</v>
      </c>
      <c r="AF38" s="1059">
        <f t="shared" si="4"/>
        <v>2.6887506473417311E-2</v>
      </c>
      <c r="AG38" s="1059">
        <f t="shared" si="4"/>
        <v>9.0737024693778423E-2</v>
      </c>
      <c r="AH38" s="1059">
        <f t="shared" si="4"/>
        <v>2.3901189445859172E-2</v>
      </c>
      <c r="AI38" s="1059">
        <f t="shared" si="4"/>
        <v>6.5078181124005763E-2</v>
      </c>
      <c r="AJ38" s="1059">
        <f t="shared" si="4"/>
        <v>2.9876891451052989E-2</v>
      </c>
      <c r="AK38" s="1059">
        <f t="shared" si="4"/>
        <v>-6.2453122756616963E-2</v>
      </c>
      <c r="AL38" s="1059">
        <f t="shared" si="4"/>
        <v>-4.8463615506452729E-2</v>
      </c>
      <c r="AM38" s="1059">
        <f t="shared" si="4"/>
        <v>1.7764429008408911E-3</v>
      </c>
      <c r="AN38" s="1059">
        <f t="shared" si="4"/>
        <v>-0.11603706321169127</v>
      </c>
      <c r="AO38" s="1059"/>
    </row>
    <row r="39" spans="9:49" x14ac:dyDescent="0.2">
      <c r="V39" s="1059"/>
      <c r="W39" s="1059"/>
      <c r="X39" s="1059"/>
      <c r="Y39" s="1059"/>
      <c r="Z39" s="1059"/>
      <c r="AA39" s="1059"/>
      <c r="AB39" s="1059"/>
      <c r="AC39" s="1059"/>
      <c r="AD39" s="1059"/>
      <c r="AE39" s="1059"/>
      <c r="AF39" s="1059"/>
      <c r="AG39" s="1059"/>
      <c r="AH39" s="1059"/>
      <c r="AI39" s="1059"/>
      <c r="AJ39" s="1059"/>
      <c r="AK39" s="1059"/>
      <c r="AL39" s="1059"/>
      <c r="AM39" s="1059"/>
      <c r="AN39" s="1059"/>
    </row>
    <row r="41" spans="9:49" x14ac:dyDescent="0.2">
      <c r="V41" s="1778">
        <f t="shared" ref="V41:AN41" si="5">+V33</f>
        <v>40551</v>
      </c>
      <c r="W41" s="1778">
        <f t="shared" si="5"/>
        <v>40582</v>
      </c>
      <c r="X41" s="1778">
        <f t="shared" si="5"/>
        <v>40613</v>
      </c>
      <c r="Y41" s="1778">
        <f t="shared" si="5"/>
        <v>40644</v>
      </c>
      <c r="Z41" s="1778">
        <f t="shared" si="5"/>
        <v>40675</v>
      </c>
      <c r="AA41" s="1778">
        <f t="shared" si="5"/>
        <v>40706</v>
      </c>
      <c r="AB41" s="1778">
        <f t="shared" si="5"/>
        <v>40737</v>
      </c>
      <c r="AC41" s="1778">
        <f t="shared" si="5"/>
        <v>40768</v>
      </c>
      <c r="AD41" s="1778">
        <f t="shared" si="5"/>
        <v>40799</v>
      </c>
      <c r="AE41" s="1778">
        <f t="shared" si="5"/>
        <v>40830</v>
      </c>
      <c r="AF41" s="1778">
        <f t="shared" si="5"/>
        <v>40861</v>
      </c>
      <c r="AG41" s="1778">
        <f t="shared" si="5"/>
        <v>40892</v>
      </c>
      <c r="AH41" s="1778">
        <f t="shared" si="5"/>
        <v>40923</v>
      </c>
      <c r="AI41" s="1778">
        <f t="shared" si="5"/>
        <v>40954</v>
      </c>
      <c r="AJ41" s="1778">
        <f t="shared" si="5"/>
        <v>40985</v>
      </c>
      <c r="AK41" s="1778">
        <f t="shared" si="5"/>
        <v>41016</v>
      </c>
      <c r="AL41" s="1778">
        <f t="shared" si="5"/>
        <v>41047</v>
      </c>
      <c r="AM41" s="1778">
        <f t="shared" si="5"/>
        <v>41078</v>
      </c>
      <c r="AN41" s="1778">
        <f t="shared" si="5"/>
        <v>41109</v>
      </c>
    </row>
    <row r="42" spans="9:49" x14ac:dyDescent="0.2">
      <c r="U42" s="1454" t="s">
        <v>509</v>
      </c>
      <c r="V42" s="2618">
        <f t="shared" ref="V42:AN42" si="6">+V38</f>
        <v>3.8935899988720823E-2</v>
      </c>
      <c r="W42" s="2618">
        <f t="shared" si="6"/>
        <v>0.10857400945229778</v>
      </c>
      <c r="X42" s="2618">
        <f t="shared" si="6"/>
        <v>7.6534507519448791E-2</v>
      </c>
      <c r="Y42" s="2618">
        <f t="shared" si="6"/>
        <v>0.12850960615668616</v>
      </c>
      <c r="Z42" s="2618">
        <f t="shared" si="6"/>
        <v>7.4569250567260381E-2</v>
      </c>
      <c r="AA42" s="2618">
        <f t="shared" si="6"/>
        <v>0.12890184719149644</v>
      </c>
      <c r="AB42" s="2618">
        <f t="shared" si="6"/>
        <v>1.8831896461554143E-2</v>
      </c>
      <c r="AC42" s="2618">
        <f t="shared" si="6"/>
        <v>-8.3046515259702636E-3</v>
      </c>
      <c r="AD42" s="2618">
        <f t="shared" si="6"/>
        <v>1.6093359067578916E-2</v>
      </c>
      <c r="AE42" s="2618">
        <f t="shared" si="6"/>
        <v>-4.0359899489533335E-2</v>
      </c>
      <c r="AF42" s="2618">
        <f t="shared" si="6"/>
        <v>2.6887506473417311E-2</v>
      </c>
      <c r="AG42" s="2618">
        <f t="shared" si="6"/>
        <v>9.0737024693778423E-2</v>
      </c>
      <c r="AH42" s="2618">
        <f t="shared" si="6"/>
        <v>2.3901189445859172E-2</v>
      </c>
      <c r="AI42" s="2618">
        <f t="shared" si="6"/>
        <v>6.5078181124005763E-2</v>
      </c>
      <c r="AJ42" s="2618">
        <f t="shared" si="6"/>
        <v>2.9876891451052989E-2</v>
      </c>
      <c r="AK42" s="2618">
        <f t="shared" si="6"/>
        <v>-6.2453122756616963E-2</v>
      </c>
      <c r="AL42" s="2618">
        <f t="shared" si="6"/>
        <v>-4.8463615506452729E-2</v>
      </c>
      <c r="AM42" s="2618">
        <f t="shared" si="6"/>
        <v>1.7764429008408911E-3</v>
      </c>
      <c r="AN42" s="2618">
        <f t="shared" si="6"/>
        <v>-0.11603706321169127</v>
      </c>
    </row>
    <row r="44" spans="9:49" x14ac:dyDescent="0.2">
      <c r="AU44" s="359" t="s">
        <v>82</v>
      </c>
    </row>
    <row r="45" spans="9:49" x14ac:dyDescent="0.2">
      <c r="AU45" s="416" t="s">
        <v>929</v>
      </c>
    </row>
    <row r="46" spans="9:49" x14ac:dyDescent="0.2">
      <c r="AU46" s="416"/>
      <c r="AV46" s="745" t="s">
        <v>1136</v>
      </c>
      <c r="AW46" s="745" t="s">
        <v>1137</v>
      </c>
    </row>
    <row r="47" spans="9:49" x14ac:dyDescent="0.2">
      <c r="AU47" s="1454" t="s">
        <v>83</v>
      </c>
      <c r="AV47" s="1454">
        <v>769.3</v>
      </c>
      <c r="AW47" s="1454">
        <f>952-80</f>
        <v>872</v>
      </c>
    </row>
    <row r="49" spans="33:64" x14ac:dyDescent="0.2">
      <c r="AU49" s="1454" t="s">
        <v>84</v>
      </c>
      <c r="AV49" s="1454">
        <v>761.8</v>
      </c>
      <c r="AW49" s="1454">
        <v>852.9</v>
      </c>
    </row>
    <row r="50" spans="33:64" x14ac:dyDescent="0.2">
      <c r="AG50" s="2619"/>
    </row>
    <row r="51" spans="33:64" x14ac:dyDescent="0.2">
      <c r="AU51" s="1454" t="s">
        <v>1632</v>
      </c>
      <c r="AV51" s="1454">
        <f>+PENN!AU50</f>
        <v>711.43199999999979</v>
      </c>
      <c r="AW51" s="1454">
        <f>+PENN!AZ50-PENN!AZ299</f>
        <v>633.77209579157102</v>
      </c>
    </row>
    <row r="53" spans="33:64" x14ac:dyDescent="0.2">
      <c r="AU53" s="10" t="s">
        <v>85</v>
      </c>
      <c r="AV53" s="10">
        <f>+AVERAGE(AV47:AV51)</f>
        <v>747.51066666666657</v>
      </c>
      <c r="AW53" s="10">
        <f>+AVERAGE(AW47:AW51)</f>
        <v>786.22403193052378</v>
      </c>
    </row>
    <row r="55" spans="33:64" x14ac:dyDescent="0.2">
      <c r="AU55" s="1454" t="s">
        <v>86</v>
      </c>
      <c r="AV55" s="1454">
        <f>+AVERAGE(AV47:AV49)</f>
        <v>765.55</v>
      </c>
      <c r="AW55" s="1454">
        <f>+AVERAGE(AW47:AW49)</f>
        <v>862.45</v>
      </c>
    </row>
    <row r="57" spans="33:64" x14ac:dyDescent="0.2">
      <c r="AW57" s="2610">
        <f>+AW51/AW55-1</f>
        <v>-0.26514917294733498</v>
      </c>
    </row>
    <row r="62" spans="33:64" x14ac:dyDescent="0.2">
      <c r="AZ62" s="359" t="s">
        <v>1870</v>
      </c>
    </row>
    <row r="63" spans="33:64" x14ac:dyDescent="0.2">
      <c r="AY63" s="1454" t="s">
        <v>684</v>
      </c>
      <c r="BA63" s="10">
        <v>1</v>
      </c>
      <c r="BB63" s="10">
        <f t="shared" ref="BB63:BL63" si="7">+BA63+1</f>
        <v>2</v>
      </c>
      <c r="BC63" s="10">
        <f t="shared" si="7"/>
        <v>3</v>
      </c>
      <c r="BD63" s="10">
        <f t="shared" si="7"/>
        <v>4</v>
      </c>
      <c r="BE63" s="10">
        <f t="shared" si="7"/>
        <v>5</v>
      </c>
      <c r="BF63" s="10">
        <f t="shared" si="7"/>
        <v>6</v>
      </c>
      <c r="BG63" s="10">
        <f t="shared" si="7"/>
        <v>7</v>
      </c>
      <c r="BH63" s="10">
        <f t="shared" si="7"/>
        <v>8</v>
      </c>
      <c r="BI63" s="10">
        <f t="shared" si="7"/>
        <v>9</v>
      </c>
      <c r="BJ63" s="10">
        <f t="shared" si="7"/>
        <v>10</v>
      </c>
      <c r="BK63" s="10">
        <f t="shared" si="7"/>
        <v>11</v>
      </c>
      <c r="BL63" s="10">
        <f t="shared" si="7"/>
        <v>12</v>
      </c>
    </row>
    <row r="64" spans="33:64" x14ac:dyDescent="0.2">
      <c r="AY64" s="2620">
        <v>40897</v>
      </c>
      <c r="AZ64" s="1454" t="s">
        <v>1871</v>
      </c>
    </row>
    <row r="65" spans="51:58" x14ac:dyDescent="0.2">
      <c r="AY65" s="2620">
        <v>39490</v>
      </c>
      <c r="AZ65" s="1454" t="s">
        <v>1556</v>
      </c>
    </row>
    <row r="66" spans="51:58" x14ac:dyDescent="0.2">
      <c r="AY66" s="2620">
        <v>39975</v>
      </c>
      <c r="AZ66" s="1454" t="s">
        <v>1872</v>
      </c>
    </row>
    <row r="67" spans="51:58" x14ac:dyDescent="0.2">
      <c r="AY67" s="2620">
        <v>41043</v>
      </c>
      <c r="AZ67" s="1454" t="s">
        <v>1880</v>
      </c>
      <c r="BA67" s="1454">
        <f t="shared" ref="BA67:BF67" si="8">+BA90</f>
        <v>346.37954917516686</v>
      </c>
      <c r="BB67" s="1454">
        <f t="shared" si="8"/>
        <v>328.87167862989548</v>
      </c>
      <c r="BC67" s="1454">
        <f t="shared" si="8"/>
        <v>291.80935203578002</v>
      </c>
      <c r="BD67" s="1454">
        <f t="shared" si="8"/>
        <v>278.46375080736556</v>
      </c>
      <c r="BE67" s="1454">
        <f t="shared" si="8"/>
        <v>211.41703085684014</v>
      </c>
      <c r="BF67" s="1454">
        <f t="shared" si="8"/>
        <v>257.7528201068672</v>
      </c>
    </row>
    <row r="68" spans="51:58" x14ac:dyDescent="0.2">
      <c r="AY68" s="2620"/>
      <c r="AZ68" s="1454" t="s">
        <v>2195</v>
      </c>
      <c r="BA68" s="1454">
        <f t="shared" ref="BA68:BF68" si="9">+AVERAGE(BA64:BA67)</f>
        <v>346.37954917516686</v>
      </c>
      <c r="BB68" s="1454">
        <f t="shared" si="9"/>
        <v>328.87167862989548</v>
      </c>
      <c r="BC68" s="1454">
        <f t="shared" si="9"/>
        <v>291.80935203578002</v>
      </c>
      <c r="BD68" s="1454">
        <f t="shared" si="9"/>
        <v>278.46375080736556</v>
      </c>
      <c r="BE68" s="1454">
        <f t="shared" si="9"/>
        <v>211.41703085684014</v>
      </c>
      <c r="BF68" s="1454">
        <f t="shared" si="9"/>
        <v>257.7528201068672</v>
      </c>
    </row>
    <row r="69" spans="51:58" x14ac:dyDescent="0.2">
      <c r="AY69" s="2620">
        <v>41190</v>
      </c>
      <c r="AZ69" s="1454" t="s">
        <v>443</v>
      </c>
      <c r="BA69" s="1454">
        <f>+BC75</f>
        <v>207.98264173264172</v>
      </c>
    </row>
    <row r="71" spans="51:58" x14ac:dyDescent="0.2">
      <c r="AZ71" s="359" t="s">
        <v>1875</v>
      </c>
    </row>
    <row r="72" spans="51:58" x14ac:dyDescent="0.2">
      <c r="BA72" s="1636" t="s">
        <v>792</v>
      </c>
      <c r="BB72" s="1636" t="s">
        <v>1874</v>
      </c>
    </row>
    <row r="73" spans="51:58" x14ac:dyDescent="0.2">
      <c r="AZ73" s="1454" t="s">
        <v>585</v>
      </c>
      <c r="BA73" s="1454">
        <v>12.818</v>
      </c>
      <c r="BB73" s="1454">
        <v>3015</v>
      </c>
      <c r="BC73" s="1454">
        <f>+BA73*1000000/BB73/$BA$76</f>
        <v>177.14206744057492</v>
      </c>
    </row>
    <row r="74" spans="51:58" x14ac:dyDescent="0.2">
      <c r="AZ74" s="1454" t="s">
        <v>584</v>
      </c>
      <c r="BA74" s="1454">
        <v>5.46617</v>
      </c>
      <c r="BB74" s="1454">
        <v>108</v>
      </c>
      <c r="BC74" s="1454">
        <f>+BA74*1000000/BB74/$BA$76</f>
        <v>2108.8618827160494</v>
      </c>
    </row>
    <row r="75" spans="51:58" x14ac:dyDescent="0.2">
      <c r="AZ75" s="1454" t="s">
        <v>841</v>
      </c>
      <c r="BA75" s="1454">
        <f>+BA73+BA74</f>
        <v>18.28417</v>
      </c>
      <c r="BB75" s="1454">
        <f>+BB73+(BB74*6)</f>
        <v>3663</v>
      </c>
      <c r="BC75" s="1454">
        <f>+BA75*1000000/BB75/$BA$76</f>
        <v>207.98264173264172</v>
      </c>
    </row>
    <row r="76" spans="51:58" x14ac:dyDescent="0.2">
      <c r="AZ76" s="1454" t="s">
        <v>1873</v>
      </c>
      <c r="BA76" s="1454">
        <v>24</v>
      </c>
    </row>
    <row r="78" spans="51:58" x14ac:dyDescent="0.2">
      <c r="AZ78" s="359" t="s">
        <v>1876</v>
      </c>
      <c r="BA78" s="1454">
        <v>18</v>
      </c>
      <c r="BB78" s="1454">
        <v>30</v>
      </c>
      <c r="BC78" s="1454">
        <v>31</v>
      </c>
      <c r="BD78" s="1454">
        <v>31</v>
      </c>
      <c r="BE78" s="1454">
        <v>30</v>
      </c>
      <c r="BF78" s="1454">
        <v>31</v>
      </c>
    </row>
    <row r="79" spans="51:58" x14ac:dyDescent="0.2">
      <c r="BA79" s="1778">
        <v>41030</v>
      </c>
      <c r="BB79" s="1778">
        <f>+BA79+31</f>
        <v>41061</v>
      </c>
      <c r="BC79" s="1778">
        <f>+BB79+31</f>
        <v>41092</v>
      </c>
      <c r="BD79" s="1778">
        <f>+BC79+31</f>
        <v>41123</v>
      </c>
      <c r="BE79" s="1778">
        <f>+BD79+31</f>
        <v>41154</v>
      </c>
      <c r="BF79" s="1778">
        <f>+BE79+31</f>
        <v>41185</v>
      </c>
    </row>
    <row r="80" spans="51:58" x14ac:dyDescent="0.2">
      <c r="AZ80" s="1454" t="s">
        <v>585</v>
      </c>
      <c r="BA80" s="2621">
        <v>12.925000000000001</v>
      </c>
      <c r="BB80" s="2621">
        <v>18.523</v>
      </c>
      <c r="BC80" s="2621">
        <v>16.289000000000001</v>
      </c>
      <c r="BD80" s="2621">
        <v>15.178900000000001</v>
      </c>
      <c r="BE80" s="2621">
        <v>12.6424</v>
      </c>
      <c r="BF80" s="2621">
        <v>13.102</v>
      </c>
    </row>
    <row r="81" spans="52:60" x14ac:dyDescent="0.2">
      <c r="AZ81" s="275" t="s">
        <v>584</v>
      </c>
      <c r="BA81" s="1819">
        <v>3.5785999999999998</v>
      </c>
      <c r="BB81" s="1819">
        <v>7.5926999999999998</v>
      </c>
      <c r="BC81" s="1819">
        <v>7.6559999999999997</v>
      </c>
      <c r="BD81" s="1819">
        <v>7.6710000000000003</v>
      </c>
      <c r="BE81" s="1819">
        <v>3.3216999999999999</v>
      </c>
      <c r="BF81" s="1819">
        <v>7.7367999999999997</v>
      </c>
      <c r="BG81" s="275"/>
      <c r="BH81" s="275"/>
    </row>
    <row r="82" spans="52:60" x14ac:dyDescent="0.2">
      <c r="AZ82" s="10" t="s">
        <v>841</v>
      </c>
      <c r="BA82" s="2622">
        <f t="shared" ref="BA82:BF82" si="10">+BA80+BA81</f>
        <v>16.503599999999999</v>
      </c>
      <c r="BB82" s="2622">
        <f t="shared" si="10"/>
        <v>26.1157</v>
      </c>
      <c r="BC82" s="2622">
        <f t="shared" si="10"/>
        <v>23.945</v>
      </c>
      <c r="BD82" s="2622">
        <f t="shared" si="10"/>
        <v>22.849900000000002</v>
      </c>
      <c r="BE82" s="2622">
        <f t="shared" si="10"/>
        <v>15.9641</v>
      </c>
      <c r="BF82" s="2622">
        <f t="shared" si="10"/>
        <v>20.838799999999999</v>
      </c>
    </row>
    <row r="84" spans="52:60" x14ac:dyDescent="0.2">
      <c r="AZ84" s="1454" t="s">
        <v>585</v>
      </c>
      <c r="BA84" s="1454">
        <v>2083</v>
      </c>
      <c r="BB84" s="1454">
        <v>2083</v>
      </c>
      <c r="BC84" s="1454">
        <v>2083</v>
      </c>
      <c r="BD84" s="1454">
        <v>2083</v>
      </c>
      <c r="BE84" s="1454">
        <v>2037</v>
      </c>
      <c r="BF84" s="1454">
        <v>2038</v>
      </c>
    </row>
    <row r="85" spans="52:60" x14ac:dyDescent="0.2">
      <c r="AZ85" s="1454" t="s">
        <v>584</v>
      </c>
      <c r="BA85" s="1454">
        <v>94</v>
      </c>
      <c r="BB85" s="1454">
        <v>94</v>
      </c>
      <c r="BC85" s="1454">
        <v>94</v>
      </c>
      <c r="BD85" s="1454">
        <v>94</v>
      </c>
      <c r="BE85" s="1454">
        <v>80</v>
      </c>
      <c r="BF85" s="1454">
        <v>95</v>
      </c>
    </row>
    <row r="86" spans="52:60" x14ac:dyDescent="0.2">
      <c r="AZ86" s="1454" t="s">
        <v>809</v>
      </c>
      <c r="BA86" s="10">
        <f t="shared" ref="BA86:BF86" si="11">+BA84+(BA85*6)</f>
        <v>2647</v>
      </c>
      <c r="BB86" s="10">
        <f t="shared" si="11"/>
        <v>2647</v>
      </c>
      <c r="BC86" s="10">
        <f t="shared" si="11"/>
        <v>2647</v>
      </c>
      <c r="BD86" s="10">
        <f t="shared" si="11"/>
        <v>2647</v>
      </c>
      <c r="BE86" s="10">
        <f t="shared" si="11"/>
        <v>2517</v>
      </c>
      <c r="BF86" s="10">
        <f t="shared" si="11"/>
        <v>2608</v>
      </c>
    </row>
    <row r="88" spans="52:60" x14ac:dyDescent="0.2">
      <c r="AZ88" s="1454" t="s">
        <v>1877</v>
      </c>
      <c r="BA88" s="1454">
        <f t="shared" ref="BA88:BF90" si="12">+BA80*1000000/BA84/BA$78</f>
        <v>344.72182215821198</v>
      </c>
      <c r="BB88" s="1454">
        <f t="shared" si="12"/>
        <v>296.4154264682349</v>
      </c>
      <c r="BC88" s="1454">
        <f t="shared" si="12"/>
        <v>252.25713533520207</v>
      </c>
      <c r="BD88" s="1454">
        <f t="shared" si="12"/>
        <v>235.06573955058616</v>
      </c>
      <c r="BE88" s="1454">
        <f t="shared" si="12"/>
        <v>206.87939780723283</v>
      </c>
      <c r="BF88" s="1454">
        <f t="shared" si="12"/>
        <v>207.38231662920637</v>
      </c>
    </row>
    <row r="89" spans="52:60" x14ac:dyDescent="0.2">
      <c r="AZ89" s="1454" t="s">
        <v>1878</v>
      </c>
      <c r="BA89" s="1454">
        <f t="shared" si="12"/>
        <v>2115.0118203309694</v>
      </c>
      <c r="BB89" s="1454">
        <f t="shared" si="12"/>
        <v>2692.4468085106387</v>
      </c>
      <c r="BC89" s="1454">
        <f t="shared" si="12"/>
        <v>2627.3164035689774</v>
      </c>
      <c r="BD89" s="1454">
        <f t="shared" si="12"/>
        <v>2632.4639670555935</v>
      </c>
      <c r="BE89" s="1454">
        <f t="shared" si="12"/>
        <v>1384.0416666666667</v>
      </c>
      <c r="BF89" s="1454">
        <f t="shared" si="12"/>
        <v>2627.0967741935483</v>
      </c>
    </row>
    <row r="90" spans="52:60" x14ac:dyDescent="0.2">
      <c r="AZ90" s="1454" t="s">
        <v>1879</v>
      </c>
      <c r="BA90" s="1454">
        <f t="shared" si="12"/>
        <v>346.37954917516686</v>
      </c>
      <c r="BB90" s="1454">
        <f t="shared" si="12"/>
        <v>328.87167862989548</v>
      </c>
      <c r="BC90" s="1454">
        <f t="shared" si="12"/>
        <v>291.80935203578002</v>
      </c>
      <c r="BD90" s="1454">
        <f t="shared" si="12"/>
        <v>278.46375080736556</v>
      </c>
      <c r="BE90" s="1454">
        <f t="shared" si="12"/>
        <v>211.41703085684014</v>
      </c>
      <c r="BF90" s="1454">
        <f t="shared" si="12"/>
        <v>257.7528201068672</v>
      </c>
    </row>
    <row r="96" spans="52:60" ht="4.5" customHeight="1" x14ac:dyDescent="0.2"/>
    <row r="100" spans="70:75" x14ac:dyDescent="0.2">
      <c r="BR100" s="282" t="s">
        <v>1521</v>
      </c>
      <c r="BS100" s="2623"/>
      <c r="BT100" s="2623"/>
      <c r="BU100" s="2623"/>
      <c r="BV100" s="2623"/>
      <c r="BW100" s="2624"/>
    </row>
    <row r="101" spans="70:75" x14ac:dyDescent="0.2">
      <c r="BR101" s="2625"/>
      <c r="BS101" s="747" t="s">
        <v>1523</v>
      </c>
      <c r="BT101" s="2540">
        <v>41305</v>
      </c>
      <c r="BU101" s="2540">
        <v>41383</v>
      </c>
      <c r="BV101" s="2540">
        <v>41478</v>
      </c>
      <c r="BW101" s="2541" t="s">
        <v>1529</v>
      </c>
    </row>
    <row r="102" spans="70:75" x14ac:dyDescent="0.2">
      <c r="BR102" s="1220" t="s">
        <v>1831</v>
      </c>
      <c r="BS102" s="2575"/>
      <c r="BT102" s="2575"/>
      <c r="BU102" s="2575"/>
      <c r="BV102" s="2575"/>
      <c r="BW102" s="2626"/>
    </row>
    <row r="103" spans="70:75" x14ac:dyDescent="0.2">
      <c r="BR103" s="2612" t="s">
        <v>1418</v>
      </c>
      <c r="BS103" s="1424">
        <v>3042.6</v>
      </c>
      <c r="BT103" s="1424">
        <v>2984.7</v>
      </c>
      <c r="BU103" s="1424">
        <v>2967.9</v>
      </c>
      <c r="BV103" s="1424">
        <v>2811.2</v>
      </c>
      <c r="BW103" s="2542">
        <v>2851.488537593154</v>
      </c>
    </row>
    <row r="104" spans="70:75" x14ac:dyDescent="0.2">
      <c r="BR104" s="870" t="s">
        <v>1524</v>
      </c>
      <c r="BS104" s="2627"/>
      <c r="BT104" s="898">
        <f>+BT103/$BS103-1</f>
        <v>-1.9029777164267458E-2</v>
      </c>
      <c r="BU104" s="898">
        <f>+BU103/$BS103-1</f>
        <v>-2.4551370538355322E-2</v>
      </c>
      <c r="BV104" s="898">
        <f>+BV103/$BS103-1</f>
        <v>-7.6053375402616252E-2</v>
      </c>
      <c r="BW104" s="1251">
        <f>+BW103/$BS103-1</f>
        <v>-6.2811891936779718E-2</v>
      </c>
    </row>
    <row r="105" spans="70:75" ht="3.95" customHeight="1" x14ac:dyDescent="0.2">
      <c r="BR105" s="2612"/>
      <c r="BS105" s="2575"/>
      <c r="BT105" s="2575"/>
      <c r="BU105" s="2575"/>
      <c r="BV105" s="2575"/>
      <c r="BW105" s="2626"/>
    </row>
    <row r="106" spans="70:75" x14ac:dyDescent="0.2">
      <c r="BR106" s="2612" t="s">
        <v>1255</v>
      </c>
      <c r="BS106" s="570">
        <v>881.4</v>
      </c>
      <c r="BT106" s="570">
        <v>852.3</v>
      </c>
      <c r="BU106" s="570">
        <v>843</v>
      </c>
      <c r="BV106" s="570">
        <v>771.1</v>
      </c>
      <c r="BW106" s="2173">
        <v>804.94238703234419</v>
      </c>
    </row>
    <row r="107" spans="70:75" x14ac:dyDescent="0.2">
      <c r="BR107" s="2612" t="s">
        <v>1522</v>
      </c>
      <c r="BS107" s="570">
        <v>449.3</v>
      </c>
      <c r="BT107" s="570">
        <v>441.5</v>
      </c>
      <c r="BU107" s="570">
        <v>436.3</v>
      </c>
      <c r="BV107" s="570">
        <v>419.7</v>
      </c>
      <c r="BW107" s="2173">
        <v>431.33609324760391</v>
      </c>
    </row>
    <row r="108" spans="70:75" ht="3" customHeight="1" x14ac:dyDescent="0.2">
      <c r="BR108" s="2612"/>
      <c r="BS108" s="2029" t="s">
        <v>1151</v>
      </c>
      <c r="BT108" s="2029" t="s">
        <v>1151</v>
      </c>
      <c r="BU108" s="2029" t="s">
        <v>1151</v>
      </c>
      <c r="BV108" s="2029" t="s">
        <v>1151</v>
      </c>
      <c r="BW108" s="2030" t="s">
        <v>1151</v>
      </c>
    </row>
    <row r="109" spans="70:75" x14ac:dyDescent="0.2">
      <c r="BR109" s="2612" t="s">
        <v>2005</v>
      </c>
      <c r="BS109" s="570">
        <v>432.1</v>
      </c>
      <c r="BT109" s="570">
        <v>410.8</v>
      </c>
      <c r="BU109" s="570">
        <v>406.7</v>
      </c>
      <c r="BV109" s="570">
        <v>351.4</v>
      </c>
      <c r="BW109" s="2173">
        <v>373.60629378474027</v>
      </c>
    </row>
    <row r="110" spans="70:75" x14ac:dyDescent="0.2">
      <c r="BR110" s="870" t="s">
        <v>1524</v>
      </c>
      <c r="BS110" s="2627"/>
      <c r="BT110" s="898">
        <f>+BT109/$BS109-1</f>
        <v>-4.9294144873871848E-2</v>
      </c>
      <c r="BU110" s="898">
        <f>+BU109/$BS109-1</f>
        <v>-5.8782689192316662E-2</v>
      </c>
      <c r="BV110" s="898">
        <f>+BV109/$BS109-1</f>
        <v>-0.18676232353621858</v>
      </c>
      <c r="BW110" s="1251">
        <f>+BW109/$BS109-1</f>
        <v>-0.13537076189599573</v>
      </c>
    </row>
    <row r="111" spans="70:75" ht="3.95" customHeight="1" x14ac:dyDescent="0.2">
      <c r="BR111" s="2612"/>
      <c r="BS111" s="2575"/>
      <c r="BT111" s="2575"/>
      <c r="BU111" s="2575"/>
      <c r="BV111" s="2575"/>
      <c r="BW111" s="2626"/>
    </row>
    <row r="112" spans="70:75" x14ac:dyDescent="0.2">
      <c r="BR112" s="2612" t="s">
        <v>20</v>
      </c>
      <c r="BS112" s="570">
        <v>-316.5</v>
      </c>
      <c r="BT112" s="570">
        <v>-307.2</v>
      </c>
      <c r="BU112" s="570">
        <v>-324.2</v>
      </c>
      <c r="BV112" s="570">
        <v>-299.7</v>
      </c>
      <c r="BW112" s="2543">
        <f>+BW114-BW109</f>
        <v>-310.32751013238033</v>
      </c>
    </row>
    <row r="113" spans="70:75" ht="3.95" customHeight="1" x14ac:dyDescent="0.2">
      <c r="BR113" s="2612"/>
      <c r="BS113" s="2029" t="s">
        <v>1151</v>
      </c>
      <c r="BT113" s="2029" t="s">
        <v>1151</v>
      </c>
      <c r="BU113" s="2029" t="s">
        <v>1151</v>
      </c>
      <c r="BV113" s="2029" t="s">
        <v>1151</v>
      </c>
      <c r="BW113" s="2030" t="s">
        <v>1151</v>
      </c>
    </row>
    <row r="114" spans="70:75" x14ac:dyDescent="0.2">
      <c r="BR114" s="2612" t="s">
        <v>954</v>
      </c>
      <c r="BS114" s="570">
        <v>115.6</v>
      </c>
      <c r="BT114" s="570">
        <v>103.6</v>
      </c>
      <c r="BU114" s="570">
        <v>82.5</v>
      </c>
      <c r="BV114" s="570">
        <v>51.7</v>
      </c>
      <c r="BW114" s="2173">
        <v>63.278783652359927</v>
      </c>
    </row>
    <row r="115" spans="70:75" x14ac:dyDescent="0.2">
      <c r="BR115" s="2612" t="s">
        <v>1536</v>
      </c>
      <c r="BS115" s="570">
        <v>89.3</v>
      </c>
      <c r="BT115" s="570">
        <v>83.8</v>
      </c>
      <c r="BU115" s="570">
        <v>87.33</v>
      </c>
      <c r="BV115" s="570">
        <v>87.2</v>
      </c>
      <c r="BW115" s="2173">
        <v>88</v>
      </c>
    </row>
    <row r="116" spans="70:75" x14ac:dyDescent="0.2">
      <c r="BR116" s="2612" t="s">
        <v>1588</v>
      </c>
      <c r="BS116" s="2544">
        <v>1.2945128779395296</v>
      </c>
      <c r="BT116" s="2544">
        <v>1.2362768496420047</v>
      </c>
      <c r="BU116" s="2544">
        <v>0.94469254551700443</v>
      </c>
      <c r="BV116" s="2544">
        <v>0.5928899082568807</v>
      </c>
      <c r="BW116" s="2545">
        <v>0.71907708695863548</v>
      </c>
    </row>
    <row r="117" spans="70:75" x14ac:dyDescent="0.2">
      <c r="BR117" s="870" t="s">
        <v>1524</v>
      </c>
      <c r="BS117" s="2627"/>
      <c r="BT117" s="898">
        <f>+BT116/$BS116-1</f>
        <v>-4.4986828087966946E-2</v>
      </c>
      <c r="BU117" s="898">
        <f>+BU116/$BS116-1</f>
        <v>-0.27023318066895763</v>
      </c>
      <c r="BV117" s="898">
        <f>+BV116/$BS116-1</f>
        <v>-0.54199767467699433</v>
      </c>
      <c r="BW117" s="1251">
        <f>+BW116/$BS116-1</f>
        <v>-0.44451917071447966</v>
      </c>
    </row>
    <row r="118" spans="70:75" x14ac:dyDescent="0.2">
      <c r="BR118" s="2612"/>
      <c r="BS118" s="2575"/>
      <c r="BT118" s="2575"/>
      <c r="BU118" s="2575"/>
      <c r="BV118" s="2575"/>
      <c r="BW118" s="2626"/>
    </row>
    <row r="119" spans="70:75" x14ac:dyDescent="0.2">
      <c r="BR119" s="1220" t="s">
        <v>1525</v>
      </c>
      <c r="BS119" s="2575"/>
      <c r="BT119" s="2575"/>
      <c r="BU119" s="2575"/>
      <c r="BV119" s="2575"/>
      <c r="BW119" s="2626"/>
    </row>
    <row r="120" spans="70:75" x14ac:dyDescent="0.2">
      <c r="BR120" s="2612" t="s">
        <v>1526</v>
      </c>
      <c r="BS120" s="887">
        <v>449.3</v>
      </c>
      <c r="BT120" s="887">
        <v>441.5</v>
      </c>
      <c r="BU120" s="887">
        <v>436.3</v>
      </c>
      <c r="BV120" s="887">
        <v>419.7</v>
      </c>
      <c r="BW120" s="2546">
        <v>431.33609324760391</v>
      </c>
    </row>
    <row r="121" spans="70:75" x14ac:dyDescent="0.2">
      <c r="BR121" s="870" t="s">
        <v>1524</v>
      </c>
      <c r="BS121" s="2575"/>
      <c r="BT121" s="898">
        <f>+BT120/$BS120-1</f>
        <v>-1.73603383040285E-2</v>
      </c>
      <c r="BU121" s="898">
        <f>+BU120/$BS120-1</f>
        <v>-2.8933897173380796E-2</v>
      </c>
      <c r="BV121" s="898">
        <f>+BV120/$BS120-1</f>
        <v>-6.588025817939025E-2</v>
      </c>
      <c r="BW121" s="1251">
        <f>+BW120/$BS120-1</f>
        <v>-3.9981986985079265E-2</v>
      </c>
    </row>
    <row r="122" spans="70:75" ht="3.95" customHeight="1" x14ac:dyDescent="0.2">
      <c r="BR122" s="2612"/>
      <c r="BS122" s="2575"/>
      <c r="BT122" s="2575"/>
      <c r="BU122" s="2575"/>
      <c r="BV122" s="2575"/>
      <c r="BW122" s="2626"/>
    </row>
    <row r="123" spans="70:75" x14ac:dyDescent="0.2">
      <c r="BR123" s="2612" t="s">
        <v>645</v>
      </c>
      <c r="BS123" s="570">
        <v>159</v>
      </c>
      <c r="BT123" s="570">
        <v>166.8</v>
      </c>
      <c r="BU123" s="570">
        <v>170</v>
      </c>
      <c r="BV123" s="570">
        <v>171.6</v>
      </c>
      <c r="BW123" s="2173">
        <v>171.30176723602</v>
      </c>
    </row>
    <row r="124" spans="70:75" ht="3" customHeight="1" x14ac:dyDescent="0.2">
      <c r="BR124" s="2612"/>
      <c r="BS124" s="2029" t="s">
        <v>1151</v>
      </c>
      <c r="BT124" s="2029" t="s">
        <v>1151</v>
      </c>
      <c r="BU124" s="2029" t="s">
        <v>1151</v>
      </c>
      <c r="BV124" s="2029" t="s">
        <v>1151</v>
      </c>
      <c r="BW124" s="2030" t="s">
        <v>1151</v>
      </c>
    </row>
    <row r="125" spans="70:75" x14ac:dyDescent="0.2">
      <c r="BR125" s="2612" t="s">
        <v>1570</v>
      </c>
      <c r="BS125" s="570">
        <v>608.29999999999995</v>
      </c>
      <c r="BT125" s="570">
        <v>608.29999999999995</v>
      </c>
      <c r="BU125" s="570">
        <v>606.29999999999995</v>
      </c>
      <c r="BV125" s="570">
        <v>591.29999999999995</v>
      </c>
      <c r="BW125" s="2173">
        <f>+BW123+BW120</f>
        <v>602.63786048362385</v>
      </c>
    </row>
    <row r="126" spans="70:75" ht="3.95" customHeight="1" x14ac:dyDescent="0.2">
      <c r="BR126" s="2612"/>
      <c r="BS126" s="2575"/>
      <c r="BT126" s="2575"/>
      <c r="BU126" s="2575"/>
      <c r="BV126" s="2575"/>
      <c r="BW126" s="2626"/>
    </row>
    <row r="127" spans="70:75" x14ac:dyDescent="0.2">
      <c r="BR127" s="2612" t="s">
        <v>1624</v>
      </c>
      <c r="BS127" s="570">
        <v>459.1</v>
      </c>
      <c r="BT127" s="570">
        <v>456.5</v>
      </c>
      <c r="BU127" s="570">
        <v>455.2</v>
      </c>
      <c r="BV127" s="570">
        <v>439.8</v>
      </c>
      <c r="BW127" s="2173">
        <v>433.06974983849523</v>
      </c>
    </row>
    <row r="128" spans="70:75" x14ac:dyDescent="0.2">
      <c r="BR128" s="870" t="s">
        <v>1524</v>
      </c>
      <c r="BS128" s="2575"/>
      <c r="BT128" s="898">
        <f>+BT127/$BS127-1</f>
        <v>-5.6632541929863001E-3</v>
      </c>
      <c r="BU128" s="898">
        <f>+BU127/$BS127-1</f>
        <v>-8.4948812894795056E-3</v>
      </c>
      <c r="BV128" s="898">
        <f>+BV127/$BS127-1</f>
        <v>-4.2038771509475104E-2</v>
      </c>
      <c r="BW128" s="1251">
        <f>+BW127/$BS127-1</f>
        <v>-5.6698432066009108E-2</v>
      </c>
    </row>
    <row r="129" spans="70:81" ht="3.95" customHeight="1" x14ac:dyDescent="0.2">
      <c r="BR129" s="870"/>
      <c r="BS129" s="2575"/>
      <c r="BT129" s="2575"/>
      <c r="BU129" s="2575"/>
      <c r="BV129" s="2575"/>
      <c r="BW129" s="2626"/>
    </row>
    <row r="130" spans="70:81" x14ac:dyDescent="0.2">
      <c r="BR130" s="2612" t="s">
        <v>1527</v>
      </c>
      <c r="BS130" s="570">
        <v>-189.9</v>
      </c>
      <c r="BT130" s="570">
        <v>-166.9</v>
      </c>
      <c r="BU130" s="570">
        <v>-170.8</v>
      </c>
      <c r="BV130" s="570">
        <v>-168.3</v>
      </c>
      <c r="BW130" s="2543">
        <f>+BW132-BW127</f>
        <v>-125.34943447661243</v>
      </c>
    </row>
    <row r="131" spans="70:81" ht="3" customHeight="1" x14ac:dyDescent="0.2">
      <c r="BR131" s="2612"/>
      <c r="BS131" s="2029" t="s">
        <v>1151</v>
      </c>
      <c r="BT131" s="2029" t="s">
        <v>1151</v>
      </c>
      <c r="BU131" s="2029" t="s">
        <v>1151</v>
      </c>
      <c r="BV131" s="2029" t="s">
        <v>1151</v>
      </c>
      <c r="BW131" s="2030" t="s">
        <v>1151</v>
      </c>
    </row>
    <row r="132" spans="70:81" x14ac:dyDescent="0.2">
      <c r="BR132" s="2612" t="s">
        <v>1250</v>
      </c>
      <c r="BS132" s="570">
        <f>+BS127+BS130</f>
        <v>269.20000000000005</v>
      </c>
      <c r="BT132" s="570">
        <f>+BT127+BT130</f>
        <v>289.60000000000002</v>
      </c>
      <c r="BU132" s="570">
        <f>+BU127+BU130</f>
        <v>284.39999999999998</v>
      </c>
      <c r="BV132" s="570">
        <f>+BV127+BV130</f>
        <v>271.5</v>
      </c>
      <c r="BW132" s="2173">
        <v>307.7203153618828</v>
      </c>
    </row>
    <row r="133" spans="70:81" x14ac:dyDescent="0.2">
      <c r="BR133" s="870" t="s">
        <v>1524</v>
      </c>
      <c r="BS133" s="2575"/>
      <c r="BT133" s="898">
        <f>+BT132/$BS132-1</f>
        <v>7.5780089153046015E-2</v>
      </c>
      <c r="BU133" s="898">
        <f>+BU132/$BS132-1</f>
        <v>5.6463595839524316E-2</v>
      </c>
      <c r="BV133" s="898">
        <f>+BV132/$BS132-1</f>
        <v>8.5438335809804311E-3</v>
      </c>
      <c r="BW133" s="1251">
        <f>+BW132/$BS132-1</f>
        <v>0.14309181040818264</v>
      </c>
    </row>
    <row r="134" spans="70:81" ht="3.95" customHeight="1" x14ac:dyDescent="0.2">
      <c r="BR134" s="870"/>
      <c r="BS134" s="2575"/>
      <c r="BT134" s="2575"/>
      <c r="BU134" s="2575"/>
      <c r="BV134" s="2575"/>
      <c r="BW134" s="2626"/>
    </row>
    <row r="135" spans="70:81" x14ac:dyDescent="0.2">
      <c r="BR135" s="2612" t="s">
        <v>1528</v>
      </c>
      <c r="BS135" s="570">
        <v>-157</v>
      </c>
      <c r="BT135" s="570">
        <v>-161</v>
      </c>
      <c r="BU135" s="570">
        <v>-122.8</v>
      </c>
      <c r="BV135" s="570">
        <v>-122.4</v>
      </c>
      <c r="BW135" s="2173">
        <v>-122.64100000000001</v>
      </c>
    </row>
    <row r="136" spans="70:81" x14ac:dyDescent="0.2">
      <c r="BR136" s="2612" t="s">
        <v>954</v>
      </c>
      <c r="BS136" s="570">
        <v>112.2</v>
      </c>
      <c r="BT136" s="570">
        <v>128.6</v>
      </c>
      <c r="BU136" s="570">
        <v>161.6</v>
      </c>
      <c r="BV136" s="570">
        <v>149.1</v>
      </c>
      <c r="BW136" s="2173">
        <v>183.6793153618828</v>
      </c>
    </row>
    <row r="137" spans="70:81" x14ac:dyDescent="0.2">
      <c r="BR137" s="2612" t="s">
        <v>1536</v>
      </c>
      <c r="BS137" s="570">
        <v>95.9</v>
      </c>
      <c r="BT137" s="570">
        <v>93.4</v>
      </c>
      <c r="BU137" s="570">
        <v>92.7</v>
      </c>
      <c r="BV137" s="570">
        <v>92.6</v>
      </c>
      <c r="BW137" s="2173">
        <v>125.01</v>
      </c>
    </row>
    <row r="138" spans="70:81" x14ac:dyDescent="0.2">
      <c r="BR138" s="2612" t="s">
        <v>1588</v>
      </c>
      <c r="BS138" s="2544">
        <v>1.1699687174139728</v>
      </c>
      <c r="BT138" s="2544">
        <v>1.3768736616702355</v>
      </c>
      <c r="BU138" s="2544">
        <v>1.7432578209277236</v>
      </c>
      <c r="BV138" s="2544">
        <v>1.6101511879049677</v>
      </c>
      <c r="BW138" s="2545">
        <v>1.4693169775368593</v>
      </c>
    </row>
    <row r="139" spans="70:81" x14ac:dyDescent="0.2">
      <c r="BR139" s="1633" t="s">
        <v>1524</v>
      </c>
      <c r="BS139" s="2628"/>
      <c r="BT139" s="2547">
        <f>+BT138/$BS138-1</f>
        <v>0.17684656108890895</v>
      </c>
      <c r="BU139" s="2547">
        <f>+BU138/$BS138-1</f>
        <v>0.4900037881191508</v>
      </c>
      <c r="BV139" s="2547">
        <f>+BV138/$BS138-1</f>
        <v>0.37623439322715169</v>
      </c>
      <c r="BW139" s="2548">
        <f>+BW138/$BS138-1</f>
        <v>0.25586005477526585</v>
      </c>
    </row>
    <row r="143" spans="70:81" x14ac:dyDescent="0.2">
      <c r="BZ143" s="359" t="s">
        <v>1599</v>
      </c>
    </row>
    <row r="144" spans="70:81" x14ac:dyDescent="0.2">
      <c r="CA144" s="745" t="s">
        <v>2274</v>
      </c>
      <c r="CB144" s="745" t="s">
        <v>2272</v>
      </c>
      <c r="CC144" s="745" t="s">
        <v>2273</v>
      </c>
    </row>
    <row r="145" spans="78:81" x14ac:dyDescent="0.2">
      <c r="BZ145" s="1454" t="s">
        <v>585</v>
      </c>
      <c r="CA145" s="1101">
        <v>3000</v>
      </c>
      <c r="CB145" s="1454">
        <f>+CA145</f>
        <v>3000</v>
      </c>
      <c r="CC145" s="1454">
        <f>+CB145</f>
        <v>3000</v>
      </c>
    </row>
    <row r="146" spans="78:81" x14ac:dyDescent="0.2">
      <c r="BZ146" s="2550" t="s">
        <v>1590</v>
      </c>
      <c r="CA146" s="2549">
        <v>175</v>
      </c>
      <c r="CB146" s="2549">
        <v>200</v>
      </c>
      <c r="CC146" s="2549">
        <v>250</v>
      </c>
    </row>
    <row r="147" spans="78:81" x14ac:dyDescent="0.2">
      <c r="BZ147" s="10" t="s">
        <v>2214</v>
      </c>
      <c r="CA147" s="1655">
        <f>+CA145*CA146*365/1000000</f>
        <v>191.625</v>
      </c>
      <c r="CB147" s="1655">
        <f>+CB145*CB146*365/1000000</f>
        <v>219</v>
      </c>
      <c r="CC147" s="1655">
        <f>+CC145*CC146*365/1000000</f>
        <v>273.75</v>
      </c>
    </row>
    <row r="148" spans="78:81" x14ac:dyDescent="0.2">
      <c r="CA148" s="2619"/>
    </row>
    <row r="149" spans="78:81" x14ac:dyDescent="0.2">
      <c r="BZ149" s="1454" t="s">
        <v>1591</v>
      </c>
      <c r="CA149" s="1101">
        <v>100</v>
      </c>
      <c r="CB149" s="1454">
        <f>+CA149</f>
        <v>100</v>
      </c>
      <c r="CC149" s="1454">
        <f>+CB149</f>
        <v>100</v>
      </c>
    </row>
    <row r="150" spans="78:81" x14ac:dyDescent="0.2">
      <c r="BZ150" s="2550" t="s">
        <v>1590</v>
      </c>
      <c r="CA150" s="2549">
        <v>1500</v>
      </c>
      <c r="CB150" s="2549">
        <v>2000</v>
      </c>
      <c r="CC150" s="2549">
        <v>2500</v>
      </c>
    </row>
    <row r="151" spans="78:81" x14ac:dyDescent="0.2">
      <c r="BZ151" s="10" t="s">
        <v>2215</v>
      </c>
      <c r="CA151" s="10">
        <f>+CA149*CA150*365/1000000</f>
        <v>54.75</v>
      </c>
      <c r="CB151" s="10">
        <f>+CB149*CB150*365/1000000</f>
        <v>73</v>
      </c>
      <c r="CC151" s="10">
        <f>+CC149*CC150*365/1000000</f>
        <v>91.25</v>
      </c>
    </row>
    <row r="153" spans="78:81" x14ac:dyDescent="0.2">
      <c r="BZ153" s="10" t="s">
        <v>1280</v>
      </c>
      <c r="CA153" s="10">
        <f>+CA151+CA147</f>
        <v>246.375</v>
      </c>
      <c r="CB153" s="10">
        <f>+CB151+CB147</f>
        <v>292</v>
      </c>
      <c r="CC153" s="10">
        <f>+CC151+CC147</f>
        <v>365</v>
      </c>
    </row>
    <row r="154" spans="78:81" x14ac:dyDescent="0.2">
      <c r="BZ154" s="275" t="s">
        <v>1592</v>
      </c>
      <c r="CA154" s="275">
        <f>-0.08*CA153</f>
        <v>-19.71</v>
      </c>
      <c r="CB154" s="275">
        <f>-0.08*CB153</f>
        <v>-23.36</v>
      </c>
      <c r="CC154" s="275">
        <f>-0.08*CC153</f>
        <v>-29.2</v>
      </c>
    </row>
    <row r="155" spans="78:81" x14ac:dyDescent="0.2">
      <c r="BZ155" s="10" t="s">
        <v>1593</v>
      </c>
      <c r="CA155" s="10">
        <f>+CA153+CA154</f>
        <v>226.66499999999999</v>
      </c>
      <c r="CB155" s="10">
        <f>+CB153+CB154</f>
        <v>268.64</v>
      </c>
      <c r="CC155" s="10">
        <f>+CC153+CC154</f>
        <v>335.8</v>
      </c>
    </row>
    <row r="157" spans="78:81" x14ac:dyDescent="0.2">
      <c r="BZ157" s="1454" t="s">
        <v>1594</v>
      </c>
      <c r="CA157" s="1101">
        <v>258</v>
      </c>
      <c r="CB157" s="1454">
        <f>+CA157</f>
        <v>258</v>
      </c>
      <c r="CC157" s="1454">
        <f>+CB157</f>
        <v>258</v>
      </c>
    </row>
    <row r="158" spans="78:81" x14ac:dyDescent="0.2">
      <c r="BZ158" s="275" t="s">
        <v>1595</v>
      </c>
      <c r="CA158" s="2549">
        <v>125</v>
      </c>
      <c r="CB158" s="2549">
        <v>150</v>
      </c>
      <c r="CC158" s="2549">
        <v>200</v>
      </c>
    </row>
    <row r="159" spans="78:81" x14ac:dyDescent="0.2">
      <c r="BZ159" s="10" t="s">
        <v>1596</v>
      </c>
      <c r="CA159" s="10">
        <f>+CA157*CA158*365/1000000</f>
        <v>11.77125</v>
      </c>
      <c r="CB159" s="10">
        <f>+CB157*CB158*365/1000000</f>
        <v>14.125500000000001</v>
      </c>
      <c r="CC159" s="10">
        <f>+CC157*CC158*365/1000000</f>
        <v>18.834</v>
      </c>
    </row>
    <row r="161" spans="78:81" x14ac:dyDescent="0.2">
      <c r="BZ161" s="10" t="s">
        <v>1597</v>
      </c>
      <c r="CA161" s="10">
        <f>+CA159*2</f>
        <v>23.5425</v>
      </c>
      <c r="CB161" s="10">
        <f>+CB159*2.5</f>
        <v>35.313749999999999</v>
      </c>
      <c r="CC161" s="10">
        <f>+CC159*3</f>
        <v>56.501999999999995</v>
      </c>
    </row>
    <row r="163" spans="78:81" x14ac:dyDescent="0.2">
      <c r="BZ163" s="10" t="s">
        <v>1418</v>
      </c>
      <c r="CA163" s="10">
        <f>+CA155+CA159+CA161</f>
        <v>261.97874999999999</v>
      </c>
      <c r="CB163" s="10">
        <f>+CB155+CB159+CB161</f>
        <v>318.07925</v>
      </c>
      <c r="CC163" s="10">
        <f>+CC155+CC159+CC161</f>
        <v>411.13600000000002</v>
      </c>
    </row>
    <row r="165" spans="78:81" x14ac:dyDescent="0.2">
      <c r="BZ165" s="1454" t="s">
        <v>2270</v>
      </c>
      <c r="CA165" s="1454">
        <f>-(0.67*CA147)-(0.2*CA151)</f>
        <v>-139.33875</v>
      </c>
      <c r="CB165" s="1454">
        <f>-(0.67*CB147)-(0.2*CB151)</f>
        <v>-161.33000000000001</v>
      </c>
      <c r="CC165" s="1454">
        <f>-(0.67*CC147)-(0.2*CC151)</f>
        <v>-201.66250000000002</v>
      </c>
    </row>
    <row r="166" spans="78:81" x14ac:dyDescent="0.2">
      <c r="BZ166" s="1454" t="s">
        <v>1598</v>
      </c>
      <c r="CA166" s="1454">
        <f>+CA168-CA165-CA163</f>
        <v>-50.59584375</v>
      </c>
      <c r="CB166" s="1454">
        <f>+CB168-CB165-CB163</f>
        <v>-61.325474999999983</v>
      </c>
      <c r="CC166" s="1454">
        <f>+CC168-CC165-CC163</f>
        <v>-75.854300000000023</v>
      </c>
    </row>
    <row r="168" spans="78:81" x14ac:dyDescent="0.2">
      <c r="BZ168" s="10" t="s">
        <v>1255</v>
      </c>
      <c r="CA168" s="10">
        <f>+CA163*CA169</f>
        <v>72.044156249999986</v>
      </c>
      <c r="CB168" s="10">
        <f>+CB163*CB169</f>
        <v>95.423774999999992</v>
      </c>
      <c r="CC168" s="10">
        <f>+CC163*CC169</f>
        <v>133.61920000000001</v>
      </c>
    </row>
    <row r="169" spans="78:81" x14ac:dyDescent="0.2">
      <c r="BZ169" s="1454" t="s">
        <v>1892</v>
      </c>
      <c r="CA169" s="2610">
        <f>+CB169-0.025</f>
        <v>0.27499999999999997</v>
      </c>
      <c r="CB169" s="647">
        <v>0.3</v>
      </c>
      <c r="CC169" s="2610">
        <f>+CB169+0.025</f>
        <v>0.32500000000000001</v>
      </c>
    </row>
    <row r="170" spans="78:81" x14ac:dyDescent="0.2">
      <c r="BZ170" s="10"/>
      <c r="CA170" s="10"/>
      <c r="CB170" s="10"/>
      <c r="CC170" s="10"/>
    </row>
    <row r="171" spans="78:81" x14ac:dyDescent="0.2">
      <c r="BZ171" s="1454" t="s">
        <v>1600</v>
      </c>
      <c r="CA171" s="1454">
        <f>+CA168/2</f>
        <v>36.022078124999993</v>
      </c>
      <c r="CB171" s="1454">
        <f>+CB168/2</f>
        <v>47.711887499999996</v>
      </c>
      <c r="CC171" s="1454">
        <f>+CC168/2</f>
        <v>66.809600000000003</v>
      </c>
    </row>
    <row r="173" spans="78:81" x14ac:dyDescent="0.2">
      <c r="BZ173" s="10" t="s">
        <v>1601</v>
      </c>
      <c r="CA173" s="10">
        <f>+CA168-CA171</f>
        <v>36.022078124999993</v>
      </c>
      <c r="CB173" s="10">
        <f>+CB168-CB171</f>
        <v>47.711887499999996</v>
      </c>
      <c r="CC173" s="10">
        <f>+CC168-CC171</f>
        <v>66.809600000000003</v>
      </c>
    </row>
    <row r="174" spans="78:81" x14ac:dyDescent="0.2">
      <c r="BZ174" s="1454" t="s">
        <v>1464</v>
      </c>
      <c r="CA174" s="2629">
        <f>+CB174-0.5</f>
        <v>5.5</v>
      </c>
      <c r="CB174" s="2553">
        <v>6</v>
      </c>
      <c r="CC174" s="2629">
        <f>+CB174+0.5</f>
        <v>6.5</v>
      </c>
    </row>
    <row r="175" spans="78:81" x14ac:dyDescent="0.2">
      <c r="BZ175" s="1454" t="s">
        <v>1403</v>
      </c>
      <c r="CA175" s="1454">
        <f>+CA173*CA174</f>
        <v>198.12142968749995</v>
      </c>
      <c r="CB175" s="1454">
        <f>+CB173*CB174</f>
        <v>286.27132499999999</v>
      </c>
      <c r="CC175" s="1454">
        <f>+CC173*CC174</f>
        <v>434.26240000000001</v>
      </c>
    </row>
    <row r="176" spans="78:81" x14ac:dyDescent="0.2">
      <c r="BZ176" s="1454" t="s">
        <v>1605</v>
      </c>
      <c r="CA176" s="1454">
        <f>+CB176</f>
        <v>-150</v>
      </c>
      <c r="CB176" s="1101">
        <v>-150</v>
      </c>
      <c r="CC176" s="1454">
        <f>+CB176</f>
        <v>-150</v>
      </c>
    </row>
    <row r="177" spans="78:86" x14ac:dyDescent="0.2">
      <c r="BZ177" s="1655" t="s">
        <v>1602</v>
      </c>
      <c r="CA177" s="1454">
        <f>+CA175+CA176</f>
        <v>48.121429687499955</v>
      </c>
      <c r="CB177" s="1454">
        <f>+CB175+CB176</f>
        <v>136.27132499999999</v>
      </c>
      <c r="CC177" s="1454">
        <f>+CC175+CC176</f>
        <v>284.26240000000001</v>
      </c>
    </row>
    <row r="178" spans="78:86" x14ac:dyDescent="0.2">
      <c r="BZ178" s="1454" t="s">
        <v>1578</v>
      </c>
      <c r="CA178" s="1454">
        <f>+CA177/$CA$181</f>
        <v>33.930786058973077</v>
      </c>
      <c r="CB178" s="1454">
        <f>+CB177/$CA$181</f>
        <v>96.085947665616999</v>
      </c>
      <c r="CC178" s="1454">
        <f>+CC177/$CA$181</f>
        <v>200.43558019049635</v>
      </c>
    </row>
    <row r="179" spans="78:86" x14ac:dyDescent="0.2">
      <c r="BZ179" s="2551" t="s">
        <v>1603</v>
      </c>
      <c r="CA179" s="2554">
        <f>+CA178/'EBITDA Val'!$G$47</f>
        <v>0.36724412086384334</v>
      </c>
      <c r="CB179" s="2554">
        <f>+CB178/'EBITDA Val'!$G$47</f>
        <v>1.0399699941079628</v>
      </c>
      <c r="CC179" s="2555">
        <f>+CC178/'EBITDA Val'!$G$47</f>
        <v>2.1693805828417343</v>
      </c>
    </row>
    <row r="181" spans="78:86" x14ac:dyDescent="0.2">
      <c r="BZ181" s="10" t="s">
        <v>1604</v>
      </c>
      <c r="CA181" s="2552">
        <f>1.15^2.5</f>
        <v>1.418223250232487</v>
      </c>
    </row>
    <row r="184" spans="78:86" x14ac:dyDescent="0.2">
      <c r="CE184" s="359" t="s">
        <v>1031</v>
      </c>
    </row>
    <row r="185" spans="78:86" x14ac:dyDescent="0.2">
      <c r="CF185" s="745" t="s">
        <v>2274</v>
      </c>
      <c r="CG185" s="745" t="s">
        <v>2272</v>
      </c>
      <c r="CH185" s="745" t="s">
        <v>2273</v>
      </c>
    </row>
    <row r="186" spans="78:86" x14ac:dyDescent="0.2">
      <c r="CE186" s="1454" t="s">
        <v>585</v>
      </c>
      <c r="CF186" s="1101">
        <v>1250</v>
      </c>
      <c r="CG186" s="1454">
        <f>+CF186</f>
        <v>1250</v>
      </c>
      <c r="CH186" s="1454">
        <f>+CG186</f>
        <v>1250</v>
      </c>
    </row>
    <row r="187" spans="78:86" x14ac:dyDescent="0.2">
      <c r="CE187" s="2550" t="s">
        <v>1590</v>
      </c>
      <c r="CF187" s="2549">
        <v>275</v>
      </c>
      <c r="CG187" s="2549">
        <v>300</v>
      </c>
      <c r="CH187" s="2549">
        <v>325</v>
      </c>
    </row>
    <row r="188" spans="78:86" x14ac:dyDescent="0.2">
      <c r="CE188" s="10" t="s">
        <v>2214</v>
      </c>
      <c r="CF188" s="1655">
        <f>+CF186*CF187*365/1000000</f>
        <v>125.46875</v>
      </c>
      <c r="CG188" s="1655">
        <f>+CG186*CG187*365/1000000</f>
        <v>136.875</v>
      </c>
      <c r="CH188" s="1655">
        <f>+CH186*CH187*365/1000000</f>
        <v>148.28125</v>
      </c>
    </row>
    <row r="190" spans="78:86" x14ac:dyDescent="0.2">
      <c r="CE190" s="10" t="s">
        <v>1280</v>
      </c>
      <c r="CF190" s="10">
        <f>+CF188</f>
        <v>125.46875</v>
      </c>
      <c r="CG190" s="10">
        <f>+CG188</f>
        <v>136.875</v>
      </c>
      <c r="CH190" s="10">
        <f>+CH188</f>
        <v>148.28125</v>
      </c>
    </row>
    <row r="191" spans="78:86" x14ac:dyDescent="0.2">
      <c r="CE191" s="275" t="s">
        <v>1592</v>
      </c>
      <c r="CF191" s="275">
        <f>-0.08*CF190</f>
        <v>-10.0375</v>
      </c>
      <c r="CG191" s="275">
        <f>-0.08*CG190</f>
        <v>-10.950000000000001</v>
      </c>
      <c r="CH191" s="275">
        <f>-0.08*CH190</f>
        <v>-11.862500000000001</v>
      </c>
    </row>
    <row r="192" spans="78:86" x14ac:dyDescent="0.2">
      <c r="CE192" s="10" t="s">
        <v>1593</v>
      </c>
      <c r="CF192" s="10">
        <f>+CF190+CF191</f>
        <v>115.43125000000001</v>
      </c>
      <c r="CG192" s="10">
        <f>+CG190+CG191</f>
        <v>125.925</v>
      </c>
      <c r="CH192" s="10">
        <f>+CH190+CH191</f>
        <v>136.41874999999999</v>
      </c>
    </row>
    <row r="193" spans="83:86" x14ac:dyDescent="0.2">
      <c r="CF193" s="2610"/>
      <c r="CG193" s="2610"/>
    </row>
    <row r="194" spans="83:86" x14ac:dyDescent="0.2">
      <c r="CE194" s="10" t="s">
        <v>1597</v>
      </c>
      <c r="CF194" s="10">
        <f>+CF192*0.075</f>
        <v>8.6573437500000008</v>
      </c>
      <c r="CG194" s="10">
        <f>+CG192*0.075</f>
        <v>9.4443749999999991</v>
      </c>
      <c r="CH194" s="10">
        <f>+CH192*0.075</f>
        <v>10.231406249999999</v>
      </c>
    </row>
    <row r="196" spans="83:86" x14ac:dyDescent="0.2">
      <c r="CE196" s="10" t="s">
        <v>1418</v>
      </c>
      <c r="CF196" s="10">
        <f>+CF192+CF194</f>
        <v>124.08859375</v>
      </c>
      <c r="CG196" s="10">
        <f>+CG192+CG194</f>
        <v>135.36937499999999</v>
      </c>
      <c r="CH196" s="10">
        <f>+CH192+CH194</f>
        <v>146.65015624999998</v>
      </c>
    </row>
    <row r="198" spans="83:86" x14ac:dyDescent="0.2">
      <c r="CE198" s="1454" t="s">
        <v>2270</v>
      </c>
      <c r="CF198" s="1454">
        <f>+-CF188*0.49</f>
        <v>-61.479687499999997</v>
      </c>
      <c r="CG198" s="1454">
        <f>+-CG188*0.49</f>
        <v>-67.068749999999994</v>
      </c>
      <c r="CH198" s="1454">
        <f>+-CH188*0.49</f>
        <v>-72.657812500000006</v>
      </c>
    </row>
    <row r="199" spans="83:86" x14ac:dyDescent="0.2">
      <c r="CE199" s="1454" t="s">
        <v>1598</v>
      </c>
      <c r="CF199" s="1454">
        <f>+CF201-CF198-CF196</f>
        <v>-28.484542968750006</v>
      </c>
      <c r="CG199" s="1454">
        <f>+CG201-CG198-CG196</f>
        <v>-27.689812500000002</v>
      </c>
      <c r="CH199" s="1454">
        <f>+CH201-CH198-CH196</f>
        <v>-26.331042968749983</v>
      </c>
    </row>
    <row r="201" spans="83:86" x14ac:dyDescent="0.2">
      <c r="CE201" s="10" t="s">
        <v>1624</v>
      </c>
      <c r="CF201" s="10">
        <f>+CF196*CF202</f>
        <v>34.124363281249998</v>
      </c>
      <c r="CG201" s="10">
        <f>+CG196*CG202</f>
        <v>40.610812499999994</v>
      </c>
      <c r="CH201" s="10">
        <f>+CH196*CH202</f>
        <v>47.661300781249999</v>
      </c>
    </row>
    <row r="202" spans="83:86" x14ac:dyDescent="0.2">
      <c r="CE202" s="1454" t="s">
        <v>1892</v>
      </c>
      <c r="CF202" s="2610">
        <f>+CG202-0.025</f>
        <v>0.27499999999999997</v>
      </c>
      <c r="CG202" s="647">
        <v>0.3</v>
      </c>
      <c r="CH202" s="2610">
        <f>+CG202+0.025</f>
        <v>0.32500000000000001</v>
      </c>
    </row>
    <row r="203" spans="83:86" x14ac:dyDescent="0.2">
      <c r="CE203" s="10"/>
      <c r="CF203" s="10"/>
      <c r="CG203" s="10"/>
      <c r="CH203" s="10"/>
    </row>
    <row r="204" spans="83:86" x14ac:dyDescent="0.2">
      <c r="CE204" s="1454" t="s">
        <v>1464</v>
      </c>
      <c r="CF204" s="2629">
        <f>+CG204-0.5</f>
        <v>7.5</v>
      </c>
      <c r="CG204" s="2553">
        <v>8</v>
      </c>
      <c r="CH204" s="2629">
        <f>+CG204+0.5</f>
        <v>8.5</v>
      </c>
    </row>
    <row r="205" spans="83:86" x14ac:dyDescent="0.2">
      <c r="CE205" s="1454" t="s">
        <v>1403</v>
      </c>
      <c r="CF205" s="1454">
        <f>+CF201*CF204</f>
        <v>255.93272460937499</v>
      </c>
      <c r="CG205" s="1454">
        <f>+CG201*CG204</f>
        <v>324.88649999999996</v>
      </c>
      <c r="CH205" s="1454">
        <f>+CH201*CH204</f>
        <v>405.121056640625</v>
      </c>
    </row>
    <row r="206" spans="83:86" x14ac:dyDescent="0.2">
      <c r="CE206" s="1454" t="s">
        <v>1605</v>
      </c>
      <c r="CF206" s="1454">
        <f>+CG206</f>
        <v>-225</v>
      </c>
      <c r="CG206" s="1101">
        <v>-225</v>
      </c>
      <c r="CH206" s="1454">
        <f>+CG206</f>
        <v>-225</v>
      </c>
    </row>
    <row r="207" spans="83:86" x14ac:dyDescent="0.2">
      <c r="CE207" s="1655" t="s">
        <v>1602</v>
      </c>
      <c r="CF207" s="1454">
        <f>+CF205+CF206</f>
        <v>30.932724609374986</v>
      </c>
      <c r="CG207" s="1454">
        <f>+CG205+CG206</f>
        <v>99.886499999999955</v>
      </c>
      <c r="CH207" s="1454">
        <f>+CH205+CH206</f>
        <v>180.121056640625</v>
      </c>
    </row>
    <row r="208" spans="83:86" x14ac:dyDescent="0.2">
      <c r="CE208" s="1454" t="s">
        <v>1578</v>
      </c>
      <c r="CF208" s="1454">
        <f>+CF207/$CF$211</f>
        <v>30.932724609374986</v>
      </c>
      <c r="CG208" s="1454">
        <f>+CG207/$CF$211</f>
        <v>99.886499999999955</v>
      </c>
      <c r="CH208" s="1454">
        <f>+CH207/$CF$211</f>
        <v>180.121056640625</v>
      </c>
    </row>
    <row r="209" spans="83:91" x14ac:dyDescent="0.2">
      <c r="CE209" s="2551" t="s">
        <v>1603</v>
      </c>
      <c r="CF209" s="2554">
        <f>+CF208/'EBITDA Val'!$G$47</f>
        <v>0.33479511012062585</v>
      </c>
      <c r="CG209" s="2554">
        <f>+CG208/'EBITDA Val'!$G$47</f>
        <v>1.0811046291385706</v>
      </c>
      <c r="CH209" s="2555">
        <f>+CH208/'EBITDA Val'!$G$47</f>
        <v>1.9495097749897179</v>
      </c>
    </row>
    <row r="211" spans="83:91" x14ac:dyDescent="0.2">
      <c r="CE211" s="10" t="s">
        <v>1604</v>
      </c>
      <c r="CF211" s="2552">
        <f>1.15^0</f>
        <v>1</v>
      </c>
    </row>
    <row r="212" spans="83:91" x14ac:dyDescent="0.2">
      <c r="CI212" s="1454" t="s">
        <v>1032</v>
      </c>
    </row>
    <row r="213" spans="83:91" s="2630" customFormat="1" x14ac:dyDescent="0.2">
      <c r="CI213" s="2631" t="s">
        <v>1855</v>
      </c>
      <c r="CJ213" s="2632">
        <v>2013</v>
      </c>
      <c r="CK213" s="2633">
        <v>2014</v>
      </c>
    </row>
    <row r="214" spans="83:91" s="2634" customFormat="1" x14ac:dyDescent="0.2">
      <c r="CI214" s="2606" t="s">
        <v>2284</v>
      </c>
      <c r="CJ214" s="2627">
        <v>2918.8</v>
      </c>
      <c r="CK214" s="2635">
        <v>2625.4</v>
      </c>
    </row>
    <row r="215" spans="83:91" x14ac:dyDescent="0.2">
      <c r="CI215" s="2607" t="s">
        <v>2202</v>
      </c>
      <c r="CJ215" s="2575"/>
      <c r="CK215" s="2636">
        <f>+CK214/CJ214-1</f>
        <v>-0.10052076195696868</v>
      </c>
    </row>
    <row r="216" spans="83:91" s="2634" customFormat="1" x14ac:dyDescent="0.2">
      <c r="CI216" s="2606" t="s">
        <v>1033</v>
      </c>
      <c r="CJ216" s="2627">
        <v>764.5</v>
      </c>
      <c r="CK216" s="2635">
        <v>701.9</v>
      </c>
    </row>
    <row r="217" spans="83:91" s="2610" customFormat="1" x14ac:dyDescent="0.2">
      <c r="CI217" s="2608" t="s">
        <v>1892</v>
      </c>
      <c r="CJ217" s="2637">
        <f>+CJ216/CJ214</f>
        <v>0.2619227079621762</v>
      </c>
      <c r="CK217" s="2638">
        <f>+CK216/CK214</f>
        <v>0.26734973718290544</v>
      </c>
    </row>
    <row r="218" spans="83:91" s="2610" customFormat="1" x14ac:dyDescent="0.2">
      <c r="CI218" s="2609"/>
      <c r="CJ218" s="2639"/>
      <c r="CK218" s="2639"/>
      <c r="CL218" s="2610" t="s">
        <v>1047</v>
      </c>
    </row>
    <row r="219" spans="83:91" x14ac:dyDescent="0.2">
      <c r="CL219" s="2615" t="s">
        <v>1855</v>
      </c>
      <c r="CM219" s="2633">
        <v>2010</v>
      </c>
    </row>
    <row r="220" spans="83:91" x14ac:dyDescent="0.2">
      <c r="CL220" s="2611" t="s">
        <v>585</v>
      </c>
      <c r="CM220" s="1407">
        <v>1228</v>
      </c>
    </row>
    <row r="221" spans="83:91" x14ac:dyDescent="0.2">
      <c r="CL221" s="2612" t="s">
        <v>1591</v>
      </c>
      <c r="CM221" s="1405">
        <v>20</v>
      </c>
    </row>
    <row r="222" spans="83:91" x14ac:dyDescent="0.2">
      <c r="CL222" s="2612" t="s">
        <v>1040</v>
      </c>
      <c r="CM222" s="2626">
        <f>+CM220+CM221*6</f>
        <v>1348</v>
      </c>
    </row>
    <row r="223" spans="83:91" x14ac:dyDescent="0.2">
      <c r="CL223" s="2612"/>
      <c r="CM223" s="2626"/>
    </row>
    <row r="224" spans="83:91" s="2634" customFormat="1" x14ac:dyDescent="0.2">
      <c r="CL224" s="2606" t="s">
        <v>1041</v>
      </c>
      <c r="CM224" s="2635">
        <f>+CM226*1000000/CM222/365</f>
        <v>242.33364497378156</v>
      </c>
    </row>
    <row r="225" spans="90:97" x14ac:dyDescent="0.2">
      <c r="CL225" s="2612"/>
      <c r="CM225" s="2626"/>
    </row>
    <row r="226" spans="90:97" s="2634" customFormat="1" x14ac:dyDescent="0.2">
      <c r="CL226" s="2606" t="s">
        <v>1042</v>
      </c>
      <c r="CM226" s="2542">
        <v>119.233</v>
      </c>
    </row>
    <row r="227" spans="90:97" x14ac:dyDescent="0.2">
      <c r="CL227" s="2612" t="s">
        <v>1043</v>
      </c>
      <c r="CM227" s="1405">
        <v>5.806</v>
      </c>
    </row>
    <row r="228" spans="90:97" x14ac:dyDescent="0.2">
      <c r="CL228" s="2612" t="s">
        <v>1623</v>
      </c>
      <c r="CM228" s="1405">
        <v>0.873</v>
      </c>
    </row>
    <row r="229" spans="90:97" ht="3.95" customHeight="1" x14ac:dyDescent="0.2">
      <c r="CL229" s="2612"/>
      <c r="CM229" s="2613" t="s">
        <v>1046</v>
      </c>
    </row>
    <row r="230" spans="90:97" s="2634" customFormat="1" x14ac:dyDescent="0.2">
      <c r="CL230" s="2606" t="s">
        <v>1044</v>
      </c>
      <c r="CM230" s="2635">
        <f>SUM(CM226:CM229)</f>
        <v>125.91200000000001</v>
      </c>
    </row>
    <row r="231" spans="90:97" x14ac:dyDescent="0.2">
      <c r="CL231" s="2612" t="s">
        <v>1045</v>
      </c>
      <c r="CM231" s="1405">
        <v>-1.7250000000000001</v>
      </c>
    </row>
    <row r="232" spans="90:97" ht="3.95" customHeight="1" x14ac:dyDescent="0.2">
      <c r="CL232" s="2612"/>
      <c r="CM232" s="2613" t="s">
        <v>1046</v>
      </c>
    </row>
    <row r="233" spans="90:97" s="2634" customFormat="1" x14ac:dyDescent="0.2">
      <c r="CL233" s="2606" t="s">
        <v>898</v>
      </c>
      <c r="CM233" s="2635">
        <f>+SUM(CM230:CM232)</f>
        <v>124.18700000000001</v>
      </c>
    </row>
    <row r="234" spans="90:97" x14ac:dyDescent="0.2">
      <c r="CL234" s="2612"/>
      <c r="CM234" s="2626"/>
    </row>
    <row r="235" spans="90:97" s="2634" customFormat="1" x14ac:dyDescent="0.2">
      <c r="CL235" s="2606" t="s">
        <v>1624</v>
      </c>
      <c r="CM235" s="2542">
        <f>46.437+9.849</f>
        <v>56.286000000000001</v>
      </c>
    </row>
    <row r="236" spans="90:97" x14ac:dyDescent="0.2">
      <c r="CL236" s="2614" t="s">
        <v>1892</v>
      </c>
      <c r="CM236" s="2638">
        <f>+CM235/CM233</f>
        <v>0.45323584594200678</v>
      </c>
    </row>
    <row r="240" spans="90:97" x14ac:dyDescent="0.2">
      <c r="CP240" s="282" t="s">
        <v>194</v>
      </c>
      <c r="CQ240" s="904" t="s">
        <v>2046</v>
      </c>
      <c r="CR240" s="904"/>
      <c r="CS240" s="2640"/>
    </row>
    <row r="241" spans="94:97" x14ac:dyDescent="0.2">
      <c r="CP241" s="2625"/>
      <c r="CQ241" s="1046" t="s">
        <v>2274</v>
      </c>
      <c r="CR241" s="1046" t="s">
        <v>2272</v>
      </c>
      <c r="CS241" s="2969" t="s">
        <v>2273</v>
      </c>
    </row>
    <row r="242" spans="94:97" x14ac:dyDescent="0.2">
      <c r="CP242" s="1220" t="s">
        <v>195</v>
      </c>
      <c r="CQ242" s="2575"/>
      <c r="CR242" s="2575"/>
      <c r="CS242" s="2626"/>
    </row>
    <row r="243" spans="94:97" s="2575" customFormat="1" x14ac:dyDescent="0.2">
      <c r="CP243" s="2612" t="s">
        <v>196</v>
      </c>
      <c r="CQ243" s="2642">
        <v>459.57769560476265</v>
      </c>
      <c r="CR243" s="2642">
        <v>1792.2361188629059</v>
      </c>
      <c r="CS243" s="2968">
        <v>3679.1748795014068</v>
      </c>
    </row>
    <row r="244" spans="94:97" x14ac:dyDescent="0.2">
      <c r="CP244" s="2612"/>
      <c r="CQ244" s="2643"/>
      <c r="CR244" s="2643"/>
      <c r="CS244" s="2644"/>
    </row>
    <row r="245" spans="94:97" x14ac:dyDescent="0.2">
      <c r="CP245" s="2612" t="s">
        <v>197</v>
      </c>
      <c r="CQ245" s="2645">
        <v>0.05</v>
      </c>
      <c r="CR245" s="2645">
        <v>7.4999999999999997E-2</v>
      </c>
      <c r="CS245" s="2646">
        <v>0.1</v>
      </c>
    </row>
    <row r="246" spans="94:97" x14ac:dyDescent="0.2">
      <c r="CP246" s="2612"/>
      <c r="CQ246" s="2575"/>
      <c r="CR246" s="2575"/>
      <c r="CS246" s="2626"/>
    </row>
    <row r="247" spans="94:97" x14ac:dyDescent="0.2">
      <c r="CP247" s="2612" t="s">
        <v>198</v>
      </c>
      <c r="CQ247" s="2627">
        <f>+CQ243*CQ245</f>
        <v>22.978884780238133</v>
      </c>
      <c r="CR247" s="2627">
        <f>+CR243*CR245</f>
        <v>134.41770891471793</v>
      </c>
      <c r="CS247" s="2635">
        <f>+CS243*CS245</f>
        <v>367.9174879501407</v>
      </c>
    </row>
    <row r="248" spans="94:97" x14ac:dyDescent="0.2">
      <c r="CP248" s="2612"/>
      <c r="CQ248" s="2575"/>
      <c r="CR248" s="2575"/>
      <c r="CS248" s="2626"/>
    </row>
    <row r="249" spans="94:97" x14ac:dyDescent="0.2">
      <c r="CP249" s="2612" t="s">
        <v>199</v>
      </c>
      <c r="CQ249" s="2647">
        <v>1</v>
      </c>
      <c r="CR249" s="2647">
        <v>1</v>
      </c>
      <c r="CS249" s="2648">
        <v>1</v>
      </c>
    </row>
    <row r="250" spans="94:97" x14ac:dyDescent="0.2">
      <c r="CP250" s="2612"/>
      <c r="CQ250" s="2575"/>
      <c r="CR250" s="2575"/>
      <c r="CS250" s="2626"/>
    </row>
    <row r="251" spans="94:97" x14ac:dyDescent="0.2">
      <c r="CP251" s="2612" t="s">
        <v>200</v>
      </c>
      <c r="CQ251" s="2627">
        <f>+CQ247*CQ249</f>
        <v>22.978884780238133</v>
      </c>
      <c r="CR251" s="2627">
        <f>+CR247*CR249</f>
        <v>134.41770891471793</v>
      </c>
      <c r="CS251" s="2635">
        <f>+CS247*CS249</f>
        <v>367.9174879501407</v>
      </c>
    </row>
    <row r="252" spans="94:97" x14ac:dyDescent="0.2">
      <c r="CP252" s="2612" t="s">
        <v>201</v>
      </c>
      <c r="CQ252" s="2649">
        <f>+'EBITDA Val'!$G$47</f>
        <v>92.393000000000001</v>
      </c>
      <c r="CR252" s="2649">
        <f>+'EBITDA Val'!$G$47</f>
        <v>92.393000000000001</v>
      </c>
      <c r="CS252" s="2650">
        <f>+'EBITDA Val'!$G$47</f>
        <v>92.393000000000001</v>
      </c>
    </row>
    <row r="253" spans="94:97" x14ac:dyDescent="0.2">
      <c r="CP253" s="2612"/>
      <c r="CQ253" s="2575"/>
      <c r="CR253" s="2575"/>
      <c r="CS253" s="2626"/>
    </row>
    <row r="254" spans="94:97" x14ac:dyDescent="0.2">
      <c r="CP254" s="432" t="s">
        <v>202</v>
      </c>
      <c r="CQ254" s="1816">
        <f>+CQ251/CQ252</f>
        <v>0.2487080707438673</v>
      </c>
      <c r="CR254" s="1816">
        <f>+CR251/CR252</f>
        <v>1.4548473251730969</v>
      </c>
      <c r="CS254" s="1721">
        <f>+CS251/CS252</f>
        <v>3.9820926688184244</v>
      </c>
    </row>
    <row r="258" spans="99:103" x14ac:dyDescent="0.2">
      <c r="CU258" s="282" t="s">
        <v>214</v>
      </c>
      <c r="CV258" s="2623"/>
      <c r="CW258" s="2623"/>
      <c r="CX258" s="2623"/>
      <c r="CY258" s="2624"/>
    </row>
    <row r="259" spans="99:103" x14ac:dyDescent="0.2">
      <c r="CU259" s="2612"/>
      <c r="CV259" s="893" t="s">
        <v>2199</v>
      </c>
      <c r="CW259" s="893"/>
      <c r="CX259" s="893"/>
      <c r="CY259" s="2705"/>
    </row>
    <row r="260" spans="99:103" x14ac:dyDescent="0.2">
      <c r="CU260" s="864" t="s">
        <v>1833</v>
      </c>
      <c r="CV260" s="606" t="s">
        <v>224</v>
      </c>
      <c r="CW260" s="606" t="s">
        <v>215</v>
      </c>
      <c r="CX260" s="606" t="s">
        <v>1138</v>
      </c>
      <c r="CY260" s="2641" t="s">
        <v>1139</v>
      </c>
    </row>
    <row r="261" spans="99:103" x14ac:dyDescent="0.2">
      <c r="CU261" s="2612" t="s">
        <v>216</v>
      </c>
      <c r="CV261" s="2643">
        <v>117.927097</v>
      </c>
      <c r="CW261" s="2643">
        <v>183.366377</v>
      </c>
      <c r="CX261" s="2575">
        <f>+DB306</f>
        <v>182.70569483316663</v>
      </c>
      <c r="CY261" s="2626">
        <f>+DC306</f>
        <v>186.466679</v>
      </c>
    </row>
    <row r="262" spans="99:103" x14ac:dyDescent="0.2">
      <c r="CU262" s="2612" t="s">
        <v>217</v>
      </c>
      <c r="CV262" s="2643">
        <v>56.234092000000004</v>
      </c>
      <c r="CW262" s="2643">
        <v>210.81208299999997</v>
      </c>
      <c r="CX262" s="2575">
        <f>+DB314</f>
        <v>207.71484421916668</v>
      </c>
      <c r="CY262" s="2626">
        <f>+DC314</f>
        <v>209.373910979025</v>
      </c>
    </row>
    <row r="263" spans="99:103" x14ac:dyDescent="0.2">
      <c r="CU263" s="2612" t="s">
        <v>1876</v>
      </c>
      <c r="CV263" s="2643">
        <v>176.38808299999999</v>
      </c>
      <c r="CW263" s="2643">
        <v>242.6516068</v>
      </c>
      <c r="CX263" s="2701">
        <f>+CW263*(1-0.176)</f>
        <v>199.94492400320001</v>
      </c>
      <c r="CY263" s="2706">
        <f>+CX263*0.9</f>
        <v>179.95043160288003</v>
      </c>
    </row>
    <row r="264" spans="99:103" x14ac:dyDescent="0.2">
      <c r="CU264" s="2612" t="s">
        <v>218</v>
      </c>
      <c r="CV264" s="2643"/>
      <c r="CW264" s="2643">
        <v>184.508129</v>
      </c>
      <c r="CX264" s="2701">
        <f>52.9+((52.9*3)*0.7)</f>
        <v>163.98999999999998</v>
      </c>
      <c r="CY264" s="2706">
        <f>+CX264*0.8</f>
        <v>131.19199999999998</v>
      </c>
    </row>
    <row r="265" spans="99:103" x14ac:dyDescent="0.2">
      <c r="CU265" s="2612" t="s">
        <v>219</v>
      </c>
      <c r="CV265" s="2643">
        <v>79.301240000000007</v>
      </c>
      <c r="CW265" s="2643">
        <v>134.416888</v>
      </c>
      <c r="CX265" s="2701">
        <f>+CW265*(1-0.01)</f>
        <v>133.07271911999999</v>
      </c>
      <c r="CY265" s="2706">
        <f>+CX265*0.85</f>
        <v>113.11181125199998</v>
      </c>
    </row>
    <row r="266" spans="99:103" x14ac:dyDescent="0.2">
      <c r="CU266" s="2612" t="s">
        <v>220</v>
      </c>
      <c r="CV266" s="2643"/>
      <c r="CW266" s="2643">
        <v>101.06795499999998</v>
      </c>
      <c r="CX266" s="2701">
        <v>120</v>
      </c>
      <c r="CY266" s="2706">
        <f>+CX266*0.85</f>
        <v>102</v>
      </c>
    </row>
    <row r="267" spans="99:103" x14ac:dyDescent="0.2">
      <c r="CU267" s="2612" t="s">
        <v>221</v>
      </c>
      <c r="CV267" s="2643"/>
      <c r="CW267" s="2643">
        <v>8.1518379999999997</v>
      </c>
      <c r="CX267" s="2701">
        <v>160</v>
      </c>
      <c r="CY267" s="2706">
        <f>+CX267*0.9</f>
        <v>144</v>
      </c>
    </row>
    <row r="268" spans="99:103" x14ac:dyDescent="0.2">
      <c r="CU268" s="2612" t="s">
        <v>222</v>
      </c>
      <c r="CV268" s="2643"/>
      <c r="CW268" s="2643">
        <v>5.6935200000000004</v>
      </c>
      <c r="CX268" s="2701">
        <v>110</v>
      </c>
      <c r="CY268" s="2706">
        <f>+CX268*0.85</f>
        <v>93.5</v>
      </c>
    </row>
    <row r="269" spans="99:103" x14ac:dyDescent="0.2">
      <c r="CU269" s="2612" t="s">
        <v>223</v>
      </c>
      <c r="CV269" s="2643"/>
      <c r="CW269" s="2643"/>
      <c r="CX269" s="2643">
        <v>59.8</v>
      </c>
      <c r="CY269" s="2644">
        <v>94.5</v>
      </c>
    </row>
    <row r="270" spans="99:103" x14ac:dyDescent="0.2">
      <c r="CU270" s="2612" t="s">
        <v>227</v>
      </c>
      <c r="CV270" s="2643"/>
      <c r="CW270" s="2643"/>
      <c r="CX270" s="2575">
        <f>+DB291</f>
        <v>21.223994333333334</v>
      </c>
      <c r="CY270" s="2626">
        <f>+DC291</f>
        <v>80.224073333333337</v>
      </c>
    </row>
    <row r="271" spans="99:103" x14ac:dyDescent="0.2">
      <c r="CU271" s="2612" t="s">
        <v>228</v>
      </c>
      <c r="CV271" s="2643"/>
      <c r="CW271" s="2643"/>
      <c r="CX271" s="2575">
        <f>+DB298</f>
        <v>20.71475633333333</v>
      </c>
      <c r="CY271" s="2626">
        <f>+DC298</f>
        <v>76.775099666666662</v>
      </c>
    </row>
    <row r="272" spans="99:103" ht="3.95" customHeight="1" x14ac:dyDescent="0.2">
      <c r="CU272" s="2612"/>
      <c r="CV272" s="2707" t="s">
        <v>229</v>
      </c>
      <c r="CW272" s="2707" t="s">
        <v>229</v>
      </c>
      <c r="CX272" s="2707" t="s">
        <v>229</v>
      </c>
      <c r="CY272" s="2708" t="s">
        <v>229</v>
      </c>
    </row>
    <row r="273" spans="99:107" x14ac:dyDescent="0.2">
      <c r="CU273" s="864" t="s">
        <v>225</v>
      </c>
      <c r="CV273" s="333">
        <f>SUM(CV261:CV271)</f>
        <v>429.85051199999998</v>
      </c>
      <c r="CW273" s="333">
        <f>SUM(CW261:CW271)</f>
        <v>1070.6683968</v>
      </c>
      <c r="CX273" s="333">
        <f>SUM(CX261:CX271)</f>
        <v>1379.1669328422001</v>
      </c>
      <c r="CY273" s="1409">
        <f>SUM(CY261:CY271)</f>
        <v>1411.0940058339049</v>
      </c>
    </row>
    <row r="274" spans="99:107" x14ac:dyDescent="0.2">
      <c r="CU274" s="2612" t="s">
        <v>233</v>
      </c>
      <c r="CV274" s="2643">
        <v>1055.1065936178393</v>
      </c>
      <c r="CW274" s="2575">
        <f t="shared" ref="CW274:CY275" si="13">+CV274</f>
        <v>1055.1065936178393</v>
      </c>
      <c r="CX274" s="2575">
        <f t="shared" si="13"/>
        <v>1055.1065936178393</v>
      </c>
      <c r="CY274" s="2626">
        <f t="shared" si="13"/>
        <v>1055.1065936178393</v>
      </c>
    </row>
    <row r="275" spans="99:107" x14ac:dyDescent="0.2">
      <c r="CU275" s="2612" t="s">
        <v>234</v>
      </c>
      <c r="CV275" s="2643">
        <v>69.947073584359515</v>
      </c>
      <c r="CW275" s="2575">
        <f t="shared" si="13"/>
        <v>69.947073584359515</v>
      </c>
      <c r="CX275" s="2575">
        <f t="shared" si="13"/>
        <v>69.947073584359515</v>
      </c>
      <c r="CY275" s="2626">
        <f t="shared" si="13"/>
        <v>69.947073584359515</v>
      </c>
    </row>
    <row r="276" spans="99:107" ht="3.95" customHeight="1" x14ac:dyDescent="0.2">
      <c r="CU276" s="2612"/>
      <c r="CV276" s="2707" t="s">
        <v>229</v>
      </c>
      <c r="CW276" s="2707" t="s">
        <v>229</v>
      </c>
      <c r="CX276" s="2707" t="s">
        <v>229</v>
      </c>
      <c r="CY276" s="2708" t="s">
        <v>229</v>
      </c>
    </row>
    <row r="277" spans="99:107" x14ac:dyDescent="0.2">
      <c r="CU277" s="864" t="s">
        <v>232</v>
      </c>
      <c r="CV277" s="333">
        <f>SUM(CV273:CV275)</f>
        <v>1554.9041792021987</v>
      </c>
      <c r="CW277" s="333">
        <f>SUM(CW273:CW275)</f>
        <v>2195.7220640021987</v>
      </c>
      <c r="CX277" s="333">
        <f>SUM(CX273:CX275)</f>
        <v>2504.2206000443994</v>
      </c>
      <c r="CY277" s="1409">
        <f>SUM(CY273:CY275)</f>
        <v>2536.1476730361037</v>
      </c>
    </row>
    <row r="278" spans="99:107" x14ac:dyDescent="0.2">
      <c r="CU278" s="2612"/>
      <c r="CV278" s="2575"/>
      <c r="CW278" s="2575"/>
      <c r="CX278" s="2575"/>
      <c r="CY278" s="2626"/>
    </row>
    <row r="279" spans="99:107" x14ac:dyDescent="0.2">
      <c r="CU279" s="2612" t="s">
        <v>231</v>
      </c>
      <c r="CV279" s="2627">
        <f>+CV277/($CV$283/1000000)</f>
        <v>176.52828833691396</v>
      </c>
      <c r="CW279" s="2627">
        <f>+CW277/($CV$283/1000000)</f>
        <v>249.28034975169993</v>
      </c>
      <c r="CX279" s="2627">
        <f>+CX277/($CV$283/1000000)</f>
        <v>284.30419189605351</v>
      </c>
      <c r="CY279" s="2635">
        <f>+CY277/($CV$283/1000000)</f>
        <v>287.92887283923869</v>
      </c>
    </row>
    <row r="280" spans="99:107" x14ac:dyDescent="0.2">
      <c r="CU280" s="2612"/>
      <c r="CV280" s="2575"/>
      <c r="CW280" s="2575"/>
      <c r="CX280" s="2575"/>
      <c r="CY280" s="2626"/>
    </row>
    <row r="281" spans="99:107" x14ac:dyDescent="0.2">
      <c r="CU281" s="2625" t="s">
        <v>230</v>
      </c>
      <c r="CV281" s="2617"/>
      <c r="CW281" s="2637"/>
      <c r="CX281" s="2637">
        <f>SUM(CX265,CX264,CX263,CX262,CX261,CX266)/SUM(CW266,CW265,CW264,CW263,CW262,CW261)-1</f>
        <v>-4.6739004365909276E-2</v>
      </c>
      <c r="CY281" s="2638">
        <f>SUM(CY261:CY268)/SUM(CX261:CX268)-1</f>
        <v>-9.2242641101710765E-2</v>
      </c>
    </row>
    <row r="283" spans="99:107" x14ac:dyDescent="0.2">
      <c r="CU283" s="1454" t="s">
        <v>244</v>
      </c>
      <c r="CV283" s="2696">
        <v>8808243.6750000007</v>
      </c>
    </row>
    <row r="284" spans="99:107" x14ac:dyDescent="0.2">
      <c r="DA284" s="10" t="s">
        <v>235</v>
      </c>
    </row>
    <row r="285" spans="99:107" x14ac:dyDescent="0.2">
      <c r="DA285" s="10"/>
      <c r="DB285" s="745" t="s">
        <v>1138</v>
      </c>
      <c r="DC285" s="745" t="s">
        <v>1139</v>
      </c>
    </row>
    <row r="286" spans="99:107" x14ac:dyDescent="0.2">
      <c r="DA286" s="275" t="s">
        <v>614</v>
      </c>
    </row>
    <row r="287" spans="99:107" x14ac:dyDescent="0.2">
      <c r="DA287" s="1454" t="s">
        <v>226</v>
      </c>
      <c r="DB287" s="2697">
        <v>14.5</v>
      </c>
      <c r="DC287" s="2697">
        <v>69.8</v>
      </c>
    </row>
    <row r="288" spans="99:107" x14ac:dyDescent="0.2">
      <c r="DA288" s="1454" t="s">
        <v>83</v>
      </c>
      <c r="DB288" s="2697">
        <v>19.100000000000001</v>
      </c>
      <c r="DC288" s="2697">
        <v>73</v>
      </c>
    </row>
    <row r="289" spans="105:107" x14ac:dyDescent="0.2">
      <c r="DA289" s="1454" t="s">
        <v>1632</v>
      </c>
      <c r="DB289" s="2698">
        <f>+PENN!BE504</f>
        <v>30.071983000000003</v>
      </c>
      <c r="DC289" s="2698">
        <f>+PENN!BJ504</f>
        <v>97.872219999999999</v>
      </c>
    </row>
    <row r="290" spans="105:107" ht="3.95" customHeight="1" x14ac:dyDescent="0.2">
      <c r="DB290" s="2699" t="s">
        <v>229</v>
      </c>
      <c r="DC290" s="2699" t="s">
        <v>229</v>
      </c>
    </row>
    <row r="291" spans="105:107" x14ac:dyDescent="0.2">
      <c r="DA291" s="1454" t="s">
        <v>439</v>
      </c>
      <c r="DB291" s="2622">
        <f>AVERAGE(DB287:DB289)</f>
        <v>21.223994333333334</v>
      </c>
      <c r="DC291" s="2622">
        <f>AVERAGE(DC287:DC289)</f>
        <v>80.224073333333337</v>
      </c>
    </row>
    <row r="293" spans="105:107" x14ac:dyDescent="0.2">
      <c r="DA293" s="275" t="s">
        <v>525</v>
      </c>
    </row>
    <row r="294" spans="105:107" x14ac:dyDescent="0.2">
      <c r="DA294" s="1454" t="s">
        <v>226</v>
      </c>
      <c r="DB294" s="2697">
        <v>14.5</v>
      </c>
      <c r="DC294" s="2697">
        <v>67.099999999999994</v>
      </c>
    </row>
    <row r="295" spans="105:107" x14ac:dyDescent="0.2">
      <c r="DA295" s="1454" t="s">
        <v>83</v>
      </c>
      <c r="DB295" s="2697">
        <v>16.2</v>
      </c>
      <c r="DC295" s="2697">
        <v>62.1</v>
      </c>
    </row>
    <row r="296" spans="105:107" x14ac:dyDescent="0.2">
      <c r="DA296" s="1454" t="s">
        <v>1632</v>
      </c>
      <c r="DB296" s="2698">
        <f>+PENN!BE532</f>
        <v>31.444268999999998</v>
      </c>
      <c r="DC296" s="2698">
        <f>+PENN!BJ532</f>
        <v>101.125299</v>
      </c>
    </row>
    <row r="297" spans="105:107" ht="3.95" customHeight="1" x14ac:dyDescent="0.2">
      <c r="DB297" s="2699" t="s">
        <v>229</v>
      </c>
      <c r="DC297" s="2699" t="s">
        <v>229</v>
      </c>
    </row>
    <row r="298" spans="105:107" x14ac:dyDescent="0.2">
      <c r="DA298" s="1454" t="s">
        <v>439</v>
      </c>
      <c r="DB298" s="2622">
        <f>AVERAGE(DB294:DB296)</f>
        <v>20.71475633333333</v>
      </c>
      <c r="DC298" s="2622">
        <f>AVERAGE(DC294:DC296)</f>
        <v>76.775099666666662</v>
      </c>
    </row>
    <row r="300" spans="105:107" x14ac:dyDescent="0.2">
      <c r="DA300" s="10"/>
      <c r="DB300" s="745" t="s">
        <v>1138</v>
      </c>
      <c r="DC300" s="745" t="s">
        <v>1139</v>
      </c>
    </row>
    <row r="301" spans="105:107" x14ac:dyDescent="0.2">
      <c r="DA301" s="275" t="s">
        <v>1635</v>
      </c>
    </row>
    <row r="302" spans="105:107" x14ac:dyDescent="0.2">
      <c r="DA302" s="1454" t="s">
        <v>226</v>
      </c>
      <c r="DB302" s="2697">
        <v>174.1</v>
      </c>
      <c r="DC302" s="2697">
        <v>173.2</v>
      </c>
    </row>
    <row r="303" spans="105:107" x14ac:dyDescent="0.2">
      <c r="DA303" s="1454" t="s">
        <v>83</v>
      </c>
      <c r="DB303" s="2697">
        <v>181.6</v>
      </c>
      <c r="DC303" s="2697">
        <v>183.8</v>
      </c>
    </row>
    <row r="304" spans="105:107" x14ac:dyDescent="0.2">
      <c r="DA304" s="1454" t="s">
        <v>1632</v>
      </c>
      <c r="DB304" s="2698">
        <f>+PENN!BE459</f>
        <v>192.41708449949999</v>
      </c>
      <c r="DC304" s="2698">
        <f>+PENN!BJ459</f>
        <v>202.400037</v>
      </c>
    </row>
    <row r="305" spans="105:107" ht="3.95" customHeight="1" x14ac:dyDescent="0.2">
      <c r="DB305" s="2699" t="s">
        <v>229</v>
      </c>
      <c r="DC305" s="2699" t="s">
        <v>229</v>
      </c>
    </row>
    <row r="306" spans="105:107" x14ac:dyDescent="0.2">
      <c r="DA306" s="1454" t="s">
        <v>439</v>
      </c>
      <c r="DB306" s="2622">
        <f>AVERAGE(DB302:DB304)</f>
        <v>182.70569483316663</v>
      </c>
      <c r="DC306" s="2622">
        <f>AVERAGE(DC302:DC304)</f>
        <v>186.466679</v>
      </c>
    </row>
    <row r="308" spans="105:107" x14ac:dyDescent="0.2">
      <c r="DA308" s="10"/>
      <c r="DB308" s="745" t="s">
        <v>1138</v>
      </c>
      <c r="DC308" s="745" t="s">
        <v>1139</v>
      </c>
    </row>
    <row r="309" spans="105:107" x14ac:dyDescent="0.2">
      <c r="DA309" s="275" t="s">
        <v>2055</v>
      </c>
    </row>
    <row r="310" spans="105:107" x14ac:dyDescent="0.2">
      <c r="DA310" s="1454" t="s">
        <v>226</v>
      </c>
      <c r="DB310" s="2697">
        <v>201.5</v>
      </c>
      <c r="DC310" s="2697">
        <v>203.7</v>
      </c>
    </row>
    <row r="311" spans="105:107" x14ac:dyDescent="0.2">
      <c r="DA311" s="1454" t="s">
        <v>83</v>
      </c>
      <c r="DB311" s="2697">
        <v>203.1</v>
      </c>
      <c r="DC311" s="2697">
        <v>203.1</v>
      </c>
    </row>
    <row r="312" spans="105:107" x14ac:dyDescent="0.2">
      <c r="DA312" s="1454" t="s">
        <v>1632</v>
      </c>
      <c r="DB312" s="2698">
        <f>+PENN!BE430</f>
        <v>218.54453265749999</v>
      </c>
      <c r="DC312" s="2698">
        <f>+PENN!BJ430</f>
        <v>221.32173293707496</v>
      </c>
    </row>
    <row r="313" spans="105:107" ht="3.95" customHeight="1" x14ac:dyDescent="0.2">
      <c r="DB313" s="2699" t="s">
        <v>229</v>
      </c>
      <c r="DC313" s="2699" t="s">
        <v>229</v>
      </c>
    </row>
    <row r="314" spans="105:107" x14ac:dyDescent="0.2">
      <c r="DA314" s="1454" t="s">
        <v>439</v>
      </c>
      <c r="DB314" s="2622">
        <f>AVERAGE(DB310:DB312)</f>
        <v>207.71484421916668</v>
      </c>
      <c r="DC314" s="2622">
        <f>AVERAGE(DC310:DC312)</f>
        <v>209.373910979025</v>
      </c>
    </row>
    <row r="316" spans="105:107" x14ac:dyDescent="0.2">
      <c r="DA316" s="10"/>
      <c r="DB316" s="745" t="s">
        <v>1138</v>
      </c>
      <c r="DC316" s="745" t="s">
        <v>1139</v>
      </c>
    </row>
    <row r="317" spans="105:107" x14ac:dyDescent="0.2">
      <c r="DA317" s="275" t="s">
        <v>239</v>
      </c>
    </row>
    <row r="318" spans="105:107" x14ac:dyDescent="0.2">
      <c r="DA318" s="1454" t="s">
        <v>226</v>
      </c>
      <c r="DB318" s="2697">
        <v>389.4</v>
      </c>
      <c r="DC318" s="2697">
        <v>357.4</v>
      </c>
    </row>
    <row r="319" spans="105:107" x14ac:dyDescent="0.2">
      <c r="DA319" s="1454" t="s">
        <v>83</v>
      </c>
      <c r="DB319" s="2697">
        <v>380.9</v>
      </c>
      <c r="DC319" s="2697">
        <v>368.9</v>
      </c>
    </row>
    <row r="320" spans="105:107" x14ac:dyDescent="0.2">
      <c r="DA320" s="1454" t="s">
        <v>1632</v>
      </c>
      <c r="DB320" s="2698">
        <f>+PENN!BE341</f>
        <v>425.4093031741819</v>
      </c>
      <c r="DC320" s="2698">
        <f>+PENN!BJ341</f>
        <v>421.67829944571429</v>
      </c>
    </row>
    <row r="321" spans="105:121" x14ac:dyDescent="0.2">
      <c r="DB321" s="2699" t="s">
        <v>229</v>
      </c>
      <c r="DC321" s="2699" t="s">
        <v>229</v>
      </c>
    </row>
    <row r="322" spans="105:121" x14ac:dyDescent="0.2">
      <c r="DA322" s="1454" t="s">
        <v>439</v>
      </c>
      <c r="DB322" s="2622">
        <f>AVERAGE(DB318:DB320)</f>
        <v>398.56976772472734</v>
      </c>
      <c r="DC322" s="2622">
        <f>AVERAGE(DC318:DC320)</f>
        <v>382.6594331485714</v>
      </c>
    </row>
    <row r="324" spans="105:121" x14ac:dyDescent="0.2">
      <c r="DA324" s="10"/>
      <c r="DB324" s="745" t="s">
        <v>1138</v>
      </c>
      <c r="DC324" s="745" t="s">
        <v>1139</v>
      </c>
    </row>
    <row r="325" spans="105:121" x14ac:dyDescent="0.2">
      <c r="DA325" s="275" t="s">
        <v>744</v>
      </c>
    </row>
    <row r="326" spans="105:121" x14ac:dyDescent="0.2">
      <c r="DA326" s="1454" t="s">
        <v>226</v>
      </c>
      <c r="DB326" s="2697">
        <v>213.6</v>
      </c>
      <c r="DC326" s="2697">
        <v>213.6</v>
      </c>
    </row>
    <row r="327" spans="105:121" x14ac:dyDescent="0.2">
      <c r="DA327" s="1454" t="s">
        <v>83</v>
      </c>
      <c r="DB327" s="2697">
        <v>222.4</v>
      </c>
      <c r="DC327" s="2697">
        <v>224.6</v>
      </c>
    </row>
    <row r="328" spans="105:121" x14ac:dyDescent="0.2">
      <c r="DA328" s="1454" t="s">
        <v>1632</v>
      </c>
      <c r="DB328" s="2698">
        <f>+PENN!BE982</f>
        <v>213.98315020950002</v>
      </c>
      <c r="DC328" s="2698">
        <f>+PENN!BJ982</f>
        <v>221.67178722949998</v>
      </c>
    </row>
    <row r="329" spans="105:121" ht="3.95" customHeight="1" x14ac:dyDescent="0.2">
      <c r="DB329" s="2699" t="s">
        <v>229</v>
      </c>
      <c r="DC329" s="2699" t="s">
        <v>229</v>
      </c>
    </row>
    <row r="330" spans="105:121" x14ac:dyDescent="0.2">
      <c r="DA330" s="1454" t="s">
        <v>439</v>
      </c>
      <c r="DB330" s="2622">
        <f>AVERAGE(DB326:DB328)</f>
        <v>216.66105006983335</v>
      </c>
      <c r="DC330" s="2622">
        <f>AVERAGE(DC326:DC328)</f>
        <v>219.95726240983333</v>
      </c>
    </row>
    <row r="331" spans="105:121" x14ac:dyDescent="0.2">
      <c r="DB331" s="2622"/>
      <c r="DC331" s="2622"/>
    </row>
    <row r="332" spans="105:121" x14ac:dyDescent="0.2">
      <c r="DE332" s="282" t="s">
        <v>260</v>
      </c>
      <c r="DF332" s="2623"/>
      <c r="DG332" s="2623"/>
      <c r="DH332" s="2623"/>
      <c r="DI332" s="2623"/>
      <c r="DJ332" s="2623"/>
      <c r="DK332" s="2623"/>
      <c r="DL332" s="2623"/>
      <c r="DM332" s="2624"/>
      <c r="DN332" s="2623"/>
      <c r="DO332" s="2623"/>
      <c r="DP332" s="2623"/>
      <c r="DQ332" s="2624"/>
    </row>
    <row r="333" spans="105:121" x14ac:dyDescent="0.2">
      <c r="DE333" s="2625"/>
      <c r="DF333" s="915">
        <v>2006</v>
      </c>
      <c r="DG333" s="915">
        <f t="shared" ref="DG333:DM333" si="14">+DF333+1</f>
        <v>2007</v>
      </c>
      <c r="DH333" s="915">
        <f t="shared" si="14"/>
        <v>2008</v>
      </c>
      <c r="DI333" s="915">
        <f t="shared" si="14"/>
        <v>2009</v>
      </c>
      <c r="DJ333" s="915">
        <f t="shared" si="14"/>
        <v>2010</v>
      </c>
      <c r="DK333" s="915">
        <f t="shared" si="14"/>
        <v>2011</v>
      </c>
      <c r="DL333" s="915">
        <f t="shared" si="14"/>
        <v>2012</v>
      </c>
      <c r="DM333" s="2731">
        <f t="shared" si="14"/>
        <v>2013</v>
      </c>
      <c r="DN333" s="747" t="s">
        <v>1138</v>
      </c>
      <c r="DO333" s="747" t="s">
        <v>1139</v>
      </c>
      <c r="DP333" s="747" t="s">
        <v>567</v>
      </c>
      <c r="DQ333" s="2700" t="s">
        <v>2043</v>
      </c>
    </row>
    <row r="334" spans="105:121" x14ac:dyDescent="0.2">
      <c r="DE334" s="2611" t="s">
        <v>260</v>
      </c>
      <c r="DF334" s="2702">
        <f>+PENN!Q341</f>
        <v>485.19599999999997</v>
      </c>
      <c r="DG334" s="2702">
        <f>+PENN!V341</f>
        <v>500.79999999999995</v>
      </c>
      <c r="DH334" s="2702">
        <f>+PENN!AA341</f>
        <v>477.03199999999993</v>
      </c>
      <c r="DI334" s="2702">
        <f>+PENN!AF341</f>
        <v>455.34999999999997</v>
      </c>
      <c r="DJ334" s="2702">
        <f>+PENN!AK341</f>
        <v>494.91899999999998</v>
      </c>
      <c r="DK334" s="2702">
        <f>+PENN!AP341</f>
        <v>592.91374625000003</v>
      </c>
      <c r="DL334" s="2702">
        <f>+PENN!AU341</f>
        <v>591.18783382899994</v>
      </c>
      <c r="DM334" s="2732">
        <f>+PENN!AZ341</f>
        <v>492.07698399211529</v>
      </c>
      <c r="DN334" s="2703">
        <f>+DB322</f>
        <v>398.56976772472734</v>
      </c>
      <c r="DO334" s="2703">
        <f>+DC322</f>
        <v>382.6594331485714</v>
      </c>
      <c r="DP334" s="2710">
        <f>+PENN!BO341</f>
        <v>414.55844004142853</v>
      </c>
      <c r="DQ334" s="2712">
        <f>+PENN!BT341</f>
        <v>374.77098335750549</v>
      </c>
    </row>
    <row r="335" spans="105:121" s="416" customFormat="1" x14ac:dyDescent="0.2">
      <c r="DE335" s="1384" t="s">
        <v>236</v>
      </c>
      <c r="DF335" s="579"/>
      <c r="DG335" s="898">
        <f>+DG334/DF334-1</f>
        <v>3.2160199177239779E-2</v>
      </c>
      <c r="DH335" s="898">
        <f t="shared" ref="DH335:DQ335" si="15">+DH334/DG334-1</f>
        <v>-4.7460063897763693E-2</v>
      </c>
      <c r="DI335" s="898">
        <f t="shared" si="15"/>
        <v>-4.5451877442184041E-2</v>
      </c>
      <c r="DJ335" s="898">
        <f t="shared" si="15"/>
        <v>8.6897990556714655E-2</v>
      </c>
      <c r="DK335" s="898">
        <f t="shared" si="15"/>
        <v>0.19800158460273298</v>
      </c>
      <c r="DL335" s="898">
        <f t="shared" si="15"/>
        <v>-2.9108996576920898E-3</v>
      </c>
      <c r="DM335" s="1251">
        <f t="shared" si="15"/>
        <v>-0.1676469713440556</v>
      </c>
      <c r="DN335" s="898">
        <f t="shared" si="15"/>
        <v>-0.19002558402301994</v>
      </c>
      <c r="DO335" s="898">
        <f t="shared" si="15"/>
        <v>-3.9918568503029106E-2</v>
      </c>
      <c r="DP335" s="898">
        <f t="shared" si="15"/>
        <v>8.33613498833361E-2</v>
      </c>
      <c r="DQ335" s="1251">
        <f t="shared" si="15"/>
        <v>-9.5975507530245752E-2</v>
      </c>
    </row>
    <row r="336" spans="105:121" x14ac:dyDescent="0.2">
      <c r="DE336" s="1384" t="s">
        <v>238</v>
      </c>
      <c r="DF336" s="2575"/>
      <c r="DG336" s="2575"/>
      <c r="DH336" s="2575"/>
      <c r="DI336" s="2575"/>
      <c r="DJ336" s="2575"/>
      <c r="DK336" s="2575"/>
      <c r="DL336" s="898">
        <f t="shared" ref="DL336:DQ336" si="16">+DL334/$DK$334</f>
        <v>0.99708910034230791</v>
      </c>
      <c r="DM336" s="1251">
        <f t="shared" si="16"/>
        <v>0.82993013250975078</v>
      </c>
      <c r="DN336" s="898">
        <f t="shared" si="16"/>
        <v>0.67222217438128307</v>
      </c>
      <c r="DO336" s="898">
        <f t="shared" si="16"/>
        <v>0.6453880274639886</v>
      </c>
      <c r="DP336" s="898">
        <f t="shared" si="16"/>
        <v>0.69918844463193031</v>
      </c>
      <c r="DQ336" s="1251">
        <f t="shared" si="16"/>
        <v>0.63208347879909765</v>
      </c>
    </row>
    <row r="337" spans="109:125" x14ac:dyDescent="0.2">
      <c r="DE337" s="1220"/>
      <c r="DF337" s="2575"/>
      <c r="DG337" s="2575"/>
      <c r="DH337" s="2575"/>
      <c r="DI337" s="2575"/>
      <c r="DJ337" s="2575"/>
      <c r="DK337" s="2575"/>
      <c r="DL337" s="2575"/>
      <c r="DM337" s="2626"/>
      <c r="DN337" s="2575"/>
      <c r="DO337" s="2575"/>
      <c r="DP337" s="2575"/>
      <c r="DQ337" s="2626"/>
    </row>
    <row r="338" spans="109:125" x14ac:dyDescent="0.2">
      <c r="DE338" s="2612" t="s">
        <v>237</v>
      </c>
      <c r="DF338" s="2575"/>
      <c r="DG338" s="2575"/>
      <c r="DH338" s="2575"/>
      <c r="DI338" s="2575"/>
      <c r="DJ338" s="2575"/>
      <c r="DK338" s="2575"/>
      <c r="DL338" s="2627">
        <v>229.28512640000002</v>
      </c>
      <c r="DM338" s="2635">
        <v>586.00445418000004</v>
      </c>
      <c r="DN338" s="2704">
        <f>168*4-(DN342*0.5)</f>
        <v>635.63687500000003</v>
      </c>
      <c r="DO338" s="2627">
        <f>+DT381</f>
        <v>473.97881649999999</v>
      </c>
      <c r="DP338" s="2711">
        <f>+DO338</f>
        <v>473.97881649999999</v>
      </c>
      <c r="DQ338" s="2713">
        <f>+DP338</f>
        <v>473.97881649999999</v>
      </c>
    </row>
    <row r="339" spans="109:125" x14ac:dyDescent="0.2">
      <c r="DE339" s="1384" t="s">
        <v>242</v>
      </c>
      <c r="DF339" s="2575"/>
      <c r="DG339" s="2575"/>
      <c r="DH339" s="2575"/>
      <c r="DI339" s="2575"/>
      <c r="DJ339" s="2575"/>
      <c r="DK339" s="2575"/>
      <c r="DL339" s="2730">
        <f>+DL338-DK338</f>
        <v>229.28512640000002</v>
      </c>
      <c r="DM339" s="2733">
        <f>+DM338-DL338</f>
        <v>356.71932778000001</v>
      </c>
      <c r="DN339" s="2704"/>
      <c r="DO339" s="2627"/>
      <c r="DP339" s="2711"/>
      <c r="DQ339" s="2713"/>
    </row>
    <row r="340" spans="109:125" x14ac:dyDescent="0.2">
      <c r="DE340" s="1384" t="s">
        <v>236</v>
      </c>
      <c r="DF340" s="2575"/>
      <c r="DG340" s="2575"/>
      <c r="DH340" s="2575"/>
      <c r="DI340" s="2575"/>
      <c r="DJ340" s="2575"/>
      <c r="DK340" s="2575"/>
      <c r="DL340" s="2575"/>
      <c r="DM340" s="1251">
        <f>+DM338/DL338-1</f>
        <v>1.5557892192173175</v>
      </c>
      <c r="DN340" s="898">
        <f>+DN338/DM338-1</f>
        <v>8.469632008079353E-2</v>
      </c>
      <c r="DO340" s="898">
        <f>+DO338/DN338-1</f>
        <v>-0.25432454418255712</v>
      </c>
      <c r="DP340" s="898">
        <f>+DP338/DO338-1</f>
        <v>0</v>
      </c>
      <c r="DQ340" s="1251">
        <f>+DQ338/DP338-1</f>
        <v>0</v>
      </c>
    </row>
    <row r="341" spans="109:125" x14ac:dyDescent="0.2">
      <c r="DE341" s="1384"/>
      <c r="DF341" s="2575"/>
      <c r="DG341" s="2575"/>
      <c r="DH341" s="2575"/>
      <c r="DI341" s="2575"/>
      <c r="DJ341" s="2575"/>
      <c r="DK341" s="2575"/>
      <c r="DL341" s="2575"/>
      <c r="DM341" s="1251"/>
      <c r="DN341" s="898"/>
      <c r="DO341" s="898"/>
      <c r="DP341" s="898"/>
      <c r="DQ341" s="1251"/>
    </row>
    <row r="342" spans="109:125" hidden="1" outlineLevel="1" x14ac:dyDescent="0.2">
      <c r="DE342" s="2612" t="s">
        <v>240</v>
      </c>
      <c r="DF342" s="2575"/>
      <c r="DG342" s="2575"/>
      <c r="DH342" s="2575"/>
      <c r="DI342" s="2575"/>
      <c r="DJ342" s="2575"/>
      <c r="DK342" s="2575"/>
      <c r="DL342" s="2627"/>
      <c r="DM342" s="2635"/>
      <c r="DN342" s="2627">
        <f>+DO342*0.25</f>
        <v>72.726249999999993</v>
      </c>
      <c r="DO342" s="2627">
        <f>+DT368</f>
        <v>290.90499999999997</v>
      </c>
      <c r="DP342" s="2711">
        <f>+DO342</f>
        <v>290.90499999999997</v>
      </c>
      <c r="DQ342" s="2713">
        <f>+DP342</f>
        <v>290.90499999999997</v>
      </c>
    </row>
    <row r="343" spans="109:125" hidden="1" outlineLevel="1" x14ac:dyDescent="0.2">
      <c r="DE343" s="1384" t="s">
        <v>236</v>
      </c>
      <c r="DF343" s="2575"/>
      <c r="DG343" s="2575"/>
      <c r="DH343" s="2575"/>
      <c r="DI343" s="2575"/>
      <c r="DJ343" s="2575"/>
      <c r="DK343" s="2575"/>
      <c r="DL343" s="2627"/>
      <c r="DM343" s="2635"/>
      <c r="DN343" s="2627"/>
      <c r="DO343" s="898">
        <f>+DO342/DN342-1</f>
        <v>3</v>
      </c>
      <c r="DP343" s="898">
        <f>+DP342/DO342-1</f>
        <v>0</v>
      </c>
      <c r="DQ343" s="1251">
        <f>+DQ342/DP342-1</f>
        <v>0</v>
      </c>
    </row>
    <row r="344" spans="109:125" s="2575" customFormat="1" hidden="1" outlineLevel="1" x14ac:dyDescent="0.2">
      <c r="DE344" s="2612"/>
      <c r="DM344" s="2626"/>
      <c r="DQ344" s="2626"/>
    </row>
    <row r="345" spans="109:125" s="2575" customFormat="1" hidden="1" outlineLevel="1" x14ac:dyDescent="0.2">
      <c r="DE345" s="2612" t="s">
        <v>246</v>
      </c>
      <c r="DM345" s="2626"/>
      <c r="DP345" s="2575">
        <f>+DQ345*0.5</f>
        <v>282.875</v>
      </c>
      <c r="DQ345" s="2644">
        <v>565.75</v>
      </c>
      <c r="DR345" s="2575">
        <f>+DQ345+DQ342</f>
        <v>856.65499999999997</v>
      </c>
    </row>
    <row r="346" spans="109:125" s="2575" customFormat="1" hidden="1" outlineLevel="1" x14ac:dyDescent="0.2">
      <c r="DE346" s="1384" t="s">
        <v>236</v>
      </c>
      <c r="DM346" s="2626"/>
      <c r="DQ346" s="1251">
        <f>+DQ345/DP345-1</f>
        <v>1</v>
      </c>
    </row>
    <row r="347" spans="109:125" s="2575" customFormat="1" hidden="1" outlineLevel="1" x14ac:dyDescent="0.2">
      <c r="DE347" s="2612"/>
      <c r="DM347" s="2626"/>
      <c r="DQ347" s="2626"/>
      <c r="DR347" s="2575">
        <f>+DR345*0.2</f>
        <v>171.33100000000002</v>
      </c>
    </row>
    <row r="348" spans="109:125" hidden="1" outlineLevel="1" x14ac:dyDescent="0.2">
      <c r="DE348" s="864" t="s">
        <v>245</v>
      </c>
      <c r="DF348" s="333"/>
      <c r="DG348" s="333"/>
      <c r="DH348" s="333"/>
      <c r="DI348" s="333"/>
      <c r="DJ348" s="333"/>
      <c r="DK348" s="333"/>
      <c r="DL348" s="557">
        <f>+DL338+DL342</f>
        <v>229.28512640000002</v>
      </c>
      <c r="DM348" s="2709">
        <f>+DM338+DM342</f>
        <v>586.00445418000004</v>
      </c>
      <c r="DN348" s="557">
        <f>+DN338+DN342</f>
        <v>708.36312500000008</v>
      </c>
      <c r="DO348" s="557">
        <f>+DO338+DO342</f>
        <v>764.88381649999997</v>
      </c>
      <c r="DP348" s="557">
        <f>+DP338+DP342+DP345</f>
        <v>1047.7588165</v>
      </c>
      <c r="DQ348" s="2709">
        <f>+DQ338+DQ342+DQ345</f>
        <v>1330.6338165</v>
      </c>
      <c r="DR348" s="2726"/>
    </row>
    <row r="349" spans="109:125" hidden="1" outlineLevel="1" x14ac:dyDescent="0.2">
      <c r="DE349" s="2727" t="s">
        <v>261</v>
      </c>
      <c r="DF349" s="2575"/>
      <c r="DG349" s="2575"/>
      <c r="DH349" s="2575"/>
      <c r="DI349" s="2575"/>
      <c r="DJ349" s="2575"/>
      <c r="DK349" s="2575"/>
      <c r="DL349" s="2728">
        <f>+DL338-DK338</f>
        <v>229.28512640000002</v>
      </c>
      <c r="DM349" s="2729">
        <f>+DM338-DL338</f>
        <v>356.71932778000001</v>
      </c>
      <c r="DN349" s="2728">
        <f>+DN348-DM348</f>
        <v>122.35867082000004</v>
      </c>
      <c r="DO349" s="2728">
        <f>+DO348-DN348</f>
        <v>56.520691499999884</v>
      </c>
      <c r="DP349" s="2728">
        <f>+DP348-DO348</f>
        <v>282.875</v>
      </c>
      <c r="DQ349" s="2729">
        <f>+DQ348-DP348</f>
        <v>282.875</v>
      </c>
    </row>
    <row r="350" spans="109:125" hidden="1" outlineLevel="1" x14ac:dyDescent="0.2">
      <c r="DE350" s="2612"/>
      <c r="DF350" s="2575"/>
      <c r="DG350" s="2575"/>
      <c r="DH350" s="2575"/>
      <c r="DI350" s="2575"/>
      <c r="DJ350" s="2575"/>
      <c r="DK350" s="2575"/>
      <c r="DL350" s="2627"/>
      <c r="DM350" s="2635"/>
      <c r="DN350" s="2627"/>
      <c r="DO350" s="2627"/>
      <c r="DP350" s="2627"/>
      <c r="DQ350" s="2635"/>
    </row>
    <row r="351" spans="109:125" s="2634" customFormat="1" collapsed="1" x14ac:dyDescent="0.2">
      <c r="DE351" s="2720" t="s">
        <v>266</v>
      </c>
      <c r="DF351" s="2721"/>
      <c r="DG351" s="2721"/>
      <c r="DH351" s="2721"/>
      <c r="DI351" s="2721"/>
      <c r="DJ351" s="2721"/>
      <c r="DK351" s="2721"/>
      <c r="DL351" s="2721">
        <f t="shared" ref="DL351:DQ351" si="17">+DK334-DL334</f>
        <v>1.7259124210000891</v>
      </c>
      <c r="DM351" s="2722">
        <f t="shared" si="17"/>
        <v>99.110849836884654</v>
      </c>
      <c r="DN351" s="2721">
        <f t="shared" si="17"/>
        <v>93.507216267387946</v>
      </c>
      <c r="DO351" s="2721">
        <f t="shared" si="17"/>
        <v>15.910334576155947</v>
      </c>
      <c r="DP351" s="2721">
        <f t="shared" si="17"/>
        <v>-31.89900689285713</v>
      </c>
      <c r="DQ351" s="2722">
        <f t="shared" si="17"/>
        <v>39.78745668392304</v>
      </c>
    </row>
    <row r="352" spans="109:125" x14ac:dyDescent="0.2">
      <c r="DE352" s="2742" t="s">
        <v>267</v>
      </c>
      <c r="DF352" s="873"/>
      <c r="DG352" s="873"/>
      <c r="DH352" s="873"/>
      <c r="DI352" s="873"/>
      <c r="DJ352" s="873"/>
      <c r="DK352" s="873"/>
      <c r="DL352" s="2743">
        <f>+DL351/DL339</f>
        <v>7.5273631922776517E-3</v>
      </c>
      <c r="DM352" s="2744">
        <f>+DM351/DM339</f>
        <v>0.27783986489795537</v>
      </c>
      <c r="DN352" s="1487">
        <f>+DN351/DN349</f>
        <v>0.76420588455839777</v>
      </c>
      <c r="DO352" s="1487">
        <f>+DO351/DO349</f>
        <v>0.28149575233268298</v>
      </c>
      <c r="DP352" s="1487">
        <f>+DP351/DP349</f>
        <v>-0.11276714765481972</v>
      </c>
      <c r="DQ352" s="1082">
        <f>+DQ351/DQ349</f>
        <v>0.14065384598823877</v>
      </c>
      <c r="DU352" s="745"/>
    </row>
    <row r="354" spans="119:125" x14ac:dyDescent="0.2">
      <c r="DO354" s="2610"/>
      <c r="DU354" s="2549"/>
    </row>
    <row r="355" spans="119:125" x14ac:dyDescent="0.2">
      <c r="DU355" s="1655"/>
    </row>
    <row r="358" spans="119:125" x14ac:dyDescent="0.2">
      <c r="DS358" s="282" t="s">
        <v>241</v>
      </c>
      <c r="DT358" s="2624"/>
    </row>
    <row r="359" spans="119:125" x14ac:dyDescent="0.2">
      <c r="DS359" s="2612"/>
      <c r="DT359" s="2714"/>
    </row>
    <row r="360" spans="119:125" x14ac:dyDescent="0.2">
      <c r="DS360" s="2612" t="s">
        <v>585</v>
      </c>
      <c r="DT360" s="2644">
        <v>2500</v>
      </c>
    </row>
    <row r="361" spans="119:125" x14ac:dyDescent="0.2">
      <c r="DS361" s="389" t="s">
        <v>1590</v>
      </c>
      <c r="DT361" s="2715">
        <v>200</v>
      </c>
      <c r="DU361" s="10"/>
    </row>
    <row r="362" spans="119:125" x14ac:dyDescent="0.2">
      <c r="DS362" s="864" t="s">
        <v>2214</v>
      </c>
      <c r="DT362" s="2709">
        <f>+DT360*DT361*365/1000000</f>
        <v>182.5</v>
      </c>
    </row>
    <row r="363" spans="119:125" x14ac:dyDescent="0.2">
      <c r="DS363" s="2612"/>
      <c r="DT363" s="2626"/>
    </row>
    <row r="364" spans="119:125" x14ac:dyDescent="0.2">
      <c r="DS364" s="2612" t="s">
        <v>584</v>
      </c>
      <c r="DT364" s="2644">
        <v>108</v>
      </c>
    </row>
    <row r="365" spans="119:125" x14ac:dyDescent="0.2">
      <c r="DS365" s="389" t="s">
        <v>1590</v>
      </c>
      <c r="DT365" s="2715">
        <v>2750</v>
      </c>
    </row>
    <row r="366" spans="119:125" x14ac:dyDescent="0.2">
      <c r="DS366" s="864" t="s">
        <v>2214</v>
      </c>
      <c r="DT366" s="2709">
        <f>+DT364*DT365*365/1000000</f>
        <v>108.405</v>
      </c>
    </row>
    <row r="367" spans="119:125" x14ac:dyDescent="0.2">
      <c r="DS367" s="2612"/>
      <c r="DT367" s="2626"/>
    </row>
    <row r="368" spans="119:125" x14ac:dyDescent="0.2">
      <c r="DS368" s="864" t="s">
        <v>1280</v>
      </c>
      <c r="DT368" s="1409">
        <f>+DT362+DT366</f>
        <v>290.90499999999997</v>
      </c>
    </row>
    <row r="369" spans="123:124" x14ac:dyDescent="0.2">
      <c r="DS369" s="2612"/>
      <c r="DT369" s="2626"/>
    </row>
    <row r="370" spans="123:124" x14ac:dyDescent="0.2">
      <c r="DS370" s="2612"/>
      <c r="DT370" s="2626"/>
    </row>
    <row r="371" spans="123:124" x14ac:dyDescent="0.2">
      <c r="DS371" s="864" t="s">
        <v>243</v>
      </c>
      <c r="DT371" s="2626"/>
    </row>
    <row r="372" spans="123:124" x14ac:dyDescent="0.2">
      <c r="DS372" s="2612"/>
      <c r="DT372" s="2714"/>
    </row>
    <row r="373" spans="123:124" x14ac:dyDescent="0.2">
      <c r="DS373" s="2612" t="s">
        <v>585</v>
      </c>
      <c r="DT373" s="2644">
        <v>4322</v>
      </c>
    </row>
    <row r="374" spans="123:124" x14ac:dyDescent="0.2">
      <c r="DS374" s="389" t="s">
        <v>1590</v>
      </c>
      <c r="DT374" s="2715">
        <f>277*0.7</f>
        <v>193.89999999999998</v>
      </c>
    </row>
    <row r="375" spans="123:124" x14ac:dyDescent="0.2">
      <c r="DS375" s="864" t="s">
        <v>2214</v>
      </c>
      <c r="DT375" s="2709">
        <f>+DT373*DT374*365/1000000</f>
        <v>305.88306699999998</v>
      </c>
    </row>
    <row r="376" spans="123:124" x14ac:dyDescent="0.2">
      <c r="DS376" s="2612"/>
      <c r="DT376" s="2626"/>
    </row>
    <row r="377" spans="123:124" x14ac:dyDescent="0.2">
      <c r="DS377" s="2612" t="s">
        <v>584</v>
      </c>
      <c r="DT377" s="2644">
        <v>177</v>
      </c>
    </row>
    <row r="378" spans="123:124" x14ac:dyDescent="0.2">
      <c r="DS378" s="389" t="s">
        <v>1590</v>
      </c>
      <c r="DT378" s="2715">
        <f>3717*0.7</f>
        <v>2601.8999999999996</v>
      </c>
    </row>
    <row r="379" spans="123:124" x14ac:dyDescent="0.2">
      <c r="DS379" s="864" t="s">
        <v>2214</v>
      </c>
      <c r="DT379" s="2709">
        <f>+DT377*DT378*365/1000000</f>
        <v>168.09574949999998</v>
      </c>
    </row>
    <row r="380" spans="123:124" x14ac:dyDescent="0.2">
      <c r="DS380" s="2612"/>
      <c r="DT380" s="2626"/>
    </row>
    <row r="381" spans="123:124" x14ac:dyDescent="0.2">
      <c r="DS381" s="1081" t="s">
        <v>1280</v>
      </c>
      <c r="DT381" s="1410">
        <f>+DT375+DT379</f>
        <v>473.97881649999999</v>
      </c>
    </row>
    <row r="385" spans="127:128" x14ac:dyDescent="0.2">
      <c r="DW385" s="282" t="s">
        <v>253</v>
      </c>
      <c r="DX385" s="2624"/>
    </row>
    <row r="386" spans="127:128" x14ac:dyDescent="0.2">
      <c r="DW386" s="2612"/>
      <c r="DX386" s="2626"/>
    </row>
    <row r="387" spans="127:128" x14ac:dyDescent="0.2">
      <c r="DW387" s="2612" t="s">
        <v>247</v>
      </c>
      <c r="DX387" s="2717">
        <f>+PENN!AZ157+PENN!AU157</f>
        <v>61</v>
      </c>
    </row>
    <row r="388" spans="127:128" x14ac:dyDescent="0.2">
      <c r="DW388" s="2612"/>
      <c r="DX388" s="2626"/>
    </row>
    <row r="389" spans="127:128" x14ac:dyDescent="0.2">
      <c r="DW389" s="2612" t="s">
        <v>248</v>
      </c>
      <c r="DX389" s="2717">
        <f>+PENN!AZ992</f>
        <v>72.818904208428989</v>
      </c>
    </row>
    <row r="390" spans="127:128" x14ac:dyDescent="0.2">
      <c r="DW390" s="2612" t="s">
        <v>249</v>
      </c>
      <c r="DX390" s="2650">
        <f>+DX389*0.95</f>
        <v>69.17795899800754</v>
      </c>
    </row>
    <row r="391" spans="127:128" ht="3.95" customHeight="1" x14ac:dyDescent="0.2">
      <c r="DW391" s="2612"/>
      <c r="DX391" s="2717"/>
    </row>
    <row r="392" spans="127:128" x14ac:dyDescent="0.2">
      <c r="DW392" s="2612" t="s">
        <v>254</v>
      </c>
      <c r="DX392" s="2717">
        <f>+PENN!BE992</f>
        <v>68.514217624048797</v>
      </c>
    </row>
    <row r="393" spans="127:128" ht="3.95" customHeight="1" x14ac:dyDescent="0.2">
      <c r="DW393" s="2612"/>
      <c r="DX393" s="2708" t="s">
        <v>229</v>
      </c>
    </row>
    <row r="394" spans="127:128" x14ac:dyDescent="0.2">
      <c r="DW394" s="2612" t="s">
        <v>1714</v>
      </c>
      <c r="DX394" s="2718">
        <f>+DX392-DX390</f>
        <v>-0.663741373958743</v>
      </c>
    </row>
    <row r="395" spans="127:128" x14ac:dyDescent="0.2">
      <c r="DW395" s="2612" t="s">
        <v>251</v>
      </c>
      <c r="DX395" s="2650">
        <f>-DX394*0.39</f>
        <v>0.25885913584390979</v>
      </c>
    </row>
    <row r="396" spans="127:128" ht="3.95" customHeight="1" x14ac:dyDescent="0.2">
      <c r="DW396" s="2612"/>
      <c r="DX396" s="2708" t="s">
        <v>229</v>
      </c>
    </row>
    <row r="397" spans="127:128" x14ac:dyDescent="0.2">
      <c r="DW397" s="2612" t="s">
        <v>252</v>
      </c>
      <c r="DX397" s="2718">
        <f>+SUM(DX394:DX395)</f>
        <v>-0.4048822381148332</v>
      </c>
    </row>
    <row r="398" spans="127:128" x14ac:dyDescent="0.2">
      <c r="DW398" s="2612"/>
      <c r="DX398" s="2718"/>
    </row>
    <row r="399" spans="127:128" x14ac:dyDescent="0.2">
      <c r="DW399" s="1081" t="s">
        <v>250</v>
      </c>
      <c r="DX399" s="1082">
        <f>+DX397/DX387</f>
        <v>-6.6374137395874295E-3</v>
      </c>
    </row>
    <row r="402" spans="130:145" x14ac:dyDescent="0.2">
      <c r="DZ402" s="1269" t="s">
        <v>259</v>
      </c>
      <c r="EA402" s="2624"/>
    </row>
    <row r="403" spans="130:145" x14ac:dyDescent="0.2">
      <c r="DZ403" s="2612" t="s">
        <v>255</v>
      </c>
      <c r="EA403" s="2718">
        <f>PENN!BJ352</f>
        <v>124.92667072361112</v>
      </c>
    </row>
    <row r="404" spans="130:145" x14ac:dyDescent="0.2">
      <c r="DZ404" s="2612" t="s">
        <v>256</v>
      </c>
      <c r="EA404" s="2650">
        <f>PENN!BT352</f>
        <v>111.69385854479128</v>
      </c>
    </row>
    <row r="405" spans="130:145" ht="3.95" customHeight="1" x14ac:dyDescent="0.2">
      <c r="DZ405" s="2612"/>
      <c r="EA405" s="2723" t="s">
        <v>229</v>
      </c>
    </row>
    <row r="406" spans="130:145" x14ac:dyDescent="0.2">
      <c r="DZ406" s="2612" t="s">
        <v>626</v>
      </c>
      <c r="EA406" s="2718">
        <f>EA404-EA403</f>
        <v>-13.232812178819842</v>
      </c>
    </row>
    <row r="407" spans="130:145" ht="3.95" customHeight="1" x14ac:dyDescent="0.2">
      <c r="DZ407" s="2612"/>
      <c r="EA407" s="2626"/>
    </row>
    <row r="408" spans="130:145" x14ac:dyDescent="0.2">
      <c r="DZ408" s="2612" t="s">
        <v>257</v>
      </c>
      <c r="EA408" s="2724">
        <f>'EBITDA Val'!E7</f>
        <v>7.5</v>
      </c>
    </row>
    <row r="409" spans="130:145" ht="3.95" customHeight="1" x14ac:dyDescent="0.2">
      <c r="DZ409" s="2612"/>
      <c r="EA409" s="2626"/>
    </row>
    <row r="410" spans="130:145" x14ac:dyDescent="0.2">
      <c r="DZ410" s="2612" t="s">
        <v>141</v>
      </c>
      <c r="EA410" s="2718">
        <f>EA406*EA408</f>
        <v>-99.246091341148812</v>
      </c>
    </row>
    <row r="411" spans="130:145" x14ac:dyDescent="0.2">
      <c r="DZ411" s="2612" t="s">
        <v>1536</v>
      </c>
      <c r="EA411" s="2650">
        <f>'EBITDA Val'!G47</f>
        <v>92.393000000000001</v>
      </c>
    </row>
    <row r="412" spans="130:145" x14ac:dyDescent="0.2">
      <c r="DZ412" s="496" t="s">
        <v>258</v>
      </c>
      <c r="EA412" s="2555">
        <f>EA410/EA411</f>
        <v>-1.0741732743946923</v>
      </c>
    </row>
    <row r="415" spans="130:145" x14ac:dyDescent="0.2">
      <c r="ED415" s="2734"/>
      <c r="EE415" s="2734"/>
      <c r="EF415" s="2734"/>
      <c r="EG415" s="2734"/>
      <c r="EH415" s="2734"/>
      <c r="EI415" s="2734"/>
      <c r="EJ415" s="2734"/>
      <c r="EK415" s="2734"/>
      <c r="EL415" s="2734"/>
      <c r="EM415" s="2734"/>
      <c r="EN415" s="2734"/>
      <c r="EO415" s="2734"/>
    </row>
    <row r="416" spans="130:145" x14ac:dyDescent="0.2">
      <c r="EC416" s="1454" t="s">
        <v>2008</v>
      </c>
      <c r="ED416" s="1454" t="s">
        <v>263</v>
      </c>
      <c r="EE416" s="2735"/>
      <c r="EF416" s="2735"/>
      <c r="EG416" s="2735"/>
      <c r="EH416" s="2735"/>
      <c r="EI416" s="2735"/>
      <c r="EJ416" s="2735"/>
      <c r="EK416" s="2735"/>
      <c r="EL416" s="2735"/>
      <c r="EM416" s="2735"/>
      <c r="EN416" s="2735"/>
      <c r="EO416" s="2735"/>
    </row>
    <row r="417" spans="132:134" x14ac:dyDescent="0.2">
      <c r="EB417" s="2736">
        <v>40909</v>
      </c>
      <c r="EC417" s="2622">
        <v>43.698401980000007</v>
      </c>
      <c r="ED417" s="2622"/>
    </row>
    <row r="418" spans="132:134" x14ac:dyDescent="0.2">
      <c r="EB418" s="2736">
        <f t="shared" ref="EB418:EB440" si="18">+EB417+31</f>
        <v>40940</v>
      </c>
      <c r="EC418" s="2622">
        <v>48.26442698999999</v>
      </c>
      <c r="ED418" s="2622"/>
    </row>
    <row r="419" spans="132:134" x14ac:dyDescent="0.2">
      <c r="EB419" s="2736">
        <f t="shared" si="18"/>
        <v>40971</v>
      </c>
      <c r="EC419" s="2622">
        <v>58.70410159</v>
      </c>
      <c r="ED419" s="2622"/>
    </row>
    <row r="420" spans="132:134" x14ac:dyDescent="0.2">
      <c r="EB420" s="2736">
        <f t="shared" si="18"/>
        <v>41002</v>
      </c>
      <c r="EC420" s="2622">
        <v>46.048269320000003</v>
      </c>
      <c r="ED420" s="2622"/>
    </row>
    <row r="421" spans="132:134" x14ac:dyDescent="0.2">
      <c r="EB421" s="2736">
        <f t="shared" si="18"/>
        <v>41033</v>
      </c>
      <c r="EC421" s="2622">
        <v>46.35079039</v>
      </c>
      <c r="ED421" s="2622"/>
    </row>
    <row r="422" spans="132:134" x14ac:dyDescent="0.2">
      <c r="EB422" s="2736">
        <f t="shared" si="18"/>
        <v>41064</v>
      </c>
      <c r="EC422" s="2622">
        <v>49.278760900000002</v>
      </c>
      <c r="ED422" s="2622">
        <v>28.48147762</v>
      </c>
    </row>
    <row r="423" spans="132:134" x14ac:dyDescent="0.2">
      <c r="EB423" s="2736">
        <f t="shared" si="18"/>
        <v>41095</v>
      </c>
      <c r="EC423" s="2622">
        <v>42.94435189</v>
      </c>
      <c r="ED423" s="2622">
        <v>35.408796619999997</v>
      </c>
    </row>
    <row r="424" spans="132:134" x14ac:dyDescent="0.2">
      <c r="EB424" s="2736">
        <f t="shared" si="18"/>
        <v>41126</v>
      </c>
      <c r="EC424" s="2622">
        <v>41.107165370000004</v>
      </c>
      <c r="ED424" s="2622">
        <v>32.447683560000002</v>
      </c>
    </row>
    <row r="425" spans="132:134" x14ac:dyDescent="0.2">
      <c r="EB425" s="2736">
        <f t="shared" si="18"/>
        <v>41157</v>
      </c>
      <c r="EC425" s="2622">
        <v>46.25419145</v>
      </c>
      <c r="ED425" s="2622">
        <v>32.001519080000001</v>
      </c>
    </row>
    <row r="426" spans="132:134" x14ac:dyDescent="0.2">
      <c r="EB426" s="2736">
        <f t="shared" si="18"/>
        <v>41188</v>
      </c>
      <c r="EC426" s="2622">
        <v>38.047370600000001</v>
      </c>
      <c r="ED426" s="2622">
        <v>30.62865137</v>
      </c>
    </row>
    <row r="427" spans="132:134" x14ac:dyDescent="0.2">
      <c r="EB427" s="2736">
        <f t="shared" si="18"/>
        <v>41219</v>
      </c>
      <c r="EC427" s="2622">
        <v>38.319470719999998</v>
      </c>
      <c r="ED427" s="2622">
        <v>34.365182500000003</v>
      </c>
    </row>
    <row r="428" spans="132:134" x14ac:dyDescent="0.2">
      <c r="EB428" s="2736">
        <f t="shared" si="18"/>
        <v>41250</v>
      </c>
      <c r="EC428" s="2622">
        <v>44.132245089999998</v>
      </c>
      <c r="ED428" s="2622">
        <v>35.95181565</v>
      </c>
    </row>
    <row r="429" spans="132:134" x14ac:dyDescent="0.2">
      <c r="EB429" s="2736">
        <f t="shared" si="18"/>
        <v>41281</v>
      </c>
      <c r="EC429" s="2622">
        <v>38.759011340000001</v>
      </c>
      <c r="ED429" s="2622">
        <v>35.943756190000002</v>
      </c>
    </row>
    <row r="430" spans="132:134" x14ac:dyDescent="0.2">
      <c r="EB430" s="2736">
        <f t="shared" si="18"/>
        <v>41312</v>
      </c>
      <c r="EC430" s="2622">
        <v>39.65557724</v>
      </c>
      <c r="ED430" s="2622">
        <v>38.335308920000003</v>
      </c>
    </row>
    <row r="431" spans="132:134" x14ac:dyDescent="0.2">
      <c r="EB431" s="2736">
        <f t="shared" si="18"/>
        <v>41343</v>
      </c>
      <c r="EC431" s="2622">
        <v>49.809768149999996</v>
      </c>
      <c r="ED431" s="2622">
        <v>44.613545209999998</v>
      </c>
    </row>
    <row r="432" spans="132:134" x14ac:dyDescent="0.2">
      <c r="EB432" s="2736">
        <f t="shared" si="18"/>
        <v>41374</v>
      </c>
      <c r="EC432" s="2622">
        <v>37.638202509999999</v>
      </c>
      <c r="ED432" s="2622">
        <v>46.569002769999997</v>
      </c>
    </row>
    <row r="433" spans="132:169" x14ac:dyDescent="0.2">
      <c r="EB433" s="2736">
        <f t="shared" si="18"/>
        <v>41405</v>
      </c>
      <c r="EC433" s="2622">
        <v>38.386272820000002</v>
      </c>
      <c r="ED433" s="2622">
        <v>55.056384870000002</v>
      </c>
    </row>
    <row r="434" spans="132:169" x14ac:dyDescent="0.2">
      <c r="EB434" s="2736">
        <f t="shared" si="18"/>
        <v>41436</v>
      </c>
      <c r="EC434" s="2622">
        <v>43.571028839999997</v>
      </c>
      <c r="ED434" s="2622">
        <v>51.415758679999996</v>
      </c>
    </row>
    <row r="435" spans="132:169" x14ac:dyDescent="0.2">
      <c r="EB435" s="2736">
        <f t="shared" si="18"/>
        <v>41467</v>
      </c>
      <c r="EC435" s="2622">
        <v>35.418876690000005</v>
      </c>
      <c r="ED435" s="2622">
        <v>52.454812740000001</v>
      </c>
    </row>
    <row r="436" spans="132:169" x14ac:dyDescent="0.2">
      <c r="EB436" s="2736">
        <f t="shared" si="18"/>
        <v>41498</v>
      </c>
      <c r="EC436" s="2622">
        <v>42.25000387</v>
      </c>
      <c r="ED436" s="2622">
        <v>53.347752749999998</v>
      </c>
    </row>
    <row r="437" spans="132:169" x14ac:dyDescent="0.2">
      <c r="EB437" s="2736">
        <f t="shared" si="18"/>
        <v>41529</v>
      </c>
      <c r="EC437" s="2622">
        <v>32.074563350000005</v>
      </c>
      <c r="ED437" s="2622">
        <v>50.489919180000001</v>
      </c>
    </row>
    <row r="438" spans="132:169" x14ac:dyDescent="0.2">
      <c r="EB438" s="2736">
        <f t="shared" si="18"/>
        <v>41560</v>
      </c>
      <c r="EC438" s="2622">
        <v>31.645142379999999</v>
      </c>
      <c r="ED438" s="2622">
        <v>51.82280351</v>
      </c>
    </row>
    <row r="439" spans="132:169" x14ac:dyDescent="0.2">
      <c r="EB439" s="2736">
        <f t="shared" si="18"/>
        <v>41591</v>
      </c>
      <c r="EC439" s="2622">
        <v>36.83753317</v>
      </c>
      <c r="ED439" s="2622">
        <v>53.422841289999994</v>
      </c>
    </row>
    <row r="440" spans="132:169" x14ac:dyDescent="0.2">
      <c r="EB440" s="2736">
        <f t="shared" si="18"/>
        <v>41622</v>
      </c>
      <c r="EC440" s="2622">
        <v>28.645219269999998</v>
      </c>
      <c r="ED440" s="2622">
        <v>52.532568070000004</v>
      </c>
    </row>
    <row r="441" spans="132:169" x14ac:dyDescent="0.2">
      <c r="EC441" s="2736"/>
      <c r="EO441" s="282" t="s">
        <v>265</v>
      </c>
      <c r="EP441" s="2623"/>
      <c r="EQ441" s="2623"/>
      <c r="ER441" s="2623"/>
      <c r="ES441" s="2623"/>
      <c r="ET441" s="2623"/>
      <c r="EU441" s="2623"/>
      <c r="EV441" s="2623"/>
      <c r="EW441" s="2623"/>
      <c r="EX441" s="2623"/>
      <c r="EY441" s="2623"/>
      <c r="EZ441" s="2623"/>
      <c r="FA441" s="2623"/>
      <c r="FB441" s="2623"/>
      <c r="FC441" s="2623"/>
      <c r="FD441" s="2623"/>
      <c r="FE441" s="2623"/>
      <c r="FF441" s="2623"/>
      <c r="FG441" s="2623"/>
      <c r="FH441" s="2623"/>
      <c r="FI441" s="2623"/>
      <c r="FJ441" s="2623"/>
      <c r="FK441" s="2623"/>
      <c r="FL441" s="2623"/>
      <c r="FM441" s="2624"/>
    </row>
    <row r="442" spans="132:169" x14ac:dyDescent="0.2">
      <c r="EO442" s="1384" t="s">
        <v>1196</v>
      </c>
      <c r="EP442" s="2575"/>
      <c r="EQ442" s="2575"/>
      <c r="ER442" s="2575"/>
      <c r="ES442" s="2575"/>
      <c r="ET442" s="2575"/>
      <c r="EU442" s="2575"/>
      <c r="EV442" s="2575"/>
      <c r="EW442" s="2575"/>
      <c r="EX442" s="2575"/>
      <c r="EY442" s="2575"/>
      <c r="EZ442" s="2575"/>
      <c r="FA442" s="2575"/>
      <c r="FB442" s="2575"/>
      <c r="FC442" s="2575"/>
      <c r="FD442" s="2575"/>
      <c r="FE442" s="2575"/>
      <c r="FF442" s="2575"/>
      <c r="FG442" s="2575"/>
      <c r="FH442" s="2575"/>
      <c r="FI442" s="2575"/>
      <c r="FJ442" s="2575"/>
      <c r="FK442" s="2575"/>
      <c r="FL442" s="2575"/>
      <c r="FM442" s="2626"/>
    </row>
    <row r="443" spans="132:169" x14ac:dyDescent="0.2">
      <c r="EO443" s="2612"/>
      <c r="EP443" s="2737">
        <v>40909</v>
      </c>
      <c r="EQ443" s="2737">
        <f>+EP443+31</f>
        <v>40940</v>
      </c>
      <c r="ER443" s="2737">
        <f t="shared" ref="ER443:FM443" si="19">+EQ443+31</f>
        <v>40971</v>
      </c>
      <c r="ES443" s="2737">
        <f t="shared" si="19"/>
        <v>41002</v>
      </c>
      <c r="ET443" s="2737">
        <f t="shared" si="19"/>
        <v>41033</v>
      </c>
      <c r="EU443" s="2737">
        <f t="shared" si="19"/>
        <v>41064</v>
      </c>
      <c r="EV443" s="2737">
        <f t="shared" si="19"/>
        <v>41095</v>
      </c>
      <c r="EW443" s="2737">
        <f t="shared" si="19"/>
        <v>41126</v>
      </c>
      <c r="EX443" s="2737">
        <f t="shared" si="19"/>
        <v>41157</v>
      </c>
      <c r="EY443" s="2737">
        <f t="shared" si="19"/>
        <v>41188</v>
      </c>
      <c r="EZ443" s="2737">
        <f t="shared" si="19"/>
        <v>41219</v>
      </c>
      <c r="FA443" s="2737">
        <f t="shared" si="19"/>
        <v>41250</v>
      </c>
      <c r="FB443" s="2737">
        <f t="shared" si="19"/>
        <v>41281</v>
      </c>
      <c r="FC443" s="2737">
        <f t="shared" si="19"/>
        <v>41312</v>
      </c>
      <c r="FD443" s="2737">
        <f t="shared" si="19"/>
        <v>41343</v>
      </c>
      <c r="FE443" s="2737">
        <f t="shared" si="19"/>
        <v>41374</v>
      </c>
      <c r="FF443" s="2737">
        <f t="shared" si="19"/>
        <v>41405</v>
      </c>
      <c r="FG443" s="2737">
        <f t="shared" si="19"/>
        <v>41436</v>
      </c>
      <c r="FH443" s="2737">
        <f t="shared" si="19"/>
        <v>41467</v>
      </c>
      <c r="FI443" s="2737">
        <f t="shared" si="19"/>
        <v>41498</v>
      </c>
      <c r="FJ443" s="2737">
        <f t="shared" si="19"/>
        <v>41529</v>
      </c>
      <c r="FK443" s="2737">
        <f t="shared" si="19"/>
        <v>41560</v>
      </c>
      <c r="FL443" s="2737">
        <f t="shared" si="19"/>
        <v>41591</v>
      </c>
      <c r="FM443" s="2738">
        <f t="shared" si="19"/>
        <v>41622</v>
      </c>
    </row>
    <row r="444" spans="132:169" x14ac:dyDescent="0.2">
      <c r="EO444" s="2612" t="s">
        <v>262</v>
      </c>
      <c r="EP444" s="2739">
        <v>43.698401980000007</v>
      </c>
      <c r="EQ444" s="2739">
        <v>48.26442698999999</v>
      </c>
      <c r="ER444" s="2739">
        <v>58.70410159</v>
      </c>
      <c r="ES444" s="2739">
        <v>46.048269320000003</v>
      </c>
      <c r="ET444" s="2739">
        <v>46.35079039</v>
      </c>
      <c r="EU444" s="2739">
        <v>49.278760900000002</v>
      </c>
      <c r="EV444" s="2739">
        <v>42.94435189</v>
      </c>
      <c r="EW444" s="2739">
        <v>41.107165370000004</v>
      </c>
      <c r="EX444" s="2739">
        <v>46.25419145</v>
      </c>
      <c r="EY444" s="2739">
        <v>38.047370600000001</v>
      </c>
      <c r="EZ444" s="2739">
        <v>38.319470719999998</v>
      </c>
      <c r="FA444" s="2739">
        <v>44.132245089999998</v>
      </c>
      <c r="FB444" s="2739">
        <v>38.759011340000001</v>
      </c>
      <c r="FC444" s="2739">
        <v>39.65557724</v>
      </c>
      <c r="FD444" s="2739">
        <v>49.809768149999996</v>
      </c>
      <c r="FE444" s="2739">
        <v>37.638202509999999</v>
      </c>
      <c r="FF444" s="2739">
        <v>38.386272820000002</v>
      </c>
      <c r="FG444" s="2739">
        <v>43.571028839999997</v>
      </c>
      <c r="FH444" s="2739">
        <v>35.418876690000005</v>
      </c>
      <c r="FI444" s="2739">
        <v>42.25000387</v>
      </c>
      <c r="FJ444" s="2739">
        <v>32.074563350000005</v>
      </c>
      <c r="FK444" s="2739">
        <v>31.645142379999999</v>
      </c>
      <c r="FL444" s="2739">
        <v>36.83753317</v>
      </c>
      <c r="FM444" s="2740">
        <v>28.645219269999998</v>
      </c>
    </row>
    <row r="445" spans="132:169" x14ac:dyDescent="0.2">
      <c r="EO445" s="870" t="s">
        <v>236</v>
      </c>
      <c r="EP445" s="2741">
        <v>-4.2150139719961212E-2</v>
      </c>
      <c r="EQ445" s="2741">
        <v>0.1356253155631455</v>
      </c>
      <c r="ER445" s="2741">
        <v>0.30857475608433593</v>
      </c>
      <c r="ES445" s="2741">
        <v>-0.11585191489103935</v>
      </c>
      <c r="ET445" s="2741">
        <v>7.146773648133313E-2</v>
      </c>
      <c r="EU445" s="2741">
        <v>5.5921483094886759E-2</v>
      </c>
      <c r="EV445" s="2741">
        <v>-0.12994530380247177</v>
      </c>
      <c r="EW445" s="2741">
        <v>-5.5063713462959227E-2</v>
      </c>
      <c r="EX445" s="2741">
        <v>9.0144886188908591E-2</v>
      </c>
      <c r="EY445" s="2741">
        <v>-0.2120825893193769</v>
      </c>
      <c r="EZ445" s="2741">
        <v>-0.11119058034763946</v>
      </c>
      <c r="FA445" s="2741">
        <v>-0.1276873529433622</v>
      </c>
      <c r="FB445" s="898">
        <f>+FB444/EP444-1</f>
        <v>-0.11303366750712485</v>
      </c>
      <c r="FC445" s="898">
        <f t="shared" ref="FC445:FM445" si="20">+FC444/EQ444-1</f>
        <v>-0.17836842343085679</v>
      </c>
      <c r="FD445" s="898">
        <f t="shared" si="20"/>
        <v>-0.15151127773182915</v>
      </c>
      <c r="FE445" s="898">
        <f t="shared" si="20"/>
        <v>-0.18263589346988307</v>
      </c>
      <c r="FF445" s="898">
        <f t="shared" si="20"/>
        <v>-0.17183132160176307</v>
      </c>
      <c r="FG445" s="898">
        <f t="shared" si="20"/>
        <v>-0.11582539730620545</v>
      </c>
      <c r="FH445" s="898">
        <f t="shared" si="20"/>
        <v>-0.17523783381982705</v>
      </c>
      <c r="FI445" s="898">
        <f t="shared" si="20"/>
        <v>2.7801442636909313E-2</v>
      </c>
      <c r="FJ445" s="898">
        <f t="shared" si="20"/>
        <v>-0.30655877133487319</v>
      </c>
      <c r="FK445" s="898">
        <f t="shared" si="20"/>
        <v>-0.16826992559638276</v>
      </c>
      <c r="FL445" s="898">
        <f t="shared" si="20"/>
        <v>-3.8673225964640845E-2</v>
      </c>
      <c r="FM445" s="1251">
        <f t="shared" si="20"/>
        <v>-0.35092313541758224</v>
      </c>
    </row>
    <row r="446" spans="132:169" x14ac:dyDescent="0.2">
      <c r="EO446" s="2612"/>
      <c r="EP446" s="2575"/>
      <c r="EQ446" s="2575"/>
      <c r="ER446" s="2575"/>
      <c r="ES446" s="2575"/>
      <c r="ET446" s="2575"/>
      <c r="EU446" s="2575"/>
      <c r="EV446" s="2575"/>
      <c r="EW446" s="2575"/>
      <c r="EX446" s="2575"/>
      <c r="EY446" s="2575"/>
      <c r="EZ446" s="2575"/>
      <c r="FA446" s="2575"/>
      <c r="FB446" s="2575"/>
      <c r="FC446" s="2575"/>
      <c r="FD446" s="2575"/>
      <c r="FE446" s="2575"/>
      <c r="FF446" s="2575"/>
      <c r="FG446" s="2575"/>
      <c r="FH446" s="2575"/>
      <c r="FI446" s="2575"/>
      <c r="FJ446" s="2575"/>
      <c r="FK446" s="2575"/>
      <c r="FL446" s="2575"/>
      <c r="FM446" s="2626"/>
    </row>
    <row r="447" spans="132:169" x14ac:dyDescent="0.2">
      <c r="EO447" s="2612" t="s">
        <v>264</v>
      </c>
      <c r="EP447" s="2739">
        <v>0</v>
      </c>
      <c r="EQ447" s="2739">
        <v>0</v>
      </c>
      <c r="ER447" s="2739">
        <v>0</v>
      </c>
      <c r="ES447" s="2739">
        <v>0</v>
      </c>
      <c r="ET447" s="2739">
        <v>0</v>
      </c>
      <c r="EU447" s="2739">
        <v>28.48147762</v>
      </c>
      <c r="EV447" s="2739">
        <v>35.408796619999997</v>
      </c>
      <c r="EW447" s="2739">
        <v>32.447683560000002</v>
      </c>
      <c r="EX447" s="2739">
        <v>32.001519080000001</v>
      </c>
      <c r="EY447" s="2739">
        <v>30.62865137</v>
      </c>
      <c r="EZ447" s="2739">
        <v>34.365182500000003</v>
      </c>
      <c r="FA447" s="2739">
        <v>35.95181565</v>
      </c>
      <c r="FB447" s="2739">
        <v>35.943756190000002</v>
      </c>
      <c r="FC447" s="2739">
        <v>38.335308920000003</v>
      </c>
      <c r="FD447" s="2739">
        <v>44.613545209999998</v>
      </c>
      <c r="FE447" s="2739">
        <v>46.569002769999997</v>
      </c>
      <c r="FF447" s="2739">
        <v>55.056384870000002</v>
      </c>
      <c r="FG447" s="2739">
        <v>51.415758679999996</v>
      </c>
      <c r="FH447" s="2739">
        <v>52.454812740000001</v>
      </c>
      <c r="FI447" s="2739">
        <v>53.347752749999998</v>
      </c>
      <c r="FJ447" s="2739">
        <v>50.489919180000001</v>
      </c>
      <c r="FK447" s="2739">
        <v>51.82280351</v>
      </c>
      <c r="FL447" s="2739">
        <v>53.422841289999994</v>
      </c>
      <c r="FM447" s="2740">
        <v>52.532568070000004</v>
      </c>
    </row>
    <row r="448" spans="132:169" x14ac:dyDescent="0.2">
      <c r="EO448" s="1633" t="s">
        <v>236</v>
      </c>
      <c r="EP448" s="2617"/>
      <c r="EQ448" s="2617"/>
      <c r="ER448" s="2617"/>
      <c r="ES448" s="2617"/>
      <c r="ET448" s="2617"/>
      <c r="EU448" s="2617"/>
      <c r="EV448" s="2617"/>
      <c r="EW448" s="2617"/>
      <c r="EX448" s="2617"/>
      <c r="EY448" s="2617"/>
      <c r="EZ448" s="2617"/>
      <c r="FA448" s="2617"/>
      <c r="FB448" s="2547"/>
      <c r="FC448" s="2547"/>
      <c r="FD448" s="2547"/>
      <c r="FE448" s="2547"/>
      <c r="FF448" s="2547"/>
      <c r="FG448" s="2547">
        <f t="shared" ref="FG448:FM448" si="21">+FG447/EU447-1</f>
        <v>0.80523494482938274</v>
      </c>
      <c r="FH448" s="2547">
        <f t="shared" si="21"/>
        <v>0.48140625344979626</v>
      </c>
      <c r="FI448" s="2547">
        <f t="shared" si="21"/>
        <v>0.64411590896320958</v>
      </c>
      <c r="FJ448" s="2547">
        <f t="shared" si="21"/>
        <v>0.57773507731871088</v>
      </c>
      <c r="FK448" s="2547">
        <f t="shared" si="21"/>
        <v>0.6919714447747165</v>
      </c>
      <c r="FL448" s="2547">
        <f t="shared" si="21"/>
        <v>0.55456300253897939</v>
      </c>
      <c r="FM448" s="2548">
        <f t="shared" si="21"/>
        <v>0.46119374279779946</v>
      </c>
    </row>
    <row r="452" spans="172:173" x14ac:dyDescent="0.2">
      <c r="FP452" s="1269" t="s">
        <v>268</v>
      </c>
      <c r="FQ452" s="2624"/>
    </row>
    <row r="453" spans="172:173" x14ac:dyDescent="0.2">
      <c r="FP453" s="2612" t="s">
        <v>269</v>
      </c>
      <c r="FQ453" s="2717">
        <f>+PENN!BT806</f>
        <v>38.220832589197315</v>
      </c>
    </row>
    <row r="454" spans="172:173" x14ac:dyDescent="0.2">
      <c r="FP454" s="2612" t="s">
        <v>270</v>
      </c>
      <c r="FQ454" s="2745">
        <f>+PENN!BT837</f>
        <v>24.712852673045752</v>
      </c>
    </row>
    <row r="455" spans="172:173" ht="3.95" customHeight="1" x14ac:dyDescent="0.2">
      <c r="FP455" s="2612"/>
      <c r="FQ455" s="2723" t="s">
        <v>229</v>
      </c>
    </row>
    <row r="456" spans="172:173" x14ac:dyDescent="0.2">
      <c r="FP456" s="2612" t="s">
        <v>271</v>
      </c>
      <c r="FQ456" s="2718">
        <f>+FQ453+FQ454</f>
        <v>62.933685262243067</v>
      </c>
    </row>
    <row r="457" spans="172:173" x14ac:dyDescent="0.2">
      <c r="FP457" s="2612"/>
      <c r="FQ457" s="2626"/>
    </row>
    <row r="458" spans="172:173" x14ac:dyDescent="0.2">
      <c r="FP458" s="2612" t="s">
        <v>272</v>
      </c>
      <c r="FQ458" s="2746">
        <v>0.2</v>
      </c>
    </row>
    <row r="459" spans="172:173" x14ac:dyDescent="0.2">
      <c r="FP459" s="2612"/>
      <c r="FQ459" s="2626"/>
    </row>
    <row r="460" spans="172:173" x14ac:dyDescent="0.2">
      <c r="FP460" s="2612" t="s">
        <v>887</v>
      </c>
      <c r="FQ460" s="2718">
        <f>-FQ456*FQ458</f>
        <v>-12.586737052448614</v>
      </c>
    </row>
    <row r="461" spans="172:173" ht="3.95" customHeight="1" x14ac:dyDescent="0.2">
      <c r="FP461" s="2612"/>
      <c r="FQ461" s="2718"/>
    </row>
    <row r="462" spans="172:173" x14ac:dyDescent="0.2">
      <c r="FP462" s="2612" t="s">
        <v>257</v>
      </c>
      <c r="FQ462" s="2747">
        <f>+'EBITDA Val'!E13</f>
        <v>7.5</v>
      </c>
    </row>
    <row r="463" spans="172:173" ht="3.95" customHeight="1" x14ac:dyDescent="0.2">
      <c r="FP463" s="2612"/>
      <c r="FQ463" s="2747"/>
    </row>
    <row r="464" spans="172:173" x14ac:dyDescent="0.2">
      <c r="FP464" s="2612" t="s">
        <v>141</v>
      </c>
      <c r="FQ464" s="2718">
        <f>+FQ460*FQ462</f>
        <v>-94.400527893364597</v>
      </c>
    </row>
    <row r="465" spans="172:191" x14ac:dyDescent="0.2">
      <c r="FP465" s="2612" t="s">
        <v>1536</v>
      </c>
      <c r="FQ465" s="2650">
        <f>+'EBITDA Val'!G47</f>
        <v>92.393000000000001</v>
      </c>
    </row>
    <row r="466" spans="172:191" x14ac:dyDescent="0.2">
      <c r="FP466" s="496" t="s">
        <v>258</v>
      </c>
      <c r="FQ466" s="2555">
        <f>+FQ464/FQ465</f>
        <v>-1.0217281384235233</v>
      </c>
    </row>
    <row r="469" spans="172:191" x14ac:dyDescent="0.2">
      <c r="FT469" s="1045" t="s">
        <v>273</v>
      </c>
      <c r="FU469" s="2749"/>
      <c r="FV469" s="2749"/>
      <c r="FW469" s="2749"/>
      <c r="FX469" s="2749"/>
      <c r="FY469" s="2749"/>
    </row>
    <row r="470" spans="172:191" x14ac:dyDescent="0.2">
      <c r="FT470" s="2751">
        <v>0</v>
      </c>
      <c r="FU470" s="2752">
        <f>+FT470+0.1</f>
        <v>0.1</v>
      </c>
      <c r="FV470" s="2752">
        <f>+FU470+0.1</f>
        <v>0.2</v>
      </c>
      <c r="FW470" s="2752">
        <f>+FV470+0.1</f>
        <v>0.30000000000000004</v>
      </c>
      <c r="FX470" s="2752">
        <f>+FW470+0.1</f>
        <v>0.4</v>
      </c>
      <c r="FY470" s="2752">
        <f>+FX470+0.1</f>
        <v>0.5</v>
      </c>
    </row>
    <row r="471" spans="172:191" ht="38.25" x14ac:dyDescent="0.2">
      <c r="FR471" s="2753" t="s">
        <v>274</v>
      </c>
      <c r="FS471" s="2750">
        <f>+FQ466</f>
        <v>-1.0217281384235233</v>
      </c>
      <c r="FT471" s="2754">
        <f t="dataTable" ref="FT471:FY471" dt2D="0" dtr="1" r1="FQ458"/>
        <v>0</v>
      </c>
      <c r="FU471" s="2755">
        <v>-0.51086406921176164</v>
      </c>
      <c r="FV471" s="2755">
        <v>-1.0217281384235233</v>
      </c>
      <c r="FW471" s="2755">
        <v>-1.5325922076352854</v>
      </c>
      <c r="FX471" s="2755">
        <v>-2.0434562768470466</v>
      </c>
      <c r="FY471" s="2755">
        <v>-2.5543203460588084</v>
      </c>
    </row>
    <row r="475" spans="172:191" x14ac:dyDescent="0.2">
      <c r="GA475" s="282" t="s">
        <v>324</v>
      </c>
      <c r="GB475" s="2623"/>
      <c r="GC475" s="2623"/>
      <c r="GD475" s="2623"/>
      <c r="GE475" s="2623"/>
      <c r="GF475" s="2623"/>
      <c r="GG475" s="2623"/>
      <c r="GH475" s="2623"/>
      <c r="GI475" s="2624"/>
    </row>
    <row r="476" spans="172:191" x14ac:dyDescent="0.2">
      <c r="GA476" s="2625"/>
      <c r="GB476" s="3137">
        <v>2015</v>
      </c>
      <c r="GC476" s="3137">
        <f>+GB476+1</f>
        <v>2016</v>
      </c>
      <c r="GD476" s="2760">
        <f>+GC476+1</f>
        <v>2017</v>
      </c>
      <c r="GE476" s="2760">
        <f>+GD476+1</f>
        <v>2018</v>
      </c>
      <c r="GF476" s="2760">
        <f>+GE476+1</f>
        <v>2019</v>
      </c>
      <c r="GG476" s="2760">
        <f>+GF476+1</f>
        <v>2020</v>
      </c>
      <c r="GH476" s="2617"/>
      <c r="GI476" s="2759"/>
    </row>
    <row r="477" spans="172:191" x14ac:dyDescent="0.2">
      <c r="GA477" s="2612" t="s">
        <v>898</v>
      </c>
      <c r="GB477" s="2758">
        <f>+PENN!BJ563</f>
        <v>89.985246209749988</v>
      </c>
      <c r="GC477" s="2758">
        <f>+PENN!BO563</f>
        <v>156.37858804247401</v>
      </c>
      <c r="GD477" s="2758">
        <f>+PENN!BT563</f>
        <v>166.20185119935002</v>
      </c>
      <c r="GE477" s="2758">
        <f>+PENN!BY563</f>
        <v>173.6610875841825</v>
      </c>
      <c r="GF477" s="2758">
        <f>+PENN!BZ563</f>
        <v>137.71300536749141</v>
      </c>
      <c r="GG477" s="2758">
        <f>+PENN!CA563</f>
        <v>101.8051875</v>
      </c>
      <c r="GH477" s="2575"/>
      <c r="GI477" s="2626"/>
    </row>
    <row r="478" spans="172:191" x14ac:dyDescent="0.2">
      <c r="GA478" s="2612" t="s">
        <v>601</v>
      </c>
      <c r="GB478" s="2649">
        <f>+PENN!BJ566</f>
        <v>28.576656655437496</v>
      </c>
      <c r="GC478" s="2649">
        <f>+PENN!BO566</f>
        <v>35.70164716499302</v>
      </c>
      <c r="GD478" s="2649">
        <f>+PENN!BT566</f>
        <v>35.87319247426575</v>
      </c>
      <c r="GE478" s="2649">
        <f>+PENN!BY566</f>
        <v>36.518745707169728</v>
      </c>
      <c r="GF478" s="2649">
        <f>+PENN!BZ566</f>
        <v>28.575448613754464</v>
      </c>
      <c r="GG478" s="2649">
        <f>+PENN!CA566</f>
        <v>21.12457640625</v>
      </c>
      <c r="GH478" s="2575"/>
      <c r="GI478" s="2626"/>
    </row>
    <row r="479" spans="172:191" outlineLevel="1" x14ac:dyDescent="0.2">
      <c r="GA479" s="870" t="s">
        <v>1506</v>
      </c>
      <c r="GB479" s="898">
        <f t="shared" ref="GB479:GG479" si="22">+GB478/GB477</f>
        <v>0.31757046692773494</v>
      </c>
      <c r="GC479" s="898">
        <f t="shared" si="22"/>
        <v>0.22830265710863235</v>
      </c>
      <c r="GD479" s="898">
        <f t="shared" si="22"/>
        <v>0.21584111257123015</v>
      </c>
      <c r="GE479" s="898">
        <f t="shared" si="22"/>
        <v>0.21028744098741869</v>
      </c>
      <c r="GF479" s="898">
        <f t="shared" si="22"/>
        <v>0.20749999999999999</v>
      </c>
      <c r="GG479" s="898">
        <f t="shared" si="22"/>
        <v>0.20749999999999999</v>
      </c>
      <c r="GH479" s="2575"/>
      <c r="GI479" s="2626"/>
    </row>
    <row r="480" spans="172:191" x14ac:dyDescent="0.2">
      <c r="GA480" s="2612" t="s">
        <v>2270</v>
      </c>
      <c r="GB480" s="2649">
        <f>+PENN!BJ569</f>
        <v>43.241127083699993</v>
      </c>
      <c r="GC480" s="2649">
        <f>+PENN!BO569</f>
        <v>75.957181572300001</v>
      </c>
      <c r="GD480" s="2649">
        <f>+PENN!BT569</f>
        <v>80.745252685300002</v>
      </c>
      <c r="GE480" s="2649">
        <f>+PENN!BY569</f>
        <v>84.468863327625002</v>
      </c>
      <c r="GF480" s="2649">
        <f>+PENN!BZ569</f>
        <v>68.229901547088758</v>
      </c>
      <c r="GG480" s="2649">
        <f>+PENN!CA569</f>
        <v>50.439374999999998</v>
      </c>
      <c r="GH480" s="2575"/>
      <c r="GI480" s="2626"/>
    </row>
    <row r="481" spans="183:191" ht="3.95" customHeight="1" x14ac:dyDescent="0.2">
      <c r="GA481" s="2612"/>
      <c r="GB481" s="2707" t="s">
        <v>229</v>
      </c>
      <c r="GC481" s="2707" t="s">
        <v>229</v>
      </c>
      <c r="GD481" s="2707" t="s">
        <v>229</v>
      </c>
      <c r="GE481" s="2707" t="s">
        <v>229</v>
      </c>
      <c r="GF481" s="2707" t="s">
        <v>229</v>
      </c>
      <c r="GG481" s="2707" t="s">
        <v>229</v>
      </c>
      <c r="GH481" s="2575"/>
      <c r="GI481" s="2626"/>
    </row>
    <row r="482" spans="183:191" s="2997" customFormat="1" ht="12.75" customHeight="1" x14ac:dyDescent="0.2">
      <c r="GA482" s="2994" t="s">
        <v>2010</v>
      </c>
      <c r="GB482" s="2995">
        <f t="shared" ref="GB482:GG482" si="23">+GB477-GB478-GB480</f>
        <v>18.167462470612499</v>
      </c>
      <c r="GC482" s="2995">
        <f t="shared" si="23"/>
        <v>44.719759305180986</v>
      </c>
      <c r="GD482" s="2995">
        <f t="shared" si="23"/>
        <v>49.583406039784265</v>
      </c>
      <c r="GE482" s="2995">
        <f t="shared" si="23"/>
        <v>52.673478549387767</v>
      </c>
      <c r="GF482" s="2995">
        <f t="shared" si="23"/>
        <v>40.907655206648187</v>
      </c>
      <c r="GG482" s="2995">
        <f t="shared" si="23"/>
        <v>30.241236093750004</v>
      </c>
      <c r="GH482" s="2996"/>
      <c r="GI482" s="1047"/>
    </row>
    <row r="483" spans="183:191" s="2997" customFormat="1" ht="12.75" customHeight="1" x14ac:dyDescent="0.2">
      <c r="GA483" s="2998" t="s">
        <v>462</v>
      </c>
      <c r="GB483" s="2649">
        <f>-PENN!BJ576</f>
        <v>-4.166666666666667</v>
      </c>
      <c r="GC483" s="2649">
        <f>-PENN!BO576</f>
        <v>-8.3333333333333339</v>
      </c>
      <c r="GD483" s="2649">
        <f>-PENN!BT576</f>
        <v>-8.3333333333333339</v>
      </c>
      <c r="GE483" s="2649">
        <f>-PENN!BY576</f>
        <v>-8.3333333333333339</v>
      </c>
      <c r="GF483" s="2649">
        <f>-PENN!BZ576</f>
        <v>-8.3333333333333339</v>
      </c>
      <c r="GG483" s="2649">
        <f>-PENN!CA576</f>
        <v>-8.3333333333333339</v>
      </c>
      <c r="GH483" s="2996"/>
      <c r="GI483" s="1047"/>
    </row>
    <row r="484" spans="183:191" ht="3.95" customHeight="1" x14ac:dyDescent="0.2">
      <c r="GA484" s="2612"/>
      <c r="GB484" s="2707" t="s">
        <v>229</v>
      </c>
      <c r="GC484" s="2707" t="s">
        <v>229</v>
      </c>
      <c r="GD484" s="2707" t="s">
        <v>229</v>
      </c>
      <c r="GE484" s="2707" t="s">
        <v>229</v>
      </c>
      <c r="GF484" s="2707" t="s">
        <v>229</v>
      </c>
      <c r="GG484" s="2707" t="s">
        <v>229</v>
      </c>
      <c r="GH484" s="2575"/>
      <c r="GI484" s="2626"/>
    </row>
    <row r="485" spans="183:191" s="2997" customFormat="1" ht="12.75" customHeight="1" x14ac:dyDescent="0.2">
      <c r="GA485" s="2994" t="s">
        <v>2314</v>
      </c>
      <c r="GB485" s="2995">
        <f t="shared" ref="GB485:GG485" si="24">+SUM(GB482:GB483)</f>
        <v>14.000795803945831</v>
      </c>
      <c r="GC485" s="2995">
        <f t="shared" si="24"/>
        <v>36.38642597184765</v>
      </c>
      <c r="GD485" s="2995">
        <f t="shared" si="24"/>
        <v>41.250072706450929</v>
      </c>
      <c r="GE485" s="2995">
        <f t="shared" si="24"/>
        <v>44.340145216054431</v>
      </c>
      <c r="GF485" s="2995">
        <f t="shared" si="24"/>
        <v>32.574321873314851</v>
      </c>
      <c r="GG485" s="2995">
        <f t="shared" si="24"/>
        <v>21.907902760416668</v>
      </c>
      <c r="GH485" s="2996"/>
      <c r="GI485" s="1047"/>
    </row>
    <row r="486" spans="183:191" s="2997" customFormat="1" ht="12.75" customHeight="1" x14ac:dyDescent="0.2">
      <c r="GA486" s="2998" t="s">
        <v>2315</v>
      </c>
      <c r="GB486" s="2999">
        <f t="shared" ref="GB486:GG486" si="25">+-GB485*0.39</f>
        <v>-5.4603103635388743</v>
      </c>
      <c r="GC486" s="2999">
        <f t="shared" si="25"/>
        <v>-14.190706129020585</v>
      </c>
      <c r="GD486" s="2999">
        <f t="shared" si="25"/>
        <v>-16.087528355515865</v>
      </c>
      <c r="GE486" s="2999">
        <f t="shared" si="25"/>
        <v>-17.292656634261228</v>
      </c>
      <c r="GF486" s="2999">
        <f t="shared" si="25"/>
        <v>-12.703985530592792</v>
      </c>
      <c r="GG486" s="2999">
        <f t="shared" si="25"/>
        <v>-8.5440820765625016</v>
      </c>
      <c r="GH486" s="2996"/>
      <c r="GI486" s="1047"/>
    </row>
    <row r="487" spans="183:191" s="2997" customFormat="1" ht="12.75" customHeight="1" x14ac:dyDescent="0.25">
      <c r="GA487" s="2998" t="s">
        <v>2324</v>
      </c>
      <c r="GB487" s="2999">
        <f t="shared" ref="GB487:GG487" si="26">-GB477*0.035</f>
        <v>-3.1494836173412497</v>
      </c>
      <c r="GC487" s="2999">
        <f t="shared" si="26"/>
        <v>-5.4732505814865906</v>
      </c>
      <c r="GD487" s="2999">
        <f t="shared" si="26"/>
        <v>-5.8170647919772511</v>
      </c>
      <c r="GE487" s="2999">
        <f t="shared" si="26"/>
        <v>-6.0781380654463879</v>
      </c>
      <c r="GF487" s="2999">
        <f t="shared" si="26"/>
        <v>-4.8199551878621998</v>
      </c>
      <c r="GG487" s="2999">
        <f t="shared" si="26"/>
        <v>-3.5631815625000005</v>
      </c>
      <c r="GH487" s="2996"/>
      <c r="GI487" s="3038"/>
    </row>
    <row r="488" spans="183:191" s="2997" customFormat="1" ht="12.75" customHeight="1" x14ac:dyDescent="0.2">
      <c r="GA488" s="2998" t="s">
        <v>2325</v>
      </c>
      <c r="GB488" s="3031">
        <v>-2.7</v>
      </c>
      <c r="GC488" s="3031">
        <v>-2.7</v>
      </c>
      <c r="GD488" s="3031">
        <v>-2.7</v>
      </c>
      <c r="GE488" s="3031">
        <v>-2.7</v>
      </c>
      <c r="GF488" s="3031">
        <v>-2.7</v>
      </c>
      <c r="GG488" s="3031">
        <f>-PENN!CA529*0.015</f>
        <v>-1.7887059877079683</v>
      </c>
      <c r="GH488" s="2996"/>
      <c r="GI488" s="3037"/>
    </row>
    <row r="489" spans="183:191" s="2997" customFormat="1" ht="12.75" customHeight="1" x14ac:dyDescent="0.2">
      <c r="GA489" s="2998" t="s">
        <v>2327</v>
      </c>
      <c r="GB489" s="3031">
        <v>-1</v>
      </c>
      <c r="GC489" s="3031">
        <v>-1</v>
      </c>
      <c r="GD489" s="3031">
        <v>-1</v>
      </c>
      <c r="GE489" s="3031">
        <v>-1</v>
      </c>
      <c r="GF489" s="3031">
        <v>-1</v>
      </c>
      <c r="GG489" s="3031">
        <v>-1</v>
      </c>
      <c r="GH489" s="2996"/>
      <c r="GI489" s="3565" t="s">
        <v>2417</v>
      </c>
    </row>
    <row r="490" spans="183:191" s="2997" customFormat="1" ht="12.75" customHeight="1" x14ac:dyDescent="0.2">
      <c r="GA490" s="2998" t="s">
        <v>2326</v>
      </c>
      <c r="GB490" s="3031">
        <v>-1.5</v>
      </c>
      <c r="GC490" s="3031">
        <f>+GB490*1.02</f>
        <v>-1.53</v>
      </c>
      <c r="GD490" s="3031">
        <f>+GC490*1.02</f>
        <v>-1.5606</v>
      </c>
      <c r="GE490" s="3031">
        <f>+GD490*1.02</f>
        <v>-1.591812</v>
      </c>
      <c r="GF490" s="3031">
        <f>+GE490*1.02</f>
        <v>-1.6236482400000001</v>
      </c>
      <c r="GG490" s="3031">
        <f>+GF490*1.02</f>
        <v>-1.6561212048</v>
      </c>
      <c r="GH490" s="2996"/>
      <c r="GI490" s="3566"/>
    </row>
    <row r="491" spans="183:191" s="2997" customFormat="1" ht="12.75" customHeight="1" x14ac:dyDescent="0.2">
      <c r="GA491" s="2998" t="s">
        <v>1347</v>
      </c>
      <c r="GB491" s="2999">
        <f t="shared" ref="GB491:GG491" si="27">+-GB483</f>
        <v>4.166666666666667</v>
      </c>
      <c r="GC491" s="2999">
        <f t="shared" si="27"/>
        <v>8.3333333333333339</v>
      </c>
      <c r="GD491" s="2999">
        <f t="shared" si="27"/>
        <v>8.3333333333333339</v>
      </c>
      <c r="GE491" s="2999">
        <f t="shared" si="27"/>
        <v>8.3333333333333339</v>
      </c>
      <c r="GF491" s="2999">
        <f t="shared" si="27"/>
        <v>8.3333333333333339</v>
      </c>
      <c r="GG491" s="2999">
        <f t="shared" si="27"/>
        <v>8.3333333333333339</v>
      </c>
      <c r="GH491" s="2996"/>
      <c r="GI491" s="3566"/>
    </row>
    <row r="492" spans="183:191" s="2997" customFormat="1" ht="12.75" customHeight="1" x14ac:dyDescent="0.25">
      <c r="GA492" s="2998" t="s">
        <v>2565</v>
      </c>
      <c r="GB492" s="2999"/>
      <c r="GC492" s="2999"/>
      <c r="GD492" s="2999"/>
      <c r="GE492" s="3522">
        <v>-12.5</v>
      </c>
      <c r="GF492" s="3522">
        <v>-25</v>
      </c>
      <c r="GG492" s="3522">
        <v>-25</v>
      </c>
      <c r="GH492" s="2996"/>
      <c r="GI492" s="3510"/>
    </row>
    <row r="493" spans="183:191" ht="3.95" customHeight="1" x14ac:dyDescent="0.2">
      <c r="GA493" s="2612"/>
      <c r="GB493" s="2707" t="s">
        <v>229</v>
      </c>
      <c r="GC493" s="2707" t="s">
        <v>229</v>
      </c>
      <c r="GD493" s="2707" t="s">
        <v>229</v>
      </c>
      <c r="GE493" s="2707" t="s">
        <v>229</v>
      </c>
      <c r="GF493" s="2707" t="s">
        <v>229</v>
      </c>
      <c r="GG493" s="2707" t="s">
        <v>229</v>
      </c>
      <c r="GH493" s="2575"/>
      <c r="GI493" s="2757"/>
    </row>
    <row r="494" spans="183:191" x14ac:dyDescent="0.2">
      <c r="GA494" s="864" t="s">
        <v>275</v>
      </c>
      <c r="GB494" s="512">
        <f>SUM(GB485:GB491)</f>
        <v>4.3576684897323741</v>
      </c>
      <c r="GC494" s="512">
        <f>SUM(GC485:GC491)</f>
        <v>19.825802594673814</v>
      </c>
      <c r="GD494" s="512">
        <f>SUM(GD485:GD491)</f>
        <v>22.418212892291145</v>
      </c>
      <c r="GE494" s="512">
        <f>SUM(GE485:GE492)</f>
        <v>11.51087184968015</v>
      </c>
      <c r="GF494" s="512">
        <f>SUM(GF485:GF492)</f>
        <v>-6.9399337518068052</v>
      </c>
      <c r="GG494" s="512">
        <f>SUM(GG485:GG492)</f>
        <v>-11.310854737820469</v>
      </c>
      <c r="GH494" s="2575"/>
      <c r="GI494" s="2594">
        <f>+GG482*GB497</f>
        <v>226.80927070312504</v>
      </c>
    </row>
    <row r="495" spans="183:191" x14ac:dyDescent="0.2">
      <c r="GA495" s="2612"/>
      <c r="GB495" s="2575"/>
      <c r="GC495" s="2575"/>
      <c r="GD495" s="2575"/>
      <c r="GE495" s="2575"/>
      <c r="GF495" s="2575"/>
      <c r="GG495" s="2575"/>
      <c r="GH495" s="2575"/>
      <c r="GI495" s="2626"/>
    </row>
    <row r="496" spans="183:191" x14ac:dyDescent="0.2">
      <c r="GA496" s="2612" t="s">
        <v>276</v>
      </c>
      <c r="GB496" s="2748">
        <v>0.125</v>
      </c>
      <c r="GI496" s="2626"/>
    </row>
    <row r="497" spans="183:191" x14ac:dyDescent="0.2">
      <c r="GA497" s="2612" t="s">
        <v>277</v>
      </c>
      <c r="GB497" s="2756">
        <v>7.5</v>
      </c>
      <c r="GI497" s="2626"/>
    </row>
    <row r="498" spans="183:191" x14ac:dyDescent="0.2">
      <c r="GA498" s="2612"/>
      <c r="GB498" s="2756"/>
      <c r="GI498" s="2626"/>
    </row>
    <row r="499" spans="183:191" x14ac:dyDescent="0.2">
      <c r="GA499" s="2612" t="s">
        <v>278</v>
      </c>
      <c r="GB499" s="2758">
        <f>NPV(GB496,GD494,GE494,GF494,GG494,GI494)</f>
        <v>142.94989408964267</v>
      </c>
      <c r="GC499" s="2575"/>
      <c r="GD499" s="2575"/>
      <c r="GE499" s="2575"/>
      <c r="GF499" s="2575"/>
      <c r="GG499" s="2575"/>
      <c r="GH499" s="2575"/>
      <c r="GI499" s="2626"/>
    </row>
    <row r="500" spans="183:191" x14ac:dyDescent="0.2">
      <c r="GA500" s="2612" t="s">
        <v>1536</v>
      </c>
      <c r="GB500" s="2575">
        <f>+'EBITDA Val'!H47</f>
        <v>119.75999999999999</v>
      </c>
      <c r="GC500" s="2575"/>
      <c r="GD500" s="2575"/>
      <c r="GE500" s="2575"/>
      <c r="GF500" s="2575"/>
      <c r="GG500" s="2575"/>
      <c r="GH500" s="2575"/>
      <c r="GI500" s="2626"/>
    </row>
    <row r="501" spans="183:191" x14ac:dyDescent="0.2">
      <c r="GA501" s="432" t="s">
        <v>279</v>
      </c>
      <c r="GB501" s="714">
        <f>+GB499/GB500</f>
        <v>1.1936363901940772</v>
      </c>
      <c r="GC501" s="2617"/>
      <c r="GD501" s="2617"/>
      <c r="GE501" s="2617"/>
      <c r="GF501" s="2617"/>
      <c r="GG501" s="2617"/>
      <c r="GH501" s="2617"/>
      <c r="GI501" s="2759"/>
    </row>
    <row r="503" spans="183:191" x14ac:dyDescent="0.2">
      <c r="GA503" s="282" t="s">
        <v>325</v>
      </c>
      <c r="GB503" s="2623"/>
      <c r="GC503" s="2623"/>
      <c r="GD503" s="2623"/>
      <c r="GE503" s="2623"/>
      <c r="GF503" s="2623"/>
      <c r="GG503" s="2623"/>
      <c r="GH503" s="2623"/>
      <c r="GI503" s="2624"/>
    </row>
    <row r="504" spans="183:191" x14ac:dyDescent="0.2">
      <c r="GA504" s="2625"/>
      <c r="GB504" s="2760">
        <v>2015</v>
      </c>
      <c r="GC504" s="2760">
        <f>+GB504+1</f>
        <v>2016</v>
      </c>
      <c r="GD504" s="2760">
        <f>+GC504+1</f>
        <v>2017</v>
      </c>
      <c r="GE504" s="2760">
        <f>+GD504+1</f>
        <v>2018</v>
      </c>
      <c r="GF504" s="2760">
        <f>+GE504+1</f>
        <v>2019</v>
      </c>
      <c r="GG504" s="2760">
        <f>+GF504+1</f>
        <v>2020</v>
      </c>
      <c r="GH504" s="2617"/>
      <c r="GI504" s="2759"/>
    </row>
    <row r="505" spans="183:191" x14ac:dyDescent="0.2">
      <c r="GA505" s="2612" t="s">
        <v>898</v>
      </c>
      <c r="GB505" s="2758">
        <f>+PENN!BJ563*(1+$GI$505)</f>
        <v>98.983770830724993</v>
      </c>
      <c r="GC505" s="2758">
        <f>+PENN!BO563*(1+$GI$505)</f>
        <v>172.01644684672141</v>
      </c>
      <c r="GD505" s="2758">
        <f>+PENN!BT563*(1+$GI$505)</f>
        <v>182.82203631928505</v>
      </c>
      <c r="GE505" s="2758">
        <f>+PENN!BY563*(1+$GI$506)</f>
        <v>217.07635948022812</v>
      </c>
      <c r="GF505" s="2758">
        <f>+PENN!BZ563*(1+$GI$506)</f>
        <v>172.14125670936426</v>
      </c>
      <c r="GG505" s="2758">
        <f>+PENN!CA563*(1+$GI$506)</f>
        <v>127.256484375</v>
      </c>
      <c r="GH505" s="2575"/>
      <c r="GI505" s="2646">
        <v>0.1</v>
      </c>
    </row>
    <row r="506" spans="183:191" x14ac:dyDescent="0.2">
      <c r="GA506" s="2612" t="s">
        <v>601</v>
      </c>
      <c r="GB506" s="2649">
        <f t="shared" ref="GB506:GG506" si="28">+GB507*GB505</f>
        <v>26.485133779444997</v>
      </c>
      <c r="GC506" s="2649">
        <f t="shared" si="28"/>
        <v>35.831482944557891</v>
      </c>
      <c r="GD506" s="2649">
        <f t="shared" si="28"/>
        <v>35.804070995306631</v>
      </c>
      <c r="GE506" s="2649">
        <f t="shared" si="28"/>
        <v>41.306904944357598</v>
      </c>
      <c r="GF506" s="2649">
        <f t="shared" si="28"/>
        <v>32.276485633005798</v>
      </c>
      <c r="GG506" s="2649">
        <f t="shared" si="28"/>
        <v>23.860590820312499</v>
      </c>
      <c r="GH506" s="2575"/>
      <c r="GI506" s="2646">
        <v>0.25</v>
      </c>
    </row>
    <row r="507" spans="183:191" x14ac:dyDescent="0.2">
      <c r="GA507" s="870" t="s">
        <v>1506</v>
      </c>
      <c r="GB507" s="2741">
        <f>+GB479-0.05</f>
        <v>0.26757046692773495</v>
      </c>
      <c r="GC507" s="2741">
        <f>+GC479-0.02</f>
        <v>0.20830265710863236</v>
      </c>
      <c r="GD507" s="2741">
        <f>+GD479-0.02</f>
        <v>0.19584111257123016</v>
      </c>
      <c r="GE507" s="2741">
        <f>+GE479-0.02</f>
        <v>0.1902874409874187</v>
      </c>
      <c r="GF507" s="2741">
        <f>+GF479-0.02</f>
        <v>0.1875</v>
      </c>
      <c r="GG507" s="2741">
        <f>+GG479-0.02</f>
        <v>0.1875</v>
      </c>
      <c r="GH507" s="2575"/>
      <c r="GI507" s="2626"/>
    </row>
    <row r="508" spans="183:191" x14ac:dyDescent="0.2">
      <c r="GA508" s="2612" t="s">
        <v>2270</v>
      </c>
      <c r="GB508" s="2649">
        <f t="shared" ref="GB508:GG508" si="29">+GB505*0.49</f>
        <v>48.502047707055247</v>
      </c>
      <c r="GC508" s="2649">
        <f t="shared" si="29"/>
        <v>84.288058954893486</v>
      </c>
      <c r="GD508" s="2649">
        <f t="shared" si="29"/>
        <v>89.582797796449668</v>
      </c>
      <c r="GE508" s="2649">
        <f t="shared" si="29"/>
        <v>106.36741614531178</v>
      </c>
      <c r="GF508" s="2649">
        <f t="shared" si="29"/>
        <v>84.349215787588477</v>
      </c>
      <c r="GG508" s="2649">
        <f t="shared" si="29"/>
        <v>62.355677343749996</v>
      </c>
      <c r="GH508" s="2575"/>
      <c r="GI508" s="2626"/>
    </row>
    <row r="509" spans="183:191" ht="3.95" customHeight="1" x14ac:dyDescent="0.2">
      <c r="GA509" s="2612"/>
      <c r="GB509" s="2707" t="s">
        <v>229</v>
      </c>
      <c r="GC509" s="2707" t="s">
        <v>229</v>
      </c>
      <c r="GD509" s="2707" t="s">
        <v>229</v>
      </c>
      <c r="GE509" s="2707" t="s">
        <v>229</v>
      </c>
      <c r="GF509" s="2707" t="s">
        <v>229</v>
      </c>
      <c r="GG509" s="2707" t="s">
        <v>229</v>
      </c>
      <c r="GH509" s="2575"/>
      <c r="GI509" s="2626"/>
    </row>
    <row r="510" spans="183:191" x14ac:dyDescent="0.2">
      <c r="GA510" s="864" t="s">
        <v>2010</v>
      </c>
      <c r="GB510" s="2995">
        <f t="shared" ref="GB510:GG510" si="30">+GB505-GB506-GB508</f>
        <v>23.996589344224752</v>
      </c>
      <c r="GC510" s="2995">
        <f t="shared" si="30"/>
        <v>51.896904947270045</v>
      </c>
      <c r="GD510" s="2995">
        <f t="shared" si="30"/>
        <v>57.435167527528748</v>
      </c>
      <c r="GE510" s="2995">
        <f t="shared" si="30"/>
        <v>69.402038390558744</v>
      </c>
      <c r="GF510" s="2995">
        <f t="shared" si="30"/>
        <v>55.515555288769988</v>
      </c>
      <c r="GG510" s="2995">
        <f t="shared" si="30"/>
        <v>41.040216210937508</v>
      </c>
      <c r="GH510" s="2575"/>
      <c r="GI510" s="1047"/>
    </row>
    <row r="511" spans="183:191" x14ac:dyDescent="0.2">
      <c r="GA511" s="2998" t="s">
        <v>462</v>
      </c>
      <c r="GB511" s="2649">
        <f t="shared" ref="GB511:GG511" si="31">+GB483</f>
        <v>-4.166666666666667</v>
      </c>
      <c r="GC511" s="2649">
        <f t="shared" si="31"/>
        <v>-8.3333333333333339</v>
      </c>
      <c r="GD511" s="2649">
        <f t="shared" si="31"/>
        <v>-8.3333333333333339</v>
      </c>
      <c r="GE511" s="2649">
        <f t="shared" si="31"/>
        <v>-8.3333333333333339</v>
      </c>
      <c r="GF511" s="2649">
        <f t="shared" si="31"/>
        <v>-8.3333333333333339</v>
      </c>
      <c r="GG511" s="2649">
        <f t="shared" si="31"/>
        <v>-8.3333333333333339</v>
      </c>
      <c r="GH511" s="2575"/>
      <c r="GI511" s="1047"/>
    </row>
    <row r="512" spans="183:191" ht="3.95" customHeight="1" x14ac:dyDescent="0.2">
      <c r="GA512" s="2612"/>
      <c r="GB512" s="2707" t="s">
        <v>229</v>
      </c>
      <c r="GC512" s="2707" t="s">
        <v>229</v>
      </c>
      <c r="GD512" s="2707" t="s">
        <v>229</v>
      </c>
      <c r="GE512" s="2707" t="s">
        <v>229</v>
      </c>
      <c r="GF512" s="2707" t="s">
        <v>229</v>
      </c>
      <c r="GG512" s="2707" t="s">
        <v>229</v>
      </c>
      <c r="GH512" s="2575"/>
      <c r="GI512" s="1047"/>
    </row>
    <row r="513" spans="183:191" x14ac:dyDescent="0.2">
      <c r="GA513" s="2994" t="s">
        <v>2314</v>
      </c>
      <c r="GB513" s="2995">
        <f t="shared" ref="GB513:GG513" si="32">+SUM(GB510:GB511)</f>
        <v>19.829922677558084</v>
      </c>
      <c r="GC513" s="2995">
        <f t="shared" si="32"/>
        <v>43.563571613936709</v>
      </c>
      <c r="GD513" s="2995">
        <f t="shared" si="32"/>
        <v>49.101834194195412</v>
      </c>
      <c r="GE513" s="2995">
        <f t="shared" si="32"/>
        <v>61.068705057225408</v>
      </c>
      <c r="GF513" s="2995">
        <f t="shared" si="32"/>
        <v>47.182221955436653</v>
      </c>
      <c r="GG513" s="2995">
        <f t="shared" si="32"/>
        <v>32.706882877604173</v>
      </c>
      <c r="GH513" s="2575"/>
      <c r="GI513" s="1047"/>
    </row>
    <row r="514" spans="183:191" s="2997" customFormat="1" ht="12.75" customHeight="1" x14ac:dyDescent="0.2">
      <c r="GA514" s="2998" t="s">
        <v>2315</v>
      </c>
      <c r="GB514" s="2999">
        <f t="shared" ref="GB514:GG514" si="33">+-GB513*0.39</f>
        <v>-7.733669844247653</v>
      </c>
      <c r="GC514" s="2999">
        <f t="shared" si="33"/>
        <v>-16.989792929435318</v>
      </c>
      <c r="GD514" s="2999">
        <f t="shared" si="33"/>
        <v>-19.149715335736211</v>
      </c>
      <c r="GE514" s="2999">
        <f t="shared" si="33"/>
        <v>-23.816794972317911</v>
      </c>
      <c r="GF514" s="2999">
        <f t="shared" si="33"/>
        <v>-18.401066562620294</v>
      </c>
      <c r="GG514" s="2999">
        <f t="shared" si="33"/>
        <v>-12.755684322265628</v>
      </c>
      <c r="GH514" s="2996"/>
      <c r="GI514" s="3036"/>
    </row>
    <row r="515" spans="183:191" s="2997" customFormat="1" ht="12.75" customHeight="1" x14ac:dyDescent="0.2">
      <c r="GA515" s="2998" t="s">
        <v>2324</v>
      </c>
      <c r="GB515" s="2999">
        <f t="shared" ref="GB515:GG515" si="34">-GB505*0.035</f>
        <v>-3.4644319790753753</v>
      </c>
      <c r="GC515" s="2999">
        <f t="shared" si="34"/>
        <v>-6.0205756396352497</v>
      </c>
      <c r="GD515" s="2999">
        <f t="shared" si="34"/>
        <v>-6.3987712711749776</v>
      </c>
      <c r="GE515" s="2999">
        <f t="shared" si="34"/>
        <v>-7.5976725818079851</v>
      </c>
      <c r="GF515" s="2999">
        <f t="shared" si="34"/>
        <v>-6.0249439848277495</v>
      </c>
      <c r="GG515" s="2999">
        <f t="shared" si="34"/>
        <v>-4.4539769531250002</v>
      </c>
      <c r="GH515" s="2996"/>
      <c r="GI515" s="3036"/>
    </row>
    <row r="516" spans="183:191" s="2997" customFormat="1" ht="12.75" customHeight="1" x14ac:dyDescent="0.2">
      <c r="GA516" s="2998" t="s">
        <v>2325</v>
      </c>
      <c r="GB516" s="3031">
        <v>-2.7</v>
      </c>
      <c r="GC516" s="3031">
        <v>-2.7</v>
      </c>
      <c r="GD516" s="3031">
        <v>-2.7</v>
      </c>
      <c r="GE516" s="3031">
        <v>-2.7</v>
      </c>
      <c r="GF516" s="3031">
        <v>-2.7</v>
      </c>
      <c r="GG516" s="3031">
        <f>-PENN!CA557*0.015</f>
        <v>-1.5440624999999999</v>
      </c>
      <c r="GH516" s="2996"/>
      <c r="GI516" s="3037"/>
    </row>
    <row r="517" spans="183:191" s="2997" customFormat="1" ht="12.75" customHeight="1" x14ac:dyDescent="0.2">
      <c r="GA517" s="2998" t="s">
        <v>2327</v>
      </c>
      <c r="GB517" s="3031">
        <v>-1</v>
      </c>
      <c r="GC517" s="3031">
        <v>-1</v>
      </c>
      <c r="GD517" s="3031">
        <v>-1</v>
      </c>
      <c r="GE517" s="3031">
        <v>-1</v>
      </c>
      <c r="GF517" s="3031">
        <v>-1</v>
      </c>
      <c r="GG517" s="3031">
        <v>-1</v>
      </c>
      <c r="GH517" s="2996"/>
      <c r="GI517" s="3565" t="s">
        <v>2418</v>
      </c>
    </row>
    <row r="518" spans="183:191" s="2997" customFormat="1" ht="12.75" customHeight="1" x14ac:dyDescent="0.2">
      <c r="GA518" s="2998" t="s">
        <v>2326</v>
      </c>
      <c r="GB518" s="3031">
        <v>-1.5</v>
      </c>
      <c r="GC518" s="3031">
        <f>+GB518*1.02</f>
        <v>-1.53</v>
      </c>
      <c r="GD518" s="3031">
        <f>+GC518*1.02</f>
        <v>-1.5606</v>
      </c>
      <c r="GE518" s="3031">
        <f>+GD518*1.02</f>
        <v>-1.591812</v>
      </c>
      <c r="GF518" s="3031">
        <f>+GE518*1.02</f>
        <v>-1.6236482400000001</v>
      </c>
      <c r="GG518" s="3031">
        <f>+GF518*1.02</f>
        <v>-1.6561212048</v>
      </c>
      <c r="GH518" s="2996"/>
      <c r="GI518" s="3566"/>
    </row>
    <row r="519" spans="183:191" s="2997" customFormat="1" ht="12.75" customHeight="1" x14ac:dyDescent="0.2">
      <c r="GA519" s="2998" t="s">
        <v>1347</v>
      </c>
      <c r="GB519" s="2999">
        <f t="shared" ref="GB519:GG519" si="35">+-GB511</f>
        <v>4.166666666666667</v>
      </c>
      <c r="GC519" s="2999">
        <f t="shared" si="35"/>
        <v>8.3333333333333339</v>
      </c>
      <c r="GD519" s="2999">
        <f t="shared" si="35"/>
        <v>8.3333333333333339</v>
      </c>
      <c r="GE519" s="2999">
        <f t="shared" si="35"/>
        <v>8.3333333333333339</v>
      </c>
      <c r="GF519" s="2999">
        <f t="shared" si="35"/>
        <v>8.3333333333333339</v>
      </c>
      <c r="GG519" s="2999">
        <f t="shared" si="35"/>
        <v>8.3333333333333339</v>
      </c>
      <c r="GH519" s="2996"/>
      <c r="GI519" s="3566"/>
    </row>
    <row r="520" spans="183:191" s="2997" customFormat="1" ht="12.75" customHeight="1" x14ac:dyDescent="0.25">
      <c r="GA520" s="2998" t="s">
        <v>2565</v>
      </c>
      <c r="GB520" s="2999"/>
      <c r="GC520" s="2999"/>
      <c r="GD520" s="2999"/>
      <c r="GE520" s="3522">
        <v>-12.5</v>
      </c>
      <c r="GF520" s="3522">
        <v>-25</v>
      </c>
      <c r="GG520" s="3522">
        <v>-25</v>
      </c>
      <c r="GH520" s="2996"/>
      <c r="GI520" s="3510"/>
    </row>
    <row r="521" spans="183:191" ht="3.95" customHeight="1" x14ac:dyDescent="0.2">
      <c r="GA521" s="2612"/>
      <c r="GB521" s="2707" t="s">
        <v>229</v>
      </c>
      <c r="GC521" s="2707" t="s">
        <v>229</v>
      </c>
      <c r="GD521" s="2707" t="s">
        <v>229</v>
      </c>
      <c r="GE521" s="2707" t="s">
        <v>229</v>
      </c>
      <c r="GF521" s="2707" t="s">
        <v>229</v>
      </c>
      <c r="GG521" s="2707" t="s">
        <v>229</v>
      </c>
      <c r="GH521" s="2575"/>
      <c r="GI521" s="2757"/>
    </row>
    <row r="522" spans="183:191" ht="12.75" customHeight="1" x14ac:dyDescent="0.2">
      <c r="GA522" s="864" t="s">
        <v>275</v>
      </c>
      <c r="GB522" s="512">
        <f>SUM(GB513:GB519)</f>
        <v>7.5984875209017222</v>
      </c>
      <c r="GC522" s="512">
        <f>SUM(GC513:GC519)</f>
        <v>23.656536378199476</v>
      </c>
      <c r="GD522" s="512">
        <f>SUM(GD513:GD519)</f>
        <v>26.626080920617554</v>
      </c>
      <c r="GE522" s="512">
        <f>SUM(GE513:GE520)</f>
        <v>20.195758836432844</v>
      </c>
      <c r="GF522" s="512">
        <f>SUM(GF513:GF520)</f>
        <v>0.76589650132194009</v>
      </c>
      <c r="GG522" s="512">
        <f>SUM(GG513:GG520)</f>
        <v>-5.3696287692531222</v>
      </c>
      <c r="GH522" s="2575"/>
      <c r="GI522" s="2594">
        <f>+GG510*GB525</f>
        <v>348.84183779296882</v>
      </c>
    </row>
    <row r="523" spans="183:191" ht="12.75" customHeight="1" x14ac:dyDescent="0.2">
      <c r="GA523" s="2612"/>
      <c r="GB523" s="2575"/>
      <c r="GC523" s="2575"/>
      <c r="GD523" s="2575"/>
      <c r="GE523" s="2575"/>
      <c r="GF523" s="2575"/>
      <c r="GG523" s="2575"/>
      <c r="GH523" s="2575"/>
      <c r="GI523" s="2626"/>
    </row>
    <row r="524" spans="183:191" x14ac:dyDescent="0.2">
      <c r="GA524" s="2612" t="s">
        <v>276</v>
      </c>
      <c r="GB524" s="2610">
        <f>+GB496-0.025</f>
        <v>0.1</v>
      </c>
      <c r="GI524" s="2626"/>
    </row>
    <row r="525" spans="183:191" x14ac:dyDescent="0.2">
      <c r="GA525" s="2612" t="s">
        <v>277</v>
      </c>
      <c r="GB525" s="3000">
        <f>+GB497+1</f>
        <v>8.5</v>
      </c>
      <c r="GI525" s="2626"/>
    </row>
    <row r="526" spans="183:191" x14ac:dyDescent="0.2">
      <c r="GA526" s="2612"/>
      <c r="GB526" s="2756"/>
      <c r="GI526" s="2626"/>
    </row>
    <row r="527" spans="183:191" x14ac:dyDescent="0.2">
      <c r="GA527" s="2612" t="s">
        <v>278</v>
      </c>
      <c r="GB527" s="2758">
        <f>NPV(GB524,GD522,GE522,GF522,GG522,GI522)</f>
        <v>254.40747403031216</v>
      </c>
      <c r="GC527" s="2575"/>
      <c r="GD527" s="2575"/>
      <c r="GE527" s="2575"/>
      <c r="GF527" s="2575"/>
      <c r="GG527" s="2575"/>
      <c r="GH527" s="2575"/>
      <c r="GI527" s="2626"/>
    </row>
    <row r="528" spans="183:191" x14ac:dyDescent="0.2">
      <c r="GA528" s="2612" t="s">
        <v>1536</v>
      </c>
      <c r="GB528" s="2575">
        <f>+'EBITDA Val'!H47</f>
        <v>119.75999999999999</v>
      </c>
      <c r="GC528" s="2575"/>
      <c r="GD528" s="2575"/>
      <c r="GE528" s="2575"/>
      <c r="GF528" s="2575"/>
      <c r="GG528" s="2575"/>
      <c r="GH528" s="2575"/>
      <c r="GI528" s="2626"/>
    </row>
    <row r="529" spans="183:191" x14ac:dyDescent="0.2">
      <c r="GA529" s="432" t="s">
        <v>279</v>
      </c>
      <c r="GB529" s="714">
        <f>+GB527/GB528</f>
        <v>2.1243109053967282</v>
      </c>
      <c r="GC529" s="2617"/>
      <c r="GD529" s="2617"/>
      <c r="GE529" s="2617"/>
      <c r="GF529" s="2617"/>
      <c r="GG529" s="2617"/>
      <c r="GH529" s="2617"/>
      <c r="GI529" s="2759"/>
    </row>
    <row r="531" spans="183:191" x14ac:dyDescent="0.2">
      <c r="GA531" s="282" t="s">
        <v>326</v>
      </c>
      <c r="GB531" s="2623"/>
      <c r="GC531" s="2623"/>
      <c r="GD531" s="2623"/>
      <c r="GE531" s="2623"/>
      <c r="GF531" s="2623"/>
      <c r="GG531" s="2623"/>
      <c r="GH531" s="2623"/>
      <c r="GI531" s="2624"/>
    </row>
    <row r="532" spans="183:191" x14ac:dyDescent="0.2">
      <c r="GA532" s="2625"/>
      <c r="GB532" s="2760">
        <v>2015</v>
      </c>
      <c r="GC532" s="2760">
        <f>+GB532+1</f>
        <v>2016</v>
      </c>
      <c r="GD532" s="2760">
        <f>+GC532+1</f>
        <v>2017</v>
      </c>
      <c r="GE532" s="2760">
        <f>+GD532+1</f>
        <v>2018</v>
      </c>
      <c r="GF532" s="2760">
        <f>+GE532+1</f>
        <v>2019</v>
      </c>
      <c r="GG532" s="2760">
        <f>+GF532+1</f>
        <v>2020</v>
      </c>
      <c r="GH532" s="2617"/>
      <c r="GI532" s="2759"/>
    </row>
    <row r="533" spans="183:191" x14ac:dyDescent="0.2">
      <c r="GA533" s="2612" t="s">
        <v>898</v>
      </c>
      <c r="GB533" s="2758">
        <f>+PENN!BJ563*(1+$GI$533)</f>
        <v>80.986721588774998</v>
      </c>
      <c r="GC533" s="2758">
        <f>+PENN!BO563*(1+$GI$533)</f>
        <v>140.74072923822661</v>
      </c>
      <c r="GD533" s="2758">
        <f>+PENN!BT563*(1+$GI$533)</f>
        <v>149.58166607941502</v>
      </c>
      <c r="GE533" s="2758">
        <f>+PENN!BY563*(1+$GI$533)</f>
        <v>156.29497882576425</v>
      </c>
      <c r="GF533" s="2758">
        <f>+PENN!BZ563*(1+$GI$533)</f>
        <v>123.94170483074227</v>
      </c>
      <c r="GG533" s="2758">
        <f>+PENN!CA563*(1+$GI$533)</f>
        <v>91.624668749999998</v>
      </c>
      <c r="GH533" s="2575"/>
      <c r="GI533" s="2646">
        <v>-0.1</v>
      </c>
    </row>
    <row r="534" spans="183:191" x14ac:dyDescent="0.2">
      <c r="GA534" s="2612" t="s">
        <v>601</v>
      </c>
      <c r="GB534" s="2649">
        <f t="shared" ref="GB534:GG534" si="36">+GB535*GB533</f>
        <v>26.933791813725374</v>
      </c>
      <c r="GC534" s="2649">
        <f t="shared" si="36"/>
        <v>34.242593387067117</v>
      </c>
      <c r="GD534" s="2649">
        <f t="shared" si="36"/>
        <v>34.529598218030401</v>
      </c>
      <c r="GE534" s="2649">
        <f t="shared" si="36"/>
        <v>35.211295818839218</v>
      </c>
      <c r="GF534" s="2649">
        <f t="shared" si="36"/>
        <v>27.577029324840151</v>
      </c>
      <c r="GG534" s="2649">
        <f t="shared" si="36"/>
        <v>20.386488796874996</v>
      </c>
      <c r="GH534" s="2575"/>
      <c r="GI534" s="2626"/>
    </row>
    <row r="535" spans="183:191" x14ac:dyDescent="0.2">
      <c r="GA535" s="870" t="s">
        <v>1506</v>
      </c>
      <c r="GB535" s="2741">
        <f t="shared" ref="GB535:GG535" si="37">+GB479+0.015</f>
        <v>0.33257046692773495</v>
      </c>
      <c r="GC535" s="2741">
        <f t="shared" si="37"/>
        <v>0.24330265710863236</v>
      </c>
      <c r="GD535" s="2741">
        <f t="shared" si="37"/>
        <v>0.23084111257123013</v>
      </c>
      <c r="GE535" s="2741">
        <f t="shared" si="37"/>
        <v>0.22528744098741871</v>
      </c>
      <c r="GF535" s="2741">
        <f t="shared" si="37"/>
        <v>0.22249999999999998</v>
      </c>
      <c r="GG535" s="2741">
        <f t="shared" si="37"/>
        <v>0.22249999999999998</v>
      </c>
      <c r="GH535" s="2575"/>
      <c r="GI535" s="2626"/>
    </row>
    <row r="536" spans="183:191" x14ac:dyDescent="0.2">
      <c r="GA536" s="2612" t="s">
        <v>2270</v>
      </c>
      <c r="GB536" s="2649">
        <f t="shared" ref="GB536:GG536" si="38">+GB533*0.49</f>
        <v>39.68349357849975</v>
      </c>
      <c r="GC536" s="2649">
        <f t="shared" si="38"/>
        <v>68.962957326731029</v>
      </c>
      <c r="GD536" s="2649">
        <f t="shared" si="38"/>
        <v>73.29501637891336</v>
      </c>
      <c r="GE536" s="2649">
        <f t="shared" si="38"/>
        <v>76.584539624624483</v>
      </c>
      <c r="GF536" s="2649">
        <f t="shared" si="38"/>
        <v>60.73143536706371</v>
      </c>
      <c r="GG536" s="2649">
        <f t="shared" si="38"/>
        <v>44.8960876875</v>
      </c>
      <c r="GH536" s="2575"/>
      <c r="GI536" s="2626"/>
    </row>
    <row r="537" spans="183:191" ht="3.95" customHeight="1" x14ac:dyDescent="0.2">
      <c r="GA537" s="2612"/>
      <c r="GB537" s="2707" t="s">
        <v>229</v>
      </c>
      <c r="GC537" s="2707" t="s">
        <v>229</v>
      </c>
      <c r="GD537" s="2707" t="s">
        <v>229</v>
      </c>
      <c r="GE537" s="2707" t="s">
        <v>229</v>
      </c>
      <c r="GF537" s="2707" t="s">
        <v>229</v>
      </c>
      <c r="GG537" s="2707" t="s">
        <v>229</v>
      </c>
      <c r="GH537" s="2575"/>
      <c r="GI537" s="2626"/>
    </row>
    <row r="538" spans="183:191" ht="12.75" customHeight="1" x14ac:dyDescent="0.2">
      <c r="GA538" s="864" t="s">
        <v>2010</v>
      </c>
      <c r="GB538" s="2995">
        <f t="shared" ref="GB538:GG538" si="39">+GB533-GB534-GB536</f>
        <v>14.36943619654987</v>
      </c>
      <c r="GC538" s="2995">
        <f t="shared" si="39"/>
        <v>37.53517852442846</v>
      </c>
      <c r="GD538" s="2995">
        <f t="shared" si="39"/>
        <v>41.757051482471255</v>
      </c>
      <c r="GE538" s="2995">
        <f t="shared" si="39"/>
        <v>44.499143382300545</v>
      </c>
      <c r="GF538" s="2995">
        <f t="shared" si="39"/>
        <v>35.633240138838403</v>
      </c>
      <c r="GG538" s="2995">
        <f t="shared" si="39"/>
        <v>26.342092265624999</v>
      </c>
      <c r="GH538" s="2575"/>
      <c r="GI538" s="1047"/>
    </row>
    <row r="539" spans="183:191" ht="12.75" customHeight="1" x14ac:dyDescent="0.2">
      <c r="GA539" s="2998" t="s">
        <v>462</v>
      </c>
      <c r="GB539" s="2649">
        <f t="shared" ref="GB539:GG539" si="40">+GB511</f>
        <v>-4.166666666666667</v>
      </c>
      <c r="GC539" s="2649">
        <f t="shared" si="40"/>
        <v>-8.3333333333333339</v>
      </c>
      <c r="GD539" s="2649">
        <f t="shared" si="40"/>
        <v>-8.3333333333333339</v>
      </c>
      <c r="GE539" s="2649">
        <f t="shared" si="40"/>
        <v>-8.3333333333333339</v>
      </c>
      <c r="GF539" s="2649">
        <f t="shared" si="40"/>
        <v>-8.3333333333333339</v>
      </c>
      <c r="GG539" s="2649">
        <f t="shared" si="40"/>
        <v>-8.3333333333333339</v>
      </c>
      <c r="GH539" s="2575"/>
      <c r="GI539" s="1047"/>
    </row>
    <row r="540" spans="183:191" ht="3.95" customHeight="1" x14ac:dyDescent="0.2">
      <c r="GA540" s="2612"/>
      <c r="GB540" s="2707" t="s">
        <v>229</v>
      </c>
      <c r="GC540" s="2707" t="s">
        <v>229</v>
      </c>
      <c r="GD540" s="2707" t="s">
        <v>229</v>
      </c>
      <c r="GE540" s="2707" t="s">
        <v>229</v>
      </c>
      <c r="GF540" s="2707" t="s">
        <v>229</v>
      </c>
      <c r="GG540" s="2707" t="s">
        <v>229</v>
      </c>
      <c r="GH540" s="2575"/>
      <c r="GI540" s="1047"/>
    </row>
    <row r="541" spans="183:191" ht="12.75" customHeight="1" x14ac:dyDescent="0.2">
      <c r="GA541" s="2994" t="s">
        <v>2314</v>
      </c>
      <c r="GB541" s="2995">
        <f t="shared" ref="GB541:GG541" si="41">+SUM(GB538:GB539)</f>
        <v>10.202769529883202</v>
      </c>
      <c r="GC541" s="2995">
        <f t="shared" si="41"/>
        <v>29.201845191095124</v>
      </c>
      <c r="GD541" s="2995">
        <f t="shared" si="41"/>
        <v>33.423718149137919</v>
      </c>
      <c r="GE541" s="2995">
        <f t="shared" si="41"/>
        <v>36.165810048967209</v>
      </c>
      <c r="GF541" s="2995">
        <f t="shared" si="41"/>
        <v>27.299906805505067</v>
      </c>
      <c r="GG541" s="2995">
        <f t="shared" si="41"/>
        <v>18.008758932291663</v>
      </c>
      <c r="GH541" s="2575"/>
      <c r="GI541" s="1047"/>
    </row>
    <row r="542" spans="183:191" ht="12.75" customHeight="1" x14ac:dyDescent="0.2">
      <c r="GA542" s="2998" t="s">
        <v>2315</v>
      </c>
      <c r="GB542" s="2999">
        <f t="shared" ref="GB542:GG542" si="42">+-GB541*0.39</f>
        <v>-3.9790801166544489</v>
      </c>
      <c r="GC542" s="2999">
        <f t="shared" si="42"/>
        <v>-11.388719624527099</v>
      </c>
      <c r="GD542" s="2999">
        <f t="shared" si="42"/>
        <v>-13.03525007816379</v>
      </c>
      <c r="GE542" s="2999">
        <f t="shared" si="42"/>
        <v>-14.104665919097211</v>
      </c>
      <c r="GF542" s="2999">
        <f t="shared" si="42"/>
        <v>-10.646963654146976</v>
      </c>
      <c r="GG542" s="2999">
        <f t="shared" si="42"/>
        <v>-7.0234159835937486</v>
      </c>
      <c r="GH542" s="2575"/>
      <c r="GI542" s="1047"/>
    </row>
    <row r="543" spans="183:191" ht="12.75" customHeight="1" x14ac:dyDescent="0.25">
      <c r="GA543" s="2998" t="s">
        <v>2324</v>
      </c>
      <c r="GB543" s="2999">
        <f t="shared" ref="GB543:GG543" si="43">-GB533*0.035</f>
        <v>-2.834535255607125</v>
      </c>
      <c r="GC543" s="2999">
        <f t="shared" si="43"/>
        <v>-4.9259255233379315</v>
      </c>
      <c r="GD543" s="2999">
        <f t="shared" si="43"/>
        <v>-5.2353583127795265</v>
      </c>
      <c r="GE543" s="2999">
        <f t="shared" si="43"/>
        <v>-5.4703242589017496</v>
      </c>
      <c r="GF543" s="2999">
        <f t="shared" si="43"/>
        <v>-4.3379596690759801</v>
      </c>
      <c r="GG543" s="2999">
        <f t="shared" si="43"/>
        <v>-3.2068634062500001</v>
      </c>
      <c r="GH543" s="2575"/>
      <c r="GI543" s="3038"/>
    </row>
    <row r="544" spans="183:191" s="2997" customFormat="1" ht="12.75" customHeight="1" x14ac:dyDescent="0.2">
      <c r="GA544" s="2998" t="s">
        <v>2325</v>
      </c>
      <c r="GB544" s="3031">
        <v>-2.7</v>
      </c>
      <c r="GC544" s="3031">
        <v>-2.7</v>
      </c>
      <c r="GD544" s="3031">
        <v>-2.7</v>
      </c>
      <c r="GE544" s="3031">
        <v>-2.7</v>
      </c>
      <c r="GF544" s="3031">
        <v>-2.7</v>
      </c>
      <c r="GG544" s="3031">
        <f>-PENN!CA585*0.015</f>
        <v>0</v>
      </c>
      <c r="GH544" s="2996"/>
      <c r="GI544" s="3037"/>
    </row>
    <row r="545" spans="183:191" s="2997" customFormat="1" ht="12.75" customHeight="1" x14ac:dyDescent="0.2">
      <c r="GA545" s="2998" t="s">
        <v>2327</v>
      </c>
      <c r="GB545" s="3031">
        <v>-1</v>
      </c>
      <c r="GC545" s="3031">
        <v>-1</v>
      </c>
      <c r="GD545" s="3031">
        <v>-1</v>
      </c>
      <c r="GE545" s="3031">
        <v>-1</v>
      </c>
      <c r="GF545" s="3031">
        <v>-1</v>
      </c>
      <c r="GG545" s="3031">
        <v>-1</v>
      </c>
      <c r="GH545" s="2996"/>
      <c r="GI545" s="3565" t="s">
        <v>2419</v>
      </c>
    </row>
    <row r="546" spans="183:191" s="2997" customFormat="1" ht="12.75" customHeight="1" x14ac:dyDescent="0.2">
      <c r="GA546" s="2998" t="s">
        <v>2326</v>
      </c>
      <c r="GB546" s="3031">
        <v>-1.5</v>
      </c>
      <c r="GC546" s="3031">
        <f>+GB546*1.02</f>
        <v>-1.53</v>
      </c>
      <c r="GD546" s="3031">
        <f>+GC546*1.02</f>
        <v>-1.5606</v>
      </c>
      <c r="GE546" s="3031">
        <f>+GD546*1.02</f>
        <v>-1.591812</v>
      </c>
      <c r="GF546" s="3031">
        <f>+GE546*1.02</f>
        <v>-1.6236482400000001</v>
      </c>
      <c r="GG546" s="3031">
        <f>+GF546*1.02</f>
        <v>-1.6561212048</v>
      </c>
      <c r="GH546" s="2996"/>
      <c r="GI546" s="3566"/>
    </row>
    <row r="547" spans="183:191" ht="12.75" customHeight="1" x14ac:dyDescent="0.2">
      <c r="GA547" s="2998" t="s">
        <v>1347</v>
      </c>
      <c r="GB547" s="2999">
        <f t="shared" ref="GB547:GG547" si="44">+-GB539</f>
        <v>4.166666666666667</v>
      </c>
      <c r="GC547" s="2999">
        <f t="shared" si="44"/>
        <v>8.3333333333333339</v>
      </c>
      <c r="GD547" s="2999">
        <f t="shared" si="44"/>
        <v>8.3333333333333339</v>
      </c>
      <c r="GE547" s="2999">
        <f t="shared" si="44"/>
        <v>8.3333333333333339</v>
      </c>
      <c r="GF547" s="2999">
        <f t="shared" si="44"/>
        <v>8.3333333333333339</v>
      </c>
      <c r="GG547" s="2999">
        <f t="shared" si="44"/>
        <v>8.3333333333333339</v>
      </c>
      <c r="GH547" s="2575"/>
      <c r="GI547" s="3566"/>
    </row>
    <row r="548" spans="183:191" s="2997" customFormat="1" ht="12.75" customHeight="1" x14ac:dyDescent="0.25">
      <c r="GA548" s="2998" t="s">
        <v>2565</v>
      </c>
      <c r="GB548" s="2999"/>
      <c r="GC548" s="2999"/>
      <c r="GD548" s="2999"/>
      <c r="GE548" s="3522">
        <v>-12.5</v>
      </c>
      <c r="GF548" s="3522">
        <v>-25</v>
      </c>
      <c r="GG548" s="3522">
        <v>-25</v>
      </c>
      <c r="GH548" s="2996"/>
      <c r="GI548" s="3510"/>
    </row>
    <row r="549" spans="183:191" ht="3.95" customHeight="1" x14ac:dyDescent="0.2">
      <c r="GA549" s="2612"/>
      <c r="GB549" s="2707" t="s">
        <v>229</v>
      </c>
      <c r="GC549" s="2707" t="s">
        <v>229</v>
      </c>
      <c r="GD549" s="2707" t="s">
        <v>229</v>
      </c>
      <c r="GE549" s="2707" t="s">
        <v>229</v>
      </c>
      <c r="GF549" s="2707" t="s">
        <v>229</v>
      </c>
      <c r="GG549" s="2707" t="s">
        <v>229</v>
      </c>
      <c r="GH549" s="2575"/>
      <c r="GI549" s="2757"/>
    </row>
    <row r="550" spans="183:191" x14ac:dyDescent="0.2">
      <c r="GA550" s="864" t="s">
        <v>275</v>
      </c>
      <c r="GB550" s="512">
        <f>SUM(GB541:GB547)</f>
        <v>2.3558208242882945</v>
      </c>
      <c r="GC550" s="512">
        <f>SUM(GC541:GC547)</f>
        <v>15.99053337656343</v>
      </c>
      <c r="GD550" s="512">
        <f>SUM(GD541:GD547)</f>
        <v>18.225843091527935</v>
      </c>
      <c r="GE550" s="512">
        <f>SUM(GE541:GE548)</f>
        <v>7.1323412043015821</v>
      </c>
      <c r="GF550" s="512">
        <f>SUM(GF541:GF548)</f>
        <v>-9.6753314243845558</v>
      </c>
      <c r="GG550" s="512">
        <f>SUM(GG541:GG548)</f>
        <v>-11.544308329018751</v>
      </c>
      <c r="GH550" s="2575"/>
      <c r="GI550" s="2594">
        <f>+GG538*GB553</f>
        <v>171.2235997265625</v>
      </c>
    </row>
    <row r="551" spans="183:191" x14ac:dyDescent="0.2">
      <c r="GA551" s="2612"/>
      <c r="GB551" s="2575"/>
      <c r="GC551" s="2575"/>
      <c r="GD551" s="2575"/>
      <c r="GE551" s="2575"/>
      <c r="GF551" s="2575"/>
      <c r="GG551" s="2575"/>
      <c r="GH551" s="2575"/>
      <c r="GI551" s="2626"/>
    </row>
    <row r="552" spans="183:191" x14ac:dyDescent="0.2">
      <c r="GA552" s="2612" t="s">
        <v>276</v>
      </c>
      <c r="GB552" s="2610">
        <f>+GB496+0.025</f>
        <v>0.15</v>
      </c>
      <c r="GI552" s="2626"/>
    </row>
    <row r="553" spans="183:191" x14ac:dyDescent="0.2">
      <c r="GA553" s="2612" t="s">
        <v>277</v>
      </c>
      <c r="GB553" s="3000">
        <f>+GB497-1</f>
        <v>6.5</v>
      </c>
      <c r="GI553" s="2626"/>
    </row>
    <row r="554" spans="183:191" x14ac:dyDescent="0.2">
      <c r="GA554" s="2612"/>
      <c r="GB554" s="2756"/>
      <c r="GI554" s="2626"/>
    </row>
    <row r="555" spans="183:191" x14ac:dyDescent="0.2">
      <c r="GA555" s="2612" t="s">
        <v>278</v>
      </c>
      <c r="GB555" s="2758">
        <f>NPV(GB552,GD550,GE550,GF550,GG550,GI550)</f>
        <v>93.407840941795072</v>
      </c>
      <c r="GC555" s="2575"/>
      <c r="GD555" s="2575"/>
      <c r="GE555" s="2575"/>
      <c r="GF555" s="2575"/>
      <c r="GG555" s="2575"/>
      <c r="GH555" s="2575"/>
      <c r="GI555" s="2626"/>
    </row>
    <row r="556" spans="183:191" x14ac:dyDescent="0.2">
      <c r="GA556" s="2612" t="s">
        <v>1536</v>
      </c>
      <c r="GB556" s="2575">
        <f>+'EBITDA Val'!H47</f>
        <v>119.75999999999999</v>
      </c>
      <c r="GC556" s="2575"/>
      <c r="GD556" s="2575"/>
      <c r="GE556" s="2575"/>
      <c r="GF556" s="2575"/>
      <c r="GG556" s="2575"/>
      <c r="GH556" s="2575"/>
      <c r="GI556" s="2626"/>
    </row>
    <row r="557" spans="183:191" x14ac:dyDescent="0.2">
      <c r="GA557" s="432" t="s">
        <v>279</v>
      </c>
      <c r="GB557" s="714">
        <f>+GB555/GB556</f>
        <v>0.77995859169835569</v>
      </c>
      <c r="GC557" s="2617"/>
      <c r="GD557" s="2617"/>
      <c r="GE557" s="2617"/>
      <c r="GF557" s="2617"/>
      <c r="GG557" s="2617"/>
      <c r="GH557" s="2617"/>
      <c r="GI557" s="2759"/>
    </row>
    <row r="563" spans="193:196" x14ac:dyDescent="0.2">
      <c r="GK563" s="1269" t="s">
        <v>294</v>
      </c>
      <c r="GL563" s="2623"/>
      <c r="GM563" s="2623"/>
      <c r="GN563" s="2624"/>
    </row>
    <row r="564" spans="193:196" ht="3.95" customHeight="1" x14ac:dyDescent="0.2">
      <c r="GK564" s="2612"/>
      <c r="GL564" s="2575"/>
      <c r="GM564" s="2575"/>
      <c r="GN564" s="2626"/>
    </row>
    <row r="565" spans="193:196" x14ac:dyDescent="0.2">
      <c r="GK565" s="2804" t="s">
        <v>1196</v>
      </c>
      <c r="GL565" s="747" t="s">
        <v>2274</v>
      </c>
      <c r="GM565" s="747" t="s">
        <v>2272</v>
      </c>
      <c r="GN565" s="2700" t="s">
        <v>2273</v>
      </c>
    </row>
    <row r="566" spans="193:196" x14ac:dyDescent="0.2">
      <c r="GK566" s="2612" t="s">
        <v>585</v>
      </c>
      <c r="GL566" s="290">
        <v>4000</v>
      </c>
      <c r="GM566" s="2575">
        <f>+GL566</f>
        <v>4000</v>
      </c>
      <c r="GN566" s="2626">
        <f>+GM566</f>
        <v>4000</v>
      </c>
    </row>
    <row r="567" spans="193:196" x14ac:dyDescent="0.2">
      <c r="GK567" s="2694" t="s">
        <v>1590</v>
      </c>
      <c r="GL567" s="1424">
        <f>+GM567-50</f>
        <v>225</v>
      </c>
      <c r="GM567" s="1424">
        <v>275</v>
      </c>
      <c r="GN567" s="2542">
        <f>+GM567+50</f>
        <v>325</v>
      </c>
    </row>
    <row r="568" spans="193:196" ht="3.95" customHeight="1" x14ac:dyDescent="0.2">
      <c r="GK568" s="2612"/>
      <c r="GL568" s="2707" t="s">
        <v>229</v>
      </c>
      <c r="GM568" s="2707" t="s">
        <v>229</v>
      </c>
      <c r="GN568" s="2708" t="s">
        <v>229</v>
      </c>
    </row>
    <row r="569" spans="193:196" x14ac:dyDescent="0.2">
      <c r="GK569" s="864" t="s">
        <v>2214</v>
      </c>
      <c r="GL569" s="557">
        <f>+GL566*GL567*365/1000000</f>
        <v>328.5</v>
      </c>
      <c r="GM569" s="557">
        <f>+GM566*GM567*365/1000000</f>
        <v>401.5</v>
      </c>
      <c r="GN569" s="2709">
        <f>+GN566*GN567*365/1000000</f>
        <v>474.5</v>
      </c>
    </row>
    <row r="570" spans="193:196" x14ac:dyDescent="0.2">
      <c r="GK570" s="2612"/>
      <c r="GL570" s="2575"/>
      <c r="GM570" s="2575"/>
      <c r="GN570" s="2626"/>
    </row>
    <row r="571" spans="193:196" x14ac:dyDescent="0.2">
      <c r="GK571" s="2612" t="s">
        <v>584</v>
      </c>
      <c r="GL571" s="290">
        <v>200</v>
      </c>
      <c r="GM571" s="2575">
        <f>+GL571</f>
        <v>200</v>
      </c>
      <c r="GN571" s="2626">
        <f>+GM571</f>
        <v>200</v>
      </c>
    </row>
    <row r="572" spans="193:196" x14ac:dyDescent="0.2">
      <c r="GK572" s="2694" t="s">
        <v>1590</v>
      </c>
      <c r="GL572" s="1424">
        <f>+GM572-500</f>
        <v>2500</v>
      </c>
      <c r="GM572" s="1424">
        <v>3000</v>
      </c>
      <c r="GN572" s="2542">
        <f>+GM572+500</f>
        <v>3500</v>
      </c>
    </row>
    <row r="573" spans="193:196" ht="3.95" customHeight="1" x14ac:dyDescent="0.2">
      <c r="GK573" s="2612"/>
      <c r="GL573" s="2707" t="s">
        <v>229</v>
      </c>
      <c r="GM573" s="2707" t="s">
        <v>229</v>
      </c>
      <c r="GN573" s="2708" t="s">
        <v>229</v>
      </c>
    </row>
    <row r="574" spans="193:196" x14ac:dyDescent="0.2">
      <c r="GK574" s="864" t="s">
        <v>2215</v>
      </c>
      <c r="GL574" s="557">
        <f>+GL571*GL572*365/1000000</f>
        <v>182.5</v>
      </c>
      <c r="GM574" s="557">
        <f>+GM571*GM572*365/1000000</f>
        <v>219</v>
      </c>
      <c r="GN574" s="2709">
        <f>+GN571*GN572*365/1000000</f>
        <v>255.5</v>
      </c>
    </row>
    <row r="575" spans="193:196" x14ac:dyDescent="0.2">
      <c r="GK575" s="2612"/>
      <c r="GL575" s="2575"/>
      <c r="GM575" s="2575"/>
      <c r="GN575" s="2626"/>
    </row>
    <row r="576" spans="193:196" x14ac:dyDescent="0.2">
      <c r="GK576" s="864" t="s">
        <v>1280</v>
      </c>
      <c r="GL576" s="557">
        <f>+GL569+GL574</f>
        <v>511</v>
      </c>
      <c r="GM576" s="557">
        <f>+GM569+GM574</f>
        <v>620.5</v>
      </c>
      <c r="GN576" s="2709">
        <f>+GN569+GN574</f>
        <v>730</v>
      </c>
    </row>
    <row r="577" spans="193:196" x14ac:dyDescent="0.2">
      <c r="GK577" s="2612" t="s">
        <v>1592</v>
      </c>
      <c r="GL577" s="2575">
        <f>-0.08*GL576</f>
        <v>-40.880000000000003</v>
      </c>
      <c r="GM577" s="2575">
        <f>-0.08*GM576</f>
        <v>-49.64</v>
      </c>
      <c r="GN577" s="2626">
        <f>-0.08*GN576</f>
        <v>-58.4</v>
      </c>
    </row>
    <row r="578" spans="193:196" ht="3.95" customHeight="1" x14ac:dyDescent="0.2">
      <c r="GK578" s="2612"/>
      <c r="GL578" s="2707" t="s">
        <v>229</v>
      </c>
      <c r="GM578" s="2707" t="s">
        <v>229</v>
      </c>
      <c r="GN578" s="2708" t="s">
        <v>229</v>
      </c>
    </row>
    <row r="579" spans="193:196" x14ac:dyDescent="0.2">
      <c r="GK579" s="864" t="s">
        <v>1593</v>
      </c>
      <c r="GL579" s="557">
        <f>+GL576+GL577</f>
        <v>470.12</v>
      </c>
      <c r="GM579" s="557">
        <f>+GM576+GM577</f>
        <v>570.86</v>
      </c>
      <c r="GN579" s="2709">
        <f>+GN576+GN577</f>
        <v>671.6</v>
      </c>
    </row>
    <row r="580" spans="193:196" ht="3.95" customHeight="1" x14ac:dyDescent="0.2">
      <c r="GK580" s="2612"/>
      <c r="GL580" s="2639"/>
      <c r="GM580" s="2639"/>
      <c r="GN580" s="2626"/>
    </row>
    <row r="581" spans="193:196" x14ac:dyDescent="0.2">
      <c r="GK581" s="2612" t="s">
        <v>1597</v>
      </c>
      <c r="GL581" s="2575">
        <f>+GL579*0.075</f>
        <v>35.259</v>
      </c>
      <c r="GM581" s="2575">
        <f>+GM579*0.075</f>
        <v>42.814500000000002</v>
      </c>
      <c r="GN581" s="2626">
        <f>+GN579*0.075</f>
        <v>50.37</v>
      </c>
    </row>
    <row r="582" spans="193:196" ht="3.95" customHeight="1" x14ac:dyDescent="0.2">
      <c r="GK582" s="2612"/>
      <c r="GL582" s="2707" t="s">
        <v>229</v>
      </c>
      <c r="GM582" s="2707" t="s">
        <v>229</v>
      </c>
      <c r="GN582" s="2708" t="s">
        <v>229</v>
      </c>
    </row>
    <row r="583" spans="193:196" x14ac:dyDescent="0.2">
      <c r="GK583" s="864" t="s">
        <v>1418</v>
      </c>
      <c r="GL583" s="557">
        <f>+GL579+GL581</f>
        <v>505.37900000000002</v>
      </c>
      <c r="GM583" s="557">
        <f>+GM579+GM581</f>
        <v>613.67449999999997</v>
      </c>
      <c r="GN583" s="2709">
        <f>+GN579+GN581</f>
        <v>721.97</v>
      </c>
    </row>
    <row r="584" spans="193:196" x14ac:dyDescent="0.2">
      <c r="GK584" s="2612"/>
      <c r="GL584" s="2575"/>
      <c r="GM584" s="2575"/>
      <c r="GN584" s="2626"/>
    </row>
    <row r="585" spans="193:196" x14ac:dyDescent="0.2">
      <c r="GK585" s="2612" t="s">
        <v>2270</v>
      </c>
      <c r="GL585" s="2575">
        <f>+-GL569*0.39+GL574*0.1</f>
        <v>-109.86500000000001</v>
      </c>
      <c r="GM585" s="2575">
        <f>+-GM569*0.39+GM574*0.1</f>
        <v>-134.685</v>
      </c>
      <c r="GN585" s="2626">
        <f>+-GN569*0.39+GN574*0.1</f>
        <v>-159.505</v>
      </c>
    </row>
    <row r="586" spans="193:196" x14ac:dyDescent="0.2">
      <c r="GK586" s="2612" t="s">
        <v>1598</v>
      </c>
      <c r="GL586" s="2575">
        <f>+GL588-GL585-GL583</f>
        <v>-266.64235500000001</v>
      </c>
      <c r="GM586" s="2575">
        <f>+GM588-GM585-GM583</f>
        <v>-313.29738499999996</v>
      </c>
      <c r="GN586" s="2626">
        <f>+GN588-GN585-GN583</f>
        <v>-356.70355000000001</v>
      </c>
    </row>
    <row r="587" spans="193:196" ht="3.95" customHeight="1" x14ac:dyDescent="0.2">
      <c r="GK587" s="2612"/>
      <c r="GL587" s="2707" t="s">
        <v>229</v>
      </c>
      <c r="GM587" s="2707" t="s">
        <v>229</v>
      </c>
      <c r="GN587" s="2708" t="s">
        <v>229</v>
      </c>
    </row>
    <row r="588" spans="193:196" x14ac:dyDescent="0.2">
      <c r="GK588" s="864" t="s">
        <v>1624</v>
      </c>
      <c r="GL588" s="557">
        <f>+GL583*GL589</f>
        <v>128.871645</v>
      </c>
      <c r="GM588" s="557">
        <f>+GM583*GM589</f>
        <v>165.692115</v>
      </c>
      <c r="GN588" s="2709">
        <f>+GN583*GN589</f>
        <v>205.76145000000002</v>
      </c>
    </row>
    <row r="589" spans="193:196" x14ac:dyDescent="0.2">
      <c r="GK589" s="2612" t="s">
        <v>1892</v>
      </c>
      <c r="GL589" s="2639">
        <f>+GM589-0.015</f>
        <v>0.255</v>
      </c>
      <c r="GM589" s="2185">
        <v>0.27</v>
      </c>
      <c r="GN589" s="2636">
        <f>+GM589+0.015</f>
        <v>0.28500000000000003</v>
      </c>
    </row>
    <row r="590" spans="193:196" x14ac:dyDescent="0.2">
      <c r="GK590" s="864"/>
      <c r="GL590" s="333"/>
      <c r="GM590" s="333"/>
      <c r="GN590" s="1409"/>
    </row>
    <row r="591" spans="193:196" x14ac:dyDescent="0.2">
      <c r="GK591" s="864" t="s">
        <v>199</v>
      </c>
      <c r="GL591" s="2645">
        <v>0.5</v>
      </c>
      <c r="GM591" s="2639">
        <f>+GL591</f>
        <v>0.5</v>
      </c>
      <c r="GN591" s="2636">
        <f>+GM591</f>
        <v>0.5</v>
      </c>
    </row>
    <row r="592" spans="193:196" x14ac:dyDescent="0.2">
      <c r="GK592" s="864"/>
      <c r="GL592" s="333"/>
      <c r="GM592" s="333"/>
      <c r="GN592" s="1409"/>
    </row>
    <row r="593" spans="193:201" x14ac:dyDescent="0.2">
      <c r="GK593" s="864" t="s">
        <v>281</v>
      </c>
      <c r="GL593" s="557">
        <f>+GL588*GL591</f>
        <v>64.4358225</v>
      </c>
      <c r="GM593" s="557">
        <f>+GM588*GM591</f>
        <v>82.846057500000001</v>
      </c>
      <c r="GN593" s="2709">
        <f>+GN588*GN591</f>
        <v>102.88072500000001</v>
      </c>
    </row>
    <row r="594" spans="193:201" x14ac:dyDescent="0.2">
      <c r="GK594" s="864"/>
      <c r="GL594" s="333"/>
      <c r="GM594" s="333"/>
      <c r="GN594" s="1409"/>
    </row>
    <row r="595" spans="193:201" x14ac:dyDescent="0.2">
      <c r="GK595" s="2612" t="s">
        <v>1464</v>
      </c>
      <c r="GL595" s="2805">
        <f>+GM595-0.5</f>
        <v>7.5</v>
      </c>
      <c r="GM595" s="2806">
        <v>8</v>
      </c>
      <c r="GN595" s="2807">
        <f>+GM595+0.5</f>
        <v>8.5</v>
      </c>
    </row>
    <row r="596" spans="193:201" x14ac:dyDescent="0.2">
      <c r="GK596" s="2612" t="s">
        <v>1403</v>
      </c>
      <c r="GL596" s="2575">
        <f>+GL593*GL595</f>
        <v>483.26866875000002</v>
      </c>
      <c r="GM596" s="2575">
        <f>+GM593*GM595</f>
        <v>662.76846</v>
      </c>
      <c r="GN596" s="2626">
        <f>+GN593*GN595</f>
        <v>874.48616250000009</v>
      </c>
    </row>
    <row r="597" spans="193:201" x14ac:dyDescent="0.2">
      <c r="GK597" s="2612" t="s">
        <v>1605</v>
      </c>
      <c r="GL597" s="2575">
        <f>+GM597</f>
        <v>-375</v>
      </c>
      <c r="GM597" s="290">
        <v>-375</v>
      </c>
      <c r="GN597" s="2626">
        <f>+GM597</f>
        <v>-375</v>
      </c>
    </row>
    <row r="598" spans="193:201" x14ac:dyDescent="0.2">
      <c r="GK598" s="2808" t="s">
        <v>1602</v>
      </c>
      <c r="GL598" s="2575">
        <f>+GL596+GL597</f>
        <v>108.26866875000002</v>
      </c>
      <c r="GM598" s="2575">
        <f>+GM596+GM597</f>
        <v>287.76846</v>
      </c>
      <c r="GN598" s="2626">
        <f>+GN596+GN597</f>
        <v>499.48616250000009</v>
      </c>
    </row>
    <row r="599" spans="193:201" x14ac:dyDescent="0.2">
      <c r="GK599" s="2612" t="s">
        <v>1578</v>
      </c>
      <c r="GL599" s="2575">
        <f>+GL598/$GL$602</f>
        <v>81.866668241965996</v>
      </c>
      <c r="GM599" s="2575">
        <f>+GM598/$GL$602</f>
        <v>217.59429867674862</v>
      </c>
      <c r="GN599" s="2626">
        <f>+GN598/$GL$602</f>
        <v>377.68329867674873</v>
      </c>
    </row>
    <row r="600" spans="193:201" x14ac:dyDescent="0.2">
      <c r="GK600" s="2809" t="s">
        <v>293</v>
      </c>
      <c r="GL600" s="1816">
        <f>+GL599/'EBITDA Val'!$G$47</f>
        <v>0.88607002956897163</v>
      </c>
      <c r="GM600" s="1816">
        <f>+GM599/'EBITDA Val'!$G$47</f>
        <v>2.355095068638843</v>
      </c>
      <c r="GN600" s="1721">
        <f>+GN599/'EBITDA Val'!$G$47</f>
        <v>4.0877912685674103</v>
      </c>
    </row>
    <row r="602" spans="193:201" x14ac:dyDescent="0.2">
      <c r="GK602" s="10" t="s">
        <v>1604</v>
      </c>
      <c r="GL602" s="2552">
        <f>1.15^2</f>
        <v>1.3224999999999998</v>
      </c>
    </row>
    <row r="605" spans="193:201" x14ac:dyDescent="0.2">
      <c r="GQ605" s="10" t="s">
        <v>282</v>
      </c>
    </row>
    <row r="607" spans="193:201" x14ac:dyDescent="0.2">
      <c r="GQ607" s="1454" t="s">
        <v>262</v>
      </c>
      <c r="GR607" s="2778">
        <v>528.85576641367254</v>
      </c>
    </row>
    <row r="608" spans="193:201" x14ac:dyDescent="0.2">
      <c r="GR608" s="2779">
        <f>+PENN!BE218</f>
        <v>425.4093031741819</v>
      </c>
      <c r="GS608" s="2610">
        <f>+GR608/GR607-1</f>
        <v>-0.19560430236204418</v>
      </c>
    </row>
    <row r="609" spans="199:210" x14ac:dyDescent="0.2">
      <c r="GR609" s="2634"/>
    </row>
    <row r="610" spans="199:210" x14ac:dyDescent="0.2">
      <c r="GQ610" s="1454" t="s">
        <v>283</v>
      </c>
      <c r="GR610" s="2778">
        <v>277.79601347599998</v>
      </c>
    </row>
    <row r="611" spans="199:210" x14ac:dyDescent="0.2">
      <c r="GR611" s="2779">
        <f>+PENN!BE243</f>
        <v>196.95210281999999</v>
      </c>
      <c r="GS611" s="2610">
        <f>+GR611/GR610-1</f>
        <v>-0.29101897339856697</v>
      </c>
    </row>
    <row r="612" spans="199:210" x14ac:dyDescent="0.2">
      <c r="GR612" s="2634"/>
    </row>
    <row r="613" spans="199:210" x14ac:dyDescent="0.2">
      <c r="GQ613" s="1454" t="s">
        <v>284</v>
      </c>
      <c r="GR613" s="2778">
        <v>264.86412893824001</v>
      </c>
    </row>
    <row r="614" spans="199:210" x14ac:dyDescent="0.2">
      <c r="GR614" s="2779">
        <f>+PENN!BE246</f>
        <v>213.98315020950002</v>
      </c>
      <c r="GS614" s="2610">
        <f>+GR614/GR613-1</f>
        <v>-0.1921021881396564</v>
      </c>
    </row>
    <row r="615" spans="199:210" x14ac:dyDescent="0.2">
      <c r="GR615" s="2634"/>
    </row>
    <row r="616" spans="199:210" x14ac:dyDescent="0.2">
      <c r="GQ616" s="1454" t="s">
        <v>217</v>
      </c>
      <c r="GR616" s="2778">
        <v>253.93128736438675</v>
      </c>
    </row>
    <row r="617" spans="199:210" x14ac:dyDescent="0.2">
      <c r="GR617" s="2779">
        <f>+PENN!BE221</f>
        <v>218.54453265749999</v>
      </c>
      <c r="GS617" s="2610">
        <f>+GR617/GR616-1</f>
        <v>-0.1393556307069298</v>
      </c>
    </row>
    <row r="618" spans="199:210" x14ac:dyDescent="0.2">
      <c r="GR618" s="2634"/>
    </row>
    <row r="619" spans="199:210" x14ac:dyDescent="0.2">
      <c r="GQ619" s="1454" t="s">
        <v>216</v>
      </c>
      <c r="GR619" s="2778">
        <v>205.1494884</v>
      </c>
    </row>
    <row r="620" spans="199:210" x14ac:dyDescent="0.2">
      <c r="GR620" s="2779">
        <f>+PENN!BE222</f>
        <v>192.41708449950002</v>
      </c>
      <c r="GS620" s="2610">
        <f>+GR620/GR619-1</f>
        <v>-6.2064029502595486E-2</v>
      </c>
    </row>
    <row r="622" spans="199:210" x14ac:dyDescent="0.2">
      <c r="GQ622" s="10" t="s">
        <v>285</v>
      </c>
      <c r="GS622" s="358">
        <f>AVERAGE(GS620,GS614,GS617,GS611,GS608)</f>
        <v>-0.17602902482195856</v>
      </c>
    </row>
    <row r="624" spans="199:210" x14ac:dyDescent="0.2">
      <c r="GU624" s="282" t="s">
        <v>2331</v>
      </c>
      <c r="GV624" s="2623"/>
      <c r="GW624" s="2623"/>
      <c r="GX624" s="2623"/>
      <c r="GY624" s="2623"/>
      <c r="GZ624" s="2623"/>
      <c r="HA624" s="917" t="s">
        <v>2333</v>
      </c>
      <c r="HB624" s="3044" t="s">
        <v>2332</v>
      </c>
    </row>
    <row r="625" spans="203:210" x14ac:dyDescent="0.2">
      <c r="GU625" s="2625"/>
      <c r="GV625" s="747" t="s">
        <v>729</v>
      </c>
      <c r="GW625" s="747" t="s">
        <v>1457</v>
      </c>
      <c r="GX625" s="747" t="s">
        <v>991</v>
      </c>
      <c r="GY625" s="747" t="s">
        <v>995</v>
      </c>
      <c r="GZ625" s="747" t="s">
        <v>1583</v>
      </c>
      <c r="HA625" s="747" t="s">
        <v>2334</v>
      </c>
      <c r="HB625" s="2700" t="s">
        <v>2335</v>
      </c>
    </row>
    <row r="626" spans="203:210" ht="3.95" customHeight="1" x14ac:dyDescent="0.2">
      <c r="GU626" s="2612"/>
      <c r="GV626" s="445"/>
      <c r="GW626" s="445"/>
      <c r="GX626" s="445"/>
      <c r="GY626" s="445"/>
      <c r="GZ626" s="445"/>
      <c r="HA626" s="445"/>
      <c r="HB626" s="2714"/>
    </row>
    <row r="627" spans="203:210" x14ac:dyDescent="0.2">
      <c r="GU627" s="2612" t="s">
        <v>2352</v>
      </c>
      <c r="GV627" s="2575"/>
      <c r="GW627" s="2575"/>
      <c r="GX627" s="2575"/>
      <c r="GY627" s="2575"/>
      <c r="GZ627" s="2575"/>
      <c r="HA627" s="333"/>
      <c r="HB627" s="3041">
        <v>2235.7890000000002</v>
      </c>
    </row>
    <row r="628" spans="203:210" x14ac:dyDescent="0.2">
      <c r="GU628" s="2612" t="s">
        <v>2353</v>
      </c>
      <c r="GV628" s="2649"/>
      <c r="GW628" s="2649"/>
      <c r="GX628" s="2649"/>
      <c r="GY628" s="2649"/>
      <c r="GZ628" s="2649"/>
      <c r="HA628" s="567"/>
      <c r="HB628" s="2650">
        <f>+HB627/365</f>
        <v>6.1254493150684937</v>
      </c>
    </row>
    <row r="629" spans="203:210" x14ac:dyDescent="0.2">
      <c r="GU629" s="2612" t="s">
        <v>894</v>
      </c>
      <c r="GV629" s="2575"/>
      <c r="GW629" s="2575"/>
      <c r="GX629" s="2575"/>
      <c r="GY629" s="2575"/>
      <c r="GZ629" s="2575"/>
      <c r="HA629" s="3042"/>
      <c r="HB629" s="3041">
        <v>1250</v>
      </c>
    </row>
    <row r="630" spans="203:210" x14ac:dyDescent="0.2">
      <c r="GU630" s="2612"/>
      <c r="GV630" s="2575"/>
      <c r="GW630" s="2575"/>
      <c r="GX630" s="2575"/>
      <c r="GY630" s="2575"/>
      <c r="GZ630" s="2575"/>
      <c r="HA630" s="2575"/>
      <c r="HB630" s="2626"/>
    </row>
    <row r="631" spans="203:210" x14ac:dyDescent="0.2">
      <c r="GU631" s="2612" t="s">
        <v>2338</v>
      </c>
      <c r="GV631" s="3043">
        <v>1.35</v>
      </c>
      <c r="GW631" s="2827">
        <f t="shared" ref="GW631:HA632" si="45">+GV631</f>
        <v>1.35</v>
      </c>
      <c r="GX631" s="2827">
        <f t="shared" si="45"/>
        <v>1.35</v>
      </c>
      <c r="GY631" s="2827">
        <f t="shared" si="45"/>
        <v>1.35</v>
      </c>
      <c r="GZ631" s="2827">
        <f t="shared" si="45"/>
        <v>1.35</v>
      </c>
      <c r="HA631" s="2827">
        <f t="shared" si="45"/>
        <v>1.35</v>
      </c>
      <c r="HB631" s="2828">
        <f>+GZ631</f>
        <v>1.35</v>
      </c>
    </row>
    <row r="632" spans="203:210" x14ac:dyDescent="0.2">
      <c r="GU632" s="2612" t="s">
        <v>2339</v>
      </c>
      <c r="GV632" s="3043">
        <v>1.57</v>
      </c>
      <c r="GW632" s="2827">
        <f t="shared" si="45"/>
        <v>1.57</v>
      </c>
      <c r="GX632" s="2827">
        <f t="shared" si="45"/>
        <v>1.57</v>
      </c>
      <c r="GY632" s="2827">
        <f t="shared" si="45"/>
        <v>1.57</v>
      </c>
      <c r="GZ632" s="2827">
        <f t="shared" si="45"/>
        <v>1.57</v>
      </c>
      <c r="HA632" s="2827">
        <f t="shared" si="45"/>
        <v>1.57</v>
      </c>
      <c r="HB632" s="2828">
        <f>+GZ632</f>
        <v>1.57</v>
      </c>
    </row>
    <row r="633" spans="203:210" x14ac:dyDescent="0.2">
      <c r="GU633" s="2612"/>
      <c r="GV633" s="2575"/>
      <c r="GW633" s="2575"/>
      <c r="GX633" s="2575"/>
      <c r="GY633" s="2575"/>
      <c r="GZ633" s="2575"/>
      <c r="HA633" s="2575"/>
      <c r="HB633" s="2626"/>
    </row>
    <row r="634" spans="203:210" x14ac:dyDescent="0.2">
      <c r="GU634" s="2612" t="s">
        <v>2328</v>
      </c>
      <c r="GV634" s="2649"/>
      <c r="GW634" s="2649"/>
      <c r="GX634" s="2649"/>
      <c r="GY634" s="2649"/>
      <c r="GZ634" s="2649"/>
      <c r="HA634" s="2649"/>
      <c r="HB634" s="2650">
        <f t="shared" ref="GV634:HB634" si="46">+HB628*HB631</f>
        <v>8.2693565753424672</v>
      </c>
    </row>
    <row r="635" spans="203:210" x14ac:dyDescent="0.2">
      <c r="GU635" s="2612" t="s">
        <v>2329</v>
      </c>
      <c r="GV635" s="2649"/>
      <c r="GW635" s="2649"/>
      <c r="GX635" s="2649"/>
      <c r="GY635" s="2649"/>
      <c r="GZ635" s="2649"/>
      <c r="HA635" s="2649"/>
      <c r="HB635" s="2650">
        <f t="shared" ref="GV635:HB635" si="47">+HB628*HB632</f>
        <v>9.6169554246575348</v>
      </c>
    </row>
    <row r="636" spans="203:210" x14ac:dyDescent="0.2">
      <c r="GU636" s="2612"/>
      <c r="GV636" s="2575"/>
      <c r="GW636" s="2575"/>
      <c r="GX636" s="2575"/>
      <c r="GY636" s="2575"/>
      <c r="GZ636" s="2575"/>
      <c r="HA636" s="2575"/>
      <c r="HB636" s="2626"/>
    </row>
    <row r="637" spans="203:210" x14ac:dyDescent="0.2">
      <c r="GU637" s="2612" t="s">
        <v>2330</v>
      </c>
      <c r="GV637" s="2649"/>
      <c r="GW637" s="2649"/>
      <c r="GX637" s="2649"/>
      <c r="GY637" s="2649"/>
      <c r="GZ637" s="2649"/>
      <c r="HA637" s="2649"/>
      <c r="HB637" s="2650">
        <f t="shared" ref="GV637:HB637" si="48">AVERAGE(HB634:HB635)</f>
        <v>8.9431560000000019</v>
      </c>
    </row>
    <row r="638" spans="203:210" x14ac:dyDescent="0.2">
      <c r="GU638" s="2625" t="s">
        <v>2336</v>
      </c>
      <c r="GV638" s="3045"/>
      <c r="GW638" s="3045"/>
      <c r="GX638" s="3045"/>
      <c r="GY638" s="3045"/>
      <c r="GZ638" s="3045"/>
      <c r="HA638" s="3046"/>
      <c r="HB638" s="3047">
        <f t="shared" ref="GV638:HB638" si="49">+(HB637*1000)/HB629</f>
        <v>7.1545248000000026</v>
      </c>
    </row>
    <row r="639" spans="203:210" x14ac:dyDescent="0.2">
      <c r="HB639" s="3040"/>
    </row>
    <row r="640" spans="203:210" x14ac:dyDescent="0.2">
      <c r="HB640" s="3040"/>
    </row>
    <row r="641" spans="203:210" x14ac:dyDescent="0.2">
      <c r="GU641" s="1454" t="s">
        <v>995</v>
      </c>
      <c r="GV641" s="2629">
        <v>8.5842486126526065</v>
      </c>
      <c r="HB641" s="3040"/>
    </row>
    <row r="642" spans="203:210" ht="25.5" x14ac:dyDescent="0.2">
      <c r="GU642" s="3048" t="s">
        <v>2337</v>
      </c>
      <c r="GV642" s="2629">
        <v>7.1545248000000026</v>
      </c>
      <c r="HB642" s="3040"/>
    </row>
    <row r="643" spans="203:210" x14ac:dyDescent="0.2">
      <c r="GU643" s="1454" t="s">
        <v>1583</v>
      </c>
      <c r="GV643" s="2629">
        <v>4.4248374626669431</v>
      </c>
      <c r="HB643" s="3040"/>
    </row>
    <row r="644" spans="203:210" x14ac:dyDescent="0.2">
      <c r="GU644" s="1454" t="s">
        <v>991</v>
      </c>
      <c r="GV644" s="2629">
        <v>3.7764652444592017</v>
      </c>
      <c r="HB644" s="3040"/>
    </row>
    <row r="645" spans="203:210" x14ac:dyDescent="0.2">
      <c r="GU645" s="1454" t="s">
        <v>729</v>
      </c>
      <c r="GV645" s="2629">
        <v>3.7406575161149425</v>
      </c>
      <c r="HB645" s="3040"/>
    </row>
    <row r="646" spans="203:210" x14ac:dyDescent="0.2">
      <c r="GU646" s="1454" t="s">
        <v>1457</v>
      </c>
      <c r="GV646" s="2629">
        <v>3.0208036778732534</v>
      </c>
      <c r="HB646" s="3040"/>
    </row>
    <row r="647" spans="203:210" x14ac:dyDescent="0.2">
      <c r="HB647" s="3040"/>
    </row>
    <row r="648" spans="203:210" x14ac:dyDescent="0.2">
      <c r="HB648" s="3040"/>
    </row>
    <row r="649" spans="203:210" x14ac:dyDescent="0.2">
      <c r="HB649" s="3040"/>
    </row>
    <row r="650" spans="203:210" x14ac:dyDescent="0.2">
      <c r="HB650" s="3040"/>
    </row>
    <row r="651" spans="203:210" x14ac:dyDescent="0.2">
      <c r="HB651" s="3040"/>
    </row>
    <row r="652" spans="203:210" x14ac:dyDescent="0.2">
      <c r="HB652" s="3040"/>
    </row>
    <row r="653" spans="203:210" x14ac:dyDescent="0.2">
      <c r="HB653" s="3040"/>
    </row>
    <row r="654" spans="203:210" x14ac:dyDescent="0.2">
      <c r="HB654" s="3040"/>
    </row>
    <row r="655" spans="203:210" x14ac:dyDescent="0.2">
      <c r="HB655" s="3040"/>
    </row>
    <row r="656" spans="203:210" x14ac:dyDescent="0.2">
      <c r="HB656" s="3040"/>
    </row>
    <row r="657" spans="210:215" x14ac:dyDescent="0.2">
      <c r="HB657" s="3040"/>
    </row>
    <row r="658" spans="210:215" x14ac:dyDescent="0.2">
      <c r="HB658" s="3040"/>
    </row>
    <row r="659" spans="210:215" x14ac:dyDescent="0.2">
      <c r="HB659" s="3040"/>
    </row>
    <row r="660" spans="210:215" x14ac:dyDescent="0.2">
      <c r="HB660" s="3040"/>
    </row>
    <row r="661" spans="210:215" x14ac:dyDescent="0.2">
      <c r="HB661" s="3040"/>
    </row>
    <row r="662" spans="210:215" x14ac:dyDescent="0.2">
      <c r="HB662" s="3040"/>
    </row>
    <row r="663" spans="210:215" x14ac:dyDescent="0.2">
      <c r="HB663" s="3040"/>
    </row>
    <row r="664" spans="210:215" x14ac:dyDescent="0.2">
      <c r="HB664" s="3040"/>
    </row>
    <row r="665" spans="210:215" x14ac:dyDescent="0.2">
      <c r="HD665" s="1454" t="s">
        <v>295</v>
      </c>
      <c r="HE665" s="1454" t="s">
        <v>296</v>
      </c>
    </row>
    <row r="667" spans="210:215" x14ac:dyDescent="0.2">
      <c r="HC667" s="2810">
        <v>2012</v>
      </c>
      <c r="HD667" s="1454">
        <v>2200</v>
      </c>
      <c r="HE667" s="1454">
        <v>1984</v>
      </c>
      <c r="HF667" s="1454">
        <f>+HE667+HD667</f>
        <v>4184</v>
      </c>
    </row>
    <row r="668" spans="210:215" x14ac:dyDescent="0.2">
      <c r="HC668" s="2810">
        <v>2013</v>
      </c>
      <c r="HD668" s="1454">
        <v>2303</v>
      </c>
      <c r="HE668" s="1454">
        <v>2239</v>
      </c>
      <c r="HF668" s="1454">
        <f>+HE668+HD668</f>
        <v>4542</v>
      </c>
      <c r="HG668" s="2610">
        <f>+HF668/HF667-1</f>
        <v>8.5564053537284801E-2</v>
      </c>
    </row>
    <row r="669" spans="210:215" x14ac:dyDescent="0.2">
      <c r="HC669" s="2810">
        <v>2014</v>
      </c>
      <c r="HD669" s="1454">
        <v>2499</v>
      </c>
      <c r="HE669" s="1454">
        <v>2470</v>
      </c>
      <c r="HF669" s="1454">
        <f>+HE669+HD669</f>
        <v>4969</v>
      </c>
      <c r="HG669" s="2610">
        <f>+HF669/HF668-1</f>
        <v>9.4011448701012856E-2</v>
      </c>
    </row>
    <row r="672" spans="210:215" x14ac:dyDescent="0.2">
      <c r="HC672" s="282" t="s">
        <v>298</v>
      </c>
      <c r="HD672" s="2623"/>
      <c r="HE672" s="2623"/>
      <c r="HF672" s="2624"/>
    </row>
    <row r="673" spans="211:214" x14ac:dyDescent="0.2">
      <c r="HC673" s="864"/>
      <c r="HD673" s="2575"/>
      <c r="HE673" s="2575"/>
      <c r="HF673" s="2626"/>
    </row>
    <row r="674" spans="211:214" x14ac:dyDescent="0.2">
      <c r="HC674" s="864"/>
      <c r="HD674" s="2575"/>
      <c r="HE674" s="2575"/>
      <c r="HF674" s="2626"/>
    </row>
    <row r="675" spans="211:214" x14ac:dyDescent="0.2">
      <c r="HC675" s="864"/>
      <c r="HD675" s="2575"/>
      <c r="HE675" s="2575"/>
      <c r="HF675" s="2626"/>
    </row>
    <row r="676" spans="211:214" x14ac:dyDescent="0.2">
      <c r="HC676" s="864"/>
      <c r="HD676" s="2575"/>
      <c r="HE676" s="2575"/>
      <c r="HF676" s="2626"/>
    </row>
    <row r="677" spans="211:214" x14ac:dyDescent="0.2">
      <c r="HC677" s="864"/>
      <c r="HD677" s="2575"/>
      <c r="HE677" s="2575"/>
      <c r="HF677" s="2626"/>
    </row>
    <row r="678" spans="211:214" x14ac:dyDescent="0.2">
      <c r="HC678" s="864"/>
      <c r="HD678" s="2575"/>
      <c r="HE678" s="2575"/>
      <c r="HF678" s="2626"/>
    </row>
    <row r="679" spans="211:214" x14ac:dyDescent="0.2">
      <c r="HC679" s="864"/>
      <c r="HD679" s="2575"/>
      <c r="HE679" s="2575"/>
      <c r="HF679" s="2626"/>
    </row>
    <row r="680" spans="211:214" x14ac:dyDescent="0.2">
      <c r="HC680" s="864"/>
      <c r="HD680" s="2575"/>
      <c r="HE680" s="2575"/>
      <c r="HF680" s="2626"/>
    </row>
    <row r="681" spans="211:214" ht="3.95" customHeight="1" x14ac:dyDescent="0.2">
      <c r="HC681" s="864"/>
      <c r="HD681" s="2575"/>
      <c r="HE681" s="2575"/>
      <c r="HF681" s="2626"/>
    </row>
    <row r="682" spans="211:214" x14ac:dyDescent="0.2">
      <c r="HC682" s="2625"/>
      <c r="HD682" s="915">
        <v>2012</v>
      </c>
      <c r="HE682" s="915">
        <f>+HD682+1</f>
        <v>2013</v>
      </c>
      <c r="HF682" s="2811">
        <f>+HE682+1</f>
        <v>2014</v>
      </c>
    </row>
    <row r="683" spans="211:214" x14ac:dyDescent="0.2">
      <c r="HC683" s="2612" t="s">
        <v>297</v>
      </c>
      <c r="HD683" s="2627">
        <v>2200</v>
      </c>
      <c r="HE683" s="2627">
        <v>2303</v>
      </c>
      <c r="HF683" s="2635">
        <v>2499</v>
      </c>
    </row>
    <row r="684" spans="211:214" x14ac:dyDescent="0.2">
      <c r="HC684" s="870" t="s">
        <v>236</v>
      </c>
      <c r="HD684" s="2575"/>
      <c r="HE684" s="898">
        <f>+HE683/HD683-1</f>
        <v>4.681818181818187E-2</v>
      </c>
      <c r="HF684" s="1251">
        <f>+HF683/HE683-1</f>
        <v>8.5106382978723305E-2</v>
      </c>
    </row>
    <row r="685" spans="211:214" ht="3.95" customHeight="1" x14ac:dyDescent="0.2">
      <c r="HC685" s="870"/>
      <c r="HD685" s="2575"/>
      <c r="HE685" s="2575"/>
      <c r="HF685" s="2626"/>
    </row>
    <row r="686" spans="211:214" x14ac:dyDescent="0.2">
      <c r="HC686" s="2612" t="s">
        <v>296</v>
      </c>
      <c r="HD686" s="2627">
        <v>1984</v>
      </c>
      <c r="HE686" s="2627">
        <v>2239</v>
      </c>
      <c r="HF686" s="2635">
        <v>2470</v>
      </c>
    </row>
    <row r="687" spans="211:214" x14ac:dyDescent="0.2">
      <c r="HC687" s="870" t="s">
        <v>236</v>
      </c>
      <c r="HD687" s="2575"/>
      <c r="HE687" s="898">
        <f>+HE686/HD686-1</f>
        <v>0.12852822580645151</v>
      </c>
      <c r="HF687" s="1251">
        <f>+HF686/HE686-1</f>
        <v>0.10317105850826258</v>
      </c>
    </row>
    <row r="688" spans="211:214" ht="3.95" customHeight="1" x14ac:dyDescent="0.2">
      <c r="HC688" s="2612"/>
      <c r="HD688" s="2575"/>
      <c r="HE688" s="2575"/>
      <c r="HF688" s="2626"/>
    </row>
    <row r="689" spans="211:218" x14ac:dyDescent="0.2">
      <c r="HC689" s="1780" t="s">
        <v>299</v>
      </c>
      <c r="HD689" s="2812">
        <f>+HD686+HD683</f>
        <v>4184</v>
      </c>
      <c r="HE689" s="2812">
        <f>+HE686+HE683</f>
        <v>4542</v>
      </c>
      <c r="HF689" s="2813">
        <f>+HF686+HF683</f>
        <v>4969</v>
      </c>
    </row>
    <row r="690" spans="211:218" x14ac:dyDescent="0.2">
      <c r="HC690" s="2814" t="s">
        <v>236</v>
      </c>
      <c r="HD690" s="2815"/>
      <c r="HE690" s="2816">
        <f>+HE689/HD689-1</f>
        <v>8.5564053537284801E-2</v>
      </c>
      <c r="HF690" s="2817">
        <f>+HF689/HE689-1</f>
        <v>9.4011448701012856E-2</v>
      </c>
    </row>
    <row r="693" spans="211:218" x14ac:dyDescent="0.2">
      <c r="HI693" s="10" t="s">
        <v>300</v>
      </c>
    </row>
    <row r="695" spans="211:218" x14ac:dyDescent="0.2">
      <c r="HJ695" s="745" t="s">
        <v>1139</v>
      </c>
    </row>
    <row r="696" spans="211:218" x14ac:dyDescent="0.2">
      <c r="HI696" s="1454" t="s">
        <v>898</v>
      </c>
      <c r="HJ696" s="2634">
        <f>+PENN!BJ14</f>
        <v>2838.3580000000002</v>
      </c>
    </row>
    <row r="697" spans="211:218" x14ac:dyDescent="0.2">
      <c r="HI697" s="1454" t="s">
        <v>301</v>
      </c>
      <c r="HJ697" s="2748">
        <v>-0.05</v>
      </c>
    </row>
    <row r="698" spans="211:218" x14ac:dyDescent="0.2">
      <c r="HI698" s="1454" t="s">
        <v>302</v>
      </c>
      <c r="HJ698" s="2634">
        <f>+HJ696*-HJ697</f>
        <v>141.9179</v>
      </c>
    </row>
    <row r="699" spans="211:218" ht="3.95" customHeight="1" x14ac:dyDescent="0.2">
      <c r="HJ699" s="2634"/>
    </row>
    <row r="700" spans="211:218" x14ac:dyDescent="0.2">
      <c r="HI700" s="1454" t="s">
        <v>303</v>
      </c>
      <c r="HJ700" s="2748">
        <v>0.3</v>
      </c>
    </row>
    <row r="701" spans="211:218" x14ac:dyDescent="0.2">
      <c r="HI701" s="1454" t="s">
        <v>304</v>
      </c>
      <c r="HJ701" s="2634">
        <f>+HJ698*HJ700</f>
        <v>42.575369999999999</v>
      </c>
    </row>
    <row r="702" spans="211:218" x14ac:dyDescent="0.2">
      <c r="HJ702" s="2748"/>
    </row>
    <row r="703" spans="211:218" x14ac:dyDescent="0.2">
      <c r="HI703" s="1454" t="s">
        <v>305</v>
      </c>
      <c r="HJ703" s="2634">
        <f>+PENN!BJ50</f>
        <v>359.36279716896661</v>
      </c>
    </row>
    <row r="704" spans="211:218" x14ac:dyDescent="0.2">
      <c r="HI704" s="1454" t="s">
        <v>328</v>
      </c>
      <c r="HJ704" s="1454">
        <f>+-HJ701</f>
        <v>-42.575369999999999</v>
      </c>
    </row>
    <row r="705" spans="217:228" ht="3.95" customHeight="1" x14ac:dyDescent="0.2">
      <c r="HJ705" s="2590" t="s">
        <v>229</v>
      </c>
    </row>
    <row r="706" spans="217:228" x14ac:dyDescent="0.2">
      <c r="HI706" s="1454" t="s">
        <v>306</v>
      </c>
      <c r="HJ706" s="2634">
        <f>+SUM(HJ703:HJ704)</f>
        <v>316.78742716896659</v>
      </c>
    </row>
    <row r="707" spans="217:228" ht="3.95" customHeight="1" x14ac:dyDescent="0.2"/>
    <row r="708" spans="217:228" x14ac:dyDescent="0.2">
      <c r="HI708" s="10" t="s">
        <v>307</v>
      </c>
      <c r="HJ708" s="358">
        <f>+HJ706/HJ703-1</f>
        <v>-0.1184746176716277</v>
      </c>
      <c r="HK708" s="2629"/>
    </row>
    <row r="712" spans="217:228" x14ac:dyDescent="0.2">
      <c r="HK712" s="282" t="s">
        <v>310</v>
      </c>
      <c r="HL712" s="2623"/>
      <c r="HM712" s="2623"/>
      <c r="HN712" s="2623"/>
      <c r="HO712" s="2623"/>
      <c r="HP712" s="2624"/>
    </row>
    <row r="713" spans="217:228" ht="3.95" customHeight="1" x14ac:dyDescent="0.2">
      <c r="HK713" s="2612"/>
      <c r="HL713" s="2575"/>
      <c r="HM713" s="2575"/>
      <c r="HN713" s="2575"/>
      <c r="HO713" s="2575"/>
      <c r="HP713" s="2626"/>
    </row>
    <row r="714" spans="217:228" x14ac:dyDescent="0.2">
      <c r="HK714" s="2612"/>
      <c r="HL714" s="2575"/>
      <c r="HM714" s="893" t="s">
        <v>309</v>
      </c>
      <c r="HN714" s="2820"/>
      <c r="HO714" s="2820"/>
      <c r="HP714" s="2832"/>
    </row>
    <row r="715" spans="217:228" x14ac:dyDescent="0.2">
      <c r="HK715" s="2612"/>
      <c r="HL715" s="2821">
        <f>+HJ708</f>
        <v>-0.1184746176716277</v>
      </c>
      <c r="HM715" s="1398">
        <v>-0.05</v>
      </c>
      <c r="HN715" s="1398">
        <f>+HM715-0.05</f>
        <v>-0.1</v>
      </c>
      <c r="HO715" s="1398">
        <f>+HN715-0.05</f>
        <v>-0.15000000000000002</v>
      </c>
      <c r="HP715" s="2819">
        <f>+HO715-0.05</f>
        <v>-0.2</v>
      </c>
      <c r="HQ715" s="2818"/>
    </row>
    <row r="716" spans="217:228" ht="12.75" customHeight="1" x14ac:dyDescent="0.2">
      <c r="HK716" s="3567" t="s">
        <v>308</v>
      </c>
      <c r="HL716" s="2819">
        <v>0.1</v>
      </c>
      <c r="HM716" s="2823">
        <f t="dataTable" ref="HM716:HP719" dt2D="1" dtr="0" r1="HJ697" r2="HJ700"/>
        <v>-3.9491539223875938E-2</v>
      </c>
      <c r="HN716" s="2824">
        <v>-7.8983078447751764E-2</v>
      </c>
      <c r="HO716" s="2824">
        <v>-0.1184746176716277</v>
      </c>
      <c r="HP716" s="2825">
        <v>-0.15796615689550353</v>
      </c>
    </row>
    <row r="717" spans="217:228" ht="12.75" customHeight="1" x14ac:dyDescent="0.2">
      <c r="HK717" s="3568"/>
      <c r="HL717" s="2819">
        <f>+HL716+0.1</f>
        <v>0.2</v>
      </c>
      <c r="HM717" s="2826">
        <v>-7.8983078447751764E-2</v>
      </c>
      <c r="HN717" s="2827">
        <v>-0.15796615689550353</v>
      </c>
      <c r="HO717" s="2827">
        <v>-0.2369492353432554</v>
      </c>
      <c r="HP717" s="2828">
        <v>-0.31593231379100717</v>
      </c>
    </row>
    <row r="718" spans="217:228" x14ac:dyDescent="0.2">
      <c r="HK718" s="3568"/>
      <c r="HL718" s="2819">
        <f>+HL717+0.1</f>
        <v>0.30000000000000004</v>
      </c>
      <c r="HM718" s="2826">
        <v>-0.1184746176716277</v>
      </c>
      <c r="HN718" s="2827">
        <v>-0.2369492353432554</v>
      </c>
      <c r="HO718" s="2827">
        <v>-0.35542385301488322</v>
      </c>
      <c r="HP718" s="2828">
        <v>-0.4738984706865107</v>
      </c>
    </row>
    <row r="719" spans="217:228" x14ac:dyDescent="0.2">
      <c r="HK719" s="3569"/>
      <c r="HL719" s="2822">
        <f>+HL718+0.1</f>
        <v>0.4</v>
      </c>
      <c r="HM719" s="2829">
        <v>-0.15796615689550353</v>
      </c>
      <c r="HN719" s="2830">
        <v>-0.31593231379100717</v>
      </c>
      <c r="HO719" s="2830">
        <v>-0.47389847068651081</v>
      </c>
      <c r="HP719" s="2831">
        <v>-0.63186462758201434</v>
      </c>
      <c r="HT719" s="2610"/>
    </row>
    <row r="724" spans="226:228" x14ac:dyDescent="0.2">
      <c r="HR724" s="282" t="s">
        <v>311</v>
      </c>
      <c r="HS724" s="2623"/>
      <c r="HT724" s="2624"/>
    </row>
    <row r="725" spans="226:228" x14ac:dyDescent="0.2">
      <c r="HR725" s="2612" t="s">
        <v>312</v>
      </c>
      <c r="HS725" s="3108">
        <v>37.25</v>
      </c>
      <c r="HT725" s="2626"/>
    </row>
    <row r="726" spans="226:228" x14ac:dyDescent="0.2">
      <c r="HR726" s="2612" t="s">
        <v>1536</v>
      </c>
      <c r="HS726" s="2851">
        <v>106</v>
      </c>
      <c r="HT726" s="2626"/>
    </row>
    <row r="727" spans="226:228" ht="3.95" customHeight="1" x14ac:dyDescent="0.2">
      <c r="HR727" s="2612"/>
      <c r="HS727" s="2707" t="s">
        <v>229</v>
      </c>
      <c r="HT727" s="2626"/>
    </row>
    <row r="728" spans="226:228" x14ac:dyDescent="0.2">
      <c r="HR728" s="864" t="s">
        <v>8</v>
      </c>
      <c r="HS728" s="333">
        <f>+HS725*HS726</f>
        <v>3948.5</v>
      </c>
      <c r="HT728" s="2626"/>
    </row>
    <row r="729" spans="226:228" s="2575" customFormat="1" ht="3.95" customHeight="1" x14ac:dyDescent="0.2">
      <c r="HR729" s="2612"/>
      <c r="HS729" s="2617"/>
      <c r="HT729" s="2759"/>
    </row>
    <row r="730" spans="226:228" ht="3.95" customHeight="1" x14ac:dyDescent="0.2">
      <c r="HR730" s="2611"/>
      <c r="HS730" s="2575"/>
      <c r="HT730" s="2624"/>
    </row>
    <row r="731" spans="226:228" x14ac:dyDescent="0.2">
      <c r="HR731" s="864" t="s">
        <v>313</v>
      </c>
      <c r="HS731" s="2575"/>
      <c r="HT731" s="2626"/>
    </row>
    <row r="732" spans="226:228" x14ac:dyDescent="0.2">
      <c r="HR732" s="864"/>
      <c r="HS732" s="306" t="s">
        <v>791</v>
      </c>
      <c r="HT732" s="2613" t="s">
        <v>2380</v>
      </c>
    </row>
    <row r="733" spans="226:228" x14ac:dyDescent="0.2">
      <c r="HR733" s="2612" t="s">
        <v>312</v>
      </c>
      <c r="HS733" s="3108">
        <v>17.98</v>
      </c>
      <c r="HT733" s="3102">
        <v>18.079999999999998</v>
      </c>
    </row>
    <row r="734" spans="226:228" x14ac:dyDescent="0.2">
      <c r="HR734" s="2612" t="s">
        <v>1536</v>
      </c>
      <c r="HS734" s="2851">
        <v>90.7</v>
      </c>
      <c r="HT734" s="2860">
        <v>90.7</v>
      </c>
    </row>
    <row r="735" spans="226:228" ht="3.95" customHeight="1" x14ac:dyDescent="0.2">
      <c r="HR735" s="2612"/>
      <c r="HS735" s="2707" t="s">
        <v>229</v>
      </c>
      <c r="HT735" s="2708" t="s">
        <v>229</v>
      </c>
    </row>
    <row r="736" spans="226:228" x14ac:dyDescent="0.2">
      <c r="HR736" s="864" t="s">
        <v>8</v>
      </c>
      <c r="HS736" s="557">
        <f>+HS733*HS734</f>
        <v>1630.7860000000001</v>
      </c>
      <c r="HT736" s="2709">
        <f>+HT733*HT734</f>
        <v>1639.856</v>
      </c>
    </row>
    <row r="737" spans="226:229" x14ac:dyDescent="0.2">
      <c r="HR737" s="2612"/>
      <c r="HS737" s="2575"/>
      <c r="HT737" s="2626"/>
    </row>
    <row r="738" spans="226:229" x14ac:dyDescent="0.2">
      <c r="HR738" s="2612" t="s">
        <v>314</v>
      </c>
      <c r="HS738" s="3108">
        <v>30.2</v>
      </c>
      <c r="HT738" s="3102">
        <v>38.18</v>
      </c>
    </row>
    <row r="739" spans="226:229" x14ac:dyDescent="0.2">
      <c r="HR739" s="2612" t="s">
        <v>1536</v>
      </c>
      <c r="HS739" s="2851">
        <v>119.5</v>
      </c>
      <c r="HT739" s="2860">
        <v>119.5</v>
      </c>
    </row>
    <row r="740" spans="226:229" ht="3.95" customHeight="1" x14ac:dyDescent="0.2">
      <c r="HR740" s="2612"/>
      <c r="HS740" s="2707" t="s">
        <v>229</v>
      </c>
      <c r="HT740" s="2708" t="s">
        <v>229</v>
      </c>
    </row>
    <row r="741" spans="226:229" x14ac:dyDescent="0.2">
      <c r="HR741" s="864" t="s">
        <v>8</v>
      </c>
      <c r="HS741" s="557">
        <f>+HS738*HS739</f>
        <v>3608.9</v>
      </c>
      <c r="HT741" s="2709">
        <f>+HT738*HT739</f>
        <v>4562.51</v>
      </c>
    </row>
    <row r="742" spans="226:229" x14ac:dyDescent="0.2">
      <c r="HR742" s="2612"/>
      <c r="HS742" s="2575"/>
      <c r="HT742" s="2626"/>
    </row>
    <row r="743" spans="226:229" x14ac:dyDescent="0.2">
      <c r="HR743" s="2612" t="s">
        <v>2378</v>
      </c>
      <c r="HS743" s="2627">
        <f>+HS741+HS736</f>
        <v>5239.6859999999997</v>
      </c>
      <c r="HT743" s="2635">
        <f>+HT741+HT736</f>
        <v>6202.366</v>
      </c>
    </row>
    <row r="744" spans="226:229" x14ac:dyDescent="0.2">
      <c r="HR744" s="2612" t="s">
        <v>315</v>
      </c>
      <c r="HS744" s="3109">
        <v>210</v>
      </c>
      <c r="HT744" s="3103">
        <v>210</v>
      </c>
    </row>
    <row r="745" spans="226:229" ht="3.95" customHeight="1" x14ac:dyDescent="0.2">
      <c r="HR745" s="2612"/>
      <c r="HS745" s="2707" t="s">
        <v>229</v>
      </c>
      <c r="HT745" s="2708" t="s">
        <v>229</v>
      </c>
    </row>
    <row r="746" spans="226:229" s="10" customFormat="1" x14ac:dyDescent="0.2">
      <c r="HR746" s="864" t="s">
        <v>316</v>
      </c>
      <c r="HS746" s="557">
        <f>+HS743+HS744</f>
        <v>5449.6859999999997</v>
      </c>
      <c r="HT746" s="2709">
        <f>+HT743+HT744</f>
        <v>6412.366</v>
      </c>
    </row>
    <row r="747" spans="226:229" x14ac:dyDescent="0.2">
      <c r="HR747" s="2612"/>
      <c r="HS747" s="2575"/>
      <c r="HT747" s="2626"/>
    </row>
    <row r="748" spans="226:229" x14ac:dyDescent="0.2">
      <c r="HR748" s="3104" t="s">
        <v>317</v>
      </c>
      <c r="HS748" s="3110">
        <f>+HS746-HS728</f>
        <v>1501.1859999999997</v>
      </c>
      <c r="HT748" s="3107">
        <f>+HT746-HS728</f>
        <v>2463.866</v>
      </c>
    </row>
    <row r="749" spans="226:229" x14ac:dyDescent="0.2">
      <c r="HR749" s="3105" t="s">
        <v>2379</v>
      </c>
      <c r="HS749" s="3111">
        <f>+HS746/HS728-1</f>
        <v>0.38019146511333402</v>
      </c>
      <c r="HT749" s="3106">
        <f>+HT746/HS728-1</f>
        <v>0.62400050652146377</v>
      </c>
    </row>
    <row r="752" spans="226:229" x14ac:dyDescent="0.2">
      <c r="HU752" s="10" t="s">
        <v>339</v>
      </c>
    </row>
    <row r="753" spans="229:231" ht="3.95" customHeight="1" x14ac:dyDescent="0.2"/>
    <row r="754" spans="229:231" x14ac:dyDescent="0.2">
      <c r="HU754" s="359" t="s">
        <v>337</v>
      </c>
    </row>
    <row r="755" spans="229:231" x14ac:dyDescent="0.2">
      <c r="HU755" s="1454" t="s">
        <v>335</v>
      </c>
      <c r="HV755" s="2845">
        <v>785.12889300000006</v>
      </c>
    </row>
    <row r="756" spans="229:231" x14ac:dyDescent="0.2">
      <c r="HU756" s="1454" t="s">
        <v>894</v>
      </c>
      <c r="HV756" s="2833">
        <v>5005</v>
      </c>
    </row>
    <row r="757" spans="229:231" ht="3.95" customHeight="1" x14ac:dyDescent="0.2">
      <c r="HV757" s="2833"/>
    </row>
    <row r="758" spans="229:231" x14ac:dyDescent="0.2">
      <c r="HU758" s="1454" t="s">
        <v>330</v>
      </c>
      <c r="HV758" s="2634">
        <f>+(HV755*1000000)/HV756/365</f>
        <v>429.77783476797185</v>
      </c>
    </row>
    <row r="759" spans="229:231" ht="3.95" customHeight="1" x14ac:dyDescent="0.2"/>
    <row r="760" spans="229:231" x14ac:dyDescent="0.2">
      <c r="HU760" s="1454" t="s">
        <v>332</v>
      </c>
      <c r="HV760" s="2697">
        <v>8.405837</v>
      </c>
    </row>
    <row r="761" spans="229:231" x14ac:dyDescent="0.2">
      <c r="HU761" s="1454" t="s">
        <v>331</v>
      </c>
      <c r="HV761" s="2748">
        <v>0.75</v>
      </c>
    </row>
    <row r="762" spans="229:231" x14ac:dyDescent="0.2">
      <c r="HU762" s="1454" t="s">
        <v>333</v>
      </c>
      <c r="HV762" s="2622">
        <f>+HV760*HV761</f>
        <v>6.3043777500000004</v>
      </c>
      <c r="HW762" s="2778">
        <v>50711</v>
      </c>
    </row>
    <row r="763" spans="229:231" ht="3.95" customHeight="1" x14ac:dyDescent="0.2"/>
    <row r="764" spans="229:231" x14ac:dyDescent="0.2">
      <c r="HU764" s="496" t="s">
        <v>334</v>
      </c>
      <c r="HV764" s="2847">
        <f>HV755/HV762</f>
        <v>124.5370953540974</v>
      </c>
    </row>
    <row r="766" spans="229:231" x14ac:dyDescent="0.2">
      <c r="HU766" s="359" t="s">
        <v>336</v>
      </c>
    </row>
    <row r="767" spans="229:231" x14ac:dyDescent="0.2">
      <c r="HU767" s="1454" t="s">
        <v>335</v>
      </c>
      <c r="HV767" s="2845">
        <v>559.94638699999996</v>
      </c>
    </row>
    <row r="768" spans="229:231" x14ac:dyDescent="0.2">
      <c r="HU768" s="1454" t="s">
        <v>894</v>
      </c>
      <c r="HV768" s="2833">
        <v>5407</v>
      </c>
    </row>
    <row r="769" spans="229:231" ht="3.95" customHeight="1" x14ac:dyDescent="0.2">
      <c r="HV769" s="2833"/>
    </row>
    <row r="770" spans="229:231" x14ac:dyDescent="0.2">
      <c r="HU770" s="1454" t="s">
        <v>330</v>
      </c>
      <c r="HV770" s="2634">
        <f>+(HV767*1000000)/HV768/365</f>
        <v>283.72474392656903</v>
      </c>
    </row>
    <row r="771" spans="229:231" ht="3.95" customHeight="1" x14ac:dyDescent="0.2"/>
    <row r="772" spans="229:231" x14ac:dyDescent="0.2">
      <c r="HU772" s="1454" t="s">
        <v>332</v>
      </c>
      <c r="HV772" s="2697">
        <v>8.405837</v>
      </c>
    </row>
    <row r="773" spans="229:231" x14ac:dyDescent="0.2">
      <c r="HU773" s="1454" t="s">
        <v>331</v>
      </c>
      <c r="HV773" s="2748">
        <v>0.75</v>
      </c>
    </row>
    <row r="774" spans="229:231" x14ac:dyDescent="0.2">
      <c r="HU774" s="1454" t="s">
        <v>333</v>
      </c>
      <c r="HV774" s="2622">
        <f>+HV772*HV773</f>
        <v>6.3043777500000004</v>
      </c>
      <c r="HW774" s="2778">
        <v>50711</v>
      </c>
    </row>
    <row r="775" spans="229:231" ht="3.95" customHeight="1" x14ac:dyDescent="0.2"/>
    <row r="776" spans="229:231" x14ac:dyDescent="0.2">
      <c r="HU776" s="496" t="s">
        <v>338</v>
      </c>
      <c r="HV776" s="2847">
        <f>HV767/HV774</f>
        <v>88.818660493495955</v>
      </c>
    </row>
    <row r="778" spans="229:231" x14ac:dyDescent="0.2">
      <c r="HU778" s="359" t="s">
        <v>359</v>
      </c>
    </row>
    <row r="779" spans="229:231" x14ac:dyDescent="0.2">
      <c r="HU779" s="1454" t="s">
        <v>363</v>
      </c>
      <c r="HV779" s="2621">
        <f>+HV755+HV767</f>
        <v>1345.07528</v>
      </c>
    </row>
    <row r="780" spans="229:231" x14ac:dyDescent="0.2">
      <c r="HU780" s="1454" t="s">
        <v>894</v>
      </c>
      <c r="HV780" s="2846">
        <f>+HV756+HV768</f>
        <v>10412</v>
      </c>
    </row>
    <row r="781" spans="229:231" ht="3.95" customHeight="1" x14ac:dyDescent="0.2">
      <c r="HV781" s="2833"/>
    </row>
    <row r="782" spans="229:231" x14ac:dyDescent="0.2">
      <c r="HU782" s="1454" t="s">
        <v>330</v>
      </c>
      <c r="HV782" s="2634">
        <f>+(HV779*1000000)/HV780/365</f>
        <v>353.93178576879154</v>
      </c>
    </row>
    <row r="783" spans="229:231" ht="3.95" customHeight="1" x14ac:dyDescent="0.2"/>
    <row r="784" spans="229:231" x14ac:dyDescent="0.2">
      <c r="HU784" s="1454" t="s">
        <v>332</v>
      </c>
      <c r="HV784" s="2697">
        <v>8.405837</v>
      </c>
    </row>
    <row r="785" spans="229:233" x14ac:dyDescent="0.2">
      <c r="HU785" s="1454" t="s">
        <v>331</v>
      </c>
      <c r="HV785" s="2748">
        <v>0.75</v>
      </c>
    </row>
    <row r="786" spans="229:233" x14ac:dyDescent="0.2">
      <c r="HU786" s="1454" t="s">
        <v>333</v>
      </c>
      <c r="HV786" s="2622">
        <f>+HV784*HV785</f>
        <v>6.3043777500000004</v>
      </c>
    </row>
    <row r="787" spans="229:233" x14ac:dyDescent="0.2">
      <c r="HU787" s="1454" t="s">
        <v>367</v>
      </c>
      <c r="HV787" s="2778">
        <v>50711</v>
      </c>
      <c r="HW787" s="2778"/>
    </row>
    <row r="789" spans="229:233" x14ac:dyDescent="0.2">
      <c r="HU789" s="496" t="s">
        <v>364</v>
      </c>
      <c r="HV789" s="2847">
        <f>HV779/HV786</f>
        <v>213.35575584759334</v>
      </c>
    </row>
    <row r="791" spans="229:233" x14ac:dyDescent="0.2">
      <c r="HU791" s="1269" t="s">
        <v>361</v>
      </c>
      <c r="HV791" s="2623"/>
      <c r="HW791" s="2623"/>
      <c r="HX791" s="2623"/>
      <c r="HY791" s="2624"/>
    </row>
    <row r="792" spans="229:233" ht="38.25" x14ac:dyDescent="0.2">
      <c r="HU792" s="2612"/>
      <c r="HV792" s="1649" t="s">
        <v>376</v>
      </c>
      <c r="HW792" s="445" t="s">
        <v>350</v>
      </c>
      <c r="HX792" s="1649" t="s">
        <v>351</v>
      </c>
      <c r="HY792" s="2850" t="s">
        <v>352</v>
      </c>
    </row>
    <row r="793" spans="229:233" x14ac:dyDescent="0.2">
      <c r="HU793" s="2612"/>
      <c r="HV793" s="445"/>
      <c r="HW793" s="445"/>
      <c r="HX793" s="1649"/>
      <c r="HY793" s="2850"/>
    </row>
    <row r="794" spans="229:233" x14ac:dyDescent="0.2">
      <c r="HU794" s="287" t="s">
        <v>342</v>
      </c>
      <c r="HV794" s="2575"/>
      <c r="HW794" s="2575"/>
      <c r="HX794" s="2575"/>
      <c r="HY794" s="2626"/>
    </row>
    <row r="795" spans="229:233" x14ac:dyDescent="0.2">
      <c r="HU795" s="2612" t="s">
        <v>340</v>
      </c>
      <c r="HV795" s="2649">
        <v>1.6261589999999999</v>
      </c>
      <c r="HW795" s="2575"/>
      <c r="HX795" s="2575"/>
      <c r="HY795" s="2626"/>
    </row>
    <row r="796" spans="229:233" x14ac:dyDescent="0.2">
      <c r="HU796" s="2612" t="s">
        <v>331</v>
      </c>
      <c r="HV796" s="2645">
        <v>0.75</v>
      </c>
      <c r="HW796" s="2575"/>
      <c r="HX796" s="2575"/>
      <c r="HY796" s="2626"/>
    </row>
    <row r="797" spans="229:233" x14ac:dyDescent="0.2">
      <c r="HU797" s="2612" t="s">
        <v>341</v>
      </c>
      <c r="HV797" s="2649">
        <f>+HV795*HV796</f>
        <v>1.21961925</v>
      </c>
      <c r="HW797" s="2575"/>
      <c r="HX797" s="2575"/>
      <c r="HY797" s="2626"/>
    </row>
    <row r="798" spans="229:233" x14ac:dyDescent="0.2">
      <c r="HU798" s="2612" t="s">
        <v>353</v>
      </c>
      <c r="HV798" s="2645">
        <v>0.5</v>
      </c>
      <c r="HW798" s="2575"/>
      <c r="HX798" s="2575"/>
      <c r="HY798" s="2626"/>
    </row>
    <row r="799" spans="229:233" x14ac:dyDescent="0.2">
      <c r="HU799" s="2612" t="s">
        <v>354</v>
      </c>
      <c r="HV799" s="2649">
        <f>+HV797*HV798</f>
        <v>0.60980962500000002</v>
      </c>
      <c r="HW799" s="2642">
        <v>68370</v>
      </c>
      <c r="HX799" s="2642">
        <v>200</v>
      </c>
      <c r="HY799" s="2344">
        <f>+HV799*HX799</f>
        <v>121.96192500000001</v>
      </c>
    </row>
    <row r="800" spans="229:233" x14ac:dyDescent="0.2">
      <c r="HU800" s="2612"/>
      <c r="HV800" s="2649"/>
      <c r="HW800" s="2642"/>
      <c r="HX800" s="2642"/>
      <c r="HY800" s="2344"/>
    </row>
    <row r="801" spans="229:233" x14ac:dyDescent="0.2">
      <c r="HU801" s="287" t="s">
        <v>365</v>
      </c>
      <c r="HV801" s="2575"/>
      <c r="HW801" s="2575"/>
      <c r="HX801" s="2575"/>
      <c r="HY801" s="2626"/>
    </row>
    <row r="802" spans="229:233" x14ac:dyDescent="0.2">
      <c r="HU802" s="2612" t="s">
        <v>366</v>
      </c>
      <c r="HV802" s="2649">
        <v>1.418733</v>
      </c>
      <c r="HW802" s="2575"/>
      <c r="HX802" s="2575"/>
      <c r="HY802" s="2626"/>
    </row>
    <row r="803" spans="229:233" x14ac:dyDescent="0.2">
      <c r="HU803" s="2612" t="s">
        <v>331</v>
      </c>
      <c r="HV803" s="2645">
        <v>0.75</v>
      </c>
      <c r="HW803" s="2575"/>
      <c r="HX803" s="2575"/>
      <c r="HY803" s="2626"/>
    </row>
    <row r="804" spans="229:233" x14ac:dyDescent="0.2">
      <c r="HU804" s="2612" t="s">
        <v>341</v>
      </c>
      <c r="HV804" s="2649">
        <f>+HV802*HV803</f>
        <v>1.0640497500000001</v>
      </c>
      <c r="HW804" s="2575"/>
      <c r="HX804" s="2575"/>
      <c r="HY804" s="2626"/>
    </row>
    <row r="805" spans="229:233" x14ac:dyDescent="0.2">
      <c r="HU805" s="2612" t="s">
        <v>353</v>
      </c>
      <c r="HV805" s="2645">
        <v>0.5</v>
      </c>
      <c r="HW805" s="2575"/>
      <c r="HX805" s="2575"/>
      <c r="HY805" s="2626"/>
    </row>
    <row r="806" spans="229:233" x14ac:dyDescent="0.2">
      <c r="HU806" s="2612" t="s">
        <v>371</v>
      </c>
      <c r="HV806" s="2649">
        <f>+HV804*HV805</f>
        <v>0.53202487500000006</v>
      </c>
      <c r="HW806" s="2642">
        <v>34300</v>
      </c>
      <c r="HX806" s="2642">
        <v>100</v>
      </c>
      <c r="HY806" s="2344">
        <f>+HV806*HX806</f>
        <v>53.202487500000004</v>
      </c>
    </row>
    <row r="807" spans="229:233" x14ac:dyDescent="0.2">
      <c r="HU807" s="2612"/>
      <c r="HV807" s="2575"/>
      <c r="HW807" s="2575"/>
      <c r="HX807" s="2575"/>
      <c r="HY807" s="2626"/>
    </row>
    <row r="808" spans="229:233" x14ac:dyDescent="0.2">
      <c r="HU808" s="287" t="s">
        <v>343</v>
      </c>
      <c r="HV808" s="2575"/>
      <c r="HW808" s="2575"/>
      <c r="HX808" s="2575"/>
      <c r="HY808" s="2626"/>
    </row>
    <row r="809" spans="229:233" x14ac:dyDescent="0.2">
      <c r="HU809" s="2612" t="s">
        <v>345</v>
      </c>
      <c r="HV809" s="2851">
        <f>0.925328*0.75</f>
        <v>0.69399600000000006</v>
      </c>
      <c r="HW809" s="2642">
        <v>84255</v>
      </c>
      <c r="HX809" s="2642">
        <v>200</v>
      </c>
      <c r="HY809" s="2344">
        <f>+HV809*HX809</f>
        <v>138.79920000000001</v>
      </c>
    </row>
    <row r="810" spans="229:233" x14ac:dyDescent="0.2">
      <c r="HU810" s="2612" t="s">
        <v>346</v>
      </c>
      <c r="HV810" s="2851">
        <f>0.505672*0.7</f>
        <v>0.35397039999999996</v>
      </c>
      <c r="HW810" s="2642">
        <v>57540</v>
      </c>
      <c r="HX810" s="2642">
        <v>150</v>
      </c>
      <c r="HY810" s="2344">
        <f>+HV810*HX810</f>
        <v>53.095559999999992</v>
      </c>
    </row>
    <row r="811" spans="229:233" x14ac:dyDescent="0.2">
      <c r="HU811" s="2612" t="s">
        <v>347</v>
      </c>
      <c r="HV811" s="2851">
        <f>0.660282*0.75</f>
        <v>0.49521150000000003</v>
      </c>
      <c r="HW811" s="2642">
        <v>58722</v>
      </c>
      <c r="HX811" s="2642">
        <v>150</v>
      </c>
      <c r="HY811" s="2344">
        <f>+HV811*HX811</f>
        <v>74.281725000000009</v>
      </c>
    </row>
    <row r="812" spans="229:233" x14ac:dyDescent="0.2">
      <c r="HU812" s="2612" t="s">
        <v>348</v>
      </c>
      <c r="HV812" s="2851">
        <f>0.789565*0.7</f>
        <v>0.5526954999999999</v>
      </c>
      <c r="HW812" s="2642">
        <v>55027</v>
      </c>
      <c r="HX812" s="2642">
        <v>150</v>
      </c>
      <c r="HY812" s="2344">
        <f>+HV812*HX812</f>
        <v>82.904324999999986</v>
      </c>
    </row>
    <row r="813" spans="229:233" ht="3.95" customHeight="1" x14ac:dyDescent="0.2">
      <c r="HU813" s="2612"/>
      <c r="HV813" s="2785" t="s">
        <v>229</v>
      </c>
      <c r="HW813" s="2785" t="s">
        <v>377</v>
      </c>
      <c r="HX813" s="2575"/>
      <c r="HY813" s="2723" t="s">
        <v>229</v>
      </c>
    </row>
    <row r="814" spans="229:233" x14ac:dyDescent="0.2">
      <c r="HU814" s="2612" t="s">
        <v>375</v>
      </c>
      <c r="HV814" s="2649">
        <f>SUM(HV809:HV812)</f>
        <v>2.0958733999999999</v>
      </c>
      <c r="HW814" s="2627">
        <f>SUMPRODUCT(HW809:HW812,HV809:HV812)/HV814</f>
        <v>66002.590985457427</v>
      </c>
      <c r="HX814" s="2575"/>
      <c r="HY814" s="2344">
        <f>SUM(HY809:HY812)</f>
        <v>349.08080999999999</v>
      </c>
    </row>
    <row r="815" spans="229:233" x14ac:dyDescent="0.2">
      <c r="HU815" s="2612"/>
      <c r="HV815" s="2575"/>
      <c r="HW815" s="2575"/>
      <c r="HX815" s="2575"/>
      <c r="HY815" s="2626"/>
    </row>
    <row r="816" spans="229:233" x14ac:dyDescent="0.2">
      <c r="HU816" s="287" t="s">
        <v>344</v>
      </c>
      <c r="HV816" s="2575"/>
      <c r="HW816" s="2575"/>
      <c r="HX816" s="2575"/>
      <c r="HY816" s="2626"/>
    </row>
    <row r="817" spans="229:233" x14ac:dyDescent="0.2">
      <c r="HU817" s="2612" t="s">
        <v>368</v>
      </c>
      <c r="HV817" s="2851">
        <f>0.320903*0.65</f>
        <v>0.20858694999999999</v>
      </c>
      <c r="HW817" s="2642">
        <v>86020</v>
      </c>
      <c r="HX817" s="2642">
        <v>225</v>
      </c>
      <c r="HY817" s="2344">
        <f t="shared" ref="HY817:HY823" si="50">+HV817*HX817</f>
        <v>46.932063749999998</v>
      </c>
    </row>
    <row r="818" spans="229:233" x14ac:dyDescent="0.2">
      <c r="HU818" s="2612" t="s">
        <v>369</v>
      </c>
      <c r="HV818" s="2851">
        <f>0.968802*0.7</f>
        <v>0.67816140000000003</v>
      </c>
      <c r="HW818" s="2642">
        <v>81093</v>
      </c>
      <c r="HX818" s="2642">
        <v>225</v>
      </c>
      <c r="HY818" s="2344">
        <f t="shared" si="50"/>
        <v>152.58631500000001</v>
      </c>
    </row>
    <row r="819" spans="229:233" x14ac:dyDescent="0.2">
      <c r="HU819" s="2612" t="s">
        <v>370</v>
      </c>
      <c r="HV819" s="2851">
        <f>0.099645*0.7</f>
        <v>6.9751499999999994E-2</v>
      </c>
      <c r="HW819" s="2642">
        <v>95259</v>
      </c>
      <c r="HX819" s="2642">
        <v>225</v>
      </c>
      <c r="HY819" s="2344">
        <f t="shared" si="50"/>
        <v>15.694087499999998</v>
      </c>
    </row>
    <row r="820" spans="229:233" x14ac:dyDescent="0.2">
      <c r="HU820" s="2612" t="s">
        <v>349</v>
      </c>
      <c r="HV820" s="2851">
        <f>0.375592*0.7</f>
        <v>0.26291439999999999</v>
      </c>
      <c r="HW820" s="2642">
        <v>70712</v>
      </c>
      <c r="HX820" s="2642">
        <v>175</v>
      </c>
      <c r="HY820" s="2344">
        <f t="shared" si="50"/>
        <v>46.010019999999997</v>
      </c>
    </row>
    <row r="821" spans="229:233" x14ac:dyDescent="0.2">
      <c r="HU821" s="2612" t="s">
        <v>355</v>
      </c>
      <c r="HV821" s="2851">
        <f>0.076665*0.75</f>
        <v>5.7498750000000001E-2</v>
      </c>
      <c r="HW821" s="2642">
        <v>48050</v>
      </c>
      <c r="HX821" s="2642">
        <v>100</v>
      </c>
      <c r="HY821" s="2344">
        <f t="shared" si="50"/>
        <v>5.7498750000000003</v>
      </c>
    </row>
    <row r="822" spans="229:233" x14ac:dyDescent="0.2">
      <c r="HU822" s="2612" t="s">
        <v>356</v>
      </c>
      <c r="HV822" s="2851">
        <f>0.296916*0.75</f>
        <v>0.22268700000000002</v>
      </c>
      <c r="HW822" s="2642">
        <v>71508</v>
      </c>
      <c r="HX822" s="2642">
        <v>175</v>
      </c>
      <c r="HY822" s="2344">
        <f t="shared" si="50"/>
        <v>38.970225000000006</v>
      </c>
    </row>
    <row r="823" spans="229:233" x14ac:dyDescent="0.2">
      <c r="HU823" s="2612" t="s">
        <v>357</v>
      </c>
      <c r="HV823" s="2851">
        <v>0.18099799999999999</v>
      </c>
      <c r="HW823" s="2642">
        <v>58934</v>
      </c>
      <c r="HX823" s="2642">
        <v>100</v>
      </c>
      <c r="HY823" s="2344">
        <f t="shared" si="50"/>
        <v>18.099799999999998</v>
      </c>
    </row>
    <row r="824" spans="229:233" ht="3.95" customHeight="1" x14ac:dyDescent="0.2">
      <c r="HU824" s="2612"/>
      <c r="HV824" s="2785" t="s">
        <v>229</v>
      </c>
      <c r="HW824" s="2785" t="s">
        <v>377</v>
      </c>
      <c r="HX824" s="2575"/>
      <c r="HY824" s="2723" t="s">
        <v>229</v>
      </c>
    </row>
    <row r="825" spans="229:233" x14ac:dyDescent="0.2">
      <c r="HU825" s="2612" t="s">
        <v>358</v>
      </c>
      <c r="HV825" s="2649">
        <f>SUM(HV817:HV823)</f>
        <v>1.6805979999999998</v>
      </c>
      <c r="HW825" s="2627">
        <f>SUMPRODUCT(HW817:HW823,HV817:HV823)/HV825</f>
        <v>75881.386331532005</v>
      </c>
      <c r="HX825" s="2575"/>
      <c r="HY825" s="2344">
        <f>SUM(HY817:HY823)</f>
        <v>324.04238624999999</v>
      </c>
    </row>
    <row r="826" spans="229:233" x14ac:dyDescent="0.2">
      <c r="HU826" s="2612"/>
      <c r="HV826" s="2575"/>
      <c r="HW826" s="2575"/>
      <c r="HX826" s="2575"/>
      <c r="HY826" s="2626"/>
    </row>
    <row r="827" spans="229:233" x14ac:dyDescent="0.2">
      <c r="HU827" s="496" t="s">
        <v>362</v>
      </c>
      <c r="HV827" s="1014">
        <f>+HV825+HV814+HV806+HV799</f>
        <v>4.9183059</v>
      </c>
      <c r="HW827" s="2848"/>
      <c r="HX827" s="2848">
        <f>+HY827/HV827</f>
        <v>172.47556902672522</v>
      </c>
      <c r="HY827" s="2849">
        <f>+HY825+HY814+HY799+HY806</f>
        <v>848.28760874999989</v>
      </c>
    </row>
    <row r="828" spans="229:233" x14ac:dyDescent="0.2">
      <c r="HU828" s="2612"/>
      <c r="HV828" s="445"/>
      <c r="HW828" s="445"/>
      <c r="HX828" s="1649"/>
      <c r="HY828" s="2850"/>
    </row>
    <row r="829" spans="229:233" x14ac:dyDescent="0.2">
      <c r="HU829" s="2612" t="s">
        <v>360</v>
      </c>
      <c r="HV829" s="2785">
        <f>+HV786</f>
        <v>6.3043777500000004</v>
      </c>
      <c r="HW829" s="2627"/>
      <c r="HX829" s="2627">
        <f>+HY829/HV829</f>
        <v>190.34392410892573</v>
      </c>
      <c r="HY829" s="2740">
        <v>1200</v>
      </c>
    </row>
    <row r="830" spans="229:233" x14ac:dyDescent="0.2">
      <c r="HU830" s="2612"/>
      <c r="HV830" s="2575"/>
      <c r="HW830" s="2575"/>
      <c r="HX830" s="2575"/>
      <c r="HY830" s="2626"/>
    </row>
    <row r="831" spans="229:233" x14ac:dyDescent="0.2">
      <c r="HU831" s="496" t="s">
        <v>378</v>
      </c>
      <c r="HV831" s="1014">
        <f>+HV829+HV825+HV814</f>
        <v>10.080849150000001</v>
      </c>
      <c r="HW831" s="1007"/>
      <c r="HX831" s="2848">
        <f>+HY831/HV831</f>
        <v>203.18601918073537</v>
      </c>
      <c r="HY831" s="2274">
        <f>+HY827+HY829</f>
        <v>2048.2876087499999</v>
      </c>
    </row>
    <row r="834" spans="229:237" x14ac:dyDescent="0.2">
      <c r="HY834" s="1454">
        <v>1500</v>
      </c>
      <c r="IC834" s="1454">
        <v>606</v>
      </c>
    </row>
    <row r="835" spans="229:237" x14ac:dyDescent="0.2">
      <c r="HY835" s="1454">
        <f>+HY827*0.3</f>
        <v>254.48628262499994</v>
      </c>
      <c r="IC835" s="1454">
        <v>3.4</v>
      </c>
    </row>
    <row r="836" spans="229:237" x14ac:dyDescent="0.2">
      <c r="HY836" s="2610">
        <f>+HY835/HY834</f>
        <v>0.16965752174999996</v>
      </c>
      <c r="IC836" s="1454">
        <f>+IC834/IC835</f>
        <v>178.23529411764707</v>
      </c>
    </row>
    <row r="838" spans="229:237" x14ac:dyDescent="0.2">
      <c r="HV838" s="2622">
        <f>+HV829+HV825+HV814</f>
        <v>10.080849150000001</v>
      </c>
      <c r="HX838" s="1454">
        <f>+HY838/HV838</f>
        <v>203.18601918073537</v>
      </c>
      <c r="HY838" s="1454">
        <f>+HY829+HY827</f>
        <v>2048.2876087499999</v>
      </c>
    </row>
    <row r="843" spans="229:237" x14ac:dyDescent="0.2">
      <c r="HV843" s="1454" t="s">
        <v>372</v>
      </c>
    </row>
    <row r="845" spans="229:237" x14ac:dyDescent="0.2">
      <c r="HU845" s="1454" t="s">
        <v>373</v>
      </c>
    </row>
    <row r="846" spans="229:237" x14ac:dyDescent="0.2">
      <c r="HU846" s="1454" t="s">
        <v>374</v>
      </c>
      <c r="HV846" s="2622">
        <v>9.38889</v>
      </c>
      <c r="HX846" s="1454">
        <f>+HY846/HV846</f>
        <v>127.58924920837289</v>
      </c>
      <c r="HY846" s="1454">
        <v>1197.9214260000001</v>
      </c>
    </row>
    <row r="852" spans="239:241" x14ac:dyDescent="0.2">
      <c r="IE852" s="282" t="s">
        <v>404</v>
      </c>
      <c r="IF852" s="2623"/>
      <c r="IG852" s="2624"/>
    </row>
    <row r="853" spans="239:241" ht="25.5" x14ac:dyDescent="0.2">
      <c r="IE853" s="1081" t="s">
        <v>1833</v>
      </c>
      <c r="IF853" s="873" t="s">
        <v>1836</v>
      </c>
      <c r="IG853" s="2862" t="s">
        <v>380</v>
      </c>
    </row>
    <row r="854" spans="239:241" ht="3.95" customHeight="1" x14ac:dyDescent="0.2">
      <c r="IE854" s="864"/>
      <c r="IF854" s="333"/>
      <c r="IG854" s="2850"/>
    </row>
    <row r="855" spans="239:241" s="2575" customFormat="1" x14ac:dyDescent="0.2">
      <c r="IE855" s="2774" t="s">
        <v>381</v>
      </c>
      <c r="IF855" s="2575" t="s">
        <v>382</v>
      </c>
      <c r="IG855" s="2740">
        <v>29.695</v>
      </c>
    </row>
    <row r="856" spans="239:241" x14ac:dyDescent="0.2">
      <c r="IE856" s="2774" t="s">
        <v>383</v>
      </c>
      <c r="IF856" s="2575" t="s">
        <v>384</v>
      </c>
      <c r="IG856" s="2860">
        <v>32.25</v>
      </c>
    </row>
    <row r="857" spans="239:241" x14ac:dyDescent="0.2">
      <c r="IE857" s="2774" t="s">
        <v>866</v>
      </c>
      <c r="IF857" s="2575" t="s">
        <v>385</v>
      </c>
      <c r="IG857" s="2860">
        <v>20.643000000000001</v>
      </c>
    </row>
    <row r="858" spans="239:241" x14ac:dyDescent="0.2">
      <c r="IE858" s="2774" t="s">
        <v>386</v>
      </c>
      <c r="IF858" s="2575" t="s">
        <v>1632</v>
      </c>
      <c r="IG858" s="2860">
        <v>7.9539999999999997</v>
      </c>
    </row>
    <row r="859" spans="239:241" x14ac:dyDescent="0.2">
      <c r="IE859" s="2774" t="s">
        <v>388</v>
      </c>
      <c r="IF859" s="2575" t="s">
        <v>1632</v>
      </c>
      <c r="IG859" s="2860">
        <v>5.4329999999999998</v>
      </c>
    </row>
    <row r="860" spans="239:241" x14ac:dyDescent="0.2">
      <c r="IE860" s="2774" t="s">
        <v>389</v>
      </c>
      <c r="IF860" s="2575" t="s">
        <v>392</v>
      </c>
      <c r="IG860" s="2860">
        <v>26.681000000000001</v>
      </c>
    </row>
    <row r="861" spans="239:241" x14ac:dyDescent="0.2">
      <c r="IE861" s="2774" t="s">
        <v>390</v>
      </c>
      <c r="IF861" s="2575" t="s">
        <v>392</v>
      </c>
      <c r="IG861" s="2860">
        <v>8.83</v>
      </c>
    </row>
    <row r="862" spans="239:241" x14ac:dyDescent="0.2">
      <c r="IE862" s="2774" t="s">
        <v>391</v>
      </c>
      <c r="IF862" s="2575" t="s">
        <v>392</v>
      </c>
      <c r="IG862" s="2860">
        <v>5.21</v>
      </c>
    </row>
    <row r="863" spans="239:241" ht="3.95" customHeight="1" x14ac:dyDescent="0.2">
      <c r="IE863" s="2612"/>
      <c r="IF863" s="2575"/>
      <c r="IG863" s="2708" t="s">
        <v>401</v>
      </c>
    </row>
    <row r="864" spans="239:241" x14ac:dyDescent="0.2">
      <c r="IE864" s="864" t="s">
        <v>403</v>
      </c>
      <c r="IF864" s="333"/>
      <c r="IG864" s="2344">
        <f>SUM(IG855:IG862)</f>
        <v>136.696</v>
      </c>
    </row>
    <row r="865" spans="239:241" x14ac:dyDescent="0.2">
      <c r="IE865" s="2612" t="s">
        <v>399</v>
      </c>
      <c r="IF865" s="2575"/>
      <c r="IG865" s="2650">
        <f>+IG864/2</f>
        <v>68.347999999999999</v>
      </c>
    </row>
    <row r="866" spans="239:241" ht="3.95" customHeight="1" x14ac:dyDescent="0.2">
      <c r="IE866" s="2612"/>
      <c r="IF866" s="2575"/>
      <c r="IG866" s="2708" t="s">
        <v>401</v>
      </c>
    </row>
    <row r="867" spans="239:241" x14ac:dyDescent="0.2">
      <c r="IE867" s="864" t="s">
        <v>777</v>
      </c>
      <c r="IF867" s="333"/>
      <c r="IG867" s="2344">
        <f>+IG864-IG865</f>
        <v>68.347999999999999</v>
      </c>
    </row>
    <row r="868" spans="239:241" ht="3.95" customHeight="1" x14ac:dyDescent="0.2">
      <c r="IE868" s="2612"/>
      <c r="IF868" s="2575"/>
      <c r="IG868" s="2626"/>
    </row>
    <row r="869" spans="239:241" x14ac:dyDescent="0.2">
      <c r="IE869" s="2612" t="s">
        <v>257</v>
      </c>
      <c r="IF869" s="2575"/>
      <c r="IG869" s="2861">
        <v>6.5</v>
      </c>
    </row>
    <row r="870" spans="239:241" ht="3.95" customHeight="1" x14ac:dyDescent="0.2">
      <c r="IE870" s="2612"/>
      <c r="IF870" s="2575"/>
      <c r="IG870" s="2626"/>
    </row>
    <row r="871" spans="239:241" x14ac:dyDescent="0.2">
      <c r="IE871" s="864" t="s">
        <v>400</v>
      </c>
      <c r="IF871" s="333"/>
      <c r="IG871" s="2344">
        <f>+IG867*IG869</f>
        <v>444.262</v>
      </c>
    </row>
    <row r="872" spans="239:241" x14ac:dyDescent="0.2">
      <c r="IE872" s="2612"/>
      <c r="IF872" s="2575"/>
      <c r="IG872" s="2626"/>
    </row>
    <row r="873" spans="239:241" x14ac:dyDescent="0.2">
      <c r="IE873" s="1220" t="s">
        <v>394</v>
      </c>
      <c r="IF873" s="2575"/>
      <c r="IG873" s="2626"/>
    </row>
    <row r="874" spans="239:241" x14ac:dyDescent="0.2">
      <c r="IE874" s="2774" t="s">
        <v>395</v>
      </c>
      <c r="IF874" s="2575" t="s">
        <v>396</v>
      </c>
      <c r="IG874" s="2740">
        <v>18.521000000000001</v>
      </c>
    </row>
    <row r="875" spans="239:241" x14ac:dyDescent="0.2">
      <c r="IE875" s="2774" t="s">
        <v>397</v>
      </c>
      <c r="IF875" s="2575" t="s">
        <v>396</v>
      </c>
      <c r="IG875" s="2860">
        <v>5.3529999999999998</v>
      </c>
    </row>
    <row r="876" spans="239:241" x14ac:dyDescent="0.2">
      <c r="IE876" s="2774" t="s">
        <v>398</v>
      </c>
      <c r="IF876" s="2575" t="s">
        <v>396</v>
      </c>
      <c r="IG876" s="2860">
        <v>25.882999999999999</v>
      </c>
    </row>
    <row r="877" spans="239:241" x14ac:dyDescent="0.2">
      <c r="IE877" s="2774" t="s">
        <v>745</v>
      </c>
      <c r="IF877" s="2575" t="s">
        <v>392</v>
      </c>
      <c r="IG877" s="2860">
        <v>16.84</v>
      </c>
    </row>
    <row r="878" spans="239:241" x14ac:dyDescent="0.2">
      <c r="IE878" s="2774" t="s">
        <v>387</v>
      </c>
      <c r="IF878" s="2575" t="s">
        <v>1632</v>
      </c>
      <c r="IG878" s="2860">
        <v>-1.0329999999999999</v>
      </c>
    </row>
    <row r="879" spans="239:241" x14ac:dyDescent="0.2">
      <c r="IE879" s="2774" t="s">
        <v>393</v>
      </c>
      <c r="IF879" s="2575" t="s">
        <v>105</v>
      </c>
      <c r="IG879" s="2860">
        <v>-4.2990000000000004</v>
      </c>
    </row>
    <row r="880" spans="239:241" ht="3.95" customHeight="1" x14ac:dyDescent="0.2">
      <c r="IE880" s="2612"/>
      <c r="IF880" s="2575"/>
      <c r="IG880" s="2708" t="s">
        <v>401</v>
      </c>
    </row>
    <row r="881" spans="239:255" x14ac:dyDescent="0.2">
      <c r="IE881" s="1081" t="s">
        <v>402</v>
      </c>
      <c r="IF881" s="873"/>
      <c r="IG881" s="2863">
        <f>SUM(IG874:IG879)</f>
        <v>61.265000000000008</v>
      </c>
    </row>
    <row r="884" spans="239:255" ht="51" x14ac:dyDescent="0.2">
      <c r="II884" s="496" t="s">
        <v>1833</v>
      </c>
      <c r="IJ884" s="1007" t="s">
        <v>1836</v>
      </c>
      <c r="IK884" s="1060" t="s">
        <v>2284</v>
      </c>
      <c r="IL884" s="2868" t="s">
        <v>380</v>
      </c>
      <c r="IM884" s="1060" t="s">
        <v>1892</v>
      </c>
      <c r="IN884" s="1060"/>
      <c r="IO884" s="2877" t="s">
        <v>413</v>
      </c>
      <c r="IP884" s="2868" t="s">
        <v>407</v>
      </c>
      <c r="IQ884" s="2868" t="s">
        <v>409</v>
      </c>
      <c r="IR884" s="2868" t="s">
        <v>408</v>
      </c>
      <c r="IS884" s="2868" t="s">
        <v>411</v>
      </c>
      <c r="IT884" s="2868" t="s">
        <v>412</v>
      </c>
      <c r="IU884" s="2869" t="s">
        <v>1714</v>
      </c>
    </row>
    <row r="885" spans="239:255" ht="3.95" customHeight="1" x14ac:dyDescent="0.2">
      <c r="II885" s="2612"/>
      <c r="IJ885" s="333"/>
      <c r="IK885" s="2575"/>
      <c r="IL885" s="2575"/>
      <c r="IM885" s="2575"/>
      <c r="IN885" s="2575"/>
      <c r="IO885" s="2575"/>
      <c r="IP885" s="2575"/>
      <c r="IQ885" s="2575"/>
      <c r="IR885" s="2575"/>
      <c r="IS885" s="2575"/>
      <c r="IT885" s="2575"/>
      <c r="IU885" s="2626"/>
    </row>
    <row r="886" spans="239:255" ht="12.75" customHeight="1" x14ac:dyDescent="0.2">
      <c r="II886" s="287" t="s">
        <v>410</v>
      </c>
      <c r="IJ886" s="333"/>
      <c r="IK886" s="2575"/>
      <c r="IL886" s="2575"/>
      <c r="IM886" s="2575"/>
      <c r="IN886" s="2575"/>
      <c r="IO886" s="2575"/>
      <c r="IP886" s="2575"/>
      <c r="IQ886" s="2575"/>
      <c r="IR886" s="2575"/>
      <c r="IS886" s="2575"/>
      <c r="IT886" s="2575"/>
      <c r="IU886" s="2626"/>
    </row>
    <row r="887" spans="239:255" ht="12.75" customHeight="1" x14ac:dyDescent="0.2">
      <c r="II887" s="2774" t="s">
        <v>381</v>
      </c>
      <c r="IJ887" s="2575" t="s">
        <v>382</v>
      </c>
      <c r="IK887" s="2739">
        <v>121.313</v>
      </c>
      <c r="IL887" s="2784">
        <f>+IG855</f>
        <v>29.695</v>
      </c>
      <c r="IM887" s="2639">
        <f>+IL887/IK887</f>
        <v>0.24478003181851904</v>
      </c>
      <c r="IN887" s="2639"/>
      <c r="IO887" s="2878" t="s">
        <v>406</v>
      </c>
      <c r="IP887" s="2639"/>
      <c r="IQ887" s="2639"/>
      <c r="IR887" s="2639"/>
      <c r="IS887" s="2871"/>
      <c r="IT887" s="2575"/>
      <c r="IU887" s="2626"/>
    </row>
    <row r="888" spans="239:255" ht="12.75" customHeight="1" x14ac:dyDescent="0.2">
      <c r="II888" s="2774"/>
      <c r="IJ888" s="2575"/>
      <c r="IK888" s="2739"/>
      <c r="IL888" s="2784"/>
      <c r="IM888" s="2639"/>
      <c r="IN888" s="2639"/>
      <c r="IO888" s="2878"/>
      <c r="IP888" s="2639"/>
      <c r="IQ888" s="2639"/>
      <c r="IR888" s="2639"/>
      <c r="IS888" s="2871"/>
      <c r="IT888" s="2575"/>
      <c r="IU888" s="2626"/>
    </row>
    <row r="889" spans="239:255" ht="12.75" customHeight="1" x14ac:dyDescent="0.2">
      <c r="II889" s="1115" t="s">
        <v>990</v>
      </c>
      <c r="IJ889" s="2575"/>
      <c r="IK889" s="2739"/>
      <c r="IL889" s="2784"/>
      <c r="IM889" s="2639"/>
      <c r="IN889" s="2639"/>
      <c r="IO889" s="2878"/>
      <c r="IP889" s="2639"/>
      <c r="IQ889" s="2639"/>
      <c r="IR889" s="2639"/>
      <c r="IS889" s="2871"/>
      <c r="IT889" s="2575"/>
      <c r="IU889" s="2626"/>
    </row>
    <row r="890" spans="239:255" x14ac:dyDescent="0.2">
      <c r="II890" s="2774" t="s">
        <v>383</v>
      </c>
      <c r="IJ890" s="2575" t="s">
        <v>384</v>
      </c>
      <c r="IK890" s="2739">
        <v>164.77699999999999</v>
      </c>
      <c r="IL890" s="2784">
        <f>+IG856</f>
        <v>32.25</v>
      </c>
      <c r="IM890" s="2639">
        <f>+IL890/IK890</f>
        <v>0.19571906273326983</v>
      </c>
      <c r="IN890" s="2639"/>
      <c r="IO890" s="2878" t="s">
        <v>406</v>
      </c>
      <c r="IP890" s="2639"/>
      <c r="IQ890" s="2639"/>
      <c r="IR890" s="2639"/>
      <c r="IS890" s="2871"/>
      <c r="IT890" s="2575"/>
      <c r="IU890" s="2626"/>
    </row>
    <row r="891" spans="239:255" x14ac:dyDescent="0.2">
      <c r="II891" s="2774"/>
      <c r="IJ891" s="2575"/>
      <c r="IK891" s="2851"/>
      <c r="IL891" s="2785"/>
      <c r="IM891" s="2639"/>
      <c r="IN891" s="2639"/>
      <c r="IO891" s="2878"/>
      <c r="IP891" s="2639"/>
      <c r="IQ891" s="2639"/>
      <c r="IR891" s="2639"/>
      <c r="IS891" s="2871"/>
      <c r="IT891" s="2575"/>
      <c r="IU891" s="2626"/>
    </row>
    <row r="892" spans="239:255" x14ac:dyDescent="0.2">
      <c r="II892" s="1115" t="s">
        <v>1583</v>
      </c>
      <c r="IJ892" s="2575"/>
      <c r="IK892" s="2851"/>
      <c r="IL892" s="2785"/>
      <c r="IM892" s="2639"/>
      <c r="IN892" s="2639"/>
      <c r="IO892" s="2878"/>
      <c r="IP892" s="2639"/>
      <c r="IQ892" s="2639"/>
      <c r="IR892" s="2639"/>
      <c r="IS892" s="2871"/>
      <c r="IT892" s="2575"/>
      <c r="IU892" s="2626"/>
    </row>
    <row r="893" spans="239:255" x14ac:dyDescent="0.2">
      <c r="II893" s="2774" t="s">
        <v>866</v>
      </c>
      <c r="IJ893" s="2575" t="s">
        <v>385</v>
      </c>
      <c r="IK893" s="2739">
        <v>129.899</v>
      </c>
      <c r="IL893" s="2784">
        <f>+IG857</f>
        <v>20.643000000000001</v>
      </c>
      <c r="IM893" s="2639">
        <f>+IL893/IK893</f>
        <v>0.15891577302365684</v>
      </c>
      <c r="IN893" s="2639"/>
      <c r="IO893" s="2878" t="s">
        <v>406</v>
      </c>
      <c r="IP893" s="2879"/>
      <c r="IQ893" s="2639"/>
      <c r="IR893" s="2639"/>
      <c r="IS893" s="2871"/>
      <c r="IT893" s="2784"/>
      <c r="IU893" s="2865"/>
    </row>
    <row r="894" spans="239:255" x14ac:dyDescent="0.2">
      <c r="II894" s="2774"/>
      <c r="IJ894" s="2575"/>
      <c r="IK894" s="2851"/>
      <c r="IL894" s="2785"/>
      <c r="IM894" s="2639"/>
      <c r="IN894" s="2639"/>
      <c r="IO894" s="2878"/>
      <c r="IP894" s="2639"/>
      <c r="IQ894" s="2639"/>
      <c r="IR894" s="2639"/>
      <c r="IS894" s="2871"/>
      <c r="IT894" s="2784"/>
      <c r="IU894" s="2865"/>
    </row>
    <row r="895" spans="239:255" x14ac:dyDescent="0.2">
      <c r="II895" s="1115" t="s">
        <v>994</v>
      </c>
      <c r="IJ895" s="2575"/>
      <c r="IK895" s="2851"/>
      <c r="IL895" s="2785"/>
      <c r="IM895" s="2639"/>
      <c r="IN895" s="2639"/>
      <c r="IO895" s="2878"/>
      <c r="IP895" s="2639"/>
      <c r="IQ895" s="2639"/>
      <c r="IR895" s="2639"/>
      <c r="IS895" s="2871"/>
      <c r="IT895" s="2784"/>
      <c r="IU895" s="2865"/>
    </row>
    <row r="896" spans="239:255" x14ac:dyDescent="0.2">
      <c r="II896" s="2774" t="s">
        <v>386</v>
      </c>
      <c r="IJ896" s="2575" t="s">
        <v>1632</v>
      </c>
      <c r="IK896" s="2739">
        <v>50.488999999999997</v>
      </c>
      <c r="IL896" s="2784">
        <f>+IG858</f>
        <v>7.9539999999999997</v>
      </c>
      <c r="IM896" s="2639">
        <f>+IL896/IK896</f>
        <v>0.15753926597872805</v>
      </c>
      <c r="IN896" s="2639"/>
      <c r="IO896" s="2639" t="s">
        <v>414</v>
      </c>
      <c r="IP896" s="2879">
        <f>+PENN!AZ234</f>
        <v>66.241841099999988</v>
      </c>
      <c r="IQ896" s="2879">
        <f>+PENN!AZ284</f>
        <v>11.651736330000004</v>
      </c>
      <c r="IR896" s="2639">
        <f>+IQ896/IP896</f>
        <v>0.17589692762932591</v>
      </c>
      <c r="IS896" s="2639">
        <f>+MAX($IR$896,IM896)</f>
        <v>0.17589692762932591</v>
      </c>
      <c r="IT896" s="2784">
        <f>+IK896*IS896</f>
        <v>8.8808599790770355</v>
      </c>
      <c r="IU896" s="2865">
        <f>+IT896-IL896</f>
        <v>0.92685997907703577</v>
      </c>
    </row>
    <row r="897" spans="243:255" x14ac:dyDescent="0.2">
      <c r="II897" s="2774" t="s">
        <v>388</v>
      </c>
      <c r="IJ897" s="2575" t="s">
        <v>1632</v>
      </c>
      <c r="IK897" s="2851">
        <v>29.946999999999999</v>
      </c>
      <c r="IL897" s="2785">
        <f>+IG859</f>
        <v>5.4329999999999998</v>
      </c>
      <c r="IM897" s="2639">
        <f>+IL897/IK897</f>
        <v>0.18142050956690153</v>
      </c>
      <c r="IN897" s="2639"/>
      <c r="IO897" s="2639"/>
      <c r="IP897" s="2649"/>
      <c r="IQ897" s="2649"/>
      <c r="IR897" s="2639"/>
      <c r="IS897" s="2639">
        <f>+MAX($IR$896,IM897)</f>
        <v>0.18142050956690153</v>
      </c>
      <c r="IT897" s="2785">
        <f>+IK897*IS897</f>
        <v>5.4329999999999998</v>
      </c>
      <c r="IU897" s="2723">
        <f>+IT897-IL897</f>
        <v>0</v>
      </c>
    </row>
    <row r="898" spans="243:255" x14ac:dyDescent="0.2">
      <c r="II898" s="2774"/>
      <c r="IJ898" s="2575"/>
      <c r="IK898" s="2851"/>
      <c r="IL898" s="2785"/>
      <c r="IM898" s="2639"/>
      <c r="IN898" s="2639"/>
      <c r="IO898" s="2639"/>
      <c r="IP898" s="2649"/>
      <c r="IQ898" s="2649"/>
      <c r="IR898" s="2639"/>
      <c r="IS898" s="2639"/>
      <c r="IT898" s="2785"/>
      <c r="IU898" s="2723"/>
    </row>
    <row r="899" spans="243:255" x14ac:dyDescent="0.2">
      <c r="II899" s="1115" t="s">
        <v>995</v>
      </c>
      <c r="IJ899" s="2575"/>
      <c r="IK899" s="2851"/>
      <c r="IL899" s="2785"/>
      <c r="IM899" s="2639"/>
      <c r="IN899" s="2639"/>
      <c r="IO899" s="2639"/>
      <c r="IP899" s="2649"/>
      <c r="IQ899" s="2649"/>
      <c r="IR899" s="2639"/>
      <c r="IS899" s="2639"/>
      <c r="IT899" s="2785"/>
      <c r="IU899" s="2723"/>
    </row>
    <row r="900" spans="243:255" x14ac:dyDescent="0.2">
      <c r="II900" s="2774" t="s">
        <v>389</v>
      </c>
      <c r="IJ900" s="2575" t="s">
        <v>392</v>
      </c>
      <c r="IK900" s="2739">
        <v>74.531000000000006</v>
      </c>
      <c r="IL900" s="2784">
        <f>+IG860</f>
        <v>26.681000000000001</v>
      </c>
      <c r="IM900" s="2639">
        <f>+IL900/IK900</f>
        <v>0.35798526787511237</v>
      </c>
      <c r="IN900" s="2639"/>
      <c r="IO900" s="2639" t="s">
        <v>416</v>
      </c>
      <c r="IP900" s="2880">
        <f>+PENN!AZ244</f>
        <v>143.99995633999998</v>
      </c>
      <c r="IQ900" s="2880">
        <f>+PENN!AZ297</f>
        <v>46.688362702962152</v>
      </c>
      <c r="IR900" s="2639">
        <f>+IQ900/IP900</f>
        <v>0.3242248392959628</v>
      </c>
      <c r="IS900" s="2639">
        <f>+MAX($IR$900,IM900)</f>
        <v>0.35798526787511237</v>
      </c>
      <c r="IT900" s="2785">
        <f>+IK900*IS900</f>
        <v>26.681000000000001</v>
      </c>
      <c r="IU900" s="2723">
        <f>+IT900-IL900</f>
        <v>0</v>
      </c>
    </row>
    <row r="901" spans="243:255" x14ac:dyDescent="0.2">
      <c r="II901" s="2774" t="s">
        <v>390</v>
      </c>
      <c r="IJ901" s="2575" t="s">
        <v>392</v>
      </c>
      <c r="IK901" s="2851">
        <v>54.832999999999998</v>
      </c>
      <c r="IL901" s="2785">
        <f>+IG861</f>
        <v>8.83</v>
      </c>
      <c r="IM901" s="2639">
        <f>+IL901/IK901</f>
        <v>0.16103441358306131</v>
      </c>
      <c r="IN901" s="2639"/>
      <c r="IO901" s="2639" t="s">
        <v>415</v>
      </c>
      <c r="IP901" s="2851">
        <v>393.5</v>
      </c>
      <c r="IQ901" s="2851">
        <v>98.7</v>
      </c>
      <c r="IR901" s="2639">
        <f>+IQ901/IP901</f>
        <v>0.25082592121982211</v>
      </c>
      <c r="IS901" s="2639">
        <f>MAX($IR$901,IM901)</f>
        <v>0.25082592121982211</v>
      </c>
      <c r="IT901" s="2785">
        <f>+IK901*IS901</f>
        <v>13.753537738246505</v>
      </c>
      <c r="IU901" s="2723">
        <f>+IT901-IL901</f>
        <v>4.9235377382465053</v>
      </c>
    </row>
    <row r="902" spans="243:255" x14ac:dyDescent="0.2">
      <c r="II902" s="2774" t="s">
        <v>391</v>
      </c>
      <c r="IJ902" s="2575" t="s">
        <v>392</v>
      </c>
      <c r="IK902" s="2851">
        <v>29.879000000000001</v>
      </c>
      <c r="IL902" s="2785">
        <f>+IG862</f>
        <v>5.21</v>
      </c>
      <c r="IM902" s="2639">
        <f>+IL902/IK902</f>
        <v>0.17436995883396364</v>
      </c>
      <c r="IN902" s="2639"/>
      <c r="IO902" s="2639"/>
      <c r="IP902" s="2649"/>
      <c r="IQ902" s="2649"/>
      <c r="IR902" s="2639"/>
      <c r="IS902" s="2639">
        <f>MAX($IR$901,IM902)</f>
        <v>0.25082592121982211</v>
      </c>
      <c r="IT902" s="2785">
        <f>+IK902*IS902</f>
        <v>7.4944277001270656</v>
      </c>
      <c r="IU902" s="2723">
        <f>+IT902-IL902</f>
        <v>2.2844277001270656</v>
      </c>
    </row>
    <row r="903" spans="243:255" ht="3.95" customHeight="1" x14ac:dyDescent="0.2">
      <c r="II903" s="2612"/>
      <c r="IJ903" s="2575"/>
      <c r="IK903" s="2707" t="s">
        <v>229</v>
      </c>
      <c r="IL903" s="2707" t="s">
        <v>229</v>
      </c>
      <c r="IM903" s="2707"/>
      <c r="IN903" s="2707"/>
      <c r="IO903" s="2707"/>
      <c r="IP903" s="2707"/>
      <c r="IQ903" s="2707"/>
      <c r="IR903" s="2707"/>
      <c r="IS903" s="2575"/>
      <c r="IT903" s="2575"/>
      <c r="IU903" s="2708" t="s">
        <v>229</v>
      </c>
    </row>
    <row r="904" spans="243:255" x14ac:dyDescent="0.2">
      <c r="II904" s="864" t="s">
        <v>841</v>
      </c>
      <c r="IJ904" s="333"/>
      <c r="IK904" s="2864">
        <f>SUM(IK887:IK902)</f>
        <v>655.66799999999989</v>
      </c>
      <c r="IL904" s="2864">
        <f>SUM(IL887:IL902)</f>
        <v>136.696</v>
      </c>
      <c r="IM904" s="2864"/>
      <c r="IN904" s="2864"/>
      <c r="IO904" s="2864"/>
      <c r="IP904" s="2864"/>
      <c r="IQ904" s="2864"/>
      <c r="IR904" s="2864"/>
      <c r="IS904" s="2575"/>
      <c r="IT904" s="2575"/>
      <c r="IU904" s="2866">
        <f>SUM(IU896:IV902)</f>
        <v>8.1348254174506067</v>
      </c>
    </row>
    <row r="905" spans="243:255" x14ac:dyDescent="0.2">
      <c r="II905" s="1633" t="s">
        <v>405</v>
      </c>
      <c r="IJ905" s="2870"/>
      <c r="IK905" s="2617"/>
      <c r="IL905" s="2617"/>
      <c r="IM905" s="2617"/>
      <c r="IN905" s="2617"/>
      <c r="IO905" s="2617"/>
      <c r="IP905" s="2617"/>
      <c r="IQ905" s="2617"/>
      <c r="IR905" s="2617"/>
      <c r="IS905" s="2617"/>
      <c r="IT905" s="2617"/>
      <c r="IU905" s="2867">
        <f>+IU904/IL904</f>
        <v>5.9510339859619933E-2</v>
      </c>
    </row>
    <row r="914" spans="245:246" x14ac:dyDescent="0.2">
      <c r="IK914" s="2739">
        <v>73.694999999999993</v>
      </c>
      <c r="IL914" s="2739"/>
    </row>
    <row r="915" spans="245:246" x14ac:dyDescent="0.2">
      <c r="IK915" s="2851">
        <v>25.013999999999999</v>
      </c>
      <c r="IL915" s="2851"/>
    </row>
    <row r="916" spans="245:246" x14ac:dyDescent="0.2">
      <c r="IK916" s="2851">
        <v>85.361000000000004</v>
      </c>
      <c r="IL916" s="2851"/>
    </row>
    <row r="917" spans="245:246" x14ac:dyDescent="0.2">
      <c r="IK917" s="2851">
        <v>70.385000000000005</v>
      </c>
      <c r="IL917" s="2851"/>
    </row>
    <row r="918" spans="245:246" x14ac:dyDescent="0.2">
      <c r="IK918" s="2851">
        <v>20.190000000000001</v>
      </c>
      <c r="IL918" s="2851"/>
    </row>
    <row r="919" spans="245:246" x14ac:dyDescent="0.2">
      <c r="IK919" s="2851">
        <v>23.574999999999999</v>
      </c>
      <c r="IL919" s="2851"/>
    </row>
    <row r="920" spans="245:246" x14ac:dyDescent="0.2">
      <c r="IK920" s="2707" t="s">
        <v>401</v>
      </c>
      <c r="IL920" s="2707"/>
    </row>
    <row r="921" spans="245:246" x14ac:dyDescent="0.2">
      <c r="IK921" s="512">
        <f>SUM(IK914:IK919)</f>
        <v>298.21999999999997</v>
      </c>
      <c r="IL921" s="512"/>
    </row>
  </sheetData>
  <mergeCells count="4">
    <mergeCell ref="GI489:GI491"/>
    <mergeCell ref="GI545:GI547"/>
    <mergeCell ref="HK716:HK719"/>
    <mergeCell ref="GI517:GI519"/>
  </mergeCells>
  <phoneticPr fontId="13" type="noConversion"/>
  <pageMargins left="0" right="0" top="0" bottom="0" header="0" footer="0"/>
  <pageSetup paperSize="5" orientation="landscape"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32"/>
  <sheetViews>
    <sheetView zoomScale="85" workbookViewId="0">
      <pane xSplit="1" ySplit="5" topLeftCell="B6" activePane="bottomRight" state="frozenSplit"/>
      <selection activeCell="C44" sqref="C44"/>
      <selection pane="topRight" activeCell="C44" sqref="C44"/>
      <selection pane="bottomLeft" activeCell="C44" sqref="C44"/>
      <selection pane="bottomRight" activeCell="B6" sqref="B6"/>
    </sheetView>
  </sheetViews>
  <sheetFormatPr defaultRowHeight="15.75" x14ac:dyDescent="0.25"/>
  <cols>
    <col min="1" max="1" width="24.75" customWidth="1"/>
    <col min="2" max="2" width="1.625" customWidth="1"/>
    <col min="17" max="17" width="2.25" customWidth="1"/>
  </cols>
  <sheetData>
    <row r="1" spans="1:16" x14ac:dyDescent="0.25">
      <c r="A1" s="10" t="s">
        <v>892</v>
      </c>
      <c r="B1" s="11"/>
      <c r="C1" s="11"/>
      <c r="D1" s="11"/>
      <c r="E1" s="11"/>
      <c r="F1" s="11"/>
      <c r="G1" s="11"/>
      <c r="H1" s="11"/>
      <c r="I1" s="11"/>
      <c r="J1" s="11"/>
      <c r="K1" s="11"/>
      <c r="L1" s="11"/>
      <c r="M1" s="11"/>
      <c r="N1" s="11"/>
      <c r="O1" s="11"/>
      <c r="P1" s="11"/>
    </row>
    <row r="2" spans="1:16" x14ac:dyDescent="0.25">
      <c r="A2" s="10" t="s">
        <v>1117</v>
      </c>
      <c r="B2" s="11"/>
      <c r="C2" s="11"/>
      <c r="D2" s="11"/>
      <c r="E2" s="11"/>
      <c r="F2" s="11"/>
      <c r="G2" s="11"/>
      <c r="H2" s="11"/>
      <c r="I2" s="11"/>
      <c r="J2" s="11"/>
      <c r="K2" s="11"/>
      <c r="L2" s="11"/>
      <c r="M2" s="11"/>
      <c r="N2" s="11"/>
      <c r="O2" s="11"/>
      <c r="P2" s="11"/>
    </row>
    <row r="3" spans="1:16" x14ac:dyDescent="0.25">
      <c r="A3" s="11" t="s">
        <v>1458</v>
      </c>
      <c r="B3" s="11"/>
      <c r="C3" s="11"/>
      <c r="D3" s="11"/>
      <c r="E3" s="11"/>
      <c r="F3" s="11"/>
      <c r="G3" s="11"/>
      <c r="H3" s="11"/>
      <c r="I3" s="11"/>
      <c r="J3" s="11"/>
      <c r="K3" s="11"/>
      <c r="L3" s="11"/>
      <c r="M3" s="11"/>
      <c r="N3" s="11"/>
      <c r="O3" s="11"/>
      <c r="P3" s="11"/>
    </row>
    <row r="4" spans="1:16" x14ac:dyDescent="0.25">
      <c r="A4" s="11"/>
      <c r="B4" s="11"/>
      <c r="C4" s="11"/>
      <c r="D4" s="11"/>
      <c r="E4" s="11"/>
      <c r="F4" s="11"/>
      <c r="G4" s="11"/>
      <c r="H4" s="11"/>
      <c r="I4" s="11"/>
      <c r="J4" s="11"/>
      <c r="K4" s="11"/>
      <c r="L4" s="11"/>
      <c r="M4" s="11"/>
      <c r="N4" s="11"/>
      <c r="O4" s="11"/>
      <c r="P4" s="11"/>
    </row>
    <row r="5" spans="1:16" x14ac:dyDescent="0.25">
      <c r="A5" s="2092"/>
      <c r="B5" s="2093"/>
      <c r="C5" s="2093">
        <v>2004</v>
      </c>
      <c r="D5" s="2093">
        <f>C5+1</f>
        <v>2005</v>
      </c>
      <c r="E5" s="2093">
        <f>D5+1</f>
        <v>2006</v>
      </c>
      <c r="F5" s="2093">
        <f>E5+1</f>
        <v>2007</v>
      </c>
      <c r="G5" s="2093">
        <f>F5+1</f>
        <v>2008</v>
      </c>
      <c r="H5" s="2093">
        <v>2009</v>
      </c>
      <c r="I5" s="2093">
        <v>2010</v>
      </c>
      <c r="J5" s="2093">
        <v>2011</v>
      </c>
      <c r="K5" s="2093">
        <v>2012</v>
      </c>
      <c r="L5" s="2093">
        <v>2013</v>
      </c>
      <c r="M5" s="2093" t="s">
        <v>1138</v>
      </c>
      <c r="N5" s="2093" t="s">
        <v>1139</v>
      </c>
      <c r="O5" s="2093" t="s">
        <v>567</v>
      </c>
      <c r="P5" s="2093" t="s">
        <v>2043</v>
      </c>
    </row>
    <row r="6" spans="1:16" x14ac:dyDescent="0.25">
      <c r="A6" s="428"/>
      <c r="B6" s="503"/>
      <c r="C6" s="503"/>
      <c r="D6" s="503"/>
      <c r="E6" s="503"/>
      <c r="F6" s="503"/>
      <c r="G6" s="503"/>
      <c r="H6" s="503"/>
      <c r="I6" s="503"/>
      <c r="J6" s="503"/>
      <c r="K6" s="503"/>
      <c r="L6" s="503"/>
      <c r="M6" s="428"/>
      <c r="N6" s="428"/>
      <c r="O6" s="428"/>
      <c r="P6" s="428"/>
    </row>
    <row r="7" spans="1:16" x14ac:dyDescent="0.25">
      <c r="A7" s="1070" t="s">
        <v>1118</v>
      </c>
      <c r="B7" s="503"/>
      <c r="C7" s="503"/>
      <c r="D7" s="503"/>
      <c r="E7" s="503"/>
      <c r="F7" s="503"/>
      <c r="G7" s="503"/>
      <c r="H7" s="503"/>
      <c r="I7" s="503"/>
      <c r="J7" s="503"/>
      <c r="K7" s="503"/>
      <c r="L7" s="503"/>
      <c r="M7" s="428"/>
      <c r="N7" s="428"/>
      <c r="O7" s="428"/>
      <c r="P7" s="428"/>
    </row>
    <row r="8" spans="1:16" x14ac:dyDescent="0.25">
      <c r="A8" s="1227" t="s">
        <v>1119</v>
      </c>
      <c r="B8" s="503"/>
      <c r="C8" s="692">
        <f>+PENN!G90</f>
        <v>88.703000000000046</v>
      </c>
      <c r="D8" s="692">
        <f>+PENN!L90</f>
        <v>128.76313191914718</v>
      </c>
      <c r="E8" s="692">
        <f>+PENN!Q90</f>
        <v>129.62600000000009</v>
      </c>
      <c r="F8" s="692">
        <f>+PENN!V90</f>
        <v>160.05299999999994</v>
      </c>
      <c r="G8" s="692">
        <f>+PENN!AA90</f>
        <v>160.90070999999995</v>
      </c>
      <c r="H8" s="692">
        <f>+PENN!AF90</f>
        <v>108.4973499999999</v>
      </c>
      <c r="I8" s="692">
        <f>+PENN!AK90</f>
        <v>58.819040000000044</v>
      </c>
      <c r="J8" s="692">
        <f>+PENN!AP90</f>
        <v>243.42430000000007</v>
      </c>
      <c r="K8" s="692">
        <f>+PENN!AU90</f>
        <v>253.87139999999991</v>
      </c>
      <c r="L8" s="692">
        <f>+PENN!AZ90</f>
        <v>158.34580000000028</v>
      </c>
      <c r="M8" s="692">
        <f>+PENN!BE90</f>
        <v>-59.109399999999994</v>
      </c>
      <c r="N8" s="692">
        <f>+PENN!BJ90</f>
        <v>22.260399999999954</v>
      </c>
      <c r="O8" s="692">
        <f>+PENN!BO90</f>
        <v>106.14260000000012</v>
      </c>
      <c r="P8" s="692">
        <f>+PENN!BT90</f>
        <v>-232.22519999999992</v>
      </c>
    </row>
    <row r="9" spans="1:16" x14ac:dyDescent="0.25">
      <c r="A9" s="1227" t="s">
        <v>1120</v>
      </c>
      <c r="B9" s="503"/>
      <c r="C9" s="649"/>
      <c r="D9" s="649"/>
      <c r="E9" s="649"/>
      <c r="F9" s="649"/>
      <c r="G9" s="649"/>
      <c r="H9" s="649">
        <f>-PENN!AF78</f>
        <v>2.4649999999999999</v>
      </c>
      <c r="I9" s="649">
        <f>-PENN!AK78</f>
        <v>2.1930000000000001</v>
      </c>
      <c r="J9" s="649">
        <f>-PENN!AP78</f>
        <v>0</v>
      </c>
      <c r="K9" s="649">
        <f>-PENN!AU78</f>
        <v>0</v>
      </c>
      <c r="L9" s="649">
        <f>-PENN!AZ78</f>
        <v>0</v>
      </c>
      <c r="M9" s="649">
        <f>-PENN!BE78</f>
        <v>0</v>
      </c>
      <c r="N9" s="649">
        <f>-PENN!BJ78</f>
        <v>0</v>
      </c>
      <c r="O9" s="649">
        <f>-PENN!BO78</f>
        <v>0</v>
      </c>
      <c r="P9" s="649">
        <f>-PENN!BT78</f>
        <v>0</v>
      </c>
    </row>
    <row r="10" spans="1:16" x14ac:dyDescent="0.25">
      <c r="A10" s="1227" t="s">
        <v>1121</v>
      </c>
      <c r="B10" s="503"/>
      <c r="C10" s="649">
        <f>-PENN!G68*(1-0.39)</f>
        <v>46.235559999999992</v>
      </c>
      <c r="D10" s="649">
        <f>-PENN!L68*(1-0.39)</f>
        <v>54.499839999999992</v>
      </c>
      <c r="E10" s="649">
        <f>-PENN!Q68*(1-0.39)</f>
        <v>119.76008</v>
      </c>
      <c r="F10" s="649">
        <f>-PENN!V68*(1-0.39)</f>
        <v>120.81599</v>
      </c>
      <c r="G10" s="649">
        <f>-PENN!AA68*(1-0.39)</f>
        <v>103.59447</v>
      </c>
      <c r="H10" s="649">
        <f>-PENN!AF68*(1-0.39)</f>
        <v>82.34023999999998</v>
      </c>
      <c r="I10" s="649">
        <f>-PENN!AK68*(1-0.39)</f>
        <v>79.431150000000002</v>
      </c>
      <c r="J10" s="649">
        <f>-PENN!AP68*(1-0.39)</f>
        <v>60.734039999999993</v>
      </c>
      <c r="K10" s="649">
        <f>-PENN!AU68*(1-0.39)</f>
        <v>49.678399999999996</v>
      </c>
      <c r="L10" s="649">
        <f>-PENN!AZ68*(1-0.39)</f>
        <v>59.226119999999995</v>
      </c>
      <c r="M10" s="649">
        <f>-PENN!BE68*(1-0.39)</f>
        <v>259.31953999999996</v>
      </c>
      <c r="N10" s="649">
        <f>-PENN!BJ68*(1-0.39)</f>
        <v>270.30747000000002</v>
      </c>
      <c r="O10" s="649">
        <f>-PENN!BO68*(1-0.39)</f>
        <v>280.13822999999996</v>
      </c>
      <c r="P10" s="649">
        <f>-PENN!BT68*(1-0.39)</f>
        <v>284.72420999999997</v>
      </c>
    </row>
    <row r="11" spans="1:16" x14ac:dyDescent="0.25">
      <c r="A11" s="1227" t="s">
        <v>1122</v>
      </c>
      <c r="B11" s="503"/>
      <c r="C11" s="649">
        <v>0</v>
      </c>
      <c r="D11" s="649">
        <v>0</v>
      </c>
      <c r="E11" s="649">
        <v>0</v>
      </c>
      <c r="F11" s="649">
        <v>0</v>
      </c>
      <c r="G11" s="649">
        <v>0</v>
      </c>
      <c r="H11" s="649">
        <v>0</v>
      </c>
      <c r="I11" s="649">
        <v>0</v>
      </c>
      <c r="J11" s="649">
        <v>0</v>
      </c>
      <c r="K11" s="649">
        <v>0</v>
      </c>
      <c r="L11" s="649">
        <v>0</v>
      </c>
      <c r="M11" s="649">
        <v>0</v>
      </c>
      <c r="N11" s="649">
        <v>0</v>
      </c>
      <c r="O11" s="649">
        <v>0</v>
      </c>
      <c r="P11" s="649">
        <v>0</v>
      </c>
    </row>
    <row r="12" spans="1:16" x14ac:dyDescent="0.25">
      <c r="A12" s="1227" t="s">
        <v>1123</v>
      </c>
      <c r="B12" s="503"/>
      <c r="C12" s="649">
        <v>0</v>
      </c>
      <c r="D12" s="649">
        <v>0</v>
      </c>
      <c r="E12" s="649">
        <v>0</v>
      </c>
      <c r="F12" s="649">
        <v>0</v>
      </c>
      <c r="G12" s="649">
        <v>0</v>
      </c>
      <c r="H12" s="649">
        <v>0</v>
      </c>
      <c r="I12" s="649">
        <v>0</v>
      </c>
      <c r="J12" s="649">
        <v>0</v>
      </c>
      <c r="K12" s="649">
        <v>0</v>
      </c>
      <c r="L12" s="649">
        <v>0</v>
      </c>
      <c r="M12" s="649">
        <v>0</v>
      </c>
      <c r="N12" s="649">
        <v>0</v>
      </c>
      <c r="O12" s="649">
        <v>0</v>
      </c>
      <c r="P12" s="649">
        <v>0</v>
      </c>
    </row>
    <row r="13" spans="1:16" x14ac:dyDescent="0.25">
      <c r="A13" s="1227" t="s">
        <v>1124</v>
      </c>
      <c r="B13" s="503"/>
      <c r="C13" s="649">
        <v>0</v>
      </c>
      <c r="D13" s="649">
        <v>0</v>
      </c>
      <c r="E13" s="649">
        <v>0</v>
      </c>
      <c r="F13" s="649">
        <v>0</v>
      </c>
      <c r="G13" s="649">
        <v>0</v>
      </c>
      <c r="H13" s="649">
        <v>0</v>
      </c>
      <c r="I13" s="649">
        <v>0</v>
      </c>
      <c r="J13" s="649">
        <v>0</v>
      </c>
      <c r="K13" s="649">
        <v>0</v>
      </c>
      <c r="L13" s="649">
        <v>0</v>
      </c>
      <c r="M13" s="649">
        <v>0</v>
      </c>
      <c r="N13" s="649">
        <v>0</v>
      </c>
      <c r="O13" s="649">
        <v>0</v>
      </c>
      <c r="P13" s="649">
        <v>0</v>
      </c>
    </row>
    <row r="14" spans="1:16" x14ac:dyDescent="0.25">
      <c r="A14" s="1227" t="s">
        <v>1125</v>
      </c>
      <c r="B14" s="2094"/>
      <c r="C14" s="649">
        <v>0</v>
      </c>
      <c r="D14" s="649">
        <v>0</v>
      </c>
      <c r="E14" s="649">
        <v>0</v>
      </c>
      <c r="F14" s="649">
        <v>0</v>
      </c>
      <c r="G14" s="649">
        <v>0</v>
      </c>
      <c r="H14" s="649">
        <v>0</v>
      </c>
      <c r="I14" s="649">
        <v>0</v>
      </c>
      <c r="J14" s="649">
        <v>0</v>
      </c>
      <c r="K14" s="649">
        <v>0</v>
      </c>
      <c r="L14" s="649">
        <v>0</v>
      </c>
      <c r="M14" s="649">
        <v>0</v>
      </c>
      <c r="N14" s="649">
        <v>0</v>
      </c>
      <c r="O14" s="649">
        <v>0</v>
      </c>
      <c r="P14" s="649">
        <v>0</v>
      </c>
    </row>
    <row r="15" spans="1:16" x14ac:dyDescent="0.25">
      <c r="A15" s="2095" t="s">
        <v>1126</v>
      </c>
      <c r="B15" s="2096"/>
      <c r="C15" s="2097">
        <f t="shared" ref="C15:P15" si="0">SUM(C8:C14)</f>
        <v>134.93856000000005</v>
      </c>
      <c r="D15" s="2097">
        <f t="shared" si="0"/>
        <v>183.26297191914716</v>
      </c>
      <c r="E15" s="2097">
        <f t="shared" si="0"/>
        <v>249.38608000000011</v>
      </c>
      <c r="F15" s="2097">
        <f t="shared" si="0"/>
        <v>280.86898999999994</v>
      </c>
      <c r="G15" s="2097">
        <f t="shared" si="0"/>
        <v>264.49517999999995</v>
      </c>
      <c r="H15" s="2097">
        <f t="shared" si="0"/>
        <v>193.3025899999999</v>
      </c>
      <c r="I15" s="2097">
        <f t="shared" si="0"/>
        <v>140.44319000000004</v>
      </c>
      <c r="J15" s="2097">
        <f t="shared" si="0"/>
        <v>304.15834000000007</v>
      </c>
      <c r="K15" s="2097">
        <f t="shared" si="0"/>
        <v>303.54979999999989</v>
      </c>
      <c r="L15" s="2097">
        <f t="shared" si="0"/>
        <v>217.57192000000026</v>
      </c>
      <c r="M15" s="2097">
        <f t="shared" si="0"/>
        <v>200.21013999999997</v>
      </c>
      <c r="N15" s="2097">
        <f t="shared" si="0"/>
        <v>292.56786999999997</v>
      </c>
      <c r="O15" s="2097">
        <f t="shared" si="0"/>
        <v>386.28083000000009</v>
      </c>
      <c r="P15" s="2098">
        <f t="shared" si="0"/>
        <v>52.499010000000055</v>
      </c>
    </row>
    <row r="16" spans="1:16" x14ac:dyDescent="0.25">
      <c r="A16" s="533"/>
      <c r="B16" s="710"/>
      <c r="C16" s="428"/>
      <c r="D16" s="428"/>
      <c r="E16" s="428"/>
      <c r="F16" s="428"/>
      <c r="G16" s="428"/>
      <c r="H16" s="428"/>
      <c r="I16" s="428"/>
      <c r="J16" s="428"/>
      <c r="K16" s="428"/>
      <c r="L16" s="428"/>
      <c r="M16" s="428"/>
      <c r="N16" s="428"/>
      <c r="O16" s="428"/>
      <c r="P16" s="428"/>
    </row>
    <row r="17" spans="1:16" x14ac:dyDescent="0.25">
      <c r="A17" s="1070" t="s">
        <v>1127</v>
      </c>
      <c r="B17" s="1165"/>
      <c r="C17" s="428"/>
      <c r="D17" s="428"/>
      <c r="E17" s="428"/>
      <c r="F17" s="428"/>
      <c r="G17" s="428"/>
      <c r="H17" s="428"/>
      <c r="I17" s="428"/>
      <c r="J17" s="428"/>
      <c r="K17" s="428"/>
      <c r="L17" s="428"/>
      <c r="M17" s="428"/>
      <c r="N17" s="428"/>
      <c r="O17" s="428"/>
      <c r="P17" s="428"/>
    </row>
    <row r="18" spans="1:16" x14ac:dyDescent="0.25">
      <c r="A18" s="1227" t="s">
        <v>1128</v>
      </c>
      <c r="B18" s="1165"/>
      <c r="C18" s="649">
        <f>+PENN!G1421</f>
        <v>398.09199999999998</v>
      </c>
      <c r="D18" s="649">
        <f>+PENN!L1421</f>
        <v>546.54300000000001</v>
      </c>
      <c r="E18" s="649">
        <f>+PENN!Q1421</f>
        <v>921.16300000000001</v>
      </c>
      <c r="F18" s="649">
        <f>+PENN!V1421</f>
        <v>1120.962</v>
      </c>
      <c r="G18" s="649">
        <f>+PENN!AA1421</f>
        <v>2057.2729999999997</v>
      </c>
      <c r="H18" s="649">
        <f>+PENN!AF1421</f>
        <v>1852.6410000000001</v>
      </c>
      <c r="I18" s="649">
        <f>+PENN!AK1421</f>
        <v>1777.7660000000001</v>
      </c>
      <c r="J18" s="649">
        <f>+PENN!AP1421</f>
        <v>1971.6310000000001</v>
      </c>
      <c r="K18" s="649">
        <f>+PENN!AU1421</f>
        <v>2250.9290000000001</v>
      </c>
      <c r="L18" s="649">
        <f>+PENN!AZ1421</f>
        <v>758.40000000000009</v>
      </c>
      <c r="M18" s="649">
        <f>+PENN!BE1421</f>
        <v>-708.01400000000012</v>
      </c>
      <c r="N18" s="649">
        <f>+PENN!BJ1421</f>
        <v>-678.04299999999978</v>
      </c>
      <c r="O18" s="649">
        <f>+PENN!BO1421</f>
        <v>-543.31999999999994</v>
      </c>
      <c r="P18" s="649">
        <f>+PENN!BT1421</f>
        <v>-73.145999999999987</v>
      </c>
    </row>
    <row r="19" spans="1:16" x14ac:dyDescent="0.25">
      <c r="A19" s="1227" t="s">
        <v>1129</v>
      </c>
      <c r="B19" s="1165"/>
      <c r="C19" s="649">
        <f>+PENN!G1406</f>
        <v>858.90899999999999</v>
      </c>
      <c r="D19" s="649">
        <f>+PENN!L1406</f>
        <v>2786.2289999999998</v>
      </c>
      <c r="E19" s="649">
        <f>+PENN!Q1406</f>
        <v>2829.4480000000003</v>
      </c>
      <c r="F19" s="649">
        <f>+PENN!V1406</f>
        <v>2974.922</v>
      </c>
      <c r="G19" s="649">
        <f>+PENN!AA1406</f>
        <v>2430.1800000000003</v>
      </c>
      <c r="H19" s="649">
        <f>+PENN!AF1406</f>
        <v>2334.777</v>
      </c>
      <c r="I19" s="649">
        <f>+PENN!AK1406</f>
        <v>2171.123</v>
      </c>
      <c r="J19" s="649">
        <f>+PENN!AP1406</f>
        <v>2043.165</v>
      </c>
      <c r="K19" s="649">
        <f>+PENN!AU1406</f>
        <v>2730.57</v>
      </c>
      <c r="L19" s="649">
        <f>+PENN!AZ1406</f>
        <v>1050.7920000000001</v>
      </c>
      <c r="M19" s="649">
        <f>+PENN!BE1406</f>
        <v>4806.0590000000002</v>
      </c>
      <c r="N19" s="649">
        <f>+PENN!BJ1406</f>
        <v>5225.0390000000007</v>
      </c>
      <c r="O19" s="649">
        <f>+PENN!BO1406</f>
        <v>4873.0190000000011</v>
      </c>
      <c r="P19" s="649">
        <f>+PENN!BT1406</f>
        <v>4732.8099999999995</v>
      </c>
    </row>
    <row r="20" spans="1:16" x14ac:dyDescent="0.25">
      <c r="A20" s="1227" t="s">
        <v>1130</v>
      </c>
      <c r="B20" s="1165"/>
      <c r="C20" s="649"/>
      <c r="D20" s="649"/>
      <c r="E20" s="649"/>
      <c r="F20" s="649"/>
      <c r="G20" s="2099">
        <v>1250</v>
      </c>
      <c r="H20" s="2099">
        <v>1250</v>
      </c>
      <c r="I20" s="2099">
        <v>1250</v>
      </c>
      <c r="J20" s="2099">
        <v>1250</v>
      </c>
      <c r="K20" s="2099">
        <v>1250</v>
      </c>
      <c r="L20" s="649">
        <v>0</v>
      </c>
      <c r="M20" s="649">
        <v>0</v>
      </c>
      <c r="N20" s="649">
        <v>0</v>
      </c>
      <c r="O20" s="649"/>
      <c r="P20" s="649"/>
    </row>
    <row r="21" spans="1:16" x14ac:dyDescent="0.25">
      <c r="A21" s="1227" t="s">
        <v>1131</v>
      </c>
      <c r="B21" s="1165"/>
      <c r="C21" s="649">
        <f>+PENN!G1411</f>
        <v>212.78900000000002</v>
      </c>
      <c r="D21" s="649">
        <f>+PENN!L1411</f>
        <v>534.8900000000001</v>
      </c>
      <c r="E21" s="649">
        <f>+PENN!Q1411</f>
        <v>387.858</v>
      </c>
      <c r="F21" s="649">
        <f>+PENN!V1411</f>
        <v>470.726</v>
      </c>
      <c r="G21" s="649">
        <f>+PENN!AA1411</f>
        <v>337.01800000000003</v>
      </c>
      <c r="H21" s="649">
        <f>+PENN!AF1411</f>
        <v>181.578</v>
      </c>
      <c r="I21" s="649">
        <f>+PENN!AK1411</f>
        <v>180.38800000000001</v>
      </c>
      <c r="J21" s="649">
        <f>+PENN!AP1411</f>
        <v>209.76900000000001</v>
      </c>
      <c r="K21" s="649">
        <f>+PENN!AU1411</f>
        <v>244.43600000000001</v>
      </c>
      <c r="L21" s="649">
        <f>+PENN!AZ1411</f>
        <v>40.928000000000004</v>
      </c>
      <c r="M21" s="649">
        <f>+PENN!BE1411</f>
        <v>113.11499999999999</v>
      </c>
      <c r="N21" s="649">
        <f>+PENN!BJ1411</f>
        <v>126.09</v>
      </c>
      <c r="O21" s="649">
        <f>+PENN!BO1411</f>
        <v>194.06400000000002</v>
      </c>
      <c r="P21" s="649">
        <f>+PENN!BT1411</f>
        <v>80.751000000000005</v>
      </c>
    </row>
    <row r="22" spans="1:16" x14ac:dyDescent="0.25">
      <c r="A22" s="2095" t="s">
        <v>1127</v>
      </c>
      <c r="B22" s="2096"/>
      <c r="C22" s="2100">
        <f t="shared" ref="C22:P22" si="1">SUM(C18:C21)</f>
        <v>1469.79</v>
      </c>
      <c r="D22" s="2100">
        <f t="shared" si="1"/>
        <v>3867.6620000000003</v>
      </c>
      <c r="E22" s="2100">
        <f t="shared" si="1"/>
        <v>4138.4690000000001</v>
      </c>
      <c r="F22" s="2100">
        <f t="shared" si="1"/>
        <v>4566.6099999999997</v>
      </c>
      <c r="G22" s="2100">
        <f t="shared" si="1"/>
        <v>6074.4709999999995</v>
      </c>
      <c r="H22" s="2100">
        <f t="shared" si="1"/>
        <v>5618.9960000000001</v>
      </c>
      <c r="I22" s="2100">
        <f t="shared" si="1"/>
        <v>5379.277</v>
      </c>
      <c r="J22" s="2100">
        <f t="shared" si="1"/>
        <v>5474.5650000000005</v>
      </c>
      <c r="K22" s="2100">
        <f t="shared" si="1"/>
        <v>6475.9349999999995</v>
      </c>
      <c r="L22" s="2100">
        <f t="shared" si="1"/>
        <v>1850.1200000000003</v>
      </c>
      <c r="M22" s="2100">
        <f t="shared" si="1"/>
        <v>4211.16</v>
      </c>
      <c r="N22" s="2100">
        <f t="shared" si="1"/>
        <v>4673.0860000000011</v>
      </c>
      <c r="O22" s="2100">
        <f t="shared" si="1"/>
        <v>4523.7630000000017</v>
      </c>
      <c r="P22" s="2101">
        <f t="shared" si="1"/>
        <v>4740.415</v>
      </c>
    </row>
    <row r="23" spans="1:16" x14ac:dyDescent="0.25">
      <c r="A23" s="1227"/>
      <c r="B23" s="428"/>
      <c r="C23" s="428"/>
      <c r="D23" s="428"/>
      <c r="E23" s="428"/>
      <c r="F23" s="428"/>
      <c r="G23" s="428"/>
      <c r="H23" s="428"/>
      <c r="I23" s="428"/>
      <c r="J23" s="428"/>
      <c r="K23" s="428"/>
      <c r="L23" s="428"/>
      <c r="M23" s="428"/>
      <c r="N23" s="428"/>
      <c r="O23" s="428"/>
      <c r="P23" s="428"/>
    </row>
    <row r="24" spans="1:16" x14ac:dyDescent="0.25">
      <c r="A24" s="432" t="s">
        <v>817</v>
      </c>
      <c r="B24" s="2061"/>
      <c r="C24" s="1817">
        <f t="shared" ref="C24:P24" si="2">C15/AVERAGE(C22,B22)</f>
        <v>9.1808054211826223E-2</v>
      </c>
      <c r="D24" s="1817">
        <f t="shared" si="2"/>
        <v>6.8670583611486216E-2</v>
      </c>
      <c r="E24" s="1817">
        <f t="shared" si="2"/>
        <v>6.229877577571491E-2</v>
      </c>
      <c r="F24" s="1817">
        <f t="shared" si="2"/>
        <v>6.4529911790576502E-2</v>
      </c>
      <c r="G24" s="1817">
        <f t="shared" si="2"/>
        <v>4.9712088461689181E-2</v>
      </c>
      <c r="H24" s="1817">
        <f t="shared" si="2"/>
        <v>3.3061638605556401E-2</v>
      </c>
      <c r="I24" s="1817">
        <f t="shared" si="2"/>
        <v>2.5539135098755966E-2</v>
      </c>
      <c r="J24" s="1817">
        <f t="shared" si="2"/>
        <v>5.6046207416691723E-2</v>
      </c>
      <c r="K24" s="1817">
        <f t="shared" si="2"/>
        <v>5.080118823480187E-2</v>
      </c>
      <c r="L24" s="1817">
        <f t="shared" si="2"/>
        <v>5.2262907223168779E-2</v>
      </c>
      <c r="M24" s="1817">
        <f t="shared" si="2"/>
        <v>6.6062000105588242E-2</v>
      </c>
      <c r="N24" s="1817">
        <f t="shared" si="2"/>
        <v>6.586217220909911E-2</v>
      </c>
      <c r="O24" s="1817">
        <f t="shared" si="2"/>
        <v>8.4002864459338189E-2</v>
      </c>
      <c r="P24" s="1818">
        <f t="shared" si="2"/>
        <v>1.133376539181351E-2</v>
      </c>
    </row>
    <row r="25" spans="1:16" x14ac:dyDescent="0.25">
      <c r="A25" s="533"/>
      <c r="B25" s="430"/>
      <c r="C25" s="430"/>
      <c r="D25" s="430"/>
      <c r="E25" s="430"/>
      <c r="F25" s="430"/>
      <c r="G25" s="430"/>
      <c r="H25" s="430"/>
      <c r="I25" s="430"/>
      <c r="J25" s="430"/>
      <c r="K25" s="430"/>
      <c r="L25" s="430"/>
      <c r="M25" s="430"/>
      <c r="N25" s="430"/>
      <c r="O25" s="430"/>
      <c r="P25" s="430"/>
    </row>
    <row r="26" spans="1:16" x14ac:dyDescent="0.25">
      <c r="A26" s="428"/>
      <c r="B26" s="428"/>
      <c r="C26" s="428"/>
      <c r="D26" s="428"/>
      <c r="E26" s="428"/>
      <c r="F26" s="428"/>
      <c r="G26" s="428"/>
      <c r="H26" s="428"/>
      <c r="I26" s="428"/>
      <c r="J26" s="428"/>
      <c r="K26" s="428"/>
      <c r="L26" s="428"/>
      <c r="M26" s="428"/>
      <c r="N26" s="428"/>
      <c r="O26" s="428"/>
      <c r="P26" s="428"/>
    </row>
    <row r="27" spans="1:16" x14ac:dyDescent="0.25">
      <c r="A27" s="428"/>
      <c r="B27" s="428"/>
      <c r="C27" s="428"/>
      <c r="D27" s="428"/>
      <c r="E27" s="428"/>
      <c r="F27" s="428"/>
      <c r="G27" s="428"/>
      <c r="H27" s="428"/>
      <c r="I27" s="428"/>
      <c r="J27" s="428"/>
      <c r="K27" s="428"/>
      <c r="L27" s="428"/>
      <c r="M27" s="428"/>
      <c r="N27" s="428"/>
      <c r="O27" s="428"/>
      <c r="P27" s="428"/>
    </row>
    <row r="28" spans="1:16" x14ac:dyDescent="0.25">
      <c r="A28" s="1070" t="s">
        <v>1132</v>
      </c>
      <c r="B28" s="428"/>
      <c r="C28" s="428"/>
      <c r="D28" s="428"/>
      <c r="E28" s="428"/>
      <c r="F28" s="428"/>
      <c r="G28" s="428"/>
      <c r="H28" s="428"/>
      <c r="I28" s="428"/>
      <c r="J28" s="428"/>
      <c r="K28" s="428"/>
      <c r="L28" s="428"/>
      <c r="M28" s="428"/>
      <c r="N28" s="428"/>
      <c r="O28" s="428"/>
      <c r="P28" s="428"/>
    </row>
    <row r="29" spans="1:16" x14ac:dyDescent="0.25">
      <c r="A29" s="428" t="s">
        <v>1133</v>
      </c>
      <c r="B29" s="2103"/>
      <c r="C29" s="651"/>
      <c r="D29" s="651"/>
      <c r="E29" s="651">
        <f>-PENN!Q85</f>
        <v>197.46199999999999</v>
      </c>
      <c r="F29" s="651"/>
      <c r="G29" s="651">
        <f>-PENN!AA85</f>
        <v>-267.02370999999999</v>
      </c>
      <c r="H29" s="651">
        <f>-PENN!AF85</f>
        <v>-531.51030999999989</v>
      </c>
      <c r="I29" s="648">
        <f>-PENN!AK85</f>
        <v>-220.80900000000003</v>
      </c>
      <c r="J29" s="648"/>
      <c r="K29" s="648"/>
      <c r="L29" s="648"/>
      <c r="M29" s="648"/>
      <c r="N29" s="648"/>
      <c r="O29" s="648"/>
      <c r="P29" s="648"/>
    </row>
    <row r="30" spans="1:16" x14ac:dyDescent="0.25">
      <c r="A30" s="428"/>
      <c r="B30" s="1071"/>
      <c r="C30" s="1071"/>
      <c r="D30" s="1071"/>
      <c r="E30" s="1071"/>
      <c r="F30" s="1071"/>
      <c r="G30" s="1071"/>
      <c r="H30" s="428"/>
      <c r="I30" s="428"/>
      <c r="J30" s="428"/>
      <c r="K30" s="428"/>
      <c r="L30" s="428"/>
      <c r="M30" s="428"/>
      <c r="N30" s="428"/>
      <c r="O30" s="428"/>
      <c r="P30" s="428"/>
    </row>
    <row r="31" spans="1:16" x14ac:dyDescent="0.25">
      <c r="A31" s="428" t="s">
        <v>1134</v>
      </c>
      <c r="B31" s="651"/>
      <c r="C31" s="651"/>
      <c r="D31" s="651"/>
      <c r="E31" s="651">
        <f>+E29</f>
        <v>197.46199999999999</v>
      </c>
      <c r="F31" s="651">
        <f>+E31+F29</f>
        <v>197.46199999999999</v>
      </c>
      <c r="G31" s="651">
        <f>+F31+G29</f>
        <v>-69.561710000000005</v>
      </c>
      <c r="H31" s="651">
        <f>+G31+H29</f>
        <v>-601.07201999999984</v>
      </c>
      <c r="I31" s="651">
        <f>+H31+I29</f>
        <v>-821.88101999999981</v>
      </c>
      <c r="J31" s="428"/>
      <c r="K31" s="428"/>
      <c r="L31" s="428"/>
      <c r="M31" s="428"/>
      <c r="N31" s="428"/>
      <c r="O31" s="428"/>
      <c r="P31" s="428"/>
    </row>
    <row r="32" spans="1:16" x14ac:dyDescent="0.25">
      <c r="A32" s="428" t="s">
        <v>1135</v>
      </c>
      <c r="B32" s="1071"/>
      <c r="C32" s="651"/>
      <c r="D32" s="651"/>
      <c r="E32" s="651"/>
      <c r="F32" s="651"/>
      <c r="G32" s="651"/>
      <c r="H32" s="651"/>
      <c r="I32" s="428"/>
      <c r="J32" s="428"/>
      <c r="K32" s="428"/>
      <c r="L32" s="428"/>
      <c r="M32" s="428"/>
      <c r="N32" s="428"/>
      <c r="O32" s="428"/>
      <c r="P32" s="428"/>
    </row>
  </sheetData>
  <phoneticPr fontId="13" type="noConversion"/>
  <pageMargins left="0.75" right="0.75" top="1" bottom="1" header="0.5" footer="0.5"/>
  <pageSetup orientation="portrait"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AM82"/>
  <sheetViews>
    <sheetView zoomScale="85" workbookViewId="0">
      <pane xSplit="1" ySplit="7" topLeftCell="V8" activePane="bottomRight" state="frozen"/>
      <selection pane="topRight" activeCell="B1" sqref="B1"/>
      <selection pane="bottomLeft" activeCell="A8" sqref="A8"/>
      <selection pane="bottomRight" activeCell="AF20" sqref="AF20"/>
    </sheetView>
  </sheetViews>
  <sheetFormatPr defaultColWidth="7" defaultRowHeight="15.75" customHeight="1" outlineLevelRow="1" outlineLevelCol="1" x14ac:dyDescent="0.2"/>
  <cols>
    <col min="1" max="1" width="25.625" style="11" customWidth="1"/>
    <col min="2" max="2" width="9.125" style="11" customWidth="1"/>
    <col min="3" max="6" width="9.125" style="11" hidden="1" customWidth="1" outlineLevel="1"/>
    <col min="7" max="7" width="9.125" style="11" customWidth="1" collapsed="1"/>
    <col min="8" max="11" width="9.125" style="11" hidden="1" customWidth="1" outlineLevel="1"/>
    <col min="12" max="12" width="9.125" style="11" customWidth="1" collapsed="1"/>
    <col min="13" max="16" width="9.125" style="11" hidden="1" customWidth="1" outlineLevel="1"/>
    <col min="17" max="17" width="9.125" style="11" customWidth="1" collapsed="1"/>
    <col min="18" max="21" width="9.125" style="11" hidden="1" customWidth="1" outlineLevel="1"/>
    <col min="22" max="22" width="9.125" style="11" customWidth="1" collapsed="1"/>
    <col min="23" max="26" width="9.125" style="11" hidden="1" customWidth="1" outlineLevel="1"/>
    <col min="27" max="27" width="9.125" style="11" customWidth="1" collapsed="1"/>
    <col min="28" max="31" width="9.125" style="11" hidden="1" customWidth="1" outlineLevel="1"/>
    <col min="32" max="32" width="9.125" style="11" customWidth="1" collapsed="1"/>
    <col min="33" max="36" width="9.125" style="11" hidden="1" customWidth="1" outlineLevel="1"/>
    <col min="37" max="37" width="9.125" style="11" customWidth="1" collapsed="1"/>
    <col min="38" max="39" width="9.125" style="11" customWidth="1"/>
    <col min="40" max="16384" width="7" style="11"/>
  </cols>
  <sheetData>
    <row r="1" spans="1:39" customFormat="1" x14ac:dyDescent="0.25">
      <c r="A1" s="333" t="s">
        <v>892</v>
      </c>
      <c r="B1" s="2331"/>
      <c r="C1" s="2331"/>
      <c r="D1" s="2331"/>
      <c r="E1" s="2331"/>
      <c r="F1" s="2331"/>
      <c r="G1" s="2331"/>
      <c r="H1" s="2331"/>
      <c r="I1" s="2331"/>
      <c r="J1" s="2331"/>
      <c r="K1" s="2331"/>
      <c r="L1" s="2331"/>
      <c r="M1" s="2331"/>
      <c r="N1" s="2331"/>
      <c r="O1" s="2331"/>
      <c r="P1" s="2331"/>
      <c r="Q1" s="2331"/>
      <c r="R1" s="2331"/>
      <c r="S1" s="2331"/>
      <c r="T1" s="2331"/>
      <c r="U1" s="2331"/>
      <c r="V1" s="2331"/>
      <c r="W1" s="2331"/>
      <c r="X1" s="2331"/>
      <c r="Y1" s="2331"/>
      <c r="Z1" s="2331"/>
      <c r="AA1" s="2331"/>
      <c r="AB1" s="2331"/>
      <c r="AC1" s="2331"/>
      <c r="AD1" s="2331"/>
      <c r="AE1" s="2331"/>
      <c r="AF1" s="2331"/>
      <c r="AG1" s="2331"/>
      <c r="AH1" s="2331"/>
      <c r="AI1" s="2331"/>
      <c r="AJ1" s="2331"/>
      <c r="AK1" s="2331"/>
      <c r="AL1" s="2331"/>
      <c r="AM1" s="2331"/>
    </row>
    <row r="2" spans="1:39" customFormat="1" x14ac:dyDescent="0.25">
      <c r="A2" s="281" t="s">
        <v>2288</v>
      </c>
      <c r="B2" s="2331"/>
      <c r="C2" s="2331"/>
      <c r="D2" s="2331"/>
      <c r="E2" s="2331"/>
      <c r="F2" s="2331"/>
      <c r="G2" s="2331"/>
      <c r="H2" s="2331"/>
      <c r="I2" s="2331"/>
      <c r="J2" s="2331"/>
      <c r="K2" s="2331"/>
      <c r="L2" s="2331"/>
      <c r="M2" s="2331"/>
      <c r="N2" s="2331"/>
      <c r="O2" s="2331"/>
      <c r="P2" s="2331"/>
      <c r="Q2" s="2331"/>
      <c r="R2" s="2331"/>
      <c r="S2" s="2331"/>
      <c r="T2" s="2331"/>
      <c r="U2" s="2331"/>
      <c r="V2" s="2331"/>
      <c r="W2" s="2331"/>
      <c r="X2" s="2331"/>
      <c r="Y2" s="2331"/>
      <c r="Z2" s="2331"/>
      <c r="AA2" s="2331"/>
      <c r="AB2" s="2331"/>
      <c r="AC2" s="2331"/>
      <c r="AD2" s="2331"/>
      <c r="AE2" s="2331"/>
      <c r="AF2" s="2331"/>
      <c r="AG2" s="2331"/>
      <c r="AH2" s="2331"/>
      <c r="AI2" s="2331"/>
      <c r="AJ2" s="2331"/>
      <c r="AK2" s="2331"/>
      <c r="AL2" s="2331"/>
      <c r="AM2" s="2331"/>
    </row>
    <row r="3" spans="1:39" customFormat="1" x14ac:dyDescent="0.25">
      <c r="A3" s="2331"/>
      <c r="B3" s="2331"/>
      <c r="C3" s="2331"/>
      <c r="D3" s="2331"/>
      <c r="E3" s="2331"/>
      <c r="F3" s="2331"/>
      <c r="G3" s="2331"/>
      <c r="H3" s="2331"/>
      <c r="I3" s="2331"/>
      <c r="J3" s="2331"/>
      <c r="K3" s="2331"/>
      <c r="L3" s="2331"/>
      <c r="M3" s="2331"/>
      <c r="N3" s="2331"/>
      <c r="O3" s="2331"/>
      <c r="P3" s="2331"/>
      <c r="Q3" s="2331"/>
      <c r="R3" s="2331"/>
      <c r="S3" s="2331"/>
      <c r="T3" s="2331"/>
      <c r="U3" s="2331"/>
      <c r="V3" s="2331"/>
      <c r="W3" s="2331"/>
      <c r="X3" s="2331"/>
      <c r="Y3" s="2331"/>
      <c r="Z3" s="2331"/>
      <c r="AA3" s="2331"/>
      <c r="AB3" s="2331"/>
      <c r="AC3" s="2331"/>
      <c r="AD3" s="2331"/>
      <c r="AE3" s="2331"/>
      <c r="AF3" s="2331"/>
      <c r="AG3" s="2331"/>
      <c r="AH3" s="2331"/>
      <c r="AI3" s="2331"/>
      <c r="AJ3" s="2331"/>
      <c r="AK3" s="2331"/>
      <c r="AL3" s="2331"/>
      <c r="AM3" s="2331"/>
    </row>
    <row r="4" spans="1:39" customFormat="1" x14ac:dyDescent="0.25">
      <c r="A4" s="2332" t="s">
        <v>1558</v>
      </c>
      <c r="B4" s="2331"/>
      <c r="C4" s="2331"/>
      <c r="D4" s="2331"/>
      <c r="E4" s="2331"/>
      <c r="F4" s="2331"/>
      <c r="G4" s="2331"/>
      <c r="H4" s="2331"/>
      <c r="I4" s="2331"/>
      <c r="J4" s="2331"/>
      <c r="K4" s="2331"/>
      <c r="L4" s="2331"/>
      <c r="M4" s="2331"/>
      <c r="N4" s="2331"/>
      <c r="O4" s="2331"/>
      <c r="P4" s="2331"/>
      <c r="Q4" s="2331"/>
      <c r="R4" s="2331"/>
      <c r="S4" s="2331"/>
      <c r="T4" s="2331"/>
      <c r="U4" s="2331"/>
      <c r="V4" s="2331"/>
      <c r="W4" s="2331"/>
      <c r="X4" s="2331"/>
      <c r="Y4" s="2331"/>
      <c r="Z4" s="2331"/>
      <c r="AA4" s="2331"/>
      <c r="AB4" s="2331"/>
      <c r="AC4" s="2331"/>
      <c r="AD4" s="2331"/>
      <c r="AE4" s="2331"/>
      <c r="AF4" s="2331"/>
      <c r="AG4" s="2331"/>
      <c r="AH4" s="2331"/>
      <c r="AI4" s="2331"/>
      <c r="AJ4" s="2331"/>
      <c r="AK4" s="2331"/>
      <c r="AL4" s="2331"/>
      <c r="AM4" s="2331"/>
    </row>
    <row r="5" spans="1:39" customFormat="1" x14ac:dyDescent="0.25">
      <c r="A5" s="2331"/>
      <c r="B5" s="2331"/>
      <c r="C5" s="2331"/>
      <c r="D5" s="2331"/>
      <c r="E5" s="2331"/>
      <c r="F5" s="2331"/>
      <c r="G5" s="2331"/>
      <c r="H5" s="2331"/>
      <c r="I5" s="2331"/>
      <c r="J5" s="2331"/>
      <c r="K5" s="2331"/>
      <c r="L5" s="2331"/>
      <c r="M5" s="2331"/>
      <c r="N5" s="2331"/>
      <c r="O5" s="2331"/>
      <c r="P5" s="2331"/>
      <c r="Q5" s="2331"/>
      <c r="R5" s="2331"/>
      <c r="S5" s="2331"/>
      <c r="T5" s="2331"/>
      <c r="U5" s="2331"/>
      <c r="V5" s="2331"/>
      <c r="W5" s="2331"/>
      <c r="X5" s="2331"/>
      <c r="Y5" s="2331"/>
      <c r="Z5" s="2331"/>
      <c r="AA5" s="2331"/>
      <c r="AB5" s="2331"/>
      <c r="AC5" s="2331"/>
      <c r="AD5" s="2331"/>
      <c r="AE5" s="2331"/>
      <c r="AF5" s="2331"/>
      <c r="AG5" s="2331"/>
      <c r="AH5" s="2331"/>
      <c r="AI5" s="2331"/>
      <c r="AJ5" s="2331"/>
      <c r="AK5" s="2331"/>
      <c r="AL5" s="2331"/>
      <c r="AM5" s="2331"/>
    </row>
    <row r="6" spans="1:39" customFormat="1" x14ac:dyDescent="0.25">
      <c r="A6" s="2331"/>
      <c r="B6" s="2331"/>
      <c r="C6" s="2331"/>
      <c r="D6" s="2331"/>
      <c r="E6" s="2331"/>
      <c r="F6" s="2331"/>
      <c r="G6" s="2331"/>
      <c r="H6" s="2331"/>
      <c r="I6" s="2331"/>
      <c r="J6" s="2331"/>
      <c r="K6" s="2331"/>
      <c r="L6" s="2331"/>
      <c r="M6" s="3156" t="s">
        <v>2437</v>
      </c>
      <c r="N6" s="2331"/>
      <c r="O6" s="2331"/>
      <c r="P6" s="2331"/>
      <c r="Q6" s="2331"/>
      <c r="R6" s="2331"/>
      <c r="S6" s="2331"/>
      <c r="T6" s="2331"/>
      <c r="U6" s="2331"/>
      <c r="V6" s="2331"/>
      <c r="W6" s="2331"/>
      <c r="X6" s="2331"/>
      <c r="Y6" s="2331"/>
      <c r="Z6" s="2331"/>
      <c r="AA6" s="2331"/>
      <c r="AB6" s="2331"/>
      <c r="AC6" s="2331"/>
      <c r="AD6" s="2331"/>
      <c r="AE6" s="2331"/>
      <c r="AF6" s="2331"/>
      <c r="AG6" s="2331"/>
      <c r="AH6" s="2331"/>
      <c r="AI6" s="2331"/>
      <c r="AJ6" s="2331"/>
      <c r="AK6" s="2331"/>
      <c r="AL6" s="2331"/>
      <c r="AM6" s="2331"/>
    </row>
    <row r="7" spans="1:39" customFormat="1" x14ac:dyDescent="0.25">
      <c r="A7" s="2333" t="s">
        <v>1313</v>
      </c>
      <c r="B7" s="2357" t="s">
        <v>1863</v>
      </c>
      <c r="C7" s="2334" t="s">
        <v>1309</v>
      </c>
      <c r="D7" s="2334" t="s">
        <v>1310</v>
      </c>
      <c r="E7" s="2334" t="s">
        <v>1311</v>
      </c>
      <c r="F7" s="2334" t="s">
        <v>1312</v>
      </c>
      <c r="G7" s="2357">
        <v>2012</v>
      </c>
      <c r="H7" s="2334" t="s">
        <v>1373</v>
      </c>
      <c r="I7" s="2334" t="s">
        <v>2229</v>
      </c>
      <c r="J7" s="2334" t="s">
        <v>2241</v>
      </c>
      <c r="K7" s="2334" t="s">
        <v>1028</v>
      </c>
      <c r="L7" s="2357">
        <v>2013</v>
      </c>
      <c r="M7" s="2334" t="s">
        <v>203</v>
      </c>
      <c r="N7" s="2334" t="s">
        <v>2040</v>
      </c>
      <c r="O7" s="2334" t="s">
        <v>2041</v>
      </c>
      <c r="P7" s="2334" t="s">
        <v>2042</v>
      </c>
      <c r="Q7" s="2357">
        <v>2014</v>
      </c>
      <c r="R7" s="2334" t="s">
        <v>930</v>
      </c>
      <c r="S7" s="2334" t="s">
        <v>1381</v>
      </c>
      <c r="T7" s="2334" t="s">
        <v>1382</v>
      </c>
      <c r="U7" s="2334" t="s">
        <v>1383</v>
      </c>
      <c r="V7" s="2357">
        <v>2015</v>
      </c>
      <c r="W7" s="2334" t="s">
        <v>2482</v>
      </c>
      <c r="X7" s="2334" t="s">
        <v>2520</v>
      </c>
      <c r="Y7" s="2334" t="s">
        <v>2365</v>
      </c>
      <c r="Z7" s="2334" t="s">
        <v>2366</v>
      </c>
      <c r="AA7" s="2357" t="s">
        <v>567</v>
      </c>
      <c r="AB7" s="2334" t="s">
        <v>2521</v>
      </c>
      <c r="AC7" s="2334" t="s">
        <v>2522</v>
      </c>
      <c r="AD7" s="2334" t="s">
        <v>2523</v>
      </c>
      <c r="AE7" s="2334" t="s">
        <v>2524</v>
      </c>
      <c r="AF7" s="2357" t="s">
        <v>2043</v>
      </c>
      <c r="AG7" s="2334" t="s">
        <v>2579</v>
      </c>
      <c r="AH7" s="2334" t="s">
        <v>2580</v>
      </c>
      <c r="AI7" s="2334" t="s">
        <v>2577</v>
      </c>
      <c r="AJ7" s="2334" t="s">
        <v>2578</v>
      </c>
      <c r="AK7" s="2357" t="s">
        <v>2044</v>
      </c>
      <c r="AL7" s="2357" t="s">
        <v>2045</v>
      </c>
      <c r="AM7" s="2357" t="s">
        <v>2046</v>
      </c>
    </row>
    <row r="8" spans="1:39" customFormat="1" x14ac:dyDescent="0.25">
      <c r="A8" s="3155" t="s">
        <v>2413</v>
      </c>
      <c r="B8" s="2358">
        <f>+PENN!AP24</f>
        <v>804.48699999999997</v>
      </c>
      <c r="C8" s="2331">
        <f>+PENN!AQ24</f>
        <v>229.23999999999998</v>
      </c>
      <c r="D8" s="2331">
        <f>+PENN!AR24</f>
        <v>220.49800000000002</v>
      </c>
      <c r="E8" s="2331">
        <f>+PENN!AS24</f>
        <v>218.09100000000001</v>
      </c>
      <c r="F8" s="2331">
        <f>+PENN!AT24</f>
        <v>211.40299999999996</v>
      </c>
      <c r="G8" s="2358">
        <f>+PENN!AU24</f>
        <v>879.23199999999986</v>
      </c>
      <c r="H8" s="2331">
        <f>+PENN!AV24</f>
        <v>250.80699999999999</v>
      </c>
      <c r="I8" s="2331">
        <f>+PENN!AW24</f>
        <v>240.02</v>
      </c>
      <c r="J8" s="2331">
        <f>+PENN!AX24</f>
        <v>209.37200000000001</v>
      </c>
      <c r="K8" s="2331">
        <f>+PENN!AY24</f>
        <v>190.09399999999999</v>
      </c>
      <c r="L8" s="2358">
        <f>+PENN!AZ24</f>
        <v>890.29300000000001</v>
      </c>
      <c r="M8" s="2331">
        <f>+PENN!BA24</f>
        <v>196.333</v>
      </c>
      <c r="N8" s="2331">
        <f>+PENN!BB24</f>
        <v>201.23299999999998</v>
      </c>
      <c r="O8" s="2331">
        <f>+PENN!BC24</f>
        <v>190.19499999999999</v>
      </c>
      <c r="P8" s="2331">
        <f>+PENN!BD24</f>
        <v>191.63</v>
      </c>
      <c r="Q8" s="2358">
        <f>+PENN!BE24</f>
        <v>779.39099999999996</v>
      </c>
      <c r="R8" s="2331">
        <f>+PENN!BF24</f>
        <v>207.67899999999997</v>
      </c>
      <c r="S8" s="2331">
        <f>+PENN!BG24</f>
        <v>219.08199999999999</v>
      </c>
      <c r="T8" s="2331">
        <f>+PENN!BH24</f>
        <v>224.16199999999998</v>
      </c>
      <c r="U8" s="2331">
        <f>+PENN!BI24</f>
        <v>227.428</v>
      </c>
      <c r="V8" s="2358">
        <f>+PENN!BJ24</f>
        <v>878.351</v>
      </c>
      <c r="W8" s="2331">
        <f>+PENN!BK24</f>
        <v>233.483</v>
      </c>
      <c r="X8" s="2331">
        <f>+PENN!BL24</f>
        <v>237.77999999999997</v>
      </c>
      <c r="Y8" s="2331">
        <f>+PENN!BM24</f>
        <v>227.86</v>
      </c>
      <c r="Z8" s="2331">
        <f>+PENN!BN24</f>
        <v>214.50400000000002</v>
      </c>
      <c r="AA8" s="2358">
        <f>+PENN!BO24</f>
        <v>913.62700000000007</v>
      </c>
      <c r="AB8" s="2331">
        <f>+PENN!BP24</f>
        <v>245.70999999999998</v>
      </c>
      <c r="AC8" s="2331">
        <f>+PENN!BQ24</f>
        <v>245.13800000000003</v>
      </c>
      <c r="AD8" s="2331">
        <f>+PENN!BR24</f>
        <v>242.78699999999998</v>
      </c>
      <c r="AE8" s="2331">
        <f>+PENN!BS24</f>
        <v>216.91100000000003</v>
      </c>
      <c r="AF8" s="2358">
        <f>+PENN!BT24</f>
        <v>950.54600000000005</v>
      </c>
      <c r="AG8" s="2331">
        <f>+PENN!BU24</f>
        <v>249.05816787702511</v>
      </c>
      <c r="AH8" s="2331">
        <f>+PENN!BV24</f>
        <v>257.34107672277764</v>
      </c>
      <c r="AI8" s="2331">
        <f>+PENN!BW24</f>
        <v>409.51807009753725</v>
      </c>
      <c r="AJ8" s="2331">
        <f>+PENN!BX24</f>
        <v>380.85845964107841</v>
      </c>
      <c r="AK8" s="2358">
        <f>+PENN!BY24</f>
        <v>1296.7757743384184</v>
      </c>
      <c r="AL8" s="2358">
        <f>+PENN!BZ24</f>
        <v>1660.3149663027868</v>
      </c>
      <c r="AM8" s="2358">
        <f>+PENN!CA24</f>
        <v>1644.0112403345311</v>
      </c>
    </row>
    <row r="9" spans="1:39" customFormat="1" x14ac:dyDescent="0.25">
      <c r="A9" s="2335" t="s">
        <v>1560</v>
      </c>
      <c r="B9" s="2359"/>
      <c r="C9" s="2335"/>
      <c r="D9" s="2335"/>
      <c r="E9" s="2335"/>
      <c r="F9" s="2335"/>
      <c r="G9" s="2367">
        <f t="shared" ref="G9:Q9" si="0">G8/B8-1</f>
        <v>9.2910140250867856E-2</v>
      </c>
      <c r="H9" s="1648">
        <f t="shared" si="0"/>
        <v>9.4080439713837061E-2</v>
      </c>
      <c r="I9" s="1648">
        <f t="shared" si="0"/>
        <v>8.8535950439459832E-2</v>
      </c>
      <c r="J9" s="1648">
        <f t="shared" si="0"/>
        <v>-3.9978724477397032E-2</v>
      </c>
      <c r="K9" s="1648">
        <f t="shared" si="0"/>
        <v>-0.10079800192050237</v>
      </c>
      <c r="L9" s="2367">
        <f t="shared" si="0"/>
        <v>1.2580297350414993E-2</v>
      </c>
      <c r="M9" s="1648">
        <f t="shared" si="0"/>
        <v>-0.21719489487932953</v>
      </c>
      <c r="N9" s="1648">
        <f t="shared" si="0"/>
        <v>-0.16159903341388226</v>
      </c>
      <c r="O9" s="1648">
        <f t="shared" si="0"/>
        <v>-9.1592954167701635E-2</v>
      </c>
      <c r="P9" s="1648">
        <f t="shared" si="0"/>
        <v>8.0802129472787865E-3</v>
      </c>
      <c r="Q9" s="2367">
        <f t="shared" si="0"/>
        <v>-0.1245679793056893</v>
      </c>
      <c r="R9" s="1648">
        <f t="shared" ref="R9:AA9" si="1">R8/M8-1</f>
        <v>5.7789571798933403E-2</v>
      </c>
      <c r="S9" s="1648">
        <f t="shared" si="1"/>
        <v>8.8698175746522834E-2</v>
      </c>
      <c r="T9" s="1648">
        <f t="shared" si="1"/>
        <v>0.1785903940692446</v>
      </c>
      <c r="U9" s="1648">
        <f t="shared" si="1"/>
        <v>0.18680791107864114</v>
      </c>
      <c r="V9" s="2367">
        <f t="shared" si="1"/>
        <v>0.12697092986703717</v>
      </c>
      <c r="W9" s="1648">
        <f t="shared" si="1"/>
        <v>0.12424944264947357</v>
      </c>
      <c r="X9" s="1648">
        <f t="shared" si="1"/>
        <v>8.5347039008225156E-2</v>
      </c>
      <c r="Y9" s="1648">
        <f t="shared" si="1"/>
        <v>1.6496997707015515E-2</v>
      </c>
      <c r="Z9" s="1648">
        <f t="shared" si="1"/>
        <v>-5.682677594667318E-2</v>
      </c>
      <c r="AA9" s="2367">
        <f t="shared" si="1"/>
        <v>4.0161621037603457E-2</v>
      </c>
      <c r="AB9" s="1648">
        <f t="shared" ref="AB9:AK9" si="2">AB8/W8-1</f>
        <v>5.2367838343690964E-2</v>
      </c>
      <c r="AC9" s="1648">
        <f t="shared" si="2"/>
        <v>3.0944570611489919E-2</v>
      </c>
      <c r="AD9" s="1648">
        <f t="shared" si="2"/>
        <v>6.5509523391556135E-2</v>
      </c>
      <c r="AE9" s="1648">
        <f t="shared" si="2"/>
        <v>1.1221235967627585E-2</v>
      </c>
      <c r="AF9" s="2367">
        <f t="shared" si="2"/>
        <v>4.04092698661489E-2</v>
      </c>
      <c r="AG9" s="1648">
        <f t="shared" si="2"/>
        <v>1.3626502287351405E-2</v>
      </c>
      <c r="AH9" s="1648">
        <f t="shared" si="2"/>
        <v>4.9780436826512453E-2</v>
      </c>
      <c r="AI9" s="1648">
        <f t="shared" si="2"/>
        <v>0.68673804650799797</v>
      </c>
      <c r="AJ9" s="1648">
        <f t="shared" si="2"/>
        <v>0.75582824126521175</v>
      </c>
      <c r="AK9" s="2367">
        <f t="shared" si="2"/>
        <v>0.36424305014004399</v>
      </c>
      <c r="AL9" s="2367">
        <f>AL8/AK8-1</f>
        <v>0.28034082619243628</v>
      </c>
      <c r="AM9" s="2367">
        <f>AM8/AL8-1</f>
        <v>-9.8196584980265733E-3</v>
      </c>
    </row>
    <row r="10" spans="1:39" customFormat="1" x14ac:dyDescent="0.25">
      <c r="A10" s="416" t="s">
        <v>1561</v>
      </c>
      <c r="B10" s="2360"/>
      <c r="C10" s="416"/>
      <c r="D10" s="416"/>
      <c r="E10" s="416"/>
      <c r="F10" s="416"/>
      <c r="G10" s="424"/>
      <c r="H10" s="416"/>
      <c r="I10" s="416"/>
      <c r="J10" s="416"/>
      <c r="K10" s="416"/>
      <c r="L10" s="424"/>
      <c r="M10" s="416"/>
      <c r="N10" s="416"/>
      <c r="O10" s="416"/>
      <c r="P10" s="416"/>
      <c r="Q10" s="424"/>
      <c r="R10" s="416"/>
      <c r="S10" s="416"/>
      <c r="T10" s="416"/>
      <c r="U10" s="416"/>
      <c r="V10" s="424">
        <f>(V8/G8)^(1/3)-1</f>
        <v>-3.3411523583437575E-4</v>
      </c>
      <c r="W10" s="416"/>
      <c r="X10" s="416"/>
      <c r="Y10" s="416"/>
      <c r="Z10" s="416"/>
      <c r="AA10" s="424">
        <f>(AA8/L8)^(1/3)-1</f>
        <v>8.6612164369586075E-3</v>
      </c>
      <c r="AB10" s="416"/>
      <c r="AC10" s="416"/>
      <c r="AD10" s="416"/>
      <c r="AE10" s="416"/>
      <c r="AF10" s="424">
        <f>(AF8/Q8)^(1/3)-1</f>
        <v>6.8413214082793772E-2</v>
      </c>
      <c r="AG10" s="416"/>
      <c r="AH10" s="416"/>
      <c r="AI10" s="416"/>
      <c r="AJ10" s="416"/>
      <c r="AK10" s="424">
        <f>(AK8/V8)^(1/3)-1</f>
        <v>0.13867275528797895</v>
      </c>
      <c r="AL10" s="424">
        <f>(AL8/AA8)^(1/3)-1</f>
        <v>0.22032034653334431</v>
      </c>
      <c r="AM10" s="424">
        <f>(AM8/AF8)^(1/3)-1</f>
        <v>0.2003573276141466</v>
      </c>
    </row>
    <row r="11" spans="1:39" customFormat="1" x14ac:dyDescent="0.25">
      <c r="A11" s="2331"/>
      <c r="B11" s="2358"/>
      <c r="C11" s="2331"/>
      <c r="D11" s="2331"/>
      <c r="E11" s="2331"/>
      <c r="F11" s="2331"/>
      <c r="G11" s="2358"/>
      <c r="H11" s="2331"/>
      <c r="I11" s="2331"/>
      <c r="J11" s="2331"/>
      <c r="K11" s="2331"/>
      <c r="L11" s="2358"/>
      <c r="M11" s="2331"/>
      <c r="N11" s="2331"/>
      <c r="O11" s="2331"/>
      <c r="P11" s="2331"/>
      <c r="Q11" s="2358"/>
      <c r="R11" s="2331"/>
      <c r="S11" s="2331"/>
      <c r="T11" s="2331"/>
      <c r="U11" s="2331"/>
      <c r="V11" s="2358"/>
      <c r="W11" s="2331"/>
      <c r="X11" s="2331"/>
      <c r="Y11" s="2331"/>
      <c r="Z11" s="2331"/>
      <c r="AA11" s="2358"/>
      <c r="AB11" s="2331"/>
      <c r="AC11" s="2331"/>
      <c r="AD11" s="2331"/>
      <c r="AE11" s="2331"/>
      <c r="AF11" s="2358"/>
      <c r="AG11" s="2331"/>
      <c r="AH11" s="2331"/>
      <c r="AI11" s="2331"/>
      <c r="AJ11" s="2331"/>
      <c r="AK11" s="2358"/>
      <c r="AL11" s="2358"/>
      <c r="AM11" s="2358"/>
    </row>
    <row r="12" spans="1:39" customFormat="1" x14ac:dyDescent="0.25">
      <c r="A12" s="2331" t="s">
        <v>879</v>
      </c>
      <c r="B12" s="2358">
        <f>+PENN!AP54</f>
        <v>721.79399999999998</v>
      </c>
      <c r="C12" s="2331">
        <f>+PENN!AQ54</f>
        <v>207.13999999999996</v>
      </c>
      <c r="D12" s="2331">
        <f>+PENN!AR54</f>
        <v>199.19800000000001</v>
      </c>
      <c r="E12" s="2331">
        <f>+PENN!AS54</f>
        <v>198.09100000000004</v>
      </c>
      <c r="F12" s="2331">
        <f>+PENN!AT54</f>
        <v>185.10299999999995</v>
      </c>
      <c r="G12" s="2358">
        <f>+PENN!AU54</f>
        <v>789.53199999999981</v>
      </c>
      <c r="H12" s="2331">
        <f>+PENN!AV54</f>
        <v>227.80699999999999</v>
      </c>
      <c r="I12" s="2331">
        <f>+PENN!AW54</f>
        <v>219.12</v>
      </c>
      <c r="J12" s="2331">
        <f>+PENN!AX54</f>
        <v>190.798</v>
      </c>
      <c r="K12" s="2331">
        <f>+PENN!AY54</f>
        <v>83.691999999999993</v>
      </c>
      <c r="L12" s="2358">
        <f>+PENN!AZ54</f>
        <v>721.41700000000003</v>
      </c>
      <c r="M12" s="2331">
        <f>+PENN!BA40</f>
        <v>180.63300000000001</v>
      </c>
      <c r="N12" s="2331">
        <f>+PENN!BB40</f>
        <v>186.83299999999997</v>
      </c>
      <c r="O12" s="2331">
        <f>+PENN!BC40</f>
        <v>170.495</v>
      </c>
      <c r="P12" s="2331">
        <f>+PENN!BD40</f>
        <v>172.03</v>
      </c>
      <c r="Q12" s="2358">
        <f>+PENN!BE40</f>
        <v>709.99099999999999</v>
      </c>
      <c r="R12" s="2331">
        <f>+PENN!BF40</f>
        <v>184.37899999999996</v>
      </c>
      <c r="S12" s="2331">
        <f>+PENN!BG40</f>
        <v>195.38200000000001</v>
      </c>
      <c r="T12" s="2331">
        <f>+PENN!BH40</f>
        <v>210.26199999999997</v>
      </c>
      <c r="U12" s="2331">
        <f>+PENN!BI40</f>
        <v>206.328</v>
      </c>
      <c r="V12" s="2358">
        <f>+PENN!BJ40</f>
        <v>796.351</v>
      </c>
      <c r="W12" s="2331">
        <f>+PENN!BK40</f>
        <v>212.88300000000001</v>
      </c>
      <c r="X12" s="2331">
        <f>+PENN!BL40</f>
        <v>223.77999999999997</v>
      </c>
      <c r="Y12" s="2331">
        <f>+PENN!BM40</f>
        <v>211.26000000000002</v>
      </c>
      <c r="Z12" s="2331">
        <f>+PENN!BN40</f>
        <v>195.90400000000002</v>
      </c>
      <c r="AA12" s="2358">
        <f>+PENN!BO40</f>
        <v>843.827</v>
      </c>
      <c r="AB12" s="2331">
        <f>+PENN!BP40</f>
        <v>221.70999999999998</v>
      </c>
      <c r="AC12" s="2331">
        <f>+PENN!BQ40</f>
        <v>219.13800000000003</v>
      </c>
      <c r="AD12" s="2331">
        <f>+PENN!BR40</f>
        <v>221.78699999999998</v>
      </c>
      <c r="AE12" s="2331">
        <f>+PENN!BS40</f>
        <v>183.31100000000004</v>
      </c>
      <c r="AF12" s="2358">
        <f>+PENN!BT40</f>
        <v>845.94600000000003</v>
      </c>
      <c r="AG12" s="2331">
        <f>+PENN!BU40</f>
        <v>229.55816787702511</v>
      </c>
      <c r="AH12" s="2331">
        <f>+PENN!BV40</f>
        <v>237.64607672277765</v>
      </c>
      <c r="AI12" s="2331">
        <f>+PENN!BW40</f>
        <v>377.32807009753725</v>
      </c>
      <c r="AJ12" s="2331">
        <f>+PENN!BX40</f>
        <v>348.9214596410784</v>
      </c>
      <c r="AK12" s="2358">
        <f>+PENN!BY40</f>
        <v>1193.4537743384185</v>
      </c>
      <c r="AL12" s="2358">
        <f>+PENN!BZ40</f>
        <v>1541.1009163027868</v>
      </c>
      <c r="AM12" s="2358">
        <f>+PENN!CA40</f>
        <v>1528.974999834531</v>
      </c>
    </row>
    <row r="13" spans="1:39" customFormat="1" x14ac:dyDescent="0.25">
      <c r="A13" s="2335" t="s">
        <v>1560</v>
      </c>
      <c r="B13" s="2359"/>
      <c r="C13" s="2335"/>
      <c r="D13" s="2335"/>
      <c r="E13" s="2335"/>
      <c r="F13" s="2335"/>
      <c r="G13" s="2367">
        <f t="shared" ref="G13:Q13" si="3">G12/B12-1</f>
        <v>9.3846720809538153E-2</v>
      </c>
      <c r="H13" s="1648">
        <f t="shared" si="3"/>
        <v>9.9773100318625296E-2</v>
      </c>
      <c r="I13" s="1648">
        <f t="shared" si="3"/>
        <v>0.10001104428759322</v>
      </c>
      <c r="J13" s="1648">
        <f t="shared" si="3"/>
        <v>-3.6816412658828734E-2</v>
      </c>
      <c r="K13" s="1648">
        <f t="shared" si="3"/>
        <v>-0.54786254139587143</v>
      </c>
      <c r="L13" s="2367">
        <f t="shared" si="3"/>
        <v>-8.627262732859442E-2</v>
      </c>
      <c r="M13" s="1648">
        <f t="shared" si="3"/>
        <v>-0.20707879915893712</v>
      </c>
      <c r="N13" s="1648">
        <f t="shared" si="3"/>
        <v>-0.14734848484848495</v>
      </c>
      <c r="O13" s="1648">
        <f t="shared" si="3"/>
        <v>-0.10641096866843469</v>
      </c>
      <c r="P13" s="1648">
        <f t="shared" si="3"/>
        <v>1.0555130717392345</v>
      </c>
      <c r="Q13" s="2367">
        <f t="shared" si="3"/>
        <v>-1.5838273841620065E-2</v>
      </c>
      <c r="R13" s="1648">
        <f t="shared" ref="R13:AA13" si="4">R12/M12-1</f>
        <v>2.0738181838312775E-2</v>
      </c>
      <c r="S13" s="1648">
        <f t="shared" si="4"/>
        <v>4.5757441137272536E-2</v>
      </c>
      <c r="T13" s="1648">
        <f t="shared" si="4"/>
        <v>0.23324437666793729</v>
      </c>
      <c r="U13" s="1648">
        <f t="shared" si="4"/>
        <v>0.19937220252281573</v>
      </c>
      <c r="V13" s="2367">
        <f t="shared" si="4"/>
        <v>0.12163534467338311</v>
      </c>
      <c r="W13" s="1648">
        <f t="shared" si="4"/>
        <v>0.15459461218468507</v>
      </c>
      <c r="X13" s="1648">
        <f t="shared" si="4"/>
        <v>0.14534604006510299</v>
      </c>
      <c r="Y13" s="1648">
        <f t="shared" si="4"/>
        <v>4.7464591795001176E-3</v>
      </c>
      <c r="Z13" s="1648">
        <f t="shared" si="4"/>
        <v>-5.0521499747974041E-2</v>
      </c>
      <c r="AA13" s="2367">
        <f t="shared" si="4"/>
        <v>5.9616927711524159E-2</v>
      </c>
      <c r="AB13" s="1648">
        <f t="shared" ref="AB13:AK13" si="5">AB12/W12-1</f>
        <v>4.1464090603758663E-2</v>
      </c>
      <c r="AC13" s="1648">
        <f t="shared" si="5"/>
        <v>-2.0743587451961476E-2</v>
      </c>
      <c r="AD13" s="1648">
        <f t="shared" si="5"/>
        <v>4.9829593865378996E-2</v>
      </c>
      <c r="AE13" s="1648">
        <f t="shared" si="5"/>
        <v>-6.4281484808885958E-2</v>
      </c>
      <c r="AF13" s="2367">
        <f t="shared" si="5"/>
        <v>2.5111782391413762E-3</v>
      </c>
      <c r="AG13" s="1648">
        <f t="shared" si="5"/>
        <v>3.5398348640228727E-2</v>
      </c>
      <c r="AH13" s="1648">
        <f t="shared" si="5"/>
        <v>8.4458545404163754E-2</v>
      </c>
      <c r="AI13" s="1648">
        <f t="shared" si="5"/>
        <v>0.70130832779891206</v>
      </c>
      <c r="AJ13" s="1648">
        <f t="shared" si="5"/>
        <v>0.90343983525854066</v>
      </c>
      <c r="AK13" s="2367">
        <f t="shared" si="5"/>
        <v>0.41079191146765681</v>
      </c>
      <c r="AL13" s="2367">
        <f>AL12/AK12-1</f>
        <v>0.29129502075359692</v>
      </c>
      <c r="AM13" s="2367">
        <f>AM12/AL12-1</f>
        <v>-7.8683468032364479E-3</v>
      </c>
    </row>
    <row r="14" spans="1:39" customFormat="1" x14ac:dyDescent="0.25">
      <c r="A14" s="416" t="s">
        <v>1561</v>
      </c>
      <c r="B14" s="2360"/>
      <c r="C14" s="416"/>
      <c r="D14" s="416"/>
      <c r="E14" s="416"/>
      <c r="F14" s="416"/>
      <c r="G14" s="424"/>
      <c r="H14" s="416"/>
      <c r="I14" s="416"/>
      <c r="J14" s="416"/>
      <c r="K14" s="416"/>
      <c r="L14" s="424"/>
      <c r="M14" s="416"/>
      <c r="N14" s="416"/>
      <c r="O14" s="416"/>
      <c r="P14" s="416"/>
      <c r="Q14" s="424"/>
      <c r="R14" s="416"/>
      <c r="S14" s="416"/>
      <c r="T14" s="416"/>
      <c r="U14" s="416"/>
      <c r="V14" s="424">
        <f>(V12/G12)^(1/3)-1</f>
        <v>2.8706720336302283E-3</v>
      </c>
      <c r="W14" s="416"/>
      <c r="X14" s="416"/>
      <c r="Y14" s="416"/>
      <c r="Z14" s="416"/>
      <c r="AA14" s="424">
        <f>(AA12/L12)^(1/3)-1</f>
        <v>5.363215266088206E-2</v>
      </c>
      <c r="AB14" s="416"/>
      <c r="AC14" s="416"/>
      <c r="AD14" s="416"/>
      <c r="AE14" s="416"/>
      <c r="AF14" s="424">
        <f>(AF12/Q12)^(1/3)-1</f>
        <v>6.0140109286187959E-2</v>
      </c>
      <c r="AG14" s="416"/>
      <c r="AH14" s="416"/>
      <c r="AI14" s="416"/>
      <c r="AJ14" s="416"/>
      <c r="AK14" s="424">
        <f>(AK12/V12)^(1/3)-1</f>
        <v>0.14437147574396469</v>
      </c>
      <c r="AL14" s="424">
        <f>(AL12/AA12)^(1/3)-1</f>
        <v>0.22234149128367164</v>
      </c>
      <c r="AM14" s="424">
        <f>(AM12/AF12)^(1/3)-1</f>
        <v>0.21810833352897019</v>
      </c>
    </row>
    <row r="15" spans="1:39" customFormat="1" ht="15.75" customHeight="1" x14ac:dyDescent="0.25">
      <c r="A15" s="2331"/>
      <c r="B15" s="2358"/>
      <c r="C15" s="2331"/>
      <c r="D15" s="2331"/>
      <c r="E15" s="2331"/>
      <c r="F15" s="2331"/>
      <c r="G15" s="2358"/>
      <c r="H15" s="2331"/>
      <c r="I15" s="2331"/>
      <c r="J15" s="2331"/>
      <c r="K15" s="2331"/>
      <c r="L15" s="2358"/>
      <c r="M15" s="2331"/>
      <c r="N15" s="2331"/>
      <c r="O15" s="2331"/>
      <c r="P15" s="2331"/>
      <c r="Q15" s="2358"/>
      <c r="R15" s="2331"/>
      <c r="S15" s="2331"/>
      <c r="T15" s="2331"/>
      <c r="U15" s="2331"/>
      <c r="V15" s="2358"/>
      <c r="W15" s="2331"/>
      <c r="X15" s="2331"/>
      <c r="Y15" s="2331"/>
      <c r="Z15" s="2331"/>
      <c r="AA15" s="2358"/>
      <c r="AB15" s="2331"/>
      <c r="AC15" s="2331"/>
      <c r="AD15" s="2331"/>
      <c r="AE15" s="2331"/>
      <c r="AF15" s="2358"/>
      <c r="AG15" s="2331"/>
      <c r="AH15" s="2331"/>
      <c r="AI15" s="2331"/>
      <c r="AJ15" s="2331"/>
      <c r="AK15" s="2358"/>
      <c r="AL15" s="2358"/>
      <c r="AM15" s="2358"/>
    </row>
    <row r="16" spans="1:39" customFormat="1" hidden="1" outlineLevel="1" x14ac:dyDescent="0.25">
      <c r="A16" s="2331" t="s">
        <v>2005</v>
      </c>
      <c r="B16" s="2358">
        <f>+PENN!AP54</f>
        <v>721.79399999999998</v>
      </c>
      <c r="C16" s="2331">
        <f>+PENN!AQ54</f>
        <v>207.13999999999996</v>
      </c>
      <c r="D16" s="2331">
        <f>+PENN!AR54</f>
        <v>199.19800000000001</v>
      </c>
      <c r="E16" s="2331">
        <f>+PENN!AS54</f>
        <v>198.09100000000004</v>
      </c>
      <c r="F16" s="2331">
        <f>+PENN!AT54</f>
        <v>185.10299999999995</v>
      </c>
      <c r="G16" s="2358">
        <f>+PENN!AU54</f>
        <v>789.53199999999981</v>
      </c>
      <c r="H16" s="2331">
        <f>+PENN!AV54</f>
        <v>227.80699999999999</v>
      </c>
      <c r="I16" s="2331">
        <f>+PENN!AW54</f>
        <v>219.12</v>
      </c>
      <c r="J16" s="2331">
        <f>+PENN!AX54</f>
        <v>190.798</v>
      </c>
      <c r="K16" s="2331">
        <f>+PENN!AY54</f>
        <v>83.691999999999993</v>
      </c>
      <c r="L16" s="2358">
        <f>+PENN!AZ54</f>
        <v>721.41700000000003</v>
      </c>
      <c r="M16" s="2331"/>
      <c r="N16" s="2331"/>
      <c r="O16" s="2331"/>
      <c r="P16" s="2331"/>
      <c r="Q16" s="2358"/>
      <c r="R16" s="2331"/>
      <c r="S16" s="2331"/>
      <c r="T16" s="2331"/>
      <c r="U16" s="2331"/>
      <c r="V16" s="2358"/>
      <c r="W16" s="2331"/>
      <c r="X16" s="2331"/>
      <c r="Y16" s="2331"/>
      <c r="Z16" s="2331"/>
      <c r="AA16" s="2358"/>
      <c r="AB16" s="2331"/>
      <c r="AC16" s="2331"/>
      <c r="AD16" s="2331"/>
      <c r="AE16" s="2331"/>
      <c r="AF16" s="2358"/>
      <c r="AG16" s="2331"/>
      <c r="AH16" s="2331"/>
      <c r="AI16" s="2331"/>
      <c r="AJ16" s="2331"/>
      <c r="AK16" s="2358"/>
      <c r="AL16" s="2358"/>
      <c r="AM16" s="2358"/>
    </row>
    <row r="17" spans="1:39" customFormat="1" hidden="1" outlineLevel="1" x14ac:dyDescent="0.25">
      <c r="A17" s="2335" t="s">
        <v>1560</v>
      </c>
      <c r="B17" s="2359"/>
      <c r="C17" s="2335"/>
      <c r="D17" s="2335"/>
      <c r="E17" s="2335"/>
      <c r="F17" s="2335"/>
      <c r="G17" s="2367">
        <f>G16/B16-1</f>
        <v>9.3846720809538153E-2</v>
      </c>
      <c r="H17" s="2335"/>
      <c r="I17" s="2335"/>
      <c r="J17" s="2335"/>
      <c r="K17" s="2335"/>
      <c r="L17" s="2367">
        <f>L16/G16-1</f>
        <v>-8.627262732859442E-2</v>
      </c>
      <c r="M17" s="2335"/>
      <c r="N17" s="2335"/>
      <c r="O17" s="2335"/>
      <c r="P17" s="2335"/>
      <c r="Q17" s="2367"/>
      <c r="R17" s="417"/>
      <c r="S17" s="417"/>
      <c r="T17" s="417"/>
      <c r="U17" s="417"/>
      <c r="V17" s="424"/>
      <c r="W17" s="417"/>
      <c r="X17" s="417"/>
      <c r="Y17" s="417"/>
      <c r="Z17" s="417"/>
      <c r="AA17" s="424"/>
      <c r="AB17" s="417"/>
      <c r="AC17" s="417"/>
      <c r="AD17" s="417"/>
      <c r="AE17" s="417"/>
      <c r="AF17" s="424"/>
      <c r="AG17" s="417"/>
      <c r="AH17" s="417"/>
      <c r="AI17" s="417"/>
      <c r="AJ17" s="417"/>
      <c r="AK17" s="2367"/>
      <c r="AL17" s="2367"/>
      <c r="AM17" s="2367"/>
    </row>
    <row r="18" spans="1:39" customFormat="1" hidden="1" outlineLevel="1" x14ac:dyDescent="0.25">
      <c r="A18" s="416" t="s">
        <v>1561</v>
      </c>
      <c r="B18" s="2360"/>
      <c r="C18" s="416"/>
      <c r="D18" s="416"/>
      <c r="E18" s="416"/>
      <c r="F18" s="416"/>
      <c r="G18" s="424"/>
      <c r="H18" s="416"/>
      <c r="I18" s="416"/>
      <c r="J18" s="416"/>
      <c r="K18" s="416"/>
      <c r="L18" s="424"/>
      <c r="M18" s="416"/>
      <c r="N18" s="416"/>
      <c r="O18" s="416"/>
      <c r="P18" s="416"/>
      <c r="Q18" s="424"/>
      <c r="R18" s="416"/>
      <c r="S18" s="416"/>
      <c r="T18" s="416"/>
      <c r="U18" s="416"/>
      <c r="V18" s="424"/>
      <c r="W18" s="416"/>
      <c r="X18" s="416"/>
      <c r="Y18" s="416"/>
      <c r="Z18" s="416"/>
      <c r="AA18" s="424"/>
      <c r="AB18" s="416"/>
      <c r="AC18" s="416"/>
      <c r="AD18" s="416"/>
      <c r="AE18" s="416"/>
      <c r="AF18" s="424"/>
      <c r="AG18" s="416"/>
      <c r="AH18" s="416"/>
      <c r="AI18" s="416"/>
      <c r="AJ18" s="416"/>
      <c r="AK18" s="424"/>
      <c r="AL18" s="424"/>
      <c r="AM18" s="424"/>
    </row>
    <row r="19" spans="1:39" customFormat="1" ht="15.75" hidden="1" customHeight="1" outlineLevel="1" x14ac:dyDescent="0.25">
      <c r="A19" s="2331"/>
      <c r="B19" s="2358"/>
      <c r="C19" s="2331"/>
      <c r="D19" s="2331"/>
      <c r="E19" s="2331"/>
      <c r="F19" s="2331"/>
      <c r="G19" s="2358"/>
      <c r="H19" s="2331"/>
      <c r="I19" s="2331"/>
      <c r="J19" s="2331"/>
      <c r="K19" s="2331"/>
      <c r="L19" s="2358"/>
      <c r="M19" s="2331"/>
      <c r="N19" s="2331"/>
      <c r="O19" s="2331"/>
      <c r="P19" s="2331"/>
      <c r="Q19" s="2358"/>
      <c r="R19" s="2331"/>
      <c r="S19" s="2331"/>
      <c r="T19" s="2331"/>
      <c r="U19" s="2331"/>
      <c r="V19" s="2358"/>
      <c r="W19" s="2331"/>
      <c r="X19" s="2331"/>
      <c r="Y19" s="2331"/>
      <c r="Z19" s="2331"/>
      <c r="AA19" s="2358"/>
      <c r="AB19" s="2331"/>
      <c r="AC19" s="2331"/>
      <c r="AD19" s="2331"/>
      <c r="AE19" s="2331"/>
      <c r="AF19" s="2358"/>
      <c r="AG19" s="2331"/>
      <c r="AH19" s="2331"/>
      <c r="AI19" s="2331"/>
      <c r="AJ19" s="2331"/>
      <c r="AK19" s="2358"/>
      <c r="AL19" s="2358"/>
      <c r="AM19" s="2358"/>
    </row>
    <row r="20" spans="1:39" customFormat="1" ht="15.75" customHeight="1" collapsed="1" x14ac:dyDescent="0.25">
      <c r="A20" s="2331" t="s">
        <v>1588</v>
      </c>
      <c r="B20" s="2361">
        <f>+PENN!AP93</f>
        <v>2.2739096318577134</v>
      </c>
      <c r="C20" s="2337">
        <f>+PENN!AQ93</f>
        <v>0.75331528324750041</v>
      </c>
      <c r="D20" s="2337">
        <f>+PENN!AR93</f>
        <v>0.66175633656835986</v>
      </c>
      <c r="E20" s="2337">
        <f>+PENN!AS93</f>
        <v>0.60606003344639636</v>
      </c>
      <c r="F20" s="2337">
        <f>+PENN!AT93</f>
        <v>0.38210969656360633</v>
      </c>
      <c r="G20" s="2361">
        <f>+PENN!AU93</f>
        <v>2.4456803206042146</v>
      </c>
      <c r="H20" s="2337">
        <f>+PENN!AV93</f>
        <v>0.68211727429121249</v>
      </c>
      <c r="I20" s="2337">
        <f>+PENN!AW93</f>
        <v>0.3448307366333937</v>
      </c>
      <c r="J20" s="2337">
        <f>+PENN!AX93</f>
        <v>0.43412540360781893</v>
      </c>
      <c r="K20" s="2337">
        <f>+PENN!AY93</f>
        <v>9.9813957068989989E-2</v>
      </c>
      <c r="L20" s="2361">
        <f>+PENN!AZ93</f>
        <v>2.0271895123606187</v>
      </c>
      <c r="M20" s="2337">
        <f>+PENN!BA93</f>
        <v>6.2089107906044601E-3</v>
      </c>
      <c r="N20" s="2337">
        <f>+PENN!BB93</f>
        <v>-0.21075224961125735</v>
      </c>
      <c r="O20" s="2337">
        <f>+PENN!BC93</f>
        <v>-0.23774551012609851</v>
      </c>
      <c r="P20" s="2337">
        <f>+PENN!BD93</f>
        <v>-0.31037878307213956</v>
      </c>
      <c r="Q20" s="2361">
        <f>+PENN!BE93</f>
        <v>-0.75007169595837808</v>
      </c>
      <c r="R20" s="2337">
        <f>+PENN!BF93</f>
        <v>2.4022037348437539E-2</v>
      </c>
      <c r="S20" s="2337">
        <f>+PENN!BG93</f>
        <v>3.7685855680102291E-2</v>
      </c>
      <c r="T20" s="2337">
        <f>+PENN!BH93</f>
        <v>1.1783523225240537E-2</v>
      </c>
      <c r="U20" s="2337">
        <f>+PENN!BI93</f>
        <v>0.17154580656516785</v>
      </c>
      <c r="V20" s="2361">
        <f>+PENN!BJ93</f>
        <v>0.24487811317433728</v>
      </c>
      <c r="W20" s="2337">
        <f>+PENN!BK93</f>
        <v>0.24510434620324745</v>
      </c>
      <c r="X20" s="2337">
        <f>+PENN!BL93</f>
        <v>0.3756968279299564</v>
      </c>
      <c r="Y20" s="2337">
        <f>+PENN!BM93</f>
        <v>0.48579991686902513</v>
      </c>
      <c r="Z20" s="2337">
        <f>+PENN!BN93</f>
        <v>5.4813620618287616E-2</v>
      </c>
      <c r="AA20" s="2361">
        <f>+PENN!BO93</f>
        <v>1.1562122829567996</v>
      </c>
      <c r="AB20" s="2337">
        <f>+PENN!BP93</f>
        <v>7.1945341993319742E-2</v>
      </c>
      <c r="AC20" s="2337">
        <f>+PENN!BQ93</f>
        <v>0.22853526957603629</v>
      </c>
      <c r="AD20" s="2337">
        <f>+PENN!BR93</f>
        <v>0.27095278291252067</v>
      </c>
      <c r="AE20" s="2337">
        <f>+PENN!BS93</f>
        <v>-3.1433912823279413</v>
      </c>
      <c r="AF20" s="2361">
        <f>+PENN!BT93</f>
        <v>-2.5560050520198438</v>
      </c>
      <c r="AG20" s="2337">
        <f>+PENN!BU93</f>
        <v>0.40104641562904358</v>
      </c>
      <c r="AH20" s="2337">
        <f>+PENN!BV93</f>
        <v>0.46878383703015358</v>
      </c>
      <c r="AI20" s="2337">
        <f>+PENN!BW93</f>
        <v>0.61781532790958904</v>
      </c>
      <c r="AJ20" s="2337">
        <f>+PENN!BX93</f>
        <v>0.43010973184647788</v>
      </c>
      <c r="AK20" s="2361">
        <f>+PENN!BY93</f>
        <v>1.9398729722096115</v>
      </c>
      <c r="AL20" s="2361">
        <f>+PENN!BZ93</f>
        <v>2.6196359030820009</v>
      </c>
      <c r="AM20" s="2361">
        <f>+PENN!CA93</f>
        <v>2.466295621560036</v>
      </c>
    </row>
    <row r="21" spans="1:39" customFormat="1" ht="15.75" customHeight="1" x14ac:dyDescent="0.25">
      <c r="A21" s="2335" t="s">
        <v>1560</v>
      </c>
      <c r="B21" s="2362"/>
      <c r="C21" s="2339"/>
      <c r="D21" s="2339"/>
      <c r="E21" s="2339"/>
      <c r="F21" s="2339"/>
      <c r="G21" s="2367">
        <f t="shared" ref="G21:Q21" si="6">G20/B20-1</f>
        <v>7.5539804370400532E-2</v>
      </c>
      <c r="H21" s="1648">
        <f t="shared" si="6"/>
        <v>-9.4512895914386941E-2</v>
      </c>
      <c r="I21" s="1648">
        <f t="shared" si="6"/>
        <v>-0.47891585228852207</v>
      </c>
      <c r="J21" s="1648">
        <f t="shared" si="6"/>
        <v>-0.28369240727005374</v>
      </c>
      <c r="K21" s="1648">
        <f t="shared" si="6"/>
        <v>-0.73878193103541179</v>
      </c>
      <c r="L21" s="2367">
        <f t="shared" si="6"/>
        <v>-0.17111427226114573</v>
      </c>
      <c r="M21" s="1648">
        <f t="shared" si="6"/>
        <v>-0.9908975904516476</v>
      </c>
      <c r="N21" s="1648">
        <f t="shared" si="6"/>
        <v>-1.6111759400245063</v>
      </c>
      <c r="O21" s="1648">
        <f t="shared" si="6"/>
        <v>-1.5476424741567842</v>
      </c>
      <c r="P21" s="1648">
        <f t="shared" si="6"/>
        <v>-4.1095729714193192</v>
      </c>
      <c r="Q21" s="2367">
        <f t="shared" si="6"/>
        <v>-1.3700057105588197</v>
      </c>
      <c r="R21" s="1648">
        <f t="shared" ref="R21:AA21" si="7">R20/M20-1</f>
        <v>2.8689615873992782</v>
      </c>
      <c r="S21" s="1648">
        <f t="shared" si="7"/>
        <v>-1.1788159118093195</v>
      </c>
      <c r="T21" s="1648">
        <f t="shared" si="7"/>
        <v>-1.0495635994092618</v>
      </c>
      <c r="U21" s="1648">
        <f t="shared" si="7"/>
        <v>-1.5526982381566219</v>
      </c>
      <c r="V21" s="2367">
        <f t="shared" si="7"/>
        <v>-1.3264729418451828</v>
      </c>
      <c r="W21" s="1648">
        <f t="shared" si="7"/>
        <v>9.2033121773990469</v>
      </c>
      <c r="X21" s="1648">
        <f t="shared" si="7"/>
        <v>8.9691733450096525</v>
      </c>
      <c r="Y21" s="1648">
        <f t="shared" si="7"/>
        <v>40.227051331169967</v>
      </c>
      <c r="Z21" s="1648">
        <f t="shared" si="7"/>
        <v>-0.68047239559035977</v>
      </c>
      <c r="AA21" s="2367">
        <f t="shared" si="7"/>
        <v>3.7215827824255232</v>
      </c>
      <c r="AB21" s="1648">
        <f t="shared" ref="AB21:AK21" si="8">AB20/W20-1</f>
        <v>-0.70647055791633884</v>
      </c>
      <c r="AC21" s="1648">
        <f t="shared" si="8"/>
        <v>-0.39170295678236711</v>
      </c>
      <c r="AD21" s="1648">
        <f t="shared" si="8"/>
        <v>-0.44225436542103946</v>
      </c>
      <c r="AE21" s="1648">
        <f t="shared" si="8"/>
        <v>-58.346901132803538</v>
      </c>
      <c r="AF21" s="2367">
        <f t="shared" si="8"/>
        <v>-3.2106710763211517</v>
      </c>
      <c r="AG21" s="1648">
        <f t="shared" si="8"/>
        <v>4.5743207901670893</v>
      </c>
      <c r="AH21" s="1648">
        <f t="shared" si="8"/>
        <v>1.0512537863403351</v>
      </c>
      <c r="AI21" s="1648">
        <f t="shared" si="8"/>
        <v>1.2801586360124442</v>
      </c>
      <c r="AJ21" s="1648">
        <f t="shared" si="8"/>
        <v>-1.136829841790471</v>
      </c>
      <c r="AK21" s="2367">
        <f t="shared" si="8"/>
        <v>-1.758947237086506</v>
      </c>
      <c r="AL21" s="2367">
        <f>AL20/AK20-1</f>
        <v>0.35041620797371364</v>
      </c>
      <c r="AM21" s="2367">
        <f>AM20/AL20-1</f>
        <v>-5.8534959511571838E-2</v>
      </c>
    </row>
    <row r="22" spans="1:39" customFormat="1" x14ac:dyDescent="0.25">
      <c r="A22" s="416" t="s">
        <v>1561</v>
      </c>
      <c r="B22" s="2363"/>
      <c r="C22" s="976"/>
      <c r="D22" s="976"/>
      <c r="E22" s="976"/>
      <c r="F22" s="976"/>
      <c r="G22" s="424"/>
      <c r="H22" s="416"/>
      <c r="I22" s="416"/>
      <c r="J22" s="416"/>
      <c r="K22" s="416"/>
      <c r="L22" s="424"/>
      <c r="M22" s="416"/>
      <c r="N22" s="416"/>
      <c r="O22" s="416"/>
      <c r="P22" s="416"/>
      <c r="Q22" s="424"/>
      <c r="R22" s="416"/>
      <c r="S22" s="416"/>
      <c r="T22" s="416"/>
      <c r="U22" s="416"/>
      <c r="V22" s="424">
        <f>(V20/G20)^(1/3)-1</f>
        <v>-0.53564503470303415</v>
      </c>
      <c r="W22" s="416"/>
      <c r="X22" s="416"/>
      <c r="Y22" s="416"/>
      <c r="Z22" s="416"/>
      <c r="AA22" s="424">
        <f>(AA20/L20)^(1/3)-1</f>
        <v>-0.17069476029156616</v>
      </c>
      <c r="AB22" s="416"/>
      <c r="AC22" s="416"/>
      <c r="AD22" s="416"/>
      <c r="AE22" s="416"/>
      <c r="AF22" s="424">
        <f>(AF20/Q20)^(1/3)-1</f>
        <v>0.50482608264472661</v>
      </c>
      <c r="AG22" s="416"/>
      <c r="AH22" s="416"/>
      <c r="AI22" s="416"/>
      <c r="AJ22" s="416"/>
      <c r="AK22" s="424">
        <f>(AK20/V20)^(1/3)-1</f>
        <v>0.99346113952102066</v>
      </c>
      <c r="AL22" s="424">
        <f>(AL20/AA20)^(1/3)-1</f>
        <v>0.31341241884040394</v>
      </c>
      <c r="AM22" s="424">
        <f>(AM20/AF20)^(1/3)-1</f>
        <v>-1.988161224188026</v>
      </c>
    </row>
    <row r="23" spans="1:39" customFormat="1" x14ac:dyDescent="0.25">
      <c r="A23" s="2331"/>
      <c r="B23" s="2364"/>
      <c r="C23" s="2338"/>
      <c r="D23" s="2338"/>
      <c r="E23" s="2338"/>
      <c r="F23" s="2338"/>
      <c r="G23" s="2364"/>
      <c r="H23" s="2338"/>
      <c r="I23" s="2338"/>
      <c r="J23" s="2338"/>
      <c r="K23" s="2338"/>
      <c r="L23" s="2364"/>
      <c r="M23" s="2338"/>
      <c r="N23" s="2338"/>
      <c r="O23" s="2338"/>
      <c r="P23" s="2338"/>
      <c r="Q23" s="2364"/>
      <c r="R23" s="2338"/>
      <c r="S23" s="2338"/>
      <c r="T23" s="2338"/>
      <c r="U23" s="2338"/>
      <c r="V23" s="2364"/>
      <c r="W23" s="2338"/>
      <c r="X23" s="2338"/>
      <c r="Y23" s="2338"/>
      <c r="Z23" s="2338"/>
      <c r="AA23" s="2364"/>
      <c r="AB23" s="2338"/>
      <c r="AC23" s="2338"/>
      <c r="AD23" s="2338"/>
      <c r="AE23" s="2338"/>
      <c r="AF23" s="2364"/>
      <c r="AG23" s="2338"/>
      <c r="AH23" s="2338"/>
      <c r="AI23" s="2338"/>
      <c r="AJ23" s="2338"/>
      <c r="AK23" s="2364"/>
      <c r="AL23" s="2364"/>
      <c r="AM23" s="2364"/>
    </row>
    <row r="24" spans="1:39" customFormat="1" x14ac:dyDescent="0.25">
      <c r="A24" s="2331" t="s">
        <v>2154</v>
      </c>
      <c r="B24" s="2364">
        <f>+PENN!AP100</f>
        <v>77.991</v>
      </c>
      <c r="C24" s="2338">
        <f>+PENN!AQ100</f>
        <v>75.994</v>
      </c>
      <c r="D24" s="2338">
        <f>+PENN!AR100</f>
        <v>76.257000000000005</v>
      </c>
      <c r="E24" s="2338">
        <f>+PENN!AS100</f>
        <v>76.335999999999999</v>
      </c>
      <c r="F24" s="2338">
        <f>+PENN!AT100</f>
        <v>76.787000000000006</v>
      </c>
      <c r="G24" s="2364">
        <f>+PENN!AU100</f>
        <v>76.344999999999999</v>
      </c>
      <c r="H24" s="2338">
        <f>+PENN!AV100</f>
        <v>77.552999999999997</v>
      </c>
      <c r="I24" s="2338">
        <f>+PENN!AW100</f>
        <v>78.305999999999997</v>
      </c>
      <c r="J24" s="2338">
        <f>+PENN!AX100</f>
        <v>78.635000000000005</v>
      </c>
      <c r="K24" s="2338">
        <f>+PENN!AY100</f>
        <v>77.938999999999993</v>
      </c>
      <c r="L24" s="2364">
        <f>+PENN!AZ100</f>
        <v>78.111000000000004</v>
      </c>
      <c r="M24" s="2338">
        <f>+PENN!BA100</f>
        <v>77.917000000000002</v>
      </c>
      <c r="N24" s="2338">
        <f>+PENN!BB100</f>
        <v>78.457999999999998</v>
      </c>
      <c r="O24" s="2338">
        <f>+PENN!BC100</f>
        <v>78.510000000000005</v>
      </c>
      <c r="P24" s="2338">
        <f>+PENN!BD100</f>
        <v>78.805000000000007</v>
      </c>
      <c r="Q24" s="2364">
        <f>+PENN!BE100</f>
        <v>78.805000000000007</v>
      </c>
      <c r="R24" s="2338">
        <f>+PENN!BF100</f>
        <v>79.400000000000006</v>
      </c>
      <c r="S24" s="2338">
        <f>+PENN!BG100</f>
        <v>79.757999999999996</v>
      </c>
      <c r="T24" s="2338">
        <f>+PENN!BH100</f>
        <v>80.242999999999995</v>
      </c>
      <c r="U24" s="2338">
        <f>+PENN!BI100</f>
        <v>80.003</v>
      </c>
      <c r="V24" s="2364">
        <f>+PENN!BJ100</f>
        <v>80.003</v>
      </c>
      <c r="W24" s="2338">
        <f>+PENN!BK100</f>
        <v>80.968000000000004</v>
      </c>
      <c r="X24" s="2338">
        <f>+PENN!BL100</f>
        <v>81.647000000000006</v>
      </c>
      <c r="Y24" s="2338">
        <f>+PENN!BM100</f>
        <v>83.064999999999998</v>
      </c>
      <c r="Z24" s="2338">
        <f>+PENN!BN100</f>
        <v>85.942999999999998</v>
      </c>
      <c r="AA24" s="2364">
        <f>+PENN!BO100</f>
        <v>85.942999999999998</v>
      </c>
      <c r="AB24" s="2338">
        <f>+PENN!BP100</f>
        <v>90.751000000000005</v>
      </c>
      <c r="AC24" s="2338">
        <f>+PENN!BQ100</f>
        <v>90.927999999999997</v>
      </c>
      <c r="AD24" s="2338">
        <f>+PENN!BR100</f>
        <v>90.912999999999997</v>
      </c>
      <c r="AE24" s="2338">
        <f>+PENN!BS100</f>
        <v>90.826999999999998</v>
      </c>
      <c r="AF24" s="2364">
        <f>+PENN!BT100</f>
        <v>90.854749999999996</v>
      </c>
      <c r="AG24" s="2338">
        <f>+PENN!BU100</f>
        <v>91.326999999999998</v>
      </c>
      <c r="AH24" s="2338">
        <f>+PENN!BV100</f>
        <v>91.826999999999998</v>
      </c>
      <c r="AI24" s="2338">
        <f>+PENN!BW100</f>
        <v>118.78699999999999</v>
      </c>
      <c r="AJ24" s="2338">
        <f>+PENN!BX100</f>
        <v>119.28699999999999</v>
      </c>
      <c r="AK24" s="2364">
        <f>+PENN!BY100</f>
        <v>105.30699999999999</v>
      </c>
      <c r="AL24" s="2364">
        <f>+PENN!BZ100</f>
        <v>121.28699999999999</v>
      </c>
      <c r="AM24" s="2364">
        <f>+PENN!CA100</f>
        <v>123.28699999999999</v>
      </c>
    </row>
    <row r="25" spans="1:39" customFormat="1" x14ac:dyDescent="0.25">
      <c r="A25" s="2335" t="s">
        <v>1560</v>
      </c>
      <c r="B25" s="2362"/>
      <c r="C25" s="2339"/>
      <c r="D25" s="2339"/>
      <c r="E25" s="2339"/>
      <c r="F25" s="2339"/>
      <c r="G25" s="2367">
        <f t="shared" ref="G25:Q25" si="9">G24/B24-1</f>
        <v>-2.1104999294790483E-2</v>
      </c>
      <c r="H25" s="1648">
        <f t="shared" si="9"/>
        <v>2.05147774824328E-2</v>
      </c>
      <c r="I25" s="1648">
        <f t="shared" si="9"/>
        <v>2.6869664424249429E-2</v>
      </c>
      <c r="J25" s="1648">
        <f t="shared" si="9"/>
        <v>3.0116851813037249E-2</v>
      </c>
      <c r="K25" s="1648">
        <f t="shared" si="9"/>
        <v>1.5002539492361855E-2</v>
      </c>
      <c r="L25" s="2367">
        <f t="shared" si="9"/>
        <v>2.3131835745628493E-2</v>
      </c>
      <c r="M25" s="1648">
        <f t="shared" si="9"/>
        <v>4.6935644011192323E-3</v>
      </c>
      <c r="N25" s="1648">
        <f t="shared" si="9"/>
        <v>1.9411028529103813E-3</v>
      </c>
      <c r="O25" s="1648">
        <f t="shared" si="9"/>
        <v>-1.5896229414382734E-3</v>
      </c>
      <c r="P25" s="1648">
        <f t="shared" si="9"/>
        <v>1.1111253672744237E-2</v>
      </c>
      <c r="Q25" s="2367">
        <f t="shared" si="9"/>
        <v>8.8847921547541286E-3</v>
      </c>
      <c r="R25" s="1648">
        <f t="shared" ref="R25:AA25" si="10">R24/M24-1</f>
        <v>1.9033073655299937E-2</v>
      </c>
      <c r="S25" s="1648">
        <f t="shared" si="10"/>
        <v>1.656937469729014E-2</v>
      </c>
      <c r="T25" s="1648">
        <f t="shared" si="10"/>
        <v>2.2073621194752091E-2</v>
      </c>
      <c r="U25" s="1648">
        <f t="shared" si="10"/>
        <v>1.520208108622545E-2</v>
      </c>
      <c r="V25" s="2367">
        <f t="shared" si="10"/>
        <v>1.520208108622545E-2</v>
      </c>
      <c r="W25" s="1648">
        <f t="shared" si="10"/>
        <v>1.9748110831234289E-2</v>
      </c>
      <c r="X25" s="1648">
        <f t="shared" si="10"/>
        <v>2.3684144537225338E-2</v>
      </c>
      <c r="Y25" s="1648">
        <f t="shared" si="10"/>
        <v>3.5168176663384898E-2</v>
      </c>
      <c r="Z25" s="1648">
        <f t="shared" si="10"/>
        <v>7.4247215729410065E-2</v>
      </c>
      <c r="AA25" s="2367">
        <f t="shared" si="10"/>
        <v>7.4247215729410065E-2</v>
      </c>
      <c r="AB25" s="1648">
        <f t="shared" ref="AB25:AK25" si="11">AB24/W24-1</f>
        <v>0.12082551131311137</v>
      </c>
      <c r="AC25" s="1648">
        <f t="shared" si="11"/>
        <v>0.11367227209817865</v>
      </c>
      <c r="AD25" s="1648">
        <f t="shared" si="11"/>
        <v>9.4480226328778727E-2</v>
      </c>
      <c r="AE25" s="1648">
        <f t="shared" si="11"/>
        <v>5.682836298476901E-2</v>
      </c>
      <c r="AF25" s="2367">
        <f t="shared" si="11"/>
        <v>5.7151251410818782E-2</v>
      </c>
      <c r="AG25" s="1648">
        <f t="shared" si="11"/>
        <v>6.347037498209307E-3</v>
      </c>
      <c r="AH25" s="1648">
        <f t="shared" si="11"/>
        <v>9.8869435157487029E-3</v>
      </c>
      <c r="AI25" s="1648">
        <f t="shared" si="11"/>
        <v>0.30660081616490498</v>
      </c>
      <c r="AJ25" s="1648">
        <f t="shared" si="11"/>
        <v>0.31334294868266044</v>
      </c>
      <c r="AK25" s="2367">
        <f t="shared" si="11"/>
        <v>0.15906983399326946</v>
      </c>
      <c r="AL25" s="2367">
        <f>AL24/AK24-1</f>
        <v>0.15174679745885844</v>
      </c>
      <c r="AM25" s="2367">
        <f>AM24/AL24-1</f>
        <v>1.6489813417761123E-2</v>
      </c>
    </row>
    <row r="26" spans="1:39" customFormat="1" x14ac:dyDescent="0.25">
      <c r="A26" s="2331"/>
      <c r="B26" s="2364"/>
      <c r="C26" s="2338"/>
      <c r="D26" s="2338"/>
      <c r="E26" s="2338"/>
      <c r="F26" s="2338"/>
      <c r="G26" s="2364"/>
      <c r="H26" s="2338"/>
      <c r="I26" s="2338"/>
      <c r="J26" s="2338"/>
      <c r="K26" s="2338"/>
      <c r="L26" s="2364"/>
      <c r="M26" s="2338"/>
      <c r="N26" s="2338"/>
      <c r="O26" s="2338"/>
      <c r="P26" s="2338"/>
      <c r="Q26" s="2364"/>
      <c r="R26" s="2338"/>
      <c r="S26" s="2338"/>
      <c r="T26" s="2338"/>
      <c r="U26" s="2338"/>
      <c r="V26" s="2364"/>
      <c r="W26" s="2338"/>
      <c r="X26" s="2338"/>
      <c r="Y26" s="2338"/>
      <c r="Z26" s="2338"/>
      <c r="AA26" s="2364"/>
      <c r="AB26" s="2338"/>
      <c r="AC26" s="2338"/>
      <c r="AD26" s="2338"/>
      <c r="AE26" s="2338"/>
      <c r="AF26" s="2364"/>
      <c r="AG26" s="2338"/>
      <c r="AH26" s="2338"/>
      <c r="AI26" s="2338"/>
      <c r="AJ26" s="2338"/>
      <c r="AK26" s="2364"/>
      <c r="AL26" s="2364"/>
      <c r="AM26" s="2364"/>
    </row>
    <row r="27" spans="1:39" customFormat="1" x14ac:dyDescent="0.25">
      <c r="A27" s="2331" t="s">
        <v>2155</v>
      </c>
      <c r="B27" s="2364">
        <f>+PENN!AP101</f>
        <v>107.051</v>
      </c>
      <c r="C27" s="2338">
        <f>+PENN!AQ101</f>
        <v>105.63200000000001</v>
      </c>
      <c r="D27" s="2338">
        <f>+PENN!AR101</f>
        <v>106.13</v>
      </c>
      <c r="E27" s="2338">
        <f>+PENN!AS101</f>
        <v>105.84099999999999</v>
      </c>
      <c r="F27" s="2338">
        <f>+PENN!AT101</f>
        <v>104.47</v>
      </c>
      <c r="G27" s="2364">
        <f>+PENN!AU101</f>
        <v>103.804</v>
      </c>
      <c r="H27" s="2338">
        <f>+PENN!AV101</f>
        <v>102.887</v>
      </c>
      <c r="I27" s="2338">
        <f>+PENN!AW101</f>
        <v>102.887</v>
      </c>
      <c r="J27" s="2338">
        <f>+PENN!AX101</f>
        <v>103.44199999999999</v>
      </c>
      <c r="K27" s="2338">
        <f>+PENN!AY101</f>
        <v>77.938999999999993</v>
      </c>
      <c r="L27" s="2364">
        <f>+PENN!AZ101</f>
        <v>78.111000000000004</v>
      </c>
      <c r="M27" s="2338">
        <f>+PENN!BA101</f>
        <v>88.679000000000002</v>
      </c>
      <c r="N27" s="2338">
        <f>+PENN!BB101</f>
        <v>88.936000000000007</v>
      </c>
      <c r="O27" s="2338">
        <f>+PENN!BC101</f>
        <v>89.016999999999996</v>
      </c>
      <c r="P27" s="2338">
        <f>+PENN!BD101</f>
        <v>78.805000000000007</v>
      </c>
      <c r="Q27" s="2364">
        <f>+PENN!BE101</f>
        <v>78.805000000000007</v>
      </c>
      <c r="R27" s="2338">
        <f>+PENN!BF101</f>
        <v>90.391999999999996</v>
      </c>
      <c r="S27" s="2338">
        <f>+PENN!BG101</f>
        <v>90.728999999999999</v>
      </c>
      <c r="T27" s="2338">
        <f>+PENN!BH101</f>
        <v>91.28</v>
      </c>
      <c r="U27" s="2338">
        <f>+PENN!BI101</f>
        <v>90.903999999999996</v>
      </c>
      <c r="V27" s="2364">
        <f>+PENN!BJ101</f>
        <v>90.903999999999996</v>
      </c>
      <c r="W27" s="2338">
        <f>+PENN!BK101</f>
        <v>91.090999999999994</v>
      </c>
      <c r="X27" s="2338">
        <f>+PENN!BL101</f>
        <v>91.486000000000004</v>
      </c>
      <c r="Y27" s="2338">
        <f>+PENN!BM101</f>
        <v>91.421999999999997</v>
      </c>
      <c r="Z27" s="2338">
        <f>+PENN!BN101</f>
        <v>91.802000000000007</v>
      </c>
      <c r="AA27" s="2364">
        <f>+PENN!BO101</f>
        <v>91.802000000000007</v>
      </c>
      <c r="AB27" s="2338">
        <f>+PENN!BP101</f>
        <v>91.917000000000002</v>
      </c>
      <c r="AC27" s="2338">
        <f>+PENN!BQ101</f>
        <v>93.239000000000004</v>
      </c>
      <c r="AD27" s="2338">
        <f>+PENN!BR101</f>
        <v>93.588999999999999</v>
      </c>
      <c r="AE27" s="2338">
        <f>+PENN!BS101</f>
        <v>90.826999999999998</v>
      </c>
      <c r="AF27" s="2364">
        <f>+PENN!BT101</f>
        <v>92.393000000000001</v>
      </c>
      <c r="AG27" s="2338">
        <f>+PENN!BU101</f>
        <v>93.3</v>
      </c>
      <c r="AH27" s="2338">
        <f>+PENN!BV101</f>
        <v>93.3</v>
      </c>
      <c r="AI27" s="2338">
        <f>+PENN!BW101</f>
        <v>119.75999999999999</v>
      </c>
      <c r="AJ27" s="2338">
        <f>+PENN!BX101</f>
        <v>119.75999999999999</v>
      </c>
      <c r="AK27" s="2364">
        <f>+PENN!BY101</f>
        <v>106.53</v>
      </c>
      <c r="AL27" s="2364">
        <f>+PENN!BZ101</f>
        <v>121.75999999999999</v>
      </c>
      <c r="AM27" s="2364">
        <f>+PENN!CA101</f>
        <v>123.75999999999999</v>
      </c>
    </row>
    <row r="28" spans="1:39" customFormat="1" x14ac:dyDescent="0.25">
      <c r="A28" s="2335" t="s">
        <v>1560</v>
      </c>
      <c r="B28" s="2362"/>
      <c r="C28" s="2339"/>
      <c r="D28" s="2339"/>
      <c r="E28" s="2339"/>
      <c r="F28" s="2339"/>
      <c r="G28" s="2367">
        <f t="shared" ref="G28:Q28" si="12">G27/B27-1</f>
        <v>-3.033133739993088E-2</v>
      </c>
      <c r="H28" s="1648">
        <f t="shared" si="12"/>
        <v>-2.5986443501969103E-2</v>
      </c>
      <c r="I28" s="1648">
        <f t="shared" si="12"/>
        <v>-3.0556864223122537E-2</v>
      </c>
      <c r="J28" s="1648">
        <f t="shared" si="12"/>
        <v>-2.2666074583573503E-2</v>
      </c>
      <c r="K28" s="1648">
        <f t="shared" si="12"/>
        <v>-0.2539580740882551</v>
      </c>
      <c r="L28" s="2367">
        <f t="shared" si="12"/>
        <v>-0.24751454664560135</v>
      </c>
      <c r="M28" s="1648">
        <f t="shared" si="12"/>
        <v>-0.13809324793219746</v>
      </c>
      <c r="N28" s="1648">
        <f t="shared" si="12"/>
        <v>-0.13559536190189225</v>
      </c>
      <c r="O28" s="1648">
        <f t="shared" si="12"/>
        <v>-0.13945012664101619</v>
      </c>
      <c r="P28" s="1648">
        <f t="shared" si="12"/>
        <v>1.1111253672744237E-2</v>
      </c>
      <c r="Q28" s="2367">
        <f t="shared" si="12"/>
        <v>8.8847921547541286E-3</v>
      </c>
      <c r="R28" s="1648">
        <f t="shared" ref="R28:AA28" si="13">R27/M27-1</f>
        <v>1.9316861940256391E-2</v>
      </c>
      <c r="S28" s="1648">
        <f t="shared" si="13"/>
        <v>2.0160564900602695E-2</v>
      </c>
      <c r="T28" s="1648">
        <f t="shared" si="13"/>
        <v>2.5422110383410024E-2</v>
      </c>
      <c r="U28" s="1648">
        <f t="shared" si="13"/>
        <v>0.15353086733075294</v>
      </c>
      <c r="V28" s="2367">
        <f t="shared" si="13"/>
        <v>0.15353086733075294</v>
      </c>
      <c r="W28" s="1648">
        <f t="shared" si="13"/>
        <v>7.7329852199310434E-3</v>
      </c>
      <c r="X28" s="1648">
        <f t="shared" si="13"/>
        <v>8.3435285300179629E-3</v>
      </c>
      <c r="Y28" s="1648">
        <f t="shared" si="13"/>
        <v>1.5556529360210014E-3</v>
      </c>
      <c r="Z28" s="1648">
        <f t="shared" si="13"/>
        <v>9.8785531989793451E-3</v>
      </c>
      <c r="AA28" s="2367">
        <f t="shared" si="13"/>
        <v>9.8785531989793451E-3</v>
      </c>
      <c r="AB28" s="1648">
        <f t="shared" ref="AB28:AK28" si="14">AB27/W27-1</f>
        <v>9.067855221701393E-3</v>
      </c>
      <c r="AC28" s="1648">
        <f t="shared" si="14"/>
        <v>1.9161401744529183E-2</v>
      </c>
      <c r="AD28" s="1648">
        <f t="shared" si="14"/>
        <v>2.3703266172256043E-2</v>
      </c>
      <c r="AE28" s="1648">
        <f t="shared" si="14"/>
        <v>-1.0620683645236606E-2</v>
      </c>
      <c r="AF28" s="2367">
        <f t="shared" si="14"/>
        <v>6.4377682403433667E-3</v>
      </c>
      <c r="AG28" s="1648">
        <f t="shared" si="14"/>
        <v>1.5046182969417954E-2</v>
      </c>
      <c r="AH28" s="1648">
        <f t="shared" si="14"/>
        <v>6.5423267087805215E-4</v>
      </c>
      <c r="AI28" s="1648">
        <f t="shared" si="14"/>
        <v>0.27963756424366104</v>
      </c>
      <c r="AJ28" s="1648">
        <f t="shared" si="14"/>
        <v>0.31855065123806781</v>
      </c>
      <c r="AK28" s="2367">
        <f t="shared" si="14"/>
        <v>0.15300942712110221</v>
      </c>
      <c r="AL28" s="2367">
        <f>AL27/AK27-1</f>
        <v>0.14296442316718294</v>
      </c>
      <c r="AM28" s="2367">
        <f>AM27/AL27-1</f>
        <v>1.6425755584756896E-2</v>
      </c>
    </row>
    <row r="29" spans="1:39" customFormat="1" x14ac:dyDescent="0.25">
      <c r="A29" s="2331"/>
      <c r="B29" s="2364"/>
      <c r="C29" s="2338"/>
      <c r="D29" s="2338"/>
      <c r="E29" s="2338"/>
      <c r="F29" s="2338"/>
      <c r="G29" s="2364"/>
      <c r="H29" s="2338"/>
      <c r="I29" s="2338"/>
      <c r="J29" s="2338"/>
      <c r="K29" s="2338"/>
      <c r="L29" s="2364"/>
      <c r="M29" s="2338"/>
      <c r="N29" s="2338"/>
      <c r="O29" s="2338"/>
      <c r="P29" s="2338"/>
      <c r="Q29" s="2364"/>
      <c r="R29" s="2338"/>
      <c r="S29" s="2338"/>
      <c r="T29" s="2338"/>
      <c r="U29" s="2338"/>
      <c r="V29" s="2364"/>
      <c r="W29" s="2338"/>
      <c r="X29" s="2338"/>
      <c r="Y29" s="2338"/>
      <c r="Z29" s="2338"/>
      <c r="AA29" s="2364"/>
      <c r="AB29" s="2338"/>
      <c r="AC29" s="2338"/>
      <c r="AD29" s="2338"/>
      <c r="AE29" s="2338"/>
      <c r="AF29" s="2364"/>
      <c r="AG29" s="2338"/>
      <c r="AH29" s="2338"/>
      <c r="AI29" s="2338"/>
      <c r="AJ29" s="2338"/>
      <c r="AK29" s="2364"/>
      <c r="AL29" s="2364"/>
      <c r="AM29" s="2364"/>
    </row>
    <row r="30" spans="1:39" customFormat="1" x14ac:dyDescent="0.25">
      <c r="A30" s="2331" t="s">
        <v>1562</v>
      </c>
      <c r="B30" s="2361">
        <v>0</v>
      </c>
      <c r="C30" s="2337">
        <v>0</v>
      </c>
      <c r="D30" s="2337">
        <v>0</v>
      </c>
      <c r="E30" s="2337">
        <v>0</v>
      </c>
      <c r="F30" s="2337">
        <v>0</v>
      </c>
      <c r="G30" s="2361">
        <v>0</v>
      </c>
      <c r="H30" s="2337">
        <v>0</v>
      </c>
      <c r="I30" s="2337">
        <v>0</v>
      </c>
      <c r="J30" s="2337">
        <v>0</v>
      </c>
      <c r="K30" s="2337">
        <v>0</v>
      </c>
      <c r="L30" s="2361">
        <v>0</v>
      </c>
      <c r="M30" s="2337">
        <v>0</v>
      </c>
      <c r="N30" s="2337">
        <v>0</v>
      </c>
      <c r="O30" s="2337">
        <v>0</v>
      </c>
      <c r="P30" s="2337">
        <v>0</v>
      </c>
      <c r="Q30" s="2361">
        <v>0</v>
      </c>
      <c r="R30" s="2337">
        <v>0</v>
      </c>
      <c r="S30" s="2337">
        <v>0</v>
      </c>
      <c r="T30" s="2337">
        <v>0</v>
      </c>
      <c r="U30" s="2337">
        <v>0</v>
      </c>
      <c r="V30" s="2361">
        <v>0</v>
      </c>
      <c r="W30" s="2337">
        <v>0</v>
      </c>
      <c r="X30" s="2337">
        <v>0</v>
      </c>
      <c r="Y30" s="2337">
        <v>0</v>
      </c>
      <c r="Z30" s="2337">
        <v>0</v>
      </c>
      <c r="AA30" s="2361">
        <v>0</v>
      </c>
      <c r="AB30" s="2337">
        <v>0</v>
      </c>
      <c r="AC30" s="2337">
        <v>0</v>
      </c>
      <c r="AD30" s="2337">
        <v>0</v>
      </c>
      <c r="AE30" s="2337">
        <v>0</v>
      </c>
      <c r="AF30" s="2361">
        <v>0</v>
      </c>
      <c r="AG30" s="2337">
        <v>0</v>
      </c>
      <c r="AH30" s="2337">
        <v>0</v>
      </c>
      <c r="AI30" s="2337">
        <v>0</v>
      </c>
      <c r="AJ30" s="2337">
        <v>0</v>
      </c>
      <c r="AK30" s="2361">
        <v>0</v>
      </c>
      <c r="AL30" s="2361">
        <v>0</v>
      </c>
      <c r="AM30" s="2361">
        <v>0</v>
      </c>
    </row>
    <row r="31" spans="1:39" customFormat="1" x14ac:dyDescent="0.25">
      <c r="A31" s="2335" t="s">
        <v>1560</v>
      </c>
      <c r="B31" s="2362"/>
      <c r="C31" s="2339"/>
      <c r="D31" s="2339"/>
      <c r="E31" s="2339"/>
      <c r="F31" s="2339"/>
      <c r="G31" s="2367"/>
      <c r="H31" s="1648"/>
      <c r="I31" s="1648"/>
      <c r="J31" s="1648"/>
      <c r="K31" s="1648"/>
      <c r="L31" s="2367"/>
      <c r="M31" s="1648"/>
      <c r="N31" s="1648"/>
      <c r="O31" s="1648"/>
      <c r="P31" s="1648"/>
      <c r="Q31" s="2367"/>
      <c r="R31" s="1648"/>
      <c r="S31" s="1648"/>
      <c r="T31" s="1648"/>
      <c r="U31" s="1648"/>
      <c r="V31" s="2367"/>
      <c r="W31" s="1648"/>
      <c r="X31" s="1648"/>
      <c r="Y31" s="1648"/>
      <c r="Z31" s="1648"/>
      <c r="AA31" s="2367"/>
      <c r="AB31" s="1648"/>
      <c r="AC31" s="1648"/>
      <c r="AD31" s="1648"/>
      <c r="AE31" s="1648"/>
      <c r="AF31" s="2367"/>
      <c r="AG31" s="1648"/>
      <c r="AH31" s="1648"/>
      <c r="AI31" s="1648"/>
      <c r="AJ31" s="1648"/>
      <c r="AK31" s="2367"/>
      <c r="AL31" s="2367"/>
      <c r="AM31" s="2367"/>
    </row>
    <row r="32" spans="1:39" customFormat="1" x14ac:dyDescent="0.25">
      <c r="A32" s="2331"/>
      <c r="B32" s="2364"/>
      <c r="C32" s="2338"/>
      <c r="D32" s="2338"/>
      <c r="E32" s="2338"/>
      <c r="F32" s="2338"/>
      <c r="G32" s="2364"/>
      <c r="H32" s="2338"/>
      <c r="I32" s="2338"/>
      <c r="J32" s="2338"/>
      <c r="K32" s="2338"/>
      <c r="L32" s="2364"/>
      <c r="M32" s="2338"/>
      <c r="N32" s="2338"/>
      <c r="O32" s="2338"/>
      <c r="P32" s="2338"/>
      <c r="Q32" s="2364"/>
      <c r="R32" s="2338"/>
      <c r="S32" s="2338"/>
      <c r="T32" s="2338"/>
      <c r="U32" s="2338"/>
      <c r="V32" s="2364"/>
      <c r="W32" s="2338"/>
      <c r="X32" s="2338"/>
      <c r="Y32" s="2338"/>
      <c r="Z32" s="2338"/>
      <c r="AA32" s="2364"/>
      <c r="AB32" s="2338"/>
      <c r="AC32" s="2338"/>
      <c r="AD32" s="2338"/>
      <c r="AE32" s="2338"/>
      <c r="AF32" s="2364"/>
      <c r="AG32" s="2338"/>
      <c r="AH32" s="2338"/>
      <c r="AI32" s="2338"/>
      <c r="AJ32" s="2338"/>
      <c r="AK32" s="2364"/>
      <c r="AL32" s="2364"/>
      <c r="AM32" s="2364"/>
    </row>
    <row r="33" spans="1:39" customFormat="1" x14ac:dyDescent="0.25">
      <c r="A33" s="2336" t="s">
        <v>1563</v>
      </c>
      <c r="B33" s="2364"/>
      <c r="C33" s="2338"/>
      <c r="D33" s="2338"/>
      <c r="E33" s="2338"/>
      <c r="F33" s="2338"/>
      <c r="G33" s="2364"/>
      <c r="H33" s="2338"/>
      <c r="I33" s="2338"/>
      <c r="J33" s="2338"/>
      <c r="K33" s="2338"/>
      <c r="L33" s="2364"/>
      <c r="M33" s="2338"/>
      <c r="N33" s="2338"/>
      <c r="O33" s="2338"/>
      <c r="P33" s="2338"/>
      <c r="Q33" s="2364"/>
      <c r="R33" s="2338"/>
      <c r="S33" s="2338"/>
      <c r="T33" s="2338"/>
      <c r="U33" s="2338"/>
      <c r="V33" s="2364"/>
      <c r="W33" s="2338"/>
      <c r="X33" s="2338"/>
      <c r="Y33" s="2338"/>
      <c r="Z33" s="2338"/>
      <c r="AA33" s="2364"/>
      <c r="AB33" s="2338"/>
      <c r="AC33" s="2338"/>
      <c r="AD33" s="2338"/>
      <c r="AE33" s="2338"/>
      <c r="AF33" s="2364"/>
      <c r="AG33" s="2338"/>
      <c r="AH33" s="2338"/>
      <c r="AI33" s="2338"/>
      <c r="AJ33" s="2338"/>
      <c r="AK33" s="2364"/>
      <c r="AL33" s="2364"/>
      <c r="AM33" s="2364"/>
    </row>
    <row r="34" spans="1:39" s="1049" customFormat="1" x14ac:dyDescent="0.25">
      <c r="A34" s="2338" t="s">
        <v>1937</v>
      </c>
      <c r="B34" s="2364">
        <f>+PENN!AP1564</f>
        <v>2044.914</v>
      </c>
      <c r="C34" s="2338">
        <f>+PENN!AQ1564</f>
        <v>2032.289</v>
      </c>
      <c r="D34" s="2338">
        <f>+PENN!AR1564</f>
        <v>2103.6610000000001</v>
      </c>
      <c r="E34" s="2338">
        <f>+PENN!AS1564</f>
        <v>2178.0149999999999</v>
      </c>
      <c r="F34" s="2338">
        <f>+PENN!AT1564</f>
        <v>2732.0740000000001</v>
      </c>
      <c r="G34" s="2364">
        <f>+PENN!AU1564</f>
        <v>2732.0740000000001</v>
      </c>
      <c r="H34" s="2338">
        <f>+PENN!AV1564</f>
        <v>2615.1260000000002</v>
      </c>
      <c r="I34" s="2338">
        <f>+PENN!AW1564</f>
        <v>2477.5780000000004</v>
      </c>
      <c r="J34" s="2338">
        <f>+PENN!AX1564</f>
        <v>2401.9300000000003</v>
      </c>
      <c r="K34" s="2338">
        <f>+PENN!AY1564</f>
        <v>1052.0150000000001</v>
      </c>
      <c r="L34" s="2364">
        <f>+PENN!AZ1564</f>
        <v>1052.0150000000001</v>
      </c>
      <c r="M34" s="2338">
        <f>+PENN!BA1564</f>
        <v>1063.616</v>
      </c>
      <c r="N34" s="2338">
        <f>+PENN!BB1564</f>
        <v>1056.9390000000001</v>
      </c>
      <c r="O34" s="2338">
        <f>+PENN!BC1564</f>
        <v>1230.4930000000002</v>
      </c>
      <c r="P34" s="2338">
        <f>+PENN!BD1564</f>
        <v>4832.2659999999996</v>
      </c>
      <c r="Q34" s="2364">
        <f>+PENN!BE1564</f>
        <v>4832.2659999999996</v>
      </c>
      <c r="R34" s="2338">
        <f>+PENN!BF1564</f>
        <v>4858.0320000000002</v>
      </c>
      <c r="S34" s="2338">
        <f>+PENN!BG1564</f>
        <v>4828.1949999999997</v>
      </c>
      <c r="T34" s="2338">
        <f>+PENN!BH1564</f>
        <v>5239.1949999999997</v>
      </c>
      <c r="U34" s="2338">
        <f>+PENN!BI1564</f>
        <v>5249.2780000000002</v>
      </c>
      <c r="V34" s="2364">
        <f>+PENN!BJ1564</f>
        <v>5249.2780000000002</v>
      </c>
      <c r="W34" s="2338">
        <f>+PENN!BK1564</f>
        <v>5215.8559999999998</v>
      </c>
      <c r="X34" s="2338">
        <f>+PENN!BL1564</f>
        <v>5173.2309999999998</v>
      </c>
      <c r="Y34" s="2338">
        <f>+PENN!BM1564</f>
        <v>5160.9549999999999</v>
      </c>
      <c r="Z34" s="2338">
        <f>+PENN!BN1564</f>
        <v>4890.1740000000009</v>
      </c>
      <c r="AA34" s="2364">
        <f>+PENN!BO1564</f>
        <v>4890.1740000000009</v>
      </c>
      <c r="AB34" s="2338">
        <f>+PENN!BP1564</f>
        <v>4864.1710000000003</v>
      </c>
      <c r="AC34" s="2338">
        <f>+PENN!BQ1564</f>
        <v>4842.83</v>
      </c>
      <c r="AD34" s="2338">
        <f>+PENN!BR1564</f>
        <v>4841.331000000001</v>
      </c>
      <c r="AE34" s="2338">
        <f>+PENN!BS1564</f>
        <v>4762.7739999999994</v>
      </c>
      <c r="AF34" s="2364">
        <f>+PENN!BT1564</f>
        <v>4762.7739999999994</v>
      </c>
      <c r="AG34" s="2338">
        <f>+PENN!BU1564</f>
        <v>4747.7045641824097</v>
      </c>
      <c r="AH34" s="2338">
        <f>+PENN!BV1564</f>
        <v>4732.6820450707628</v>
      </c>
      <c r="AI34" s="2338">
        <f>+PENN!BW1564</f>
        <v>8392.2016555762057</v>
      </c>
      <c r="AJ34" s="2338">
        <f>+PENN!BX1564</f>
        <v>8366.014542802126</v>
      </c>
      <c r="AK34" s="2364">
        <f>+PENN!BY1564</f>
        <v>8366.014542802126</v>
      </c>
      <c r="AL34" s="2364">
        <f>+PENN!BZ1564</f>
        <v>8010.8013108810737</v>
      </c>
      <c r="AM34" s="2364">
        <f>+PENN!CA1564</f>
        <v>7904.7156721319207</v>
      </c>
    </row>
    <row r="35" spans="1:39" s="1049" customFormat="1" x14ac:dyDescent="0.25">
      <c r="A35" s="3187" t="s">
        <v>1260</v>
      </c>
      <c r="B35" s="2365">
        <f>+PENN!AP1339</f>
        <v>238.43999999999994</v>
      </c>
      <c r="C35" s="2340">
        <f>+PENN!AQ1339</f>
        <v>217.45100000000002</v>
      </c>
      <c r="D35" s="2340">
        <f>+PENN!AR1339</f>
        <v>204.12600000000003</v>
      </c>
      <c r="E35" s="2340">
        <f>+PENN!AS1339</f>
        <v>217.43200000000004</v>
      </c>
      <c r="F35" s="2340">
        <f>+PENN!AT1339</f>
        <v>260.46699999999987</v>
      </c>
      <c r="G35" s="2365">
        <f>+PENN!AU1339</f>
        <v>260.46699999999987</v>
      </c>
      <c r="H35" s="2340">
        <f>+PENN!AV1339</f>
        <v>247.70199999999988</v>
      </c>
      <c r="I35" s="2340">
        <f>+PENN!AW1339</f>
        <v>235.13499999999988</v>
      </c>
      <c r="J35" s="2340">
        <f>+PENN!AX1339</f>
        <v>267.87099999999998</v>
      </c>
      <c r="K35" s="2340">
        <f>+PENN!AY1339</f>
        <v>292.99499999999972</v>
      </c>
      <c r="L35" s="2365">
        <f>+PENN!AZ1339</f>
        <v>292.99499999999972</v>
      </c>
      <c r="M35" s="2340">
        <f>+PENN!BA1339</f>
        <v>287.6949999999996</v>
      </c>
      <c r="N35" s="2340">
        <f>+PENN!BB1339</f>
        <v>251.29899999999958</v>
      </c>
      <c r="O35" s="2340">
        <f>+PENN!BC1339</f>
        <v>230.70699999999957</v>
      </c>
      <c r="P35" s="2340">
        <f>+PENN!BD1339</f>
        <v>208.67299999999966</v>
      </c>
      <c r="Q35" s="2365">
        <f>+PENN!BE1339</f>
        <v>208.67299999999966</v>
      </c>
      <c r="R35" s="2340">
        <f>+PENN!BF1339</f>
        <v>237.72899999999976</v>
      </c>
      <c r="S35" s="2340">
        <f>+PENN!BG1339</f>
        <v>233.11799999999974</v>
      </c>
      <c r="T35" s="2340">
        <f>+PENN!BH1339</f>
        <v>223.48899999999966</v>
      </c>
      <c r="U35" s="2340">
        <f>+PENN!BI1339</f>
        <v>237.00899999999973</v>
      </c>
      <c r="V35" s="2365">
        <f>+PENN!BJ1339</f>
        <v>237.00899999999973</v>
      </c>
      <c r="W35" s="2340">
        <f>+PENN!BK1339</f>
        <v>214.23799999999969</v>
      </c>
      <c r="X35" s="2340">
        <f>+PENN!BL1339</f>
        <v>221.35999999999967</v>
      </c>
      <c r="Y35" s="2340">
        <f>+PENN!BM1339</f>
        <v>201.76799999999972</v>
      </c>
      <c r="Z35" s="2340">
        <f>+PENN!BN1339</f>
        <v>229.50999999999974</v>
      </c>
      <c r="AA35" s="2365">
        <f>+PENN!BO1339</f>
        <v>229.50999999999974</v>
      </c>
      <c r="AB35" s="2340">
        <f>+PENN!BP1339</f>
        <v>259.48799999999977</v>
      </c>
      <c r="AC35" s="2340">
        <f>+PENN!BQ1339</f>
        <v>224.39899999999983</v>
      </c>
      <c r="AD35" s="2340">
        <f>+PENN!BR1339</f>
        <v>264.90699999999958</v>
      </c>
      <c r="AE35" s="2340">
        <f>+PENN!BS1339</f>
        <v>277.95299999999992</v>
      </c>
      <c r="AF35" s="2365">
        <f>+PENN!BT1339</f>
        <v>277.95299999999992</v>
      </c>
      <c r="AG35" s="2340">
        <f>+PENN!BU1339</f>
        <v>309.30133940693827</v>
      </c>
      <c r="AH35" s="2340">
        <f>+PENN!BV1339</f>
        <v>363.04690894997117</v>
      </c>
      <c r="AI35" s="2340">
        <f>+PENN!BW1339</f>
        <v>382.69028201256134</v>
      </c>
      <c r="AJ35" s="2340">
        <f>+PENN!BX1339</f>
        <v>425.46427251445709</v>
      </c>
      <c r="AK35" s="2365">
        <f>+PENN!BY1339</f>
        <v>425.46427251445709</v>
      </c>
      <c r="AL35" s="2365">
        <f>+PENN!BZ1339</f>
        <v>414.2020599770957</v>
      </c>
      <c r="AM35" s="2365">
        <f>+PENN!CA1339</f>
        <v>624.10862582614357</v>
      </c>
    </row>
    <row r="36" spans="1:39" s="1049" customFormat="1" x14ac:dyDescent="0.25">
      <c r="A36" s="2338" t="s">
        <v>1261</v>
      </c>
      <c r="B36" s="2364">
        <f>B34-B35</f>
        <v>1806.4740000000002</v>
      </c>
      <c r="C36" s="2338">
        <f t="shared" ref="C36:V36" si="15">C34-C35</f>
        <v>1814.838</v>
      </c>
      <c r="D36" s="2338">
        <f t="shared" si="15"/>
        <v>1899.5350000000001</v>
      </c>
      <c r="E36" s="2338">
        <f t="shared" si="15"/>
        <v>1960.5829999999999</v>
      </c>
      <c r="F36" s="2338">
        <f t="shared" si="15"/>
        <v>2471.607</v>
      </c>
      <c r="G36" s="2364">
        <f t="shared" si="15"/>
        <v>2471.607</v>
      </c>
      <c r="H36" s="2338">
        <f t="shared" si="15"/>
        <v>2367.4240000000004</v>
      </c>
      <c r="I36" s="2338">
        <f t="shared" si="15"/>
        <v>2242.4430000000007</v>
      </c>
      <c r="J36" s="2338">
        <f t="shared" si="15"/>
        <v>2134.0590000000002</v>
      </c>
      <c r="K36" s="2338">
        <f t="shared" si="15"/>
        <v>759.02000000000044</v>
      </c>
      <c r="L36" s="2364">
        <f t="shared" si="15"/>
        <v>759.02000000000044</v>
      </c>
      <c r="M36" s="2338">
        <f t="shared" si="15"/>
        <v>775.92100000000039</v>
      </c>
      <c r="N36" s="2338">
        <f t="shared" si="15"/>
        <v>805.64000000000055</v>
      </c>
      <c r="O36" s="2338">
        <f t="shared" si="15"/>
        <v>999.78600000000063</v>
      </c>
      <c r="P36" s="2338">
        <f t="shared" si="15"/>
        <v>4623.5929999999998</v>
      </c>
      <c r="Q36" s="2364">
        <f t="shared" si="15"/>
        <v>4623.5929999999998</v>
      </c>
      <c r="R36" s="2338">
        <f>R34-R35</f>
        <v>4620.3030000000008</v>
      </c>
      <c r="S36" s="2338">
        <f>S34-S35</f>
        <v>4595.0770000000002</v>
      </c>
      <c r="T36" s="2338">
        <f>T34-T35</f>
        <v>5015.7060000000001</v>
      </c>
      <c r="U36" s="2338">
        <f>U34-U35</f>
        <v>5012.2690000000002</v>
      </c>
      <c r="V36" s="2364">
        <f t="shared" si="15"/>
        <v>5012.2690000000002</v>
      </c>
      <c r="W36" s="2338">
        <f>W34-W35</f>
        <v>5001.6180000000004</v>
      </c>
      <c r="X36" s="2338">
        <f>X34-X35</f>
        <v>4951.8710000000001</v>
      </c>
      <c r="Y36" s="2338">
        <f>Y34-Y35</f>
        <v>4959.1869999999999</v>
      </c>
      <c r="Z36" s="2338">
        <f>Z34-Z35</f>
        <v>4660.6640000000016</v>
      </c>
      <c r="AA36" s="2364">
        <f>AA34-AA35</f>
        <v>4660.6640000000016</v>
      </c>
      <c r="AB36" s="2338">
        <f t="shared" ref="AB36:AK36" si="16">AB34-AB35</f>
        <v>4604.6830000000009</v>
      </c>
      <c r="AC36" s="2338">
        <f t="shared" si="16"/>
        <v>4618.4310000000005</v>
      </c>
      <c r="AD36" s="2338">
        <f t="shared" si="16"/>
        <v>4576.4240000000018</v>
      </c>
      <c r="AE36" s="2338">
        <f t="shared" si="16"/>
        <v>4484.8209999999999</v>
      </c>
      <c r="AF36" s="2364">
        <f t="shared" si="16"/>
        <v>4484.8209999999999</v>
      </c>
      <c r="AG36" s="2338">
        <f t="shared" si="16"/>
        <v>4438.4032247754712</v>
      </c>
      <c r="AH36" s="2338">
        <f t="shared" si="16"/>
        <v>4369.6351361207917</v>
      </c>
      <c r="AI36" s="2338">
        <f t="shared" si="16"/>
        <v>8009.5113735636442</v>
      </c>
      <c r="AJ36" s="2338">
        <f t="shared" si="16"/>
        <v>7940.5502702876693</v>
      </c>
      <c r="AK36" s="2364">
        <f t="shared" si="16"/>
        <v>7940.5502702876693</v>
      </c>
      <c r="AL36" s="2364">
        <f>AL34-AL35</f>
        <v>7596.5992509039779</v>
      </c>
      <c r="AM36" s="2364">
        <f>AM34-AM35</f>
        <v>7280.6070463057767</v>
      </c>
    </row>
    <row r="37" spans="1:39" s="1049" customFormat="1" x14ac:dyDescent="0.25">
      <c r="A37" s="2338"/>
      <c r="B37" s="2364"/>
      <c r="C37" s="2338"/>
      <c r="D37" s="2338"/>
      <c r="E37" s="2338"/>
      <c r="F37" s="2338"/>
      <c r="G37" s="2364"/>
      <c r="H37" s="2338"/>
      <c r="I37" s="2338"/>
      <c r="J37" s="2338"/>
      <c r="K37" s="2338"/>
      <c r="L37" s="2364"/>
      <c r="M37" s="2338"/>
      <c r="N37" s="2338"/>
      <c r="O37" s="2338"/>
      <c r="P37" s="2338"/>
      <c r="Q37" s="2364"/>
      <c r="R37" s="2338"/>
      <c r="S37" s="2338"/>
      <c r="T37" s="2338"/>
      <c r="U37" s="2338"/>
      <c r="V37" s="2364"/>
      <c r="W37" s="2338"/>
      <c r="X37" s="2338"/>
      <c r="Y37" s="2338"/>
      <c r="Z37" s="2338"/>
      <c r="AA37" s="2364"/>
      <c r="AB37" s="2338"/>
      <c r="AC37" s="2338"/>
      <c r="AD37" s="2338"/>
      <c r="AE37" s="2338"/>
      <c r="AF37" s="2364"/>
      <c r="AG37" s="2338"/>
      <c r="AH37" s="2338"/>
      <c r="AI37" s="2338"/>
      <c r="AJ37" s="2338"/>
      <c r="AK37" s="2364"/>
      <c r="AL37" s="2364"/>
      <c r="AM37" s="2364"/>
    </row>
    <row r="38" spans="1:39" s="1049" customFormat="1" x14ac:dyDescent="0.25">
      <c r="A38" s="2338" t="s">
        <v>936</v>
      </c>
      <c r="B38" s="2364">
        <f>+B36</f>
        <v>1806.4740000000002</v>
      </c>
      <c r="C38" s="2338">
        <f t="shared" ref="C38:Q38" si="17">+C36</f>
        <v>1814.838</v>
      </c>
      <c r="D38" s="2338">
        <f t="shared" si="17"/>
        <v>1899.5350000000001</v>
      </c>
      <c r="E38" s="2338">
        <f t="shared" si="17"/>
        <v>1960.5829999999999</v>
      </c>
      <c r="F38" s="2338">
        <f t="shared" si="17"/>
        <v>2471.607</v>
      </c>
      <c r="G38" s="2364">
        <f t="shared" si="17"/>
        <v>2471.607</v>
      </c>
      <c r="H38" s="2338">
        <f t="shared" si="17"/>
        <v>2367.4240000000004</v>
      </c>
      <c r="I38" s="2338">
        <f t="shared" si="17"/>
        <v>2242.4430000000007</v>
      </c>
      <c r="J38" s="2338">
        <f t="shared" si="17"/>
        <v>2134.0590000000002</v>
      </c>
      <c r="K38" s="2338">
        <f t="shared" si="17"/>
        <v>759.02000000000044</v>
      </c>
      <c r="L38" s="2364">
        <f t="shared" si="17"/>
        <v>759.02000000000044</v>
      </c>
      <c r="M38" s="2338">
        <f t="shared" si="17"/>
        <v>775.92100000000039</v>
      </c>
      <c r="N38" s="2338">
        <f t="shared" si="17"/>
        <v>805.64000000000055</v>
      </c>
      <c r="O38" s="2338">
        <f t="shared" si="17"/>
        <v>999.78600000000063</v>
      </c>
      <c r="P38" s="2338">
        <f t="shared" si="17"/>
        <v>4623.5929999999998</v>
      </c>
      <c r="Q38" s="2364">
        <f t="shared" si="17"/>
        <v>4623.5929999999998</v>
      </c>
      <c r="R38" s="2338">
        <f t="shared" ref="R38:AM38" si="18">+R36</f>
        <v>4620.3030000000008</v>
      </c>
      <c r="S38" s="2338">
        <f t="shared" si="18"/>
        <v>4595.0770000000002</v>
      </c>
      <c r="T38" s="2338">
        <f t="shared" si="18"/>
        <v>5015.7060000000001</v>
      </c>
      <c r="U38" s="2338">
        <f t="shared" si="18"/>
        <v>5012.2690000000002</v>
      </c>
      <c r="V38" s="2364">
        <f t="shared" si="18"/>
        <v>5012.2690000000002</v>
      </c>
      <c r="W38" s="2338">
        <f t="shared" si="18"/>
        <v>5001.6180000000004</v>
      </c>
      <c r="X38" s="2338">
        <f t="shared" si="18"/>
        <v>4951.8710000000001</v>
      </c>
      <c r="Y38" s="2338">
        <f t="shared" si="18"/>
        <v>4959.1869999999999</v>
      </c>
      <c r="Z38" s="2338">
        <f t="shared" si="18"/>
        <v>4660.6640000000016</v>
      </c>
      <c r="AA38" s="2364">
        <f t="shared" si="18"/>
        <v>4660.6640000000016</v>
      </c>
      <c r="AB38" s="2338">
        <f t="shared" ref="AB38:AK38" si="19">+AB36</f>
        <v>4604.6830000000009</v>
      </c>
      <c r="AC38" s="2338">
        <f t="shared" si="19"/>
        <v>4618.4310000000005</v>
      </c>
      <c r="AD38" s="2338">
        <f t="shared" si="19"/>
        <v>4576.4240000000018</v>
      </c>
      <c r="AE38" s="2338">
        <f t="shared" si="19"/>
        <v>4484.8209999999999</v>
      </c>
      <c r="AF38" s="2364">
        <f t="shared" si="19"/>
        <v>4484.8209999999999</v>
      </c>
      <c r="AG38" s="2338">
        <f t="shared" si="19"/>
        <v>4438.4032247754712</v>
      </c>
      <c r="AH38" s="2338">
        <f t="shared" si="19"/>
        <v>4369.6351361207917</v>
      </c>
      <c r="AI38" s="2338">
        <f t="shared" si="19"/>
        <v>8009.5113735636442</v>
      </c>
      <c r="AJ38" s="2338">
        <f t="shared" si="19"/>
        <v>7940.5502702876693</v>
      </c>
      <c r="AK38" s="2364">
        <f t="shared" si="19"/>
        <v>7940.5502702876693</v>
      </c>
      <c r="AL38" s="2364">
        <f t="shared" si="18"/>
        <v>7596.5992509039779</v>
      </c>
      <c r="AM38" s="2364">
        <f t="shared" si="18"/>
        <v>7280.6070463057767</v>
      </c>
    </row>
    <row r="39" spans="1:39" s="1049" customFormat="1" x14ac:dyDescent="0.25">
      <c r="A39" s="2338"/>
      <c r="B39" s="2364"/>
      <c r="C39" s="2338"/>
      <c r="D39" s="2338"/>
      <c r="E39" s="2338"/>
      <c r="F39" s="2338"/>
      <c r="G39" s="2364"/>
      <c r="H39" s="2338"/>
      <c r="I39" s="2338"/>
      <c r="J39" s="2338"/>
      <c r="K39" s="2338"/>
      <c r="L39" s="2364"/>
      <c r="M39" s="2338"/>
      <c r="N39" s="2338"/>
      <c r="O39" s="2338"/>
      <c r="P39" s="2338"/>
      <c r="Q39" s="2364"/>
      <c r="R39" s="2338"/>
      <c r="S39" s="2338"/>
      <c r="T39" s="2338"/>
      <c r="U39" s="2338"/>
      <c r="V39" s="2364"/>
      <c r="W39" s="2338"/>
      <c r="X39" s="2338"/>
      <c r="Y39" s="2338"/>
      <c r="Z39" s="2338"/>
      <c r="AA39" s="2364"/>
      <c r="AB39" s="2338"/>
      <c r="AC39" s="2338"/>
      <c r="AD39" s="2338"/>
      <c r="AE39" s="2338"/>
      <c r="AF39" s="2364"/>
      <c r="AG39" s="2338"/>
      <c r="AH39" s="2338"/>
      <c r="AI39" s="2338"/>
      <c r="AJ39" s="2338"/>
      <c r="AK39" s="2364"/>
      <c r="AL39" s="2364"/>
      <c r="AM39" s="2364"/>
    </row>
    <row r="40" spans="1:39" s="1049" customFormat="1" x14ac:dyDescent="0.25">
      <c r="A40" s="296" t="s">
        <v>1564</v>
      </c>
      <c r="B40" s="2366">
        <f>B36/B12</f>
        <v>2.5027556338789188</v>
      </c>
      <c r="C40" s="2341">
        <f>C36/(C12*4)</f>
        <v>2.1903519358887711</v>
      </c>
      <c r="D40" s="2341">
        <f>D36/(D12*4)</f>
        <v>2.3839785038002388</v>
      </c>
      <c r="E40" s="2341">
        <f>E36/(E12*4)</f>
        <v>2.4743463862568209</v>
      </c>
      <c r="F40" s="2341">
        <f>F36/(F12*4)</f>
        <v>3.3381509213789089</v>
      </c>
      <c r="G40" s="2366">
        <f>G36/G12</f>
        <v>3.1304709625449005</v>
      </c>
      <c r="H40" s="2341">
        <f>H36/(H12*4)</f>
        <v>2.5980588831774272</v>
      </c>
      <c r="I40" s="2341">
        <f>I36/(I12*4)</f>
        <v>2.558464539978095</v>
      </c>
      <c r="J40" s="2341">
        <f>J36/(J12*4)</f>
        <v>2.7962282099393079</v>
      </c>
      <c r="K40" s="2341">
        <f>K36/(K12*4)</f>
        <v>2.2673015341968186</v>
      </c>
      <c r="L40" s="2366">
        <f>L36/L12</f>
        <v>1.0521238063422409</v>
      </c>
      <c r="M40" s="2341"/>
      <c r="N40" s="2341"/>
      <c r="O40" s="2341"/>
      <c r="P40" s="2341">
        <f>P36/(P12*4)</f>
        <v>6.7191667151078294</v>
      </c>
      <c r="Q40" s="2366">
        <f>Q36/Q12</f>
        <v>6.5121853657299882</v>
      </c>
      <c r="R40" s="2341">
        <f>R36/(R12*4)</f>
        <v>6.2646817153797363</v>
      </c>
      <c r="S40" s="2341">
        <f>S36/(S12*4)</f>
        <v>5.8796063608725468</v>
      </c>
      <c r="T40" s="2341">
        <f>T36/(T12*4)</f>
        <v>5.9636382227887124</v>
      </c>
      <c r="U40" s="2341">
        <f>U36/(U12*4)</f>
        <v>6.073180809197007</v>
      </c>
      <c r="V40" s="2366">
        <f>V36/V12</f>
        <v>6.2940449625855939</v>
      </c>
      <c r="W40" s="2341">
        <f>W36/(W12*4)</f>
        <v>5.8736700441087359</v>
      </c>
      <c r="X40" s="2341">
        <f>X36/(X12*4)</f>
        <v>5.5320750290463856</v>
      </c>
      <c r="Y40" s="2341">
        <f>Y36/(Y12*4)</f>
        <v>5.8685825523052157</v>
      </c>
      <c r="Z40" s="2341">
        <f>Z36/(Z12*4)</f>
        <v>5.9476376184253521</v>
      </c>
      <c r="AA40" s="2366">
        <f>AA36/AA12</f>
        <v>5.52324587859834</v>
      </c>
      <c r="AB40" s="2341">
        <f>AB36/(AB12*4)</f>
        <v>5.192236480086601</v>
      </c>
      <c r="AC40" s="2341">
        <f>AC36/(AC12*4)</f>
        <v>5.2688614024039646</v>
      </c>
      <c r="AD40" s="2341">
        <f>AD36/(AD12*4)</f>
        <v>5.1585800790848904</v>
      </c>
      <c r="AE40" s="2341">
        <f>AE36/(AE12*4)</f>
        <v>6.1164100899564113</v>
      </c>
      <c r="AF40" s="2366">
        <f>AF36/AF12</f>
        <v>5.3015452522974273</v>
      </c>
      <c r="AG40" s="2341">
        <f>AG36/(AG12*4)</f>
        <v>4.8336367921714887</v>
      </c>
      <c r="AH40" s="2341">
        <f>AH36/(AH12*4)</f>
        <v>4.5967886324693277</v>
      </c>
      <c r="AI40" s="2341">
        <f>AI36/(AI12*4)</f>
        <v>5.3067290829259202</v>
      </c>
      <c r="AJ40" s="2341">
        <f>AJ36/(AJ12*4)</f>
        <v>5.6893536144608277</v>
      </c>
      <c r="AK40" s="2366">
        <f>AK36/AK12</f>
        <v>6.6534208873648666</v>
      </c>
      <c r="AL40" s="2366">
        <f>AL36/AL12</f>
        <v>4.9293327714895998</v>
      </c>
      <c r="AM40" s="2366">
        <f>AM36/AM12</f>
        <v>4.7617567632523095</v>
      </c>
    </row>
    <row r="41" spans="1:39" customFormat="1" x14ac:dyDescent="0.25">
      <c r="A41" s="11"/>
      <c r="B41" s="2364"/>
      <c r="C41" s="2338"/>
      <c r="D41" s="2338"/>
      <c r="E41" s="2338"/>
      <c r="F41" s="2338"/>
      <c r="G41" s="2364"/>
      <c r="H41" s="2338"/>
      <c r="I41" s="2338"/>
      <c r="J41" s="2338"/>
      <c r="K41" s="2338"/>
      <c r="L41" s="2364"/>
      <c r="M41" s="2338"/>
      <c r="N41" s="2338"/>
      <c r="O41" s="2338"/>
      <c r="P41" s="2338"/>
      <c r="Q41" s="2364"/>
      <c r="R41" s="2338"/>
      <c r="S41" s="2338"/>
      <c r="T41" s="2338"/>
      <c r="U41" s="2338"/>
      <c r="V41" s="2364"/>
      <c r="W41" s="2338"/>
      <c r="X41" s="2338"/>
      <c r="Y41" s="2338"/>
      <c r="Z41" s="2338"/>
      <c r="AA41" s="2364"/>
      <c r="AB41" s="2338"/>
      <c r="AC41" s="2338"/>
      <c r="AD41" s="2338"/>
      <c r="AE41" s="2338"/>
      <c r="AF41" s="2364"/>
      <c r="AG41" s="2338"/>
      <c r="AH41" s="2338"/>
      <c r="AI41" s="2338"/>
      <c r="AJ41" s="2338"/>
      <c r="AK41" s="2364"/>
      <c r="AL41" s="2364"/>
      <c r="AM41" s="2364"/>
    </row>
    <row r="42" spans="1:39" customFormat="1" x14ac:dyDescent="0.25">
      <c r="A42" s="2331" t="s">
        <v>1705</v>
      </c>
      <c r="B42" s="2364">
        <f>+PENN!AP1421</f>
        <v>1971.6310000000001</v>
      </c>
      <c r="C42" s="2338">
        <f>+PENN!AQ1421</f>
        <v>2064.498</v>
      </c>
      <c r="D42" s="2338">
        <f>+PENN!AR1421</f>
        <v>2143.154</v>
      </c>
      <c r="E42" s="2338">
        <f>+PENN!AS1421</f>
        <v>2198.8809999999999</v>
      </c>
      <c r="F42" s="2338">
        <f>+PENN!AT1421</f>
        <v>2250.9290000000001</v>
      </c>
      <c r="G42" s="2364">
        <f>+PENN!AU1421</f>
        <v>2250.9290000000001</v>
      </c>
      <c r="H42" s="2338">
        <f>+PENN!AV1421</f>
        <v>2318.614</v>
      </c>
      <c r="I42" s="2338">
        <f>+PENN!AW1421</f>
        <v>2329.6179999999999</v>
      </c>
      <c r="J42" s="2338">
        <f>+PENN!AX1421</f>
        <v>2392.2250000000004</v>
      </c>
      <c r="K42" s="2338">
        <f>+PENN!AY1421</f>
        <v>758.40000000000009</v>
      </c>
      <c r="L42" s="2364">
        <f>+PENN!AZ1421</f>
        <v>758.40000000000009</v>
      </c>
      <c r="M42" s="2338">
        <f>+PENN!BA1421</f>
        <v>778.14899999999989</v>
      </c>
      <c r="N42" s="2338">
        <f>+PENN!BB1421</f>
        <v>787.75299999999993</v>
      </c>
      <c r="O42" s="2338">
        <f>+PENN!BC1421</f>
        <v>798.23799999999994</v>
      </c>
      <c r="P42" s="2338">
        <f>+PENN!BD1421</f>
        <v>-708.01400000000012</v>
      </c>
      <c r="Q42" s="2364">
        <f>+PENN!BE1421</f>
        <v>-708.01400000000012</v>
      </c>
      <c r="R42" s="2338">
        <f>+PENN!BF1421</f>
        <v>-696.62799999999993</v>
      </c>
      <c r="S42" s="2338">
        <f>+PENN!BG1421</f>
        <v>-686.30899999999986</v>
      </c>
      <c r="T42" s="2338">
        <f>+PENN!BH1421</f>
        <v>-676.20200000000011</v>
      </c>
      <c r="U42" s="2338">
        <f>+PENN!BI1421</f>
        <v>-678.04299999999978</v>
      </c>
      <c r="V42" s="2364">
        <f>+PENN!BJ1421</f>
        <v>-678.04299999999978</v>
      </c>
      <c r="W42" s="2338">
        <f>+PENN!BK1421</f>
        <v>-649.09700000000009</v>
      </c>
      <c r="X42" s="2338">
        <f>+PENN!BL1421</f>
        <v>-606.92400000000009</v>
      </c>
      <c r="Y42" s="2338">
        <f>+PENN!BM1421</f>
        <v>-553.86200000000008</v>
      </c>
      <c r="Z42" s="2338">
        <f>+PENN!BN1421</f>
        <v>-543.31999999999994</v>
      </c>
      <c r="AA42" s="2364">
        <f>+PENN!BO1421</f>
        <v>-543.31999999999994</v>
      </c>
      <c r="AB42" s="2338">
        <f>+PENN!BP1421</f>
        <v>-540.73199999999986</v>
      </c>
      <c r="AC42" s="2338">
        <f>+PENN!BQ1421</f>
        <v>-517.52499999999998</v>
      </c>
      <c r="AD42" s="2338">
        <f>+PENN!BR1421</f>
        <v>260.012</v>
      </c>
      <c r="AE42" s="2338">
        <f>+PENN!BS1421</f>
        <v>-73.145999999999987</v>
      </c>
      <c r="AF42" s="2364">
        <f>+PENN!BT1421</f>
        <v>-73.145999999999987</v>
      </c>
      <c r="AG42" s="2338">
        <f>+PENN!BU1421</f>
        <v>-32.928369421810231</v>
      </c>
      <c r="AH42" s="2338">
        <f>+PENN!BV1421</f>
        <v>13.609162573103024</v>
      </c>
      <c r="AI42" s="2338">
        <f>+PENN!BW1421</f>
        <v>818.31332624355548</v>
      </c>
      <c r="AJ42" s="2338">
        <f>+PENN!BX1421</f>
        <v>872.82326772948966</v>
      </c>
      <c r="AK42" s="2364">
        <f>+PENN!BY1421</f>
        <v>872.82326772948966</v>
      </c>
      <c r="AL42" s="2364">
        <f>+PENN!BZ1421</f>
        <v>1203.6901352887542</v>
      </c>
      <c r="AM42" s="2364">
        <f>+PENN!CA1421</f>
        <v>1521.3188814130244</v>
      </c>
    </row>
    <row r="43" spans="1:39" customFormat="1" x14ac:dyDescent="0.25">
      <c r="A43" s="2331"/>
      <c r="B43" s="2364"/>
      <c r="C43" s="2338"/>
      <c r="D43" s="2338"/>
      <c r="E43" s="2338"/>
      <c r="F43" s="2338"/>
      <c r="G43" s="2364"/>
      <c r="H43" s="2338"/>
      <c r="I43" s="2338"/>
      <c r="J43" s="2338"/>
      <c r="K43" s="2338"/>
      <c r="L43" s="2364"/>
      <c r="M43" s="2338"/>
      <c r="N43" s="2338"/>
      <c r="O43" s="2338"/>
      <c r="P43" s="2338"/>
      <c r="Q43" s="2364"/>
      <c r="R43" s="2338"/>
      <c r="S43" s="2338"/>
      <c r="T43" s="2338"/>
      <c r="U43" s="2338"/>
      <c r="V43" s="2364"/>
      <c r="W43" s="2338"/>
      <c r="X43" s="2338"/>
      <c r="Y43" s="2338"/>
      <c r="Z43" s="2338"/>
      <c r="AA43" s="2364"/>
      <c r="AB43" s="2338"/>
      <c r="AC43" s="2338"/>
      <c r="AD43" s="2338"/>
      <c r="AE43" s="2338"/>
      <c r="AF43" s="2364"/>
      <c r="AG43" s="2338"/>
      <c r="AH43" s="2338"/>
      <c r="AI43" s="2338"/>
      <c r="AJ43" s="2338"/>
      <c r="AK43" s="2364"/>
      <c r="AL43" s="2364"/>
      <c r="AM43" s="2364"/>
    </row>
    <row r="44" spans="1:39" customFormat="1" x14ac:dyDescent="0.25">
      <c r="A44" s="11" t="s">
        <v>1742</v>
      </c>
      <c r="B44" s="2364">
        <f>-PENN!AP68-PENN!AP67</f>
        <v>99.140999999999991</v>
      </c>
      <c r="C44" s="2338">
        <f>-PENN!AQ68-PENN!AQ67</f>
        <v>17.823999999999998</v>
      </c>
      <c r="D44" s="2338">
        <f>-PENN!AR68-PENN!AR67</f>
        <v>17.577000000000002</v>
      </c>
      <c r="E44" s="2338">
        <f>-PENN!AS68-PENN!AS67</f>
        <v>19.734999999999999</v>
      </c>
      <c r="F44" s="2338">
        <f>-PENN!AT68-PENN!AT67</f>
        <v>25.355999999999998</v>
      </c>
      <c r="G44" s="2364">
        <f>-PENN!AU68-PENN!AU67</f>
        <v>80.492000000000004</v>
      </c>
      <c r="H44" s="2338">
        <f>-PENN!AV68-PENN!AV67</f>
        <v>27.661999999999999</v>
      </c>
      <c r="I44" s="2338">
        <f>-PENN!AW68-PENN!AW67</f>
        <v>26.716999999999999</v>
      </c>
      <c r="J44" s="2338">
        <f>-PENN!AX68-PENN!AX67</f>
        <v>24.690999999999999</v>
      </c>
      <c r="K44" s="2338">
        <f>-PENN!AY68-PENN!AY67</f>
        <v>16.634999999999998</v>
      </c>
      <c r="L44" s="2364">
        <f>-PENN!AZ68-PENN!AZ67</f>
        <v>95.704999999999998</v>
      </c>
      <c r="M44" s="2338">
        <f>-PENN!BA68-PENN!BA67</f>
        <v>104.047</v>
      </c>
      <c r="N44" s="2338">
        <f>-PENN!BB68-PENN!BB67</f>
        <v>104.279</v>
      </c>
      <c r="O44" s="2338">
        <f>-PENN!BC68-PENN!BC67</f>
        <v>104.908</v>
      </c>
      <c r="P44" s="2338">
        <f>-PENN!BD68-PENN!BD67</f>
        <v>108.14999999999996</v>
      </c>
      <c r="Q44" s="2364">
        <f>-PENN!BE68-PENN!BE67</f>
        <v>421.38399999999996</v>
      </c>
      <c r="R44" s="2338">
        <f>-PENN!BF68-PENN!BF67</f>
        <v>106.476</v>
      </c>
      <c r="S44" s="2338">
        <f>-PENN!BG68-PENN!BG67</f>
        <v>107.355</v>
      </c>
      <c r="T44" s="2338">
        <f>-PENN!BH68-PENN!BH67</f>
        <v>108.32300000000001</v>
      </c>
      <c r="U44" s="2338">
        <f>-PENN!BI68-PENN!BI67</f>
        <v>109.44199999999999</v>
      </c>
      <c r="V44" s="2364">
        <f>-PENN!BJ68-PENN!BJ67</f>
        <v>431.596</v>
      </c>
      <c r="W44" s="2338">
        <f>-PENN!BK68-PENN!BK67</f>
        <v>111.27200000000001</v>
      </c>
      <c r="X44" s="2338">
        <f>-PENN!BL68-PENN!BL67</f>
        <v>108.09</v>
      </c>
      <c r="Y44" s="2338">
        <f>-PENN!BM68-PENN!BM67</f>
        <v>106.14700000000001</v>
      </c>
      <c r="Z44" s="2338">
        <f>-PENN!BN68-PENN!BN67</f>
        <v>109.54799999999999</v>
      </c>
      <c r="AA44" s="2364">
        <f>-PENN!BO68-PENN!BO67</f>
        <v>435.05700000000002</v>
      </c>
      <c r="AB44" s="2338">
        <f>-PENN!BP68-PENN!BP67</f>
        <v>112.35</v>
      </c>
      <c r="AC44" s="2338">
        <f>-PENN!BQ68-PENN!BQ67</f>
        <v>116.533</v>
      </c>
      <c r="AD44" s="2338">
        <f>-PENN!BR68-PENN!BR67</f>
        <v>117.932</v>
      </c>
      <c r="AE44" s="2338">
        <f>-PENN!BS68-PENN!BS67</f>
        <v>116.39399999999999</v>
      </c>
      <c r="AF44" s="2364">
        <f>-PENN!BT68-PENN!BT67</f>
        <v>463.20899999999995</v>
      </c>
      <c r="AG44" s="2338">
        <f>-PENN!BU68-PENN!BU67</f>
        <v>115.24188605328861</v>
      </c>
      <c r="AH44" s="2338">
        <f>-PENN!BV68-PENN!BV67</f>
        <v>115.37683639394025</v>
      </c>
      <c r="AI44" s="2338">
        <f>-PENN!BW68-PENN!BW67</f>
        <v>205.42034840409511</v>
      </c>
      <c r="AJ44" s="2338">
        <f>-PENN!BX68-PENN!BX67</f>
        <v>205.44913262319901</v>
      </c>
      <c r="AK44" s="2364">
        <f>-PENN!BY68-PENN!BY67</f>
        <v>641.48820347452295</v>
      </c>
      <c r="AL44" s="2364">
        <f>-PENN!BZ68-PENN!BZ67</f>
        <v>823.90112915903751</v>
      </c>
      <c r="AM44" s="2364">
        <f>-PENN!CA68-PENN!CA67</f>
        <v>827.79283299558597</v>
      </c>
    </row>
    <row r="45" spans="1:39" customFormat="1" x14ac:dyDescent="0.25">
      <c r="A45" s="11" t="s">
        <v>1565</v>
      </c>
      <c r="B45" s="2366">
        <f t="shared" ref="B45:AM45" si="20">B8/B44</f>
        <v>8.1145741923119594</v>
      </c>
      <c r="C45" s="2341">
        <f t="shared" si="20"/>
        <v>12.861310592459605</v>
      </c>
      <c r="D45" s="2341">
        <f t="shared" si="20"/>
        <v>12.54468908232349</v>
      </c>
      <c r="E45" s="2341">
        <f t="shared" si="20"/>
        <v>11.050975424372941</v>
      </c>
      <c r="F45" s="2341">
        <f t="shared" si="20"/>
        <v>8.3373954882473562</v>
      </c>
      <c r="G45" s="2366">
        <f t="shared" si="20"/>
        <v>10.923222183571037</v>
      </c>
      <c r="H45" s="2341">
        <f t="shared" si="20"/>
        <v>9.0668425999566189</v>
      </c>
      <c r="I45" s="2341">
        <f t="shared" si="20"/>
        <v>8.983793090541603</v>
      </c>
      <c r="J45" s="2341">
        <f t="shared" si="20"/>
        <v>8.4796889554898556</v>
      </c>
      <c r="K45" s="2341">
        <f t="shared" si="20"/>
        <v>11.427351968740608</v>
      </c>
      <c r="L45" s="2366">
        <f t="shared" si="20"/>
        <v>9.3024711352593918</v>
      </c>
      <c r="M45" s="2341">
        <f t="shared" si="20"/>
        <v>1.8869645448691457</v>
      </c>
      <c r="N45" s="2341">
        <f t="shared" si="20"/>
        <v>1.9297557513976926</v>
      </c>
      <c r="O45" s="2341">
        <f t="shared" si="20"/>
        <v>1.8129694589545124</v>
      </c>
      <c r="P45" s="2341">
        <f t="shared" si="20"/>
        <v>1.7718908922792425</v>
      </c>
      <c r="Q45" s="2366">
        <f t="shared" si="20"/>
        <v>1.8495979913807834</v>
      </c>
      <c r="R45" s="2341">
        <f t="shared" si="20"/>
        <v>1.9504771028212928</v>
      </c>
      <c r="S45" s="2341">
        <f t="shared" si="20"/>
        <v>2.040724698430441</v>
      </c>
      <c r="T45" s="2341">
        <f t="shared" si="20"/>
        <v>2.0693850798076121</v>
      </c>
      <c r="U45" s="2341">
        <f t="shared" si="20"/>
        <v>2.0780687487436267</v>
      </c>
      <c r="V45" s="2366">
        <f t="shared" si="20"/>
        <v>2.0351231244033774</v>
      </c>
      <c r="W45" s="2341">
        <f t="shared" si="20"/>
        <v>2.0983086490761376</v>
      </c>
      <c r="X45" s="2341">
        <f t="shared" si="20"/>
        <v>2.1998334721065773</v>
      </c>
      <c r="Y45" s="2341">
        <f t="shared" si="20"/>
        <v>2.1466456894683787</v>
      </c>
      <c r="Z45" s="2341">
        <f t="shared" si="20"/>
        <v>1.9580823018220328</v>
      </c>
      <c r="AA45" s="2366">
        <f t="shared" si="20"/>
        <v>2.100016779410514</v>
      </c>
      <c r="AB45" s="2341">
        <f t="shared" ref="AB45:AK45" si="21">AB8/AB44</f>
        <v>2.1870048954161101</v>
      </c>
      <c r="AC45" s="2341">
        <f t="shared" si="21"/>
        <v>2.1035929736641128</v>
      </c>
      <c r="AD45" s="2341">
        <f t="shared" si="21"/>
        <v>2.0587033205576093</v>
      </c>
      <c r="AE45" s="2341">
        <f t="shared" si="21"/>
        <v>1.8635926250494015</v>
      </c>
      <c r="AF45" s="2366">
        <f t="shared" si="21"/>
        <v>2.0520887979292288</v>
      </c>
      <c r="AG45" s="2341">
        <f t="shared" si="21"/>
        <v>2.1611774712005229</v>
      </c>
      <c r="AH45" s="2341">
        <f t="shared" si="21"/>
        <v>2.2304397032010623</v>
      </c>
      <c r="AI45" s="2341">
        <f t="shared" si="21"/>
        <v>1.993561364680138</v>
      </c>
      <c r="AJ45" s="2341">
        <f t="shared" si="21"/>
        <v>1.8537847046528366</v>
      </c>
      <c r="AK45" s="2366">
        <f t="shared" si="21"/>
        <v>2.0215114904913767</v>
      </c>
      <c r="AL45" s="2366">
        <f t="shared" si="20"/>
        <v>2.0151871475130561</v>
      </c>
      <c r="AM45" s="2366">
        <f t="shared" si="20"/>
        <v>1.9860177266638612</v>
      </c>
    </row>
    <row r="46" spans="1:39" customFormat="1" x14ac:dyDescent="0.25">
      <c r="A46" s="932"/>
      <c r="B46" s="2364"/>
      <c r="C46" s="2338"/>
      <c r="D46" s="2338"/>
      <c r="E46" s="2338"/>
      <c r="F46" s="2338"/>
      <c r="G46" s="2364"/>
      <c r="H46" s="2338"/>
      <c r="I46" s="2338"/>
      <c r="J46" s="2338"/>
      <c r="K46" s="2338"/>
      <c r="L46" s="2364"/>
      <c r="M46" s="2338"/>
      <c r="N46" s="2338"/>
      <c r="O46" s="2338"/>
      <c r="P46" s="2338"/>
      <c r="Q46" s="2364"/>
      <c r="R46" s="2338"/>
      <c r="S46" s="2338"/>
      <c r="T46" s="2338"/>
      <c r="U46" s="2338"/>
      <c r="V46" s="2364"/>
      <c r="W46" s="2338"/>
      <c r="X46" s="2338"/>
      <c r="Y46" s="2338"/>
      <c r="Z46" s="2338"/>
      <c r="AA46" s="2364"/>
      <c r="AB46" s="2338"/>
      <c r="AC46" s="2338"/>
      <c r="AD46" s="2338"/>
      <c r="AE46" s="2338"/>
      <c r="AF46" s="2364"/>
      <c r="AG46" s="2338"/>
      <c r="AH46" s="2338"/>
      <c r="AI46" s="2338"/>
      <c r="AJ46" s="2338"/>
      <c r="AK46" s="2364"/>
      <c r="AL46" s="2364"/>
      <c r="AM46" s="2364"/>
    </row>
    <row r="47" spans="1:39" customFormat="1" ht="15.75" customHeight="1" x14ac:dyDescent="0.25">
      <c r="A47" s="10" t="s">
        <v>1566</v>
      </c>
      <c r="B47" s="2364"/>
      <c r="C47" s="2338"/>
      <c r="D47" s="2338"/>
      <c r="E47" s="2338"/>
      <c r="F47" s="2338"/>
      <c r="G47" s="2364"/>
      <c r="H47" s="2338"/>
      <c r="I47" s="2338"/>
      <c r="J47" s="2338"/>
      <c r="K47" s="2338"/>
      <c r="L47" s="2364"/>
      <c r="M47" s="2338"/>
      <c r="N47" s="2338"/>
      <c r="O47" s="2338"/>
      <c r="P47" s="2338"/>
      <c r="Q47" s="2364"/>
      <c r="R47" s="2338"/>
      <c r="S47" s="2338"/>
      <c r="T47" s="2338"/>
      <c r="U47" s="2338"/>
      <c r="V47" s="2364"/>
      <c r="W47" s="2338"/>
      <c r="X47" s="2338"/>
      <c r="Y47" s="2338"/>
      <c r="Z47" s="2338"/>
      <c r="AA47" s="2364"/>
      <c r="AB47" s="2338"/>
      <c r="AC47" s="2338"/>
      <c r="AD47" s="2338"/>
      <c r="AE47" s="2338"/>
      <c r="AF47" s="2364"/>
      <c r="AG47" s="2338"/>
      <c r="AH47" s="2338"/>
      <c r="AI47" s="2338"/>
      <c r="AJ47" s="2338"/>
      <c r="AK47" s="2364"/>
      <c r="AL47" s="2364"/>
      <c r="AM47" s="2364"/>
    </row>
    <row r="48" spans="1:39" s="281" customFormat="1" ht="15.75" customHeight="1" x14ac:dyDescent="0.2">
      <c r="A48" s="281" t="s">
        <v>1158</v>
      </c>
      <c r="B48" s="2364">
        <f>+PENN!AP120</f>
        <v>212.46498981250011</v>
      </c>
      <c r="C48" s="3080">
        <f>+PENN!AQ120</f>
        <v>7.4525359374999454</v>
      </c>
      <c r="D48" s="3080">
        <f>+PENN!AR120</f>
        <v>-39.896104687499985</v>
      </c>
      <c r="E48" s="3080">
        <f>+PENN!AS120</f>
        <v>-40.834132812499959</v>
      </c>
      <c r="F48" s="3080">
        <f>+PENN!AT120</f>
        <v>84.95697937499996</v>
      </c>
      <c r="G48" s="2364">
        <f>+PENN!AU120</f>
        <v>11.679277812499834</v>
      </c>
      <c r="H48" s="3080">
        <f>+PENN!AV120</f>
        <v>73.045909062499987</v>
      </c>
      <c r="I48" s="3080">
        <f>+PENN!AW120</f>
        <v>77.514271874999991</v>
      </c>
      <c r="J48" s="3080">
        <f>+PENN!AX120</f>
        <v>93.720479687499989</v>
      </c>
      <c r="K48" s="3080">
        <f>+PENN!AY120</f>
        <v>-224.81476406250005</v>
      </c>
      <c r="L48" s="2364">
        <f>+PENN!AZ120</f>
        <v>19.465896562500234</v>
      </c>
      <c r="M48" s="3080">
        <f>+PENN!BA120</f>
        <v>-33.42222812499999</v>
      </c>
      <c r="N48" s="3080">
        <f>+PENN!BB120</f>
        <v>-39.089871875000043</v>
      </c>
      <c r="O48" s="3080">
        <f>+PENN!BC120</f>
        <v>-54.035028124999982</v>
      </c>
      <c r="P48" s="3080">
        <f>+PENN!BD120</f>
        <v>-112.25574687499996</v>
      </c>
      <c r="Q48" s="2364">
        <f>+PENN!BE120</f>
        <v>-238.80287500000006</v>
      </c>
      <c r="R48" s="3080">
        <f>+PENN!BF120</f>
        <v>-6.5417492187500415</v>
      </c>
      <c r="S48" s="3080">
        <f>+PENN!BG120</f>
        <v>11.946808593750021</v>
      </c>
      <c r="T48" s="3080">
        <f>+PENN!BH120</f>
        <v>16.191846343749987</v>
      </c>
      <c r="U48" s="3080">
        <f>+PENN!BI120</f>
        <v>-11.863861362283352</v>
      </c>
      <c r="V48" s="2364">
        <f>+PENN!BJ120</f>
        <v>9.7330443564665643</v>
      </c>
      <c r="W48" s="3080">
        <f>+PENN!BK120</f>
        <v>-16.957666593749991</v>
      </c>
      <c r="X48" s="3080">
        <f>+PENN!BL120</f>
        <v>29.036531875000001</v>
      </c>
      <c r="Y48" s="3080">
        <f>+PENN!BM120</f>
        <v>16.693323437500041</v>
      </c>
      <c r="Z48" s="3080">
        <f>+PENN!BN120</f>
        <v>432.22332000000006</v>
      </c>
      <c r="AA48" s="2364">
        <f>+PENN!BO120</f>
        <v>460.9955087187501</v>
      </c>
      <c r="AB48" s="3080">
        <f>+PENN!BP120</f>
        <v>8.3004535416666343</v>
      </c>
      <c r="AC48" s="3080">
        <f>+PENN!BQ120</f>
        <v>82.573276718750051</v>
      </c>
      <c r="AD48" s="3080">
        <f>+PENN!BR120</f>
        <v>-699.36267218750004</v>
      </c>
      <c r="AE48" s="3080">
        <f>+PENN!BS120</f>
        <v>37.610231562500175</v>
      </c>
      <c r="AF48" s="2364">
        <f>+PENN!BT120</f>
        <v>-570.87871036458318</v>
      </c>
      <c r="AG48" s="3080">
        <f>+PENN!BU120</f>
        <v>48.417775224527958</v>
      </c>
      <c r="AH48" s="3080">
        <f>+PENN!BV120</f>
        <v>70.768088654679829</v>
      </c>
      <c r="AI48" s="3080">
        <f>+PENN!BW120</f>
        <v>812.92526255714927</v>
      </c>
      <c r="AJ48" s="3080">
        <f>+PENN!BX120</f>
        <v>70.961103275975375</v>
      </c>
      <c r="AK48" s="2364">
        <f>+PENN!BY120</f>
        <v>1003.0722297123327</v>
      </c>
      <c r="AL48" s="2364">
        <f>+PENN!BZ120</f>
        <v>351.95101938368867</v>
      </c>
      <c r="AM48" s="2364">
        <f>+PENN!CA120</f>
        <v>323.99220459820089</v>
      </c>
    </row>
    <row r="49" spans="1:39" ht="15.75" hidden="1" customHeight="1" outlineLevel="1" x14ac:dyDescent="0.2">
      <c r="B49" s="419"/>
      <c r="G49" s="419"/>
      <c r="L49" s="419"/>
      <c r="Q49" s="419"/>
      <c r="V49" s="419"/>
      <c r="AA49" s="419"/>
      <c r="AF49" s="419"/>
      <c r="AK49" s="419"/>
      <c r="AL49" s="419"/>
      <c r="AM49" s="419"/>
    </row>
    <row r="50" spans="1:39" ht="15.75" hidden="1" customHeight="1" outlineLevel="1" x14ac:dyDescent="0.2">
      <c r="A50" s="11" t="s">
        <v>937</v>
      </c>
      <c r="B50" s="419">
        <f>+B48</f>
        <v>212.46498981250011</v>
      </c>
      <c r="C50" s="11">
        <f t="shared" ref="C50:Q50" si="22">+C48</f>
        <v>7.4525359374999454</v>
      </c>
      <c r="D50" s="11">
        <f t="shared" si="22"/>
        <v>-39.896104687499985</v>
      </c>
      <c r="E50" s="11">
        <f t="shared" si="22"/>
        <v>-40.834132812499959</v>
      </c>
      <c r="F50" s="11">
        <f t="shared" si="22"/>
        <v>84.95697937499996</v>
      </c>
      <c r="G50" s="419">
        <f t="shared" si="22"/>
        <v>11.679277812499834</v>
      </c>
      <c r="H50" s="11">
        <f t="shared" si="22"/>
        <v>73.045909062499987</v>
      </c>
      <c r="I50" s="11">
        <f t="shared" si="22"/>
        <v>77.514271874999991</v>
      </c>
      <c r="J50" s="11">
        <f t="shared" si="22"/>
        <v>93.720479687499989</v>
      </c>
      <c r="K50" s="11">
        <f t="shared" si="22"/>
        <v>-224.81476406250005</v>
      </c>
      <c r="L50" s="419">
        <f t="shared" si="22"/>
        <v>19.465896562500234</v>
      </c>
      <c r="M50" s="11">
        <f t="shared" si="22"/>
        <v>-33.42222812499999</v>
      </c>
      <c r="N50" s="11">
        <f t="shared" si="22"/>
        <v>-39.089871875000043</v>
      </c>
      <c r="O50" s="11">
        <f t="shared" si="22"/>
        <v>-54.035028124999982</v>
      </c>
      <c r="P50" s="11">
        <f t="shared" si="22"/>
        <v>-112.25574687499996</v>
      </c>
      <c r="Q50" s="419">
        <f t="shared" si="22"/>
        <v>-238.80287500000006</v>
      </c>
      <c r="R50" s="11">
        <f t="shared" ref="R50:AM50" si="23">+R48</f>
        <v>-6.5417492187500415</v>
      </c>
      <c r="S50" s="11">
        <f t="shared" si="23"/>
        <v>11.946808593750021</v>
      </c>
      <c r="T50" s="11">
        <f t="shared" si="23"/>
        <v>16.191846343749987</v>
      </c>
      <c r="U50" s="11">
        <f t="shared" si="23"/>
        <v>-11.863861362283352</v>
      </c>
      <c r="V50" s="419">
        <f t="shared" si="23"/>
        <v>9.7330443564665643</v>
      </c>
      <c r="W50" s="11">
        <f t="shared" si="23"/>
        <v>-16.957666593749991</v>
      </c>
      <c r="X50" s="11">
        <f t="shared" si="23"/>
        <v>29.036531875000001</v>
      </c>
      <c r="Y50" s="11">
        <f t="shared" si="23"/>
        <v>16.693323437500041</v>
      </c>
      <c r="Z50" s="11">
        <f t="shared" si="23"/>
        <v>432.22332000000006</v>
      </c>
      <c r="AA50" s="419">
        <f t="shared" si="23"/>
        <v>460.9955087187501</v>
      </c>
      <c r="AB50" s="11">
        <f t="shared" ref="AB50:AK50" si="24">+AB48</f>
        <v>8.3004535416666343</v>
      </c>
      <c r="AC50" s="11">
        <f t="shared" si="24"/>
        <v>82.573276718750051</v>
      </c>
      <c r="AD50" s="11">
        <f t="shared" si="24"/>
        <v>-699.36267218750004</v>
      </c>
      <c r="AE50" s="11">
        <f t="shared" si="24"/>
        <v>37.610231562500175</v>
      </c>
      <c r="AF50" s="419">
        <f t="shared" si="24"/>
        <v>-570.87871036458318</v>
      </c>
      <c r="AG50" s="11">
        <f t="shared" si="24"/>
        <v>48.417775224527958</v>
      </c>
      <c r="AH50" s="11">
        <f t="shared" si="24"/>
        <v>70.768088654679829</v>
      </c>
      <c r="AI50" s="11">
        <f t="shared" si="24"/>
        <v>812.92526255714927</v>
      </c>
      <c r="AJ50" s="11">
        <f t="shared" si="24"/>
        <v>70.961103275975375</v>
      </c>
      <c r="AK50" s="419">
        <f t="shared" si="24"/>
        <v>1003.0722297123327</v>
      </c>
      <c r="AL50" s="419">
        <f t="shared" si="23"/>
        <v>351.95101938368867</v>
      </c>
      <c r="AM50" s="419">
        <f t="shared" si="23"/>
        <v>323.99220459820089</v>
      </c>
    </row>
    <row r="51" spans="1:39" s="281" customFormat="1" ht="15.75" customHeight="1" collapsed="1" x14ac:dyDescent="0.2">
      <c r="B51" s="419"/>
      <c r="G51" s="419"/>
      <c r="L51" s="419"/>
      <c r="Q51" s="419"/>
      <c r="V51" s="419"/>
      <c r="AA51" s="419"/>
      <c r="AF51" s="419"/>
      <c r="AK51" s="419"/>
      <c r="AL51" s="419"/>
      <c r="AM51" s="419"/>
    </row>
    <row r="52" spans="1:39" ht="15.75" hidden="1" customHeight="1" outlineLevel="1" x14ac:dyDescent="0.2">
      <c r="A52" s="2336" t="s">
        <v>938</v>
      </c>
      <c r="B52" s="419"/>
      <c r="G52" s="419"/>
      <c r="L52" s="419"/>
      <c r="Q52" s="419"/>
      <c r="V52" s="419"/>
      <c r="AA52" s="419"/>
      <c r="AF52" s="419"/>
      <c r="AK52" s="419"/>
      <c r="AL52" s="419"/>
      <c r="AM52" s="419"/>
    </row>
    <row r="53" spans="1:39" ht="15.75" hidden="1" customHeight="1" outlineLevel="1" x14ac:dyDescent="0.2">
      <c r="A53" s="2331" t="s">
        <v>855</v>
      </c>
      <c r="B53" s="419"/>
      <c r="G53" s="419"/>
      <c r="L53" s="419"/>
      <c r="Q53" s="419"/>
      <c r="V53" s="419"/>
      <c r="AA53" s="419"/>
      <c r="AF53" s="419"/>
      <c r="AK53" s="419"/>
      <c r="AL53" s="419"/>
      <c r="AM53" s="419"/>
    </row>
    <row r="54" spans="1:39" ht="15.75" hidden="1" customHeight="1" outlineLevel="1" x14ac:dyDescent="0.2">
      <c r="A54" s="2331" t="s">
        <v>856</v>
      </c>
      <c r="B54" s="419"/>
      <c r="G54" s="419"/>
      <c r="L54" s="419"/>
      <c r="Q54" s="419"/>
      <c r="V54" s="419"/>
      <c r="AA54" s="419"/>
      <c r="AF54" s="419"/>
      <c r="AK54" s="419"/>
      <c r="AL54" s="419"/>
      <c r="AM54" s="419"/>
    </row>
    <row r="55" spans="1:39" ht="15.75" hidden="1" customHeight="1" outlineLevel="1" x14ac:dyDescent="0.2">
      <c r="A55" s="2331" t="s">
        <v>857</v>
      </c>
      <c r="B55" s="419"/>
      <c r="G55" s="419"/>
      <c r="L55" s="419"/>
      <c r="Q55" s="419"/>
      <c r="V55" s="419"/>
      <c r="AA55" s="419"/>
      <c r="AF55" s="419"/>
      <c r="AK55" s="419"/>
      <c r="AL55" s="419"/>
      <c r="AM55" s="419"/>
    </row>
    <row r="56" spans="1:39" ht="15.75" hidden="1" customHeight="1" outlineLevel="1" x14ac:dyDescent="0.2">
      <c r="A56" s="2331"/>
      <c r="B56" s="419"/>
      <c r="G56" s="419"/>
      <c r="L56" s="419"/>
      <c r="Q56" s="419"/>
      <c r="V56" s="419"/>
      <c r="AA56" s="419"/>
      <c r="AF56" s="419"/>
      <c r="AK56" s="419"/>
      <c r="AL56" s="419"/>
      <c r="AM56" s="419"/>
    </row>
    <row r="57" spans="1:39" ht="15.75" hidden="1" customHeight="1" outlineLevel="1" x14ac:dyDescent="0.2">
      <c r="A57" s="2331" t="s">
        <v>873</v>
      </c>
      <c r="B57" s="419"/>
      <c r="G57" s="419"/>
      <c r="L57" s="419"/>
      <c r="Q57" s="419"/>
      <c r="V57" s="419"/>
      <c r="AA57" s="419"/>
      <c r="AF57" s="419"/>
      <c r="AK57" s="419"/>
      <c r="AL57" s="419"/>
      <c r="AM57" s="419"/>
    </row>
    <row r="58" spans="1:39" ht="15.75" hidden="1" customHeight="1" outlineLevel="1" x14ac:dyDescent="0.2">
      <c r="A58" s="2331" t="s">
        <v>874</v>
      </c>
      <c r="B58" s="419"/>
      <c r="G58" s="419"/>
      <c r="L58" s="419"/>
      <c r="Q58" s="419"/>
      <c r="V58" s="419"/>
      <c r="AA58" s="419"/>
      <c r="AF58" s="419"/>
      <c r="AK58" s="419"/>
      <c r="AL58" s="419"/>
      <c r="AM58" s="419"/>
    </row>
    <row r="59" spans="1:39" ht="15.75" hidden="1" customHeight="1" outlineLevel="1" x14ac:dyDescent="0.2">
      <c r="A59" s="2331" t="s">
        <v>875</v>
      </c>
      <c r="B59" s="419"/>
      <c r="G59" s="419"/>
      <c r="L59" s="419"/>
      <c r="Q59" s="419"/>
      <c r="V59" s="419"/>
      <c r="AA59" s="419"/>
      <c r="AF59" s="419"/>
      <c r="AK59" s="419"/>
      <c r="AL59" s="419"/>
      <c r="AM59" s="419"/>
    </row>
    <row r="60" spans="1:39" ht="15.75" hidden="1" customHeight="1" outlineLevel="1" x14ac:dyDescent="0.2">
      <c r="A60" s="2331"/>
      <c r="B60" s="419"/>
      <c r="G60" s="419"/>
      <c r="L60" s="419"/>
      <c r="Q60" s="419"/>
      <c r="V60" s="419"/>
      <c r="AA60" s="419"/>
      <c r="AF60" s="419"/>
      <c r="AK60" s="419"/>
      <c r="AL60" s="419"/>
      <c r="AM60" s="419"/>
    </row>
    <row r="61" spans="1:39" ht="15.75" hidden="1" customHeight="1" outlineLevel="1" x14ac:dyDescent="0.2">
      <c r="A61" s="2331" t="s">
        <v>876</v>
      </c>
      <c r="B61" s="419"/>
      <c r="G61" s="419"/>
      <c r="L61" s="419"/>
      <c r="Q61" s="419"/>
      <c r="V61" s="419"/>
      <c r="AA61" s="419"/>
      <c r="AF61" s="419"/>
      <c r="AK61" s="419"/>
      <c r="AL61" s="419"/>
      <c r="AM61" s="419"/>
    </row>
    <row r="62" spans="1:39" ht="15.75" hidden="1" customHeight="1" outlineLevel="1" x14ac:dyDescent="0.2">
      <c r="A62" s="2331" t="s">
        <v>877</v>
      </c>
      <c r="B62" s="419"/>
      <c r="G62" s="419"/>
      <c r="L62" s="419"/>
      <c r="Q62" s="419"/>
      <c r="V62" s="419"/>
      <c r="AA62" s="419"/>
      <c r="AF62" s="419"/>
      <c r="AK62" s="419"/>
      <c r="AL62" s="419"/>
      <c r="AM62" s="419"/>
    </row>
    <row r="63" spans="1:39" ht="15.75" hidden="1" customHeight="1" outlineLevel="1" x14ac:dyDescent="0.2">
      <c r="A63" s="2331" t="s">
        <v>878</v>
      </c>
      <c r="B63" s="419"/>
      <c r="G63" s="419"/>
      <c r="L63" s="419"/>
      <c r="Q63" s="419"/>
      <c r="V63" s="419"/>
      <c r="AA63" s="419"/>
      <c r="AF63" s="419"/>
      <c r="AK63" s="419"/>
      <c r="AL63" s="419"/>
      <c r="AM63" s="419"/>
    </row>
    <row r="64" spans="1:39" ht="15.75" hidden="1" customHeight="1" outlineLevel="1" x14ac:dyDescent="0.2">
      <c r="A64" s="2331"/>
      <c r="B64" s="419"/>
      <c r="G64" s="419"/>
      <c r="L64" s="419"/>
      <c r="Q64" s="419"/>
      <c r="V64" s="419"/>
      <c r="AA64" s="419"/>
      <c r="AF64" s="419"/>
      <c r="AK64" s="419"/>
      <c r="AL64" s="419"/>
      <c r="AM64" s="419"/>
    </row>
    <row r="65" spans="1:39" ht="15.75" customHeight="1" collapsed="1" x14ac:dyDescent="0.2">
      <c r="A65" s="2336" t="s">
        <v>707</v>
      </c>
      <c r="B65" s="419"/>
      <c r="G65" s="419"/>
      <c r="L65" s="419"/>
      <c r="Q65" s="419"/>
      <c r="V65" s="419"/>
      <c r="AA65" s="419"/>
      <c r="AF65" s="419"/>
      <c r="AK65" s="419"/>
      <c r="AL65" s="419"/>
      <c r="AM65" s="419"/>
    </row>
    <row r="66" spans="1:39" ht="15.75" customHeight="1" x14ac:dyDescent="0.2">
      <c r="A66" s="2331" t="s">
        <v>2274</v>
      </c>
      <c r="B66" s="419">
        <f>+Sensitivity!K24</f>
        <v>16.233666130608054</v>
      </c>
      <c r="G66" s="419"/>
      <c r="L66" s="419"/>
      <c r="Q66" s="419"/>
      <c r="V66" s="419"/>
      <c r="AA66" s="419"/>
      <c r="AF66" s="419"/>
      <c r="AK66" s="419"/>
      <c r="AL66" s="419"/>
      <c r="AM66" s="419"/>
    </row>
    <row r="67" spans="1:39" ht="15.75" customHeight="1" x14ac:dyDescent="0.2">
      <c r="A67" s="2331" t="s">
        <v>2272</v>
      </c>
      <c r="B67" s="419">
        <f>+'EBITDA Val'!G48</f>
        <v>24.148710105726572</v>
      </c>
      <c r="G67" s="419"/>
      <c r="L67" s="419"/>
      <c r="Q67" s="419"/>
      <c r="V67" s="419"/>
      <c r="AA67" s="419"/>
      <c r="AF67" s="419"/>
      <c r="AK67" s="419"/>
      <c r="AL67" s="419"/>
      <c r="AM67" s="419"/>
    </row>
    <row r="68" spans="1:39" ht="15.75" customHeight="1" x14ac:dyDescent="0.2">
      <c r="A68" s="2331" t="s">
        <v>2273</v>
      </c>
      <c r="B68" s="419">
        <f>+Sensitivity!K48</f>
        <v>38.756493394529528</v>
      </c>
      <c r="G68" s="419"/>
      <c r="L68" s="419"/>
      <c r="Q68" s="419"/>
      <c r="V68" s="419"/>
      <c r="AA68" s="419"/>
      <c r="AF68" s="419"/>
      <c r="AK68" s="419"/>
      <c r="AL68" s="419"/>
      <c r="AM68" s="419"/>
    </row>
    <row r="69" spans="1:39" ht="15.75" customHeight="1" x14ac:dyDescent="0.2">
      <c r="B69" s="419"/>
      <c r="G69" s="419"/>
      <c r="L69" s="419"/>
      <c r="Q69" s="419"/>
      <c r="V69" s="419"/>
      <c r="AA69" s="419"/>
      <c r="AF69" s="419"/>
      <c r="AK69" s="419"/>
      <c r="AL69" s="419"/>
      <c r="AM69" s="419"/>
    </row>
    <row r="70" spans="1:39" s="2575" customFormat="1" ht="15.75" customHeight="1" x14ac:dyDescent="0.2">
      <c r="A70" s="659" t="s">
        <v>2360</v>
      </c>
      <c r="B70" s="2757"/>
      <c r="G70" s="2757"/>
      <c r="L70" s="2757"/>
      <c r="Q70" s="2757"/>
      <c r="V70" s="2757"/>
      <c r="AA70" s="2757"/>
      <c r="AF70" s="2757"/>
      <c r="AK70" s="2757"/>
      <c r="AL70" s="2757"/>
      <c r="AM70" s="2757"/>
    </row>
    <row r="71" spans="1:39" s="2575" customFormat="1" ht="15.75" customHeight="1" x14ac:dyDescent="0.2">
      <c r="A71" s="2575" t="s">
        <v>879</v>
      </c>
      <c r="B71" s="3073">
        <f>+B12</f>
        <v>721.79399999999998</v>
      </c>
      <c r="G71" s="3073">
        <f>+G12</f>
        <v>789.53199999999981</v>
      </c>
      <c r="L71" s="3073">
        <f>+L12</f>
        <v>721.41700000000003</v>
      </c>
      <c r="Q71" s="3073">
        <f>+Q12</f>
        <v>709.99099999999999</v>
      </c>
      <c r="V71" s="3073">
        <f>+V12</f>
        <v>796.351</v>
      </c>
      <c r="AA71" s="3073">
        <f>+AA12</f>
        <v>843.827</v>
      </c>
      <c r="AF71" s="3073">
        <f>+AF12</f>
        <v>845.94600000000003</v>
      </c>
      <c r="AK71" s="3073">
        <f>+AK12</f>
        <v>1193.4537743384185</v>
      </c>
      <c r="AL71" s="3073">
        <f>+AL12</f>
        <v>1541.1009163027868</v>
      </c>
      <c r="AM71" s="3073">
        <f>+AM12</f>
        <v>1528.974999834531</v>
      </c>
    </row>
    <row r="72" spans="1:39" s="2575" customFormat="1" ht="15.75" customHeight="1" x14ac:dyDescent="0.2">
      <c r="A72" s="2575" t="s">
        <v>2361</v>
      </c>
      <c r="B72" s="3074">
        <f>+PENN!AP113</f>
        <v>-77</v>
      </c>
      <c r="G72" s="3074">
        <f>+PENN!AU113</f>
        <v>-86</v>
      </c>
      <c r="L72" s="3074">
        <f>+PENN!AZ113</f>
        <v>-80.800000000000011</v>
      </c>
      <c r="Q72" s="3074">
        <f>+PENN!BE113</f>
        <v>-83.4</v>
      </c>
      <c r="V72" s="3074">
        <f>+PENN!BJ113</f>
        <v>-62.692</v>
      </c>
      <c r="AA72" s="3074">
        <f>+PENN!BO113</f>
        <v>-78.504999999999995</v>
      </c>
      <c r="AF72" s="3074">
        <f>+PENN!BT113</f>
        <v>-74.228000000000009</v>
      </c>
      <c r="AK72" s="3074">
        <f>+PENN!BY113</f>
        <v>-103.30188077974532</v>
      </c>
      <c r="AL72" s="3074">
        <f>+PENN!BZ113</f>
        <v>-139.18879107635362</v>
      </c>
      <c r="AM72" s="3074">
        <f>+PENN!CA113</f>
        <v>-154.00732659840105</v>
      </c>
    </row>
    <row r="73" spans="1:39" s="2575" customFormat="1" ht="3.95" customHeight="1" x14ac:dyDescent="0.2">
      <c r="B73" s="3075" t="s">
        <v>229</v>
      </c>
      <c r="G73" s="3075" t="s">
        <v>229</v>
      </c>
      <c r="L73" s="3075" t="s">
        <v>229</v>
      </c>
      <c r="Q73" s="3075" t="s">
        <v>229</v>
      </c>
      <c r="V73" s="3075" t="s">
        <v>229</v>
      </c>
      <c r="AA73" s="3075" t="s">
        <v>229</v>
      </c>
      <c r="AF73" s="3075" t="s">
        <v>229</v>
      </c>
      <c r="AK73" s="3075" t="s">
        <v>229</v>
      </c>
      <c r="AL73" s="3075" t="s">
        <v>229</v>
      </c>
      <c r="AM73" s="3075" t="s">
        <v>229</v>
      </c>
    </row>
    <row r="74" spans="1:39" s="2575" customFormat="1" ht="15.75" customHeight="1" x14ac:dyDescent="0.2">
      <c r="A74" s="2575" t="s">
        <v>2363</v>
      </c>
      <c r="B74" s="3073">
        <f>SUM(B71:B72)</f>
        <v>644.79399999999998</v>
      </c>
      <c r="G74" s="3073">
        <f>SUM(G71:G72)</f>
        <v>703.53199999999981</v>
      </c>
      <c r="L74" s="3073">
        <f>SUM(L71:L72)</f>
        <v>640.61699999999996</v>
      </c>
      <c r="Q74" s="3073">
        <f>SUM(Q71:Q72)</f>
        <v>626.59100000000001</v>
      </c>
      <c r="V74" s="3073">
        <f>SUM(V71:V72)</f>
        <v>733.65899999999999</v>
      </c>
      <c r="AA74" s="3073">
        <f>SUM(AA71:AA72)</f>
        <v>765.322</v>
      </c>
      <c r="AF74" s="3073">
        <f>SUM(AF71:AF72)</f>
        <v>771.71800000000007</v>
      </c>
      <c r="AK74" s="3073">
        <f>SUM(AK71:AK72)</f>
        <v>1090.1518935586732</v>
      </c>
      <c r="AL74" s="3073">
        <f>SUM(AL71:AL72)</f>
        <v>1401.9121252264331</v>
      </c>
      <c r="AM74" s="3073">
        <f>SUM(AM71:AM72)</f>
        <v>1374.9676732361299</v>
      </c>
    </row>
    <row r="75" spans="1:39" s="2575" customFormat="1" ht="15.75" customHeight="1" x14ac:dyDescent="0.2">
      <c r="A75" s="2575" t="s">
        <v>1728</v>
      </c>
      <c r="B75" s="3074">
        <f>+-B74*B76</f>
        <v>-243.32014714617497</v>
      </c>
      <c r="G75" s="3074">
        <f>+-G74*G76</f>
        <v>-294.42981916241911</v>
      </c>
      <c r="L75" s="3074">
        <f>+-L74*L76</f>
        <v>-85.01066076121576</v>
      </c>
      <c r="Q75" s="3074">
        <f>+-Q74*Q76</f>
        <v>124.73944233968027</v>
      </c>
      <c r="V75" s="3074">
        <f>+-V74*V76</f>
        <v>-724.74291521232306</v>
      </c>
      <c r="AA75" s="3074">
        <f>+-AA74*AA76</f>
        <v>-71.743583856338574</v>
      </c>
      <c r="AF75" s="3074">
        <f>+-AF74*AF76</f>
        <v>8248.8223356492781</v>
      </c>
      <c r="AK75" s="3074">
        <f>+-AK74*AK76</f>
        <v>-228.93189764732116</v>
      </c>
      <c r="AL75" s="3074">
        <f>+-AL74*AL76</f>
        <v>-294.40154629755068</v>
      </c>
      <c r="AM75" s="3074">
        <f>+-AM74*AM76</f>
        <v>-288.74321137958702</v>
      </c>
    </row>
    <row r="76" spans="1:39" s="2575" customFormat="1" ht="15.75" customHeight="1" x14ac:dyDescent="0.2">
      <c r="A76" s="3076" t="s">
        <v>2362</v>
      </c>
      <c r="B76" s="3077">
        <f>+PENN!AP1514</f>
        <v>0.37736105972787432</v>
      </c>
      <c r="C76" s="3078"/>
      <c r="D76" s="3078"/>
      <c r="E76" s="3078"/>
      <c r="F76" s="3078"/>
      <c r="G76" s="3077">
        <f>+PENN!AU1514</f>
        <v>0.4185023839177453</v>
      </c>
      <c r="H76" s="3078"/>
      <c r="I76" s="3078"/>
      <c r="J76" s="3078"/>
      <c r="K76" s="3078"/>
      <c r="L76" s="3077">
        <f>+PENN!AZ1514</f>
        <v>0.13270122516451446</v>
      </c>
      <c r="M76" s="3078"/>
      <c r="N76" s="3078"/>
      <c r="O76" s="3078"/>
      <c r="P76" s="3078"/>
      <c r="Q76" s="3077">
        <f>+PENN!BE1514</f>
        <v>-0.19907633901489211</v>
      </c>
      <c r="R76" s="3078"/>
      <c r="S76" s="3078"/>
      <c r="T76" s="3078"/>
      <c r="U76" s="3078"/>
      <c r="V76" s="3077">
        <f>+PENN!BJ1514</f>
        <v>0.98784709955486549</v>
      </c>
      <c r="W76" s="3078"/>
      <c r="X76" s="3078"/>
      <c r="Y76" s="3078"/>
      <c r="Z76" s="3078"/>
      <c r="AA76" s="3077">
        <f>+PENN!BO1514</f>
        <v>9.3743004717411205E-2</v>
      </c>
      <c r="AB76" s="3078"/>
      <c r="AC76" s="3078"/>
      <c r="AD76" s="3078"/>
      <c r="AE76" s="3078"/>
      <c r="AF76" s="3077">
        <f>+PENN!BT1514</f>
        <v>-10.688907522759969</v>
      </c>
      <c r="AG76" s="3078"/>
      <c r="AH76" s="3078"/>
      <c r="AI76" s="3078"/>
      <c r="AJ76" s="3078"/>
      <c r="AK76" s="3077">
        <f>+PENN!BY1514</f>
        <v>0.2099999999999998</v>
      </c>
      <c r="AL76" s="3077">
        <f>+PENN!BZ1514</f>
        <v>0.2099999999999998</v>
      </c>
      <c r="AM76" s="3077">
        <f>+PENN!CA1514</f>
        <v>0.2099999999999998</v>
      </c>
    </row>
    <row r="77" spans="1:39" s="2575" customFormat="1" ht="3.95" customHeight="1" x14ac:dyDescent="0.2">
      <c r="B77" s="3075" t="s">
        <v>229</v>
      </c>
      <c r="G77" s="3075" t="s">
        <v>229</v>
      </c>
      <c r="L77" s="3075" t="s">
        <v>229</v>
      </c>
      <c r="Q77" s="3075" t="s">
        <v>229</v>
      </c>
      <c r="V77" s="3075" t="s">
        <v>229</v>
      </c>
      <c r="AA77" s="3075" t="s">
        <v>229</v>
      </c>
      <c r="AF77" s="3075" t="s">
        <v>229</v>
      </c>
      <c r="AK77" s="3075" t="s">
        <v>229</v>
      </c>
      <c r="AL77" s="3075" t="s">
        <v>229</v>
      </c>
      <c r="AM77" s="3075" t="s">
        <v>229</v>
      </c>
    </row>
    <row r="78" spans="1:39" s="2575" customFormat="1" ht="15.75" customHeight="1" x14ac:dyDescent="0.2">
      <c r="A78" s="2575" t="s">
        <v>2364</v>
      </c>
      <c r="B78" s="3073">
        <f>SUM(B74:B75)</f>
        <v>401.47385285382501</v>
      </c>
      <c r="G78" s="3073">
        <f>SUM(G74:G75)</f>
        <v>409.1021808375807</v>
      </c>
      <c r="L78" s="3073">
        <f>SUM(L74:L75)</f>
        <v>555.60633923878424</v>
      </c>
      <c r="Q78" s="3073">
        <f>SUM(Q74:Q75)</f>
        <v>751.3304423396803</v>
      </c>
      <c r="V78" s="3073">
        <f>SUM(V74:V75)</f>
        <v>8.9160847876769367</v>
      </c>
      <c r="AA78" s="3073">
        <f>SUM(AA74:AA75)</f>
        <v>693.57841614366146</v>
      </c>
      <c r="AF78" s="3073">
        <f>SUM(AF74:AF75)</f>
        <v>9020.5403356492789</v>
      </c>
      <c r="AK78" s="3073">
        <f>SUM(AK74:AK75)</f>
        <v>861.21999591135204</v>
      </c>
      <c r="AL78" s="3073">
        <f>SUM(AL74:AL75)</f>
        <v>1107.5105789288823</v>
      </c>
      <c r="AM78" s="3073">
        <f>SUM(AM74:AM75)</f>
        <v>1086.2244618565428</v>
      </c>
    </row>
    <row r="79" spans="1:39" s="2575" customFormat="1" ht="3.95" customHeight="1" x14ac:dyDescent="0.2">
      <c r="B79" s="2757"/>
      <c r="G79" s="2757"/>
      <c r="L79" s="2757"/>
      <c r="Q79" s="2757"/>
      <c r="V79" s="2757"/>
      <c r="AA79" s="2757"/>
      <c r="AF79" s="2757"/>
      <c r="AK79" s="2757"/>
      <c r="AL79" s="2757"/>
      <c r="AM79" s="2757"/>
    </row>
    <row r="80" spans="1:39" s="1454" customFormat="1" ht="15.75" customHeight="1" x14ac:dyDescent="0.2">
      <c r="A80" s="1454" t="s">
        <v>2368</v>
      </c>
      <c r="B80" s="3074">
        <f>+PENN!AP68+PENN!AP67</f>
        <v>-99.140999999999991</v>
      </c>
      <c r="D80" s="2575"/>
      <c r="E80" s="2575"/>
      <c r="G80" s="3074">
        <f>+PENN!AU68+PENN!AU67</f>
        <v>-80.492000000000004</v>
      </c>
      <c r="L80" s="3074">
        <f>+PENN!AZ68+PENN!AZ67</f>
        <v>-95.704999999999998</v>
      </c>
      <c r="Q80" s="3074">
        <f>+PENN!BE68+PENN!BE67</f>
        <v>-421.38399999999996</v>
      </c>
      <c r="V80" s="3074">
        <f>+PENN!BJ68+PENN!BJ67</f>
        <v>-431.596</v>
      </c>
      <c r="AA80" s="3074">
        <f>+PENN!BO68+PENN!BO67</f>
        <v>-435.05700000000002</v>
      </c>
      <c r="AF80" s="3074">
        <f>+PENN!BT68+PENN!BT67</f>
        <v>-463.20899999999995</v>
      </c>
      <c r="AK80" s="3074">
        <f>+PENN!BY68+PENN!BY67</f>
        <v>-641.48820347452295</v>
      </c>
      <c r="AL80" s="3074">
        <f>+PENN!BZ68+PENN!BZ67</f>
        <v>-823.90112915903751</v>
      </c>
      <c r="AM80" s="3074">
        <f>+PENN!CA68+PENN!CA67</f>
        <v>-827.79283299558597</v>
      </c>
    </row>
    <row r="81" spans="1:39" s="1454" customFormat="1" ht="15.75" customHeight="1" x14ac:dyDescent="0.2">
      <c r="A81" s="1454" t="s">
        <v>2369</v>
      </c>
      <c r="B81" s="3073">
        <f>+B78+B80</f>
        <v>302.33285285382499</v>
      </c>
      <c r="D81" s="2575"/>
      <c r="E81" s="2575"/>
      <c r="G81" s="3073">
        <f>+G78+G80</f>
        <v>328.61018083758069</v>
      </c>
      <c r="L81" s="3073">
        <f>+L78+L80</f>
        <v>459.90133923878426</v>
      </c>
      <c r="Q81" s="3073">
        <f>+Q78+Q80</f>
        <v>329.94644233968035</v>
      </c>
      <c r="V81" s="3073">
        <f>+V78+V80</f>
        <v>-422.67991521232307</v>
      </c>
      <c r="AA81" s="3073">
        <f>+AA78+AA80</f>
        <v>258.52141614366144</v>
      </c>
      <c r="AF81" s="3073">
        <f>+AF78+AF80</f>
        <v>8557.3313356492781</v>
      </c>
      <c r="AK81" s="3073">
        <f>+AK78+AK80</f>
        <v>219.7317924368291</v>
      </c>
      <c r="AL81" s="3073">
        <f>+AL78+AL80</f>
        <v>283.60944976984479</v>
      </c>
      <c r="AM81" s="3073">
        <f>+AM78+AM80</f>
        <v>258.43162886095683</v>
      </c>
    </row>
    <row r="82" spans="1:39" s="1454" customFormat="1" ht="15.75" customHeight="1" x14ac:dyDescent="0.2">
      <c r="B82" s="3079"/>
      <c r="D82" s="2575"/>
      <c r="E82" s="2575"/>
      <c r="G82" s="3079"/>
      <c r="L82" s="3079"/>
      <c r="Q82" s="3079"/>
      <c r="V82" s="3079"/>
      <c r="AA82" s="3079"/>
      <c r="AF82" s="3079"/>
      <c r="AK82" s="3079"/>
      <c r="AL82" s="3079"/>
      <c r="AM82" s="3079"/>
    </row>
  </sheetData>
  <phoneticPr fontId="15" type="noConversion"/>
  <pageMargins left="0.75" right="0.75" top="1" bottom="1" header="0.5" footer="0.5"/>
  <pageSetup orientation="portrait" horizontalDpi="1200" verticalDpi="12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Y217"/>
  <sheetViews>
    <sheetView zoomScale="85" workbookViewId="0"/>
  </sheetViews>
  <sheetFormatPr defaultRowHeight="15.75" outlineLevelRow="1" outlineLevelCol="1" x14ac:dyDescent="0.25"/>
  <cols>
    <col min="1" max="1" width="13.875" bestFit="1" customWidth="1"/>
    <col min="2" max="2" width="10" bestFit="1" customWidth="1"/>
    <col min="3" max="4" width="10" customWidth="1"/>
    <col min="5" max="5" width="27.125" customWidth="1"/>
    <col min="6" max="6" width="10.875" customWidth="1"/>
    <col min="7" max="7" width="10" customWidth="1"/>
    <col min="9" max="9" width="27" customWidth="1"/>
    <col min="18" max="18" width="32.625" customWidth="1"/>
    <col min="19" max="19" width="38.625" customWidth="1"/>
    <col min="20" max="20" width="9" outlineLevel="1"/>
    <col min="22" max="22" width="9" outlineLevel="1"/>
    <col min="24" max="24" width="38.625" customWidth="1"/>
    <col min="25" max="25" width="9" outlineLevel="1"/>
    <col min="27" max="27" width="9" outlineLevel="1"/>
    <col min="29" max="29" width="22.875" hidden="1" customWidth="1" outlineLevel="1"/>
    <col min="30" max="32" width="9" hidden="1" customWidth="1" outlineLevel="1"/>
    <col min="33" max="33" width="28.625" customWidth="1" collapsed="1"/>
    <col min="35" max="35" width="0.875" customWidth="1"/>
    <col min="37" max="37" width="0.875" customWidth="1"/>
    <col min="39" max="39" width="0.875" customWidth="1"/>
    <col min="42" max="42" width="20.375" customWidth="1"/>
    <col min="44" max="44" width="108.875" customWidth="1"/>
    <col min="45" max="45" width="21.25" bestFit="1" customWidth="1"/>
    <col min="46" max="50" width="7.625" customWidth="1"/>
  </cols>
  <sheetData>
    <row r="1" spans="1:51" x14ac:dyDescent="0.25">
      <c r="A1" s="2520" t="s">
        <v>1328</v>
      </c>
      <c r="B1" s="753"/>
      <c r="C1" s="753"/>
      <c r="D1" s="753"/>
      <c r="E1" s="11"/>
      <c r="F1" s="11"/>
      <c r="G1" s="281"/>
      <c r="H1" s="296"/>
      <c r="I1" s="296"/>
      <c r="J1" s="296"/>
      <c r="K1" s="296"/>
      <c r="L1" s="296"/>
      <c r="M1" s="296"/>
      <c r="N1" s="296"/>
      <c r="O1" s="296"/>
      <c r="P1" s="296"/>
      <c r="Q1" s="296"/>
      <c r="R1" s="296"/>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row>
    <row r="2" spans="1:51" x14ac:dyDescent="0.25">
      <c r="A2" s="753"/>
      <c r="B2" s="753"/>
      <c r="C2" s="753"/>
      <c r="D2" s="753"/>
      <c r="E2" s="359" t="s">
        <v>1253</v>
      </c>
      <c r="F2" s="11"/>
      <c r="G2" s="281"/>
      <c r="H2" s="296"/>
      <c r="I2" s="296"/>
      <c r="J2" s="296"/>
      <c r="K2" s="296"/>
      <c r="L2" s="296"/>
      <c r="M2" s="296"/>
      <c r="N2" s="296"/>
      <c r="O2" s="296"/>
      <c r="P2" s="296"/>
      <c r="Q2" s="296"/>
      <c r="R2" s="296"/>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row>
    <row r="3" spans="1:51" x14ac:dyDescent="0.25">
      <c r="A3" s="753"/>
      <c r="B3" s="753"/>
      <c r="C3" s="753"/>
      <c r="D3" s="753"/>
      <c r="E3" s="1100"/>
      <c r="F3" s="1060" t="s">
        <v>2230</v>
      </c>
      <c r="G3" s="2293" t="s">
        <v>2230</v>
      </c>
      <c r="H3" s="2133"/>
      <c r="I3" s="2133"/>
      <c r="J3" s="2133"/>
      <c r="K3" s="2133"/>
      <c r="L3" s="2133"/>
      <c r="M3" s="2133"/>
      <c r="N3" s="2253" t="s">
        <v>940</v>
      </c>
      <c r="O3" s="2254"/>
      <c r="P3" s="2253" t="s">
        <v>941</v>
      </c>
      <c r="Q3" s="2254"/>
      <c r="R3" s="2133"/>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row>
    <row r="4" spans="1:51" x14ac:dyDescent="0.25">
      <c r="A4" s="753" t="s">
        <v>2050</v>
      </c>
      <c r="B4" s="753" t="s">
        <v>2106</v>
      </c>
      <c r="C4" s="753" t="s">
        <v>1884</v>
      </c>
      <c r="D4" s="753" t="s">
        <v>2049</v>
      </c>
      <c r="E4" s="1269" t="s">
        <v>1258</v>
      </c>
      <c r="F4" s="2354" t="s">
        <v>1559</v>
      </c>
      <c r="G4" s="2282" t="s">
        <v>1060</v>
      </c>
      <c r="H4" s="296"/>
      <c r="I4" s="2102" t="s">
        <v>74</v>
      </c>
      <c r="J4" s="2199">
        <v>2012</v>
      </c>
      <c r="K4" s="2199" t="s">
        <v>1559</v>
      </c>
      <c r="L4" s="2200" t="s">
        <v>1060</v>
      </c>
      <c r="M4" s="296"/>
      <c r="N4" s="2297" t="s">
        <v>2274</v>
      </c>
      <c r="O4" s="2282" t="s">
        <v>2273</v>
      </c>
      <c r="P4" s="2297" t="s">
        <v>2274</v>
      </c>
      <c r="Q4" s="2282" t="s">
        <v>2273</v>
      </c>
      <c r="R4" s="225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row>
    <row r="5" spans="1:51" x14ac:dyDescent="0.25">
      <c r="A5" s="2128">
        <v>449.3</v>
      </c>
      <c r="B5" s="2128">
        <v>441.5</v>
      </c>
      <c r="C5" s="2128">
        <v>436.3</v>
      </c>
      <c r="D5" s="2368">
        <f>+D34</f>
        <v>419.7</v>
      </c>
      <c r="E5" s="285" t="s">
        <v>1249</v>
      </c>
      <c r="F5" s="882">
        <f>+F34</f>
        <v>473.83760331100632</v>
      </c>
      <c r="G5" s="2284">
        <f>+G34</f>
        <v>474.45517490240633</v>
      </c>
      <c r="H5" s="296"/>
      <c r="I5" s="520" t="s">
        <v>2231</v>
      </c>
      <c r="J5" s="428">
        <f>+PENN!AU227</f>
        <v>102.66595579374706</v>
      </c>
      <c r="K5" s="428">
        <f>+PENN!AZ227</f>
        <v>78.372017372135957</v>
      </c>
      <c r="L5" s="840">
        <f>+PENN!BE227</f>
        <v>0</v>
      </c>
      <c r="M5" s="296"/>
      <c r="N5" s="889">
        <f>+N34</f>
        <v>450.78384297990567</v>
      </c>
      <c r="O5" s="2284">
        <f>+O34</f>
        <v>496.89136364210697</v>
      </c>
      <c r="P5" s="889">
        <f>+P34</f>
        <v>450.25706602416568</v>
      </c>
      <c r="Q5" s="2284">
        <f>+Q34</f>
        <v>496.24752514064699</v>
      </c>
      <c r="R5" s="296"/>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row>
    <row r="6" spans="1:51" x14ac:dyDescent="0.25">
      <c r="A6" s="2128">
        <v>159</v>
      </c>
      <c r="B6" s="2128">
        <v>166.8</v>
      </c>
      <c r="C6" s="2128">
        <v>170</v>
      </c>
      <c r="D6" s="2539">
        <f>+D8-D5</f>
        <v>171.59999999999997</v>
      </c>
      <c r="E6" s="285" t="s">
        <v>645</v>
      </c>
      <c r="F6" s="311">
        <f>+SUM(K5:K6)</f>
        <v>138.9061550154693</v>
      </c>
      <c r="G6" s="858">
        <f>+SUM(L5:L6)</f>
        <v>0</v>
      </c>
      <c r="H6" s="296"/>
      <c r="I6" s="520" t="s">
        <v>1702</v>
      </c>
      <c r="J6" s="428">
        <f>+PENN!AU247</f>
        <v>107.51062807</v>
      </c>
      <c r="K6" s="428">
        <f>+PENN!AZ247</f>
        <v>60.534137643333331</v>
      </c>
      <c r="L6" s="840">
        <f>+PENN!BE247</f>
        <v>0</v>
      </c>
      <c r="M6" s="296"/>
      <c r="N6" s="329">
        <f>+$F$6*(1-$S$31)</f>
        <v>125.01553951392236</v>
      </c>
      <c r="O6" s="858">
        <f>+$F$6*(1+$S$31)</f>
        <v>152.79677051701623</v>
      </c>
      <c r="P6" s="329">
        <f>+$G$6*(1-$S$31)</f>
        <v>0</v>
      </c>
      <c r="Q6" s="858">
        <f>+$G$6*(1+$S$31)</f>
        <v>0</v>
      </c>
      <c r="R6" s="2252" t="s">
        <v>939</v>
      </c>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row>
    <row r="7" spans="1:51" ht="4.5" customHeight="1" x14ac:dyDescent="0.25">
      <c r="A7" s="753" t="s">
        <v>1151</v>
      </c>
      <c r="B7" s="753" t="s">
        <v>1151</v>
      </c>
      <c r="C7" s="753" t="s">
        <v>1151</v>
      </c>
      <c r="D7" s="753"/>
      <c r="E7" s="287"/>
      <c r="F7" s="2281" t="s">
        <v>1151</v>
      </c>
      <c r="G7" s="2285" t="s">
        <v>1151</v>
      </c>
      <c r="H7" s="2029"/>
      <c r="I7" s="2346"/>
      <c r="J7" s="2029"/>
      <c r="K7" s="2029"/>
      <c r="L7" s="2030"/>
      <c r="M7" s="2029"/>
      <c r="N7" s="2298" t="s">
        <v>1151</v>
      </c>
      <c r="O7" s="2285" t="s">
        <v>1151</v>
      </c>
      <c r="P7" s="2298" t="s">
        <v>1151</v>
      </c>
      <c r="Q7" s="2285" t="s">
        <v>1151</v>
      </c>
      <c r="R7" s="2029"/>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row>
    <row r="8" spans="1:51" x14ac:dyDescent="0.25">
      <c r="A8" s="2128">
        <v>608.29999999999995</v>
      </c>
      <c r="B8" s="2128">
        <v>608.29999999999995</v>
      </c>
      <c r="C8" s="2128">
        <v>606.29999999999995</v>
      </c>
      <c r="D8" s="2128">
        <v>591.29999999999995</v>
      </c>
      <c r="E8" s="285" t="s">
        <v>1570</v>
      </c>
      <c r="F8" s="882">
        <f>+SUM(F5:F7)</f>
        <v>612.74375832647559</v>
      </c>
      <c r="G8" s="2284">
        <f>+SUM(G5:G7)</f>
        <v>474.45517490240633</v>
      </c>
      <c r="H8" s="890"/>
      <c r="I8" s="2347"/>
      <c r="J8" s="1673" t="s">
        <v>859</v>
      </c>
      <c r="K8" s="1188">
        <f>+SUM(K5:K6)/SUM(J5:J6)-1</f>
        <v>-0.3390978554227565</v>
      </c>
      <c r="L8" s="2348"/>
      <c r="M8" s="890"/>
      <c r="N8" s="889">
        <f>+SUM(N5:N7)</f>
        <v>575.79938249382803</v>
      </c>
      <c r="O8" s="2284">
        <f>+SUM(O5:O7)</f>
        <v>649.68813415912314</v>
      </c>
      <c r="P8" s="889">
        <f>+SUM(P5:P7)</f>
        <v>450.25706602416568</v>
      </c>
      <c r="Q8" s="2284">
        <f>+SUM(Q5:Q7)</f>
        <v>496.24752514064699</v>
      </c>
      <c r="R8" s="890"/>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row>
    <row r="9" spans="1:51" x14ac:dyDescent="0.25">
      <c r="A9" s="753"/>
      <c r="B9" s="753"/>
      <c r="C9" s="753"/>
      <c r="D9" s="753"/>
      <c r="E9" s="285"/>
      <c r="F9" s="281"/>
      <c r="G9" s="286"/>
      <c r="H9" s="296"/>
      <c r="I9" s="296"/>
      <c r="J9" s="296"/>
      <c r="K9" s="296"/>
      <c r="L9" s="296"/>
      <c r="M9" s="296"/>
      <c r="N9" s="285"/>
      <c r="O9" s="286"/>
      <c r="P9" s="285"/>
      <c r="Q9" s="286"/>
      <c r="R9" s="296"/>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row>
    <row r="10" spans="1:51" x14ac:dyDescent="0.25">
      <c r="A10" s="2128">
        <v>459.1</v>
      </c>
      <c r="B10" s="2128">
        <v>456.5</v>
      </c>
      <c r="C10" s="2128">
        <v>455.2</v>
      </c>
      <c r="D10" s="2128">
        <v>439.8</v>
      </c>
      <c r="E10" s="432" t="s">
        <v>1624</v>
      </c>
      <c r="F10" s="1812">
        <f>+F8-J10</f>
        <v>461.24375832647564</v>
      </c>
      <c r="G10" s="1814">
        <f>G8-J10</f>
        <v>322.95517490240638</v>
      </c>
      <c r="H10" s="296"/>
      <c r="I10" s="2279" t="s">
        <v>73</v>
      </c>
      <c r="J10" s="2371">
        <f>+D8-D10</f>
        <v>151.49999999999994</v>
      </c>
      <c r="K10" s="296"/>
      <c r="L10" s="296"/>
      <c r="M10" s="296"/>
      <c r="N10" s="420">
        <f>+N8-$J$10</f>
        <v>424.29938249382809</v>
      </c>
      <c r="O10" s="1810">
        <f>+O8-$J$10</f>
        <v>498.18813415912319</v>
      </c>
      <c r="P10" s="420">
        <f>+P8-$J$10</f>
        <v>298.75706602416574</v>
      </c>
      <c r="Q10" s="1810">
        <f>+Q8-$J$10</f>
        <v>344.74752514064704</v>
      </c>
      <c r="R10" s="296" t="s">
        <v>1077</v>
      </c>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row>
    <row r="11" spans="1:51" x14ac:dyDescent="0.25">
      <c r="A11" s="2128">
        <v>-189.9</v>
      </c>
      <c r="B11" s="2128">
        <v>-166.9</v>
      </c>
      <c r="C11" s="2128">
        <v>-170.8</v>
      </c>
      <c r="D11" s="2128">
        <v>-168.3</v>
      </c>
      <c r="E11" s="285" t="s">
        <v>1251</v>
      </c>
      <c r="F11" s="2370">
        <f>+D11</f>
        <v>-168.3</v>
      </c>
      <c r="G11" s="2256">
        <f>+F11</f>
        <v>-168.3</v>
      </c>
      <c r="H11" s="660"/>
      <c r="I11" s="660"/>
      <c r="J11" s="660"/>
      <c r="K11" s="660"/>
      <c r="L11" s="660"/>
      <c r="M11" s="660"/>
      <c r="N11" s="2255">
        <f>+$F$11</f>
        <v>-168.3</v>
      </c>
      <c r="O11" s="2256">
        <f>+$F$11</f>
        <v>-168.3</v>
      </c>
      <c r="P11" s="2255">
        <f>+$G$11</f>
        <v>-168.3</v>
      </c>
      <c r="Q11" s="2256">
        <f>+$G$11</f>
        <v>-168.3</v>
      </c>
      <c r="R11" s="660"/>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row>
    <row r="12" spans="1:51" x14ac:dyDescent="0.25">
      <c r="A12" s="2128">
        <v>269.2</v>
      </c>
      <c r="B12" s="2128">
        <v>289.60000000000002</v>
      </c>
      <c r="C12" s="2128">
        <v>284.39999999999998</v>
      </c>
      <c r="D12" s="2368">
        <f>+SUM(D10:D11)</f>
        <v>271.5</v>
      </c>
      <c r="E12" s="432" t="s">
        <v>1250</v>
      </c>
      <c r="F12" s="1812">
        <f>+F11+F10</f>
        <v>292.94375832647563</v>
      </c>
      <c r="G12" s="1814">
        <f>+SUM(G10:G11)</f>
        <v>154.65517490240637</v>
      </c>
      <c r="H12" s="2134"/>
      <c r="I12" s="296"/>
      <c r="J12" s="296"/>
      <c r="K12" s="2134"/>
      <c r="L12" s="2134"/>
      <c r="M12" s="2134"/>
      <c r="N12" s="420">
        <f>+N11+N10</f>
        <v>255.99938249382808</v>
      </c>
      <c r="O12" s="1810">
        <f>+O11+O10</f>
        <v>329.88813415912318</v>
      </c>
      <c r="P12" s="420">
        <f>+P11+P10</f>
        <v>130.45706602416573</v>
      </c>
      <c r="Q12" s="1810">
        <f>+Q11+Q10</f>
        <v>176.44752514064703</v>
      </c>
      <c r="R12" s="2134"/>
      <c r="S12" s="1826" t="s">
        <v>2212</v>
      </c>
      <c r="T12" s="2349">
        <v>128.40600000000001</v>
      </c>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row>
    <row r="13" spans="1:51" x14ac:dyDescent="0.25">
      <c r="A13" s="2128">
        <v>-157</v>
      </c>
      <c r="B13" s="2128">
        <v>-161</v>
      </c>
      <c r="C13" s="2128">
        <v>-122.8</v>
      </c>
      <c r="D13" s="2128">
        <v>-122.4</v>
      </c>
      <c r="E13" s="285" t="s">
        <v>1252</v>
      </c>
      <c r="F13" s="2370">
        <f>+D13</f>
        <v>-122.4</v>
      </c>
      <c r="G13" s="2256">
        <f>+F13</f>
        <v>-122.4</v>
      </c>
      <c r="H13" s="660"/>
      <c r="I13" s="296"/>
      <c r="J13" s="296"/>
      <c r="K13" s="660"/>
      <c r="L13" s="660"/>
      <c r="M13" s="660"/>
      <c r="N13" s="528">
        <f>+$F$13</f>
        <v>-122.4</v>
      </c>
      <c r="O13" s="684">
        <f>+$F$13</f>
        <v>-122.4</v>
      </c>
      <c r="P13" s="528">
        <f>+$G$13</f>
        <v>-122.4</v>
      </c>
      <c r="Q13" s="684">
        <f>+$G$13</f>
        <v>-122.4</v>
      </c>
      <c r="R13" s="660"/>
      <c r="S13" s="1826" t="s">
        <v>2213</v>
      </c>
      <c r="T13" s="2349">
        <v>49.262</v>
      </c>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row>
    <row r="14" spans="1:51" x14ac:dyDescent="0.25">
      <c r="A14" s="2128">
        <v>112.2</v>
      </c>
      <c r="B14" s="2128">
        <v>128.6</v>
      </c>
      <c r="C14" s="2128">
        <v>161.6</v>
      </c>
      <c r="D14" s="2369">
        <f>+SUM(D12:D13)</f>
        <v>149.1</v>
      </c>
      <c r="E14" s="864" t="s">
        <v>954</v>
      </c>
      <c r="F14" s="512">
        <f>+SUM(F12:F13)</f>
        <v>170.54375832647563</v>
      </c>
      <c r="G14" s="2344">
        <f>+G13+G12</f>
        <v>32.255174902406367</v>
      </c>
      <c r="H14" s="2135"/>
      <c r="I14" s="296"/>
      <c r="J14" s="296"/>
      <c r="K14" s="2135"/>
      <c r="L14" s="2135"/>
      <c r="M14" s="2135"/>
      <c r="N14" s="1186">
        <f>+N12+N13</f>
        <v>133.59938249382807</v>
      </c>
      <c r="O14" s="2286">
        <f>+O12+O13</f>
        <v>207.48813415912318</v>
      </c>
      <c r="P14" s="1186">
        <f>+P12+P13</f>
        <v>8.0570660241657208</v>
      </c>
      <c r="Q14" s="2286">
        <f>+Q12+Q13</f>
        <v>54.047525140647025</v>
      </c>
      <c r="R14" s="2135"/>
      <c r="S14" s="1826" t="s">
        <v>1900</v>
      </c>
      <c r="T14" s="2349">
        <v>117.884</v>
      </c>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row>
    <row r="15" spans="1:51" x14ac:dyDescent="0.25">
      <c r="A15" s="2128">
        <v>95.9</v>
      </c>
      <c r="B15" s="2128">
        <v>93.4</v>
      </c>
      <c r="C15" s="2128">
        <v>92.7</v>
      </c>
      <c r="D15" s="2128">
        <v>92.6</v>
      </c>
      <c r="E15" s="285" t="s">
        <v>1536</v>
      </c>
      <c r="F15" s="859">
        <v>92.6</v>
      </c>
      <c r="G15" s="858">
        <f>+F15</f>
        <v>92.6</v>
      </c>
      <c r="H15" s="890"/>
      <c r="I15" s="296"/>
      <c r="J15" s="296"/>
      <c r="K15" s="890"/>
      <c r="L15" s="890"/>
      <c r="M15" s="890"/>
      <c r="N15" s="329">
        <f>+$F$15</f>
        <v>92.6</v>
      </c>
      <c r="O15" s="858">
        <f>+$F$15</f>
        <v>92.6</v>
      </c>
      <c r="P15" s="329">
        <f>+$G$15</f>
        <v>92.6</v>
      </c>
      <c r="Q15" s="858">
        <f>+$G$15</f>
        <v>92.6</v>
      </c>
      <c r="R15" s="890"/>
      <c r="S15" s="1826" t="s">
        <v>2091</v>
      </c>
      <c r="T15" s="2349">
        <v>143.673</v>
      </c>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row>
    <row r="16" spans="1:51" x14ac:dyDescent="0.25">
      <c r="A16" s="2129">
        <v>1.1699687174139728</v>
      </c>
      <c r="B16" s="2129">
        <v>1.3768736616702355</v>
      </c>
      <c r="C16" s="2129">
        <v>1.7432578209277236</v>
      </c>
      <c r="D16" s="2129">
        <f>+D14/D15</f>
        <v>1.6101511879049677</v>
      </c>
      <c r="E16" s="1820" t="s">
        <v>1588</v>
      </c>
      <c r="F16" s="2280">
        <f>+F14/F15</f>
        <v>1.8417252519057845</v>
      </c>
      <c r="G16" s="1821">
        <f>+G14/G15</f>
        <v>0.34832802270417246</v>
      </c>
      <c r="H16" s="506"/>
      <c r="I16" s="296"/>
      <c r="J16" s="296"/>
      <c r="K16" s="506"/>
      <c r="L16" s="506"/>
      <c r="M16" s="506"/>
      <c r="N16" s="2299">
        <f>+N14/N15</f>
        <v>1.4427579103005193</v>
      </c>
      <c r="O16" s="1821">
        <f>+O14/O15</f>
        <v>2.2406925935110498</v>
      </c>
      <c r="P16" s="2299">
        <f>+P14/P15</f>
        <v>8.7009352312804766E-2</v>
      </c>
      <c r="Q16" s="1821">
        <f>+Q14/Q15</f>
        <v>0.58366657819273249</v>
      </c>
      <c r="R16" s="506"/>
      <c r="S16" s="1826" t="s">
        <v>899</v>
      </c>
      <c r="T16" s="2349">
        <v>5.5460000000000003</v>
      </c>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row>
    <row r="17" spans="1:51" x14ac:dyDescent="0.25">
      <c r="A17" s="753"/>
      <c r="B17" s="753"/>
      <c r="C17" s="753"/>
      <c r="D17" s="753"/>
      <c r="E17" s="285"/>
      <c r="F17" s="384"/>
      <c r="G17" s="2260"/>
      <c r="H17" s="1397"/>
      <c r="I17" s="1397"/>
      <c r="J17" s="1397"/>
      <c r="K17" s="1397"/>
      <c r="L17" s="1397"/>
      <c r="M17" s="1397"/>
      <c r="N17" s="2259"/>
      <c r="O17" s="2260"/>
      <c r="P17" s="2259"/>
      <c r="Q17" s="2260"/>
      <c r="R17" s="1397"/>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row>
    <row r="18" spans="1:51" x14ac:dyDescent="0.25">
      <c r="A18" s="753"/>
      <c r="B18" s="753"/>
      <c r="C18" s="2326">
        <v>14.5</v>
      </c>
      <c r="D18" s="2326"/>
      <c r="E18" s="285" t="s">
        <v>52</v>
      </c>
      <c r="F18" s="859">
        <v>14.5</v>
      </c>
      <c r="G18" s="858">
        <f>+F18</f>
        <v>14.5</v>
      </c>
      <c r="H18" s="1397"/>
      <c r="I18" s="1397"/>
      <c r="J18" s="1397"/>
      <c r="K18" s="1397"/>
      <c r="L18" s="1397"/>
      <c r="M18" s="1397"/>
      <c r="N18" s="2300"/>
      <c r="O18" s="2287"/>
      <c r="P18" s="2300"/>
      <c r="Q18" s="2287"/>
      <c r="R18" s="1397"/>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row>
    <row r="19" spans="1:51" x14ac:dyDescent="0.25">
      <c r="A19" s="753"/>
      <c r="B19" s="753"/>
      <c r="C19" s="2326">
        <v>469.7</v>
      </c>
      <c r="D19" s="2326"/>
      <c r="E19" s="285" t="s">
        <v>53</v>
      </c>
      <c r="F19" s="311">
        <f>+F10+F18</f>
        <v>475.74375832647564</v>
      </c>
      <c r="G19" s="858">
        <f>+G10+G18</f>
        <v>337.45517490240638</v>
      </c>
      <c r="H19" s="1397"/>
      <c r="I19" s="1397"/>
      <c r="J19" s="1397"/>
      <c r="K19" s="1397"/>
      <c r="L19" s="1397"/>
      <c r="M19" s="1397"/>
      <c r="N19" s="2300"/>
      <c r="O19" s="2287"/>
      <c r="P19" s="2300"/>
      <c r="Q19" s="2287"/>
      <c r="R19" s="1397"/>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row>
    <row r="20" spans="1:51" x14ac:dyDescent="0.25">
      <c r="A20" s="753"/>
      <c r="B20" s="753"/>
      <c r="C20" s="2328"/>
      <c r="D20" s="2328"/>
      <c r="E20" s="285"/>
      <c r="F20" s="384"/>
      <c r="G20" s="2260"/>
      <c r="H20" s="1397"/>
      <c r="I20" s="1397"/>
      <c r="J20" s="1397"/>
      <c r="K20" s="1397"/>
      <c r="L20" s="1397"/>
      <c r="M20" s="1397"/>
      <c r="N20" s="2259"/>
      <c r="O20" s="2260"/>
      <c r="P20" s="2259"/>
      <c r="Q20" s="2260"/>
      <c r="R20" s="1397"/>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row>
    <row r="21" spans="1:51" x14ac:dyDescent="0.25">
      <c r="A21" s="753"/>
      <c r="B21" s="753"/>
      <c r="C21" s="2329">
        <v>-33.08</v>
      </c>
      <c r="D21" s="2329"/>
      <c r="E21" s="285" t="s">
        <v>1074</v>
      </c>
      <c r="F21" s="859">
        <v>-33.08</v>
      </c>
      <c r="G21" s="2258">
        <f>+F21</f>
        <v>-33.08</v>
      </c>
      <c r="H21" s="1397"/>
      <c r="I21" s="1397"/>
      <c r="J21" s="1397"/>
      <c r="K21" s="1397"/>
      <c r="L21" s="1397"/>
      <c r="M21" s="1397"/>
      <c r="N21" s="329">
        <f>+$F$21</f>
        <v>-33.08</v>
      </c>
      <c r="O21" s="858">
        <f>+$F$21</f>
        <v>-33.08</v>
      </c>
      <c r="P21" s="329">
        <f>+$G$21</f>
        <v>-33.08</v>
      </c>
      <c r="Q21" s="858">
        <f>+$G$21</f>
        <v>-33.08</v>
      </c>
      <c r="R21" s="1397"/>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row>
    <row r="22" spans="1:51" x14ac:dyDescent="0.25">
      <c r="A22" s="753"/>
      <c r="B22" s="753"/>
      <c r="C22" s="2329">
        <v>251.32</v>
      </c>
      <c r="D22" s="2329"/>
      <c r="E22" s="285" t="s">
        <v>1073</v>
      </c>
      <c r="F22" s="882">
        <f>+F12+F21</f>
        <v>259.86375832647565</v>
      </c>
      <c r="G22" s="2284">
        <f>+G12+G21</f>
        <v>121.57517490240637</v>
      </c>
      <c r="H22" s="1397"/>
      <c r="I22" s="1397"/>
      <c r="J22" s="1397"/>
      <c r="K22" s="1397"/>
      <c r="L22" s="1397"/>
      <c r="M22" s="1397"/>
      <c r="N22" s="329">
        <f>+N12+N21</f>
        <v>222.9193824938281</v>
      </c>
      <c r="O22" s="858">
        <f>+O12+O21</f>
        <v>296.8081341591232</v>
      </c>
      <c r="P22" s="329">
        <f>+P12+P21</f>
        <v>97.377066024165728</v>
      </c>
      <c r="Q22" s="858">
        <f>+Q12+Q21</f>
        <v>143.36752514064705</v>
      </c>
      <c r="R22" s="1397"/>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row>
    <row r="23" spans="1:51" x14ac:dyDescent="0.25">
      <c r="A23" s="753"/>
      <c r="B23" s="753"/>
      <c r="C23" s="2327">
        <v>0.9</v>
      </c>
      <c r="D23" s="2327"/>
      <c r="E23" s="285" t="s">
        <v>1072</v>
      </c>
      <c r="F23" s="2457">
        <f>+(F24*F15)/F22</f>
        <v>0.82671012450339165</v>
      </c>
      <c r="G23" s="2491">
        <v>0.9</v>
      </c>
      <c r="H23" s="1397"/>
      <c r="I23" s="1397"/>
      <c r="J23" s="1397"/>
      <c r="K23" s="1397"/>
      <c r="L23" s="1397"/>
      <c r="M23" s="1397"/>
      <c r="N23" s="867">
        <f>+$F$23</f>
        <v>0.82671012450339165</v>
      </c>
      <c r="O23" s="2288">
        <f>+$F$23</f>
        <v>0.82671012450339165</v>
      </c>
      <c r="P23" s="867">
        <f>+$F$23</f>
        <v>0.82671012450339165</v>
      </c>
      <c r="Q23" s="2288">
        <f>+$F$23</f>
        <v>0.82671012450339165</v>
      </c>
      <c r="R23" s="1397"/>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row>
    <row r="24" spans="1:51" x14ac:dyDescent="0.25">
      <c r="A24" s="753"/>
      <c r="B24" s="753"/>
      <c r="C24" s="2328">
        <v>2.44</v>
      </c>
      <c r="D24" s="2328">
        <v>2.3199999999999998</v>
      </c>
      <c r="E24" s="285" t="s">
        <v>1071</v>
      </c>
      <c r="F24" s="860">
        <v>2.3199999999999998</v>
      </c>
      <c r="G24" s="2260">
        <f>+G22*G23/G15</f>
        <v>1.1816161707577295</v>
      </c>
      <c r="H24" s="1397"/>
      <c r="I24" s="1397"/>
      <c r="J24" s="1397"/>
      <c r="K24" s="1397"/>
      <c r="L24" s="1397"/>
      <c r="M24" s="1397"/>
      <c r="N24" s="2259">
        <f>+N22*N23/N15</f>
        <v>1.9901696593487239</v>
      </c>
      <c r="O24" s="2260">
        <f>+O22*O23/O15</f>
        <v>2.6498303406512758</v>
      </c>
      <c r="P24" s="2259">
        <f>+P22*P23/P15</f>
        <v>0.86935860017940658</v>
      </c>
      <c r="Q24" s="2260">
        <f>+Q22*Q23/Q15</f>
        <v>1.2799501572221108</v>
      </c>
      <c r="R24" s="1397"/>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row>
    <row r="25" spans="1:51" x14ac:dyDescent="0.25">
      <c r="A25" s="753"/>
      <c r="B25" s="753"/>
      <c r="C25" s="2328"/>
      <c r="D25" s="2328"/>
      <c r="E25" s="285"/>
      <c r="F25" s="384"/>
      <c r="G25" s="2260"/>
      <c r="H25" s="1397"/>
      <c r="I25" s="1397"/>
      <c r="J25" s="1397"/>
      <c r="K25" s="1397"/>
      <c r="L25" s="1397"/>
      <c r="M25" s="1397"/>
      <c r="N25" s="2259"/>
      <c r="O25" s="2260"/>
      <c r="P25" s="2259"/>
      <c r="Q25" s="2260"/>
      <c r="R25" s="1397"/>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row>
    <row r="26" spans="1:51" x14ac:dyDescent="0.25">
      <c r="A26" s="753"/>
      <c r="B26" s="753"/>
      <c r="C26" s="2329">
        <v>2.9700000000000273</v>
      </c>
      <c r="D26" s="2329"/>
      <c r="E26" s="285" t="s">
        <v>1076</v>
      </c>
      <c r="F26" s="859">
        <v>2.9700000000000273</v>
      </c>
      <c r="G26" s="2258">
        <f>+F26</f>
        <v>2.9700000000000273</v>
      </c>
      <c r="H26" s="1397"/>
      <c r="I26" s="1397"/>
      <c r="J26" s="1397"/>
      <c r="K26" s="1397"/>
      <c r="L26" s="1397"/>
      <c r="M26" s="1397"/>
      <c r="N26" s="2257">
        <f>+$F$26</f>
        <v>2.9700000000000273</v>
      </c>
      <c r="O26" s="2258">
        <f>+$F$26</f>
        <v>2.9700000000000273</v>
      </c>
      <c r="P26" s="2257">
        <f>+$F$26</f>
        <v>2.9700000000000273</v>
      </c>
      <c r="Q26" s="2258">
        <f>+$F$26</f>
        <v>2.9700000000000273</v>
      </c>
      <c r="R26" s="1397"/>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row>
    <row r="27" spans="1:51" x14ac:dyDescent="0.25">
      <c r="A27" s="753"/>
      <c r="B27" s="753"/>
      <c r="C27" s="2329">
        <v>287.37</v>
      </c>
      <c r="D27" s="2329"/>
      <c r="E27" s="285" t="s">
        <v>2080</v>
      </c>
      <c r="F27" s="882">
        <f>+F12+F26</f>
        <v>295.91375832647566</v>
      </c>
      <c r="G27" s="2284">
        <f>+G12+G26</f>
        <v>157.6251749024064</v>
      </c>
      <c r="H27" s="1397"/>
      <c r="I27" s="296"/>
      <c r="J27" s="296"/>
      <c r="K27" s="1397"/>
      <c r="L27" s="1397"/>
      <c r="M27" s="1397"/>
      <c r="N27" s="329">
        <f>+N12+N26</f>
        <v>258.96938249382811</v>
      </c>
      <c r="O27" s="858">
        <f>+O12+O26</f>
        <v>332.85813415912321</v>
      </c>
      <c r="P27" s="329">
        <f>+P12+P26</f>
        <v>133.42706602416575</v>
      </c>
      <c r="Q27" s="858">
        <f>+Q12+Q26</f>
        <v>179.41752514064706</v>
      </c>
      <c r="R27" s="1397"/>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row>
    <row r="28" spans="1:51" x14ac:dyDescent="0.25">
      <c r="A28" s="753"/>
      <c r="B28" s="753"/>
      <c r="C28" s="2328">
        <v>3.1</v>
      </c>
      <c r="D28" s="2328">
        <v>2.93</v>
      </c>
      <c r="E28" s="285" t="s">
        <v>1075</v>
      </c>
      <c r="F28" s="384">
        <f>+F27/F15</f>
        <v>3.1956129408906659</v>
      </c>
      <c r="G28" s="2260">
        <f>+G27/G15</f>
        <v>1.7022157116890542</v>
      </c>
      <c r="H28" s="1397"/>
      <c r="I28" s="2279" t="s">
        <v>1061</v>
      </c>
      <c r="J28" s="2290"/>
      <c r="K28" s="1397"/>
      <c r="L28" s="1397"/>
      <c r="M28" s="1397"/>
      <c r="N28" s="2259">
        <f>+N27/N15</f>
        <v>2.7966455992854007</v>
      </c>
      <c r="O28" s="2260">
        <f>+O27/O15</f>
        <v>3.5945802824959312</v>
      </c>
      <c r="P28" s="2259">
        <f>+P27/P15</f>
        <v>1.4408970412976865</v>
      </c>
      <c r="Q28" s="2260">
        <f>+Q27/Q15</f>
        <v>1.937554267177614</v>
      </c>
      <c r="R28" s="1397"/>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row>
    <row r="29" spans="1:51" x14ac:dyDescent="0.25">
      <c r="A29" s="753"/>
      <c r="B29" s="753"/>
      <c r="C29" s="753"/>
      <c r="D29" s="753"/>
      <c r="E29" s="285"/>
      <c r="F29" s="384"/>
      <c r="G29" s="2260"/>
      <c r="H29" s="1397"/>
      <c r="I29" s="296"/>
      <c r="J29" s="296"/>
      <c r="K29" s="1397"/>
      <c r="L29" s="1397"/>
      <c r="M29" s="1397"/>
      <c r="N29" s="2259"/>
      <c r="O29" s="2260"/>
      <c r="P29" s="2259"/>
      <c r="Q29" s="2260"/>
      <c r="R29" s="1397"/>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row>
    <row r="30" spans="1:51" x14ac:dyDescent="0.25">
      <c r="A30" s="753" t="s">
        <v>2050</v>
      </c>
      <c r="B30" s="753" t="s">
        <v>2106</v>
      </c>
      <c r="C30" s="753" t="s">
        <v>1884</v>
      </c>
      <c r="D30" s="753" t="s">
        <v>2048</v>
      </c>
      <c r="E30" s="1220" t="s">
        <v>1254</v>
      </c>
      <c r="F30" s="2355" t="s">
        <v>1559</v>
      </c>
      <c r="G30" s="2283" t="s">
        <v>1060</v>
      </c>
      <c r="H30" s="296"/>
      <c r="I30" s="525" t="s">
        <v>860</v>
      </c>
      <c r="J30" s="2353">
        <f>+PENN!AZ57</f>
        <v>0</v>
      </c>
      <c r="K30" s="296"/>
      <c r="L30" s="296"/>
      <c r="M30" s="296"/>
      <c r="N30" s="2301" t="s">
        <v>2274</v>
      </c>
      <c r="O30" s="2283" t="s">
        <v>2273</v>
      </c>
      <c r="P30" s="2301" t="s">
        <v>2274</v>
      </c>
      <c r="Q30" s="2283" t="s">
        <v>2273</v>
      </c>
      <c r="R30" s="296"/>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row>
    <row r="31" spans="1:51" x14ac:dyDescent="0.25">
      <c r="A31" s="2128">
        <v>3042.6</v>
      </c>
      <c r="B31" s="2128">
        <v>2984.7</v>
      </c>
      <c r="C31" s="2128">
        <v>2967.9</v>
      </c>
      <c r="D31" s="2128">
        <v>2811.2</v>
      </c>
      <c r="E31" s="285" t="s">
        <v>1418</v>
      </c>
      <c r="F31" s="882">
        <f>+PENN!AZ14-REIT!K5-REIT!K6</f>
        <v>2779.8478449845311</v>
      </c>
      <c r="G31" s="2284">
        <f>+PENN!BE14-REIT!G6</f>
        <v>2590.5279999999998</v>
      </c>
      <c r="H31" s="2136"/>
      <c r="I31" s="520" t="s">
        <v>861</v>
      </c>
      <c r="J31" s="684">
        <f>+D33</f>
        <v>771.1</v>
      </c>
      <c r="K31" s="296"/>
      <c r="L31" s="296"/>
      <c r="M31" s="296"/>
      <c r="N31" s="889">
        <f>+$F$31*(1-$S$31)</f>
        <v>2501.8630604860782</v>
      </c>
      <c r="O31" s="2284">
        <f>+$F$31*(1+$S$31)</f>
        <v>3057.8326294829844</v>
      </c>
      <c r="P31" s="889">
        <f>+$G$31*(1-$S$31)</f>
        <v>2331.4751999999999</v>
      </c>
      <c r="Q31" s="2284">
        <f>+$G$31*(1+$S$31)</f>
        <v>2849.5808000000002</v>
      </c>
      <c r="R31" s="2252" t="s">
        <v>939</v>
      </c>
      <c r="S31" s="647">
        <v>0.1</v>
      </c>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row>
    <row r="32" spans="1:51" x14ac:dyDescent="0.25">
      <c r="A32" s="2130"/>
      <c r="B32" s="2130"/>
      <c r="C32" s="2130"/>
      <c r="D32" s="2130"/>
      <c r="E32" s="285"/>
      <c r="F32" s="281"/>
      <c r="G32" s="286"/>
      <c r="H32" s="296"/>
      <c r="I32" s="868" t="s">
        <v>2209</v>
      </c>
      <c r="J32" s="1382">
        <f>+J31-J30</f>
        <v>771.1</v>
      </c>
      <c r="K32" s="296"/>
      <c r="L32" s="296"/>
      <c r="M32" s="296"/>
      <c r="N32" s="285"/>
      <c r="O32" s="286"/>
      <c r="P32" s="285"/>
      <c r="Q32" s="286"/>
      <c r="R32" s="296"/>
      <c r="S32" s="321"/>
      <c r="T32" s="575" t="s">
        <v>1137</v>
      </c>
      <c r="U32" s="2453" t="s">
        <v>1138</v>
      </c>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row>
    <row r="33" spans="1:51" x14ac:dyDescent="0.25">
      <c r="A33" s="2128">
        <v>881.4</v>
      </c>
      <c r="B33" s="2128">
        <v>852.3</v>
      </c>
      <c r="C33" s="2128">
        <v>843</v>
      </c>
      <c r="D33" s="2128">
        <v>771.1</v>
      </c>
      <c r="E33" s="432" t="s">
        <v>1255</v>
      </c>
      <c r="F33" s="1812">
        <f>+J35</f>
        <v>1477.691</v>
      </c>
      <c r="G33" s="1814">
        <f>+PENN!BE54-PENN!BE274-PENN!BE301</f>
        <v>288.60299999999995</v>
      </c>
      <c r="H33" s="296"/>
      <c r="I33" s="520" t="s">
        <v>2210</v>
      </c>
      <c r="J33" s="886">
        <f>+PENN!AZ50</f>
        <v>706.59100000000001</v>
      </c>
      <c r="K33" s="296"/>
      <c r="L33" s="296"/>
      <c r="M33" s="296"/>
      <c r="N33" s="420">
        <f>+N31*($T$33-0.5%)</f>
        <v>1317.4125846975699</v>
      </c>
      <c r="O33" s="1810">
        <f>+O31*($T$33+0.5%)</f>
        <v>1640.7492631474151</v>
      </c>
      <c r="P33" s="420">
        <f>+P31*($U$33-0.5%)</f>
        <v>248.08532399999996</v>
      </c>
      <c r="Q33" s="1810">
        <f>+Q31*($U$33+0.5%)</f>
        <v>331.71120400000001</v>
      </c>
      <c r="R33" s="296" t="s">
        <v>862</v>
      </c>
      <c r="S33" s="1077" t="s">
        <v>666</v>
      </c>
      <c r="T33" s="1188">
        <f>+F33/F31</f>
        <v>0.53157261922305787</v>
      </c>
      <c r="U33" s="1189">
        <f>+G33/G31</f>
        <v>0.11140701818316574</v>
      </c>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row>
    <row r="34" spans="1:51" x14ac:dyDescent="0.25">
      <c r="A34" s="2128">
        <v>449.3</v>
      </c>
      <c r="B34" s="2128">
        <v>441.5</v>
      </c>
      <c r="C34" s="2128">
        <v>436.3</v>
      </c>
      <c r="D34" s="2128">
        <v>419.7</v>
      </c>
      <c r="E34" s="285" t="s">
        <v>1256</v>
      </c>
      <c r="F34" s="311">
        <f>+J43</f>
        <v>473.83760331100632</v>
      </c>
      <c r="G34" s="858">
        <f>+K43</f>
        <v>474.45517490240633</v>
      </c>
      <c r="H34" s="296"/>
      <c r="I34" s="868" t="s">
        <v>2209</v>
      </c>
      <c r="J34" s="1284">
        <f>+J32</f>
        <v>771.1</v>
      </c>
      <c r="K34" s="296"/>
      <c r="L34" s="296"/>
      <c r="M34" s="296"/>
      <c r="N34" s="329">
        <f>+N50</f>
        <v>450.78384297990567</v>
      </c>
      <c r="O34" s="858">
        <f>+O50</f>
        <v>496.89136364210697</v>
      </c>
      <c r="P34" s="329">
        <f>+P50</f>
        <v>450.25706602416568</v>
      </c>
      <c r="Q34" s="858">
        <f>+Q50</f>
        <v>496.24752514064699</v>
      </c>
      <c r="R34" s="296"/>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row>
    <row r="35" spans="1:51" x14ac:dyDescent="0.25">
      <c r="A35" s="2128">
        <v>432.1</v>
      </c>
      <c r="B35" s="2128">
        <v>410.8</v>
      </c>
      <c r="C35" s="2128">
        <v>406.7</v>
      </c>
      <c r="D35" s="2128">
        <v>351.4</v>
      </c>
      <c r="E35" s="432" t="s">
        <v>1257</v>
      </c>
      <c r="F35" s="1812">
        <f>+F33-F34</f>
        <v>1003.8533966889937</v>
      </c>
      <c r="G35" s="1814">
        <f>+G33-G34</f>
        <v>-185.85217490240638</v>
      </c>
      <c r="H35" s="11"/>
      <c r="I35" s="1077" t="s">
        <v>2211</v>
      </c>
      <c r="J35" s="2342">
        <f>+J33+J34</f>
        <v>1477.691</v>
      </c>
      <c r="K35" s="11"/>
      <c r="L35" s="11"/>
      <c r="M35" s="11"/>
      <c r="N35" s="420">
        <f>+N33-N34</f>
        <v>866.62874171766418</v>
      </c>
      <c r="O35" s="1810">
        <f>+O33-O34</f>
        <v>1143.8578995053081</v>
      </c>
      <c r="P35" s="420">
        <f>+P33-P34</f>
        <v>-202.17174202416572</v>
      </c>
      <c r="Q35" s="1810">
        <f>+Q33-Q34</f>
        <v>-164.53632114064698</v>
      </c>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row>
    <row r="36" spans="1:51" x14ac:dyDescent="0.25">
      <c r="A36" s="2128">
        <v>-316.5</v>
      </c>
      <c r="B36" s="2128">
        <v>-307.2</v>
      </c>
      <c r="C36" s="2128">
        <v>-324.2</v>
      </c>
      <c r="D36" s="2128">
        <v>-299.7</v>
      </c>
      <c r="E36" s="285" t="s">
        <v>20</v>
      </c>
      <c r="F36" s="2370">
        <f>+D36</f>
        <v>-299.7</v>
      </c>
      <c r="G36" s="2256">
        <f>+F36</f>
        <v>-299.7</v>
      </c>
      <c r="H36" s="296"/>
      <c r="I36" s="296"/>
      <c r="J36" s="296"/>
      <c r="K36" s="296"/>
      <c r="L36" s="296"/>
      <c r="M36" s="296"/>
      <c r="N36" s="2255">
        <f>+$F$36</f>
        <v>-299.7</v>
      </c>
      <c r="O36" s="2256">
        <f>+$F$36</f>
        <v>-299.7</v>
      </c>
      <c r="P36" s="2255">
        <f>+$G$36</f>
        <v>-299.7</v>
      </c>
      <c r="Q36" s="2256">
        <f>+$G$36</f>
        <v>-299.7</v>
      </c>
      <c r="R36" s="296"/>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row>
    <row r="37" spans="1:51" x14ac:dyDescent="0.25">
      <c r="A37" s="2128">
        <v>115.6</v>
      </c>
      <c r="B37" s="2128">
        <v>103.6</v>
      </c>
      <c r="C37" s="2128">
        <v>82.5</v>
      </c>
      <c r="D37" s="2368">
        <f>+D35+D36</f>
        <v>51.699999999999989</v>
      </c>
      <c r="E37" s="432" t="s">
        <v>954</v>
      </c>
      <c r="F37" s="1812">
        <f>+F36+F35</f>
        <v>704.15339668899378</v>
      </c>
      <c r="G37" s="1814">
        <f>+G36+G35</f>
        <v>-485.55217490240636</v>
      </c>
      <c r="H37" s="296"/>
      <c r="I37" s="2102" t="s">
        <v>75</v>
      </c>
      <c r="J37" s="2291">
        <v>2013</v>
      </c>
      <c r="K37" s="2292">
        <v>2014</v>
      </c>
      <c r="L37" s="296"/>
      <c r="M37" s="296"/>
      <c r="N37" s="420">
        <f>+N35+N36</f>
        <v>566.92874171766425</v>
      </c>
      <c r="O37" s="1810">
        <f>+O35+O36</f>
        <v>844.15789950530802</v>
      </c>
      <c r="P37" s="420">
        <f>+P35+P36</f>
        <v>-501.87174202416571</v>
      </c>
      <c r="Q37" s="1810">
        <f>+Q35+Q36</f>
        <v>-464.23632114064696</v>
      </c>
      <c r="R37" s="296"/>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row>
    <row r="38" spans="1:51" x14ac:dyDescent="0.25">
      <c r="A38" s="2128">
        <v>89.3</v>
      </c>
      <c r="B38" s="2128">
        <v>83.8</v>
      </c>
      <c r="C38" s="2128">
        <v>87.33</v>
      </c>
      <c r="D38" s="2128">
        <v>87.2</v>
      </c>
      <c r="E38" s="285" t="s">
        <v>1536</v>
      </c>
      <c r="F38" s="859">
        <v>87.2</v>
      </c>
      <c r="G38" s="858">
        <f>+F38</f>
        <v>87.2</v>
      </c>
      <c r="H38" s="890"/>
      <c r="I38" s="520" t="s">
        <v>1062</v>
      </c>
      <c r="J38" s="692">
        <f>+SUM(PENN!AZ221:AZ222)</f>
        <v>413.88815579999999</v>
      </c>
      <c r="K38" s="2243">
        <f>+SUM(PENN!BE221:BE222)</f>
        <v>410.96161715699998</v>
      </c>
      <c r="L38" s="890"/>
      <c r="M38" s="890"/>
      <c r="N38" s="329">
        <f>+$F$38</f>
        <v>87.2</v>
      </c>
      <c r="O38" s="858">
        <f>+$F$38</f>
        <v>87.2</v>
      </c>
      <c r="P38" s="329">
        <f>+$G$38</f>
        <v>87.2</v>
      </c>
      <c r="Q38" s="858">
        <f>+$G$38</f>
        <v>87.2</v>
      </c>
      <c r="R38" s="890"/>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row>
    <row r="39" spans="1:51" x14ac:dyDescent="0.25">
      <c r="A39" s="2129">
        <v>1.2945128779395296</v>
      </c>
      <c r="B39" s="2129">
        <v>1.2362768496420047</v>
      </c>
      <c r="C39" s="2129">
        <v>0.94469254551700443</v>
      </c>
      <c r="D39" s="2372">
        <f>+D37/D38</f>
        <v>0.59288990825688059</v>
      </c>
      <c r="E39" s="1820" t="s">
        <v>1588</v>
      </c>
      <c r="F39" s="2280">
        <f>+F37/F38</f>
        <v>8.0751536317545156</v>
      </c>
      <c r="G39" s="1821">
        <f>+G37/G38</f>
        <v>-5.5682588864954861</v>
      </c>
      <c r="H39" s="506"/>
      <c r="I39" s="1118" t="s">
        <v>1064</v>
      </c>
      <c r="J39" s="428">
        <f>+J38*$H$46</f>
        <v>82.777631159999999</v>
      </c>
      <c r="K39" s="840">
        <f>+K38*$H$46</f>
        <v>82.192323431399998</v>
      </c>
      <c r="L39" s="890"/>
      <c r="M39" s="506"/>
      <c r="N39" s="2299">
        <f>+N37/N38</f>
        <v>6.5014763958447732</v>
      </c>
      <c r="O39" s="1821">
        <f>+O37/O38</f>
        <v>9.680709856712248</v>
      </c>
      <c r="P39" s="2299">
        <f>+P37/P38</f>
        <v>-5.7554098855982305</v>
      </c>
      <c r="Q39" s="1821">
        <f>+Q37/Q38</f>
        <v>-5.3238110222551258</v>
      </c>
      <c r="R39" s="506"/>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row>
    <row r="40" spans="1:51" x14ac:dyDescent="0.25">
      <c r="A40" s="2262"/>
      <c r="B40" s="2262"/>
      <c r="C40" s="2262"/>
      <c r="D40" s="2262"/>
      <c r="E40" s="1149"/>
      <c r="F40" s="506"/>
      <c r="G40" s="1589"/>
      <c r="H40" s="506"/>
      <c r="I40" s="520" t="s">
        <v>1063</v>
      </c>
      <c r="J40" s="692">
        <f>SUM(PENN!AZ221:AZ223,PENN!AZ228,PENN!AZ218:AZ230,PENN!AZ231:AZ238,PENN!AZ244,PENN!AZ234:AZ249,PENN!AZ254:AZ257)</f>
        <v>3693.9993037751574</v>
      </c>
      <c r="K40" s="2243">
        <f>SUM(PENN!BE221:BE223,PENN!BE228,PENN!BE218:BE230,PENN!BE231:BE238,PENN!BE244,PENN!BE234:BE249,PENN!BE254:BE257)</f>
        <v>3356.4304448456292</v>
      </c>
      <c r="L40" s="506"/>
      <c r="M40" s="506"/>
      <c r="N40" s="508"/>
      <c r="O40" s="1589"/>
      <c r="P40" s="508"/>
      <c r="Q40" s="1589"/>
      <c r="R40" s="506"/>
      <c r="S40" s="11" t="s">
        <v>1067</v>
      </c>
      <c r="T40" s="296"/>
      <c r="U40" s="296"/>
      <c r="V40" s="296"/>
      <c r="W40" s="296"/>
      <c r="X40" s="296"/>
      <c r="Y40" s="296"/>
      <c r="Z40" s="296"/>
      <c r="AA40" s="296"/>
      <c r="AB40" s="296"/>
      <c r="AC40" s="296"/>
      <c r="AD40" s="296"/>
      <c r="AE40" s="296"/>
      <c r="AF40" s="296"/>
      <c r="AG40" s="296"/>
      <c r="AH40" s="296"/>
      <c r="AI40" s="296"/>
      <c r="AJ40" s="296"/>
      <c r="AK40" s="296"/>
      <c r="AL40" s="296"/>
      <c r="AM40" s="296"/>
      <c r="AN40" s="296"/>
      <c r="AO40" s="296"/>
      <c r="AP40" s="296"/>
      <c r="AQ40" s="296"/>
      <c r="AR40" s="296"/>
      <c r="AS40" s="296"/>
      <c r="AT40" s="296"/>
      <c r="AU40" s="296"/>
      <c r="AV40" s="296"/>
      <c r="AW40" s="296"/>
      <c r="AX40" s="296"/>
      <c r="AY40" s="296"/>
    </row>
    <row r="41" spans="1:51" x14ac:dyDescent="0.25">
      <c r="A41" s="2262"/>
      <c r="B41" s="2262"/>
      <c r="C41" s="2330">
        <v>-208.46089999999998</v>
      </c>
      <c r="D41" s="2455">
        <f>+D42-D35</f>
        <v>-181.2</v>
      </c>
      <c r="E41" s="285" t="s">
        <v>1080</v>
      </c>
      <c r="F41" s="2370">
        <f>+D41</f>
        <v>-181.2</v>
      </c>
      <c r="G41" s="2258">
        <f>+F41</f>
        <v>-181.2</v>
      </c>
      <c r="H41" s="506"/>
      <c r="I41" s="1118" t="s">
        <v>1065</v>
      </c>
      <c r="J41" s="428">
        <f>+J40*H48</f>
        <v>147.75997215100631</v>
      </c>
      <c r="K41" s="840">
        <f>J41+SUM(PENN!BA224:BD224)*4%</f>
        <v>148.9628514710063</v>
      </c>
      <c r="L41" s="890"/>
      <c r="M41" s="506"/>
      <c r="N41" s="2257">
        <f>+$F$41</f>
        <v>-181.2</v>
      </c>
      <c r="O41" s="2258">
        <f>+$F$41</f>
        <v>-181.2</v>
      </c>
      <c r="P41" s="2257">
        <f>+$G$41</f>
        <v>-181.2</v>
      </c>
      <c r="Q41" s="2258">
        <f>+$G$41</f>
        <v>-181.2</v>
      </c>
      <c r="R41" s="506"/>
      <c r="S41" s="11" t="s">
        <v>1066</v>
      </c>
      <c r="T41" s="296"/>
      <c r="U41" s="296"/>
      <c r="V41" s="296"/>
      <c r="W41" s="296"/>
      <c r="X41" s="296"/>
      <c r="Y41" s="296"/>
      <c r="Z41" s="296"/>
      <c r="AA41" s="296"/>
      <c r="AB41" s="296"/>
      <c r="AC41" s="296"/>
      <c r="AD41" s="296"/>
      <c r="AE41" s="296"/>
      <c r="AF41" s="296"/>
      <c r="AG41" s="296"/>
      <c r="AH41" s="296"/>
      <c r="AI41" s="296"/>
      <c r="AJ41" s="296"/>
      <c r="AK41" s="296"/>
      <c r="AL41" s="296"/>
      <c r="AM41" s="296"/>
      <c r="AN41" s="296"/>
      <c r="AO41" s="296"/>
      <c r="AP41" s="296"/>
      <c r="AQ41" s="296"/>
      <c r="AR41" s="296"/>
      <c r="AS41" s="296"/>
      <c r="AT41" s="296"/>
      <c r="AU41" s="296"/>
      <c r="AV41" s="296"/>
      <c r="AW41" s="296"/>
      <c r="AX41" s="296"/>
      <c r="AY41" s="296"/>
    </row>
    <row r="42" spans="1:51" x14ac:dyDescent="0.25">
      <c r="A42" s="2262"/>
      <c r="B42" s="2262"/>
      <c r="C42" s="2330">
        <v>198.23910000000001</v>
      </c>
      <c r="D42" s="2330">
        <v>170.2</v>
      </c>
      <c r="E42" s="285" t="s">
        <v>1079</v>
      </c>
      <c r="F42" s="882">
        <f>+F35+F41</f>
        <v>822.65339668899378</v>
      </c>
      <c r="G42" s="2284">
        <f>+G35+G41</f>
        <v>-367.05217490240636</v>
      </c>
      <c r="H42" s="506"/>
      <c r="I42" s="1077" t="s">
        <v>1069</v>
      </c>
      <c r="J42" s="2454">
        <v>243.3</v>
      </c>
      <c r="K42" s="2352">
        <f>+J42</f>
        <v>243.3</v>
      </c>
      <c r="L42" s="890"/>
      <c r="M42" s="506"/>
      <c r="N42" s="329">
        <f>+N41+N35</f>
        <v>685.42874171766425</v>
      </c>
      <c r="O42" s="858">
        <f>+O41+O35</f>
        <v>962.65789950530802</v>
      </c>
      <c r="P42" s="329">
        <f>+P41+P35</f>
        <v>-383.37174202416571</v>
      </c>
      <c r="Q42" s="858">
        <f>+Q41+Q35</f>
        <v>-345.73632114064696</v>
      </c>
      <c r="R42" s="506"/>
      <c r="S42" s="11" t="s">
        <v>1456</v>
      </c>
      <c r="T42" s="296"/>
      <c r="U42" s="296"/>
      <c r="V42" s="296"/>
      <c r="W42" s="296"/>
      <c r="X42" s="296"/>
      <c r="Y42" s="296"/>
      <c r="Z42" s="296"/>
      <c r="AA42" s="296"/>
      <c r="AB42" s="296"/>
      <c r="AC42" s="296"/>
      <c r="AD42" s="296"/>
      <c r="AE42" s="296"/>
      <c r="AF42" s="296"/>
      <c r="AG42" s="296"/>
      <c r="AH42" s="296"/>
      <c r="AI42" s="296"/>
      <c r="AJ42" s="296"/>
      <c r="AK42" s="296"/>
      <c r="AL42" s="296"/>
      <c r="AM42" s="296"/>
      <c r="AN42" s="296"/>
      <c r="AO42" s="296"/>
      <c r="AP42" s="296"/>
      <c r="AQ42" s="296"/>
      <c r="AR42" s="296"/>
      <c r="AS42" s="296"/>
      <c r="AT42" s="296"/>
      <c r="AU42" s="296"/>
      <c r="AV42" s="296"/>
      <c r="AW42" s="296"/>
      <c r="AX42" s="296"/>
      <c r="AY42" s="296"/>
    </row>
    <row r="43" spans="1:51" x14ac:dyDescent="0.25">
      <c r="A43" s="2262"/>
      <c r="B43" s="2262"/>
      <c r="C43" s="2262">
        <v>2.27</v>
      </c>
      <c r="D43" s="2262">
        <v>1.95</v>
      </c>
      <c r="E43" s="293" t="s">
        <v>1078</v>
      </c>
      <c r="F43" s="2343">
        <f>+F42/F38</f>
        <v>9.4340985858829551</v>
      </c>
      <c r="G43" s="2289">
        <f>+G42/G38</f>
        <v>-4.2093139323670457</v>
      </c>
      <c r="H43" s="506"/>
      <c r="I43" s="1077" t="s">
        <v>1068</v>
      </c>
      <c r="J43" s="2350">
        <f>+J42+J41+J39</f>
        <v>473.83760331100632</v>
      </c>
      <c r="K43" s="2351">
        <f>+K42+K41+K39</f>
        <v>474.45517490240633</v>
      </c>
      <c r="L43" s="506"/>
      <c r="M43" s="506"/>
      <c r="N43" s="2259">
        <f>+N42/N38</f>
        <v>7.8604213499732136</v>
      </c>
      <c r="O43" s="2260">
        <f>+O42/O38</f>
        <v>11.039654810840688</v>
      </c>
      <c r="P43" s="2259">
        <f>+P42/P38</f>
        <v>-4.3964649314697901</v>
      </c>
      <c r="Q43" s="2260">
        <f>+Q42/Q38</f>
        <v>-3.9648660681266854</v>
      </c>
      <c r="R43" s="506"/>
      <c r="S43" s="296"/>
      <c r="T43" s="296"/>
      <c r="U43" s="296"/>
      <c r="V43" s="296"/>
      <c r="W43" s="296"/>
      <c r="X43" s="296"/>
      <c r="Y43" s="296"/>
      <c r="Z43" s="296"/>
      <c r="AA43" s="296"/>
      <c r="AB43" s="296"/>
      <c r="AC43" s="296"/>
      <c r="AD43" s="296"/>
      <c r="AE43" s="296"/>
      <c r="AF43" s="296"/>
      <c r="AG43" s="296"/>
      <c r="AH43" s="296"/>
      <c r="AI43" s="296"/>
      <c r="AJ43" s="296"/>
      <c r="AK43" s="296"/>
      <c r="AL43" s="296"/>
      <c r="AM43" s="296"/>
      <c r="AN43" s="296"/>
      <c r="AO43" s="296"/>
      <c r="AP43" s="296"/>
      <c r="AQ43" s="296"/>
      <c r="AR43" s="296"/>
      <c r="AS43" s="296"/>
      <c r="AT43" s="296"/>
      <c r="AU43" s="296"/>
      <c r="AV43" s="296"/>
      <c r="AW43" s="296"/>
      <c r="AX43" s="296"/>
      <c r="AY43" s="296"/>
    </row>
    <row r="44" spans="1:51" x14ac:dyDescent="0.25">
      <c r="A44" s="2262"/>
      <c r="B44" s="2262"/>
      <c r="C44" s="2262"/>
      <c r="D44" s="2262"/>
      <c r="E44" s="533"/>
      <c r="F44" s="506"/>
      <c r="G44" s="506"/>
      <c r="H44" s="506"/>
      <c r="I44" s="296"/>
      <c r="J44" s="296"/>
      <c r="K44" s="296"/>
      <c r="L44" s="2345"/>
      <c r="M44" s="506"/>
      <c r="N44" s="2302" t="s">
        <v>2261</v>
      </c>
      <c r="O44" s="2303"/>
      <c r="P44" s="2302" t="s">
        <v>2261</v>
      </c>
      <c r="Q44" s="2303"/>
      <c r="R44" s="506"/>
      <c r="S44" s="296"/>
      <c r="T44" s="296"/>
      <c r="U44" s="296"/>
      <c r="V44" s="296"/>
      <c r="W44" s="296"/>
      <c r="X44" s="296"/>
      <c r="Y44" s="296"/>
      <c r="Z44" s="296"/>
      <c r="AA44" s="296"/>
      <c r="AB44" s="296"/>
      <c r="AC44" s="296"/>
      <c r="AD44" s="296"/>
      <c r="AE44" s="296"/>
      <c r="AF44" s="296"/>
      <c r="AG44" s="296"/>
      <c r="AH44" s="296"/>
      <c r="AI44" s="296"/>
      <c r="AJ44" s="296"/>
      <c r="AK44" s="296"/>
      <c r="AL44" s="296"/>
      <c r="AM44" s="296"/>
      <c r="AN44" s="296"/>
      <c r="AO44" s="296"/>
      <c r="AP44" s="296"/>
      <c r="AQ44" s="296"/>
      <c r="AR44" s="296"/>
      <c r="AS44" s="296"/>
      <c r="AT44" s="296"/>
      <c r="AU44" s="296"/>
      <c r="AV44" s="296"/>
      <c r="AW44" s="296"/>
      <c r="AX44" s="296"/>
      <c r="AY44" s="296"/>
    </row>
    <row r="45" spans="1:51" x14ac:dyDescent="0.25">
      <c r="A45" s="753"/>
      <c r="B45" s="753"/>
      <c r="C45" s="753"/>
      <c r="D45" s="753"/>
      <c r="E45" s="11"/>
      <c r="F45" s="11"/>
      <c r="G45" s="281"/>
      <c r="H45" s="11"/>
      <c r="I45" s="296"/>
      <c r="K45" s="296"/>
      <c r="L45" s="692"/>
      <c r="M45" s="692"/>
      <c r="N45" s="2261">
        <f>+$J$38*(1-$S$31)</f>
        <v>372.49934022000002</v>
      </c>
      <c r="O45" s="2243">
        <f>+$J$38*(1+$S$31)</f>
        <v>455.27697138000002</v>
      </c>
      <c r="P45" s="2261">
        <f>+$K$38*(1-$S$31)</f>
        <v>369.86545544130001</v>
      </c>
      <c r="Q45" s="2243">
        <f>+$K$38*(1+$S$31)</f>
        <v>452.0577788727</v>
      </c>
      <c r="R45" s="2252" t="s">
        <v>939</v>
      </c>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row>
    <row r="46" spans="1:51" x14ac:dyDescent="0.25">
      <c r="A46" s="753"/>
      <c r="B46" s="753"/>
      <c r="C46" s="753"/>
      <c r="D46" s="753"/>
      <c r="E46" s="11"/>
      <c r="F46" s="11"/>
      <c r="G46" s="281"/>
      <c r="H46" s="280">
        <v>0.2</v>
      </c>
      <c r="I46" s="296"/>
      <c r="J46" s="296"/>
      <c r="K46" s="296"/>
      <c r="L46" s="428"/>
      <c r="M46" s="428"/>
      <c r="N46" s="520">
        <f>+N45*$H$46</f>
        <v>74.49986804400001</v>
      </c>
      <c r="O46" s="840">
        <f>+O45*$H$46</f>
        <v>91.055394276000015</v>
      </c>
      <c r="P46" s="520">
        <f>+P45*$H$46</f>
        <v>73.973091088260006</v>
      </c>
      <c r="Q46" s="840">
        <f>+Q45*$H$46</f>
        <v>90.411555774540005</v>
      </c>
      <c r="R46" s="428"/>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row>
    <row r="47" spans="1:51" x14ac:dyDescent="0.25">
      <c r="A47" s="753"/>
      <c r="B47" s="753"/>
      <c r="C47" s="753"/>
      <c r="D47" s="753"/>
      <c r="E47" s="11"/>
      <c r="F47" s="11"/>
      <c r="G47" s="281"/>
      <c r="H47" s="11"/>
      <c r="I47" s="296"/>
      <c r="J47" s="296"/>
      <c r="K47" s="296"/>
      <c r="L47" s="692"/>
      <c r="M47" s="692"/>
      <c r="N47" s="2261">
        <f>+$J$40*(1-$S$31)</f>
        <v>3324.5993733976416</v>
      </c>
      <c r="O47" s="2243">
        <f>+$J$40*(1+$S$31)</f>
        <v>4063.3992341526737</v>
      </c>
      <c r="P47" s="2261">
        <f>+$J$40*(1-$S$31)</f>
        <v>3324.5993733976416</v>
      </c>
      <c r="Q47" s="2243">
        <f>+$J$40*(1+$S$31)</f>
        <v>4063.3992341526737</v>
      </c>
      <c r="R47" s="2252" t="s">
        <v>939</v>
      </c>
      <c r="T47" s="11"/>
      <c r="U47" s="11"/>
      <c r="V47" s="11"/>
      <c r="W47" s="11"/>
      <c r="X47" s="11"/>
      <c r="Y47" s="11"/>
      <c r="Z47" s="1035"/>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row>
    <row r="48" spans="1:51" x14ac:dyDescent="0.25">
      <c r="A48" s="753"/>
      <c r="B48" s="753"/>
      <c r="C48" s="753"/>
      <c r="D48" s="753"/>
      <c r="E48" s="11"/>
      <c r="F48" s="11"/>
      <c r="G48" s="281"/>
      <c r="H48" s="280">
        <v>0.04</v>
      </c>
      <c r="I48" s="296"/>
      <c r="J48" s="296"/>
      <c r="K48" s="296"/>
      <c r="L48" s="2250"/>
      <c r="M48" s="2250"/>
      <c r="N48" s="520">
        <f>+N47*$H$48</f>
        <v>132.98397493590568</v>
      </c>
      <c r="O48" s="840">
        <f>+O47*$H$48</f>
        <v>162.53596936610694</v>
      </c>
      <c r="P48" s="520">
        <f>+P47*$H$48</f>
        <v>132.98397493590568</v>
      </c>
      <c r="Q48" s="840">
        <f>+Q47*$H$48</f>
        <v>162.53596936610694</v>
      </c>
      <c r="R48" s="2250"/>
      <c r="T48" s="11"/>
      <c r="U48" s="11"/>
      <c r="V48" s="11"/>
      <c r="W48" s="11"/>
      <c r="X48" s="11"/>
      <c r="Y48" s="11"/>
      <c r="Z48" s="1035"/>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row>
    <row r="49" spans="1:51" x14ac:dyDescent="0.25">
      <c r="A49" s="753"/>
      <c r="B49" s="753"/>
      <c r="C49" s="753"/>
      <c r="D49" s="753"/>
      <c r="E49" s="11"/>
      <c r="F49" s="11"/>
      <c r="G49" s="281"/>
      <c r="H49" s="296"/>
      <c r="I49" s="296"/>
      <c r="J49" s="296"/>
      <c r="K49" s="296"/>
      <c r="L49" s="2250"/>
      <c r="M49" s="2250"/>
      <c r="N49" s="520">
        <f>+$J$42</f>
        <v>243.3</v>
      </c>
      <c r="O49" s="840">
        <f>+$J$42</f>
        <v>243.3</v>
      </c>
      <c r="P49" s="520">
        <f>+$J$42</f>
        <v>243.3</v>
      </c>
      <c r="Q49" s="840">
        <f>+$J$42</f>
        <v>243.3</v>
      </c>
      <c r="R49" s="2250"/>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row>
    <row r="50" spans="1:51" x14ac:dyDescent="0.25">
      <c r="A50" s="753"/>
      <c r="B50" s="753"/>
      <c r="C50" s="753"/>
      <c r="D50" s="753"/>
      <c r="E50" s="11"/>
      <c r="F50" s="11"/>
      <c r="G50" s="281"/>
      <c r="H50" s="296"/>
      <c r="I50" s="11"/>
      <c r="J50" s="11"/>
      <c r="K50" s="11"/>
      <c r="L50" s="692"/>
      <c r="M50" s="692"/>
      <c r="N50" s="2356">
        <f>+N49+N48+N46</f>
        <v>450.78384297990567</v>
      </c>
      <c r="O50" s="2351">
        <f>+O49+O48+O46</f>
        <v>496.89136364210697</v>
      </c>
      <c r="P50" s="2356">
        <f>+P49+P48+P46</f>
        <v>450.25706602416568</v>
      </c>
      <c r="Q50" s="2351">
        <f>+Q49+Q48+Q46</f>
        <v>496.24752514064699</v>
      </c>
      <c r="R50" s="692"/>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row>
    <row r="51" spans="1:51" x14ac:dyDescent="0.25">
      <c r="A51" s="753"/>
      <c r="B51" s="753"/>
      <c r="C51" s="753"/>
      <c r="D51" s="753"/>
      <c r="E51" s="11"/>
      <c r="F51" s="11"/>
      <c r="G51" s="281"/>
      <c r="H51" s="296"/>
      <c r="I51" s="296"/>
      <c r="J51" s="646">
        <f>(J41+J42)/J43</f>
        <v>0.82530379484114436</v>
      </c>
      <c r="K51" s="646">
        <f>(K41+K42)/K43</f>
        <v>0.82676482884119318</v>
      </c>
      <c r="L51" s="646"/>
      <c r="M51" s="296"/>
      <c r="N51" s="296"/>
      <c r="O51" s="296"/>
      <c r="P51" s="296"/>
      <c r="Q51" s="296"/>
      <c r="R51" s="296"/>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row>
    <row r="52" spans="1:51" x14ac:dyDescent="0.25">
      <c r="A52" s="753"/>
      <c r="B52" s="753"/>
      <c r="C52" s="753"/>
      <c r="D52" s="753"/>
      <c r="E52" s="11"/>
      <c r="F52" s="11"/>
      <c r="G52" s="281"/>
      <c r="H52" s="296"/>
      <c r="I52" s="296"/>
      <c r="J52" s="296"/>
      <c r="K52" s="296"/>
      <c r="L52" s="296"/>
      <c r="M52" s="296"/>
      <c r="N52" s="296"/>
      <c r="O52" s="296"/>
      <c r="P52" s="296"/>
      <c r="Q52" s="296"/>
      <c r="R52" s="296"/>
      <c r="S52" s="359" t="s">
        <v>1371</v>
      </c>
      <c r="T52" s="11"/>
      <c r="U52" s="11"/>
      <c r="V52" s="687"/>
      <c r="W52" s="11"/>
      <c r="X52" s="359" t="s">
        <v>1070</v>
      </c>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row>
    <row r="53" spans="1:51" x14ac:dyDescent="0.25">
      <c r="A53" s="753"/>
      <c r="B53" s="753"/>
      <c r="C53" s="753"/>
      <c r="D53" s="753"/>
      <c r="E53" s="11"/>
      <c r="F53" s="11"/>
      <c r="G53" s="281"/>
      <c r="H53" s="296"/>
      <c r="I53" s="296"/>
      <c r="J53" s="296"/>
      <c r="K53" s="296"/>
      <c r="L53" s="296"/>
      <c r="M53" s="296"/>
      <c r="N53" s="296"/>
      <c r="O53" s="296"/>
      <c r="P53" s="296"/>
      <c r="Q53" s="296"/>
      <c r="R53" s="296"/>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row>
    <row r="54" spans="1:51" x14ac:dyDescent="0.25">
      <c r="A54" s="753"/>
      <c r="B54" s="753"/>
      <c r="C54" s="753"/>
      <c r="D54" s="753"/>
      <c r="E54" s="11"/>
      <c r="F54" s="11"/>
      <c r="G54" s="281"/>
      <c r="H54" s="296"/>
      <c r="I54" s="296"/>
      <c r="J54" s="296"/>
      <c r="K54" s="296"/>
      <c r="L54" s="296"/>
      <c r="M54" s="296"/>
      <c r="N54" s="296"/>
      <c r="O54" s="296"/>
      <c r="P54" s="296"/>
      <c r="Q54" s="296"/>
      <c r="R54" s="296"/>
      <c r="S54" s="359" t="s">
        <v>1577</v>
      </c>
      <c r="T54" s="11"/>
      <c r="U54" s="11"/>
      <c r="V54" s="11"/>
      <c r="W54" s="11"/>
      <c r="X54" s="359" t="s">
        <v>1577</v>
      </c>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row>
    <row r="55" spans="1:51" x14ac:dyDescent="0.25">
      <c r="A55" s="753"/>
      <c r="B55" s="753"/>
      <c r="C55" s="753"/>
      <c r="D55" s="753"/>
      <c r="E55" s="11"/>
      <c r="F55" s="11"/>
      <c r="G55" s="281"/>
      <c r="H55" s="296"/>
      <c r="I55" s="296"/>
      <c r="J55" s="296"/>
      <c r="K55" s="296"/>
      <c r="L55" s="296"/>
      <c r="M55" s="296"/>
      <c r="N55" s="296"/>
      <c r="O55" s="296"/>
      <c r="P55" s="296"/>
      <c r="Q55" s="296"/>
      <c r="R55" s="296"/>
      <c r="S55" s="2296">
        <v>2013</v>
      </c>
      <c r="T55" s="1046" t="s">
        <v>2274</v>
      </c>
      <c r="U55" s="1046" t="s">
        <v>2272</v>
      </c>
      <c r="V55" s="1046" t="s">
        <v>2273</v>
      </c>
      <c r="W55" s="11"/>
      <c r="X55" s="2296">
        <v>2014</v>
      </c>
      <c r="Y55" s="1046" t="s">
        <v>2274</v>
      </c>
      <c r="Z55" s="1046" t="s">
        <v>2272</v>
      </c>
      <c r="AA55" s="1046" t="s">
        <v>2273</v>
      </c>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row>
    <row r="56" spans="1:51" x14ac:dyDescent="0.25">
      <c r="A56" s="753"/>
      <c r="B56" s="753"/>
      <c r="C56" s="753"/>
      <c r="D56" s="753"/>
      <c r="E56" s="11"/>
      <c r="F56" s="11"/>
      <c r="G56" s="281"/>
      <c r="H56" s="296"/>
      <c r="I56" s="296"/>
      <c r="J56" s="296"/>
      <c r="K56" s="296"/>
      <c r="L56" s="296"/>
      <c r="M56" s="296"/>
      <c r="N56" s="296"/>
      <c r="O56" s="296"/>
      <c r="P56" s="296"/>
      <c r="Q56" s="296"/>
      <c r="R56" s="296"/>
      <c r="S56" s="281" t="s">
        <v>776</v>
      </c>
      <c r="T56" s="895">
        <f>+N10</f>
        <v>424.29938249382809</v>
      </c>
      <c r="U56" s="895">
        <f>+F10</f>
        <v>461.24375832647564</v>
      </c>
      <c r="V56" s="895">
        <f>+O10</f>
        <v>498.18813415912319</v>
      </c>
      <c r="W56" s="11"/>
      <c r="X56" s="281" t="s">
        <v>776</v>
      </c>
      <c r="Y56" s="2145">
        <f>+P10</f>
        <v>298.75706602416574</v>
      </c>
      <c r="Z56" s="2145">
        <f>+G10</f>
        <v>322.95517490240638</v>
      </c>
      <c r="AA56" s="2145">
        <f>+Q10</f>
        <v>344.74752514064704</v>
      </c>
      <c r="AB56" s="11"/>
      <c r="AC56" s="11"/>
      <c r="AD56" s="687"/>
      <c r="AE56" s="11"/>
      <c r="AF56" s="11"/>
      <c r="AG56" s="11"/>
      <c r="AH56" s="11"/>
      <c r="AI56" s="11"/>
      <c r="AJ56" s="11"/>
      <c r="AK56" s="11"/>
      <c r="AL56" s="11"/>
      <c r="AM56" s="11"/>
      <c r="AN56" s="11"/>
      <c r="AO56" s="11"/>
      <c r="AP56" s="11"/>
      <c r="AQ56" s="11"/>
      <c r="AR56" s="11"/>
      <c r="AS56" s="11"/>
      <c r="AT56" s="11"/>
      <c r="AU56" s="11"/>
      <c r="AV56" s="11"/>
      <c r="AW56" s="11"/>
      <c r="AX56" s="11"/>
      <c r="AY56" s="11"/>
    </row>
    <row r="57" spans="1:51" x14ac:dyDescent="0.25">
      <c r="A57" s="753"/>
      <c r="B57" s="753"/>
      <c r="C57" s="753"/>
      <c r="D57" s="753"/>
      <c r="E57" s="11"/>
      <c r="F57" s="11"/>
      <c r="G57" s="281"/>
      <c r="H57" s="296"/>
      <c r="I57" s="296"/>
      <c r="J57" s="296"/>
      <c r="K57" s="296"/>
      <c r="L57" s="296"/>
      <c r="M57" s="296"/>
      <c r="N57" s="296"/>
      <c r="O57" s="296"/>
      <c r="P57" s="296"/>
      <c r="Q57" s="296"/>
      <c r="R57" s="296"/>
      <c r="S57" s="11" t="s">
        <v>1464</v>
      </c>
      <c r="T57" s="1629">
        <v>11.5</v>
      </c>
      <c r="U57" s="1629">
        <v>12.5</v>
      </c>
      <c r="V57" s="1629">
        <v>14.5</v>
      </c>
      <c r="W57" s="11"/>
      <c r="X57" s="11" t="s">
        <v>1464</v>
      </c>
      <c r="Y57" s="2247">
        <f>+T57</f>
        <v>11.5</v>
      </c>
      <c r="Z57" s="2247">
        <f>+U57</f>
        <v>12.5</v>
      </c>
      <c r="AA57" s="2247">
        <f>+V57</f>
        <v>14.5</v>
      </c>
      <c r="AB57" s="11"/>
      <c r="AC57" s="11"/>
      <c r="AD57" s="687"/>
      <c r="AE57" s="11"/>
      <c r="AF57" s="11"/>
      <c r="AG57" s="11"/>
      <c r="AH57" s="11"/>
      <c r="AI57" s="11"/>
      <c r="AJ57" s="11"/>
      <c r="AK57" s="11"/>
      <c r="AL57" s="11"/>
      <c r="AM57" s="11"/>
      <c r="AN57" s="11"/>
      <c r="AO57" s="11"/>
      <c r="AP57" s="11"/>
      <c r="AQ57" s="11"/>
      <c r="AR57" s="11"/>
      <c r="AS57" s="11"/>
      <c r="AT57" s="11"/>
      <c r="AU57" s="11"/>
      <c r="AV57" s="11"/>
      <c r="AW57" s="11"/>
      <c r="AX57" s="11"/>
      <c r="AY57" s="11"/>
    </row>
    <row r="58" spans="1:51" x14ac:dyDescent="0.25">
      <c r="A58" s="753"/>
      <c r="B58" s="753"/>
      <c r="C58" s="753"/>
      <c r="D58" s="753"/>
      <c r="E58" s="11"/>
      <c r="F58" s="11"/>
      <c r="G58" s="281"/>
      <c r="H58" s="296"/>
      <c r="I58" s="296"/>
      <c r="J58" s="296"/>
      <c r="K58" s="296"/>
      <c r="L58" s="296"/>
      <c r="M58" s="296"/>
      <c r="N58" s="296"/>
      <c r="O58" s="296"/>
      <c r="P58" s="296"/>
      <c r="Q58" s="296"/>
      <c r="R58" s="296"/>
      <c r="S58" s="432" t="s">
        <v>1466</v>
      </c>
      <c r="T58" s="407">
        <f>+T56*T57</f>
        <v>4879.4428986790226</v>
      </c>
      <c r="U58" s="407">
        <f>+U56*U57</f>
        <v>5765.5469790809457</v>
      </c>
      <c r="V58" s="1810">
        <f>+V56*V57</f>
        <v>7223.7279453072861</v>
      </c>
      <c r="W58" s="11"/>
      <c r="X58" s="432" t="s">
        <v>1466</v>
      </c>
      <c r="Y58" s="407">
        <f>+Y56*Y57</f>
        <v>3435.7062592779062</v>
      </c>
      <c r="Z58" s="1810">
        <f>+Z56*Z57</f>
        <v>4036.93968628008</v>
      </c>
      <c r="AA58" s="1810">
        <f>+AA56*AA57</f>
        <v>4998.8391145393825</v>
      </c>
      <c r="AB58" s="11"/>
      <c r="AC58" s="11"/>
      <c r="AD58" s="687"/>
      <c r="AE58" s="11"/>
      <c r="AF58" s="11"/>
      <c r="AG58" s="11"/>
      <c r="AH58" s="11"/>
      <c r="AI58" s="11"/>
      <c r="AJ58" s="11"/>
      <c r="AK58" s="11"/>
      <c r="AL58" s="11"/>
      <c r="AM58" s="11"/>
      <c r="AN58" s="11"/>
      <c r="AO58" s="11"/>
      <c r="AP58" s="11"/>
      <c r="AQ58" s="11"/>
      <c r="AR58" s="11"/>
      <c r="AS58" s="11"/>
      <c r="AT58" s="11"/>
      <c r="AU58" s="11"/>
      <c r="AV58" s="11"/>
      <c r="AW58" s="11"/>
      <c r="AX58" s="11"/>
      <c r="AY58" s="11"/>
    </row>
    <row r="59" spans="1:51" ht="6" customHeight="1" x14ac:dyDescent="0.25">
      <c r="A59" s="753"/>
      <c r="B59" s="753"/>
      <c r="C59" s="753"/>
      <c r="D59" s="753"/>
      <c r="E59" s="11"/>
      <c r="F59" s="11"/>
      <c r="G59" s="281"/>
      <c r="H59" s="296"/>
      <c r="I59" s="296"/>
      <c r="J59" s="296"/>
      <c r="K59" s="296"/>
      <c r="L59" s="296"/>
      <c r="M59" s="296"/>
      <c r="N59" s="296"/>
      <c r="O59" s="296"/>
      <c r="P59" s="296"/>
      <c r="Q59" s="296"/>
      <c r="R59" s="296"/>
      <c r="S59" s="11"/>
      <c r="T59" s="423"/>
      <c r="U59" s="11"/>
      <c r="V59" s="11"/>
      <c r="W59" s="11"/>
      <c r="X59" s="11"/>
      <c r="Y59" s="423"/>
      <c r="Z59" s="11"/>
      <c r="AA59" s="11"/>
      <c r="AB59" s="11"/>
      <c r="AC59" s="11"/>
      <c r="AD59" s="687"/>
      <c r="AE59" s="11"/>
      <c r="AF59" s="11"/>
      <c r="AG59" s="11"/>
      <c r="AH59" s="11"/>
      <c r="AI59" s="11"/>
      <c r="AJ59" s="11"/>
      <c r="AK59" s="11"/>
      <c r="AL59" s="11"/>
      <c r="AM59" s="11"/>
      <c r="AN59" s="11"/>
      <c r="AO59" s="11"/>
      <c r="AP59" s="11"/>
      <c r="AQ59" s="11"/>
      <c r="AR59" s="11"/>
      <c r="AS59" s="11"/>
      <c r="AT59" s="11"/>
      <c r="AU59" s="11"/>
      <c r="AV59" s="11"/>
      <c r="AW59" s="11"/>
      <c r="AX59" s="11"/>
      <c r="AY59" s="11"/>
    </row>
    <row r="60" spans="1:51" ht="12" customHeight="1" x14ac:dyDescent="0.25">
      <c r="A60" s="753"/>
      <c r="B60" s="753"/>
      <c r="C60" s="753"/>
      <c r="D60" s="753"/>
      <c r="E60" s="11"/>
      <c r="F60" s="11"/>
      <c r="G60" s="281"/>
      <c r="H60" s="296"/>
      <c r="I60" s="296"/>
      <c r="J60" s="296"/>
      <c r="K60" s="296"/>
      <c r="L60" s="296"/>
      <c r="M60" s="296"/>
      <c r="N60" s="296"/>
      <c r="O60" s="296"/>
      <c r="P60" s="296"/>
      <c r="Q60" s="296"/>
      <c r="R60" s="646">
        <f>-U60*0.005/U64</f>
        <v>3.7987605341806324E-3</v>
      </c>
      <c r="S60" s="11" t="s">
        <v>1937</v>
      </c>
      <c r="T60" s="661">
        <v>-2500</v>
      </c>
      <c r="U60" s="661">
        <v>-2500</v>
      </c>
      <c r="V60" s="661">
        <v>-2500</v>
      </c>
      <c r="W60" s="11"/>
      <c r="X60" s="11" t="s">
        <v>1937</v>
      </c>
      <c r="Y60" s="661">
        <v>-2500</v>
      </c>
      <c r="Z60" s="661">
        <v>-2500</v>
      </c>
      <c r="AA60" s="661">
        <v>-2500</v>
      </c>
      <c r="AB60" s="11"/>
      <c r="AC60" s="11"/>
      <c r="AD60" s="687"/>
      <c r="AE60" s="11"/>
      <c r="AF60" s="11"/>
      <c r="AG60" s="11"/>
      <c r="AH60" s="11"/>
      <c r="AI60" s="11"/>
      <c r="AJ60" s="11"/>
      <c r="AK60" s="11"/>
      <c r="AL60" s="11"/>
      <c r="AM60" s="11"/>
      <c r="AN60" s="11"/>
      <c r="AO60" s="11"/>
      <c r="AP60" s="11"/>
      <c r="AQ60" s="11"/>
      <c r="AR60" s="11"/>
      <c r="AS60" s="11"/>
      <c r="AT60" s="11"/>
      <c r="AU60" s="11"/>
      <c r="AV60" s="11"/>
      <c r="AW60" s="11"/>
      <c r="AX60" s="11"/>
      <c r="AY60" s="11"/>
    </row>
    <row r="61" spans="1:51" ht="12" customHeight="1" x14ac:dyDescent="0.25">
      <c r="A61" s="753"/>
      <c r="B61" s="753"/>
      <c r="C61" s="753"/>
      <c r="D61" s="753"/>
      <c r="E61" s="11"/>
      <c r="F61" s="11"/>
      <c r="G61" s="281"/>
      <c r="H61" s="296"/>
      <c r="I61" s="296"/>
      <c r="J61" s="296"/>
      <c r="K61" s="296"/>
      <c r="L61" s="296"/>
      <c r="M61" s="296"/>
      <c r="N61" s="296"/>
      <c r="O61" s="296"/>
      <c r="P61" s="296"/>
      <c r="Q61" s="296"/>
      <c r="R61" s="2325">
        <f>-U60*0.05</f>
        <v>125</v>
      </c>
      <c r="S61" s="11" t="s">
        <v>1260</v>
      </c>
      <c r="T61" s="890">
        <v>25</v>
      </c>
      <c r="U61" s="423">
        <f>+T61</f>
        <v>25</v>
      </c>
      <c r="V61" s="423">
        <f>+U61</f>
        <v>25</v>
      </c>
      <c r="W61" s="11"/>
      <c r="X61" s="11" t="s">
        <v>1260</v>
      </c>
      <c r="Y61" s="2263">
        <f>+T61</f>
        <v>25</v>
      </c>
      <c r="Z61" s="423">
        <f>+Y61</f>
        <v>25</v>
      </c>
      <c r="AA61" s="423">
        <f>+Z61</f>
        <v>25</v>
      </c>
      <c r="AB61" s="11"/>
      <c r="AC61" s="11"/>
      <c r="AD61" s="687"/>
      <c r="AE61" s="11"/>
      <c r="AF61" s="11"/>
      <c r="AG61" s="11"/>
      <c r="AH61" s="11"/>
      <c r="AI61" s="11"/>
      <c r="AJ61" s="11"/>
      <c r="AK61" s="11"/>
      <c r="AL61" s="11"/>
      <c r="AM61" s="11"/>
      <c r="AN61" s="11"/>
      <c r="AO61" s="11"/>
      <c r="AP61" s="11"/>
      <c r="AQ61" s="11"/>
      <c r="AR61" s="11"/>
      <c r="AS61" s="11"/>
      <c r="AT61" s="11"/>
      <c r="AU61" s="11"/>
      <c r="AV61" s="11"/>
      <c r="AW61" s="11"/>
      <c r="AX61" s="11"/>
      <c r="AY61" s="11"/>
    </row>
    <row r="62" spans="1:51" ht="4.5" customHeight="1" x14ac:dyDescent="0.25">
      <c r="A62" s="753"/>
      <c r="B62" s="753"/>
      <c r="C62" s="753"/>
      <c r="D62" s="753"/>
      <c r="E62" s="11"/>
      <c r="F62" s="11"/>
      <c r="G62" s="281"/>
      <c r="H62" s="296"/>
      <c r="I62" s="296"/>
      <c r="J62" s="296"/>
      <c r="K62" s="296"/>
      <c r="L62" s="296"/>
      <c r="M62" s="296"/>
      <c r="N62" s="296"/>
      <c r="O62" s="296"/>
      <c r="P62" s="296"/>
      <c r="Q62" s="296"/>
      <c r="R62" s="296"/>
      <c r="S62" s="275"/>
      <c r="T62" s="460" t="s">
        <v>1151</v>
      </c>
      <c r="U62" s="460" t="s">
        <v>1151</v>
      </c>
      <c r="V62" s="460" t="s">
        <v>1151</v>
      </c>
      <c r="W62" s="11"/>
      <c r="X62" s="275"/>
      <c r="Y62" s="460" t="s">
        <v>1151</v>
      </c>
      <c r="Z62" s="460" t="s">
        <v>1151</v>
      </c>
      <c r="AA62" s="460" t="s">
        <v>1151</v>
      </c>
      <c r="AB62" s="11"/>
      <c r="AC62" s="11"/>
      <c r="AD62" s="687"/>
      <c r="AE62" s="11"/>
      <c r="AF62" s="11"/>
      <c r="AG62" s="11"/>
      <c r="AH62" s="11"/>
      <c r="AI62" s="11"/>
      <c r="AJ62" s="11"/>
      <c r="AK62" s="11"/>
      <c r="AL62" s="11"/>
      <c r="AM62" s="11"/>
      <c r="AN62" s="11"/>
      <c r="AO62" s="11"/>
      <c r="AP62" s="11"/>
      <c r="AQ62" s="11"/>
      <c r="AR62" s="11"/>
      <c r="AS62" s="11"/>
      <c r="AT62" s="11"/>
      <c r="AU62" s="11"/>
      <c r="AV62" s="11"/>
      <c r="AW62" s="11"/>
      <c r="AX62" s="11"/>
      <c r="AY62" s="11"/>
    </row>
    <row r="63" spans="1:51" x14ac:dyDescent="0.25">
      <c r="A63" s="753"/>
      <c r="B63" s="753"/>
      <c r="C63" s="753"/>
      <c r="D63" s="753"/>
      <c r="E63" s="11"/>
      <c r="F63" s="11"/>
      <c r="G63" s="281"/>
      <c r="H63" s="296"/>
      <c r="I63" s="296"/>
      <c r="J63" s="296"/>
      <c r="K63" s="296"/>
      <c r="L63" s="296"/>
      <c r="M63" s="296"/>
      <c r="N63" s="296"/>
      <c r="O63" s="296"/>
      <c r="P63" s="296"/>
      <c r="Q63" s="296"/>
      <c r="R63" s="296"/>
      <c r="S63" s="11" t="s">
        <v>1261</v>
      </c>
      <c r="T63" s="660">
        <f>+T60+T61</f>
        <v>-2475</v>
      </c>
      <c r="U63" s="660">
        <f>+U60+U61</f>
        <v>-2475</v>
      </c>
      <c r="V63" s="660">
        <f>+V60+V61</f>
        <v>-2475</v>
      </c>
      <c r="W63" s="11"/>
      <c r="X63" s="11" t="s">
        <v>1261</v>
      </c>
      <c r="Y63" s="660">
        <f>+Y60+Y61</f>
        <v>-2475</v>
      </c>
      <c r="Z63" s="660">
        <f>+Z60+Z61</f>
        <v>-2475</v>
      </c>
      <c r="AA63" s="660">
        <f>+AA60+AA61</f>
        <v>-2475</v>
      </c>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row>
    <row r="64" spans="1:51" x14ac:dyDescent="0.25">
      <c r="A64" s="753"/>
      <c r="B64" s="753"/>
      <c r="C64" s="753"/>
      <c r="D64" s="753"/>
      <c r="E64" s="11"/>
      <c r="F64" s="11"/>
      <c r="G64" s="281"/>
      <c r="H64" s="296"/>
      <c r="I64" s="296"/>
      <c r="J64" s="296"/>
      <c r="K64" s="296"/>
      <c r="L64" s="296"/>
      <c r="M64" s="296"/>
      <c r="N64" s="296"/>
      <c r="O64" s="296"/>
      <c r="P64" s="296"/>
      <c r="Q64" s="296"/>
      <c r="R64" s="296"/>
      <c r="S64" s="432" t="s">
        <v>1470</v>
      </c>
      <c r="T64" s="407">
        <f>+T58+T63</f>
        <v>2404.4428986790226</v>
      </c>
      <c r="U64" s="407">
        <f>+U58+U63</f>
        <v>3290.5469790809457</v>
      </c>
      <c r="V64" s="1810">
        <f>+V58+V63</f>
        <v>4748.7279453072861</v>
      </c>
      <c r="W64" s="11"/>
      <c r="X64" s="432" t="s">
        <v>1470</v>
      </c>
      <c r="Y64" s="407">
        <f>+Y58+Y63</f>
        <v>960.70625927790616</v>
      </c>
      <c r="Z64" s="1810">
        <f>+Z58+Z63</f>
        <v>1561.93968628008</v>
      </c>
      <c r="AA64" s="1810">
        <f>+AA58+AA63</f>
        <v>2523.8391145393825</v>
      </c>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row>
    <row r="65" spans="1:51" ht="4.5" customHeight="1" x14ac:dyDescent="0.25">
      <c r="A65" s="753"/>
      <c r="B65" s="753"/>
      <c r="C65" s="753"/>
      <c r="D65" s="753"/>
      <c r="E65" s="11"/>
      <c r="F65" s="11"/>
      <c r="G65" s="281"/>
      <c r="H65" s="296"/>
      <c r="I65" s="296"/>
      <c r="J65" s="296"/>
      <c r="K65" s="296"/>
      <c r="L65" s="296"/>
      <c r="M65" s="296"/>
      <c r="N65" s="296"/>
      <c r="O65" s="296"/>
      <c r="P65" s="296"/>
      <c r="Q65" s="296"/>
      <c r="R65" s="296"/>
      <c r="S65" s="11"/>
      <c r="T65" s="296"/>
      <c r="U65" s="11"/>
      <c r="V65" s="11"/>
      <c r="W65" s="11"/>
      <c r="X65" s="11"/>
      <c r="Y65" s="296"/>
      <c r="Z65" s="11"/>
      <c r="AA65" s="11"/>
      <c r="AB65" s="11"/>
      <c r="AC65" s="11"/>
      <c r="AD65" s="687"/>
      <c r="AE65" s="11"/>
      <c r="AF65" s="11"/>
      <c r="AG65" s="11"/>
      <c r="AH65" s="11"/>
      <c r="AI65" s="11"/>
      <c r="AJ65" s="11"/>
      <c r="AK65" s="11"/>
      <c r="AL65" s="11"/>
      <c r="AM65" s="11"/>
      <c r="AN65" s="11"/>
      <c r="AO65" s="11"/>
      <c r="AP65" s="11"/>
      <c r="AQ65" s="11"/>
      <c r="AR65" s="11"/>
      <c r="AS65" s="11"/>
      <c r="AT65" s="11"/>
      <c r="AU65" s="11"/>
      <c r="AV65" s="11"/>
      <c r="AW65" s="11"/>
      <c r="AX65" s="11"/>
      <c r="AY65" s="11"/>
    </row>
    <row r="66" spans="1:51" x14ac:dyDescent="0.25">
      <c r="A66" s="753"/>
      <c r="B66" s="753"/>
      <c r="C66" s="753"/>
      <c r="D66" s="753"/>
      <c r="E66" s="11"/>
      <c r="F66" s="11"/>
      <c r="G66" s="281"/>
      <c r="H66" s="296"/>
      <c r="I66" s="296"/>
      <c r="J66" s="296"/>
      <c r="K66" s="296"/>
      <c r="L66" s="296"/>
      <c r="M66" s="296"/>
      <c r="N66" s="296"/>
      <c r="O66" s="296"/>
      <c r="P66" s="296"/>
      <c r="Q66" s="296"/>
      <c r="R66" s="296"/>
      <c r="S66" s="296" t="s">
        <v>1536</v>
      </c>
      <c r="T66" s="2486">
        <f>+$F$15</f>
        <v>92.6</v>
      </c>
      <c r="U66" s="2263">
        <f>+T66</f>
        <v>92.6</v>
      </c>
      <c r="V66" s="2263">
        <f>+T66</f>
        <v>92.6</v>
      </c>
      <c r="W66" s="296"/>
      <c r="X66" s="296" t="s">
        <v>1536</v>
      </c>
      <c r="Y66" s="2486">
        <f>+$F$15</f>
        <v>92.6</v>
      </c>
      <c r="Z66" s="2244">
        <f>+Y66</f>
        <v>92.6</v>
      </c>
      <c r="AA66" s="2244">
        <f>+Y66</f>
        <v>92.6</v>
      </c>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row>
    <row r="67" spans="1:51" ht="3" customHeight="1" x14ac:dyDescent="0.25">
      <c r="A67" s="753"/>
      <c r="B67" s="753"/>
      <c r="C67" s="753"/>
      <c r="D67" s="753"/>
      <c r="E67" s="11"/>
      <c r="F67" s="11"/>
      <c r="G67" s="281"/>
      <c r="H67" s="296"/>
      <c r="I67" s="296"/>
      <c r="J67" s="296"/>
      <c r="K67" s="296"/>
      <c r="L67" s="296"/>
      <c r="M67" s="296"/>
      <c r="N67" s="296"/>
      <c r="O67" s="296"/>
      <c r="P67" s="296"/>
      <c r="Q67" s="296"/>
      <c r="R67" s="296"/>
      <c r="S67" s="11"/>
      <c r="T67" s="1823"/>
      <c r="U67" s="687"/>
      <c r="V67" s="687"/>
      <c r="W67" s="11"/>
      <c r="X67" s="11"/>
      <c r="Y67" s="1823"/>
      <c r="Z67" s="687"/>
      <c r="AA67" s="687"/>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row>
    <row r="68" spans="1:51" x14ac:dyDescent="0.25">
      <c r="A68" s="753"/>
      <c r="B68" s="753"/>
      <c r="C68" s="753"/>
      <c r="D68" s="753"/>
      <c r="E68" s="11"/>
      <c r="F68" s="11"/>
      <c r="G68" s="281"/>
      <c r="H68" s="296"/>
      <c r="I68" s="296"/>
      <c r="J68" s="296"/>
      <c r="K68" s="296"/>
      <c r="L68" s="296"/>
      <c r="M68" s="296"/>
      <c r="N68" s="296"/>
      <c r="O68" s="296"/>
      <c r="P68" s="296"/>
      <c r="Q68" s="296"/>
      <c r="R68" s="685">
        <f>+R61*U57/U66</f>
        <v>16.873650107991363</v>
      </c>
      <c r="S68" s="432" t="s">
        <v>1262</v>
      </c>
      <c r="T68" s="1816">
        <f>+T64/T66</f>
        <v>25.965906033250786</v>
      </c>
      <c r="U68" s="1816">
        <f>+U64/U66</f>
        <v>35.535064568908702</v>
      </c>
      <c r="V68" s="1721">
        <f>+V64/V66</f>
        <v>51.282159236579766</v>
      </c>
      <c r="W68" s="11"/>
      <c r="X68" s="432" t="s">
        <v>1262</v>
      </c>
      <c r="Y68" s="1816">
        <f>+Y64/Y66</f>
        <v>10.374797616392076</v>
      </c>
      <c r="Z68" s="1721">
        <f>+Z64/Z66</f>
        <v>16.867599203888552</v>
      </c>
      <c r="AA68" s="1721">
        <f>+AA64/AA66</f>
        <v>27.255282014464175</v>
      </c>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row>
    <row r="69" spans="1:51" ht="4.5" customHeight="1" x14ac:dyDescent="0.25">
      <c r="A69" s="2131"/>
      <c r="B69" s="2131"/>
      <c r="C69" s="2131"/>
      <c r="D69" s="2131"/>
      <c r="E69" s="296"/>
      <c r="F69" s="296"/>
      <c r="G69" s="428"/>
      <c r="H69" s="296"/>
      <c r="I69" s="296"/>
      <c r="J69" s="296"/>
      <c r="K69" s="296"/>
      <c r="L69" s="296"/>
      <c r="M69" s="296"/>
      <c r="N69" s="296"/>
      <c r="O69" s="296"/>
      <c r="P69" s="296"/>
      <c r="Q69" s="296"/>
      <c r="R69" s="296"/>
      <c r="S69" s="533"/>
      <c r="T69" s="703"/>
      <c r="U69" s="703"/>
      <c r="V69" s="703"/>
      <c r="W69" s="296"/>
      <c r="X69" s="533"/>
      <c r="Y69" s="506"/>
      <c r="Z69" s="506"/>
      <c r="AA69" s="506"/>
      <c r="AB69" s="296"/>
      <c r="AC69" s="296"/>
      <c r="AD69" s="296"/>
      <c r="AE69" s="296"/>
      <c r="AF69" s="296"/>
      <c r="AG69" s="296"/>
      <c r="AH69" s="296"/>
      <c r="AI69" s="296"/>
      <c r="AJ69" s="296"/>
      <c r="AK69" s="296"/>
      <c r="AL69" s="296"/>
      <c r="AM69" s="296"/>
      <c r="AN69" s="296"/>
      <c r="AO69" s="296"/>
      <c r="AP69" s="296"/>
      <c r="AQ69" s="296"/>
      <c r="AR69" s="296"/>
      <c r="AS69" s="296"/>
      <c r="AT69" s="296"/>
      <c r="AU69" s="296"/>
      <c r="AV69" s="296"/>
      <c r="AW69" s="296"/>
      <c r="AX69" s="296"/>
      <c r="AY69" s="296"/>
    </row>
    <row r="70" spans="1:51" hidden="1" outlineLevel="1" x14ac:dyDescent="0.25">
      <c r="A70" s="753"/>
      <c r="B70" s="753"/>
      <c r="C70" s="753"/>
      <c r="D70" s="753"/>
      <c r="E70" s="11"/>
      <c r="F70" s="11"/>
      <c r="G70" s="281"/>
      <c r="H70" s="296"/>
      <c r="I70" s="296"/>
      <c r="J70" s="296"/>
      <c r="K70" s="296"/>
      <c r="L70" s="296"/>
      <c r="M70" s="296"/>
      <c r="N70" s="296"/>
      <c r="O70" s="296"/>
      <c r="P70" s="296"/>
      <c r="Q70" s="296"/>
      <c r="R70" s="296"/>
      <c r="S70" s="428" t="s">
        <v>1368</v>
      </c>
      <c r="T70" s="2246">
        <f>+U70</f>
        <v>3.3376000000000001</v>
      </c>
      <c r="U70" s="1393">
        <f>11.92*0.28</f>
        <v>3.3376000000000001</v>
      </c>
      <c r="V70" s="2246">
        <f>+U70</f>
        <v>3.3376000000000001</v>
      </c>
      <c r="W70" s="11"/>
      <c r="X70" s="428" t="s">
        <v>1368</v>
      </c>
      <c r="Y70" s="2246">
        <f>+T70</f>
        <v>3.3376000000000001</v>
      </c>
      <c r="Z70" s="2246">
        <f>+U70</f>
        <v>3.3376000000000001</v>
      </c>
      <c r="AA70" s="2246">
        <f>+V70</f>
        <v>3.3376000000000001</v>
      </c>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row>
    <row r="71" spans="1:51" hidden="1" outlineLevel="1" x14ac:dyDescent="0.25">
      <c r="A71" s="753"/>
      <c r="B71" s="753"/>
      <c r="C71" s="753"/>
      <c r="D71" s="753"/>
      <c r="E71" s="11"/>
      <c r="F71" s="11"/>
      <c r="G71" s="281"/>
      <c r="H71" s="296"/>
      <c r="I71" s="296"/>
      <c r="J71" s="296"/>
      <c r="K71" s="296"/>
      <c r="L71" s="296"/>
      <c r="M71" s="296"/>
      <c r="N71" s="296"/>
      <c r="O71" s="296"/>
      <c r="P71" s="296"/>
      <c r="Q71" s="296"/>
      <c r="R71" s="296"/>
      <c r="S71" s="432" t="s">
        <v>1354</v>
      </c>
      <c r="T71" s="1816">
        <f>+T70+T68</f>
        <v>29.303506033250784</v>
      </c>
      <c r="U71" s="1816">
        <f>+U70+U68</f>
        <v>38.872664568908704</v>
      </c>
      <c r="V71" s="1721">
        <f>+V70+V68</f>
        <v>54.619759236579768</v>
      </c>
      <c r="W71" s="11"/>
      <c r="X71" s="432" t="s">
        <v>831</v>
      </c>
      <c r="Y71" s="1816">
        <f>+Y68+Y70</f>
        <v>13.712397616392076</v>
      </c>
      <c r="Z71" s="1816">
        <f>+Z68+Z70</f>
        <v>20.205199203888554</v>
      </c>
      <c r="AA71" s="1721">
        <f>+AA68+AA70</f>
        <v>30.592882014464173</v>
      </c>
      <c r="AB71" s="11"/>
      <c r="AC71" s="11"/>
      <c r="AD71" s="11"/>
      <c r="AE71" s="11"/>
      <c r="AF71" s="11"/>
      <c r="AG71" s="280"/>
      <c r="AH71" s="11"/>
      <c r="AI71" s="11"/>
      <c r="AJ71" s="11"/>
      <c r="AK71" s="11"/>
      <c r="AL71" s="11"/>
      <c r="AM71" s="11"/>
      <c r="AN71" s="11"/>
      <c r="AO71" s="11"/>
      <c r="AP71" s="11"/>
      <c r="AQ71" s="11"/>
      <c r="AR71" s="11"/>
      <c r="AS71" s="11"/>
      <c r="AT71" s="11"/>
      <c r="AU71" s="11"/>
      <c r="AV71" s="11"/>
      <c r="AW71" s="11"/>
      <c r="AX71" s="11"/>
      <c r="AY71" s="11"/>
    </row>
    <row r="72" spans="1:51" ht="6.75" hidden="1" customHeight="1" outlineLevel="1" x14ac:dyDescent="0.25">
      <c r="A72" s="753"/>
      <c r="B72" s="753"/>
      <c r="C72" s="753"/>
      <c r="D72" s="753"/>
      <c r="E72" s="11"/>
      <c r="F72" s="11"/>
      <c r="G72" s="281"/>
      <c r="H72" s="296"/>
      <c r="I72" s="296"/>
      <c r="J72" s="296"/>
      <c r="K72" s="296"/>
      <c r="L72" s="296"/>
      <c r="M72" s="296"/>
      <c r="N72" s="296"/>
      <c r="O72" s="296"/>
      <c r="P72" s="296"/>
      <c r="Q72" s="296"/>
      <c r="R72" s="296"/>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row>
    <row r="73" spans="1:51" collapsed="1" x14ac:dyDescent="0.25">
      <c r="A73" s="753"/>
      <c r="B73" s="753"/>
      <c r="C73" s="753"/>
      <c r="D73" s="753"/>
      <c r="E73" s="11"/>
      <c r="F73" s="11"/>
      <c r="G73" s="281"/>
      <c r="H73" s="296"/>
      <c r="I73" s="296"/>
      <c r="J73" s="296"/>
      <c r="K73" s="296"/>
      <c r="L73" s="296"/>
      <c r="M73" s="296"/>
      <c r="N73" s="296"/>
      <c r="O73" s="296"/>
      <c r="P73" s="296"/>
      <c r="Q73" s="296"/>
      <c r="R73" s="296"/>
      <c r="S73" s="11" t="s">
        <v>1263</v>
      </c>
      <c r="T73" s="1397">
        <f>+N24</f>
        <v>1.9901696593487239</v>
      </c>
      <c r="U73" s="1397">
        <f>+F24</f>
        <v>2.3199999999999998</v>
      </c>
      <c r="V73" s="1397">
        <f>+O24</f>
        <v>2.6498303406512758</v>
      </c>
      <c r="W73" s="11"/>
      <c r="X73" s="11" t="s">
        <v>1263</v>
      </c>
      <c r="Y73" s="2248">
        <f>+P24</f>
        <v>0.86935860017940658</v>
      </c>
      <c r="Z73" s="1397">
        <f>+G24</f>
        <v>1.1816161707577295</v>
      </c>
      <c r="AA73" s="2248">
        <f>+Q24</f>
        <v>1.2799501572221108</v>
      </c>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row>
    <row r="74" spans="1:51" x14ac:dyDescent="0.25">
      <c r="A74" s="753"/>
      <c r="B74" s="753"/>
      <c r="C74" s="753"/>
      <c r="D74" s="753"/>
      <c r="E74" s="11"/>
      <c r="F74" s="11"/>
      <c r="G74" s="281"/>
      <c r="H74" s="296"/>
      <c r="I74" s="296"/>
      <c r="J74" s="296"/>
      <c r="K74" s="296"/>
      <c r="L74" s="296"/>
      <c r="M74" s="296"/>
      <c r="N74" s="296"/>
      <c r="O74" s="296"/>
      <c r="P74" s="296"/>
      <c r="Q74" s="296"/>
      <c r="R74" s="296"/>
      <c r="S74" s="897" t="s">
        <v>832</v>
      </c>
      <c r="T74" s="417">
        <f>+T73/T68</f>
        <v>7.6645492624066378E-2</v>
      </c>
      <c r="U74" s="417">
        <f>+U73/U68</f>
        <v>6.5287625846327482E-2</v>
      </c>
      <c r="V74" s="417">
        <f>+V73/V68</f>
        <v>5.1671582868163271E-2</v>
      </c>
      <c r="W74" s="11"/>
      <c r="X74" s="897" t="s">
        <v>832</v>
      </c>
      <c r="Y74" s="417">
        <f>+Y73/Y68</f>
        <v>8.3795234598680629E-2</v>
      </c>
      <c r="Z74" s="417">
        <f>+Z73/Z68</f>
        <v>7.0052421596864062E-2</v>
      </c>
      <c r="AA74" s="417">
        <f>+AA73/AA68</f>
        <v>4.6961545161882778E-2</v>
      </c>
      <c r="AB74" s="11"/>
      <c r="AC74" s="1035"/>
      <c r="AD74" s="11"/>
      <c r="AE74" s="11"/>
      <c r="AF74" s="11"/>
      <c r="AG74" s="11"/>
      <c r="AH74" s="11"/>
      <c r="AI74" s="11"/>
      <c r="AJ74" s="11"/>
      <c r="AK74" s="11"/>
      <c r="AL74" s="11"/>
      <c r="AM74" s="11"/>
      <c r="AN74" s="11"/>
      <c r="AO74" s="11"/>
      <c r="AP74" s="11"/>
      <c r="AQ74" s="11"/>
      <c r="AR74" s="11"/>
      <c r="AS74" s="11"/>
      <c r="AT74" s="11"/>
      <c r="AU74" s="11"/>
      <c r="AV74" s="11"/>
      <c r="AW74" s="11"/>
      <c r="AX74" s="11"/>
      <c r="AY74" s="11"/>
    </row>
    <row r="75" spans="1:51" x14ac:dyDescent="0.25">
      <c r="A75" s="753"/>
      <c r="B75" s="753"/>
      <c r="C75" s="753"/>
      <c r="D75" s="753"/>
      <c r="E75" s="11"/>
      <c r="F75" s="11"/>
      <c r="G75" s="281"/>
      <c r="H75" s="296"/>
      <c r="I75" s="296"/>
      <c r="J75" s="296"/>
      <c r="K75" s="296"/>
      <c r="L75" s="296"/>
      <c r="M75" s="296"/>
      <c r="N75" s="296"/>
      <c r="O75" s="296"/>
      <c r="P75" s="296"/>
      <c r="Q75" s="296"/>
      <c r="R75" s="296"/>
      <c r="S75" s="11" t="s">
        <v>1259</v>
      </c>
      <c r="T75" s="2278">
        <f>-T60/T56</f>
        <v>5.8920660815158392</v>
      </c>
      <c r="U75" s="2278">
        <f>-U60/U56</f>
        <v>5.4201275461606579</v>
      </c>
      <c r="V75" s="2278">
        <f>-V60/V56</f>
        <v>5.0181845543545007</v>
      </c>
      <c r="W75" s="11"/>
      <c r="X75" s="11" t="s">
        <v>1259</v>
      </c>
      <c r="Y75" s="2278">
        <f>-Y60/Y56</f>
        <v>8.3680029171185559</v>
      </c>
      <c r="Z75" s="2278">
        <f>-Z60/Z56</f>
        <v>7.7410123580013028</v>
      </c>
      <c r="AA75" s="2278">
        <f>-AA60/AA56</f>
        <v>7.2516836748286213</v>
      </c>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row>
    <row r="76" spans="1:51" x14ac:dyDescent="0.25">
      <c r="A76" s="2275"/>
      <c r="B76" s="2275"/>
      <c r="C76" s="2275"/>
      <c r="D76" s="2275"/>
      <c r="E76" s="895"/>
      <c r="F76" s="895"/>
      <c r="G76" s="882"/>
      <c r="H76" s="2145"/>
      <c r="I76" s="2145"/>
      <c r="J76" s="2145"/>
      <c r="K76" s="2145"/>
      <c r="L76" s="2145"/>
      <c r="M76" s="2145"/>
      <c r="N76" s="2145"/>
      <c r="O76" s="2145"/>
      <c r="P76" s="2145"/>
      <c r="Q76" s="2145"/>
      <c r="R76" s="2145"/>
      <c r="S76" s="895" t="s">
        <v>54</v>
      </c>
      <c r="T76" s="450">
        <f>+T56+$F$18</f>
        <v>438.79938249382809</v>
      </c>
      <c r="U76" s="450">
        <f>+U56+$F$18</f>
        <v>475.74375832647564</v>
      </c>
      <c r="V76" s="450">
        <f>+V56+$F$18</f>
        <v>512.68813415912314</v>
      </c>
      <c r="W76" s="895"/>
      <c r="X76" s="895" t="s">
        <v>54</v>
      </c>
      <c r="Y76" s="450">
        <f>+Y56+$G$18</f>
        <v>313.25706602416574</v>
      </c>
      <c r="Z76" s="450">
        <f>+Z56+$G$18</f>
        <v>337.45517490240638</v>
      </c>
      <c r="AA76" s="450">
        <f>+AA56+$G$18</f>
        <v>359.24752514064704</v>
      </c>
      <c r="AB76" s="895"/>
      <c r="AC76" s="895"/>
      <c r="AD76" s="895"/>
      <c r="AE76" s="895"/>
      <c r="AF76" s="895"/>
      <c r="AG76" s="895"/>
      <c r="AH76" s="895"/>
      <c r="AI76" s="895"/>
      <c r="AJ76" s="895"/>
      <c r="AK76" s="895"/>
      <c r="AL76" s="895"/>
      <c r="AM76" s="895"/>
      <c r="AN76" s="895"/>
      <c r="AO76" s="895"/>
      <c r="AP76" s="895"/>
      <c r="AQ76" s="895"/>
      <c r="AR76" s="895"/>
      <c r="AS76" s="895"/>
      <c r="AT76" s="895"/>
      <c r="AU76" s="895"/>
      <c r="AV76" s="895"/>
      <c r="AW76" s="895"/>
      <c r="AX76" s="895"/>
      <c r="AY76" s="895"/>
    </row>
    <row r="77" spans="1:51" x14ac:dyDescent="0.25">
      <c r="A77" s="2276"/>
      <c r="B77" s="2276"/>
      <c r="C77" s="2276"/>
      <c r="D77" s="2276"/>
      <c r="E77" s="280"/>
      <c r="F77" s="280"/>
      <c r="G77" s="382"/>
      <c r="H77" s="646"/>
      <c r="I77" s="646"/>
      <c r="J77" s="646"/>
      <c r="K77" s="646"/>
      <c r="L77" s="646"/>
      <c r="M77" s="646"/>
      <c r="N77" s="646"/>
      <c r="O77" s="646"/>
      <c r="P77" s="646"/>
      <c r="Q77" s="646"/>
      <c r="R77" s="646"/>
      <c r="S77" s="2277" t="s">
        <v>55</v>
      </c>
      <c r="T77" s="588">
        <f>T76/T58</f>
        <v>8.9928172458503652E-2</v>
      </c>
      <c r="U77" s="588">
        <f>U76/U58</f>
        <v>8.2514939181418542E-2</v>
      </c>
      <c r="V77" s="588">
        <f>V76/V58</f>
        <v>7.0972791063121099E-2</v>
      </c>
      <c r="W77" s="280"/>
      <c r="X77" s="2277" t="s">
        <v>55</v>
      </c>
      <c r="Y77" s="588">
        <f>Y76/Y58</f>
        <v>9.1176905819068482E-2</v>
      </c>
      <c r="Z77" s="588">
        <f>Z76/Z58</f>
        <v>8.3591829734112597E-2</v>
      </c>
      <c r="AA77" s="588">
        <f>AA76/AA58</f>
        <v>7.1866190711310757E-2</v>
      </c>
      <c r="AB77" s="280"/>
      <c r="AC77" s="280"/>
      <c r="AD77" s="280"/>
      <c r="AE77" s="280"/>
      <c r="AF77" s="280"/>
      <c r="AG77" s="280"/>
      <c r="AH77" s="280"/>
      <c r="AI77" s="280"/>
      <c r="AJ77" s="280"/>
      <c r="AK77" s="280"/>
      <c r="AL77" s="280"/>
      <c r="AM77" s="280"/>
      <c r="AN77" s="280"/>
      <c r="AO77" s="280"/>
      <c r="AP77" s="280"/>
      <c r="AQ77" s="280"/>
      <c r="AR77" s="280"/>
      <c r="AS77" s="280"/>
      <c r="AT77" s="280"/>
      <c r="AU77" s="280"/>
      <c r="AV77" s="280"/>
      <c r="AW77" s="280"/>
      <c r="AX77" s="280"/>
      <c r="AY77" s="280"/>
    </row>
    <row r="78" spans="1:51" x14ac:dyDescent="0.25">
      <c r="A78" s="753"/>
      <c r="B78" s="753"/>
      <c r="C78" s="753"/>
      <c r="D78" s="753"/>
      <c r="E78" s="11"/>
      <c r="F78" s="11"/>
      <c r="G78" s="281"/>
      <c r="H78" s="296"/>
      <c r="I78" s="296"/>
      <c r="J78" s="296"/>
      <c r="K78" s="296"/>
      <c r="L78" s="296"/>
      <c r="M78" s="296"/>
      <c r="N78" s="296"/>
      <c r="O78" s="296"/>
      <c r="P78" s="296"/>
      <c r="Q78" s="296"/>
      <c r="R78" s="296"/>
      <c r="S78" s="11" t="s">
        <v>1250</v>
      </c>
      <c r="T78" s="932">
        <f>+N12/$F$15</f>
        <v>2.7645721651601307</v>
      </c>
      <c r="U78" s="932">
        <f>+F12/$F$15</f>
        <v>3.163539506765396</v>
      </c>
      <c r="V78" s="932">
        <f>+O12/$F$15</f>
        <v>3.5625068483706608</v>
      </c>
      <c r="W78" s="11"/>
      <c r="X78" s="11" t="s">
        <v>1250</v>
      </c>
      <c r="Y78" s="932">
        <f>+P12/P15</f>
        <v>1.4088236071724161</v>
      </c>
      <c r="Z78" s="932">
        <f>+G12/G15</f>
        <v>1.6701422775637838</v>
      </c>
      <c r="AA78" s="932">
        <f>+Q12/Q15</f>
        <v>1.9054808330523438</v>
      </c>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row>
    <row r="79" spans="1:51" x14ac:dyDescent="0.25">
      <c r="A79" s="2132"/>
      <c r="B79" s="2132"/>
      <c r="C79" s="2132"/>
      <c r="D79" s="2132"/>
      <c r="E79" s="416"/>
      <c r="F79" s="416"/>
      <c r="G79" s="579"/>
      <c r="H79" s="976"/>
      <c r="I79" s="976"/>
      <c r="J79" s="976"/>
      <c r="K79" s="976"/>
      <c r="L79" s="976"/>
      <c r="M79" s="976"/>
      <c r="N79" s="976"/>
      <c r="O79" s="976"/>
      <c r="P79" s="976"/>
      <c r="Q79" s="976"/>
      <c r="R79" s="976"/>
      <c r="S79" s="897" t="s">
        <v>18</v>
      </c>
      <c r="T79" s="2091">
        <f>T78/T$68</f>
        <v>0.1064693125523886</v>
      </c>
      <c r="U79" s="2091">
        <f>U78/U$68</f>
        <v>8.9025855029213188E-2</v>
      </c>
      <c r="V79" s="2091">
        <f>V78/V$68</f>
        <v>6.9468737303664679E-2</v>
      </c>
      <c r="W79" s="416"/>
      <c r="X79" s="897" t="s">
        <v>18</v>
      </c>
      <c r="Y79" s="2091">
        <f>Y78/Y$68</f>
        <v>0.13579287608911897</v>
      </c>
      <c r="Z79" s="2091">
        <f>Z78/Z$68</f>
        <v>9.901481872884195E-2</v>
      </c>
      <c r="AA79" s="2091">
        <f>AA78/AA$68</f>
        <v>6.9912350642386281E-2</v>
      </c>
      <c r="AB79" s="416"/>
      <c r="AC79" s="416"/>
      <c r="AD79" s="416"/>
      <c r="AE79" s="416"/>
      <c r="AF79" s="416"/>
      <c r="AG79" s="416"/>
      <c r="AH79" s="416"/>
      <c r="AI79" s="416"/>
      <c r="AJ79" s="416"/>
      <c r="AK79" s="416"/>
      <c r="AL79" s="416"/>
      <c r="AM79" s="416"/>
      <c r="AN79" s="416"/>
      <c r="AO79" s="416"/>
      <c r="AP79" s="416"/>
      <c r="AQ79" s="416"/>
      <c r="AR79" s="416"/>
      <c r="AS79" s="416"/>
      <c r="AT79" s="416"/>
      <c r="AU79" s="416"/>
      <c r="AV79" s="416"/>
      <c r="AW79" s="416"/>
      <c r="AX79" s="416"/>
      <c r="AY79" s="416"/>
    </row>
    <row r="80" spans="1:51" x14ac:dyDescent="0.25">
      <c r="A80" s="753"/>
      <c r="B80" s="753"/>
      <c r="C80" s="753"/>
      <c r="D80" s="753"/>
      <c r="E80" s="11"/>
      <c r="F80" s="11"/>
      <c r="G80" s="281"/>
      <c r="H80" s="296"/>
      <c r="I80" s="296"/>
      <c r="J80" s="296"/>
      <c r="K80" s="296"/>
      <c r="L80" s="296"/>
      <c r="M80" s="296"/>
      <c r="N80" s="296"/>
      <c r="O80" s="296"/>
      <c r="P80" s="296"/>
      <c r="Q80" s="296"/>
      <c r="R80" s="296"/>
      <c r="S80" s="11" t="s">
        <v>775</v>
      </c>
      <c r="T80" s="1822">
        <f>+T68/T78</f>
        <v>9.3923777286337451</v>
      </c>
      <c r="U80" s="1822">
        <f>+U68/U78</f>
        <v>11.232691892393028</v>
      </c>
      <c r="V80" s="1822">
        <f>+V68/V78</f>
        <v>14.394964394253458</v>
      </c>
      <c r="W80" s="11"/>
      <c r="X80" s="11" t="s">
        <v>775</v>
      </c>
      <c r="Y80" s="1822">
        <f>+Y68/Y78</f>
        <v>7.3641565655013741</v>
      </c>
      <c r="Z80" s="1822">
        <f>+Z68/Z78</f>
        <v>10.099498366386554</v>
      </c>
      <c r="AA80" s="1822">
        <f>+AA68/AA78</f>
        <v>14.303624335493627</v>
      </c>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row>
    <row r="81" spans="1:51" x14ac:dyDescent="0.25">
      <c r="A81" s="753"/>
      <c r="B81" s="753"/>
      <c r="C81" s="753"/>
      <c r="D81" s="753"/>
      <c r="E81" s="11"/>
      <c r="F81" s="11"/>
      <c r="G81" s="281"/>
      <c r="H81" s="296"/>
      <c r="I81" s="296"/>
      <c r="J81" s="296"/>
      <c r="K81" s="296"/>
      <c r="L81" s="296"/>
      <c r="M81" s="296"/>
      <c r="N81" s="296"/>
      <c r="O81" s="296"/>
      <c r="P81" s="296"/>
      <c r="Q81" s="296"/>
      <c r="R81" s="296"/>
      <c r="S81" s="11" t="s">
        <v>837</v>
      </c>
      <c r="T81" s="1397">
        <f>+N28</f>
        <v>2.7966455992854007</v>
      </c>
      <c r="U81" s="1397">
        <f>+F28</f>
        <v>3.1956129408906659</v>
      </c>
      <c r="V81" s="1397">
        <f>+O28</f>
        <v>3.5945802824959312</v>
      </c>
      <c r="W81" s="11"/>
      <c r="X81" s="11" t="s">
        <v>837</v>
      </c>
      <c r="Y81" s="1397">
        <f>+P28</f>
        <v>1.4408970412976865</v>
      </c>
      <c r="Z81" s="1397">
        <f>+G28</f>
        <v>1.7022157116890542</v>
      </c>
      <c r="AA81" s="1397">
        <f>+Q28</f>
        <v>1.937554267177614</v>
      </c>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row>
    <row r="82" spans="1:51" x14ac:dyDescent="0.25">
      <c r="A82" s="2132"/>
      <c r="B82" s="2132"/>
      <c r="C82" s="2132"/>
      <c r="D82" s="2132"/>
      <c r="E82" s="416"/>
      <c r="F82" s="416"/>
      <c r="G82" s="579"/>
      <c r="H82" s="976"/>
      <c r="I82" s="976"/>
      <c r="J82" s="976"/>
      <c r="K82" s="976"/>
      <c r="L82" s="976"/>
      <c r="M82" s="976"/>
      <c r="N82" s="976"/>
      <c r="O82" s="976"/>
      <c r="P82" s="976"/>
      <c r="Q82" s="976"/>
      <c r="R82" s="976"/>
      <c r="S82" s="897" t="s">
        <v>473</v>
      </c>
      <c r="T82" s="2091">
        <f>T81/T$68</f>
        <v>0.10770452591579668</v>
      </c>
      <c r="U82" s="2091">
        <f>U81/U$68</f>
        <v>8.9928440532134502E-2</v>
      </c>
      <c r="V82" s="2091">
        <f>V81/V$68</f>
        <v>7.0094167952505074E-2</v>
      </c>
      <c r="W82" s="416"/>
      <c r="X82" s="897" t="s">
        <v>473</v>
      </c>
      <c r="Y82" s="2091">
        <f>Y81/Y$68</f>
        <v>0.13888435173145774</v>
      </c>
      <c r="Z82" s="2091">
        <f>Z81/Z$68</f>
        <v>0.10091630060172617</v>
      </c>
      <c r="AA82" s="2091">
        <f>AA81/AA$68</f>
        <v>7.1089129297923548E-2</v>
      </c>
      <c r="AB82" s="416"/>
      <c r="AC82" s="416"/>
      <c r="AD82" s="416"/>
      <c r="AE82" s="416"/>
      <c r="AF82" s="416"/>
      <c r="AG82" s="416"/>
      <c r="AH82" s="416"/>
      <c r="AI82" s="416"/>
      <c r="AJ82" s="416"/>
      <c r="AK82" s="416"/>
      <c r="AL82" s="416"/>
      <c r="AM82" s="416"/>
      <c r="AN82" s="416"/>
      <c r="AO82" s="416"/>
      <c r="AP82" s="416"/>
      <c r="AQ82" s="416"/>
      <c r="AR82" s="416"/>
      <c r="AS82" s="416"/>
      <c r="AT82" s="416"/>
      <c r="AU82" s="416"/>
      <c r="AV82" s="416"/>
      <c r="AW82" s="416"/>
      <c r="AX82" s="416"/>
      <c r="AY82" s="416"/>
    </row>
    <row r="83" spans="1:51" x14ac:dyDescent="0.25">
      <c r="A83" s="753"/>
      <c r="B83" s="753"/>
      <c r="C83" s="753"/>
      <c r="D83" s="753"/>
      <c r="E83" s="11"/>
      <c r="F83" s="11"/>
      <c r="G83" s="281"/>
      <c r="H83" s="296"/>
      <c r="I83" s="296"/>
      <c r="J83" s="296"/>
      <c r="K83" s="296"/>
      <c r="L83" s="296"/>
      <c r="M83" s="296"/>
      <c r="N83" s="296"/>
      <c r="O83" s="296"/>
      <c r="P83" s="296"/>
      <c r="Q83" s="296"/>
      <c r="R83" s="296"/>
      <c r="S83" s="11"/>
      <c r="T83" s="11"/>
      <c r="U83" s="11"/>
      <c r="V83" s="687"/>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row>
    <row r="84" spans="1:51" x14ac:dyDescent="0.25">
      <c r="A84" s="753"/>
      <c r="B84" s="753"/>
      <c r="C84" s="753"/>
      <c r="D84" s="753"/>
      <c r="E84" s="11"/>
      <c r="F84" s="11"/>
      <c r="G84" s="281"/>
      <c r="H84" s="296"/>
      <c r="I84" s="296"/>
      <c r="J84" s="296"/>
      <c r="K84" s="296"/>
      <c r="L84" s="296"/>
      <c r="M84" s="296"/>
      <c r="N84" s="296"/>
      <c r="O84" s="296"/>
      <c r="P84" s="296"/>
      <c r="Q84" s="296"/>
      <c r="R84" s="296"/>
      <c r="S84" s="359" t="s">
        <v>1366</v>
      </c>
      <c r="T84" s="11"/>
      <c r="U84" s="11"/>
      <c r="V84" s="11"/>
      <c r="W84" s="11"/>
      <c r="X84" s="359" t="s">
        <v>1366</v>
      </c>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row>
    <row r="85" spans="1:51" x14ac:dyDescent="0.25">
      <c r="A85" s="753"/>
      <c r="B85" s="753"/>
      <c r="C85" s="753"/>
      <c r="D85" s="753"/>
      <c r="E85" s="11"/>
      <c r="F85" s="11"/>
      <c r="G85" s="281"/>
      <c r="H85" s="296"/>
      <c r="I85" s="296"/>
      <c r="J85" s="296"/>
      <c r="K85" s="296"/>
      <c r="L85" s="296"/>
      <c r="M85" s="296"/>
      <c r="N85" s="296"/>
      <c r="O85" s="296"/>
      <c r="P85" s="296"/>
      <c r="Q85" s="296"/>
      <c r="R85" s="296"/>
      <c r="S85" s="2296">
        <v>2013</v>
      </c>
      <c r="T85" s="1046" t="s">
        <v>2274</v>
      </c>
      <c r="U85" s="1046" t="s">
        <v>2272</v>
      </c>
      <c r="V85" s="1046" t="s">
        <v>2273</v>
      </c>
      <c r="W85" s="11"/>
      <c r="X85" s="2296">
        <v>2014</v>
      </c>
      <c r="Y85" s="1046" t="s">
        <v>2274</v>
      </c>
      <c r="Z85" s="1046" t="s">
        <v>2272</v>
      </c>
      <c r="AA85" s="1046" t="s">
        <v>2273</v>
      </c>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row>
    <row r="86" spans="1:51" x14ac:dyDescent="0.25">
      <c r="A86" s="753"/>
      <c r="B86" s="753"/>
      <c r="C86" s="753"/>
      <c r="D86" s="753"/>
      <c r="E86" s="11"/>
      <c r="F86" s="11"/>
      <c r="G86" s="281"/>
      <c r="H86" s="296"/>
      <c r="I86" s="296"/>
      <c r="J86" s="296"/>
      <c r="K86" s="296"/>
      <c r="L86" s="296"/>
      <c r="M86" s="296"/>
      <c r="N86" s="296"/>
      <c r="O86" s="296"/>
      <c r="P86" s="296"/>
      <c r="Q86" s="296"/>
      <c r="R86" s="296"/>
      <c r="S86" s="11" t="s">
        <v>777</v>
      </c>
      <c r="T86" s="895">
        <f>+N35</f>
        <v>866.62874171766418</v>
      </c>
      <c r="U86" s="895">
        <f>+F35</f>
        <v>1003.8533966889937</v>
      </c>
      <c r="V86" s="895">
        <f>+O35</f>
        <v>1143.8578995053081</v>
      </c>
      <c r="W86" s="11"/>
      <c r="X86" s="11" t="s">
        <v>777</v>
      </c>
      <c r="Y86" s="895">
        <f>+P35</f>
        <v>-202.17174202416572</v>
      </c>
      <c r="Z86" s="895">
        <f>+G35</f>
        <v>-185.85217490240638</v>
      </c>
      <c r="AA86" s="895">
        <f>+Q35</f>
        <v>-164.53632114064698</v>
      </c>
      <c r="AB86" s="11"/>
      <c r="AC86" s="11"/>
      <c r="AD86" s="10" t="s">
        <v>1624</v>
      </c>
      <c r="AE86" s="10">
        <f>T86</f>
        <v>866.62874171766418</v>
      </c>
      <c r="AF86" s="11"/>
      <c r="AG86" s="11"/>
      <c r="AH86" s="11"/>
      <c r="AI86" s="11"/>
      <c r="AJ86" s="11"/>
      <c r="AK86" s="11"/>
      <c r="AL86" s="11"/>
      <c r="AM86" s="11"/>
      <c r="AN86" s="11"/>
      <c r="AO86" s="11"/>
      <c r="AP86" s="11"/>
      <c r="AQ86" s="11"/>
      <c r="AR86" s="11"/>
      <c r="AS86" s="11"/>
      <c r="AT86" s="11"/>
      <c r="AU86" s="11"/>
      <c r="AV86" s="11"/>
      <c r="AW86" s="11"/>
      <c r="AX86" s="11"/>
      <c r="AY86" s="11"/>
    </row>
    <row r="87" spans="1:51" x14ac:dyDescent="0.25">
      <c r="A87" s="753"/>
      <c r="B87" s="753"/>
      <c r="C87" s="753"/>
      <c r="D87" s="753"/>
      <c r="E87" s="11"/>
      <c r="F87" s="11"/>
      <c r="G87" s="281"/>
      <c r="H87" s="296"/>
      <c r="I87" s="296"/>
      <c r="J87" s="296"/>
      <c r="K87" s="296"/>
      <c r="L87" s="296"/>
      <c r="M87" s="296"/>
      <c r="N87" s="296"/>
      <c r="O87" s="296"/>
      <c r="P87" s="296"/>
      <c r="Q87" s="296"/>
      <c r="R87" s="296"/>
      <c r="S87" s="11" t="s">
        <v>1464</v>
      </c>
      <c r="T87" s="1629">
        <v>6.25</v>
      </c>
      <c r="U87" s="1629">
        <v>6.8</v>
      </c>
      <c r="V87" s="1629">
        <v>7.5</v>
      </c>
      <c r="W87" s="11"/>
      <c r="X87" s="11" t="s">
        <v>1464</v>
      </c>
      <c r="Y87" s="2247">
        <f>+T87</f>
        <v>6.25</v>
      </c>
      <c r="Z87" s="2247">
        <f>+U87</f>
        <v>6.8</v>
      </c>
      <c r="AA87" s="2247">
        <f>+V87</f>
        <v>7.5</v>
      </c>
      <c r="AB87" s="11"/>
      <c r="AC87" s="11"/>
      <c r="AD87" s="11" t="s">
        <v>2077</v>
      </c>
      <c r="AE87" s="11"/>
      <c r="AF87" s="11"/>
      <c r="AG87" s="11"/>
      <c r="AH87" s="11"/>
      <c r="AI87" s="11"/>
      <c r="AJ87" s="11"/>
      <c r="AK87" s="11"/>
      <c r="AL87" s="11"/>
      <c r="AM87" s="11"/>
      <c r="AN87" s="11"/>
      <c r="AO87" s="11"/>
      <c r="AP87" s="11"/>
      <c r="AQ87" s="11"/>
      <c r="AR87" s="11"/>
      <c r="AS87" s="11"/>
      <c r="AT87" s="11"/>
      <c r="AU87" s="11"/>
      <c r="AV87" s="11"/>
      <c r="AW87" s="11"/>
      <c r="AX87" s="11"/>
      <c r="AY87" s="11"/>
    </row>
    <row r="88" spans="1:51" x14ac:dyDescent="0.25">
      <c r="A88" s="753"/>
      <c r="B88" s="753"/>
      <c r="C88" s="753"/>
      <c r="D88" s="753"/>
      <c r="E88" s="11"/>
      <c r="F88" s="11"/>
      <c r="G88" s="281"/>
      <c r="H88" s="296"/>
      <c r="I88" s="296"/>
      <c r="J88" s="296"/>
      <c r="K88" s="296"/>
      <c r="L88" s="296"/>
      <c r="M88" s="296"/>
      <c r="N88" s="296"/>
      <c r="O88" s="296"/>
      <c r="P88" s="296"/>
      <c r="Q88" s="296"/>
      <c r="R88" s="296"/>
      <c r="S88" s="432" t="s">
        <v>1466</v>
      </c>
      <c r="T88" s="407">
        <f>+T86*T87</f>
        <v>5416.4296357354015</v>
      </c>
      <c r="U88" s="407">
        <f>+U86*U87</f>
        <v>6826.2030974851568</v>
      </c>
      <c r="V88" s="1810">
        <f>+V86*V87</f>
        <v>8578.9342462898112</v>
      </c>
      <c r="W88" s="11"/>
      <c r="X88" s="432" t="s">
        <v>1466</v>
      </c>
      <c r="Y88" s="407">
        <f>+Y86*Y87</f>
        <v>-1263.5733876510358</v>
      </c>
      <c r="Z88" s="1810">
        <f>+Z86*Z87</f>
        <v>-1263.7947893363632</v>
      </c>
      <c r="AA88" s="1810">
        <f>+AA86*AA87</f>
        <v>-1234.0224085548523</v>
      </c>
      <c r="AB88" s="11"/>
      <c r="AC88" s="11"/>
      <c r="AD88" s="11" t="s">
        <v>2078</v>
      </c>
      <c r="AE88" s="11">
        <f>-0.025*F31</f>
        <v>-69.496196124613277</v>
      </c>
      <c r="AF88" s="11"/>
      <c r="AG88" s="11"/>
      <c r="AH88" s="11"/>
      <c r="AI88" s="11"/>
      <c r="AJ88" s="11"/>
      <c r="AK88" s="11"/>
      <c r="AL88" s="11"/>
      <c r="AM88" s="11"/>
      <c r="AN88" s="11"/>
      <c r="AO88" s="11"/>
      <c r="AP88" s="11"/>
      <c r="AQ88" s="11"/>
      <c r="AR88" s="11"/>
      <c r="AS88" s="11"/>
      <c r="AT88" s="11"/>
      <c r="AU88" s="11"/>
      <c r="AV88" s="11"/>
      <c r="AW88" s="11"/>
      <c r="AX88" s="11"/>
      <c r="AY88" s="11"/>
    </row>
    <row r="89" spans="1:51" ht="6.75" customHeight="1" x14ac:dyDescent="0.25">
      <c r="A89" s="753"/>
      <c r="B89" s="753"/>
      <c r="C89" s="753"/>
      <c r="D89" s="753"/>
      <c r="E89" s="11"/>
      <c r="F89" s="11"/>
      <c r="G89" s="281"/>
      <c r="H89" s="296"/>
      <c r="I89" s="296"/>
      <c r="J89" s="296"/>
      <c r="K89" s="296"/>
      <c r="L89" s="296"/>
      <c r="M89" s="296"/>
      <c r="N89" s="296"/>
      <c r="O89" s="296"/>
      <c r="P89" s="296"/>
      <c r="Q89" s="296"/>
      <c r="R89" s="296"/>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row>
    <row r="90" spans="1:51" x14ac:dyDescent="0.25">
      <c r="A90" s="753"/>
      <c r="B90" s="753"/>
      <c r="C90" s="753"/>
      <c r="D90" s="753"/>
      <c r="E90" s="11"/>
      <c r="F90" s="11"/>
      <c r="G90" s="281"/>
      <c r="H90" s="296"/>
      <c r="I90" s="296"/>
      <c r="J90" s="296"/>
      <c r="K90" s="296"/>
      <c r="L90" s="296"/>
      <c r="M90" s="296"/>
      <c r="N90" s="296"/>
      <c r="O90" s="296"/>
      <c r="P90" s="296"/>
      <c r="Q90" s="296"/>
      <c r="R90" s="646">
        <f>-U90*0.005/U95</f>
        <v>3.727507924693937E-3</v>
      </c>
      <c r="S90" s="11" t="s">
        <v>1937</v>
      </c>
      <c r="T90" s="423">
        <f>-T103*T86</f>
        <v>-2599.8862251529927</v>
      </c>
      <c r="U90" s="423">
        <f>-U103*U86</f>
        <v>-3011.5601900669812</v>
      </c>
      <c r="V90" s="423">
        <f>-V103*V86</f>
        <v>-3431.5736985159242</v>
      </c>
      <c r="W90" s="11"/>
      <c r="X90" s="11" t="s">
        <v>1937</v>
      </c>
      <c r="Y90" s="423">
        <f>-Y103*Y86</f>
        <v>606.51522607249717</v>
      </c>
      <c r="Z90" s="423">
        <f>-Z103*Z86</f>
        <v>557.55652470721907</v>
      </c>
      <c r="AA90" s="423">
        <f>-AA103*AA86</f>
        <v>493.60896342194093</v>
      </c>
      <c r="AB90" s="11"/>
      <c r="AC90" s="11"/>
      <c r="AD90" s="11" t="s">
        <v>2079</v>
      </c>
      <c r="AE90" s="11">
        <f>T90*0.06</f>
        <v>-155.99317350917954</v>
      </c>
      <c r="AF90" s="11"/>
      <c r="AG90" s="423"/>
      <c r="AH90" s="11"/>
      <c r="AI90" s="11"/>
      <c r="AJ90" s="11"/>
      <c r="AK90" s="11"/>
      <c r="AL90" s="11"/>
      <c r="AM90" s="11"/>
      <c r="AN90" s="11"/>
      <c r="AO90" s="11"/>
      <c r="AP90" s="11"/>
      <c r="AQ90" s="11"/>
      <c r="AR90" s="11"/>
      <c r="AS90" s="11"/>
      <c r="AT90" s="11"/>
      <c r="AU90" s="11"/>
      <c r="AV90" s="11"/>
      <c r="AW90" s="11"/>
      <c r="AX90" s="11"/>
      <c r="AY90" s="11"/>
    </row>
    <row r="91" spans="1:51" x14ac:dyDescent="0.25">
      <c r="A91" s="753"/>
      <c r="B91" s="753"/>
      <c r="C91" s="753"/>
      <c r="D91" s="753"/>
      <c r="E91" s="11"/>
      <c r="F91" s="11"/>
      <c r="G91" s="281"/>
      <c r="H91" s="296"/>
      <c r="I91" s="296"/>
      <c r="J91" s="296"/>
      <c r="K91" s="296"/>
      <c r="L91" s="296"/>
      <c r="M91" s="296"/>
      <c r="N91" s="296"/>
      <c r="O91" s="296"/>
      <c r="P91" s="296"/>
      <c r="Q91" s="296"/>
      <c r="R91" s="2323">
        <f>-U90*0.005</f>
        <v>15.057800950334906</v>
      </c>
      <c r="S91" s="296" t="s">
        <v>1260</v>
      </c>
      <c r="T91" s="890">
        <v>225</v>
      </c>
      <c r="U91" s="660">
        <f>+T91</f>
        <v>225</v>
      </c>
      <c r="V91" s="660">
        <f>+U91</f>
        <v>225</v>
      </c>
      <c r="W91" s="11"/>
      <c r="X91" s="296" t="s">
        <v>1260</v>
      </c>
      <c r="Y91" s="2263">
        <f>+T91</f>
        <v>225</v>
      </c>
      <c r="Z91" s="660">
        <f>+Y91</f>
        <v>225</v>
      </c>
      <c r="AA91" s="660">
        <f>+Z91</f>
        <v>225</v>
      </c>
      <c r="AB91" s="11"/>
      <c r="AC91" s="11"/>
      <c r="AD91" s="11" t="s">
        <v>925</v>
      </c>
      <c r="AE91" s="11">
        <f>(F37/0.6-F37)*-1</f>
        <v>-469.43559779266252</v>
      </c>
      <c r="AF91" s="11"/>
      <c r="AG91" s="423"/>
      <c r="AH91" s="11"/>
      <c r="AI91" s="11"/>
      <c r="AJ91" s="11"/>
      <c r="AK91" s="11"/>
      <c r="AL91" s="11"/>
      <c r="AM91" s="11"/>
      <c r="AN91" s="11"/>
      <c r="AO91" s="11"/>
      <c r="AP91" s="11"/>
      <c r="AQ91" s="11"/>
      <c r="AR91" s="11"/>
      <c r="AS91" s="11"/>
      <c r="AT91" s="11"/>
      <c r="AU91" s="11"/>
      <c r="AV91" s="11"/>
      <c r="AW91" s="11"/>
      <c r="AX91" s="11"/>
      <c r="AY91" s="11"/>
    </row>
    <row r="92" spans="1:51" ht="4.5" customHeight="1" x14ac:dyDescent="0.25">
      <c r="A92" s="753"/>
      <c r="B92" s="753"/>
      <c r="C92" s="753"/>
      <c r="D92" s="753"/>
      <c r="E92" s="11"/>
      <c r="F92" s="11"/>
      <c r="G92" s="281"/>
      <c r="H92" s="296"/>
      <c r="I92" s="296"/>
      <c r="J92" s="296"/>
      <c r="K92" s="296"/>
      <c r="L92" s="296"/>
      <c r="M92" s="296"/>
      <c r="N92" s="296"/>
      <c r="O92" s="296"/>
      <c r="P92" s="296"/>
      <c r="Q92" s="296"/>
      <c r="R92" s="296"/>
      <c r="S92" s="275"/>
      <c r="T92" s="460" t="s">
        <v>1151</v>
      </c>
      <c r="U92" s="460" t="s">
        <v>1151</v>
      </c>
      <c r="V92" s="460" t="s">
        <v>1151</v>
      </c>
      <c r="W92" s="11"/>
      <c r="X92" s="275"/>
      <c r="Y92" s="460" t="s">
        <v>1151</v>
      </c>
      <c r="Z92" s="460" t="s">
        <v>1151</v>
      </c>
      <c r="AA92" s="460" t="s">
        <v>1151</v>
      </c>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row>
    <row r="93" spans="1:51" x14ac:dyDescent="0.25">
      <c r="A93" s="753"/>
      <c r="B93" s="753"/>
      <c r="C93" s="753"/>
      <c r="D93" s="753"/>
      <c r="E93" s="11"/>
      <c r="F93" s="11"/>
      <c r="G93" s="281"/>
      <c r="H93" s="296"/>
      <c r="I93" s="296"/>
      <c r="J93" s="296"/>
      <c r="K93" s="296"/>
      <c r="L93" s="296"/>
      <c r="M93" s="296"/>
      <c r="N93" s="296"/>
      <c r="O93" s="296"/>
      <c r="P93" s="296"/>
      <c r="Q93" s="296"/>
      <c r="R93" s="296"/>
      <c r="S93" s="10" t="s">
        <v>1261</v>
      </c>
      <c r="T93" s="653">
        <f>+T90+T91</f>
        <v>-2374.8862251529927</v>
      </c>
      <c r="U93" s="653">
        <f>+U90+U91</f>
        <v>-2786.5601900669812</v>
      </c>
      <c r="V93" s="653">
        <f>+V90+V91</f>
        <v>-3206.5736985159242</v>
      </c>
      <c r="W93" s="11"/>
      <c r="X93" s="10" t="s">
        <v>1261</v>
      </c>
      <c r="Y93" s="653">
        <f>+Y90+Y91</f>
        <v>831.51522607249717</v>
      </c>
      <c r="Z93" s="653">
        <f>+Z90+Z91</f>
        <v>782.55652470721907</v>
      </c>
      <c r="AA93" s="653">
        <f>+AA90+AA91</f>
        <v>718.60896342194087</v>
      </c>
      <c r="AB93" s="11"/>
      <c r="AC93" s="11"/>
      <c r="AD93" s="10" t="s">
        <v>2080</v>
      </c>
      <c r="AE93" s="10">
        <f>SUM(AE86:AE91)</f>
        <v>171.7037742912089</v>
      </c>
      <c r="AF93" s="11"/>
      <c r="AG93" s="11"/>
      <c r="AH93" s="11"/>
      <c r="AI93" s="11"/>
      <c r="AJ93" s="11"/>
      <c r="AK93" s="11"/>
      <c r="AL93" s="11"/>
      <c r="AM93" s="11"/>
      <c r="AN93" s="11"/>
      <c r="AO93" s="11"/>
      <c r="AP93" s="11"/>
      <c r="AQ93" s="11"/>
      <c r="AR93" s="11"/>
      <c r="AS93" s="11"/>
      <c r="AT93" s="11"/>
      <c r="AU93" s="11"/>
      <c r="AV93" s="11"/>
      <c r="AW93" s="11"/>
      <c r="AX93" s="11"/>
      <c r="AY93" s="11"/>
    </row>
    <row r="94" spans="1:51" ht="3.75" customHeight="1" x14ac:dyDescent="0.25">
      <c r="A94" s="753"/>
      <c r="B94" s="753"/>
      <c r="C94" s="753"/>
      <c r="D94" s="753"/>
      <c r="E94" s="11"/>
      <c r="F94" s="11"/>
      <c r="G94" s="281"/>
      <c r="H94" s="296"/>
      <c r="I94" s="296"/>
      <c r="J94" s="296"/>
      <c r="K94" s="296"/>
      <c r="L94" s="296"/>
      <c r="M94" s="296"/>
      <c r="N94" s="296"/>
      <c r="O94" s="296"/>
      <c r="P94" s="296"/>
      <c r="Q94" s="296"/>
      <c r="R94" s="296"/>
      <c r="S94" s="11"/>
      <c r="T94" s="423"/>
      <c r="U94" s="423"/>
      <c r="V94" s="423"/>
      <c r="W94" s="11"/>
      <c r="X94" s="11"/>
      <c r="Y94" s="423"/>
      <c r="Z94" s="423"/>
      <c r="AA94" s="423"/>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row>
    <row r="95" spans="1:51" x14ac:dyDescent="0.25">
      <c r="A95" s="753"/>
      <c r="B95" s="753"/>
      <c r="C95" s="753"/>
      <c r="D95" s="753"/>
      <c r="E95" s="11"/>
      <c r="F95" s="11"/>
      <c r="G95" s="281"/>
      <c r="H95" s="296"/>
      <c r="I95" s="296"/>
      <c r="J95" s="296"/>
      <c r="K95" s="296"/>
      <c r="L95" s="296"/>
      <c r="M95" s="296"/>
      <c r="N95" s="296"/>
      <c r="O95" s="296"/>
      <c r="P95" s="296"/>
      <c r="Q95" s="296"/>
      <c r="R95" s="296"/>
      <c r="S95" s="432" t="s">
        <v>1470</v>
      </c>
      <c r="T95" s="407">
        <f>+T88+T93</f>
        <v>3041.5434105824088</v>
      </c>
      <c r="U95" s="407">
        <f>+U88+U93</f>
        <v>4039.6429074181756</v>
      </c>
      <c r="V95" s="407">
        <f>+V88+V93</f>
        <v>5372.3605477738874</v>
      </c>
      <c r="W95" s="11"/>
      <c r="X95" s="432" t="s">
        <v>1470</v>
      </c>
      <c r="Y95" s="407">
        <f>+Y88+Y93</f>
        <v>-432.0581615785386</v>
      </c>
      <c r="Z95" s="1810">
        <f>+Z88+Z93</f>
        <v>-481.23826462914417</v>
      </c>
      <c r="AA95" s="407">
        <f>+AA88+AA93</f>
        <v>-515.41344513291142</v>
      </c>
      <c r="AB95" s="11"/>
      <c r="AC95" s="11"/>
      <c r="AD95" s="897" t="s">
        <v>2114</v>
      </c>
      <c r="AE95" s="417">
        <f>AE93/U95</f>
        <v>4.2504691188397281E-2</v>
      </c>
      <c r="AF95" s="11"/>
      <c r="AG95" s="11"/>
      <c r="AH95" s="11"/>
      <c r="AI95" s="11"/>
      <c r="AJ95" s="11"/>
      <c r="AK95" s="11"/>
      <c r="AL95" s="11"/>
      <c r="AM95" s="11"/>
      <c r="AN95" s="11"/>
      <c r="AO95" s="11"/>
      <c r="AP95" s="11"/>
      <c r="AQ95" s="11"/>
      <c r="AR95" s="11"/>
      <c r="AS95" s="11"/>
      <c r="AT95" s="11"/>
      <c r="AU95" s="11"/>
      <c r="AV95" s="11"/>
      <c r="AW95" s="11"/>
      <c r="AX95" s="11"/>
      <c r="AY95" s="11"/>
    </row>
    <row r="96" spans="1:51" x14ac:dyDescent="0.25">
      <c r="A96" s="753"/>
      <c r="B96" s="753"/>
      <c r="C96" s="753"/>
      <c r="D96" s="753"/>
      <c r="E96" s="11"/>
      <c r="F96" s="11"/>
      <c r="G96" s="281"/>
      <c r="H96" s="296"/>
      <c r="I96" s="296"/>
      <c r="J96" s="296"/>
      <c r="K96" s="296"/>
      <c r="L96" s="296"/>
      <c r="M96" s="296"/>
      <c r="N96" s="296"/>
      <c r="O96" s="296"/>
      <c r="P96" s="296"/>
      <c r="Q96" s="296"/>
      <c r="R96" s="296"/>
      <c r="S96" s="11" t="s">
        <v>1536</v>
      </c>
      <c r="T96" s="2245">
        <f>+$F$38</f>
        <v>87.2</v>
      </c>
      <c r="U96" s="2244">
        <f>+T96</f>
        <v>87.2</v>
      </c>
      <c r="V96" s="2244">
        <f>+U96</f>
        <v>87.2</v>
      </c>
      <c r="W96" s="11"/>
      <c r="X96" s="11" t="s">
        <v>1536</v>
      </c>
      <c r="Y96" s="2245">
        <f>+$F$38</f>
        <v>87.2</v>
      </c>
      <c r="Z96" s="2244">
        <f>+Y96</f>
        <v>87.2</v>
      </c>
      <c r="AA96" s="2244">
        <f>+Z96</f>
        <v>87.2</v>
      </c>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row>
    <row r="97" spans="1:51" x14ac:dyDescent="0.25">
      <c r="A97" s="753"/>
      <c r="B97" s="753"/>
      <c r="C97" s="753"/>
      <c r="D97" s="753"/>
      <c r="E97" s="11"/>
      <c r="F97" s="11"/>
      <c r="G97" s="281"/>
      <c r="H97" s="296"/>
      <c r="I97" s="296"/>
      <c r="J97" s="296"/>
      <c r="K97" s="296"/>
      <c r="L97" s="296"/>
      <c r="M97" s="296"/>
      <c r="N97" s="296"/>
      <c r="O97" s="296"/>
      <c r="P97" s="296"/>
      <c r="Q97" s="296"/>
      <c r="R97" s="685">
        <f>+R91*U87/U96</f>
        <v>1.1742321842004284</v>
      </c>
      <c r="S97" s="432" t="s">
        <v>1262</v>
      </c>
      <c r="T97" s="1816">
        <f>+T95/T96</f>
        <v>34.880084983743217</v>
      </c>
      <c r="U97" s="1816">
        <f>+U95/U96</f>
        <v>46.326180130942376</v>
      </c>
      <c r="V97" s="1721">
        <f>+V95/V96</f>
        <v>61.609639309333566</v>
      </c>
      <c r="W97" s="11"/>
      <c r="X97" s="432" t="s">
        <v>1262</v>
      </c>
      <c r="Y97" s="1816">
        <f>+Y95/Y96</f>
        <v>-4.9547954309465432</v>
      </c>
      <c r="Z97" s="1721">
        <f>+Z95/Z96</f>
        <v>-5.5187874384076165</v>
      </c>
      <c r="AA97" s="1721">
        <f>+AA95/AA96</f>
        <v>-5.9107046460196262</v>
      </c>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row>
    <row r="98" spans="1:51" x14ac:dyDescent="0.25">
      <c r="A98" s="753"/>
      <c r="B98" s="753"/>
      <c r="C98" s="753"/>
      <c r="D98" s="753"/>
      <c r="E98" s="11"/>
      <c r="F98" s="11"/>
      <c r="G98" s="281"/>
      <c r="H98" s="296"/>
      <c r="I98" s="296"/>
      <c r="J98" s="296"/>
      <c r="K98" s="296"/>
      <c r="L98" s="296"/>
      <c r="M98" s="296"/>
      <c r="N98" s="296"/>
      <c r="O98" s="296"/>
      <c r="P98" s="296"/>
      <c r="Q98" s="296"/>
      <c r="R98" s="296"/>
      <c r="S98" s="11" t="s">
        <v>837</v>
      </c>
      <c r="T98" s="932">
        <f>+N43</f>
        <v>7.8604213499732136</v>
      </c>
      <c r="U98" s="932">
        <f>+F43</f>
        <v>9.4340985858829551</v>
      </c>
      <c r="V98" s="932">
        <f>+O43</f>
        <v>11.039654810840688</v>
      </c>
      <c r="W98" s="11"/>
      <c r="X98" s="11" t="s">
        <v>837</v>
      </c>
      <c r="Y98" s="932">
        <f>+P43</f>
        <v>-4.3964649314697901</v>
      </c>
      <c r="Z98" s="932">
        <f>+G43</f>
        <v>-4.2093139323670457</v>
      </c>
      <c r="AA98" s="932">
        <f>+Q43</f>
        <v>-3.9648660681266854</v>
      </c>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row>
    <row r="99" spans="1:51" x14ac:dyDescent="0.25">
      <c r="A99" s="753"/>
      <c r="B99" s="753"/>
      <c r="C99" s="753"/>
      <c r="D99" s="753"/>
      <c r="E99" s="11"/>
      <c r="F99" s="11"/>
      <c r="G99" s="281"/>
      <c r="H99" s="296"/>
      <c r="I99" s="296"/>
      <c r="J99" s="296"/>
      <c r="K99" s="296"/>
      <c r="L99" s="296"/>
      <c r="M99" s="296"/>
      <c r="N99" s="296"/>
      <c r="O99" s="296"/>
      <c r="P99" s="296"/>
      <c r="Q99" s="296"/>
      <c r="R99" s="296"/>
      <c r="S99" s="11" t="s">
        <v>473</v>
      </c>
      <c r="T99" s="2091">
        <f>T98/T97</f>
        <v>0.22535556761506659</v>
      </c>
      <c r="U99" s="2091">
        <f>U98/U97</f>
        <v>0.20364507842470897</v>
      </c>
      <c r="V99" s="2091">
        <f>V98/V97</f>
        <v>0.1791871358865143</v>
      </c>
      <c r="W99" s="11"/>
      <c r="X99" s="11" t="s">
        <v>473</v>
      </c>
      <c r="Y99" s="2091">
        <f>Y98/Y97</f>
        <v>0.88731512586987027</v>
      </c>
      <c r="Z99" s="2091">
        <f>Z98/Z97</f>
        <v>0.76272441715595329</v>
      </c>
      <c r="AA99" s="2091">
        <f>AA98/AA97</f>
        <v>0.67079414478892918</v>
      </c>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row>
    <row r="100" spans="1:51" hidden="1" outlineLevel="1" x14ac:dyDescent="0.25">
      <c r="A100" s="2132"/>
      <c r="B100" s="2132"/>
      <c r="C100" s="2132"/>
      <c r="D100" s="2132"/>
      <c r="E100" s="416"/>
      <c r="F100" s="416"/>
      <c r="G100" s="579"/>
      <c r="H100" s="976"/>
      <c r="I100" s="976"/>
      <c r="J100" s="976"/>
      <c r="K100" s="976"/>
      <c r="L100" s="976"/>
      <c r="M100" s="976"/>
      <c r="N100" s="976"/>
      <c r="O100" s="976"/>
      <c r="P100" s="976"/>
      <c r="Q100" s="976"/>
      <c r="R100" s="976"/>
      <c r="S100" s="416"/>
      <c r="T100" s="416"/>
      <c r="U100" s="416"/>
      <c r="V100" s="416"/>
      <c r="W100" s="416"/>
      <c r="X100" s="416"/>
      <c r="Y100" s="416"/>
      <c r="Z100" s="416"/>
      <c r="AA100" s="416"/>
      <c r="AB100" s="416"/>
      <c r="AC100" s="416"/>
      <c r="AD100" s="416"/>
      <c r="AE100" s="416"/>
      <c r="AF100" s="416"/>
      <c r="AG100" s="416"/>
      <c r="AH100" s="416"/>
      <c r="AI100" s="416"/>
      <c r="AJ100" s="416"/>
      <c r="AK100" s="416"/>
      <c r="AL100" s="416"/>
      <c r="AM100" s="416"/>
      <c r="AN100" s="416"/>
      <c r="AO100" s="416"/>
      <c r="AP100" s="416"/>
      <c r="AQ100" s="416"/>
      <c r="AR100" s="416"/>
      <c r="AS100" s="416"/>
      <c r="AT100" s="416"/>
      <c r="AU100" s="416"/>
      <c r="AV100" s="416"/>
      <c r="AW100" s="416"/>
      <c r="AX100" s="416"/>
      <c r="AY100" s="416"/>
    </row>
    <row r="101" spans="1:51" hidden="1" outlineLevel="1" x14ac:dyDescent="0.25">
      <c r="A101" s="753"/>
      <c r="B101" s="753"/>
      <c r="C101" s="753"/>
      <c r="D101" s="753"/>
      <c r="E101" s="11"/>
      <c r="F101" s="11"/>
      <c r="G101" s="281"/>
      <c r="H101" s="296"/>
      <c r="I101" s="296"/>
      <c r="J101" s="296"/>
      <c r="K101" s="296"/>
      <c r="L101" s="296"/>
      <c r="M101" s="296"/>
      <c r="N101" s="296"/>
      <c r="O101" s="296"/>
      <c r="P101" s="296"/>
      <c r="Q101" s="296"/>
      <c r="R101" s="296"/>
      <c r="S101" s="432" t="s">
        <v>774</v>
      </c>
      <c r="T101" s="1816">
        <f>+T97+T71</f>
        <v>64.183591016994001</v>
      </c>
      <c r="U101" s="1816">
        <f>+U97+U71</f>
        <v>85.19884469985108</v>
      </c>
      <c r="V101" s="1721">
        <f>+V97+V71</f>
        <v>116.22939854591334</v>
      </c>
      <c r="W101" s="11"/>
      <c r="X101" s="432" t="s">
        <v>774</v>
      </c>
      <c r="Y101" s="1816">
        <f>+Y97+Y71</f>
        <v>8.757602185445533</v>
      </c>
      <c r="Z101" s="1816">
        <f>+Z97+Z71</f>
        <v>14.686411765480937</v>
      </c>
      <c r="AA101" s="1721">
        <f>+AA97+AA71</f>
        <v>24.682177368444549</v>
      </c>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row>
    <row r="102" spans="1:51" hidden="1" outlineLevel="1" x14ac:dyDescent="0.25">
      <c r="A102" s="753"/>
      <c r="B102" s="753"/>
      <c r="C102" s="753"/>
      <c r="D102" s="753"/>
      <c r="E102" s="11"/>
      <c r="F102" s="11"/>
      <c r="G102" s="281"/>
      <c r="H102" s="296"/>
      <c r="I102" s="296"/>
      <c r="J102" s="296"/>
      <c r="K102" s="296"/>
      <c r="L102" s="296"/>
      <c r="M102" s="296"/>
      <c r="N102" s="296"/>
      <c r="O102" s="296"/>
      <c r="P102" s="296"/>
      <c r="Q102" s="296"/>
      <c r="R102" s="296"/>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row>
    <row r="103" spans="1:51" hidden="1" outlineLevel="1" x14ac:dyDescent="0.25">
      <c r="A103" s="753"/>
      <c r="B103" s="753"/>
      <c r="C103" s="753"/>
      <c r="D103" s="753"/>
      <c r="E103" s="11"/>
      <c r="F103" s="11"/>
      <c r="G103" s="281"/>
      <c r="H103" s="296"/>
      <c r="I103" s="296"/>
      <c r="J103" s="296"/>
      <c r="K103" s="296"/>
      <c r="L103" s="296"/>
      <c r="M103" s="296"/>
      <c r="N103" s="296"/>
      <c r="O103" s="296"/>
      <c r="P103" s="296"/>
      <c r="Q103" s="296"/>
      <c r="R103" s="296"/>
      <c r="S103" s="11" t="s">
        <v>1259</v>
      </c>
      <c r="T103" s="1629">
        <v>3</v>
      </c>
      <c r="U103" s="1822">
        <f>+T103</f>
        <v>3</v>
      </c>
      <c r="V103" s="1822">
        <f>+U103</f>
        <v>3</v>
      </c>
      <c r="W103" s="11"/>
      <c r="X103" s="11" t="s">
        <v>1259</v>
      </c>
      <c r="Y103" s="1629">
        <v>3</v>
      </c>
      <c r="Z103" s="1822">
        <f>+Y103</f>
        <v>3</v>
      </c>
      <c r="AA103" s="1822">
        <f>+Z103</f>
        <v>3</v>
      </c>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row>
    <row r="104" spans="1:51" collapsed="1" x14ac:dyDescent="0.25">
      <c r="A104" s="753"/>
      <c r="B104" s="753"/>
      <c r="C104" s="753"/>
      <c r="D104" s="753"/>
      <c r="E104" s="11"/>
      <c r="F104" s="11"/>
      <c r="G104" s="281"/>
      <c r="H104" s="296"/>
      <c r="I104" s="296"/>
      <c r="J104" s="296"/>
      <c r="K104" s="296"/>
      <c r="L104" s="296"/>
      <c r="M104" s="296"/>
      <c r="N104" s="296"/>
      <c r="O104" s="296"/>
      <c r="P104" s="296"/>
      <c r="Q104" s="296"/>
      <c r="R104" s="296"/>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row>
    <row r="105" spans="1:51" x14ac:dyDescent="0.25">
      <c r="A105" s="753"/>
      <c r="B105" s="753"/>
      <c r="C105" s="753"/>
      <c r="D105" s="753"/>
      <c r="E105" s="11"/>
      <c r="F105" s="11"/>
      <c r="G105" s="281"/>
      <c r="H105" s="296"/>
      <c r="I105" s="296"/>
      <c r="J105" s="296"/>
      <c r="K105" s="296"/>
      <c r="L105" s="296"/>
      <c r="M105" s="296"/>
      <c r="N105" s="296"/>
      <c r="O105" s="296"/>
      <c r="P105" s="296"/>
      <c r="Q105" s="296"/>
      <c r="R105" s="296"/>
      <c r="S105" s="359" t="s">
        <v>1370</v>
      </c>
      <c r="T105" s="11"/>
      <c r="U105" s="11"/>
      <c r="V105" s="11"/>
      <c r="W105" s="11"/>
      <c r="X105" s="359" t="s">
        <v>2260</v>
      </c>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row>
    <row r="106" spans="1:51" x14ac:dyDescent="0.25">
      <c r="A106" s="753"/>
      <c r="B106" s="753"/>
      <c r="C106" s="753"/>
      <c r="D106" s="753"/>
      <c r="E106" s="11"/>
      <c r="F106" s="11"/>
      <c r="G106" s="281"/>
      <c r="H106" s="296"/>
      <c r="I106" s="296"/>
      <c r="J106" s="296"/>
      <c r="K106" s="296"/>
      <c r="L106" s="296"/>
      <c r="M106" s="296"/>
      <c r="N106" s="296"/>
      <c r="O106" s="296"/>
      <c r="P106" s="296"/>
      <c r="Q106" s="296"/>
      <c r="R106" s="296"/>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row>
    <row r="107" spans="1:51" x14ac:dyDescent="0.25">
      <c r="A107" s="753"/>
      <c r="B107" s="753"/>
      <c r="C107" s="753"/>
      <c r="D107" s="753"/>
      <c r="E107" s="11"/>
      <c r="F107" s="11"/>
      <c r="G107" s="281"/>
      <c r="H107" s="296"/>
      <c r="I107" s="296"/>
      <c r="J107" s="296"/>
      <c r="K107" s="296"/>
      <c r="L107" s="296"/>
      <c r="M107" s="296"/>
      <c r="N107" s="296"/>
      <c r="O107" s="296"/>
      <c r="P107" s="296"/>
      <c r="Q107" s="296"/>
      <c r="R107" s="296"/>
      <c r="S107" s="2296">
        <v>2013</v>
      </c>
      <c r="T107" s="1046" t="s">
        <v>2274</v>
      </c>
      <c r="U107" s="1046" t="s">
        <v>2272</v>
      </c>
      <c r="V107" s="1046" t="s">
        <v>2273</v>
      </c>
      <c r="W107" s="11"/>
      <c r="X107" s="2296">
        <v>2014</v>
      </c>
      <c r="Y107" s="1046" t="s">
        <v>2274</v>
      </c>
      <c r="Z107" s="1046" t="s">
        <v>2272</v>
      </c>
      <c r="AA107" s="1046" t="s">
        <v>2273</v>
      </c>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row>
    <row r="108" spans="1:51" x14ac:dyDescent="0.25">
      <c r="A108" s="753"/>
      <c r="B108" s="753"/>
      <c r="C108" s="753"/>
      <c r="D108" s="753"/>
      <c r="E108" s="11"/>
      <c r="F108" s="11"/>
      <c r="G108" s="281"/>
      <c r="H108" s="296"/>
      <c r="I108" s="296"/>
      <c r="J108" s="296"/>
      <c r="K108" s="296"/>
      <c r="L108" s="296"/>
      <c r="M108" s="296"/>
      <c r="N108" s="296"/>
      <c r="O108" s="296"/>
      <c r="P108" s="296"/>
      <c r="Q108" s="296"/>
      <c r="R108" s="296"/>
      <c r="S108" s="11" t="s">
        <v>778</v>
      </c>
      <c r="T108" s="895">
        <f>+T56+T86</f>
        <v>1290.9281242114923</v>
      </c>
      <c r="U108" s="895">
        <f>+U56+U86</f>
        <v>1465.0971550154693</v>
      </c>
      <c r="V108" s="895">
        <f>+V56+V86</f>
        <v>1642.0460336644312</v>
      </c>
      <c r="W108" s="11"/>
      <c r="X108" s="11" t="s">
        <v>778</v>
      </c>
      <c r="Y108" s="895">
        <f>+Y56+Y86</f>
        <v>96.585324000000014</v>
      </c>
      <c r="Z108" s="895">
        <f>+Z56+Z86</f>
        <v>137.10300000000001</v>
      </c>
      <c r="AA108" s="895">
        <f>+AA56+AA86</f>
        <v>180.21120400000007</v>
      </c>
      <c r="AB108" s="11"/>
      <c r="AC108" s="11"/>
      <c r="AD108" s="687"/>
      <c r="AE108" s="11"/>
      <c r="AF108" s="11"/>
      <c r="AG108" s="11"/>
      <c r="AH108" s="11"/>
      <c r="AI108" s="11"/>
      <c r="AJ108" s="11"/>
      <c r="AK108" s="11"/>
      <c r="AL108" s="11"/>
      <c r="AM108" s="11"/>
      <c r="AN108" s="11"/>
      <c r="AO108" s="11"/>
      <c r="AP108" s="11"/>
      <c r="AQ108" s="11"/>
      <c r="AR108" s="11"/>
      <c r="AS108" s="11"/>
      <c r="AT108" s="11"/>
      <c r="AU108" s="11"/>
      <c r="AV108" s="11"/>
      <c r="AW108" s="11"/>
      <c r="AX108" s="11"/>
      <c r="AY108" s="11"/>
    </row>
    <row r="109" spans="1:51" x14ac:dyDescent="0.25">
      <c r="A109" s="753"/>
      <c r="B109" s="753"/>
      <c r="C109" s="753"/>
      <c r="D109" s="753"/>
      <c r="E109" s="11"/>
      <c r="F109" s="11"/>
      <c r="G109" s="281"/>
      <c r="H109" s="296"/>
      <c r="I109" s="296"/>
      <c r="J109" s="296"/>
      <c r="K109" s="296"/>
      <c r="L109" s="296"/>
      <c r="M109" s="296"/>
      <c r="N109" s="296"/>
      <c r="O109" s="296"/>
      <c r="P109" s="296"/>
      <c r="Q109" s="296"/>
      <c r="R109" s="296"/>
      <c r="S109" s="11" t="s">
        <v>1464</v>
      </c>
      <c r="T109" s="1822">
        <f>+T110/T108</f>
        <v>7.9755583144516375</v>
      </c>
      <c r="U109" s="1822">
        <f>+U110/U108</f>
        <v>8.5944812830062123</v>
      </c>
      <c r="V109" s="1822">
        <f>+V110/V108</f>
        <v>9.623763200067831</v>
      </c>
      <c r="W109" s="11"/>
      <c r="X109" s="11" t="s">
        <v>1464</v>
      </c>
      <c r="Y109" s="1822">
        <f>+Y110/Y108</f>
        <v>22.489264224312901</v>
      </c>
      <c r="Z109" s="1822">
        <f>+Z110/Z108</f>
        <v>20.226726599299191</v>
      </c>
      <c r="AA109" s="1822">
        <f>+AA110/AA108</f>
        <v>20.891135636519738</v>
      </c>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row>
    <row r="110" spans="1:51" x14ac:dyDescent="0.25">
      <c r="A110" s="753"/>
      <c r="B110" s="753"/>
      <c r="C110" s="753"/>
      <c r="D110" s="753"/>
      <c r="E110" s="11"/>
      <c r="F110" s="11"/>
      <c r="G110" s="281"/>
      <c r="H110" s="296"/>
      <c r="I110" s="296"/>
      <c r="J110" s="296"/>
      <c r="K110" s="296"/>
      <c r="L110" s="296"/>
      <c r="M110" s="296"/>
      <c r="N110" s="296"/>
      <c r="O110" s="296"/>
      <c r="P110" s="296"/>
      <c r="Q110" s="296"/>
      <c r="R110" s="296"/>
      <c r="S110" s="432" t="s">
        <v>1466</v>
      </c>
      <c r="T110" s="407">
        <f>+T58+T88</f>
        <v>10295.872534414424</v>
      </c>
      <c r="U110" s="407">
        <f>+U58+U88</f>
        <v>12591.750076566103</v>
      </c>
      <c r="V110" s="1810">
        <f>+V58+V88</f>
        <v>15802.662191597097</v>
      </c>
      <c r="W110" s="11"/>
      <c r="X110" s="432" t="s">
        <v>1466</v>
      </c>
      <c r="Y110" s="407">
        <f>+Y58+Y88</f>
        <v>2172.1328716268704</v>
      </c>
      <c r="Z110" s="1810">
        <f>+Z58+Z88</f>
        <v>2773.144896943717</v>
      </c>
      <c r="AA110" s="1810">
        <f>+AA58+AA88</f>
        <v>3764.81670598453</v>
      </c>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row>
    <row r="111" spans="1:51" x14ac:dyDescent="0.25">
      <c r="A111" s="753"/>
      <c r="B111" s="753"/>
      <c r="C111" s="753"/>
      <c r="D111" s="753"/>
      <c r="E111" s="11"/>
      <c r="F111" s="11"/>
      <c r="G111" s="281"/>
      <c r="H111" s="296"/>
      <c r="I111" s="296"/>
      <c r="J111" s="296"/>
      <c r="K111" s="296"/>
      <c r="L111" s="296"/>
      <c r="M111" s="296"/>
      <c r="N111" s="296"/>
      <c r="O111" s="296"/>
      <c r="P111" s="296"/>
      <c r="Q111" s="296"/>
      <c r="R111" s="296"/>
      <c r="S111" s="11"/>
      <c r="T111" s="423"/>
      <c r="U111" s="11"/>
      <c r="V111" s="11"/>
      <c r="W111" s="11"/>
      <c r="X111" s="11"/>
      <c r="Y111" s="423"/>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row>
    <row r="112" spans="1:51" x14ac:dyDescent="0.25">
      <c r="A112" s="753"/>
      <c r="B112" s="753"/>
      <c r="C112" s="753"/>
      <c r="D112" s="753"/>
      <c r="E112" s="11"/>
      <c r="F112" s="11"/>
      <c r="G112" s="281"/>
      <c r="H112" s="296"/>
      <c r="I112" s="296"/>
      <c r="J112" s="296"/>
      <c r="K112" s="296"/>
      <c r="L112" s="296"/>
      <c r="M112" s="296"/>
      <c r="N112" s="296"/>
      <c r="O112" s="296"/>
      <c r="P112" s="296"/>
      <c r="Q112" s="296"/>
      <c r="R112" s="296"/>
      <c r="S112" s="11" t="s">
        <v>1937</v>
      </c>
      <c r="T112" s="423">
        <f t="shared" ref="T112:V113" si="0">+T60+T90</f>
        <v>-5099.8862251529927</v>
      </c>
      <c r="U112" s="423">
        <f t="shared" si="0"/>
        <v>-5511.5601900669808</v>
      </c>
      <c r="V112" s="423">
        <f t="shared" si="0"/>
        <v>-5931.5736985159238</v>
      </c>
      <c r="W112" s="11"/>
      <c r="X112" s="11" t="s">
        <v>1937</v>
      </c>
      <c r="Y112" s="423">
        <f t="shared" ref="Y112:AA113" si="1">+Y60+Y90</f>
        <v>-1893.4847739275028</v>
      </c>
      <c r="Z112" s="423">
        <f t="shared" si="1"/>
        <v>-1942.4434752927809</v>
      </c>
      <c r="AA112" s="423">
        <f t="shared" si="1"/>
        <v>-2006.3910365780591</v>
      </c>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row>
    <row r="113" spans="1:51" x14ac:dyDescent="0.25">
      <c r="A113" s="753"/>
      <c r="B113" s="753"/>
      <c r="C113" s="753"/>
      <c r="D113" s="753"/>
      <c r="E113" s="11"/>
      <c r="F113" s="11"/>
      <c r="G113" s="281"/>
      <c r="H113" s="296"/>
      <c r="I113" s="296"/>
      <c r="J113" s="296"/>
      <c r="K113" s="296"/>
      <c r="L113" s="296"/>
      <c r="M113" s="296"/>
      <c r="N113" s="296"/>
      <c r="O113" s="296"/>
      <c r="P113" s="296"/>
      <c r="Q113" s="296"/>
      <c r="R113" s="296"/>
      <c r="S113" s="11" t="s">
        <v>1260</v>
      </c>
      <c r="T113" s="660">
        <f t="shared" si="0"/>
        <v>250</v>
      </c>
      <c r="U113" s="660">
        <f t="shared" si="0"/>
        <v>250</v>
      </c>
      <c r="V113" s="660">
        <f t="shared" si="0"/>
        <v>250</v>
      </c>
      <c r="W113" s="11"/>
      <c r="X113" s="11" t="s">
        <v>1260</v>
      </c>
      <c r="Y113" s="660">
        <f t="shared" si="1"/>
        <v>250</v>
      </c>
      <c r="Z113" s="660">
        <f t="shared" si="1"/>
        <v>250</v>
      </c>
      <c r="AA113" s="660">
        <f t="shared" si="1"/>
        <v>250</v>
      </c>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row>
    <row r="114" spans="1:51" ht="4.5" customHeight="1" x14ac:dyDescent="0.25">
      <c r="A114" s="753"/>
      <c r="B114" s="753"/>
      <c r="C114" s="753"/>
      <c r="D114" s="753"/>
      <c r="E114" s="11"/>
      <c r="F114" s="11"/>
      <c r="G114" s="281"/>
      <c r="H114" s="296"/>
      <c r="I114" s="296"/>
      <c r="J114" s="296"/>
      <c r="K114" s="296"/>
      <c r="L114" s="296"/>
      <c r="M114" s="296"/>
      <c r="N114" s="296"/>
      <c r="O114" s="296"/>
      <c r="P114" s="296"/>
      <c r="Q114" s="296"/>
      <c r="R114" s="296"/>
      <c r="S114" s="275"/>
      <c r="T114" s="460" t="s">
        <v>1151</v>
      </c>
      <c r="U114" s="460" t="s">
        <v>1151</v>
      </c>
      <c r="V114" s="460" t="s">
        <v>1151</v>
      </c>
      <c r="W114" s="11"/>
      <c r="X114" s="275"/>
      <c r="Y114" s="460" t="s">
        <v>1151</v>
      </c>
      <c r="Z114" s="460" t="s">
        <v>1151</v>
      </c>
      <c r="AA114" s="460" t="s">
        <v>1151</v>
      </c>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row>
    <row r="115" spans="1:51" x14ac:dyDescent="0.25">
      <c r="A115" s="753"/>
      <c r="B115" s="753"/>
      <c r="C115" s="753"/>
      <c r="D115" s="753"/>
      <c r="E115" s="11"/>
      <c r="F115" s="11"/>
      <c r="G115" s="281"/>
      <c r="H115" s="296"/>
      <c r="I115" s="296"/>
      <c r="J115" s="296"/>
      <c r="K115" s="296"/>
      <c r="L115" s="296"/>
      <c r="M115" s="296"/>
      <c r="N115" s="296"/>
      <c r="O115" s="296"/>
      <c r="P115" s="296"/>
      <c r="Q115" s="296"/>
      <c r="R115" s="296"/>
      <c r="S115" s="11" t="s">
        <v>1261</v>
      </c>
      <c r="T115" s="660">
        <f>+T112+T113</f>
        <v>-4849.8862251529927</v>
      </c>
      <c r="U115" s="660">
        <f>+U112+U113</f>
        <v>-5261.5601900669808</v>
      </c>
      <c r="V115" s="660">
        <f>+V112+V113</f>
        <v>-5681.5736985159238</v>
      </c>
      <c r="W115" s="11"/>
      <c r="X115" s="11" t="s">
        <v>1261</v>
      </c>
      <c r="Y115" s="660">
        <f>+Y112+Y113</f>
        <v>-1643.4847739275028</v>
      </c>
      <c r="Z115" s="660">
        <f>+Z112+Z113</f>
        <v>-1692.4434752927809</v>
      </c>
      <c r="AA115" s="660">
        <f>+AA112+AA113</f>
        <v>-1756.3910365780591</v>
      </c>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row>
    <row r="116" spans="1:51" x14ac:dyDescent="0.25">
      <c r="A116" s="753"/>
      <c r="B116" s="753"/>
      <c r="C116" s="753"/>
      <c r="D116" s="753"/>
      <c r="E116" s="11"/>
      <c r="F116" s="11"/>
      <c r="G116" s="281"/>
      <c r="H116" s="296"/>
      <c r="I116" s="296"/>
      <c r="J116" s="296"/>
      <c r="K116" s="296"/>
      <c r="L116" s="296"/>
      <c r="M116" s="296"/>
      <c r="N116" s="296"/>
      <c r="O116" s="296"/>
      <c r="P116" s="296"/>
      <c r="Q116" s="296"/>
      <c r="R116" s="296"/>
      <c r="S116" s="432" t="s">
        <v>1470</v>
      </c>
      <c r="T116" s="407">
        <f>+T110+T115</f>
        <v>5445.9863092614314</v>
      </c>
      <c r="U116" s="407">
        <f>+U110+U115</f>
        <v>7330.1898864991217</v>
      </c>
      <c r="V116" s="1810">
        <f>+V110+V115</f>
        <v>10121.088493081174</v>
      </c>
      <c r="W116" s="11"/>
      <c r="X116" s="432" t="s">
        <v>1470</v>
      </c>
      <c r="Y116" s="407">
        <f>+Y110+Y115</f>
        <v>528.64809769936755</v>
      </c>
      <c r="Z116" s="1810">
        <f>+Z110+Z115</f>
        <v>1080.701421650936</v>
      </c>
      <c r="AA116" s="1810">
        <f>+AA110+AA115</f>
        <v>2008.4256694064709</v>
      </c>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row>
    <row r="117" spans="1:51" ht="8.25" customHeight="1" x14ac:dyDescent="0.25">
      <c r="A117" s="753"/>
      <c r="B117" s="753"/>
      <c r="C117" s="753"/>
      <c r="D117" s="753"/>
      <c r="E117" s="11"/>
      <c r="F117" s="11"/>
      <c r="G117" s="281"/>
      <c r="H117" s="296"/>
      <c r="I117" s="296"/>
      <c r="J117" s="296"/>
      <c r="K117" s="296"/>
      <c r="L117" s="296"/>
      <c r="M117" s="296"/>
      <c r="N117" s="296"/>
      <c r="O117" s="296"/>
      <c r="P117" s="296"/>
      <c r="Q117" s="296"/>
      <c r="R117" s="296"/>
      <c r="S117" s="275"/>
      <c r="T117" s="971"/>
      <c r="U117" s="971"/>
      <c r="V117" s="971"/>
      <c r="W117" s="11"/>
      <c r="X117" s="275"/>
      <c r="Y117" s="971"/>
      <c r="Z117" s="971"/>
      <c r="AA117" s="97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row>
    <row r="118" spans="1:51" x14ac:dyDescent="0.25">
      <c r="A118" s="753"/>
      <c r="B118" s="753"/>
      <c r="C118" s="753"/>
      <c r="D118" s="753"/>
      <c r="E118" s="11"/>
      <c r="F118" s="11"/>
      <c r="G118" s="281"/>
      <c r="H118" s="296"/>
      <c r="I118" s="296"/>
      <c r="J118" s="296"/>
      <c r="K118" s="296"/>
      <c r="L118" s="296"/>
      <c r="M118" s="296"/>
      <c r="N118" s="296"/>
      <c r="O118" s="296"/>
      <c r="P118" s="296"/>
      <c r="Q118" s="296"/>
      <c r="R118" s="296"/>
      <c r="S118" s="432" t="s">
        <v>1367</v>
      </c>
      <c r="T118" s="1816">
        <f>+T97+T68</f>
        <v>60.845991016994006</v>
      </c>
      <c r="U118" s="1816">
        <f>+U97+U68</f>
        <v>81.861244699851085</v>
      </c>
      <c r="V118" s="1721">
        <f>+V97+V68</f>
        <v>112.89179854591333</v>
      </c>
      <c r="W118" s="11"/>
      <c r="X118" s="432" t="s">
        <v>1367</v>
      </c>
      <c r="Y118" s="1816">
        <f>+Y97+Y68</f>
        <v>5.4200021854455329</v>
      </c>
      <c r="Z118" s="1721">
        <f>+Z97+Z68</f>
        <v>11.348811765480935</v>
      </c>
      <c r="AA118" s="1721">
        <f>+AA97+AA68</f>
        <v>21.344577368444547</v>
      </c>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row>
    <row r="119" spans="1:51" ht="4.5" customHeight="1" x14ac:dyDescent="0.25">
      <c r="A119" s="753"/>
      <c r="B119" s="753"/>
      <c r="C119" s="753"/>
      <c r="D119" s="753"/>
      <c r="E119" s="11"/>
      <c r="F119" s="11"/>
      <c r="G119" s="281"/>
      <c r="H119" s="296"/>
      <c r="I119" s="296"/>
      <c r="J119" s="296"/>
      <c r="K119" s="296"/>
      <c r="L119" s="296"/>
      <c r="M119" s="296"/>
      <c r="N119" s="296"/>
      <c r="O119" s="296"/>
      <c r="P119" s="296"/>
      <c r="Q119" s="296"/>
      <c r="R119" s="296"/>
      <c r="S119" s="11"/>
      <c r="T119" s="388"/>
      <c r="U119" s="388"/>
      <c r="V119" s="388"/>
      <c r="W119" s="11"/>
      <c r="X119" s="11"/>
      <c r="Y119" s="11"/>
      <c r="Z119" s="388"/>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row>
    <row r="120" spans="1:51" x14ac:dyDescent="0.25">
      <c r="A120" s="753"/>
      <c r="B120" s="753"/>
      <c r="C120" s="753"/>
      <c r="D120" s="753"/>
      <c r="E120" s="11"/>
      <c r="F120" s="11"/>
      <c r="G120" s="281"/>
      <c r="H120" s="296"/>
      <c r="I120" s="296"/>
      <c r="J120" s="296"/>
      <c r="K120" s="296"/>
      <c r="L120" s="296"/>
      <c r="M120" s="296"/>
      <c r="N120" s="296"/>
      <c r="O120" s="296"/>
      <c r="P120" s="296"/>
      <c r="Q120" s="296"/>
      <c r="R120" s="296"/>
      <c r="S120" s="11" t="s">
        <v>1081</v>
      </c>
      <c r="T120" s="388">
        <f>+T70</f>
        <v>3.3376000000000001</v>
      </c>
      <c r="U120" s="388">
        <f>+T120</f>
        <v>3.3376000000000001</v>
      </c>
      <c r="V120" s="388">
        <f>+U120</f>
        <v>3.3376000000000001</v>
      </c>
      <c r="W120" s="11"/>
      <c r="X120" s="11" t="s">
        <v>1081</v>
      </c>
      <c r="Y120" s="388">
        <f>+Y70</f>
        <v>3.3376000000000001</v>
      </c>
      <c r="Z120" s="388">
        <f>+Y120</f>
        <v>3.3376000000000001</v>
      </c>
      <c r="AA120" s="388">
        <f>+Z120</f>
        <v>3.3376000000000001</v>
      </c>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row>
    <row r="121" spans="1:51" ht="4.5" customHeight="1" x14ac:dyDescent="0.25">
      <c r="A121" s="753"/>
      <c r="B121" s="753"/>
      <c r="C121" s="753"/>
      <c r="D121" s="753"/>
      <c r="E121" s="11"/>
      <c r="F121" s="11"/>
      <c r="G121" s="281"/>
      <c r="H121" s="296"/>
      <c r="I121" s="296"/>
      <c r="J121" s="296"/>
      <c r="K121" s="296"/>
      <c r="L121" s="296"/>
      <c r="M121" s="296"/>
      <c r="N121" s="296"/>
      <c r="O121" s="296"/>
      <c r="P121" s="296"/>
      <c r="Q121" s="296"/>
      <c r="R121" s="296"/>
      <c r="S121" s="11"/>
      <c r="T121" s="388"/>
      <c r="U121" s="388"/>
      <c r="V121" s="388"/>
      <c r="W121" s="11"/>
      <c r="X121" s="11"/>
      <c r="Y121" s="11"/>
      <c r="Z121" s="388"/>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row>
    <row r="122" spans="1:51" x14ac:dyDescent="0.25">
      <c r="A122" s="753"/>
      <c r="B122" s="753"/>
      <c r="C122" s="753"/>
      <c r="D122" s="753"/>
      <c r="E122" s="11"/>
      <c r="F122" s="11"/>
      <c r="G122" s="281"/>
      <c r="H122" s="296"/>
      <c r="I122" s="296"/>
      <c r="J122" s="296"/>
      <c r="K122" s="296"/>
      <c r="L122" s="296"/>
      <c r="M122" s="296"/>
      <c r="N122" s="296"/>
      <c r="O122" s="296"/>
      <c r="P122" s="296"/>
      <c r="Q122" s="296"/>
      <c r="R122" s="296"/>
      <c r="S122" s="432" t="s">
        <v>1369</v>
      </c>
      <c r="T122" s="1816">
        <f>+ROUND((T118+T120),0)</f>
        <v>64</v>
      </c>
      <c r="U122" s="1816">
        <f>+ROUND((U118+U120),0)</f>
        <v>85</v>
      </c>
      <c r="V122" s="1721">
        <f>+ROUND((V118+V120),0)</f>
        <v>116</v>
      </c>
      <c r="W122" s="11"/>
      <c r="X122" s="432" t="s">
        <v>1996</v>
      </c>
      <c r="Y122" s="1816">
        <f>+ROUND((Y118+Y120),0)</f>
        <v>9</v>
      </c>
      <c r="Z122" s="1721">
        <f>+ROUND((Z118+Z120),0)</f>
        <v>15</v>
      </c>
      <c r="AA122" s="1721">
        <f>+ROUND((AA118+AA120),0)</f>
        <v>25</v>
      </c>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row>
    <row r="123" spans="1:51" x14ac:dyDescent="0.25">
      <c r="A123" s="753"/>
      <c r="B123" s="753"/>
      <c r="C123" s="753"/>
      <c r="D123" s="753"/>
      <c r="E123" s="11"/>
      <c r="F123" s="11"/>
      <c r="G123" s="281"/>
      <c r="H123" s="296"/>
      <c r="I123" s="296"/>
      <c r="J123" s="296"/>
      <c r="K123" s="296"/>
      <c r="L123" s="296"/>
      <c r="M123" s="296"/>
      <c r="N123" s="296"/>
      <c r="O123" s="296"/>
      <c r="P123" s="296"/>
      <c r="Q123" s="296"/>
      <c r="R123" s="296"/>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row>
    <row r="124" spans="1:51" x14ac:dyDescent="0.25">
      <c r="A124" s="753"/>
      <c r="B124" s="753"/>
      <c r="C124" s="753"/>
      <c r="D124" s="753"/>
      <c r="E124" s="11"/>
      <c r="F124" s="11"/>
      <c r="G124" s="281"/>
      <c r="H124" s="296"/>
      <c r="I124" s="296"/>
      <c r="J124" s="296"/>
      <c r="K124" s="296"/>
      <c r="L124" s="296"/>
      <c r="M124" s="296"/>
      <c r="N124" s="296"/>
      <c r="O124" s="296"/>
      <c r="P124" s="296"/>
      <c r="Q124" s="296"/>
      <c r="R124" s="296"/>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row>
    <row r="125" spans="1:51" x14ac:dyDescent="0.25">
      <c r="A125" s="753"/>
      <c r="B125" s="753"/>
      <c r="C125" s="753"/>
      <c r="D125" s="753"/>
      <c r="E125" s="11"/>
      <c r="F125" s="11"/>
      <c r="G125" s="281"/>
      <c r="H125" s="296"/>
      <c r="I125" s="296"/>
      <c r="J125" s="296"/>
      <c r="K125" s="296"/>
      <c r="L125" s="296"/>
      <c r="M125" s="296"/>
      <c r="N125" s="296"/>
      <c r="O125" s="296"/>
      <c r="P125" s="296"/>
      <c r="Q125" s="296"/>
      <c r="R125" s="296"/>
      <c r="S125" s="11"/>
      <c r="T125" s="11"/>
      <c r="U125" s="11"/>
      <c r="V125" s="11"/>
      <c r="W125" s="11"/>
      <c r="X125" s="11" t="s">
        <v>1767</v>
      </c>
      <c r="Y125" s="11"/>
      <c r="Z125" s="1733">
        <v>44.15</v>
      </c>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row>
    <row r="126" spans="1:51" x14ac:dyDescent="0.25">
      <c r="A126" s="753"/>
      <c r="B126" s="753"/>
      <c r="C126" s="753"/>
      <c r="D126" s="753"/>
      <c r="E126" s="11"/>
      <c r="F126" s="11"/>
      <c r="G126" s="281"/>
      <c r="H126" s="296"/>
      <c r="I126" s="296"/>
      <c r="J126" s="296"/>
      <c r="K126" s="296"/>
      <c r="L126" s="296"/>
      <c r="M126" s="296"/>
      <c r="N126" s="296"/>
      <c r="O126" s="296"/>
      <c r="P126" s="296"/>
      <c r="Q126" s="296"/>
      <c r="R126" s="296"/>
      <c r="S126" s="11"/>
      <c r="T126" s="11"/>
      <c r="U126" s="11"/>
      <c r="V126" s="11"/>
      <c r="W126" s="11"/>
      <c r="X126" s="11" t="s">
        <v>1768</v>
      </c>
      <c r="Y126" s="11"/>
      <c r="Z126" s="2490">
        <f>+(((Z125-Z70)*Z66)-Z63)/Z56</f>
        <v>19.365623238240293</v>
      </c>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row>
    <row r="127" spans="1:51" x14ac:dyDescent="0.25">
      <c r="A127" s="753"/>
      <c r="B127" s="753"/>
      <c r="C127" s="753"/>
      <c r="D127" s="753"/>
      <c r="E127" s="11"/>
      <c r="F127" s="11"/>
      <c r="G127" s="281"/>
      <c r="H127" s="296"/>
      <c r="I127" s="296"/>
      <c r="J127" s="296"/>
      <c r="K127" s="296"/>
      <c r="L127" s="296"/>
      <c r="M127" s="296"/>
      <c r="N127" s="296"/>
      <c r="O127" s="296"/>
      <c r="P127" s="296"/>
      <c r="Q127" s="296"/>
      <c r="R127" s="296"/>
      <c r="S127" s="11"/>
      <c r="T127" s="11"/>
      <c r="U127" s="11"/>
      <c r="V127" s="11"/>
      <c r="W127" s="11"/>
      <c r="X127" s="11" t="s">
        <v>1769</v>
      </c>
      <c r="Y127" s="11"/>
      <c r="Z127" s="280">
        <f>+Z73/(Z125-Z70)</f>
        <v>2.8952381402655311E-2</v>
      </c>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row>
    <row r="128" spans="1:51" x14ac:dyDescent="0.25">
      <c r="A128" s="753"/>
      <c r="B128" s="753"/>
      <c r="C128" s="753"/>
      <c r="D128" s="753"/>
      <c r="E128" s="11"/>
      <c r="F128" s="11"/>
      <c r="G128" s="281"/>
      <c r="H128" s="296"/>
      <c r="I128" s="296"/>
      <c r="J128" s="296"/>
      <c r="K128" s="296"/>
      <c r="L128" s="296"/>
      <c r="M128" s="296"/>
      <c r="N128" s="296"/>
      <c r="O128" s="296"/>
      <c r="P128" s="296"/>
      <c r="Q128" s="296"/>
      <c r="R128" s="296"/>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row>
    <row r="129" spans="1:51" x14ac:dyDescent="0.25">
      <c r="A129" s="753"/>
      <c r="B129" s="753"/>
      <c r="C129" s="753"/>
      <c r="D129" s="753"/>
      <c r="E129" s="11"/>
      <c r="F129" s="11"/>
      <c r="G129" s="281"/>
      <c r="H129" s="296"/>
      <c r="I129" s="296"/>
      <c r="J129" s="296"/>
      <c r="K129" s="296"/>
      <c r="L129" s="296"/>
      <c r="M129" s="296"/>
      <c r="N129" s="296"/>
      <c r="O129" s="296"/>
      <c r="P129" s="296"/>
      <c r="Q129" s="296"/>
      <c r="R129" s="296"/>
      <c r="S129" s="11"/>
      <c r="T129" s="11"/>
      <c r="U129" s="11"/>
      <c r="V129" s="11"/>
      <c r="W129" s="11"/>
      <c r="X129" s="11" t="s">
        <v>1770</v>
      </c>
      <c r="Y129" s="11"/>
      <c r="Z129" s="1733">
        <v>14.25</v>
      </c>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row>
    <row r="130" spans="1:51" x14ac:dyDescent="0.25">
      <c r="A130" s="753"/>
      <c r="B130" s="753"/>
      <c r="C130" s="753"/>
      <c r="D130" s="753"/>
      <c r="E130" s="11"/>
      <c r="F130" s="11"/>
      <c r="G130" s="281"/>
      <c r="H130" s="296"/>
      <c r="I130" s="296"/>
      <c r="J130" s="296"/>
      <c r="K130" s="296"/>
      <c r="L130" s="296"/>
      <c r="M130" s="296"/>
      <c r="N130" s="296"/>
      <c r="O130" s="296"/>
      <c r="P130" s="296"/>
      <c r="Q130" s="296"/>
      <c r="R130" s="296"/>
      <c r="S130" s="11"/>
      <c r="T130" s="11"/>
      <c r="U130" s="11"/>
      <c r="V130" s="11"/>
      <c r="W130" s="11"/>
      <c r="X130" s="11" t="s">
        <v>1768</v>
      </c>
      <c r="Y130" s="11"/>
      <c r="Z130" s="2490">
        <f>+((Z129*Z96)-Z93)/Z86</f>
        <v>-2.475319298977031</v>
      </c>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row>
    <row r="131" spans="1:51" x14ac:dyDescent="0.25">
      <c r="A131" s="753"/>
      <c r="B131" s="753"/>
      <c r="C131" s="753"/>
      <c r="D131" s="753"/>
      <c r="E131" s="11"/>
      <c r="F131" s="11"/>
      <c r="G131" s="281"/>
      <c r="H131" s="296"/>
      <c r="I131" s="296"/>
      <c r="J131" s="296"/>
      <c r="K131" s="296"/>
      <c r="L131" s="296"/>
      <c r="M131" s="296"/>
      <c r="N131" s="296"/>
      <c r="O131" s="296"/>
      <c r="P131" s="296"/>
      <c r="Q131" s="296"/>
      <c r="R131" s="296"/>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row>
    <row r="132" spans="1:51" x14ac:dyDescent="0.25">
      <c r="A132" s="753"/>
      <c r="B132" s="753"/>
      <c r="C132" s="753"/>
      <c r="D132" s="753"/>
      <c r="E132" s="11"/>
      <c r="F132" s="11"/>
      <c r="G132" s="281"/>
      <c r="H132" s="296"/>
      <c r="I132" s="296"/>
      <c r="J132" s="296"/>
      <c r="K132" s="296"/>
      <c r="L132" s="296"/>
      <c r="M132" s="296"/>
      <c r="N132" s="296"/>
      <c r="O132" s="296"/>
      <c r="P132" s="296"/>
      <c r="Q132" s="296"/>
      <c r="R132" s="296"/>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row>
    <row r="133" spans="1:51" x14ac:dyDescent="0.25">
      <c r="A133" s="753"/>
      <c r="B133" s="753"/>
      <c r="C133" s="753"/>
      <c r="D133" s="753"/>
      <c r="E133" s="11"/>
      <c r="F133" s="11"/>
      <c r="G133" s="281"/>
      <c r="H133" s="296"/>
      <c r="I133" s="296"/>
      <c r="J133" s="296"/>
      <c r="K133" s="296"/>
      <c r="L133" s="296"/>
      <c r="M133" s="296"/>
      <c r="N133" s="296"/>
      <c r="O133" s="296"/>
      <c r="P133" s="296"/>
      <c r="Q133" s="296"/>
      <c r="R133" s="296"/>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row>
    <row r="134" spans="1:51" x14ac:dyDescent="0.25">
      <c r="A134" s="753"/>
      <c r="B134" s="753"/>
      <c r="C134" s="753"/>
      <c r="D134" s="753"/>
      <c r="E134" s="11"/>
      <c r="F134" s="11"/>
      <c r="G134" s="281"/>
      <c r="H134" s="296"/>
      <c r="I134" s="296"/>
      <c r="J134" s="296"/>
      <c r="K134" s="296"/>
      <c r="L134" s="296"/>
      <c r="M134" s="296"/>
      <c r="N134" s="296"/>
      <c r="O134" s="296"/>
      <c r="P134" s="296"/>
      <c r="Q134" s="296"/>
      <c r="R134" s="296"/>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row>
    <row r="135" spans="1:51" x14ac:dyDescent="0.25">
      <c r="A135" s="753"/>
      <c r="B135" s="753"/>
      <c r="C135" s="753"/>
      <c r="D135" s="753"/>
      <c r="E135" s="11"/>
      <c r="F135" s="11"/>
      <c r="G135" s="281"/>
      <c r="H135" s="296"/>
      <c r="I135" s="296"/>
      <c r="J135" s="296"/>
      <c r="K135" s="296"/>
      <c r="L135" s="296"/>
      <c r="M135" s="296"/>
      <c r="N135" s="296"/>
      <c r="O135" s="296"/>
      <c r="P135" s="296"/>
      <c r="Q135" s="296"/>
      <c r="R135" s="296"/>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row>
    <row r="136" spans="1:51" x14ac:dyDescent="0.25">
      <c r="A136" s="753"/>
      <c r="B136" s="753"/>
      <c r="C136" s="753"/>
      <c r="D136" s="753"/>
      <c r="E136" s="11"/>
      <c r="F136" s="11"/>
      <c r="G136" s="281"/>
      <c r="H136" s="296"/>
      <c r="I136" s="296"/>
      <c r="J136" s="296"/>
      <c r="K136" s="296"/>
      <c r="L136" s="296"/>
      <c r="M136" s="296"/>
      <c r="N136" s="296"/>
      <c r="O136" s="296"/>
      <c r="P136" s="296"/>
      <c r="Q136" s="296"/>
      <c r="R136" s="296"/>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row>
    <row r="137" spans="1:51" x14ac:dyDescent="0.25">
      <c r="A137" s="753"/>
      <c r="B137" s="753"/>
      <c r="C137" s="753"/>
      <c r="D137" s="753"/>
      <c r="E137" s="11"/>
      <c r="F137" s="11"/>
      <c r="G137" s="281"/>
      <c r="H137" s="296"/>
      <c r="I137" s="296"/>
      <c r="J137" s="296"/>
      <c r="K137" s="296"/>
      <c r="L137" s="296"/>
      <c r="M137" s="296"/>
      <c r="N137" s="296"/>
      <c r="O137" s="296"/>
      <c r="P137" s="296"/>
      <c r="Q137" s="296"/>
      <c r="R137" s="296"/>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row>
    <row r="138" spans="1:51" x14ac:dyDescent="0.25">
      <c r="A138" s="753"/>
      <c r="B138" s="753"/>
      <c r="C138" s="753"/>
      <c r="D138" s="753"/>
      <c r="E138" s="11"/>
      <c r="F138" s="11"/>
      <c r="G138" s="281"/>
      <c r="H138" s="296"/>
      <c r="I138" s="296"/>
      <c r="J138" s="296"/>
      <c r="K138" s="296"/>
      <c r="L138" s="296"/>
      <c r="M138" s="296"/>
      <c r="N138" s="296"/>
      <c r="O138" s="296"/>
      <c r="P138" s="296"/>
      <c r="Q138" s="296"/>
      <c r="R138" s="296"/>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row>
    <row r="139" spans="1:51" x14ac:dyDescent="0.25">
      <c r="A139" s="753"/>
      <c r="B139" s="753"/>
      <c r="C139" s="753"/>
      <c r="D139" s="753"/>
      <c r="E139" s="11"/>
      <c r="F139" s="11"/>
      <c r="G139" s="281"/>
      <c r="H139" s="296"/>
      <c r="I139" s="296"/>
      <c r="J139" s="296"/>
      <c r="K139" s="296"/>
      <c r="L139" s="296"/>
      <c r="M139" s="296"/>
      <c r="N139" s="296"/>
      <c r="O139" s="296"/>
      <c r="P139" s="296"/>
      <c r="Q139" s="296"/>
      <c r="R139" s="296"/>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row>
    <row r="140" spans="1:51" x14ac:dyDescent="0.25">
      <c r="A140" s="753"/>
      <c r="B140" s="753"/>
      <c r="C140" s="753"/>
      <c r="D140" s="753"/>
      <c r="E140" s="11"/>
      <c r="F140" s="11"/>
      <c r="G140" s="281"/>
      <c r="H140" s="296"/>
      <c r="I140" s="296"/>
      <c r="J140" s="296"/>
      <c r="K140" s="296"/>
      <c r="L140" s="296"/>
      <c r="M140" s="296"/>
      <c r="N140" s="296"/>
      <c r="O140" s="296"/>
      <c r="P140" s="296"/>
      <c r="Q140" s="296"/>
      <c r="R140" s="296"/>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row>
    <row r="141" spans="1:51" x14ac:dyDescent="0.25">
      <c r="A141" s="753"/>
      <c r="B141" s="753"/>
      <c r="C141" s="753"/>
      <c r="D141" s="753"/>
      <c r="E141" s="11"/>
      <c r="F141" s="11"/>
      <c r="G141" s="281"/>
      <c r="H141" s="296"/>
      <c r="I141" s="296"/>
      <c r="J141" s="296"/>
      <c r="K141" s="296"/>
      <c r="L141" s="296"/>
      <c r="M141" s="296"/>
      <c r="N141" s="296"/>
      <c r="O141" s="296"/>
      <c r="P141" s="296"/>
      <c r="Q141" s="296"/>
      <c r="R141" s="296"/>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row>
    <row r="142" spans="1:51" x14ac:dyDescent="0.25">
      <c r="A142" s="753"/>
      <c r="B142" s="753"/>
      <c r="C142" s="753"/>
      <c r="D142" s="753"/>
      <c r="E142" s="11"/>
      <c r="F142" s="11"/>
      <c r="G142" s="281"/>
      <c r="H142" s="296"/>
      <c r="I142" s="296"/>
      <c r="J142" s="296"/>
      <c r="K142" s="296"/>
      <c r="L142" s="296"/>
      <c r="M142" s="296"/>
      <c r="N142" s="296"/>
      <c r="O142" s="296"/>
      <c r="P142" s="296"/>
      <c r="Q142" s="296"/>
      <c r="R142" s="296"/>
      <c r="S142" s="11"/>
      <c r="T142" s="11"/>
      <c r="U142" s="11"/>
      <c r="V142" s="11"/>
      <c r="W142" s="11"/>
      <c r="X142" s="11"/>
      <c r="Y142" s="11"/>
      <c r="Z142" s="11"/>
      <c r="AA142" s="11"/>
      <c r="AB142" s="11"/>
      <c r="AC142" s="2264" t="s">
        <v>17</v>
      </c>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row>
    <row r="143" spans="1:51" x14ac:dyDescent="0.25">
      <c r="A143" s="753"/>
      <c r="B143" s="753"/>
      <c r="C143" s="753"/>
      <c r="D143" s="753"/>
      <c r="E143" s="11"/>
      <c r="F143" s="11"/>
      <c r="G143" s="281"/>
      <c r="H143" s="296"/>
      <c r="I143" s="296"/>
      <c r="J143" s="296"/>
      <c r="K143" s="296"/>
      <c r="L143" s="296"/>
      <c r="M143" s="296"/>
      <c r="N143" s="296"/>
      <c r="O143" s="296"/>
      <c r="P143" s="296"/>
      <c r="Q143" s="296"/>
      <c r="R143" s="296"/>
      <c r="S143" s="11"/>
      <c r="T143" s="11"/>
      <c r="U143" s="11"/>
      <c r="V143" s="11"/>
      <c r="W143" s="11"/>
      <c r="X143" s="11"/>
      <c r="Y143" s="11"/>
      <c r="Z143" s="11"/>
      <c r="AA143" s="11"/>
      <c r="AB143" s="11"/>
      <c r="AC143" s="11" t="s">
        <v>821</v>
      </c>
      <c r="AD143" s="11">
        <f>+PENN!AS1339</f>
        <v>217.43200000000004</v>
      </c>
      <c r="AE143" s="11"/>
      <c r="AF143" s="11"/>
      <c r="AG143" s="11"/>
      <c r="AH143" s="11"/>
      <c r="AI143" s="11"/>
      <c r="AJ143" s="11"/>
      <c r="AK143" s="11"/>
      <c r="AL143" s="11"/>
      <c r="AM143" s="11"/>
      <c r="AN143" s="11"/>
      <c r="AO143" s="11"/>
      <c r="AP143" s="11"/>
      <c r="AQ143" s="11"/>
      <c r="AR143" s="11"/>
      <c r="AS143" s="11"/>
      <c r="AT143" s="11"/>
      <c r="AU143" s="11"/>
      <c r="AV143" s="11"/>
      <c r="AW143" s="11"/>
      <c r="AX143" s="11"/>
      <c r="AY143" s="11"/>
    </row>
    <row r="144" spans="1:51" x14ac:dyDescent="0.25">
      <c r="A144" s="753"/>
      <c r="B144" s="753"/>
      <c r="C144" s="753"/>
      <c r="D144" s="753"/>
      <c r="E144" s="11"/>
      <c r="F144" s="11"/>
      <c r="G144" s="281"/>
      <c r="H144" s="296"/>
      <c r="I144" s="296"/>
      <c r="J144" s="296"/>
      <c r="K144" s="296"/>
      <c r="L144" s="296"/>
      <c r="M144" s="296"/>
      <c r="N144" s="296"/>
      <c r="O144" s="296"/>
      <c r="P144" s="296"/>
      <c r="Q144" s="296"/>
      <c r="R144" s="296"/>
      <c r="S144" s="11"/>
      <c r="T144" s="11"/>
      <c r="U144" s="11"/>
      <c r="V144" s="11"/>
      <c r="W144" s="11"/>
      <c r="X144" s="11"/>
      <c r="Y144" s="11"/>
      <c r="Z144" s="11"/>
      <c r="AA144" s="11"/>
      <c r="AB144" s="11"/>
      <c r="AC144" s="11" t="s">
        <v>822</v>
      </c>
      <c r="AD144" s="11">
        <f>+PENN!AS1402</f>
        <v>2178.0149999999999</v>
      </c>
      <c r="AE144" s="11"/>
      <c r="AF144" s="11"/>
      <c r="AG144" s="11"/>
      <c r="AH144" s="11"/>
      <c r="AI144" s="11"/>
      <c r="AJ144" s="11"/>
      <c r="AK144" s="11"/>
      <c r="AL144" s="11"/>
      <c r="AM144" s="11"/>
      <c r="AN144" s="11"/>
      <c r="AO144" s="11"/>
      <c r="AP144" s="11"/>
      <c r="AQ144" s="11"/>
      <c r="AR144" s="11"/>
      <c r="AS144" s="11"/>
      <c r="AT144" s="11"/>
      <c r="AU144" s="11"/>
      <c r="AV144" s="11"/>
      <c r="AW144" s="11"/>
      <c r="AX144" s="11"/>
      <c r="AY144" s="11"/>
    </row>
    <row r="145" spans="1:51" x14ac:dyDescent="0.25">
      <c r="A145" s="753"/>
      <c r="B145" s="753"/>
      <c r="C145" s="753"/>
      <c r="D145" s="753"/>
      <c r="E145" s="11"/>
      <c r="F145" s="11"/>
      <c r="G145" s="281"/>
      <c r="H145" s="296"/>
      <c r="I145" s="296"/>
      <c r="J145" s="296"/>
      <c r="K145" s="296"/>
      <c r="L145" s="296"/>
      <c r="M145" s="296"/>
      <c r="N145" s="296"/>
      <c r="O145" s="296"/>
      <c r="P145" s="296"/>
      <c r="Q145" s="296"/>
      <c r="R145" s="296"/>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row>
    <row r="146" spans="1:51" x14ac:dyDescent="0.25">
      <c r="A146" s="753"/>
      <c r="B146" s="753"/>
      <c r="C146" s="753"/>
      <c r="D146" s="753"/>
      <c r="E146" s="11"/>
      <c r="F146" s="11"/>
      <c r="G146" s="281"/>
      <c r="H146" s="296"/>
      <c r="I146" s="296"/>
      <c r="J146" s="296"/>
      <c r="K146" s="296"/>
      <c r="L146" s="296"/>
      <c r="M146" s="296"/>
      <c r="N146" s="296"/>
      <c r="O146" s="296"/>
      <c r="P146" s="296"/>
      <c r="Q146" s="296"/>
      <c r="R146" s="296"/>
      <c r="S146" s="11"/>
      <c r="T146" s="11"/>
      <c r="U146" s="11"/>
      <c r="V146" s="11"/>
      <c r="W146" s="11"/>
      <c r="X146" s="11"/>
      <c r="Y146" s="11"/>
      <c r="Z146" s="11"/>
      <c r="AA146" s="11"/>
      <c r="AB146" s="11"/>
      <c r="AC146" s="11" t="s">
        <v>823</v>
      </c>
      <c r="AD146" s="1101">
        <v>610</v>
      </c>
      <c r="AE146" s="11"/>
      <c r="AF146" s="11"/>
      <c r="AG146" s="11"/>
      <c r="AH146" s="11"/>
      <c r="AI146" s="11"/>
      <c r="AJ146" s="11"/>
      <c r="AK146" s="11"/>
      <c r="AL146" s="11"/>
      <c r="AM146" s="11"/>
      <c r="AN146" s="11"/>
      <c r="AO146" s="11"/>
      <c r="AP146" s="11"/>
      <c r="AQ146" s="11"/>
      <c r="AR146" s="11"/>
      <c r="AS146" s="11"/>
      <c r="AT146" s="11"/>
      <c r="AU146" s="11"/>
      <c r="AV146" s="11"/>
      <c r="AW146" s="11"/>
      <c r="AX146" s="11"/>
      <c r="AY146" s="11"/>
    </row>
    <row r="147" spans="1:51" x14ac:dyDescent="0.25">
      <c r="A147" s="753"/>
      <c r="B147" s="753"/>
      <c r="C147" s="753"/>
      <c r="D147" s="753"/>
      <c r="E147" s="11"/>
      <c r="F147" s="11"/>
      <c r="G147" s="281"/>
      <c r="H147" s="296"/>
      <c r="I147" s="296"/>
      <c r="J147" s="296"/>
      <c r="K147" s="296"/>
      <c r="L147" s="296"/>
      <c r="M147" s="296"/>
      <c r="N147" s="296"/>
      <c r="O147" s="296"/>
      <c r="P147" s="296"/>
      <c r="Q147" s="296"/>
      <c r="R147" s="296"/>
      <c r="S147" s="11"/>
      <c r="T147" s="11"/>
      <c r="U147" s="11"/>
      <c r="V147" s="11"/>
      <c r="W147" s="11"/>
      <c r="X147" s="11"/>
      <c r="Y147" s="11"/>
      <c r="Z147" s="11"/>
      <c r="AA147" s="11"/>
      <c r="AB147" s="11"/>
      <c r="AC147" s="11" t="s">
        <v>824</v>
      </c>
      <c r="AD147" s="1101">
        <v>487</v>
      </c>
      <c r="AE147" s="11"/>
      <c r="AF147" s="11"/>
      <c r="AG147" s="11"/>
      <c r="AH147" s="11"/>
      <c r="AI147" s="11"/>
      <c r="AJ147" s="11"/>
      <c r="AK147" s="11"/>
      <c r="AL147" s="11"/>
      <c r="AM147" s="11"/>
      <c r="AN147" s="11"/>
      <c r="AO147" s="11"/>
      <c r="AP147" s="11"/>
      <c r="AQ147" s="11"/>
      <c r="AR147" s="11"/>
      <c r="AS147" s="11"/>
      <c r="AT147" s="11"/>
      <c r="AU147" s="11"/>
      <c r="AV147" s="11"/>
      <c r="AW147" s="11"/>
      <c r="AX147" s="11"/>
      <c r="AY147" s="11"/>
    </row>
    <row r="148" spans="1:51" x14ac:dyDescent="0.25">
      <c r="A148" s="753"/>
      <c r="B148" s="753"/>
      <c r="C148" s="753"/>
      <c r="D148" s="753"/>
      <c r="E148" s="11"/>
      <c r="F148" s="11"/>
      <c r="G148" s="281"/>
      <c r="H148" s="296"/>
      <c r="I148" s="296"/>
      <c r="J148" s="296"/>
      <c r="K148" s="296"/>
      <c r="L148" s="296"/>
      <c r="M148" s="296"/>
      <c r="N148" s="296"/>
      <c r="O148" s="296"/>
      <c r="P148" s="296"/>
      <c r="Q148" s="296"/>
      <c r="R148" s="296"/>
      <c r="S148" s="11"/>
      <c r="T148" s="11"/>
      <c r="U148" s="11"/>
      <c r="V148" s="11"/>
      <c r="W148" s="11"/>
      <c r="X148" s="11"/>
      <c r="Y148" s="11"/>
      <c r="Z148" s="11"/>
      <c r="AA148" s="11"/>
      <c r="AB148" s="11"/>
      <c r="AC148" s="11" t="s">
        <v>825</v>
      </c>
      <c r="AD148" s="11">
        <v>418</v>
      </c>
      <c r="AE148" s="11"/>
      <c r="AF148" s="11"/>
      <c r="AG148" s="11"/>
      <c r="AH148" s="11"/>
      <c r="AI148" s="11"/>
      <c r="AJ148" s="11"/>
      <c r="AK148" s="11"/>
      <c r="AL148" s="11"/>
      <c r="AM148" s="11"/>
      <c r="AN148" s="11"/>
      <c r="AO148" s="11"/>
      <c r="AP148" s="11"/>
      <c r="AQ148" s="11"/>
      <c r="AR148" s="11"/>
      <c r="AS148" s="11"/>
      <c r="AT148" s="11"/>
      <c r="AU148" s="11"/>
      <c r="AV148" s="11"/>
      <c r="AW148" s="11"/>
      <c r="AX148" s="11"/>
      <c r="AY148" s="11"/>
    </row>
    <row r="149" spans="1:51" x14ac:dyDescent="0.25">
      <c r="A149" s="753"/>
      <c r="B149" s="753"/>
      <c r="C149" s="753"/>
      <c r="D149" s="753"/>
      <c r="E149" s="11"/>
      <c r="F149" s="11"/>
      <c r="G149" s="281"/>
      <c r="H149" s="296"/>
      <c r="I149" s="296"/>
      <c r="J149" s="296"/>
      <c r="K149" s="296"/>
      <c r="L149" s="296"/>
      <c r="M149" s="296"/>
      <c r="N149" s="296"/>
      <c r="O149" s="296"/>
      <c r="P149" s="296"/>
      <c r="Q149" s="296"/>
      <c r="R149" s="296"/>
      <c r="S149" s="11"/>
      <c r="T149" s="11"/>
      <c r="U149" s="11"/>
      <c r="V149" s="11"/>
      <c r="W149" s="11"/>
      <c r="X149" s="11"/>
      <c r="Y149" s="11"/>
      <c r="Z149" s="11"/>
      <c r="AA149" s="11"/>
      <c r="AB149" s="11"/>
      <c r="AC149" s="11" t="s">
        <v>826</v>
      </c>
      <c r="AD149" s="11">
        <v>115</v>
      </c>
      <c r="AE149" s="11"/>
      <c r="AF149" s="11"/>
      <c r="AG149" s="11"/>
      <c r="AH149" s="11"/>
      <c r="AI149" s="11"/>
      <c r="AJ149" s="11"/>
      <c r="AK149" s="11"/>
      <c r="AL149" s="11"/>
      <c r="AM149" s="11"/>
      <c r="AN149" s="11"/>
      <c r="AO149" s="11"/>
      <c r="AP149" s="11"/>
      <c r="AQ149" s="11"/>
      <c r="AR149" s="11"/>
      <c r="AS149" s="11"/>
      <c r="AT149" s="11"/>
      <c r="AU149" s="11"/>
      <c r="AV149" s="11"/>
      <c r="AW149" s="11"/>
      <c r="AX149" s="11"/>
      <c r="AY149" s="11"/>
    </row>
    <row r="150" spans="1:51" x14ac:dyDescent="0.25">
      <c r="A150" s="753"/>
      <c r="B150" s="753"/>
      <c r="C150" s="753"/>
      <c r="D150" s="753"/>
      <c r="E150" s="11"/>
      <c r="F150" s="11"/>
      <c r="G150" s="281"/>
      <c r="H150" s="296"/>
      <c r="I150" s="296"/>
      <c r="J150" s="296"/>
      <c r="K150" s="296"/>
      <c r="L150" s="296"/>
      <c r="M150" s="296"/>
      <c r="N150" s="296"/>
      <c r="O150" s="296"/>
      <c r="P150" s="296"/>
      <c r="Q150" s="296"/>
      <c r="R150" s="296"/>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row>
    <row r="151" spans="1:51" x14ac:dyDescent="0.25">
      <c r="A151" s="753"/>
      <c r="B151" s="753"/>
      <c r="C151" s="753"/>
      <c r="D151" s="753"/>
      <c r="E151" s="11"/>
      <c r="F151" s="11"/>
      <c r="G151" s="281"/>
      <c r="H151" s="296"/>
      <c r="I151" s="296"/>
      <c r="J151" s="296"/>
      <c r="K151" s="296"/>
      <c r="L151" s="296"/>
      <c r="M151" s="296"/>
      <c r="N151" s="296"/>
      <c r="O151" s="296"/>
      <c r="P151" s="296"/>
      <c r="Q151" s="296"/>
      <c r="R151" s="296"/>
      <c r="S151" s="11"/>
      <c r="T151" s="11"/>
      <c r="U151" s="11"/>
      <c r="V151" s="11"/>
      <c r="W151" s="11"/>
      <c r="X151" s="11"/>
      <c r="Y151" s="11"/>
      <c r="Z151" s="11"/>
      <c r="AA151" s="11"/>
      <c r="AB151" s="11"/>
      <c r="AC151" s="11" t="s">
        <v>827</v>
      </c>
      <c r="AD151" s="11">
        <f>-(PENN!AT120+PENN!AZ120)</f>
        <v>-104.42287593750019</v>
      </c>
      <c r="AE151" s="11"/>
      <c r="AF151" s="11"/>
      <c r="AG151" s="11"/>
      <c r="AH151" s="11"/>
      <c r="AI151" s="11"/>
      <c r="AJ151" s="11"/>
      <c r="AK151" s="11"/>
      <c r="AL151" s="11"/>
      <c r="AM151" s="11"/>
      <c r="AN151" s="11"/>
      <c r="AO151" s="11"/>
      <c r="AP151" s="11"/>
      <c r="AQ151" s="11"/>
      <c r="AR151" s="11"/>
      <c r="AS151" s="11"/>
      <c r="AT151" s="11"/>
      <c r="AU151" s="11"/>
      <c r="AV151" s="11"/>
      <c r="AW151" s="11"/>
      <c r="AX151" s="11"/>
      <c r="AY151" s="11"/>
    </row>
    <row r="152" spans="1:51" x14ac:dyDescent="0.25">
      <c r="A152" s="753"/>
      <c r="B152" s="753"/>
      <c r="C152" s="753"/>
      <c r="D152" s="753"/>
      <c r="E152" s="11"/>
      <c r="F152" s="11"/>
      <c r="G152" s="281"/>
      <c r="H152" s="296"/>
      <c r="I152" s="296"/>
      <c r="J152" s="296"/>
      <c r="K152" s="296"/>
      <c r="L152" s="296"/>
      <c r="M152" s="296"/>
      <c r="N152" s="296"/>
      <c r="O152" s="296"/>
      <c r="P152" s="296"/>
      <c r="Q152" s="296"/>
      <c r="R152" s="296"/>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row>
    <row r="153" spans="1:51" x14ac:dyDescent="0.25">
      <c r="A153" s="753"/>
      <c r="B153" s="753"/>
      <c r="C153" s="753"/>
      <c r="D153" s="753"/>
      <c r="E153" s="11"/>
      <c r="F153" s="11"/>
      <c r="G153" s="281"/>
      <c r="H153" s="296"/>
      <c r="I153" s="296"/>
      <c r="J153" s="296"/>
      <c r="K153" s="296"/>
      <c r="L153" s="296"/>
      <c r="M153" s="296"/>
      <c r="N153" s="296"/>
      <c r="O153" s="296"/>
      <c r="P153" s="296"/>
      <c r="Q153" s="296"/>
      <c r="R153" s="296"/>
      <c r="S153" s="11"/>
      <c r="T153" s="11"/>
      <c r="U153" s="11"/>
      <c r="V153" s="11"/>
      <c r="W153" s="11"/>
      <c r="X153" s="11"/>
      <c r="Y153" s="11"/>
      <c r="Z153" s="11"/>
      <c r="AA153" s="11"/>
      <c r="AB153" s="11"/>
      <c r="AC153" s="11" t="s">
        <v>828</v>
      </c>
      <c r="AD153" s="11">
        <f>+AD144+AD146+AD147+AD148+AD149+AD151</f>
        <v>3703.5921240624998</v>
      </c>
      <c r="AE153" s="11"/>
      <c r="AF153" s="11"/>
      <c r="AG153" s="11"/>
      <c r="AH153" s="11"/>
      <c r="AI153" s="11"/>
      <c r="AJ153" s="11"/>
      <c r="AK153" s="11"/>
      <c r="AL153" s="11"/>
      <c r="AM153" s="11"/>
      <c r="AN153" s="11"/>
      <c r="AO153" s="11"/>
      <c r="AP153" s="11"/>
      <c r="AQ153" s="11"/>
      <c r="AR153" s="11"/>
      <c r="AS153" s="11"/>
      <c r="AT153" s="11"/>
      <c r="AU153" s="11"/>
      <c r="AV153" s="11"/>
      <c r="AW153" s="11"/>
      <c r="AX153" s="11"/>
      <c r="AY153" s="11"/>
    </row>
    <row r="154" spans="1:51" x14ac:dyDescent="0.25">
      <c r="A154" s="753"/>
      <c r="B154" s="753"/>
      <c r="C154" s="753"/>
      <c r="D154" s="753"/>
      <c r="E154" s="11"/>
      <c r="F154" s="11"/>
      <c r="G154" s="281"/>
      <c r="H154" s="296"/>
      <c r="I154" s="296"/>
      <c r="J154" s="296"/>
      <c r="K154" s="296"/>
      <c r="L154" s="296"/>
      <c r="M154" s="296"/>
      <c r="N154" s="296"/>
      <c r="O154" s="296"/>
      <c r="P154" s="296"/>
      <c r="Q154" s="296"/>
      <c r="R154" s="296"/>
      <c r="S154" s="11"/>
      <c r="T154" s="11"/>
      <c r="U154" s="11"/>
      <c r="V154" s="11"/>
      <c r="W154" s="11"/>
      <c r="X154" s="11"/>
      <c r="Y154" s="11"/>
      <c r="Z154" s="11"/>
      <c r="AA154" s="11"/>
      <c r="AB154" s="11"/>
      <c r="AC154" s="11" t="s">
        <v>829</v>
      </c>
      <c r="AD154" s="11">
        <f>+AD156-AD153</f>
        <v>1396.2941010904929</v>
      </c>
      <c r="AE154" s="11"/>
      <c r="AF154" s="11"/>
      <c r="AG154" s="11"/>
      <c r="AH154" s="11"/>
      <c r="AI154" s="11"/>
      <c r="AJ154" s="11"/>
      <c r="AK154" s="11"/>
      <c r="AL154" s="11"/>
      <c r="AM154" s="11"/>
      <c r="AN154" s="11"/>
      <c r="AO154" s="11"/>
      <c r="AP154" s="11"/>
      <c r="AQ154" s="11"/>
      <c r="AR154" s="11"/>
      <c r="AS154" s="11"/>
      <c r="AT154" s="11"/>
      <c r="AU154" s="11"/>
      <c r="AV154" s="11"/>
      <c r="AW154" s="11"/>
      <c r="AX154" s="11"/>
      <c r="AY154" s="11"/>
    </row>
    <row r="155" spans="1:51" ht="4.5" customHeight="1" x14ac:dyDescent="0.25">
      <c r="A155" s="753"/>
      <c r="B155" s="753"/>
      <c r="C155" s="753"/>
      <c r="D155" s="753"/>
      <c r="E155" s="11"/>
      <c r="F155" s="11"/>
      <c r="G155" s="281"/>
      <c r="H155" s="296"/>
      <c r="I155" s="296"/>
      <c r="J155" s="296"/>
      <c r="K155" s="296"/>
      <c r="L155" s="296"/>
      <c r="M155" s="296"/>
      <c r="N155" s="296"/>
      <c r="O155" s="296"/>
      <c r="P155" s="296"/>
      <c r="Q155" s="296"/>
      <c r="R155" s="296"/>
      <c r="S155" s="11"/>
      <c r="T155" s="11"/>
      <c r="U155" s="11"/>
      <c r="V155" s="11"/>
      <c r="W155" s="11"/>
      <c r="X155" s="11"/>
      <c r="Y155" s="11"/>
      <c r="Z155" s="11"/>
      <c r="AA155" s="11"/>
      <c r="AB155" s="11"/>
      <c r="AC155" s="275"/>
      <c r="AD155" s="460" t="s">
        <v>1151</v>
      </c>
      <c r="AE155" s="11"/>
      <c r="AF155" s="11"/>
      <c r="AG155" s="11"/>
      <c r="AH155" s="11"/>
      <c r="AI155" s="11"/>
      <c r="AJ155" s="11"/>
      <c r="AK155" s="11"/>
      <c r="AL155" s="11"/>
      <c r="AM155" s="11"/>
      <c r="AN155" s="11"/>
      <c r="AO155" s="11"/>
      <c r="AP155" s="11"/>
      <c r="AQ155" s="11"/>
      <c r="AR155" s="11"/>
      <c r="AS155" s="11"/>
      <c r="AT155" s="11"/>
      <c r="AU155" s="11"/>
      <c r="AV155" s="11"/>
      <c r="AW155" s="11"/>
      <c r="AX155" s="11"/>
      <c r="AY155" s="11"/>
    </row>
    <row r="156" spans="1:51" x14ac:dyDescent="0.25">
      <c r="A156" s="753"/>
      <c r="B156" s="753"/>
      <c r="C156" s="753"/>
      <c r="D156" s="753"/>
      <c r="E156" s="11"/>
      <c r="F156" s="11"/>
      <c r="G156" s="281"/>
      <c r="H156" s="296"/>
      <c r="I156" s="296"/>
      <c r="J156" s="296"/>
      <c r="K156" s="296"/>
      <c r="L156" s="296"/>
      <c r="M156" s="296"/>
      <c r="N156" s="296"/>
      <c r="O156" s="296"/>
      <c r="P156" s="296"/>
      <c r="Q156" s="296"/>
      <c r="R156" s="296"/>
      <c r="S156" s="11"/>
      <c r="T156" s="11"/>
      <c r="U156" s="11"/>
      <c r="V156" s="11"/>
      <c r="W156" s="11"/>
      <c r="X156" s="11"/>
      <c r="Y156" s="11"/>
      <c r="Z156" s="11"/>
      <c r="AA156" s="11"/>
      <c r="AB156" s="11"/>
      <c r="AC156" s="10" t="s">
        <v>830</v>
      </c>
      <c r="AD156" s="10">
        <f>-T112</f>
        <v>5099.8862251529927</v>
      </c>
      <c r="AE156" s="11"/>
      <c r="AF156" s="11"/>
      <c r="AG156" s="11"/>
      <c r="AH156" s="11"/>
      <c r="AI156" s="11"/>
      <c r="AJ156" s="11"/>
      <c r="AK156" s="11"/>
      <c r="AL156" s="11"/>
      <c r="AM156" s="11"/>
      <c r="AN156" s="11"/>
      <c r="AO156" s="11"/>
      <c r="AP156" s="11"/>
      <c r="AQ156" s="11"/>
      <c r="AR156" s="11"/>
      <c r="AS156" s="11"/>
      <c r="AT156" s="11"/>
      <c r="AU156" s="11"/>
      <c r="AV156" s="11"/>
      <c r="AW156" s="11"/>
      <c r="AX156" s="11"/>
      <c r="AY156" s="11"/>
    </row>
    <row r="157" spans="1:51" x14ac:dyDescent="0.25">
      <c r="A157" s="753"/>
      <c r="B157" s="753"/>
      <c r="C157" s="753"/>
      <c r="D157" s="753"/>
      <c r="E157" s="11"/>
      <c r="F157" s="11"/>
      <c r="G157" s="281"/>
      <c r="H157" s="296"/>
      <c r="I157" s="296"/>
      <c r="J157" s="296"/>
      <c r="K157" s="296"/>
      <c r="L157" s="296"/>
      <c r="M157" s="296"/>
      <c r="N157" s="296"/>
      <c r="O157" s="296"/>
      <c r="P157" s="296"/>
      <c r="Q157" s="296"/>
      <c r="R157" s="296"/>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row>
    <row r="158" spans="1:51" x14ac:dyDescent="0.25">
      <c r="A158" s="753"/>
      <c r="B158" s="753"/>
      <c r="C158" s="753"/>
      <c r="D158" s="753"/>
      <c r="E158" s="11"/>
      <c r="F158" s="11"/>
      <c r="G158" s="281"/>
      <c r="H158" s="296"/>
      <c r="I158" s="296"/>
      <c r="J158" s="296"/>
      <c r="K158" s="296"/>
      <c r="L158" s="296"/>
      <c r="M158" s="296"/>
      <c r="N158" s="296"/>
      <c r="O158" s="296"/>
      <c r="P158" s="296"/>
      <c r="Q158" s="296"/>
      <c r="R158" s="296"/>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row>
    <row r="159" spans="1:51" x14ac:dyDescent="0.25">
      <c r="A159" s="753"/>
      <c r="B159" s="753"/>
      <c r="C159" s="753"/>
      <c r="D159" s="753"/>
      <c r="E159" s="11"/>
      <c r="F159" s="11"/>
      <c r="G159" s="281"/>
      <c r="H159" s="296"/>
      <c r="I159" s="296"/>
      <c r="J159" s="296"/>
      <c r="K159" s="296"/>
      <c r="L159" s="296"/>
      <c r="M159" s="296"/>
      <c r="N159" s="296"/>
      <c r="O159" s="296"/>
      <c r="P159" s="296"/>
      <c r="Q159" s="296"/>
      <c r="R159" s="296"/>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row>
    <row r="160" spans="1:51" x14ac:dyDescent="0.25">
      <c r="A160" s="753"/>
      <c r="B160" s="753"/>
      <c r="C160" s="753"/>
      <c r="D160" s="753"/>
      <c r="E160" s="11"/>
      <c r="F160" s="11"/>
      <c r="G160" s="281"/>
      <c r="H160" s="296"/>
      <c r="I160" s="296"/>
      <c r="J160" s="296"/>
      <c r="K160" s="296"/>
      <c r="L160" s="296"/>
      <c r="M160" s="296"/>
      <c r="N160" s="296"/>
      <c r="O160" s="296"/>
      <c r="P160" s="296"/>
      <c r="Q160" s="296"/>
      <c r="R160" s="296"/>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row>
    <row r="161" spans="1:51" x14ac:dyDescent="0.25">
      <c r="A161" s="753"/>
      <c r="B161" s="753"/>
      <c r="C161" s="753"/>
      <c r="D161" s="753"/>
      <c r="E161" s="11"/>
      <c r="F161" s="11"/>
      <c r="G161" s="281"/>
      <c r="H161" s="296"/>
      <c r="I161" s="296"/>
      <c r="J161" s="296"/>
      <c r="K161" s="296"/>
      <c r="L161" s="296"/>
      <c r="M161" s="296"/>
      <c r="N161" s="296"/>
      <c r="O161" s="296"/>
      <c r="P161" s="296"/>
      <c r="Q161" s="296"/>
      <c r="R161" s="296"/>
      <c r="S161" s="11"/>
      <c r="T161" s="11"/>
      <c r="U161" s="11"/>
      <c r="V161" s="11"/>
      <c r="W161" s="11"/>
      <c r="X161" s="11"/>
      <c r="Y161" s="11"/>
      <c r="Z161" s="11"/>
      <c r="AA161" s="11"/>
      <c r="AB161" s="11"/>
      <c r="AC161" s="11"/>
      <c r="AD161" s="11"/>
      <c r="AE161" s="11"/>
      <c r="AF161" s="11"/>
      <c r="AG161" s="10" t="s">
        <v>460</v>
      </c>
      <c r="AH161" s="11"/>
      <c r="AI161" s="11"/>
      <c r="AJ161" s="11"/>
      <c r="AK161" s="11"/>
      <c r="AL161" s="11"/>
      <c r="AM161" s="11"/>
      <c r="AN161" s="11"/>
      <c r="AO161" s="11"/>
      <c r="AP161" s="11"/>
      <c r="AQ161" s="11"/>
      <c r="AR161" s="11"/>
      <c r="AS161" s="11"/>
      <c r="AT161" s="11"/>
      <c r="AU161" s="11"/>
      <c r="AV161" s="11"/>
      <c r="AW161" s="11"/>
      <c r="AX161" s="11"/>
      <c r="AY161" s="11"/>
    </row>
    <row r="162" spans="1:51" x14ac:dyDescent="0.25">
      <c r="A162" s="753"/>
      <c r="B162" s="753"/>
      <c r="C162" s="753"/>
      <c r="D162" s="753"/>
      <c r="E162" s="11"/>
      <c r="F162" s="11"/>
      <c r="G162" s="281"/>
      <c r="H162" s="296"/>
      <c r="I162" s="296"/>
      <c r="J162" s="296"/>
      <c r="K162" s="296"/>
      <c r="L162" s="296"/>
      <c r="M162" s="296"/>
      <c r="N162" s="296"/>
      <c r="O162" s="296"/>
      <c r="P162" s="296"/>
      <c r="Q162" s="296"/>
      <c r="R162" s="296"/>
      <c r="S162" s="11"/>
      <c r="T162" s="11"/>
      <c r="U162" s="11"/>
      <c r="V162" s="11"/>
      <c r="W162" s="11"/>
      <c r="X162" s="11"/>
      <c r="Y162" s="11"/>
      <c r="Z162" s="11"/>
      <c r="AA162" s="11"/>
      <c r="AB162" s="11"/>
      <c r="AC162" s="11"/>
      <c r="AD162" s="11"/>
      <c r="AE162" s="11"/>
      <c r="AF162" s="11"/>
      <c r="AG162" s="10"/>
      <c r="AH162" s="11"/>
      <c r="AI162" s="11"/>
      <c r="AJ162" s="11"/>
      <c r="AK162" s="11"/>
      <c r="AL162" s="11"/>
      <c r="AM162" s="11"/>
      <c r="AN162" s="11"/>
      <c r="AO162" s="11"/>
      <c r="AP162" s="11"/>
      <c r="AQ162" s="11"/>
      <c r="AR162" s="11"/>
      <c r="AS162" s="11"/>
      <c r="AT162" s="11"/>
      <c r="AU162" s="11"/>
      <c r="AV162" s="11"/>
      <c r="AW162" s="11"/>
      <c r="AX162" s="11"/>
      <c r="AY162" s="11"/>
    </row>
    <row r="163" spans="1:51" x14ac:dyDescent="0.25">
      <c r="A163" s="753"/>
      <c r="B163" s="753"/>
      <c r="C163" s="753"/>
      <c r="D163" s="753"/>
      <c r="E163" s="11"/>
      <c r="F163" s="11"/>
      <c r="G163" s="281"/>
      <c r="H163" s="296"/>
      <c r="I163" s="296"/>
      <c r="J163" s="296"/>
      <c r="K163" s="296"/>
      <c r="L163" s="296"/>
      <c r="M163" s="296"/>
      <c r="N163" s="296"/>
      <c r="O163" s="296"/>
      <c r="P163" s="296"/>
      <c r="Q163" s="296"/>
      <c r="R163" s="296"/>
      <c r="S163" s="11"/>
      <c r="T163" s="11"/>
      <c r="U163" s="11"/>
      <c r="V163" s="11"/>
      <c r="W163" s="11"/>
      <c r="X163" s="11"/>
      <c r="Y163" s="11"/>
      <c r="Z163" s="11"/>
      <c r="AA163" s="11"/>
      <c r="AB163" s="11"/>
      <c r="AC163" s="11"/>
      <c r="AD163" s="11"/>
      <c r="AE163" s="11"/>
      <c r="AF163" s="11"/>
      <c r="AG163" s="11" t="s">
        <v>1795</v>
      </c>
      <c r="AH163" s="1636" t="s">
        <v>1831</v>
      </c>
      <c r="AI163" s="11"/>
      <c r="AJ163" s="1636" t="s">
        <v>474</v>
      </c>
      <c r="AK163" s="11"/>
      <c r="AL163" s="1636" t="s">
        <v>475</v>
      </c>
      <c r="AM163" s="11"/>
      <c r="AN163" s="1636" t="s">
        <v>841</v>
      </c>
      <c r="AO163" s="11"/>
      <c r="AP163" s="11"/>
      <c r="AQ163" s="11"/>
      <c r="AR163" s="11"/>
      <c r="AS163" s="11"/>
      <c r="AT163" s="11"/>
      <c r="AU163" s="11"/>
      <c r="AV163" s="11"/>
      <c r="AW163" s="11"/>
      <c r="AX163" s="11"/>
      <c r="AY163" s="11"/>
    </row>
    <row r="164" spans="1:51" x14ac:dyDescent="0.25">
      <c r="A164" s="753"/>
      <c r="B164" s="753"/>
      <c r="C164" s="753"/>
      <c r="D164" s="753"/>
      <c r="E164" s="11"/>
      <c r="F164" s="11"/>
      <c r="G164" s="281"/>
      <c r="H164" s="296"/>
      <c r="I164" s="296"/>
      <c r="J164" s="296"/>
      <c r="K164" s="296"/>
      <c r="L164" s="296"/>
      <c r="M164" s="296"/>
      <c r="N164" s="296"/>
      <c r="O164" s="296"/>
      <c r="P164" s="296"/>
      <c r="Q164" s="296"/>
      <c r="R164" s="296"/>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row>
    <row r="165" spans="1:51" x14ac:dyDescent="0.25">
      <c r="A165" s="753"/>
      <c r="B165" s="753"/>
      <c r="C165" s="753"/>
      <c r="D165" s="753"/>
      <c r="E165" s="11"/>
      <c r="F165" s="11"/>
      <c r="G165" s="281"/>
      <c r="H165" s="296"/>
      <c r="I165" s="296"/>
      <c r="J165" s="296"/>
      <c r="K165" s="296"/>
      <c r="L165" s="296"/>
      <c r="M165" s="296"/>
      <c r="N165" s="296"/>
      <c r="O165" s="296"/>
      <c r="P165" s="296"/>
      <c r="Q165" s="296"/>
      <c r="R165" s="296"/>
      <c r="S165" s="11"/>
      <c r="T165" s="11"/>
      <c r="U165" s="11"/>
      <c r="V165" s="11"/>
      <c r="W165" s="11"/>
      <c r="X165" s="11"/>
      <c r="Y165" s="11"/>
      <c r="Z165" s="11"/>
      <c r="AA165" s="11"/>
      <c r="AB165" s="11"/>
      <c r="AC165" s="11"/>
      <c r="AD165" s="11"/>
      <c r="AE165" s="11"/>
      <c r="AF165" s="11"/>
      <c r="AG165" s="359" t="s">
        <v>461</v>
      </c>
      <c r="AH165" s="11"/>
      <c r="AI165" s="11"/>
      <c r="AJ165" s="11"/>
      <c r="AK165" s="11"/>
      <c r="AL165" s="11"/>
      <c r="AM165" s="11"/>
      <c r="AN165" s="11"/>
      <c r="AO165" s="11"/>
      <c r="AP165" s="11"/>
      <c r="AQ165" s="11"/>
      <c r="AR165" s="11"/>
      <c r="AS165" s="11"/>
      <c r="AT165" s="11"/>
      <c r="AU165" s="11"/>
      <c r="AV165" s="11"/>
      <c r="AW165" s="11"/>
      <c r="AX165" s="11"/>
      <c r="AY165" s="11"/>
    </row>
    <row r="166" spans="1:51" x14ac:dyDescent="0.25">
      <c r="A166" s="753"/>
      <c r="B166" s="753"/>
      <c r="C166" s="753"/>
      <c r="D166" s="753"/>
      <c r="E166" s="11"/>
      <c r="F166" s="11"/>
      <c r="G166" s="281"/>
      <c r="H166" s="296"/>
      <c r="I166" s="296"/>
      <c r="J166" s="296"/>
      <c r="K166" s="296"/>
      <c r="L166" s="296"/>
      <c r="M166" s="296"/>
      <c r="N166" s="296"/>
      <c r="O166" s="296"/>
      <c r="P166" s="296"/>
      <c r="Q166" s="296"/>
      <c r="R166" s="296"/>
      <c r="S166" s="11"/>
      <c r="T166" s="11"/>
      <c r="U166" s="11"/>
      <c r="V166" s="11"/>
      <c r="W166" s="11"/>
      <c r="X166" s="11"/>
      <c r="Y166" s="11"/>
      <c r="Z166" s="11"/>
      <c r="AA166" s="11"/>
      <c r="AB166" s="11"/>
      <c r="AC166" s="11"/>
      <c r="AD166" s="11"/>
      <c r="AE166" s="11"/>
      <c r="AF166" s="11"/>
      <c r="AG166" s="11" t="s">
        <v>2284</v>
      </c>
      <c r="AH166" s="895">
        <v>270</v>
      </c>
      <c r="AI166" s="11"/>
      <c r="AJ166" s="895">
        <f>+(AH166*0.05)+(AH167*0.1)</f>
        <v>21.5</v>
      </c>
      <c r="AK166" s="11"/>
      <c r="AL166" s="895">
        <f>+AH166</f>
        <v>270</v>
      </c>
      <c r="AM166" s="11"/>
      <c r="AN166" s="895">
        <f>+AH166</f>
        <v>270</v>
      </c>
      <c r="AO166" s="11"/>
      <c r="AP166" s="11"/>
      <c r="AQ166" s="11"/>
      <c r="AR166" s="11"/>
      <c r="AS166" s="11"/>
      <c r="AT166" s="11"/>
      <c r="AU166" s="11"/>
      <c r="AV166" s="11"/>
      <c r="AW166" s="11"/>
      <c r="AX166" s="11"/>
      <c r="AY166" s="11"/>
    </row>
    <row r="167" spans="1:51" x14ac:dyDescent="0.25">
      <c r="A167" s="753"/>
      <c r="B167" s="753"/>
      <c r="C167" s="753"/>
      <c r="D167" s="753"/>
      <c r="E167" s="11"/>
      <c r="F167" s="11"/>
      <c r="G167" s="281"/>
      <c r="H167" s="296"/>
      <c r="I167" s="296"/>
      <c r="J167" s="296"/>
      <c r="K167" s="296"/>
      <c r="L167" s="296"/>
      <c r="M167" s="296"/>
      <c r="N167" s="296"/>
      <c r="O167" s="296"/>
      <c r="P167" s="296"/>
      <c r="Q167" s="296"/>
      <c r="R167" s="296"/>
      <c r="S167" s="11"/>
      <c r="T167" s="11"/>
      <c r="U167" s="11"/>
      <c r="V167" s="11"/>
      <c r="W167" s="11"/>
      <c r="X167" s="11"/>
      <c r="Y167" s="11"/>
      <c r="Z167" s="11"/>
      <c r="AA167" s="11"/>
      <c r="AB167" s="11"/>
      <c r="AC167" s="11"/>
      <c r="AD167" s="11"/>
      <c r="AE167" s="11"/>
      <c r="AF167" s="11"/>
      <c r="AG167" s="11" t="s">
        <v>2010</v>
      </c>
      <c r="AH167" s="423">
        <v>80</v>
      </c>
      <c r="AI167" s="11"/>
      <c r="AJ167" s="423">
        <f>+AJ166</f>
        <v>21.5</v>
      </c>
      <c r="AK167" s="423"/>
      <c r="AL167" s="423">
        <f>+AH167-AJ167</f>
        <v>58.5</v>
      </c>
      <c r="AM167" s="423"/>
      <c r="AN167" s="423">
        <f>+AL167+AJ167</f>
        <v>80</v>
      </c>
      <c r="AO167" s="11"/>
      <c r="AP167" s="11"/>
      <c r="AQ167" s="11"/>
      <c r="AR167" s="11"/>
      <c r="AS167" s="11"/>
      <c r="AT167" s="11"/>
      <c r="AU167" s="11"/>
      <c r="AV167" s="11"/>
      <c r="AW167" s="11"/>
      <c r="AX167" s="11"/>
      <c r="AY167" s="11"/>
    </row>
    <row r="168" spans="1:51" x14ac:dyDescent="0.25">
      <c r="A168" s="753"/>
      <c r="B168" s="753"/>
      <c r="C168" s="753"/>
      <c r="D168" s="753"/>
      <c r="E168" s="11"/>
      <c r="F168" s="11"/>
      <c r="G168" s="281"/>
      <c r="H168" s="296"/>
      <c r="I168" s="296"/>
      <c r="J168" s="296"/>
      <c r="K168" s="296"/>
      <c r="L168" s="296"/>
      <c r="M168" s="296"/>
      <c r="N168" s="296"/>
      <c r="O168" s="296"/>
      <c r="P168" s="296"/>
      <c r="Q168" s="296"/>
      <c r="R168" s="296"/>
      <c r="S168" s="11"/>
      <c r="T168" s="11"/>
      <c r="U168" s="11"/>
      <c r="V168" s="11"/>
      <c r="W168" s="11"/>
      <c r="X168" s="11"/>
      <c r="Y168" s="11"/>
      <c r="Z168" s="11"/>
      <c r="AA168" s="11"/>
      <c r="AB168" s="11"/>
      <c r="AC168" s="11"/>
      <c r="AD168" s="11"/>
      <c r="AE168" s="11"/>
      <c r="AF168" s="11"/>
      <c r="AG168" s="11" t="s">
        <v>462</v>
      </c>
      <c r="AH168" s="423">
        <v>-25</v>
      </c>
      <c r="AI168" s="11"/>
      <c r="AJ168" s="423">
        <v>0</v>
      </c>
      <c r="AK168" s="11"/>
      <c r="AL168" s="423">
        <f>+AH168</f>
        <v>-25</v>
      </c>
      <c r="AM168" s="11"/>
      <c r="AN168" s="423">
        <f>+AL168+AJ168</f>
        <v>-25</v>
      </c>
      <c r="AO168" s="11"/>
      <c r="AP168" s="11"/>
      <c r="AQ168" s="11"/>
      <c r="AR168" s="11"/>
      <c r="AS168" s="11"/>
      <c r="AT168" s="11"/>
      <c r="AU168" s="11"/>
      <c r="AV168" s="11"/>
      <c r="AW168" s="11"/>
      <c r="AX168" s="11"/>
      <c r="AY168" s="11"/>
    </row>
    <row r="169" spans="1:51" x14ac:dyDescent="0.25">
      <c r="A169" s="753"/>
      <c r="B169" s="753"/>
      <c r="C169" s="753"/>
      <c r="D169" s="753"/>
      <c r="E169" s="11"/>
      <c r="F169" s="11"/>
      <c r="G169" s="281"/>
      <c r="H169" s="296"/>
      <c r="I169" s="296"/>
      <c r="J169" s="296"/>
      <c r="K169" s="296"/>
      <c r="L169" s="296"/>
      <c r="M169" s="296"/>
      <c r="N169" s="296"/>
      <c r="O169" s="296"/>
      <c r="P169" s="296"/>
      <c r="Q169" s="296"/>
      <c r="R169" s="296"/>
      <c r="S169" s="11"/>
      <c r="T169" s="11"/>
      <c r="U169" s="11"/>
      <c r="V169" s="11"/>
      <c r="W169" s="11"/>
      <c r="X169" s="11"/>
      <c r="Y169" s="11"/>
      <c r="Z169" s="11"/>
      <c r="AA169" s="11"/>
      <c r="AB169" s="11"/>
      <c r="AC169" s="11"/>
      <c r="AD169" s="11"/>
      <c r="AE169" s="11"/>
      <c r="AF169" s="11"/>
      <c r="AG169" s="11" t="s">
        <v>463</v>
      </c>
      <c r="AH169" s="423">
        <f>-600*0.05</f>
        <v>-30</v>
      </c>
      <c r="AI169" s="11"/>
      <c r="AJ169" s="423">
        <v>0</v>
      </c>
      <c r="AK169" s="11"/>
      <c r="AL169" s="423">
        <f>-($AN$189-AN193)*$AN$191</f>
        <v>-14.4</v>
      </c>
      <c r="AM169" s="11"/>
      <c r="AN169" s="423">
        <f>-$AN$189*$AN$191</f>
        <v>-28.8</v>
      </c>
      <c r="AO169" s="11"/>
      <c r="AP169" s="11"/>
      <c r="AQ169" s="11"/>
      <c r="AR169" s="11"/>
      <c r="AS169" s="11"/>
      <c r="AT169" s="11"/>
      <c r="AU169" s="11"/>
      <c r="AV169" s="11"/>
      <c r="AW169" s="11"/>
      <c r="AX169" s="11"/>
      <c r="AY169" s="11"/>
    </row>
    <row r="170" spans="1:51" x14ac:dyDescent="0.25">
      <c r="A170" s="753"/>
      <c r="B170" s="753"/>
      <c r="C170" s="753"/>
      <c r="D170" s="753"/>
      <c r="E170" s="11"/>
      <c r="F170" s="11"/>
      <c r="G170" s="281"/>
      <c r="H170" s="296"/>
      <c r="I170" s="296"/>
      <c r="J170" s="296"/>
      <c r="K170" s="296"/>
      <c r="L170" s="296"/>
      <c r="M170" s="296"/>
      <c r="N170" s="296"/>
      <c r="O170" s="296"/>
      <c r="P170" s="296"/>
      <c r="Q170" s="296"/>
      <c r="R170" s="296"/>
      <c r="S170" s="11"/>
      <c r="T170" s="11"/>
      <c r="U170" s="11"/>
      <c r="V170" s="11"/>
      <c r="W170" s="11"/>
      <c r="X170" s="11"/>
      <c r="Y170" s="11"/>
      <c r="Z170" s="11"/>
      <c r="AA170" s="11"/>
      <c r="AB170" s="11"/>
      <c r="AC170" s="11"/>
      <c r="AD170" s="11"/>
      <c r="AE170" s="11"/>
      <c r="AF170" s="11"/>
      <c r="AG170" s="11" t="s">
        <v>464</v>
      </c>
      <c r="AH170" s="423">
        <f>-0.4*(AH167+AH168+AH169)</f>
        <v>-10</v>
      </c>
      <c r="AI170" s="11"/>
      <c r="AJ170" s="423">
        <f>-0.4*(AJ167+AJ168+AJ169)</f>
        <v>-8.6</v>
      </c>
      <c r="AK170" s="11"/>
      <c r="AL170" s="1826">
        <v>0</v>
      </c>
      <c r="AM170" s="11"/>
      <c r="AN170" s="423">
        <f>+AL170+AJ170</f>
        <v>-8.6</v>
      </c>
      <c r="AO170" s="11"/>
      <c r="AP170" s="11"/>
      <c r="AQ170" s="11"/>
      <c r="AR170" s="11"/>
      <c r="AS170" s="11"/>
      <c r="AT170" s="11"/>
      <c r="AU170" s="11"/>
      <c r="AV170" s="11"/>
      <c r="AW170" s="11"/>
      <c r="AX170" s="11"/>
      <c r="AY170" s="11"/>
    </row>
    <row r="171" spans="1:51" x14ac:dyDescent="0.25">
      <c r="A171" s="753"/>
      <c r="B171" s="753"/>
      <c r="C171" s="753"/>
      <c r="D171" s="753"/>
      <c r="E171" s="11"/>
      <c r="F171" s="11"/>
      <c r="G171" s="281"/>
      <c r="H171" s="296"/>
      <c r="I171" s="296"/>
      <c r="J171" s="296"/>
      <c r="K171" s="296"/>
      <c r="L171" s="296"/>
      <c r="M171" s="296"/>
      <c r="N171" s="296"/>
      <c r="O171" s="296"/>
      <c r="P171" s="296"/>
      <c r="Q171" s="296"/>
      <c r="R171" s="296"/>
      <c r="S171" s="11"/>
      <c r="T171" s="11"/>
      <c r="U171" s="11"/>
      <c r="V171" s="11"/>
      <c r="W171" s="11"/>
      <c r="X171" s="11"/>
      <c r="Y171" s="11"/>
      <c r="Z171" s="11"/>
      <c r="AA171" s="11"/>
      <c r="AB171" s="11"/>
      <c r="AC171" s="11"/>
      <c r="AD171" s="11"/>
      <c r="AE171" s="11"/>
      <c r="AF171" s="11"/>
      <c r="AG171" s="294" t="s">
        <v>465</v>
      </c>
      <c r="AH171" s="398">
        <v>0</v>
      </c>
      <c r="AI171" s="11"/>
      <c r="AJ171" s="398">
        <v>0</v>
      </c>
      <c r="AK171" s="11"/>
      <c r="AL171" s="398">
        <v>0</v>
      </c>
      <c r="AM171" s="11"/>
      <c r="AN171" s="398">
        <f>+AL171+AJ171</f>
        <v>0</v>
      </c>
      <c r="AO171" s="11"/>
      <c r="AP171" s="11"/>
      <c r="AQ171" s="11"/>
      <c r="AR171" s="11"/>
      <c r="AS171" s="11"/>
      <c r="AT171" s="11"/>
      <c r="AU171" s="11"/>
      <c r="AV171" s="11"/>
      <c r="AW171" s="11"/>
      <c r="AX171" s="11"/>
      <c r="AY171" s="11"/>
    </row>
    <row r="172" spans="1:51" x14ac:dyDescent="0.25">
      <c r="A172" s="753"/>
      <c r="B172" s="753"/>
      <c r="C172" s="753"/>
      <c r="D172" s="753"/>
      <c r="E172" s="11"/>
      <c r="F172" s="11"/>
      <c r="G172" s="281"/>
      <c r="H172" s="296"/>
      <c r="I172" s="296"/>
      <c r="J172" s="296"/>
      <c r="K172" s="296"/>
      <c r="L172" s="296"/>
      <c r="M172" s="296"/>
      <c r="N172" s="296"/>
      <c r="O172" s="296"/>
      <c r="P172" s="296"/>
      <c r="Q172" s="296"/>
      <c r="R172" s="296"/>
      <c r="S172" s="11"/>
      <c r="T172" s="11"/>
      <c r="U172" s="11"/>
      <c r="V172" s="11"/>
      <c r="W172" s="11"/>
      <c r="X172" s="11"/>
      <c r="Y172" s="11"/>
      <c r="Z172" s="11"/>
      <c r="AA172" s="11"/>
      <c r="AB172" s="11"/>
      <c r="AC172" s="11"/>
      <c r="AD172" s="11"/>
      <c r="AE172" s="11"/>
      <c r="AF172" s="11"/>
      <c r="AG172" s="432" t="s">
        <v>1446</v>
      </c>
      <c r="AH172" s="1812">
        <f>SUM(AH167:AH171)</f>
        <v>15</v>
      </c>
      <c r="AI172" s="281"/>
      <c r="AJ172" s="1812">
        <f>SUM(AJ167:AJ171)</f>
        <v>12.9</v>
      </c>
      <c r="AK172" s="281"/>
      <c r="AL172" s="1812">
        <f>SUM(AL167:AL171)</f>
        <v>19.100000000000001</v>
      </c>
      <c r="AM172" s="281"/>
      <c r="AN172" s="1812">
        <f>SUM(AN167:AN171)</f>
        <v>17.600000000000001</v>
      </c>
      <c r="AO172" s="11"/>
      <c r="AP172" s="11"/>
      <c r="AQ172" s="11"/>
      <c r="AR172" s="11"/>
      <c r="AS172" s="11"/>
      <c r="AT172" s="11"/>
      <c r="AU172" s="11"/>
      <c r="AV172" s="11"/>
      <c r="AW172" s="11"/>
      <c r="AX172" s="11"/>
      <c r="AY172" s="11"/>
    </row>
    <row r="173" spans="1:51" x14ac:dyDescent="0.25">
      <c r="A173" s="753"/>
      <c r="B173" s="753"/>
      <c r="C173" s="753"/>
      <c r="D173" s="753"/>
      <c r="E173" s="11"/>
      <c r="F173" s="11"/>
      <c r="G173" s="281"/>
      <c r="H173" s="296"/>
      <c r="I173" s="296"/>
      <c r="J173" s="296"/>
      <c r="K173" s="296"/>
      <c r="L173" s="296"/>
      <c r="M173" s="296"/>
      <c r="N173" s="296"/>
      <c r="O173" s="296"/>
      <c r="P173" s="296"/>
      <c r="Q173" s="296"/>
      <c r="R173" s="296"/>
      <c r="S173" s="11"/>
      <c r="T173" s="11"/>
      <c r="U173" s="11"/>
      <c r="V173" s="11"/>
      <c r="W173" s="11"/>
      <c r="X173" s="11"/>
      <c r="Y173" s="11"/>
      <c r="Z173" s="11"/>
      <c r="AA173" s="11"/>
      <c r="AB173" s="11"/>
      <c r="AC173" s="11"/>
      <c r="AD173" s="687"/>
      <c r="AE173" s="11"/>
      <c r="AF173" s="11"/>
      <c r="AG173" s="428" t="s">
        <v>466</v>
      </c>
      <c r="AH173" s="384">
        <f>AH172/PENN!$AQ$100</f>
        <v>0.1973840040003158</v>
      </c>
      <c r="AI173" s="281"/>
      <c r="AJ173" s="384">
        <f>AJ172/PENN!$AQ$100</f>
        <v>0.16975024344027159</v>
      </c>
      <c r="AK173" s="281"/>
      <c r="AL173" s="384">
        <f>AL172/PENN!$AQ$100</f>
        <v>0.25133563176040213</v>
      </c>
      <c r="AM173" s="281"/>
      <c r="AN173" s="384">
        <f>AN172/PENN!$AQ$100</f>
        <v>0.23159723136037058</v>
      </c>
      <c r="AO173" s="11"/>
      <c r="AP173" s="11"/>
      <c r="AQ173" s="11"/>
      <c r="AR173" s="11"/>
      <c r="AS173" s="11"/>
      <c r="AT173" s="11"/>
      <c r="AU173" s="11"/>
      <c r="AV173" s="11"/>
      <c r="AW173" s="11"/>
      <c r="AX173" s="11"/>
      <c r="AY173" s="11"/>
    </row>
    <row r="174" spans="1:51" x14ac:dyDescent="0.25">
      <c r="A174" s="753"/>
      <c r="B174" s="753"/>
      <c r="C174" s="753"/>
      <c r="D174" s="753"/>
      <c r="E174" s="11"/>
      <c r="F174" s="11"/>
      <c r="G174" s="281"/>
      <c r="H174" s="296"/>
      <c r="I174" s="296"/>
      <c r="J174" s="296"/>
      <c r="K174" s="296"/>
      <c r="L174" s="296"/>
      <c r="M174" s="296"/>
      <c r="N174" s="296"/>
      <c r="O174" s="296"/>
      <c r="P174" s="296"/>
      <c r="Q174" s="296"/>
      <c r="R174" s="296"/>
      <c r="S174" s="11"/>
      <c r="T174" s="11"/>
      <c r="U174" s="11"/>
      <c r="V174" s="11"/>
      <c r="W174" s="11"/>
      <c r="X174" s="11"/>
      <c r="Y174" s="11"/>
      <c r="Z174" s="11"/>
      <c r="AA174" s="11"/>
      <c r="AB174" s="11"/>
      <c r="AC174" s="11"/>
      <c r="AD174" s="11"/>
      <c r="AE174" s="11"/>
      <c r="AF174" s="11"/>
      <c r="AG174" s="718" t="s">
        <v>467</v>
      </c>
      <c r="AH174" s="898">
        <f>AH173/PENN!$AZ$92</f>
        <v>-1.9409675134254612E-2</v>
      </c>
      <c r="AI174" s="281"/>
      <c r="AJ174" s="898">
        <f>AJ173/PENN!$AZ$92</f>
        <v>-1.6692320615458965E-2</v>
      </c>
      <c r="AK174" s="281"/>
      <c r="AL174" s="898">
        <f>AL173/PENN!$AZ$92</f>
        <v>-2.4714986337617539E-2</v>
      </c>
      <c r="AM174" s="281"/>
      <c r="AN174" s="898">
        <f>AN173/PENN!$AZ$92</f>
        <v>-2.2774018824192083E-2</v>
      </c>
      <c r="AO174" s="11"/>
      <c r="AP174" s="11"/>
      <c r="AQ174" s="11"/>
      <c r="AR174" s="11"/>
      <c r="AS174" s="11"/>
      <c r="AT174" s="11"/>
      <c r="AU174" s="11"/>
      <c r="AV174" s="11"/>
      <c r="AW174" s="11"/>
      <c r="AX174" s="11"/>
      <c r="AY174" s="11"/>
    </row>
    <row r="175" spans="1:51" x14ac:dyDescent="0.25">
      <c r="A175" s="753"/>
      <c r="B175" s="753"/>
      <c r="C175" s="753"/>
      <c r="D175" s="753"/>
      <c r="E175" s="11"/>
      <c r="F175" s="11"/>
      <c r="G175" s="281"/>
      <c r="H175" s="296"/>
      <c r="I175" s="296"/>
      <c r="J175" s="296"/>
      <c r="K175" s="296"/>
      <c r="L175" s="296"/>
      <c r="M175" s="296"/>
      <c r="N175" s="296"/>
      <c r="O175" s="296"/>
      <c r="P175" s="296"/>
      <c r="Q175" s="296"/>
      <c r="R175" s="296"/>
      <c r="S175" s="11"/>
      <c r="T175" s="11"/>
      <c r="U175" s="11"/>
      <c r="V175" s="11"/>
      <c r="W175" s="11"/>
      <c r="X175" s="11"/>
      <c r="Y175" s="11"/>
      <c r="Z175" s="11"/>
      <c r="AA175" s="11"/>
      <c r="AB175" s="11"/>
      <c r="AC175" s="11"/>
      <c r="AD175" s="11"/>
      <c r="AE175" s="11"/>
      <c r="AF175" s="11"/>
      <c r="AG175" s="11"/>
      <c r="AH175" s="882"/>
      <c r="AI175" s="281"/>
      <c r="AJ175" s="882"/>
      <c r="AK175" s="281"/>
      <c r="AL175" s="882"/>
      <c r="AM175" s="281"/>
      <c r="AN175" s="895"/>
      <c r="AO175" s="11"/>
      <c r="AP175" s="11"/>
      <c r="AQ175" s="11"/>
      <c r="AR175" s="11"/>
      <c r="AS175" s="11"/>
      <c r="AT175" s="11"/>
      <c r="AU175" s="11"/>
      <c r="AV175" s="11"/>
      <c r="AW175" s="11"/>
      <c r="AX175" s="11"/>
      <c r="AY175" s="11"/>
    </row>
    <row r="176" spans="1:51" x14ac:dyDescent="0.25">
      <c r="A176" s="753"/>
      <c r="B176" s="753"/>
      <c r="C176" s="753"/>
      <c r="D176" s="753"/>
      <c r="E176" s="11"/>
      <c r="F176" s="11"/>
      <c r="G176" s="281"/>
      <c r="H176" s="296"/>
      <c r="I176" s="296"/>
      <c r="J176" s="296"/>
      <c r="K176" s="296"/>
      <c r="L176" s="296"/>
      <c r="M176" s="296"/>
      <c r="N176" s="296"/>
      <c r="O176" s="296"/>
      <c r="P176" s="296"/>
      <c r="Q176" s="296"/>
      <c r="R176" s="296"/>
      <c r="S176" s="11"/>
      <c r="T176" s="11"/>
      <c r="U176" s="11"/>
      <c r="V176" s="11"/>
      <c r="W176" s="11"/>
      <c r="X176" s="11"/>
      <c r="Y176" s="11"/>
      <c r="Z176" s="11"/>
      <c r="AA176" s="11"/>
      <c r="AB176" s="11"/>
      <c r="AC176" s="11"/>
      <c r="AD176" s="11"/>
      <c r="AE176" s="11"/>
      <c r="AF176" s="11"/>
      <c r="AG176" s="359" t="s">
        <v>468</v>
      </c>
      <c r="AH176" s="281"/>
      <c r="AI176" s="281"/>
      <c r="AJ176" s="281"/>
      <c r="AK176" s="281"/>
      <c r="AL176" s="281"/>
      <c r="AM176" s="281"/>
      <c r="AN176" s="11"/>
      <c r="AO176" s="11"/>
      <c r="AP176" s="11"/>
      <c r="AQ176" s="11"/>
      <c r="AR176" s="11"/>
      <c r="AS176" s="11"/>
      <c r="AT176" s="11"/>
      <c r="AU176" s="11"/>
      <c r="AV176" s="11"/>
      <c r="AW176" s="11"/>
      <c r="AX176" s="11"/>
      <c r="AY176" s="11"/>
    </row>
    <row r="177" spans="1:51" x14ac:dyDescent="0.25">
      <c r="A177" s="753"/>
      <c r="B177" s="753"/>
      <c r="C177" s="753"/>
      <c r="D177" s="753"/>
      <c r="E177" s="11"/>
      <c r="F177" s="11"/>
      <c r="G177" s="281"/>
      <c r="H177" s="296"/>
      <c r="I177" s="296"/>
      <c r="J177" s="296"/>
      <c r="K177" s="296"/>
      <c r="L177" s="296"/>
      <c r="M177" s="296"/>
      <c r="N177" s="296"/>
      <c r="O177" s="296"/>
      <c r="P177" s="296"/>
      <c r="Q177" s="296"/>
      <c r="R177" s="296"/>
      <c r="S177" s="11"/>
      <c r="T177" s="11"/>
      <c r="U177" s="11"/>
      <c r="V177" s="11"/>
      <c r="W177" s="11"/>
      <c r="X177" s="11"/>
      <c r="Y177" s="11"/>
      <c r="Z177" s="11"/>
      <c r="AA177" s="11"/>
      <c r="AB177" s="11"/>
      <c r="AC177" s="11"/>
      <c r="AD177" s="11"/>
      <c r="AE177" s="11"/>
      <c r="AF177" s="11"/>
      <c r="AG177" s="11" t="s">
        <v>2010</v>
      </c>
      <c r="AH177" s="882">
        <f>AH167</f>
        <v>80</v>
      </c>
      <c r="AI177" s="281"/>
      <c r="AJ177" s="882">
        <f>AJ167</f>
        <v>21.5</v>
      </c>
      <c r="AK177" s="281"/>
      <c r="AL177" s="882">
        <f>AL167</f>
        <v>58.5</v>
      </c>
      <c r="AM177" s="281"/>
      <c r="AN177" s="895">
        <f>+AH177</f>
        <v>80</v>
      </c>
      <c r="AO177" s="11"/>
      <c r="AP177" s="11"/>
      <c r="AQ177" s="11"/>
      <c r="AR177" s="11"/>
      <c r="AS177" s="11"/>
      <c r="AT177" s="11"/>
      <c r="AU177" s="11"/>
      <c r="AV177" s="11"/>
      <c r="AW177" s="11"/>
      <c r="AX177" s="11"/>
      <c r="AY177" s="11"/>
    </row>
    <row r="178" spans="1:51" x14ac:dyDescent="0.25">
      <c r="A178" s="753"/>
      <c r="B178" s="753"/>
      <c r="C178" s="753"/>
      <c r="D178" s="753"/>
      <c r="E178" s="11"/>
      <c r="F178" s="11"/>
      <c r="G178" s="281"/>
      <c r="H178" s="296"/>
      <c r="I178" s="296"/>
      <c r="J178" s="296"/>
      <c r="K178" s="296"/>
      <c r="L178" s="296"/>
      <c r="M178" s="296"/>
      <c r="N178" s="296"/>
      <c r="O178" s="296"/>
      <c r="P178" s="296"/>
      <c r="Q178" s="296"/>
      <c r="R178" s="296"/>
      <c r="S178" s="11"/>
      <c r="T178" s="11"/>
      <c r="U178" s="11"/>
      <c r="V178" s="11"/>
      <c r="W178" s="11"/>
      <c r="X178" s="11"/>
      <c r="Y178" s="11"/>
      <c r="Z178" s="11"/>
      <c r="AA178" s="11"/>
      <c r="AB178" s="11"/>
      <c r="AC178" s="11"/>
      <c r="AD178" s="11"/>
      <c r="AE178" s="11"/>
      <c r="AF178" s="11"/>
      <c r="AG178" s="11" t="s">
        <v>463</v>
      </c>
      <c r="AH178" s="311">
        <f>AH169</f>
        <v>-30</v>
      </c>
      <c r="AI178" s="281"/>
      <c r="AJ178" s="311">
        <f>AJ169</f>
        <v>0</v>
      </c>
      <c r="AK178" s="281"/>
      <c r="AL178" s="311">
        <f>AL169</f>
        <v>-14.4</v>
      </c>
      <c r="AM178" s="281"/>
      <c r="AN178" s="423">
        <f>+AL178+AJ178</f>
        <v>-14.4</v>
      </c>
      <c r="AO178" s="11"/>
      <c r="AP178" s="11"/>
      <c r="AQ178" s="11"/>
      <c r="AR178" s="11"/>
      <c r="AS178" s="11"/>
      <c r="AT178" s="11"/>
      <c r="AU178" s="11"/>
      <c r="AV178" s="11"/>
      <c r="AW178" s="11"/>
      <c r="AX178" s="11"/>
      <c r="AY178" s="11"/>
    </row>
    <row r="179" spans="1:51" x14ac:dyDescent="0.25">
      <c r="A179" s="753"/>
      <c r="B179" s="753"/>
      <c r="C179" s="753"/>
      <c r="D179" s="753"/>
      <c r="E179" s="11"/>
      <c r="F179" s="11"/>
      <c r="G179" s="281"/>
      <c r="H179" s="296"/>
      <c r="I179" s="296"/>
      <c r="J179" s="296"/>
      <c r="K179" s="296"/>
      <c r="L179" s="296"/>
      <c r="M179" s="296"/>
      <c r="N179" s="296"/>
      <c r="O179" s="296"/>
      <c r="P179" s="296"/>
      <c r="Q179" s="296"/>
      <c r="R179" s="296"/>
      <c r="S179" s="11"/>
      <c r="T179" s="11"/>
      <c r="U179" s="11"/>
      <c r="V179" s="11"/>
      <c r="W179" s="11"/>
      <c r="X179" s="11"/>
      <c r="Y179" s="11"/>
      <c r="Z179" s="11"/>
      <c r="AA179" s="11"/>
      <c r="AB179" s="11"/>
      <c r="AC179" s="11"/>
      <c r="AD179" s="11"/>
      <c r="AE179" s="11"/>
      <c r="AF179" s="11"/>
      <c r="AG179" s="11" t="s">
        <v>469</v>
      </c>
      <c r="AH179" s="311">
        <f>AH170+AH171</f>
        <v>-10</v>
      </c>
      <c r="AI179" s="281"/>
      <c r="AJ179" s="311">
        <f>AJ170+AJ171</f>
        <v>-8.6</v>
      </c>
      <c r="AK179" s="281"/>
      <c r="AL179" s="311">
        <f>AL170+AL171</f>
        <v>0</v>
      </c>
      <c r="AM179" s="281"/>
      <c r="AN179" s="423">
        <f>+AL179+AJ179</f>
        <v>-8.6</v>
      </c>
      <c r="AO179" s="11"/>
      <c r="AP179" s="11"/>
      <c r="AQ179" s="11"/>
      <c r="AR179" s="11"/>
      <c r="AS179" s="11"/>
      <c r="AT179" s="11"/>
      <c r="AU179" s="11"/>
      <c r="AV179" s="11"/>
      <c r="AW179" s="11"/>
      <c r="AX179" s="11"/>
      <c r="AY179" s="11"/>
    </row>
    <row r="180" spans="1:51" x14ac:dyDescent="0.25">
      <c r="A180" s="753"/>
      <c r="B180" s="753"/>
      <c r="C180" s="753"/>
      <c r="D180" s="753"/>
      <c r="E180" s="11"/>
      <c r="F180" s="11"/>
      <c r="G180" s="281"/>
      <c r="H180" s="296"/>
      <c r="I180" s="296"/>
      <c r="J180" s="296"/>
      <c r="K180" s="296"/>
      <c r="L180" s="296"/>
      <c r="M180" s="296"/>
      <c r="N180" s="296"/>
      <c r="O180" s="296"/>
      <c r="P180" s="296"/>
      <c r="Q180" s="296"/>
      <c r="R180" s="296"/>
      <c r="S180" s="11"/>
      <c r="T180" s="11"/>
      <c r="U180" s="11"/>
      <c r="V180" s="11"/>
      <c r="W180" s="11"/>
      <c r="X180" s="11"/>
      <c r="Y180" s="11"/>
      <c r="Z180" s="11"/>
      <c r="AA180" s="11"/>
      <c r="AB180" s="11"/>
      <c r="AC180" s="11"/>
      <c r="AD180" s="11"/>
      <c r="AE180" s="11"/>
      <c r="AF180" s="11"/>
      <c r="AG180" s="11" t="s">
        <v>470</v>
      </c>
      <c r="AH180" s="859">
        <v>-10</v>
      </c>
      <c r="AI180" s="281"/>
      <c r="AJ180" s="859">
        <v>-10</v>
      </c>
      <c r="AK180" s="281"/>
      <c r="AL180" s="859">
        <v>0</v>
      </c>
      <c r="AM180" s="281"/>
      <c r="AN180" s="423">
        <f>+AL180+AJ180</f>
        <v>-10</v>
      </c>
      <c r="AO180" s="11"/>
      <c r="AP180" s="11"/>
      <c r="AQ180" s="11"/>
      <c r="AR180" s="11"/>
      <c r="AS180" s="11"/>
      <c r="AT180" s="11"/>
      <c r="AU180" s="11"/>
      <c r="AV180" s="11"/>
      <c r="AW180" s="11"/>
      <c r="AX180" s="11"/>
      <c r="AY180" s="11"/>
    </row>
    <row r="181" spans="1:51" x14ac:dyDescent="0.25">
      <c r="A181" s="753"/>
      <c r="B181" s="753"/>
      <c r="C181" s="753"/>
      <c r="D181" s="753"/>
      <c r="E181" s="11"/>
      <c r="F181" s="11"/>
      <c r="G181" s="281"/>
      <c r="H181" s="296"/>
      <c r="I181" s="296"/>
      <c r="J181" s="296"/>
      <c r="K181" s="296"/>
      <c r="L181" s="296"/>
      <c r="M181" s="296"/>
      <c r="N181" s="296"/>
      <c r="O181" s="296"/>
      <c r="P181" s="296"/>
      <c r="Q181" s="296"/>
      <c r="R181" s="296"/>
      <c r="S181" s="11"/>
      <c r="T181" s="11"/>
      <c r="U181" s="11"/>
      <c r="V181" s="11"/>
      <c r="W181" s="11"/>
      <c r="X181" s="11"/>
      <c r="Y181" s="11"/>
      <c r="Z181" s="11"/>
      <c r="AA181" s="11"/>
      <c r="AB181" s="11"/>
      <c r="AC181" s="11"/>
      <c r="AD181" s="11"/>
      <c r="AE181" s="11"/>
      <c r="AF181" s="11"/>
      <c r="AG181" s="432" t="s">
        <v>471</v>
      </c>
      <c r="AH181" s="1812">
        <f>SUM(AH177:AH180)</f>
        <v>30</v>
      </c>
      <c r="AI181" s="281"/>
      <c r="AJ181" s="1812">
        <f>SUM(AJ177:AJ180)</f>
        <v>2.9000000000000004</v>
      </c>
      <c r="AK181" s="281"/>
      <c r="AL181" s="1812">
        <f>SUM(AL177:AL180)</f>
        <v>44.1</v>
      </c>
      <c r="AM181" s="281"/>
      <c r="AN181" s="1812">
        <f>SUM(AN177:AN180)</f>
        <v>46.999999999999993</v>
      </c>
      <c r="AO181" s="11"/>
      <c r="AP181" s="11"/>
      <c r="AQ181" s="11"/>
      <c r="AR181" s="11"/>
      <c r="AS181" s="11"/>
      <c r="AT181" s="11"/>
      <c r="AU181" s="11"/>
      <c r="AV181" s="11"/>
      <c r="AW181" s="11"/>
      <c r="AX181" s="11"/>
      <c r="AY181" s="11"/>
    </row>
    <row r="182" spans="1:51" x14ac:dyDescent="0.25">
      <c r="A182" s="753"/>
      <c r="B182" s="753"/>
      <c r="C182" s="753"/>
      <c r="D182" s="753"/>
      <c r="E182" s="11"/>
      <c r="F182" s="11"/>
      <c r="G182" s="281"/>
      <c r="H182" s="296"/>
      <c r="I182" s="296"/>
      <c r="J182" s="296"/>
      <c r="K182" s="296"/>
      <c r="L182" s="296"/>
      <c r="M182" s="296"/>
      <c r="N182" s="296"/>
      <c r="O182" s="296"/>
      <c r="P182" s="296"/>
      <c r="Q182" s="296"/>
      <c r="R182" s="296"/>
      <c r="S182" s="11"/>
      <c r="T182" s="11"/>
      <c r="U182" s="11"/>
      <c r="V182" s="11"/>
      <c r="W182" s="11"/>
      <c r="X182" s="11"/>
      <c r="Y182" s="11"/>
      <c r="Z182" s="11"/>
      <c r="AA182" s="11"/>
      <c r="AB182" s="11"/>
      <c r="AC182" s="11"/>
      <c r="AD182" s="11"/>
      <c r="AE182" s="11"/>
      <c r="AF182" s="11"/>
      <c r="AG182" s="428" t="s">
        <v>1536</v>
      </c>
      <c r="AH182" s="1827">
        <f>+PENN!AS101</f>
        <v>105.84099999999999</v>
      </c>
      <c r="AI182" s="428"/>
      <c r="AJ182" s="1827">
        <f>+U96</f>
        <v>87.2</v>
      </c>
      <c r="AK182" s="428"/>
      <c r="AL182" s="1827">
        <f>+AN197</f>
        <v>103.26404051936383</v>
      </c>
      <c r="AM182" s="428"/>
      <c r="AN182" s="1827">
        <f>+AH182</f>
        <v>105.84099999999999</v>
      </c>
      <c r="AO182" s="11"/>
      <c r="AP182" s="11"/>
      <c r="AQ182" s="11"/>
      <c r="AR182" s="11"/>
      <c r="AS182" s="11"/>
      <c r="AT182" s="11"/>
      <c r="AU182" s="11"/>
      <c r="AV182" s="11"/>
      <c r="AW182" s="11"/>
      <c r="AX182" s="11"/>
      <c r="AY182" s="11"/>
    </row>
    <row r="183" spans="1:51" x14ac:dyDescent="0.25">
      <c r="A183" s="753"/>
      <c r="B183" s="753"/>
      <c r="C183" s="753"/>
      <c r="D183" s="753"/>
      <c r="E183" s="11"/>
      <c r="F183" s="11"/>
      <c r="G183" s="281"/>
      <c r="H183" s="296"/>
      <c r="I183" s="296"/>
      <c r="J183" s="296"/>
      <c r="K183" s="296"/>
      <c r="L183" s="296"/>
      <c r="M183" s="296"/>
      <c r="N183" s="296"/>
      <c r="O183" s="296"/>
      <c r="P183" s="296"/>
      <c r="Q183" s="296"/>
      <c r="R183" s="296"/>
      <c r="S183" s="11"/>
      <c r="T183" s="11"/>
      <c r="U183" s="11"/>
      <c r="V183" s="11"/>
      <c r="W183" s="11"/>
      <c r="X183" s="11"/>
      <c r="Y183" s="11"/>
      <c r="Z183" s="11"/>
      <c r="AA183" s="11"/>
      <c r="AB183" s="11"/>
      <c r="AC183" s="11"/>
      <c r="AD183" s="11"/>
      <c r="AE183" s="11"/>
      <c r="AF183" s="11"/>
      <c r="AG183" s="428" t="s">
        <v>837</v>
      </c>
      <c r="AH183" s="1828">
        <f>+AH181/AH182</f>
        <v>0.28344403397549156</v>
      </c>
      <c r="AI183" s="428"/>
      <c r="AJ183" s="1828">
        <f>+AJ181/AJ182</f>
        <v>3.3256880733944956E-2</v>
      </c>
      <c r="AK183" s="428"/>
      <c r="AL183" s="1828">
        <f>+AL181/AL182</f>
        <v>0.42706056995446029</v>
      </c>
      <c r="AM183" s="428"/>
      <c r="AN183" s="1828">
        <f>+AN181/AN182</f>
        <v>0.44406231989493672</v>
      </c>
      <c r="AO183" s="11"/>
      <c r="AP183" s="11"/>
      <c r="AQ183" s="11"/>
      <c r="AR183" s="11"/>
      <c r="AS183" s="11"/>
      <c r="AT183" s="11"/>
      <c r="AU183" s="11"/>
      <c r="AV183" s="11"/>
      <c r="AW183" s="11"/>
      <c r="AX183" s="11"/>
      <c r="AY183" s="11"/>
    </row>
    <row r="184" spans="1:51" x14ac:dyDescent="0.25">
      <c r="A184" s="753"/>
      <c r="B184" s="753"/>
      <c r="C184" s="753"/>
      <c r="D184" s="753"/>
      <c r="E184" s="11"/>
      <c r="F184" s="11"/>
      <c r="G184" s="281"/>
      <c r="H184" s="296"/>
      <c r="I184" s="296"/>
      <c r="J184" s="296"/>
      <c r="K184" s="296"/>
      <c r="L184" s="296"/>
      <c r="M184" s="296"/>
      <c r="N184" s="296"/>
      <c r="O184" s="296"/>
      <c r="P184" s="296"/>
      <c r="Q184" s="296"/>
      <c r="R184" s="296"/>
      <c r="S184" s="11"/>
      <c r="T184" s="11"/>
      <c r="U184" s="11"/>
      <c r="V184" s="11"/>
      <c r="W184" s="11"/>
      <c r="X184" s="11"/>
      <c r="Y184" s="11"/>
      <c r="Z184" s="11"/>
      <c r="AA184" s="11"/>
      <c r="AB184" s="11"/>
      <c r="AC184" s="11"/>
      <c r="AD184" s="11"/>
      <c r="AE184" s="11"/>
      <c r="AF184" s="11"/>
      <c r="AG184" s="11" t="s">
        <v>472</v>
      </c>
      <c r="AH184" s="1827">
        <f>+AH189</f>
        <v>600</v>
      </c>
      <c r="AI184" s="11"/>
      <c r="AJ184" s="661"/>
      <c r="AK184" s="11"/>
      <c r="AL184" s="1827">
        <f>+AN189</f>
        <v>720</v>
      </c>
      <c r="AM184" s="11"/>
      <c r="AN184" s="1827">
        <f>+AN189</f>
        <v>720</v>
      </c>
      <c r="AO184" s="11"/>
      <c r="AP184" s="11"/>
      <c r="AQ184" s="11"/>
      <c r="AR184" s="11"/>
      <c r="AS184" s="11"/>
      <c r="AT184" s="11"/>
      <c r="AU184" s="11"/>
      <c r="AV184" s="11"/>
      <c r="AW184" s="11"/>
      <c r="AX184" s="11"/>
      <c r="AY184" s="11"/>
    </row>
    <row r="185" spans="1:51" x14ac:dyDescent="0.25">
      <c r="A185" s="753"/>
      <c r="B185" s="753"/>
      <c r="C185" s="753"/>
      <c r="D185" s="753"/>
      <c r="E185" s="11"/>
      <c r="F185" s="11"/>
      <c r="G185" s="281"/>
      <c r="H185" s="296"/>
      <c r="I185" s="296"/>
      <c r="J185" s="296"/>
      <c r="K185" s="296"/>
      <c r="L185" s="296"/>
      <c r="M185" s="296"/>
      <c r="N185" s="296"/>
      <c r="O185" s="296"/>
      <c r="P185" s="296"/>
      <c r="Q185" s="296"/>
      <c r="R185" s="296"/>
      <c r="S185" s="11"/>
      <c r="T185" s="11"/>
      <c r="U185" s="11"/>
      <c r="V185" s="11"/>
      <c r="W185" s="11"/>
      <c r="X185" s="11"/>
      <c r="Y185" s="11"/>
      <c r="Z185" s="11"/>
      <c r="AA185" s="11"/>
      <c r="AB185" s="11"/>
      <c r="AC185" s="11"/>
      <c r="AD185" s="11"/>
      <c r="AE185" s="11"/>
      <c r="AF185" s="11"/>
      <c r="AG185" s="718" t="s">
        <v>473</v>
      </c>
      <c r="AH185" s="417">
        <f>AH181/AH184</f>
        <v>0.05</v>
      </c>
      <c r="AI185" s="11"/>
      <c r="AJ185" s="417"/>
      <c r="AK185" s="11"/>
      <c r="AL185" s="417">
        <f>AL181/AL184</f>
        <v>6.1249999999999999E-2</v>
      </c>
      <c r="AM185" s="11"/>
      <c r="AN185" s="417">
        <f>AN181/AN184</f>
        <v>6.5277777777777768E-2</v>
      </c>
      <c r="AO185" s="11"/>
      <c r="AP185" s="11"/>
      <c r="AQ185" s="11"/>
      <c r="AR185" s="11"/>
      <c r="AS185" s="11"/>
      <c r="AT185" s="11"/>
      <c r="AU185" s="11"/>
      <c r="AV185" s="11"/>
      <c r="AW185" s="11"/>
      <c r="AX185" s="11"/>
      <c r="AY185" s="11"/>
    </row>
    <row r="186" spans="1:51" x14ac:dyDescent="0.25">
      <c r="A186" s="753"/>
      <c r="B186" s="753"/>
      <c r="C186" s="753"/>
      <c r="D186" s="753"/>
      <c r="E186" s="11"/>
      <c r="F186" s="11"/>
      <c r="G186" s="281"/>
      <c r="H186" s="296"/>
      <c r="I186" s="296"/>
      <c r="J186" s="296"/>
      <c r="K186" s="296"/>
      <c r="L186" s="296"/>
      <c r="M186" s="296"/>
      <c r="N186" s="296"/>
      <c r="O186" s="296"/>
      <c r="P186" s="296"/>
      <c r="Q186" s="296"/>
      <c r="R186" s="296"/>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row>
    <row r="187" spans="1:51" x14ac:dyDescent="0.25">
      <c r="A187" s="753"/>
      <c r="B187" s="753"/>
      <c r="C187" s="753"/>
      <c r="D187" s="753"/>
      <c r="E187" s="11"/>
      <c r="F187" s="11"/>
      <c r="G187" s="281"/>
      <c r="H187" s="296"/>
      <c r="I187" s="296"/>
      <c r="J187" s="296"/>
      <c r="K187" s="296"/>
      <c r="L187" s="296"/>
      <c r="M187" s="296"/>
      <c r="N187" s="296"/>
      <c r="O187" s="296"/>
      <c r="P187" s="296"/>
      <c r="Q187" s="296"/>
      <c r="R187" s="296"/>
      <c r="S187" s="11"/>
      <c r="T187" s="11"/>
      <c r="U187" s="11"/>
      <c r="V187" s="11"/>
      <c r="W187" s="11"/>
      <c r="X187" s="11"/>
      <c r="Y187" s="11"/>
      <c r="Z187" s="11"/>
      <c r="AA187" s="11"/>
      <c r="AB187" s="11"/>
      <c r="AC187" s="11"/>
      <c r="AD187" s="11"/>
      <c r="AE187" s="11"/>
      <c r="AF187" s="11"/>
      <c r="AG187" s="11" t="s">
        <v>1624</v>
      </c>
      <c r="AH187" s="882">
        <f>+AH167</f>
        <v>80</v>
      </c>
      <c r="AI187" s="11"/>
      <c r="AJ187" s="11"/>
      <c r="AK187" s="11"/>
      <c r="AL187" s="11"/>
      <c r="AM187" s="11"/>
      <c r="AN187" s="895">
        <f>+AN167</f>
        <v>80</v>
      </c>
      <c r="AO187" s="11"/>
      <c r="AP187" s="11"/>
      <c r="AQ187" s="11"/>
      <c r="AR187" s="11"/>
      <c r="AS187" s="11"/>
      <c r="AT187" s="11"/>
      <c r="AU187" s="11"/>
      <c r="AV187" s="11"/>
      <c r="AW187" s="11"/>
      <c r="AX187" s="11"/>
      <c r="AY187" s="11"/>
    </row>
    <row r="188" spans="1:51" x14ac:dyDescent="0.25">
      <c r="A188" s="753"/>
      <c r="B188" s="753"/>
      <c r="C188" s="753"/>
      <c r="D188" s="753"/>
      <c r="E188" s="11"/>
      <c r="F188" s="11"/>
      <c r="G188" s="281"/>
      <c r="H188" s="296"/>
      <c r="I188" s="296"/>
      <c r="J188" s="296"/>
      <c r="K188" s="296"/>
      <c r="L188" s="296"/>
      <c r="M188" s="296"/>
      <c r="N188" s="296"/>
      <c r="O188" s="296"/>
      <c r="P188" s="296"/>
      <c r="Q188" s="296"/>
      <c r="R188" s="296"/>
      <c r="S188" s="11"/>
      <c r="T188" s="11"/>
      <c r="U188" s="11"/>
      <c r="V188" s="11"/>
      <c r="W188" s="11"/>
      <c r="X188" s="11"/>
      <c r="Y188" s="11"/>
      <c r="Z188" s="11"/>
      <c r="AA188" s="11"/>
      <c r="AB188" s="11"/>
      <c r="AC188" s="11"/>
      <c r="AD188" s="11"/>
      <c r="AE188" s="11"/>
      <c r="AF188" s="11"/>
      <c r="AG188" s="11" t="s">
        <v>1464</v>
      </c>
      <c r="AH188" s="1822">
        <f>+AH189/AH187</f>
        <v>7.5</v>
      </c>
      <c r="AI188" s="11"/>
      <c r="AJ188" s="11"/>
      <c r="AK188" s="11"/>
      <c r="AL188" s="11"/>
      <c r="AM188" s="11"/>
      <c r="AN188" s="1629">
        <v>9</v>
      </c>
      <c r="AO188" s="11"/>
      <c r="AP188" s="11"/>
      <c r="AQ188" s="11"/>
      <c r="AR188" s="11"/>
      <c r="AS188" s="11"/>
      <c r="AT188" s="11"/>
      <c r="AU188" s="11"/>
      <c r="AV188" s="11"/>
      <c r="AW188" s="11"/>
      <c r="AX188" s="11"/>
      <c r="AY188" s="11"/>
    </row>
    <row r="189" spans="1:51" x14ac:dyDescent="0.25">
      <c r="A189" s="753"/>
      <c r="B189" s="753"/>
      <c r="C189" s="753"/>
      <c r="D189" s="753"/>
      <c r="E189" s="11"/>
      <c r="F189" s="11"/>
      <c r="G189" s="281"/>
      <c r="H189" s="296"/>
      <c r="I189" s="296"/>
      <c r="J189" s="296"/>
      <c r="K189" s="296"/>
      <c r="L189" s="296"/>
      <c r="M189" s="296"/>
      <c r="N189" s="296"/>
      <c r="O189" s="296"/>
      <c r="P189" s="296"/>
      <c r="Q189" s="296"/>
      <c r="R189" s="296"/>
      <c r="S189" s="11"/>
      <c r="T189" s="11"/>
      <c r="U189" s="11"/>
      <c r="V189" s="11"/>
      <c r="W189" s="11"/>
      <c r="X189" s="11"/>
      <c r="Y189" s="11"/>
      <c r="Z189" s="11"/>
      <c r="AA189" s="11"/>
      <c r="AB189" s="11"/>
      <c r="AC189" s="11"/>
      <c r="AD189" s="11"/>
      <c r="AE189" s="11"/>
      <c r="AF189" s="11"/>
      <c r="AG189" s="11" t="s">
        <v>833</v>
      </c>
      <c r="AH189" s="859">
        <v>600</v>
      </c>
      <c r="AI189" s="11"/>
      <c r="AJ189" s="11"/>
      <c r="AK189" s="11"/>
      <c r="AL189" s="11"/>
      <c r="AM189" s="11"/>
      <c r="AN189" s="859">
        <f>+AN187*AN188</f>
        <v>720</v>
      </c>
      <c r="AO189" s="11"/>
      <c r="AP189" s="11"/>
      <c r="AQ189" s="11"/>
      <c r="AR189" s="11"/>
      <c r="AS189" s="11"/>
      <c r="AT189" s="11"/>
      <c r="AU189" s="11"/>
      <c r="AV189" s="11"/>
      <c r="AW189" s="11"/>
      <c r="AX189" s="11"/>
      <c r="AY189" s="11"/>
    </row>
    <row r="190" spans="1:51" x14ac:dyDescent="0.25">
      <c r="A190" s="753"/>
      <c r="B190" s="753"/>
      <c r="C190" s="753"/>
      <c r="D190" s="753"/>
      <c r="E190" s="11"/>
      <c r="F190" s="11"/>
      <c r="G190" s="281"/>
      <c r="H190" s="296"/>
      <c r="I190" s="296"/>
      <c r="J190" s="296"/>
      <c r="K190" s="296"/>
      <c r="L190" s="296"/>
      <c r="M190" s="296"/>
      <c r="N190" s="296"/>
      <c r="O190" s="296"/>
      <c r="P190" s="296"/>
      <c r="Q190" s="296"/>
      <c r="R190" s="296"/>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row>
    <row r="191" spans="1:51" x14ac:dyDescent="0.25">
      <c r="A191" s="753"/>
      <c r="B191" s="753"/>
      <c r="C191" s="753"/>
      <c r="D191" s="753"/>
      <c r="E191" s="11"/>
      <c r="F191" s="11"/>
      <c r="G191" s="281"/>
      <c r="H191" s="296"/>
      <c r="I191" s="296"/>
      <c r="J191" s="296"/>
      <c r="K191" s="296"/>
      <c r="L191" s="296"/>
      <c r="M191" s="296"/>
      <c r="N191" s="296"/>
      <c r="O191" s="296"/>
      <c r="P191" s="296"/>
      <c r="Q191" s="296"/>
      <c r="R191" s="296"/>
      <c r="S191" s="11"/>
      <c r="T191" s="11"/>
      <c r="U191" s="11"/>
      <c r="V191" s="11"/>
      <c r="W191" s="11"/>
      <c r="X191" s="11"/>
      <c r="Y191" s="11"/>
      <c r="Z191" s="11"/>
      <c r="AA191" s="11"/>
      <c r="AB191" s="11"/>
      <c r="AC191" s="11"/>
      <c r="AD191" s="11"/>
      <c r="AE191" s="11"/>
      <c r="AF191" s="11"/>
      <c r="AG191" s="11" t="s">
        <v>1815</v>
      </c>
      <c r="AH191" s="1824">
        <v>0.05</v>
      </c>
      <c r="AI191" s="11"/>
      <c r="AJ191" s="11"/>
      <c r="AK191" s="11"/>
      <c r="AL191" s="11"/>
      <c r="AM191" s="11"/>
      <c r="AN191" s="1825">
        <f>+AH191-0.01</f>
        <v>0.04</v>
      </c>
      <c r="AO191" s="11"/>
      <c r="AP191" s="11"/>
      <c r="AQ191" s="11"/>
      <c r="AR191" s="11"/>
      <c r="AS191" s="11"/>
      <c r="AT191" s="11"/>
      <c r="AU191" s="11"/>
      <c r="AV191" s="11"/>
      <c r="AW191" s="11"/>
      <c r="AX191" s="11"/>
      <c r="AY191" s="11"/>
    </row>
    <row r="192" spans="1:51" x14ac:dyDescent="0.25">
      <c r="A192" s="753"/>
      <c r="B192" s="753"/>
      <c r="C192" s="753"/>
      <c r="D192" s="753"/>
      <c r="E192" s="11"/>
      <c r="F192" s="11"/>
      <c r="G192" s="281"/>
      <c r="H192" s="296"/>
      <c r="I192" s="296"/>
      <c r="J192" s="296"/>
      <c r="K192" s="296"/>
      <c r="L192" s="296"/>
      <c r="M192" s="296"/>
      <c r="N192" s="296"/>
      <c r="O192" s="296"/>
      <c r="P192" s="296"/>
      <c r="Q192" s="296"/>
      <c r="R192" s="296"/>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row>
    <row r="193" spans="1:51" x14ac:dyDescent="0.25">
      <c r="A193" s="753"/>
      <c r="B193" s="753"/>
      <c r="C193" s="753"/>
      <c r="D193" s="753"/>
      <c r="E193" s="11"/>
      <c r="F193" s="11"/>
      <c r="G193" s="281"/>
      <c r="H193" s="296"/>
      <c r="I193" s="296"/>
      <c r="J193" s="296"/>
      <c r="K193" s="296"/>
      <c r="L193" s="296"/>
      <c r="M193" s="296"/>
      <c r="N193" s="296"/>
      <c r="O193" s="296"/>
      <c r="P193" s="296"/>
      <c r="Q193" s="296"/>
      <c r="R193" s="296"/>
      <c r="S193" s="11"/>
      <c r="T193" s="11"/>
      <c r="U193" s="11"/>
      <c r="V193" s="11"/>
      <c r="W193" s="11"/>
      <c r="X193" s="11"/>
      <c r="Y193" s="11"/>
      <c r="Z193" s="11"/>
      <c r="AA193" s="11"/>
      <c r="AB193" s="11"/>
      <c r="AC193" s="11"/>
      <c r="AD193" s="11"/>
      <c r="AE193" s="11"/>
      <c r="AF193" s="11"/>
      <c r="AG193" s="11" t="s">
        <v>834</v>
      </c>
      <c r="AH193" s="11"/>
      <c r="AI193" s="11"/>
      <c r="AJ193" s="11"/>
      <c r="AK193" s="11"/>
      <c r="AL193" s="11"/>
      <c r="AM193" s="11"/>
      <c r="AN193" s="895">
        <f>+AN189*0.5</f>
        <v>360</v>
      </c>
      <c r="AO193" s="11"/>
      <c r="AP193" s="11"/>
      <c r="AQ193" s="11"/>
      <c r="AR193" s="11"/>
      <c r="AS193" s="11"/>
      <c r="AT193" s="11"/>
      <c r="AU193" s="11"/>
      <c r="AV193" s="11"/>
      <c r="AW193" s="11"/>
      <c r="AX193" s="11"/>
      <c r="AY193" s="11"/>
    </row>
    <row r="194" spans="1:51" x14ac:dyDescent="0.25">
      <c r="A194" s="753"/>
      <c r="B194" s="753"/>
      <c r="C194" s="753"/>
      <c r="D194" s="753"/>
      <c r="E194" s="11"/>
      <c r="F194" s="11"/>
      <c r="G194" s="281"/>
      <c r="H194" s="296"/>
      <c r="I194" s="296"/>
      <c r="J194" s="296"/>
      <c r="K194" s="296"/>
      <c r="L194" s="296"/>
      <c r="M194" s="296"/>
      <c r="N194" s="296"/>
      <c r="O194" s="296"/>
      <c r="P194" s="296"/>
      <c r="Q194" s="296"/>
      <c r="R194" s="296"/>
      <c r="S194" s="11"/>
      <c r="T194" s="11"/>
      <c r="U194" s="11"/>
      <c r="V194" s="11"/>
      <c r="W194" s="11"/>
      <c r="X194" s="11"/>
      <c r="Y194" s="11"/>
      <c r="Z194" s="11"/>
      <c r="AA194" s="11"/>
      <c r="AB194" s="11"/>
      <c r="AC194" s="11"/>
      <c r="AD194" s="11"/>
      <c r="AE194" s="11"/>
      <c r="AF194" s="11"/>
      <c r="AG194" s="11" t="s">
        <v>784</v>
      </c>
      <c r="AH194" s="11"/>
      <c r="AI194" s="11"/>
      <c r="AJ194" s="11"/>
      <c r="AK194" s="11"/>
      <c r="AL194" s="11"/>
      <c r="AM194" s="11"/>
      <c r="AN194" s="423">
        <f>+U68*0.95</f>
        <v>33.758311340463266</v>
      </c>
      <c r="AO194" s="11"/>
      <c r="AP194" s="11"/>
      <c r="AQ194" s="11"/>
      <c r="AR194" s="11"/>
      <c r="AS194" s="11"/>
      <c r="AT194" s="11"/>
      <c r="AU194" s="11"/>
      <c r="AV194" s="11"/>
      <c r="AW194" s="11"/>
      <c r="AX194" s="11"/>
      <c r="AY194" s="11"/>
    </row>
    <row r="195" spans="1:51" x14ac:dyDescent="0.25">
      <c r="A195" s="753"/>
      <c r="B195" s="753"/>
      <c r="C195" s="753"/>
      <c r="D195" s="753"/>
      <c r="E195" s="11"/>
      <c r="F195" s="11"/>
      <c r="G195" s="281"/>
      <c r="H195" s="296"/>
      <c r="I195" s="296"/>
      <c r="J195" s="296"/>
      <c r="K195" s="296"/>
      <c r="L195" s="296"/>
      <c r="M195" s="296"/>
      <c r="N195" s="296"/>
      <c r="O195" s="296"/>
      <c r="P195" s="296"/>
      <c r="Q195" s="296"/>
      <c r="R195" s="296"/>
      <c r="S195" s="11"/>
      <c r="T195" s="11"/>
      <c r="U195" s="11"/>
      <c r="V195" s="11"/>
      <c r="W195" s="11"/>
      <c r="X195" s="11"/>
      <c r="Y195" s="11"/>
      <c r="Z195" s="11"/>
      <c r="AA195" s="11"/>
      <c r="AB195" s="11"/>
      <c r="AC195" s="11"/>
      <c r="AD195" s="11"/>
      <c r="AE195" s="11"/>
      <c r="AF195" s="11"/>
      <c r="AG195" s="11" t="s">
        <v>1536</v>
      </c>
      <c r="AH195" s="11"/>
      <c r="AI195" s="11"/>
      <c r="AJ195" s="11"/>
      <c r="AK195" s="11"/>
      <c r="AL195" s="11"/>
      <c r="AM195" s="11"/>
      <c r="AN195" s="423">
        <f>+U66</f>
        <v>92.6</v>
      </c>
      <c r="AO195" s="11"/>
      <c r="AP195" s="11"/>
      <c r="AQ195" s="11"/>
      <c r="AR195" s="11"/>
      <c r="AS195" s="11"/>
      <c r="AT195" s="11"/>
      <c r="AU195" s="11"/>
      <c r="AV195" s="11"/>
      <c r="AW195" s="11"/>
      <c r="AX195" s="11"/>
      <c r="AY195" s="11"/>
    </row>
    <row r="196" spans="1:51" x14ac:dyDescent="0.25">
      <c r="A196" s="753"/>
      <c r="B196" s="753"/>
      <c r="C196" s="753"/>
      <c r="D196" s="753"/>
      <c r="E196" s="11"/>
      <c r="F196" s="11"/>
      <c r="G196" s="281"/>
      <c r="H196" s="296"/>
      <c r="I196" s="296"/>
      <c r="J196" s="296"/>
      <c r="K196" s="296"/>
      <c r="L196" s="296"/>
      <c r="M196" s="296"/>
      <c r="N196" s="296"/>
      <c r="O196" s="296"/>
      <c r="P196" s="296"/>
      <c r="Q196" s="296"/>
      <c r="R196" s="296"/>
      <c r="S196" s="11"/>
      <c r="T196" s="11"/>
      <c r="U196" s="11"/>
      <c r="V196" s="11"/>
      <c r="W196" s="11"/>
      <c r="X196" s="11"/>
      <c r="Y196" s="11"/>
      <c r="Z196" s="11"/>
      <c r="AA196" s="11"/>
      <c r="AB196" s="11"/>
      <c r="AC196" s="11"/>
      <c r="AD196" s="11"/>
      <c r="AE196" s="11"/>
      <c r="AF196" s="11"/>
      <c r="AG196" s="11" t="s">
        <v>836</v>
      </c>
      <c r="AH196" s="11"/>
      <c r="AI196" s="11"/>
      <c r="AJ196" s="11"/>
      <c r="AK196" s="11"/>
      <c r="AL196" s="11"/>
      <c r="AM196" s="11"/>
      <c r="AN196" s="423">
        <f>+AN193/AN194</f>
        <v>10.664040519363837</v>
      </c>
      <c r="AO196" s="11"/>
      <c r="AP196" s="11"/>
      <c r="AQ196" s="11"/>
      <c r="AR196" s="11"/>
      <c r="AS196" s="11"/>
      <c r="AT196" s="11"/>
      <c r="AU196" s="11"/>
      <c r="AV196" s="11"/>
      <c r="AW196" s="11"/>
      <c r="AX196" s="11"/>
      <c r="AY196" s="11"/>
    </row>
    <row r="197" spans="1:51" x14ac:dyDescent="0.25">
      <c r="A197" s="753"/>
      <c r="B197" s="753"/>
      <c r="C197" s="753"/>
      <c r="D197" s="753"/>
      <c r="E197" s="11"/>
      <c r="F197" s="11"/>
      <c r="G197" s="281"/>
      <c r="H197" s="296"/>
      <c r="I197" s="296"/>
      <c r="J197" s="296"/>
      <c r="K197" s="296"/>
      <c r="L197" s="296"/>
      <c r="M197" s="296"/>
      <c r="N197" s="296"/>
      <c r="O197" s="296"/>
      <c r="P197" s="296"/>
      <c r="Q197" s="296"/>
      <c r="R197" s="296"/>
      <c r="S197" s="11"/>
      <c r="T197" s="11"/>
      <c r="U197" s="11"/>
      <c r="V197" s="11"/>
      <c r="W197" s="11"/>
      <c r="X197" s="11"/>
      <c r="Y197" s="11"/>
      <c r="Z197" s="11"/>
      <c r="AA197" s="11"/>
      <c r="AB197" s="11"/>
      <c r="AC197" s="11"/>
      <c r="AD197" s="11"/>
      <c r="AE197" s="11"/>
      <c r="AF197" s="11"/>
      <c r="AG197" s="11" t="s">
        <v>835</v>
      </c>
      <c r="AH197" s="11"/>
      <c r="AI197" s="11"/>
      <c r="AJ197" s="11"/>
      <c r="AK197" s="11"/>
      <c r="AL197" s="11"/>
      <c r="AM197" s="11"/>
      <c r="AN197" s="423">
        <f>+AN195+AN196</f>
        <v>103.26404051936383</v>
      </c>
      <c r="AO197" s="11"/>
      <c r="AP197" s="11"/>
      <c r="AQ197" s="11"/>
      <c r="AR197" s="11"/>
      <c r="AS197" s="11"/>
      <c r="AT197" s="11"/>
      <c r="AU197" s="11"/>
      <c r="AV197" s="11"/>
      <c r="AW197" s="11"/>
      <c r="AX197" s="11"/>
      <c r="AY197" s="11"/>
    </row>
    <row r="198" spans="1:51" x14ac:dyDescent="0.25">
      <c r="A198" s="753"/>
      <c r="B198" s="753"/>
      <c r="C198" s="753"/>
      <c r="D198" s="753"/>
      <c r="E198" s="11"/>
      <c r="F198" s="11"/>
      <c r="G198" s="281"/>
      <c r="H198" s="296"/>
      <c r="I198" s="296"/>
      <c r="J198" s="296"/>
      <c r="K198" s="296"/>
      <c r="L198" s="296"/>
      <c r="M198" s="296"/>
      <c r="N198" s="296"/>
      <c r="O198" s="296"/>
      <c r="P198" s="296"/>
      <c r="Q198" s="296"/>
      <c r="R198" s="296"/>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row>
    <row r="199" spans="1:51" x14ac:dyDescent="0.25">
      <c r="A199" s="753"/>
      <c r="B199" s="753"/>
      <c r="C199" s="753"/>
      <c r="D199" s="753"/>
      <c r="E199" s="11"/>
      <c r="F199" s="11"/>
      <c r="G199" s="281"/>
      <c r="H199" s="296"/>
      <c r="I199" s="296"/>
      <c r="J199" s="296"/>
      <c r="K199" s="296"/>
      <c r="L199" s="296"/>
      <c r="M199" s="296"/>
      <c r="N199" s="296"/>
      <c r="O199" s="296"/>
      <c r="P199" s="296"/>
      <c r="Q199" s="296"/>
      <c r="R199" s="296"/>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row>
    <row r="200" spans="1:51" x14ac:dyDescent="0.25">
      <c r="A200" s="753"/>
      <c r="B200" s="753"/>
      <c r="C200" s="753"/>
      <c r="D200" s="753"/>
      <c r="E200" s="11"/>
      <c r="F200" s="11"/>
      <c r="G200" s="281"/>
      <c r="H200" s="296"/>
      <c r="I200" s="296"/>
      <c r="J200" s="296"/>
      <c r="K200" s="296"/>
      <c r="L200" s="296"/>
      <c r="M200" s="296"/>
      <c r="N200" s="296"/>
      <c r="O200" s="296"/>
      <c r="P200" s="296"/>
      <c r="Q200" s="296"/>
      <c r="R200" s="296"/>
      <c r="S200" s="11"/>
      <c r="T200" s="11"/>
      <c r="U200" s="11"/>
      <c r="V200" s="11"/>
      <c r="W200" s="11"/>
      <c r="X200" s="11"/>
      <c r="Y200" s="11"/>
      <c r="Z200" s="11"/>
      <c r="AA200" s="11"/>
      <c r="AB200" s="11"/>
      <c r="AC200" s="11"/>
      <c r="AD200" s="11"/>
      <c r="AE200" s="11"/>
      <c r="AF200" s="11"/>
      <c r="AG200" s="11"/>
      <c r="AH200" s="11"/>
      <c r="AI200" s="11"/>
      <c r="AJ200" s="11"/>
      <c r="AK200" s="11"/>
      <c r="AL200" s="11"/>
      <c r="AM200" s="11"/>
      <c r="AN200" s="11"/>
      <c r="AO200" s="11"/>
      <c r="AP200" s="11"/>
      <c r="AQ200" s="11"/>
      <c r="AR200" s="11"/>
      <c r="AS200" s="11"/>
      <c r="AT200" s="11"/>
      <c r="AU200" s="11"/>
      <c r="AV200" s="11"/>
      <c r="AW200" s="11"/>
      <c r="AX200" s="11"/>
      <c r="AY200" s="11"/>
    </row>
    <row r="201" spans="1:51" x14ac:dyDescent="0.25">
      <c r="A201" s="753"/>
      <c r="B201" s="753"/>
      <c r="C201" s="753"/>
      <c r="D201" s="753"/>
      <c r="E201" s="11"/>
      <c r="F201" s="11"/>
      <c r="G201" s="281"/>
      <c r="H201" s="296"/>
      <c r="I201" s="296"/>
      <c r="J201" s="296"/>
      <c r="K201" s="296"/>
      <c r="L201" s="296"/>
      <c r="M201" s="296"/>
      <c r="N201" s="296"/>
      <c r="O201" s="296"/>
      <c r="P201" s="296"/>
      <c r="Q201" s="296"/>
      <c r="R201" s="296"/>
      <c r="S201" s="11"/>
      <c r="T201" s="11"/>
      <c r="U201" s="11"/>
      <c r="V201" s="11"/>
      <c r="W201" s="11"/>
      <c r="X201" s="11"/>
      <c r="Y201" s="11"/>
      <c r="Z201" s="11"/>
      <c r="AA201" s="11"/>
      <c r="AB201" s="11"/>
      <c r="AC201" s="11"/>
      <c r="AD201" s="11"/>
      <c r="AE201" s="11"/>
      <c r="AF201" s="11"/>
      <c r="AG201" s="11"/>
      <c r="AH201" s="11"/>
      <c r="AI201" s="11"/>
      <c r="AJ201" s="11"/>
      <c r="AK201" s="11"/>
      <c r="AL201" s="11"/>
      <c r="AM201" s="11"/>
      <c r="AN201" s="11"/>
      <c r="AO201" s="11"/>
      <c r="AP201" s="10" t="s">
        <v>1982</v>
      </c>
      <c r="AQ201" s="11"/>
      <c r="AR201" s="11"/>
      <c r="AS201" s="11"/>
      <c r="AT201" s="11"/>
      <c r="AU201" s="11"/>
      <c r="AV201" s="11"/>
      <c r="AW201" s="11"/>
      <c r="AX201" s="11"/>
      <c r="AY201" s="11"/>
    </row>
    <row r="202" spans="1:51" x14ac:dyDescent="0.25">
      <c r="A202" s="753"/>
      <c r="B202" s="753"/>
      <c r="C202" s="753"/>
      <c r="D202" s="753"/>
      <c r="E202" s="11"/>
      <c r="F202" s="11"/>
      <c r="G202" s="281"/>
      <c r="H202" s="296"/>
      <c r="I202" s="296"/>
      <c r="J202" s="296"/>
      <c r="K202" s="296"/>
      <c r="L202" s="296"/>
      <c r="M202" s="296"/>
      <c r="N202" s="296"/>
      <c r="O202" s="296"/>
      <c r="P202" s="296"/>
      <c r="Q202" s="296"/>
      <c r="R202" s="296"/>
      <c r="S202" s="11"/>
      <c r="T202" s="11"/>
      <c r="U202" s="11"/>
      <c r="V202" s="11"/>
      <c r="W202" s="11"/>
      <c r="X202" s="11"/>
      <c r="Y202" s="11"/>
      <c r="Z202" s="11"/>
      <c r="AA202" s="11"/>
      <c r="AB202" s="11"/>
      <c r="AC202" s="11"/>
      <c r="AD202" s="11"/>
      <c r="AE202" s="11"/>
      <c r="AF202" s="11"/>
      <c r="AG202" s="11"/>
      <c r="AH202" s="11"/>
      <c r="AI202" s="11"/>
      <c r="AJ202" s="11"/>
      <c r="AK202" s="11"/>
      <c r="AL202" s="11"/>
      <c r="AM202" s="11"/>
      <c r="AN202" s="11"/>
      <c r="AO202" s="11"/>
      <c r="AP202" s="496" t="s">
        <v>1988</v>
      </c>
      <c r="AQ202" s="1007" t="s">
        <v>1989</v>
      </c>
      <c r="AR202" s="2274" t="s">
        <v>1995</v>
      </c>
      <c r="AS202" s="11"/>
      <c r="AT202" s="11"/>
      <c r="AU202" s="11"/>
      <c r="AV202" s="11"/>
      <c r="AW202" s="11"/>
      <c r="AX202" s="11"/>
      <c r="AY202" s="11"/>
    </row>
    <row r="203" spans="1:51" ht="89.25" x14ac:dyDescent="0.25">
      <c r="A203" s="753"/>
      <c r="B203" s="753"/>
      <c r="C203" s="753"/>
      <c r="D203" s="753"/>
      <c r="E203" s="11"/>
      <c r="F203" s="11"/>
      <c r="G203" s="281"/>
      <c r="H203" s="296"/>
      <c r="I203" s="296"/>
      <c r="J203" s="296"/>
      <c r="K203" s="296"/>
      <c r="L203" s="296"/>
      <c r="M203" s="296"/>
      <c r="N203" s="296"/>
      <c r="O203" s="296"/>
      <c r="P203" s="296"/>
      <c r="Q203" s="296"/>
      <c r="R203" s="296"/>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2265" t="s">
        <v>1983</v>
      </c>
      <c r="AQ203" s="2266" t="s">
        <v>1990</v>
      </c>
      <c r="AR203" s="2267" t="s">
        <v>49</v>
      </c>
      <c r="AS203" s="11"/>
      <c r="AT203" s="11"/>
      <c r="AU203" s="11"/>
      <c r="AV203" s="11"/>
      <c r="AW203" s="11"/>
      <c r="AX203" s="11"/>
      <c r="AY203" s="11"/>
    </row>
    <row r="204" spans="1:51" ht="63.75" x14ac:dyDescent="0.25">
      <c r="A204" s="753"/>
      <c r="B204" s="753"/>
      <c r="C204" s="753"/>
      <c r="D204" s="753"/>
      <c r="E204" s="11"/>
      <c r="F204" s="11"/>
      <c r="G204" s="281"/>
      <c r="H204" s="296"/>
      <c r="I204" s="296"/>
      <c r="J204" s="296"/>
      <c r="K204" s="296"/>
      <c r="L204" s="296"/>
      <c r="M204" s="296"/>
      <c r="N204" s="296"/>
      <c r="O204" s="296"/>
      <c r="P204" s="296"/>
      <c r="Q204" s="296"/>
      <c r="R204" s="296"/>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2268" t="s">
        <v>1984</v>
      </c>
      <c r="AQ204" s="2269" t="s">
        <v>1991</v>
      </c>
      <c r="AR204" s="2270" t="s">
        <v>50</v>
      </c>
      <c r="AS204" s="11"/>
      <c r="AT204" s="11"/>
      <c r="AU204" s="11"/>
      <c r="AV204" s="11"/>
      <c r="AW204" s="11"/>
      <c r="AX204" s="11"/>
      <c r="AY204" s="11"/>
    </row>
    <row r="205" spans="1:51" ht="76.5" x14ac:dyDescent="0.25">
      <c r="A205" s="753"/>
      <c r="B205" s="753"/>
      <c r="C205" s="753"/>
      <c r="D205" s="753"/>
      <c r="E205" s="11"/>
      <c r="F205" s="11"/>
      <c r="G205" s="281"/>
      <c r="H205" s="296"/>
      <c r="I205" s="296"/>
      <c r="J205" s="296"/>
      <c r="K205" s="296"/>
      <c r="L205" s="296"/>
      <c r="M205" s="296"/>
      <c r="N205" s="296"/>
      <c r="O205" s="296"/>
      <c r="P205" s="296"/>
      <c r="Q205" s="296"/>
      <c r="R205" s="296"/>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2268" t="s">
        <v>1985</v>
      </c>
      <c r="AQ205" s="2269" t="s">
        <v>1992</v>
      </c>
      <c r="AR205" s="2270" t="s">
        <v>1530</v>
      </c>
      <c r="AS205" s="11"/>
      <c r="AT205" s="11"/>
      <c r="AU205" s="11"/>
      <c r="AV205" s="11"/>
      <c r="AW205" s="11"/>
      <c r="AX205" s="11"/>
      <c r="AY205" s="11"/>
    </row>
    <row r="206" spans="1:51" ht="89.25" x14ac:dyDescent="0.25">
      <c r="A206" s="753"/>
      <c r="B206" s="753"/>
      <c r="C206" s="753"/>
      <c r="D206" s="753"/>
      <c r="E206" s="11"/>
      <c r="F206" s="11"/>
      <c r="G206" s="281"/>
      <c r="H206" s="296"/>
      <c r="I206" s="296"/>
      <c r="J206" s="296"/>
      <c r="K206" s="296"/>
      <c r="L206" s="296"/>
      <c r="M206" s="296"/>
      <c r="N206" s="296"/>
      <c r="O206" s="296"/>
      <c r="P206" s="296"/>
      <c r="Q206" s="296"/>
      <c r="R206" s="296"/>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2268" t="s">
        <v>1986</v>
      </c>
      <c r="AQ206" s="2269" t="s">
        <v>1993</v>
      </c>
      <c r="AR206" s="2270" t="s">
        <v>1557</v>
      </c>
      <c r="AS206" s="11"/>
      <c r="AT206" s="11"/>
      <c r="AU206" s="11"/>
      <c r="AV206" s="11"/>
      <c r="AW206" s="11"/>
      <c r="AX206" s="11"/>
      <c r="AY206" s="11"/>
    </row>
    <row r="207" spans="1:51" ht="89.25" x14ac:dyDescent="0.25">
      <c r="A207" s="753"/>
      <c r="B207" s="753"/>
      <c r="C207" s="753"/>
      <c r="D207" s="753"/>
      <c r="E207" s="11"/>
      <c r="F207" s="11"/>
      <c r="G207" s="281"/>
      <c r="H207" s="296"/>
      <c r="I207" s="296"/>
      <c r="J207" s="296"/>
      <c r="K207" s="296"/>
      <c r="L207" s="296"/>
      <c r="M207" s="296"/>
      <c r="N207" s="296"/>
      <c r="O207" s="296"/>
      <c r="P207" s="296"/>
      <c r="Q207" s="296"/>
      <c r="R207" s="296"/>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2271" t="s">
        <v>1987</v>
      </c>
      <c r="AQ207" s="2272" t="s">
        <v>1994</v>
      </c>
      <c r="AR207" s="2273" t="s">
        <v>51</v>
      </c>
      <c r="AS207" s="11"/>
      <c r="AT207" s="11"/>
      <c r="AU207" s="11"/>
      <c r="AV207" s="11"/>
      <c r="AW207" s="11"/>
      <c r="AX207" s="11"/>
      <c r="AY207" s="11"/>
    </row>
    <row r="208" spans="1:51" x14ac:dyDescent="0.25">
      <c r="A208" s="753"/>
      <c r="B208" s="753"/>
      <c r="C208" s="753"/>
      <c r="D208" s="753"/>
      <c r="E208" s="11"/>
      <c r="F208" s="11"/>
      <c r="G208" s="281"/>
      <c r="H208" s="296"/>
      <c r="I208" s="296"/>
      <c r="J208" s="296"/>
      <c r="K208" s="296"/>
      <c r="L208" s="296"/>
      <c r="M208" s="296"/>
      <c r="N208" s="296"/>
      <c r="O208" s="296"/>
      <c r="P208" s="296"/>
      <c r="Q208" s="296"/>
      <c r="R208" s="296"/>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11"/>
      <c r="AR208" s="11"/>
      <c r="AS208" s="11"/>
      <c r="AT208" s="11"/>
      <c r="AU208" s="11"/>
      <c r="AV208" s="11"/>
      <c r="AW208" s="11"/>
      <c r="AX208" s="11"/>
      <c r="AY208" s="11"/>
    </row>
    <row r="209" spans="1:51" x14ac:dyDescent="0.25">
      <c r="A209" s="753"/>
      <c r="B209" s="753"/>
      <c r="C209" s="753"/>
      <c r="D209" s="753"/>
      <c r="E209" s="11"/>
      <c r="F209" s="11"/>
      <c r="G209" s="281"/>
      <c r="H209" s="296"/>
      <c r="I209" s="296"/>
      <c r="J209" s="296"/>
      <c r="K209" s="296"/>
      <c r="L209" s="296"/>
      <c r="M209" s="296"/>
      <c r="N209" s="296"/>
      <c r="O209" s="296"/>
      <c r="P209" s="296"/>
      <c r="Q209" s="296"/>
      <c r="R209" s="296"/>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t="s">
        <v>1472</v>
      </c>
      <c r="AT209" s="11"/>
      <c r="AU209" s="11"/>
      <c r="AV209" s="11"/>
      <c r="AW209" s="11"/>
      <c r="AX209" s="11"/>
      <c r="AY209" s="11"/>
    </row>
    <row r="210" spans="1:51" x14ac:dyDescent="0.25">
      <c r="A210" s="753"/>
      <c r="B210" s="753"/>
      <c r="C210" s="753"/>
      <c r="D210" s="753"/>
      <c r="E210" s="11"/>
      <c r="F210" s="11"/>
      <c r="G210" s="281"/>
      <c r="H210" s="296"/>
      <c r="I210" s="296"/>
      <c r="J210" s="296"/>
      <c r="K210" s="296"/>
      <c r="L210" s="296"/>
      <c r="M210" s="296"/>
      <c r="N210" s="296"/>
      <c r="O210" s="296"/>
      <c r="P210" s="296"/>
      <c r="Q210" s="296"/>
      <c r="R210" s="296"/>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c r="AU210" s="11"/>
      <c r="AV210" s="11"/>
      <c r="AW210" s="11"/>
      <c r="AX210" s="11"/>
      <c r="AY210" s="11"/>
    </row>
    <row r="211" spans="1:51" x14ac:dyDescent="0.25">
      <c r="A211" s="2304"/>
      <c r="B211" s="2304"/>
      <c r="C211" s="2304"/>
      <c r="D211" s="2304"/>
      <c r="E211" s="388"/>
      <c r="F211" s="388"/>
      <c r="G211" s="558"/>
      <c r="H211" s="968"/>
      <c r="I211" s="968"/>
      <c r="J211" s="968"/>
      <c r="K211" s="968"/>
      <c r="L211" s="968"/>
      <c r="M211" s="968"/>
      <c r="N211" s="968"/>
      <c r="O211" s="968"/>
      <c r="P211" s="968"/>
      <c r="Q211" s="968"/>
      <c r="R211" s="968"/>
      <c r="S211" s="388"/>
      <c r="T211" s="388"/>
      <c r="U211" s="388"/>
      <c r="V211" s="388"/>
      <c r="W211" s="388"/>
      <c r="X211" s="388"/>
      <c r="Y211" s="388"/>
      <c r="Z211" s="388"/>
      <c r="AA211" s="388"/>
      <c r="AB211" s="388"/>
      <c r="AC211" s="388"/>
      <c r="AD211" s="388"/>
      <c r="AE211" s="388"/>
      <c r="AF211" s="388"/>
      <c r="AG211" s="388"/>
      <c r="AH211" s="388"/>
      <c r="AI211" s="388"/>
      <c r="AJ211" s="388"/>
      <c r="AK211" s="388"/>
      <c r="AL211" s="388"/>
      <c r="AM211" s="388"/>
      <c r="AN211" s="388"/>
      <c r="AO211" s="388"/>
      <c r="AP211" s="388"/>
      <c r="AQ211" s="388"/>
      <c r="AR211" s="388"/>
      <c r="AS211" s="2320" t="s">
        <v>1474</v>
      </c>
      <c r="AT211" s="2321">
        <v>50</v>
      </c>
      <c r="AU211" s="2322"/>
      <c r="AV211" s="2322"/>
      <c r="AW211" s="2322"/>
      <c r="AX211" s="2322"/>
      <c r="AY211" s="2324"/>
    </row>
    <row r="212" spans="1:51" x14ac:dyDescent="0.25">
      <c r="A212" s="2305"/>
      <c r="B212" s="2305"/>
      <c r="C212" s="2305"/>
      <c r="D212" s="2305"/>
      <c r="E212" s="2306"/>
      <c r="F212" s="2306"/>
      <c r="G212" s="2307"/>
      <c r="H212" s="2308"/>
      <c r="I212" s="2308"/>
      <c r="J212" s="2308"/>
      <c r="K212" s="2308"/>
      <c r="L212" s="2308"/>
      <c r="M212" s="2308"/>
      <c r="N212" s="2308"/>
      <c r="O212" s="2308"/>
      <c r="P212" s="2308"/>
      <c r="Q212" s="2308"/>
      <c r="R212" s="2308"/>
      <c r="S212" s="2306"/>
      <c r="T212" s="2306"/>
      <c r="U212" s="2306"/>
      <c r="V212" s="2306"/>
      <c r="W212" s="2306"/>
      <c r="X212" s="2306"/>
      <c r="Y212" s="2306"/>
      <c r="Z212" s="2306"/>
      <c r="AA212" s="2306"/>
      <c r="AB212" s="2306"/>
      <c r="AC212" s="2306"/>
      <c r="AD212" s="2306"/>
      <c r="AE212" s="2306"/>
      <c r="AF212" s="2306"/>
      <c r="AG212" s="2306"/>
      <c r="AH212" s="2306"/>
      <c r="AI212" s="2306"/>
      <c r="AJ212" s="2306"/>
      <c r="AK212" s="2306"/>
      <c r="AL212" s="2306"/>
      <c r="AM212" s="2306"/>
      <c r="AN212" s="2306"/>
      <c r="AO212" s="2306"/>
      <c r="AP212" s="2306"/>
      <c r="AQ212" s="2306"/>
      <c r="AR212" s="2306"/>
      <c r="AS212" s="2317" t="s">
        <v>1473</v>
      </c>
      <c r="AT212" s="2309">
        <v>8</v>
      </c>
      <c r="AU212" s="2310"/>
      <c r="AV212" s="2309">
        <f>+AT212+1</f>
        <v>9</v>
      </c>
      <c r="AW212" s="2310"/>
      <c r="AX212" s="2309">
        <f>+AV212+1</f>
        <v>10</v>
      </c>
      <c r="AY212" s="2316"/>
    </row>
    <row r="213" spans="1:51" x14ac:dyDescent="0.25">
      <c r="A213" s="2304"/>
      <c r="B213" s="2304"/>
      <c r="C213" s="2304"/>
      <c r="D213" s="2304"/>
      <c r="E213" s="388"/>
      <c r="F213" s="388"/>
      <c r="G213" s="558"/>
      <c r="H213" s="968"/>
      <c r="I213" s="968"/>
      <c r="J213" s="968"/>
      <c r="K213" s="968"/>
      <c r="L213" s="968"/>
      <c r="M213" s="968"/>
      <c r="N213" s="968"/>
      <c r="O213" s="968"/>
      <c r="P213" s="968"/>
      <c r="Q213" s="968"/>
      <c r="R213" s="968"/>
      <c r="S213" s="388"/>
      <c r="T213" s="388"/>
      <c r="U213" s="388"/>
      <c r="V213" s="388"/>
      <c r="W213" s="388"/>
      <c r="X213" s="388"/>
      <c r="Y213" s="388"/>
      <c r="Z213" s="388"/>
      <c r="AA213" s="388"/>
      <c r="AB213" s="388"/>
      <c r="AC213" s="388"/>
      <c r="AD213" s="388"/>
      <c r="AE213" s="388"/>
      <c r="AF213" s="388"/>
      <c r="AG213" s="388"/>
      <c r="AH213" s="388"/>
      <c r="AI213" s="388"/>
      <c r="AJ213" s="388"/>
      <c r="AK213" s="388"/>
      <c r="AL213" s="388"/>
      <c r="AM213" s="388"/>
      <c r="AN213" s="388"/>
      <c r="AO213" s="388"/>
      <c r="AP213" s="388"/>
      <c r="AQ213" s="388"/>
      <c r="AR213" s="388"/>
      <c r="AS213" s="422" t="s">
        <v>1475</v>
      </c>
      <c r="AT213" s="1175">
        <f>+AT212*$AT$211</f>
        <v>400</v>
      </c>
      <c r="AU213" s="2311"/>
      <c r="AV213" s="1175">
        <f>+AV212*$AT$211</f>
        <v>450</v>
      </c>
      <c r="AW213" s="2311"/>
      <c r="AX213" s="1175">
        <f>+AX212*$AT$211</f>
        <v>500</v>
      </c>
      <c r="AY213" s="2311"/>
    </row>
    <row r="214" spans="1:51" x14ac:dyDescent="0.25">
      <c r="A214" s="2305"/>
      <c r="B214" s="2305"/>
      <c r="C214" s="2305"/>
      <c r="D214" s="2305"/>
      <c r="E214" s="2306"/>
      <c r="F214" s="2306"/>
      <c r="G214" s="2307"/>
      <c r="H214" s="2308"/>
      <c r="I214" s="2308"/>
      <c r="J214" s="2308"/>
      <c r="K214" s="2308"/>
      <c r="L214" s="2308"/>
      <c r="M214" s="2308"/>
      <c r="N214" s="2308"/>
      <c r="O214" s="2308"/>
      <c r="P214" s="2308"/>
      <c r="Q214" s="2308"/>
      <c r="R214" s="2308"/>
      <c r="S214" s="2306"/>
      <c r="T214" s="2306"/>
      <c r="U214" s="2306"/>
      <c r="V214" s="2306"/>
      <c r="W214" s="2306"/>
      <c r="X214" s="2306"/>
      <c r="Y214" s="2306"/>
      <c r="Z214" s="2306"/>
      <c r="AA214" s="2306"/>
      <c r="AB214" s="2306"/>
      <c r="AC214" s="2306"/>
      <c r="AD214" s="2306"/>
      <c r="AE214" s="2306"/>
      <c r="AF214" s="2306"/>
      <c r="AG214" s="2306"/>
      <c r="AH214" s="2306"/>
      <c r="AI214" s="2306"/>
      <c r="AJ214" s="2306"/>
      <c r="AK214" s="2306"/>
      <c r="AL214" s="2306"/>
      <c r="AM214" s="2306"/>
      <c r="AN214" s="2306"/>
      <c r="AO214" s="2306"/>
      <c r="AP214" s="2306"/>
      <c r="AQ214" s="2306"/>
      <c r="AR214" s="2306"/>
      <c r="AS214" s="2318" t="s">
        <v>1476</v>
      </c>
      <c r="AT214" s="2312">
        <v>12</v>
      </c>
      <c r="AU214" s="2313">
        <v>14</v>
      </c>
      <c r="AV214" s="2312">
        <v>12</v>
      </c>
      <c r="AW214" s="2313">
        <v>14</v>
      </c>
      <c r="AX214" s="2312">
        <v>12</v>
      </c>
      <c r="AY214" s="2313">
        <v>14</v>
      </c>
    </row>
    <row r="215" spans="1:51" x14ac:dyDescent="0.25">
      <c r="A215" s="2304"/>
      <c r="B215" s="2304"/>
      <c r="C215" s="2304"/>
      <c r="D215" s="2304"/>
      <c r="E215" s="388"/>
      <c r="F215" s="388"/>
      <c r="G215" s="558"/>
      <c r="H215" s="968"/>
      <c r="I215" s="968"/>
      <c r="J215" s="968"/>
      <c r="K215" s="968"/>
      <c r="L215" s="968"/>
      <c r="M215" s="968"/>
      <c r="N215" s="968"/>
      <c r="O215" s="968"/>
      <c r="P215" s="968"/>
      <c r="Q215" s="968"/>
      <c r="R215" s="968"/>
      <c r="S215" s="388"/>
      <c r="T215" s="388"/>
      <c r="U215" s="388"/>
      <c r="V215" s="388"/>
      <c r="W215" s="388"/>
      <c r="X215" s="388"/>
      <c r="Y215" s="388"/>
      <c r="Z215" s="388"/>
      <c r="AA215" s="388"/>
      <c r="AB215" s="388"/>
      <c r="AC215" s="388"/>
      <c r="AD215" s="388"/>
      <c r="AE215" s="388"/>
      <c r="AF215" s="388"/>
      <c r="AG215" s="388"/>
      <c r="AH215" s="388"/>
      <c r="AI215" s="388"/>
      <c r="AJ215" s="388"/>
      <c r="AK215" s="388"/>
      <c r="AL215" s="388"/>
      <c r="AM215" s="388"/>
      <c r="AN215" s="388"/>
      <c r="AO215" s="388"/>
      <c r="AP215" s="388"/>
      <c r="AQ215" s="388"/>
      <c r="AR215" s="388"/>
      <c r="AS215" s="422" t="s">
        <v>1477</v>
      </c>
      <c r="AT215" s="1175">
        <f t="shared" ref="AT215:AY215" si="2">+AT214*$AT$211</f>
        <v>600</v>
      </c>
      <c r="AU215" s="2311">
        <f t="shared" si="2"/>
        <v>700</v>
      </c>
      <c r="AV215" s="1175">
        <f t="shared" si="2"/>
        <v>600</v>
      </c>
      <c r="AW215" s="2311">
        <f t="shared" si="2"/>
        <v>700</v>
      </c>
      <c r="AX215" s="1175">
        <f t="shared" si="2"/>
        <v>600</v>
      </c>
      <c r="AY215" s="2311">
        <f t="shared" si="2"/>
        <v>700</v>
      </c>
    </row>
    <row r="216" spans="1:51" x14ac:dyDescent="0.25">
      <c r="A216" s="2304"/>
      <c r="B216" s="2304"/>
      <c r="C216" s="2304"/>
      <c r="D216" s="2304"/>
      <c r="E216" s="388"/>
      <c r="F216" s="388"/>
      <c r="G216" s="558"/>
      <c r="H216" s="968"/>
      <c r="I216" s="968"/>
      <c r="J216" s="968"/>
      <c r="K216" s="968"/>
      <c r="L216" s="968"/>
      <c r="M216" s="968"/>
      <c r="N216" s="968"/>
      <c r="O216" s="968"/>
      <c r="P216" s="968"/>
      <c r="Q216" s="968"/>
      <c r="R216" s="968"/>
      <c r="S216" s="388"/>
      <c r="T216" s="388"/>
      <c r="U216" s="388"/>
      <c r="V216" s="388"/>
      <c r="W216" s="388"/>
      <c r="X216" s="388"/>
      <c r="Y216" s="388"/>
      <c r="Z216" s="388"/>
      <c r="AA216" s="388"/>
      <c r="AB216" s="388"/>
      <c r="AC216" s="388"/>
      <c r="AD216" s="388"/>
      <c r="AE216" s="388"/>
      <c r="AF216" s="388"/>
      <c r="AG216" s="388"/>
      <c r="AH216" s="388"/>
      <c r="AI216" s="388"/>
      <c r="AJ216" s="388"/>
      <c r="AK216" s="388"/>
      <c r="AL216" s="388"/>
      <c r="AM216" s="388"/>
      <c r="AN216" s="388"/>
      <c r="AO216" s="388"/>
      <c r="AP216" s="388"/>
      <c r="AQ216" s="388"/>
      <c r="AR216" s="388"/>
      <c r="AS216" s="422" t="s">
        <v>1478</v>
      </c>
      <c r="AT216" s="1175">
        <f>+AT215-AT213</f>
        <v>200</v>
      </c>
      <c r="AU216" s="2311">
        <f>+AU215-AT213</f>
        <v>300</v>
      </c>
      <c r="AV216" s="1175">
        <f>+AV215-AV213</f>
        <v>150</v>
      </c>
      <c r="AW216" s="2311">
        <f>+AW215-AV213</f>
        <v>250</v>
      </c>
      <c r="AX216" s="1175">
        <f>+AX215-AX213</f>
        <v>100</v>
      </c>
      <c r="AY216" s="2311">
        <f>+AY215-AX213</f>
        <v>200</v>
      </c>
    </row>
    <row r="217" spans="1:51" x14ac:dyDescent="0.25">
      <c r="A217" s="2304"/>
      <c r="B217" s="2304"/>
      <c r="C217" s="2304"/>
      <c r="D217" s="2304"/>
      <c r="E217" s="388"/>
      <c r="F217" s="388"/>
      <c r="G217" s="558"/>
      <c r="H217" s="968"/>
      <c r="I217" s="968"/>
      <c r="J217" s="968"/>
      <c r="K217" s="968"/>
      <c r="L217" s="968"/>
      <c r="M217" s="968"/>
      <c r="N217" s="968"/>
      <c r="O217" s="968"/>
      <c r="P217" s="968"/>
      <c r="Q217" s="968"/>
      <c r="R217" s="968"/>
      <c r="S217" s="388"/>
      <c r="T217" s="388"/>
      <c r="U217" s="388"/>
      <c r="V217" s="388"/>
      <c r="W217" s="388"/>
      <c r="X217" s="388"/>
      <c r="Y217" s="388"/>
      <c r="Z217" s="388"/>
      <c r="AA217" s="388"/>
      <c r="AB217" s="388"/>
      <c r="AC217" s="388"/>
      <c r="AD217" s="388"/>
      <c r="AE217" s="388"/>
      <c r="AF217" s="388"/>
      <c r="AG217" s="388"/>
      <c r="AH217" s="388"/>
      <c r="AI217" s="388"/>
      <c r="AJ217" s="388"/>
      <c r="AK217" s="388"/>
      <c r="AL217" s="388"/>
      <c r="AM217" s="388"/>
      <c r="AN217" s="388"/>
      <c r="AO217" s="388"/>
      <c r="AP217" s="388"/>
      <c r="AQ217" s="388"/>
      <c r="AR217" s="388"/>
      <c r="AS217" s="2319" t="s">
        <v>1385</v>
      </c>
      <c r="AT217" s="2314">
        <f t="shared" ref="AT217:AY217" si="3">+AT216/$T$66</f>
        <v>2.1598272138228944</v>
      </c>
      <c r="AU217" s="2315">
        <f t="shared" si="3"/>
        <v>3.2397408207343417</v>
      </c>
      <c r="AV217" s="2314">
        <f t="shared" si="3"/>
        <v>1.6198704103671708</v>
      </c>
      <c r="AW217" s="2315">
        <f t="shared" si="3"/>
        <v>2.6997840172786178</v>
      </c>
      <c r="AX217" s="2314">
        <f t="shared" si="3"/>
        <v>1.0799136069114472</v>
      </c>
      <c r="AY217" s="2315">
        <f t="shared" si="3"/>
        <v>2.1598272138228944</v>
      </c>
    </row>
  </sheetData>
  <phoneticPr fontId="13"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G61"/>
  <sheetViews>
    <sheetView zoomScale="85" zoomScaleNormal="85" workbookViewId="0">
      <selection activeCell="G41" sqref="G41"/>
    </sheetView>
  </sheetViews>
  <sheetFormatPr defaultRowHeight="12" customHeight="1" x14ac:dyDescent="0.25"/>
  <cols>
    <col min="1" max="1" width="25.625" customWidth="1"/>
  </cols>
  <sheetData>
    <row r="1" spans="1:7" ht="12" customHeight="1" x14ac:dyDescent="0.25">
      <c r="A1" s="10" t="s">
        <v>892</v>
      </c>
      <c r="B1" s="11"/>
      <c r="C1" s="11"/>
      <c r="D1" s="11"/>
      <c r="E1" s="11"/>
      <c r="F1" s="11"/>
      <c r="G1" s="11"/>
    </row>
    <row r="2" spans="1:7" ht="12" customHeight="1" x14ac:dyDescent="0.25">
      <c r="A2" s="10" t="s">
        <v>2220</v>
      </c>
      <c r="B2" s="11"/>
      <c r="C2" s="11"/>
      <c r="D2" s="11"/>
      <c r="E2" s="11"/>
      <c r="F2" s="11"/>
      <c r="G2" s="11"/>
    </row>
    <row r="3" spans="1:7" ht="12" customHeight="1" x14ac:dyDescent="0.25">
      <c r="A3" s="1069"/>
      <c r="B3" s="11"/>
      <c r="C3" s="11"/>
      <c r="D3" s="11"/>
      <c r="E3" s="11"/>
      <c r="F3" s="11"/>
      <c r="G3" s="11"/>
    </row>
    <row r="4" spans="1:7" ht="12" customHeight="1" x14ac:dyDescent="0.25">
      <c r="A4" s="428"/>
      <c r="B4" s="503"/>
      <c r="C4" s="503"/>
      <c r="D4" s="503"/>
      <c r="E4" s="503"/>
      <c r="F4" s="1069"/>
      <c r="G4" s="503"/>
    </row>
    <row r="5" spans="1:7" ht="12" customHeight="1" x14ac:dyDescent="0.25">
      <c r="A5" s="11" t="s">
        <v>1360</v>
      </c>
      <c r="B5" s="428"/>
      <c r="C5" s="428"/>
      <c r="D5" s="428"/>
      <c r="E5" s="428"/>
      <c r="F5" s="502" t="s">
        <v>1585</v>
      </c>
      <c r="G5" s="428"/>
    </row>
    <row r="6" spans="1:7" ht="12" customHeight="1" x14ac:dyDescent="0.25">
      <c r="A6" s="689"/>
      <c r="B6" s="1743">
        <v>2012</v>
      </c>
      <c r="C6" s="1743" t="s">
        <v>1137</v>
      </c>
      <c r="D6" s="1743" t="s">
        <v>1138</v>
      </c>
      <c r="E6" s="1743" t="s">
        <v>1139</v>
      </c>
      <c r="F6" s="1743" t="s">
        <v>1460</v>
      </c>
      <c r="G6" s="1069"/>
    </row>
    <row r="7" spans="1:7" ht="12" customHeight="1" x14ac:dyDescent="0.25">
      <c r="A7" s="428" t="s">
        <v>1345</v>
      </c>
      <c r="B7" s="692">
        <f>PENN!AU65</f>
        <v>437.47399999999993</v>
      </c>
      <c r="C7" s="692">
        <f>PENN!AZ65</f>
        <v>385.45699999999999</v>
      </c>
      <c r="D7" s="692">
        <f>PENN!BE65</f>
        <v>257.18799999999999</v>
      </c>
      <c r="E7" s="692">
        <f>PENN!BJ65</f>
        <v>467.84799999999996</v>
      </c>
      <c r="F7" s="1069"/>
      <c r="G7" s="1069"/>
    </row>
    <row r="8" spans="1:7" ht="12" customHeight="1" x14ac:dyDescent="0.25">
      <c r="A8" s="428" t="s">
        <v>1346</v>
      </c>
      <c r="B8" s="428">
        <f>PENN!AU76</f>
        <v>-152.55499999999998</v>
      </c>
      <c r="C8" s="428">
        <f>PENN!AZ76</f>
        <v>121.53799999999998</v>
      </c>
      <c r="D8" s="428">
        <f>PENN!BE76</f>
        <v>-30.518999999999998</v>
      </c>
      <c r="E8" s="428">
        <f>PENN!BJ76</f>
        <v>-55.923999999999999</v>
      </c>
      <c r="F8" s="1069"/>
      <c r="G8" s="1069"/>
    </row>
    <row r="9" spans="1:7" ht="12" customHeight="1" x14ac:dyDescent="0.25">
      <c r="A9" s="428" t="s">
        <v>1347</v>
      </c>
      <c r="B9" s="428">
        <f>PENN!AU63</f>
        <v>245.34799999999998</v>
      </c>
      <c r="C9" s="428">
        <f>PENN!AZ63</f>
        <v>298.32600000000002</v>
      </c>
      <c r="D9" s="428">
        <f>PENN!BE63</f>
        <v>266.74200000000002</v>
      </c>
      <c r="E9" s="428">
        <f>PENN!BJ63</f>
        <v>259.46100000000001</v>
      </c>
      <c r="F9" s="1069"/>
      <c r="G9" s="1069"/>
    </row>
    <row r="10" spans="1:7" ht="12" customHeight="1" x14ac:dyDescent="0.25">
      <c r="A10" s="428" t="s">
        <v>36</v>
      </c>
      <c r="B10" s="428">
        <f>PENN!AU59</f>
        <v>28.61</v>
      </c>
      <c r="C10" s="428">
        <f>PENN!AZ59</f>
        <v>22.808</v>
      </c>
      <c r="D10" s="428">
        <f>PENN!BE59</f>
        <v>10.665999999999999</v>
      </c>
      <c r="E10" s="428">
        <f>PENN!BJ59</f>
        <v>8.2230000000000008</v>
      </c>
      <c r="F10" s="1069"/>
      <c r="G10" s="1069"/>
    </row>
    <row r="11" spans="1:7" ht="12" customHeight="1" x14ac:dyDescent="0.25">
      <c r="A11" s="428" t="s">
        <v>1348</v>
      </c>
      <c r="B11" s="428">
        <f>-PENN!AU133</f>
        <v>-542.69999999999993</v>
      </c>
      <c r="C11" s="428">
        <f>-PENN!AZ133</f>
        <v>-199.89999999999998</v>
      </c>
      <c r="D11" s="428">
        <f>-PENN!BE133</f>
        <v>-401.9</v>
      </c>
      <c r="E11" s="428">
        <f>-PENN!BJ133</f>
        <v>-304.89800000000002</v>
      </c>
      <c r="F11" s="1069"/>
      <c r="G11" s="1069"/>
    </row>
    <row r="12" spans="1:7" ht="12" customHeight="1" x14ac:dyDescent="0.25">
      <c r="A12" s="428" t="s">
        <v>896</v>
      </c>
      <c r="B12" s="649">
        <f>PENN!AU115</f>
        <v>-34.526000000000003</v>
      </c>
      <c r="C12" s="608">
        <f>PENN!AZ115</f>
        <v>-46.881</v>
      </c>
      <c r="D12" s="608">
        <f>PENN!BE115</f>
        <v>-19.972999999999999</v>
      </c>
      <c r="E12" s="608">
        <f>PENN!BJ115</f>
        <v>17.161000000000005</v>
      </c>
      <c r="F12" s="1069"/>
      <c r="G12" s="1069"/>
    </row>
    <row r="13" spans="1:7" ht="12" customHeight="1" x14ac:dyDescent="0.25">
      <c r="A13" s="432" t="s">
        <v>1349</v>
      </c>
      <c r="B13" s="1816">
        <f>SUM(B7:B12)</f>
        <v>-18.348999999999982</v>
      </c>
      <c r="C13" s="1816">
        <f>SUM(C7:C12)</f>
        <v>581.34800000000007</v>
      </c>
      <c r="D13" s="1816">
        <f>SUM(D7:D12)</f>
        <v>82.204000000000022</v>
      </c>
      <c r="E13" s="1816">
        <f>SUM(E7:E12)</f>
        <v>391.87099999999992</v>
      </c>
      <c r="F13" s="1721">
        <f>(E13*(1+B47))/(B46-B47)</f>
        <v>6179.5042307692293</v>
      </c>
      <c r="G13" s="1069"/>
    </row>
    <row r="14" spans="1:7" ht="12" customHeight="1" x14ac:dyDescent="0.25">
      <c r="A14" s="428" t="s">
        <v>1350</v>
      </c>
      <c r="B14" s="1071"/>
      <c r="C14" s="1071">
        <f>(1+$B$46)^0.75</f>
        <v>1.0667677392343893</v>
      </c>
      <c r="D14" s="1071">
        <f>(1+$B$46)^1.75</f>
        <v>1.1627768357654844</v>
      </c>
      <c r="E14" s="1071">
        <f>(1+$B$46)^2.75</f>
        <v>1.2674267509843782</v>
      </c>
      <c r="F14" s="1071">
        <f>E14</f>
        <v>1.2674267509843782</v>
      </c>
      <c r="G14" s="430"/>
    </row>
    <row r="15" spans="1:7" ht="12" customHeight="1" x14ac:dyDescent="0.25">
      <c r="A15" s="533" t="s">
        <v>1352</v>
      </c>
      <c r="B15" s="533"/>
      <c r="C15" s="533">
        <f>C13/C14</f>
        <v>544.96211182504351</v>
      </c>
      <c r="D15" s="533">
        <f>D13/D14</f>
        <v>70.696282787473251</v>
      </c>
      <c r="E15" s="533">
        <f>E13/E14</f>
        <v>309.18630973793449</v>
      </c>
      <c r="F15" s="533">
        <f>F13/F14</f>
        <v>4875.630268944351</v>
      </c>
      <c r="G15" s="428"/>
    </row>
    <row r="16" spans="1:7" ht="12" customHeight="1" x14ac:dyDescent="0.25">
      <c r="A16" s="428" t="s">
        <v>1402</v>
      </c>
      <c r="B16" s="428">
        <f>-PENN!BB1564</f>
        <v>-1056.9390000000001</v>
      </c>
      <c r="C16" s="428"/>
      <c r="D16" s="428"/>
      <c r="E16" s="428"/>
      <c r="F16" s="428"/>
      <c r="G16" s="428"/>
    </row>
    <row r="17" spans="1:7" ht="12" customHeight="1" x14ac:dyDescent="0.25">
      <c r="A17" s="428" t="s">
        <v>1353</v>
      </c>
      <c r="B17" s="649">
        <f>PENN!BB1565</f>
        <v>251.29899999999958</v>
      </c>
      <c r="C17" s="428"/>
      <c r="D17" s="428"/>
      <c r="E17" s="428"/>
      <c r="F17" s="428"/>
      <c r="G17" s="428"/>
    </row>
    <row r="18" spans="1:7" ht="4.5" customHeight="1" x14ac:dyDescent="0.25">
      <c r="A18" s="710"/>
      <c r="B18" s="460" t="s">
        <v>1151</v>
      </c>
      <c r="C18" s="428"/>
      <c r="D18" s="428"/>
      <c r="E18" s="428"/>
      <c r="F18" s="428"/>
      <c r="G18" s="428"/>
    </row>
    <row r="19" spans="1:7" ht="12" customHeight="1" x14ac:dyDescent="0.25">
      <c r="A19" s="533" t="s">
        <v>8</v>
      </c>
      <c r="B19" s="533">
        <f>SUM(C15:F15)+B16+B17</f>
        <v>4994.8349732948018</v>
      </c>
      <c r="C19" s="428"/>
      <c r="D19" s="428"/>
      <c r="E19" s="428"/>
      <c r="F19" s="428"/>
      <c r="G19" s="428"/>
    </row>
    <row r="20" spans="1:7" ht="12" customHeight="1" x14ac:dyDescent="0.25">
      <c r="A20" s="428" t="s">
        <v>1567</v>
      </c>
      <c r="B20" s="428"/>
      <c r="C20" s="428"/>
      <c r="D20" s="428"/>
      <c r="E20" s="428"/>
      <c r="F20" s="428"/>
      <c r="G20" s="428"/>
    </row>
    <row r="21" spans="1:7" ht="12" customHeight="1" x14ac:dyDescent="0.25">
      <c r="A21" s="432" t="s">
        <v>1354</v>
      </c>
      <c r="B21" s="1721"/>
      <c r="C21" s="428"/>
      <c r="D21" s="428"/>
      <c r="E21" s="428"/>
      <c r="F21" s="428"/>
      <c r="G21" s="428"/>
    </row>
    <row r="22" spans="1:7" ht="12" customHeight="1" x14ac:dyDescent="0.25">
      <c r="A22" s="428" t="s">
        <v>1568</v>
      </c>
      <c r="B22" s="697"/>
      <c r="C22" s="428"/>
      <c r="D22" s="428"/>
      <c r="E22" s="428"/>
      <c r="F22" s="428"/>
      <c r="G22" s="428"/>
    </row>
    <row r="23" spans="1:7" ht="12" customHeight="1" x14ac:dyDescent="0.25">
      <c r="A23" s="718" t="s">
        <v>1910</v>
      </c>
      <c r="B23" s="724"/>
      <c r="C23" s="428"/>
      <c r="D23" s="428"/>
      <c r="E23" s="428"/>
      <c r="F23" s="428"/>
      <c r="G23" s="428"/>
    </row>
    <row r="24" spans="1:7" ht="12" customHeight="1" x14ac:dyDescent="0.25">
      <c r="A24" s="1069"/>
      <c r="B24" s="428"/>
      <c r="C24" s="428"/>
      <c r="D24" s="428"/>
      <c r="E24" s="428"/>
      <c r="F24" s="428"/>
      <c r="G24" s="428"/>
    </row>
    <row r="25" spans="1:7" ht="12" customHeight="1" x14ac:dyDescent="0.25">
      <c r="A25" s="1069"/>
      <c r="B25" s="1069"/>
      <c r="C25" s="1069"/>
      <c r="D25" s="1069"/>
      <c r="E25" s="1069"/>
      <c r="F25" s="1069"/>
      <c r="G25" s="1071"/>
    </row>
    <row r="26" spans="1:7" ht="12" customHeight="1" x14ac:dyDescent="0.25">
      <c r="A26" s="1069"/>
      <c r="B26" s="1069"/>
      <c r="C26" s="1069"/>
      <c r="D26" s="1069"/>
      <c r="E26" s="1069"/>
      <c r="F26" s="1069"/>
      <c r="G26" s="1071"/>
    </row>
    <row r="27" spans="1:7" ht="12" customHeight="1" x14ac:dyDescent="0.25">
      <c r="A27" s="428"/>
      <c r="B27" s="1071"/>
      <c r="C27" s="1071"/>
      <c r="D27" s="1071"/>
      <c r="E27" s="1071"/>
      <c r="F27" s="1071"/>
      <c r="G27" s="1071"/>
    </row>
    <row r="28" spans="1:7" ht="12" customHeight="1" x14ac:dyDescent="0.25">
      <c r="A28" s="428" t="s">
        <v>1351</v>
      </c>
      <c r="B28" s="692">
        <f>C28/(1+$B$46)</f>
        <v>4016.2537513403345</v>
      </c>
      <c r="C28" s="692">
        <f>D28/(1+$B$46)</f>
        <v>4377.7165889609651</v>
      </c>
      <c r="D28" s="692">
        <f>E28/(1+$B$46)</f>
        <v>4771.7110819674526</v>
      </c>
      <c r="E28" s="692">
        <f>F28/(1+$B$46)</f>
        <v>5201.1650793445233</v>
      </c>
      <c r="F28" s="692">
        <f>G28/(1+$B$46)</f>
        <v>5669.2699364855307</v>
      </c>
      <c r="G28" s="692">
        <f>E13*(1+$B$47)/($B$46-$B$47)</f>
        <v>6179.5042307692293</v>
      </c>
    </row>
    <row r="29" spans="1:7" ht="12" customHeight="1" x14ac:dyDescent="0.25">
      <c r="A29" s="428"/>
      <c r="B29" s="1071"/>
      <c r="C29" s="1071"/>
      <c r="D29" s="1071"/>
      <c r="E29" s="1071"/>
      <c r="F29" s="1071"/>
      <c r="G29" s="1071"/>
    </row>
    <row r="30" spans="1:7" ht="12" customHeight="1" x14ac:dyDescent="0.25">
      <c r="A30" s="428" t="s">
        <v>1352</v>
      </c>
      <c r="B30" s="11"/>
      <c r="C30" s="11"/>
      <c r="D30" s="11"/>
      <c r="E30" s="11"/>
      <c r="F30" s="11"/>
      <c r="G30" s="11"/>
    </row>
    <row r="31" spans="1:7" ht="12" customHeight="1" x14ac:dyDescent="0.25">
      <c r="A31" s="428" t="s">
        <v>1139</v>
      </c>
      <c r="B31" s="692">
        <f>C31/(1+$B$46)</f>
        <v>277.61129588532953</v>
      </c>
      <c r="C31" s="692">
        <f>D31/(1+$B$46)</f>
        <v>302.59631251500923</v>
      </c>
      <c r="D31" s="692">
        <f>E31/(1+$B$46)</f>
        <v>329.82998064136007</v>
      </c>
      <c r="E31" s="692">
        <f>E13/(1+$B$46)</f>
        <v>359.51467889908247</v>
      </c>
      <c r="F31" s="1069"/>
      <c r="G31" s="1069"/>
    </row>
    <row r="32" spans="1:7" ht="12" customHeight="1" x14ac:dyDescent="0.25">
      <c r="A32" s="428" t="s">
        <v>1138</v>
      </c>
      <c r="B32" s="651">
        <f>C32/(1+$B$46)</f>
        <v>63.47657079493974</v>
      </c>
      <c r="C32" s="651">
        <f>D32/(1+$B$46)</f>
        <v>69.189462166484319</v>
      </c>
      <c r="D32" s="651">
        <f>D13/(1+$B$46)</f>
        <v>75.416513761467911</v>
      </c>
      <c r="E32" s="651"/>
      <c r="F32" s="1069"/>
      <c r="G32" s="1069"/>
    </row>
    <row r="33" spans="1:7" ht="12" customHeight="1" x14ac:dyDescent="0.25">
      <c r="A33" s="428" t="s">
        <v>1137</v>
      </c>
      <c r="B33" s="651">
        <f>C33/(1+$B$46)</f>
        <v>489.30898072552816</v>
      </c>
      <c r="C33" s="651">
        <f>C13/(1+$B$46)</f>
        <v>533.34678899082576</v>
      </c>
      <c r="D33" s="651"/>
      <c r="E33" s="651"/>
      <c r="F33" s="1069"/>
      <c r="G33" s="1069"/>
    </row>
    <row r="34" spans="1:7" ht="12" customHeight="1" x14ac:dyDescent="0.25">
      <c r="A34" s="2294">
        <v>2012</v>
      </c>
      <c r="B34" s="651">
        <f>B13/(1+$B$46)</f>
        <v>-16.833944954128423</v>
      </c>
      <c r="C34" s="651"/>
      <c r="D34" s="651"/>
      <c r="E34" s="651"/>
      <c r="F34" s="1069"/>
      <c r="G34" s="1069"/>
    </row>
    <row r="35" spans="1:7" ht="12" customHeight="1" x14ac:dyDescent="0.25">
      <c r="A35" s="11"/>
      <c r="B35" s="430"/>
      <c r="C35" s="430"/>
      <c r="D35" s="430"/>
      <c r="E35" s="430"/>
      <c r="F35" s="430"/>
      <c r="G35" s="11"/>
    </row>
    <row r="36" spans="1:7" ht="12" customHeight="1" x14ac:dyDescent="0.25">
      <c r="A36" s="533" t="s">
        <v>1352</v>
      </c>
      <c r="B36" s="703">
        <f t="shared" ref="B36:G36" si="0">SUM(B28:B34)</f>
        <v>4829.8166537920042</v>
      </c>
      <c r="C36" s="703">
        <f t="shared" si="0"/>
        <v>5282.8491526332846</v>
      </c>
      <c r="D36" s="703">
        <f t="shared" si="0"/>
        <v>5176.9575763702805</v>
      </c>
      <c r="E36" s="703">
        <f t="shared" si="0"/>
        <v>5560.6797582436056</v>
      </c>
      <c r="F36" s="703">
        <f t="shared" si="0"/>
        <v>5669.2699364855307</v>
      </c>
      <c r="G36" s="703">
        <f t="shared" si="0"/>
        <v>6179.5042307692293</v>
      </c>
    </row>
    <row r="37" spans="1:7" ht="12" customHeight="1" x14ac:dyDescent="0.25">
      <c r="A37" s="428" t="s">
        <v>1402</v>
      </c>
      <c r="B37" s="428">
        <f>-PENN!AK1564</f>
        <v>-2171.123</v>
      </c>
      <c r="C37" s="428">
        <f>-PENN!AP1564</f>
        <v>-2044.914</v>
      </c>
      <c r="D37" s="428">
        <f>-PENN!AU1564</f>
        <v>-2732.0740000000001</v>
      </c>
      <c r="E37" s="428">
        <f>-PENN!AZ1564</f>
        <v>-1052.0150000000001</v>
      </c>
      <c r="F37" s="428">
        <f>-PENN!BE1564</f>
        <v>-4832.2659999999996</v>
      </c>
      <c r="G37" s="428">
        <f>-PENN!BJ1564</f>
        <v>-5249.2780000000002</v>
      </c>
    </row>
    <row r="38" spans="1:7" ht="12" customHeight="1" x14ac:dyDescent="0.25">
      <c r="A38" s="428" t="s">
        <v>1353</v>
      </c>
      <c r="B38" s="649">
        <f>PENN!AK1565</f>
        <v>246.38499999999993</v>
      </c>
      <c r="C38" s="649">
        <f>PENN!AP1565</f>
        <v>238.43999999999994</v>
      </c>
      <c r="D38" s="649">
        <f>PENN!AU1565</f>
        <v>260.46699999999987</v>
      </c>
      <c r="E38" s="649">
        <f>PENN!AZ1565</f>
        <v>292.99499999999972</v>
      </c>
      <c r="F38" s="649">
        <f>PENN!BE1565</f>
        <v>208.67299999999966</v>
      </c>
      <c r="G38" s="649">
        <f>PENN!BJ1565</f>
        <v>237.00899999999973</v>
      </c>
    </row>
    <row r="39" spans="1:7" ht="4.5" customHeight="1" x14ac:dyDescent="0.25">
      <c r="A39" s="710"/>
      <c r="B39" s="460" t="s">
        <v>1151</v>
      </c>
      <c r="C39" s="460" t="s">
        <v>1151</v>
      </c>
      <c r="D39" s="460" t="s">
        <v>1151</v>
      </c>
      <c r="E39" s="460" t="s">
        <v>1151</v>
      </c>
      <c r="F39" s="460" t="s">
        <v>1151</v>
      </c>
      <c r="G39" s="460" t="s">
        <v>1151</v>
      </c>
    </row>
    <row r="40" spans="1:7" ht="12" customHeight="1" x14ac:dyDescent="0.25">
      <c r="A40" s="533" t="s">
        <v>8</v>
      </c>
      <c r="B40" s="703">
        <f t="shared" ref="B40:G40" si="1">SUM(B36:B38)</f>
        <v>2905.0786537920039</v>
      </c>
      <c r="C40" s="703">
        <f t="shared" si="1"/>
        <v>3476.3751526332849</v>
      </c>
      <c r="D40" s="703">
        <f t="shared" si="1"/>
        <v>2705.3505763702806</v>
      </c>
      <c r="E40" s="703">
        <f t="shared" si="1"/>
        <v>4801.6597582436052</v>
      </c>
      <c r="F40" s="703">
        <f t="shared" si="1"/>
        <v>1045.6769364855309</v>
      </c>
      <c r="G40" s="703">
        <f t="shared" si="1"/>
        <v>1167.2352307692288</v>
      </c>
    </row>
    <row r="41" spans="1:7" ht="12" customHeight="1" x14ac:dyDescent="0.25">
      <c r="A41" s="428" t="s">
        <v>1567</v>
      </c>
      <c r="B41" s="428">
        <f>PENN!AF101</f>
        <v>107.006</v>
      </c>
      <c r="C41" s="428">
        <f>B41</f>
        <v>107.006</v>
      </c>
      <c r="D41" s="428">
        <f>C41</f>
        <v>107.006</v>
      </c>
      <c r="E41" s="428">
        <f>D41</f>
        <v>107.006</v>
      </c>
      <c r="F41" s="428">
        <f>E41</f>
        <v>107.006</v>
      </c>
      <c r="G41" s="428">
        <f>F41</f>
        <v>107.006</v>
      </c>
    </row>
    <row r="42" spans="1:7" ht="12" customHeight="1" x14ac:dyDescent="0.25">
      <c r="A42" s="906" t="s">
        <v>1354</v>
      </c>
      <c r="B42" s="910">
        <f t="shared" ref="B42:G42" si="2">B40/B41</f>
        <v>27.148745432891651</v>
      </c>
      <c r="C42" s="910">
        <f t="shared" si="2"/>
        <v>32.487665669525867</v>
      </c>
      <c r="D42" s="910">
        <f t="shared" si="2"/>
        <v>25.282232551167976</v>
      </c>
      <c r="E42" s="910">
        <f t="shared" si="2"/>
        <v>44.872808611139611</v>
      </c>
      <c r="F42" s="910">
        <f t="shared" si="2"/>
        <v>9.772133679284627</v>
      </c>
      <c r="G42" s="1085">
        <f t="shared" si="2"/>
        <v>10.908128803704734</v>
      </c>
    </row>
    <row r="43" spans="1:7" ht="12" customHeight="1" x14ac:dyDescent="0.25">
      <c r="A43" s="428" t="s">
        <v>1568</v>
      </c>
      <c r="B43" s="752">
        <v>35</v>
      </c>
      <c r="C43" s="1072">
        <f>B43</f>
        <v>35</v>
      </c>
      <c r="D43" s="1072">
        <f>C43</f>
        <v>35</v>
      </c>
      <c r="E43" s="1072">
        <f>D43</f>
        <v>35</v>
      </c>
      <c r="F43" s="1072">
        <f>E43</f>
        <v>35</v>
      </c>
      <c r="G43" s="1072">
        <f>F43</f>
        <v>35</v>
      </c>
    </row>
    <row r="44" spans="1:7" ht="12" customHeight="1" x14ac:dyDescent="0.25">
      <c r="A44" s="718" t="s">
        <v>1910</v>
      </c>
      <c r="B44" s="717">
        <f t="shared" ref="B44:G44" si="3">B42/B43-1</f>
        <v>-0.22432155906023854</v>
      </c>
      <c r="C44" s="717">
        <f t="shared" si="3"/>
        <v>-7.1780980870689515E-2</v>
      </c>
      <c r="D44" s="717">
        <f t="shared" si="3"/>
        <v>-0.27765049853805779</v>
      </c>
      <c r="E44" s="717">
        <f t="shared" si="3"/>
        <v>0.28208024603256021</v>
      </c>
      <c r="F44" s="717">
        <f t="shared" si="3"/>
        <v>-0.72079618059186779</v>
      </c>
      <c r="G44" s="717">
        <f t="shared" si="3"/>
        <v>-0.68833917703700753</v>
      </c>
    </row>
    <row r="45" spans="1:7" ht="12" customHeight="1" x14ac:dyDescent="0.25">
      <c r="A45" s="718"/>
      <c r="B45" s="430"/>
      <c r="C45" s="430"/>
      <c r="D45" s="430"/>
      <c r="E45" s="430"/>
      <c r="F45" s="430"/>
      <c r="G45" s="430"/>
    </row>
    <row r="46" spans="1:7" ht="12" customHeight="1" x14ac:dyDescent="0.25">
      <c r="A46" s="1073" t="s">
        <v>1355</v>
      </c>
      <c r="B46" s="1086">
        <v>0.09</v>
      </c>
      <c r="C46" s="430"/>
      <c r="D46" s="430"/>
      <c r="E46" s="430"/>
      <c r="F46" s="430"/>
      <c r="G46" s="430"/>
    </row>
    <row r="47" spans="1:7" ht="12" customHeight="1" x14ac:dyDescent="0.25">
      <c r="A47" s="1074" t="s">
        <v>1356</v>
      </c>
      <c r="B47" s="1075">
        <v>2.5000000000000001E-2</v>
      </c>
      <c r="C47" s="430"/>
      <c r="D47" s="430"/>
      <c r="E47" s="430"/>
      <c r="F47" s="430"/>
      <c r="G47" s="430"/>
    </row>
    <row r="48" spans="1:7" ht="12" customHeight="1" x14ac:dyDescent="0.25">
      <c r="A48" s="520" t="s">
        <v>1357</v>
      </c>
      <c r="B48" s="1076">
        <f>(1+B47)/(B46-B47)</f>
        <v>15.769230769230766</v>
      </c>
      <c r="C48" s="430"/>
      <c r="D48" s="430"/>
      <c r="E48" s="430"/>
      <c r="F48" s="430"/>
      <c r="G48" s="430"/>
    </row>
    <row r="49" spans="1:7" ht="12" customHeight="1" x14ac:dyDescent="0.25">
      <c r="A49" s="1077" t="s">
        <v>1358</v>
      </c>
      <c r="B49" s="1078">
        <f>G28/(PENN!BJ50*(1+B47))</f>
        <v>16.776318146672196</v>
      </c>
      <c r="C49" s="430"/>
      <c r="D49" s="430"/>
      <c r="E49" s="430"/>
      <c r="F49" s="430"/>
      <c r="G49" s="430"/>
    </row>
    <row r="50" spans="1:7" ht="12" customHeight="1" x14ac:dyDescent="0.25">
      <c r="A50" s="525"/>
      <c r="B50" s="829"/>
      <c r="C50" s="428"/>
      <c r="D50" s="428"/>
      <c r="E50" s="428"/>
      <c r="F50" s="428"/>
      <c r="G50" s="428"/>
    </row>
    <row r="51" spans="1:7" ht="12" customHeight="1" x14ac:dyDescent="0.25">
      <c r="A51" s="520" t="s">
        <v>536</v>
      </c>
      <c r="B51" s="1075">
        <v>0.02</v>
      </c>
      <c r="C51" s="519"/>
      <c r="D51" s="519"/>
      <c r="E51" s="519"/>
      <c r="F51" s="519"/>
      <c r="G51" s="519"/>
    </row>
    <row r="52" spans="1:7" ht="12" customHeight="1" x14ac:dyDescent="0.25">
      <c r="A52" s="520" t="s">
        <v>537</v>
      </c>
      <c r="B52" s="1075">
        <v>0.05</v>
      </c>
      <c r="C52" s="519"/>
      <c r="D52" s="519"/>
      <c r="E52" s="519"/>
      <c r="F52" s="519"/>
      <c r="G52" s="519"/>
    </row>
    <row r="53" spans="1:7" ht="12" customHeight="1" x14ac:dyDescent="0.25">
      <c r="A53" s="285" t="s">
        <v>538</v>
      </c>
      <c r="B53" s="1079">
        <f>PENN!AZ1504</f>
        <v>4.3662744443675038E-2</v>
      </c>
      <c r="C53" s="428"/>
      <c r="D53" s="428"/>
      <c r="E53" s="428"/>
      <c r="F53" s="428"/>
      <c r="G53" s="428"/>
    </row>
    <row r="54" spans="1:7" ht="12" customHeight="1" x14ac:dyDescent="0.25">
      <c r="A54" s="520" t="s">
        <v>155</v>
      </c>
      <c r="B54" s="1080">
        <v>1.3</v>
      </c>
      <c r="C54" s="519"/>
      <c r="D54" s="519"/>
      <c r="E54" s="519"/>
      <c r="F54" s="519"/>
      <c r="G54" s="519"/>
    </row>
    <row r="55" spans="1:7" ht="12" customHeight="1" x14ac:dyDescent="0.25">
      <c r="A55" s="520"/>
      <c r="B55" s="840"/>
      <c r="C55" s="1069"/>
      <c r="D55" s="1069"/>
      <c r="E55" s="1069"/>
      <c r="F55" s="1069"/>
      <c r="G55" s="1069"/>
    </row>
    <row r="56" spans="1:7" ht="12" customHeight="1" x14ac:dyDescent="0.25">
      <c r="A56" s="520" t="s">
        <v>1937</v>
      </c>
      <c r="B56" s="840">
        <f>PENN!AK1402</f>
        <v>2171.123</v>
      </c>
      <c r="C56" s="1069"/>
      <c r="D56" s="1069"/>
      <c r="E56" s="1069"/>
      <c r="F56" s="1069"/>
      <c r="G56" s="1069"/>
    </row>
    <row r="57" spans="1:7" ht="12" customHeight="1" x14ac:dyDescent="0.25">
      <c r="A57" s="1077" t="s">
        <v>539</v>
      </c>
      <c r="B57" s="833">
        <f>B43*B41</f>
        <v>3745.21</v>
      </c>
      <c r="C57" s="1069"/>
      <c r="D57" s="1069"/>
      <c r="E57" s="1069"/>
      <c r="F57" s="1069"/>
      <c r="G57" s="1069"/>
    </row>
    <row r="58" spans="1:7" ht="12" customHeight="1" x14ac:dyDescent="0.25">
      <c r="A58" s="520"/>
      <c r="B58" s="840"/>
      <c r="C58" s="1069"/>
      <c r="D58" s="1069"/>
      <c r="E58" s="1069"/>
      <c r="F58" s="1069"/>
      <c r="G58" s="1069"/>
    </row>
    <row r="59" spans="1:7" ht="12" customHeight="1" x14ac:dyDescent="0.25">
      <c r="A59" s="285" t="s">
        <v>540</v>
      </c>
      <c r="B59" s="1079">
        <f>(B57/(B56+B57))*(B51+B52*B54)</f>
        <v>5.38074597897042E-2</v>
      </c>
      <c r="C59" s="1069"/>
      <c r="D59" s="1069"/>
      <c r="E59" s="1069"/>
      <c r="F59" s="1069"/>
      <c r="G59" s="1069"/>
    </row>
    <row r="60" spans="1:7" ht="12" customHeight="1" x14ac:dyDescent="0.25">
      <c r="A60" s="285" t="s">
        <v>538</v>
      </c>
      <c r="B60" s="1079">
        <f>(B56/(B56+B57))*B53</f>
        <v>1.6022963667661212E-2</v>
      </c>
      <c r="C60" s="1069"/>
      <c r="D60" s="1069"/>
      <c r="E60" s="1069"/>
      <c r="F60" s="1069"/>
      <c r="G60" s="1069"/>
    </row>
    <row r="61" spans="1:7" ht="12" customHeight="1" x14ac:dyDescent="0.25">
      <c r="A61" s="1081" t="s">
        <v>541</v>
      </c>
      <c r="B61" s="1082">
        <f>B60+B59</f>
        <v>6.9830423457365412E-2</v>
      </c>
      <c r="C61" s="1069"/>
      <c r="D61" s="1069"/>
      <c r="E61" s="1069"/>
      <c r="F61" s="1069"/>
      <c r="G61" s="1069"/>
    </row>
  </sheetData>
  <phoneticPr fontId="13" type="noConversion"/>
  <pageMargins left="0.75" right="0.75" top="1" bottom="1" header="0.5" footer="0.5"/>
  <pageSetup scale="89"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
  <sheetViews>
    <sheetView workbookViewId="0"/>
  </sheetViews>
  <sheetFormatPr defaultRowHeight="15.75" x14ac:dyDescent="0.25"/>
  <sheetData>
    <row r="1" spans="1:6" x14ac:dyDescent="0.25">
      <c r="A1" t="s">
        <v>1686</v>
      </c>
    </row>
    <row r="2" spans="1:6" x14ac:dyDescent="0.25">
      <c r="A2" s="1777" t="s">
        <v>1683</v>
      </c>
      <c r="B2" s="1777" t="s">
        <v>2698</v>
      </c>
      <c r="C2" s="1777" t="s">
        <v>1685</v>
      </c>
      <c r="D2" s="1777" t="s">
        <v>2359</v>
      </c>
      <c r="E2" s="1777" t="s">
        <v>1684</v>
      </c>
      <c r="F2" s="1777" t="s">
        <v>2168</v>
      </c>
    </row>
  </sheetData>
  <phoneticPr fontId="13"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IV772"/>
  <sheetViews>
    <sheetView topLeftCell="BA141" zoomScale="70" zoomScaleNormal="70" workbookViewId="0">
      <selection activeCell="BJ171" sqref="BJ171"/>
    </sheetView>
  </sheetViews>
  <sheetFormatPr defaultRowHeight="15.75" outlineLevelCol="1" x14ac:dyDescent="0.25"/>
  <cols>
    <col min="1" max="1" width="13.75" bestFit="1" customWidth="1"/>
    <col min="2" max="2" width="14.625" bestFit="1" customWidth="1"/>
    <col min="3" max="3" width="15.875" bestFit="1" customWidth="1"/>
    <col min="4" max="4" width="2.625" customWidth="1"/>
    <col min="5" max="6" width="8.625" customWidth="1"/>
    <col min="7" max="7" width="2.625" customWidth="1"/>
    <col min="8" max="8" width="10.5" customWidth="1"/>
    <col min="9" max="9" width="7" bestFit="1" customWidth="1"/>
    <col min="10" max="10" width="6.875" bestFit="1" customWidth="1"/>
    <col min="11" max="11" width="7.125" bestFit="1" customWidth="1"/>
    <col min="12" max="12" width="5.625" bestFit="1" customWidth="1"/>
    <col min="13" max="13" width="7.875" bestFit="1" customWidth="1"/>
    <col min="14" max="14" width="7.75" bestFit="1" customWidth="1"/>
    <col min="15" max="15" width="11.5" bestFit="1" customWidth="1"/>
    <col min="16" max="17" width="10.375" bestFit="1" customWidth="1"/>
    <col min="18" max="18" width="30.625" bestFit="1" customWidth="1"/>
    <col min="19" max="19" width="2.625" customWidth="1"/>
    <col min="20" max="20" width="15" customWidth="1"/>
    <col min="21" max="21" width="13.5" customWidth="1"/>
    <col min="22" max="22" width="8.375" customWidth="1"/>
    <col min="23" max="24" width="6.125" customWidth="1"/>
    <col min="25" max="25" width="8.125" customWidth="1"/>
    <col min="26" max="27" width="6.625" customWidth="1"/>
    <col min="28" max="28" width="8.125" customWidth="1"/>
    <col min="29" max="30" width="6.625" customWidth="1"/>
    <col min="31" max="31" width="2.625" customWidth="1"/>
    <col min="32" max="32" width="15" customWidth="1"/>
    <col min="33" max="33" width="9.125" customWidth="1"/>
    <col min="37" max="37" width="2.625" customWidth="1"/>
    <col min="38" max="38" width="23.625" customWidth="1"/>
    <col min="39" max="41" width="10.125" customWidth="1"/>
    <col min="42" max="42" width="2.625" customWidth="1"/>
    <col min="43" max="43" width="12.625" customWidth="1"/>
    <col min="44" max="44" width="9.625" customWidth="1"/>
    <col min="45" max="45" width="8.625" customWidth="1"/>
    <col min="46" max="46" width="9.625" customWidth="1"/>
    <col min="47" max="47" width="12.25" bestFit="1" customWidth="1"/>
    <col min="48" max="48" width="10.5" bestFit="1" customWidth="1"/>
    <col min="49" max="49" width="9.75" bestFit="1" customWidth="1"/>
    <col min="50" max="50" width="2.625" customWidth="1"/>
    <col min="51" max="51" width="29.625" customWidth="1"/>
    <col min="52" max="52" width="19.625" customWidth="1"/>
    <col min="53" max="53" width="4.625" customWidth="1"/>
    <col min="54" max="54" width="16.625" customWidth="1"/>
    <col min="55" max="56" width="11.125" customWidth="1"/>
    <col min="57" max="61" width="10.625" customWidth="1"/>
    <col min="62" max="62" width="12.375" customWidth="1"/>
    <col min="63" max="63" width="2.625" customWidth="1"/>
    <col min="64" max="64" width="14.5" customWidth="1"/>
    <col min="65" max="65" width="10.25" bestFit="1" customWidth="1"/>
    <col min="66" max="67" width="9.125" customWidth="1"/>
    <col min="68" max="68" width="8.5" bestFit="1" customWidth="1"/>
    <col min="69" max="70" width="2.625" customWidth="1"/>
    <col min="71" max="71" width="15.625" customWidth="1"/>
    <col min="72" max="76" width="6.125" customWidth="1"/>
    <col min="77" max="77" width="8.125" customWidth="1"/>
    <col min="78" max="78" width="2.625" customWidth="1"/>
    <col min="79" max="79" width="14.25" customWidth="1"/>
    <col min="80" max="80" width="19.375" customWidth="1"/>
    <col min="81" max="81" width="3.625" customWidth="1"/>
    <col min="82" max="82" width="9.625" customWidth="1"/>
    <col min="83" max="83" width="3.625" customWidth="1"/>
    <col min="84" max="85" width="9.125" customWidth="1"/>
    <col min="88" max="88" width="2.625" customWidth="1"/>
    <col min="89" max="89" width="17.625" customWidth="1"/>
    <col min="90" max="94" width="8.125" customWidth="1"/>
    <col min="97" max="97" width="24.875" customWidth="1"/>
    <col min="98" max="105" width="6.625" customWidth="1"/>
    <col min="106" max="106" width="2.625" customWidth="1"/>
    <col min="108" max="108" width="22.625" customWidth="1"/>
    <col min="109" max="109" width="29.625" customWidth="1"/>
    <col min="110" max="110" width="2.625" customWidth="1"/>
    <col min="111" max="111" width="35.625" customWidth="1"/>
    <col min="112" max="112" width="15.625" customWidth="1"/>
    <col min="113" max="113" width="2.625" customWidth="1"/>
    <col min="114" max="114" width="23.5" customWidth="1"/>
    <col min="115" max="115" width="8.75" customWidth="1"/>
    <col min="116" max="116" width="20.875" bestFit="1" customWidth="1"/>
    <col min="117" max="117" width="10.375" bestFit="1" customWidth="1"/>
    <col min="118" max="118" width="1" customWidth="1"/>
    <col min="119" max="119" width="22.5" customWidth="1"/>
    <col min="120" max="120" width="2.125" customWidth="1"/>
    <col min="121" max="121" width="11.75" customWidth="1"/>
    <col min="122" max="122" width="2.125" customWidth="1"/>
    <col min="124" max="124" width="2.125" customWidth="1"/>
    <col min="125" max="125" width="10.75" customWidth="1"/>
    <col min="126" max="126" width="2.125" customWidth="1"/>
    <col min="127" max="127" width="12.25" customWidth="1"/>
    <col min="128" max="128" width="2.125" customWidth="1"/>
    <col min="129" max="129" width="12.625" customWidth="1"/>
    <col min="130" max="130" width="2.125" customWidth="1"/>
    <col min="131" max="131" width="10.875" customWidth="1"/>
    <col min="132" max="132" width="0.75" customWidth="1"/>
    <col min="133" max="133" width="18.375" customWidth="1"/>
    <col min="136" max="136" width="1.375" customWidth="1"/>
    <col min="137" max="137" width="10.875" customWidth="1"/>
    <col min="143" max="143" width="0.75" customWidth="1"/>
    <col min="144" max="144" width="22.5" customWidth="1"/>
    <col min="145" max="146" width="11.5" customWidth="1"/>
    <col min="147" max="147" width="14.5" bestFit="1" customWidth="1"/>
    <col min="149" max="149" width="1.5" customWidth="1"/>
    <col min="150" max="150" width="4" customWidth="1"/>
    <col min="151" max="151" width="2.25" customWidth="1"/>
    <col min="155" max="155" width="1" customWidth="1"/>
    <col min="156" max="156" width="9.625" customWidth="1"/>
    <col min="157" max="157" width="0.875" customWidth="1"/>
    <col min="159" max="159" width="1" customWidth="1"/>
    <col min="160" max="160" width="7.25" customWidth="1"/>
    <col min="162" max="162" width="0.875" customWidth="1"/>
    <col min="163" max="163" width="27.125" customWidth="1"/>
    <col min="164" max="164" width="8.125" customWidth="1"/>
    <col min="165" max="166" width="8.125" customWidth="1" outlineLevel="1"/>
    <col min="167" max="167" width="9.625" customWidth="1"/>
    <col min="168" max="168" width="10.125" customWidth="1"/>
    <col min="169" max="169" width="14.75" customWidth="1"/>
    <col min="170" max="170" width="10.125" customWidth="1"/>
    <col min="171" max="171" width="1.625" customWidth="1"/>
    <col min="172" max="172" width="47.625" customWidth="1"/>
    <col min="173" max="173" width="0.75" customWidth="1"/>
    <col min="174" max="174" width="34" customWidth="1"/>
    <col min="175" max="177" width="8.625" customWidth="1"/>
    <col min="178" max="178" width="2.625" customWidth="1"/>
    <col min="179" max="181" width="8.625" customWidth="1"/>
    <col min="183" max="183" width="0.875" customWidth="1"/>
    <col min="184" max="184" width="30.75" customWidth="1"/>
    <col min="191" max="191" width="29.75" customWidth="1"/>
    <col min="200" max="200" width="2.375" customWidth="1"/>
    <col min="202" max="202" width="20.25" customWidth="1"/>
    <col min="210" max="210" width="2.125" customWidth="1"/>
    <col min="211" max="211" width="28.125" customWidth="1"/>
    <col min="212" max="212" width="9.5" customWidth="1"/>
    <col min="220" max="220" width="1" customWidth="1"/>
    <col min="221" max="221" width="26.25" bestFit="1" customWidth="1"/>
    <col min="223" max="223" width="1.375" customWidth="1"/>
    <col min="225" max="225" width="18.125" customWidth="1"/>
    <col min="232" max="232" width="26.75" customWidth="1"/>
    <col min="239" max="239" width="0.875" customWidth="1"/>
    <col min="240" max="240" width="19.125" customWidth="1"/>
    <col min="244" max="244" width="31.375" customWidth="1"/>
    <col min="246" max="246" width="0.875" customWidth="1"/>
    <col min="247" max="248" width="8.625" customWidth="1"/>
    <col min="249" max="249" width="8.25" customWidth="1"/>
    <col min="250" max="252" width="7.625" customWidth="1"/>
    <col min="253" max="253" width="1.625" customWidth="1"/>
    <col min="254" max="255" width="7.625" customWidth="1"/>
  </cols>
  <sheetData>
    <row r="1" spans="1:256" s="11" customFormat="1" x14ac:dyDescent="0.25">
      <c r="A1" s="282" t="s">
        <v>701</v>
      </c>
      <c r="B1" s="283"/>
      <c r="C1" s="284"/>
      <c r="FK1" s="1493"/>
      <c r="IV1"/>
    </row>
    <row r="2" spans="1:256" s="11" customFormat="1" x14ac:dyDescent="0.25">
      <c r="A2" s="285"/>
      <c r="B2" s="281"/>
      <c r="C2" s="286"/>
      <c r="FK2" s="1493"/>
      <c r="IV2"/>
    </row>
    <row r="3" spans="1:256" s="11" customFormat="1" x14ac:dyDescent="0.25">
      <c r="A3" s="287" t="s">
        <v>700</v>
      </c>
      <c r="B3" s="288" t="s">
        <v>1765</v>
      </c>
      <c r="C3" s="289" t="s">
        <v>142</v>
      </c>
      <c r="FK3" s="1493"/>
      <c r="IV3"/>
    </row>
    <row r="4" spans="1:256" s="11" customFormat="1" x14ac:dyDescent="0.25">
      <c r="A4" s="285" t="s">
        <v>907</v>
      </c>
      <c r="B4" s="281">
        <f>-'WV Tables'!H38</f>
        <v>17</v>
      </c>
      <c r="C4" s="286">
        <f>B4</f>
        <v>17</v>
      </c>
      <c r="FK4" s="1493"/>
      <c r="IV4"/>
    </row>
    <row r="5" spans="1:256" s="11" customFormat="1" x14ac:dyDescent="0.25">
      <c r="A5" s="285" t="s">
        <v>913</v>
      </c>
      <c r="B5" s="290">
        <f>40-B4</f>
        <v>23</v>
      </c>
      <c r="C5" s="286">
        <f>B5</f>
        <v>23</v>
      </c>
      <c r="FK5" s="1493"/>
      <c r="IV5"/>
    </row>
    <row r="6" spans="1:256" s="11" customFormat="1" x14ac:dyDescent="0.25">
      <c r="A6" s="285" t="s">
        <v>908</v>
      </c>
      <c r="B6" s="281">
        <f>-'PA Tables'!G34</f>
        <v>25</v>
      </c>
      <c r="C6" s="286">
        <f>B6</f>
        <v>25</v>
      </c>
      <c r="FK6" s="1493"/>
      <c r="IV6"/>
    </row>
    <row r="7" spans="1:256" s="11" customFormat="1" x14ac:dyDescent="0.25">
      <c r="A7" s="285" t="s">
        <v>909</v>
      </c>
      <c r="B7" s="281">
        <f>-Maryland!E27</f>
        <v>91.519339991155675</v>
      </c>
      <c r="C7" s="286">
        <f>B7</f>
        <v>91.519339991155675</v>
      </c>
      <c r="FK7" s="1493"/>
      <c r="IV7"/>
    </row>
    <row r="8" spans="1:256" s="11" customFormat="1" x14ac:dyDescent="0.25">
      <c r="A8" s="285" t="s">
        <v>910</v>
      </c>
      <c r="B8" s="281">
        <f>Kansas!E25</f>
        <v>429.25</v>
      </c>
      <c r="C8" s="286">
        <f>Kansas!H22</f>
        <v>164.625</v>
      </c>
      <c r="FK8" s="1493"/>
      <c r="IV8"/>
    </row>
    <row r="9" spans="1:256" s="11" customFormat="1" x14ac:dyDescent="0.25">
      <c r="A9" s="285" t="s">
        <v>911</v>
      </c>
      <c r="B9" s="281">
        <f>OHIO!C17</f>
        <v>401.25</v>
      </c>
      <c r="C9" s="286">
        <f>OHIO!C18</f>
        <v>375</v>
      </c>
      <c r="FK9" s="1493"/>
      <c r="IV9"/>
    </row>
    <row r="10" spans="1:256" s="11" customFormat="1" x14ac:dyDescent="0.25">
      <c r="A10" s="285" t="s">
        <v>912</v>
      </c>
      <c r="B10" s="291">
        <f>OHIO!B17</f>
        <v>428</v>
      </c>
      <c r="C10" s="292">
        <f>OHIO!B18</f>
        <v>400</v>
      </c>
      <c r="FK10" s="1493"/>
      <c r="IV10"/>
    </row>
    <row r="11" spans="1:256" s="11" customFormat="1" x14ac:dyDescent="0.25">
      <c r="A11" s="293" t="s">
        <v>841</v>
      </c>
      <c r="B11" s="294">
        <f>SUM(B4:B10)</f>
        <v>1415.0193399911557</v>
      </c>
      <c r="C11" s="295">
        <f>SUM(C4:C10)</f>
        <v>1096.1443399911557</v>
      </c>
      <c r="FK11" s="1493"/>
      <c r="IV11"/>
    </row>
    <row r="12" spans="1:256" s="11" customFormat="1" x14ac:dyDescent="0.25">
      <c r="FK12" s="1493"/>
      <c r="IV12"/>
    </row>
    <row r="13" spans="1:256" s="11" customFormat="1" x14ac:dyDescent="0.25">
      <c r="E13" s="3570" t="s">
        <v>705</v>
      </c>
      <c r="F13" s="3571"/>
      <c r="FK13" s="1493"/>
      <c r="IV13"/>
    </row>
    <row r="14" spans="1:256" s="11" customFormat="1" x14ac:dyDescent="0.25">
      <c r="A14" s="296"/>
      <c r="B14" s="296"/>
      <c r="E14" s="285"/>
      <c r="F14" s="286"/>
      <c r="FK14" s="1493"/>
      <c r="IV14"/>
    </row>
    <row r="15" spans="1:256" s="11" customFormat="1" x14ac:dyDescent="0.25">
      <c r="E15" s="287" t="s">
        <v>702</v>
      </c>
      <c r="F15" s="289" t="s">
        <v>1103</v>
      </c>
      <c r="FK15" s="1493"/>
      <c r="IV15"/>
    </row>
    <row r="16" spans="1:256" s="11" customFormat="1" x14ac:dyDescent="0.25">
      <c r="E16" s="285" t="s">
        <v>756</v>
      </c>
      <c r="F16" s="286">
        <f>PENN!AK165</f>
        <v>316.95</v>
      </c>
      <c r="FK16" s="1493"/>
      <c r="IV16"/>
    </row>
    <row r="17" spans="5:256" s="11" customFormat="1" x14ac:dyDescent="0.25">
      <c r="E17" s="285" t="s">
        <v>919</v>
      </c>
      <c r="F17" s="286">
        <f>PENN!AP165</f>
        <v>279.25</v>
      </c>
      <c r="FK17" s="1493"/>
      <c r="IV17"/>
    </row>
    <row r="18" spans="5:256" s="11" customFormat="1" x14ac:dyDescent="0.25">
      <c r="E18" s="285" t="s">
        <v>914</v>
      </c>
      <c r="F18" s="286">
        <f>PENN!AU165</f>
        <v>506.2</v>
      </c>
      <c r="FK18" s="1493"/>
      <c r="IV18"/>
    </row>
    <row r="19" spans="5:256" s="11" customFormat="1" x14ac:dyDescent="0.25">
      <c r="E19" s="285" t="s">
        <v>1806</v>
      </c>
      <c r="F19" s="286">
        <f>PENN!AZ165</f>
        <v>119.09999999999998</v>
      </c>
      <c r="FK19" s="1493"/>
      <c r="IV19"/>
    </row>
    <row r="20" spans="5:256" s="11" customFormat="1" x14ac:dyDescent="0.25">
      <c r="E20" s="285" t="s">
        <v>703</v>
      </c>
      <c r="F20" s="286">
        <f>PENN!BE165</f>
        <v>318.5</v>
      </c>
      <c r="FK20" s="1493"/>
      <c r="IV20"/>
    </row>
    <row r="21" spans="5:256" s="11" customFormat="1" x14ac:dyDescent="0.25">
      <c r="E21" s="285" t="s">
        <v>704</v>
      </c>
      <c r="F21" s="292">
        <f>PENN!BJ165</f>
        <v>242.20600000000005</v>
      </c>
      <c r="FK21" s="1493"/>
      <c r="IV21"/>
    </row>
    <row r="22" spans="5:256" s="11" customFormat="1" x14ac:dyDescent="0.25">
      <c r="E22" s="293" t="s">
        <v>841</v>
      </c>
      <c r="F22" s="295">
        <f>SUM(F16:F21)</f>
        <v>1782.2060000000001</v>
      </c>
      <c r="FK22" s="1493"/>
      <c r="IV22"/>
    </row>
    <row r="23" spans="5:256" s="11" customFormat="1" x14ac:dyDescent="0.25">
      <c r="FK23" s="1493"/>
      <c r="IV23"/>
    </row>
    <row r="24" spans="5:256" s="11" customFormat="1" x14ac:dyDescent="0.25">
      <c r="H24" s="282" t="s">
        <v>1885</v>
      </c>
      <c r="I24" s="283"/>
      <c r="J24" s="283"/>
      <c r="K24" s="283"/>
      <c r="L24" s="283"/>
      <c r="M24" s="283"/>
      <c r="N24" s="283"/>
      <c r="O24" s="283"/>
      <c r="P24" s="283"/>
      <c r="Q24" s="283"/>
      <c r="R24" s="284"/>
      <c r="FK24" s="1493"/>
      <c r="IV24"/>
    </row>
    <row r="25" spans="5:256" s="11" customFormat="1" x14ac:dyDescent="0.25">
      <c r="H25" s="285"/>
      <c r="I25" s="281"/>
      <c r="J25" s="281"/>
      <c r="K25" s="281"/>
      <c r="L25" s="281"/>
      <c r="M25" s="281"/>
      <c r="N25" s="297" t="s">
        <v>683</v>
      </c>
      <c r="O25" s="281"/>
      <c r="P25" s="297" t="s">
        <v>1736</v>
      </c>
      <c r="Q25" s="297" t="s">
        <v>1576</v>
      </c>
      <c r="R25" s="286"/>
      <c r="FK25" s="1493"/>
      <c r="IV25"/>
    </row>
    <row r="26" spans="5:256" s="11" customFormat="1" x14ac:dyDescent="0.25">
      <c r="H26" s="287" t="s">
        <v>1886</v>
      </c>
      <c r="I26" s="291" t="s">
        <v>1889</v>
      </c>
      <c r="J26" s="288" t="s">
        <v>1433</v>
      </c>
      <c r="K26" s="291" t="s">
        <v>1887</v>
      </c>
      <c r="L26" s="288" t="s">
        <v>585</v>
      </c>
      <c r="M26" s="288" t="s">
        <v>1437</v>
      </c>
      <c r="N26" s="288" t="s">
        <v>684</v>
      </c>
      <c r="O26" s="288" t="s">
        <v>1888</v>
      </c>
      <c r="P26" s="288" t="s">
        <v>2008</v>
      </c>
      <c r="Q26" s="288" t="s">
        <v>2008</v>
      </c>
      <c r="R26" s="292" t="s">
        <v>693</v>
      </c>
      <c r="FK26" s="1493"/>
      <c r="IV26"/>
    </row>
    <row r="27" spans="5:256" s="11" customFormat="1" x14ac:dyDescent="0.25">
      <c r="H27" s="285" t="s">
        <v>1890</v>
      </c>
      <c r="I27" s="281" t="s">
        <v>1831</v>
      </c>
      <c r="J27" s="297" t="s">
        <v>1431</v>
      </c>
      <c r="K27" s="281" t="s">
        <v>699</v>
      </c>
      <c r="L27" s="297">
        <v>1500</v>
      </c>
      <c r="M27" s="297">
        <v>2500</v>
      </c>
      <c r="N27" s="281" t="s">
        <v>1430</v>
      </c>
      <c r="O27" s="281" t="s">
        <v>2217</v>
      </c>
      <c r="P27" s="297">
        <v>117</v>
      </c>
      <c r="Q27" s="297" t="s">
        <v>1182</v>
      </c>
      <c r="R27" s="286" t="s">
        <v>2191</v>
      </c>
      <c r="FK27" s="1493"/>
      <c r="IV27"/>
    </row>
    <row r="28" spans="5:256" s="11" customFormat="1" x14ac:dyDescent="0.25">
      <c r="H28" s="285" t="s">
        <v>1049</v>
      </c>
      <c r="I28" s="281" t="s">
        <v>1429</v>
      </c>
      <c r="J28" s="297" t="s">
        <v>1431</v>
      </c>
      <c r="K28" s="281" t="s">
        <v>1572</v>
      </c>
      <c r="L28" s="297">
        <v>4750</v>
      </c>
      <c r="M28" s="297">
        <v>4750</v>
      </c>
      <c r="N28" s="281" t="s">
        <v>2192</v>
      </c>
      <c r="O28" s="281" t="s">
        <v>2190</v>
      </c>
      <c r="P28" s="297">
        <v>73</v>
      </c>
      <c r="Q28" s="297" t="s">
        <v>1181</v>
      </c>
      <c r="R28" s="286" t="s">
        <v>1434</v>
      </c>
      <c r="FK28" s="1493"/>
      <c r="IV28"/>
    </row>
    <row r="29" spans="5:256" s="11" customFormat="1" x14ac:dyDescent="0.25">
      <c r="H29" s="285" t="s">
        <v>1438</v>
      </c>
      <c r="I29" s="281" t="s">
        <v>2193</v>
      </c>
      <c r="J29" s="297" t="s">
        <v>1431</v>
      </c>
      <c r="K29" s="281" t="s">
        <v>2192</v>
      </c>
      <c r="L29" s="297">
        <v>800</v>
      </c>
      <c r="M29" s="297">
        <v>2500</v>
      </c>
      <c r="N29" s="281" t="s">
        <v>2192</v>
      </c>
      <c r="O29" s="281" t="s">
        <v>2218</v>
      </c>
      <c r="P29" s="297">
        <v>207</v>
      </c>
      <c r="Q29" s="297" t="s">
        <v>2216</v>
      </c>
      <c r="R29" s="286" t="s">
        <v>1435</v>
      </c>
      <c r="T29" s="11" t="s">
        <v>1651</v>
      </c>
      <c r="Z29" s="687">
        <f>(4.6+4.5+4.4+4.5+4.4+4.6+4.6+4.6+4.7+4.7+4.7+5)/12</f>
        <v>4.6083333333333343</v>
      </c>
      <c r="AA29" s="687">
        <f>(7.7+8.2+8.6+8.9+9.4+9.5+9.4+9.7+9.8+10.1+10+10)/12</f>
        <v>9.2749999999999986</v>
      </c>
      <c r="FK29" s="1493"/>
      <c r="IV29"/>
    </row>
    <row r="30" spans="5:256" s="11" customFormat="1" x14ac:dyDescent="0.25">
      <c r="H30" s="285" t="s">
        <v>2222</v>
      </c>
      <c r="I30" s="281" t="s">
        <v>682</v>
      </c>
      <c r="J30" s="297" t="s">
        <v>1432</v>
      </c>
      <c r="K30" s="281" t="s">
        <v>682</v>
      </c>
      <c r="L30" s="297" t="s">
        <v>553</v>
      </c>
      <c r="M30" s="297">
        <v>3750</v>
      </c>
      <c r="N30" s="281" t="s">
        <v>682</v>
      </c>
      <c r="O30" s="281" t="s">
        <v>2219</v>
      </c>
      <c r="P30" s="297">
        <v>75</v>
      </c>
      <c r="Q30" s="297" t="s">
        <v>1181</v>
      </c>
      <c r="R30" s="286" t="s">
        <v>1387</v>
      </c>
      <c r="FK30" s="1493"/>
      <c r="IV30"/>
    </row>
    <row r="31" spans="5:256" s="11" customFormat="1" x14ac:dyDescent="0.25">
      <c r="H31" s="293" t="s">
        <v>1428</v>
      </c>
      <c r="I31" s="294" t="s">
        <v>682</v>
      </c>
      <c r="J31" s="298" t="s">
        <v>1432</v>
      </c>
      <c r="K31" s="294" t="s">
        <v>682</v>
      </c>
      <c r="L31" s="298" t="s">
        <v>553</v>
      </c>
      <c r="M31" s="298">
        <v>1500</v>
      </c>
      <c r="N31" s="294" t="s">
        <v>682</v>
      </c>
      <c r="O31" s="294" t="s">
        <v>76</v>
      </c>
      <c r="P31" s="298">
        <v>81</v>
      </c>
      <c r="Q31" s="298" t="s">
        <v>1182</v>
      </c>
      <c r="R31" s="295" t="s">
        <v>1436</v>
      </c>
      <c r="FK31" s="1493"/>
      <c r="IV31"/>
    </row>
    <row r="32" spans="5:256" s="11" customFormat="1" ht="13.5" customHeight="1" x14ac:dyDescent="0.25">
      <c r="T32" s="281" t="s">
        <v>1943</v>
      </c>
      <c r="AB32" s="281"/>
      <c r="AC32" s="281"/>
      <c r="AD32" s="281"/>
      <c r="FK32" s="1493"/>
      <c r="IV32"/>
    </row>
    <row r="33" spans="20:256" s="11" customFormat="1" ht="13.5" customHeight="1" x14ac:dyDescent="0.25">
      <c r="T33" s="321"/>
      <c r="U33" s="283"/>
      <c r="V33" s="283"/>
      <c r="W33" s="321"/>
      <c r="X33" s="283"/>
      <c r="Y33" s="283"/>
      <c r="Z33" s="3573" t="s">
        <v>1363</v>
      </c>
      <c r="AA33" s="3574"/>
      <c r="AB33" s="3575"/>
      <c r="AC33" s="284"/>
      <c r="AD33" s="281"/>
      <c r="FK33" s="1493"/>
      <c r="IV33"/>
    </row>
    <row r="34" spans="20:256" s="11" customFormat="1" ht="13.5" customHeight="1" x14ac:dyDescent="0.25">
      <c r="T34" s="400"/>
      <c r="U34" s="281"/>
      <c r="V34" s="305" t="s">
        <v>2201</v>
      </c>
      <c r="W34" s="3578" t="s">
        <v>136</v>
      </c>
      <c r="X34" s="3572"/>
      <c r="Y34" s="3579"/>
      <c r="Z34" s="3576" t="s">
        <v>1391</v>
      </c>
      <c r="AA34" s="3572"/>
      <c r="AB34" s="3577"/>
      <c r="AC34" s="286"/>
      <c r="AD34" s="281"/>
      <c r="FK34" s="1493"/>
      <c r="IV34"/>
    </row>
    <row r="35" spans="20:256" s="11" customFormat="1" ht="13.5" customHeight="1" x14ac:dyDescent="0.25">
      <c r="T35" s="389" t="s">
        <v>1833</v>
      </c>
      <c r="U35" s="288" t="s">
        <v>1363</v>
      </c>
      <c r="V35" s="306" t="s">
        <v>1624</v>
      </c>
      <c r="W35" s="368">
        <v>2007</v>
      </c>
      <c r="X35" s="307">
        <v>2009</v>
      </c>
      <c r="Y35" s="369" t="s">
        <v>2202</v>
      </c>
      <c r="Z35" s="367">
        <v>2007</v>
      </c>
      <c r="AA35" s="307">
        <v>2009</v>
      </c>
      <c r="AB35" s="376" t="s">
        <v>1305</v>
      </c>
      <c r="AC35" s="390" t="s">
        <v>2094</v>
      </c>
      <c r="AD35" s="757"/>
      <c r="FK35" s="1493"/>
      <c r="IV35"/>
    </row>
    <row r="36" spans="20:256" s="11" customFormat="1" ht="13.5" customHeight="1" x14ac:dyDescent="0.25">
      <c r="T36" s="725" t="s">
        <v>1652</v>
      </c>
      <c r="U36" s="726"/>
      <c r="V36" s="727"/>
      <c r="W36" s="728"/>
      <c r="X36" s="729"/>
      <c r="Y36" s="730"/>
      <c r="Z36" s="731">
        <v>4.6100000000000003</v>
      </c>
      <c r="AA36" s="732">
        <v>9.2799999999999994</v>
      </c>
      <c r="AB36" s="733">
        <f>AA36-Z36</f>
        <v>4.669999999999999</v>
      </c>
      <c r="AC36" s="758">
        <v>9.6999999999999993</v>
      </c>
      <c r="AD36" s="732"/>
      <c r="FK36" s="1493"/>
      <c r="IV36"/>
    </row>
    <row r="37" spans="20:256" s="11" customFormat="1" ht="13.5" customHeight="1" x14ac:dyDescent="0.25">
      <c r="T37" s="391" t="s">
        <v>1717</v>
      </c>
      <c r="U37" s="308" t="s">
        <v>1634</v>
      </c>
      <c r="V37" s="309">
        <f>Unemployment!C7</f>
        <v>0.19768578001061707</v>
      </c>
      <c r="W37" s="370">
        <f>PENN!V243</f>
        <v>478.71899999999999</v>
      </c>
      <c r="X37" s="318">
        <f>PENN!AF243</f>
        <v>422.01500000000004</v>
      </c>
      <c r="Y37" s="371">
        <f>(X37-W37)/W37</f>
        <v>-0.11844944529045212</v>
      </c>
      <c r="Z37" s="329">
        <f>Unemployment!AZ11</f>
        <v>5.0083333333333337</v>
      </c>
      <c r="AA37" s="311">
        <f>Unemployment!BX11</f>
        <v>9.4583333333333339</v>
      </c>
      <c r="AB37" s="316">
        <f>AA37-Z37</f>
        <v>4.45</v>
      </c>
      <c r="AC37" s="759">
        <v>10.8</v>
      </c>
      <c r="AD37" s="311"/>
      <c r="FK37" s="1493"/>
      <c r="IV37"/>
    </row>
    <row r="38" spans="20:256" s="11" customFormat="1" ht="13.5" customHeight="1" x14ac:dyDescent="0.25">
      <c r="T38" s="391" t="s">
        <v>1551</v>
      </c>
      <c r="U38" s="312" t="s">
        <v>98</v>
      </c>
      <c r="V38" s="309">
        <f>Unemployment!C14</f>
        <v>0.19637326029589391</v>
      </c>
      <c r="W38" s="372">
        <f>PENN!V218</f>
        <v>500.79999999999995</v>
      </c>
      <c r="X38" s="310">
        <f>PENN!AF218</f>
        <v>455.34999999999997</v>
      </c>
      <c r="Y38" s="371">
        <f t="shared" ref="Y38:Y50" si="0">(X38-W38)/W38</f>
        <v>-9.0754792332268353E-2</v>
      </c>
      <c r="Z38" s="329">
        <f>Unemployment!AZ18</f>
        <v>2.9499999999999997</v>
      </c>
      <c r="AA38" s="311">
        <f>Unemployment!BX18</f>
        <v>6.0666666666666673</v>
      </c>
      <c r="AB38" s="316">
        <f t="shared" ref="AB38:AB50" si="1">AA38-Z38</f>
        <v>3.1166666666666676</v>
      </c>
      <c r="AC38" s="759">
        <v>6.9</v>
      </c>
      <c r="AD38" s="311"/>
      <c r="FK38" s="1493"/>
      <c r="IV38"/>
    </row>
    <row r="39" spans="20:256" s="11" customFormat="1" ht="13.5" customHeight="1" x14ac:dyDescent="0.25">
      <c r="T39" s="392" t="s">
        <v>1718</v>
      </c>
      <c r="U39" s="308" t="s">
        <v>745</v>
      </c>
      <c r="V39" s="309">
        <f>Unemployment!C21</f>
        <v>0.10156409881596257</v>
      </c>
      <c r="W39" s="373">
        <f>PENN!V244</f>
        <v>174.42599999999999</v>
      </c>
      <c r="X39" s="310">
        <f>PENN!AF244</f>
        <v>193.785</v>
      </c>
      <c r="Y39" s="371">
        <f t="shared" si="0"/>
        <v>0.11098689415568785</v>
      </c>
      <c r="Z39" s="329">
        <f>Unemployment!AZ25</f>
        <v>4.9666666666666668</v>
      </c>
      <c r="AA39" s="311">
        <f>Unemployment!BX25</f>
        <v>8.5166666666666675</v>
      </c>
      <c r="AB39" s="316">
        <f t="shared" si="1"/>
        <v>3.5500000000000007</v>
      </c>
      <c r="AC39" s="759">
        <v>9.1</v>
      </c>
      <c r="AD39" s="311"/>
      <c r="FK39" s="1493"/>
      <c r="IV39"/>
    </row>
    <row r="40" spans="20:256" s="11" customFormat="1" ht="13.5" customHeight="1" x14ac:dyDescent="0.25">
      <c r="T40" s="391" t="s">
        <v>921</v>
      </c>
      <c r="U40" s="308" t="s">
        <v>95</v>
      </c>
      <c r="V40" s="309">
        <f>Unemployment!C28</f>
        <v>8.7544911101023998E-2</v>
      </c>
      <c r="W40" s="373">
        <f>PENN!V240</f>
        <v>251.87700000000001</v>
      </c>
      <c r="X40" s="310">
        <f>PENN!AF240</f>
        <v>184.77599999999998</v>
      </c>
      <c r="Y40" s="371">
        <f t="shared" si="0"/>
        <v>-0.266403839969509</v>
      </c>
      <c r="Z40" s="329">
        <f>Unemployment!AZ32</f>
        <v>4.9333333333333336</v>
      </c>
      <c r="AA40" s="311">
        <f>Unemployment!BX32</f>
        <v>9.9666666666666668</v>
      </c>
      <c r="AB40" s="316">
        <f t="shared" si="1"/>
        <v>5.0333333333333332</v>
      </c>
      <c r="AC40" s="759">
        <v>11.7</v>
      </c>
      <c r="AD40" s="311"/>
      <c r="FK40" s="1493"/>
      <c r="IV40"/>
    </row>
    <row r="41" spans="20:256" s="11" customFormat="1" ht="13.5" customHeight="1" x14ac:dyDescent="0.25">
      <c r="T41" s="392" t="s">
        <v>1556</v>
      </c>
      <c r="U41" s="308" t="s">
        <v>96</v>
      </c>
      <c r="V41" s="309">
        <f>Unemployment!C35</f>
        <v>7.820955692842689E-2</v>
      </c>
      <c r="W41" s="373">
        <f>PENN!V220</f>
        <v>48.488</v>
      </c>
      <c r="X41" s="310">
        <f>PENN!AF220</f>
        <v>292.66999999999996</v>
      </c>
      <c r="Y41" s="371">
        <f t="shared" si="0"/>
        <v>5.035926414783038</v>
      </c>
      <c r="Z41" s="329">
        <f>Unemployment!AZ39</f>
        <v>3.6083333333333329</v>
      </c>
      <c r="AA41" s="311">
        <f>Unemployment!BX39</f>
        <v>7.333333333333333</v>
      </c>
      <c r="AB41" s="316">
        <f t="shared" si="1"/>
        <v>3.7250000000000001</v>
      </c>
      <c r="AC41" s="759">
        <v>8.4</v>
      </c>
      <c r="AD41" s="311"/>
      <c r="FK41" s="1493"/>
      <c r="IV41"/>
    </row>
    <row r="42" spans="20:256" s="11" customFormat="1" ht="13.5" customHeight="1" x14ac:dyDescent="0.25">
      <c r="T42" s="391" t="s">
        <v>781</v>
      </c>
      <c r="U42" s="308" t="s">
        <v>1702</v>
      </c>
      <c r="V42" s="309">
        <f>Unemployment!C42</f>
        <v>7.3802691203963711E-2</v>
      </c>
      <c r="W42" s="373">
        <f>PENN!V247</f>
        <v>135.869</v>
      </c>
      <c r="X42" s="310">
        <f>PENN!AF247</f>
        <v>122.994</v>
      </c>
      <c r="Y42" s="371">
        <f t="shared" si="0"/>
        <v>-9.4760394203239881E-2</v>
      </c>
      <c r="Z42" s="329">
        <f>Unemployment!AZ46</f>
        <v>3.7000000000000006</v>
      </c>
      <c r="AA42" s="311">
        <f>Unemployment!BX46</f>
        <v>6.3416666666666659</v>
      </c>
      <c r="AB42" s="316">
        <f t="shared" si="1"/>
        <v>2.6416666666666653</v>
      </c>
      <c r="AC42" s="759">
        <v>7.9</v>
      </c>
      <c r="AD42" s="311"/>
      <c r="FK42" s="1493"/>
      <c r="IV42"/>
    </row>
    <row r="43" spans="20:256" s="11" customFormat="1" ht="13.5" customHeight="1" x14ac:dyDescent="0.25">
      <c r="T43" s="391" t="s">
        <v>782</v>
      </c>
      <c r="U43" s="308" t="s">
        <v>2120</v>
      </c>
      <c r="V43" s="309">
        <f>Unemployment!C49</f>
        <v>4.0494233683902779E-2</v>
      </c>
      <c r="W43" s="373">
        <f>PENN!V230</f>
        <v>58.572000000000003</v>
      </c>
      <c r="X43" s="310">
        <f>PENN!AF230</f>
        <v>81.742999999999995</v>
      </c>
      <c r="Y43" s="371">
        <f t="shared" si="0"/>
        <v>0.39559857952605326</v>
      </c>
      <c r="Z43" s="329">
        <f>Unemployment!AZ53</f>
        <v>3.4302665709500375</v>
      </c>
      <c r="AA43" s="311">
        <f>Unemployment!BX53</f>
        <v>5.8862107290764216</v>
      </c>
      <c r="AB43" s="316">
        <f t="shared" si="1"/>
        <v>2.4559441581263841</v>
      </c>
      <c r="AC43" s="759">
        <v>6.95</v>
      </c>
      <c r="AD43" s="311"/>
      <c r="FK43" s="1493"/>
      <c r="IV43"/>
    </row>
    <row r="44" spans="20:256" s="11" customFormat="1" ht="13.5" customHeight="1" x14ac:dyDescent="0.25">
      <c r="T44" s="391" t="s">
        <v>783</v>
      </c>
      <c r="U44" s="308" t="s">
        <v>95</v>
      </c>
      <c r="V44" s="309">
        <f>Unemployment!C56</f>
        <v>3.649358742566107E-2</v>
      </c>
      <c r="W44" s="373">
        <f>PENN!V241</f>
        <v>225.79399999999998</v>
      </c>
      <c r="X44" s="310">
        <f>PENN!AF241</f>
        <v>107.05799999999999</v>
      </c>
      <c r="Y44" s="371">
        <f t="shared" si="0"/>
        <v>-0.52585985455769413</v>
      </c>
      <c r="Z44" s="329">
        <f>Z40</f>
        <v>4.9333333333333336</v>
      </c>
      <c r="AA44" s="311">
        <f>AA40</f>
        <v>9.9666666666666668</v>
      </c>
      <c r="AB44" s="316">
        <f t="shared" si="1"/>
        <v>5.0333333333333332</v>
      </c>
      <c r="AC44" s="759">
        <v>11.7</v>
      </c>
      <c r="AD44" s="311"/>
      <c r="FK44" s="1493"/>
      <c r="IV44"/>
    </row>
    <row r="45" spans="20:256" s="11" customFormat="1" ht="13.5" customHeight="1" x14ac:dyDescent="0.25">
      <c r="T45" s="391" t="s">
        <v>696</v>
      </c>
      <c r="U45" s="308" t="s">
        <v>97</v>
      </c>
      <c r="V45" s="309">
        <f>Unemployment!C63</f>
        <v>3.2720670262119264E-2</v>
      </c>
      <c r="W45" s="373">
        <f>PENN!V234</f>
        <v>103.858</v>
      </c>
      <c r="X45" s="310">
        <f>PENN!AF234</f>
        <v>92.896000000000001</v>
      </c>
      <c r="Y45" s="371">
        <f t="shared" si="0"/>
        <v>-0.10554795971422522</v>
      </c>
      <c r="Z45" s="329">
        <f>Unemployment!AZ67</f>
        <v>5.2333333333333334</v>
      </c>
      <c r="AA45" s="311">
        <f>Unemployment!BX67</f>
        <v>9.6833333333333353</v>
      </c>
      <c r="AB45" s="316">
        <f t="shared" si="1"/>
        <v>4.450000000000002</v>
      </c>
      <c r="AC45" s="759">
        <v>11.3</v>
      </c>
      <c r="AD45" s="311"/>
      <c r="FK45" s="1493"/>
      <c r="IV45"/>
    </row>
    <row r="46" spans="20:256" s="11" customFormat="1" ht="13.5" customHeight="1" x14ac:dyDescent="0.25">
      <c r="T46" s="391" t="s">
        <v>697</v>
      </c>
      <c r="U46" s="308" t="s">
        <v>99</v>
      </c>
      <c r="V46" s="309">
        <f>Unemployment!C70</f>
        <v>3.05064664291924E-2</v>
      </c>
      <c r="W46" s="373">
        <f>PENN!V237</f>
        <v>86.159000000000006</v>
      </c>
      <c r="X46" s="310">
        <f>PENN!AF237</f>
        <v>73.881</v>
      </c>
      <c r="Y46" s="371">
        <f t="shared" si="0"/>
        <v>-0.14250397520862598</v>
      </c>
      <c r="Z46" s="329">
        <f>Unemployment!AZ74</f>
        <v>5.4416666666666664</v>
      </c>
      <c r="AA46" s="311">
        <f>Unemployment!BX74</f>
        <v>7.8499999999999988</v>
      </c>
      <c r="AB46" s="316">
        <f t="shared" si="1"/>
        <v>2.4083333333333323</v>
      </c>
      <c r="AC46" s="759">
        <v>9.9</v>
      </c>
      <c r="AD46" s="311"/>
      <c r="FK46" s="1493"/>
      <c r="IV46"/>
    </row>
    <row r="47" spans="20:256" s="11" customFormat="1" ht="13.5" customHeight="1" x14ac:dyDescent="0.25">
      <c r="T47" s="392" t="s">
        <v>1203</v>
      </c>
      <c r="U47" s="308" t="s">
        <v>99</v>
      </c>
      <c r="V47" s="309">
        <f>Unemployment!C77</f>
        <v>3.0146408265950653E-2</v>
      </c>
      <c r="W47" s="373">
        <f>PENN!V236</f>
        <v>96.622</v>
      </c>
      <c r="X47" s="310">
        <f>PENN!AF236</f>
        <v>95.06</v>
      </c>
      <c r="Y47" s="371">
        <f t="shared" si="0"/>
        <v>-1.6166090538386677E-2</v>
      </c>
      <c r="Z47" s="329">
        <f>Z46</f>
        <v>5.4416666666666664</v>
      </c>
      <c r="AA47" s="311">
        <f>AA46</f>
        <v>7.8499999999999988</v>
      </c>
      <c r="AB47" s="316">
        <f t="shared" si="1"/>
        <v>2.4083333333333323</v>
      </c>
      <c r="AC47" s="759">
        <v>9.9</v>
      </c>
      <c r="AD47" s="311"/>
      <c r="FK47" s="1493"/>
      <c r="IV47"/>
    </row>
    <row r="48" spans="20:256" s="11" customFormat="1" ht="13.5" customHeight="1" x14ac:dyDescent="0.25">
      <c r="T48" s="392" t="s">
        <v>1204</v>
      </c>
      <c r="U48" s="308" t="s">
        <v>100</v>
      </c>
      <c r="V48" s="309">
        <f>Unemployment!C84</f>
        <v>2.9918679171250739E-2</v>
      </c>
      <c r="W48" s="373">
        <f>PENN!V245</f>
        <v>54.417000000000002</v>
      </c>
      <c r="X48" s="310">
        <f>PENN!AF245</f>
        <v>53.926999999999992</v>
      </c>
      <c r="Y48" s="371">
        <f t="shared" si="0"/>
        <v>-9.0045390227320339E-3</v>
      </c>
      <c r="Z48" s="329">
        <f>Unemployment!AZ88</f>
        <v>3.8249999999999997</v>
      </c>
      <c r="AA48" s="311">
        <f>Unemployment!BX88</f>
        <v>5.2583333333333337</v>
      </c>
      <c r="AB48" s="316">
        <f t="shared" si="1"/>
        <v>1.433333333333334</v>
      </c>
      <c r="AC48" s="759">
        <v>6.6</v>
      </c>
      <c r="AD48" s="311"/>
      <c r="FK48" s="1493"/>
      <c r="IV48"/>
    </row>
    <row r="49" spans="20:256" s="11" customFormat="1" ht="13.5" customHeight="1" x14ac:dyDescent="0.25">
      <c r="T49" s="391" t="s">
        <v>1205</v>
      </c>
      <c r="U49" s="308" t="s">
        <v>744</v>
      </c>
      <c r="V49" s="309">
        <f>Unemployment!C91</f>
        <v>2.8869278883511949E-2</v>
      </c>
      <c r="W49" s="373">
        <f>PENN!V242</f>
        <v>119.166</v>
      </c>
      <c r="X49" s="310">
        <f>PENN!AF242</f>
        <v>78.23</v>
      </c>
      <c r="Y49" s="371">
        <f t="shared" si="0"/>
        <v>-0.34352080291358267</v>
      </c>
      <c r="Z49" s="329">
        <f>Unemployment!AZ95</f>
        <v>5.3500000000000005</v>
      </c>
      <c r="AA49" s="311">
        <f>Unemployment!BX95</f>
        <v>9.4666666666666668</v>
      </c>
      <c r="AB49" s="316">
        <f t="shared" si="1"/>
        <v>4.1166666666666663</v>
      </c>
      <c r="AC49" s="759">
        <v>10.7</v>
      </c>
      <c r="AD49" s="311"/>
      <c r="FK49" s="1493"/>
      <c r="IV49"/>
    </row>
    <row r="50" spans="20:256" s="11" customFormat="1" ht="13.5" customHeight="1" x14ac:dyDescent="0.25">
      <c r="T50" s="393" t="s">
        <v>1206</v>
      </c>
      <c r="U50" s="394" t="s">
        <v>102</v>
      </c>
      <c r="V50" s="381">
        <f>Unemployment!C98</f>
        <v>1.8167550142715358E-2</v>
      </c>
      <c r="W50" s="395">
        <f>PENN!V219</f>
        <v>46.689</v>
      </c>
      <c r="X50" s="396">
        <f>PENN!AF219</f>
        <v>67.176000000000002</v>
      </c>
      <c r="Y50" s="397">
        <f t="shared" si="0"/>
        <v>0.43879714707961193</v>
      </c>
      <c r="Z50" s="332">
        <f>Unemployment!AZ102</f>
        <v>4.708333333333333</v>
      </c>
      <c r="AA50" s="398">
        <f>Unemployment!BX102</f>
        <v>7.4916666666666663</v>
      </c>
      <c r="AB50" s="399">
        <f t="shared" si="1"/>
        <v>2.7833333333333332</v>
      </c>
      <c r="AC50" s="760">
        <v>8.4</v>
      </c>
      <c r="AD50" s="311"/>
      <c r="FK50" s="1493"/>
      <c r="IV50"/>
    </row>
    <row r="51" spans="20:256" s="11" customFormat="1" x14ac:dyDescent="0.25">
      <c r="T51" s="272"/>
      <c r="U51" s="273"/>
      <c r="V51" s="274"/>
      <c r="W51" s="273"/>
      <c r="FK51" s="1493"/>
      <c r="IV51"/>
    </row>
    <row r="52" spans="20:256" s="11" customFormat="1" x14ac:dyDescent="0.25">
      <c r="T52" s="272"/>
      <c r="U52" s="273"/>
      <c r="V52" s="274"/>
      <c r="W52" s="273"/>
      <c r="AF52" s="10" t="s">
        <v>728</v>
      </c>
      <c r="FK52" s="1493"/>
      <c r="IV52"/>
    </row>
    <row r="53" spans="20:256" s="11" customFormat="1" x14ac:dyDescent="0.25">
      <c r="T53" s="272"/>
      <c r="U53" s="273"/>
      <c r="V53" s="274"/>
      <c r="W53" s="273"/>
      <c r="FK53" s="1493"/>
      <c r="IV53"/>
    </row>
    <row r="54" spans="20:256" s="11" customFormat="1" x14ac:dyDescent="0.25">
      <c r="T54" s="272"/>
      <c r="U54" s="273"/>
      <c r="V54" s="274"/>
      <c r="W54" s="273"/>
      <c r="AF54" s="275" t="s">
        <v>729</v>
      </c>
      <c r="AG54" s="278">
        <v>2006</v>
      </c>
      <c r="AH54" s="278">
        <v>2007</v>
      </c>
      <c r="AI54" s="278">
        <v>2008</v>
      </c>
      <c r="AJ54" s="278">
        <v>2009</v>
      </c>
      <c r="FK54" s="1493"/>
      <c r="IV54"/>
    </row>
    <row r="55" spans="20:256" s="11" customFormat="1" x14ac:dyDescent="0.25">
      <c r="T55" s="272"/>
      <c r="U55" s="273"/>
      <c r="V55" s="274"/>
      <c r="W55" s="273"/>
      <c r="AF55" s="11" t="s">
        <v>730</v>
      </c>
      <c r="AG55" s="279">
        <f>1921.362</f>
        <v>1921.3620000000001</v>
      </c>
      <c r="AH55" s="276">
        <v>1983.7340000000004</v>
      </c>
      <c r="AI55" s="276">
        <v>1568.6840000000002</v>
      </c>
      <c r="AJ55" s="276">
        <v>1430.13</v>
      </c>
      <c r="FK55" s="1493"/>
      <c r="IV55"/>
    </row>
    <row r="56" spans="20:256" s="11" customFormat="1" x14ac:dyDescent="0.25">
      <c r="T56" s="277"/>
      <c r="U56" s="273"/>
      <c r="V56" s="274"/>
      <c r="W56" s="273"/>
      <c r="AF56" s="11" t="s">
        <v>1057</v>
      </c>
      <c r="AG56" s="313">
        <v>16180.36</v>
      </c>
      <c r="AH56" s="11">
        <v>16533.099999999999</v>
      </c>
      <c r="AI56" s="11">
        <v>14782.8</v>
      </c>
      <c r="AJ56" s="11">
        <v>14418.8</v>
      </c>
      <c r="FK56" s="1493"/>
      <c r="IV56"/>
    </row>
    <row r="57" spans="20:256" s="11" customFormat="1" x14ac:dyDescent="0.25">
      <c r="T57" s="277"/>
      <c r="U57" s="273"/>
      <c r="V57" s="274"/>
      <c r="W57" s="273"/>
      <c r="AF57" s="11" t="s">
        <v>1299</v>
      </c>
      <c r="AG57" s="314">
        <f>(AG55*1000)/AG56</f>
        <v>118.74655446479559</v>
      </c>
      <c r="AH57" s="314">
        <f>(AH55*1000)/AH56</f>
        <v>119.98560463554934</v>
      </c>
      <c r="AI57" s="314">
        <f>(AI55*1000)/AI56</f>
        <v>106.11548556430448</v>
      </c>
      <c r="AJ57" s="314">
        <f>(AJ55*1000)/AJ56</f>
        <v>99.185091685854587</v>
      </c>
      <c r="FK57" s="1493"/>
      <c r="IV57"/>
    </row>
    <row r="58" spans="20:256" s="11" customFormat="1" x14ac:dyDescent="0.25">
      <c r="T58" s="277"/>
      <c r="U58" s="273"/>
      <c r="V58" s="274"/>
      <c r="W58" s="273"/>
      <c r="AG58" s="314"/>
      <c r="AH58" s="314"/>
      <c r="AI58" s="314"/>
      <c r="AJ58" s="314"/>
      <c r="FK58" s="1493"/>
      <c r="IV58"/>
    </row>
    <row r="59" spans="20:256" s="11" customFormat="1" x14ac:dyDescent="0.25">
      <c r="T59" s="277"/>
      <c r="U59" s="273"/>
      <c r="V59" s="274"/>
      <c r="W59" s="273"/>
      <c r="AF59" s="11" t="s">
        <v>730</v>
      </c>
      <c r="AG59" s="314"/>
      <c r="AH59" s="280">
        <f t="shared" ref="AH59:AJ60" si="2">(AH55-AG55)/AG55</f>
        <v>3.2462388659711336E-2</v>
      </c>
      <c r="AI59" s="280">
        <f t="shared" si="2"/>
        <v>-0.20922664026527754</v>
      </c>
      <c r="AJ59" s="280">
        <f t="shared" si="2"/>
        <v>-8.8324990884078677E-2</v>
      </c>
      <c r="FK59" s="1493"/>
      <c r="IV59"/>
    </row>
    <row r="60" spans="20:256" s="11" customFormat="1" x14ac:dyDescent="0.25">
      <c r="T60" s="277"/>
      <c r="U60" s="273"/>
      <c r="V60" s="274"/>
      <c r="W60" s="273"/>
      <c r="AF60" s="11" t="s">
        <v>1057</v>
      </c>
      <c r="AG60" s="314"/>
      <c r="AH60" s="280">
        <f t="shared" si="2"/>
        <v>2.1800503820681244E-2</v>
      </c>
      <c r="AI60" s="280">
        <f t="shared" si="2"/>
        <v>-0.10586641343728638</v>
      </c>
      <c r="AJ60" s="280">
        <f t="shared" si="2"/>
        <v>-2.4623210758449008E-2</v>
      </c>
      <c r="FK60" s="1493"/>
      <c r="IV60"/>
    </row>
    <row r="61" spans="20:256" s="11" customFormat="1" x14ac:dyDescent="0.25">
      <c r="T61" s="277"/>
      <c r="U61" s="273"/>
      <c r="V61" s="274"/>
      <c r="W61" s="273"/>
      <c r="AG61" s="314"/>
      <c r="AH61" s="280"/>
      <c r="AI61" s="280"/>
      <c r="AJ61" s="280"/>
      <c r="FK61" s="1493"/>
      <c r="IV61"/>
    </row>
    <row r="62" spans="20:256" s="11" customFormat="1" x14ac:dyDescent="0.25">
      <c r="AF62" s="275" t="s">
        <v>1457</v>
      </c>
      <c r="FK62" s="1493"/>
      <c r="IV62"/>
    </row>
    <row r="63" spans="20:256" s="11" customFormat="1" x14ac:dyDescent="0.25">
      <c r="AF63" s="11" t="s">
        <v>730</v>
      </c>
      <c r="AG63" s="276">
        <v>2576.6</v>
      </c>
      <c r="AH63" s="276">
        <v>2624.7</v>
      </c>
      <c r="AI63" s="276">
        <v>2463.1999999999998</v>
      </c>
      <c r="AJ63" s="276">
        <v>2378.8000000000002</v>
      </c>
      <c r="FK63" s="1493"/>
      <c r="IV63"/>
    </row>
    <row r="64" spans="20:256" s="11" customFormat="1" x14ac:dyDescent="0.25">
      <c r="AF64" s="11" t="s">
        <v>1057</v>
      </c>
      <c r="AG64" s="313">
        <v>27508.400000000001</v>
      </c>
      <c r="AH64" s="11">
        <v>27205.8</v>
      </c>
      <c r="AI64" s="11">
        <v>25422.5</v>
      </c>
      <c r="AJ64" s="11">
        <v>26437</v>
      </c>
      <c r="FK64" s="1493"/>
      <c r="IV64"/>
    </row>
    <row r="65" spans="32:256" s="11" customFormat="1" x14ac:dyDescent="0.25">
      <c r="AF65" s="11" t="s">
        <v>1299</v>
      </c>
      <c r="AG65" s="314">
        <f>(AG63*1000)/AG64</f>
        <v>93.665934769016005</v>
      </c>
      <c r="AH65" s="314">
        <f>(AH63*1000)/AH64</f>
        <v>96.475751494166687</v>
      </c>
      <c r="AI65" s="314">
        <f>(AI63*1000)/AI64</f>
        <v>96.890549709902643</v>
      </c>
      <c r="AJ65" s="314">
        <f>(AJ63*1000)/AJ64</f>
        <v>89.979952339524147</v>
      </c>
      <c r="FK65" s="1493"/>
      <c r="IV65"/>
    </row>
    <row r="66" spans="32:256" s="11" customFormat="1" x14ac:dyDescent="0.25">
      <c r="AG66" s="313"/>
      <c r="FK66" s="1493"/>
      <c r="IV66"/>
    </row>
    <row r="67" spans="32:256" s="11" customFormat="1" x14ac:dyDescent="0.25">
      <c r="AF67" s="11" t="s">
        <v>730</v>
      </c>
      <c r="AG67" s="313"/>
      <c r="AH67" s="280">
        <f t="shared" ref="AH67:AJ68" si="3">(AH63-AG63)/AG63</f>
        <v>1.8668012108980794E-2</v>
      </c>
      <c r="AI67" s="280">
        <f t="shared" si="3"/>
        <v>-6.153084161999467E-2</v>
      </c>
      <c r="AJ67" s="280">
        <f t="shared" si="3"/>
        <v>-3.4264371549204142E-2</v>
      </c>
      <c r="FK67" s="1493"/>
      <c r="IV67"/>
    </row>
    <row r="68" spans="32:256" s="11" customFormat="1" x14ac:dyDescent="0.25">
      <c r="AF68" s="11" t="s">
        <v>1057</v>
      </c>
      <c r="AG68" s="313"/>
      <c r="AH68" s="280">
        <f t="shared" si="3"/>
        <v>-1.1000276279245691E-2</v>
      </c>
      <c r="AI68" s="280">
        <f t="shared" si="3"/>
        <v>-6.5548522741474213E-2</v>
      </c>
      <c r="AJ68" s="280">
        <f t="shared" si="3"/>
        <v>3.9905595437112792E-2</v>
      </c>
      <c r="FK68" s="1493"/>
      <c r="IV68"/>
    </row>
    <row r="69" spans="32:256" s="11" customFormat="1" x14ac:dyDescent="0.25">
      <c r="AG69" s="313"/>
      <c r="AH69" s="280"/>
      <c r="AI69" s="280"/>
      <c r="AJ69" s="280"/>
      <c r="FK69" s="1493"/>
      <c r="IV69"/>
    </row>
    <row r="70" spans="32:256" s="11" customFormat="1" x14ac:dyDescent="0.25">
      <c r="AF70" s="275" t="s">
        <v>1300</v>
      </c>
      <c r="FK70" s="1493"/>
      <c r="IV70"/>
    </row>
    <row r="71" spans="32:256" s="11" customFormat="1" x14ac:dyDescent="0.25">
      <c r="AF71" s="11" t="s">
        <v>730</v>
      </c>
      <c r="AG71" s="276">
        <f t="shared" ref="AG71:AJ72" si="4">AG55+AG63</f>
        <v>4497.9619999999995</v>
      </c>
      <c r="AH71" s="276">
        <f t="shared" si="4"/>
        <v>4608.4340000000002</v>
      </c>
      <c r="AI71" s="276">
        <f t="shared" si="4"/>
        <v>4031.884</v>
      </c>
      <c r="AJ71" s="276">
        <f t="shared" si="4"/>
        <v>3808.9300000000003</v>
      </c>
      <c r="FK71" s="1493"/>
      <c r="IV71"/>
    </row>
    <row r="72" spans="32:256" s="11" customFormat="1" x14ac:dyDescent="0.25">
      <c r="AF72" s="11" t="s">
        <v>1057</v>
      </c>
      <c r="AG72" s="313">
        <f t="shared" si="4"/>
        <v>43688.76</v>
      </c>
      <c r="AH72" s="313">
        <f t="shared" si="4"/>
        <v>43738.899999999994</v>
      </c>
      <c r="AI72" s="313">
        <f t="shared" si="4"/>
        <v>40205.300000000003</v>
      </c>
      <c r="AJ72" s="313">
        <f t="shared" si="4"/>
        <v>40855.800000000003</v>
      </c>
      <c r="FK72" s="1493"/>
      <c r="IV72"/>
    </row>
    <row r="73" spans="32:256" s="11" customFormat="1" x14ac:dyDescent="0.25">
      <c r="AF73" s="11" t="s">
        <v>1301</v>
      </c>
      <c r="AG73" s="314">
        <f>(AG71*1000)/AG72</f>
        <v>102.95467300971691</v>
      </c>
      <c r="AH73" s="314">
        <f>(AH71*1000)/AH72</f>
        <v>105.36236622320179</v>
      </c>
      <c r="AI73" s="314">
        <f>(AI71*1000)/AI72</f>
        <v>100.28240057902813</v>
      </c>
      <c r="AJ73" s="314">
        <f>(AJ71*1000)/AJ72</f>
        <v>93.228623598118261</v>
      </c>
      <c r="FK73" s="1493"/>
      <c r="IV73"/>
    </row>
    <row r="74" spans="32:256" s="11" customFormat="1" x14ac:dyDescent="0.25">
      <c r="AG74" s="313"/>
      <c r="FK74" s="1493"/>
      <c r="IV74"/>
    </row>
    <row r="75" spans="32:256" s="11" customFormat="1" x14ac:dyDescent="0.25">
      <c r="AF75" s="11" t="s">
        <v>730</v>
      </c>
      <c r="AG75" s="313"/>
      <c r="AH75" s="280">
        <f t="shared" ref="AH75:AJ76" si="5">(AH71-AG71)/AG71</f>
        <v>2.4560456491184379E-2</v>
      </c>
      <c r="AI75" s="280">
        <f t="shared" si="5"/>
        <v>-0.12510757450361668</v>
      </c>
      <c r="AJ75" s="280">
        <f t="shared" si="5"/>
        <v>-5.5297721859061351E-2</v>
      </c>
      <c r="FK75" s="1493"/>
      <c r="IV75"/>
    </row>
    <row r="76" spans="32:256" s="11" customFormat="1" x14ac:dyDescent="0.25">
      <c r="AF76" s="11" t="s">
        <v>1057</v>
      </c>
      <c r="AG76" s="313"/>
      <c r="AH76" s="280">
        <f t="shared" si="5"/>
        <v>1.1476636095872747E-3</v>
      </c>
      <c r="AI76" s="280">
        <f t="shared" si="5"/>
        <v>-8.0788497195859788E-2</v>
      </c>
      <c r="AJ76" s="280">
        <f t="shared" si="5"/>
        <v>1.617945892705688E-2</v>
      </c>
      <c r="FK76" s="1493"/>
      <c r="IV76"/>
    </row>
    <row r="77" spans="32:256" s="11" customFormat="1" x14ac:dyDescent="0.25">
      <c r="FK77" s="1493"/>
      <c r="IV77"/>
    </row>
    <row r="78" spans="32:256" s="11" customFormat="1" x14ac:dyDescent="0.25">
      <c r="AL78" s="10" t="s">
        <v>1302</v>
      </c>
      <c r="FK78" s="1493"/>
      <c r="IV78"/>
    </row>
    <row r="79" spans="32:256" s="11" customFormat="1" x14ac:dyDescent="0.25">
      <c r="AF79" s="275"/>
      <c r="AL79" s="294"/>
      <c r="AM79" s="315" t="s">
        <v>1442</v>
      </c>
      <c r="AN79" s="315" t="s">
        <v>1587</v>
      </c>
      <c r="AO79" s="315" t="s">
        <v>1544</v>
      </c>
      <c r="FK79" s="1493"/>
      <c r="IV79"/>
    </row>
    <row r="80" spans="32:256" s="11" customFormat="1" x14ac:dyDescent="0.25">
      <c r="AF80" s="275"/>
      <c r="AL80" s="11" t="s">
        <v>1303</v>
      </c>
      <c r="AM80" s="280">
        <v>-2.4E-2</v>
      </c>
      <c r="AN80" s="280">
        <v>3.2000000000000001E-2</v>
      </c>
      <c r="AO80" s="280">
        <v>2.8000000000000001E-2</v>
      </c>
      <c r="FK80" s="1493"/>
      <c r="IV80"/>
    </row>
    <row r="81" spans="38:256" s="11" customFormat="1" x14ac:dyDescent="0.25">
      <c r="AL81" s="11" t="s">
        <v>103</v>
      </c>
      <c r="AM81" s="280">
        <v>9.2999999999999999E-2</v>
      </c>
      <c r="AN81" s="280">
        <v>9.7000000000000003E-2</v>
      </c>
      <c r="AO81" s="280">
        <v>9.2999999999999999E-2</v>
      </c>
      <c r="FK81" s="1493"/>
      <c r="IV81"/>
    </row>
    <row r="82" spans="38:256" s="11" customFormat="1" x14ac:dyDescent="0.25">
      <c r="AL82" s="11" t="s">
        <v>1304</v>
      </c>
      <c r="AM82" s="11">
        <v>553</v>
      </c>
      <c r="AN82" s="11">
        <v>590</v>
      </c>
      <c r="AO82" s="11">
        <v>635</v>
      </c>
      <c r="FK82" s="1493"/>
      <c r="IV82"/>
    </row>
    <row r="83" spans="38:256" s="11" customFormat="1" x14ac:dyDescent="0.25">
      <c r="FK83" s="1493"/>
      <c r="IV83"/>
    </row>
    <row r="84" spans="38:256" s="11" customFormat="1" x14ac:dyDescent="0.25">
      <c r="FK84" s="1493"/>
      <c r="IV84"/>
    </row>
    <row r="85" spans="38:256" s="11" customFormat="1" x14ac:dyDescent="0.25">
      <c r="AQ85" s="333" t="s">
        <v>1938</v>
      </c>
      <c r="AR85" s="325"/>
      <c r="AS85" s="325"/>
      <c r="AT85" s="326"/>
      <c r="AU85" s="305"/>
      <c r="AV85" s="281"/>
      <c r="AW85" s="281"/>
      <c r="FK85" s="1493"/>
      <c r="IV85"/>
    </row>
    <row r="86" spans="38:256" s="11" customFormat="1" x14ac:dyDescent="0.25">
      <c r="AQ86" s="291" t="s">
        <v>1363</v>
      </c>
      <c r="AR86" s="327" t="s">
        <v>1364</v>
      </c>
      <c r="AS86" s="327" t="s">
        <v>894</v>
      </c>
      <c r="AT86" s="306" t="s">
        <v>740</v>
      </c>
      <c r="AU86" s="306" t="s">
        <v>743</v>
      </c>
      <c r="AV86" s="306" t="s">
        <v>576</v>
      </c>
      <c r="AW86" s="306" t="s">
        <v>577</v>
      </c>
      <c r="FK86" s="1493"/>
      <c r="IV86"/>
    </row>
    <row r="87" spans="38:256" s="11" customFormat="1" x14ac:dyDescent="0.25">
      <c r="AQ87" s="281" t="s">
        <v>1924</v>
      </c>
      <c r="AR87" s="337">
        <v>1801848</v>
      </c>
      <c r="AS87" s="310">
        <f>OHIO!B10</f>
        <v>3800</v>
      </c>
      <c r="AT87" s="310">
        <f>AV87*AS87*365/1000000</f>
        <v>312.07499999999999</v>
      </c>
      <c r="AU87" s="305">
        <f t="shared" ref="AU87:AU94" si="6">AR87/AS87</f>
        <v>474.17052631578946</v>
      </c>
      <c r="AV87" s="328">
        <f>OHIO!B22</f>
        <v>225</v>
      </c>
      <c r="AW87" s="334">
        <f t="shared" ref="AW87:AW94" si="7">(AT87*1000000)/AR87/365</f>
        <v>0.4745128334909493</v>
      </c>
      <c r="FK87" s="1493"/>
      <c r="IV87"/>
    </row>
    <row r="88" spans="38:256" s="11" customFormat="1" x14ac:dyDescent="0.25">
      <c r="AQ88" s="281" t="s">
        <v>1923</v>
      </c>
      <c r="AR88" s="337">
        <v>672220</v>
      </c>
      <c r="AS88" s="310">
        <f>OHIO!C10</f>
        <v>2480</v>
      </c>
      <c r="AT88" s="310">
        <f>AV88*AS88*365/1000000</f>
        <v>271.56</v>
      </c>
      <c r="AU88" s="305">
        <f t="shared" si="6"/>
        <v>271.05645161290323</v>
      </c>
      <c r="AV88" s="328">
        <f>OHIO!C22</f>
        <v>300</v>
      </c>
      <c r="AW88" s="334">
        <f t="shared" si="7"/>
        <v>1.1067805182827051</v>
      </c>
      <c r="FK88" s="1493"/>
      <c r="IV88"/>
    </row>
    <row r="89" spans="38:256" s="11" customFormat="1" x14ac:dyDescent="0.25">
      <c r="AQ89" s="311" t="s">
        <v>2074</v>
      </c>
      <c r="AR89" s="338">
        <f>4403437+323342</f>
        <v>4726779</v>
      </c>
      <c r="AS89" s="338">
        <f>11834+2581+(83*6)</f>
        <v>14913</v>
      </c>
      <c r="AT89" s="338">
        <f>1339.5+254</f>
        <v>1593.5</v>
      </c>
      <c r="AU89" s="305">
        <f t="shared" si="6"/>
        <v>316.9569503118085</v>
      </c>
      <c r="AV89" s="328">
        <f t="shared" ref="AV89:AV94" si="8">AT89*1000000/365/AS89</f>
        <v>292.74816768306403</v>
      </c>
      <c r="AW89" s="334">
        <f t="shared" si="7"/>
        <v>0.9236212280408147</v>
      </c>
      <c r="FK89" s="1493"/>
      <c r="IV89"/>
    </row>
    <row r="90" spans="38:256" s="11" customFormat="1" x14ac:dyDescent="0.25">
      <c r="AQ90" s="311" t="s">
        <v>744</v>
      </c>
      <c r="AR90" s="337">
        <v>2828990</v>
      </c>
      <c r="AS90" s="338">
        <v>12523</v>
      </c>
      <c r="AT90" s="338">
        <v>1050</v>
      </c>
      <c r="AU90" s="305">
        <f t="shared" si="6"/>
        <v>225.90353749101652</v>
      </c>
      <c r="AV90" s="328">
        <f t="shared" si="8"/>
        <v>229.71431196734994</v>
      </c>
      <c r="AW90" s="334">
        <f t="shared" si="7"/>
        <v>1.0168690340959576</v>
      </c>
      <c r="FK90" s="1493"/>
      <c r="IV90"/>
    </row>
    <row r="91" spans="38:256" s="11" customFormat="1" x14ac:dyDescent="0.25">
      <c r="AQ91" s="311" t="s">
        <v>1634</v>
      </c>
      <c r="AR91" s="337">
        <v>2171896</v>
      </c>
      <c r="AS91" s="338">
        <v>7082</v>
      </c>
      <c r="AT91" s="338">
        <v>691.2</v>
      </c>
      <c r="AU91" s="305">
        <f t="shared" si="6"/>
        <v>306.67833945213215</v>
      </c>
      <c r="AV91" s="328">
        <f t="shared" si="8"/>
        <v>267.3960223294248</v>
      </c>
      <c r="AW91" s="334">
        <f t="shared" si="7"/>
        <v>0.87191036317438142</v>
      </c>
      <c r="FK91" s="1493"/>
      <c r="IV91"/>
    </row>
    <row r="92" spans="38:256" s="11" customFormat="1" x14ac:dyDescent="0.25">
      <c r="AQ92" s="311" t="s">
        <v>745</v>
      </c>
      <c r="AR92" s="337">
        <v>2067585</v>
      </c>
      <c r="AS92" s="339">
        <f>8528+(214*6)</f>
        <v>9812</v>
      </c>
      <c r="AT92" s="338">
        <v>758.02300000000002</v>
      </c>
      <c r="AU92" s="305">
        <f t="shared" si="6"/>
        <v>210.72003668976762</v>
      </c>
      <c r="AV92" s="328">
        <f t="shared" si="8"/>
        <v>211.65667982732913</v>
      </c>
      <c r="AW92" s="334">
        <f t="shared" si="7"/>
        <v>1.0044449647611844</v>
      </c>
      <c r="FK92" s="1493"/>
      <c r="IV92"/>
    </row>
    <row r="93" spans="38:256" s="11" customFormat="1" x14ac:dyDescent="0.25">
      <c r="AQ93" s="311" t="s">
        <v>1702</v>
      </c>
      <c r="AR93" s="337">
        <v>786947</v>
      </c>
      <c r="AS93" s="340">
        <v>4054</v>
      </c>
      <c r="AT93" s="338">
        <v>306.5</v>
      </c>
      <c r="AU93" s="305">
        <f t="shared" si="6"/>
        <v>194.11618154908732</v>
      </c>
      <c r="AV93" s="328">
        <f t="shared" si="8"/>
        <v>207.13518189374946</v>
      </c>
      <c r="AW93" s="334">
        <f t="shared" si="7"/>
        <v>1.0670680838700195</v>
      </c>
      <c r="FK93" s="1493"/>
      <c r="IV93"/>
    </row>
    <row r="94" spans="38:256" s="11" customFormat="1" x14ac:dyDescent="0.25">
      <c r="AQ94" s="311" t="s">
        <v>95</v>
      </c>
      <c r="AR94" s="337">
        <v>9804845</v>
      </c>
      <c r="AS94" s="340">
        <v>16443</v>
      </c>
      <c r="AT94" s="338">
        <v>2092</v>
      </c>
      <c r="AU94" s="305">
        <f t="shared" si="6"/>
        <v>596.29295140789395</v>
      </c>
      <c r="AV94" s="328">
        <f t="shared" si="8"/>
        <v>348.56819615125397</v>
      </c>
      <c r="AW94" s="334">
        <f t="shared" si="7"/>
        <v>0.58455863905192473</v>
      </c>
      <c r="FK94" s="1493"/>
      <c r="IV94"/>
    </row>
    <row r="95" spans="38:256" s="11" customFormat="1" x14ac:dyDescent="0.25">
      <c r="AQ95" s="281"/>
      <c r="AR95" s="281"/>
      <c r="AS95" s="281"/>
      <c r="AT95" s="281"/>
      <c r="AU95" s="281"/>
      <c r="AV95" s="281"/>
      <c r="AW95" s="281"/>
      <c r="FK95" s="1493"/>
      <c r="IV95"/>
    </row>
    <row r="96" spans="38:256" s="11" customFormat="1" x14ac:dyDescent="0.25">
      <c r="AQ96" s="333" t="s">
        <v>575</v>
      </c>
      <c r="AR96" s="281"/>
      <c r="AS96" s="281"/>
      <c r="AT96" s="281"/>
      <c r="AU96" s="281"/>
      <c r="AV96" s="281"/>
      <c r="AW96" s="281"/>
      <c r="FK96" s="1493"/>
      <c r="IV96"/>
    </row>
    <row r="97" spans="43:256" s="11" customFormat="1" x14ac:dyDescent="0.25">
      <c r="AQ97" s="291" t="s">
        <v>1363</v>
      </c>
      <c r="AR97" s="327" t="s">
        <v>1364</v>
      </c>
      <c r="AS97" s="327" t="s">
        <v>894</v>
      </c>
      <c r="AT97" s="306" t="s">
        <v>740</v>
      </c>
      <c r="AU97" s="306" t="s">
        <v>743</v>
      </c>
      <c r="AV97" s="306" t="s">
        <v>576</v>
      </c>
      <c r="AW97" s="306" t="s">
        <v>577</v>
      </c>
      <c r="FK97" s="1493"/>
      <c r="IV97"/>
    </row>
    <row r="98" spans="43:256" s="11" customFormat="1" x14ac:dyDescent="0.25">
      <c r="AQ98" s="311" t="s">
        <v>95</v>
      </c>
      <c r="AR98" s="337">
        <v>9804845</v>
      </c>
      <c r="AS98" s="340">
        <v>16443</v>
      </c>
      <c r="AT98" s="338">
        <v>2092</v>
      </c>
      <c r="AU98" s="340">
        <v>596.29295140789395</v>
      </c>
      <c r="AV98" s="754">
        <v>348.56819615125397</v>
      </c>
      <c r="AW98" s="755">
        <v>0.58455863905192473</v>
      </c>
      <c r="FK98" s="1493"/>
      <c r="IV98"/>
    </row>
    <row r="99" spans="43:256" s="11" customFormat="1" x14ac:dyDescent="0.25">
      <c r="AQ99" s="281" t="s">
        <v>1924</v>
      </c>
      <c r="AR99" s="337">
        <v>1801848</v>
      </c>
      <c r="AS99" s="337">
        <v>3800</v>
      </c>
      <c r="AT99" s="337">
        <v>450.77499999999998</v>
      </c>
      <c r="AU99" s="340">
        <v>474.17052631578946</v>
      </c>
      <c r="AV99" s="754">
        <v>325</v>
      </c>
      <c r="AW99" s="755">
        <v>0.6854074261535934</v>
      </c>
      <c r="FK99" s="1493"/>
      <c r="IV99"/>
    </row>
    <row r="100" spans="43:256" s="11" customFormat="1" x14ac:dyDescent="0.25">
      <c r="AQ100" s="311" t="s">
        <v>2074</v>
      </c>
      <c r="AR100" s="338">
        <v>4726779</v>
      </c>
      <c r="AS100" s="338">
        <v>14913</v>
      </c>
      <c r="AT100" s="338">
        <v>1593.5</v>
      </c>
      <c r="AU100" s="340">
        <v>316.9569503118085</v>
      </c>
      <c r="AV100" s="754">
        <v>292.74816768306403</v>
      </c>
      <c r="AW100" s="755">
        <v>0.9236212280408147</v>
      </c>
      <c r="FK100" s="1493"/>
      <c r="IV100"/>
    </row>
    <row r="101" spans="43:256" s="11" customFormat="1" x14ac:dyDescent="0.25">
      <c r="AQ101" s="311" t="s">
        <v>1634</v>
      </c>
      <c r="AR101" s="337">
        <v>2171896</v>
      </c>
      <c r="AS101" s="338">
        <v>7082</v>
      </c>
      <c r="AT101" s="338">
        <v>691.2</v>
      </c>
      <c r="AU101" s="340">
        <v>306.67833945213215</v>
      </c>
      <c r="AV101" s="754">
        <v>267.3960223294248</v>
      </c>
      <c r="AW101" s="755">
        <v>0.87191036317438142</v>
      </c>
      <c r="FK101" s="1493"/>
      <c r="IV101"/>
    </row>
    <row r="102" spans="43:256" s="11" customFormat="1" x14ac:dyDescent="0.25">
      <c r="AQ102" s="281" t="s">
        <v>1923</v>
      </c>
      <c r="AR102" s="337">
        <v>672220</v>
      </c>
      <c r="AS102" s="337">
        <v>2480</v>
      </c>
      <c r="AT102" s="337">
        <v>226.3</v>
      </c>
      <c r="AU102" s="340">
        <v>271.05645161290323</v>
      </c>
      <c r="AV102" s="754">
        <v>250</v>
      </c>
      <c r="AW102" s="755">
        <v>0.92231709856892097</v>
      </c>
      <c r="FK102" s="1493"/>
      <c r="IV102"/>
    </row>
    <row r="103" spans="43:256" s="11" customFormat="1" x14ac:dyDescent="0.25">
      <c r="AQ103" s="311" t="s">
        <v>744</v>
      </c>
      <c r="AR103" s="337">
        <v>2828990</v>
      </c>
      <c r="AS103" s="338">
        <v>12523</v>
      </c>
      <c r="AT103" s="338">
        <v>1050</v>
      </c>
      <c r="AU103" s="340">
        <v>225.90353749101652</v>
      </c>
      <c r="AV103" s="754">
        <v>229.71431196734994</v>
      </c>
      <c r="AW103" s="755">
        <v>1.0168690340959576</v>
      </c>
      <c r="FK103" s="1493"/>
      <c r="IV103"/>
    </row>
    <row r="104" spans="43:256" s="11" customFormat="1" x14ac:dyDescent="0.25">
      <c r="AQ104" s="311" t="s">
        <v>745</v>
      </c>
      <c r="AR104" s="337">
        <v>2067585</v>
      </c>
      <c r="AS104" s="339">
        <v>9812</v>
      </c>
      <c r="AT104" s="338">
        <v>758.02300000000002</v>
      </c>
      <c r="AU104" s="340">
        <v>210.72003668976762</v>
      </c>
      <c r="AV104" s="754">
        <v>211.65667982732913</v>
      </c>
      <c r="AW104" s="755">
        <v>1.0044449647611844</v>
      </c>
      <c r="FK104" s="1493"/>
      <c r="IV104"/>
    </row>
    <row r="105" spans="43:256" s="11" customFormat="1" x14ac:dyDescent="0.25">
      <c r="AQ105" s="311" t="s">
        <v>1702</v>
      </c>
      <c r="AR105" s="337">
        <v>786947</v>
      </c>
      <c r="AS105" s="340">
        <v>4054</v>
      </c>
      <c r="AT105" s="338">
        <v>306.5</v>
      </c>
      <c r="AU105" s="340">
        <v>194.11618154908732</v>
      </c>
      <c r="AV105" s="754">
        <v>207.13518189374946</v>
      </c>
      <c r="AW105" s="755">
        <v>1.0670680838700195</v>
      </c>
      <c r="FK105" s="1493"/>
      <c r="IV105"/>
    </row>
    <row r="106" spans="43:256" s="11" customFormat="1" x14ac:dyDescent="0.25">
      <c r="FK106" s="1493"/>
      <c r="IV106"/>
    </row>
    <row r="107" spans="43:256" s="11" customFormat="1" x14ac:dyDescent="0.25">
      <c r="AQ107" s="291" t="s">
        <v>1363</v>
      </c>
      <c r="AR107" s="336" t="s">
        <v>743</v>
      </c>
      <c r="FK107" s="1493"/>
      <c r="IV107"/>
    </row>
    <row r="108" spans="43:256" s="11" customFormat="1" x14ac:dyDescent="0.25">
      <c r="AQ108" s="311" t="s">
        <v>1926</v>
      </c>
      <c r="AR108" s="340">
        <v>596.29295140789395</v>
      </c>
      <c r="AS108" s="327"/>
      <c r="AT108" s="306"/>
      <c r="AU108" s="306"/>
      <c r="AV108" s="306"/>
      <c r="FK108" s="1493"/>
      <c r="IV108"/>
    </row>
    <row r="109" spans="43:256" s="11" customFormat="1" x14ac:dyDescent="0.25">
      <c r="AQ109" s="281" t="s">
        <v>2055</v>
      </c>
      <c r="AR109" s="340">
        <v>474.17052631578946</v>
      </c>
      <c r="AS109" s="305"/>
      <c r="AT109" s="330"/>
      <c r="AU109" s="305"/>
      <c r="AV109" s="335"/>
      <c r="AW109" s="334"/>
      <c r="FK109" s="1493"/>
      <c r="IV109"/>
    </row>
    <row r="110" spans="43:256" s="11" customFormat="1" x14ac:dyDescent="0.25">
      <c r="AQ110" s="311" t="s">
        <v>1925</v>
      </c>
      <c r="AR110" s="340">
        <v>316.9569503118085</v>
      </c>
      <c r="AS110" s="310"/>
      <c r="AT110" s="310"/>
      <c r="AU110" s="305"/>
      <c r="AV110" s="335"/>
      <c r="AW110" s="334"/>
      <c r="FK110" s="1493"/>
      <c r="IV110"/>
    </row>
    <row r="111" spans="43:256" s="11" customFormat="1" x14ac:dyDescent="0.25">
      <c r="AQ111" s="311" t="s">
        <v>1634</v>
      </c>
      <c r="AR111" s="340">
        <v>306.67833945213215</v>
      </c>
      <c r="AS111" s="330"/>
      <c r="AT111" s="330"/>
      <c r="AU111" s="305"/>
      <c r="AV111" s="335"/>
      <c r="AW111" s="334"/>
      <c r="FK111" s="1493"/>
      <c r="IV111"/>
    </row>
    <row r="112" spans="43:256" s="11" customFormat="1" x14ac:dyDescent="0.25">
      <c r="AQ112" s="281" t="s">
        <v>1635</v>
      </c>
      <c r="AR112" s="340">
        <v>271.05645161290323</v>
      </c>
      <c r="AS112" s="330"/>
      <c r="AT112" s="330"/>
      <c r="AU112" s="305"/>
      <c r="AV112" s="335"/>
      <c r="AW112" s="334"/>
      <c r="FK112" s="1493"/>
      <c r="IV112"/>
    </row>
    <row r="113" spans="43:256" s="11" customFormat="1" x14ac:dyDescent="0.25">
      <c r="AQ113" s="311" t="s">
        <v>744</v>
      </c>
      <c r="AR113" s="340">
        <v>225.90353749101652</v>
      </c>
      <c r="AS113" s="310"/>
      <c r="AT113" s="310"/>
      <c r="AU113" s="305"/>
      <c r="AV113" s="335"/>
      <c r="AW113" s="334"/>
      <c r="FK113" s="1493"/>
      <c r="IV113"/>
    </row>
    <row r="114" spans="43:256" s="11" customFormat="1" x14ac:dyDescent="0.25">
      <c r="AQ114" s="311" t="s">
        <v>745</v>
      </c>
      <c r="AR114" s="340">
        <v>210.72003668976762</v>
      </c>
      <c r="AS114" s="330"/>
      <c r="AT114" s="330"/>
      <c r="AU114" s="305"/>
      <c r="AV114" s="335"/>
      <c r="AW114" s="334"/>
      <c r="FK114" s="1493"/>
      <c r="IV114"/>
    </row>
    <row r="115" spans="43:256" s="11" customFormat="1" x14ac:dyDescent="0.25">
      <c r="AQ115" s="311" t="s">
        <v>1702</v>
      </c>
      <c r="AR115" s="340">
        <v>194.11618154908732</v>
      </c>
      <c r="AS115" s="331"/>
      <c r="AT115" s="330"/>
      <c r="AU115" s="305"/>
      <c r="AV115" s="334"/>
      <c r="AW115" s="334"/>
      <c r="FK115" s="1493"/>
      <c r="IV115"/>
    </row>
    <row r="116" spans="43:256" s="11" customFormat="1" x14ac:dyDescent="0.25">
      <c r="AQ116" s="311"/>
      <c r="AR116" s="310"/>
      <c r="AS116" s="305"/>
      <c r="AT116" s="330"/>
      <c r="AU116" s="305"/>
      <c r="AV116" s="334"/>
      <c r="AW116" s="334"/>
      <c r="FK116" s="1493"/>
      <c r="IV116"/>
    </row>
    <row r="117" spans="43:256" s="11" customFormat="1" x14ac:dyDescent="0.25">
      <c r="AQ117" s="291" t="s">
        <v>1363</v>
      </c>
      <c r="AR117" s="306" t="s">
        <v>576</v>
      </c>
      <c r="FK117" s="1493"/>
      <c r="IV117"/>
    </row>
    <row r="118" spans="43:256" s="11" customFormat="1" x14ac:dyDescent="0.25">
      <c r="AQ118" s="311" t="s">
        <v>1926</v>
      </c>
      <c r="AR118" s="754">
        <v>348.56819615125397</v>
      </c>
      <c r="FK118" s="1493"/>
      <c r="IV118"/>
    </row>
    <row r="119" spans="43:256" s="11" customFormat="1" x14ac:dyDescent="0.25">
      <c r="AQ119" s="281" t="s">
        <v>1655</v>
      </c>
      <c r="AR119" s="754">
        <v>325</v>
      </c>
      <c r="FK119" s="1493"/>
      <c r="IV119"/>
    </row>
    <row r="120" spans="43:256" s="11" customFormat="1" x14ac:dyDescent="0.25">
      <c r="AQ120" s="311" t="s">
        <v>1925</v>
      </c>
      <c r="AR120" s="756">
        <v>292.74816768306403</v>
      </c>
      <c r="FK120" s="1493"/>
      <c r="IV120"/>
    </row>
    <row r="121" spans="43:256" s="11" customFormat="1" x14ac:dyDescent="0.25">
      <c r="AQ121" s="311" t="s">
        <v>1634</v>
      </c>
      <c r="AR121" s="756">
        <v>267.3960223294248</v>
      </c>
      <c r="FK121" s="1493"/>
      <c r="IV121"/>
    </row>
    <row r="122" spans="43:256" s="11" customFormat="1" x14ac:dyDescent="0.25">
      <c r="AQ122" s="281" t="s">
        <v>1656</v>
      </c>
      <c r="AR122" s="756">
        <v>250</v>
      </c>
      <c r="FK122" s="1493"/>
      <c r="IV122"/>
    </row>
    <row r="123" spans="43:256" s="11" customFormat="1" x14ac:dyDescent="0.25">
      <c r="AQ123" s="311" t="s">
        <v>744</v>
      </c>
      <c r="AR123" s="756">
        <v>229.71431196734994</v>
      </c>
      <c r="FK123" s="1493"/>
      <c r="IV123"/>
    </row>
    <row r="124" spans="43:256" s="11" customFormat="1" x14ac:dyDescent="0.25">
      <c r="AQ124" s="311" t="s">
        <v>745</v>
      </c>
      <c r="AR124" s="754">
        <v>211.65667982732913</v>
      </c>
      <c r="FK124" s="1493"/>
      <c r="IV124"/>
    </row>
    <row r="125" spans="43:256" s="11" customFormat="1" x14ac:dyDescent="0.25">
      <c r="AQ125" s="311" t="s">
        <v>1702</v>
      </c>
      <c r="AR125" s="754">
        <v>207.13518189374946</v>
      </c>
      <c r="FK125" s="1493"/>
      <c r="IV125"/>
    </row>
    <row r="126" spans="43:256" s="11" customFormat="1" x14ac:dyDescent="0.25">
      <c r="AQ126" s="10" t="s">
        <v>1796</v>
      </c>
      <c r="FK126" s="1493"/>
      <c r="IV126"/>
    </row>
    <row r="127" spans="43:256" s="11" customFormat="1" ht="3" customHeight="1" x14ac:dyDescent="0.25">
      <c r="AQ127" s="294"/>
      <c r="AV127" s="294"/>
      <c r="FK127" s="1493"/>
      <c r="IV127"/>
    </row>
    <row r="128" spans="43:256" s="11" customFormat="1" ht="13.5" customHeight="1" x14ac:dyDescent="0.25">
      <c r="AQ128" s="341"/>
      <c r="AR128" s="342" t="s">
        <v>1363</v>
      </c>
      <c r="AS128" s="342" t="s">
        <v>1484</v>
      </c>
      <c r="AT128" s="342" t="s">
        <v>1484</v>
      </c>
      <c r="AU128" s="342" t="s">
        <v>1927</v>
      </c>
      <c r="AV128" s="342"/>
      <c r="FK128" s="1493"/>
      <c r="IV128"/>
    </row>
    <row r="129" spans="43:256" s="11" customFormat="1" ht="13.5" customHeight="1" x14ac:dyDescent="0.25">
      <c r="AQ129" s="896" t="s">
        <v>1929</v>
      </c>
      <c r="AR129" s="343" t="s">
        <v>1364</v>
      </c>
      <c r="AS129" s="343" t="s">
        <v>894</v>
      </c>
      <c r="AT129" s="344" t="s">
        <v>983</v>
      </c>
      <c r="AU129" s="344" t="s">
        <v>574</v>
      </c>
      <c r="AV129" s="344" t="s">
        <v>1928</v>
      </c>
      <c r="FK129" s="1493"/>
      <c r="IV129"/>
    </row>
    <row r="130" spans="43:256" s="11" customFormat="1" ht="13.5" customHeight="1" x14ac:dyDescent="0.25">
      <c r="AQ130" s="518" t="s">
        <v>1926</v>
      </c>
      <c r="AR130" s="345">
        <v>9804845</v>
      </c>
      <c r="AS130" s="346">
        <v>16443</v>
      </c>
      <c r="AT130" s="561">
        <v>2092</v>
      </c>
      <c r="AU130" s="346">
        <v>596.29295140789395</v>
      </c>
      <c r="AV130" s="347">
        <v>348.56819615125397</v>
      </c>
      <c r="FK130" s="1493"/>
      <c r="IV130"/>
    </row>
    <row r="131" spans="43:256" s="11" customFormat="1" ht="13.5" customHeight="1" x14ac:dyDescent="0.25">
      <c r="AQ131" s="922" t="s">
        <v>2055</v>
      </c>
      <c r="AR131" s="352">
        <v>1801848</v>
      </c>
      <c r="AS131" s="352">
        <v>3800</v>
      </c>
      <c r="AT131" s="352">
        <v>451</v>
      </c>
      <c r="AU131" s="353">
        <v>474.17052631578946</v>
      </c>
      <c r="AV131" s="721">
        <v>325</v>
      </c>
      <c r="FK131" s="1493"/>
      <c r="IV131"/>
    </row>
    <row r="132" spans="43:256" s="11" customFormat="1" ht="13.5" customHeight="1" x14ac:dyDescent="0.25">
      <c r="AQ132" s="518" t="s">
        <v>2074</v>
      </c>
      <c r="AR132" s="348">
        <v>4726779</v>
      </c>
      <c r="AS132" s="348">
        <v>14913</v>
      </c>
      <c r="AT132" s="348">
        <v>1593.5</v>
      </c>
      <c r="AU132" s="346">
        <v>316.9569503118085</v>
      </c>
      <c r="AV132" s="722">
        <v>292.74816768306403</v>
      </c>
      <c r="FK132" s="1493"/>
      <c r="IV132"/>
    </row>
    <row r="133" spans="43:256" s="11" customFormat="1" ht="13.5" customHeight="1" x14ac:dyDescent="0.25">
      <c r="AQ133" s="518" t="s">
        <v>1634</v>
      </c>
      <c r="AR133" s="345">
        <v>2171896</v>
      </c>
      <c r="AS133" s="348">
        <v>7082</v>
      </c>
      <c r="AT133" s="348">
        <v>691.2</v>
      </c>
      <c r="AU133" s="346">
        <v>306.67833945213215</v>
      </c>
      <c r="AV133" s="722">
        <v>267.3960223294248</v>
      </c>
      <c r="FK133" s="1493"/>
      <c r="IV133"/>
    </row>
    <row r="134" spans="43:256" s="11" customFormat="1" ht="13.5" customHeight="1" x14ac:dyDescent="0.25">
      <c r="AQ134" s="922" t="s">
        <v>1635</v>
      </c>
      <c r="AR134" s="352">
        <v>672220</v>
      </c>
      <c r="AS134" s="352">
        <v>2480</v>
      </c>
      <c r="AT134" s="352">
        <v>226.3</v>
      </c>
      <c r="AU134" s="353">
        <v>271.05645161290323</v>
      </c>
      <c r="AV134" s="721">
        <v>250</v>
      </c>
      <c r="FK134" s="1493"/>
      <c r="IV134"/>
    </row>
    <row r="135" spans="43:256" s="11" customFormat="1" ht="13.5" customHeight="1" x14ac:dyDescent="0.25">
      <c r="AQ135" s="518" t="s">
        <v>744</v>
      </c>
      <c r="AR135" s="345">
        <v>2828990</v>
      </c>
      <c r="AS135" s="348">
        <v>12523</v>
      </c>
      <c r="AT135" s="348">
        <v>1050</v>
      </c>
      <c r="AU135" s="346">
        <v>225.90353749101652</v>
      </c>
      <c r="AV135" s="722">
        <v>229.71431196734994</v>
      </c>
      <c r="FK135" s="1493"/>
      <c r="IV135"/>
    </row>
    <row r="136" spans="43:256" s="11" customFormat="1" ht="13.5" customHeight="1" x14ac:dyDescent="0.25">
      <c r="AQ136" s="518" t="s">
        <v>745</v>
      </c>
      <c r="AR136" s="345">
        <v>2067585</v>
      </c>
      <c r="AS136" s="349">
        <v>9812</v>
      </c>
      <c r="AT136" s="348">
        <v>758.02300000000002</v>
      </c>
      <c r="AU136" s="346">
        <v>210.72003668976762</v>
      </c>
      <c r="AV136" s="722">
        <v>211.65667982732913</v>
      </c>
      <c r="FK136" s="1493"/>
      <c r="IV136"/>
    </row>
    <row r="137" spans="43:256" s="11" customFormat="1" ht="13.5" customHeight="1" x14ac:dyDescent="0.25">
      <c r="AQ137" s="529" t="s">
        <v>1702</v>
      </c>
      <c r="AR137" s="350">
        <v>786947</v>
      </c>
      <c r="AS137" s="344">
        <v>4054</v>
      </c>
      <c r="AT137" s="351">
        <v>306.5</v>
      </c>
      <c r="AU137" s="344">
        <v>194.11618154908732</v>
      </c>
      <c r="AV137" s="723">
        <v>207.13518189374946</v>
      </c>
      <c r="FK137" s="1493"/>
      <c r="IV137"/>
    </row>
    <row r="138" spans="43:256" s="11" customFormat="1" ht="3" customHeight="1" x14ac:dyDescent="0.25">
      <c r="FK138" s="1493"/>
      <c r="IV138"/>
    </row>
    <row r="139" spans="43:256" s="11" customFormat="1" x14ac:dyDescent="0.25">
      <c r="FK139" s="1493"/>
      <c r="IV139"/>
    </row>
    <row r="140" spans="43:256" s="11" customFormat="1" x14ac:dyDescent="0.25">
      <c r="AY140" s="10"/>
      <c r="FK140" s="1493"/>
      <c r="IV140"/>
    </row>
    <row r="141" spans="43:256" s="11" customFormat="1" x14ac:dyDescent="0.25">
      <c r="AY141" s="10"/>
      <c r="FK141" s="1493"/>
      <c r="IV141"/>
    </row>
    <row r="142" spans="43:256" s="11" customFormat="1" x14ac:dyDescent="0.25">
      <c r="AY142" s="10" t="s">
        <v>1550</v>
      </c>
      <c r="FK142" s="1493"/>
      <c r="IV142"/>
    </row>
    <row r="143" spans="43:256" s="11" customFormat="1" x14ac:dyDescent="0.25">
      <c r="AY143" s="10"/>
      <c r="FK143" s="1493"/>
      <c r="IV143"/>
    </row>
    <row r="144" spans="43:256" s="11" customFormat="1" x14ac:dyDescent="0.25">
      <c r="AY144" s="359" t="s">
        <v>566</v>
      </c>
      <c r="AZ144" s="360">
        <v>2010</v>
      </c>
      <c r="FK144" s="1493"/>
      <c r="IV144"/>
    </row>
    <row r="145" spans="51:256" s="11" customFormat="1" x14ac:dyDescent="0.25">
      <c r="AY145" s="354" t="s">
        <v>1551</v>
      </c>
      <c r="AZ145" s="280">
        <f>PENN!AK354</f>
        <v>0.81545630877224351</v>
      </c>
      <c r="FK145" s="1493"/>
      <c r="IV145"/>
    </row>
    <row r="146" spans="51:256" s="11" customFormat="1" x14ac:dyDescent="0.25">
      <c r="AY146" s="354" t="s">
        <v>1717</v>
      </c>
      <c r="AZ146" s="280">
        <f>PENN!AK901</f>
        <v>0.73003019697546179</v>
      </c>
      <c r="FK146" s="1493"/>
      <c r="IV146"/>
    </row>
    <row r="147" spans="51:256" s="11" customFormat="1" x14ac:dyDescent="0.25">
      <c r="AY147" s="272" t="s">
        <v>1556</v>
      </c>
      <c r="AZ147" s="280">
        <f>PENN!AK414</f>
        <v>0.66504052384222245</v>
      </c>
      <c r="FK147" s="1493"/>
      <c r="IV147"/>
    </row>
    <row r="148" spans="51:256" s="11" customFormat="1" x14ac:dyDescent="0.25">
      <c r="AY148" s="354" t="s">
        <v>921</v>
      </c>
      <c r="AZ148" s="280">
        <f>PENN!AK808</f>
        <v>0.70603250979156884</v>
      </c>
      <c r="FK148" s="1493"/>
      <c r="IV148"/>
    </row>
    <row r="149" spans="51:256" s="11" customFormat="1" x14ac:dyDescent="0.25">
      <c r="AY149" s="955" t="s">
        <v>1718</v>
      </c>
      <c r="AZ149" s="356">
        <f>PENN!AK932</f>
        <v>0.6635353987833551</v>
      </c>
      <c r="FK149" s="1493"/>
      <c r="IV149"/>
    </row>
    <row r="150" spans="51:256" s="11" customFormat="1" x14ac:dyDescent="0.25">
      <c r="AY150" s="357" t="s">
        <v>2195</v>
      </c>
      <c r="AZ150" s="358">
        <f>AVERAGE(AZ145:AZ149)</f>
        <v>0.71601898763297034</v>
      </c>
      <c r="FK150" s="1493"/>
      <c r="IV150"/>
    </row>
    <row r="151" spans="51:256" s="11" customFormat="1" x14ac:dyDescent="0.25">
      <c r="AY151" s="272"/>
      <c r="FK151" s="1493"/>
      <c r="IV151"/>
    </row>
    <row r="152" spans="51:256" s="11" customFormat="1" x14ac:dyDescent="0.25">
      <c r="AY152" s="361" t="s">
        <v>922</v>
      </c>
      <c r="AZ152" s="362" t="s">
        <v>1137</v>
      </c>
      <c r="FK152" s="1493"/>
      <c r="IV152"/>
    </row>
    <row r="153" spans="51:256" s="11" customFormat="1" x14ac:dyDescent="0.25">
      <c r="AY153" s="272" t="s">
        <v>1552</v>
      </c>
      <c r="AZ153" s="280">
        <f>(Maryland!J54+Maryland!J50)/Maryland!J44</f>
        <v>0.72846153846153849</v>
      </c>
      <c r="FK153" s="1493"/>
      <c r="IV153"/>
    </row>
    <row r="154" spans="51:256" s="11" customFormat="1" x14ac:dyDescent="0.25">
      <c r="AY154" s="272" t="s">
        <v>1553</v>
      </c>
      <c r="AZ154" s="280">
        <f>(OHIO!B30-OHIO!B28)/OHIO!B27</f>
        <v>0.63928571428571435</v>
      </c>
      <c r="FK154" s="1493"/>
      <c r="IV154"/>
    </row>
    <row r="155" spans="51:256" s="11" customFormat="1" x14ac:dyDescent="0.25">
      <c r="AY155" s="272" t="s">
        <v>1554</v>
      </c>
      <c r="AZ155" s="280">
        <f>(OHIO!C30-OHIO!C28)/OHIO!C27</f>
        <v>0.62195121951219523</v>
      </c>
      <c r="FK155" s="1493"/>
      <c r="IV155"/>
    </row>
    <row r="156" spans="51:256" s="11" customFormat="1" x14ac:dyDescent="0.25">
      <c r="AY156" s="355" t="s">
        <v>1555</v>
      </c>
      <c r="AZ156" s="280">
        <f>(Kansas!C63+Kansas!C59)/Kansas!C53</f>
        <v>0.61703584614876561</v>
      </c>
      <c r="BI156" s="280"/>
      <c r="FK156" s="1493"/>
      <c r="IV156"/>
    </row>
    <row r="157" spans="51:256" s="11" customFormat="1" x14ac:dyDescent="0.25">
      <c r="AY157" s="355"/>
      <c r="BB157" s="10" t="s">
        <v>701</v>
      </c>
      <c r="BG157" s="280"/>
      <c r="FK157" s="1493"/>
      <c r="IV157"/>
    </row>
    <row r="158" spans="51:256" s="11" customFormat="1" x14ac:dyDescent="0.25">
      <c r="BB158" s="402" t="s">
        <v>890</v>
      </c>
      <c r="BJ158" s="294"/>
      <c r="FK158" s="1493"/>
      <c r="IV158"/>
    </row>
    <row r="159" spans="51:256" s="11" customFormat="1" x14ac:dyDescent="0.25">
      <c r="BF159" s="745" t="s">
        <v>1137</v>
      </c>
      <c r="BG159" s="745" t="s">
        <v>1137</v>
      </c>
      <c r="BJ159" s="2058" t="s">
        <v>1778</v>
      </c>
      <c r="FK159" s="1493"/>
      <c r="IV159"/>
    </row>
    <row r="160" spans="51:256" s="11" customFormat="1" x14ac:dyDescent="0.25">
      <c r="BB160" s="744"/>
      <c r="BC160" s="745" t="s">
        <v>841</v>
      </c>
      <c r="BD160" s="745" t="s">
        <v>1831</v>
      </c>
      <c r="BE160" s="745"/>
      <c r="BF160" s="745" t="s">
        <v>841</v>
      </c>
      <c r="BG160" s="745" t="s">
        <v>1831</v>
      </c>
      <c r="BH160" s="745" t="s">
        <v>1624</v>
      </c>
      <c r="BI160" s="745" t="s">
        <v>1624</v>
      </c>
      <c r="BJ160" s="353" t="s">
        <v>707</v>
      </c>
      <c r="FK160" s="1493"/>
      <c r="IV160"/>
    </row>
    <row r="161" spans="54:256" s="11" customFormat="1" x14ac:dyDescent="0.25">
      <c r="BB161" s="746" t="s">
        <v>888</v>
      </c>
      <c r="BC161" s="747" t="s">
        <v>1619</v>
      </c>
      <c r="BD161" s="747" t="s">
        <v>1619</v>
      </c>
      <c r="BE161" s="747" t="s">
        <v>684</v>
      </c>
      <c r="BF161" s="747" t="s">
        <v>1624</v>
      </c>
      <c r="BG161" s="747" t="s">
        <v>1624</v>
      </c>
      <c r="BH161" s="747" t="s">
        <v>1892</v>
      </c>
      <c r="BI161" s="747" t="s">
        <v>569</v>
      </c>
      <c r="BJ161" s="1994" t="s">
        <v>1210</v>
      </c>
      <c r="FK161" s="1493"/>
      <c r="IV161"/>
    </row>
    <row r="162" spans="54:256" s="11" customFormat="1" x14ac:dyDescent="0.25">
      <c r="BB162" s="272" t="s">
        <v>1552</v>
      </c>
      <c r="BC162" s="874">
        <f>-Maryland!E27</f>
        <v>91.519339991155675</v>
      </c>
      <c r="BD162" s="874">
        <f>BC162</f>
        <v>91.519339991155675</v>
      </c>
      <c r="BE162" s="363" t="s">
        <v>2113</v>
      </c>
      <c r="BF162" s="874">
        <f>Maryland!J54</f>
        <v>11.743875000000001</v>
      </c>
      <c r="BG162" s="874">
        <f>BF162</f>
        <v>11.743875000000001</v>
      </c>
      <c r="BH162" s="1058">
        <f>Maryland!J55</f>
        <v>0.11</v>
      </c>
      <c r="BI162" s="365">
        <f>BF162/BC162</f>
        <v>0.12832123790594333</v>
      </c>
      <c r="BJ162" s="2059">
        <f>Maryland!E30</f>
        <v>-2.9495709416240135E-2</v>
      </c>
      <c r="BO162" s="280"/>
      <c r="FK162" s="1493"/>
      <c r="IV162"/>
    </row>
    <row r="163" spans="54:256" s="11" customFormat="1" x14ac:dyDescent="0.25">
      <c r="BB163" s="272" t="s">
        <v>1553</v>
      </c>
      <c r="BC163" s="364">
        <f>OHIO!B17</f>
        <v>428</v>
      </c>
      <c r="BD163" s="364">
        <f>+BC163</f>
        <v>428</v>
      </c>
      <c r="BE163" s="363" t="s">
        <v>1312</v>
      </c>
      <c r="BF163" s="364">
        <f>OHIO!B30</f>
        <v>106.49559375</v>
      </c>
      <c r="BG163" s="364">
        <f>BF163*1</f>
        <v>106.49559375</v>
      </c>
      <c r="BH163" s="365">
        <f>OHIO!B31</f>
        <v>0.32500000000000001</v>
      </c>
      <c r="BI163" s="365">
        <f>BF163/BC163</f>
        <v>0.24882148072429905</v>
      </c>
      <c r="BJ163" s="2060">
        <f>OHIO!G29</f>
        <v>4.9471703777104219</v>
      </c>
      <c r="BN163" s="280"/>
      <c r="FK163" s="1493"/>
      <c r="IV163"/>
    </row>
    <row r="164" spans="54:256" s="11" customFormat="1" x14ac:dyDescent="0.25">
      <c r="BB164" s="272" t="s">
        <v>1554</v>
      </c>
      <c r="BC164" s="364">
        <f>OHIO!C17</f>
        <v>401.25</v>
      </c>
      <c r="BD164" s="364">
        <f>+BC164</f>
        <v>401.25</v>
      </c>
      <c r="BE164" s="363" t="s">
        <v>1312</v>
      </c>
      <c r="BF164" s="364">
        <f>OHIO!C30</f>
        <v>83.5047</v>
      </c>
      <c r="BG164" s="364">
        <f>BF164*1</f>
        <v>83.5047</v>
      </c>
      <c r="BH164" s="365">
        <f>OHIO!C31</f>
        <v>0.3</v>
      </c>
      <c r="BI164" s="365">
        <f>BF164/BC164</f>
        <v>0.20811140186915889</v>
      </c>
      <c r="BJ164" s="2060">
        <f>OHIO!H29</f>
        <v>3.266890184192119</v>
      </c>
      <c r="FK164" s="1493"/>
      <c r="IV164"/>
    </row>
    <row r="165" spans="54:256" s="11" customFormat="1" x14ac:dyDescent="0.25">
      <c r="BB165" s="355" t="s">
        <v>1687</v>
      </c>
      <c r="BC165" s="364">
        <f>Kansas!E25</f>
        <v>429.25</v>
      </c>
      <c r="BD165" s="364">
        <f>Kansas!H22+(Kansas!H24*0.5)</f>
        <v>214.625</v>
      </c>
      <c r="BE165" s="363" t="s">
        <v>1312</v>
      </c>
      <c r="BF165" s="377">
        <f>+PENN!AZ1166</f>
        <v>41.553898565400004</v>
      </c>
      <c r="BG165" s="377">
        <f>BF165*0.5</f>
        <v>20.776949282700002</v>
      </c>
      <c r="BH165" s="365">
        <f>Kansas!B29</f>
        <v>0.32</v>
      </c>
      <c r="BI165" s="365">
        <f>BF165/BC165</f>
        <v>9.6805820769714626E-2</v>
      </c>
      <c r="BJ165" s="2062">
        <f>Kansas!E40</f>
        <v>0.46370290809046388</v>
      </c>
      <c r="FK165" s="1493"/>
      <c r="IV165"/>
    </row>
    <row r="166" spans="54:256" s="11" customFormat="1" x14ac:dyDescent="0.25">
      <c r="BB166" s="748" t="s">
        <v>1912</v>
      </c>
      <c r="BC166" s="749"/>
      <c r="BD166" s="749"/>
      <c r="BE166" s="745"/>
      <c r="BF166" s="875">
        <f>SUM(BF162:BF165)</f>
        <v>243.2980673154</v>
      </c>
      <c r="BG166" s="875">
        <f>SUM(BG162:BG165)</f>
        <v>222.5211180327</v>
      </c>
      <c r="BH166" s="750"/>
      <c r="BI166" s="750"/>
      <c r="BJ166" s="2063">
        <f>SUM(BJ162:BJ165)</f>
        <v>8.6482677605767648</v>
      </c>
      <c r="FK166" s="1493"/>
      <c r="IV166"/>
    </row>
    <row r="167" spans="54:256" s="11" customFormat="1" ht="5.0999999999999996" customHeight="1" x14ac:dyDescent="0.25">
      <c r="BB167" s="355"/>
      <c r="BC167" s="364"/>
      <c r="BD167" s="364"/>
      <c r="BE167" s="363"/>
      <c r="BF167" s="364"/>
      <c r="BG167" s="364"/>
      <c r="BH167" s="365"/>
      <c r="BI167" s="365"/>
      <c r="BJ167" s="2059"/>
      <c r="FK167" s="1493"/>
      <c r="IV167"/>
    </row>
    <row r="168" spans="54:256" s="11" customFormat="1" x14ac:dyDescent="0.25">
      <c r="BB168" s="378" t="s">
        <v>887</v>
      </c>
      <c r="BC168" s="379"/>
      <c r="BD168" s="379"/>
      <c r="BE168" s="315"/>
      <c r="BF168" s="380"/>
      <c r="BG168" s="380"/>
      <c r="BH168" s="381"/>
      <c r="BI168" s="381"/>
      <c r="BJ168" s="2064"/>
      <c r="FK168" s="1493"/>
      <c r="IV168"/>
    </row>
    <row r="169" spans="54:256" s="11" customFormat="1" x14ac:dyDescent="0.25">
      <c r="BB169" s="355" t="s">
        <v>1717</v>
      </c>
      <c r="BC169" s="364"/>
      <c r="BD169" s="364"/>
      <c r="BE169" s="363"/>
      <c r="BF169" s="364"/>
      <c r="BG169" s="364">
        <f>CF206</f>
        <v>-39.850103622404021</v>
      </c>
      <c r="BH169" s="365"/>
      <c r="BI169" s="365"/>
      <c r="BJ169" s="2060">
        <f>CI206</f>
        <v>-2.7873702696948488</v>
      </c>
      <c r="FK169" s="1493"/>
      <c r="IV169"/>
    </row>
    <row r="170" spans="54:256" s="11" customFormat="1" x14ac:dyDescent="0.25">
      <c r="BB170" s="355" t="s">
        <v>1718</v>
      </c>
      <c r="BC170" s="364"/>
      <c r="BD170" s="364"/>
      <c r="BE170" s="363"/>
      <c r="BF170" s="377"/>
      <c r="BG170" s="364">
        <f>CF209</f>
        <v>-17.327506108981254</v>
      </c>
      <c r="BH170" s="365"/>
      <c r="BI170" s="365"/>
      <c r="BJ170" s="2060">
        <f>CI209</f>
        <v>-1.2119962305186236</v>
      </c>
      <c r="FK170" s="1493"/>
      <c r="IV170"/>
    </row>
    <row r="171" spans="54:256" s="11" customFormat="1" x14ac:dyDescent="0.25">
      <c r="BB171" s="1192" t="s">
        <v>1623</v>
      </c>
      <c r="BC171" s="364"/>
      <c r="BD171" s="364"/>
      <c r="BE171" s="363"/>
      <c r="BF171" s="377"/>
      <c r="BG171" s="377">
        <f>-42*0</f>
        <v>0</v>
      </c>
      <c r="BH171" s="365"/>
      <c r="BI171" s="365"/>
      <c r="BJ171" s="2062"/>
      <c r="FK171" s="1493"/>
      <c r="IV171"/>
    </row>
    <row r="172" spans="54:256" s="11" customFormat="1" x14ac:dyDescent="0.25">
      <c r="BB172" s="748" t="s">
        <v>1912</v>
      </c>
      <c r="BC172" s="749"/>
      <c r="BD172" s="749"/>
      <c r="BE172" s="745"/>
      <c r="BF172" s="749"/>
      <c r="BG172" s="749">
        <f>SUM(BG169:BG171)</f>
        <v>-57.177609731385274</v>
      </c>
      <c r="BH172" s="750"/>
      <c r="BI172" s="750"/>
      <c r="BJ172" s="2065">
        <f>SUM(BJ169:BJ171)</f>
        <v>-3.9993665002134726</v>
      </c>
      <c r="FK172" s="1493"/>
      <c r="IV172"/>
    </row>
    <row r="173" spans="54:256" s="11" customFormat="1" ht="5.0999999999999996" customHeight="1" x14ac:dyDescent="0.25">
      <c r="BB173" s="355"/>
      <c r="BC173" s="364"/>
      <c r="BD173" s="364"/>
      <c r="BE173" s="363"/>
      <c r="BF173" s="364"/>
      <c r="BG173" s="364"/>
      <c r="BH173" s="365"/>
      <c r="BI173" s="365"/>
      <c r="BJ173" s="2059"/>
      <c r="FK173" s="1493"/>
      <c r="IV173"/>
    </row>
    <row r="174" spans="54:256" s="11" customFormat="1" x14ac:dyDescent="0.25">
      <c r="BB174" s="2067" t="s">
        <v>1099</v>
      </c>
      <c r="BC174" s="2068"/>
      <c r="BD174" s="2068"/>
      <c r="BE174" s="2069"/>
      <c r="BF174" s="2069"/>
      <c r="BG174" s="2070">
        <f>BG166+BG172</f>
        <v>165.34350830131473</v>
      </c>
      <c r="BH174" s="2071"/>
      <c r="BI174" s="2071"/>
      <c r="BJ174" s="2066">
        <f>BJ166+BJ172</f>
        <v>4.6489012603632922</v>
      </c>
      <c r="FK174" s="1493"/>
      <c r="IV174"/>
    </row>
    <row r="175" spans="54:256" s="11" customFormat="1" ht="7.5" customHeight="1" x14ac:dyDescent="0.25">
      <c r="BB175" s="355"/>
      <c r="BC175" s="364"/>
      <c r="BD175" s="364"/>
      <c r="BE175" s="363"/>
      <c r="BF175" s="364"/>
      <c r="BG175" s="364"/>
      <c r="BH175" s="365"/>
      <c r="BI175" s="365"/>
      <c r="BJ175" s="366"/>
      <c r="FK175" s="1493"/>
      <c r="IV175"/>
    </row>
    <row r="176" spans="54:256" s="11" customFormat="1" x14ac:dyDescent="0.25">
      <c r="BB176" s="11" t="s">
        <v>889</v>
      </c>
      <c r="BG176" s="280">
        <f>BG174/SUM(BD162:BD165)</f>
        <v>0.14562650391810364</v>
      </c>
      <c r="FK176" s="1493"/>
      <c r="IV176"/>
    </row>
    <row r="177" spans="54:256" s="11" customFormat="1" x14ac:dyDescent="0.25">
      <c r="BB177" s="11" t="s">
        <v>1098</v>
      </c>
      <c r="BH177" s="11">
        <v>570</v>
      </c>
      <c r="BI177" s="11">
        <f>BH177*(1.03^3)*7.5</f>
        <v>4671.4079249999995</v>
      </c>
      <c r="FK177" s="1493"/>
      <c r="IV177"/>
    </row>
    <row r="178" spans="54:256" s="11" customFormat="1" x14ac:dyDescent="0.25">
      <c r="BH178" s="275">
        <v>250</v>
      </c>
      <c r="BI178" s="11">
        <f>BH178*7.5</f>
        <v>1875</v>
      </c>
      <c r="BS178" s="11" t="s">
        <v>32</v>
      </c>
      <c r="FK178" s="1493"/>
      <c r="IV178"/>
    </row>
    <row r="179" spans="54:256" s="11" customFormat="1" x14ac:dyDescent="0.25">
      <c r="BC179" s="11">
        <f>SUM(BC162:BC165)</f>
        <v>1350.0193399911557</v>
      </c>
      <c r="BF179" s="280">
        <f>BF166/BC179</f>
        <v>0.18021820881247072</v>
      </c>
      <c r="BH179" s="11">
        <f>SUM(BH177:BH178)</f>
        <v>820</v>
      </c>
      <c r="BO179" s="280"/>
      <c r="FK179" s="1493"/>
      <c r="IV179"/>
    </row>
    <row r="180" spans="54:256" s="11" customFormat="1" x14ac:dyDescent="0.25">
      <c r="BC180" s="11">
        <f>BC164+BC163</f>
        <v>829.25</v>
      </c>
      <c r="BF180" s="280">
        <f>(BF164+BF163)/BC180</f>
        <v>0.22912305547181189</v>
      </c>
      <c r="BT180" s="363" t="s">
        <v>1831</v>
      </c>
      <c r="BU180" s="363" t="s">
        <v>1666</v>
      </c>
      <c r="BV180" s="363" t="s">
        <v>1667</v>
      </c>
      <c r="BW180" s="363" t="s">
        <v>1625</v>
      </c>
      <c r="BX180" s="363"/>
      <c r="FK180" s="1493"/>
      <c r="IV180"/>
    </row>
    <row r="181" spans="54:256" s="11" customFormat="1" x14ac:dyDescent="0.25">
      <c r="BS181" s="11" t="s">
        <v>2196</v>
      </c>
      <c r="BT181" s="11">
        <f>PENN!AK54</f>
        <v>613.03899999999987</v>
      </c>
      <c r="FK181" s="1493"/>
      <c r="IV181"/>
    </row>
    <row r="182" spans="54:256" s="11" customFormat="1" x14ac:dyDescent="0.25">
      <c r="BL182" s="10"/>
      <c r="BM182" s="445"/>
      <c r="BN182" s="445" t="str">
        <f>BG159</f>
        <v>2013E</v>
      </c>
      <c r="BO182" s="445"/>
      <c r="BP182" s="745" t="s">
        <v>1578</v>
      </c>
      <c r="BS182" s="11" t="s">
        <v>33</v>
      </c>
      <c r="BT182" s="11">
        <v>0</v>
      </c>
      <c r="BU182" s="11">
        <v>0</v>
      </c>
      <c r="BV182" s="11">
        <v>0</v>
      </c>
      <c r="BW182" s="11">
        <v>0</v>
      </c>
      <c r="FK182" s="1493"/>
      <c r="IV182"/>
    </row>
    <row r="183" spans="54:256" s="11" customFormat="1" x14ac:dyDescent="0.25">
      <c r="BL183" s="10"/>
      <c r="BM183" s="445" t="str">
        <f>BD160</f>
        <v>PENN</v>
      </c>
      <c r="BN183" s="445" t="str">
        <f>BG160</f>
        <v>PENN</v>
      </c>
      <c r="BO183" s="445" t="str">
        <f>BI160</f>
        <v>EBITDA</v>
      </c>
      <c r="BP183" s="445" t="str">
        <f>BJ160</f>
        <v>Valuation</v>
      </c>
      <c r="BS183" s="11" t="s">
        <v>34</v>
      </c>
      <c r="BT183" s="11">
        <f>SUM(BT181:BT182)</f>
        <v>613.03899999999987</v>
      </c>
      <c r="BU183" s="11">
        <f>SUM(BU181:BU182)</f>
        <v>0</v>
      </c>
      <c r="BV183" s="11">
        <f>SUM(BV181:BV182)</f>
        <v>0</v>
      </c>
      <c r="BW183" s="11">
        <f>SUM(BW181:BW182)</f>
        <v>0</v>
      </c>
      <c r="FK183" s="1493"/>
      <c r="IV183"/>
    </row>
    <row r="184" spans="54:256" s="11" customFormat="1" x14ac:dyDescent="0.25">
      <c r="BL184" s="873" t="str">
        <f>BB161</f>
        <v>New Projects</v>
      </c>
      <c r="BM184" s="747" t="str">
        <f>BD161</f>
        <v>Investment</v>
      </c>
      <c r="BN184" s="747" t="str">
        <f>BG161</f>
        <v>EBITDA</v>
      </c>
      <c r="BO184" s="747" t="str">
        <f>BI161</f>
        <v>ROI</v>
      </c>
      <c r="BP184" s="747" t="str">
        <f>BJ161</f>
        <v>Impact</v>
      </c>
      <c r="FK184" s="1493"/>
      <c r="IV184"/>
    </row>
    <row r="185" spans="54:256" s="11" customFormat="1" x14ac:dyDescent="0.25">
      <c r="BL185" s="11" t="str">
        <f>BB163</f>
        <v>Columbus (OH)</v>
      </c>
      <c r="BM185" s="661">
        <v>400</v>
      </c>
      <c r="BN185" s="423">
        <f>BG163</f>
        <v>106.49559375</v>
      </c>
      <c r="BO185" s="899">
        <f>BN185/BM185</f>
        <v>0.26623898437499999</v>
      </c>
      <c r="BP185" s="929">
        <f>BJ163</f>
        <v>4.9471703777104219</v>
      </c>
      <c r="BS185" s="11" t="s">
        <v>1501</v>
      </c>
      <c r="BT185" s="11">
        <f>PENN!AF1564</f>
        <v>2334.777</v>
      </c>
      <c r="FK185" s="1493"/>
      <c r="IV185"/>
    </row>
    <row r="186" spans="54:256" s="11" customFormat="1" x14ac:dyDescent="0.25">
      <c r="BL186" s="11" t="str">
        <f>BB164</f>
        <v>Toledo (OH)</v>
      </c>
      <c r="BM186" s="661">
        <v>320</v>
      </c>
      <c r="BN186" s="423">
        <f>BG164</f>
        <v>83.5047</v>
      </c>
      <c r="BO186" s="899">
        <f>BN186/BM186</f>
        <v>0.26095218749999999</v>
      </c>
      <c r="BP186" s="929">
        <f>BJ164</f>
        <v>3.266890184192119</v>
      </c>
      <c r="BS186" s="11" t="s">
        <v>33</v>
      </c>
      <c r="BT186" s="11">
        <v>0</v>
      </c>
      <c r="BU186" s="11">
        <v>0</v>
      </c>
      <c r="BV186" s="11">
        <v>0</v>
      </c>
      <c r="BW186" s="11">
        <v>0</v>
      </c>
      <c r="FK186" s="1493"/>
      <c r="IV186"/>
    </row>
    <row r="187" spans="54:256" s="11" customFormat="1" x14ac:dyDescent="0.25">
      <c r="BL187" s="294" t="str">
        <f>BB165</f>
        <v>Kansas JV (KS)</v>
      </c>
      <c r="BM187" s="398">
        <f>BD165</f>
        <v>214.625</v>
      </c>
      <c r="BN187" s="398">
        <f>BG165</f>
        <v>20.776949282700002</v>
      </c>
      <c r="BO187" s="928">
        <f>BN187/BM187</f>
        <v>9.6805820769714626E-2</v>
      </c>
      <c r="BP187" s="930">
        <f>BJ165</f>
        <v>0.46370290809046388</v>
      </c>
      <c r="BS187" s="11" t="s">
        <v>35</v>
      </c>
      <c r="BT187" s="11">
        <f>SUM(BT185:BT186)</f>
        <v>2334.777</v>
      </c>
      <c r="BU187" s="11">
        <f>SUM(BU185:BU186)</f>
        <v>0</v>
      </c>
      <c r="BV187" s="11">
        <f>SUM(BV185:BV186)</f>
        <v>0</v>
      </c>
      <c r="BW187" s="11">
        <f>SUM(BW185:BW186)</f>
        <v>0</v>
      </c>
      <c r="FK187" s="1493"/>
      <c r="IV187"/>
    </row>
    <row r="188" spans="54:256" s="11" customFormat="1" x14ac:dyDescent="0.25">
      <c r="BL188" s="10" t="str">
        <f>BB166</f>
        <v>Subtotal</v>
      </c>
      <c r="BM188" s="653"/>
      <c r="BN188" s="653">
        <f>BG166</f>
        <v>222.5211180327</v>
      </c>
      <c r="BO188" s="10"/>
      <c r="BP188" s="931">
        <f>SUM(BP185:BP187)</f>
        <v>8.6777634699930051</v>
      </c>
      <c r="FK188" s="1493"/>
      <c r="IV188"/>
    </row>
    <row r="189" spans="54:256" s="11" customFormat="1" x14ac:dyDescent="0.25">
      <c r="BO189" s="10"/>
      <c r="BP189" s="10"/>
      <c r="BS189" s="11" t="s">
        <v>1665</v>
      </c>
      <c r="BT189" s="11">
        <f>PENN!AF1339</f>
        <v>713.11800000000005</v>
      </c>
      <c r="FK189" s="1493"/>
      <c r="IV189"/>
    </row>
    <row r="190" spans="54:256" s="11" customFormat="1" x14ac:dyDescent="0.25">
      <c r="BL190" s="10" t="s">
        <v>626</v>
      </c>
      <c r="BO190" s="10"/>
      <c r="BP190" s="10"/>
      <c r="BS190" s="11" t="s">
        <v>33</v>
      </c>
      <c r="BT190" s="11">
        <v>0</v>
      </c>
      <c r="BU190" s="11">
        <f>46.894*0.5</f>
        <v>23.446999999999999</v>
      </c>
      <c r="BV190" s="11">
        <v>0</v>
      </c>
      <c r="BW190" s="11">
        <v>0</v>
      </c>
      <c r="FK190" s="1493"/>
      <c r="IV190"/>
    </row>
    <row r="191" spans="54:256" s="11" customFormat="1" x14ac:dyDescent="0.25">
      <c r="BL191" s="11" t="str">
        <f>BB169</f>
        <v>Lawrenceburg (IN)</v>
      </c>
      <c r="BN191" s="895">
        <f>BG169</f>
        <v>-39.850103622404021</v>
      </c>
      <c r="BO191" s="10"/>
      <c r="BP191" s="927">
        <f>BJ169</f>
        <v>-2.7873702696948488</v>
      </c>
      <c r="BS191" s="11" t="s">
        <v>1627</v>
      </c>
      <c r="BT191" s="11">
        <f>SUM(BT189:BT190)</f>
        <v>713.11800000000005</v>
      </c>
      <c r="BU191" s="11">
        <f>SUM(BU189:BU190)</f>
        <v>23.446999999999999</v>
      </c>
      <c r="BV191" s="11">
        <f>SUM(BV189:BV190)</f>
        <v>0</v>
      </c>
      <c r="BW191" s="11">
        <f>SUM(BW189:BW190)</f>
        <v>0</v>
      </c>
      <c r="FK191" s="1493"/>
      <c r="IV191"/>
    </row>
    <row r="192" spans="54:256" s="11" customFormat="1" x14ac:dyDescent="0.25">
      <c r="BL192" s="281" t="str">
        <f>BB170</f>
        <v>Riverside (MO)</v>
      </c>
      <c r="BM192" s="281"/>
      <c r="BN192" s="311">
        <f>BG170</f>
        <v>-17.327506108981254</v>
      </c>
      <c r="BO192" s="333"/>
      <c r="BP192" s="1718">
        <f>BJ170</f>
        <v>-1.2119962305186236</v>
      </c>
      <c r="FK192" s="1493"/>
      <c r="IV192"/>
    </row>
    <row r="193" spans="64:256" s="11" customFormat="1" x14ac:dyDescent="0.25">
      <c r="BL193" s="281" t="str">
        <f>+CA225</f>
        <v>Charles Town</v>
      </c>
      <c r="BM193" s="281"/>
      <c r="BN193" s="311">
        <f>+CF225</f>
        <v>-39.272107205592761</v>
      </c>
      <c r="BO193" s="333"/>
      <c r="BP193" s="1718">
        <f>+CI205</f>
        <v>-2.7469415158959731</v>
      </c>
      <c r="FK193" s="1493"/>
      <c r="IV193"/>
    </row>
    <row r="194" spans="64:256" s="11" customFormat="1" x14ac:dyDescent="0.25">
      <c r="BL194" s="281"/>
      <c r="BM194" s="281"/>
      <c r="BN194" s="311"/>
      <c r="BO194" s="333"/>
      <c r="BP194" s="1718"/>
      <c r="FK194" s="1493"/>
      <c r="IV194"/>
    </row>
    <row r="195" spans="64:256" s="11" customFormat="1" ht="3" customHeight="1" x14ac:dyDescent="0.25">
      <c r="BL195" s="281"/>
      <c r="BM195" s="281"/>
      <c r="BN195" s="1719"/>
      <c r="BO195" s="333"/>
      <c r="BP195" s="1718"/>
      <c r="FK195" s="1493"/>
      <c r="IV195"/>
    </row>
    <row r="196" spans="64:256" s="11" customFormat="1" x14ac:dyDescent="0.25">
      <c r="BL196" s="10" t="str">
        <f>BB172</f>
        <v>Subtotal</v>
      </c>
      <c r="BM196" s="10"/>
      <c r="BN196" s="926">
        <f>+SUM(BN191:BN194)</f>
        <v>-96.449716936978035</v>
      </c>
      <c r="BO196" s="10"/>
      <c r="BP196" s="931">
        <f>+SUM(BP191:BP195)</f>
        <v>-6.7463080161094453</v>
      </c>
      <c r="BS196" s="11" t="s">
        <v>1626</v>
      </c>
      <c r="FK196" s="1493"/>
      <c r="IV196"/>
    </row>
    <row r="197" spans="64:256" s="11" customFormat="1" x14ac:dyDescent="0.25">
      <c r="BO197" s="10"/>
      <c r="BP197" s="10"/>
      <c r="BS197" s="11" t="s">
        <v>1466</v>
      </c>
      <c r="BT197" s="11">
        <f>BT196+BT187-BT191</f>
        <v>1621.6590000000001</v>
      </c>
      <c r="BU197" s="11">
        <f>BU196+BU187-BU191</f>
        <v>-23.446999999999999</v>
      </c>
      <c r="BV197" s="11">
        <f>BV196+BV187-BV191</f>
        <v>0</v>
      </c>
      <c r="BW197" s="11">
        <f>BW196+BW187-BW191</f>
        <v>0</v>
      </c>
      <c r="FK197" s="1493"/>
      <c r="IV197"/>
    </row>
    <row r="198" spans="64:256" s="11" customFormat="1" x14ac:dyDescent="0.25">
      <c r="BL198" s="432" t="s">
        <v>1794</v>
      </c>
      <c r="BM198" s="1812">
        <f>SUM(BM185:BM187)</f>
        <v>934.625</v>
      </c>
      <c r="BN198" s="1812">
        <f>BN196+BN188</f>
        <v>126.07140109572197</v>
      </c>
      <c r="BO198" s="2055">
        <f>BN198/BM198</f>
        <v>0.13488982329353694</v>
      </c>
      <c r="BP198" s="2057">
        <f>BP196+BP188</f>
        <v>1.9314554538835598</v>
      </c>
      <c r="BY198" s="363" t="s">
        <v>1629</v>
      </c>
      <c r="FK198" s="1493"/>
      <c r="IV198"/>
    </row>
    <row r="199" spans="64:256" s="11" customFormat="1" ht="7.5" customHeight="1" x14ac:dyDescent="0.25">
      <c r="BS199" s="294"/>
      <c r="BT199" s="315" t="s">
        <v>1831</v>
      </c>
      <c r="BU199" s="315" t="s">
        <v>1666</v>
      </c>
      <c r="BV199" s="315" t="s">
        <v>1667</v>
      </c>
      <c r="BW199" s="315" t="s">
        <v>1625</v>
      </c>
      <c r="BX199" s="315"/>
      <c r="BY199" s="315" t="s">
        <v>2195</v>
      </c>
      <c r="FK199" s="1493"/>
      <c r="IV199"/>
    </row>
    <row r="200" spans="64:256" s="11" customFormat="1" ht="7.5" customHeight="1" x14ac:dyDescent="0.25">
      <c r="BS200" s="11" t="s">
        <v>1628</v>
      </c>
      <c r="BT200" s="374">
        <f>BT197/BT183</f>
        <v>2.6452786853691208</v>
      </c>
      <c r="BU200" s="374"/>
      <c r="BV200" s="374"/>
      <c r="BW200" s="374"/>
      <c r="BX200" s="374"/>
      <c r="BY200" s="374">
        <f>(BT200*BT197+BU200*BU197+BV200*BV197+BW200*BW197)/(BT197+BU197+BV197+BW197)</f>
        <v>2.6840869594503127</v>
      </c>
      <c r="FK200" s="1493"/>
      <c r="IV200"/>
    </row>
    <row r="201" spans="64:256" s="11" customFormat="1" x14ac:dyDescent="0.25">
      <c r="BM201" s="11">
        <f>+BM186+BM185</f>
        <v>720</v>
      </c>
      <c r="BN201" s="11">
        <f>+BN186+BN185</f>
        <v>190.00029375</v>
      </c>
      <c r="BO201" s="687">
        <f>+BN201/BM201</f>
        <v>0.26388929687500001</v>
      </c>
      <c r="FK201" s="1493"/>
      <c r="IV201"/>
    </row>
    <row r="202" spans="64:256" s="11" customFormat="1" x14ac:dyDescent="0.25">
      <c r="BY202" s="363"/>
      <c r="CA202" s="321" t="s">
        <v>1832</v>
      </c>
      <c r="CB202" s="283"/>
      <c r="CC202" s="283"/>
      <c r="CD202" s="283"/>
      <c r="CE202" s="283"/>
      <c r="CF202" s="283"/>
      <c r="CG202" s="283"/>
      <c r="CH202" s="283"/>
      <c r="CI202" s="284"/>
      <c r="FK202" s="1493"/>
      <c r="IV202"/>
    </row>
    <row r="203" spans="64:256" s="11" customFormat="1" x14ac:dyDescent="0.25">
      <c r="BS203" s="294"/>
      <c r="BT203" s="315" t="s">
        <v>1831</v>
      </c>
      <c r="BU203" s="315" t="s">
        <v>1666</v>
      </c>
      <c r="BV203" s="315" t="s">
        <v>1667</v>
      </c>
      <c r="BW203" s="315" t="s">
        <v>1625</v>
      </c>
      <c r="BX203" s="315" t="s">
        <v>2198</v>
      </c>
      <c r="BY203" s="315" t="s">
        <v>2195</v>
      </c>
      <c r="CA203" s="320"/>
      <c r="CB203" s="281"/>
      <c r="CC203" s="3572" t="s">
        <v>886</v>
      </c>
      <c r="CD203" s="3572"/>
      <c r="CE203" s="3572"/>
      <c r="CF203" s="297"/>
      <c r="CG203" s="297" t="s">
        <v>1705</v>
      </c>
      <c r="CH203" s="297" t="s">
        <v>1704</v>
      </c>
      <c r="CI203" s="299" t="s">
        <v>1576</v>
      </c>
      <c r="FK203" s="1493"/>
      <c r="IV203"/>
    </row>
    <row r="204" spans="64:256" s="11" customFormat="1" x14ac:dyDescent="0.25">
      <c r="BS204" s="11" t="s">
        <v>1628</v>
      </c>
      <c r="BT204" s="374"/>
      <c r="BU204" s="374"/>
      <c r="BV204" s="374"/>
      <c r="BW204" s="374"/>
      <c r="BX204" s="374"/>
      <c r="BY204" s="374"/>
      <c r="CA204" s="322" t="s">
        <v>1833</v>
      </c>
      <c r="CB204" s="291" t="s">
        <v>706</v>
      </c>
      <c r="CC204" s="306" t="s">
        <v>1136</v>
      </c>
      <c r="CD204" s="306" t="s">
        <v>1137</v>
      </c>
      <c r="CE204" s="306" t="s">
        <v>1138</v>
      </c>
      <c r="CF204" s="306" t="s">
        <v>1103</v>
      </c>
      <c r="CG204" s="288" t="s">
        <v>1460</v>
      </c>
      <c r="CH204" s="300">
        <v>0.1</v>
      </c>
      <c r="CI204" s="289" t="s">
        <v>707</v>
      </c>
      <c r="FK204" s="1493"/>
      <c r="IV204"/>
    </row>
    <row r="205" spans="64:256" s="11" customFormat="1" x14ac:dyDescent="0.25">
      <c r="BO205" s="687"/>
      <c r="CA205" s="320" t="s">
        <v>2008</v>
      </c>
      <c r="CB205" s="281" t="s">
        <v>1150</v>
      </c>
      <c r="CC205" s="301" t="s">
        <v>2011</v>
      </c>
      <c r="CD205" s="309">
        <f>PENN!AZ355</f>
        <v>-0.21076358922252658</v>
      </c>
      <c r="CE205" s="301" t="s">
        <v>2011</v>
      </c>
      <c r="CF205" s="318">
        <f>PENN!AZ352-PENN!AP352</f>
        <v>-39.272107205592761</v>
      </c>
      <c r="CG205" s="297">
        <f>CF205*'EBITDA Val'!E7</f>
        <v>-294.54080404194571</v>
      </c>
      <c r="CH205" s="297">
        <f>CG205/(1+CH204)^1</f>
        <v>-267.76436731085971</v>
      </c>
      <c r="CI205" s="302">
        <f>CG205/PENN!$AE$101</f>
        <v>-2.7469415158959731</v>
      </c>
      <c r="FK205" s="1493"/>
      <c r="IV205"/>
    </row>
    <row r="206" spans="64:256" s="11" customFormat="1" x14ac:dyDescent="0.25">
      <c r="CA206" s="320" t="s">
        <v>1733</v>
      </c>
      <c r="CB206" s="281" t="s">
        <v>583</v>
      </c>
      <c r="CC206" s="301" t="s">
        <v>2011</v>
      </c>
      <c r="CD206" s="309">
        <f>PENN!AZ902</f>
        <v>-0.29145807527631962</v>
      </c>
      <c r="CE206" s="301" t="s">
        <v>2011</v>
      </c>
      <c r="CF206" s="305">
        <f>PENN!AZ899-PENN!AU899</f>
        <v>-39.850103622404021</v>
      </c>
      <c r="CG206" s="297">
        <f>CF206*'EBITDA Val'!E11</f>
        <v>-298.87577716803014</v>
      </c>
      <c r="CH206" s="606">
        <f>CG206/(1+CH204)^1</f>
        <v>-271.70525197093644</v>
      </c>
      <c r="CI206" s="302">
        <f>CG206/PENN!$AE$101</f>
        <v>-2.7873702696948488</v>
      </c>
      <c r="FK206" s="1493"/>
      <c r="IV206"/>
    </row>
    <row r="207" spans="64:256" s="11" customFormat="1" x14ac:dyDescent="0.25">
      <c r="CA207" s="320" t="s">
        <v>1699</v>
      </c>
      <c r="CB207" s="281" t="s">
        <v>1700</v>
      </c>
      <c r="CC207" s="301" t="s">
        <v>2011</v>
      </c>
      <c r="CD207" s="375">
        <f>PENN!AU809</f>
        <v>-7.8093306489501441E-2</v>
      </c>
      <c r="CE207" s="301" t="s">
        <v>2011</v>
      </c>
      <c r="CF207" s="305">
        <v>0</v>
      </c>
      <c r="CG207" s="297">
        <f>CF207*'EBITDA Val'!E13</f>
        <v>0</v>
      </c>
      <c r="CH207" s="297">
        <f>CG207/(1+CH204)^1</f>
        <v>0</v>
      </c>
      <c r="CI207" s="302">
        <f>CG207/PENN!$AE$101</f>
        <v>0</v>
      </c>
      <c r="FK207" s="1493"/>
      <c r="IV207"/>
    </row>
    <row r="208" spans="64:256" s="11" customFormat="1" x14ac:dyDescent="0.25">
      <c r="CA208" s="320" t="s">
        <v>1100</v>
      </c>
      <c r="CB208" s="281" t="s">
        <v>1700</v>
      </c>
      <c r="CC208" s="301" t="s">
        <v>2011</v>
      </c>
      <c r="CD208" s="375">
        <f>PENN!AU840</f>
        <v>0.18951070281519691</v>
      </c>
      <c r="CE208" s="301" t="s">
        <v>2011</v>
      </c>
      <c r="CF208" s="305">
        <v>0</v>
      </c>
      <c r="CG208" s="297">
        <f>CF208*'EBITDA Val'!E14</f>
        <v>0</v>
      </c>
      <c r="CH208" s="297">
        <f>CG208/(1+CH204)^1</f>
        <v>0</v>
      </c>
      <c r="CI208" s="302">
        <f>CG208/PENN!$AE$101</f>
        <v>0</v>
      </c>
      <c r="CK208" s="11">
        <f>+(Exhibits!CH205+Exhibits!CH207+Exhibits!CH208+Exhibits!CH210)</f>
        <v>-267.76436731085971</v>
      </c>
      <c r="FK208" s="1493"/>
      <c r="IV208"/>
    </row>
    <row r="209" spans="79:256" s="11" customFormat="1" x14ac:dyDescent="0.25">
      <c r="CA209" s="320" t="s">
        <v>1701</v>
      </c>
      <c r="CB209" s="281" t="s">
        <v>910</v>
      </c>
      <c r="CC209" s="301" t="s">
        <v>2011</v>
      </c>
      <c r="CD209" s="375">
        <f>PENN!AZ933</f>
        <v>-0.13688214246305805</v>
      </c>
      <c r="CE209" s="301" t="s">
        <v>2011</v>
      </c>
      <c r="CF209" s="305">
        <f>(PENN!AU930-PENN!AP930)</f>
        <v>-17.327506108981254</v>
      </c>
      <c r="CG209" s="297">
        <f>CF209*'EBITDA Val'!E15</f>
        <v>-129.9562958173594</v>
      </c>
      <c r="CH209" s="606">
        <f>CG209/(1+CH204)^1</f>
        <v>-118.14208710669035</v>
      </c>
      <c r="CI209" s="302">
        <f>CG209/PENN!$AE$101</f>
        <v>-1.2119962305186236</v>
      </c>
      <c r="FK209" s="1493"/>
      <c r="IV209"/>
    </row>
    <row r="210" spans="79:256" s="11" customFormat="1" x14ac:dyDescent="0.25">
      <c r="CA210" s="320"/>
      <c r="CB210" s="281"/>
      <c r="CC210" s="301"/>
      <c r="CD210" s="375"/>
      <c r="CE210" s="301"/>
      <c r="CF210" s="306"/>
      <c r="CG210" s="288"/>
      <c r="CH210" s="288"/>
      <c r="CI210" s="303"/>
      <c r="FK210" s="1493"/>
      <c r="IV210"/>
    </row>
    <row r="211" spans="79:256" s="11" customFormat="1" x14ac:dyDescent="0.25">
      <c r="CA211" s="323"/>
      <c r="CB211" s="317"/>
      <c r="CC211" s="324"/>
      <c r="CD211" s="324"/>
      <c r="CE211" s="324"/>
      <c r="CF211" s="319">
        <f>SUM(CF205:CF210)</f>
        <v>-96.449716936978035</v>
      </c>
      <c r="CG211" s="298">
        <f>SUM(CG205:CG210)</f>
        <v>-723.37287702733533</v>
      </c>
      <c r="CH211" s="298">
        <f>SUM(CH205:CH210)</f>
        <v>-657.6117063884866</v>
      </c>
      <c r="CI211" s="304">
        <f>SUM(CI205:CI210)</f>
        <v>-6.7463080161094453</v>
      </c>
      <c r="FK211" s="1493"/>
      <c r="IV211"/>
    </row>
    <row r="212" spans="79:256" s="11" customFormat="1" x14ac:dyDescent="0.25">
      <c r="FK212" s="1493"/>
      <c r="IV212"/>
    </row>
    <row r="213" spans="79:256" s="11" customFormat="1" x14ac:dyDescent="0.25">
      <c r="CA213" s="281"/>
      <c r="CG213" s="281"/>
      <c r="FK213" s="1493"/>
      <c r="IV213"/>
    </row>
    <row r="214" spans="79:256" s="11" customFormat="1" x14ac:dyDescent="0.25">
      <c r="CA214" s="415" t="s">
        <v>890</v>
      </c>
      <c r="CB214" s="281"/>
      <c r="CC214" s="281"/>
      <c r="CD214" s="305" t="s">
        <v>1657</v>
      </c>
      <c r="CE214" s="281"/>
      <c r="CF214" s="305" t="s">
        <v>1576</v>
      </c>
      <c r="CG214" s="281"/>
      <c r="FK214" s="1493"/>
      <c r="IV214"/>
    </row>
    <row r="215" spans="79:256" s="11" customFormat="1" x14ac:dyDescent="0.25">
      <c r="CA215" s="415"/>
      <c r="CB215" s="281"/>
      <c r="CC215" s="297"/>
      <c r="CD215" s="305" t="s">
        <v>1624</v>
      </c>
      <c r="CF215" s="305" t="s">
        <v>1624</v>
      </c>
      <c r="CG215" s="305" t="s">
        <v>1576</v>
      </c>
      <c r="FK215" s="1493"/>
      <c r="IV215"/>
    </row>
    <row r="216" spans="79:256" s="11" customFormat="1" x14ac:dyDescent="0.25">
      <c r="CA216" s="294" t="s">
        <v>1833</v>
      </c>
      <c r="CB216" s="294" t="s">
        <v>706</v>
      </c>
      <c r="CC216" s="315"/>
      <c r="CD216" s="315" t="s">
        <v>1137</v>
      </c>
      <c r="CE216" s="294"/>
      <c r="CF216" s="315" t="s">
        <v>1137</v>
      </c>
      <c r="CG216" s="315" t="s">
        <v>707</v>
      </c>
      <c r="FK216" s="1493"/>
      <c r="IV216"/>
    </row>
    <row r="217" spans="79:256" s="11" customFormat="1" x14ac:dyDescent="0.25">
      <c r="CA217" s="403" t="s">
        <v>1658</v>
      </c>
      <c r="CB217" s="281"/>
      <c r="CC217" s="305"/>
      <c r="CD217" s="305"/>
      <c r="CE217" s="281"/>
      <c r="CF217" s="305"/>
      <c r="CG217" s="305"/>
      <c r="FK217" s="1493"/>
      <c r="IV217"/>
    </row>
    <row r="218" spans="79:256" s="11" customFormat="1" x14ac:dyDescent="0.25">
      <c r="CA218" s="281" t="str">
        <f>CA206</f>
        <v>Lawrenceburg</v>
      </c>
      <c r="CB218" s="281" t="str">
        <f>CB206</f>
        <v>Cincinnati, OH</v>
      </c>
      <c r="CC218" s="309"/>
      <c r="CD218" s="382">
        <f>CD206</f>
        <v>-0.29145807527631962</v>
      </c>
      <c r="CE218" s="281"/>
      <c r="CF218" s="311">
        <f>CF206</f>
        <v>-39.850103622404021</v>
      </c>
      <c r="CG218" s="383">
        <f>CI206</f>
        <v>-2.7873702696948488</v>
      </c>
      <c r="FK218" s="1493"/>
      <c r="IV218"/>
    </row>
    <row r="219" spans="79:256" s="11" customFormat="1" x14ac:dyDescent="0.25">
      <c r="CA219" s="281" t="str">
        <f>CA209</f>
        <v>Riverside</v>
      </c>
      <c r="CB219" s="281" t="str">
        <f>CB209</f>
        <v>Kansas City, KS</v>
      </c>
      <c r="CC219" s="309"/>
      <c r="CD219" s="382">
        <f>CD209</f>
        <v>-0.13688214246305805</v>
      </c>
      <c r="CF219" s="311">
        <f>CF209</f>
        <v>-17.327506108981254</v>
      </c>
      <c r="CG219" s="383">
        <f>CI209</f>
        <v>-1.2119962305186236</v>
      </c>
      <c r="FK219" s="1493"/>
      <c r="IV219"/>
    </row>
    <row r="220" spans="79:256" s="11" customFormat="1" x14ac:dyDescent="0.25">
      <c r="CA220" s="404" t="s">
        <v>1660</v>
      </c>
      <c r="CB220" s="405"/>
      <c r="CC220" s="405"/>
      <c r="CD220" s="405"/>
      <c r="CE220" s="406"/>
      <c r="CF220" s="407">
        <f>SUM(CF218:CF219)</f>
        <v>-57.177609731385274</v>
      </c>
      <c r="CG220" s="408">
        <f>SUM(CG218:CG219)</f>
        <v>-3.9993665002134726</v>
      </c>
      <c r="FK220" s="1493"/>
      <c r="IV220"/>
    </row>
    <row r="221" spans="79:256" s="11" customFormat="1" x14ac:dyDescent="0.25">
      <c r="CA221" s="281"/>
      <c r="CB221" s="281"/>
      <c r="CC221" s="281"/>
      <c r="CD221" s="281"/>
      <c r="CF221" s="311"/>
      <c r="CG221" s="281"/>
      <c r="FK221" s="1493"/>
      <c r="IV221"/>
    </row>
    <row r="222" spans="79:256" s="11" customFormat="1" x14ac:dyDescent="0.25">
      <c r="CA222" s="403" t="s">
        <v>1659</v>
      </c>
      <c r="CB222" s="281"/>
      <c r="CC222" s="281"/>
      <c r="CD222" s="281"/>
      <c r="CF222" s="311"/>
      <c r="CG222" s="281"/>
      <c r="FK222" s="1493"/>
      <c r="IV222"/>
    </row>
    <row r="223" spans="79:256" s="11" customFormat="1" x14ac:dyDescent="0.25">
      <c r="CA223" s="281" t="str">
        <f>CA218</f>
        <v>Lawrenceburg</v>
      </c>
      <c r="CB223" s="281" t="str">
        <f>CB218</f>
        <v>Cincinnati, OH</v>
      </c>
      <c r="CC223" s="309"/>
      <c r="CD223" s="382">
        <f>CF223/PENN!AU296</f>
        <v>-0.32060388280395158</v>
      </c>
      <c r="CF223" s="859">
        <f>CF218*1.1</f>
        <v>-43.835113984644423</v>
      </c>
      <c r="CG223" s="860">
        <f>CG218*1.1</f>
        <v>-3.0661072966643341</v>
      </c>
      <c r="FK223" s="1493"/>
      <c r="IV223"/>
    </row>
    <row r="224" spans="79:256" s="11" customFormat="1" x14ac:dyDescent="0.25">
      <c r="CA224" s="281" t="str">
        <f>CA219</f>
        <v>Riverside</v>
      </c>
      <c r="CB224" s="281" t="str">
        <f>CB219</f>
        <v>Kansas City, KS</v>
      </c>
      <c r="CC224" s="309"/>
      <c r="CD224" s="382">
        <f>CF224/PENN!AU297</f>
        <v>-0.3523629228300747</v>
      </c>
      <c r="CF224" s="859">
        <f>CF219*1.1</f>
        <v>-19.06025671987938</v>
      </c>
      <c r="CG224" s="860">
        <f>CG219*1.1</f>
        <v>-1.333195853570486</v>
      </c>
      <c r="FK224" s="1493"/>
      <c r="IV224"/>
    </row>
    <row r="225" spans="79:256" s="11" customFormat="1" x14ac:dyDescent="0.25">
      <c r="CA225" s="281" t="str">
        <f>CA205</f>
        <v>Charles Town</v>
      </c>
      <c r="CB225" s="281" t="s">
        <v>1150</v>
      </c>
      <c r="CC225" s="309"/>
      <c r="CD225" s="382">
        <f>CD205</f>
        <v>-0.21076358922252658</v>
      </c>
      <c r="CF225" s="311">
        <f>CF205</f>
        <v>-39.272107205592761</v>
      </c>
      <c r="CG225" s="384">
        <f>CI205</f>
        <v>-2.7469415158959731</v>
      </c>
      <c r="FK225" s="1493"/>
      <c r="IV225"/>
    </row>
    <row r="226" spans="79:256" s="11" customFormat="1" x14ac:dyDescent="0.25">
      <c r="CA226" s="281" t="str">
        <f>CA207</f>
        <v>Aurora</v>
      </c>
      <c r="CB226" s="281" t="s">
        <v>1700</v>
      </c>
      <c r="CC226" s="309"/>
      <c r="CD226" s="309">
        <f>CD207</f>
        <v>-7.8093306489501441E-2</v>
      </c>
      <c r="CF226" s="311">
        <f>CF207</f>
        <v>0</v>
      </c>
      <c r="CG226" s="384">
        <f>CI207</f>
        <v>0</v>
      </c>
      <c r="FK226" s="1493"/>
      <c r="IV226"/>
    </row>
    <row r="227" spans="79:256" s="11" customFormat="1" x14ac:dyDescent="0.25">
      <c r="CA227" s="281" t="str">
        <f>CA208</f>
        <v>Empress</v>
      </c>
      <c r="CB227" s="281" t="s">
        <v>1700</v>
      </c>
      <c r="CC227" s="309"/>
      <c r="CD227" s="309">
        <f>CD208</f>
        <v>0.18951070281519691</v>
      </c>
      <c r="CF227" s="311">
        <f>CF208</f>
        <v>0</v>
      </c>
      <c r="CG227" s="384">
        <f>CI208</f>
        <v>0</v>
      </c>
      <c r="FK227" s="1493"/>
      <c r="IV227"/>
    </row>
    <row r="228" spans="79:256" s="11" customFormat="1" x14ac:dyDescent="0.25">
      <c r="CA228" s="281">
        <f>CA210</f>
        <v>0</v>
      </c>
      <c r="CB228" s="281" t="s">
        <v>1703</v>
      </c>
      <c r="CC228" s="309"/>
      <c r="CD228" s="309">
        <f>CD210</f>
        <v>0</v>
      </c>
      <c r="CF228" s="311">
        <f>CF210</f>
        <v>0</v>
      </c>
      <c r="CG228" s="384">
        <f>CI210</f>
        <v>0</v>
      </c>
      <c r="FK228" s="1493"/>
      <c r="IV228"/>
    </row>
    <row r="229" spans="79:256" s="11" customFormat="1" x14ac:dyDescent="0.25">
      <c r="CA229" s="410" t="s">
        <v>1661</v>
      </c>
      <c r="CB229" s="411"/>
      <c r="CC229" s="411"/>
      <c r="CD229" s="411"/>
      <c r="CE229" s="411"/>
      <c r="CF229" s="412">
        <f>SUM(CF223:CF228)</f>
        <v>-102.16747791011656</v>
      </c>
      <c r="CG229" s="413">
        <f>SUM(CG223:CG228)</f>
        <v>-7.1462446661307926</v>
      </c>
      <c r="FK229" s="1493"/>
      <c r="IV229"/>
    </row>
    <row r="230" spans="79:256" s="11" customFormat="1" ht="2.1" customHeight="1" x14ac:dyDescent="0.25">
      <c r="CA230" s="281"/>
      <c r="CB230" s="281"/>
      <c r="CC230" s="309"/>
      <c r="CD230" s="309"/>
      <c r="CE230" s="309"/>
      <c r="CF230" s="311"/>
      <c r="CG230" s="384"/>
      <c r="CH230" s="281"/>
      <c r="FK230" s="1493"/>
      <c r="IV230"/>
    </row>
    <row r="231" spans="79:256" s="11" customFormat="1" x14ac:dyDescent="0.25">
      <c r="CK231" s="11" t="s">
        <v>787</v>
      </c>
      <c r="FK231" s="1493"/>
      <c r="IV231"/>
    </row>
    <row r="232" spans="79:256" s="11" customFormat="1" x14ac:dyDescent="0.25">
      <c r="FK232" s="1493"/>
      <c r="IV232"/>
    </row>
    <row r="233" spans="79:256" s="11" customFormat="1" x14ac:dyDescent="0.25">
      <c r="CK233" s="11" t="s">
        <v>1959</v>
      </c>
      <c r="CN233" s="280"/>
      <c r="FK233" s="1493"/>
      <c r="IV233"/>
    </row>
    <row r="234" spans="79:256" s="11" customFormat="1" x14ac:dyDescent="0.25">
      <c r="CQ234" s="401" t="s">
        <v>2265</v>
      </c>
      <c r="CR234" s="401" t="s">
        <v>882</v>
      </c>
      <c r="FK234" s="1493"/>
      <c r="IV234"/>
    </row>
    <row r="235" spans="79:256" s="11" customFormat="1" x14ac:dyDescent="0.25">
      <c r="CK235" s="387" t="s">
        <v>2263</v>
      </c>
      <c r="CL235" s="386">
        <v>2009</v>
      </c>
      <c r="CM235" s="386">
        <v>2010</v>
      </c>
      <c r="CN235" s="386">
        <v>2011</v>
      </c>
      <c r="CO235" s="386">
        <v>2012</v>
      </c>
      <c r="CP235" s="386" t="s">
        <v>787</v>
      </c>
      <c r="CQ235" s="315" t="s">
        <v>787</v>
      </c>
      <c r="CR235" s="315" t="s">
        <v>787</v>
      </c>
      <c r="FK235" s="1493"/>
      <c r="IV235"/>
    </row>
    <row r="236" spans="79:256" s="11" customFormat="1" x14ac:dyDescent="0.25">
      <c r="CK236" s="11" t="s">
        <v>2266</v>
      </c>
      <c r="CL236" s="388">
        <f>CL239+(PENN!AK241-PENN!AF241)</f>
        <v>2396.038</v>
      </c>
      <c r="CM236" s="388">
        <f>CM239</f>
        <v>2459.1109999999999</v>
      </c>
      <c r="CN236" s="388">
        <f>CN239</f>
        <v>2626.9698149199994</v>
      </c>
      <c r="CO236" s="388">
        <f>CO239</f>
        <v>2796.7990442062528</v>
      </c>
      <c r="CP236" s="280">
        <f>(CO236/CL236)^(1/3)-1</f>
        <v>5.290499749575317E-2</v>
      </c>
      <c r="CQ236" s="280">
        <f>(CO236/CM236)^(1/2)-1</f>
        <v>6.645261878186548E-2</v>
      </c>
      <c r="CR236" s="280">
        <f>(CN236/CL236)^(1/2)-1</f>
        <v>4.7081992023060071E-2</v>
      </c>
      <c r="FK236" s="1493"/>
      <c r="IV236"/>
    </row>
    <row r="237" spans="79:256" s="11" customFormat="1" x14ac:dyDescent="0.25">
      <c r="CK237" s="11" t="s">
        <v>1624</v>
      </c>
      <c r="CL237" s="388"/>
      <c r="CM237" s="388"/>
      <c r="CN237" s="388"/>
      <c r="CO237" s="388"/>
      <c r="CP237" s="280"/>
      <c r="CQ237" s="280"/>
      <c r="CR237" s="280"/>
      <c r="FK237" s="1493"/>
      <c r="IV237"/>
    </row>
    <row r="238" spans="79:256" s="11" customFormat="1" x14ac:dyDescent="0.25">
      <c r="CL238" s="388"/>
      <c r="CM238" s="388"/>
      <c r="CN238" s="388"/>
      <c r="CO238" s="388"/>
      <c r="CP238" s="280"/>
      <c r="CQ238" s="280"/>
      <c r="CR238" s="280"/>
      <c r="FK238" s="1493"/>
      <c r="IV238"/>
    </row>
    <row r="239" spans="79:256" s="11" customFormat="1" x14ac:dyDescent="0.25">
      <c r="CK239" s="11" t="s">
        <v>3</v>
      </c>
      <c r="CL239" s="388">
        <f>PENN!AF258</f>
        <v>2369.2750000000001</v>
      </c>
      <c r="CM239" s="388">
        <f>PENN!AK258</f>
        <v>2459.1109999999999</v>
      </c>
      <c r="CN239" s="388">
        <f>PENN!AP258-PENN!AP227</f>
        <v>2626.9698149199994</v>
      </c>
      <c r="CO239" s="388">
        <f>PENN!AU258-PENN!AU227</f>
        <v>2796.7990442062528</v>
      </c>
      <c r="CP239" s="280">
        <f>(CO239/CL239)^(1/3)-1</f>
        <v>5.6854652374035197E-2</v>
      </c>
      <c r="CQ239" s="280">
        <f>(CO239/CM239)^(1/2)-1</f>
        <v>6.645261878186548E-2</v>
      </c>
      <c r="CR239" s="280">
        <f>(CN239/CL239)^(1/2)-1</f>
        <v>5.2979231272575422E-2</v>
      </c>
      <c r="FK239" s="1493"/>
      <c r="IV239"/>
    </row>
    <row r="240" spans="79:256" s="11" customFormat="1" x14ac:dyDescent="0.25">
      <c r="CK240" s="11" t="s">
        <v>1653</v>
      </c>
      <c r="CL240" s="11">
        <f>CL236</f>
        <v>2396.038</v>
      </c>
      <c r="CN240" s="11">
        <f>Sensitivity!C11</f>
        <v>5000.4861979282596</v>
      </c>
      <c r="CR240" s="280">
        <f>(CN240/CL240)^(1/2)-1</f>
        <v>0.44463876934385937</v>
      </c>
      <c r="FK240" s="1493"/>
      <c r="IV240"/>
    </row>
    <row r="241" spans="89:256" s="11" customFormat="1" x14ac:dyDescent="0.25">
      <c r="CK241" s="11" t="s">
        <v>1654</v>
      </c>
      <c r="CL241" s="11">
        <f>CL236</f>
        <v>2396.038</v>
      </c>
      <c r="CN241" s="11">
        <f>Sensitivity!C35</f>
        <v>5258.2432184400259</v>
      </c>
      <c r="CR241" s="280">
        <f>(CN241/CL241)^(1/2)-1</f>
        <v>0.48140390274259692</v>
      </c>
      <c r="FK241" s="1493"/>
      <c r="IV241"/>
    </row>
    <row r="242" spans="89:256" s="11" customFormat="1" x14ac:dyDescent="0.25">
      <c r="FK242" s="1493"/>
      <c r="IV242"/>
    </row>
    <row r="243" spans="89:256" s="11" customFormat="1" x14ac:dyDescent="0.25">
      <c r="FK243" s="1493"/>
      <c r="IV243"/>
    </row>
    <row r="244" spans="89:256" s="11" customFormat="1" x14ac:dyDescent="0.25">
      <c r="CS244" s="11" t="s">
        <v>1662</v>
      </c>
      <c r="FK244" s="1493"/>
      <c r="IV244"/>
    </row>
    <row r="245" spans="89:256" s="11" customFormat="1" ht="5.0999999999999996" customHeight="1" x14ac:dyDescent="0.25">
      <c r="FK245" s="1493"/>
      <c r="IV245"/>
    </row>
    <row r="246" spans="89:256" s="11" customFormat="1" ht="13.5" customHeight="1" x14ac:dyDescent="0.25">
      <c r="CS246" s="387" t="s">
        <v>1196</v>
      </c>
      <c r="CT246" s="315" t="s">
        <v>1309</v>
      </c>
      <c r="CU246" s="315" t="s">
        <v>1310</v>
      </c>
      <c r="CV246" s="315" t="s">
        <v>549</v>
      </c>
      <c r="CW246" s="315" t="s">
        <v>550</v>
      </c>
      <c r="CX246" s="418" t="s">
        <v>1136</v>
      </c>
      <c r="CY246" s="418" t="s">
        <v>1137</v>
      </c>
      <c r="CZ246" s="418" t="s">
        <v>1138</v>
      </c>
      <c r="DA246" s="305"/>
      <c r="FK246" s="1493"/>
      <c r="IV246"/>
    </row>
    <row r="247" spans="89:256" s="11" customFormat="1" ht="13.5" customHeight="1" x14ac:dyDescent="0.25">
      <c r="CS247" s="311" t="s">
        <v>956</v>
      </c>
      <c r="CT247" s="388">
        <f>PENN!AQ106</f>
        <v>79.574199999999962</v>
      </c>
      <c r="CU247" s="388">
        <f>PENN!AR106</f>
        <v>70.232200000000034</v>
      </c>
      <c r="CV247" s="388">
        <f>PENN!AS106</f>
        <v>64.146000000000029</v>
      </c>
      <c r="CW247" s="388">
        <f>PENN!AT106</f>
        <v>39.918999999999954</v>
      </c>
      <c r="CX247" s="422">
        <f t="shared" ref="CX247:CX254" si="9">SUM(CT247:CW247)</f>
        <v>253.87139999999997</v>
      </c>
      <c r="CY247" s="422">
        <f>PENN!AZ106</f>
        <v>158.34580000000028</v>
      </c>
      <c r="CZ247" s="422">
        <f>PENN!BE106</f>
        <v>-59.109399999999994</v>
      </c>
      <c r="DA247" s="558"/>
      <c r="FK247" s="1493"/>
      <c r="IV247"/>
    </row>
    <row r="248" spans="89:256" s="11" customFormat="1" ht="13.5" customHeight="1" x14ac:dyDescent="0.25">
      <c r="CS248" s="414" t="s">
        <v>1664</v>
      </c>
      <c r="CT248" s="11">
        <f>PENN!AQ107+PENN!AQ108+PENN!AQ109+PENN!AQ110</f>
        <v>61.212000000000003</v>
      </c>
      <c r="CU248" s="11">
        <f>PENN!AR107+PENN!AR108+PENN!AR109+PENN!AR110</f>
        <v>64.773999999999987</v>
      </c>
      <c r="CV248" s="11">
        <f>PENN!AS107+PENN!AS108+PENN!AS109+PENN!AS110</f>
        <v>70.094000000000008</v>
      </c>
      <c r="CW248" s="11">
        <f>PENN!AT107+PENN!AT108+PENN!AT109+PENN!AT110</f>
        <v>80.972000000000008</v>
      </c>
      <c r="CX248" s="419">
        <f t="shared" si="9"/>
        <v>277.05200000000002</v>
      </c>
      <c r="CY248" s="419">
        <f>PENN!AZ107+PENN!AZ108+PENN!AZ109+PENN!AZ110</f>
        <v>319.589</v>
      </c>
      <c r="CZ248" s="419">
        <f>PENN!BE107+PENN!BE108+PENN!BE109+PENN!BE110</f>
        <v>233.31100000000001</v>
      </c>
      <c r="DA248" s="281"/>
      <c r="FK248" s="1493"/>
      <c r="IV248"/>
    </row>
    <row r="249" spans="89:256" s="11" customFormat="1" ht="13.5" customHeight="1" x14ac:dyDescent="0.25">
      <c r="CS249" s="414" t="s">
        <v>2083</v>
      </c>
      <c r="CT249" s="11">
        <f>PENN!AQ112</f>
        <v>-0.27166406249999708</v>
      </c>
      <c r="CU249" s="11">
        <f>PENN!AR112</f>
        <v>-0.61530468750000011</v>
      </c>
      <c r="CV249" s="11">
        <f>PENN!AS112</f>
        <v>1.222867187499999</v>
      </c>
      <c r="CW249" s="11">
        <f>PENN!AT112</f>
        <v>4.2629793749999987</v>
      </c>
      <c r="CX249" s="419">
        <f t="shared" si="9"/>
        <v>4.5988778125000005</v>
      </c>
      <c r="CY249" s="419">
        <f>PENN!AZ112</f>
        <v>11.895096562499996</v>
      </c>
      <c r="CZ249" s="419">
        <f>PENN!BE112</f>
        <v>5.8455249999999719</v>
      </c>
      <c r="DA249" s="281"/>
      <c r="FK249" s="1493"/>
      <c r="IV249"/>
    </row>
    <row r="250" spans="89:256" s="11" customFormat="1" ht="13.5" customHeight="1" x14ac:dyDescent="0.25">
      <c r="CS250" s="414" t="s">
        <v>957</v>
      </c>
      <c r="CT250" s="11">
        <f>PENN!AQ113</f>
        <v>-21.5</v>
      </c>
      <c r="CU250" s="11">
        <f>PENN!AR113</f>
        <v>-30.2</v>
      </c>
      <c r="CV250" s="11">
        <f>PENN!AS113</f>
        <v>-14</v>
      </c>
      <c r="CW250" s="11">
        <f>PENN!AT113</f>
        <v>-20.3</v>
      </c>
      <c r="CX250" s="419">
        <f t="shared" si="9"/>
        <v>-86</v>
      </c>
      <c r="CY250" s="419">
        <f>PENN!AZ113</f>
        <v>-80.800000000000011</v>
      </c>
      <c r="CZ250" s="419">
        <f>PENN!BE113</f>
        <v>-83.4</v>
      </c>
      <c r="DA250" s="281"/>
      <c r="FK250" s="1493"/>
      <c r="IV250"/>
    </row>
    <row r="251" spans="89:256" s="11" customFormat="1" ht="13.5" customHeight="1" x14ac:dyDescent="0.25">
      <c r="CS251" s="414" t="s">
        <v>1738</v>
      </c>
      <c r="CT251" s="11">
        <f>+PENN!AQ111+PENN!AQ115</f>
        <v>-13.118999999999996</v>
      </c>
      <c r="CU251" s="11">
        <f>+PENN!AR111+PENN!AR115</f>
        <v>-11.847</v>
      </c>
      <c r="CV251" s="11">
        <f>+PENN!AS111+PENN!AS115</f>
        <v>-36.826999999999998</v>
      </c>
      <c r="CW251" s="11">
        <f>+PENN!AT111+PENN!AT115</f>
        <v>27.266999999999999</v>
      </c>
      <c r="CX251" s="419">
        <f t="shared" si="9"/>
        <v>-34.525999999999996</v>
      </c>
      <c r="CY251" s="419">
        <f>+PENN!AZ111+PENN!AZ115</f>
        <v>-46.881</v>
      </c>
      <c r="CZ251" s="419">
        <f>+PENN!BE111+PENN!BE115</f>
        <v>-19.972999999999999</v>
      </c>
      <c r="DA251" s="281"/>
      <c r="FK251" s="1493"/>
      <c r="IV251"/>
    </row>
    <row r="252" spans="89:256" s="11" customFormat="1" ht="13.5" customHeight="1" x14ac:dyDescent="0.25">
      <c r="CS252" s="420" t="s">
        <v>2052</v>
      </c>
      <c r="CT252" s="409">
        <f t="shared" ref="CT252:CZ252" si="10">SUM(CT247:CT251)</f>
        <v>105.89553593749994</v>
      </c>
      <c r="CU252" s="409">
        <f t="shared" si="10"/>
        <v>92.343895312500052</v>
      </c>
      <c r="CV252" s="409">
        <f t="shared" si="10"/>
        <v>84.635867187500025</v>
      </c>
      <c r="CW252" s="409">
        <f t="shared" si="10"/>
        <v>132.12097937499996</v>
      </c>
      <c r="CX252" s="421">
        <f t="shared" si="10"/>
        <v>414.99627781249995</v>
      </c>
      <c r="CY252" s="421">
        <f t="shared" si="10"/>
        <v>362.14889656250023</v>
      </c>
      <c r="CZ252" s="421">
        <f t="shared" si="10"/>
        <v>76.674124999999989</v>
      </c>
      <c r="DA252" s="804"/>
      <c r="FK252" s="1493"/>
      <c r="IV252"/>
    </row>
    <row r="253" spans="89:256" s="11" customFormat="1" ht="13.5" customHeight="1" x14ac:dyDescent="0.25">
      <c r="CS253" s="414" t="s">
        <v>1663</v>
      </c>
      <c r="CT253" s="11">
        <f>PENN!AQ118</f>
        <v>-95.3</v>
      </c>
      <c r="CU253" s="11">
        <f>PENN!AR118</f>
        <v>-120.99999999999999</v>
      </c>
      <c r="CV253" s="11">
        <f>PENN!AS118</f>
        <v>-144.29999999999998</v>
      </c>
      <c r="CW253" s="11">
        <f>PENN!AT118</f>
        <v>-87.7</v>
      </c>
      <c r="CX253" s="419">
        <f t="shared" si="9"/>
        <v>-448.29999999999995</v>
      </c>
      <c r="CY253" s="419">
        <f>PENN!AZ118</f>
        <v>-117.69999999999999</v>
      </c>
      <c r="CZ253" s="419">
        <f>PENN!BE118</f>
        <v>-318.38500000000005</v>
      </c>
      <c r="DA253" s="281"/>
      <c r="FK253" s="1493"/>
      <c r="IV253"/>
    </row>
    <row r="254" spans="89:256" s="11" customFormat="1" ht="13.5" customHeight="1" x14ac:dyDescent="0.25">
      <c r="CS254" s="420" t="s">
        <v>959</v>
      </c>
      <c r="CT254" s="409">
        <f>SUM(CT252:CT253)</f>
        <v>10.595535937499946</v>
      </c>
      <c r="CU254" s="409">
        <f>SUM(CU252:CU253)</f>
        <v>-28.656104687499933</v>
      </c>
      <c r="CV254" s="409">
        <f>SUM(CV252:CV253)</f>
        <v>-59.664132812499957</v>
      </c>
      <c r="CW254" s="409">
        <f>SUM(CW252:CW253)</f>
        <v>44.420979374999959</v>
      </c>
      <c r="CX254" s="421">
        <f t="shared" si="9"/>
        <v>-33.303722187499986</v>
      </c>
      <c r="CY254" s="421">
        <f>SUM(CY252:CY253)</f>
        <v>244.44889656250024</v>
      </c>
      <c r="CZ254" s="421">
        <f>SUM(CZ252:CZ253)</f>
        <v>-241.71087500000004</v>
      </c>
      <c r="DA254" s="804"/>
      <c r="FK254" s="1493"/>
      <c r="IV254"/>
    </row>
    <row r="255" spans="89:256" s="11" customFormat="1" ht="5.0999999999999996" customHeight="1" x14ac:dyDescent="0.25">
      <c r="CX255" s="419"/>
      <c r="CY255" s="419"/>
      <c r="CZ255" s="419"/>
      <c r="DA255" s="281"/>
      <c r="FK255" s="1493"/>
      <c r="IV255"/>
    </row>
    <row r="256" spans="89:256" s="11" customFormat="1" ht="13.5" customHeight="1" x14ac:dyDescent="0.25">
      <c r="CS256" s="11" t="s">
        <v>2264</v>
      </c>
      <c r="CT256" s="426">
        <f>PENN!AQ54</f>
        <v>207.13999999999996</v>
      </c>
      <c r="CU256" s="426">
        <f>PENN!AR54</f>
        <v>199.19800000000001</v>
      </c>
      <c r="CV256" s="426">
        <f>PENN!AS54</f>
        <v>198.09100000000004</v>
      </c>
      <c r="CW256" s="426">
        <f>PENN!AT54</f>
        <v>185.10299999999995</v>
      </c>
      <c r="CX256" s="427">
        <f>SUM(CT256:CW256)</f>
        <v>789.53199999999993</v>
      </c>
      <c r="CY256" s="427">
        <f>PENN!AZ54</f>
        <v>721.41700000000003</v>
      </c>
      <c r="CZ256" s="427">
        <f>PENN!BE54</f>
        <v>288.60299999999995</v>
      </c>
      <c r="DA256" s="933"/>
      <c r="FK256" s="1493"/>
      <c r="IV256"/>
    </row>
    <row r="257" spans="97:256" s="11" customFormat="1" ht="13.5" customHeight="1" x14ac:dyDescent="0.25">
      <c r="CS257" s="416" t="s">
        <v>1195</v>
      </c>
      <c r="CT257" s="417">
        <f t="shared" ref="CT257:CZ257" si="11">CT252/CT256</f>
        <v>0.51122688006903527</v>
      </c>
      <c r="CU257" s="417">
        <f t="shared" si="11"/>
        <v>0.46357842605096461</v>
      </c>
      <c r="CV257" s="417">
        <f t="shared" si="11"/>
        <v>0.42725750885956459</v>
      </c>
      <c r="CW257" s="417">
        <f t="shared" si="11"/>
        <v>0.71377005977752928</v>
      </c>
      <c r="CX257" s="424">
        <f t="shared" si="11"/>
        <v>0.52562312586760263</v>
      </c>
      <c r="CY257" s="424">
        <f t="shared" si="11"/>
        <v>0.50199662131957001</v>
      </c>
      <c r="CZ257" s="424">
        <f t="shared" si="11"/>
        <v>0.26567334712390378</v>
      </c>
      <c r="DA257" s="898"/>
      <c r="FK257" s="1493"/>
      <c r="IV257"/>
    </row>
    <row r="258" spans="97:256" s="11" customFormat="1" ht="5.0999999999999996" customHeight="1" x14ac:dyDescent="0.25">
      <c r="CX258" s="419"/>
      <c r="CY258" s="419"/>
      <c r="CZ258" s="419"/>
      <c r="DA258" s="281"/>
      <c r="FK258" s="1493"/>
      <c r="IV258"/>
    </row>
    <row r="259" spans="97:256" s="11" customFormat="1" ht="13.5" customHeight="1" x14ac:dyDescent="0.25">
      <c r="CS259" s="11" t="s">
        <v>1197</v>
      </c>
      <c r="CT259" s="388">
        <f>PENN!AQ1565</f>
        <v>217.45100000000002</v>
      </c>
      <c r="CU259" s="388">
        <f>PENN!AR1565</f>
        <v>204.12600000000003</v>
      </c>
      <c r="CV259" s="388">
        <f>PENN!AS1565</f>
        <v>217.43200000000004</v>
      </c>
      <c r="CW259" s="388">
        <f>PENN!AT1565</f>
        <v>260.46699999999987</v>
      </c>
      <c r="CX259" s="422">
        <f>CW259</f>
        <v>260.46699999999987</v>
      </c>
      <c r="CY259" s="422">
        <f>PENN!AZ1565</f>
        <v>292.99499999999972</v>
      </c>
      <c r="CZ259" s="422">
        <f>PENN!BE1565</f>
        <v>208.67299999999966</v>
      </c>
      <c r="DA259" s="558"/>
      <c r="FK259" s="1493"/>
      <c r="IV259"/>
    </row>
    <row r="260" spans="97:256" s="11" customFormat="1" x14ac:dyDescent="0.25">
      <c r="CS260" s="11" t="s">
        <v>1198</v>
      </c>
      <c r="CT260" s="374">
        <f>PENN!AQ1631</f>
        <v>2.416886958166145</v>
      </c>
      <c r="CU260" s="374">
        <f>PENN!AR1631</f>
        <v>2.5009775949715412</v>
      </c>
      <c r="CV260" s="374">
        <f>PENN!AS1631</f>
        <v>2.5605039558470524</v>
      </c>
      <c r="CW260" s="374">
        <f>PENN!AT1631</f>
        <v>3.1304709625449001</v>
      </c>
      <c r="CX260" s="425">
        <f>CW260</f>
        <v>3.1304709625449001</v>
      </c>
      <c r="CY260" s="425">
        <f>PENN!AZ1631</f>
        <v>1.0521238063422409</v>
      </c>
      <c r="CZ260" s="425">
        <f>PENN!BE1631</f>
        <v>6.5121853657299882</v>
      </c>
      <c r="DA260" s="1741"/>
      <c r="FK260" s="1493"/>
      <c r="IV260"/>
    </row>
    <row r="261" spans="97:256" s="11" customFormat="1" ht="5.0999999999999996" customHeight="1" x14ac:dyDescent="0.25">
      <c r="FK261" s="1493"/>
      <c r="IV261"/>
    </row>
    <row r="262" spans="97:256" s="11" customFormat="1" x14ac:dyDescent="0.25">
      <c r="DD262" s="10" t="s">
        <v>1881</v>
      </c>
      <c r="FK262" s="1493"/>
      <c r="IV262"/>
    </row>
    <row r="263" spans="97:256" s="11" customFormat="1" x14ac:dyDescent="0.25">
      <c r="DD263" s="298"/>
      <c r="DE263" s="298"/>
      <c r="FK263" s="1493"/>
      <c r="IV263"/>
    </row>
    <row r="264" spans="97:256" s="11" customFormat="1" x14ac:dyDescent="0.25">
      <c r="DD264" s="762" t="s">
        <v>1186</v>
      </c>
      <c r="DE264" s="763" t="s">
        <v>140</v>
      </c>
      <c r="FK264" s="1493"/>
      <c r="IV264"/>
    </row>
    <row r="265" spans="97:256" s="11" customFormat="1" x14ac:dyDescent="0.25">
      <c r="DD265" s="285" t="s">
        <v>1581</v>
      </c>
      <c r="DE265" s="286" t="s">
        <v>986</v>
      </c>
      <c r="FK265" s="1493"/>
      <c r="IV265"/>
    </row>
    <row r="266" spans="97:256" s="11" customFormat="1" x14ac:dyDescent="0.25">
      <c r="DD266" s="285" t="s">
        <v>729</v>
      </c>
      <c r="DE266" s="286" t="s">
        <v>988</v>
      </c>
      <c r="FK266" s="1493"/>
      <c r="IV266"/>
    </row>
    <row r="267" spans="97:256" s="11" customFormat="1" x14ac:dyDescent="0.25">
      <c r="DD267" s="285" t="s">
        <v>1582</v>
      </c>
      <c r="DE267" s="286" t="s">
        <v>989</v>
      </c>
      <c r="FK267" s="1493"/>
      <c r="IV267"/>
    </row>
    <row r="268" spans="97:256" s="11" customFormat="1" x14ac:dyDescent="0.25">
      <c r="DD268" s="285" t="s">
        <v>1583</v>
      </c>
      <c r="DE268" s="286" t="s">
        <v>1581</v>
      </c>
      <c r="FK268" s="1493"/>
      <c r="IV268"/>
    </row>
    <row r="269" spans="97:256" s="11" customFormat="1" x14ac:dyDescent="0.25">
      <c r="DD269" s="285" t="s">
        <v>1584</v>
      </c>
      <c r="DE269" s="286" t="s">
        <v>990</v>
      </c>
      <c r="FK269" s="1493"/>
      <c r="IV269"/>
    </row>
    <row r="270" spans="97:256" s="11" customFormat="1" x14ac:dyDescent="0.25">
      <c r="DD270" s="285" t="s">
        <v>1343</v>
      </c>
      <c r="DE270" s="286" t="s">
        <v>991</v>
      </c>
      <c r="FK270" s="1493"/>
      <c r="IV270"/>
    </row>
    <row r="271" spans="97:256" s="11" customFormat="1" x14ac:dyDescent="0.25">
      <c r="DD271" s="285" t="s">
        <v>1344</v>
      </c>
      <c r="DE271" s="286" t="s">
        <v>992</v>
      </c>
      <c r="FK271" s="1493"/>
      <c r="IV271"/>
    </row>
    <row r="272" spans="97:256" s="11" customFormat="1" x14ac:dyDescent="0.25">
      <c r="DD272" s="285" t="s">
        <v>1184</v>
      </c>
      <c r="DE272" s="286" t="s">
        <v>1584</v>
      </c>
      <c r="FK272" s="1493"/>
      <c r="IV272"/>
    </row>
    <row r="273" spans="108:256" s="11" customFormat="1" x14ac:dyDescent="0.25">
      <c r="DD273" s="285" t="s">
        <v>1185</v>
      </c>
      <c r="DE273" s="286" t="s">
        <v>993</v>
      </c>
      <c r="FK273" s="1493"/>
      <c r="IV273"/>
    </row>
    <row r="274" spans="108:256" s="11" customFormat="1" x14ac:dyDescent="0.25">
      <c r="DD274" s="285"/>
      <c r="DE274" s="286" t="s">
        <v>1343</v>
      </c>
      <c r="FK274" s="1493"/>
      <c r="IV274"/>
    </row>
    <row r="275" spans="108:256" s="11" customFormat="1" x14ac:dyDescent="0.25">
      <c r="DD275" s="285"/>
      <c r="DE275" s="286" t="s">
        <v>987</v>
      </c>
      <c r="FK275" s="1493"/>
      <c r="IV275"/>
    </row>
    <row r="276" spans="108:256" s="11" customFormat="1" x14ac:dyDescent="0.25">
      <c r="DD276" s="285"/>
      <c r="DE276" s="286" t="s">
        <v>994</v>
      </c>
      <c r="FK276" s="1493"/>
      <c r="IV276"/>
    </row>
    <row r="277" spans="108:256" s="11" customFormat="1" x14ac:dyDescent="0.25">
      <c r="DD277" s="285"/>
      <c r="DE277" s="286" t="s">
        <v>995</v>
      </c>
      <c r="FK277" s="1493"/>
      <c r="IV277"/>
    </row>
    <row r="278" spans="108:256" s="11" customFormat="1" x14ac:dyDescent="0.25">
      <c r="DD278" s="285"/>
      <c r="DE278" s="286" t="s">
        <v>996</v>
      </c>
      <c r="FK278" s="1493"/>
      <c r="IV278"/>
    </row>
    <row r="279" spans="108:256" s="11" customFormat="1" x14ac:dyDescent="0.25">
      <c r="DD279" s="285"/>
      <c r="DE279" s="286" t="s">
        <v>1865</v>
      </c>
      <c r="FK279" s="1493"/>
      <c r="IV279"/>
    </row>
    <row r="280" spans="108:256" s="11" customFormat="1" x14ac:dyDescent="0.25">
      <c r="DD280" s="285"/>
      <c r="DE280" s="286" t="s">
        <v>1866</v>
      </c>
      <c r="FK280" s="1493"/>
      <c r="IV280"/>
    </row>
    <row r="281" spans="108:256" s="11" customFormat="1" x14ac:dyDescent="0.25">
      <c r="DD281" s="285"/>
      <c r="DE281" s="286" t="s">
        <v>1344</v>
      </c>
      <c r="FK281" s="1493"/>
      <c r="IV281"/>
    </row>
    <row r="282" spans="108:256" s="11" customFormat="1" x14ac:dyDescent="0.25">
      <c r="DD282" s="285"/>
      <c r="DE282" s="286" t="s">
        <v>1867</v>
      </c>
      <c r="FK282" s="1493"/>
      <c r="IV282"/>
    </row>
    <row r="283" spans="108:256" s="11" customFormat="1" x14ac:dyDescent="0.25">
      <c r="DD283" s="285"/>
      <c r="DE283" s="286" t="s">
        <v>1184</v>
      </c>
      <c r="FK283" s="1493"/>
      <c r="IV283"/>
    </row>
    <row r="284" spans="108:256" s="11" customFormat="1" x14ac:dyDescent="0.25">
      <c r="DD284" s="285"/>
      <c r="DE284" s="286" t="s">
        <v>1868</v>
      </c>
      <c r="FK284" s="1493"/>
      <c r="IV284"/>
    </row>
    <row r="285" spans="108:256" s="11" customFormat="1" x14ac:dyDescent="0.25">
      <c r="DD285" s="293"/>
      <c r="DE285" s="295" t="s">
        <v>1869</v>
      </c>
      <c r="FK285" s="1493"/>
      <c r="IV285"/>
    </row>
    <row r="286" spans="108:256" s="11" customFormat="1" x14ac:dyDescent="0.25">
      <c r="FK286" s="1493"/>
      <c r="IV286"/>
    </row>
    <row r="287" spans="108:256" s="11" customFormat="1" x14ac:dyDescent="0.25">
      <c r="DG287" s="10"/>
      <c r="FK287" s="1493"/>
      <c r="IV287"/>
    </row>
    <row r="288" spans="108:256" s="11" customFormat="1" ht="13.5" customHeight="1" x14ac:dyDescent="0.25">
      <c r="DG288" s="10"/>
      <c r="DH288" s="784"/>
      <c r="DI288" s="784"/>
      <c r="DJ288" s="784"/>
      <c r="DK288" s="784"/>
      <c r="FK288" s="1493"/>
      <c r="IV288"/>
    </row>
    <row r="289" spans="111:256" s="11" customFormat="1" ht="13.5" customHeight="1" x14ac:dyDescent="0.25">
      <c r="DG289" s="387" t="s">
        <v>1196</v>
      </c>
      <c r="DH289" s="386"/>
      <c r="DI289" s="784"/>
      <c r="DJ289" s="784"/>
      <c r="DK289" s="784"/>
      <c r="FK289" s="1493"/>
      <c r="IV289"/>
    </row>
    <row r="290" spans="111:256" s="11" customFormat="1" ht="13.5" customHeight="1" x14ac:dyDescent="0.25">
      <c r="DG290" s="11" t="s">
        <v>997</v>
      </c>
      <c r="DH290" s="388">
        <f>PENN!AK54</f>
        <v>613.03899999999987</v>
      </c>
      <c r="FK290" s="1493"/>
      <c r="IV290"/>
    </row>
    <row r="291" spans="111:256" s="11" customFormat="1" ht="13.5" customHeight="1" x14ac:dyDescent="0.25">
      <c r="DG291" s="402" t="s">
        <v>648</v>
      </c>
      <c r="DH291" s="388">
        <f>Exhibits!BG166</f>
        <v>222.5211180327</v>
      </c>
      <c r="FK291" s="1493"/>
      <c r="IV291"/>
    </row>
    <row r="292" spans="111:256" s="11" customFormat="1" ht="13.5" customHeight="1" x14ac:dyDescent="0.25">
      <c r="DG292" s="402" t="s">
        <v>649</v>
      </c>
      <c r="DH292" s="388">
        <f>BG172</f>
        <v>-57.177609731385274</v>
      </c>
      <c r="FK292" s="1493"/>
      <c r="IV292"/>
    </row>
    <row r="293" spans="111:256" s="11" customFormat="1" ht="13.5" customHeight="1" x14ac:dyDescent="0.25">
      <c r="DG293" s="11" t="s">
        <v>650</v>
      </c>
      <c r="DH293" s="388">
        <f>SUM(DH290:DH292)</f>
        <v>778.3825083013146</v>
      </c>
      <c r="FK293" s="1493"/>
      <c r="IV293"/>
    </row>
    <row r="294" spans="111:256" s="11" customFormat="1" ht="5.0999999999999996" customHeight="1" x14ac:dyDescent="0.25">
      <c r="FK294" s="1493"/>
      <c r="IV294"/>
    </row>
    <row r="295" spans="111:256" s="11" customFormat="1" ht="13.5" customHeight="1" x14ac:dyDescent="0.25">
      <c r="DH295" s="426"/>
      <c r="FK295" s="1493"/>
      <c r="IV295"/>
    </row>
    <row r="296" spans="111:256" s="11" customFormat="1" ht="13.5" customHeight="1" x14ac:dyDescent="0.25">
      <c r="DH296" s="374"/>
      <c r="FK296" s="1493"/>
      <c r="IV296"/>
    </row>
    <row r="297" spans="111:256" s="11" customFormat="1" ht="13.5" customHeight="1" x14ac:dyDescent="0.25">
      <c r="FK297" s="1493"/>
      <c r="IV297"/>
    </row>
    <row r="298" spans="111:256" s="11" customFormat="1" ht="14.1" customHeight="1" x14ac:dyDescent="0.25">
      <c r="DJ298" s="333" t="s">
        <v>695</v>
      </c>
      <c r="DK298" s="281"/>
      <c r="FK298" s="1493"/>
      <c r="IV298"/>
    </row>
    <row r="299" spans="111:256" s="11" customFormat="1" ht="14.1" customHeight="1" x14ac:dyDescent="0.25">
      <c r="DJ299" s="281" t="s">
        <v>1196</v>
      </c>
      <c r="DK299" s="281"/>
      <c r="FK299" s="1493"/>
      <c r="IV299"/>
    </row>
    <row r="300" spans="111:256" s="11" customFormat="1" ht="7.5" customHeight="1" x14ac:dyDescent="0.25">
      <c r="DJ300" s="291"/>
      <c r="DK300" s="288"/>
      <c r="FK300" s="1493"/>
      <c r="IV300"/>
    </row>
    <row r="301" spans="111:256" s="11" customFormat="1" ht="14.1" customHeight="1" x14ac:dyDescent="0.25">
      <c r="DJ301" s="281" t="s">
        <v>1624</v>
      </c>
      <c r="DK301" s="882">
        <f>DM315/1000000</f>
        <v>91.98</v>
      </c>
      <c r="FK301" s="1493"/>
      <c r="IV301"/>
    </row>
    <row r="302" spans="111:256" s="11" customFormat="1" ht="14.1" customHeight="1" x14ac:dyDescent="0.25">
      <c r="DJ302" s="294" t="s">
        <v>1464</v>
      </c>
      <c r="DK302" s="920">
        <v>8</v>
      </c>
      <c r="FK302" s="1493"/>
      <c r="IV302"/>
    </row>
    <row r="303" spans="111:256" s="11" customFormat="1" ht="14.1" customHeight="1" x14ac:dyDescent="0.25">
      <c r="DJ303" s="281" t="s">
        <v>1403</v>
      </c>
      <c r="DK303" s="311">
        <f>DK302*DK301</f>
        <v>735.84</v>
      </c>
      <c r="FK303" s="1493"/>
      <c r="IV303"/>
    </row>
    <row r="304" spans="111:256" s="11" customFormat="1" ht="14.1" customHeight="1" x14ac:dyDescent="0.25">
      <c r="DJ304" s="294" t="s">
        <v>137</v>
      </c>
      <c r="DK304" s="530">
        <f>-300-200</f>
        <v>-500</v>
      </c>
      <c r="FK304" s="1493"/>
      <c r="IV304"/>
    </row>
    <row r="305" spans="114:256" s="11" customFormat="1" ht="14.1" customHeight="1" x14ac:dyDescent="0.25">
      <c r="DJ305" s="333" t="s">
        <v>8</v>
      </c>
      <c r="DK305" s="567">
        <f>DK304+DK303</f>
        <v>235.84000000000003</v>
      </c>
      <c r="FK305" s="1493"/>
      <c r="IV305"/>
    </row>
    <row r="306" spans="114:256" s="11" customFormat="1" ht="14.1" customHeight="1" x14ac:dyDescent="0.25">
      <c r="DJ306" s="281" t="s">
        <v>138</v>
      </c>
      <c r="DK306" s="311">
        <f>DK305/(1+DCF!$B$46)^2</f>
        <v>198.50180961198552</v>
      </c>
      <c r="FK306" s="1493"/>
      <c r="IV306"/>
    </row>
    <row r="307" spans="114:256" s="11" customFormat="1" ht="14.1" customHeight="1" x14ac:dyDescent="0.25">
      <c r="DJ307" s="281" t="s">
        <v>1170</v>
      </c>
      <c r="DK307" s="311">
        <f>PENN!AG101</f>
        <v>107.03700000000001</v>
      </c>
      <c r="FK307" s="1493"/>
      <c r="IV307"/>
    </row>
    <row r="308" spans="114:256" s="11" customFormat="1" ht="14.1" customHeight="1" x14ac:dyDescent="0.25">
      <c r="DJ308" s="496" t="s">
        <v>1445</v>
      </c>
      <c r="DK308" s="919">
        <f>DK306/DK307</f>
        <v>1.854515818006722</v>
      </c>
      <c r="FK308" s="1493"/>
      <c r="IV308"/>
    </row>
    <row r="309" spans="114:256" s="11" customFormat="1" ht="3.75" customHeight="1" x14ac:dyDescent="0.25">
      <c r="DJ309" s="333"/>
      <c r="DK309" s="918"/>
      <c r="FK309" s="1493"/>
      <c r="IV309"/>
    </row>
    <row r="310" spans="114:256" s="11" customFormat="1" ht="14.1" customHeight="1" x14ac:dyDescent="0.25">
      <c r="FK310" s="1493"/>
      <c r="IV310"/>
    </row>
    <row r="311" spans="114:256" s="11" customFormat="1" x14ac:dyDescent="0.25">
      <c r="DL311" s="11" t="s">
        <v>2187</v>
      </c>
      <c r="DM311" s="11">
        <v>350</v>
      </c>
      <c r="FK311" s="1493"/>
      <c r="IV311"/>
    </row>
    <row r="312" spans="114:256" s="11" customFormat="1" x14ac:dyDescent="0.25">
      <c r="DL312" s="11" t="s">
        <v>2188</v>
      </c>
      <c r="DM312" s="11">
        <v>4500</v>
      </c>
      <c r="FK312" s="1493"/>
      <c r="IV312"/>
    </row>
    <row r="313" spans="114:256" s="11" customFormat="1" x14ac:dyDescent="0.25">
      <c r="DL313" s="11" t="s">
        <v>2189</v>
      </c>
      <c r="DM313" s="11">
        <f>DM311*DM312*365</f>
        <v>574875000</v>
      </c>
      <c r="FK313" s="1493"/>
      <c r="IV313"/>
    </row>
    <row r="314" spans="114:256" s="11" customFormat="1" x14ac:dyDescent="0.25">
      <c r="DL314" s="11" t="s">
        <v>1101</v>
      </c>
      <c r="DM314" s="280">
        <v>0.16</v>
      </c>
      <c r="FK314" s="1493"/>
      <c r="IV314"/>
    </row>
    <row r="315" spans="114:256" s="11" customFormat="1" x14ac:dyDescent="0.25">
      <c r="DL315" s="280" t="s">
        <v>1624</v>
      </c>
      <c r="DM315" s="11">
        <f>DM314*DM313</f>
        <v>91980000</v>
      </c>
      <c r="FK315" s="1493"/>
      <c r="IV315"/>
    </row>
    <row r="316" spans="114:256" s="11" customFormat="1" x14ac:dyDescent="0.25">
      <c r="DK316" s="280"/>
      <c r="FK316" s="1493"/>
      <c r="IV316"/>
    </row>
    <row r="317" spans="114:256" s="11" customFormat="1" ht="4.5" customHeight="1" x14ac:dyDescent="0.25">
      <c r="FK317" s="1493"/>
      <c r="IV317"/>
    </row>
    <row r="318" spans="114:256" s="11" customFormat="1" x14ac:dyDescent="0.25">
      <c r="DO318" s="10" t="s">
        <v>2233</v>
      </c>
      <c r="DP318" s="10"/>
      <c r="FK318" s="1493"/>
      <c r="IV318"/>
    </row>
    <row r="319" spans="114:256" s="11" customFormat="1" x14ac:dyDescent="0.25">
      <c r="DM319" s="280"/>
      <c r="FK319" s="1493"/>
      <c r="IV319"/>
    </row>
    <row r="320" spans="114:256" s="11" customFormat="1" x14ac:dyDescent="0.25">
      <c r="DO320" s="333" t="s">
        <v>1938</v>
      </c>
      <c r="DP320" s="333"/>
      <c r="DQ320" s="325"/>
      <c r="DR320" s="325"/>
      <c r="DS320" s="325"/>
      <c r="DT320" s="325"/>
      <c r="DU320" s="326"/>
      <c r="DV320" s="326"/>
      <c r="DW320" s="305"/>
      <c r="DX320" s="305"/>
      <c r="DY320" s="281"/>
      <c r="DZ320" s="281"/>
      <c r="EA320" s="281"/>
      <c r="FK320" s="1493"/>
      <c r="IV320"/>
    </row>
    <row r="321" spans="119:256" s="11" customFormat="1" ht="27" customHeight="1" x14ac:dyDescent="0.25">
      <c r="DO321" s="291" t="s">
        <v>1363</v>
      </c>
      <c r="DP321" s="291"/>
      <c r="DQ321" s="327" t="s">
        <v>1364</v>
      </c>
      <c r="DR321" s="327"/>
      <c r="DS321" s="327" t="s">
        <v>894</v>
      </c>
      <c r="DT321" s="327"/>
      <c r="DU321" s="1417" t="s">
        <v>2254</v>
      </c>
      <c r="DV321" s="306"/>
      <c r="DW321" s="306" t="s">
        <v>743</v>
      </c>
      <c r="DX321" s="306"/>
      <c r="DY321" s="306" t="s">
        <v>576</v>
      </c>
      <c r="DZ321" s="306"/>
      <c r="EA321" s="306" t="s">
        <v>577</v>
      </c>
      <c r="FK321" s="1493"/>
      <c r="IV321"/>
    </row>
    <row r="322" spans="119:256" s="11" customFormat="1" x14ac:dyDescent="0.25">
      <c r="DO322" s="311" t="s">
        <v>2074</v>
      </c>
      <c r="DP322" s="311"/>
      <c r="DQ322" s="338">
        <f>4403437+323342</f>
        <v>4726779</v>
      </c>
      <c r="DR322" s="338"/>
      <c r="DS322" s="338">
        <f>11834+2581+(83*6)</f>
        <v>14913</v>
      </c>
      <c r="DT322" s="338"/>
      <c r="DU322" s="338">
        <f>1339.5+254</f>
        <v>1593.5</v>
      </c>
      <c r="DV322" s="338"/>
      <c r="DW322" s="305">
        <f t="shared" ref="DW322:DW327" si="12">DQ322/DS322</f>
        <v>316.9569503118085</v>
      </c>
      <c r="DX322" s="305"/>
      <c r="DY322" s="328">
        <f t="shared" ref="DY322:DY327" si="13">DU322*1000000/365/DS322</f>
        <v>292.74816768306403</v>
      </c>
      <c r="DZ322" s="328"/>
      <c r="EA322" s="1443">
        <f>(DU322*1000000)/DQ322</f>
        <v>337.12174823489738</v>
      </c>
      <c r="FK322" s="1493"/>
      <c r="IV322"/>
    </row>
    <row r="323" spans="119:256" s="11" customFormat="1" x14ac:dyDescent="0.25">
      <c r="DO323" s="311" t="s">
        <v>744</v>
      </c>
      <c r="DP323" s="311"/>
      <c r="DQ323" s="337">
        <v>2828990</v>
      </c>
      <c r="DR323" s="337"/>
      <c r="DS323" s="338">
        <v>12523</v>
      </c>
      <c r="DT323" s="338"/>
      <c r="DU323" s="338">
        <v>1050</v>
      </c>
      <c r="DV323" s="338"/>
      <c r="DW323" s="305">
        <f t="shared" si="12"/>
        <v>225.90353749101652</v>
      </c>
      <c r="DX323" s="305"/>
      <c r="DY323" s="328">
        <f t="shared" si="13"/>
        <v>229.71431196734994</v>
      </c>
      <c r="DZ323" s="328"/>
      <c r="EA323" s="1443">
        <f t="shared" ref="EA323:EA328" si="14">(DU323*1000000)/DQ323</f>
        <v>371.15719744502456</v>
      </c>
      <c r="FK323" s="1493"/>
      <c r="IV323"/>
    </row>
    <row r="324" spans="119:256" s="11" customFormat="1" x14ac:dyDescent="0.25">
      <c r="DO324" s="311" t="s">
        <v>1634</v>
      </c>
      <c r="DP324" s="311"/>
      <c r="DQ324" s="337">
        <v>2171896</v>
      </c>
      <c r="DR324" s="337"/>
      <c r="DS324" s="338">
        <v>7082</v>
      </c>
      <c r="DT324" s="338"/>
      <c r="DU324" s="338">
        <v>691.2</v>
      </c>
      <c r="DV324" s="338"/>
      <c r="DW324" s="305">
        <f t="shared" si="12"/>
        <v>306.67833945213215</v>
      </c>
      <c r="DX324" s="305"/>
      <c r="DY324" s="328">
        <f t="shared" si="13"/>
        <v>267.3960223294248</v>
      </c>
      <c r="DZ324" s="328"/>
      <c r="EA324" s="1443">
        <f t="shared" si="14"/>
        <v>318.2472825586492</v>
      </c>
      <c r="FK324" s="1493"/>
      <c r="IV324"/>
    </row>
    <row r="325" spans="119:256" s="11" customFormat="1" x14ac:dyDescent="0.25">
      <c r="DO325" s="311" t="s">
        <v>745</v>
      </c>
      <c r="DP325" s="311"/>
      <c r="DQ325" s="337">
        <v>2067585</v>
      </c>
      <c r="DR325" s="337"/>
      <c r="DS325" s="339">
        <f>8528+(214*6)</f>
        <v>9812</v>
      </c>
      <c r="DT325" s="339"/>
      <c r="DU325" s="338">
        <v>758.02300000000002</v>
      </c>
      <c r="DV325" s="338"/>
      <c r="DW325" s="305">
        <f t="shared" si="12"/>
        <v>210.72003668976762</v>
      </c>
      <c r="DX325" s="305"/>
      <c r="DY325" s="328">
        <f t="shared" si="13"/>
        <v>211.65667982732913</v>
      </c>
      <c r="DZ325" s="328"/>
      <c r="EA325" s="1443">
        <f t="shared" si="14"/>
        <v>366.62241213783233</v>
      </c>
      <c r="FK325" s="1493"/>
      <c r="IV325"/>
    </row>
    <row r="326" spans="119:256" s="11" customFormat="1" x14ac:dyDescent="0.25">
      <c r="DO326" s="311" t="s">
        <v>1702</v>
      </c>
      <c r="DP326" s="311"/>
      <c r="DQ326" s="337">
        <v>786947</v>
      </c>
      <c r="DR326" s="337"/>
      <c r="DS326" s="340">
        <v>4054</v>
      </c>
      <c r="DT326" s="340"/>
      <c r="DU326" s="338">
        <v>306.5</v>
      </c>
      <c r="DV326" s="338"/>
      <c r="DW326" s="305">
        <f t="shared" si="12"/>
        <v>194.11618154908732</v>
      </c>
      <c r="DX326" s="305"/>
      <c r="DY326" s="328">
        <f t="shared" si="13"/>
        <v>207.13518189374946</v>
      </c>
      <c r="DZ326" s="328"/>
      <c r="EA326" s="1443">
        <f t="shared" si="14"/>
        <v>389.47985061255713</v>
      </c>
      <c r="FK326" s="1493"/>
      <c r="IV326"/>
    </row>
    <row r="327" spans="119:256" s="11" customFormat="1" x14ac:dyDescent="0.25">
      <c r="DO327" s="311" t="s">
        <v>95</v>
      </c>
      <c r="DP327" s="311"/>
      <c r="DQ327" s="337">
        <v>9804845</v>
      </c>
      <c r="DR327" s="337"/>
      <c r="DS327" s="340">
        <v>16443</v>
      </c>
      <c r="DT327" s="340"/>
      <c r="DU327" s="338">
        <v>2092</v>
      </c>
      <c r="DV327" s="338"/>
      <c r="DW327" s="305">
        <f t="shared" si="12"/>
        <v>596.29295140789395</v>
      </c>
      <c r="DX327" s="305"/>
      <c r="DY327" s="328">
        <f t="shared" si="13"/>
        <v>348.56819615125397</v>
      </c>
      <c r="DZ327" s="328"/>
      <c r="EA327" s="1443">
        <f t="shared" si="14"/>
        <v>213.36390325395251</v>
      </c>
      <c r="FK327" s="1493"/>
      <c r="IV327"/>
    </row>
    <row r="328" spans="119:256" s="11" customFormat="1" x14ac:dyDescent="0.25">
      <c r="DO328" s="311" t="s">
        <v>2234</v>
      </c>
      <c r="DP328" s="311"/>
      <c r="DQ328" s="337">
        <v>1189981</v>
      </c>
      <c r="DR328" s="337"/>
      <c r="DS328" s="340">
        <f>7123+EI374</f>
        <v>10915</v>
      </c>
      <c r="DT328" s="340"/>
      <c r="DU328" s="338">
        <f>689.04818304+EJ374</f>
        <v>859.17118304000007</v>
      </c>
      <c r="DV328" s="338"/>
      <c r="DW328" s="305">
        <f>DQ328/DS328</f>
        <v>109.02253779202931</v>
      </c>
      <c r="DX328" s="305"/>
      <c r="DY328" s="328">
        <f>DU328*1000000/365/DS328</f>
        <v>215.6567706976073</v>
      </c>
      <c r="DZ328" s="1400"/>
      <c r="EA328" s="1443">
        <f t="shared" si="14"/>
        <v>722.00411858676739</v>
      </c>
      <c r="FK328" s="1493"/>
      <c r="IV328"/>
    </row>
    <row r="329" spans="119:256" s="11" customFormat="1" x14ac:dyDescent="0.25">
      <c r="DO329" s="281"/>
      <c r="DP329" s="281"/>
      <c r="DQ329" s="281"/>
      <c r="DR329" s="281"/>
      <c r="DS329" s="281"/>
      <c r="DT329" s="281"/>
      <c r="DU329" s="281"/>
      <c r="DV329" s="281"/>
      <c r="DW329" s="281"/>
      <c r="DX329" s="281"/>
      <c r="DY329" s="281"/>
      <c r="DZ329" s="281"/>
      <c r="EA329" s="281"/>
      <c r="FK329" s="1493"/>
      <c r="IV329"/>
    </row>
    <row r="330" spans="119:256" s="11" customFormat="1" x14ac:dyDescent="0.25">
      <c r="DO330" s="333" t="s">
        <v>2072</v>
      </c>
      <c r="DP330" s="333"/>
      <c r="DQ330" s="281"/>
      <c r="DR330" s="281"/>
      <c r="DS330" s="281"/>
      <c r="DT330" s="281"/>
      <c r="DU330" s="281"/>
      <c r="DV330" s="281"/>
      <c r="DW330" s="281"/>
      <c r="DX330" s="281"/>
      <c r="DY330" s="281"/>
      <c r="DZ330" s="281"/>
      <c r="EA330" s="281"/>
      <c r="FK330" s="1493"/>
      <c r="IV330"/>
    </row>
    <row r="331" spans="119:256" s="11" customFormat="1" x14ac:dyDescent="0.25">
      <c r="DO331" s="333"/>
      <c r="DP331" s="333"/>
      <c r="DQ331" s="281"/>
      <c r="DR331" s="281"/>
      <c r="DS331" s="281"/>
      <c r="DT331" s="281"/>
      <c r="DU331" s="281"/>
      <c r="DV331" s="281"/>
      <c r="DW331" s="281"/>
      <c r="DX331" s="281"/>
      <c r="DY331" s="281"/>
      <c r="DZ331" s="281"/>
      <c r="EA331" s="281"/>
      <c r="FK331" s="1493"/>
      <c r="IV331"/>
    </row>
    <row r="332" spans="119:256" s="11" customFormat="1" ht="39" customHeight="1" x14ac:dyDescent="0.25">
      <c r="DO332" s="1447" t="s">
        <v>1363</v>
      </c>
      <c r="DP332" s="1447"/>
      <c r="DQ332" s="1448" t="s">
        <v>1364</v>
      </c>
      <c r="DR332" s="1448"/>
      <c r="DS332" s="1449" t="s">
        <v>894</v>
      </c>
      <c r="DT332" s="1449"/>
      <c r="DU332" s="1450" t="s">
        <v>2254</v>
      </c>
      <c r="DV332" s="1450"/>
      <c r="DW332" s="1450" t="s">
        <v>1791</v>
      </c>
      <c r="DX332" s="1450"/>
      <c r="DY332" s="1450" t="s">
        <v>1792</v>
      </c>
      <c r="DZ332" s="1450"/>
      <c r="EA332" s="1450" t="s">
        <v>1793</v>
      </c>
      <c r="FK332" s="1493"/>
      <c r="IV332"/>
    </row>
    <row r="333" spans="119:256" s="11" customFormat="1" ht="6" customHeight="1" x14ac:dyDescent="0.25">
      <c r="DO333" s="291"/>
      <c r="DP333" s="291"/>
      <c r="DQ333" s="1418"/>
      <c r="DR333" s="1418"/>
      <c r="DS333" s="327"/>
      <c r="DT333" s="327"/>
      <c r="DU333" s="306"/>
      <c r="DV333" s="306"/>
      <c r="DW333" s="306"/>
      <c r="DX333" s="306"/>
      <c r="DY333" s="306"/>
      <c r="DZ333" s="306"/>
      <c r="EA333" s="306"/>
      <c r="FK333" s="1493"/>
      <c r="IV333"/>
    </row>
    <row r="334" spans="119:256" s="11" customFormat="1" x14ac:dyDescent="0.25">
      <c r="DO334" s="311" t="s">
        <v>95</v>
      </c>
      <c r="DP334" s="311"/>
      <c r="DQ334" s="1419">
        <v>9804845</v>
      </c>
      <c r="DR334" s="1419"/>
      <c r="DS334" s="305">
        <v>16443</v>
      </c>
      <c r="DT334" s="305"/>
      <c r="DU334" s="560">
        <v>2092</v>
      </c>
      <c r="DV334" s="330"/>
      <c r="DW334" s="305">
        <v>596.29295140789395</v>
      </c>
      <c r="DX334" s="305"/>
      <c r="DY334" s="328">
        <v>348.56819615125397</v>
      </c>
      <c r="DZ334" s="328"/>
      <c r="EA334" s="1443">
        <f t="shared" ref="EA334:EA344" si="15">(DU334*1000000)/DQ334</f>
        <v>213.36390325395251</v>
      </c>
      <c r="FK334" s="1493"/>
      <c r="IV334"/>
    </row>
    <row r="335" spans="119:256" s="11" customFormat="1" ht="6" customHeight="1" x14ac:dyDescent="0.25">
      <c r="DO335" s="311"/>
      <c r="DP335" s="311"/>
      <c r="DQ335" s="1419"/>
      <c r="DR335" s="1419"/>
      <c r="DS335" s="305"/>
      <c r="DT335" s="305"/>
      <c r="DU335" s="560"/>
      <c r="DV335" s="330"/>
      <c r="DW335" s="305"/>
      <c r="DX335" s="305"/>
      <c r="DY335" s="328"/>
      <c r="DZ335" s="328"/>
      <c r="EA335" s="1443"/>
      <c r="FK335" s="1493"/>
      <c r="IV335"/>
    </row>
    <row r="336" spans="119:256" s="11" customFormat="1" x14ac:dyDescent="0.25">
      <c r="DO336" s="1435" t="s">
        <v>430</v>
      </c>
      <c r="DP336" s="1435"/>
      <c r="DQ336" s="1436">
        <f>DQ354</f>
        <v>6125003</v>
      </c>
      <c r="DR336" s="1436"/>
      <c r="DS336" s="735">
        <f>DS337-+(1500+40*6)</f>
        <v>9559</v>
      </c>
      <c r="DT336" s="735"/>
      <c r="DU336" s="1437">
        <f>DU353</f>
        <v>965.49</v>
      </c>
      <c r="DV336" s="1437"/>
      <c r="DW336" s="735">
        <f>DQ336/DS336</f>
        <v>640.7577152421801</v>
      </c>
      <c r="DX336" s="735"/>
      <c r="DY336" s="1440">
        <f>DU336*1000000/365/DS336</f>
        <v>276.72121374534794</v>
      </c>
      <c r="DZ336" s="1438"/>
      <c r="EA336" s="1440">
        <f t="shared" si="15"/>
        <v>157.63094320117068</v>
      </c>
      <c r="FK336" s="1493"/>
      <c r="IV336"/>
    </row>
    <row r="337" spans="119:256" s="11" customFormat="1" x14ac:dyDescent="0.25">
      <c r="DO337" s="1435" t="s">
        <v>431</v>
      </c>
      <c r="DP337" s="1435"/>
      <c r="DQ337" s="1436">
        <f>DQ336</f>
        <v>6125003</v>
      </c>
      <c r="DR337" s="1436"/>
      <c r="DS337" s="735">
        <f>DS353</f>
        <v>11299</v>
      </c>
      <c r="DT337" s="735"/>
      <c r="DU337" s="1437">
        <f>DU336</f>
        <v>965.49</v>
      </c>
      <c r="DV337" s="1437"/>
      <c r="DW337" s="735">
        <f>DQ337/DS337</f>
        <v>542.08363571997518</v>
      </c>
      <c r="DX337" s="735"/>
      <c r="DY337" s="1440">
        <f>DU337*1000000/365/DS337</f>
        <v>234.10727340399865</v>
      </c>
      <c r="DZ337" s="1438"/>
      <c r="EA337" s="1440">
        <f t="shared" si="15"/>
        <v>157.63094320117068</v>
      </c>
      <c r="FK337" s="1493"/>
      <c r="IV337"/>
    </row>
    <row r="338" spans="119:256" s="11" customFormat="1" ht="6" customHeight="1" x14ac:dyDescent="0.25">
      <c r="DO338" s="526"/>
      <c r="DP338" s="526"/>
      <c r="DQ338" s="1420"/>
      <c r="DR338" s="1420"/>
      <c r="DS338" s="331"/>
      <c r="DT338" s="331"/>
      <c r="DU338" s="330"/>
      <c r="DV338" s="330"/>
      <c r="DW338" s="331"/>
      <c r="DX338" s="331"/>
      <c r="DY338" s="1442"/>
      <c r="DZ338" s="1172"/>
      <c r="EA338" s="1442"/>
      <c r="FK338" s="1493"/>
      <c r="IV338"/>
    </row>
    <row r="339" spans="119:256" s="11" customFormat="1" x14ac:dyDescent="0.25">
      <c r="DO339" s="311" t="s">
        <v>2074</v>
      </c>
      <c r="DP339" s="311"/>
      <c r="DQ339" s="1420">
        <v>4726779</v>
      </c>
      <c r="DR339" s="1420"/>
      <c r="DS339" s="330">
        <v>14913</v>
      </c>
      <c r="DT339" s="330"/>
      <c r="DU339" s="330">
        <v>1593.5</v>
      </c>
      <c r="DV339" s="330"/>
      <c r="DW339" s="305">
        <v>316.9569503118085</v>
      </c>
      <c r="DX339" s="305"/>
      <c r="DY339" s="1441">
        <v>292.74816768306403</v>
      </c>
      <c r="DZ339" s="328"/>
      <c r="EA339" s="1441">
        <f t="shared" si="15"/>
        <v>337.12174823489738</v>
      </c>
      <c r="FK339" s="1493"/>
      <c r="IV339"/>
    </row>
    <row r="340" spans="119:256" s="11" customFormat="1" x14ac:dyDescent="0.25">
      <c r="DO340" s="311" t="s">
        <v>1634</v>
      </c>
      <c r="DP340" s="311"/>
      <c r="DQ340" s="1419">
        <v>2171896</v>
      </c>
      <c r="DR340" s="1419"/>
      <c r="DS340" s="330">
        <v>7082</v>
      </c>
      <c r="DT340" s="330"/>
      <c r="DU340" s="330">
        <v>691.2</v>
      </c>
      <c r="DV340" s="330"/>
      <c r="DW340" s="305">
        <v>306.67833945213215</v>
      </c>
      <c r="DX340" s="305"/>
      <c r="DY340" s="1441">
        <v>267.3960223294248</v>
      </c>
      <c r="DZ340" s="328"/>
      <c r="EA340" s="1441">
        <f t="shared" si="15"/>
        <v>318.2472825586492</v>
      </c>
      <c r="FK340" s="1493"/>
      <c r="IV340"/>
    </row>
    <row r="341" spans="119:256" s="11" customFormat="1" x14ac:dyDescent="0.25">
      <c r="DO341" s="311" t="s">
        <v>744</v>
      </c>
      <c r="DP341" s="311"/>
      <c r="DQ341" s="1419">
        <v>2828990</v>
      </c>
      <c r="DR341" s="1419"/>
      <c r="DS341" s="330">
        <v>12523</v>
      </c>
      <c r="DT341" s="330"/>
      <c r="DU341" s="330">
        <v>1050</v>
      </c>
      <c r="DV341" s="330"/>
      <c r="DW341" s="305">
        <v>225.90353749101652</v>
      </c>
      <c r="DX341" s="305"/>
      <c r="DY341" s="1441">
        <v>229.71431196734994</v>
      </c>
      <c r="DZ341" s="328"/>
      <c r="EA341" s="1441">
        <f t="shared" si="15"/>
        <v>371.15719744502456</v>
      </c>
      <c r="FK341" s="1493"/>
      <c r="IV341"/>
    </row>
    <row r="342" spans="119:256" s="11" customFormat="1" x14ac:dyDescent="0.25">
      <c r="DO342" s="311" t="s">
        <v>745</v>
      </c>
      <c r="DP342" s="311"/>
      <c r="DQ342" s="1419">
        <v>2067585</v>
      </c>
      <c r="DR342" s="1419"/>
      <c r="DS342" s="331">
        <v>9812</v>
      </c>
      <c r="DT342" s="331"/>
      <c r="DU342" s="330">
        <v>758.02300000000002</v>
      </c>
      <c r="DV342" s="330"/>
      <c r="DW342" s="305">
        <v>210.72003668976762</v>
      </c>
      <c r="DX342" s="305"/>
      <c r="DY342" s="1441">
        <v>211.65667982732913</v>
      </c>
      <c r="DZ342" s="328"/>
      <c r="EA342" s="1441">
        <f t="shared" si="15"/>
        <v>366.62241213783233</v>
      </c>
      <c r="FK342" s="1493"/>
      <c r="IV342"/>
    </row>
    <row r="343" spans="119:256" s="11" customFormat="1" x14ac:dyDescent="0.25">
      <c r="DO343" s="526" t="s">
        <v>2234</v>
      </c>
      <c r="DP343" s="526"/>
      <c r="DQ343" s="1420">
        <v>1189981</v>
      </c>
      <c r="DR343" s="1420"/>
      <c r="DS343" s="331">
        <f>DS328</f>
        <v>10915</v>
      </c>
      <c r="DT343" s="331"/>
      <c r="DU343" s="330">
        <f>DU328</f>
        <v>859.17118304000007</v>
      </c>
      <c r="DV343" s="330"/>
      <c r="DW343" s="331">
        <f>DQ343/DS343</f>
        <v>109.02253779202931</v>
      </c>
      <c r="DX343" s="331"/>
      <c r="DY343" s="1442">
        <f>DU343*1000000/365/DS343</f>
        <v>215.6567706976073</v>
      </c>
      <c r="DZ343" s="1439"/>
      <c r="EA343" s="1441">
        <f t="shared" si="15"/>
        <v>722.00411858676739</v>
      </c>
      <c r="FK343" s="1493"/>
      <c r="IV343"/>
    </row>
    <row r="344" spans="119:256" s="11" customFormat="1" x14ac:dyDescent="0.25">
      <c r="DO344" s="311" t="s">
        <v>1702</v>
      </c>
      <c r="DP344" s="311"/>
      <c r="DQ344" s="1419">
        <v>786947</v>
      </c>
      <c r="DR344" s="1419"/>
      <c r="DS344" s="305">
        <v>4054</v>
      </c>
      <c r="DT344" s="305"/>
      <c r="DU344" s="330">
        <v>306.5</v>
      </c>
      <c r="DV344" s="330"/>
      <c r="DW344" s="305">
        <v>194.11618154908732</v>
      </c>
      <c r="DX344" s="305"/>
      <c r="DY344" s="1441">
        <v>207.13518189374946</v>
      </c>
      <c r="DZ344" s="328"/>
      <c r="EA344" s="1441">
        <f t="shared" si="15"/>
        <v>389.47985061255713</v>
      </c>
      <c r="FK344" s="1493"/>
      <c r="IV344"/>
    </row>
    <row r="345" spans="119:256" s="11" customFormat="1" x14ac:dyDescent="0.25">
      <c r="DO345" s="311"/>
      <c r="DP345" s="311"/>
      <c r="DQ345" s="310"/>
      <c r="DR345" s="310"/>
      <c r="DS345" s="305"/>
      <c r="DT345" s="305"/>
      <c r="DU345" s="330"/>
      <c r="DV345" s="330"/>
      <c r="DW345" s="305"/>
      <c r="DX345" s="305"/>
      <c r="DY345" s="328"/>
      <c r="DZ345" s="328"/>
      <c r="EA345" s="334"/>
      <c r="FK345" s="1493"/>
      <c r="IV345"/>
    </row>
    <row r="346" spans="119:256" s="11" customFormat="1" x14ac:dyDescent="0.25">
      <c r="DO346" s="281" t="s">
        <v>1230</v>
      </c>
      <c r="DP346" s="291"/>
      <c r="DQ346" s="336"/>
      <c r="DR346" s="336"/>
      <c r="FK346" s="1493"/>
      <c r="IV346"/>
    </row>
    <row r="347" spans="119:256" s="11" customFormat="1" x14ac:dyDescent="0.25">
      <c r="DO347" s="281" t="s">
        <v>675</v>
      </c>
      <c r="DP347" s="291"/>
      <c r="DQ347" s="336"/>
      <c r="DR347" s="336"/>
      <c r="FK347" s="1493"/>
      <c r="IV347"/>
    </row>
    <row r="348" spans="119:256" s="11" customFormat="1" x14ac:dyDescent="0.25">
      <c r="DO348" s="281" t="s">
        <v>676</v>
      </c>
      <c r="DP348" s="291"/>
      <c r="DQ348" s="336"/>
      <c r="DR348" s="336"/>
      <c r="FK348" s="1493"/>
      <c r="IV348"/>
    </row>
    <row r="349" spans="119:256" s="11" customFormat="1" ht="3.75" customHeight="1" x14ac:dyDescent="0.25">
      <c r="DO349" s="311"/>
      <c r="DP349" s="311"/>
      <c r="DQ349" s="340"/>
      <c r="DR349" s="340"/>
      <c r="DS349" s="327"/>
      <c r="DT349" s="327"/>
      <c r="DU349" s="306"/>
      <c r="DV349" s="306"/>
      <c r="DW349" s="306"/>
      <c r="DX349" s="306"/>
      <c r="DY349" s="306"/>
      <c r="DZ349" s="306"/>
      <c r="FK349" s="1493"/>
      <c r="IV349"/>
    </row>
    <row r="350" spans="119:256" s="11" customFormat="1" x14ac:dyDescent="0.25">
      <c r="DO350" s="281"/>
      <c r="DP350" s="281"/>
      <c r="DQ350" s="340"/>
      <c r="DR350" s="340"/>
      <c r="DS350" s="305"/>
      <c r="DT350" s="305"/>
      <c r="DU350" s="330"/>
      <c r="DV350" s="330"/>
      <c r="DW350" s="305"/>
      <c r="DX350" s="305"/>
      <c r="DY350" s="335"/>
      <c r="DZ350" s="335"/>
      <c r="EA350" s="334"/>
      <c r="EC350" s="10" t="s">
        <v>2235</v>
      </c>
      <c r="FK350" s="1493"/>
      <c r="IV350"/>
    </row>
    <row r="351" spans="119:256" s="11" customFormat="1" x14ac:dyDescent="0.25">
      <c r="DO351" s="311"/>
      <c r="DP351" s="311"/>
      <c r="DQ351" s="340"/>
      <c r="DR351" s="340"/>
      <c r="DS351" s="310"/>
      <c r="DT351" s="310"/>
      <c r="DU351" s="310"/>
      <c r="DV351" s="310"/>
      <c r="DW351" s="305"/>
      <c r="DX351" s="305"/>
      <c r="DY351" s="335"/>
      <c r="DZ351" s="335"/>
      <c r="EA351" s="334"/>
      <c r="FK351" s="1493"/>
      <c r="IV351"/>
    </row>
    <row r="352" spans="119:256" s="11" customFormat="1" x14ac:dyDescent="0.25">
      <c r="DO352" s="311" t="s">
        <v>865</v>
      </c>
      <c r="DP352" s="311"/>
      <c r="DQ352" s="340">
        <v>5900000</v>
      </c>
      <c r="DR352" s="340"/>
      <c r="DS352" s="330"/>
      <c r="DT352" s="330"/>
      <c r="DU352" s="330"/>
      <c r="DV352" s="330"/>
      <c r="DW352" s="305"/>
      <c r="DX352" s="305"/>
      <c r="DY352" s="335"/>
      <c r="DZ352" s="335"/>
      <c r="EA352" s="334"/>
      <c r="ED352" s="11" t="s">
        <v>894</v>
      </c>
      <c r="EE352" s="11" t="s">
        <v>674</v>
      </c>
      <c r="FK352" s="1493"/>
      <c r="IV352"/>
    </row>
    <row r="353" spans="119:256" s="11" customFormat="1" x14ac:dyDescent="0.25">
      <c r="DO353" s="281" t="s">
        <v>866</v>
      </c>
      <c r="DP353" s="281"/>
      <c r="DQ353" s="1431">
        <v>225003</v>
      </c>
      <c r="DR353" s="340"/>
      <c r="DS353" s="1433">
        <f>(1306+50*6)+1979+1620+(2800+70*6)+1134+(1500+40*6)</f>
        <v>11299</v>
      </c>
      <c r="DT353" s="330"/>
      <c r="DU353" s="1434">
        <f>638.49+275+(7+45)</f>
        <v>965.49</v>
      </c>
      <c r="DV353" s="330"/>
      <c r="DW353" s="305"/>
      <c r="DX353" s="305"/>
      <c r="DY353" s="335"/>
      <c r="DZ353" s="335"/>
      <c r="EA353" s="334"/>
      <c r="EC353" s="11" t="s">
        <v>671</v>
      </c>
      <c r="ED353" s="426">
        <v>974</v>
      </c>
      <c r="EE353" s="314">
        <v>146.10717061572322</v>
      </c>
      <c r="FK353" s="1493"/>
      <c r="IV353"/>
    </row>
    <row r="354" spans="119:256" s="11" customFormat="1" x14ac:dyDescent="0.25">
      <c r="DO354" s="311"/>
      <c r="DP354" s="311"/>
      <c r="DQ354" s="305">
        <f>SUM(DQ352:DQ353)</f>
        <v>6125003</v>
      </c>
      <c r="DR354" s="340"/>
      <c r="DS354" s="310">
        <f>SUM(DS352:DS353)</f>
        <v>11299</v>
      </c>
      <c r="DT354" s="310"/>
      <c r="DU354" s="1419">
        <f>SUM(DU352:DU353)</f>
        <v>965.49</v>
      </c>
      <c r="DV354" s="310"/>
      <c r="DW354" s="297">
        <f>DQ354/DS354</f>
        <v>542.08363571997518</v>
      </c>
      <c r="DX354" s="305"/>
      <c r="DY354" s="1432">
        <f>DU354*1000000/365/DS354</f>
        <v>234.10727340399865</v>
      </c>
      <c r="DZ354" s="1432"/>
      <c r="EA354" s="1422">
        <f>(DU354*1000000)/DQ354/365</f>
        <v>0.43186559781142653</v>
      </c>
      <c r="EC354" s="1401" t="s">
        <v>672</v>
      </c>
      <c r="ED354" s="11">
        <v>1686</v>
      </c>
      <c r="EE354" s="314">
        <v>224.43198386728645</v>
      </c>
      <c r="FK354" s="1493"/>
      <c r="IV354"/>
    </row>
    <row r="355" spans="119:256" s="11" customFormat="1" x14ac:dyDescent="0.25">
      <c r="DO355" s="311"/>
      <c r="DP355" s="311"/>
      <c r="DQ355" s="340"/>
      <c r="DR355" s="340"/>
      <c r="DS355" s="310"/>
      <c r="DT355" s="310"/>
      <c r="DU355" s="310"/>
      <c r="DV355" s="310"/>
      <c r="DW355" s="305"/>
      <c r="DX355" s="305"/>
      <c r="DY355" s="335"/>
      <c r="DZ355" s="335"/>
      <c r="EA355" s="334"/>
      <c r="EC355" s="11" t="s">
        <v>673</v>
      </c>
      <c r="ED355" s="11">
        <v>1184</v>
      </c>
      <c r="EE355" s="314">
        <v>238.4469790207846</v>
      </c>
      <c r="FK355" s="1493"/>
      <c r="IV355"/>
    </row>
    <row r="356" spans="119:256" s="11" customFormat="1" x14ac:dyDescent="0.25">
      <c r="DO356" s="311"/>
      <c r="DP356" s="311"/>
      <c r="DQ356" s="340"/>
      <c r="DR356" s="340"/>
      <c r="DS356" s="331"/>
      <c r="DT356" s="331"/>
      <c r="DU356" s="330"/>
      <c r="DV356" s="330"/>
      <c r="DW356" s="309">
        <f>DW337/DW336-1</f>
        <v>-0.15399592884326052</v>
      </c>
      <c r="DX356" s="305"/>
      <c r="DY356" s="309">
        <f>DY337/DY336-1</f>
        <v>-0.15399592884326052</v>
      </c>
      <c r="DZ356" s="334"/>
      <c r="EA356" s="334"/>
      <c r="EC356" s="11" t="s">
        <v>1779</v>
      </c>
      <c r="ED356" s="11">
        <f>1500+44*6</f>
        <v>1764</v>
      </c>
      <c r="EE356" s="1402">
        <f>EE354*0.9</f>
        <v>201.98878548055779</v>
      </c>
      <c r="FK356" s="1493"/>
      <c r="IV356"/>
    </row>
    <row r="357" spans="119:256" s="11" customFormat="1" x14ac:dyDescent="0.25">
      <c r="DO357" s="311"/>
      <c r="DP357" s="311"/>
      <c r="DQ357" s="310"/>
      <c r="DR357" s="310"/>
      <c r="DS357" s="305" t="s">
        <v>867</v>
      </c>
      <c r="DT357" s="305"/>
      <c r="DU357" s="330"/>
      <c r="DV357" s="330"/>
      <c r="DW357" s="305"/>
      <c r="DX357" s="305"/>
      <c r="DY357" s="334"/>
      <c r="DZ357" s="334"/>
      <c r="EA357" s="334"/>
      <c r="FK357" s="1493"/>
      <c r="IV357"/>
    </row>
    <row r="358" spans="119:256" s="11" customFormat="1" x14ac:dyDescent="0.25">
      <c r="DO358" s="291"/>
      <c r="DP358" s="291"/>
      <c r="DQ358" s="306"/>
      <c r="DR358" s="306"/>
      <c r="EC358" s="10" t="s">
        <v>2236</v>
      </c>
      <c r="FK358" s="1493"/>
      <c r="IV358"/>
    </row>
    <row r="359" spans="119:256" s="11" customFormat="1" x14ac:dyDescent="0.25">
      <c r="DO359" s="311"/>
      <c r="DP359" s="311"/>
      <c r="DQ359" s="754"/>
      <c r="DR359" s="754"/>
      <c r="FK359" s="1493"/>
      <c r="IV359"/>
    </row>
    <row r="360" spans="119:256" s="11" customFormat="1" x14ac:dyDescent="0.25">
      <c r="DO360" s="281"/>
      <c r="DP360" s="281"/>
      <c r="DQ360" s="754"/>
      <c r="DR360" s="754"/>
      <c r="ED360" s="11" t="s">
        <v>894</v>
      </c>
      <c r="EE360" s="11" t="s">
        <v>674</v>
      </c>
      <c r="FK360" s="1493"/>
      <c r="IV360"/>
    </row>
    <row r="361" spans="119:256" s="11" customFormat="1" x14ac:dyDescent="0.25">
      <c r="DO361" s="311"/>
      <c r="DP361" s="311"/>
      <c r="DQ361" s="756" t="s">
        <v>868</v>
      </c>
      <c r="DR361" s="756"/>
      <c r="DS361" s="11">
        <v>974</v>
      </c>
      <c r="EC361" s="11" t="s">
        <v>670</v>
      </c>
      <c r="ED361" s="11">
        <v>2673</v>
      </c>
      <c r="EE361" s="314">
        <v>358.67408298800336</v>
      </c>
      <c r="FK361" s="1493"/>
      <c r="IV361"/>
    </row>
    <row r="362" spans="119:256" s="11" customFormat="1" x14ac:dyDescent="0.25">
      <c r="DO362" s="281"/>
      <c r="DP362" s="281"/>
      <c r="DQ362" s="756" t="s">
        <v>869</v>
      </c>
      <c r="DR362" s="756"/>
      <c r="FK362" s="1493"/>
      <c r="IV362"/>
    </row>
    <row r="363" spans="119:256" s="11" customFormat="1" x14ac:dyDescent="0.25">
      <c r="DO363" s="311"/>
      <c r="DP363" s="311"/>
      <c r="DQ363" s="756" t="s">
        <v>870</v>
      </c>
      <c r="DR363" s="756"/>
      <c r="DS363" s="11">
        <v>15</v>
      </c>
      <c r="EC363" s="10" t="s">
        <v>1638</v>
      </c>
      <c r="FK363" s="1493"/>
      <c r="IV363"/>
    </row>
    <row r="364" spans="119:256" s="11" customFormat="1" x14ac:dyDescent="0.25">
      <c r="DO364" s="311"/>
      <c r="DP364" s="311"/>
      <c r="DQ364" s="754" t="s">
        <v>871</v>
      </c>
      <c r="DR364" s="754"/>
      <c r="DS364" s="11">
        <v>145</v>
      </c>
      <c r="FK364" s="1493"/>
      <c r="IV364"/>
    </row>
    <row r="365" spans="119:256" s="11" customFormat="1" x14ac:dyDescent="0.25">
      <c r="DO365" s="311"/>
      <c r="DP365" s="311"/>
      <c r="DQ365" s="754"/>
      <c r="DR365" s="754"/>
      <c r="DS365" s="11">
        <f>SUM(DS361:DS364)</f>
        <v>1134</v>
      </c>
      <c r="ED365" s="11" t="s">
        <v>894</v>
      </c>
      <c r="EE365" s="11" t="s">
        <v>674</v>
      </c>
      <c r="FK365" s="1493"/>
      <c r="IV365"/>
    </row>
    <row r="366" spans="119:256" s="11" customFormat="1" x14ac:dyDescent="0.25">
      <c r="EC366" s="11" t="s">
        <v>1639</v>
      </c>
      <c r="ED366" s="11">
        <v>606</v>
      </c>
      <c r="EE366" s="314">
        <v>205.20149473011818</v>
      </c>
      <c r="FK366" s="1493"/>
      <c r="IV366"/>
    </row>
    <row r="367" spans="119:256" s="11" customFormat="1" x14ac:dyDescent="0.25">
      <c r="FK367" s="1493"/>
      <c r="IV367"/>
    </row>
    <row r="368" spans="119:256" s="11" customFormat="1" x14ac:dyDescent="0.25">
      <c r="EG368" s="10" t="s">
        <v>121</v>
      </c>
      <c r="FK368" s="1493"/>
      <c r="IV368"/>
    </row>
    <row r="369" spans="137:256" s="11" customFormat="1" ht="23.25" customHeight="1" x14ac:dyDescent="0.25">
      <c r="EH369" s="1403" t="s">
        <v>1753</v>
      </c>
      <c r="EI369" s="1403" t="s">
        <v>1754</v>
      </c>
      <c r="EJ369" s="1403" t="s">
        <v>126</v>
      </c>
      <c r="FK369" s="1493"/>
      <c r="IV369"/>
    </row>
    <row r="370" spans="137:256" s="11" customFormat="1" x14ac:dyDescent="0.25">
      <c r="EG370" s="11" t="s">
        <v>122</v>
      </c>
      <c r="EH370" s="11">
        <v>29</v>
      </c>
      <c r="EI370" s="11">
        <v>127</v>
      </c>
      <c r="EJ370" s="11">
        <v>6.66</v>
      </c>
      <c r="FK370" s="1493"/>
      <c r="IV370"/>
    </row>
    <row r="371" spans="137:256" s="11" customFormat="1" x14ac:dyDescent="0.25">
      <c r="EG371" s="11" t="s">
        <v>123</v>
      </c>
      <c r="EH371" s="11">
        <v>376</v>
      </c>
      <c r="EI371" s="11">
        <v>1365</v>
      </c>
      <c r="EJ371" s="11">
        <v>51.195</v>
      </c>
      <c r="FK371" s="1493"/>
      <c r="IV371"/>
    </row>
    <row r="372" spans="137:256" s="11" customFormat="1" x14ac:dyDescent="0.25">
      <c r="EG372" s="11" t="s">
        <v>124</v>
      </c>
      <c r="EH372" s="11">
        <v>524</v>
      </c>
      <c r="EI372" s="11">
        <v>2057</v>
      </c>
      <c r="EJ372" s="11">
        <v>97.712000000000003</v>
      </c>
      <c r="FK372" s="1493"/>
      <c r="IV372"/>
    </row>
    <row r="373" spans="137:256" s="11" customFormat="1" x14ac:dyDescent="0.25">
      <c r="EG373" s="11" t="s">
        <v>125</v>
      </c>
      <c r="EH373" s="11">
        <v>55</v>
      </c>
      <c r="EI373" s="11">
        <v>243</v>
      </c>
      <c r="EJ373" s="11">
        <v>14.555999999999999</v>
      </c>
      <c r="FK373" s="1493"/>
      <c r="IV373"/>
    </row>
    <row r="374" spans="137:256" s="11" customFormat="1" x14ac:dyDescent="0.25">
      <c r="EI374" s="10">
        <f>SUM(EI370:EI373)</f>
        <v>3792</v>
      </c>
      <c r="EJ374" s="10">
        <f>SUM(EJ370:EJ373)</f>
        <v>170.12300000000002</v>
      </c>
      <c r="FK374" s="1493"/>
      <c r="IV374"/>
    </row>
    <row r="375" spans="137:256" s="11" customFormat="1" x14ac:dyDescent="0.25">
      <c r="FK375" s="1493"/>
      <c r="IV375"/>
    </row>
    <row r="376" spans="137:256" s="11" customFormat="1" x14ac:dyDescent="0.25">
      <c r="EN376" s="359" t="s">
        <v>432</v>
      </c>
      <c r="FK376" s="1493"/>
      <c r="IV376"/>
    </row>
    <row r="377" spans="137:256" s="11" customFormat="1" x14ac:dyDescent="0.25">
      <c r="EO377" s="745" t="s">
        <v>1484</v>
      </c>
      <c r="EP377" s="745" t="s">
        <v>1364</v>
      </c>
      <c r="EQ377" s="745" t="s">
        <v>1790</v>
      </c>
      <c r="FK377" s="1493"/>
      <c r="IV377"/>
    </row>
    <row r="378" spans="137:256" s="11" customFormat="1" x14ac:dyDescent="0.25">
      <c r="EN378" s="873" t="s">
        <v>1929</v>
      </c>
      <c r="EO378" s="1444" t="s">
        <v>894</v>
      </c>
      <c r="EP378" s="747" t="s">
        <v>433</v>
      </c>
      <c r="EQ378" s="747" t="s">
        <v>434</v>
      </c>
      <c r="FK378" s="1493"/>
      <c r="IV378"/>
    </row>
    <row r="379" spans="137:256" s="11" customFormat="1" x14ac:dyDescent="0.25">
      <c r="FK379" s="1493"/>
      <c r="IV379"/>
    </row>
    <row r="380" spans="137:256" s="11" customFormat="1" x14ac:dyDescent="0.25">
      <c r="EN380" s="311" t="s">
        <v>95</v>
      </c>
      <c r="EO380" s="11">
        <f>DS334</f>
        <v>16443</v>
      </c>
      <c r="EP380" s="11">
        <f>DW334</f>
        <v>596.29295140789395</v>
      </c>
      <c r="EQ380" s="388">
        <f>DY334</f>
        <v>348.56819615125397</v>
      </c>
      <c r="FK380" s="1493"/>
      <c r="IV380"/>
    </row>
    <row r="381" spans="137:256" s="11" customFormat="1" x14ac:dyDescent="0.25">
      <c r="EN381" s="1435" t="s">
        <v>866</v>
      </c>
      <c r="EO381" s="1445">
        <f>DS336</f>
        <v>9559</v>
      </c>
      <c r="EP381" s="1445">
        <f>DW336</f>
        <v>640.7577152421801</v>
      </c>
      <c r="EQ381" s="1446">
        <f>DY336</f>
        <v>276.72121374534794</v>
      </c>
      <c r="FK381" s="1493"/>
      <c r="IV381"/>
    </row>
    <row r="382" spans="137:256" s="11" customFormat="1" x14ac:dyDescent="0.25">
      <c r="EN382" s="1435" t="s">
        <v>429</v>
      </c>
      <c r="EO382" s="1445">
        <f>DS337</f>
        <v>11299</v>
      </c>
      <c r="EP382" s="1445">
        <f>DW337</f>
        <v>542.08363571997518</v>
      </c>
      <c r="EQ382" s="1446">
        <f>DY337</f>
        <v>234.10727340399865</v>
      </c>
      <c r="FK382" s="1493"/>
      <c r="IV382"/>
    </row>
    <row r="383" spans="137:256" s="11" customFormat="1" x14ac:dyDescent="0.25">
      <c r="EN383" s="311" t="s">
        <v>2074</v>
      </c>
      <c r="EO383" s="11">
        <f t="shared" ref="EO383:EO388" si="16">DS339</f>
        <v>14913</v>
      </c>
      <c r="EP383" s="11">
        <f t="shared" ref="EP383:EP388" si="17">DW339</f>
        <v>316.9569503118085</v>
      </c>
      <c r="EQ383" s="426">
        <f t="shared" ref="EQ383:EQ388" si="18">DY339</f>
        <v>292.74816768306403</v>
      </c>
      <c r="FK383" s="1493"/>
      <c r="IV383"/>
    </row>
    <row r="384" spans="137:256" s="11" customFormat="1" x14ac:dyDescent="0.25">
      <c r="EN384" s="311" t="s">
        <v>1634</v>
      </c>
      <c r="EO384" s="11">
        <f t="shared" si="16"/>
        <v>7082</v>
      </c>
      <c r="EP384" s="11">
        <f t="shared" si="17"/>
        <v>306.67833945213215</v>
      </c>
      <c r="EQ384" s="426">
        <f t="shared" si="18"/>
        <v>267.3960223294248</v>
      </c>
      <c r="FK384" s="1493"/>
      <c r="IV384"/>
    </row>
    <row r="385" spans="144:256" s="11" customFormat="1" x14ac:dyDescent="0.25">
      <c r="EN385" s="311" t="s">
        <v>744</v>
      </c>
      <c r="EO385" s="11">
        <f t="shared" si="16"/>
        <v>12523</v>
      </c>
      <c r="EP385" s="11">
        <f t="shared" si="17"/>
        <v>225.90353749101652</v>
      </c>
      <c r="EQ385" s="426">
        <f t="shared" si="18"/>
        <v>229.71431196734994</v>
      </c>
      <c r="FK385" s="1493"/>
      <c r="IV385"/>
    </row>
    <row r="386" spans="144:256" s="11" customFormat="1" x14ac:dyDescent="0.25">
      <c r="EN386" s="311" t="s">
        <v>745</v>
      </c>
      <c r="EO386" s="11">
        <f t="shared" si="16"/>
        <v>9812</v>
      </c>
      <c r="EP386" s="11">
        <f t="shared" si="17"/>
        <v>210.72003668976762</v>
      </c>
      <c r="EQ386" s="426">
        <f t="shared" si="18"/>
        <v>211.65667982732913</v>
      </c>
      <c r="FK386" s="1493"/>
      <c r="IV386"/>
    </row>
    <row r="387" spans="144:256" s="11" customFormat="1" x14ac:dyDescent="0.25">
      <c r="EN387" s="526" t="s">
        <v>2234</v>
      </c>
      <c r="EO387" s="11">
        <f t="shared" si="16"/>
        <v>10915</v>
      </c>
      <c r="EP387" s="11">
        <f t="shared" si="17"/>
        <v>109.02253779202931</v>
      </c>
      <c r="EQ387" s="426">
        <f t="shared" si="18"/>
        <v>215.6567706976073</v>
      </c>
      <c r="EZ387" s="745"/>
      <c r="FD387" s="745" t="s">
        <v>627</v>
      </c>
      <c r="FK387" s="1493"/>
      <c r="IV387"/>
    </row>
    <row r="388" spans="144:256" s="11" customFormat="1" x14ac:dyDescent="0.25">
      <c r="EN388" s="311" t="s">
        <v>1702</v>
      </c>
      <c r="EO388" s="11">
        <f t="shared" si="16"/>
        <v>4054</v>
      </c>
      <c r="EP388" s="11">
        <f t="shared" si="17"/>
        <v>194.11618154908732</v>
      </c>
      <c r="EQ388" s="426">
        <f t="shared" si="18"/>
        <v>207.13518189374946</v>
      </c>
      <c r="EZ388" s="745" t="s">
        <v>1854</v>
      </c>
      <c r="FB388" s="745" t="s">
        <v>1624</v>
      </c>
      <c r="FC388" s="745"/>
      <c r="FD388" s="745" t="s">
        <v>1460</v>
      </c>
      <c r="FK388" s="1493"/>
      <c r="IV388"/>
    </row>
    <row r="389" spans="144:256" s="11" customFormat="1" x14ac:dyDescent="0.25">
      <c r="EZ389" s="745" t="s">
        <v>1844</v>
      </c>
      <c r="FB389" s="445" t="s">
        <v>1210</v>
      </c>
      <c r="FC389" s="745"/>
      <c r="FD389" s="445" t="s">
        <v>1210</v>
      </c>
      <c r="FK389" s="1493"/>
      <c r="IV389"/>
    </row>
    <row r="390" spans="144:256" s="11" customFormat="1" x14ac:dyDescent="0.25">
      <c r="ET390" s="873" t="s">
        <v>1836</v>
      </c>
      <c r="EU390" s="294"/>
      <c r="EV390" s="873" t="s">
        <v>1837</v>
      </c>
      <c r="EW390" s="294"/>
      <c r="EX390" s="294"/>
      <c r="EY390" s="281"/>
      <c r="EZ390" s="747" t="s">
        <v>1845</v>
      </c>
      <c r="FB390" s="747" t="s">
        <v>1855</v>
      </c>
      <c r="FC390" s="745"/>
      <c r="FD390" s="747" t="s">
        <v>1288</v>
      </c>
      <c r="FK390" s="1493"/>
      <c r="IV390"/>
    </row>
    <row r="391" spans="144:256" s="11" customFormat="1" x14ac:dyDescent="0.25">
      <c r="ET391" s="333"/>
      <c r="EU391" s="333"/>
      <c r="EV391" s="333"/>
      <c r="FK391" s="1493"/>
      <c r="IV391"/>
    </row>
    <row r="392" spans="144:256" s="11" customFormat="1" x14ac:dyDescent="0.25">
      <c r="ET392" s="10" t="s">
        <v>1838</v>
      </c>
      <c r="EU392" s="1455" t="s">
        <v>1834</v>
      </c>
      <c r="EV392" s="1454" t="s">
        <v>2275</v>
      </c>
      <c r="EZ392" s="363" t="s">
        <v>1843</v>
      </c>
      <c r="FB392" s="363" t="s">
        <v>1856</v>
      </c>
      <c r="FD392" s="1457">
        <v>1</v>
      </c>
      <c r="FK392" s="1493"/>
      <c r="IV392"/>
    </row>
    <row r="393" spans="144:256" s="11" customFormat="1" x14ac:dyDescent="0.25">
      <c r="ET393" s="10"/>
      <c r="EU393" s="1454"/>
      <c r="EV393" s="1454" t="s">
        <v>1842</v>
      </c>
      <c r="EZ393" s="363"/>
      <c r="FB393" s="363"/>
      <c r="FK393" s="1493"/>
      <c r="IV393"/>
    </row>
    <row r="394" spans="144:256" s="11" customFormat="1" x14ac:dyDescent="0.25">
      <c r="ET394" s="10"/>
      <c r="EU394" s="1454"/>
      <c r="EV394" s="1454"/>
      <c r="EZ394" s="363"/>
      <c r="FB394" s="363"/>
      <c r="FK394" s="1493"/>
      <c r="IV394"/>
    </row>
    <row r="395" spans="144:256" s="11" customFormat="1" x14ac:dyDescent="0.25">
      <c r="ET395" s="10" t="s">
        <v>1839</v>
      </c>
      <c r="EU395" s="1455" t="s">
        <v>1834</v>
      </c>
      <c r="EV395" s="1454" t="s">
        <v>1849</v>
      </c>
      <c r="EZ395" s="363" t="s">
        <v>1847</v>
      </c>
      <c r="FB395" s="401" t="s">
        <v>1857</v>
      </c>
      <c r="FD395" s="1456" t="s">
        <v>1850</v>
      </c>
      <c r="FK395" s="1493"/>
      <c r="IV395"/>
    </row>
    <row r="396" spans="144:256" s="11" customFormat="1" ht="3.75" customHeight="1" x14ac:dyDescent="0.25">
      <c r="ET396" s="10"/>
      <c r="EU396" s="1455"/>
      <c r="EV396" s="1454"/>
      <c r="EZ396" s="363"/>
      <c r="FB396" s="401"/>
      <c r="FD396" s="1456"/>
      <c r="FK396" s="1493"/>
      <c r="IV396"/>
    </row>
    <row r="397" spans="144:256" s="11" customFormat="1" x14ac:dyDescent="0.25">
      <c r="ET397" s="10"/>
      <c r="EU397" s="1455"/>
      <c r="EV397" s="1454" t="s">
        <v>1846</v>
      </c>
      <c r="EZ397" s="363" t="s">
        <v>1289</v>
      </c>
      <c r="FB397" s="363" t="s">
        <v>1848</v>
      </c>
      <c r="FD397" s="1456" t="s">
        <v>1290</v>
      </c>
      <c r="FK397" s="1493"/>
      <c r="IV397"/>
    </row>
    <row r="398" spans="144:256" s="11" customFormat="1" x14ac:dyDescent="0.25">
      <c r="ET398" s="10"/>
      <c r="EU398" s="1454"/>
      <c r="EV398" s="1454"/>
      <c r="EZ398" s="363"/>
      <c r="FB398" s="363"/>
      <c r="FK398" s="1493"/>
      <c r="IV398"/>
    </row>
    <row r="399" spans="144:256" s="11" customFormat="1" x14ac:dyDescent="0.25">
      <c r="ET399" s="10" t="s">
        <v>1840</v>
      </c>
      <c r="EU399" s="1455" t="s">
        <v>1834</v>
      </c>
      <c r="EV399" s="1454" t="s">
        <v>1851</v>
      </c>
      <c r="EZ399" s="363" t="s">
        <v>1847</v>
      </c>
      <c r="FB399" s="363" t="s">
        <v>1856</v>
      </c>
      <c r="FD399" s="1457">
        <v>1</v>
      </c>
      <c r="FK399" s="1493"/>
      <c r="IV399"/>
    </row>
    <row r="400" spans="144:256" s="11" customFormat="1" x14ac:dyDescent="0.25">
      <c r="ET400" s="10"/>
      <c r="EU400" s="1454"/>
      <c r="EV400" s="1454"/>
      <c r="EZ400" s="363"/>
      <c r="FB400" s="363"/>
      <c r="FK400" s="1493"/>
      <c r="IV400"/>
    </row>
    <row r="401" spans="150:256" s="11" customFormat="1" x14ac:dyDescent="0.25">
      <c r="ET401" s="10" t="s">
        <v>1841</v>
      </c>
      <c r="EU401" s="1455" t="s">
        <v>1834</v>
      </c>
      <c r="EV401" s="1454" t="s">
        <v>1287</v>
      </c>
      <c r="EZ401" s="363" t="s">
        <v>1289</v>
      </c>
      <c r="FB401" s="363" t="s">
        <v>1225</v>
      </c>
      <c r="FC401" s="363"/>
      <c r="FD401" s="363" t="s">
        <v>1225</v>
      </c>
      <c r="FK401" s="1493"/>
      <c r="IV401"/>
    </row>
    <row r="402" spans="150:256" s="11" customFormat="1" x14ac:dyDescent="0.25">
      <c r="ET402" s="1454"/>
      <c r="EU402" s="1454"/>
      <c r="EV402" s="1454" t="s">
        <v>1853</v>
      </c>
      <c r="FK402" s="1493"/>
      <c r="IV402"/>
    </row>
    <row r="403" spans="150:256" s="11" customFormat="1" x14ac:dyDescent="0.25">
      <c r="ET403" s="1454"/>
      <c r="EU403" s="1454"/>
      <c r="EV403" s="1454"/>
      <c r="FK403" s="1493"/>
      <c r="IV403"/>
    </row>
    <row r="404" spans="150:256" s="11" customFormat="1" x14ac:dyDescent="0.25">
      <c r="ET404" t="s">
        <v>1835</v>
      </c>
      <c r="EU404" s="1455"/>
      <c r="EV404" s="1454"/>
      <c r="FK404" s="1493"/>
      <c r="IV404"/>
    </row>
    <row r="405" spans="150:256" s="11" customFormat="1" x14ac:dyDescent="0.25">
      <c r="ET405" s="1454"/>
      <c r="EU405" s="1454"/>
      <c r="EV405" s="1454"/>
      <c r="FK405" s="1493"/>
      <c r="IV405"/>
    </row>
    <row r="406" spans="150:256" s="11" customFormat="1" ht="3.75" customHeight="1" x14ac:dyDescent="0.25">
      <c r="ET406" s="1454"/>
      <c r="EU406" s="1454"/>
      <c r="EV406" s="1454"/>
      <c r="IV406"/>
    </row>
    <row r="407" spans="150:256" s="11" customFormat="1" x14ac:dyDescent="0.25">
      <c r="ET407" s="1454"/>
      <c r="EU407" s="1455"/>
      <c r="EV407" s="1454"/>
      <c r="FG407" s="1627" t="s">
        <v>1882</v>
      </c>
      <c r="FH407" s="1628"/>
      <c r="FI407" s="1628"/>
      <c r="FJ407" s="1628"/>
      <c r="FK407" s="1628"/>
      <c r="FL407" s="1628"/>
      <c r="FM407" s="1628"/>
      <c r="FN407" s="1628"/>
      <c r="FO407" s="1628"/>
      <c r="FP407" s="1628"/>
      <c r="IV407"/>
    </row>
    <row r="408" spans="150:256" s="11" customFormat="1" x14ac:dyDescent="0.25">
      <c r="ET408" s="1454"/>
      <c r="EU408" s="1455"/>
      <c r="EV408" s="1454"/>
      <c r="FG408" s="416"/>
      <c r="FH408" s="363"/>
      <c r="FI408" s="363"/>
      <c r="FJ408" s="363"/>
      <c r="FK408" s="363"/>
      <c r="FL408" s="363"/>
      <c r="IV408"/>
    </row>
    <row r="409" spans="150:256" s="11" customFormat="1" x14ac:dyDescent="0.25">
      <c r="ET409" s="1454"/>
      <c r="EU409" s="1455"/>
      <c r="EV409" s="1454"/>
      <c r="FG409" s="416" t="s">
        <v>1308</v>
      </c>
      <c r="FH409" s="363"/>
      <c r="FI409" s="363"/>
      <c r="FJ409" s="363"/>
      <c r="FK409" s="363"/>
      <c r="FL409" s="363"/>
      <c r="IV409"/>
    </row>
    <row r="410" spans="150:256" s="11" customFormat="1" x14ac:dyDescent="0.25">
      <c r="ET410" s="1454"/>
      <c r="EU410" s="1454"/>
      <c r="EV410" s="1454"/>
      <c r="FG410" s="10"/>
      <c r="FH410" s="745"/>
      <c r="FI410" s="893" t="s">
        <v>1624</v>
      </c>
      <c r="FJ410" s="893"/>
      <c r="FK410" s="502" t="s">
        <v>1544</v>
      </c>
      <c r="FL410" s="916" t="s">
        <v>1712</v>
      </c>
      <c r="FM410" s="10"/>
      <c r="FN410" s="916" t="s">
        <v>1713</v>
      </c>
      <c r="FO410" s="10"/>
      <c r="FP410" s="10"/>
      <c r="IV410"/>
    </row>
    <row r="411" spans="150:256" s="11" customFormat="1" x14ac:dyDescent="0.25">
      <c r="ET411" s="1454"/>
      <c r="EU411" s="1454"/>
      <c r="EV411" s="1454"/>
      <c r="FG411" s="1599" t="s">
        <v>1833</v>
      </c>
      <c r="FH411" s="576" t="s">
        <v>1213</v>
      </c>
      <c r="FI411" s="576" t="s">
        <v>1306</v>
      </c>
      <c r="FJ411" s="576" t="s">
        <v>1307</v>
      </c>
      <c r="FK411" s="747" t="s">
        <v>1624</v>
      </c>
      <c r="FL411" s="894" t="s">
        <v>1210</v>
      </c>
      <c r="FM411" s="576" t="s">
        <v>1372</v>
      </c>
      <c r="FN411" s="894" t="s">
        <v>1210</v>
      </c>
      <c r="FO411" s="576"/>
      <c r="FP411" s="1599" t="s">
        <v>1372</v>
      </c>
      <c r="IV411"/>
    </row>
    <row r="412" spans="150:256" s="11" customFormat="1" ht="12.75" customHeight="1" x14ac:dyDescent="0.25">
      <c r="EU412"/>
      <c r="EV412"/>
      <c r="FL412" s="419"/>
      <c r="FN412" s="419"/>
      <c r="IV412"/>
    </row>
    <row r="413" spans="150:256" s="11" customFormat="1" ht="24.95" customHeight="1" x14ac:dyDescent="0.25">
      <c r="FE413" s="11">
        <v>6</v>
      </c>
      <c r="FG413" s="1600" t="s">
        <v>1092</v>
      </c>
      <c r="FH413" s="1601" t="s">
        <v>1373</v>
      </c>
      <c r="FI413" s="1638">
        <f>PENN!AU296</f>
        <v>136.72670961208999</v>
      </c>
      <c r="FJ413" s="1638">
        <f>PENN!AZ296</f>
        <v>96.87660598968597</v>
      </c>
      <c r="FK413" s="1639">
        <f>PENN!AP296</f>
        <v>143.28475072690003</v>
      </c>
      <c r="FL413" s="1609">
        <f>FJ413-FI413</f>
        <v>-39.850103622404021</v>
      </c>
      <c r="FM413" s="1602"/>
      <c r="FN413" s="1612">
        <f>$FJ$413/$FI$413-1</f>
        <v>-0.29145807527631962</v>
      </c>
      <c r="FO413" s="1602"/>
      <c r="FP413" s="1608" t="s">
        <v>2238</v>
      </c>
      <c r="IV413"/>
    </row>
    <row r="414" spans="150:256" s="11" customFormat="1" ht="5.0999999999999996" customHeight="1" x14ac:dyDescent="0.25">
      <c r="FG414" s="1600"/>
      <c r="FH414" s="1601"/>
      <c r="FI414" s="1602"/>
      <c r="FJ414" s="1602"/>
      <c r="FK414" s="1603"/>
      <c r="FL414" s="1609"/>
      <c r="FM414" s="1602"/>
      <c r="FN414" s="1612"/>
      <c r="FO414" s="1602"/>
      <c r="FP414" s="1403"/>
      <c r="IV414"/>
    </row>
    <row r="415" spans="150:256" s="11" customFormat="1" ht="24.95" customHeight="1" x14ac:dyDescent="0.25">
      <c r="FE415" s="11">
        <v>4</v>
      </c>
      <c r="FG415" s="1600" t="s">
        <v>1788</v>
      </c>
      <c r="FH415" s="1601" t="s">
        <v>2237</v>
      </c>
      <c r="FI415" s="1602">
        <f>PENN!AP265</f>
        <v>194.67963596871107</v>
      </c>
      <c r="FJ415" s="1602">
        <f>PENN!AZ265</f>
        <v>155.40752876311831</v>
      </c>
      <c r="FK415" s="1604">
        <f>PENN!AP265</f>
        <v>194.67963596871107</v>
      </c>
      <c r="FL415" s="1610">
        <f>FJ415-FI415</f>
        <v>-39.272107205592761</v>
      </c>
      <c r="FM415" s="1602" t="s">
        <v>1376</v>
      </c>
      <c r="FN415" s="1612">
        <f>$FJ$415/$FI$415-1</f>
        <v>-0.20172683706838546</v>
      </c>
      <c r="FO415" s="1602"/>
      <c r="FP415" s="1403" t="s">
        <v>2145</v>
      </c>
      <c r="IV415"/>
    </row>
    <row r="416" spans="150:256" s="11" customFormat="1" ht="5.0999999999999996" customHeight="1" x14ac:dyDescent="0.25">
      <c r="FK416" s="1493"/>
      <c r="FL416" s="419"/>
      <c r="FN416" s="419"/>
      <c r="IV416"/>
    </row>
    <row r="417" spans="161:256" s="11" customFormat="1" ht="24.95" customHeight="1" x14ac:dyDescent="0.25">
      <c r="FE417" s="11">
        <v>3</v>
      </c>
      <c r="FG417" s="1605" t="s">
        <v>1093</v>
      </c>
      <c r="FH417" s="1601" t="s">
        <v>1310</v>
      </c>
      <c r="FI417" s="1602">
        <f>PENN!AP297</f>
        <v>71.420191476650018</v>
      </c>
      <c r="FJ417" s="1602">
        <f>PENN!AU297</f>
        <v>54.092685367668764</v>
      </c>
      <c r="FK417" s="1604">
        <f>PENN!AP297</f>
        <v>71.420191476650018</v>
      </c>
      <c r="FL417" s="1610">
        <f>FJ417-FI417</f>
        <v>-17.327506108981254</v>
      </c>
      <c r="FM417" s="1602"/>
      <c r="FN417" s="1612">
        <f>$FJ$417/$FI$417-1</f>
        <v>-0.24261354878397767</v>
      </c>
      <c r="FO417" s="1602"/>
      <c r="FP417" s="1608" t="s">
        <v>1677</v>
      </c>
      <c r="IV417"/>
    </row>
    <row r="418" spans="161:256" s="11" customFormat="1" ht="5.0999999999999996" customHeight="1" x14ac:dyDescent="0.25">
      <c r="FK418" s="1493"/>
      <c r="FL418" s="419"/>
      <c r="FN418" s="419"/>
      <c r="IV418"/>
    </row>
    <row r="419" spans="161:256" s="11" customFormat="1" ht="24.95" customHeight="1" x14ac:dyDescent="0.25">
      <c r="FE419" s="11">
        <v>5</v>
      </c>
      <c r="FG419" s="1600" t="s">
        <v>1548</v>
      </c>
      <c r="FH419" s="1601" t="s">
        <v>1311</v>
      </c>
      <c r="FI419" s="1602">
        <f>PENN!AP301</f>
        <v>45.801179691455999</v>
      </c>
      <c r="FJ419" s="1602">
        <f>PENN!AZ301</f>
        <v>19.330864184133802</v>
      </c>
      <c r="FK419" s="1604">
        <f>PENN!AP301</f>
        <v>45.801179691455999</v>
      </c>
      <c r="FL419" s="1610">
        <f>FJ419-FI419</f>
        <v>-26.470315507322198</v>
      </c>
      <c r="FM419" s="1602" t="s">
        <v>1375</v>
      </c>
      <c r="FN419" s="1612">
        <f>$FJ$419/$FI$419-1</f>
        <v>-0.57793960080596163</v>
      </c>
      <c r="FO419" s="1602"/>
      <c r="FP419" s="1403" t="s">
        <v>1676</v>
      </c>
      <c r="IV419"/>
    </row>
    <row r="420" spans="161:256" s="11" customFormat="1" ht="5.0999999999999996" customHeight="1" x14ac:dyDescent="0.25">
      <c r="FK420" s="1493"/>
      <c r="FL420" s="419"/>
      <c r="FN420" s="419"/>
      <c r="IV420"/>
    </row>
    <row r="421" spans="161:256" s="11" customFormat="1" ht="24.95" customHeight="1" x14ac:dyDescent="0.25">
      <c r="FE421" s="11">
        <v>1</v>
      </c>
      <c r="FG421" s="1600" t="s">
        <v>1786</v>
      </c>
      <c r="FH421" s="1601" t="s">
        <v>2117</v>
      </c>
      <c r="FI421" s="1602">
        <f>PENN!AK294</f>
        <v>33.118999999999993</v>
      </c>
      <c r="FJ421" s="1602">
        <f>PENN!AU294</f>
        <v>33.239632302499999</v>
      </c>
      <c r="FK421" s="1604">
        <f>PENN!AP294</f>
        <v>27.943953950000001</v>
      </c>
      <c r="FL421" s="1610">
        <f>FJ421-FI421</f>
        <v>0.12063230250000601</v>
      </c>
      <c r="FM421" s="1602"/>
      <c r="FN421" s="1612">
        <f>$FJ$421/$FI$421-1</f>
        <v>3.6423896403878775E-3</v>
      </c>
      <c r="FO421" s="1602"/>
      <c r="FP421" s="1403" t="s">
        <v>1678</v>
      </c>
      <c r="IV421"/>
    </row>
    <row r="422" spans="161:256" s="11" customFormat="1" ht="5.0999999999999996" customHeight="1" x14ac:dyDescent="0.25">
      <c r="FG422" s="1600"/>
      <c r="FH422" s="1601"/>
      <c r="FI422" s="1602"/>
      <c r="FJ422" s="1602"/>
      <c r="FK422" s="1604"/>
      <c r="FL422" s="1610"/>
      <c r="FM422" s="1602"/>
      <c r="FN422" s="1612"/>
      <c r="FO422" s="1602"/>
      <c r="FP422" s="1403"/>
      <c r="IV422"/>
    </row>
    <row r="423" spans="161:256" s="11" customFormat="1" ht="5.0999999999999996" customHeight="1" x14ac:dyDescent="0.25">
      <c r="FG423" s="1600"/>
      <c r="FH423" s="1601"/>
      <c r="FI423" s="1602"/>
      <c r="FJ423" s="1602"/>
      <c r="FK423" s="1604"/>
      <c r="FL423" s="1610"/>
      <c r="FM423" s="1602"/>
      <c r="FN423" s="1612"/>
      <c r="FO423" s="1602"/>
      <c r="FP423" s="1403"/>
      <c r="IV423"/>
    </row>
    <row r="424" spans="161:256" s="11" customFormat="1" ht="24.95" customHeight="1" x14ac:dyDescent="0.25">
      <c r="FE424" s="11">
        <v>1</v>
      </c>
      <c r="FG424" s="1600" t="s">
        <v>1094</v>
      </c>
      <c r="FH424" s="1601" t="s">
        <v>2117</v>
      </c>
      <c r="FI424" s="1602">
        <f>PENN!AK293</f>
        <v>51.813000000000002</v>
      </c>
      <c r="FJ424" s="1602">
        <f>PENN!AU293</f>
        <v>49.796918194999982</v>
      </c>
      <c r="FK424" s="1604">
        <f>PENN!AK293</f>
        <v>51.813000000000002</v>
      </c>
      <c r="FL424" s="1610">
        <f>FJ424-FI424</f>
        <v>-2.0160818050000202</v>
      </c>
      <c r="FM424" s="1602"/>
      <c r="FN424" s="1612">
        <f>$FJ$424/$FI$424-1</f>
        <v>-3.8910732924170022E-2</v>
      </c>
      <c r="FO424" s="1602"/>
      <c r="FP424" s="1403" t="s">
        <v>1678</v>
      </c>
      <c r="IV424"/>
    </row>
    <row r="425" spans="161:256" s="11" customFormat="1" ht="5.0999999999999996" customHeight="1" x14ac:dyDescent="0.25">
      <c r="FG425" s="1600"/>
      <c r="FH425" s="1601"/>
      <c r="FI425" s="1602"/>
      <c r="FJ425" s="1602"/>
      <c r="FK425" s="1604"/>
      <c r="FL425" s="1610"/>
      <c r="FM425" s="1602"/>
      <c r="FN425" s="1612"/>
      <c r="FO425" s="1602"/>
      <c r="FP425" s="1403"/>
      <c r="IV425"/>
    </row>
    <row r="426" spans="161:256" s="11" customFormat="1" ht="5.0999999999999996" customHeight="1" x14ac:dyDescent="0.25">
      <c r="FG426" s="1600"/>
      <c r="FH426" s="1606"/>
      <c r="FI426" s="1602"/>
      <c r="FJ426" s="1602"/>
      <c r="FK426" s="1604"/>
      <c r="FL426" s="1610"/>
      <c r="FM426" s="1602"/>
      <c r="FN426" s="1613"/>
      <c r="FO426" s="1602"/>
      <c r="FP426" s="1403"/>
      <c r="IV426"/>
    </row>
    <row r="427" spans="161:256" s="11" customFormat="1" x14ac:dyDescent="0.25">
      <c r="FG427" s="906" t="s">
        <v>841</v>
      </c>
      <c r="FH427" s="909"/>
      <c r="FI427" s="1083">
        <f>SUM(FI413:FI426)</f>
        <v>533.55971674890702</v>
      </c>
      <c r="FJ427" s="1083">
        <f>SUM(FJ413:FJ426)</f>
        <v>408.74423480210686</v>
      </c>
      <c r="FK427" s="1083">
        <f>SUM(FK413:FK426)</f>
        <v>534.9427118137171</v>
      </c>
      <c r="FL427" s="1611">
        <f>FJ427-FI427</f>
        <v>-124.81548194680016</v>
      </c>
      <c r="FM427" s="907"/>
      <c r="FN427" s="1614">
        <f>FL427/FK427</f>
        <v>-0.23332495085990557</v>
      </c>
      <c r="FO427" s="296"/>
      <c r="FP427" s="296"/>
      <c r="IV427"/>
    </row>
    <row r="428" spans="161:256" s="11" customFormat="1" x14ac:dyDescent="0.25">
      <c r="FG428" s="333"/>
      <c r="FH428" s="10"/>
      <c r="FI428" s="10"/>
      <c r="FJ428" s="10"/>
      <c r="FK428" s="358"/>
      <c r="FL428" s="1399"/>
      <c r="IV428"/>
    </row>
    <row r="429" spans="161:256" s="11" customFormat="1" ht="12.75" customHeight="1" x14ac:dyDescent="0.25">
      <c r="FG429" s="333"/>
      <c r="FK429" s="1643"/>
      <c r="FN429" s="280"/>
      <c r="IV429"/>
    </row>
    <row r="430" spans="161:256" s="11" customFormat="1" ht="6" customHeight="1" x14ac:dyDescent="0.25">
      <c r="FG430" s="281"/>
      <c r="FK430" s="1493"/>
      <c r="IV430"/>
    </row>
    <row r="431" spans="161:256" s="11" customFormat="1" x14ac:dyDescent="0.25">
      <c r="FG431" s="281" t="s">
        <v>1419</v>
      </c>
      <c r="FK431" s="280"/>
      <c r="FL431" s="1582">
        <v>1136</v>
      </c>
      <c r="FR431" s="333"/>
      <c r="FS431" s="333"/>
      <c r="FT431" s="333"/>
      <c r="FU431" s="333"/>
      <c r="FV431" s="333"/>
      <c r="IV431"/>
    </row>
    <row r="432" spans="161:256" s="11" customFormat="1" x14ac:dyDescent="0.25">
      <c r="FG432" s="281" t="s">
        <v>678</v>
      </c>
      <c r="FK432" s="280"/>
      <c r="FL432" s="11">
        <f>BG166</f>
        <v>222.5211180327</v>
      </c>
      <c r="FR432" s="281"/>
      <c r="FS432" s="891" t="s">
        <v>1780</v>
      </c>
      <c r="FT432" s="925"/>
      <c r="FU432" s="925"/>
      <c r="FV432" s="281"/>
      <c r="FW432" s="1045" t="s">
        <v>1624</v>
      </c>
      <c r="FX432" s="1470"/>
      <c r="FY432" s="1470"/>
      <c r="IV432"/>
    </row>
    <row r="433" spans="163:256" s="11" customFormat="1" x14ac:dyDescent="0.25">
      <c r="FG433" s="1640" t="s">
        <v>679</v>
      </c>
      <c r="FH433" s="909"/>
      <c r="FI433" s="909"/>
      <c r="FJ433" s="909"/>
      <c r="FK433" s="1607"/>
      <c r="FL433" s="1641">
        <f>FL432/FL431</f>
        <v>0.19588126587385563</v>
      </c>
      <c r="FR433" s="1471" t="s">
        <v>1212</v>
      </c>
      <c r="FS433" s="1472">
        <v>2010</v>
      </c>
      <c r="FT433" s="1472">
        <v>2012</v>
      </c>
      <c r="FU433" s="1473" t="s">
        <v>787</v>
      </c>
      <c r="FV433" s="1471"/>
      <c r="FW433" s="1472">
        <v>2010</v>
      </c>
      <c r="FX433" s="1472">
        <v>2012</v>
      </c>
      <c r="FY433" s="1473" t="s">
        <v>787</v>
      </c>
      <c r="IV433"/>
    </row>
    <row r="434" spans="163:256" s="11" customFormat="1" ht="5.0999999999999996" customHeight="1" x14ac:dyDescent="0.25">
      <c r="FG434" s="281"/>
      <c r="FK434" s="1493"/>
      <c r="FR434" s="281"/>
      <c r="FS434" s="281"/>
      <c r="FT434" s="281"/>
      <c r="FU434" s="281"/>
      <c r="FV434" s="281"/>
      <c r="IV434"/>
    </row>
    <row r="435" spans="163:256" s="11" customFormat="1" x14ac:dyDescent="0.25">
      <c r="FG435" s="281" t="s">
        <v>1637</v>
      </c>
      <c r="FK435" s="280"/>
      <c r="FL435" s="11">
        <f>FL432+FL413+FL417</f>
        <v>165.34350830131473</v>
      </c>
      <c r="FR435" s="272" t="s">
        <v>1549</v>
      </c>
      <c r="FS435" s="1474">
        <f>PENN!AK220</f>
        <v>317.76400000000001</v>
      </c>
      <c r="FT435" s="1474">
        <f>PENN!AU220</f>
        <v>329.60845488928385</v>
      </c>
      <c r="FU435" s="280">
        <f>POWER(FT435/FS435,0.5)-1</f>
        <v>1.8466678999828456E-2</v>
      </c>
      <c r="FV435" s="272"/>
      <c r="FW435" s="1474">
        <f>PENN!AK267</f>
        <v>69.527000000000001</v>
      </c>
      <c r="FX435" s="1474">
        <f>PENN!AU267</f>
        <v>86.129964783877639</v>
      </c>
      <c r="FY435" s="280">
        <f>POWER(FX435/FW435,0.5)-1</f>
        <v>0.11301339114309883</v>
      </c>
      <c r="IV435"/>
    </row>
    <row r="436" spans="163:256" s="11" customFormat="1" x14ac:dyDescent="0.25">
      <c r="FG436" s="1640" t="s">
        <v>679</v>
      </c>
      <c r="FH436" s="909"/>
      <c r="FI436" s="909"/>
      <c r="FJ436" s="909"/>
      <c r="FK436" s="1607"/>
      <c r="FL436" s="1641">
        <f>FL435/FL431</f>
        <v>0.14554886294129818</v>
      </c>
      <c r="FR436" s="1477" t="s">
        <v>1020</v>
      </c>
      <c r="FS436" s="1478">
        <f>PENN!AK242</f>
        <v>72.28</v>
      </c>
      <c r="FT436" s="1478">
        <f>PENN!AU242</f>
        <v>66.941000000000003</v>
      </c>
      <c r="FU436" s="1476">
        <f t="shared" ref="FU436:FU442" si="19">POWER(FT436/FS436,0.5)-1</f>
        <v>-3.7641191117492978E-2</v>
      </c>
      <c r="FV436" s="1477"/>
      <c r="FW436" s="1478">
        <f>PENN!AK295</f>
        <v>16.477</v>
      </c>
      <c r="FX436" s="1478">
        <f>PENN!AU294</f>
        <v>33.239632302499999</v>
      </c>
      <c r="FY436" s="1476">
        <f t="shared" ref="FY436:FY442" si="20">POWER(FX436/FW436,0.5)-1</f>
        <v>0.42032926213342825</v>
      </c>
      <c r="IV436"/>
    </row>
    <row r="437" spans="163:256" s="11" customFormat="1" x14ac:dyDescent="0.25">
      <c r="FG437" s="354"/>
      <c r="FK437" s="1493"/>
      <c r="FR437" s="354" t="s">
        <v>616</v>
      </c>
      <c r="FS437" s="1475">
        <f>PENN!AK234</f>
        <v>84.554999999999993</v>
      </c>
      <c r="FT437" s="1475">
        <f>PENN!AU234</f>
        <v>70.899169999999998</v>
      </c>
      <c r="FU437" s="280">
        <f t="shared" si="19"/>
        <v>-8.4304819144378595E-2</v>
      </c>
      <c r="FV437" s="354"/>
      <c r="FW437" s="1475">
        <f>PENN!AK284</f>
        <v>22.372999999999998</v>
      </c>
      <c r="FX437" s="1475">
        <f>PENN!AU284</f>
        <v>14.628497000000007</v>
      </c>
      <c r="FY437" s="280">
        <f t="shared" si="20"/>
        <v>-0.19139254285162799</v>
      </c>
      <c r="IV437"/>
    </row>
    <row r="438" spans="163:256" s="11" customFormat="1" x14ac:dyDescent="0.25">
      <c r="FG438" s="281" t="s">
        <v>1675</v>
      </c>
      <c r="FK438" s="1493"/>
      <c r="FL438" s="11">
        <f>FL432+FL427</f>
        <v>97.70563608589984</v>
      </c>
      <c r="FR438" s="272" t="s">
        <v>615</v>
      </c>
      <c r="FS438" s="1474">
        <f>PENN!AK236</f>
        <v>86.743000000000009</v>
      </c>
      <c r="FT438" s="1474">
        <f>PENN!AU236</f>
        <v>82.300348999999997</v>
      </c>
      <c r="FU438" s="280">
        <f t="shared" si="19"/>
        <v>-2.5944687400636712E-2</v>
      </c>
      <c r="FV438" s="272"/>
      <c r="FW438" s="1474">
        <f>PENN!AK286</f>
        <v>18.114999999999998</v>
      </c>
      <c r="FX438" s="1474">
        <f>PENN!AU286</f>
        <v>19.398624000000002</v>
      </c>
      <c r="FY438" s="280">
        <f t="shared" si="20"/>
        <v>3.4823525779122733E-2</v>
      </c>
      <c r="IV438"/>
    </row>
    <row r="439" spans="163:256" s="11" customFormat="1" x14ac:dyDescent="0.25">
      <c r="FG439" s="1640" t="s">
        <v>679</v>
      </c>
      <c r="FH439" s="909"/>
      <c r="FI439" s="909"/>
      <c r="FJ439" s="909"/>
      <c r="FK439" s="1607"/>
      <c r="FL439" s="1641">
        <f>FL438/FL431</f>
        <v>8.6008482469982259E-2</v>
      </c>
      <c r="FR439" s="272" t="s">
        <v>1019</v>
      </c>
      <c r="FS439" s="1474">
        <f>PENN!AK245</f>
        <v>56.144999999999996</v>
      </c>
      <c r="FT439" s="1474">
        <f>PENN!AU245</f>
        <v>56.786998000000011</v>
      </c>
      <c r="FU439" s="280">
        <f t="shared" si="19"/>
        <v>5.7010701215709503E-3</v>
      </c>
      <c r="FV439" s="272"/>
      <c r="FW439" s="1474">
        <f>PENN!AK298</f>
        <v>20.442999999999998</v>
      </c>
      <c r="FX439" s="1474">
        <f>PENN!AU298</f>
        <v>22.905767682646015</v>
      </c>
      <c r="FY439" s="280">
        <f t="shared" si="20"/>
        <v>5.8522543077703659E-2</v>
      </c>
      <c r="IV439"/>
    </row>
    <row r="440" spans="163:256" s="11" customFormat="1" x14ac:dyDescent="0.25">
      <c r="FG440" s="354"/>
      <c r="FK440" s="1493"/>
      <c r="FR440" s="354" t="s">
        <v>1453</v>
      </c>
      <c r="FS440" s="1475">
        <f>PENN!AK237</f>
        <v>71.022999999999996</v>
      </c>
      <c r="FT440" s="1475">
        <f>PENN!AU237</f>
        <v>65.063037499999993</v>
      </c>
      <c r="FU440" s="280">
        <f t="shared" si="19"/>
        <v>-4.2877202111846535E-2</v>
      </c>
      <c r="FV440" s="354"/>
      <c r="FW440" s="1475">
        <f>PENN!AK287</f>
        <v>17.709</v>
      </c>
      <c r="FX440" s="1475">
        <f>PENN!AU287</f>
        <v>13.926579699999998</v>
      </c>
      <c r="FY440" s="280">
        <f t="shared" si="20"/>
        <v>-0.11320095757522897</v>
      </c>
      <c r="IV440"/>
    </row>
    <row r="441" spans="163:256" s="11" customFormat="1" x14ac:dyDescent="0.25">
      <c r="FG441" s="272"/>
      <c r="FK441" s="1493"/>
      <c r="FR441" s="1479" t="s">
        <v>1089</v>
      </c>
      <c r="FS441" s="1480">
        <f>PENN!AK254</f>
        <v>17.794999999999998</v>
      </c>
      <c r="FT441" s="1480">
        <f>PENN!AU254</f>
        <v>14.532613200000002</v>
      </c>
      <c r="FU441" s="1476">
        <f t="shared" si="19"/>
        <v>-9.6302957269007172E-2</v>
      </c>
      <c r="FV441" s="1479"/>
      <c r="FW441" s="1480">
        <f>PENN!AK310</f>
        <v>-1.5129999999999999</v>
      </c>
      <c r="FX441" s="1480">
        <f>PENN!AU310</f>
        <v>-6.3714899999999464E-2</v>
      </c>
      <c r="FY441" s="1476">
        <f t="shared" si="20"/>
        <v>-0.79478880995867829</v>
      </c>
      <c r="IV441"/>
    </row>
    <row r="442" spans="163:256" s="11" customFormat="1" x14ac:dyDescent="0.25">
      <c r="FG442" s="354"/>
      <c r="FK442" s="1493"/>
      <c r="FR442" s="354" t="s">
        <v>1479</v>
      </c>
      <c r="FS442" s="1475">
        <f>PENN!AK230</f>
        <v>84.97999999999999</v>
      </c>
      <c r="FT442" s="1475">
        <f>PENN!AU230</f>
        <v>88.191476699999996</v>
      </c>
      <c r="FU442" s="280">
        <f t="shared" si="19"/>
        <v>1.8720261316453213E-2</v>
      </c>
      <c r="FV442" s="354"/>
      <c r="FW442" s="1475">
        <f>PENN!AK280</f>
        <v>27.675999999999998</v>
      </c>
      <c r="FX442" s="1475">
        <f>PENN!AU280</f>
        <v>29.167682608500002</v>
      </c>
      <c r="FY442" s="280">
        <f t="shared" si="20"/>
        <v>2.6595371304874549E-2</v>
      </c>
      <c r="IV442"/>
    </row>
    <row r="443" spans="163:256" s="11" customFormat="1" ht="5.0999999999999996" customHeight="1" x14ac:dyDescent="0.25">
      <c r="FK443" s="1493"/>
      <c r="IV443"/>
    </row>
    <row r="444" spans="163:256" s="11" customFormat="1" x14ac:dyDescent="0.25">
      <c r="FG444" s="10"/>
      <c r="FK444" s="1493"/>
      <c r="FR444" s="10" t="s">
        <v>841</v>
      </c>
      <c r="FS444" s="10">
        <f>SUM(FS435:FS442)</f>
        <v>791.28499999999997</v>
      </c>
      <c r="FT444" s="10">
        <f>SUM(FT435:FT442)</f>
        <v>774.32309928928385</v>
      </c>
      <c r="FU444" s="358">
        <f>POWER(FT444/FS444,0.5)-1</f>
        <v>-1.0776007746168381E-2</v>
      </c>
      <c r="FV444" s="10"/>
      <c r="FW444" s="10">
        <f>SUM(FW435:FW442)</f>
        <v>190.80699999999999</v>
      </c>
      <c r="FX444" s="10">
        <f>SUM(FX435:FX442)</f>
        <v>219.33303317752367</v>
      </c>
      <c r="FY444" s="358">
        <f>POWER(FX444/FW444,0.5)-1</f>
        <v>7.2148323011984372E-2</v>
      </c>
      <c r="IV444"/>
    </row>
    <row r="445" spans="163:256" s="11" customFormat="1" x14ac:dyDescent="0.25">
      <c r="FK445" s="1493"/>
      <c r="IV445"/>
    </row>
    <row r="446" spans="163:256" s="11" customFormat="1" x14ac:dyDescent="0.25">
      <c r="FK446" s="1493"/>
      <c r="IV446"/>
    </row>
    <row r="447" spans="163:256" s="11" customFormat="1" x14ac:dyDescent="0.25">
      <c r="FK447" s="1493"/>
      <c r="GB447" s="10" t="s">
        <v>1377</v>
      </c>
      <c r="IV447"/>
    </row>
    <row r="448" spans="163:256" s="11" customFormat="1" x14ac:dyDescent="0.25">
      <c r="FK448" s="1493"/>
      <c r="GB448" s="10"/>
      <c r="GD448" s="428"/>
      <c r="GE448" s="688"/>
      <c r="GF448" s="693"/>
      <c r="GG448" s="502" t="s">
        <v>1459</v>
      </c>
      <c r="IV448"/>
    </row>
    <row r="449" spans="167:256" s="11" customFormat="1" x14ac:dyDescent="0.25">
      <c r="FK449" s="1493"/>
      <c r="GB449" s="689" t="s">
        <v>1911</v>
      </c>
      <c r="GC449" s="747" t="s">
        <v>1624</v>
      </c>
      <c r="GD449" s="431"/>
      <c r="GE449" s="691" t="s">
        <v>1464</v>
      </c>
      <c r="GF449" s="700"/>
      <c r="GG449" s="576" t="s">
        <v>1460</v>
      </c>
      <c r="IV449"/>
    </row>
    <row r="450" spans="167:256" s="11" customFormat="1" x14ac:dyDescent="0.25">
      <c r="FK450" s="1493"/>
      <c r="GB450" s="354" t="s">
        <v>1788</v>
      </c>
      <c r="GC450" s="11">
        <f>PENN!AZ265</f>
        <v>155.40752876311831</v>
      </c>
      <c r="GD450" s="693" t="s">
        <v>1461</v>
      </c>
      <c r="GE450" s="694">
        <v>8.5</v>
      </c>
      <c r="GF450" s="695" t="s">
        <v>144</v>
      </c>
      <c r="GG450" s="692">
        <f t="shared" ref="GG450:GG474" si="21">GC450*GE450</f>
        <v>1320.9639944865057</v>
      </c>
      <c r="IV450"/>
    </row>
    <row r="451" spans="167:256" s="11" customFormat="1" x14ac:dyDescent="0.25">
      <c r="FK451" s="1493"/>
      <c r="GB451" s="354" t="s">
        <v>1092</v>
      </c>
      <c r="GC451" s="11">
        <f>PENN!AZ296</f>
        <v>96.87660598968597</v>
      </c>
      <c r="GD451" s="693" t="s">
        <v>1461</v>
      </c>
      <c r="GE451" s="694">
        <v>8.5</v>
      </c>
      <c r="GF451" s="695" t="s">
        <v>144</v>
      </c>
      <c r="GG451" s="697">
        <f t="shared" si="21"/>
        <v>823.45115091233072</v>
      </c>
      <c r="IV451"/>
    </row>
    <row r="452" spans="167:256" s="11" customFormat="1" x14ac:dyDescent="0.25">
      <c r="FK452" s="1493"/>
      <c r="GB452" s="272" t="s">
        <v>1549</v>
      </c>
      <c r="GC452" s="11">
        <f>PENN!AZ267</f>
        <v>79.779594112517515</v>
      </c>
      <c r="GD452" s="693" t="s">
        <v>1461</v>
      </c>
      <c r="GE452" s="694">
        <v>8.5</v>
      </c>
      <c r="GF452" s="695" t="s">
        <v>144</v>
      </c>
      <c r="GG452" s="697">
        <f t="shared" si="21"/>
        <v>678.12654995639889</v>
      </c>
      <c r="IV452"/>
    </row>
    <row r="453" spans="167:256" s="11" customFormat="1" x14ac:dyDescent="0.25">
      <c r="FK453" s="1493"/>
      <c r="GB453" s="354" t="s">
        <v>1094</v>
      </c>
      <c r="GC453" s="11">
        <f>PENN!AZ293</f>
        <v>49.459153767099991</v>
      </c>
      <c r="GD453" s="693" t="s">
        <v>1461</v>
      </c>
      <c r="GE453" s="694">
        <v>8</v>
      </c>
      <c r="GF453" s="695" t="s">
        <v>144</v>
      </c>
      <c r="GG453" s="697">
        <f t="shared" si="21"/>
        <v>395.67323013679993</v>
      </c>
      <c r="IV453"/>
    </row>
    <row r="454" spans="167:256" s="11" customFormat="1" x14ac:dyDescent="0.25">
      <c r="FK454" s="1493"/>
      <c r="GB454" s="354" t="s">
        <v>1786</v>
      </c>
      <c r="GC454" s="11">
        <f>PENN!AZ294</f>
        <v>31.810766923825003</v>
      </c>
      <c r="GD454" s="693" t="s">
        <v>1461</v>
      </c>
      <c r="GE454" s="694">
        <v>8</v>
      </c>
      <c r="GF454" s="695" t="s">
        <v>144</v>
      </c>
      <c r="GG454" s="697">
        <f t="shared" si="21"/>
        <v>254.48613539060003</v>
      </c>
      <c r="IV454"/>
    </row>
    <row r="455" spans="167:256" s="11" customFormat="1" x14ac:dyDescent="0.25">
      <c r="FK455" s="1493"/>
      <c r="GB455" s="272" t="s">
        <v>1093</v>
      </c>
      <c r="GC455" s="11">
        <f>PENN!AZ297</f>
        <v>46.688362702962152</v>
      </c>
      <c r="GD455" s="693" t="s">
        <v>1461</v>
      </c>
      <c r="GE455" s="694">
        <v>8</v>
      </c>
      <c r="GF455" s="695" t="s">
        <v>144</v>
      </c>
      <c r="GG455" s="697">
        <f t="shared" si="21"/>
        <v>373.50690162369722</v>
      </c>
      <c r="IV455"/>
    </row>
    <row r="456" spans="167:256" s="11" customFormat="1" x14ac:dyDescent="0.25">
      <c r="FK456" s="1493"/>
      <c r="GB456" s="354" t="s">
        <v>1548</v>
      </c>
      <c r="GC456" s="11">
        <f>PENN!AZ301</f>
        <v>19.330864184133802</v>
      </c>
      <c r="GD456" s="693" t="s">
        <v>1461</v>
      </c>
      <c r="GE456" s="694">
        <v>8</v>
      </c>
      <c r="GF456" s="695" t="s">
        <v>144</v>
      </c>
      <c r="GG456" s="697">
        <f t="shared" si="21"/>
        <v>154.64691347307041</v>
      </c>
      <c r="IV456"/>
    </row>
    <row r="457" spans="167:256" s="11" customFormat="1" x14ac:dyDescent="0.25">
      <c r="FK457" s="1493"/>
      <c r="GB457" s="354" t="s">
        <v>1020</v>
      </c>
      <c r="GC457" s="11">
        <f>PENN!AZ295</f>
        <v>15.545179674140014</v>
      </c>
      <c r="GD457" s="693" t="s">
        <v>1461</v>
      </c>
      <c r="GE457" s="694">
        <v>8</v>
      </c>
      <c r="GF457" s="695" t="s">
        <v>144</v>
      </c>
      <c r="GG457" s="697">
        <f t="shared" si="21"/>
        <v>124.36143739312011</v>
      </c>
      <c r="IV457"/>
    </row>
    <row r="458" spans="167:256" s="11" customFormat="1" x14ac:dyDescent="0.25">
      <c r="FK458" s="1493"/>
      <c r="GB458" s="354" t="s">
        <v>616</v>
      </c>
      <c r="GC458" s="11">
        <f>PENN!AZ284</f>
        <v>11.651736330000004</v>
      </c>
      <c r="GD458" s="693" t="s">
        <v>1461</v>
      </c>
      <c r="GE458" s="694">
        <v>7.5</v>
      </c>
      <c r="GF458" s="695" t="s">
        <v>144</v>
      </c>
      <c r="GG458" s="697">
        <f t="shared" si="21"/>
        <v>87.388022475000028</v>
      </c>
      <c r="IV458"/>
    </row>
    <row r="459" spans="167:256" s="11" customFormat="1" x14ac:dyDescent="0.25">
      <c r="FK459" s="1493"/>
      <c r="GB459" s="272" t="s">
        <v>615</v>
      </c>
      <c r="GC459" s="11">
        <f>PENN!AZ286</f>
        <v>16.037741740000001</v>
      </c>
      <c r="GD459" s="693" t="s">
        <v>1461</v>
      </c>
      <c r="GE459" s="694">
        <v>7.5</v>
      </c>
      <c r="GF459" s="695" t="s">
        <v>144</v>
      </c>
      <c r="GG459" s="697">
        <f t="shared" si="21"/>
        <v>120.28306305000001</v>
      </c>
      <c r="IV459"/>
    </row>
    <row r="460" spans="167:256" s="11" customFormat="1" x14ac:dyDescent="0.25">
      <c r="FK460" s="1493"/>
      <c r="GB460" s="272" t="s">
        <v>1019</v>
      </c>
      <c r="GC460" s="11">
        <f>PENN!AZ298</f>
        <v>17.96114725166202</v>
      </c>
      <c r="GD460" s="693" t="s">
        <v>1461</v>
      </c>
      <c r="GE460" s="694">
        <v>8</v>
      </c>
      <c r="GF460" s="695" t="s">
        <v>144</v>
      </c>
      <c r="GG460" s="697">
        <f t="shared" si="21"/>
        <v>143.68917801329616</v>
      </c>
      <c r="IV460"/>
    </row>
    <row r="461" spans="167:256" s="11" customFormat="1" x14ac:dyDescent="0.25">
      <c r="FK461" s="1493"/>
      <c r="GB461" s="354" t="s">
        <v>1453</v>
      </c>
      <c r="GC461" s="11">
        <f>PENN!AZ287</f>
        <v>8.4647523759999981</v>
      </c>
      <c r="GD461" s="693" t="s">
        <v>1461</v>
      </c>
      <c r="GE461" s="694">
        <v>7.5</v>
      </c>
      <c r="GF461" s="695" t="s">
        <v>144</v>
      </c>
      <c r="GG461" s="697">
        <f t="shared" si="21"/>
        <v>63.485642819999988</v>
      </c>
      <c r="IV461"/>
    </row>
    <row r="462" spans="167:256" s="11" customFormat="1" x14ac:dyDescent="0.25">
      <c r="FK462" s="1493"/>
      <c r="GB462" s="354" t="s">
        <v>1090</v>
      </c>
      <c r="GC462" s="11">
        <f>PENN!AZ266</f>
        <v>14.140670420505488</v>
      </c>
      <c r="GD462" s="693" t="s">
        <v>1461</v>
      </c>
      <c r="GE462" s="694">
        <v>8</v>
      </c>
      <c r="GF462" s="695" t="s">
        <v>144</v>
      </c>
      <c r="GG462" s="697">
        <f t="shared" si="21"/>
        <v>113.12536336404391</v>
      </c>
      <c r="IV462"/>
    </row>
    <row r="463" spans="167:256" s="11" customFormat="1" x14ac:dyDescent="0.25">
      <c r="FK463" s="1493"/>
      <c r="GB463" s="272" t="s">
        <v>1089</v>
      </c>
      <c r="GC463" s="11">
        <f>PENN!AZ310</f>
        <v>0.86505930000000131</v>
      </c>
      <c r="GD463" s="693" t="s">
        <v>1461</v>
      </c>
      <c r="GE463" s="694">
        <v>7</v>
      </c>
      <c r="GF463" s="695" t="s">
        <v>144</v>
      </c>
      <c r="GG463" s="697">
        <f t="shared" si="21"/>
        <v>6.0554151000000092</v>
      </c>
      <c r="IV463"/>
    </row>
    <row r="464" spans="167:256" s="11" customFormat="1" x14ac:dyDescent="0.25">
      <c r="FK464" s="1493"/>
      <c r="GB464" s="354" t="s">
        <v>1479</v>
      </c>
      <c r="GC464" s="11">
        <f>PENN!AZ280</f>
        <v>30.300081514205001</v>
      </c>
      <c r="GD464" s="693" t="s">
        <v>1461</v>
      </c>
      <c r="GE464" s="694">
        <v>8</v>
      </c>
      <c r="GF464" s="695" t="s">
        <v>144</v>
      </c>
      <c r="GG464" s="697">
        <f t="shared" si="21"/>
        <v>242.40065211364001</v>
      </c>
      <c r="IV464"/>
    </row>
    <row r="465" spans="167:256" s="11" customFormat="1" x14ac:dyDescent="0.25">
      <c r="FK465" s="1493"/>
      <c r="GB465" s="272" t="s">
        <v>1942</v>
      </c>
      <c r="GC465" s="11">
        <f>PENN!AZ270</f>
        <v>14.126196800000001</v>
      </c>
      <c r="GD465" s="693" t="s">
        <v>1461</v>
      </c>
      <c r="GE465" s="694">
        <v>8</v>
      </c>
      <c r="GF465" s="695" t="s">
        <v>144</v>
      </c>
      <c r="GG465" s="697">
        <f t="shared" si="21"/>
        <v>113.00957440000001</v>
      </c>
      <c r="IV465"/>
    </row>
    <row r="466" spans="167:256" s="11" customFormat="1" x14ac:dyDescent="0.25">
      <c r="FK466" s="1493"/>
      <c r="GB466" s="272" t="s">
        <v>1787</v>
      </c>
      <c r="GC466" s="11">
        <f>PENN!AZ274</f>
        <v>12.20014668416761</v>
      </c>
      <c r="GD466" s="693" t="s">
        <v>1461</v>
      </c>
      <c r="GE466" s="694">
        <v>7</v>
      </c>
      <c r="GF466" s="695" t="s">
        <v>144</v>
      </c>
      <c r="GG466" s="697">
        <f t="shared" si="21"/>
        <v>85.401026789173272</v>
      </c>
      <c r="IV466"/>
    </row>
    <row r="467" spans="167:256" s="11" customFormat="1" x14ac:dyDescent="0.25">
      <c r="FK467" s="1493"/>
      <c r="GB467" s="272" t="s">
        <v>143</v>
      </c>
      <c r="GC467" s="11">
        <f>PENN!AZ281</f>
        <v>34.400454400000001</v>
      </c>
      <c r="GD467" s="693" t="s">
        <v>1461</v>
      </c>
      <c r="GE467" s="694">
        <v>8</v>
      </c>
      <c r="GF467" s="695" t="s">
        <v>144</v>
      </c>
      <c r="GG467" s="697">
        <f t="shared" si="21"/>
        <v>275.20363520000001</v>
      </c>
      <c r="IV467"/>
    </row>
    <row r="468" spans="167:256" s="11" customFormat="1" x14ac:dyDescent="0.25">
      <c r="FK468" s="1493"/>
      <c r="GB468" s="272" t="s">
        <v>443</v>
      </c>
      <c r="GC468" s="11">
        <f>PENN!AZ268</f>
        <v>79.284893439999991</v>
      </c>
      <c r="GD468" s="693" t="s">
        <v>1461</v>
      </c>
      <c r="GE468" s="694">
        <v>8.5</v>
      </c>
      <c r="GF468" s="695" t="s">
        <v>144</v>
      </c>
      <c r="GG468" s="697">
        <f t="shared" si="21"/>
        <v>673.92159423999988</v>
      </c>
      <c r="IV468"/>
    </row>
    <row r="469" spans="167:256" s="11" customFormat="1" x14ac:dyDescent="0.25">
      <c r="FK469" s="1493"/>
      <c r="GB469" s="272" t="s">
        <v>636</v>
      </c>
      <c r="GC469" s="11">
        <f>PENN!AZ269</f>
        <v>70.310374718999995</v>
      </c>
      <c r="GD469" s="693" t="s">
        <v>1461</v>
      </c>
      <c r="GE469" s="694">
        <v>8.5</v>
      </c>
      <c r="GF469" s="695" t="s">
        <v>144</v>
      </c>
      <c r="GG469" s="697">
        <f t="shared" si="21"/>
        <v>597.63818511149998</v>
      </c>
      <c r="IV469"/>
    </row>
    <row r="470" spans="167:256" s="11" customFormat="1" x14ac:dyDescent="0.25">
      <c r="FK470" s="1493"/>
      <c r="GB470" s="355" t="s">
        <v>598</v>
      </c>
      <c r="GC470" s="11">
        <f>PENN!AZ300</f>
        <v>20.776949282699999</v>
      </c>
      <c r="GD470" s="693" t="s">
        <v>1461</v>
      </c>
      <c r="GE470" s="694">
        <v>8</v>
      </c>
      <c r="GF470" s="695" t="s">
        <v>144</v>
      </c>
      <c r="GG470" s="697">
        <f t="shared" si="21"/>
        <v>166.21559426159999</v>
      </c>
      <c r="IV470"/>
    </row>
    <row r="471" spans="167:256" s="11" customFormat="1" x14ac:dyDescent="0.25">
      <c r="FK471" s="1493"/>
      <c r="GB471" s="378" t="s">
        <v>435</v>
      </c>
      <c r="GC471" s="294">
        <f>PENN!AZ312</f>
        <v>-6.8740800000000002</v>
      </c>
      <c r="GD471" s="700" t="s">
        <v>1461</v>
      </c>
      <c r="GE471" s="701">
        <v>7</v>
      </c>
      <c r="GF471" s="702" t="s">
        <v>144</v>
      </c>
      <c r="GG471" s="699">
        <f t="shared" si="21"/>
        <v>-48.118560000000002</v>
      </c>
      <c r="IV471"/>
    </row>
    <row r="472" spans="167:256" s="11" customFormat="1" x14ac:dyDescent="0.25">
      <c r="FK472" s="1493"/>
      <c r="GB472" s="10" t="s">
        <v>1912</v>
      </c>
      <c r="GC472" s="10">
        <f>SUM(GC450:GC471)</f>
        <v>818.54418037572282</v>
      </c>
      <c r="GD472" s="430"/>
      <c r="GE472" s="704">
        <f>GG472/GC472</f>
        <v>8.2645688070320027</v>
      </c>
      <c r="GF472" s="877"/>
      <c r="GG472" s="933">
        <f>SUM(GG450:GG471)</f>
        <v>6764.9147003107764</v>
      </c>
      <c r="IV472"/>
    </row>
    <row r="473" spans="167:256" s="11" customFormat="1" x14ac:dyDescent="0.25">
      <c r="FK473" s="1493"/>
      <c r="GB473" s="11" t="s">
        <v>1642</v>
      </c>
      <c r="GC473" s="296"/>
      <c r="GD473" s="693" t="s">
        <v>1461</v>
      </c>
      <c r="GE473" s="1396">
        <f>GE471</f>
        <v>7</v>
      </c>
      <c r="GF473" s="695" t="s">
        <v>144</v>
      </c>
      <c r="GG473" s="697">
        <f t="shared" si="21"/>
        <v>0</v>
      </c>
      <c r="IV473"/>
    </row>
    <row r="474" spans="167:256" s="11" customFormat="1" x14ac:dyDescent="0.25">
      <c r="FK474" s="1493"/>
      <c r="GB474" s="706" t="s">
        <v>2013</v>
      </c>
      <c r="GC474" s="431"/>
      <c r="GD474" s="700" t="s">
        <v>1461</v>
      </c>
      <c r="GE474" s="701">
        <v>8</v>
      </c>
      <c r="GF474" s="702" t="s">
        <v>144</v>
      </c>
      <c r="GG474" s="699">
        <f t="shared" si="21"/>
        <v>0</v>
      </c>
      <c r="IV474"/>
    </row>
    <row r="475" spans="167:256" s="11" customFormat="1" x14ac:dyDescent="0.25">
      <c r="FK475" s="1493"/>
      <c r="GB475" s="10" t="s">
        <v>1624</v>
      </c>
      <c r="GC475" s="10">
        <f>SUM(GC472:GC474)</f>
        <v>818.54418037572282</v>
      </c>
      <c r="GD475" s="281"/>
      <c r="GE475" s="704">
        <f>GG475/GC475</f>
        <v>8.2645688070320027</v>
      </c>
      <c r="GF475" s="281"/>
      <c r="GG475" s="281">
        <f>SUM(GG472:GG474)</f>
        <v>6764.9147003107764</v>
      </c>
      <c r="IV475"/>
    </row>
    <row r="476" spans="167:256" s="11" customFormat="1" x14ac:dyDescent="0.25">
      <c r="FK476" s="1493"/>
      <c r="IV476"/>
    </row>
    <row r="477" spans="167:256" s="11" customFormat="1" x14ac:dyDescent="0.25">
      <c r="FK477" s="1493"/>
      <c r="GB477" s="11" t="s">
        <v>611</v>
      </c>
      <c r="IV477"/>
    </row>
    <row r="478" spans="167:256" s="11" customFormat="1" x14ac:dyDescent="0.25">
      <c r="FK478" s="1493"/>
      <c r="GB478" s="294" t="s">
        <v>1384</v>
      </c>
      <c r="GC478" s="294"/>
      <c r="IV478"/>
    </row>
    <row r="479" spans="167:256" s="11" customFormat="1" x14ac:dyDescent="0.25">
      <c r="FK479" s="1493"/>
      <c r="GB479" s="10" t="s">
        <v>1403</v>
      </c>
      <c r="GC479" s="11">
        <f>SUM(GC477:GC478)</f>
        <v>0</v>
      </c>
      <c r="IV479"/>
    </row>
    <row r="480" spans="167:256" s="11" customFormat="1" x14ac:dyDescent="0.25">
      <c r="FK480" s="1493"/>
      <c r="IV480"/>
    </row>
    <row r="481" spans="167:256" s="11" customFormat="1" x14ac:dyDescent="0.25">
      <c r="FK481" s="1493"/>
      <c r="GB481" s="906" t="s">
        <v>741</v>
      </c>
      <c r="GC481" s="1481">
        <f>GC479/GC475</f>
        <v>0</v>
      </c>
      <c r="IV481"/>
    </row>
    <row r="482" spans="167:256" s="11" customFormat="1" x14ac:dyDescent="0.25">
      <c r="FK482" s="1493"/>
      <c r="IV482"/>
    </row>
    <row r="483" spans="167:256" s="11" customFormat="1" x14ac:dyDescent="0.25">
      <c r="FK483" s="1493"/>
      <c r="IV483"/>
    </row>
    <row r="484" spans="167:256" s="11" customFormat="1" x14ac:dyDescent="0.25">
      <c r="FK484" s="1493"/>
      <c r="GI484" s="10" t="s">
        <v>964</v>
      </c>
      <c r="IV484"/>
    </row>
    <row r="485" spans="167:256" s="11" customFormat="1" ht="5.0999999999999996" customHeight="1" x14ac:dyDescent="0.25">
      <c r="FK485" s="1493"/>
      <c r="GC485" s="280"/>
      <c r="IV485"/>
    </row>
    <row r="486" spans="167:256" s="11" customFormat="1" x14ac:dyDescent="0.25">
      <c r="FK486" s="1493"/>
      <c r="GI486" s="873" t="s">
        <v>1833</v>
      </c>
      <c r="GJ486" s="747" t="s">
        <v>2113</v>
      </c>
      <c r="GK486" s="747" t="s">
        <v>2115</v>
      </c>
      <c r="GL486" s="747" t="s">
        <v>2116</v>
      </c>
      <c r="GM486" s="747" t="s">
        <v>2117</v>
      </c>
      <c r="GN486" s="747" t="s">
        <v>2118</v>
      </c>
      <c r="GO486" s="1484">
        <v>2011</v>
      </c>
      <c r="GP486" s="1484">
        <v>2012</v>
      </c>
      <c r="GQ486" s="745"/>
      <c r="GR486" s="745"/>
      <c r="GS486" s="745"/>
      <c r="IV486"/>
    </row>
    <row r="487" spans="167:256" s="11" customFormat="1" x14ac:dyDescent="0.25">
      <c r="FK487" s="1493"/>
      <c r="GI487" s="11" t="s">
        <v>1788</v>
      </c>
      <c r="GJ487" s="899">
        <f>PENN!AJ218/PENN!AE218-1</f>
        <v>0.35567248873148749</v>
      </c>
      <c r="GK487" s="899">
        <f>PENN!AL218/PENN!AG218-1</f>
        <v>0.35534563774645145</v>
      </c>
      <c r="GL487" s="899">
        <f>PENN!AM218/PENN!AH218-1</f>
        <v>0.32369510078761188</v>
      </c>
      <c r="GM487" s="899">
        <f>PENN!AN218/PENN!AI218-1</f>
        <v>8.9011772455669602E-2</v>
      </c>
      <c r="GN487" s="899">
        <f>PENN!AO218/PENN!AJ218-1</f>
        <v>8.9615044937399357E-2</v>
      </c>
      <c r="GO487" s="899">
        <f>PENN!AP218/PENN!AK218-1</f>
        <v>0.19800158460273298</v>
      </c>
      <c r="GP487" s="899">
        <f>PENN!AU218/PENN!AP218-1</f>
        <v>-2.9108996576920898E-3</v>
      </c>
      <c r="IV487"/>
    </row>
    <row r="488" spans="167:256" s="11" customFormat="1" x14ac:dyDescent="0.25">
      <c r="FK488" s="1493"/>
      <c r="GI488" s="11" t="s">
        <v>1092</v>
      </c>
      <c r="GJ488" s="899">
        <f>PENN!AJ243/PENN!AE243-1</f>
        <v>-1.6248181526195449E-2</v>
      </c>
      <c r="GK488" s="899">
        <f>PENN!AL243/PENN!AG243-1</f>
        <v>-6.3036939646643475E-4</v>
      </c>
      <c r="GL488" s="899">
        <f>PENN!AM243/PENN!AH243-1</f>
        <v>-1.7246856987247483E-3</v>
      </c>
      <c r="GM488" s="899">
        <f>PENN!AN243/PENN!AI243-1</f>
        <v>-3.980576661348767E-3</v>
      </c>
      <c r="GN488" s="899">
        <f>PENN!AO243/PENN!AJ243-1</f>
        <v>1.9272926309320315E-2</v>
      </c>
      <c r="GO488" s="899">
        <f>PENN!AP243/PENN!AK243-1</f>
        <v>2.9919985881208255E-3</v>
      </c>
      <c r="GP488" s="899">
        <f>PENN!AU243/PENN!AP243-1</f>
        <v>-9.3909160025430594E-2</v>
      </c>
      <c r="IV488"/>
    </row>
    <row r="489" spans="167:256" s="11" customFormat="1" x14ac:dyDescent="0.25">
      <c r="FK489" s="1493"/>
      <c r="GI489" s="11" t="s">
        <v>1549</v>
      </c>
      <c r="GJ489" s="899">
        <f>PENN!AJ220/PENN!AE220-1</f>
        <v>0.12161947069122703</v>
      </c>
      <c r="GK489" s="899">
        <f>PENN!AL220/PENN!AG220-1</f>
        <v>9.5833884406824499E-2</v>
      </c>
      <c r="GL489" s="899">
        <f>PENN!AM220/PENN!AH220-1</f>
        <v>8.0638707579963498E-2</v>
      </c>
      <c r="GM489" s="899">
        <f>PENN!AN220/PENN!AI220-1</f>
        <v>-6.898435971937289E-3</v>
      </c>
      <c r="GN489" s="899">
        <f>PENN!AO220/PENN!AJ220-1</f>
        <v>4.3620437340351481E-2</v>
      </c>
      <c r="GO489" s="899">
        <f>PENN!AP220/PENN!AK220-1</f>
        <v>5.1900566458126018E-2</v>
      </c>
      <c r="GP489" s="899">
        <f>PENN!AU220/PENN!AP220-1</f>
        <v>-1.3904536884540741E-2</v>
      </c>
      <c r="IV489"/>
    </row>
    <row r="490" spans="167:256" s="11" customFormat="1" x14ac:dyDescent="0.25">
      <c r="FK490" s="1493"/>
      <c r="GI490" s="11" t="s">
        <v>1094</v>
      </c>
      <c r="GJ490" s="899">
        <f>PENN!AJ240/PENN!AE240-1</f>
        <v>4.9136390708754973E-3</v>
      </c>
      <c r="GK490" s="899">
        <f>PENN!AL240/PENN!AG240-1</f>
        <v>-3.8691491054581806E-2</v>
      </c>
      <c r="GL490" s="899">
        <f>PENN!AM240/PENN!AH240-1</f>
        <v>3.5116617727804389E-2</v>
      </c>
      <c r="GM490" s="899">
        <f>PENN!AN240/PENN!AI240-1</f>
        <v>-9.9319565476900795E-3</v>
      </c>
      <c r="GN490" s="899">
        <f>PENN!AO240/PENN!AJ240-1</f>
        <v>-8.159233466686433E-2</v>
      </c>
      <c r="GO490" s="899">
        <f>PENN!AP240/PENN!AK240-1</f>
        <v>-2.3481935372674068E-2</v>
      </c>
      <c r="GP490" s="899">
        <f>PENN!AU240/PENN!AP240-1</f>
        <v>-0.12493761639867051</v>
      </c>
      <c r="IV490"/>
    </row>
    <row r="491" spans="167:256" s="11" customFormat="1" x14ac:dyDescent="0.25">
      <c r="FK491" s="1493"/>
      <c r="GI491" s="11" t="s">
        <v>1786</v>
      </c>
      <c r="GJ491" s="899">
        <f>PENN!AJ241/PENN!AE241-1</f>
        <v>-2.5770290581162314E-2</v>
      </c>
      <c r="GK491" s="899">
        <f>PENN!AL241/PENN!AG241-1</f>
        <v>8.2066363333703318E-2</v>
      </c>
      <c r="GL491" s="899">
        <f>PENN!AM241/PENN!AH241-1</f>
        <v>0.13124854684956988</v>
      </c>
      <c r="GM491" s="899">
        <f>PENN!AN241/PENN!AI241-1</f>
        <v>1.9066220238095122E-2</v>
      </c>
      <c r="GN491" s="899">
        <f>PENN!AO241/PENN!AJ241-1</f>
        <v>-6.810657924340302E-2</v>
      </c>
      <c r="GO491" s="899">
        <f>PENN!AP241/PENN!AK241-1</f>
        <v>4.4611832223641956E-2</v>
      </c>
      <c r="GP491" s="899">
        <f>PENN!AU241/PENN!AP241-1</f>
        <v>-2.8578377721026449E-2</v>
      </c>
      <c r="IV491"/>
    </row>
    <row r="492" spans="167:256" s="11" customFormat="1" x14ac:dyDescent="0.25">
      <c r="FK492" s="1493"/>
      <c r="GI492" s="11" t="s">
        <v>1093</v>
      </c>
      <c r="GJ492" s="899">
        <f>PENN!AJ244/PENN!AE244-1</f>
        <v>1.7792216174350672E-2</v>
      </c>
      <c r="GK492" s="899">
        <f>PENN!AL244/PENN!AG244-1</f>
        <v>-1.0858186744391429E-2</v>
      </c>
      <c r="GL492" s="899">
        <f>PENN!AM244/PENN!AH244-1</f>
        <v>4.605858938988705E-2</v>
      </c>
      <c r="GM492" s="899">
        <f>PENN!AN244/PENN!AI244-1</f>
        <v>5.4816115344648475E-2</v>
      </c>
      <c r="GN492" s="899">
        <f>PENN!AO244/PENN!AJ244-1</f>
        <v>1.9267058425636252E-2</v>
      </c>
      <c r="GO492" s="899">
        <f>PENN!AP244/PENN!AK244-1</f>
        <v>2.6892452372668796E-2</v>
      </c>
      <c r="GP492" s="899">
        <f>PENN!AU244/PENN!AP244-1</f>
        <v>-0.19097664790013691</v>
      </c>
      <c r="IV492"/>
    </row>
    <row r="493" spans="167:256" s="11" customFormat="1" x14ac:dyDescent="0.25">
      <c r="FK493" s="1493"/>
      <c r="GI493" s="11" t="s">
        <v>1548</v>
      </c>
      <c r="GJ493" s="899">
        <f>PENN!AJ247/PENN!AE247-1</f>
        <v>7.4142382884545555E-3</v>
      </c>
      <c r="GK493" s="899">
        <f>PENN!AL247/PENN!AG247-1</f>
        <v>2.6842122491734788E-3</v>
      </c>
      <c r="GL493" s="899">
        <f>PENN!AM247/PENN!AH247-1</f>
        <v>1.4789533560864543E-2</v>
      </c>
      <c r="GM493" s="899">
        <f>PENN!AN247/PENN!AI247-1</f>
        <v>5.8933196061863979E-2</v>
      </c>
      <c r="GN493" s="899">
        <f>PENN!AO247/PENN!AJ247-1</f>
        <v>1.2170257405441642E-3</v>
      </c>
      <c r="GO493" s="899">
        <f>PENN!AP247/PENN!AK247-1</f>
        <v>1.8831592454947144E-2</v>
      </c>
      <c r="GP493" s="899">
        <f>PENN!AU247/PENN!AP247-1</f>
        <v>-7.5069653240378842E-2</v>
      </c>
      <c r="IV493"/>
    </row>
    <row r="494" spans="167:256" s="11" customFormat="1" x14ac:dyDescent="0.25">
      <c r="FK494" s="1493"/>
      <c r="GI494" s="11" t="s">
        <v>1020</v>
      </c>
      <c r="GJ494" s="899">
        <f>PENN!AJ242/PENN!AE242-1</f>
        <v>-2.7844897019905779E-2</v>
      </c>
      <c r="GK494" s="899">
        <f>PENN!AL242/PENN!AG242-1</f>
        <v>-2.0840047266086459E-2</v>
      </c>
      <c r="GL494" s="899">
        <f>PENN!AM242/PENN!AH242-1</f>
        <v>-1.7642518469511703E-3</v>
      </c>
      <c r="GM494" s="899">
        <f>PENN!AN242/PENN!AI242-1</f>
        <v>-9.3203049500697799E-2</v>
      </c>
      <c r="GN494" s="899">
        <f>PENN!AO242/PENN!AJ242-1</f>
        <v>-6.2966031483015494E-2</v>
      </c>
      <c r="GO494" s="899">
        <f>PENN!AP242/PENN!AK242-1</f>
        <v>-4.4548976203652502E-2</v>
      </c>
      <c r="GP494" s="899">
        <f>PENN!AU242/PENN!AP242-1</f>
        <v>-3.0683463654792908E-2</v>
      </c>
      <c r="IV494"/>
    </row>
    <row r="495" spans="167:256" s="11" customFormat="1" x14ac:dyDescent="0.25">
      <c r="FK495" s="1493"/>
      <c r="GI495" s="11" t="s">
        <v>616</v>
      </c>
      <c r="GJ495" s="899">
        <f>PENN!AJ234/PENN!AE234-1</f>
        <v>-0.10042439559391547</v>
      </c>
      <c r="GK495" s="899">
        <f>PENN!AL234/PENN!AG234-1</f>
        <v>-8.1701100080493583E-2</v>
      </c>
      <c r="GL495" s="899">
        <f>PENN!AM234/PENN!AH234-1</f>
        <v>-0.37734988136521264</v>
      </c>
      <c r="GM495" s="899">
        <f>PENN!AN234/PENN!AI234-1</f>
        <v>-9.9999999999999867E-2</v>
      </c>
      <c r="GN495" s="899">
        <f>PENN!AO234/PENN!AJ234-1</f>
        <v>-9.9999999999999867E-2</v>
      </c>
      <c r="GO495" s="899">
        <f>PENN!AP234/PENN!AK234-1</f>
        <v>-0.16704748388622781</v>
      </c>
      <c r="GP495" s="899">
        <f>PENN!AU234/PENN!AP234-1</f>
        <v>6.6572199749255212E-3</v>
      </c>
      <c r="IV495"/>
    </row>
    <row r="496" spans="167:256" s="11" customFormat="1" x14ac:dyDescent="0.25">
      <c r="FK496" s="1493"/>
      <c r="GI496" s="11" t="s">
        <v>615</v>
      </c>
      <c r="GJ496" s="899">
        <f>PENN!AJ236/PENN!AE236-1</f>
        <v>2.95729449518638E-2</v>
      </c>
      <c r="GK496" s="899">
        <f>PENN!AL236/PENN!AG236-1</f>
        <v>2.25503984997657E-2</v>
      </c>
      <c r="GL496" s="899">
        <f>PENN!AM236/PENN!AH236-1</f>
        <v>-2.2194096641504291E-2</v>
      </c>
      <c r="GM496" s="899">
        <f>PENN!AN236/PENN!AI236-1</f>
        <v>-7.0000000000000062E-2</v>
      </c>
      <c r="GN496" s="899">
        <f>PENN!AO236/PENN!AJ236-1</f>
        <v>-7.0000000000000062E-2</v>
      </c>
      <c r="GO496" s="899">
        <f>PENN!AP236/PENN!AK236-1</f>
        <v>-3.5049514081828104E-2</v>
      </c>
      <c r="GP496" s="899">
        <f>PENN!AU236/PENN!AP236-1</f>
        <v>-1.6753951784112098E-2</v>
      </c>
      <c r="IV496"/>
    </row>
    <row r="497" spans="167:256" s="11" customFormat="1" x14ac:dyDescent="0.25">
      <c r="FK497" s="1493"/>
      <c r="GI497" s="11" t="s">
        <v>1019</v>
      </c>
      <c r="GJ497" s="899">
        <f>PENN!AJ245/PENN!AE245-1</f>
        <v>5.5882128406748555E-2</v>
      </c>
      <c r="GK497" s="899">
        <f>PENN!AL245/PENN!AG245-1</f>
        <v>2.6986506746626837E-2</v>
      </c>
      <c r="GL497" s="899">
        <f>PENN!AM245/PENN!AH245-1</f>
        <v>7.0240162037036979E-2</v>
      </c>
      <c r="GM497" s="899">
        <f>PENN!AN245/PENN!AI245-1</f>
        <v>7.5817747539085101E-2</v>
      </c>
      <c r="GN497" s="899">
        <f>PENN!AO245/PENN!AJ245-1</f>
        <v>1.6241414214445804E-2</v>
      </c>
      <c r="GO497" s="899">
        <f>PENN!AP245/PENN!AK245-1</f>
        <v>4.7005663905957951E-2</v>
      </c>
      <c r="GP497" s="899">
        <f>PENN!AU245/PENN!AP245-1</f>
        <v>-3.3974048745432639E-2</v>
      </c>
      <c r="IV497"/>
    </row>
    <row r="498" spans="167:256" s="11" customFormat="1" x14ac:dyDescent="0.25">
      <c r="FK498" s="1493"/>
      <c r="GI498" s="11" t="s">
        <v>1453</v>
      </c>
      <c r="GJ498" s="899">
        <f>PENN!AJ237/PENN!AE237-1</f>
        <v>4.4947860481840962E-2</v>
      </c>
      <c r="GK498" s="899">
        <f>PENN!AL237/PENN!AG237-1</f>
        <v>3.5480859010270871E-2</v>
      </c>
      <c r="GL498" s="899">
        <f>PENN!AM237/PENN!AH237-1</f>
        <v>1.2916423144359923E-2</v>
      </c>
      <c r="GM498" s="899">
        <f>PENN!AN237/PENN!AI237-1</f>
        <v>4.9999999999998934E-3</v>
      </c>
      <c r="GN498" s="899">
        <f>PENN!AO237/PENN!AJ237-1</f>
        <v>-5.0000000000000044E-2</v>
      </c>
      <c r="GO498" s="899">
        <f>PENN!AP237/PENN!AK237-1</f>
        <v>1.2186193205019347E-3</v>
      </c>
      <c r="GP498" s="899">
        <f>PENN!AU237/PENN!AP237-1</f>
        <v>-8.5030948726296351E-2</v>
      </c>
      <c r="IV498"/>
    </row>
    <row r="499" spans="167:256" s="11" customFormat="1" x14ac:dyDescent="0.25">
      <c r="FK499" s="1493"/>
      <c r="GI499" s="11" t="s">
        <v>1090</v>
      </c>
      <c r="GJ499" s="899">
        <f>PENN!AJ219/PENN!AE219-1</f>
        <v>2.175382535488235E-2</v>
      </c>
      <c r="GK499" s="899">
        <f>PENN!AL219/PENN!AG219-1</f>
        <v>-5.7688751926040172E-2</v>
      </c>
      <c r="GL499" s="899">
        <f>PENN!AM219/PENN!AH219-1</f>
        <v>-1.4936434638846197E-2</v>
      </c>
      <c r="GM499" s="899">
        <f>PENN!AN219/PENN!AI219-1</f>
        <v>-1.9004556672305717E-2</v>
      </c>
      <c r="GN499" s="899">
        <f>PENN!AO219/PENN!AJ219-1</f>
        <v>-1.4869499609069581E-2</v>
      </c>
      <c r="GO499" s="899">
        <f>PENN!AP219/PENN!AK219-1</f>
        <v>-2.592087997049275E-2</v>
      </c>
      <c r="GP499" s="899">
        <f>PENN!AU219/PENN!AP219-1</f>
        <v>4.4254590080168521E-2</v>
      </c>
      <c r="IV499"/>
    </row>
    <row r="500" spans="167:256" s="11" customFormat="1" x14ac:dyDescent="0.25">
      <c r="FK500" s="1493"/>
      <c r="GI500" s="11" t="s">
        <v>1089</v>
      </c>
      <c r="GJ500" s="899">
        <f>PENN!AJ254/PENN!AE254-1</f>
        <v>-0.2240273621205644</v>
      </c>
      <c r="GK500" s="899">
        <f>PENN!AL254/PENN!AG254-1</f>
        <v>-0.39320090108539829</v>
      </c>
      <c r="GL500" s="899">
        <f>PENN!AM254/PENN!AH254-1</f>
        <v>-0.37047007662041831</v>
      </c>
      <c r="GM500" s="899">
        <f>PENN!AN254/PENN!AI254-1</f>
        <v>2.0000000000000018E-2</v>
      </c>
      <c r="GN500" s="899">
        <f>PENN!AO254/PENN!AJ254-1</f>
        <v>2.0000000000000018E-2</v>
      </c>
      <c r="GO500" s="899">
        <f>PENN!AP254/PENN!AK254-1</f>
        <v>-0.19934475976397859</v>
      </c>
      <c r="GP500" s="899">
        <f>PENN!AU254/PENN!AP254-1</f>
        <v>2.000000000000024E-2</v>
      </c>
      <c r="IV500"/>
    </row>
    <row r="501" spans="167:256" s="11" customFormat="1" x14ac:dyDescent="0.25">
      <c r="FK501" s="1493"/>
      <c r="GI501" s="11" t="s">
        <v>1479</v>
      </c>
      <c r="GJ501" s="899">
        <f>PENN!AJ230/PENN!AE230-1</f>
        <v>0.15047069541451585</v>
      </c>
      <c r="GK501" s="899">
        <f>PENN!AL230/PENN!AG230-1</f>
        <v>9.5219625715116774E-2</v>
      </c>
      <c r="GL501" s="899">
        <f>PENN!AM230/PENN!AH230-1</f>
        <v>8.6074561403508776E-2</v>
      </c>
      <c r="GM501" s="899">
        <f>PENN!AN230/PENN!AI230-1</f>
        <v>3.0000000000000027E-2</v>
      </c>
      <c r="GN501" s="899">
        <f>PENN!AO230/PENN!AJ230-1</f>
        <v>3.0000000000000027E-2</v>
      </c>
      <c r="GO501" s="899">
        <f>PENN!AP230/PENN!AK230-1</f>
        <v>5.9069192751235677E-2</v>
      </c>
      <c r="GP501" s="899">
        <f>PENN!AU230/PENN!AP230-1</f>
        <v>-2.0091436971456655E-2</v>
      </c>
      <c r="IV501"/>
    </row>
    <row r="502" spans="167:256" s="11" customFormat="1" x14ac:dyDescent="0.25">
      <c r="FK502" s="1493"/>
      <c r="GI502" s="281" t="s">
        <v>1942</v>
      </c>
      <c r="GJ502" s="903">
        <f>PENN!AJ223/PENN!AE223-1</f>
        <v>-5.7276750846133817E-2</v>
      </c>
      <c r="GK502" s="903">
        <f>PENN!AL223/PENN!AG223-1</f>
        <v>3.8509705698184238E-2</v>
      </c>
      <c r="GL502" s="903">
        <f>PENN!AM223/PENN!AH223-1</f>
        <v>6.2313060817549282E-3</v>
      </c>
      <c r="GM502" s="903">
        <f>PENN!AN223/PENN!AI223-1</f>
        <v>1.0000000000000009E-2</v>
      </c>
      <c r="GN502" s="903">
        <f>PENN!AO223/PENN!AJ223-1</f>
        <v>1.0000000000000009E-2</v>
      </c>
      <c r="GO502" s="899">
        <f>PENN!AP223/PENN!AK223-1</f>
        <v>1.4999341672152777E-2</v>
      </c>
      <c r="GP502" s="899">
        <f>PENN!AU223/PENN!AP223-1</f>
        <v>1.9999999999999796E-2</v>
      </c>
      <c r="IV502"/>
    </row>
    <row r="503" spans="167:256" s="11" customFormat="1" x14ac:dyDescent="0.25">
      <c r="FK503" s="1493"/>
      <c r="GI503" s="294" t="s">
        <v>1787</v>
      </c>
      <c r="GJ503" s="928"/>
      <c r="GK503" s="928"/>
      <c r="GL503" s="928"/>
      <c r="GM503" s="928"/>
      <c r="GN503" s="928">
        <f>PENN!AO227/PENN!AJ227-1</f>
        <v>7.1105783266991684E-2</v>
      </c>
      <c r="GO503" s="903"/>
      <c r="GP503" s="903">
        <f>PENN!AU227/PENN!AP227-1</f>
        <v>-0.10947642860301277</v>
      </c>
      <c r="IV503"/>
    </row>
    <row r="504" spans="167:256" s="11" customFormat="1" x14ac:dyDescent="0.25">
      <c r="FK504" s="1493"/>
      <c r="GI504" s="10" t="s">
        <v>1912</v>
      </c>
      <c r="GJ504" s="358">
        <f>SUM(PENN!AJ218:AJ230)/SUM(PENN!AE218:AE230)-1</f>
        <v>0.35390381671329774</v>
      </c>
      <c r="GK504" s="358">
        <f>SUM(PENN!AL218:AL230)/SUM(PENN!AG218:AG230)-1</f>
        <v>0.33275003426691629</v>
      </c>
      <c r="GL504" s="358">
        <f>SUM(PENN!AM218:AM230)/SUM(PENN!AH218:AH230)-1</f>
        <v>0.31587563473473645</v>
      </c>
      <c r="GM504" s="358">
        <f>SUM(PENN!AN218:AN230)/SUM(PENN!AI218:AI230)-1</f>
        <v>0.14239406801892507</v>
      </c>
      <c r="GN504" s="358">
        <f>SUM(PENN!AO218:AO230)/SUM(PENN!AJ218:AJ230)-1</f>
        <v>6.3230836745038488E-2</v>
      </c>
      <c r="GO504" s="1485">
        <f>SUM(PENN!AP218:AP230)/SUM(PENN!AK218:AK230)-1</f>
        <v>0.20157401144150744</v>
      </c>
      <c r="GP504" s="908">
        <f>SUM(PENN!AU218:AU230)/SUM(PENN!AP218:AP230)-1</f>
        <v>0.13588460335111341</v>
      </c>
      <c r="IV504"/>
    </row>
    <row r="505" spans="167:256" s="11" customFormat="1" x14ac:dyDescent="0.25">
      <c r="FK505" s="1493"/>
      <c r="GN505" s="358"/>
      <c r="GO505" s="358"/>
      <c r="IV505"/>
    </row>
    <row r="506" spans="167:256" s="11" customFormat="1" x14ac:dyDescent="0.25">
      <c r="FK506" s="1493"/>
      <c r="GM506" s="1269" t="s">
        <v>968</v>
      </c>
      <c r="GN506" s="1486"/>
      <c r="GO506" s="1486"/>
      <c r="GP506" s="284"/>
      <c r="IV506"/>
    </row>
    <row r="507" spans="167:256" s="11" customFormat="1" x14ac:dyDescent="0.25">
      <c r="FK507" s="1493"/>
      <c r="GM507" s="285" t="s">
        <v>969</v>
      </c>
      <c r="GN507" s="1483"/>
      <c r="GO507" s="1488" t="s">
        <v>643</v>
      </c>
      <c r="GP507" s="1489"/>
      <c r="IV507"/>
    </row>
    <row r="508" spans="167:256" s="11" customFormat="1" x14ac:dyDescent="0.25">
      <c r="FK508" s="1493"/>
      <c r="GM508" s="293" t="s">
        <v>966</v>
      </c>
      <c r="GN508" s="1487"/>
      <c r="GO508" s="1490">
        <v>2.7E-2</v>
      </c>
      <c r="GP508" s="1491">
        <v>2.7E-2</v>
      </c>
      <c r="IV508"/>
    </row>
    <row r="509" spans="167:256" s="11" customFormat="1" ht="5.0999999999999996" customHeight="1" x14ac:dyDescent="0.25">
      <c r="FK509" s="1493"/>
      <c r="GN509" s="358"/>
      <c r="GO509" s="358"/>
      <c r="GP509" s="358"/>
      <c r="IV509"/>
    </row>
    <row r="510" spans="167:256" s="11" customFormat="1" x14ac:dyDescent="0.25">
      <c r="FK510" s="1493"/>
      <c r="IV510"/>
    </row>
    <row r="511" spans="167:256" s="11" customFormat="1" x14ac:dyDescent="0.25">
      <c r="FK511" s="1493"/>
      <c r="GI511" s="10" t="s">
        <v>965</v>
      </c>
      <c r="IV511"/>
    </row>
    <row r="512" spans="167:256" s="11" customFormat="1" ht="5.0999999999999996" customHeight="1" x14ac:dyDescent="0.25">
      <c r="FK512" s="1493"/>
      <c r="GI512" s="10"/>
      <c r="IV512"/>
    </row>
    <row r="513" spans="167:256" s="11" customFormat="1" x14ac:dyDescent="0.25">
      <c r="FK513" s="1493"/>
      <c r="GJ513" s="747" t="s">
        <v>2113</v>
      </c>
      <c r="GK513" s="747" t="s">
        <v>2115</v>
      </c>
      <c r="GL513" s="747" t="s">
        <v>2116</v>
      </c>
      <c r="GM513" s="747" t="s">
        <v>2117</v>
      </c>
      <c r="GN513" s="747" t="s">
        <v>2118</v>
      </c>
      <c r="GO513" s="1484">
        <v>2011</v>
      </c>
      <c r="GP513" s="1484">
        <v>2012</v>
      </c>
      <c r="IV513"/>
    </row>
    <row r="514" spans="167:256" s="11" customFormat="1" x14ac:dyDescent="0.25">
      <c r="FK514" s="1493"/>
      <c r="GI514" s="11" t="s">
        <v>1788</v>
      </c>
      <c r="GJ514" s="899">
        <f>PENN!AJ265/PENN!AE265-1</f>
        <v>0.55581403936339147</v>
      </c>
      <c r="GK514" s="899">
        <f>PENN!AL265/PENN!AG265-1</f>
        <v>0.58201058201058209</v>
      </c>
      <c r="GL514" s="899">
        <f>PENN!AM265/PENN!AH265-1</f>
        <v>0.54115438761144996</v>
      </c>
      <c r="GM514" s="899">
        <f>PENN!AN265/PENN!AI265-1</f>
        <v>0.14623598498981694</v>
      </c>
      <c r="GN514" s="899">
        <f>PENN!AO265/PENN!AJ265-1</f>
        <v>0.14292824045407904</v>
      </c>
      <c r="GO514" s="899">
        <f>PENN!AP265/PENN!AK265-1</f>
        <v>0.31386714157580031</v>
      </c>
      <c r="GP514" s="899">
        <f>PENN!AU265/PENN!AP265-1</f>
        <v>1.1449993982461049E-2</v>
      </c>
      <c r="IV514"/>
    </row>
    <row r="515" spans="167:256" s="11" customFormat="1" x14ac:dyDescent="0.25">
      <c r="FK515" s="1493"/>
      <c r="GI515" s="11" t="s">
        <v>1092</v>
      </c>
      <c r="GJ515" s="899">
        <f>PENN!AJ296/PENN!AE296-1</f>
        <v>-2.2922113455341342E-2</v>
      </c>
      <c r="GK515" s="899">
        <f>PENN!AL296/PENN!AG296-1</f>
        <v>6.7569165287302058E-2</v>
      </c>
      <c r="GL515" s="899">
        <f>PENN!AM296/PENN!AH296-1</f>
        <v>7.917687115465033E-2</v>
      </c>
      <c r="GM515" s="899">
        <f>PENN!AN296/PENN!AI296-1</f>
        <v>6.7618515880583319E-2</v>
      </c>
      <c r="GN515" s="899">
        <f>PENN!AO296/PENN!AJ296-1</f>
        <v>9.5247992482887511E-2</v>
      </c>
      <c r="GO515" s="899">
        <f>PENN!AP296/PENN!AK296-1</f>
        <v>7.7191266732071995E-2</v>
      </c>
      <c r="GP515" s="899">
        <f>PENN!AU296/PENN!AP296-1</f>
        <v>-4.5769288647538153E-2</v>
      </c>
      <c r="IV515"/>
    </row>
    <row r="516" spans="167:256" s="11" customFormat="1" x14ac:dyDescent="0.25">
      <c r="FK516" s="1493"/>
      <c r="GI516" s="11" t="s">
        <v>1549</v>
      </c>
      <c r="GJ516" s="899">
        <f>PENN!AJ267/PENN!AE267-1</f>
        <v>0.47104537478064668</v>
      </c>
      <c r="GK516" s="899">
        <f>PENN!AL267/PENN!AG267-1</f>
        <v>0.33070301291248216</v>
      </c>
      <c r="GL516" s="899">
        <f>PENN!AM267/PENN!AH267-1</f>
        <v>0.37539973942911309</v>
      </c>
      <c r="GM516" s="899">
        <f>PENN!AN267/PENN!AI267-1</f>
        <v>8.8151641999694386E-2</v>
      </c>
      <c r="GN516" s="899">
        <f>PENN!AO267/PENN!AJ267-1</f>
        <v>0.14090937713241036</v>
      </c>
      <c r="GO516" s="899">
        <f>PENN!AP267/PENN!AK267-1</f>
        <v>0.22476765109035246</v>
      </c>
      <c r="GP516" s="899">
        <f>PENN!AU267/PENN!AP267-1</f>
        <v>1.1456179268791722E-2</v>
      </c>
      <c r="IV516"/>
    </row>
    <row r="517" spans="167:256" s="11" customFormat="1" x14ac:dyDescent="0.25">
      <c r="FK517" s="1493"/>
      <c r="GI517" s="11" t="s">
        <v>1094</v>
      </c>
      <c r="GJ517" s="899">
        <f>PENN!AJ293/PENN!AE293-1</f>
        <v>9.9991540478808982E-2</v>
      </c>
      <c r="GK517" s="899">
        <f>PENN!AL293/PENN!AG293-1</f>
        <v>0.14733640121675395</v>
      </c>
      <c r="GL517" s="899">
        <f>PENN!AM293/PENN!AH293-1</f>
        <v>0.17498807441564646</v>
      </c>
      <c r="GM517" s="899">
        <f>PENN!AN293/PENN!AI293-1</f>
        <v>3.310923868466209E-2</v>
      </c>
      <c r="GN517" s="899">
        <f>PENN!AO293/PENN!AJ293-1</f>
        <v>-0.17933469199415553</v>
      </c>
      <c r="GO517" s="899">
        <f>PENN!AP293/PENN!AK293-1</f>
        <v>4.2501669465192071E-2</v>
      </c>
      <c r="GP517" s="899">
        <f>PENN!AU293/PENN!AP293-1</f>
        <v>-7.8093306489501413E-2</v>
      </c>
      <c r="IV517"/>
    </row>
    <row r="518" spans="167:256" s="11" customFormat="1" x14ac:dyDescent="0.25">
      <c r="FK518" s="1493"/>
      <c r="GI518" s="11" t="s">
        <v>1786</v>
      </c>
      <c r="GJ518" s="899">
        <f>PENN!AJ294/PENN!AE294-1</f>
        <v>4.7375160051216225E-2</v>
      </c>
      <c r="GK518" s="899">
        <f>PENN!AL294/PENN!AG294-1</f>
        <v>-5.9621229833995759E-2</v>
      </c>
      <c r="GL518" s="899">
        <f>PENN!AM294/PENN!AH294-1</f>
        <v>-6.822495255219263E-2</v>
      </c>
      <c r="GM518" s="899">
        <f>PENN!AN294/PENN!AI294-1</f>
        <v>-0.20023477528089906</v>
      </c>
      <c r="GN518" s="899">
        <f>PENN!AO294/PENN!AJ294-1</f>
        <v>-0.36341159841075754</v>
      </c>
      <c r="GO518" s="899">
        <f>PENN!AP294/PENN!AK294-1</f>
        <v>-0.15625610827621583</v>
      </c>
      <c r="GP518" s="899">
        <f>PENN!AU294/PENN!AP294-1</f>
        <v>0.189510702815197</v>
      </c>
      <c r="IV518"/>
    </row>
    <row r="519" spans="167:256" s="11" customFormat="1" x14ac:dyDescent="0.25">
      <c r="FK519" s="1493"/>
      <c r="GI519" s="11" t="s">
        <v>1093</v>
      </c>
      <c r="GJ519" s="899">
        <f>PENN!AJ297/PENN!AE297-1</f>
        <v>0.10450711649973643</v>
      </c>
      <c r="GK519" s="899">
        <f>PENN!AL297/PENN!AG297-1</f>
        <v>5.2056518505805283E-3</v>
      </c>
      <c r="GL519" s="899">
        <f>PENN!AM297/PENN!AH297-1</f>
        <v>0.10933788146433554</v>
      </c>
      <c r="GM519" s="899">
        <f>PENN!AN297/PENN!AI297-1</f>
        <v>0.13587233992590608</v>
      </c>
      <c r="GN519" s="899">
        <f>PENN!AO297/PENN!AJ297-1</f>
        <v>3.3101203813685975E-2</v>
      </c>
      <c r="GO519" s="899">
        <f>PENN!AP297/PENN!AK297-1</f>
        <v>6.9356643059381939E-2</v>
      </c>
      <c r="GP519" s="899">
        <f>PENN!AU297/PENN!AP297-1</f>
        <v>-0.24261354878397767</v>
      </c>
      <c r="IV519"/>
    </row>
    <row r="520" spans="167:256" s="11" customFormat="1" x14ac:dyDescent="0.25">
      <c r="FK520" s="1493"/>
      <c r="GI520" s="11" t="s">
        <v>1548</v>
      </c>
      <c r="GJ520" s="899">
        <f>PENN!AJ301/PENN!AE301-1</f>
        <v>2.098121085594995E-2</v>
      </c>
      <c r="GK520" s="899">
        <f>PENN!AL301/PENN!AG301-1</f>
        <v>0.10932585224857605</v>
      </c>
      <c r="GL520" s="899">
        <f>PENN!AM301/PENN!AH301-1</f>
        <v>7.6312056737588785E-2</v>
      </c>
      <c r="GM520" s="899">
        <f>PENN!AN301/PENN!AI301-1</f>
        <v>0.17431826309385268</v>
      </c>
      <c r="GN520" s="899">
        <f>PENN!AO301/PENN!AJ301-1</f>
        <v>5.0168468148041656E-2</v>
      </c>
      <c r="GO520" s="899">
        <f>PENN!AP301/PENN!AK301-1</f>
        <v>0.10178445252480151</v>
      </c>
      <c r="GP520" s="899">
        <f>PENN!AU301/PENN!AP301-1</f>
        <v>-9.9908776541911437E-2</v>
      </c>
      <c r="IV520"/>
    </row>
    <row r="521" spans="167:256" s="11" customFormat="1" x14ac:dyDescent="0.25">
      <c r="FK521" s="1493"/>
      <c r="GI521" s="11" t="s">
        <v>1020</v>
      </c>
      <c r="GJ521" s="899">
        <f>PENN!AJ295/PENN!AE295-1</f>
        <v>-0.11182795698924719</v>
      </c>
      <c r="GK521" s="899">
        <f>PENN!AL295/PENN!AG295-1</f>
        <v>0.1911100546707869</v>
      </c>
      <c r="GL521" s="899">
        <f>PENN!AM295/PENN!AH295-1</f>
        <v>0.32304417243214489</v>
      </c>
      <c r="GM521" s="899">
        <f>PENN!AN295/PENN!AI295-1</f>
        <v>-0.11992057455682925</v>
      </c>
      <c r="GN521" s="899">
        <f>PENN!AO295/PENN!AJ295-1</f>
        <v>1.6328860640302478E-2</v>
      </c>
      <c r="GO521" s="899">
        <f>PENN!AP295/PENN!AK295-1</f>
        <v>9.1259041087577097E-2</v>
      </c>
      <c r="GP521" s="899">
        <f>PENN!AU295/PENN!AP295-1</f>
        <v>3.5161853004094468E-2</v>
      </c>
      <c r="IV521"/>
    </row>
    <row r="522" spans="167:256" s="11" customFormat="1" x14ac:dyDescent="0.25">
      <c r="FK522" s="1493"/>
      <c r="GI522" s="11" t="s">
        <v>616</v>
      </c>
      <c r="GJ522" s="899">
        <f>PENN!AJ284/PENN!AE284-1</f>
        <v>0.38209408194233707</v>
      </c>
      <c r="GK522" s="899">
        <f>PENN!AL284/PENN!AG284-1</f>
        <v>-8.2001808863430892E-2</v>
      </c>
      <c r="GL522" s="899">
        <f>PENN!AM284/PENN!AH284-1</f>
        <v>-0.36549100968188108</v>
      </c>
      <c r="GM522" s="899">
        <f>PENN!AN284/PENN!AI284-1</f>
        <v>-9.9999999999999756E-2</v>
      </c>
      <c r="GN522" s="899">
        <f>PENN!AO284/PENN!AJ284-1</f>
        <v>-0.41425120772946811</v>
      </c>
      <c r="GO522" s="899">
        <f>PENN!AP284/PENN!AK284-1</f>
        <v>-0.22726500692799334</v>
      </c>
      <c r="GP522" s="899">
        <f>PENN!AU284/PENN!AP284-1</f>
        <v>-0.15385478124060037</v>
      </c>
      <c r="IV522"/>
    </row>
    <row r="523" spans="167:256" s="11" customFormat="1" x14ac:dyDescent="0.25">
      <c r="FK523" s="1493"/>
      <c r="GI523" s="11" t="s">
        <v>615</v>
      </c>
      <c r="GJ523" s="899">
        <f>PENN!AJ286/PENN!AE286-1</f>
        <v>0.56935366739288318</v>
      </c>
      <c r="GK523" s="899">
        <f>PENN!AL286/PENN!AG286-1</f>
        <v>0.39085290482076651</v>
      </c>
      <c r="GL523" s="899">
        <f>PENN!AM286/PENN!AH286-1</f>
        <v>0.22866271109082636</v>
      </c>
      <c r="GM523" s="899">
        <f>PENN!AN286/PENN!AI286-1</f>
        <v>-0.19724562057398465</v>
      </c>
      <c r="GN523" s="899">
        <f>PENN!AO286/PENN!AJ286-1</f>
        <v>-0.22300323924109278</v>
      </c>
      <c r="GO523" s="899">
        <f>PENN!AP286/PENN!AK286-1</f>
        <v>3.0955561689207656E-2</v>
      </c>
      <c r="GP523" s="899">
        <f>PENN!AU286/PENN!AP286-1</f>
        <v>3.8706001790556499E-2</v>
      </c>
      <c r="IV523"/>
    </row>
    <row r="524" spans="167:256" s="11" customFormat="1" x14ac:dyDescent="0.25">
      <c r="FK524" s="1493"/>
      <c r="GI524" s="11" t="s">
        <v>1019</v>
      </c>
      <c r="GJ524" s="899">
        <f>PENN!AJ298/PENN!AE298-1</f>
        <v>5.2072032978954352E-2</v>
      </c>
      <c r="GK524" s="899">
        <f>PENN!AL298/PENN!AG298-1</f>
        <v>0.11036363636363644</v>
      </c>
      <c r="GL524" s="899">
        <f>PENN!AM298/PENN!AH298-1</f>
        <v>0.20047590719809638</v>
      </c>
      <c r="GM524" s="899">
        <f>PENN!AN298/PENN!AI298-1</f>
        <v>0.21521940158300579</v>
      </c>
      <c r="GN524" s="899">
        <f>PENN!AO298/PENN!AJ298-1</f>
        <v>5.5675723389507992E-2</v>
      </c>
      <c r="GO524" s="899">
        <f>PENN!AP298/PENN!AK298-1</f>
        <v>0.14552877660380026</v>
      </c>
      <c r="GP524" s="899">
        <f>PENN!AU298/PENN!AP298-1</f>
        <v>-2.187531462492287E-2</v>
      </c>
      <c r="IV524"/>
    </row>
    <row r="525" spans="167:256" s="11" customFormat="1" x14ac:dyDescent="0.25">
      <c r="FK525" s="1493"/>
      <c r="GI525" s="11" t="s">
        <v>1453</v>
      </c>
      <c r="GJ525" s="899">
        <f>PENN!AJ287/PENN!AE287-1</f>
        <v>0.10140449438202248</v>
      </c>
      <c r="GK525" s="899">
        <f>PENN!AL287/PENN!AG287-1</f>
        <v>0.10124640460210932</v>
      </c>
      <c r="GL525" s="899">
        <f>PENN!AM287/PENN!AH287-1</f>
        <v>0.15619610741561951</v>
      </c>
      <c r="GM525" s="899">
        <f>PENN!AN287/PENN!AI287-1</f>
        <v>5.0711120957022127E-2</v>
      </c>
      <c r="GN525" s="899">
        <f>PENN!AO287/PENN!AJ287-1</f>
        <v>-0.18787299158378001</v>
      </c>
      <c r="GO525" s="899">
        <f>PENN!AP287/PENN!AK287-1</f>
        <v>3.6945056186119984E-2</v>
      </c>
      <c r="GP525" s="899">
        <f>PENN!AU287/PENN!AP287-1</f>
        <v>-0.24160635420943777</v>
      </c>
      <c r="IV525"/>
    </row>
    <row r="526" spans="167:256" s="11" customFormat="1" x14ac:dyDescent="0.25">
      <c r="FK526" s="1493"/>
      <c r="GI526" s="11" t="s">
        <v>1090</v>
      </c>
      <c r="GJ526" s="899">
        <f>PENN!AJ266/PENN!AE266-1</f>
        <v>0.42405551272166542</v>
      </c>
      <c r="GK526" s="899">
        <f>PENN!AL266/PENN!AG266-1</f>
        <v>3.8461538461538325E-2</v>
      </c>
      <c r="GL526" s="899">
        <f>PENN!AM266/PENN!AH266-1</f>
        <v>0.1158774373259055</v>
      </c>
      <c r="GM526" s="899">
        <f>PENN!AN266/PENN!AI266-1</f>
        <v>4.9937549609087029E-2</v>
      </c>
      <c r="GN526" s="899">
        <f>PENN!AO266/PENN!AJ266-1</f>
        <v>1.459538708716801E-2</v>
      </c>
      <c r="GO526" s="899">
        <f>PENN!AP266/PENN!AK266-1</f>
        <v>5.4747253438821808E-2</v>
      </c>
      <c r="GP526" s="899">
        <f>PENN!AU266/PENN!AP266-1</f>
        <v>0.13801990258953323</v>
      </c>
      <c r="IV526"/>
    </row>
    <row r="527" spans="167:256" s="11" customFormat="1" x14ac:dyDescent="0.25">
      <c r="FK527" s="1493"/>
      <c r="GI527" s="11" t="s">
        <v>1089</v>
      </c>
      <c r="GJ527" s="899">
        <f>PENN!AJ310/PENN!AE310-1</f>
        <v>0.68627450980392157</v>
      </c>
      <c r="GK527" s="899">
        <f>PENN!AL310/PENN!AG310-1</f>
        <v>-1.3668478260869565</v>
      </c>
      <c r="GL527" s="899">
        <f>PENN!AM310/PENN!AH310-1</f>
        <v>-2.9716599190283404</v>
      </c>
      <c r="GM527" s="899">
        <f>PENN!AN310/PENN!AI310-1</f>
        <v>-0.10657068062827257</v>
      </c>
      <c r="GN527" s="899">
        <f>PENN!AO310/PENN!AJ310-1</f>
        <v>-6.0348837209302619E-2</v>
      </c>
      <c r="GO527" s="899">
        <f>PENN!AP310/PENN!AK310-1</f>
        <v>-0.86506939854593545</v>
      </c>
      <c r="GP527" s="899">
        <f>PENN!AU310/PENN!AP310-1</f>
        <v>-0.6879015429831028</v>
      </c>
      <c r="IV527"/>
    </row>
    <row r="528" spans="167:256" s="11" customFormat="1" x14ac:dyDescent="0.25">
      <c r="FK528" s="1493"/>
      <c r="GI528" s="11" t="s">
        <v>1479</v>
      </c>
      <c r="GJ528" s="899">
        <f>PENN!AJ280/PENN!AE280-1</f>
        <v>0.18974724101103591</v>
      </c>
      <c r="GK528" s="899">
        <f>PENN!AL280/PENN!AG280-1</f>
        <v>9.4976783452933589E-2</v>
      </c>
      <c r="GL528" s="899">
        <f>PENN!AM280/PENN!AH280-1</f>
        <v>0.10068683326026595</v>
      </c>
      <c r="GM528" s="899">
        <f>PENN!AN280/PENN!AI280-1</f>
        <v>3.6378961942630017E-2</v>
      </c>
      <c r="GN528" s="899">
        <f>PENN!AO280/PENN!AJ280-1</f>
        <v>3.8194322262118829E-2</v>
      </c>
      <c r="GO528" s="899">
        <f>PENN!AP280/PENN!AK280-1</f>
        <v>6.77652659343837E-2</v>
      </c>
      <c r="GP528" s="899">
        <f>PENN!AU280/PENN!AP280-1</f>
        <v>-1.2987133026522879E-2</v>
      </c>
      <c r="IV528"/>
    </row>
    <row r="529" spans="167:256" s="11" customFormat="1" x14ac:dyDescent="0.25">
      <c r="FK529" s="1493"/>
      <c r="GI529" s="281" t="s">
        <v>1942</v>
      </c>
      <c r="GJ529" s="899">
        <f>PENN!AJ270/PENN!AE270-1</f>
        <v>-4.2665923034021169E-2</v>
      </c>
      <c r="GK529" s="899">
        <f>PENN!AL270/PENN!AG270-1</f>
        <v>7.6895692417230155E-2</v>
      </c>
      <c r="GL529" s="899">
        <f>PENN!AM270/PENN!AH270-1</f>
        <v>-9.2215893680498429E-3</v>
      </c>
      <c r="GM529" s="899">
        <f>PENN!AN270/PENN!AI270-1</f>
        <v>2.1231276973851632E-2</v>
      </c>
      <c r="GN529" s="899">
        <f>PENN!AO270/PENN!AJ270-1</f>
        <v>-4.6545295659772723E-2</v>
      </c>
      <c r="GO529" s="899">
        <f>PENN!AP270/PENN!AK270-1</f>
        <v>7.6319584655322181E-3</v>
      </c>
      <c r="GP529" s="899">
        <f>PENN!AU270/PENN!AP270-1</f>
        <v>1.5482988212259574E-2</v>
      </c>
      <c r="IV529"/>
    </row>
    <row r="530" spans="167:256" s="11" customFormat="1" x14ac:dyDescent="0.25">
      <c r="FK530" s="1493"/>
      <c r="GI530" s="281" t="s">
        <v>1787</v>
      </c>
      <c r="GJ530" s="294"/>
      <c r="GK530" s="294"/>
      <c r="GL530" s="294"/>
      <c r="GM530" s="294"/>
      <c r="GN530" s="1067">
        <f>PENN!AO274/PENN!AJ274-1</f>
        <v>0.53330183338058879</v>
      </c>
      <c r="GO530" s="281"/>
      <c r="GP530" s="903">
        <f>PENN!AU274/PENN!AP274-1</f>
        <v>-0.13163400727843955</v>
      </c>
      <c r="IV530"/>
    </row>
    <row r="531" spans="167:256" s="11" customFormat="1" x14ac:dyDescent="0.25">
      <c r="FK531" s="1493"/>
      <c r="GJ531" s="358">
        <f>SUM(PENN!AJ265:AJ280)/SUM(PENN!AE265:AE280)-1</f>
        <v>0.53679455419780608</v>
      </c>
      <c r="GK531" s="358">
        <f>SUM(PENN!AL265:AL280)/SUM(PENN!AG265:AG280)-1</f>
        <v>0.50518982210364571</v>
      </c>
      <c r="GL531" s="358">
        <f>SUM(PENN!AM265:AM280)/SUM(PENN!AH265:AH280)-1</f>
        <v>0.50449625941443688</v>
      </c>
      <c r="GM531" s="358">
        <f>SUM(PENN!AN265:AN280)/SUM(PENN!AI265:AI280)-1</f>
        <v>0.18020660868351479</v>
      </c>
      <c r="GN531" s="358">
        <f>SUM(PENN!AO265:AO280)/SUM(PENN!AJ265:AJ280)-1</f>
        <v>0.14159933552318726</v>
      </c>
      <c r="GO531" s="1485">
        <f>SUM(PENN!AP265:AP280)/SUM(PENN!AK265:AK280)-1</f>
        <v>0.30766147196336413</v>
      </c>
      <c r="GP531" s="908">
        <f>SUM(PENN!AU265:AU280)/SUM(PENN!AP265:AP280)-1</f>
        <v>0.1731547501096542</v>
      </c>
      <c r="IV531"/>
    </row>
    <row r="532" spans="167:256" s="11" customFormat="1" ht="5.0999999999999996" customHeight="1" x14ac:dyDescent="0.25">
      <c r="FK532" s="1493"/>
      <c r="IV532"/>
    </row>
    <row r="533" spans="167:256" s="11" customFormat="1" x14ac:dyDescent="0.25">
      <c r="FK533" s="1493"/>
      <c r="IV533"/>
    </row>
    <row r="534" spans="167:256" s="11" customFormat="1" x14ac:dyDescent="0.25">
      <c r="FK534" s="1493"/>
      <c r="GM534" s="1269" t="s">
        <v>968</v>
      </c>
      <c r="GN534" s="1486"/>
      <c r="GO534" s="1486"/>
      <c r="GP534" s="284"/>
      <c r="IV534"/>
    </row>
    <row r="535" spans="167:256" s="11" customFormat="1" x14ac:dyDescent="0.25">
      <c r="FK535" s="1493"/>
      <c r="GM535" s="285" t="s">
        <v>969</v>
      </c>
      <c r="GN535" s="1483"/>
      <c r="GO535" s="1488" t="s">
        <v>643</v>
      </c>
      <c r="GP535" s="1489"/>
      <c r="IV535"/>
    </row>
    <row r="536" spans="167:256" s="11" customFormat="1" x14ac:dyDescent="0.25">
      <c r="FK536" s="1493"/>
      <c r="GM536" s="293" t="s">
        <v>966</v>
      </c>
      <c r="GN536" s="1487"/>
      <c r="GO536" s="1490">
        <v>2.7E-2</v>
      </c>
      <c r="GP536" s="1491">
        <v>2.7E-2</v>
      </c>
      <c r="IV536"/>
    </row>
    <row r="537" spans="167:256" s="11" customFormat="1" x14ac:dyDescent="0.25">
      <c r="FK537" s="1493"/>
      <c r="GT537" s="359" t="s">
        <v>1404</v>
      </c>
      <c r="GU537" s="359"/>
      <c r="GV537" s="359"/>
      <c r="IV537"/>
    </row>
    <row r="538" spans="167:256" s="11" customFormat="1" x14ac:dyDescent="0.25">
      <c r="FK538" s="1493"/>
      <c r="GT538" s="359"/>
      <c r="GU538" s="359"/>
      <c r="GV538" s="359"/>
      <c r="IV538"/>
    </row>
    <row r="539" spans="167:256" s="11" customFormat="1" x14ac:dyDescent="0.25">
      <c r="FK539" s="1493"/>
      <c r="GU539" s="745" t="s">
        <v>1136</v>
      </c>
      <c r="GV539" s="745" t="s">
        <v>1406</v>
      </c>
      <c r="GW539" s="745" t="s">
        <v>1138</v>
      </c>
      <c r="GX539" s="893" t="s">
        <v>1405</v>
      </c>
      <c r="GY539" s="892"/>
      <c r="GZ539" s="892"/>
      <c r="IV539"/>
    </row>
    <row r="540" spans="167:256" s="11" customFormat="1" x14ac:dyDescent="0.25">
      <c r="FK540" s="1493"/>
      <c r="GX540" s="647">
        <v>-0.1</v>
      </c>
      <c r="GY540" s="647">
        <f>GX540-0.05</f>
        <v>-0.15000000000000002</v>
      </c>
      <c r="GZ540" s="647">
        <f>GY540-0.05</f>
        <v>-0.2</v>
      </c>
      <c r="IV540"/>
    </row>
    <row r="541" spans="167:256" s="11" customFormat="1" x14ac:dyDescent="0.25">
      <c r="FK541" s="1493"/>
      <c r="GT541" s="11" t="s">
        <v>2285</v>
      </c>
      <c r="GU541" s="331">
        <f>+PENN!AU793+PENN!AU824+PENN!AU855</f>
        <v>364.54500000000002</v>
      </c>
      <c r="GV541" s="331">
        <f>+GU541</f>
        <v>364.54500000000002</v>
      </c>
      <c r="GW541" s="331">
        <f>+PENN!BE793+PENN!BE824+PENN!BE855</f>
        <v>306.12192399999998</v>
      </c>
      <c r="GX541" s="331">
        <f>+$GW$541*(1+GX540)</f>
        <v>275.50973160000001</v>
      </c>
      <c r="GY541" s="331">
        <f>+$GW$541*(1+GY540)</f>
        <v>260.2036354</v>
      </c>
      <c r="GZ541" s="331">
        <f>+$GW$541*(1+GZ540)</f>
        <v>244.89753919999998</v>
      </c>
      <c r="IV541"/>
    </row>
    <row r="542" spans="167:256" s="11" customFormat="1" x14ac:dyDescent="0.25">
      <c r="FK542" s="1493"/>
      <c r="GT542" s="11" t="s">
        <v>2287</v>
      </c>
      <c r="GU542" s="331">
        <f>+GU543-GU541</f>
        <v>-18.03000000000003</v>
      </c>
      <c r="GV542" s="331">
        <f>+GU542</f>
        <v>-18.03000000000003</v>
      </c>
      <c r="GW542" s="331">
        <f>+GW543-GW541</f>
        <v>-22</v>
      </c>
      <c r="GX542" s="331">
        <f>+GW542</f>
        <v>-22</v>
      </c>
      <c r="GY542" s="11">
        <f>+GX542</f>
        <v>-22</v>
      </c>
      <c r="GZ542" s="11">
        <f>+GY542</f>
        <v>-22</v>
      </c>
      <c r="IV542"/>
    </row>
    <row r="543" spans="167:256" s="11" customFormat="1" x14ac:dyDescent="0.25">
      <c r="FK543" s="1493"/>
      <c r="GT543" s="10" t="s">
        <v>1418</v>
      </c>
      <c r="GU543" s="502">
        <f>+PENN!AU796+PENN!AU827+PENN!AU858</f>
        <v>346.51499999999999</v>
      </c>
      <c r="GV543" s="502">
        <f>+GU543</f>
        <v>346.51499999999999</v>
      </c>
      <c r="GW543" s="502">
        <f>+PENN!BE796+PENN!BE827+PENN!BE858</f>
        <v>284.12192399999998</v>
      </c>
      <c r="GX543" s="502">
        <f>+GX541+GX542</f>
        <v>253.50973160000001</v>
      </c>
      <c r="GY543" s="502">
        <f>+GY541+GY542</f>
        <v>238.2036354</v>
      </c>
      <c r="GZ543" s="502">
        <f>+GZ541+GZ542</f>
        <v>222.89753919999998</v>
      </c>
      <c r="IV543"/>
    </row>
    <row r="544" spans="167:256" s="11" customFormat="1" x14ac:dyDescent="0.25">
      <c r="FK544" s="1493"/>
      <c r="GT544" s="11" t="s">
        <v>925</v>
      </c>
      <c r="GU544" s="331">
        <f>+PENN!AU802+PENN!AU833+PENN!AU864</f>
        <v>118.71402800000001</v>
      </c>
      <c r="GV544" s="331">
        <f>+GV545*GV541</f>
        <v>107.77767800000002</v>
      </c>
      <c r="GW544" s="331">
        <f>+PENN!BE802+PENN!BE833+PENN!BE864</f>
        <v>94.535268090000002</v>
      </c>
      <c r="GX544" s="331">
        <f>+GX545*GX541</f>
        <v>71.306254701000015</v>
      </c>
      <c r="GY544" s="331">
        <f>+GY545*GY541</f>
        <v>67.344796106500013</v>
      </c>
      <c r="GZ544" s="331">
        <f>+GZ545*GZ541</f>
        <v>63.383337512000011</v>
      </c>
      <c r="IV544"/>
    </row>
    <row r="545" spans="167:256" s="11" customFormat="1" x14ac:dyDescent="0.25">
      <c r="FK545" s="1493"/>
      <c r="GT545" s="416" t="s">
        <v>754</v>
      </c>
      <c r="GU545" s="519">
        <f>+GU544/GU541</f>
        <v>0.32564985941378982</v>
      </c>
      <c r="GV545" s="519">
        <f>+GU545-0.03</f>
        <v>0.29564985941378985</v>
      </c>
      <c r="GW545" s="519">
        <f>+GW544/GW541</f>
        <v>0.3088157386924042</v>
      </c>
      <c r="GX545" s="519">
        <f>+GW545-0.05</f>
        <v>0.25881573869240421</v>
      </c>
      <c r="GY545" s="519">
        <f>+GX545</f>
        <v>0.25881573869240421</v>
      </c>
      <c r="GZ545" s="519">
        <f>+GY545</f>
        <v>0.25881573869240421</v>
      </c>
      <c r="IV545"/>
    </row>
    <row r="546" spans="167:256" s="11" customFormat="1" x14ac:dyDescent="0.25">
      <c r="FK546" s="1493"/>
      <c r="GT546" s="11" t="s">
        <v>20</v>
      </c>
      <c r="GU546" s="331">
        <f>+GU543-GU544-GU547</f>
        <v>126.15151242349998</v>
      </c>
      <c r="GV546" s="331">
        <f>+GU546</f>
        <v>126.15151242349998</v>
      </c>
      <c r="GW546" s="331">
        <f>+GW543-GW544-GW547</f>
        <v>110.9925806131595</v>
      </c>
      <c r="GX546" s="331">
        <f>+GW546*0.95</f>
        <v>105.44295158250152</v>
      </c>
      <c r="GY546" s="11">
        <f>+GX546</f>
        <v>105.44295158250152</v>
      </c>
      <c r="GZ546" s="11">
        <f>+GY546</f>
        <v>105.44295158250152</v>
      </c>
      <c r="IV546"/>
    </row>
    <row r="547" spans="167:256" s="11" customFormat="1" ht="16.5" thickBot="1" x14ac:dyDescent="0.3">
      <c r="FK547" s="1493"/>
      <c r="GR547" s="423"/>
      <c r="GT547" s="10" t="s">
        <v>2286</v>
      </c>
      <c r="GU547" s="1570">
        <f>+PENN!AU806+PENN!AU837+PENN!AU868</f>
        <v>101.64945957649999</v>
      </c>
      <c r="GV547" s="1570">
        <f>+GV543-GV544-GV546</f>
        <v>112.58580957649997</v>
      </c>
      <c r="GW547" s="1570">
        <f>+PENN!BE806+PENN!BE837+PENN!BE868</f>
        <v>78.594075296840487</v>
      </c>
      <c r="GX547" s="1570">
        <f>+GX543-GX544-GX546</f>
        <v>76.760525316498487</v>
      </c>
      <c r="GY547" s="1570">
        <f>+GY543-GY544-GY546</f>
        <v>65.415887710998462</v>
      </c>
      <c r="GZ547" s="1570">
        <f>+GZ543-GZ544-GZ546</f>
        <v>54.071250105498436</v>
      </c>
      <c r="IV547"/>
    </row>
    <row r="548" spans="167:256" s="11" customFormat="1" ht="16.5" thickTop="1" x14ac:dyDescent="0.25">
      <c r="FK548" s="1493"/>
      <c r="GR548" s="687"/>
      <c r="GW548" s="280"/>
      <c r="IV548"/>
    </row>
    <row r="549" spans="167:256" s="11" customFormat="1" x14ac:dyDescent="0.25">
      <c r="FK549" s="1493"/>
      <c r="GR549" s="687"/>
      <c r="GV549" s="11">
        <f>+GV547-GU547</f>
        <v>10.936349999999976</v>
      </c>
      <c r="GX549" s="11">
        <f>+GX547-$GW$547</f>
        <v>-1.8335499803419992</v>
      </c>
      <c r="GY549" s="11">
        <f>+GY547-$GW$547</f>
        <v>-13.178187585842025</v>
      </c>
      <c r="GZ549" s="11">
        <f>+GZ547-$GW$547</f>
        <v>-24.522825191342051</v>
      </c>
      <c r="IV549"/>
    </row>
    <row r="550" spans="167:256" s="11" customFormat="1" x14ac:dyDescent="0.25">
      <c r="FK550" s="1493"/>
      <c r="GY550" s="11">
        <f>+GY549*8.5</f>
        <v>-112.01459447965721</v>
      </c>
      <c r="IV550"/>
    </row>
    <row r="551" spans="167:256" s="11" customFormat="1" x14ac:dyDescent="0.25">
      <c r="FK551" s="1493"/>
      <c r="GR551" s="1492"/>
      <c r="GY551" s="687">
        <f>+GY550/106</f>
        <v>-1.0567414573552567</v>
      </c>
      <c r="IV551"/>
    </row>
    <row r="552" spans="167:256" s="11" customFormat="1" x14ac:dyDescent="0.25">
      <c r="FK552" s="1493"/>
      <c r="GR552" s="1492"/>
      <c r="GT552" s="416"/>
      <c r="IV552"/>
    </row>
    <row r="553" spans="167:256" s="11" customFormat="1" x14ac:dyDescent="0.25">
      <c r="FK553" s="1493"/>
      <c r="IV553"/>
    </row>
    <row r="554" spans="167:256" s="11" customFormat="1" x14ac:dyDescent="0.25">
      <c r="FK554" s="1493"/>
      <c r="HC554" s="10" t="s">
        <v>2032</v>
      </c>
      <c r="IV554"/>
    </row>
    <row r="555" spans="167:256" s="11" customFormat="1" x14ac:dyDescent="0.25">
      <c r="FK555" s="1493"/>
      <c r="IV555"/>
    </row>
    <row r="556" spans="167:256" s="11" customFormat="1" ht="51.75" x14ac:dyDescent="0.25">
      <c r="FK556" s="1493"/>
      <c r="HC556" s="1447" t="s">
        <v>1363</v>
      </c>
      <c r="HD556" s="1448" t="s">
        <v>1364</v>
      </c>
      <c r="HE556" s="1449" t="s">
        <v>894</v>
      </c>
      <c r="HF556" s="1450" t="s">
        <v>2254</v>
      </c>
      <c r="HG556" s="1450" t="s">
        <v>1791</v>
      </c>
      <c r="HH556" s="1450" t="s">
        <v>1792</v>
      </c>
      <c r="HI556" s="1450" t="s">
        <v>1793</v>
      </c>
      <c r="IV556"/>
    </row>
    <row r="557" spans="167:256" s="11" customFormat="1" x14ac:dyDescent="0.25">
      <c r="FK557" s="1493"/>
      <c r="HC557" s="291"/>
      <c r="HD557" s="1418"/>
      <c r="HE557" s="327"/>
      <c r="HF557" s="306"/>
      <c r="HG557" s="306"/>
      <c r="HH557" s="306"/>
      <c r="HI557" s="306"/>
      <c r="IV557"/>
    </row>
    <row r="558" spans="167:256" s="11" customFormat="1" x14ac:dyDescent="0.25">
      <c r="FK558" s="1493"/>
      <c r="HC558" s="311" t="s">
        <v>95</v>
      </c>
      <c r="HD558" s="1419">
        <v>9804845</v>
      </c>
      <c r="HE558" s="305">
        <v>16443</v>
      </c>
      <c r="HF558" s="560">
        <v>2092</v>
      </c>
      <c r="HG558" s="305">
        <f t="shared" ref="HG558:HG566" si="22">+HD558/HE558</f>
        <v>596.29295140789395</v>
      </c>
      <c r="HH558" s="328">
        <v>348.56819615125397</v>
      </c>
      <c r="HI558" s="1443">
        <f>(HF558*1000000)/HD558</f>
        <v>213.36390325395251</v>
      </c>
      <c r="IV558"/>
    </row>
    <row r="559" spans="167:256" s="11" customFormat="1" x14ac:dyDescent="0.25">
      <c r="FK559" s="1493"/>
      <c r="HC559" s="439" t="s">
        <v>2142</v>
      </c>
      <c r="HD559" s="439">
        <f>+SUM(HD575:HD592)</f>
        <v>5560572</v>
      </c>
      <c r="HE559" s="439">
        <f>+HF603</f>
        <v>20622</v>
      </c>
      <c r="HF559" s="439">
        <f>+HH559*HE559*365/1000000</f>
        <v>1580.6763000000001</v>
      </c>
      <c r="HG559" s="1572">
        <f t="shared" si="22"/>
        <v>269.64271166715156</v>
      </c>
      <c r="HH559" s="1573">
        <v>210</v>
      </c>
      <c r="HI559" s="439">
        <f>+HF559*1000000/HD559</f>
        <v>284.26505402681596</v>
      </c>
      <c r="IV559"/>
    </row>
    <row r="560" spans="167:256" s="11" customFormat="1" x14ac:dyDescent="0.25">
      <c r="FK560" s="1493"/>
      <c r="HC560" s="526" t="s">
        <v>2141</v>
      </c>
      <c r="HD560" s="1420">
        <v>6125003</v>
      </c>
      <c r="HE560" s="331">
        <v>9559</v>
      </c>
      <c r="HF560" s="330">
        <v>965.49</v>
      </c>
      <c r="HG560" s="331">
        <f t="shared" si="22"/>
        <v>640.7577152421801</v>
      </c>
      <c r="HH560" s="1442">
        <f>HF560*1000000/365/HE560</f>
        <v>276.72121374534794</v>
      </c>
      <c r="HI560" s="1442">
        <f t="shared" ref="HI560:HI566" si="23">(HF560*1000000)/HD560</f>
        <v>157.63094320117068</v>
      </c>
      <c r="IV560"/>
    </row>
    <row r="561" spans="167:256" s="11" customFormat="1" x14ac:dyDescent="0.25">
      <c r="FK561" s="1493"/>
      <c r="HC561" s="311" t="s">
        <v>2074</v>
      </c>
      <c r="HD561" s="1420">
        <v>4726779</v>
      </c>
      <c r="HE561" s="330">
        <v>14913</v>
      </c>
      <c r="HF561" s="330">
        <v>1593.5</v>
      </c>
      <c r="HG561" s="305">
        <f t="shared" si="22"/>
        <v>316.9569503118085</v>
      </c>
      <c r="HH561" s="1441">
        <v>292.74816768306403</v>
      </c>
      <c r="HI561" s="1441">
        <f t="shared" si="23"/>
        <v>337.12174823489738</v>
      </c>
      <c r="IV561"/>
    </row>
    <row r="562" spans="167:256" s="11" customFormat="1" x14ac:dyDescent="0.25">
      <c r="FK562" s="1493"/>
      <c r="HC562" s="311" t="s">
        <v>1634</v>
      </c>
      <c r="HD562" s="1419">
        <v>2171896</v>
      </c>
      <c r="HE562" s="330">
        <v>7082</v>
      </c>
      <c r="HF562" s="330">
        <v>691.2</v>
      </c>
      <c r="HG562" s="305">
        <f t="shared" si="22"/>
        <v>306.67833945213215</v>
      </c>
      <c r="HH562" s="1441">
        <v>267.3960223294248</v>
      </c>
      <c r="HI562" s="1441">
        <f t="shared" si="23"/>
        <v>318.2472825586492</v>
      </c>
      <c r="IV562"/>
    </row>
    <row r="563" spans="167:256" s="11" customFormat="1" x14ac:dyDescent="0.25">
      <c r="FK563" s="1493"/>
      <c r="HC563" s="311" t="s">
        <v>744</v>
      </c>
      <c r="HD563" s="1419">
        <v>2828990</v>
      </c>
      <c r="HE563" s="330">
        <v>12523</v>
      </c>
      <c r="HF563" s="330">
        <v>1050</v>
      </c>
      <c r="HG563" s="305">
        <f t="shared" si="22"/>
        <v>225.90353749101652</v>
      </c>
      <c r="HH563" s="1441">
        <v>229.71431196734994</v>
      </c>
      <c r="HI563" s="1441">
        <f t="shared" si="23"/>
        <v>371.15719744502456</v>
      </c>
      <c r="IV563"/>
    </row>
    <row r="564" spans="167:256" s="11" customFormat="1" x14ac:dyDescent="0.25">
      <c r="FK564" s="1493"/>
      <c r="HC564" s="311" t="s">
        <v>745</v>
      </c>
      <c r="HD564" s="1419">
        <v>2067585</v>
      </c>
      <c r="HE564" s="331">
        <v>9812</v>
      </c>
      <c r="HF564" s="330">
        <v>758.02300000000002</v>
      </c>
      <c r="HG564" s="305">
        <f t="shared" si="22"/>
        <v>210.72003668976762</v>
      </c>
      <c r="HH564" s="1441">
        <v>211.65667982732913</v>
      </c>
      <c r="HI564" s="1441">
        <f t="shared" si="23"/>
        <v>366.62241213783233</v>
      </c>
      <c r="IV564"/>
    </row>
    <row r="565" spans="167:256" s="11" customFormat="1" x14ac:dyDescent="0.25">
      <c r="FK565" s="1493"/>
      <c r="HC565" s="526" t="s">
        <v>2234</v>
      </c>
      <c r="HD565" s="1420">
        <v>1189981</v>
      </c>
      <c r="HE565" s="331">
        <v>10915</v>
      </c>
      <c r="HF565" s="330">
        <v>859.17118304000007</v>
      </c>
      <c r="HG565" s="331">
        <f t="shared" si="22"/>
        <v>109.02253779202931</v>
      </c>
      <c r="HH565" s="1442">
        <f>HF565*1000000/365/HE565</f>
        <v>215.6567706976073</v>
      </c>
      <c r="HI565" s="1441">
        <f t="shared" si="23"/>
        <v>722.00411858676739</v>
      </c>
      <c r="IV565"/>
    </row>
    <row r="566" spans="167:256" s="11" customFormat="1" x14ac:dyDescent="0.25">
      <c r="FK566" s="1493"/>
      <c r="HC566" s="311" t="s">
        <v>1702</v>
      </c>
      <c r="HD566" s="1419">
        <v>786947</v>
      </c>
      <c r="HE566" s="305">
        <v>4054</v>
      </c>
      <c r="HF566" s="330">
        <v>306.5</v>
      </c>
      <c r="HG566" s="305">
        <f t="shared" si="22"/>
        <v>194.11618154908732</v>
      </c>
      <c r="HH566" s="1441">
        <v>207.13518189374946</v>
      </c>
      <c r="HI566" s="1441">
        <f t="shared" si="23"/>
        <v>389.47985061255713</v>
      </c>
      <c r="IV566"/>
    </row>
    <row r="567" spans="167:256" s="11" customFormat="1" x14ac:dyDescent="0.25">
      <c r="FK567" s="1493"/>
      <c r="HC567" s="311"/>
      <c r="HD567" s="310"/>
      <c r="HE567" s="305"/>
      <c r="HF567" s="330"/>
      <c r="HG567" s="305"/>
      <c r="HH567" s="328"/>
      <c r="HI567" s="334"/>
      <c r="IV567"/>
    </row>
    <row r="568" spans="167:256" s="11" customFormat="1" x14ac:dyDescent="0.25">
      <c r="FK568" s="1493"/>
      <c r="HC568" s="281" t="s">
        <v>2138</v>
      </c>
      <c r="HD568" s="310"/>
      <c r="HE568" s="305"/>
      <c r="HF568" s="330"/>
      <c r="HG568" s="305"/>
      <c r="HH568" s="328"/>
      <c r="HI568" s="334"/>
      <c r="IV568"/>
    </row>
    <row r="569" spans="167:256" s="11" customFormat="1" x14ac:dyDescent="0.25">
      <c r="FK569" s="1493"/>
      <c r="HC569" s="11" t="s">
        <v>534</v>
      </c>
      <c r="HD569" s="310"/>
      <c r="HE569" s="305"/>
      <c r="HF569" s="330"/>
      <c r="HG569" s="305"/>
      <c r="HH569" s="328"/>
      <c r="HI569" s="334"/>
      <c r="IV569"/>
    </row>
    <row r="570" spans="167:256" s="11" customFormat="1" x14ac:dyDescent="0.25">
      <c r="FK570" s="1493"/>
      <c r="HC570" s="281" t="s">
        <v>2139</v>
      </c>
      <c r="HD570" s="336"/>
      <c r="IV570"/>
    </row>
    <row r="571" spans="167:256" s="11" customFormat="1" x14ac:dyDescent="0.25">
      <c r="FK571" s="1493"/>
      <c r="HC571" s="281" t="s">
        <v>2140</v>
      </c>
      <c r="HD571" s="336"/>
      <c r="IV571"/>
    </row>
    <row r="572" spans="167:256" s="11" customFormat="1" x14ac:dyDescent="0.25">
      <c r="FK572" s="1493"/>
      <c r="HC572" s="281" t="s">
        <v>676</v>
      </c>
      <c r="HD572" s="336"/>
      <c r="IV572"/>
    </row>
    <row r="573" spans="167:256" s="11" customFormat="1" x14ac:dyDescent="0.25">
      <c r="FK573" s="1493"/>
      <c r="IV573"/>
    </row>
    <row r="574" spans="167:256" s="11" customFormat="1" x14ac:dyDescent="0.25">
      <c r="FK574" s="1493"/>
      <c r="HG574" s="331"/>
      <c r="IV574"/>
    </row>
    <row r="575" spans="167:256" s="11" customFormat="1" x14ac:dyDescent="0.25">
      <c r="FK575" s="1493"/>
      <c r="HC575" s="11" t="s">
        <v>516</v>
      </c>
      <c r="HD575" s="11">
        <v>1385035</v>
      </c>
      <c r="IV575"/>
    </row>
    <row r="576" spans="167:256" s="11" customFormat="1" x14ac:dyDescent="0.25">
      <c r="FK576" s="1493"/>
      <c r="HC576" s="11" t="s">
        <v>517</v>
      </c>
      <c r="HD576" s="11">
        <v>156240</v>
      </c>
      <c r="IV576"/>
    </row>
    <row r="577" spans="167:256" s="11" customFormat="1" x14ac:dyDescent="0.25">
      <c r="FK577" s="1493"/>
      <c r="HC577" s="11" t="s">
        <v>518</v>
      </c>
      <c r="HD577" s="11">
        <v>546374</v>
      </c>
      <c r="IV577"/>
    </row>
    <row r="578" spans="167:256" s="11" customFormat="1" x14ac:dyDescent="0.25">
      <c r="FK578" s="1493"/>
      <c r="HC578" s="11" t="s">
        <v>519</v>
      </c>
      <c r="HD578" s="11">
        <v>378731</v>
      </c>
      <c r="IV578"/>
    </row>
    <row r="579" spans="167:256" s="11" customFormat="1" x14ac:dyDescent="0.25">
      <c r="FK579" s="1493"/>
      <c r="HC579" s="11" t="s">
        <v>520</v>
      </c>
      <c r="HD579" s="11">
        <v>229026</v>
      </c>
      <c r="IV579"/>
    </row>
    <row r="580" spans="167:256" s="11" customFormat="1" x14ac:dyDescent="0.25">
      <c r="FK580" s="1493"/>
      <c r="HC580" s="11" t="s">
        <v>521</v>
      </c>
      <c r="HD580" s="11">
        <v>92498</v>
      </c>
      <c r="IV580"/>
    </row>
    <row r="581" spans="167:256" s="11" customFormat="1" x14ac:dyDescent="0.25">
      <c r="FK581" s="1493"/>
      <c r="HC581" s="11" t="s">
        <v>522</v>
      </c>
      <c r="HD581" s="11">
        <v>153370</v>
      </c>
      <c r="IV581"/>
    </row>
    <row r="582" spans="167:256" s="11" customFormat="1" x14ac:dyDescent="0.25">
      <c r="FK582" s="1493"/>
      <c r="HC582" s="11" t="s">
        <v>523</v>
      </c>
      <c r="HD582" s="11">
        <v>102910</v>
      </c>
      <c r="IV582"/>
    </row>
    <row r="583" spans="167:256" s="11" customFormat="1" x14ac:dyDescent="0.25">
      <c r="FK583" s="1493"/>
      <c r="HC583" s="11" t="s">
        <v>524</v>
      </c>
      <c r="HD583" s="11">
        <v>223723</v>
      </c>
      <c r="IV583"/>
    </row>
    <row r="584" spans="167:256" s="11" customFormat="1" x14ac:dyDescent="0.25">
      <c r="FK584" s="1493"/>
      <c r="HC584" s="11" t="s">
        <v>525</v>
      </c>
      <c r="HD584" s="11">
        <v>255146</v>
      </c>
      <c r="IV584"/>
    </row>
    <row r="585" spans="167:256" s="11" customFormat="1" x14ac:dyDescent="0.25">
      <c r="FK585" s="1493"/>
      <c r="HC585" s="11" t="s">
        <v>526</v>
      </c>
      <c r="HD585" s="11">
        <v>112398</v>
      </c>
      <c r="IV585"/>
    </row>
    <row r="586" spans="167:256" s="11" customFormat="1" x14ac:dyDescent="0.25">
      <c r="FK586" s="1493"/>
      <c r="HC586" s="11" t="s">
        <v>528</v>
      </c>
      <c r="HD586" s="11">
        <v>90846</v>
      </c>
      <c r="IV586"/>
    </row>
    <row r="587" spans="167:256" s="11" customFormat="1" x14ac:dyDescent="0.25">
      <c r="FK587" s="1493"/>
      <c r="HC587" s="11" t="s">
        <v>529</v>
      </c>
      <c r="HD587" s="11">
        <v>119681</v>
      </c>
      <c r="IV587"/>
    </row>
    <row r="588" spans="167:256" s="11" customFormat="1" x14ac:dyDescent="0.25">
      <c r="FK588" s="1493"/>
      <c r="HC588" s="11" t="s">
        <v>530</v>
      </c>
      <c r="HD588" s="11">
        <v>93959</v>
      </c>
      <c r="IV588"/>
    </row>
    <row r="589" spans="167:256" s="11" customFormat="1" x14ac:dyDescent="0.25">
      <c r="FK589" s="1493"/>
      <c r="HC589" s="11" t="s">
        <v>531</v>
      </c>
      <c r="HD589" s="11">
        <v>179793</v>
      </c>
      <c r="IV589"/>
    </row>
    <row r="590" spans="167:256" s="11" customFormat="1" x14ac:dyDescent="0.25">
      <c r="FK590" s="1493"/>
      <c r="HC590" s="11" t="s">
        <v>532</v>
      </c>
      <c r="HD590" s="11">
        <v>56986</v>
      </c>
      <c r="IV590"/>
    </row>
    <row r="591" spans="167:256" s="11" customFormat="1" x14ac:dyDescent="0.25">
      <c r="FK591" s="1493"/>
      <c r="HC591" s="11" t="s">
        <v>533</v>
      </c>
      <c r="HD591" s="11">
        <v>117807</v>
      </c>
      <c r="IV591"/>
    </row>
    <row r="592" spans="167:256" s="11" customFormat="1" x14ac:dyDescent="0.25">
      <c r="FK592" s="1493"/>
      <c r="HC592" s="11" t="s">
        <v>527</v>
      </c>
      <c r="HD592" s="11">
        <v>1266049</v>
      </c>
      <c r="IV592"/>
    </row>
    <row r="593" spans="167:256" s="11" customFormat="1" x14ac:dyDescent="0.25">
      <c r="FK593" s="1493"/>
      <c r="IV593"/>
    </row>
    <row r="594" spans="167:256" s="11" customFormat="1" x14ac:dyDescent="0.25">
      <c r="FK594" s="1493"/>
      <c r="IV594"/>
    </row>
    <row r="595" spans="167:256" s="11" customFormat="1" x14ac:dyDescent="0.25">
      <c r="FK595" s="1493"/>
      <c r="HD595" s="745" t="s">
        <v>585</v>
      </c>
      <c r="HE595" s="745" t="s">
        <v>584</v>
      </c>
      <c r="HF595" s="10" t="s">
        <v>894</v>
      </c>
      <c r="HG595" s="11" t="s">
        <v>2284</v>
      </c>
      <c r="HH595" s="11" t="s">
        <v>1624</v>
      </c>
      <c r="HJ595" s="11" t="s">
        <v>819</v>
      </c>
      <c r="IV595"/>
    </row>
    <row r="596" spans="167:256" s="11" customFormat="1" x14ac:dyDescent="0.25">
      <c r="FK596" s="1493"/>
      <c r="HC596" s="11" t="s">
        <v>515</v>
      </c>
      <c r="HD596" s="363">
        <v>2000</v>
      </c>
      <c r="HE596" s="363">
        <v>0</v>
      </c>
      <c r="HF596" s="11">
        <f t="shared" ref="HF596:HF602" si="24">+HD596+(HE596*6)</f>
        <v>2000</v>
      </c>
      <c r="HG596" s="11">
        <f>+HF596*HH559*365/1000000</f>
        <v>153.30000000000001</v>
      </c>
      <c r="HH596" s="10">
        <f>+HG596*0.25</f>
        <v>38.325000000000003</v>
      </c>
      <c r="HJ596" s="280">
        <f>+HH596/HD609</f>
        <v>0.13936363636363638</v>
      </c>
      <c r="IV596"/>
    </row>
    <row r="597" spans="167:256" s="11" customFormat="1" x14ac:dyDescent="0.25">
      <c r="FK597" s="1493"/>
      <c r="HC597" s="11" t="s">
        <v>2033</v>
      </c>
      <c r="HD597" s="11">
        <v>2954</v>
      </c>
      <c r="HE597" s="11">
        <v>131</v>
      </c>
      <c r="HF597" s="11">
        <f t="shared" si="24"/>
        <v>3740</v>
      </c>
      <c r="IV597"/>
    </row>
    <row r="598" spans="167:256" s="11" customFormat="1" x14ac:dyDescent="0.25">
      <c r="FK598" s="1493"/>
      <c r="HC598" s="11" t="s">
        <v>2034</v>
      </c>
      <c r="HD598" s="11">
        <v>3700</v>
      </c>
      <c r="HE598" s="11">
        <v>68</v>
      </c>
      <c r="HF598" s="11">
        <f t="shared" si="24"/>
        <v>4108</v>
      </c>
      <c r="IV598"/>
    </row>
    <row r="599" spans="167:256" s="11" customFormat="1" x14ac:dyDescent="0.25">
      <c r="FK599" s="1493"/>
      <c r="HC599" s="11" t="s">
        <v>2035</v>
      </c>
      <c r="HD599" s="11">
        <v>3200</v>
      </c>
      <c r="HE599" s="11">
        <v>104</v>
      </c>
      <c r="HF599" s="11">
        <f t="shared" si="24"/>
        <v>3824</v>
      </c>
      <c r="IV599"/>
    </row>
    <row r="600" spans="167:256" s="11" customFormat="1" x14ac:dyDescent="0.25">
      <c r="FK600" s="1493"/>
      <c r="HC600" s="11" t="s">
        <v>2036</v>
      </c>
      <c r="HD600" s="11">
        <v>2500</v>
      </c>
      <c r="HE600" s="11">
        <v>75</v>
      </c>
      <c r="HF600" s="11">
        <f t="shared" si="24"/>
        <v>2950</v>
      </c>
      <c r="IV600"/>
    </row>
    <row r="601" spans="167:256" s="11" customFormat="1" x14ac:dyDescent="0.25">
      <c r="FK601" s="1493"/>
      <c r="HC601" s="11" t="s">
        <v>1193</v>
      </c>
      <c r="HD601" s="11">
        <v>2000</v>
      </c>
      <c r="HE601" s="11">
        <v>0</v>
      </c>
      <c r="HF601" s="11">
        <f t="shared" si="24"/>
        <v>2000</v>
      </c>
      <c r="IV601"/>
    </row>
    <row r="602" spans="167:256" s="11" customFormat="1" x14ac:dyDescent="0.25">
      <c r="FK602" s="1493"/>
      <c r="HC602" s="11" t="s">
        <v>1194</v>
      </c>
      <c r="HD602" s="11">
        <v>2000</v>
      </c>
      <c r="HE602" s="11">
        <v>0</v>
      </c>
      <c r="HF602" s="11">
        <f t="shared" si="24"/>
        <v>2000</v>
      </c>
      <c r="IV602"/>
    </row>
    <row r="603" spans="167:256" s="11" customFormat="1" x14ac:dyDescent="0.25">
      <c r="FK603" s="1493"/>
      <c r="HC603" s="11" t="s">
        <v>2157</v>
      </c>
      <c r="HD603" s="10">
        <f>+SUM(HD596:HD602)</f>
        <v>18354</v>
      </c>
      <c r="HE603" s="10">
        <f>+SUM(HE596:HE602)</f>
        <v>378</v>
      </c>
      <c r="HF603" s="10">
        <f>+SUM(HF596:HF602)</f>
        <v>20622</v>
      </c>
      <c r="IV603"/>
    </row>
    <row r="604" spans="167:256" s="11" customFormat="1" x14ac:dyDescent="0.25">
      <c r="FK604" s="1493"/>
      <c r="IV604"/>
    </row>
    <row r="605" spans="167:256" s="11" customFormat="1" x14ac:dyDescent="0.25">
      <c r="FK605" s="1493"/>
      <c r="IV605"/>
    </row>
    <row r="606" spans="167:256" s="11" customFormat="1" x14ac:dyDescent="0.25">
      <c r="FK606" s="1493"/>
      <c r="HC606" s="10" t="s">
        <v>1189</v>
      </c>
      <c r="IV606"/>
    </row>
    <row r="607" spans="167:256" s="11" customFormat="1" x14ac:dyDescent="0.25">
      <c r="FK607" s="1493"/>
      <c r="HC607" s="11" t="s">
        <v>1187</v>
      </c>
      <c r="HD607" s="11">
        <v>200</v>
      </c>
      <c r="IV607"/>
    </row>
    <row r="608" spans="167:256" s="11" customFormat="1" x14ac:dyDescent="0.25">
      <c r="FK608" s="1493"/>
      <c r="HC608" s="11" t="s">
        <v>651</v>
      </c>
      <c r="HD608" s="11">
        <v>75</v>
      </c>
      <c r="IV608"/>
    </row>
    <row r="609" spans="167:256" s="11" customFormat="1" x14ac:dyDescent="0.25">
      <c r="FK609" s="1493"/>
      <c r="HC609" s="10" t="s">
        <v>1188</v>
      </c>
      <c r="HD609" s="10">
        <f>+HD607+HD608</f>
        <v>275</v>
      </c>
      <c r="IV609"/>
    </row>
    <row r="610" spans="167:256" s="11" customFormat="1" x14ac:dyDescent="0.25">
      <c r="FK610" s="1493"/>
      <c r="IV610"/>
    </row>
    <row r="611" spans="167:256" s="11" customFormat="1" x14ac:dyDescent="0.25">
      <c r="FK611" s="1493"/>
      <c r="HC611" s="10" t="s">
        <v>1190</v>
      </c>
      <c r="IV611"/>
    </row>
    <row r="612" spans="167:256" s="11" customFormat="1" x14ac:dyDescent="0.25">
      <c r="FK612" s="1493"/>
      <c r="HC612" s="11" t="s">
        <v>1624</v>
      </c>
      <c r="HD612" s="11">
        <f>+HH596</f>
        <v>38.325000000000003</v>
      </c>
      <c r="IV612"/>
    </row>
    <row r="613" spans="167:256" s="11" customFormat="1" x14ac:dyDescent="0.25">
      <c r="FK613" s="1493"/>
      <c r="HC613" s="11" t="s">
        <v>1464</v>
      </c>
      <c r="HD613" s="1729">
        <v>8.5</v>
      </c>
      <c r="IV613"/>
    </row>
    <row r="614" spans="167:256" s="11" customFormat="1" x14ac:dyDescent="0.25">
      <c r="FK614" s="1493"/>
      <c r="HC614" s="11" t="s">
        <v>1466</v>
      </c>
      <c r="HD614" s="11">
        <f>+HD612*HD613</f>
        <v>325.76250000000005</v>
      </c>
      <c r="IV614"/>
    </row>
    <row r="615" spans="167:256" s="11" customFormat="1" x14ac:dyDescent="0.25">
      <c r="FK615" s="1493"/>
      <c r="HC615" s="11" t="s">
        <v>1191</v>
      </c>
      <c r="HD615" s="11">
        <f>-HD609</f>
        <v>-275</v>
      </c>
      <c r="IV615"/>
    </row>
    <row r="616" spans="167:256" s="11" customFormat="1" x14ac:dyDescent="0.25">
      <c r="FK616" s="1493"/>
      <c r="HC616" s="11" t="s">
        <v>1470</v>
      </c>
      <c r="HD616" s="11">
        <f>+HD614+HD615</f>
        <v>50.762500000000045</v>
      </c>
      <c r="IV616"/>
    </row>
    <row r="617" spans="167:256" s="11" customFormat="1" x14ac:dyDescent="0.25">
      <c r="FK617" s="1493"/>
      <c r="HC617" s="11" t="s">
        <v>1536</v>
      </c>
      <c r="HD617" s="11">
        <f>'EBITDA Val'!G47</f>
        <v>92.393000000000001</v>
      </c>
      <c r="IV617"/>
    </row>
    <row r="618" spans="167:256" s="11" customFormat="1" x14ac:dyDescent="0.25">
      <c r="FK618" s="1493"/>
      <c r="HC618" s="10" t="s">
        <v>1192</v>
      </c>
      <c r="HD618" s="1094">
        <f>+HD616/HD617</f>
        <v>0.54941932830409279</v>
      </c>
      <c r="IV618"/>
    </row>
    <row r="619" spans="167:256" s="11" customFormat="1" x14ac:dyDescent="0.25">
      <c r="FK619" s="1493"/>
      <c r="IV619"/>
    </row>
    <row r="620" spans="167:256" s="11" customFormat="1" x14ac:dyDescent="0.25">
      <c r="FK620" s="1493"/>
      <c r="IV620"/>
    </row>
    <row r="621" spans="167:256" s="11" customFormat="1" x14ac:dyDescent="0.25">
      <c r="FK621" s="1493"/>
      <c r="IV621"/>
    </row>
    <row r="622" spans="167:256" s="11" customFormat="1" x14ac:dyDescent="0.25">
      <c r="FK622" s="1493"/>
      <c r="IV622"/>
    </row>
    <row r="623" spans="167:256" s="11" customFormat="1" ht="4.5" customHeight="1" x14ac:dyDescent="0.25">
      <c r="FK623" s="1493"/>
      <c r="IV623"/>
    </row>
    <row r="624" spans="167:256" s="11" customFormat="1" x14ac:dyDescent="0.25">
      <c r="FK624" s="1493"/>
      <c r="IV624"/>
    </row>
    <row r="625" spans="167:256" s="11" customFormat="1" x14ac:dyDescent="0.25">
      <c r="FK625" s="1493"/>
      <c r="HM625" s="10" t="s">
        <v>2122</v>
      </c>
      <c r="IV625"/>
    </row>
    <row r="626" spans="167:256" s="11" customFormat="1" x14ac:dyDescent="0.25">
      <c r="FK626" s="1493"/>
      <c r="HN626" s="1588" t="s">
        <v>1136</v>
      </c>
      <c r="IV626"/>
    </row>
    <row r="627" spans="167:256" s="11" customFormat="1" x14ac:dyDescent="0.25">
      <c r="FK627" s="1493"/>
      <c r="HM627" s="11" t="s">
        <v>1208</v>
      </c>
      <c r="HN627" s="11">
        <f>+PENN!AU336</f>
        <v>547.29566947499995</v>
      </c>
      <c r="IV627"/>
    </row>
    <row r="628" spans="167:256" s="11" customFormat="1" x14ac:dyDescent="0.25">
      <c r="FK628" s="1493"/>
      <c r="HM628" s="11" t="s">
        <v>1092</v>
      </c>
      <c r="HN628" s="11">
        <f>+PENN!AU886</f>
        <v>395.36180999999993</v>
      </c>
      <c r="IV628"/>
    </row>
    <row r="629" spans="167:256" s="11" customFormat="1" x14ac:dyDescent="0.25">
      <c r="FK629" s="1493"/>
      <c r="HM629" s="11" t="s">
        <v>1556</v>
      </c>
      <c r="HN629" s="11">
        <f>+PENN!AU398</f>
        <v>282.52768798999989</v>
      </c>
      <c r="IV629"/>
    </row>
    <row r="630" spans="167:256" s="11" customFormat="1" x14ac:dyDescent="0.25">
      <c r="FK630" s="1493"/>
      <c r="HM630" s="11" t="s">
        <v>1094</v>
      </c>
      <c r="HN630" s="11">
        <f>+PENN!AU793</f>
        <v>151.77800000000002</v>
      </c>
      <c r="IV630"/>
    </row>
    <row r="631" spans="167:256" s="11" customFormat="1" x14ac:dyDescent="0.25">
      <c r="FK631" s="1493"/>
      <c r="HM631" s="11" t="s">
        <v>1786</v>
      </c>
      <c r="HN631" s="11">
        <f>+PENN!AU824</f>
        <v>141.79599999999999</v>
      </c>
      <c r="IV631"/>
    </row>
    <row r="632" spans="167:256" s="11" customFormat="1" x14ac:dyDescent="0.25">
      <c r="FK632" s="1493"/>
      <c r="HM632" s="11" t="s">
        <v>1093</v>
      </c>
      <c r="HN632" s="11">
        <f>+PENN!AU917</f>
        <v>157.41049464000002</v>
      </c>
      <c r="IV632"/>
    </row>
    <row r="633" spans="167:256" s="11" customFormat="1" x14ac:dyDescent="0.25">
      <c r="FK633" s="1493"/>
      <c r="HM633" s="11" t="s">
        <v>1548</v>
      </c>
      <c r="HN633" s="11">
        <f>+PENN!AU1010</f>
        <v>112.16108454</v>
      </c>
      <c r="IV633"/>
    </row>
    <row r="634" spans="167:256" s="11" customFormat="1" x14ac:dyDescent="0.25">
      <c r="FK634" s="1493"/>
      <c r="HM634" s="11" t="s">
        <v>1020</v>
      </c>
      <c r="HN634" s="11">
        <f>+PENN!AU855</f>
        <v>70.971000000000004</v>
      </c>
      <c r="IV634"/>
    </row>
    <row r="635" spans="167:256" s="11" customFormat="1" x14ac:dyDescent="0.25">
      <c r="FK635" s="1493"/>
      <c r="HM635" s="11" t="s">
        <v>616</v>
      </c>
      <c r="HN635" s="11">
        <f>+PENN!AU710*0.8</f>
        <v>56.719335999999998</v>
      </c>
      <c r="IV635"/>
    </row>
    <row r="636" spans="167:256" s="11" customFormat="1" x14ac:dyDescent="0.25">
      <c r="FK636" s="1493"/>
      <c r="HM636" s="11" t="s">
        <v>615</v>
      </c>
      <c r="HN636" s="11">
        <f>+PENN!AZ748*0.8</f>
        <v>61.506724031999994</v>
      </c>
      <c r="IV636"/>
    </row>
    <row r="637" spans="167:256" s="11" customFormat="1" x14ac:dyDescent="0.25">
      <c r="FK637" s="1493"/>
      <c r="HM637" s="11" t="s">
        <v>1019</v>
      </c>
      <c r="HN637" s="11">
        <f>+PENN!AU948</f>
        <v>59.151116000000002</v>
      </c>
      <c r="IV637"/>
    </row>
    <row r="638" spans="167:256" s="11" customFormat="1" x14ac:dyDescent="0.25">
      <c r="FK638" s="1493"/>
      <c r="HM638" s="11" t="s">
        <v>1453</v>
      </c>
      <c r="HN638" s="11">
        <f>+PENN!AU767*0.8</f>
        <v>52.050429999999999</v>
      </c>
      <c r="IV638"/>
    </row>
    <row r="639" spans="167:256" s="11" customFormat="1" x14ac:dyDescent="0.25">
      <c r="FK639" s="1493"/>
      <c r="HM639" s="11" t="s">
        <v>1090</v>
      </c>
      <c r="HN639" s="11">
        <f>+PENN!AU367</f>
        <v>62.683889379999997</v>
      </c>
      <c r="IV639"/>
    </row>
    <row r="640" spans="167:256" s="11" customFormat="1" x14ac:dyDescent="0.25">
      <c r="FK640" s="1493"/>
      <c r="HM640" s="11" t="s">
        <v>1089</v>
      </c>
      <c r="HN640" s="11">
        <f>+PENN!AU1088*0.8</f>
        <v>11.626090560000002</v>
      </c>
      <c r="IV640"/>
    </row>
    <row r="641" spans="167:256" s="11" customFormat="1" x14ac:dyDescent="0.25">
      <c r="FK641" s="1493"/>
      <c r="HM641" s="11" t="s">
        <v>1479</v>
      </c>
      <c r="HN641" s="11">
        <f>+PENN!AU618*0.8</f>
        <v>70.553181359999996</v>
      </c>
      <c r="IV641"/>
    </row>
    <row r="642" spans="167:256" s="11" customFormat="1" x14ac:dyDescent="0.25">
      <c r="FK642" s="1493"/>
      <c r="HM642" s="11" t="s">
        <v>1207</v>
      </c>
      <c r="IV642"/>
    </row>
    <row r="643" spans="167:256" s="11" customFormat="1" x14ac:dyDescent="0.25">
      <c r="FK643" s="1493"/>
      <c r="HM643" s="11" t="s">
        <v>1787</v>
      </c>
      <c r="HN643" s="11">
        <f>+PENN!AU588</f>
        <v>98.609420549999996</v>
      </c>
      <c r="IV643"/>
    </row>
    <row r="644" spans="167:256" s="11" customFormat="1" x14ac:dyDescent="0.25">
      <c r="FK644" s="1493"/>
      <c r="HM644" s="11" t="s">
        <v>117</v>
      </c>
      <c r="HN644" s="11">
        <f>+PENN!AU640*0.8</f>
        <v>127.015264</v>
      </c>
      <c r="IV644"/>
    </row>
    <row r="645" spans="167:256" s="11" customFormat="1" x14ac:dyDescent="0.25">
      <c r="FK645" s="1493"/>
      <c r="HM645" s="10" t="s">
        <v>2123</v>
      </c>
      <c r="HN645" s="10">
        <f>+SUM(HN627:HN644)</f>
        <v>2459.2171985269997</v>
      </c>
      <c r="IV645"/>
    </row>
    <row r="646" spans="167:256" s="11" customFormat="1" x14ac:dyDescent="0.25">
      <c r="FK646" s="1493"/>
      <c r="IV646"/>
    </row>
    <row r="647" spans="167:256" s="11" customFormat="1" x14ac:dyDescent="0.25">
      <c r="FK647" s="1493"/>
      <c r="HM647" s="11" t="s">
        <v>2124</v>
      </c>
      <c r="HN647" s="11">
        <f>+HN645*0.01</f>
        <v>24.592171985269999</v>
      </c>
      <c r="IV647"/>
    </row>
    <row r="648" spans="167:256" s="11" customFormat="1" x14ac:dyDescent="0.25">
      <c r="FK648" s="1493"/>
      <c r="HM648" s="11" t="s">
        <v>2125</v>
      </c>
      <c r="HN648" s="11">
        <f>+HN647*0.4</f>
        <v>9.8368687941079997</v>
      </c>
      <c r="IV648"/>
    </row>
    <row r="649" spans="167:256" s="11" customFormat="1" x14ac:dyDescent="0.25">
      <c r="FK649" s="1493"/>
      <c r="IV649"/>
    </row>
    <row r="650" spans="167:256" s="11" customFormat="1" ht="3.75" customHeight="1" x14ac:dyDescent="0.25">
      <c r="FK650" s="1493"/>
      <c r="IV650"/>
    </row>
    <row r="651" spans="167:256" s="11" customFormat="1" x14ac:dyDescent="0.25">
      <c r="FK651" s="1493"/>
      <c r="IV651"/>
    </row>
    <row r="652" spans="167:256" s="11" customFormat="1" x14ac:dyDescent="0.25">
      <c r="FK652" s="1493"/>
      <c r="HP652" s="359" t="s">
        <v>758</v>
      </c>
      <c r="IV652"/>
    </row>
    <row r="653" spans="167:256" s="11" customFormat="1" x14ac:dyDescent="0.25">
      <c r="FK653" s="1493"/>
      <c r="HT653" s="359" t="s">
        <v>765</v>
      </c>
      <c r="IV653"/>
    </row>
    <row r="654" spans="167:256" s="11" customFormat="1" x14ac:dyDescent="0.25">
      <c r="FK654" s="1493"/>
      <c r="HQ654" s="11" t="s">
        <v>759</v>
      </c>
      <c r="HR654" s="426">
        <f>+(PENN!AP395+PENN!AP396)*0.9</f>
        <v>258.63224007599996</v>
      </c>
      <c r="HT654" s="11" t="s">
        <v>1424</v>
      </c>
      <c r="HY654" s="687"/>
      <c r="IV654"/>
    </row>
    <row r="655" spans="167:256" s="11" customFormat="1" x14ac:dyDescent="0.25">
      <c r="FK655" s="1493"/>
      <c r="HQ655" s="275" t="s">
        <v>1623</v>
      </c>
      <c r="HR655" s="1630">
        <f>+HR656-HR654</f>
        <v>45.640983542823506</v>
      </c>
      <c r="HT655" s="11" t="s">
        <v>760</v>
      </c>
      <c r="IV655"/>
    </row>
    <row r="656" spans="167:256" s="11" customFormat="1" x14ac:dyDescent="0.25">
      <c r="FK656" s="1493"/>
      <c r="HQ656" s="10" t="s">
        <v>1570</v>
      </c>
      <c r="HR656" s="1631">
        <f>+HR654/0.85</f>
        <v>304.27322361882347</v>
      </c>
      <c r="HS656" s="10"/>
      <c r="IV656"/>
    </row>
    <row r="657" spans="167:256" s="11" customFormat="1" x14ac:dyDescent="0.25">
      <c r="FK657" s="1493"/>
      <c r="HR657" s="426"/>
      <c r="IV657"/>
    </row>
    <row r="658" spans="167:256" s="11" customFormat="1" x14ac:dyDescent="0.25">
      <c r="FK658" s="1493"/>
      <c r="HQ658" s="11" t="s">
        <v>761</v>
      </c>
      <c r="HR658" s="426">
        <f>+HR654*-0.25</f>
        <v>-64.65806001899999</v>
      </c>
      <c r="HT658" s="11" t="s">
        <v>762</v>
      </c>
      <c r="IV658"/>
    </row>
    <row r="659" spans="167:256" s="11" customFormat="1" x14ac:dyDescent="0.25">
      <c r="FK659" s="1493"/>
      <c r="HQ659" s="275" t="s">
        <v>763</v>
      </c>
      <c r="HR659" s="1630">
        <v>-110</v>
      </c>
      <c r="HT659" s="11" t="s">
        <v>764</v>
      </c>
      <c r="IV659"/>
    </row>
    <row r="660" spans="167:256" s="11" customFormat="1" x14ac:dyDescent="0.25">
      <c r="FK660" s="1493"/>
      <c r="HQ660" s="10" t="s">
        <v>1624</v>
      </c>
      <c r="HR660" s="1631">
        <f>+HR656+HR658+HR659</f>
        <v>129.61516359982346</v>
      </c>
      <c r="IV660"/>
    </row>
    <row r="661" spans="167:256" s="11" customFormat="1" x14ac:dyDescent="0.25">
      <c r="FK661" s="1493"/>
      <c r="HR661" s="426"/>
      <c r="IV661"/>
    </row>
    <row r="662" spans="167:256" s="11" customFormat="1" x14ac:dyDescent="0.25">
      <c r="FK662" s="1493"/>
      <c r="HR662" s="426"/>
      <c r="IV662"/>
    </row>
    <row r="663" spans="167:256" s="11" customFormat="1" x14ac:dyDescent="0.25">
      <c r="FK663" s="1493"/>
      <c r="HQ663" s="11" t="s">
        <v>1624</v>
      </c>
      <c r="HR663" s="426">
        <f>+HR660</f>
        <v>129.61516359982346</v>
      </c>
      <c r="IV663"/>
    </row>
    <row r="664" spans="167:256" s="11" customFormat="1" x14ac:dyDescent="0.25">
      <c r="FK664" s="1493"/>
      <c r="HQ664" s="11" t="s">
        <v>1464</v>
      </c>
      <c r="HR664" s="1629">
        <v>8</v>
      </c>
      <c r="IV664"/>
    </row>
    <row r="665" spans="167:256" s="11" customFormat="1" x14ac:dyDescent="0.25">
      <c r="FK665" s="1493"/>
      <c r="HQ665" s="10" t="s">
        <v>847</v>
      </c>
      <c r="HR665" s="10">
        <f>+HR663*HR664</f>
        <v>1036.9213087985877</v>
      </c>
      <c r="IV665"/>
    </row>
    <row r="666" spans="167:256" s="11" customFormat="1" x14ac:dyDescent="0.25">
      <c r="FK666" s="1493"/>
      <c r="IV666"/>
    </row>
    <row r="667" spans="167:256" s="11" customFormat="1" x14ac:dyDescent="0.25">
      <c r="FK667" s="1493"/>
      <c r="HQ667" s="11" t="s">
        <v>595</v>
      </c>
      <c r="HR667" s="426">
        <v>85</v>
      </c>
      <c r="HT667" s="11" t="s">
        <v>767</v>
      </c>
      <c r="IV667"/>
    </row>
    <row r="668" spans="167:256" s="11" customFormat="1" x14ac:dyDescent="0.25">
      <c r="FK668" s="1493"/>
      <c r="HQ668" s="11" t="s">
        <v>766</v>
      </c>
      <c r="HR668" s="426">
        <v>600</v>
      </c>
      <c r="HT668" s="11" t="s">
        <v>768</v>
      </c>
      <c r="IV668"/>
    </row>
    <row r="669" spans="167:256" s="11" customFormat="1" x14ac:dyDescent="0.25">
      <c r="FK669" s="1493"/>
      <c r="HQ669" s="10" t="s">
        <v>1188</v>
      </c>
      <c r="HR669" s="1631">
        <f>+HR667+HR668</f>
        <v>685</v>
      </c>
      <c r="IV669"/>
    </row>
    <row r="670" spans="167:256" s="11" customFormat="1" x14ac:dyDescent="0.25">
      <c r="FK670" s="1493"/>
      <c r="HR670" s="426"/>
      <c r="IV670"/>
    </row>
    <row r="671" spans="167:256" s="11" customFormat="1" x14ac:dyDescent="0.25">
      <c r="FK671" s="1493"/>
      <c r="HQ671" s="10" t="s">
        <v>769</v>
      </c>
      <c r="HR671" s="1631">
        <f>+HR665-HR669</f>
        <v>351.92130879858769</v>
      </c>
      <c r="IV671"/>
    </row>
    <row r="672" spans="167:256" s="11" customFormat="1" x14ac:dyDescent="0.25">
      <c r="FK672" s="1493"/>
      <c r="HQ672" s="11" t="s">
        <v>1425</v>
      </c>
      <c r="HR672" s="423">
        <f>1.1^3</f>
        <v>1.3310000000000004</v>
      </c>
      <c r="HT672" s="11" t="s">
        <v>1426</v>
      </c>
      <c r="IV672"/>
    </row>
    <row r="673" spans="167:256" s="11" customFormat="1" x14ac:dyDescent="0.25">
      <c r="FK673" s="1493"/>
      <c r="HQ673" s="10" t="s">
        <v>1578</v>
      </c>
      <c r="HR673" s="1631">
        <f>+HR671/HR672</f>
        <v>264.40368805303348</v>
      </c>
      <c r="IV673"/>
    </row>
    <row r="674" spans="167:256" s="11" customFormat="1" x14ac:dyDescent="0.25">
      <c r="FK674" s="1493"/>
      <c r="HQ674" s="11" t="s">
        <v>1536</v>
      </c>
      <c r="HR674" s="426">
        <f>+PENN!AZ101</f>
        <v>78.111000000000004</v>
      </c>
      <c r="IV674"/>
    </row>
    <row r="675" spans="167:256" s="11" customFormat="1" x14ac:dyDescent="0.25">
      <c r="FK675" s="1493"/>
      <c r="HQ675" s="10" t="s">
        <v>1192</v>
      </c>
      <c r="HR675" s="1094">
        <f>+HR673/HR674</f>
        <v>3.3849737943827818</v>
      </c>
      <c r="IV675"/>
    </row>
    <row r="676" spans="167:256" s="11" customFormat="1" x14ac:dyDescent="0.25">
      <c r="FK676" s="1493"/>
      <c r="IV676"/>
    </row>
    <row r="677" spans="167:256" s="11" customFormat="1" x14ac:dyDescent="0.25">
      <c r="FK677" s="1493"/>
      <c r="HX677" s="1627" t="s">
        <v>1809</v>
      </c>
      <c r="HY677" s="1628"/>
      <c r="HZ677" s="1628"/>
      <c r="IA677" s="1628"/>
      <c r="IB677" s="1628"/>
      <c r="IC677" s="1628"/>
      <c r="ID677" s="1628"/>
      <c r="IE677" s="1628"/>
      <c r="IV677"/>
    </row>
    <row r="678" spans="167:256" s="11" customFormat="1" x14ac:dyDescent="0.25">
      <c r="FK678" s="1493"/>
      <c r="HX678" s="416"/>
      <c r="HY678" s="363"/>
      <c r="HZ678" s="363"/>
      <c r="IA678" s="363"/>
      <c r="IB678" s="363"/>
      <c r="IC678" s="363"/>
      <c r="IV678"/>
    </row>
    <row r="679" spans="167:256" s="11" customFormat="1" x14ac:dyDescent="0.25">
      <c r="FK679" s="1493"/>
      <c r="HX679" s="416" t="s">
        <v>1308</v>
      </c>
      <c r="HY679" s="363"/>
      <c r="HZ679" s="363"/>
      <c r="IA679" s="363"/>
      <c r="IB679" s="363"/>
      <c r="IC679" s="363"/>
      <c r="IV679"/>
    </row>
    <row r="680" spans="167:256" s="11" customFormat="1" x14ac:dyDescent="0.25">
      <c r="FK680" s="1493"/>
      <c r="HX680" s="10"/>
      <c r="HY680" s="745"/>
      <c r="HZ680" s="893" t="s">
        <v>2199</v>
      </c>
      <c r="IA680" s="893"/>
      <c r="IB680" s="502" t="s">
        <v>1544</v>
      </c>
      <c r="IC680" s="916" t="s">
        <v>1807</v>
      </c>
      <c r="ID680" s="916" t="s">
        <v>1808</v>
      </c>
      <c r="IE680" s="10"/>
      <c r="IV680"/>
    </row>
    <row r="681" spans="167:256" s="11" customFormat="1" x14ac:dyDescent="0.25">
      <c r="FK681" s="1493"/>
      <c r="HX681" s="1599" t="s">
        <v>1833</v>
      </c>
      <c r="HY681" s="576" t="s">
        <v>1213</v>
      </c>
      <c r="HZ681" s="576" t="s">
        <v>1306</v>
      </c>
      <c r="IA681" s="576" t="s">
        <v>1307</v>
      </c>
      <c r="IB681" s="747" t="s">
        <v>1807</v>
      </c>
      <c r="IC681" s="894" t="s">
        <v>1210</v>
      </c>
      <c r="ID681" s="894" t="s">
        <v>1210</v>
      </c>
      <c r="IE681" s="576"/>
      <c r="IV681"/>
    </row>
    <row r="682" spans="167:256" s="11" customFormat="1" x14ac:dyDescent="0.25">
      <c r="FK682" s="1493"/>
      <c r="IC682" s="419"/>
      <c r="ID682" s="419"/>
      <c r="IV682"/>
    </row>
    <row r="683" spans="167:256" s="11" customFormat="1" x14ac:dyDescent="0.25">
      <c r="FK683" s="1493"/>
      <c r="HX683" s="1600" t="s">
        <v>1092</v>
      </c>
      <c r="HY683" s="1601" t="s">
        <v>1373</v>
      </c>
      <c r="HZ683" s="1638">
        <f>+PENN!AU886</f>
        <v>395.36180999999993</v>
      </c>
      <c r="IA683" s="1638">
        <f>+PENN!AZ886</f>
        <v>271.79388600000004</v>
      </c>
      <c r="IB683" s="1639">
        <f>+PENN!AP886</f>
        <v>436.45677799999999</v>
      </c>
      <c r="IC683" s="1609">
        <f>IA683-HZ683</f>
        <v>-123.56792399999989</v>
      </c>
      <c r="ID683" s="1612">
        <f>IC683/IB683</f>
        <v>-0.28311606149463875</v>
      </c>
      <c r="IE683" s="1602"/>
      <c r="IV683"/>
    </row>
    <row r="684" spans="167:256" s="11" customFormat="1" x14ac:dyDescent="0.25">
      <c r="FK684" s="1493"/>
      <c r="HX684" s="1600"/>
      <c r="HY684" s="1601"/>
      <c r="HZ684" s="1602"/>
      <c r="IA684" s="1602"/>
      <c r="IB684" s="1603"/>
      <c r="IC684" s="1609"/>
      <c r="ID684" s="1612"/>
      <c r="IE684" s="1602"/>
      <c r="IV684"/>
    </row>
    <row r="685" spans="167:256" s="11" customFormat="1" x14ac:dyDescent="0.25">
      <c r="FK685" s="1493"/>
      <c r="HX685" s="1600" t="s">
        <v>1788</v>
      </c>
      <c r="HY685" s="1601" t="s">
        <v>2237</v>
      </c>
      <c r="HZ685" s="1602">
        <f>+PENN!AP336</f>
        <v>546.95897626999999</v>
      </c>
      <c r="IA685" s="1602">
        <f>+PENN!AZ336</f>
        <v>455.51929333000004</v>
      </c>
      <c r="IB685" s="1604">
        <f>+PENN!AP336</f>
        <v>546.95897626999999</v>
      </c>
      <c r="IC685" s="1610">
        <f>IA685-HZ685</f>
        <v>-91.439682939999955</v>
      </c>
      <c r="ID685" s="1612">
        <f>IC685/IB685</f>
        <v>-0.16717832032591382</v>
      </c>
      <c r="IE685" s="1602"/>
      <c r="IV685"/>
    </row>
    <row r="686" spans="167:256" s="11" customFormat="1" x14ac:dyDescent="0.25">
      <c r="FK686" s="1493"/>
      <c r="IB686" s="1493"/>
      <c r="IC686" s="419"/>
      <c r="ID686" s="419"/>
      <c r="IV686"/>
    </row>
    <row r="687" spans="167:256" s="11" customFormat="1" x14ac:dyDescent="0.25">
      <c r="FK687" s="1493"/>
      <c r="HX687" s="1605" t="s">
        <v>1093</v>
      </c>
      <c r="HY687" s="1601" t="s">
        <v>1310</v>
      </c>
      <c r="HZ687" s="1602">
        <f>+PENN!AP917</f>
        <v>194.61342400000001</v>
      </c>
      <c r="IA687" s="1602">
        <f>+PENN!AZ917</f>
        <v>147.99995633999998</v>
      </c>
      <c r="IB687" s="1604">
        <f>+PENN!AP917</f>
        <v>194.61342400000001</v>
      </c>
      <c r="IC687" s="1610">
        <f>IA687-HZ687</f>
        <v>-46.613467660000026</v>
      </c>
      <c r="ID687" s="1612">
        <f>IC687/IB687</f>
        <v>-0.23951825471196697</v>
      </c>
      <c r="IE687" s="1602"/>
      <c r="IV687"/>
    </row>
    <row r="688" spans="167:256" s="11" customFormat="1" x14ac:dyDescent="0.25">
      <c r="FK688" s="1493"/>
      <c r="IB688" s="1493"/>
      <c r="IC688" s="419"/>
      <c r="ID688" s="419"/>
      <c r="IV688"/>
    </row>
    <row r="689" spans="167:256" s="11" customFormat="1" x14ac:dyDescent="0.25">
      <c r="FK689" s="1493"/>
      <c r="HX689" s="1600" t="s">
        <v>1548</v>
      </c>
      <c r="HY689" s="1601" t="s">
        <v>1311</v>
      </c>
      <c r="HZ689" s="1602">
        <f>+PENN!AP1010</f>
        <v>120.88691519</v>
      </c>
      <c r="IA689" s="1602">
        <f>+PENN!AZ1010</f>
        <v>67.756306246666668</v>
      </c>
      <c r="IB689" s="1604">
        <f>+PENN!AP1010</f>
        <v>120.88691519</v>
      </c>
      <c r="IC689" s="1610">
        <f>IA689-HZ689</f>
        <v>-53.130608943333328</v>
      </c>
      <c r="ID689" s="1612">
        <f>IC689/IB689</f>
        <v>-0.43950669813872789</v>
      </c>
      <c r="IE689" s="1602"/>
      <c r="IV689"/>
    </row>
    <row r="690" spans="167:256" s="11" customFormat="1" x14ac:dyDescent="0.25">
      <c r="FK690" s="1493"/>
      <c r="IB690" s="1493"/>
      <c r="IC690" s="419"/>
      <c r="ID690" s="419"/>
      <c r="IV690"/>
    </row>
    <row r="691" spans="167:256" s="11" customFormat="1" x14ac:dyDescent="0.25">
      <c r="FK691" s="1493"/>
      <c r="HX691" s="1600" t="s">
        <v>1786</v>
      </c>
      <c r="HY691" s="1601" t="s">
        <v>2117</v>
      </c>
      <c r="HZ691" s="1602">
        <f>+PENN!AP824</f>
        <v>146.51</v>
      </c>
      <c r="IA691" s="1602">
        <f>+PENN!AU824</f>
        <v>141.79599999999999</v>
      </c>
      <c r="IB691" s="1604">
        <f>+PENN!AP824</f>
        <v>146.51</v>
      </c>
      <c r="IC691" s="1610">
        <f>IA691-HZ691</f>
        <v>-4.7139999999999986</v>
      </c>
      <c r="ID691" s="1612">
        <f>IC691/IB691</f>
        <v>-3.2175278138011049E-2</v>
      </c>
      <c r="IE691" s="1602"/>
      <c r="IV691"/>
    </row>
    <row r="692" spans="167:256" s="11" customFormat="1" x14ac:dyDescent="0.25">
      <c r="FK692" s="1493"/>
      <c r="HX692" s="1600"/>
      <c r="HY692" s="1601"/>
      <c r="HZ692" s="1602"/>
      <c r="IA692" s="1602"/>
      <c r="IB692" s="1604"/>
      <c r="IC692" s="1610"/>
      <c r="ID692" s="1612"/>
      <c r="IE692" s="1602"/>
      <c r="IV692"/>
    </row>
    <row r="693" spans="167:256" s="11" customFormat="1" x14ac:dyDescent="0.25">
      <c r="FK693" s="1493"/>
      <c r="HX693" s="1600" t="s">
        <v>1094</v>
      </c>
      <c r="HY693" s="1601" t="s">
        <v>2117</v>
      </c>
      <c r="HZ693" s="1602">
        <f>+PENN!AK793</f>
        <v>181.02699999999999</v>
      </c>
      <c r="IA693" s="1602">
        <f>+PENN!AU793</f>
        <v>151.77800000000002</v>
      </c>
      <c r="IB693" s="1604">
        <f>+PENN!AP793</f>
        <v>173.40099999999998</v>
      </c>
      <c r="IC693" s="1610">
        <f>IA693-HZ693</f>
        <v>-29.248999999999967</v>
      </c>
      <c r="ID693" s="1612">
        <f>IC693/IB693</f>
        <v>-0.16867838132421364</v>
      </c>
      <c r="IE693" s="1602"/>
      <c r="IV693"/>
    </row>
    <row r="694" spans="167:256" s="11" customFormat="1" x14ac:dyDescent="0.25">
      <c r="FK694" s="1493"/>
      <c r="HX694" s="1600"/>
      <c r="HY694" s="1601"/>
      <c r="HZ694" s="1602"/>
      <c r="IA694" s="1602"/>
      <c r="IB694" s="1604"/>
      <c r="IC694" s="1610"/>
      <c r="ID694" s="1612"/>
      <c r="IE694" s="1602"/>
      <c r="IV694"/>
    </row>
    <row r="695" spans="167:256" s="11" customFormat="1" x14ac:dyDescent="0.25">
      <c r="FK695" s="1493"/>
      <c r="HX695" s="906" t="s">
        <v>841</v>
      </c>
      <c r="HY695" s="909"/>
      <c r="HZ695" s="1083">
        <f>SUM(HZ683:HZ694)</f>
        <v>1585.3581254599999</v>
      </c>
      <c r="IA695" s="1083">
        <f>SUM(IA683:IA694)</f>
        <v>1236.6434419166667</v>
      </c>
      <c r="IB695" s="1083">
        <f>SUM(IB683:IB694)</f>
        <v>1618.8270934600002</v>
      </c>
      <c r="IC695" s="1611">
        <f>IA695-HZ695</f>
        <v>-348.71468354333319</v>
      </c>
      <c r="ID695" s="1614">
        <f>IC695/IB695</f>
        <v>-0.215411939268948</v>
      </c>
      <c r="IE695" s="296"/>
      <c r="IV695"/>
    </row>
    <row r="696" spans="167:256" s="11" customFormat="1" x14ac:dyDescent="0.25">
      <c r="FK696" s="1493"/>
      <c r="HX696" s="333"/>
      <c r="HY696" s="10"/>
      <c r="HZ696" s="10"/>
      <c r="IA696" s="10"/>
      <c r="IB696" s="358"/>
      <c r="IC696" s="1399"/>
      <c r="IV696"/>
    </row>
    <row r="697" spans="167:256" s="11" customFormat="1" x14ac:dyDescent="0.25">
      <c r="FK697" s="1493"/>
      <c r="HX697" s="333"/>
      <c r="IB697" s="1493"/>
      <c r="IV697"/>
    </row>
    <row r="698" spans="167:256" s="11" customFormat="1" x14ac:dyDescent="0.25">
      <c r="FK698" s="1493"/>
      <c r="HX698" s="281"/>
      <c r="IB698" s="1493"/>
      <c r="ID698" s="687"/>
      <c r="IV698"/>
    </row>
    <row r="699" spans="167:256" s="11" customFormat="1" x14ac:dyDescent="0.25">
      <c r="FK699" s="1493"/>
      <c r="IF699" s="359" t="s">
        <v>1972</v>
      </c>
      <c r="IV699"/>
    </row>
    <row r="700" spans="167:256" s="11" customFormat="1" x14ac:dyDescent="0.25">
      <c r="FK700" s="1493"/>
      <c r="IV700"/>
    </row>
    <row r="701" spans="167:256" s="11" customFormat="1" x14ac:dyDescent="0.25">
      <c r="FK701" s="1493"/>
      <c r="IF701" s="11" t="s">
        <v>1973</v>
      </c>
      <c r="IG701" s="11">
        <f>-IC695</f>
        <v>348.71468354333319</v>
      </c>
      <c r="IH701" s="280">
        <f>+IG701/IB695</f>
        <v>0.215411939268948</v>
      </c>
      <c r="IV701"/>
    </row>
    <row r="702" spans="167:256" s="11" customFormat="1" x14ac:dyDescent="0.25">
      <c r="FK702" s="1493"/>
      <c r="IF702" s="11" t="s">
        <v>1974</v>
      </c>
      <c r="IG702" s="11">
        <f>-SUM(FL413:FL424)</f>
        <v>124.81548194680025</v>
      </c>
      <c r="IH702" s="1458"/>
      <c r="IV702"/>
    </row>
    <row r="703" spans="167:256" s="11" customFormat="1" x14ac:dyDescent="0.25">
      <c r="FK703" s="1493"/>
      <c r="IF703" s="11" t="s">
        <v>1977</v>
      </c>
      <c r="IG703" s="280">
        <f>+IG702/IG701</f>
        <v>0.35793010113177526</v>
      </c>
      <c r="IV703"/>
    </row>
    <row r="704" spans="167:256" s="11" customFormat="1" x14ac:dyDescent="0.25">
      <c r="FK704" s="1493"/>
      <c r="IG704" s="280"/>
      <c r="IV704"/>
    </row>
    <row r="705" spans="167:256" s="11" customFormat="1" x14ac:dyDescent="0.25">
      <c r="FK705" s="1493"/>
      <c r="IF705" s="11" t="s">
        <v>1976</v>
      </c>
      <c r="IH705" s="280"/>
      <c r="IV705"/>
    </row>
    <row r="706" spans="167:256" s="11" customFormat="1" x14ac:dyDescent="0.25">
      <c r="FK706" s="1493"/>
      <c r="IF706" s="11" t="s">
        <v>1975</v>
      </c>
      <c r="IH706" s="280"/>
      <c r="IV706"/>
    </row>
    <row r="707" spans="167:256" s="11" customFormat="1" x14ac:dyDescent="0.25">
      <c r="FK707" s="1493"/>
      <c r="IF707" s="11" t="s">
        <v>1977</v>
      </c>
      <c r="IG707" s="280"/>
      <c r="IV707"/>
    </row>
    <row r="708" spans="167:256" s="11" customFormat="1" x14ac:dyDescent="0.25">
      <c r="FK708" s="1493"/>
      <c r="IV708"/>
    </row>
    <row r="709" spans="167:256" s="11" customFormat="1" x14ac:dyDescent="0.25">
      <c r="FK709" s="1493"/>
      <c r="IV709"/>
    </row>
    <row r="710" spans="167:256" s="11" customFormat="1" x14ac:dyDescent="0.25">
      <c r="FK710" s="1493"/>
      <c r="IJ710" s="359" t="s">
        <v>1822</v>
      </c>
      <c r="IV710"/>
    </row>
    <row r="711" spans="167:256" s="11" customFormat="1" x14ac:dyDescent="0.25">
      <c r="FK711" s="1493"/>
      <c r="IJ711" s="416" t="s">
        <v>40</v>
      </c>
      <c r="IV711"/>
    </row>
    <row r="712" spans="167:256" s="11" customFormat="1" x14ac:dyDescent="0.25">
      <c r="FK712" s="1493"/>
      <c r="IJ712" s="416"/>
      <c r="IV712"/>
    </row>
    <row r="713" spans="167:256" s="11" customFormat="1" x14ac:dyDescent="0.25">
      <c r="FK713" s="1493"/>
      <c r="IJ713" s="659" t="s">
        <v>2153</v>
      </c>
      <c r="IK713" s="1656" t="s">
        <v>1544</v>
      </c>
      <c r="IL713" s="281"/>
      <c r="IM713" s="1656" t="s">
        <v>1372</v>
      </c>
      <c r="IN713" s="1649"/>
      <c r="IV713"/>
    </row>
    <row r="714" spans="167:256" s="11" customFormat="1" x14ac:dyDescent="0.25">
      <c r="FK714" s="1493"/>
      <c r="IJ714" s="11" t="s">
        <v>2214</v>
      </c>
      <c r="IK714" s="388">
        <f>+PENN!AP333</f>
        <v>396.94795379999999</v>
      </c>
      <c r="IN714" s="1637"/>
      <c r="IV714"/>
    </row>
    <row r="715" spans="167:256" s="11" customFormat="1" x14ac:dyDescent="0.25">
      <c r="FK715" s="1493"/>
      <c r="IJ715" s="275" t="s">
        <v>2215</v>
      </c>
      <c r="IK715" s="1645">
        <f>+PENN!AP334</f>
        <v>150.01102247</v>
      </c>
      <c r="IN715" s="1637"/>
      <c r="IV715"/>
    </row>
    <row r="716" spans="167:256" s="11" customFormat="1" x14ac:dyDescent="0.25">
      <c r="FK716" s="1493"/>
      <c r="IJ716" s="10" t="s">
        <v>1912</v>
      </c>
      <c r="IK716" s="1655">
        <f>+IK714+IK715</f>
        <v>546.95897626999999</v>
      </c>
      <c r="IN716" s="1648"/>
      <c r="IV716"/>
    </row>
    <row r="717" spans="167:256" s="11" customFormat="1" ht="4.5" customHeight="1" x14ac:dyDescent="0.25">
      <c r="FK717" s="1493"/>
      <c r="IV717"/>
    </row>
    <row r="718" spans="167:256" s="11" customFormat="1" x14ac:dyDescent="0.25">
      <c r="FK718" s="1493"/>
      <c r="IJ718" s="359" t="s">
        <v>44</v>
      </c>
      <c r="IV718"/>
    </row>
    <row r="719" spans="167:256" s="11" customFormat="1" x14ac:dyDescent="0.25">
      <c r="FK719" s="1493"/>
      <c r="IJ719" s="753" t="s">
        <v>2128</v>
      </c>
      <c r="IK719" s="1637">
        <v>0.5</v>
      </c>
      <c r="IM719" s="11" t="s">
        <v>1883</v>
      </c>
      <c r="IN719" s="1637"/>
      <c r="IV719"/>
    </row>
    <row r="720" spans="167:256" s="11" customFormat="1" x14ac:dyDescent="0.25">
      <c r="FK720" s="1493"/>
      <c r="IJ720" s="11" t="s">
        <v>2146</v>
      </c>
      <c r="IK720" s="1644">
        <f>+IK714*IK719</f>
        <v>198.4739769</v>
      </c>
      <c r="IM720" s="1657" t="s">
        <v>2240</v>
      </c>
      <c r="IN720" s="1658"/>
      <c r="IV720"/>
    </row>
    <row r="721" spans="167:256" s="11" customFormat="1" x14ac:dyDescent="0.25">
      <c r="FK721" s="1493"/>
      <c r="IJ721" s="753" t="s">
        <v>2147</v>
      </c>
      <c r="IK721" s="1637">
        <v>0.4</v>
      </c>
      <c r="IM721" s="11" t="s">
        <v>2255</v>
      </c>
      <c r="IN721" s="1637"/>
      <c r="IV721"/>
    </row>
    <row r="722" spans="167:256" s="11" customFormat="1" x14ac:dyDescent="0.25">
      <c r="FK722" s="1493"/>
      <c r="IJ722" s="11" t="s">
        <v>970</v>
      </c>
      <c r="IK722" s="1644">
        <f>+IK720*IK721</f>
        <v>79.389590760000004</v>
      </c>
      <c r="IM722" s="1657" t="s">
        <v>2256</v>
      </c>
      <c r="IN722" s="1658"/>
      <c r="IV722"/>
    </row>
    <row r="723" spans="167:256" s="11" customFormat="1" x14ac:dyDescent="0.25">
      <c r="FK723" s="1493"/>
      <c r="IJ723" s="753" t="s">
        <v>971</v>
      </c>
      <c r="IK723" s="1637">
        <v>0.6</v>
      </c>
      <c r="IM723" s="11" t="s">
        <v>2257</v>
      </c>
      <c r="IN723" s="1637"/>
      <c r="IV723"/>
    </row>
    <row r="724" spans="167:256" s="11" customFormat="1" x14ac:dyDescent="0.25">
      <c r="FK724" s="1493"/>
      <c r="IJ724" s="11" t="s">
        <v>972</v>
      </c>
      <c r="IK724" s="1644">
        <f>+IK723*IK720</f>
        <v>119.08438613999999</v>
      </c>
      <c r="IM724" s="1657" t="s">
        <v>2258</v>
      </c>
      <c r="IN724" s="1658"/>
      <c r="IV724"/>
    </row>
    <row r="725" spans="167:256" s="11" customFormat="1" ht="3.75" customHeight="1" x14ac:dyDescent="0.25">
      <c r="FK725" s="1493"/>
      <c r="IV725"/>
    </row>
    <row r="726" spans="167:256" s="11" customFormat="1" x14ac:dyDescent="0.25">
      <c r="FK726" s="1493"/>
      <c r="IJ726" s="359" t="s">
        <v>45</v>
      </c>
      <c r="IV726"/>
    </row>
    <row r="727" spans="167:256" s="11" customFormat="1" x14ac:dyDescent="0.25">
      <c r="FK727" s="1493"/>
      <c r="IJ727" s="11" t="s">
        <v>1818</v>
      </c>
      <c r="IK727" s="1637">
        <v>0.75</v>
      </c>
      <c r="IM727" s="11" t="s">
        <v>2259</v>
      </c>
      <c r="IV727"/>
    </row>
    <row r="728" spans="167:256" s="11" customFormat="1" x14ac:dyDescent="0.25">
      <c r="FK728" s="1493"/>
      <c r="IJ728" s="11" t="s">
        <v>1821</v>
      </c>
      <c r="IK728" s="1644">
        <f>+IK722*IK727</f>
        <v>59.542193070000003</v>
      </c>
      <c r="IN728" s="647"/>
      <c r="IV728"/>
    </row>
    <row r="729" spans="167:256" s="11" customFormat="1" x14ac:dyDescent="0.25">
      <c r="FK729" s="1493"/>
      <c r="IJ729" s="11" t="s">
        <v>1819</v>
      </c>
      <c r="IK729" s="1637">
        <v>0.5</v>
      </c>
      <c r="IM729" s="11" t="s">
        <v>2259</v>
      </c>
      <c r="IV729"/>
    </row>
    <row r="730" spans="167:256" s="11" customFormat="1" x14ac:dyDescent="0.25">
      <c r="FK730" s="1493"/>
      <c r="IJ730" s="11" t="s">
        <v>1820</v>
      </c>
      <c r="IK730" s="1644">
        <f>+IK729*IK724</f>
        <v>59.542193069999996</v>
      </c>
      <c r="IV730"/>
    </row>
    <row r="731" spans="167:256" s="11" customFormat="1" x14ac:dyDescent="0.25">
      <c r="FK731" s="1493"/>
      <c r="IJ731" s="906" t="s">
        <v>2163</v>
      </c>
      <c r="IK731" s="1084">
        <f>+IK728+IK730</f>
        <v>119.08438613999999</v>
      </c>
      <c r="IV731"/>
    </row>
    <row r="732" spans="167:256" s="11" customFormat="1" x14ac:dyDescent="0.25">
      <c r="FK732" s="1493"/>
      <c r="IJ732" s="718" t="s">
        <v>41</v>
      </c>
      <c r="IK732" s="724">
        <f>IK731/IK714</f>
        <v>0.3</v>
      </c>
      <c r="IV732"/>
    </row>
    <row r="733" spans="167:256" s="11" customFormat="1" x14ac:dyDescent="0.25">
      <c r="FK733" s="1493"/>
      <c r="IJ733" s="718" t="s">
        <v>42</v>
      </c>
      <c r="IK733" s="724">
        <f>IK731/IK716</f>
        <v>0.21772087360572973</v>
      </c>
      <c r="IV733"/>
    </row>
    <row r="734" spans="167:256" s="11" customFormat="1" x14ac:dyDescent="0.25">
      <c r="FK734" s="1493"/>
      <c r="IJ734" s="718"/>
      <c r="IK734" s="724"/>
      <c r="IV734"/>
    </row>
    <row r="735" spans="167:256" s="11" customFormat="1" x14ac:dyDescent="0.25">
      <c r="FK735" s="1493"/>
      <c r="IJ735" s="705"/>
      <c r="IK735" s="724"/>
      <c r="IV735"/>
    </row>
    <row r="736" spans="167:256" s="11" customFormat="1" x14ac:dyDescent="0.25">
      <c r="FK736" s="1493"/>
      <c r="IJ736" s="705"/>
      <c r="IK736" s="724"/>
      <c r="IV736"/>
    </row>
    <row r="737" spans="167:256" s="11" customFormat="1" x14ac:dyDescent="0.25">
      <c r="FK737" s="1493"/>
      <c r="IJ737" s="533"/>
      <c r="IK737" s="1647"/>
      <c r="IV737"/>
    </row>
    <row r="738" spans="167:256" s="11" customFormat="1" x14ac:dyDescent="0.25">
      <c r="FK738" s="1493"/>
      <c r="IJ738" s="1185" t="s">
        <v>39</v>
      </c>
      <c r="IK738" s="1647"/>
      <c r="IV738"/>
    </row>
    <row r="739" spans="167:256" s="11" customFormat="1" x14ac:dyDescent="0.25">
      <c r="FK739" s="1493"/>
      <c r="IJ739" s="533"/>
      <c r="IK739" s="1647"/>
      <c r="IV739"/>
    </row>
    <row r="740" spans="167:256" s="11" customFormat="1" x14ac:dyDescent="0.25">
      <c r="FK740" s="1493"/>
      <c r="IJ740" s="1070" t="s">
        <v>2152</v>
      </c>
      <c r="IK740" s="1647"/>
      <c r="IV740"/>
    </row>
    <row r="741" spans="167:256" s="11" customFormat="1" x14ac:dyDescent="0.25">
      <c r="FK741" s="1493"/>
      <c r="IJ741" s="428" t="s">
        <v>2164</v>
      </c>
      <c r="IK741" s="692">
        <f>IK731</f>
        <v>119.08438613999999</v>
      </c>
      <c r="IV741"/>
    </row>
    <row r="742" spans="167:256" s="11" customFormat="1" x14ac:dyDescent="0.25">
      <c r="FK742" s="1493"/>
      <c r="IJ742" s="753" t="s">
        <v>2167</v>
      </c>
      <c r="IK742" s="1651">
        <f>0.1*IK715</f>
        <v>15.001102247</v>
      </c>
      <c r="IV742"/>
    </row>
    <row r="743" spans="167:256" s="11" customFormat="1" x14ac:dyDescent="0.25">
      <c r="FK743" s="1493"/>
      <c r="IJ743" s="11" t="s">
        <v>2165</v>
      </c>
      <c r="IK743" s="11">
        <f>-IK741*0.591-IK742*0.35</f>
        <v>-75.629257995189988</v>
      </c>
      <c r="IN743" s="1652" t="s">
        <v>47</v>
      </c>
      <c r="IV743"/>
    </row>
    <row r="744" spans="167:256" s="11" customFormat="1" x14ac:dyDescent="0.25">
      <c r="FK744" s="1493"/>
      <c r="IJ744" s="753" t="s">
        <v>2148</v>
      </c>
      <c r="IK744" s="1650">
        <v>-16</v>
      </c>
      <c r="IV744"/>
    </row>
    <row r="745" spans="167:256" s="11" customFormat="1" x14ac:dyDescent="0.25">
      <c r="FK745" s="1493"/>
      <c r="IJ745" s="906" t="s">
        <v>43</v>
      </c>
      <c r="IK745" s="1654">
        <f>SUM(IK741:IK744)</f>
        <v>42.45623039181001</v>
      </c>
      <c r="IV745"/>
    </row>
    <row r="746" spans="167:256" s="11" customFormat="1" x14ac:dyDescent="0.25">
      <c r="FK746" s="1493"/>
      <c r="IJ746" s="533"/>
      <c r="IK746" s="1653"/>
      <c r="IV746"/>
    </row>
    <row r="747" spans="167:256" s="11" customFormat="1" x14ac:dyDescent="0.25">
      <c r="FK747" s="1493"/>
      <c r="IJ747" s="11" t="s">
        <v>2151</v>
      </c>
      <c r="IK747" s="11">
        <f>PENN!AP352</f>
        <v>194.67963596871107</v>
      </c>
      <c r="IV747"/>
    </row>
    <row r="748" spans="167:256" s="11" customFormat="1" x14ac:dyDescent="0.25">
      <c r="FK748" s="1493"/>
      <c r="IJ748" s="906" t="s">
        <v>46</v>
      </c>
      <c r="IK748" s="1084">
        <f>IK747-IK745</f>
        <v>152.22340557690106</v>
      </c>
      <c r="IV748"/>
    </row>
    <row r="749" spans="167:256" s="11" customFormat="1" x14ac:dyDescent="0.25">
      <c r="FK749" s="1493"/>
      <c r="IJ749" s="718" t="s">
        <v>2166</v>
      </c>
      <c r="IK749" s="724">
        <f>IK748/IK747-1</f>
        <v>-0.21808254458947918</v>
      </c>
      <c r="IV749"/>
    </row>
    <row r="750" spans="167:256" s="11" customFormat="1" x14ac:dyDescent="0.25">
      <c r="FK750" s="1493"/>
      <c r="IN750" s="416"/>
      <c r="IV750"/>
    </row>
    <row r="751" spans="167:256" s="11" customFormat="1" x14ac:dyDescent="0.25">
      <c r="FK751" s="1493"/>
      <c r="IJ751" s="11" t="s">
        <v>2149</v>
      </c>
      <c r="IV751"/>
    </row>
    <row r="752" spans="167:256" s="11" customFormat="1" x14ac:dyDescent="0.25">
      <c r="FK752" s="1493"/>
      <c r="IJ752" s="11" t="s">
        <v>2150</v>
      </c>
      <c r="IV752"/>
    </row>
    <row r="753" spans="167:256" s="11" customFormat="1" x14ac:dyDescent="0.25">
      <c r="FK753" s="1493"/>
      <c r="IL753" s="10"/>
      <c r="IM753" s="10"/>
      <c r="IN753" s="1378"/>
      <c r="IV753"/>
    </row>
    <row r="754" spans="167:256" s="11" customFormat="1" x14ac:dyDescent="0.25">
      <c r="FK754" s="1493"/>
      <c r="IN754" s="1378"/>
      <c r="IV754"/>
    </row>
    <row r="755" spans="167:256" s="11" customFormat="1" x14ac:dyDescent="0.25">
      <c r="FK755" s="1493"/>
      <c r="IN755" s="280"/>
      <c r="IV755"/>
    </row>
    <row r="756" spans="167:256" s="11" customFormat="1" x14ac:dyDescent="0.25">
      <c r="FK756" s="1493"/>
      <c r="IN756" s="280"/>
      <c r="IV756"/>
    </row>
    <row r="757" spans="167:256" s="11" customFormat="1" x14ac:dyDescent="0.25">
      <c r="FK757" s="1493"/>
      <c r="IN757" s="358"/>
      <c r="IV757"/>
    </row>
    <row r="758" spans="167:256" s="11" customFormat="1" x14ac:dyDescent="0.25">
      <c r="FK758" s="1493"/>
      <c r="IN758" s="280"/>
      <c r="IV758"/>
    </row>
    <row r="759" spans="167:256" s="11" customFormat="1" ht="5.0999999999999996" customHeight="1" x14ac:dyDescent="0.25">
      <c r="FK759" s="1493"/>
      <c r="IN759" s="280"/>
      <c r="IV759"/>
    </row>
    <row r="760" spans="167:256" s="11" customFormat="1" x14ac:dyDescent="0.25">
      <c r="FK760" s="1493"/>
      <c r="IN760" s="280"/>
      <c r="IV760"/>
    </row>
    <row r="761" spans="167:256" s="11" customFormat="1" x14ac:dyDescent="0.25">
      <c r="FK761" s="1493"/>
      <c r="IN761" s="1646"/>
      <c r="IO761" s="359" t="s">
        <v>183</v>
      </c>
      <c r="IV761"/>
    </row>
    <row r="762" spans="167:256" s="11" customFormat="1" x14ac:dyDescent="0.25">
      <c r="FK762" s="1493"/>
      <c r="IN762" s="1646"/>
      <c r="IO762" s="11" t="s">
        <v>1308</v>
      </c>
      <c r="IV762"/>
    </row>
    <row r="763" spans="167:256" s="11" customFormat="1" x14ac:dyDescent="0.25">
      <c r="FK763" s="1493"/>
      <c r="IN763" s="280"/>
      <c r="IP763" s="745" t="s">
        <v>1632</v>
      </c>
      <c r="IV763"/>
    </row>
    <row r="764" spans="167:256" s="11" customFormat="1" x14ac:dyDescent="0.25">
      <c r="FK764" s="1493"/>
      <c r="IN764" s="280"/>
      <c r="IP764" s="745" t="s">
        <v>188</v>
      </c>
      <c r="IV764"/>
    </row>
    <row r="765" spans="167:256" s="11" customFormat="1" x14ac:dyDescent="0.25">
      <c r="FK765" s="1493"/>
      <c r="IN765" s="1646"/>
      <c r="IP765" s="1737">
        <v>2013</v>
      </c>
      <c r="IQ765" s="745" t="s">
        <v>700</v>
      </c>
      <c r="IT765" s="893" t="s">
        <v>186</v>
      </c>
      <c r="IU765" s="893"/>
      <c r="IV765"/>
    </row>
    <row r="766" spans="167:256" s="11" customFormat="1" x14ac:dyDescent="0.25">
      <c r="FK766" s="1493"/>
      <c r="IN766" s="1646"/>
      <c r="IO766" s="294"/>
      <c r="IP766" s="747" t="s">
        <v>1624</v>
      </c>
      <c r="IQ766" s="747" t="s">
        <v>184</v>
      </c>
      <c r="IR766" s="747" t="s">
        <v>185</v>
      </c>
      <c r="IT766" s="747" t="s">
        <v>1624</v>
      </c>
      <c r="IU766" s="1427" t="s">
        <v>187</v>
      </c>
      <c r="IV766"/>
    </row>
    <row r="767" spans="167:256" s="11" customFormat="1" x14ac:dyDescent="0.25">
      <c r="FK767" s="1493"/>
      <c r="IN767" s="280"/>
      <c r="IU767" s="419"/>
      <c r="IV767"/>
    </row>
    <row r="768" spans="167:256" s="11" customFormat="1" x14ac:dyDescent="0.25">
      <c r="FK768" s="1493"/>
      <c r="IN768" s="280"/>
      <c r="IO768" s="11" t="s">
        <v>1635</v>
      </c>
      <c r="IP768" s="388">
        <f>OHIO!H20</f>
        <v>83.5047</v>
      </c>
      <c r="IQ768" s="388">
        <f>OHIO!C18</f>
        <v>375</v>
      </c>
      <c r="IR768" s="899">
        <f>IP768/IQ768</f>
        <v>0.22267919999999999</v>
      </c>
      <c r="IT768" s="388">
        <v>55</v>
      </c>
      <c r="IU768" s="1739">
        <f>IP768/IT768-1</f>
        <v>0.5182672727272728</v>
      </c>
      <c r="IV768"/>
    </row>
    <row r="769" spans="167:256" s="11" customFormat="1" x14ac:dyDescent="0.25">
      <c r="FK769" s="1493"/>
      <c r="IN769" s="280"/>
      <c r="IR769" s="1738"/>
      <c r="IU769" s="1740"/>
      <c r="IV769"/>
    </row>
    <row r="770" spans="167:256" s="11" customFormat="1" x14ac:dyDescent="0.25">
      <c r="FK770" s="1493"/>
      <c r="IN770" s="280"/>
      <c r="IO770" s="11" t="s">
        <v>2055</v>
      </c>
      <c r="IP770" s="11">
        <f>OHIO!G20</f>
        <v>106.49559375</v>
      </c>
      <c r="IQ770" s="11">
        <f>OHIO!B18</f>
        <v>400</v>
      </c>
      <c r="IR770" s="899">
        <f>IP770/IQ770</f>
        <v>0.26623898437499999</v>
      </c>
      <c r="IT770" s="388">
        <v>90</v>
      </c>
      <c r="IU770" s="1739">
        <f>IP770/IT770-1</f>
        <v>0.18328437499999994</v>
      </c>
      <c r="IV770"/>
    </row>
    <row r="771" spans="167:256" s="11" customFormat="1" x14ac:dyDescent="0.25">
      <c r="FK771" s="1493"/>
      <c r="IN771" s="280"/>
      <c r="IU771" s="419"/>
      <c r="IV771"/>
    </row>
    <row r="772" spans="167:256" s="11" customFormat="1" x14ac:dyDescent="0.25">
      <c r="FK772" s="1493"/>
      <c r="IN772" s="280"/>
      <c r="IO772" s="906" t="s">
        <v>841</v>
      </c>
      <c r="IP772" s="909">
        <f>IP768+IP770</f>
        <v>190.00029375</v>
      </c>
      <c r="IQ772" s="909">
        <f>IQ768+IQ770</f>
        <v>775</v>
      </c>
      <c r="IR772" s="911">
        <f>IP772/IQ772</f>
        <v>0.24516166935483871</v>
      </c>
      <c r="IS772" s="907"/>
      <c r="IT772" s="909">
        <f>IT768+IT770</f>
        <v>145</v>
      </c>
      <c r="IU772" s="1614">
        <f>IP772/IT772-1</f>
        <v>0.31034685344827584</v>
      </c>
      <c r="IV772"/>
    </row>
  </sheetData>
  <mergeCells count="5">
    <mergeCell ref="E13:F13"/>
    <mergeCell ref="CC203:CE203"/>
    <mergeCell ref="Z33:AB33"/>
    <mergeCell ref="Z34:AB34"/>
    <mergeCell ref="W34:Y34"/>
  </mergeCells>
  <phoneticPr fontId="13" type="noConversion"/>
  <dataValidations disablePrompts="1" count="2">
    <dataValidation allowBlank="1" showInputMessage="1" errorTitle="DontRemoveTheErrorMessage" error="_173__FDSAUDITLINK__" prompt="Right-click to audit FactSet content" sqref="J123"/>
    <dataValidation allowBlank="1" showInputMessage="1" errorTitle="DontRemoveTheErrorMessage" error="_6__FDSAUDITLINK__" prompt="Right-click to audit FactSet content" sqref="J8"/>
  </dataValidations>
  <pageMargins left="0.75" right="0.75" top="1" bottom="1" header="0.5" footer="0.5"/>
  <pageSetup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O371"/>
  <sheetViews>
    <sheetView zoomScale="85" zoomScaleNormal="85" workbookViewId="0"/>
  </sheetViews>
  <sheetFormatPr defaultRowHeight="15.75" x14ac:dyDescent="0.25"/>
  <cols>
    <col min="3" max="3" width="23.5" customWidth="1"/>
    <col min="21" max="21" width="0.875" customWidth="1"/>
    <col min="23" max="23" width="24.375" customWidth="1"/>
    <col min="26" max="26" width="9.75" customWidth="1"/>
    <col min="32" max="32" width="9.125" bestFit="1" customWidth="1"/>
    <col min="34" max="34" width="1" customWidth="1"/>
    <col min="35" max="35" width="15.125" customWidth="1"/>
    <col min="58" max="58" width="1" customWidth="1"/>
    <col min="59" max="59" width="31.625" customWidth="1"/>
    <col min="60" max="60" width="2.125" customWidth="1"/>
    <col min="61" max="61" width="8.625" customWidth="1"/>
    <col min="62" max="62" width="0.875" customWidth="1"/>
    <col min="64" max="64" width="9.625" customWidth="1"/>
    <col min="65" max="65" width="2.125" customWidth="1"/>
    <col min="67" max="67" width="9.625" customWidth="1"/>
  </cols>
  <sheetData>
    <row r="1" spans="1:67" x14ac:dyDescent="0.25">
      <c r="A1" s="11" t="s">
        <v>1480</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row>
    <row r="2" spans="1:67" x14ac:dyDescent="0.25">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row>
    <row r="3" spans="1:67" x14ac:dyDescent="0.25">
      <c r="A3" s="11" t="s">
        <v>1481</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row>
    <row r="4" spans="1:67" x14ac:dyDescent="0.25">
      <c r="A4" s="11" t="s">
        <v>1105</v>
      </c>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row>
    <row r="5" spans="1:67" x14ac:dyDescent="0.25">
      <c r="A5" s="11" t="s">
        <v>1106</v>
      </c>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row>
    <row r="6" spans="1:67" x14ac:dyDescent="0.25">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row>
    <row r="7" spans="1:67" x14ac:dyDescent="0.25">
      <c r="A7" s="11"/>
      <c r="B7" s="11"/>
      <c r="C7" s="11"/>
      <c r="D7" s="11" t="s">
        <v>2010</v>
      </c>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row>
    <row r="8" spans="1:67" x14ac:dyDescent="0.25">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row>
    <row r="9" spans="1:67" x14ac:dyDescent="0.25">
      <c r="A9" s="11"/>
      <c r="B9" s="11"/>
      <c r="C9" s="11"/>
      <c r="D9" s="1451">
        <v>2007</v>
      </c>
      <c r="E9" s="1451">
        <v>2008</v>
      </c>
      <c r="F9" s="1451">
        <v>2009</v>
      </c>
      <c r="G9" s="1451">
        <v>2010</v>
      </c>
      <c r="H9" s="1451"/>
      <c r="I9" s="145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row>
    <row r="10" spans="1:67" x14ac:dyDescent="0.25">
      <c r="A10" s="11"/>
      <c r="B10" s="11"/>
      <c r="C10" s="11"/>
      <c r="D10" s="1451"/>
      <c r="E10" s="1451"/>
      <c r="F10" s="1451"/>
      <c r="G10" s="1451"/>
      <c r="H10" s="1451"/>
      <c r="I10" s="145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row>
    <row r="11" spans="1:67" x14ac:dyDescent="0.25">
      <c r="A11" s="11"/>
      <c r="B11" s="11"/>
      <c r="C11" s="11" t="s">
        <v>1107</v>
      </c>
      <c r="D11" s="10">
        <f>PENN!V314</f>
        <v>727.36700000000008</v>
      </c>
      <c r="E11" s="11">
        <f>PENN!AA314</f>
        <v>689.16</v>
      </c>
      <c r="F11" s="11">
        <f>PENN!AF314</f>
        <v>649.8950000000001</v>
      </c>
      <c r="G11" s="11">
        <f>PENN!AK314</f>
        <v>684.04199999999992</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row>
    <row r="12" spans="1:67" x14ac:dyDescent="0.25">
      <c r="A12" s="11"/>
      <c r="B12" s="11"/>
      <c r="C12" s="11" t="s">
        <v>1109</v>
      </c>
      <c r="D12" s="11">
        <f>PENN!V267</f>
        <v>-6.5380000000000003</v>
      </c>
      <c r="E12" s="11">
        <f>PENN!AA267</f>
        <v>34.370999999999995</v>
      </c>
      <c r="F12" s="11">
        <f>PENN!AF267</f>
        <v>50.828000000000003</v>
      </c>
      <c r="G12" s="11">
        <f>PENN!AK267</f>
        <v>69.527000000000001</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row>
    <row r="13" spans="1:67" x14ac:dyDescent="0.25">
      <c r="A13" s="11"/>
      <c r="B13" s="11"/>
      <c r="C13" s="11" t="s">
        <v>1108</v>
      </c>
      <c r="D13" s="11">
        <f>PENN!V294</f>
        <v>50.674999999999997</v>
      </c>
      <c r="E13" s="11">
        <f>PENN!AA294</f>
        <v>41.094000000000001</v>
      </c>
      <c r="F13" s="11">
        <f>PENN!AF294</f>
        <v>23.717000000000002</v>
      </c>
      <c r="G13" s="11">
        <f>PENN!AK294</f>
        <v>33.118999999999993</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row>
    <row r="14" spans="1:67" x14ac:dyDescent="0.25">
      <c r="A14" s="11"/>
      <c r="B14" s="11"/>
      <c r="C14" s="11" t="s">
        <v>1110</v>
      </c>
      <c r="D14" s="11"/>
      <c r="E14" s="11"/>
      <c r="F14" s="11"/>
      <c r="G14" s="1452">
        <f>PENN!AK334*(1-PENN!AI349)-14</f>
        <v>23.815432850000008</v>
      </c>
      <c r="H14" s="1452"/>
      <c r="I14" s="1452"/>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row>
    <row r="15" spans="1:67" x14ac:dyDescent="0.25">
      <c r="A15" s="11"/>
      <c r="B15" s="11"/>
      <c r="C15" s="10" t="s">
        <v>1111</v>
      </c>
      <c r="D15" s="11">
        <f>D11-D12-D13-D14</f>
        <v>683.23000000000013</v>
      </c>
      <c r="E15" s="11">
        <f>E11-E12-E13-E14</f>
        <v>613.69499999999994</v>
      </c>
      <c r="F15" s="11">
        <f>F11-F12-F13-F14</f>
        <v>575.35000000000014</v>
      </c>
      <c r="G15" s="11">
        <f>G11-G12-G13-G14</f>
        <v>557.58056714999987</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row>
    <row r="16" spans="1:67" x14ac:dyDescent="0.25">
      <c r="A16" s="11"/>
      <c r="B16" s="11"/>
      <c r="C16" s="11"/>
      <c r="D16" s="11"/>
      <c r="E16" s="280">
        <f>E15/$D$15-1</f>
        <v>-0.10177392678892927</v>
      </c>
      <c r="F16" s="280">
        <f>F15/$D$15-1</f>
        <v>-0.15789704784625969</v>
      </c>
      <c r="G16" s="280">
        <f>G15/$D$15-1</f>
        <v>-0.1839050288336288</v>
      </c>
      <c r="H16" s="280"/>
      <c r="I16" s="280"/>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row>
    <row r="17" spans="1:67" x14ac:dyDescent="0.25">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row>
    <row r="18" spans="1:67" x14ac:dyDescent="0.25">
      <c r="A18" s="11"/>
      <c r="B18" s="11"/>
      <c r="C18" s="11"/>
      <c r="D18" s="11"/>
      <c r="E18" s="11"/>
      <c r="F18" s="11"/>
      <c r="G18" s="11"/>
      <c r="H18" s="11"/>
      <c r="I18" s="359" t="s">
        <v>915</v>
      </c>
      <c r="J18" s="359"/>
      <c r="K18" s="11"/>
      <c r="L18" s="11"/>
      <c r="M18" s="11"/>
      <c r="N18" s="11"/>
      <c r="O18" s="11"/>
      <c r="P18" s="11"/>
      <c r="Q18" s="11"/>
      <c r="R18" s="11"/>
      <c r="S18" s="11"/>
      <c r="T18" s="11"/>
      <c r="U18" s="11"/>
      <c r="V18" s="11"/>
      <c r="W18" s="11"/>
      <c r="X18" s="280"/>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row>
    <row r="19" spans="1:67" x14ac:dyDescent="0.25">
      <c r="A19" s="11"/>
      <c r="B19" s="11"/>
      <c r="C19" s="11"/>
      <c r="D19" s="11"/>
      <c r="E19" s="11"/>
      <c r="F19" s="11"/>
      <c r="G19" s="11"/>
      <c r="H19" s="11"/>
      <c r="I19" s="11"/>
      <c r="J19" s="359"/>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row>
    <row r="20" spans="1:67" x14ac:dyDescent="0.25">
      <c r="A20" s="11"/>
      <c r="B20" s="11"/>
      <c r="C20" s="11"/>
      <c r="D20" s="11"/>
      <c r="E20" s="11"/>
      <c r="F20" s="11"/>
      <c r="G20" s="11"/>
      <c r="H20" s="11"/>
      <c r="I20" s="11"/>
      <c r="J20" s="745" t="str">
        <f>+PENN!AB6</f>
        <v>1Q09</v>
      </c>
      <c r="K20" s="745" t="str">
        <f>+PENN!AC6</f>
        <v>2Q09</v>
      </c>
      <c r="L20" s="745" t="str">
        <f>+PENN!AD6</f>
        <v>3Q09</v>
      </c>
      <c r="M20" s="745" t="str">
        <f>+PENN!AE6</f>
        <v>4Q09</v>
      </c>
      <c r="N20" s="745" t="str">
        <f>+PENN!AG6</f>
        <v>1Q10</v>
      </c>
      <c r="O20" s="745" t="str">
        <f>+PENN!AH6</f>
        <v>2Q10</v>
      </c>
      <c r="P20" s="745" t="str">
        <f>+PENN!AI6</f>
        <v>3Q10</v>
      </c>
      <c r="Q20" s="745" t="str">
        <f>+PENN!AJ6</f>
        <v>4Q10</v>
      </c>
      <c r="R20" s="745" t="s">
        <v>2115</v>
      </c>
      <c r="S20" s="745" t="s">
        <v>2116</v>
      </c>
      <c r="T20" s="745" t="s">
        <v>2117</v>
      </c>
      <c r="U20" s="745"/>
      <c r="V20" s="745"/>
      <c r="W20" s="745"/>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row>
    <row r="21" spans="1:67" x14ac:dyDescent="0.25">
      <c r="A21" s="11"/>
      <c r="B21" s="11"/>
      <c r="C21" s="11"/>
      <c r="D21" s="11"/>
      <c r="E21" s="11"/>
      <c r="F21" s="11"/>
      <c r="G21" s="11"/>
      <c r="H21" s="11"/>
      <c r="I21" s="11" t="s">
        <v>1694</v>
      </c>
      <c r="J21" s="364">
        <f>J25+PENN!AB334+PENN!AB396</f>
        <v>612.226</v>
      </c>
      <c r="K21" s="364">
        <f>K25+PENN!AC334+PENN!AC396</f>
        <v>577.17700000000002</v>
      </c>
      <c r="L21" s="364">
        <f>L25+PENN!AD334+PENN!AD396</f>
        <v>620.42600000000016</v>
      </c>
      <c r="M21" s="364">
        <f>M25+PENN!AE334+PENN!AE396</f>
        <v>555.80600000000004</v>
      </c>
      <c r="N21" s="364">
        <f>N25+PENN!AG334+PENN!AG396</f>
        <v>592.32299999999998</v>
      </c>
      <c r="O21" s="364">
        <f>O25+PENN!AH334+PENN!AH396</f>
        <v>563.90299999999979</v>
      </c>
      <c r="P21" s="364">
        <f>P25+PENN!AI334+PENN!AI396</f>
        <v>635.90099999999995</v>
      </c>
      <c r="Q21" s="364">
        <f>Q25+PENN!AJ334+PENN!AJ396</f>
        <v>599.65700000000004</v>
      </c>
      <c r="R21" s="364">
        <f>R25+PENN!AL334+PENN!AL396</f>
        <v>635.44900000000007</v>
      </c>
      <c r="S21" s="364">
        <f>S25+PENN!AM334+PENN!AM396</f>
        <v>656.42199999999991</v>
      </c>
      <c r="T21" s="364">
        <f>T25+PENN!AN334+PENN!AN396</f>
        <v>679.88820947999989</v>
      </c>
      <c r="U21" s="364"/>
      <c r="V21" s="364"/>
      <c r="W21" s="364"/>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row>
    <row r="22" spans="1:67" x14ac:dyDescent="0.25">
      <c r="A22" s="11"/>
      <c r="B22" s="11"/>
      <c r="C22" s="11"/>
      <c r="D22" s="11"/>
      <c r="E22" s="11"/>
      <c r="F22" s="11"/>
      <c r="G22" s="11"/>
      <c r="H22" s="11"/>
      <c r="I22" s="11"/>
      <c r="J22" s="745"/>
      <c r="K22" s="745"/>
      <c r="L22" s="745"/>
      <c r="M22" s="745"/>
      <c r="N22" s="280">
        <f>+N21/J21-1</f>
        <v>-3.2509236785108753E-2</v>
      </c>
      <c r="O22" s="280">
        <f>+O21/K21-1</f>
        <v>-2.2998144416704447E-2</v>
      </c>
      <c r="P22" s="280">
        <f>+P21/L21-1</f>
        <v>2.4942539480937054E-2</v>
      </c>
      <c r="Q22" s="280">
        <f>+Q21/M21-1</f>
        <v>7.8896233577903097E-2</v>
      </c>
      <c r="R22" s="280">
        <f>+R21/N21-1</f>
        <v>7.2808248202416825E-2</v>
      </c>
      <c r="S22" s="1476"/>
      <c r="T22" s="1476"/>
      <c r="U22" s="280"/>
      <c r="V22" s="280"/>
      <c r="W22" s="280"/>
      <c r="X22" s="280"/>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row>
    <row r="23" spans="1:67" x14ac:dyDescent="0.25">
      <c r="A23" s="11"/>
      <c r="B23" s="11"/>
      <c r="C23" s="11"/>
      <c r="D23" s="11"/>
      <c r="E23" s="11"/>
      <c r="F23" s="11"/>
      <c r="G23" s="11"/>
      <c r="H23" s="11"/>
      <c r="I23" s="11"/>
      <c r="J23" s="745"/>
      <c r="K23" s="745"/>
      <c r="L23" s="745"/>
      <c r="M23" s="745" t="s">
        <v>1696</v>
      </c>
      <c r="N23" s="280">
        <f>N22-N26</f>
        <v>0</v>
      </c>
      <c r="O23" s="280">
        <f>O22-O26</f>
        <v>0</v>
      </c>
      <c r="P23" s="280">
        <f>P22-P26</f>
        <v>5.1647338683420974E-2</v>
      </c>
      <c r="Q23" s="280">
        <f>Q22-Q26</f>
        <v>7.409284241264058E-2</v>
      </c>
      <c r="R23" s="280">
        <f>R22-R26</f>
        <v>7.400168489152037E-2</v>
      </c>
      <c r="S23" s="1476"/>
      <c r="T23" s="1476"/>
      <c r="U23" s="280"/>
      <c r="V23" s="280"/>
      <c r="W23" s="280"/>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row>
    <row r="24" spans="1:67" x14ac:dyDescent="0.25">
      <c r="A24" s="11"/>
      <c r="B24" s="11"/>
      <c r="C24" s="11"/>
      <c r="D24" s="11"/>
      <c r="E24" s="11"/>
      <c r="F24" s="11"/>
      <c r="G24" s="11"/>
      <c r="H24" s="11"/>
      <c r="I24" s="11"/>
      <c r="J24" s="745"/>
      <c r="K24" s="745"/>
      <c r="L24" s="745"/>
      <c r="M24" s="745"/>
      <c r="N24" s="745"/>
      <c r="O24" s="745"/>
      <c r="P24" s="745"/>
      <c r="Q24" s="745"/>
      <c r="R24" s="745"/>
      <c r="S24" s="1498"/>
      <c r="T24" s="1498"/>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row>
    <row r="25" spans="1:67" x14ac:dyDescent="0.25">
      <c r="A25" s="11"/>
      <c r="B25" s="11"/>
      <c r="C25" s="11"/>
      <c r="D25" s="11"/>
      <c r="E25" s="11"/>
      <c r="F25" s="11"/>
      <c r="G25" s="11"/>
      <c r="H25" s="11"/>
      <c r="I25" s="11" t="s">
        <v>112</v>
      </c>
      <c r="J25" s="454">
        <f>PENN!AB258-PENN!AB334-PENN!AB396-PENN!AB591-PENN!AB1104</f>
        <v>612.226</v>
      </c>
      <c r="K25" s="454">
        <f>PENN!AC258-PENN!AC334-PENN!AC396-PENN!AC591-PENN!AC1104-PENN!AC827</f>
        <v>577.17700000000002</v>
      </c>
      <c r="L25" s="454">
        <f>PENN!AD258-PENN!AD334-PENN!AD396-PENN!AD591-PENN!AD1104</f>
        <v>620.42600000000016</v>
      </c>
      <c r="M25" s="454">
        <f>PENN!AE258-PENN!AE334-PENN!AE396-PENN!AE591-PENN!AE1104</f>
        <v>555.80600000000004</v>
      </c>
      <c r="N25" s="454">
        <f>PENN!AG258-PENN!AG334-PENN!AG396-PENN!AG591-PENN!AG1104</f>
        <v>592.32299999999998</v>
      </c>
      <c r="O25" s="454">
        <f>PENN!AH258-PENN!AH334-PENN!AH396-PENN!AH591-PENN!AH1104-PENN!AH827</f>
        <v>563.90299999999979</v>
      </c>
      <c r="P25" s="454">
        <f>PENN!AI258-PENN!AI334-PENN!AI396-PENN!AI591-PENN!AI1104</f>
        <v>603.8576482499999</v>
      </c>
      <c r="Q25" s="454">
        <f>PENN!AJ258-PENN!AJ334-PENN!AJ396-PENN!AJ591-PENN!AJ1104</f>
        <v>558.47575362999999</v>
      </c>
      <c r="R25" s="454">
        <f>PENN!AL258-PENN!AL334-PENN!AL396-PENN!AL591-PENN!AL1104</f>
        <v>591.61610000000007</v>
      </c>
      <c r="S25" s="454">
        <f>PENN!AM258-PENN!AM334-PENN!AM396-PENN!AM591-PENN!AM1104</f>
        <v>608.1460658499999</v>
      </c>
      <c r="T25" s="454">
        <f>PENN!AN258-PENN!AN334-PENN!AN396-PENN!AN591-PENN!AN1104</f>
        <v>631.45734680999988</v>
      </c>
      <c r="U25" s="454"/>
      <c r="V25" s="454"/>
      <c r="W25" s="454"/>
      <c r="X25" s="423"/>
      <c r="Y25" s="423"/>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row>
    <row r="26" spans="1:67" x14ac:dyDescent="0.25">
      <c r="A26" s="11"/>
      <c r="B26" s="11"/>
      <c r="C26" s="11"/>
      <c r="D26" s="11"/>
      <c r="E26" s="11"/>
      <c r="F26" s="11"/>
      <c r="G26" s="11"/>
      <c r="H26" s="11"/>
      <c r="I26" s="11"/>
      <c r="J26" s="11"/>
      <c r="K26" s="11"/>
      <c r="L26" s="11"/>
      <c r="M26" s="11"/>
      <c r="N26" s="280">
        <f>+N25/J25-1</f>
        <v>-3.2509236785108753E-2</v>
      </c>
      <c r="O26" s="280">
        <f>+O25/K25-1</f>
        <v>-2.2998144416704447E-2</v>
      </c>
      <c r="P26" s="1035">
        <f>+P25/L25-1</f>
        <v>-2.670479920248392E-2</v>
      </c>
      <c r="Q26" s="280">
        <f>+Q25/M25-1</f>
        <v>4.8033911652625161E-3</v>
      </c>
      <c r="R26" s="280">
        <f>+R25/N25-1</f>
        <v>-1.1934366891035442E-3</v>
      </c>
      <c r="S26" s="1476"/>
      <c r="T26" s="1476"/>
      <c r="U26" s="280"/>
      <c r="V26" s="280"/>
      <c r="W26" s="280"/>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row>
    <row r="27" spans="1:67" x14ac:dyDescent="0.25">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row>
    <row r="28" spans="1:67" x14ac:dyDescent="0.25">
      <c r="A28" s="11"/>
      <c r="B28" s="11"/>
      <c r="C28" s="11"/>
      <c r="D28" s="11"/>
      <c r="E28" s="11"/>
      <c r="F28" s="11"/>
      <c r="G28" s="11"/>
      <c r="H28" s="11"/>
      <c r="I28" s="416" t="s">
        <v>916</v>
      </c>
      <c r="J28" s="416"/>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row>
    <row r="29" spans="1:67" x14ac:dyDescent="0.25">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row>
    <row r="30" spans="1:67" x14ac:dyDescent="0.25">
      <c r="A30" s="11"/>
      <c r="B30" s="11"/>
      <c r="C30" s="11"/>
      <c r="D30" s="11"/>
      <c r="E30" s="11"/>
      <c r="F30" s="11"/>
      <c r="G30" s="11"/>
      <c r="H30" s="11"/>
      <c r="I30" s="11"/>
      <c r="J30" s="11"/>
      <c r="K30" s="11"/>
      <c r="L30" s="11"/>
      <c r="M30" s="423"/>
      <c r="N30" s="423"/>
      <c r="O30" s="423"/>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row>
    <row r="31" spans="1:67" x14ac:dyDescent="0.25">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row>
    <row r="32" spans="1:67" x14ac:dyDescent="0.25">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row>
    <row r="33" spans="1:67" x14ac:dyDescent="0.25">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row>
    <row r="34" spans="1:67" x14ac:dyDescent="0.25">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row>
    <row r="35" spans="1:67" x14ac:dyDescent="0.25">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row>
    <row r="36" spans="1:67" x14ac:dyDescent="0.25">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row>
    <row r="37" spans="1:67" x14ac:dyDescent="0.25">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row>
    <row r="38" spans="1:67" x14ac:dyDescent="0.25">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row>
    <row r="39" spans="1:67" x14ac:dyDescent="0.25">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row>
    <row r="40" spans="1:67" x14ac:dyDescent="0.25">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row>
    <row r="41" spans="1:67" x14ac:dyDescent="0.25">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row>
    <row r="42" spans="1:67" x14ac:dyDescent="0.25">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row>
    <row r="43" spans="1:67" x14ac:dyDescent="0.25">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row>
    <row r="44" spans="1:67" x14ac:dyDescent="0.25">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row>
    <row r="45" spans="1:67" x14ac:dyDescent="0.25">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row>
    <row r="46" spans="1:67" x14ac:dyDescent="0.25">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row>
    <row r="47" spans="1:67" x14ac:dyDescent="0.25">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row>
    <row r="48" spans="1:67" x14ac:dyDescent="0.25">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row>
    <row r="49" spans="1:67" x14ac:dyDescent="0.25">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row>
    <row r="50" spans="1:67" x14ac:dyDescent="0.25">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row>
    <row r="51" spans="1:67" x14ac:dyDescent="0.25">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row>
    <row r="52" spans="1:67" x14ac:dyDescent="0.25">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row>
    <row r="53" spans="1:67" x14ac:dyDescent="0.25">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row>
    <row r="54" spans="1:67" x14ac:dyDescent="0.25">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row>
    <row r="55" spans="1:67" x14ac:dyDescent="0.25">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row>
    <row r="56" spans="1:67" x14ac:dyDescent="0.25">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row>
    <row r="57" spans="1:67" x14ac:dyDescent="0.25">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row>
    <row r="58" spans="1:67" x14ac:dyDescent="0.25">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row>
    <row r="59" spans="1:67" x14ac:dyDescent="0.25">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row>
    <row r="60" spans="1:67" x14ac:dyDescent="0.25">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row>
    <row r="61" spans="1:67" x14ac:dyDescent="0.25">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row>
    <row r="62" spans="1:67" x14ac:dyDescent="0.25">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row>
    <row r="63" spans="1:67" x14ac:dyDescent="0.25">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row>
    <row r="64" spans="1:67" x14ac:dyDescent="0.25">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row>
    <row r="65" spans="1:67" x14ac:dyDescent="0.25">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row>
    <row r="66" spans="1:67" x14ac:dyDescent="0.25">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row>
    <row r="67" spans="1:67" x14ac:dyDescent="0.25">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row>
    <row r="68" spans="1:67" x14ac:dyDescent="0.25">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row>
    <row r="69" spans="1:67" x14ac:dyDescent="0.25">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row>
    <row r="70" spans="1:67" x14ac:dyDescent="0.25">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row>
    <row r="71" spans="1:67" x14ac:dyDescent="0.25">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row>
    <row r="72" spans="1:67" x14ac:dyDescent="0.25">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row>
    <row r="73" spans="1:67"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row>
    <row r="74" spans="1:67" x14ac:dyDescent="0.25">
      <c r="A74" s="11"/>
      <c r="B74" s="11"/>
      <c r="C74" s="11"/>
      <c r="D74" s="11"/>
      <c r="E74" s="11"/>
      <c r="F74" s="11"/>
      <c r="G74" s="11"/>
      <c r="H74" s="11"/>
      <c r="I74" s="11"/>
      <c r="J74" s="11"/>
      <c r="K74" s="11"/>
      <c r="L74" s="11"/>
      <c r="M74" s="11"/>
      <c r="N74" s="11"/>
      <c r="O74" s="11"/>
      <c r="P74" s="11"/>
      <c r="Q74" s="11"/>
      <c r="R74" s="11"/>
      <c r="S74" s="11"/>
      <c r="T74" s="11"/>
      <c r="U74" s="11"/>
      <c r="V74" s="359" t="s">
        <v>113</v>
      </c>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row>
    <row r="75" spans="1:67" x14ac:dyDescent="0.25">
      <c r="A75" s="11"/>
      <c r="B75" s="11"/>
      <c r="C75" s="11"/>
      <c r="D75" s="11"/>
      <c r="E75" s="11"/>
      <c r="F75" s="11"/>
      <c r="G75" s="11"/>
      <c r="H75" s="11"/>
      <c r="I75" s="11"/>
      <c r="J75" s="11"/>
      <c r="K75" s="11"/>
      <c r="L75" s="11"/>
      <c r="M75" s="11"/>
      <c r="N75" s="11"/>
      <c r="O75" s="11"/>
      <c r="P75" s="11"/>
      <c r="Q75" s="11"/>
      <c r="R75" s="11"/>
      <c r="S75" s="11"/>
      <c r="T75" s="11"/>
      <c r="U75" s="11"/>
      <c r="V75" s="10"/>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row>
    <row r="76" spans="1:67" x14ac:dyDescent="0.25">
      <c r="A76" s="11"/>
      <c r="B76" s="11"/>
      <c r="C76" s="11"/>
      <c r="D76" s="11"/>
      <c r="E76" s="11"/>
      <c r="F76" s="11"/>
      <c r="G76" s="11"/>
      <c r="H76" s="11"/>
      <c r="I76" s="11"/>
      <c r="J76" s="11"/>
      <c r="K76" s="11"/>
      <c r="L76" s="11"/>
      <c r="M76" s="11"/>
      <c r="N76" s="11"/>
      <c r="O76" s="11"/>
      <c r="P76" s="11"/>
      <c r="Q76" s="11"/>
      <c r="R76" s="11"/>
      <c r="S76" s="11"/>
      <c r="T76" s="11"/>
      <c r="U76" s="11"/>
      <c r="V76" s="10"/>
      <c r="W76" s="989"/>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row>
    <row r="77" spans="1:67" x14ac:dyDescent="0.25">
      <c r="A77" s="11"/>
      <c r="B77" s="11"/>
      <c r="C77" s="11"/>
      <c r="D77" s="11"/>
      <c r="E77" s="11"/>
      <c r="F77" s="11"/>
      <c r="G77" s="11"/>
      <c r="H77" s="11"/>
      <c r="I77" s="11"/>
      <c r="J77" s="11"/>
      <c r="K77" s="11"/>
      <c r="L77" s="11"/>
      <c r="M77" s="11"/>
      <c r="N77" s="11"/>
      <c r="O77" s="11"/>
      <c r="P77" s="11"/>
      <c r="Q77" s="11"/>
      <c r="R77" s="11"/>
      <c r="S77" s="11"/>
      <c r="T77" s="11"/>
      <c r="U77" s="11"/>
      <c r="V77" s="10"/>
      <c r="W77" s="10" t="s">
        <v>967</v>
      </c>
      <c r="X77" s="321"/>
      <c r="Y77" s="283"/>
      <c r="Z77" s="283"/>
      <c r="AA77" s="283"/>
      <c r="AB77" s="283"/>
      <c r="AC77" s="283"/>
      <c r="AD77" s="1510" t="s">
        <v>171</v>
      </c>
      <c r="AE77" s="1510"/>
      <c r="AF77" s="15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row>
    <row r="78" spans="1:67" x14ac:dyDescent="0.25">
      <c r="A78" s="11"/>
      <c r="B78" s="11"/>
      <c r="C78" s="11"/>
      <c r="D78" s="11"/>
      <c r="E78" s="11"/>
      <c r="F78" s="11"/>
      <c r="G78" s="11"/>
      <c r="H78" s="11"/>
      <c r="I78" s="11"/>
      <c r="J78" s="11"/>
      <c r="K78" s="11"/>
      <c r="L78" s="11"/>
      <c r="M78" s="11"/>
      <c r="N78" s="11"/>
      <c r="O78" s="11"/>
      <c r="P78" s="11"/>
      <c r="Q78" s="11"/>
      <c r="R78" s="11"/>
      <c r="S78" s="11"/>
      <c r="T78" s="11"/>
      <c r="U78" s="11"/>
      <c r="V78" s="10"/>
      <c r="W78" s="10"/>
      <c r="X78" s="285"/>
      <c r="Y78" s="281"/>
      <c r="Z78" s="281"/>
      <c r="AA78" s="281"/>
      <c r="AB78" s="281"/>
      <c r="AC78" s="281"/>
      <c r="AD78" s="1502" t="s">
        <v>172</v>
      </c>
      <c r="AE78" s="1502"/>
      <c r="AF78" s="1503"/>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row>
    <row r="79" spans="1:67" x14ac:dyDescent="0.25">
      <c r="A79" s="11"/>
      <c r="B79" s="11"/>
      <c r="C79" s="11"/>
      <c r="D79" s="11"/>
      <c r="E79" s="11"/>
      <c r="F79" s="11"/>
      <c r="G79" s="11"/>
      <c r="H79" s="11"/>
      <c r="I79" s="11"/>
      <c r="J79" s="11"/>
      <c r="K79" s="11"/>
      <c r="L79" s="11"/>
      <c r="M79" s="11"/>
      <c r="N79" s="11"/>
      <c r="O79" s="11"/>
      <c r="P79" s="11"/>
      <c r="Q79" s="11"/>
      <c r="R79" s="11"/>
      <c r="S79" s="11"/>
      <c r="T79" s="11"/>
      <c r="U79" s="11"/>
      <c r="V79" s="10"/>
      <c r="W79" s="10"/>
      <c r="X79" s="285"/>
      <c r="Y79" s="281"/>
      <c r="Z79" s="281"/>
      <c r="AA79" s="281"/>
      <c r="AB79" s="281"/>
      <c r="AC79" s="281"/>
      <c r="AD79" s="281"/>
      <c r="AE79" s="281"/>
      <c r="AF79" s="1489" t="s">
        <v>2008</v>
      </c>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row>
    <row r="80" spans="1:67" x14ac:dyDescent="0.25">
      <c r="A80" s="11"/>
      <c r="B80" s="11"/>
      <c r="C80" s="11"/>
      <c r="D80" s="11"/>
      <c r="E80" s="11"/>
      <c r="F80" s="11"/>
      <c r="G80" s="11"/>
      <c r="H80" s="11"/>
      <c r="I80" s="11"/>
      <c r="J80" s="11"/>
      <c r="K80" s="11"/>
      <c r="L80" s="11"/>
      <c r="M80" s="11"/>
      <c r="N80" s="11"/>
      <c r="O80" s="11"/>
      <c r="P80" s="11"/>
      <c r="Q80" s="11"/>
      <c r="R80" s="11"/>
      <c r="S80" s="11"/>
      <c r="T80" s="11"/>
      <c r="U80" s="11"/>
      <c r="V80" s="10"/>
      <c r="W80" s="10"/>
      <c r="X80" s="285"/>
      <c r="Y80" s="281"/>
      <c r="Z80" s="281"/>
      <c r="AA80" s="281"/>
      <c r="AB80" s="281"/>
      <c r="AC80" s="281"/>
      <c r="AD80" s="281"/>
      <c r="AE80" s="281"/>
      <c r="AF80" s="1489" t="s">
        <v>1233</v>
      </c>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row>
    <row r="81" spans="1:67" x14ac:dyDescent="0.25">
      <c r="A81" s="11"/>
      <c r="B81" s="11"/>
      <c r="C81" s="11"/>
      <c r="D81" s="11"/>
      <c r="E81" s="11"/>
      <c r="F81" s="11"/>
      <c r="G81" s="11"/>
      <c r="H81" s="11"/>
      <c r="I81" s="11"/>
      <c r="J81" s="11"/>
      <c r="K81" s="11"/>
      <c r="L81" s="11"/>
      <c r="M81" s="11"/>
      <c r="N81" s="11"/>
      <c r="O81" s="11"/>
      <c r="P81" s="11"/>
      <c r="Q81" s="11"/>
      <c r="R81" s="11"/>
      <c r="S81" s="11"/>
      <c r="T81" s="11"/>
      <c r="U81" s="11"/>
      <c r="V81" s="10"/>
      <c r="W81" s="10"/>
      <c r="X81" s="285"/>
      <c r="Y81" s="281"/>
      <c r="Z81" s="281"/>
      <c r="AA81" s="281"/>
      <c r="AB81" s="281"/>
      <c r="AC81" s="281"/>
      <c r="AD81" s="281"/>
      <c r="AE81" s="281"/>
      <c r="AF81" s="1489" t="s">
        <v>1236</v>
      </c>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row>
    <row r="82" spans="1:67" x14ac:dyDescent="0.25">
      <c r="A82" s="11"/>
      <c r="B82" s="11"/>
      <c r="C82" s="11"/>
      <c r="D82" s="11"/>
      <c r="E82" s="11"/>
      <c r="F82" s="11"/>
      <c r="G82" s="11"/>
      <c r="H82" s="11"/>
      <c r="I82" s="11"/>
      <c r="J82" s="11"/>
      <c r="K82" s="11"/>
      <c r="L82" s="11"/>
      <c r="M82" s="11"/>
      <c r="N82" s="11"/>
      <c r="O82" s="11"/>
      <c r="P82" s="11"/>
      <c r="Q82" s="11"/>
      <c r="R82" s="11"/>
      <c r="S82" s="11"/>
      <c r="T82" s="11"/>
      <c r="U82" s="11"/>
      <c r="V82" s="10"/>
      <c r="W82" s="10"/>
      <c r="X82" s="285"/>
      <c r="Y82" s="281"/>
      <c r="Z82" s="281"/>
      <c r="AA82" s="281"/>
      <c r="AB82" s="281"/>
      <c r="AC82" s="281"/>
      <c r="AD82" s="281"/>
      <c r="AE82" s="281"/>
      <c r="AF82" s="1489" t="s">
        <v>1234</v>
      </c>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row>
    <row r="83" spans="1:67" x14ac:dyDescent="0.25">
      <c r="A83" s="11"/>
      <c r="B83" s="11"/>
      <c r="C83" s="11"/>
      <c r="D83" s="11"/>
      <c r="E83" s="11"/>
      <c r="F83" s="11"/>
      <c r="G83" s="11"/>
      <c r="H83" s="11"/>
      <c r="I83" s="11"/>
      <c r="J83" s="11"/>
      <c r="K83" s="11"/>
      <c r="L83" s="11"/>
      <c r="M83" s="11"/>
      <c r="N83" s="11"/>
      <c r="O83" s="11"/>
      <c r="P83" s="11"/>
      <c r="Q83" s="11"/>
      <c r="R83" s="11"/>
      <c r="S83" s="11"/>
      <c r="T83" s="11"/>
      <c r="U83" s="11"/>
      <c r="V83" s="10"/>
      <c r="W83" s="10"/>
      <c r="X83" s="285"/>
      <c r="Y83" s="281"/>
      <c r="Z83" s="281"/>
      <c r="AA83" s="281"/>
      <c r="AB83" s="281"/>
      <c r="AC83" s="281"/>
      <c r="AD83" s="281"/>
      <c r="AE83" s="281"/>
      <c r="AF83" s="1489" t="s">
        <v>102</v>
      </c>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row>
    <row r="84" spans="1:67" x14ac:dyDescent="0.25">
      <c r="A84" s="11"/>
      <c r="B84" s="11"/>
      <c r="C84" s="11"/>
      <c r="D84" s="11"/>
      <c r="E84" s="11"/>
      <c r="F84" s="11"/>
      <c r="G84" s="11"/>
      <c r="H84" s="11"/>
      <c r="I84" s="11"/>
      <c r="J84" s="11"/>
      <c r="K84" s="11"/>
      <c r="L84" s="11"/>
      <c r="M84" s="11"/>
      <c r="N84" s="11"/>
      <c r="O84" s="11"/>
      <c r="P84" s="11"/>
      <c r="Q84" s="11"/>
      <c r="R84" s="11"/>
      <c r="S84" s="11"/>
      <c r="T84" s="11"/>
      <c r="U84" s="11"/>
      <c r="V84" s="10"/>
      <c r="W84" s="10"/>
      <c r="X84" s="293"/>
      <c r="Y84" s="294"/>
      <c r="Z84" s="294"/>
      <c r="AA84" s="294"/>
      <c r="AB84" s="294"/>
      <c r="AC84" s="294"/>
      <c r="AD84" s="294"/>
      <c r="AE84" s="294"/>
      <c r="AF84" s="1509" t="s">
        <v>1584</v>
      </c>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row>
    <row r="85" spans="1:67" x14ac:dyDescent="0.25">
      <c r="A85" s="11"/>
      <c r="B85" s="11"/>
      <c r="C85" s="11"/>
      <c r="D85" s="11"/>
      <c r="E85" s="11"/>
      <c r="F85" s="11"/>
      <c r="G85" s="11"/>
      <c r="H85" s="11"/>
      <c r="I85" s="11"/>
      <c r="J85" s="11"/>
      <c r="K85" s="11"/>
      <c r="L85" s="11"/>
      <c r="M85" s="11"/>
      <c r="N85" s="11"/>
      <c r="O85" s="11"/>
      <c r="P85" s="11"/>
      <c r="Q85" s="11"/>
      <c r="R85" s="11"/>
      <c r="S85" s="11"/>
      <c r="T85" s="11"/>
      <c r="U85" s="11"/>
      <c r="V85" s="10"/>
      <c r="W85" s="10"/>
      <c r="X85" s="294"/>
      <c r="Y85" s="294"/>
      <c r="Z85" s="294"/>
      <c r="AA85" s="294"/>
      <c r="AB85" s="294"/>
      <c r="AC85" s="294"/>
      <c r="AD85" s="294"/>
      <c r="AE85" s="294"/>
      <c r="AF85" s="294"/>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row>
    <row r="86" spans="1:67" x14ac:dyDescent="0.25">
      <c r="A86" s="11"/>
      <c r="B86" s="11"/>
      <c r="C86" s="11"/>
      <c r="D86" s="11"/>
      <c r="E86" s="11"/>
      <c r="F86" s="11"/>
      <c r="G86" s="11"/>
      <c r="H86" s="11"/>
      <c r="I86" s="11"/>
      <c r="J86" s="11"/>
      <c r="K86" s="11"/>
      <c r="L86" s="11"/>
      <c r="M86" s="11"/>
      <c r="N86" s="11"/>
      <c r="O86" s="11"/>
      <c r="P86" s="11"/>
      <c r="Q86" s="11"/>
      <c r="R86" s="11"/>
      <c r="S86" s="11"/>
      <c r="T86" s="11"/>
      <c r="U86" s="11"/>
      <c r="V86" s="10"/>
      <c r="W86" s="10" t="s">
        <v>170</v>
      </c>
      <c r="X86" s="285"/>
      <c r="Y86" s="1552" t="s">
        <v>171</v>
      </c>
      <c r="Z86" s="281"/>
      <c r="AA86" s="281"/>
      <c r="AB86" s="281"/>
      <c r="AC86" s="281"/>
      <c r="AD86" s="281"/>
      <c r="AE86" s="281"/>
      <c r="AF86" s="1501" t="s">
        <v>1635</v>
      </c>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row>
    <row r="87" spans="1:67" x14ac:dyDescent="0.25">
      <c r="A87" s="11"/>
      <c r="B87" s="11"/>
      <c r="C87" s="11"/>
      <c r="D87" s="11"/>
      <c r="E87" s="11"/>
      <c r="F87" s="11"/>
      <c r="G87" s="11"/>
      <c r="H87" s="11"/>
      <c r="I87" s="11"/>
      <c r="J87" s="11"/>
      <c r="K87" s="11"/>
      <c r="L87" s="11"/>
      <c r="M87" s="11"/>
      <c r="N87" s="11"/>
      <c r="O87" s="11"/>
      <c r="P87" s="11"/>
      <c r="Q87" s="11"/>
      <c r="R87" s="11"/>
      <c r="S87" s="11"/>
      <c r="T87" s="11"/>
      <c r="U87" s="11"/>
      <c r="V87" s="10"/>
      <c r="W87" s="11"/>
      <c r="X87" s="285"/>
      <c r="Y87" s="281"/>
      <c r="Z87" s="281"/>
      <c r="AA87" s="281"/>
      <c r="AB87" s="281"/>
      <c r="AC87" s="1502" t="s">
        <v>117</v>
      </c>
      <c r="AD87" s="1502"/>
      <c r="AE87" s="1502"/>
      <c r="AF87" s="1503"/>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row>
    <row r="88" spans="1:67" x14ac:dyDescent="0.25">
      <c r="A88" s="11"/>
      <c r="B88" s="11"/>
      <c r="C88" s="11"/>
      <c r="D88" s="11"/>
      <c r="E88" s="11"/>
      <c r="F88" s="11"/>
      <c r="G88" s="11"/>
      <c r="H88" s="11"/>
      <c r="I88" s="11"/>
      <c r="J88" s="11"/>
      <c r="K88" s="11"/>
      <c r="L88" s="11"/>
      <c r="M88" s="11"/>
      <c r="N88" s="11"/>
      <c r="O88" s="11"/>
      <c r="P88" s="11"/>
      <c r="Q88" s="11"/>
      <c r="R88" s="11"/>
      <c r="S88" s="11"/>
      <c r="T88" s="11"/>
      <c r="U88" s="11"/>
      <c r="V88" s="10"/>
      <c r="W88" s="11"/>
      <c r="X88" s="285"/>
      <c r="Y88" s="281"/>
      <c r="Z88" s="1502" t="s">
        <v>116</v>
      </c>
      <c r="AA88" s="1502"/>
      <c r="AB88" s="1502"/>
      <c r="AC88" s="1502"/>
      <c r="AD88" s="1502"/>
      <c r="AE88" s="281"/>
      <c r="AF88" s="1120"/>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row>
    <row r="89" spans="1:67" x14ac:dyDescent="0.25">
      <c r="A89" s="11"/>
      <c r="B89" s="11"/>
      <c r="C89" s="11"/>
      <c r="D89" s="11"/>
      <c r="E89" s="11"/>
      <c r="F89" s="11"/>
      <c r="G89" s="11"/>
      <c r="H89" s="11"/>
      <c r="I89" s="11"/>
      <c r="J89" s="11"/>
      <c r="K89" s="11"/>
      <c r="L89" s="11"/>
      <c r="M89" s="11"/>
      <c r="N89" s="11"/>
      <c r="O89" s="11"/>
      <c r="P89" s="11"/>
      <c r="Q89" s="11"/>
      <c r="R89" s="11"/>
      <c r="S89" s="11"/>
      <c r="T89" s="11"/>
      <c r="U89" s="11"/>
      <c r="V89" s="10"/>
      <c r="W89" s="11"/>
      <c r="X89" s="285"/>
      <c r="Y89" s="281"/>
      <c r="Z89" s="1502" t="s">
        <v>658</v>
      </c>
      <c r="AA89" s="1502"/>
      <c r="AB89" s="1502"/>
      <c r="AC89" s="1502"/>
      <c r="AD89" s="1502"/>
      <c r="AE89" s="281"/>
      <c r="AF89" s="286"/>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row>
    <row r="90" spans="1:67" x14ac:dyDescent="0.25">
      <c r="A90" s="11"/>
      <c r="B90" s="11"/>
      <c r="C90" s="11"/>
      <c r="D90" s="11"/>
      <c r="E90" s="11"/>
      <c r="F90" s="11"/>
      <c r="G90" s="11"/>
      <c r="H90" s="11"/>
      <c r="I90" s="11"/>
      <c r="J90" s="11"/>
      <c r="K90" s="11"/>
      <c r="L90" s="11"/>
      <c r="M90" s="11"/>
      <c r="N90" s="11"/>
      <c r="O90" s="11"/>
      <c r="P90" s="11"/>
      <c r="Q90" s="11"/>
      <c r="R90" s="11"/>
      <c r="S90" s="11"/>
      <c r="T90" s="11"/>
      <c r="U90" s="11"/>
      <c r="V90" s="10"/>
      <c r="W90" s="11"/>
      <c r="X90" s="285"/>
      <c r="Y90" s="281"/>
      <c r="Z90" s="1502" t="s">
        <v>1274</v>
      </c>
      <c r="AA90" s="1502"/>
      <c r="AB90" s="1502"/>
      <c r="AC90" s="1502"/>
      <c r="AD90" s="1502"/>
      <c r="AE90" s="281"/>
      <c r="AF90" s="286"/>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row>
    <row r="91" spans="1:67" x14ac:dyDescent="0.25">
      <c r="A91" s="11"/>
      <c r="B91" s="11"/>
      <c r="C91" s="11"/>
      <c r="D91" s="11"/>
      <c r="E91" s="11"/>
      <c r="F91" s="11"/>
      <c r="G91" s="11"/>
      <c r="H91" s="11"/>
      <c r="I91" s="11"/>
      <c r="J91" s="11"/>
      <c r="K91" s="11"/>
      <c r="L91" s="11"/>
      <c r="M91" s="11"/>
      <c r="N91" s="11"/>
      <c r="O91" s="11"/>
      <c r="P91" s="11"/>
      <c r="Q91" s="11"/>
      <c r="R91" s="11"/>
      <c r="S91" s="11"/>
      <c r="T91" s="11"/>
      <c r="U91" s="11"/>
      <c r="V91" s="10"/>
      <c r="W91" s="11"/>
      <c r="X91" s="293"/>
      <c r="Y91" s="294"/>
      <c r="Z91" s="1504" t="s">
        <v>115</v>
      </c>
      <c r="AA91" s="1504"/>
      <c r="AB91" s="1504"/>
      <c r="AC91" s="1504"/>
      <c r="AD91" s="1504"/>
      <c r="AE91" s="294"/>
      <c r="AF91" s="295"/>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row>
    <row r="92" spans="1:67" x14ac:dyDescent="0.25">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row>
    <row r="93" spans="1:67" x14ac:dyDescent="0.25">
      <c r="A93" s="11"/>
      <c r="B93" s="11"/>
      <c r="C93" s="11"/>
      <c r="D93" s="11"/>
      <c r="E93" s="11"/>
      <c r="F93" s="11"/>
      <c r="G93" s="11"/>
      <c r="H93" s="11"/>
      <c r="I93" s="11"/>
      <c r="J93" s="11"/>
      <c r="K93" s="11"/>
      <c r="L93" s="11"/>
      <c r="M93" s="11"/>
      <c r="N93" s="11"/>
      <c r="O93" s="11"/>
      <c r="P93" s="11"/>
      <c r="Q93" s="11"/>
      <c r="R93" s="11"/>
      <c r="S93" s="11"/>
      <c r="T93" s="11"/>
      <c r="U93" s="11"/>
      <c r="V93" s="11"/>
      <c r="W93" s="746" t="s">
        <v>163</v>
      </c>
      <c r="X93" s="315" t="s">
        <v>1671</v>
      </c>
      <c r="Y93" s="315" t="s">
        <v>1672</v>
      </c>
      <c r="Z93" s="315" t="s">
        <v>2112</v>
      </c>
      <c r="AA93" s="315" t="s">
        <v>2113</v>
      </c>
      <c r="AB93" s="315" t="s">
        <v>2115</v>
      </c>
      <c r="AC93" s="315" t="s">
        <v>2092</v>
      </c>
      <c r="AD93" s="315" t="s">
        <v>2093</v>
      </c>
      <c r="AE93" s="315" t="s">
        <v>2014</v>
      </c>
      <c r="AF93" s="1496" t="s">
        <v>1136</v>
      </c>
      <c r="AG93" s="305"/>
      <c r="AH93" s="305"/>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row>
    <row r="94" spans="1:67" x14ac:dyDescent="0.25">
      <c r="A94" s="11"/>
      <c r="B94" s="11"/>
      <c r="C94" s="11"/>
      <c r="D94" s="11"/>
      <c r="E94" s="11"/>
      <c r="F94" s="11"/>
      <c r="G94" s="11"/>
      <c r="H94" s="11"/>
      <c r="I94" s="11"/>
      <c r="J94" s="11"/>
      <c r="K94" s="11"/>
      <c r="L94" s="11"/>
      <c r="M94" s="11"/>
      <c r="N94" s="11"/>
      <c r="O94" s="11"/>
      <c r="P94" s="11"/>
      <c r="Q94" s="11"/>
      <c r="R94" s="11"/>
      <c r="S94" s="11"/>
      <c r="T94" s="11"/>
      <c r="U94" s="11"/>
      <c r="V94" s="11"/>
      <c r="W94" s="989" t="s">
        <v>1780</v>
      </c>
      <c r="X94" s="305"/>
      <c r="Y94" s="305"/>
      <c r="Z94" s="305"/>
      <c r="AA94" s="305"/>
      <c r="AB94" s="305"/>
      <c r="AC94" s="305"/>
      <c r="AD94" s="305"/>
      <c r="AE94" s="305"/>
      <c r="AF94" s="1549"/>
      <c r="AG94" s="305"/>
      <c r="AH94" s="305"/>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row>
    <row r="95" spans="1:67" x14ac:dyDescent="0.25">
      <c r="A95" s="11"/>
      <c r="B95" s="11"/>
      <c r="C95" s="11"/>
      <c r="D95" s="11"/>
      <c r="E95" s="11"/>
      <c r="F95" s="11"/>
      <c r="G95" s="11"/>
      <c r="H95" s="11"/>
      <c r="I95" s="11"/>
      <c r="J95" s="11"/>
      <c r="K95" s="11"/>
      <c r="L95" s="11"/>
      <c r="M95" s="11"/>
      <c r="N95" s="11"/>
      <c r="O95" s="11"/>
      <c r="P95" s="11"/>
      <c r="Q95" s="11"/>
      <c r="R95" s="11"/>
      <c r="S95" s="11"/>
      <c r="T95" s="11"/>
      <c r="U95" s="11"/>
      <c r="V95" s="11"/>
      <c r="W95" s="11" t="s">
        <v>1111</v>
      </c>
      <c r="X95" s="11">
        <f>PENN!AG258</f>
        <v>592.32299999999998</v>
      </c>
      <c r="Y95" s="11">
        <f>PENN!AH258-PENN!AH241</f>
        <v>563.90299999999979</v>
      </c>
      <c r="Z95" s="11">
        <f>PENN!AI258-PENN!AI334-PENN!AI396-PENN!AI1104-PENN!AI591</f>
        <v>603.8576482499999</v>
      </c>
      <c r="AA95" s="11">
        <f>PENN!AJ258-PENN!AJ334-PENN!AJ396-PENN!AJ1104-PENN!AJ591</f>
        <v>558.47575362999999</v>
      </c>
      <c r="AB95" s="11">
        <f>PENN!AL258-PENN!AL334-PENN!AL396-PENN!AL1104-PENN!AL591</f>
        <v>591.61610000000007</v>
      </c>
      <c r="AC95" s="11">
        <f>PENN!AM258-PENN!AM334-PENN!AM396-PENN!AM1104-PENN!AM591-PENN!AM231-PENN!AM234</f>
        <v>579.70506584999998</v>
      </c>
      <c r="AD95" s="11">
        <f>PENN!AN258-PENN!AN231-PENN!AN334-PENN!AN396-PENN!AN1104-PENN!AN591</f>
        <v>592.45734680999988</v>
      </c>
      <c r="AE95" s="11">
        <f>PENN!AO258-PENN!AO231</f>
        <v>636.44999999999982</v>
      </c>
      <c r="AF95" s="11">
        <f>PENN!AU258-PENN!AU231-PENN!AU222</f>
        <v>2617.5392215499996</v>
      </c>
      <c r="AG95" s="281"/>
      <c r="AH95" s="28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row>
    <row r="96" spans="1:67" x14ac:dyDescent="0.25">
      <c r="A96" s="11"/>
      <c r="B96" s="11"/>
      <c r="C96" s="11"/>
      <c r="D96" s="11"/>
      <c r="E96" s="11"/>
      <c r="F96" s="11"/>
      <c r="G96" s="11"/>
      <c r="H96" s="11"/>
      <c r="I96" s="11"/>
      <c r="J96" s="11"/>
      <c r="K96" s="11"/>
      <c r="L96" s="11"/>
      <c r="M96" s="11"/>
      <c r="N96" s="11"/>
      <c r="O96" s="11"/>
      <c r="P96" s="11"/>
      <c r="Q96" s="11"/>
      <c r="R96" s="11"/>
      <c r="S96" s="11"/>
      <c r="T96" s="11"/>
      <c r="U96" s="11"/>
      <c r="V96" s="11"/>
      <c r="W96" s="11" t="s">
        <v>169</v>
      </c>
      <c r="X96" s="11"/>
      <c r="Y96" s="11"/>
      <c r="Z96" s="11"/>
      <c r="AA96" s="11"/>
      <c r="AB96" s="11">
        <f>AB95</f>
        <v>591.61610000000007</v>
      </c>
      <c r="AC96" s="11">
        <f>AC95</f>
        <v>579.70506584999998</v>
      </c>
      <c r="AD96" s="11">
        <f>AD95-PENN!AN240-PENN!AN241</f>
        <v>518.11734680999984</v>
      </c>
      <c r="AE96" s="11">
        <f>AE95-PENN!AO240-PENN!AO241</f>
        <v>570.26599999999974</v>
      </c>
      <c r="AF96" s="11">
        <f>AF95-PENN!AU240-PENN!AU241-PENN!AU218-PENN!AU244-PENN!AU247-PENN!AU219-PENN!AU227</f>
        <v>1307.2976811470419</v>
      </c>
      <c r="AG96" s="281"/>
      <c r="AH96" s="28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row>
    <row r="97" spans="1:67" x14ac:dyDescent="0.25">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281"/>
      <c r="AH97" s="28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row>
    <row r="98" spans="1:67" x14ac:dyDescent="0.25">
      <c r="A98" s="11"/>
      <c r="B98" s="11"/>
      <c r="C98" s="11"/>
      <c r="D98" s="11"/>
      <c r="E98" s="11"/>
      <c r="F98" s="11"/>
      <c r="G98" s="11"/>
      <c r="H98" s="11"/>
      <c r="I98" s="11"/>
      <c r="J98" s="11"/>
      <c r="K98" s="11"/>
      <c r="L98" s="11"/>
      <c r="M98" s="11"/>
      <c r="N98" s="11"/>
      <c r="O98" s="11"/>
      <c r="P98" s="11"/>
      <c r="Q98" s="11"/>
      <c r="R98" s="11"/>
      <c r="S98" s="11"/>
      <c r="T98" s="11"/>
      <c r="U98" s="11"/>
      <c r="V98" s="11"/>
      <c r="W98" s="10" t="s">
        <v>110</v>
      </c>
      <c r="X98" s="11"/>
      <c r="Y98" s="11"/>
      <c r="Z98" s="11"/>
      <c r="AA98" s="11"/>
      <c r="AB98" s="11"/>
      <c r="AC98" s="11"/>
      <c r="AD98" s="11"/>
      <c r="AE98" s="11"/>
      <c r="AF98" s="11"/>
      <c r="AG98" s="281"/>
      <c r="AH98" s="28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row>
    <row r="99" spans="1:67" x14ac:dyDescent="0.25">
      <c r="A99" s="11"/>
      <c r="B99" s="11"/>
      <c r="C99" s="11"/>
      <c r="D99" s="11"/>
      <c r="E99" s="11"/>
      <c r="F99" s="11"/>
      <c r="G99" s="11"/>
      <c r="H99" s="11"/>
      <c r="I99" s="11"/>
      <c r="J99" s="11"/>
      <c r="K99" s="11"/>
      <c r="L99" s="11"/>
      <c r="M99" s="11"/>
      <c r="N99" s="11"/>
      <c r="O99" s="11"/>
      <c r="P99" s="11"/>
      <c r="Q99" s="11"/>
      <c r="R99" s="11"/>
      <c r="S99" s="11"/>
      <c r="T99" s="11"/>
      <c r="U99" s="11"/>
      <c r="V99" s="11"/>
      <c r="W99" s="11" t="s">
        <v>668</v>
      </c>
      <c r="X99" s="11">
        <f>PENN!AG314</f>
        <v>164.91700000000003</v>
      </c>
      <c r="Y99" s="11">
        <f>PENN!AH314-PENN!AH294</f>
        <v>158.208</v>
      </c>
      <c r="Z99" s="11">
        <f>PENN!AI314-PENN!AI274-PENN!AI1120</f>
        <v>181.13100000000003</v>
      </c>
      <c r="AA99" s="11">
        <f>PENN!AJ314-PENN!AJ274-PENN!AJ1120</f>
        <v>165.33100000000002</v>
      </c>
      <c r="AB99" s="11">
        <f>PENN!AL314-PENN!AL274-PENN!AL1120</f>
        <v>193.91300000000001</v>
      </c>
      <c r="AC99" s="11">
        <f>PENN!AM314-PENN!AM274-PENN!AM1120-PENN!AM281</f>
        <v>201.79400000000001</v>
      </c>
      <c r="AD99" s="11">
        <f>PENN!AN314-PENN!AN274-PENN!AN1120-PENN!AN281</f>
        <v>198.89143062874967</v>
      </c>
      <c r="AE99" s="11">
        <f>PENN!AO314-PENN!AO281</f>
        <v>178.34300000000002</v>
      </c>
      <c r="AF99" s="11">
        <f>PENN!AP314-PENN!AP281-PENN!AU269</f>
        <v>749.33658357750005</v>
      </c>
      <c r="AG99" s="281"/>
      <c r="AH99" s="28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row>
    <row r="100" spans="1:67" x14ac:dyDescent="0.25">
      <c r="A100" s="11"/>
      <c r="B100" s="11"/>
      <c r="C100" s="11"/>
      <c r="D100" s="11"/>
      <c r="E100" s="11"/>
      <c r="F100" s="11"/>
      <c r="G100" s="11"/>
      <c r="H100" s="11"/>
      <c r="I100" s="11"/>
      <c r="J100" s="11"/>
      <c r="K100" s="11"/>
      <c r="L100" s="11"/>
      <c r="M100" s="11"/>
      <c r="N100" s="11"/>
      <c r="O100" s="11"/>
      <c r="P100" s="11"/>
      <c r="Q100" s="11"/>
      <c r="R100" s="11"/>
      <c r="S100" s="11"/>
      <c r="T100" s="11"/>
      <c r="U100" s="11"/>
      <c r="V100" s="11"/>
      <c r="W100" s="11" t="s">
        <v>669</v>
      </c>
      <c r="X100" s="11">
        <f>X95</f>
        <v>592.32299999999998</v>
      </c>
      <c r="Y100" s="11">
        <f>Y95</f>
        <v>563.90299999999979</v>
      </c>
      <c r="Z100" s="11">
        <f>Z95+PENN!AI334+PENN!AI396</f>
        <v>635.90099999999995</v>
      </c>
      <c r="AA100" s="11">
        <f>AA95+PENN!AJ334+PENN!AJ396</f>
        <v>599.65700000000004</v>
      </c>
      <c r="AB100" s="11">
        <f>AB95+PENN!AL334+PENN!AL396</f>
        <v>635.44900000000007</v>
      </c>
      <c r="AC100" s="11">
        <f>AC95+PENN!AM334+PENN!AM396</f>
        <v>627.98099999999999</v>
      </c>
      <c r="AD100" s="11">
        <f>AD95+PENN!AN334+PENN!AN396</f>
        <v>640.88820947999989</v>
      </c>
      <c r="AE100" s="11">
        <f>AE95</f>
        <v>636.44999999999982</v>
      </c>
      <c r="AF100" s="11">
        <f>AF95</f>
        <v>2617.5392215499996</v>
      </c>
      <c r="AG100" s="281"/>
      <c r="AH100" s="28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row>
    <row r="101" spans="1:67" x14ac:dyDescent="0.25">
      <c r="A101" s="11"/>
      <c r="B101" s="11"/>
      <c r="C101" s="11"/>
      <c r="D101" s="11"/>
      <c r="E101" s="11"/>
      <c r="F101" s="11"/>
      <c r="G101" s="11"/>
      <c r="H101" s="11"/>
      <c r="I101" s="11"/>
      <c r="J101" s="11"/>
      <c r="K101" s="11"/>
      <c r="L101" s="11"/>
      <c r="M101" s="11"/>
      <c r="N101" s="11"/>
      <c r="O101" s="11"/>
      <c r="P101" s="11"/>
      <c r="Q101" s="11"/>
      <c r="R101" s="11"/>
      <c r="S101" s="11"/>
      <c r="T101" s="11"/>
      <c r="U101" s="11"/>
      <c r="V101" s="11"/>
      <c r="W101" s="11" t="s">
        <v>666</v>
      </c>
      <c r="X101" s="280">
        <f>X99/X100</f>
        <v>0.2784241030653884</v>
      </c>
      <c r="Y101" s="280">
        <f t="shared" ref="Y101:AF101" si="0">Y99/Y100</f>
        <v>0.28055889044747068</v>
      </c>
      <c r="Z101" s="280">
        <f t="shared" si="0"/>
        <v>0.28484150834799765</v>
      </c>
      <c r="AA101" s="280">
        <f t="shared" si="0"/>
        <v>0.27570928047200316</v>
      </c>
      <c r="AB101" s="280">
        <f t="shared" si="0"/>
        <v>0.30515902928480493</v>
      </c>
      <c r="AC101" s="280">
        <f t="shared" si="0"/>
        <v>0.32133774747962124</v>
      </c>
      <c r="AD101" s="280">
        <f t="shared" si="0"/>
        <v>0.31033716596241495</v>
      </c>
      <c r="AE101" s="280">
        <f t="shared" si="0"/>
        <v>0.28021525650090356</v>
      </c>
      <c r="AF101" s="280">
        <f t="shared" si="0"/>
        <v>0.28627520741934614</v>
      </c>
      <c r="AG101" s="281"/>
      <c r="AH101" s="28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row>
    <row r="102" spans="1:67" x14ac:dyDescent="0.25">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280"/>
      <c r="Y102" s="280"/>
      <c r="Z102" s="280"/>
      <c r="AA102" s="280"/>
      <c r="AB102" s="280"/>
      <c r="AC102" s="280"/>
      <c r="AD102" s="280"/>
      <c r="AE102" s="280"/>
      <c r="AF102" s="280"/>
      <c r="AG102" s="281"/>
      <c r="AH102" s="28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row>
    <row r="103" spans="1:67" x14ac:dyDescent="0.25">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280"/>
      <c r="Y103" s="280"/>
      <c r="Z103" s="280"/>
      <c r="AA103" s="280"/>
      <c r="AB103" s="280"/>
      <c r="AC103" s="280"/>
      <c r="AD103" s="280"/>
      <c r="AE103" s="280">
        <f>SUM(AB99:AE99)/SUM(AB100:AE100)</f>
        <v>0.30421564145237079</v>
      </c>
      <c r="AF103" s="280"/>
      <c r="AG103" s="281"/>
      <c r="AH103" s="28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row>
    <row r="104" spans="1:67" x14ac:dyDescent="0.25">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281"/>
      <c r="AH104" s="28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row>
    <row r="105" spans="1:67" x14ac:dyDescent="0.25">
      <c r="A105" s="11"/>
      <c r="B105" s="11"/>
      <c r="C105" s="11"/>
      <c r="D105" s="11"/>
      <c r="E105" s="11"/>
      <c r="F105" s="11"/>
      <c r="G105" s="11"/>
      <c r="H105" s="11"/>
      <c r="I105" s="11"/>
      <c r="J105" s="11"/>
      <c r="K105" s="11"/>
      <c r="L105" s="11"/>
      <c r="M105" s="11"/>
      <c r="N105" s="11"/>
      <c r="O105" s="11"/>
      <c r="P105" s="11"/>
      <c r="Q105" s="11"/>
      <c r="R105" s="11"/>
      <c r="S105" s="11"/>
      <c r="T105" s="11"/>
      <c r="U105" s="11"/>
      <c r="V105" s="11"/>
      <c r="W105" s="10" t="s">
        <v>666</v>
      </c>
      <c r="X105" s="11"/>
      <c r="Y105" s="11"/>
      <c r="Z105" s="11"/>
      <c r="AA105" s="11"/>
      <c r="AB105" s="11"/>
      <c r="AC105" s="11"/>
      <c r="AD105" s="11"/>
      <c r="AE105" s="11"/>
      <c r="AF105" s="11"/>
      <c r="AG105" s="281"/>
      <c r="AH105" s="28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row>
    <row r="106" spans="1:67" x14ac:dyDescent="0.25">
      <c r="A106" s="11"/>
      <c r="B106" s="11"/>
      <c r="C106" s="11"/>
      <c r="D106" s="11"/>
      <c r="E106" s="11"/>
      <c r="F106" s="11"/>
      <c r="G106" s="11"/>
      <c r="H106" s="11"/>
      <c r="I106" s="11"/>
      <c r="J106" s="11"/>
      <c r="K106" s="11"/>
      <c r="L106" s="11"/>
      <c r="M106" s="11"/>
      <c r="N106" s="11"/>
      <c r="O106" s="11"/>
      <c r="P106" s="11"/>
      <c r="Q106" s="11"/>
      <c r="R106" s="11"/>
      <c r="S106" s="11"/>
      <c r="T106" s="11"/>
      <c r="U106" s="11"/>
      <c r="V106" s="11"/>
      <c r="W106" s="11" t="s">
        <v>1111</v>
      </c>
      <c r="X106" s="11"/>
      <c r="Y106" s="11"/>
      <c r="Z106" s="11"/>
      <c r="AA106" s="11"/>
      <c r="AB106" s="11"/>
      <c r="AC106" s="11"/>
      <c r="AD106" s="11"/>
      <c r="AE106" s="11"/>
      <c r="AF106" s="11"/>
      <c r="AG106" s="281"/>
      <c r="AH106" s="28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row>
    <row r="107" spans="1:67" x14ac:dyDescent="0.25">
      <c r="A107" s="11"/>
      <c r="B107" s="11"/>
      <c r="C107" s="11"/>
      <c r="D107" s="11"/>
      <c r="E107" s="11"/>
      <c r="F107" s="11"/>
      <c r="G107" s="11"/>
      <c r="H107" s="11"/>
      <c r="I107" s="11"/>
      <c r="J107" s="11"/>
      <c r="K107" s="11"/>
      <c r="L107" s="11"/>
      <c r="M107" s="11"/>
      <c r="N107" s="11"/>
      <c r="O107" s="11"/>
      <c r="P107" s="11"/>
      <c r="Q107" s="11"/>
      <c r="R107" s="11"/>
      <c r="S107" s="11"/>
      <c r="T107" s="11"/>
      <c r="U107" s="11"/>
      <c r="V107" s="11"/>
      <c r="W107" s="11" t="s">
        <v>169</v>
      </c>
      <c r="X107" s="11"/>
      <c r="Y107" s="11"/>
      <c r="Z107" s="11"/>
      <c r="AA107" s="11"/>
      <c r="AB107" s="11"/>
      <c r="AC107" s="11"/>
      <c r="AD107" s="11"/>
      <c r="AE107" s="11"/>
      <c r="AF107" s="11"/>
      <c r="AG107" s="281"/>
      <c r="AH107" s="28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row>
    <row r="108" spans="1:67" x14ac:dyDescent="0.25">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281"/>
      <c r="AH108" s="28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row>
    <row r="109" spans="1:67" x14ac:dyDescent="0.25">
      <c r="A109" s="11"/>
      <c r="B109" s="11"/>
      <c r="C109" s="11"/>
      <c r="D109" s="11"/>
      <c r="E109" s="11"/>
      <c r="F109" s="11"/>
      <c r="G109" s="11"/>
      <c r="H109" s="11"/>
      <c r="I109" s="11"/>
      <c r="J109" s="11"/>
      <c r="K109" s="11"/>
      <c r="L109" s="11"/>
      <c r="M109" s="11"/>
      <c r="N109" s="11"/>
      <c r="O109" s="11"/>
      <c r="P109" s="11"/>
      <c r="Q109" s="11"/>
      <c r="R109" s="11"/>
      <c r="S109" s="11"/>
      <c r="T109" s="11"/>
      <c r="U109" s="11"/>
      <c r="V109" s="11"/>
      <c r="W109" s="10" t="s">
        <v>967</v>
      </c>
      <c r="X109" s="321"/>
      <c r="Y109" s="283"/>
      <c r="Z109" s="283"/>
      <c r="AA109" s="283"/>
      <c r="AB109" s="283"/>
      <c r="AC109" s="283"/>
      <c r="AD109" s="1512" t="s">
        <v>171</v>
      </c>
      <c r="AE109" s="1512"/>
      <c r="AF109" s="1513"/>
      <c r="AG109" s="281"/>
      <c r="AH109" s="28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row>
    <row r="110" spans="1:67" x14ac:dyDescent="0.25">
      <c r="A110" s="11"/>
      <c r="B110" s="11"/>
      <c r="C110" s="11"/>
      <c r="D110" s="11"/>
      <c r="E110" s="11"/>
      <c r="F110" s="11"/>
      <c r="G110" s="11"/>
      <c r="H110" s="11"/>
      <c r="I110" s="11"/>
      <c r="J110" s="11"/>
      <c r="K110" s="11"/>
      <c r="L110" s="11"/>
      <c r="M110" s="11"/>
      <c r="N110" s="11"/>
      <c r="O110" s="11"/>
      <c r="P110" s="11"/>
      <c r="Q110" s="11"/>
      <c r="R110" s="11"/>
      <c r="S110" s="11"/>
      <c r="T110" s="11"/>
      <c r="U110" s="11"/>
      <c r="V110" s="11"/>
      <c r="W110" s="11"/>
      <c r="X110" s="285"/>
      <c r="Y110" s="281"/>
      <c r="Z110" s="281"/>
      <c r="AA110" s="281"/>
      <c r="AB110" s="281"/>
      <c r="AC110" s="281"/>
      <c r="AD110" s="1514" t="s">
        <v>172</v>
      </c>
      <c r="AE110" s="1514"/>
      <c r="AF110" s="1515"/>
      <c r="AG110" s="281"/>
      <c r="AH110" s="28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row>
    <row r="111" spans="1:67" x14ac:dyDescent="0.25">
      <c r="A111" s="11"/>
      <c r="B111" s="11"/>
      <c r="C111" s="11"/>
      <c r="D111" s="11"/>
      <c r="E111" s="11"/>
      <c r="F111" s="11"/>
      <c r="G111" s="11"/>
      <c r="H111" s="11"/>
      <c r="I111" s="11"/>
      <c r="J111" s="11"/>
      <c r="K111" s="11"/>
      <c r="L111" s="11"/>
      <c r="M111" s="11"/>
      <c r="N111" s="11"/>
      <c r="O111" s="11"/>
      <c r="P111" s="11"/>
      <c r="Q111" s="11"/>
      <c r="R111" s="11"/>
      <c r="S111" s="11"/>
      <c r="T111" s="11"/>
      <c r="U111" s="11"/>
      <c r="V111" s="11"/>
      <c r="W111" s="11"/>
      <c r="X111" s="285"/>
      <c r="Y111" s="281"/>
      <c r="Z111" s="281"/>
      <c r="AA111" s="281"/>
      <c r="AB111" s="281"/>
      <c r="AC111" s="281"/>
      <c r="AD111" s="281"/>
      <c r="AE111" s="281"/>
      <c r="AF111" s="1489" t="s">
        <v>2008</v>
      </c>
      <c r="AG111" s="281"/>
      <c r="AH111" s="28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row>
    <row r="112" spans="1:67" x14ac:dyDescent="0.25">
      <c r="A112" s="11"/>
      <c r="B112" s="11"/>
      <c r="C112" s="11"/>
      <c r="D112" s="11"/>
      <c r="E112" s="11"/>
      <c r="F112" s="11"/>
      <c r="G112" s="11"/>
      <c r="H112" s="11"/>
      <c r="I112" s="11"/>
      <c r="J112" s="11"/>
      <c r="K112" s="11"/>
      <c r="L112" s="11"/>
      <c r="M112" s="11"/>
      <c r="N112" s="11"/>
      <c r="O112" s="11"/>
      <c r="P112" s="11"/>
      <c r="Q112" s="11"/>
      <c r="R112" s="11"/>
      <c r="S112" s="11"/>
      <c r="T112" s="11"/>
      <c r="U112" s="11"/>
      <c r="V112" s="11"/>
      <c r="W112" s="11"/>
      <c r="X112" s="285"/>
      <c r="Y112" s="281"/>
      <c r="Z112" s="281"/>
      <c r="AA112" s="281"/>
      <c r="AB112" s="281"/>
      <c r="AC112" s="281"/>
      <c r="AD112" s="281"/>
      <c r="AE112" s="281"/>
      <c r="AF112" s="1489" t="s">
        <v>1233</v>
      </c>
      <c r="AG112" s="281"/>
      <c r="AH112" s="28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row>
    <row r="113" spans="1:67" x14ac:dyDescent="0.25">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285"/>
      <c r="Y113" s="281"/>
      <c r="Z113" s="281"/>
      <c r="AA113" s="281"/>
      <c r="AB113" s="281"/>
      <c r="AC113" s="281"/>
      <c r="AD113" s="281"/>
      <c r="AE113" s="281"/>
      <c r="AF113" s="1489" t="s">
        <v>1236</v>
      </c>
      <c r="AG113" s="281"/>
      <c r="AH113" s="28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row>
    <row r="114" spans="1:67" x14ac:dyDescent="0.25">
      <c r="A114" s="11"/>
      <c r="B114" s="11"/>
      <c r="C114" s="11"/>
      <c r="D114" s="11"/>
      <c r="E114" s="11"/>
      <c r="F114" s="11"/>
      <c r="G114" s="11"/>
      <c r="H114" s="11"/>
      <c r="I114" s="11"/>
      <c r="J114" s="11"/>
      <c r="K114" s="11"/>
      <c r="L114" s="11"/>
      <c r="M114" s="11"/>
      <c r="N114" s="11"/>
      <c r="O114" s="11"/>
      <c r="P114" s="11"/>
      <c r="Q114" s="11"/>
      <c r="R114" s="11"/>
      <c r="S114" s="11"/>
      <c r="T114" s="11"/>
      <c r="U114" s="11"/>
      <c r="V114" s="11"/>
      <c r="W114" s="11"/>
      <c r="X114" s="285"/>
      <c r="Y114" s="281"/>
      <c r="Z114" s="281"/>
      <c r="AA114" s="281"/>
      <c r="AB114" s="281"/>
      <c r="AC114" s="281"/>
      <c r="AD114" s="281"/>
      <c r="AE114" s="281"/>
      <c r="AF114" s="1489" t="s">
        <v>1234</v>
      </c>
      <c r="AG114" s="281"/>
      <c r="AH114" s="28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row>
    <row r="115" spans="1:67" x14ac:dyDescent="0.25">
      <c r="A115" s="11"/>
      <c r="B115" s="11"/>
      <c r="C115" s="11"/>
      <c r="D115" s="11"/>
      <c r="E115" s="11"/>
      <c r="F115" s="11"/>
      <c r="G115" s="11"/>
      <c r="H115" s="11"/>
      <c r="I115" s="11"/>
      <c r="J115" s="11"/>
      <c r="K115" s="11"/>
      <c r="L115" s="11"/>
      <c r="M115" s="11"/>
      <c r="N115" s="11"/>
      <c r="O115" s="11"/>
      <c r="P115" s="11"/>
      <c r="Q115" s="11"/>
      <c r="R115" s="11"/>
      <c r="S115" s="11"/>
      <c r="T115" s="11"/>
      <c r="U115" s="11"/>
      <c r="V115" s="11"/>
      <c r="W115" s="11"/>
      <c r="X115" s="285"/>
      <c r="Y115" s="281"/>
      <c r="Z115" s="281"/>
      <c r="AA115" s="281"/>
      <c r="AB115" s="281"/>
      <c r="AC115" s="281"/>
      <c r="AD115" s="281"/>
      <c r="AE115" s="281"/>
      <c r="AF115" s="1489" t="s">
        <v>102</v>
      </c>
      <c r="AG115" s="281"/>
      <c r="AH115" s="28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row>
    <row r="116" spans="1:67" x14ac:dyDescent="0.25">
      <c r="A116" s="11"/>
      <c r="B116" s="11"/>
      <c r="C116" s="11"/>
      <c r="D116" s="11"/>
      <c r="E116" s="11"/>
      <c r="F116" s="11"/>
      <c r="G116" s="11"/>
      <c r="H116" s="11"/>
      <c r="I116" s="11"/>
      <c r="J116" s="11"/>
      <c r="K116" s="11"/>
      <c r="L116" s="11"/>
      <c r="M116" s="11"/>
      <c r="N116" s="11"/>
      <c r="O116" s="11"/>
      <c r="P116" s="11"/>
      <c r="Q116" s="11"/>
      <c r="R116" s="11"/>
      <c r="S116" s="11"/>
      <c r="T116" s="11"/>
      <c r="U116" s="11"/>
      <c r="V116" s="11"/>
      <c r="W116" s="11"/>
      <c r="X116" s="293"/>
      <c r="Y116" s="294"/>
      <c r="Z116" s="294"/>
      <c r="AA116" s="294"/>
      <c r="AB116" s="294"/>
      <c r="AC116" s="294"/>
      <c r="AD116" s="294"/>
      <c r="AE116" s="294"/>
      <c r="AF116" s="1509" t="s">
        <v>1584</v>
      </c>
      <c r="AG116" s="281"/>
      <c r="AH116" s="28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row>
    <row r="117" spans="1:67" x14ac:dyDescent="0.25">
      <c r="A117" s="11"/>
      <c r="B117" s="11"/>
      <c r="C117" s="11"/>
      <c r="D117" s="11"/>
      <c r="E117" s="11"/>
      <c r="F117" s="11"/>
      <c r="G117" s="11"/>
      <c r="H117" s="11"/>
      <c r="I117" s="11"/>
      <c r="J117" s="11"/>
      <c r="K117" s="11"/>
      <c r="L117" s="11"/>
      <c r="M117" s="11"/>
      <c r="N117" s="11"/>
      <c r="O117" s="11"/>
      <c r="P117" s="11"/>
      <c r="Q117" s="11"/>
      <c r="R117" s="11"/>
      <c r="S117" s="11"/>
      <c r="T117" s="11"/>
      <c r="U117" s="11"/>
      <c r="V117" s="11"/>
      <c r="W117" s="333"/>
      <c r="X117" s="11"/>
      <c r="Y117" s="11"/>
      <c r="Z117" s="11"/>
      <c r="AA117" s="11"/>
      <c r="AB117" s="11"/>
      <c r="AC117" s="11"/>
      <c r="AD117" s="11"/>
      <c r="AE117" s="11"/>
      <c r="AF117" s="1497"/>
      <c r="AG117" s="281"/>
      <c r="AH117" s="281"/>
      <c r="AI117" s="11"/>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row>
    <row r="118" spans="1:67" x14ac:dyDescent="0.25">
      <c r="A118" s="11"/>
      <c r="B118" s="11"/>
      <c r="C118" s="11"/>
      <c r="D118" s="11"/>
      <c r="E118" s="11"/>
      <c r="F118" s="11"/>
      <c r="G118" s="11"/>
      <c r="H118" s="11"/>
      <c r="I118" s="11"/>
      <c r="J118" s="11"/>
      <c r="K118" s="11"/>
      <c r="L118" s="11"/>
      <c r="M118" s="11"/>
      <c r="N118" s="11"/>
      <c r="O118" s="11"/>
      <c r="P118" s="11"/>
      <c r="Q118" s="11"/>
      <c r="R118" s="11"/>
      <c r="S118" s="11"/>
      <c r="T118" s="11"/>
      <c r="U118" s="11"/>
      <c r="V118" s="11"/>
      <c r="W118" s="10" t="s">
        <v>159</v>
      </c>
      <c r="X118" s="321"/>
      <c r="Y118" s="283"/>
      <c r="Z118" s="283"/>
      <c r="AA118" s="283"/>
      <c r="AB118" s="283"/>
      <c r="AC118" s="283"/>
      <c r="AD118" s="283"/>
      <c r="AE118" s="283"/>
      <c r="AF118" s="1527" t="s">
        <v>1635</v>
      </c>
      <c r="AG118" s="281"/>
      <c r="AH118" s="281"/>
      <c r="AI118" s="11"/>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row>
    <row r="119" spans="1:67" x14ac:dyDescent="0.25">
      <c r="A119" s="11"/>
      <c r="B119" s="11"/>
      <c r="C119" s="11"/>
      <c r="D119" s="11"/>
      <c r="E119" s="11"/>
      <c r="F119" s="11"/>
      <c r="G119" s="11"/>
      <c r="H119" s="11"/>
      <c r="I119" s="11"/>
      <c r="J119" s="11"/>
      <c r="K119" s="11"/>
      <c r="L119" s="11"/>
      <c r="M119" s="11"/>
      <c r="N119" s="11"/>
      <c r="O119" s="11"/>
      <c r="P119" s="11"/>
      <c r="Q119" s="11"/>
      <c r="R119" s="11"/>
      <c r="S119" s="11"/>
      <c r="T119" s="11"/>
      <c r="U119" s="11"/>
      <c r="V119" s="11"/>
      <c r="W119" s="10"/>
      <c r="X119" s="285"/>
      <c r="Y119" s="281"/>
      <c r="Z119" s="281"/>
      <c r="AA119" s="281"/>
      <c r="AB119" s="281"/>
      <c r="AC119" s="281"/>
      <c r="AD119" s="281"/>
      <c r="AE119" s="281"/>
      <c r="AF119" s="1526" t="s">
        <v>117</v>
      </c>
      <c r="AG119" s="281"/>
      <c r="AH119" s="28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row>
    <row r="120" spans="1:67" x14ac:dyDescent="0.25">
      <c r="A120" s="11"/>
      <c r="B120" s="11"/>
      <c r="C120" s="11"/>
      <c r="D120" s="11"/>
      <c r="E120" s="11"/>
      <c r="F120" s="11"/>
      <c r="G120" s="11"/>
      <c r="H120" s="11"/>
      <c r="I120" s="11"/>
      <c r="J120" s="11"/>
      <c r="K120" s="11"/>
      <c r="L120" s="11"/>
      <c r="M120" s="11"/>
      <c r="N120" s="11"/>
      <c r="O120" s="11"/>
      <c r="P120" s="11"/>
      <c r="Q120" s="11"/>
      <c r="R120" s="11"/>
      <c r="S120" s="11"/>
      <c r="T120" s="11"/>
      <c r="U120" s="11"/>
      <c r="V120" s="11"/>
      <c r="W120" s="10"/>
      <c r="X120" s="285"/>
      <c r="Y120" s="281"/>
      <c r="Z120" s="281"/>
      <c r="AA120" s="281"/>
      <c r="AB120" s="281"/>
      <c r="AC120" s="281"/>
      <c r="AD120" s="1505" t="s">
        <v>116</v>
      </c>
      <c r="AE120" s="281"/>
      <c r="AF120" s="1506"/>
      <c r="AG120" s="281"/>
      <c r="AH120" s="28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row>
    <row r="121" spans="1:67" x14ac:dyDescent="0.25">
      <c r="A121" s="11"/>
      <c r="B121" s="11"/>
      <c r="C121" s="11"/>
      <c r="D121" s="11"/>
      <c r="E121" s="11"/>
      <c r="F121" s="11"/>
      <c r="G121" s="11"/>
      <c r="H121" s="11"/>
      <c r="I121" s="11"/>
      <c r="J121" s="11"/>
      <c r="K121" s="11"/>
      <c r="L121" s="11"/>
      <c r="M121" s="11"/>
      <c r="N121" s="11"/>
      <c r="O121" s="11"/>
      <c r="P121" s="11"/>
      <c r="Q121" s="11"/>
      <c r="R121" s="11"/>
      <c r="S121" s="11"/>
      <c r="T121" s="11"/>
      <c r="U121" s="11"/>
      <c r="V121" s="11"/>
      <c r="W121" s="11"/>
      <c r="X121" s="285"/>
      <c r="Y121" s="281"/>
      <c r="Z121" s="281"/>
      <c r="AA121" s="281"/>
      <c r="AB121" s="281"/>
      <c r="AC121" s="281"/>
      <c r="AD121" s="1505" t="s">
        <v>658</v>
      </c>
      <c r="AE121" s="281"/>
      <c r="AF121" s="1506"/>
      <c r="AG121" s="281"/>
      <c r="AH121" s="281"/>
      <c r="AI121" s="11"/>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row>
    <row r="122" spans="1:67" x14ac:dyDescent="0.25">
      <c r="A122" s="11"/>
      <c r="B122" s="11"/>
      <c r="C122" s="11"/>
      <c r="D122" s="11"/>
      <c r="E122" s="11"/>
      <c r="F122" s="11"/>
      <c r="G122" s="11"/>
      <c r="H122" s="11"/>
      <c r="I122" s="11"/>
      <c r="J122" s="11"/>
      <c r="K122" s="11"/>
      <c r="L122" s="11"/>
      <c r="M122" s="11"/>
      <c r="N122" s="11"/>
      <c r="O122" s="11"/>
      <c r="P122" s="11"/>
      <c r="Q122" s="11"/>
      <c r="R122" s="11"/>
      <c r="S122" s="11"/>
      <c r="T122" s="11"/>
      <c r="U122" s="11"/>
      <c r="V122" s="11"/>
      <c r="W122" s="11"/>
      <c r="X122" s="285"/>
      <c r="Y122" s="281"/>
      <c r="Z122" s="281"/>
      <c r="AA122" s="281"/>
      <c r="AB122" s="281"/>
      <c r="AC122" s="281"/>
      <c r="AD122" s="1505" t="s">
        <v>1274</v>
      </c>
      <c r="AE122" s="281"/>
      <c r="AF122" s="1506"/>
      <c r="AG122" s="281"/>
      <c r="AH122" s="28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row>
    <row r="123" spans="1:67" x14ac:dyDescent="0.25">
      <c r="A123" s="11"/>
      <c r="B123" s="11"/>
      <c r="C123" s="11"/>
      <c r="D123" s="11"/>
      <c r="E123" s="11"/>
      <c r="F123" s="11"/>
      <c r="G123" s="11"/>
      <c r="H123" s="11"/>
      <c r="I123" s="11"/>
      <c r="J123" s="11"/>
      <c r="K123" s="11"/>
      <c r="L123" s="11"/>
      <c r="M123" s="11"/>
      <c r="N123" s="11"/>
      <c r="O123" s="11"/>
      <c r="P123" s="11"/>
      <c r="Q123" s="11"/>
      <c r="R123" s="11"/>
      <c r="S123" s="11"/>
      <c r="T123" s="11"/>
      <c r="U123" s="11"/>
      <c r="V123" s="11"/>
      <c r="W123" s="11"/>
      <c r="X123" s="293"/>
      <c r="Y123" s="294"/>
      <c r="Z123" s="294"/>
      <c r="AA123" s="294"/>
      <c r="AB123" s="294"/>
      <c r="AC123" s="294"/>
      <c r="AD123" s="1507" t="s">
        <v>115</v>
      </c>
      <c r="AE123" s="294"/>
      <c r="AF123" s="1508"/>
      <c r="AG123" s="281"/>
      <c r="AH123" s="28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row>
    <row r="124" spans="1:67" x14ac:dyDescent="0.25">
      <c r="A124" s="11"/>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497"/>
      <c r="AG124" s="281"/>
      <c r="AH124" s="28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row>
    <row r="125" spans="1:67" x14ac:dyDescent="0.25">
      <c r="A125" s="11"/>
      <c r="B125" s="11"/>
      <c r="C125" s="11"/>
      <c r="D125" s="11"/>
      <c r="E125" s="11"/>
      <c r="F125" s="11"/>
      <c r="G125" s="11"/>
      <c r="H125" s="11"/>
      <c r="I125" s="11"/>
      <c r="J125" s="11"/>
      <c r="K125" s="11"/>
      <c r="L125" s="11"/>
      <c r="M125" s="11"/>
      <c r="N125" s="11"/>
      <c r="O125" s="11"/>
      <c r="P125" s="11"/>
      <c r="Q125" s="11"/>
      <c r="R125" s="11"/>
      <c r="S125" s="11"/>
      <c r="T125" s="11"/>
      <c r="U125" s="11"/>
      <c r="V125" s="11"/>
      <c r="W125" s="873" t="s">
        <v>164</v>
      </c>
      <c r="X125" s="315" t="s">
        <v>1482</v>
      </c>
      <c r="Y125" s="315" t="s">
        <v>133</v>
      </c>
      <c r="Z125" s="315" t="s">
        <v>1707</v>
      </c>
      <c r="AA125" s="315" t="s">
        <v>1398</v>
      </c>
      <c r="AB125" s="315" t="s">
        <v>1671</v>
      </c>
      <c r="AC125" s="315" t="s">
        <v>1672</v>
      </c>
      <c r="AD125" s="315" t="s">
        <v>2112</v>
      </c>
      <c r="AE125" s="315" t="s">
        <v>2113</v>
      </c>
      <c r="AF125" s="1496" t="s">
        <v>154</v>
      </c>
      <c r="AG125" s="305"/>
      <c r="AH125" s="305"/>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row>
    <row r="126" spans="1:67" x14ac:dyDescent="0.25">
      <c r="A126" s="11"/>
      <c r="B126" s="11"/>
      <c r="C126" s="11"/>
      <c r="D126" s="11"/>
      <c r="E126" s="11"/>
      <c r="F126" s="11"/>
      <c r="G126" s="11"/>
      <c r="H126" s="11"/>
      <c r="I126" s="11"/>
      <c r="J126" s="11"/>
      <c r="K126" s="11"/>
      <c r="L126" s="11"/>
      <c r="M126" s="11"/>
      <c r="N126" s="11"/>
      <c r="O126" s="11"/>
      <c r="P126" s="11"/>
      <c r="Q126" s="11"/>
      <c r="R126" s="11"/>
      <c r="S126" s="11"/>
      <c r="T126" s="11"/>
      <c r="U126" s="11"/>
      <c r="V126" s="11"/>
      <c r="W126" s="333" t="s">
        <v>1780</v>
      </c>
      <c r="X126" s="305"/>
      <c r="Y126" s="305"/>
      <c r="Z126" s="305"/>
      <c r="AA126" s="305"/>
      <c r="AB126" s="305"/>
      <c r="AC126" s="305"/>
      <c r="AD126" s="305"/>
      <c r="AE126" s="305"/>
      <c r="AF126" s="1549"/>
      <c r="AG126" s="305"/>
      <c r="AH126" s="305"/>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row>
    <row r="127" spans="1:67" x14ac:dyDescent="0.25">
      <c r="A127" s="11"/>
      <c r="B127" s="11"/>
      <c r="C127" s="11"/>
      <c r="D127" s="11"/>
      <c r="E127" s="11"/>
      <c r="F127" s="11"/>
      <c r="G127" s="11"/>
      <c r="H127" s="11"/>
      <c r="I127" s="11"/>
      <c r="J127" s="11"/>
      <c r="K127" s="11"/>
      <c r="L127" s="11"/>
      <c r="M127" s="11"/>
      <c r="N127" s="11"/>
      <c r="O127" s="11"/>
      <c r="P127" s="11"/>
      <c r="Q127" s="11"/>
      <c r="R127" s="11"/>
      <c r="S127" s="11"/>
      <c r="T127" s="11"/>
      <c r="U127" s="11"/>
      <c r="V127" s="11"/>
      <c r="W127" s="11" t="s">
        <v>1111</v>
      </c>
      <c r="X127" s="11">
        <f>PENN!AB258</f>
        <v>612.226</v>
      </c>
      <c r="Y127" s="11">
        <f>PENN!AC258-PENN!AC241</f>
        <v>577.17700000000002</v>
      </c>
      <c r="Z127" s="11">
        <f>PENN!AD258</f>
        <v>620.42600000000016</v>
      </c>
      <c r="AA127" s="11">
        <f>PENN!AE258</f>
        <v>555.80600000000004</v>
      </c>
      <c r="AB127" s="11">
        <f>PENN!AG258</f>
        <v>592.32299999999998</v>
      </c>
      <c r="AC127" s="11">
        <f>PENN!AH258-PENN!AH234</f>
        <v>576.39499999999975</v>
      </c>
      <c r="AD127" s="11">
        <f>PENN!AI258-PENN!AI334-PENN!AI396-PENN!AI591-PENN!AI1104</f>
        <v>603.8576482499999</v>
      </c>
      <c r="AE127" s="11">
        <f>PENN!AJ258</f>
        <v>630.221</v>
      </c>
      <c r="AF127" s="11">
        <f>PENN!AP258-PENN!AP231</f>
        <v>2648.4619999999995</v>
      </c>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row>
    <row r="128" spans="1:67" x14ac:dyDescent="0.25">
      <c r="A128" s="11"/>
      <c r="B128" s="11"/>
      <c r="C128" s="11"/>
      <c r="D128" s="11"/>
      <c r="E128" s="11"/>
      <c r="F128" s="11"/>
      <c r="G128" s="11"/>
      <c r="H128" s="11"/>
      <c r="I128" s="11"/>
      <c r="J128" s="11"/>
      <c r="K128" s="11"/>
      <c r="L128" s="11"/>
      <c r="M128" s="11"/>
      <c r="N128" s="11"/>
      <c r="O128" s="11"/>
      <c r="P128" s="11"/>
      <c r="Q128" s="11"/>
      <c r="R128" s="11"/>
      <c r="S128" s="11"/>
      <c r="T128" s="11"/>
      <c r="U128" s="11"/>
      <c r="V128" s="11"/>
      <c r="W128" s="1528" t="s">
        <v>169</v>
      </c>
      <c r="X128" s="11"/>
      <c r="Y128" s="11"/>
      <c r="Z128" s="11"/>
      <c r="AA128" s="11"/>
      <c r="AB128" s="11">
        <f>AB127</f>
        <v>592.32299999999998</v>
      </c>
      <c r="AC128" s="11">
        <f>AC127</f>
        <v>576.39499999999975</v>
      </c>
      <c r="AD128" s="11">
        <f>AD127-PENN!AI240-PENN!AI241</f>
        <v>529.71664824999993</v>
      </c>
      <c r="AE128" s="11">
        <f>AE127-PENN!AJ240-PENN!AJ241</f>
        <v>558.61400000000003</v>
      </c>
      <c r="AF128" s="11">
        <f>AF127-PENN!AP218-PENN!AP240-PENN!AP241-PENN!AP244-PENN!AP247-PENN!AP219-PENN!AP227</f>
        <v>1256.4602466999993</v>
      </c>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row>
    <row r="129" spans="1:67" x14ac:dyDescent="0.25">
      <c r="A129" s="11"/>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row>
    <row r="130" spans="1:67" x14ac:dyDescent="0.25">
      <c r="A130" s="11"/>
      <c r="B130" s="11"/>
      <c r="C130" s="11"/>
      <c r="D130" s="11"/>
      <c r="E130" s="11"/>
      <c r="F130" s="11"/>
      <c r="G130" s="11"/>
      <c r="H130" s="11"/>
      <c r="I130" s="11"/>
      <c r="J130" s="11"/>
      <c r="K130" s="11"/>
      <c r="L130" s="11"/>
      <c r="M130" s="11"/>
      <c r="N130" s="11"/>
      <c r="O130" s="11"/>
      <c r="P130" s="11"/>
      <c r="Q130" s="11"/>
      <c r="R130" s="11"/>
      <c r="S130" s="11"/>
      <c r="T130" s="11"/>
      <c r="U130" s="11"/>
      <c r="V130" s="11"/>
      <c r="W130" s="11" t="s">
        <v>114</v>
      </c>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row>
    <row r="131" spans="1:67" x14ac:dyDescent="0.25">
      <c r="A131" s="11"/>
      <c r="B131" s="11"/>
      <c r="C131" s="11"/>
      <c r="D131" s="11"/>
      <c r="E131" s="11"/>
      <c r="F131" s="11"/>
      <c r="G131" s="11"/>
      <c r="H131" s="11"/>
      <c r="I131" s="11"/>
      <c r="J131" s="11"/>
      <c r="K131" s="11"/>
      <c r="L131" s="11"/>
      <c r="M131" s="11"/>
      <c r="N131" s="11"/>
      <c r="O131" s="11"/>
      <c r="P131" s="11"/>
      <c r="Q131" s="11"/>
      <c r="R131" s="11"/>
      <c r="S131" s="11"/>
      <c r="T131" s="11"/>
      <c r="U131" s="11"/>
      <c r="V131" s="11"/>
      <c r="W131" s="11" t="s">
        <v>1111</v>
      </c>
      <c r="X131" s="280">
        <f t="shared" ref="X131:AF131" si="1">X95/X127-1</f>
        <v>-3.2509236785108753E-2</v>
      </c>
      <c r="Y131" s="280">
        <f t="shared" si="1"/>
        <v>-2.2998144416704447E-2</v>
      </c>
      <c r="Z131" s="1458">
        <f t="shared" si="1"/>
        <v>-2.670479920248392E-2</v>
      </c>
      <c r="AA131" s="280">
        <f t="shared" si="1"/>
        <v>4.8033911652625161E-3</v>
      </c>
      <c r="AB131" s="280">
        <f t="shared" si="1"/>
        <v>-1.1934366891035442E-3</v>
      </c>
      <c r="AC131" s="280">
        <f>AC95/AC127-1</f>
        <v>5.7427039616932962E-3</v>
      </c>
      <c r="AD131" s="280">
        <f t="shared" si="1"/>
        <v>-1.8879120721644438E-2</v>
      </c>
      <c r="AE131" s="280">
        <f t="shared" si="1"/>
        <v>9.8838344009479773E-3</v>
      </c>
      <c r="AF131" s="280">
        <f t="shared" si="1"/>
        <v>-1.1675749340560593E-2</v>
      </c>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row>
    <row r="132" spans="1:67" x14ac:dyDescent="0.25">
      <c r="A132" s="11"/>
      <c r="B132" s="11"/>
      <c r="C132" s="11"/>
      <c r="D132" s="11"/>
      <c r="E132" s="11"/>
      <c r="F132" s="11"/>
      <c r="G132" s="11"/>
      <c r="H132" s="11"/>
      <c r="I132" s="11"/>
      <c r="J132" s="11"/>
      <c r="K132" s="11"/>
      <c r="L132" s="11"/>
      <c r="M132" s="11"/>
      <c r="N132" s="11"/>
      <c r="O132" s="11"/>
      <c r="P132" s="11"/>
      <c r="Q132" s="11"/>
      <c r="R132" s="11"/>
      <c r="S132" s="11"/>
      <c r="T132" s="11"/>
      <c r="U132" s="11"/>
      <c r="V132" s="11"/>
      <c r="W132" s="11" t="s">
        <v>169</v>
      </c>
      <c r="X132" s="11"/>
      <c r="Y132" s="11"/>
      <c r="Z132" s="11"/>
      <c r="AA132" s="280">
        <f>AA131</f>
        <v>4.8033911652625161E-3</v>
      </c>
      <c r="AB132" s="280">
        <f>AB96/AB128-1</f>
        <v>-1.1934366891035442E-3</v>
      </c>
      <c r="AC132" s="280">
        <f>AC96/AC128-1</f>
        <v>5.7427039616932962E-3</v>
      </c>
      <c r="AD132" s="280">
        <f>AD96/AD128-1</f>
        <v>-2.1897181216259942E-2</v>
      </c>
      <c r="AE132" s="280">
        <f>AE96/AE128-1</f>
        <v>2.0858768308706477E-2</v>
      </c>
      <c r="AF132" s="280">
        <f>AF96/AF128-1</f>
        <v>4.0460837961697083E-2</v>
      </c>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row>
    <row r="133" spans="1:67" x14ac:dyDescent="0.25">
      <c r="A133" s="11"/>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280"/>
      <c r="AB133" s="280"/>
      <c r="AC133" s="280"/>
      <c r="AD133" s="280"/>
      <c r="AE133" s="280"/>
      <c r="AF133" s="280"/>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row>
    <row r="134" spans="1:67" x14ac:dyDescent="0.25">
      <c r="A134" s="11"/>
      <c r="B134" s="11"/>
      <c r="C134" s="11"/>
      <c r="D134" s="11"/>
      <c r="E134" s="11"/>
      <c r="F134" s="11"/>
      <c r="G134" s="11"/>
      <c r="H134" s="11"/>
      <c r="I134" s="11"/>
      <c r="J134" s="11"/>
      <c r="K134" s="11"/>
      <c r="L134" s="11"/>
      <c r="M134" s="11"/>
      <c r="N134" s="11"/>
      <c r="O134" s="11"/>
      <c r="P134" s="11"/>
      <c r="Q134" s="11"/>
      <c r="R134" s="11"/>
      <c r="S134" s="11"/>
      <c r="T134" s="11"/>
      <c r="U134" s="11"/>
      <c r="V134" s="11"/>
      <c r="W134" s="10" t="s">
        <v>110</v>
      </c>
      <c r="X134" s="11"/>
      <c r="Y134" s="11"/>
      <c r="Z134" s="11"/>
      <c r="AA134" s="280"/>
      <c r="AB134" s="280"/>
      <c r="AC134" s="280"/>
      <c r="AD134" s="280"/>
      <c r="AE134" s="280"/>
      <c r="AF134" s="280"/>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row>
    <row r="135" spans="1:67" x14ac:dyDescent="0.25">
      <c r="A135" s="11"/>
      <c r="B135" s="11"/>
      <c r="C135" s="11"/>
      <c r="D135" s="11"/>
      <c r="E135" s="11"/>
      <c r="F135" s="11"/>
      <c r="G135" s="11"/>
      <c r="H135" s="11"/>
      <c r="I135" s="11"/>
      <c r="J135" s="11"/>
      <c r="K135" s="11"/>
      <c r="L135" s="11"/>
      <c r="M135" s="11"/>
      <c r="N135" s="11"/>
      <c r="O135" s="11"/>
      <c r="P135" s="11"/>
      <c r="Q135" s="11"/>
      <c r="R135" s="11"/>
      <c r="S135" s="11"/>
      <c r="T135" s="11"/>
      <c r="U135" s="11"/>
      <c r="V135" s="11"/>
      <c r="W135" s="11" t="s">
        <v>668</v>
      </c>
      <c r="X135" s="11">
        <f>PENN!AB314</f>
        <v>175.251</v>
      </c>
      <c r="Y135" s="11">
        <f>PENN!AC314-PENN!AC294</f>
        <v>159.01500000000001</v>
      </c>
      <c r="Z135" s="11">
        <f>PENN!AD314</f>
        <v>172.499</v>
      </c>
      <c r="AA135" s="11">
        <f>PENN!AE314</f>
        <v>143.74899999999997</v>
      </c>
      <c r="AB135" s="1493">
        <f>PENN!AG314</f>
        <v>164.91700000000003</v>
      </c>
      <c r="AC135" s="1493">
        <f>PENN!AH314</f>
        <v>168.21899999999999</v>
      </c>
      <c r="AD135" s="1493">
        <f>PENN!AI314-PENN!AI274-PENN!AI601</f>
        <v>180.91000000000003</v>
      </c>
      <c r="AE135" s="1493">
        <f>PENN!AJ314</f>
        <v>169.15200000000002</v>
      </c>
      <c r="AF135" s="1493">
        <f>PENN!AP314-PENN!AP281</f>
        <v>789.404</v>
      </c>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row>
    <row r="136" spans="1:67" x14ac:dyDescent="0.25">
      <c r="A136" s="11"/>
      <c r="B136" s="11"/>
      <c r="C136" s="11"/>
      <c r="D136" s="11"/>
      <c r="E136" s="11"/>
      <c r="F136" s="11"/>
      <c r="G136" s="11"/>
      <c r="H136" s="11"/>
      <c r="I136" s="11"/>
      <c r="J136" s="11"/>
      <c r="K136" s="11"/>
      <c r="L136" s="11"/>
      <c r="M136" s="11"/>
      <c r="N136" s="11"/>
      <c r="O136" s="11"/>
      <c r="P136" s="11"/>
      <c r="Q136" s="11"/>
      <c r="R136" s="11"/>
      <c r="S136" s="11"/>
      <c r="T136" s="11"/>
      <c r="U136" s="11"/>
      <c r="V136" s="11"/>
      <c r="W136" s="11" t="s">
        <v>669</v>
      </c>
      <c r="X136" s="11">
        <f>PENN!AB258</f>
        <v>612.226</v>
      </c>
      <c r="Y136" s="11">
        <f>PENN!AC258-PENN!AC241</f>
        <v>577.17700000000002</v>
      </c>
      <c r="Z136" s="11">
        <f>PENN!AD258</f>
        <v>620.42600000000016</v>
      </c>
      <c r="AA136" s="11">
        <f>PENN!AE258</f>
        <v>555.80600000000004</v>
      </c>
      <c r="AB136" s="11">
        <f>PENN!AG258</f>
        <v>592.32299999999998</v>
      </c>
      <c r="AC136" s="11">
        <f>PENN!AH258</f>
        <v>598.31099999999981</v>
      </c>
      <c r="AD136" s="1493">
        <f>PENN!AI258-PENN!AI227-PENN!AI1104</f>
        <v>635.90099999999995</v>
      </c>
      <c r="AE136" s="1493">
        <f>PENN!AJ258</f>
        <v>630.221</v>
      </c>
      <c r="AF136" s="1493">
        <f>PENN!AP258-PENN!AP231</f>
        <v>2648.4619999999995</v>
      </c>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row>
    <row r="137" spans="1:67" x14ac:dyDescent="0.25">
      <c r="A137" s="11"/>
      <c r="B137" s="11"/>
      <c r="C137" s="11"/>
      <c r="D137" s="11"/>
      <c r="E137" s="11"/>
      <c r="F137" s="11"/>
      <c r="G137" s="11"/>
      <c r="H137" s="11"/>
      <c r="I137" s="11"/>
      <c r="J137" s="11"/>
      <c r="K137" s="11"/>
      <c r="L137" s="11"/>
      <c r="M137" s="11"/>
      <c r="N137" s="11"/>
      <c r="O137" s="11"/>
      <c r="P137" s="11"/>
      <c r="Q137" s="11"/>
      <c r="R137" s="11"/>
      <c r="S137" s="11"/>
      <c r="T137" s="11"/>
      <c r="U137" s="11"/>
      <c r="V137" s="11"/>
      <c r="W137" s="11" t="s">
        <v>666</v>
      </c>
      <c r="X137" s="280">
        <f>X135/X136</f>
        <v>0.28625213564925373</v>
      </c>
      <c r="Y137" s="280">
        <f t="shared" ref="Y137:AF137" si="2">Y135/Y136</f>
        <v>0.27550474117991536</v>
      </c>
      <c r="Z137" s="280">
        <f t="shared" si="2"/>
        <v>0.27803315786250082</v>
      </c>
      <c r="AA137" s="280">
        <f t="shared" si="2"/>
        <v>0.25863160887072101</v>
      </c>
      <c r="AB137" s="280">
        <f t="shared" si="2"/>
        <v>0.2784241030653884</v>
      </c>
      <c r="AC137" s="280">
        <f t="shared" si="2"/>
        <v>0.28115645542201306</v>
      </c>
      <c r="AD137" s="280">
        <f t="shared" si="2"/>
        <v>0.2844939699733135</v>
      </c>
      <c r="AE137" s="280">
        <f t="shared" si="2"/>
        <v>0.26840108469885965</v>
      </c>
      <c r="AF137" s="280">
        <f t="shared" si="2"/>
        <v>0.29806128991089931</v>
      </c>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row>
    <row r="138" spans="1:67" x14ac:dyDescent="0.25">
      <c r="A138" s="11"/>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280"/>
      <c r="AB138" s="280"/>
      <c r="AC138" s="280"/>
      <c r="AD138" s="280"/>
      <c r="AE138" s="280">
        <f>SUM(AB135:AE135)/SUM(AB136:AE136)</f>
        <v>0.27808948059962002</v>
      </c>
      <c r="AF138" s="280"/>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row>
    <row r="139" spans="1:67" x14ac:dyDescent="0.25">
      <c r="A139" s="11"/>
      <c r="B139" s="11"/>
      <c r="C139" s="11"/>
      <c r="D139" s="11"/>
      <c r="E139" s="11"/>
      <c r="F139" s="11"/>
      <c r="G139" s="11"/>
      <c r="H139" s="11"/>
      <c r="I139" s="11"/>
      <c r="J139" s="11"/>
      <c r="K139" s="11"/>
      <c r="L139" s="11"/>
      <c r="M139" s="11"/>
      <c r="N139" s="11"/>
      <c r="O139" s="11"/>
      <c r="P139" s="11"/>
      <c r="Q139" s="11"/>
      <c r="R139" s="11"/>
      <c r="S139" s="11"/>
      <c r="T139" s="11"/>
      <c r="U139" s="11"/>
      <c r="V139" s="11"/>
      <c r="W139" s="11" t="s">
        <v>111</v>
      </c>
      <c r="X139" s="426">
        <f>(X101-X137)*10000</f>
        <v>-78.280325838653297</v>
      </c>
      <c r="Y139" s="426">
        <f t="shared" ref="Y139:AF139" si="3">(Y101-Y137)*10000</f>
        <v>50.541492675553187</v>
      </c>
      <c r="Z139" s="426">
        <f t="shared" si="3"/>
        <v>68.083504854968282</v>
      </c>
      <c r="AA139" s="426">
        <f t="shared" si="3"/>
        <v>170.77671601282151</v>
      </c>
      <c r="AB139" s="426">
        <f t="shared" si="3"/>
        <v>267.34926219416531</v>
      </c>
      <c r="AC139" s="426">
        <f t="shared" si="3"/>
        <v>401.81292057608175</v>
      </c>
      <c r="AD139" s="426">
        <f t="shared" si="3"/>
        <v>258.43195989101451</v>
      </c>
      <c r="AE139" s="426">
        <f t="shared" si="3"/>
        <v>118.14171802043916</v>
      </c>
      <c r="AF139" s="426">
        <f t="shared" si="3"/>
        <v>-117.86082491553162</v>
      </c>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row>
    <row r="140" spans="1:67" x14ac:dyDescent="0.25">
      <c r="A140" s="11"/>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280"/>
      <c r="AB140" s="280"/>
      <c r="AC140" s="280"/>
      <c r="AD140" s="280"/>
      <c r="AE140" s="280"/>
      <c r="AF140" s="280"/>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row>
    <row r="141" spans="1:67" x14ac:dyDescent="0.25">
      <c r="A141" s="11"/>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row>
    <row r="142" spans="1:67" x14ac:dyDescent="0.25">
      <c r="A142" s="11"/>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516" t="s">
        <v>667</v>
      </c>
      <c r="AE142" s="938"/>
      <c r="AF142" s="1517"/>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row>
    <row r="143" spans="1:67" x14ac:dyDescent="0.25">
      <c r="A143" s="11"/>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518"/>
      <c r="AE143" s="1519" t="s">
        <v>154</v>
      </c>
      <c r="AF143" s="1520" t="s">
        <v>1374</v>
      </c>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row>
    <row r="144" spans="1:67" x14ac:dyDescent="0.25">
      <c r="A144" s="11"/>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518" t="s">
        <v>1111</v>
      </c>
      <c r="AE144" s="1524">
        <f>SUM($AB$95:$AE$95)/SUM($AB$127:$AE$127)-1</f>
        <v>-1.0688110422788499E-3</v>
      </c>
      <c r="AF144" s="1525">
        <f>AF131</f>
        <v>-1.1675749340560593E-2</v>
      </c>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row>
    <row r="145" spans="1:67" x14ac:dyDescent="0.25">
      <c r="A145" s="11"/>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521" t="s">
        <v>169</v>
      </c>
      <c r="AE145" s="1522">
        <f>SUM(AB96:AE96)/SUM(AB128:AE128)-1</f>
        <v>1.1766979023950519E-3</v>
      </c>
      <c r="AF145" s="1523">
        <f>AF132</f>
        <v>4.0460837961697083E-2</v>
      </c>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c r="BC145" s="11"/>
      <c r="BD145" s="11"/>
      <c r="BE145" s="11"/>
      <c r="BF145" s="11"/>
      <c r="BG145" s="11"/>
      <c r="BH145" s="11"/>
      <c r="BI145" s="11"/>
      <c r="BJ145" s="11"/>
      <c r="BK145" s="11"/>
      <c r="BL145" s="11"/>
      <c r="BM145" s="11"/>
      <c r="BN145" s="11"/>
      <c r="BO145" s="11"/>
    </row>
    <row r="146" spans="1:67" x14ac:dyDescent="0.25">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550"/>
      <c r="AE146" s="1551"/>
      <c r="AF146" s="155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c r="BC146" s="11"/>
      <c r="BD146" s="11"/>
      <c r="BE146" s="11"/>
      <c r="BF146" s="11"/>
      <c r="BG146" s="11"/>
      <c r="BH146" s="11"/>
      <c r="BI146" s="11"/>
      <c r="BJ146" s="11"/>
      <c r="BK146" s="11"/>
      <c r="BL146" s="11"/>
      <c r="BM146" s="11"/>
      <c r="BN146" s="11"/>
      <c r="BO146" s="11"/>
    </row>
    <row r="147" spans="1:67"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550"/>
      <c r="AE147" s="1551"/>
      <c r="AF147" s="155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row>
    <row r="148" spans="1:67" x14ac:dyDescent="0.25">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550"/>
      <c r="AE148" s="1551"/>
      <c r="AF148" s="155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row>
    <row r="149" spans="1:67" x14ac:dyDescent="0.25">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428"/>
      <c r="AE149" s="924"/>
      <c r="AF149" s="924"/>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row>
    <row r="150" spans="1:67" x14ac:dyDescent="0.25">
      <c r="A150" s="11"/>
      <c r="B150" s="11"/>
      <c r="C150" s="11"/>
      <c r="D150" s="11"/>
      <c r="E150" s="11"/>
      <c r="F150" s="11"/>
      <c r="G150" s="11"/>
      <c r="H150" s="11"/>
      <c r="I150" s="11"/>
      <c r="J150" s="11"/>
      <c r="K150" s="11"/>
      <c r="L150" s="11"/>
      <c r="M150" s="11"/>
      <c r="N150" s="11"/>
      <c r="O150" s="11"/>
      <c r="P150" s="11"/>
      <c r="Q150" s="11"/>
      <c r="R150" s="11"/>
      <c r="S150" s="11"/>
      <c r="T150" s="11"/>
      <c r="U150" s="11"/>
      <c r="V150" s="359" t="s">
        <v>1235</v>
      </c>
      <c r="W150" s="11"/>
      <c r="X150" s="11"/>
      <c r="Y150" s="11"/>
      <c r="Z150" s="11"/>
      <c r="AA150" s="11"/>
      <c r="AB150" s="11"/>
      <c r="AC150" s="11"/>
      <c r="AD150" s="428"/>
      <c r="AE150" s="924"/>
      <c r="AF150" s="924"/>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row>
    <row r="151" spans="1:67" x14ac:dyDescent="0.25">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281"/>
      <c r="AE151" s="382"/>
      <c r="AF151" s="382"/>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row>
    <row r="152" spans="1:67"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315" t="str">
        <f t="shared" ref="X152:AD152" si="4">X93</f>
        <v>1Q10</v>
      </c>
      <c r="Y152" s="315" t="str">
        <f t="shared" si="4"/>
        <v>2Q10</v>
      </c>
      <c r="Z152" s="315" t="str">
        <f t="shared" si="4"/>
        <v>3Q10</v>
      </c>
      <c r="AA152" s="315" t="str">
        <f t="shared" si="4"/>
        <v>4Q10</v>
      </c>
      <c r="AB152" s="315" t="str">
        <f t="shared" si="4"/>
        <v>1Q11</v>
      </c>
      <c r="AC152" s="315" t="str">
        <f t="shared" si="4"/>
        <v>2Q11E</v>
      </c>
      <c r="AD152" s="315" t="str">
        <f t="shared" si="4"/>
        <v>3Q11E</v>
      </c>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row>
    <row r="153" spans="1:67" x14ac:dyDescent="0.25">
      <c r="A153" s="11"/>
      <c r="B153" s="11"/>
      <c r="C153" s="11"/>
      <c r="D153" s="11"/>
      <c r="E153" s="11"/>
      <c r="F153" s="11"/>
      <c r="G153" s="11"/>
      <c r="H153" s="11"/>
      <c r="I153" s="11"/>
      <c r="J153" s="11"/>
      <c r="K153" s="11"/>
      <c r="L153" s="11"/>
      <c r="M153" s="11"/>
      <c r="N153" s="11"/>
      <c r="O153" s="11"/>
      <c r="P153" s="11"/>
      <c r="Q153" s="11"/>
      <c r="R153" s="11"/>
      <c r="S153" s="11"/>
      <c r="T153" s="11"/>
      <c r="U153" s="11"/>
      <c r="V153" s="11"/>
      <c r="W153" s="11" t="s">
        <v>160</v>
      </c>
      <c r="X153" s="11"/>
      <c r="Y153" s="11"/>
      <c r="Z153" s="11">
        <f>PENN!AI334+PENN!AI396</f>
        <v>32.043351750000006</v>
      </c>
      <c r="AA153" s="11">
        <f>PENN!AJ334+PENN!AJ396</f>
        <v>41.181246370000004</v>
      </c>
      <c r="AB153" s="11">
        <f>PENN!AL334+PENN!AL396</f>
        <v>43.832899999999995</v>
      </c>
      <c r="AC153" s="11">
        <f>PENN!AM334+PENN!AM396</f>
        <v>48.275934149999998</v>
      </c>
      <c r="AD153" s="11">
        <f>PENN!AN334+PENN!AN396</f>
        <v>48.430862669999996</v>
      </c>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row>
    <row r="154" spans="1:67" x14ac:dyDescent="0.25">
      <c r="A154" s="11"/>
      <c r="B154" s="11"/>
      <c r="C154" s="11"/>
      <c r="D154" s="11"/>
      <c r="E154" s="11"/>
      <c r="F154" s="11"/>
      <c r="G154" s="11"/>
      <c r="H154" s="11"/>
      <c r="I154" s="11"/>
      <c r="J154" s="11"/>
      <c r="K154" s="11"/>
      <c r="L154" s="11"/>
      <c r="M154" s="11"/>
      <c r="N154" s="11"/>
      <c r="O154" s="11"/>
      <c r="P154" s="11"/>
      <c r="Q154" s="11"/>
      <c r="R154" s="11"/>
      <c r="S154" s="11"/>
      <c r="T154" s="11"/>
      <c r="U154" s="11"/>
      <c r="V154" s="11"/>
      <c r="W154" s="11" t="s">
        <v>161</v>
      </c>
      <c r="X154" s="11"/>
      <c r="Y154" s="11"/>
      <c r="Z154" s="280">
        <f>(Z95+Z153)/Z127-1</f>
        <v>2.4942539480937054E-2</v>
      </c>
      <c r="AA154" s="280">
        <f>(AA95+AA153)/AA127-1</f>
        <v>7.8896233577903097E-2</v>
      </c>
      <c r="AB154" s="280">
        <f>(AB95+AB153)/AB127-1</f>
        <v>7.2808248202416825E-2</v>
      </c>
      <c r="AC154" s="280">
        <f>(AC95+AC153)/AC127-1</f>
        <v>8.9497653518854747E-2</v>
      </c>
      <c r="AD154" s="280">
        <f>(AD95+AD153)/(AD127+Z153)-1</f>
        <v>7.8427451442912854E-3</v>
      </c>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row>
    <row r="155" spans="1:67" x14ac:dyDescent="0.25">
      <c r="A155" s="11"/>
      <c r="B155" s="11"/>
      <c r="C155" s="11"/>
      <c r="D155" s="11"/>
      <c r="E155" s="11"/>
      <c r="F155" s="11"/>
      <c r="G155" s="11"/>
      <c r="H155" s="11"/>
      <c r="I155" s="11"/>
      <c r="J155" s="11"/>
      <c r="K155" s="11"/>
      <c r="L155" s="11"/>
      <c r="M155" s="11"/>
      <c r="N155" s="11"/>
      <c r="O155" s="11"/>
      <c r="P155" s="11"/>
      <c r="Q155" s="11"/>
      <c r="R155" s="11"/>
      <c r="S155" s="11"/>
      <c r="T155" s="11"/>
      <c r="U155" s="11"/>
      <c r="V155" s="11"/>
      <c r="W155" s="11" t="s">
        <v>1695</v>
      </c>
      <c r="X155" s="280">
        <f t="shared" ref="X155:AD155" si="5">X131</f>
        <v>-3.2509236785108753E-2</v>
      </c>
      <c r="Y155" s="280">
        <f t="shared" si="5"/>
        <v>-2.2998144416704447E-2</v>
      </c>
      <c r="Z155" s="280">
        <f t="shared" si="5"/>
        <v>-2.670479920248392E-2</v>
      </c>
      <c r="AA155" s="280">
        <f t="shared" si="5"/>
        <v>4.8033911652625161E-3</v>
      </c>
      <c r="AB155" s="280">
        <f t="shared" si="5"/>
        <v>-1.1934366891035442E-3</v>
      </c>
      <c r="AC155" s="280">
        <f t="shared" si="5"/>
        <v>5.7427039616932962E-3</v>
      </c>
      <c r="AD155" s="280">
        <f t="shared" si="5"/>
        <v>-1.8879120721644438E-2</v>
      </c>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row>
    <row r="156" spans="1:67" x14ac:dyDescent="0.25">
      <c r="A156" s="11"/>
      <c r="B156" s="11"/>
      <c r="C156" s="11"/>
      <c r="D156" s="11"/>
      <c r="E156" s="11"/>
      <c r="F156" s="11"/>
      <c r="G156" s="11"/>
      <c r="H156" s="11"/>
      <c r="I156" s="11"/>
      <c r="J156" s="11"/>
      <c r="K156" s="11"/>
      <c r="L156" s="11"/>
      <c r="M156" s="11"/>
      <c r="N156" s="11"/>
      <c r="O156" s="11"/>
      <c r="P156" s="11"/>
      <c r="Q156" s="11"/>
      <c r="R156" s="11"/>
      <c r="S156" s="11"/>
      <c r="T156" s="11"/>
      <c r="U156" s="11"/>
      <c r="V156" s="11"/>
      <c r="W156" s="11" t="s">
        <v>162</v>
      </c>
      <c r="X156" s="280">
        <v>0</v>
      </c>
      <c r="Y156" s="280">
        <v>0</v>
      </c>
      <c r="Z156" s="280">
        <f>Z154-Z131</f>
        <v>5.1647338683420974E-2</v>
      </c>
      <c r="AA156" s="280">
        <f>AA154-AA131</f>
        <v>7.409284241264058E-2</v>
      </c>
      <c r="AB156" s="280">
        <f>AB154-AB131</f>
        <v>7.400168489152037E-2</v>
      </c>
      <c r="AC156" s="280">
        <f>AC154-AC131</f>
        <v>8.3754949557161451E-2</v>
      </c>
      <c r="AD156" s="280">
        <f>AD154-AD131</f>
        <v>2.6721865865935723E-2</v>
      </c>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row>
    <row r="157" spans="1:67" x14ac:dyDescent="0.25">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row>
    <row r="158" spans="1:67" x14ac:dyDescent="0.25">
      <c r="A158" s="11"/>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1"/>
      <c r="BC158" s="11"/>
      <c r="BD158" s="11"/>
      <c r="BE158" s="11"/>
      <c r="BF158" s="11"/>
      <c r="BG158" s="11"/>
      <c r="BH158" s="11"/>
      <c r="BI158" s="11"/>
      <c r="BJ158" s="11"/>
      <c r="BK158" s="11"/>
      <c r="BL158" s="11"/>
      <c r="BM158" s="11"/>
      <c r="BN158" s="11"/>
      <c r="BO158" s="11"/>
    </row>
    <row r="159" spans="1:67" x14ac:dyDescent="0.25">
      <c r="A159" s="11"/>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c r="BC159" s="11"/>
      <c r="BD159" s="11"/>
      <c r="BE159" s="11"/>
      <c r="BF159" s="11"/>
      <c r="BG159" s="11"/>
      <c r="BH159" s="11"/>
      <c r="BI159" s="11"/>
      <c r="BJ159" s="11"/>
      <c r="BK159" s="11"/>
      <c r="BL159" s="11"/>
      <c r="BM159" s="11"/>
      <c r="BN159" s="11"/>
      <c r="BO159" s="11"/>
    </row>
    <row r="160" spans="1:67" x14ac:dyDescent="0.25">
      <c r="A160" s="11"/>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1"/>
      <c r="BC160" s="11"/>
      <c r="BD160" s="11"/>
      <c r="BE160" s="11"/>
      <c r="BF160" s="11"/>
      <c r="BG160" s="11"/>
      <c r="BH160" s="11"/>
      <c r="BI160" s="11"/>
      <c r="BJ160" s="11"/>
      <c r="BK160" s="11"/>
      <c r="BL160" s="11"/>
      <c r="BM160" s="11"/>
      <c r="BN160" s="11"/>
      <c r="BO160" s="11"/>
    </row>
    <row r="161" spans="1:67" x14ac:dyDescent="0.25">
      <c r="A161" s="11"/>
      <c r="B161" s="11"/>
      <c r="C161" s="11"/>
      <c r="D161" s="11"/>
      <c r="E161" s="11"/>
      <c r="F161" s="11"/>
      <c r="G161" s="11"/>
      <c r="H161" s="11"/>
      <c r="I161" s="11"/>
      <c r="J161" s="11"/>
      <c r="K161" s="11"/>
      <c r="L161" s="11"/>
      <c r="M161" s="11"/>
      <c r="N161" s="11"/>
      <c r="O161" s="11"/>
      <c r="P161" s="11"/>
      <c r="Q161" s="11"/>
      <c r="R161" s="11"/>
      <c r="S161" s="11"/>
      <c r="T161" s="11"/>
      <c r="U161" s="11"/>
      <c r="V161" s="11"/>
      <c r="W161" s="10" t="s">
        <v>162</v>
      </c>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c r="BC161" s="11"/>
      <c r="BD161" s="11"/>
      <c r="BE161" s="11"/>
      <c r="BF161" s="11"/>
      <c r="BG161" s="11"/>
      <c r="BH161" s="11"/>
      <c r="BI161" s="11"/>
      <c r="BJ161" s="11"/>
      <c r="BK161" s="11"/>
      <c r="BL161" s="11"/>
      <c r="BM161" s="11"/>
      <c r="BN161" s="11"/>
      <c r="BO161" s="11"/>
    </row>
    <row r="162" spans="1:67" x14ac:dyDescent="0.25">
      <c r="A162" s="11"/>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1"/>
      <c r="BC162" s="11"/>
      <c r="BD162" s="11"/>
      <c r="BE162" s="11"/>
      <c r="BF162" s="11"/>
      <c r="BG162" s="11"/>
      <c r="BH162" s="11"/>
      <c r="BI162" s="11"/>
      <c r="BJ162" s="11"/>
      <c r="BK162" s="11"/>
      <c r="BL162" s="11"/>
      <c r="BM162" s="11"/>
      <c r="BN162" s="11"/>
      <c r="BO162" s="11"/>
    </row>
    <row r="163" spans="1:67" x14ac:dyDescent="0.25">
      <c r="A163" s="11"/>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c r="BC163" s="11"/>
      <c r="BD163" s="11"/>
      <c r="BE163" s="11"/>
      <c r="BF163" s="11"/>
      <c r="BG163" s="11"/>
      <c r="BH163" s="11"/>
      <c r="BI163" s="11"/>
      <c r="BJ163" s="11"/>
      <c r="BK163" s="11"/>
      <c r="BL163" s="11"/>
      <c r="BM163" s="11"/>
      <c r="BN163" s="11"/>
      <c r="BO163" s="11"/>
    </row>
    <row r="164" spans="1:67" x14ac:dyDescent="0.25">
      <c r="A164" s="11"/>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1"/>
      <c r="BC164" s="11"/>
      <c r="BD164" s="11"/>
      <c r="BE164" s="11"/>
      <c r="BF164" s="11"/>
      <c r="BG164" s="11"/>
      <c r="BH164" s="11"/>
      <c r="BI164" s="11"/>
      <c r="BJ164" s="11"/>
      <c r="BK164" s="11"/>
      <c r="BL164" s="11"/>
      <c r="BM164" s="11"/>
      <c r="BN164" s="11"/>
      <c r="BO164" s="11"/>
    </row>
    <row r="165" spans="1:67" x14ac:dyDescent="0.25">
      <c r="A165" s="11"/>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c r="BC165" s="11"/>
      <c r="BD165" s="11"/>
      <c r="BE165" s="11"/>
      <c r="BF165" s="11"/>
      <c r="BG165" s="11"/>
      <c r="BH165" s="11"/>
      <c r="BI165" s="11"/>
      <c r="BJ165" s="11"/>
      <c r="BK165" s="11"/>
      <c r="BL165" s="11"/>
      <c r="BM165" s="11"/>
      <c r="BN165" s="11"/>
      <c r="BO165" s="11"/>
    </row>
    <row r="166" spans="1:67" x14ac:dyDescent="0.25">
      <c r="A166" s="11"/>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1"/>
      <c r="BC166" s="11"/>
      <c r="BD166" s="11"/>
      <c r="BE166" s="11"/>
      <c r="BF166" s="11"/>
      <c r="BG166" s="11"/>
      <c r="BH166" s="11"/>
      <c r="BI166" s="11"/>
      <c r="BJ166" s="11"/>
      <c r="BK166" s="11"/>
      <c r="BL166" s="11"/>
      <c r="BM166" s="11"/>
      <c r="BN166" s="11"/>
      <c r="BO166" s="11"/>
    </row>
    <row r="167" spans="1:67" x14ac:dyDescent="0.25">
      <c r="A167" s="11"/>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c r="BC167" s="11"/>
      <c r="BD167" s="11"/>
      <c r="BE167" s="11"/>
      <c r="BF167" s="11"/>
      <c r="BG167" s="11"/>
      <c r="BH167" s="11"/>
      <c r="BI167" s="11"/>
      <c r="BJ167" s="11"/>
      <c r="BK167" s="11"/>
      <c r="BL167" s="11"/>
      <c r="BM167" s="11"/>
      <c r="BN167" s="11"/>
      <c r="BO167" s="11"/>
    </row>
    <row r="168" spans="1:67" x14ac:dyDescent="0.25">
      <c r="A168" s="11"/>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1"/>
      <c r="BC168" s="11"/>
      <c r="BD168" s="11"/>
      <c r="BE168" s="11"/>
      <c r="BF168" s="11"/>
      <c r="BG168" s="11"/>
      <c r="BH168" s="11"/>
      <c r="BI168" s="11"/>
      <c r="BJ168" s="11"/>
      <c r="BK168" s="11"/>
      <c r="BL168" s="11"/>
      <c r="BM168" s="11"/>
      <c r="BN168" s="11"/>
      <c r="BO168" s="11"/>
    </row>
    <row r="169" spans="1:67" x14ac:dyDescent="0.25">
      <c r="A169" s="11"/>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c r="BC169" s="11"/>
      <c r="BD169" s="11"/>
      <c r="BE169" s="11"/>
      <c r="BF169" s="11"/>
      <c r="BG169" s="11"/>
      <c r="BH169" s="11"/>
      <c r="BI169" s="11"/>
      <c r="BJ169" s="11"/>
      <c r="BK169" s="11"/>
      <c r="BL169" s="11"/>
      <c r="BM169" s="11"/>
      <c r="BN169" s="11"/>
      <c r="BO169" s="11"/>
    </row>
    <row r="170" spans="1:67" x14ac:dyDescent="0.25">
      <c r="A170" s="11"/>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1"/>
      <c r="BC170" s="11"/>
      <c r="BD170" s="11"/>
      <c r="BE170" s="11"/>
      <c r="BF170" s="11"/>
      <c r="BG170" s="11"/>
      <c r="BH170" s="11"/>
      <c r="BI170" s="11"/>
      <c r="BJ170" s="11"/>
      <c r="BK170" s="11"/>
      <c r="BL170" s="11"/>
      <c r="BM170" s="11"/>
      <c r="BN170" s="11"/>
      <c r="BO170" s="11"/>
    </row>
    <row r="171" spans="1:67" x14ac:dyDescent="0.25">
      <c r="A171" s="11"/>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c r="BC171" s="11"/>
      <c r="BD171" s="11"/>
      <c r="BE171" s="11"/>
      <c r="BF171" s="11"/>
      <c r="BG171" s="11"/>
      <c r="BH171" s="11"/>
      <c r="BI171" s="11"/>
      <c r="BJ171" s="11"/>
      <c r="BK171" s="11"/>
      <c r="BL171" s="11"/>
      <c r="BM171" s="11"/>
      <c r="BN171" s="11"/>
      <c r="BO171" s="11"/>
    </row>
    <row r="172" spans="1:67" x14ac:dyDescent="0.25">
      <c r="A172" s="11"/>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1"/>
      <c r="BC172" s="11"/>
      <c r="BD172" s="11"/>
      <c r="BE172" s="11"/>
      <c r="BF172" s="11"/>
      <c r="BG172" s="11"/>
      <c r="BH172" s="11"/>
      <c r="BI172" s="11"/>
      <c r="BJ172" s="11"/>
      <c r="BK172" s="11"/>
      <c r="BL172" s="11"/>
      <c r="BM172" s="11"/>
      <c r="BN172" s="11"/>
      <c r="BO172" s="11"/>
    </row>
    <row r="173" spans="1:67" x14ac:dyDescent="0.25">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c r="BC173" s="11"/>
      <c r="BD173" s="11"/>
      <c r="BE173" s="11"/>
      <c r="BF173" s="11"/>
      <c r="BG173" s="11"/>
      <c r="BH173" s="11"/>
      <c r="BI173" s="11"/>
      <c r="BJ173" s="11"/>
      <c r="BK173" s="11"/>
      <c r="BL173" s="11"/>
      <c r="BM173" s="11"/>
      <c r="BN173" s="11"/>
      <c r="BO173" s="11"/>
    </row>
    <row r="174" spans="1:67" x14ac:dyDescent="0.25">
      <c r="A174" s="11"/>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1"/>
      <c r="BC174" s="11"/>
      <c r="BD174" s="11"/>
      <c r="BE174" s="11"/>
      <c r="BF174" s="11"/>
      <c r="BG174" s="11"/>
      <c r="BH174" s="11"/>
      <c r="BI174" s="11"/>
      <c r="BJ174" s="11"/>
      <c r="BK174" s="11"/>
      <c r="BL174" s="11"/>
      <c r="BM174" s="11"/>
      <c r="BN174" s="11"/>
      <c r="BO174" s="11"/>
    </row>
    <row r="175" spans="1:67" x14ac:dyDescent="0.25">
      <c r="A175" s="11"/>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c r="BC175" s="11"/>
      <c r="BD175" s="11"/>
      <c r="BE175" s="11"/>
      <c r="BF175" s="11"/>
      <c r="BG175" s="11"/>
      <c r="BH175" s="11"/>
      <c r="BI175" s="11"/>
      <c r="BJ175" s="11"/>
      <c r="BK175" s="11"/>
      <c r="BL175" s="11"/>
      <c r="BM175" s="11"/>
      <c r="BN175" s="11"/>
      <c r="BO175" s="11"/>
    </row>
    <row r="176" spans="1:67" x14ac:dyDescent="0.25">
      <c r="A176" s="11"/>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1"/>
      <c r="BC176" s="11"/>
      <c r="BD176" s="11"/>
      <c r="BE176" s="11"/>
      <c r="BF176" s="11"/>
      <c r="BG176" s="11"/>
      <c r="BH176" s="11"/>
      <c r="BI176" s="11"/>
      <c r="BJ176" s="11"/>
      <c r="BK176" s="11"/>
      <c r="BL176" s="11"/>
      <c r="BM176" s="11"/>
      <c r="BN176" s="11"/>
      <c r="BO176" s="11"/>
    </row>
    <row r="177" spans="1:67" x14ac:dyDescent="0.25">
      <c r="A177" s="11"/>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c r="BC177" s="11"/>
      <c r="BD177" s="11"/>
      <c r="BE177" s="11"/>
      <c r="BF177" s="11"/>
      <c r="BG177" s="11"/>
      <c r="BH177" s="11"/>
      <c r="BI177" s="11"/>
      <c r="BJ177" s="11"/>
      <c r="BK177" s="11"/>
      <c r="BL177" s="11"/>
      <c r="BM177" s="11"/>
      <c r="BN177" s="11"/>
      <c r="BO177" s="11"/>
    </row>
    <row r="178" spans="1:67" x14ac:dyDescent="0.25">
      <c r="A178" s="11"/>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1"/>
      <c r="BC178" s="11"/>
      <c r="BD178" s="11"/>
      <c r="BE178" s="11"/>
      <c r="BF178" s="11"/>
      <c r="BG178" s="11"/>
      <c r="BH178" s="11"/>
      <c r="BI178" s="11"/>
      <c r="BJ178" s="11"/>
      <c r="BK178" s="11"/>
      <c r="BL178" s="11"/>
      <c r="BM178" s="11"/>
      <c r="BN178" s="11"/>
      <c r="BO178" s="11"/>
    </row>
    <row r="179" spans="1:67" x14ac:dyDescent="0.25">
      <c r="A179" s="11"/>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c r="BC179" s="11"/>
      <c r="BD179" s="11"/>
      <c r="BE179" s="11"/>
      <c r="BF179" s="11"/>
      <c r="BG179" s="11"/>
      <c r="BH179" s="11"/>
      <c r="BI179" s="11"/>
      <c r="BJ179" s="11"/>
      <c r="BK179" s="11"/>
      <c r="BL179" s="11"/>
      <c r="BM179" s="11"/>
      <c r="BN179" s="11"/>
      <c r="BO179" s="11"/>
    </row>
    <row r="180" spans="1:67" x14ac:dyDescent="0.25">
      <c r="A180" s="11"/>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row>
    <row r="181" spans="1:67" x14ac:dyDescent="0.25">
      <c r="A181" s="11"/>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row>
    <row r="182" spans="1:67" x14ac:dyDescent="0.25">
      <c r="A182" s="11"/>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1"/>
      <c r="BC182" s="11"/>
      <c r="BD182" s="11"/>
      <c r="BE182" s="11"/>
      <c r="BF182" s="11"/>
      <c r="BG182" s="11"/>
      <c r="BH182" s="11"/>
      <c r="BI182" s="11"/>
      <c r="BJ182" s="11"/>
      <c r="BK182" s="11"/>
      <c r="BL182" s="11"/>
      <c r="BM182" s="11"/>
      <c r="BN182" s="11"/>
      <c r="BO182" s="11"/>
    </row>
    <row r="183" spans="1:67" x14ac:dyDescent="0.25">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c r="BC183" s="11"/>
      <c r="BD183" s="11"/>
      <c r="BE183" s="11"/>
      <c r="BF183" s="11"/>
      <c r="BG183" s="11"/>
      <c r="BH183" s="11"/>
      <c r="BI183" s="11"/>
      <c r="BJ183" s="11"/>
      <c r="BK183" s="11"/>
      <c r="BL183" s="11"/>
      <c r="BM183" s="11"/>
      <c r="BN183" s="11"/>
      <c r="BO183" s="11"/>
    </row>
    <row r="184" spans="1:67" x14ac:dyDescent="0.25">
      <c r="A184" s="11"/>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1"/>
      <c r="BC184" s="11"/>
      <c r="BD184" s="11"/>
      <c r="BE184" s="11"/>
      <c r="BF184" s="11"/>
      <c r="BG184" s="11"/>
      <c r="BH184" s="11"/>
      <c r="BI184" s="11"/>
      <c r="BJ184" s="11"/>
      <c r="BK184" s="11"/>
      <c r="BL184" s="11"/>
      <c r="BM184" s="11"/>
      <c r="BN184" s="11"/>
      <c r="BO184" s="11"/>
    </row>
    <row r="185" spans="1:67" x14ac:dyDescent="0.25">
      <c r="A185" s="11"/>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c r="BC185" s="11"/>
      <c r="BD185" s="11"/>
      <c r="BE185" s="11"/>
      <c r="BF185" s="11"/>
      <c r="BG185" s="11"/>
      <c r="BH185" s="11"/>
      <c r="BI185" s="11"/>
      <c r="BJ185" s="11"/>
      <c r="BK185" s="11"/>
      <c r="BL185" s="11"/>
      <c r="BM185" s="11"/>
      <c r="BN185" s="11"/>
      <c r="BO185" s="11"/>
    </row>
    <row r="186" spans="1:67" x14ac:dyDescent="0.25">
      <c r="A186" s="11"/>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1"/>
      <c r="BC186" s="11"/>
      <c r="BD186" s="11"/>
      <c r="BE186" s="11"/>
      <c r="BF186" s="11"/>
      <c r="BG186" s="11"/>
      <c r="BH186" s="11"/>
      <c r="BI186" s="11"/>
      <c r="BJ186" s="11"/>
      <c r="BK186" s="11"/>
      <c r="BL186" s="11"/>
      <c r="BM186" s="11"/>
      <c r="BN186" s="11"/>
      <c r="BO186" s="11"/>
    </row>
    <row r="187" spans="1:67" x14ac:dyDescent="0.25">
      <c r="A187" s="11"/>
      <c r="B187" s="11"/>
      <c r="C187" s="11"/>
      <c r="D187" s="11"/>
      <c r="E187" s="11"/>
      <c r="F187" s="11"/>
      <c r="G187" s="11"/>
      <c r="H187" s="11"/>
      <c r="I187" s="11"/>
      <c r="J187" s="11"/>
      <c r="K187" s="11"/>
      <c r="L187" s="11"/>
      <c r="M187" s="11"/>
      <c r="N187" s="11"/>
      <c r="O187" s="11"/>
      <c r="P187" s="11"/>
      <c r="Q187" s="11"/>
      <c r="R187" s="11"/>
      <c r="S187" s="11"/>
      <c r="T187" s="11"/>
      <c r="U187" s="11"/>
      <c r="V187" s="11"/>
      <c r="W187" s="10" t="s">
        <v>915</v>
      </c>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c r="BC187" s="11"/>
      <c r="BD187" s="11"/>
      <c r="BE187" s="11"/>
      <c r="BF187" s="11"/>
      <c r="BG187" s="11"/>
      <c r="BH187" s="11"/>
      <c r="BI187" s="11"/>
      <c r="BJ187" s="11"/>
      <c r="BK187" s="11"/>
      <c r="BL187" s="11"/>
      <c r="BM187" s="11"/>
      <c r="BN187" s="11"/>
      <c r="BO187" s="11"/>
    </row>
    <row r="188" spans="1:67" x14ac:dyDescent="0.25">
      <c r="A188" s="11"/>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1"/>
      <c r="BC188" s="11"/>
      <c r="BD188" s="11"/>
      <c r="BE188" s="11"/>
      <c r="BF188" s="11"/>
      <c r="BG188" s="11"/>
      <c r="BH188" s="11"/>
      <c r="BI188" s="11"/>
      <c r="BJ188" s="11"/>
      <c r="BK188" s="11"/>
      <c r="BL188" s="11"/>
      <c r="BM188" s="11"/>
      <c r="BN188" s="11"/>
      <c r="BO188" s="11"/>
    </row>
    <row r="189" spans="1:67" x14ac:dyDescent="0.25">
      <c r="A189" s="11"/>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c r="BC189" s="11"/>
      <c r="BD189" s="11"/>
      <c r="BE189" s="11"/>
      <c r="BF189" s="11"/>
      <c r="BG189" s="11"/>
      <c r="BH189" s="11"/>
      <c r="BI189" s="11"/>
      <c r="BJ189" s="11"/>
      <c r="BK189" s="11"/>
      <c r="BL189" s="11"/>
      <c r="BM189" s="11"/>
      <c r="BN189" s="11"/>
      <c r="BO189" s="11"/>
    </row>
    <row r="190" spans="1:67" x14ac:dyDescent="0.25">
      <c r="A190" s="11"/>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1"/>
      <c r="BC190" s="11"/>
      <c r="BD190" s="11"/>
      <c r="BE190" s="11"/>
      <c r="BF190" s="11"/>
      <c r="BG190" s="11"/>
      <c r="BH190" s="11"/>
      <c r="BI190" s="11"/>
      <c r="BJ190" s="11"/>
      <c r="BK190" s="11"/>
      <c r="BL190" s="11"/>
      <c r="BM190" s="11"/>
      <c r="BN190" s="11"/>
      <c r="BO190" s="11"/>
    </row>
    <row r="191" spans="1:67" x14ac:dyDescent="0.25">
      <c r="A191" s="11"/>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c r="BC191" s="11"/>
      <c r="BD191" s="11"/>
      <c r="BE191" s="11"/>
      <c r="BF191" s="11"/>
      <c r="BG191" s="11"/>
      <c r="BH191" s="11"/>
      <c r="BI191" s="11"/>
      <c r="BJ191" s="11"/>
      <c r="BK191" s="11"/>
      <c r="BL191" s="11"/>
      <c r="BM191" s="11"/>
      <c r="BN191" s="11"/>
      <c r="BO191" s="11"/>
    </row>
    <row r="192" spans="1:67" x14ac:dyDescent="0.25">
      <c r="A192" s="11"/>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1"/>
      <c r="BC192" s="11"/>
      <c r="BD192" s="11"/>
      <c r="BE192" s="11"/>
      <c r="BF192" s="11"/>
      <c r="BG192" s="11"/>
      <c r="BH192" s="11"/>
      <c r="BI192" s="11"/>
      <c r="BJ192" s="11"/>
      <c r="BK192" s="11"/>
      <c r="BL192" s="11"/>
      <c r="BM192" s="11"/>
      <c r="BN192" s="11"/>
      <c r="BO192" s="11"/>
    </row>
    <row r="193" spans="1:67" x14ac:dyDescent="0.25">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c r="BC193" s="11"/>
      <c r="BD193" s="11"/>
      <c r="BE193" s="11"/>
      <c r="BF193" s="11"/>
      <c r="BG193" s="11"/>
      <c r="BH193" s="11"/>
      <c r="BI193" s="11"/>
      <c r="BJ193" s="11"/>
      <c r="BK193" s="11"/>
      <c r="BL193" s="11"/>
      <c r="BM193" s="11"/>
      <c r="BN193" s="11"/>
      <c r="BO193" s="11"/>
    </row>
    <row r="194" spans="1:67" x14ac:dyDescent="0.25">
      <c r="A194" s="11"/>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11"/>
      <c r="BA194" s="11"/>
      <c r="BB194" s="11"/>
      <c r="BC194" s="11"/>
      <c r="BD194" s="11"/>
      <c r="BE194" s="11"/>
      <c r="BF194" s="11"/>
      <c r="BG194" s="11"/>
      <c r="BH194" s="11"/>
      <c r="BI194" s="11"/>
      <c r="BJ194" s="11"/>
      <c r="BK194" s="11"/>
      <c r="BL194" s="11"/>
      <c r="BM194" s="11"/>
      <c r="BN194" s="11"/>
      <c r="BO194" s="11"/>
    </row>
    <row r="195" spans="1:67" x14ac:dyDescent="0.25">
      <c r="A195" s="11"/>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c r="BC195" s="11"/>
      <c r="BD195" s="11"/>
      <c r="BE195" s="11"/>
      <c r="BF195" s="11"/>
      <c r="BG195" s="11"/>
      <c r="BH195" s="11"/>
      <c r="BI195" s="11"/>
      <c r="BJ195" s="11"/>
      <c r="BK195" s="11"/>
      <c r="BL195" s="11"/>
      <c r="BM195" s="11"/>
      <c r="BN195" s="11"/>
      <c r="BO195" s="11"/>
    </row>
    <row r="196" spans="1:67" x14ac:dyDescent="0.25">
      <c r="A196" s="11"/>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11"/>
      <c r="BA196" s="11"/>
      <c r="BB196" s="11"/>
      <c r="BC196" s="11"/>
      <c r="BD196" s="11"/>
      <c r="BE196" s="11"/>
      <c r="BF196" s="11"/>
      <c r="BG196" s="11"/>
      <c r="BH196" s="11"/>
      <c r="BI196" s="11"/>
      <c r="BJ196" s="11"/>
      <c r="BK196" s="11"/>
      <c r="BL196" s="11"/>
      <c r="BM196" s="11"/>
      <c r="BN196" s="11"/>
      <c r="BO196" s="11"/>
    </row>
    <row r="197" spans="1:67" x14ac:dyDescent="0.25">
      <c r="A197" s="11"/>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c r="BC197" s="11"/>
      <c r="BD197" s="11"/>
      <c r="BE197" s="11"/>
      <c r="BF197" s="11"/>
      <c r="BG197" s="11"/>
      <c r="BH197" s="11"/>
      <c r="BI197" s="11"/>
      <c r="BJ197" s="11"/>
      <c r="BK197" s="11"/>
      <c r="BL197" s="11"/>
      <c r="BM197" s="11"/>
      <c r="BN197" s="11"/>
      <c r="BO197" s="11"/>
    </row>
    <row r="198" spans="1:67" x14ac:dyDescent="0.25">
      <c r="A198" s="11"/>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11"/>
      <c r="BA198" s="11"/>
      <c r="BB198" s="11"/>
      <c r="BC198" s="11"/>
      <c r="BD198" s="11"/>
      <c r="BE198" s="11"/>
      <c r="BF198" s="11"/>
      <c r="BG198" s="11"/>
      <c r="BH198" s="11"/>
      <c r="BI198" s="11"/>
      <c r="BJ198" s="11"/>
      <c r="BK198" s="11"/>
      <c r="BL198" s="11"/>
      <c r="BM198" s="11"/>
      <c r="BN198" s="11"/>
      <c r="BO198" s="11"/>
    </row>
    <row r="199" spans="1:67" x14ac:dyDescent="0.25">
      <c r="A199" s="11"/>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c r="BC199" s="11"/>
      <c r="BD199" s="11"/>
      <c r="BE199" s="11"/>
      <c r="BF199" s="11"/>
      <c r="BG199" s="11"/>
      <c r="BH199" s="11"/>
      <c r="BI199" s="11"/>
      <c r="BJ199" s="11"/>
      <c r="BK199" s="11"/>
      <c r="BL199" s="11"/>
      <c r="BM199" s="11"/>
      <c r="BN199" s="11"/>
      <c r="BO199" s="11"/>
    </row>
    <row r="200" spans="1:67" x14ac:dyDescent="0.25">
      <c r="A200" s="11"/>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c r="AL200" s="11"/>
      <c r="AM200" s="11"/>
      <c r="AN200" s="11"/>
      <c r="AO200" s="11"/>
      <c r="AP200" s="11"/>
      <c r="AQ200" s="11"/>
      <c r="AR200" s="11"/>
      <c r="AS200" s="11"/>
      <c r="AT200" s="11"/>
      <c r="AU200" s="11"/>
      <c r="AV200" s="11"/>
      <c r="AW200" s="11"/>
      <c r="AX200" s="11"/>
      <c r="AY200" s="11"/>
      <c r="AZ200" s="11"/>
      <c r="BA200" s="11"/>
      <c r="BB200" s="11"/>
      <c r="BC200" s="11"/>
      <c r="BD200" s="11"/>
      <c r="BE200" s="11"/>
      <c r="BF200" s="11"/>
      <c r="BG200" s="11"/>
      <c r="BH200" s="11"/>
      <c r="BI200" s="11"/>
      <c r="BJ200" s="11"/>
      <c r="BK200" s="11"/>
      <c r="BL200" s="11"/>
      <c r="BM200" s="11"/>
      <c r="BN200" s="11"/>
      <c r="BO200" s="11"/>
    </row>
    <row r="201" spans="1:67" x14ac:dyDescent="0.25">
      <c r="A201" s="11"/>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c r="BC201" s="11"/>
      <c r="BD201" s="11"/>
      <c r="BE201" s="11"/>
      <c r="BF201" s="11"/>
      <c r="BG201" s="11"/>
      <c r="BH201" s="11"/>
      <c r="BI201" s="11"/>
      <c r="BJ201" s="11"/>
      <c r="BK201" s="11"/>
      <c r="BL201" s="11"/>
      <c r="BM201" s="11"/>
      <c r="BN201" s="11"/>
      <c r="BO201" s="11"/>
    </row>
    <row r="202" spans="1:67" x14ac:dyDescent="0.25">
      <c r="A202" s="11"/>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c r="AL202" s="11"/>
      <c r="AM202" s="11"/>
      <c r="AN202" s="11"/>
      <c r="AO202" s="11"/>
      <c r="AP202" s="11"/>
      <c r="AQ202" s="11"/>
      <c r="AR202" s="11"/>
      <c r="AS202" s="11"/>
      <c r="AT202" s="11"/>
      <c r="AU202" s="11"/>
      <c r="AV202" s="11"/>
      <c r="AW202" s="11"/>
      <c r="AX202" s="11"/>
      <c r="AY202" s="11"/>
      <c r="AZ202" s="11"/>
      <c r="BA202" s="11"/>
      <c r="BB202" s="11"/>
      <c r="BC202" s="11"/>
      <c r="BD202" s="11"/>
      <c r="BE202" s="11"/>
      <c r="BF202" s="11"/>
      <c r="BG202" s="11"/>
      <c r="BH202" s="11"/>
      <c r="BI202" s="11"/>
      <c r="BJ202" s="11"/>
      <c r="BK202" s="11"/>
      <c r="BL202" s="11"/>
      <c r="BM202" s="11"/>
      <c r="BN202" s="11"/>
      <c r="BO202" s="11"/>
    </row>
    <row r="203" spans="1:67" x14ac:dyDescent="0.25">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c r="BC203" s="11"/>
      <c r="BD203" s="11"/>
      <c r="BE203" s="11"/>
      <c r="BF203" s="11"/>
      <c r="BG203" s="11"/>
      <c r="BH203" s="11"/>
      <c r="BI203" s="11"/>
      <c r="BJ203" s="11"/>
      <c r="BK203" s="11"/>
      <c r="BL203" s="11"/>
      <c r="BM203" s="11"/>
      <c r="BN203" s="11"/>
      <c r="BO203" s="11"/>
    </row>
    <row r="204" spans="1:67" x14ac:dyDescent="0.25">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11"/>
      <c r="AR204" s="11"/>
      <c r="AS204" s="11"/>
      <c r="AT204" s="11"/>
      <c r="AU204" s="11"/>
      <c r="AV204" s="11"/>
      <c r="AW204" s="11"/>
      <c r="AX204" s="11"/>
      <c r="AY204" s="11"/>
      <c r="AZ204" s="11"/>
      <c r="BA204" s="11"/>
      <c r="BB204" s="11"/>
      <c r="BC204" s="11"/>
      <c r="BD204" s="11"/>
      <c r="BE204" s="11"/>
      <c r="BF204" s="11"/>
      <c r="BG204" s="11"/>
      <c r="BH204" s="11"/>
      <c r="BI204" s="11"/>
      <c r="BJ204" s="11"/>
      <c r="BK204" s="11"/>
      <c r="BL204" s="11"/>
      <c r="BM204" s="11"/>
      <c r="BN204" s="11"/>
      <c r="BO204" s="11"/>
    </row>
    <row r="205" spans="1:67" x14ac:dyDescent="0.25">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row>
    <row r="206" spans="1:67" x14ac:dyDescent="0.25">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11"/>
      <c r="AR206" s="11"/>
      <c r="AS206" s="11"/>
      <c r="AT206" s="11"/>
      <c r="AU206" s="11"/>
      <c r="AV206" s="11"/>
      <c r="AW206" s="11"/>
      <c r="AX206" s="11"/>
      <c r="AY206" s="11"/>
      <c r="AZ206" s="11"/>
      <c r="BA206" s="11"/>
      <c r="BB206" s="11"/>
      <c r="BC206" s="11"/>
      <c r="BD206" s="11"/>
      <c r="BE206" s="11"/>
      <c r="BF206" s="11"/>
      <c r="BG206" s="11"/>
      <c r="BH206" s="11"/>
      <c r="BI206" s="11"/>
      <c r="BJ206" s="11"/>
      <c r="BK206" s="11"/>
      <c r="BL206" s="11"/>
      <c r="BM206" s="11"/>
      <c r="BN206" s="11"/>
      <c r="BO206" s="11"/>
    </row>
    <row r="207" spans="1:67" x14ac:dyDescent="0.25">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row>
    <row r="208" spans="1:67" x14ac:dyDescent="0.25">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11"/>
      <c r="AR208" s="11"/>
      <c r="AS208" s="11"/>
      <c r="AT208" s="11"/>
      <c r="AU208" s="11"/>
      <c r="AV208" s="11"/>
      <c r="AW208" s="11"/>
      <c r="AX208" s="11"/>
      <c r="AY208" s="11"/>
      <c r="AZ208" s="11"/>
      <c r="BA208" s="11"/>
      <c r="BB208" s="11"/>
      <c r="BC208" s="11"/>
      <c r="BD208" s="11"/>
      <c r="BE208" s="11"/>
      <c r="BF208" s="11"/>
      <c r="BG208" s="11"/>
      <c r="BH208" s="11"/>
      <c r="BI208" s="11"/>
      <c r="BJ208" s="11"/>
      <c r="BK208" s="11"/>
      <c r="BL208" s="11"/>
      <c r="BM208" s="11"/>
      <c r="BN208" s="11"/>
      <c r="BO208" s="11"/>
    </row>
    <row r="209" spans="1:67" x14ac:dyDescent="0.25">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row>
    <row r="210" spans="1:67" x14ac:dyDescent="0.25">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c r="AU210" s="11"/>
      <c r="AV210" s="11"/>
      <c r="AW210" s="11"/>
      <c r="AX210" s="11"/>
      <c r="AY210" s="11"/>
      <c r="AZ210" s="11"/>
      <c r="BA210" s="11"/>
      <c r="BB210" s="11"/>
      <c r="BC210" s="11"/>
      <c r="BD210" s="11"/>
      <c r="BE210" s="11"/>
      <c r="BF210" s="11"/>
      <c r="BG210" s="11"/>
      <c r="BH210" s="11"/>
      <c r="BI210" s="11"/>
      <c r="BJ210" s="11"/>
      <c r="BK210" s="11"/>
      <c r="BL210" s="11"/>
      <c r="BM210" s="11"/>
      <c r="BN210" s="11"/>
      <c r="BO210" s="11"/>
    </row>
    <row r="211" spans="1:67" x14ac:dyDescent="0.25">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c r="BC211" s="11"/>
      <c r="BD211" s="11"/>
      <c r="BE211" s="11"/>
      <c r="BF211" s="11"/>
      <c r="BG211" s="11"/>
      <c r="BH211" s="11"/>
      <c r="BI211" s="11"/>
      <c r="BJ211" s="11"/>
      <c r="BK211" s="11"/>
      <c r="BL211" s="11"/>
      <c r="BM211" s="11"/>
      <c r="BN211" s="11"/>
      <c r="BO211" s="11"/>
    </row>
    <row r="212" spans="1:67" x14ac:dyDescent="0.25">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11"/>
      <c r="AR212" s="11"/>
      <c r="AS212" s="11"/>
      <c r="AT212" s="11"/>
      <c r="AU212" s="11"/>
      <c r="AV212" s="11"/>
      <c r="AW212" s="11"/>
      <c r="AX212" s="11"/>
      <c r="AY212" s="11"/>
      <c r="AZ212" s="11"/>
      <c r="BA212" s="11"/>
      <c r="BB212" s="11"/>
      <c r="BC212" s="11"/>
      <c r="BD212" s="11"/>
      <c r="BE212" s="11"/>
      <c r="BF212" s="11"/>
      <c r="BG212" s="11"/>
      <c r="BH212" s="11"/>
      <c r="BI212" s="11"/>
      <c r="BJ212" s="11"/>
      <c r="BK212" s="11"/>
      <c r="BL212" s="11"/>
      <c r="BM212" s="11"/>
      <c r="BN212" s="11"/>
      <c r="BO212" s="11"/>
    </row>
    <row r="213" spans="1:67" x14ac:dyDescent="0.25">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c r="BC213" s="11"/>
      <c r="BD213" s="11"/>
      <c r="BE213" s="11"/>
      <c r="BF213" s="11"/>
      <c r="BG213" s="11"/>
      <c r="BH213" s="11"/>
      <c r="BI213" s="11"/>
      <c r="BJ213" s="11"/>
      <c r="BK213" s="11"/>
      <c r="BL213" s="11"/>
      <c r="BM213" s="11"/>
      <c r="BN213" s="11"/>
      <c r="BO213" s="11"/>
    </row>
    <row r="214" spans="1:67" x14ac:dyDescent="0.25">
      <c r="A214" s="11"/>
      <c r="B214" s="11"/>
      <c r="C214" s="11"/>
      <c r="D214" s="11"/>
      <c r="E214" s="11"/>
      <c r="F214" s="11"/>
      <c r="G214" s="11"/>
      <c r="H214" s="11"/>
      <c r="I214" s="11"/>
      <c r="J214" s="11"/>
      <c r="K214" s="11"/>
      <c r="L214" s="11"/>
      <c r="M214" s="11"/>
      <c r="N214" s="11"/>
      <c r="O214" s="11"/>
      <c r="P214" s="11"/>
      <c r="Q214" s="11"/>
      <c r="R214" s="11"/>
      <c r="S214" s="11"/>
      <c r="T214" s="11"/>
      <c r="U214" s="11"/>
      <c r="V214" s="11"/>
      <c r="W214" s="10" t="s">
        <v>1237</v>
      </c>
      <c r="X214" s="11"/>
      <c r="Y214" s="11"/>
      <c r="Z214" s="11"/>
      <c r="AA214" s="11"/>
      <c r="AB214" s="11"/>
      <c r="AC214" s="11"/>
      <c r="AD214" s="11"/>
      <c r="AE214" s="11"/>
      <c r="AF214" s="11"/>
      <c r="AG214" s="11"/>
      <c r="AH214" s="11"/>
      <c r="AI214" s="11"/>
      <c r="AJ214" s="11"/>
      <c r="AK214" s="11"/>
      <c r="AL214" s="11"/>
      <c r="AM214" s="11"/>
      <c r="AN214" s="11"/>
      <c r="AO214" s="11"/>
      <c r="AP214" s="11"/>
      <c r="AQ214" s="11"/>
      <c r="AR214" s="11"/>
      <c r="AS214" s="11"/>
      <c r="AT214" s="11"/>
      <c r="AU214" s="11"/>
      <c r="AV214" s="11"/>
      <c r="AW214" s="11"/>
      <c r="AX214" s="11"/>
      <c r="AY214" s="11"/>
      <c r="AZ214" s="11"/>
      <c r="BA214" s="11"/>
      <c r="BB214" s="11"/>
      <c r="BC214" s="11"/>
      <c r="BD214" s="11"/>
      <c r="BE214" s="11"/>
      <c r="BF214" s="11"/>
      <c r="BG214" s="11"/>
      <c r="BH214" s="11"/>
      <c r="BI214" s="11"/>
      <c r="BJ214" s="11"/>
      <c r="BK214" s="11"/>
      <c r="BL214" s="11"/>
      <c r="BM214" s="11"/>
      <c r="BN214" s="11"/>
      <c r="BO214" s="11"/>
    </row>
    <row r="215" spans="1:67" x14ac:dyDescent="0.25">
      <c r="A215" s="11"/>
      <c r="B215" s="11"/>
      <c r="C215" s="11"/>
      <c r="D215" s="11"/>
      <c r="E215" s="11"/>
      <c r="F215" s="11"/>
      <c r="G215" s="11"/>
      <c r="H215" s="11"/>
      <c r="I215" s="11"/>
      <c r="J215" s="11"/>
      <c r="K215" s="11"/>
      <c r="L215" s="11"/>
      <c r="M215" s="11"/>
      <c r="N215" s="11"/>
      <c r="O215" s="11"/>
      <c r="P215" s="11"/>
      <c r="Q215" s="11"/>
      <c r="R215" s="11"/>
      <c r="S215" s="11"/>
      <c r="T215" s="11"/>
      <c r="U215" s="11"/>
      <c r="V215" s="359"/>
      <c r="W215" s="11"/>
      <c r="X215" s="11"/>
      <c r="Y215" s="11"/>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c r="BC215" s="11"/>
      <c r="BD215" s="11"/>
      <c r="BE215" s="11"/>
      <c r="BF215" s="11"/>
      <c r="BG215" s="11"/>
      <c r="BH215" s="11"/>
      <c r="BI215" s="11"/>
      <c r="BJ215" s="11"/>
      <c r="BK215" s="11"/>
      <c r="BL215" s="11"/>
      <c r="BM215" s="11"/>
      <c r="BN215" s="11"/>
      <c r="BO215" s="11"/>
    </row>
    <row r="216" spans="1:67" x14ac:dyDescent="0.25">
      <c r="A216" s="11"/>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c r="AL216" s="11"/>
      <c r="AM216" s="11"/>
      <c r="AN216" s="11"/>
      <c r="AO216" s="11"/>
      <c r="AP216" s="11"/>
      <c r="AQ216" s="11"/>
      <c r="AR216" s="11"/>
      <c r="AS216" s="11"/>
      <c r="AT216" s="11"/>
      <c r="AU216" s="11"/>
      <c r="AV216" s="11"/>
      <c r="AW216" s="11"/>
      <c r="AX216" s="11"/>
      <c r="AY216" s="11"/>
      <c r="AZ216" s="11"/>
      <c r="BA216" s="11"/>
      <c r="BB216" s="11"/>
      <c r="BC216" s="11"/>
      <c r="BD216" s="11"/>
      <c r="BE216" s="11"/>
      <c r="BF216" s="11"/>
      <c r="BG216" s="11"/>
      <c r="BH216" s="11"/>
      <c r="BI216" s="11"/>
      <c r="BJ216" s="11"/>
      <c r="BK216" s="11"/>
      <c r="BL216" s="11"/>
      <c r="BM216" s="11"/>
      <c r="BN216" s="11"/>
      <c r="BO216" s="11"/>
    </row>
    <row r="217" spans="1:67" x14ac:dyDescent="0.25">
      <c r="A217" s="11"/>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c r="BC217" s="11"/>
      <c r="BD217" s="11"/>
      <c r="BE217" s="11"/>
      <c r="BF217" s="11"/>
      <c r="BG217" s="11"/>
      <c r="BH217" s="11"/>
      <c r="BI217" s="11"/>
      <c r="BJ217" s="11"/>
      <c r="BK217" s="11"/>
      <c r="BL217" s="11"/>
      <c r="BM217" s="11"/>
      <c r="BN217" s="11"/>
      <c r="BO217" s="11"/>
    </row>
    <row r="218" spans="1:67" x14ac:dyDescent="0.25">
      <c r="A218" s="11"/>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c r="AL218" s="11"/>
      <c r="AM218" s="11"/>
      <c r="AN218" s="11"/>
      <c r="AO218" s="11"/>
      <c r="AP218" s="11"/>
      <c r="AQ218" s="11"/>
      <c r="AR218" s="11"/>
      <c r="AS218" s="11"/>
      <c r="AT218" s="11"/>
      <c r="AU218" s="11"/>
      <c r="AV218" s="11"/>
      <c r="AW218" s="11"/>
      <c r="AX218" s="11"/>
      <c r="AY218" s="11"/>
      <c r="AZ218" s="11"/>
      <c r="BA218" s="11"/>
      <c r="BB218" s="11"/>
      <c r="BC218" s="11"/>
      <c r="BD218" s="11"/>
      <c r="BE218" s="11"/>
      <c r="BF218" s="11"/>
      <c r="BG218" s="11"/>
      <c r="BH218" s="11"/>
      <c r="BI218" s="11"/>
      <c r="BJ218" s="11"/>
      <c r="BK218" s="11"/>
      <c r="BL218" s="11"/>
      <c r="BM218" s="11"/>
      <c r="BN218" s="11"/>
      <c r="BO218" s="11"/>
    </row>
    <row r="219" spans="1:67" x14ac:dyDescent="0.25">
      <c r="A219" s="11"/>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c r="BC219" s="11"/>
      <c r="BD219" s="11"/>
      <c r="BE219" s="11"/>
      <c r="BF219" s="11"/>
      <c r="BG219" s="11"/>
      <c r="BH219" s="11"/>
      <c r="BI219" s="11"/>
      <c r="BJ219" s="11"/>
      <c r="BK219" s="11"/>
      <c r="BL219" s="11"/>
      <c r="BM219" s="11"/>
      <c r="BN219" s="11"/>
      <c r="BO219" s="11"/>
    </row>
    <row r="220" spans="1:67" x14ac:dyDescent="0.25">
      <c r="A220" s="11"/>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c r="AL220" s="11"/>
      <c r="AM220" s="11"/>
      <c r="AN220" s="11"/>
      <c r="AO220" s="11"/>
      <c r="AP220" s="11"/>
      <c r="AQ220" s="11"/>
      <c r="AR220" s="11"/>
      <c r="AS220" s="11"/>
      <c r="AT220" s="11"/>
      <c r="AU220" s="11"/>
      <c r="AV220" s="11"/>
      <c r="AW220" s="11"/>
      <c r="AX220" s="11"/>
      <c r="AY220" s="11"/>
      <c r="AZ220" s="11"/>
      <c r="BA220" s="11"/>
      <c r="BB220" s="11"/>
      <c r="BC220" s="11"/>
      <c r="BD220" s="11"/>
      <c r="BE220" s="11"/>
      <c r="BF220" s="11"/>
      <c r="BG220" s="11"/>
      <c r="BH220" s="11"/>
      <c r="BI220" s="11"/>
      <c r="BJ220" s="11"/>
      <c r="BK220" s="11"/>
      <c r="BL220" s="11"/>
      <c r="BM220" s="11"/>
      <c r="BN220" s="11"/>
      <c r="BO220" s="11"/>
    </row>
    <row r="221" spans="1:67" x14ac:dyDescent="0.25">
      <c r="A221" s="11"/>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c r="BC221" s="11"/>
      <c r="BD221" s="11"/>
      <c r="BE221" s="11"/>
      <c r="BF221" s="11"/>
      <c r="BG221" s="11"/>
      <c r="BH221" s="11"/>
      <c r="BI221" s="11"/>
      <c r="BJ221" s="11"/>
      <c r="BK221" s="11"/>
      <c r="BL221" s="11"/>
      <c r="BM221" s="11"/>
      <c r="BN221" s="11"/>
      <c r="BO221" s="11"/>
    </row>
    <row r="222" spans="1:67" x14ac:dyDescent="0.25">
      <c r="A222" s="11"/>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c r="AL222" s="11"/>
      <c r="AM222" s="11"/>
      <c r="AN222" s="11"/>
      <c r="AO222" s="11"/>
      <c r="AP222" s="11"/>
      <c r="AQ222" s="11"/>
      <c r="AR222" s="11"/>
      <c r="AS222" s="11"/>
      <c r="AT222" s="11"/>
      <c r="AU222" s="11"/>
      <c r="AV222" s="11"/>
      <c r="AW222" s="11"/>
      <c r="AX222" s="11"/>
      <c r="AY222" s="11"/>
      <c r="AZ222" s="11"/>
      <c r="BA222" s="11"/>
      <c r="BB222" s="11"/>
      <c r="BC222" s="11"/>
      <c r="BD222" s="11"/>
      <c r="BE222" s="11"/>
      <c r="BF222" s="11"/>
      <c r="BG222" s="11"/>
      <c r="BH222" s="11"/>
      <c r="BI222" s="11"/>
      <c r="BJ222" s="11"/>
      <c r="BK222" s="11"/>
      <c r="BL222" s="11"/>
      <c r="BM222" s="11"/>
      <c r="BN222" s="11"/>
      <c r="BO222" s="11"/>
    </row>
    <row r="223" spans="1:67" x14ac:dyDescent="0.25">
      <c r="A223" s="11"/>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c r="BC223" s="11"/>
      <c r="BD223" s="11"/>
      <c r="BE223" s="11"/>
      <c r="BF223" s="11"/>
      <c r="BG223" s="11"/>
      <c r="BH223" s="11"/>
      <c r="BI223" s="11"/>
      <c r="BJ223" s="11"/>
      <c r="BK223" s="11"/>
      <c r="BL223" s="11"/>
      <c r="BM223" s="11"/>
      <c r="BN223" s="11"/>
      <c r="BO223" s="11"/>
    </row>
    <row r="224" spans="1:67" x14ac:dyDescent="0.25">
      <c r="A224" s="11"/>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c r="AL224" s="11"/>
      <c r="AM224" s="11"/>
      <c r="AN224" s="11"/>
      <c r="AO224" s="11"/>
      <c r="AP224" s="11"/>
      <c r="AQ224" s="11"/>
      <c r="AR224" s="11"/>
      <c r="AS224" s="11"/>
      <c r="AT224" s="11"/>
      <c r="AU224" s="11"/>
      <c r="AV224" s="11"/>
      <c r="AW224" s="11"/>
      <c r="AX224" s="11"/>
      <c r="AY224" s="11"/>
      <c r="AZ224" s="11"/>
      <c r="BA224" s="11"/>
      <c r="BB224" s="11"/>
      <c r="BC224" s="11"/>
      <c r="BD224" s="11"/>
      <c r="BE224" s="11"/>
      <c r="BF224" s="11"/>
      <c r="BG224" s="11"/>
      <c r="BH224" s="11"/>
      <c r="BI224" s="11"/>
      <c r="BJ224" s="11"/>
      <c r="BK224" s="11"/>
      <c r="BL224" s="11"/>
      <c r="BM224" s="11"/>
      <c r="BN224" s="11"/>
      <c r="BO224" s="11"/>
    </row>
    <row r="225" spans="1:67" x14ac:dyDescent="0.25">
      <c r="A225" s="11"/>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c r="BC225" s="11"/>
      <c r="BD225" s="11"/>
      <c r="BE225" s="11"/>
      <c r="BF225" s="11"/>
      <c r="BG225" s="11"/>
      <c r="BH225" s="11"/>
      <c r="BI225" s="11"/>
      <c r="BJ225" s="11"/>
      <c r="BK225" s="11"/>
      <c r="BL225" s="11"/>
      <c r="BM225" s="11"/>
      <c r="BN225" s="11"/>
      <c r="BO225" s="11"/>
    </row>
    <row r="226" spans="1:67" x14ac:dyDescent="0.25">
      <c r="A226" s="11"/>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c r="AL226" s="11"/>
      <c r="AM226" s="11"/>
      <c r="AN226" s="11"/>
      <c r="AO226" s="11"/>
      <c r="AP226" s="11"/>
      <c r="AQ226" s="11"/>
      <c r="AR226" s="11"/>
      <c r="AS226" s="11"/>
      <c r="AT226" s="11"/>
      <c r="AU226" s="11"/>
      <c r="AV226" s="11"/>
      <c r="AW226" s="11"/>
      <c r="AX226" s="11"/>
      <c r="AY226" s="11"/>
      <c r="AZ226" s="11"/>
      <c r="BA226" s="11"/>
      <c r="BB226" s="11"/>
      <c r="BC226" s="11"/>
      <c r="BD226" s="11"/>
      <c r="BE226" s="11"/>
      <c r="BF226" s="11"/>
      <c r="BG226" s="11"/>
      <c r="BH226" s="11"/>
      <c r="BI226" s="11"/>
      <c r="BJ226" s="11"/>
      <c r="BK226" s="11"/>
      <c r="BL226" s="11"/>
      <c r="BM226" s="11"/>
      <c r="BN226" s="11"/>
      <c r="BO226" s="11"/>
    </row>
    <row r="227" spans="1:67" x14ac:dyDescent="0.25">
      <c r="A227" s="11"/>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c r="BC227" s="11"/>
      <c r="BD227" s="11"/>
      <c r="BE227" s="11"/>
      <c r="BF227" s="11"/>
      <c r="BG227" s="11"/>
      <c r="BH227" s="11"/>
      <c r="BI227" s="11"/>
      <c r="BJ227" s="11"/>
      <c r="BK227" s="11"/>
      <c r="BL227" s="11"/>
      <c r="BM227" s="11"/>
      <c r="BN227" s="11"/>
      <c r="BO227" s="11"/>
    </row>
    <row r="228" spans="1:67" x14ac:dyDescent="0.25">
      <c r="A228" s="11"/>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c r="AL228" s="11"/>
      <c r="AM228" s="11"/>
      <c r="AN228" s="11"/>
      <c r="AO228" s="11"/>
      <c r="AP228" s="11"/>
      <c r="AQ228" s="11"/>
      <c r="AR228" s="11"/>
      <c r="AS228" s="11"/>
      <c r="AT228" s="11"/>
      <c r="AU228" s="11"/>
      <c r="AV228" s="11"/>
      <c r="AW228" s="11"/>
      <c r="AX228" s="11"/>
      <c r="AY228" s="11"/>
      <c r="AZ228" s="11"/>
      <c r="BA228" s="11"/>
      <c r="BB228" s="11"/>
      <c r="BC228" s="11"/>
      <c r="BD228" s="11"/>
      <c r="BE228" s="11"/>
      <c r="BF228" s="11"/>
      <c r="BG228" s="11"/>
      <c r="BH228" s="11"/>
      <c r="BI228" s="11"/>
      <c r="BJ228" s="11"/>
      <c r="BK228" s="11"/>
      <c r="BL228" s="11"/>
      <c r="BM228" s="11"/>
      <c r="BN228" s="11"/>
      <c r="BO228" s="11"/>
    </row>
    <row r="229" spans="1:67" x14ac:dyDescent="0.25">
      <c r="A229" s="11"/>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c r="BC229" s="11"/>
      <c r="BD229" s="11"/>
      <c r="BE229" s="11"/>
      <c r="BF229" s="11"/>
      <c r="BG229" s="11"/>
      <c r="BH229" s="11"/>
      <c r="BI229" s="11"/>
      <c r="BJ229" s="11"/>
      <c r="BK229" s="11"/>
      <c r="BL229" s="11"/>
      <c r="BM229" s="11"/>
      <c r="BN229" s="11"/>
      <c r="BO229" s="11"/>
    </row>
    <row r="230" spans="1:67" x14ac:dyDescent="0.25">
      <c r="A230" s="11"/>
      <c r="B230" s="11"/>
      <c r="C230" s="11"/>
      <c r="D230" s="11"/>
      <c r="E230" s="11"/>
      <c r="F230" s="11"/>
      <c r="G230" s="11"/>
      <c r="H230" s="11"/>
      <c r="I230" s="11"/>
      <c r="J230" s="11"/>
      <c r="K230" s="11"/>
      <c r="L230" s="11"/>
      <c r="M230" s="11"/>
      <c r="N230" s="11"/>
      <c r="O230" s="11"/>
      <c r="P230" s="11"/>
      <c r="Q230" s="11"/>
      <c r="R230" s="11"/>
      <c r="S230" s="11"/>
      <c r="T230" s="11"/>
      <c r="U230" s="11"/>
      <c r="V230" s="11"/>
      <c r="W230" s="11"/>
      <c r="X230" s="11"/>
      <c r="Y230" s="11"/>
      <c r="Z230" s="11"/>
      <c r="AA230" s="11"/>
      <c r="AB230" s="11"/>
      <c r="AC230" s="11"/>
      <c r="AD230" s="11"/>
      <c r="AE230" s="11"/>
      <c r="AF230" s="11"/>
      <c r="AG230" s="11"/>
      <c r="AH230" s="11"/>
      <c r="AI230" s="11"/>
      <c r="AJ230" s="11"/>
      <c r="AK230" s="11"/>
      <c r="AL230" s="11"/>
      <c r="AM230" s="11"/>
      <c r="AN230" s="11"/>
      <c r="AO230" s="11"/>
      <c r="AP230" s="11"/>
      <c r="AQ230" s="11"/>
      <c r="AR230" s="11"/>
      <c r="AS230" s="11"/>
      <c r="AT230" s="11"/>
      <c r="AU230" s="11"/>
      <c r="AV230" s="11"/>
      <c r="AW230" s="11"/>
      <c r="AX230" s="11"/>
      <c r="AY230" s="11"/>
      <c r="AZ230" s="11"/>
      <c r="BA230" s="11"/>
      <c r="BB230" s="11"/>
      <c r="BC230" s="11"/>
      <c r="BD230" s="11"/>
      <c r="BE230" s="11"/>
      <c r="BF230" s="11"/>
      <c r="BG230" s="11"/>
      <c r="BH230" s="11"/>
      <c r="BI230" s="11"/>
      <c r="BJ230" s="11"/>
      <c r="BK230" s="11"/>
      <c r="BL230" s="11"/>
      <c r="BM230" s="11"/>
      <c r="BN230" s="11"/>
      <c r="BO230" s="11"/>
    </row>
    <row r="231" spans="1:67" x14ac:dyDescent="0.25">
      <c r="A231" s="11"/>
      <c r="B231" s="11"/>
      <c r="C231" s="11"/>
      <c r="D231" s="11"/>
      <c r="E231" s="11"/>
      <c r="F231" s="11"/>
      <c r="G231" s="11"/>
      <c r="H231" s="11"/>
      <c r="I231" s="11"/>
      <c r="J231" s="11"/>
      <c r="K231" s="11"/>
      <c r="L231" s="11"/>
      <c r="M231" s="11"/>
      <c r="N231" s="11"/>
      <c r="O231" s="11"/>
      <c r="P231" s="11"/>
      <c r="Q231" s="11"/>
      <c r="R231" s="11"/>
      <c r="S231" s="11"/>
      <c r="T231" s="11"/>
      <c r="U231" s="11"/>
      <c r="V231" s="11"/>
      <c r="W231" s="11"/>
      <c r="X231" s="11"/>
      <c r="Y231" s="11"/>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c r="BC231" s="11"/>
      <c r="BD231" s="11"/>
      <c r="BE231" s="11"/>
      <c r="BF231" s="11"/>
      <c r="BG231" s="11"/>
      <c r="BH231" s="11"/>
      <c r="BI231" s="11"/>
      <c r="BJ231" s="11"/>
      <c r="BK231" s="11"/>
      <c r="BL231" s="11"/>
      <c r="BM231" s="11"/>
      <c r="BN231" s="11"/>
      <c r="BO231" s="11"/>
    </row>
    <row r="232" spans="1:67" x14ac:dyDescent="0.25">
      <c r="A232" s="11"/>
      <c r="B232" s="11"/>
      <c r="C232" s="11"/>
      <c r="D232" s="11"/>
      <c r="E232" s="11"/>
      <c r="F232" s="11"/>
      <c r="G232" s="11"/>
      <c r="H232" s="11"/>
      <c r="I232" s="11"/>
      <c r="J232" s="11"/>
      <c r="K232" s="11"/>
      <c r="L232" s="11"/>
      <c r="M232" s="11"/>
      <c r="N232" s="11"/>
      <c r="O232" s="11"/>
      <c r="P232" s="11"/>
      <c r="Q232" s="11"/>
      <c r="R232" s="11"/>
      <c r="S232" s="11"/>
      <c r="T232" s="11"/>
      <c r="U232" s="11"/>
      <c r="V232" s="11"/>
      <c r="W232" s="11"/>
      <c r="X232" s="11"/>
      <c r="Y232" s="11"/>
      <c r="Z232" s="11"/>
      <c r="AA232" s="11"/>
      <c r="AB232" s="11"/>
      <c r="AC232" s="11"/>
      <c r="AD232" s="11"/>
      <c r="AE232" s="11"/>
      <c r="AF232" s="11"/>
      <c r="AG232" s="11"/>
      <c r="AH232" s="11"/>
      <c r="AI232" s="11"/>
      <c r="AJ232" s="11"/>
      <c r="AK232" s="11"/>
      <c r="AL232" s="11"/>
      <c r="AM232" s="11"/>
      <c r="AN232" s="11"/>
      <c r="AO232" s="11"/>
      <c r="AP232" s="11"/>
      <c r="AQ232" s="11"/>
      <c r="AR232" s="11"/>
      <c r="AS232" s="11"/>
      <c r="AT232" s="11"/>
      <c r="AU232" s="11"/>
      <c r="AV232" s="11"/>
      <c r="AW232" s="11"/>
      <c r="AX232" s="11"/>
      <c r="AY232" s="11"/>
      <c r="AZ232" s="11"/>
      <c r="BA232" s="11"/>
      <c r="BB232" s="11"/>
      <c r="BC232" s="11"/>
      <c r="BD232" s="11"/>
      <c r="BE232" s="11"/>
      <c r="BF232" s="11"/>
      <c r="BG232" s="11"/>
      <c r="BH232" s="11"/>
      <c r="BI232" s="11"/>
      <c r="BJ232" s="11"/>
      <c r="BK232" s="11"/>
      <c r="BL232" s="11"/>
      <c r="BM232" s="11"/>
      <c r="BN232" s="11"/>
      <c r="BO232" s="11"/>
    </row>
    <row r="233" spans="1:67" x14ac:dyDescent="0.25">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11"/>
      <c r="Y233" s="11"/>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c r="BC233" s="11"/>
      <c r="BD233" s="11"/>
      <c r="BE233" s="11"/>
      <c r="BF233" s="11"/>
      <c r="BG233" s="11"/>
      <c r="BH233" s="11"/>
      <c r="BI233" s="11"/>
      <c r="BJ233" s="11"/>
      <c r="BK233" s="11"/>
      <c r="BL233" s="11"/>
      <c r="BM233" s="11"/>
      <c r="BN233" s="11"/>
      <c r="BO233" s="11"/>
    </row>
    <row r="234" spans="1:67" x14ac:dyDescent="0.25">
      <c r="A234" s="11"/>
      <c r="B234" s="11"/>
      <c r="C234" s="11"/>
      <c r="D234" s="11"/>
      <c r="E234" s="11"/>
      <c r="F234" s="11"/>
      <c r="G234" s="11"/>
      <c r="H234" s="11"/>
      <c r="I234" s="11"/>
      <c r="J234" s="11"/>
      <c r="K234" s="11"/>
      <c r="L234" s="11"/>
      <c r="M234" s="11"/>
      <c r="N234" s="11"/>
      <c r="O234" s="11"/>
      <c r="P234" s="11"/>
      <c r="Q234" s="11"/>
      <c r="R234" s="11"/>
      <c r="S234" s="11"/>
      <c r="T234" s="11"/>
      <c r="U234" s="11"/>
      <c r="V234" s="11"/>
      <c r="W234" s="11"/>
      <c r="X234" s="11"/>
      <c r="Y234" s="11"/>
      <c r="Z234" s="11"/>
      <c r="AA234" s="11"/>
      <c r="AB234" s="11"/>
      <c r="AC234" s="11"/>
      <c r="AD234" s="11"/>
      <c r="AE234" s="11"/>
      <c r="AF234" s="11"/>
      <c r="AG234" s="11"/>
      <c r="AH234" s="11"/>
      <c r="AI234" s="11"/>
      <c r="AJ234" s="11"/>
      <c r="AK234" s="11"/>
      <c r="AL234" s="11"/>
      <c r="AM234" s="11"/>
      <c r="AN234" s="11"/>
      <c r="AO234" s="11"/>
      <c r="AP234" s="11"/>
      <c r="AQ234" s="11"/>
      <c r="AR234" s="11"/>
      <c r="AS234" s="11"/>
      <c r="AT234" s="11"/>
      <c r="AU234" s="11"/>
      <c r="AV234" s="11"/>
      <c r="AW234" s="11"/>
      <c r="AX234" s="11"/>
      <c r="AY234" s="11"/>
      <c r="AZ234" s="11"/>
      <c r="BA234" s="11"/>
      <c r="BB234" s="11"/>
      <c r="BC234" s="11"/>
      <c r="BD234" s="11"/>
      <c r="BE234" s="11"/>
      <c r="BF234" s="11"/>
      <c r="BG234" s="11"/>
      <c r="BH234" s="11"/>
      <c r="BI234" s="11"/>
      <c r="BJ234" s="11"/>
      <c r="BK234" s="11"/>
      <c r="BL234" s="11"/>
      <c r="BM234" s="11"/>
      <c r="BN234" s="11"/>
      <c r="BO234" s="11"/>
    </row>
    <row r="235" spans="1:67" x14ac:dyDescent="0.25">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c r="BC235" s="11"/>
      <c r="BD235" s="11"/>
      <c r="BE235" s="11"/>
      <c r="BF235" s="11"/>
      <c r="BG235" s="11"/>
      <c r="BH235" s="11"/>
      <c r="BI235" s="11"/>
      <c r="BJ235" s="11"/>
      <c r="BK235" s="11"/>
      <c r="BL235" s="11"/>
      <c r="BM235" s="11"/>
      <c r="BN235" s="11"/>
      <c r="BO235" s="11"/>
    </row>
    <row r="236" spans="1:67" x14ac:dyDescent="0.25">
      <c r="A236" s="11"/>
      <c r="B236" s="11"/>
      <c r="C236" s="11"/>
      <c r="D236" s="11"/>
      <c r="E236" s="11"/>
      <c r="F236" s="11"/>
      <c r="G236" s="11"/>
      <c r="H236" s="11"/>
      <c r="I236" s="11"/>
      <c r="J236" s="11"/>
      <c r="K236" s="11"/>
      <c r="L236" s="11"/>
      <c r="M236" s="11"/>
      <c r="N236" s="11"/>
      <c r="O236" s="11"/>
      <c r="P236" s="11"/>
      <c r="Q236" s="11"/>
      <c r="R236" s="11"/>
      <c r="S236" s="11"/>
      <c r="T236" s="11"/>
      <c r="U236" s="11"/>
      <c r="V236" s="11"/>
      <c r="W236" s="11"/>
      <c r="X236" s="11"/>
      <c r="Y236" s="11"/>
      <c r="Z236" s="11"/>
      <c r="AA236" s="11"/>
      <c r="AB236" s="11"/>
      <c r="AC236" s="11"/>
      <c r="AD236" s="11"/>
      <c r="AE236" s="11"/>
      <c r="AF236" s="11"/>
      <c r="AG236" s="11"/>
      <c r="AH236" s="11"/>
      <c r="AI236" s="11"/>
      <c r="AJ236" s="11"/>
      <c r="AK236" s="11"/>
      <c r="AL236" s="11"/>
      <c r="AM236" s="11"/>
      <c r="AN236" s="11"/>
      <c r="AO236" s="11"/>
      <c r="AP236" s="11"/>
      <c r="AQ236" s="11"/>
      <c r="AR236" s="11"/>
      <c r="AS236" s="11"/>
      <c r="AT236" s="11"/>
      <c r="AU236" s="11"/>
      <c r="AV236" s="11"/>
      <c r="AW236" s="11"/>
      <c r="AX236" s="11"/>
      <c r="AY236" s="11"/>
      <c r="AZ236" s="11"/>
      <c r="BA236" s="11"/>
      <c r="BB236" s="11"/>
      <c r="BC236" s="11"/>
      <c r="BD236" s="11"/>
      <c r="BE236" s="11"/>
      <c r="BF236" s="11"/>
      <c r="BG236" s="11"/>
      <c r="BH236" s="11"/>
      <c r="BI236" s="11"/>
      <c r="BJ236" s="11"/>
      <c r="BK236" s="11"/>
      <c r="BL236" s="11"/>
      <c r="BM236" s="11"/>
      <c r="BN236" s="11"/>
      <c r="BO236" s="11"/>
    </row>
    <row r="237" spans="1:67" x14ac:dyDescent="0.25">
      <c r="A237" s="11"/>
      <c r="B237" s="11"/>
      <c r="C237" s="11"/>
      <c r="D237" s="11"/>
      <c r="E237" s="11"/>
      <c r="F237" s="11"/>
      <c r="G237" s="11"/>
      <c r="H237" s="11"/>
      <c r="I237" s="11"/>
      <c r="J237" s="11"/>
      <c r="K237" s="11"/>
      <c r="L237" s="11"/>
      <c r="M237" s="11"/>
      <c r="N237" s="11"/>
      <c r="O237" s="11"/>
      <c r="P237" s="11"/>
      <c r="Q237" s="11"/>
      <c r="R237" s="11"/>
      <c r="S237" s="11"/>
      <c r="T237" s="11"/>
      <c r="U237" s="11"/>
      <c r="V237" s="11"/>
      <c r="W237" s="11"/>
      <c r="X237" s="11"/>
      <c r="Y237" s="11"/>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c r="BC237" s="11"/>
      <c r="BD237" s="11"/>
      <c r="BE237" s="11"/>
      <c r="BF237" s="11"/>
      <c r="BG237" s="11"/>
      <c r="BH237" s="11"/>
      <c r="BI237" s="11"/>
      <c r="BJ237" s="11"/>
      <c r="BK237" s="11"/>
      <c r="BL237" s="11"/>
      <c r="BM237" s="11"/>
      <c r="BN237" s="11"/>
      <c r="BO237" s="11"/>
    </row>
    <row r="238" spans="1:67" x14ac:dyDescent="0.25">
      <c r="A238" s="11"/>
      <c r="B238" s="11"/>
      <c r="C238" s="11"/>
      <c r="D238" s="11"/>
      <c r="E238" s="11"/>
      <c r="F238" s="11"/>
      <c r="G238" s="11"/>
      <c r="H238" s="11"/>
      <c r="I238" s="11"/>
      <c r="J238" s="11"/>
      <c r="K238" s="11"/>
      <c r="L238" s="11"/>
      <c r="M238" s="11"/>
      <c r="N238" s="11"/>
      <c r="O238" s="11"/>
      <c r="P238" s="11"/>
      <c r="Q238" s="11"/>
      <c r="R238" s="11"/>
      <c r="S238" s="11"/>
      <c r="T238" s="11"/>
      <c r="U238" s="11"/>
      <c r="V238" s="11"/>
      <c r="W238" s="11"/>
      <c r="X238" s="11"/>
      <c r="Y238" s="11"/>
      <c r="Z238" s="11"/>
      <c r="AA238" s="11"/>
      <c r="AB238" s="11"/>
      <c r="AC238" s="11"/>
      <c r="AD238" s="11"/>
      <c r="AE238" s="11"/>
      <c r="AF238" s="11"/>
      <c r="AG238" s="11"/>
      <c r="AH238" s="11"/>
      <c r="AI238" s="11"/>
      <c r="AJ238" s="11"/>
      <c r="AK238" s="11"/>
      <c r="AL238" s="11"/>
      <c r="AM238" s="11"/>
      <c r="AN238" s="11"/>
      <c r="AO238" s="11"/>
      <c r="AP238" s="11"/>
      <c r="AQ238" s="11"/>
      <c r="AR238" s="11"/>
      <c r="AS238" s="11"/>
      <c r="AT238" s="11"/>
      <c r="AU238" s="11"/>
      <c r="AV238" s="11"/>
      <c r="AW238" s="11"/>
      <c r="AX238" s="11"/>
      <c r="AY238" s="11"/>
      <c r="AZ238" s="11"/>
      <c r="BA238" s="11"/>
      <c r="BB238" s="11"/>
      <c r="BC238" s="11"/>
      <c r="BD238" s="11"/>
      <c r="BE238" s="11"/>
      <c r="BF238" s="11"/>
      <c r="BG238" s="11"/>
      <c r="BH238" s="11"/>
      <c r="BI238" s="11"/>
      <c r="BJ238" s="11"/>
      <c r="BK238" s="11"/>
      <c r="BL238" s="11"/>
      <c r="BM238" s="11"/>
      <c r="BN238" s="11"/>
      <c r="BO238" s="11"/>
    </row>
    <row r="239" spans="1:67" x14ac:dyDescent="0.25">
      <c r="A239" s="11"/>
      <c r="B239" s="11"/>
      <c r="C239" s="11"/>
      <c r="D239" s="11"/>
      <c r="E239" s="11"/>
      <c r="F239" s="11"/>
      <c r="G239" s="11"/>
      <c r="H239" s="11"/>
      <c r="I239" s="11"/>
      <c r="J239" s="11"/>
      <c r="K239" s="11"/>
      <c r="L239" s="11"/>
      <c r="M239" s="11"/>
      <c r="N239" s="11"/>
      <c r="O239" s="11"/>
      <c r="P239" s="11"/>
      <c r="Q239" s="11"/>
      <c r="R239" s="11"/>
      <c r="S239" s="11"/>
      <c r="T239" s="11"/>
      <c r="U239" s="11"/>
      <c r="V239" s="11"/>
      <c r="W239" s="11"/>
      <c r="X239" s="11"/>
      <c r="Y239" s="11"/>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c r="BC239" s="11"/>
      <c r="BD239" s="11"/>
      <c r="BE239" s="11"/>
      <c r="BF239" s="11"/>
      <c r="BG239" s="11"/>
      <c r="BH239" s="11"/>
      <c r="BI239" s="11"/>
      <c r="BJ239" s="11"/>
      <c r="BK239" s="11"/>
      <c r="BL239" s="11"/>
      <c r="BM239" s="11"/>
      <c r="BN239" s="11"/>
      <c r="BO239" s="11"/>
    </row>
    <row r="240" spans="1:67" x14ac:dyDescent="0.25">
      <c r="A240" s="11"/>
      <c r="B240" s="11"/>
      <c r="C240" s="11"/>
      <c r="D240" s="11"/>
      <c r="E240" s="11"/>
      <c r="F240" s="11"/>
      <c r="G240" s="11"/>
      <c r="H240" s="11"/>
      <c r="I240" s="11"/>
      <c r="J240" s="11"/>
      <c r="K240" s="11"/>
      <c r="L240" s="11"/>
      <c r="M240" s="11"/>
      <c r="N240" s="11"/>
      <c r="O240" s="11"/>
      <c r="P240" s="11"/>
      <c r="Q240" s="11"/>
      <c r="R240" s="11"/>
      <c r="S240" s="11"/>
      <c r="T240" s="11"/>
      <c r="U240" s="11"/>
      <c r="V240" s="11"/>
      <c r="W240" s="11"/>
      <c r="X240" s="11"/>
      <c r="Y240" s="11"/>
      <c r="Z240" s="11"/>
      <c r="AA240" s="11"/>
      <c r="AB240" s="11"/>
      <c r="AC240" s="11"/>
      <c r="AD240" s="11"/>
      <c r="AE240" s="11"/>
      <c r="AF240" s="11"/>
      <c r="AG240" s="11"/>
      <c r="AH240" s="11"/>
      <c r="AI240" s="11"/>
      <c r="AJ240" s="11"/>
      <c r="AK240" s="11"/>
      <c r="AL240" s="11"/>
      <c r="AM240" s="11"/>
      <c r="AN240" s="11"/>
      <c r="AO240" s="11"/>
      <c r="AP240" s="11"/>
      <c r="AQ240" s="11"/>
      <c r="AR240" s="11"/>
      <c r="AS240" s="11"/>
      <c r="AT240" s="11"/>
      <c r="AU240" s="11"/>
      <c r="AV240" s="11"/>
      <c r="AW240" s="11"/>
      <c r="AX240" s="11"/>
      <c r="AY240" s="11"/>
      <c r="AZ240" s="11"/>
      <c r="BA240" s="11"/>
      <c r="BB240" s="11"/>
      <c r="BC240" s="11"/>
      <c r="BD240" s="11"/>
      <c r="BE240" s="11"/>
      <c r="BF240" s="11"/>
      <c r="BG240" s="11"/>
      <c r="BH240" s="11"/>
      <c r="BI240" s="11"/>
      <c r="BJ240" s="11"/>
      <c r="BK240" s="11"/>
      <c r="BL240" s="11"/>
      <c r="BM240" s="11"/>
      <c r="BN240" s="11"/>
      <c r="BO240" s="11"/>
    </row>
    <row r="241" spans="1:67" x14ac:dyDescent="0.25">
      <c r="A241" s="11"/>
      <c r="B241" s="11"/>
      <c r="C241" s="11"/>
      <c r="D241" s="11"/>
      <c r="E241" s="11"/>
      <c r="F241" s="11"/>
      <c r="G241" s="11"/>
      <c r="H241" s="11"/>
      <c r="I241" s="11"/>
      <c r="J241" s="11"/>
      <c r="K241" s="11"/>
      <c r="L241" s="11"/>
      <c r="M241" s="11"/>
      <c r="N241" s="11"/>
      <c r="O241" s="11"/>
      <c r="P241" s="11"/>
      <c r="Q241" s="11"/>
      <c r="R241" s="11"/>
      <c r="S241" s="11"/>
      <c r="T241" s="11"/>
      <c r="U241" s="11"/>
      <c r="V241" s="11"/>
      <c r="W241" s="11"/>
      <c r="X241" s="11"/>
      <c r="Y241" s="11"/>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c r="BC241" s="11"/>
      <c r="BD241" s="11"/>
      <c r="BE241" s="11"/>
      <c r="BF241" s="11"/>
      <c r="BG241" s="11"/>
      <c r="BH241" s="11"/>
      <c r="BI241" s="11"/>
      <c r="BJ241" s="11"/>
      <c r="BK241" s="11"/>
      <c r="BL241" s="11"/>
      <c r="BM241" s="11"/>
      <c r="BN241" s="11"/>
      <c r="BO241" s="11"/>
    </row>
    <row r="242" spans="1:67" ht="4.5" customHeight="1" x14ac:dyDescent="0.25">
      <c r="A242" s="11"/>
      <c r="B242" s="11"/>
      <c r="C242" s="11"/>
      <c r="D242" s="11"/>
      <c r="E242" s="11"/>
      <c r="F242" s="11"/>
      <c r="G242" s="11"/>
      <c r="H242" s="11"/>
      <c r="I242" s="11"/>
      <c r="J242" s="11"/>
      <c r="K242" s="11"/>
      <c r="L242" s="11"/>
      <c r="M242" s="11"/>
      <c r="N242" s="11"/>
      <c r="O242" s="11"/>
      <c r="P242" s="11"/>
      <c r="Q242" s="11"/>
      <c r="R242" s="11"/>
      <c r="S242" s="11"/>
      <c r="T242" s="11"/>
      <c r="U242" s="11"/>
      <c r="V242" s="11"/>
      <c r="W242" s="11"/>
      <c r="X242" s="11"/>
      <c r="Y242" s="11"/>
      <c r="Z242" s="11"/>
      <c r="AA242" s="11"/>
      <c r="AB242" s="11"/>
      <c r="AC242" s="11"/>
      <c r="AD242" s="11"/>
      <c r="AE242" s="11"/>
      <c r="AF242" s="11"/>
      <c r="AG242" s="11"/>
      <c r="AH242" s="11"/>
      <c r="AI242" s="11"/>
      <c r="AJ242" s="11"/>
      <c r="AK242" s="11"/>
      <c r="AL242" s="11"/>
      <c r="AM242" s="11"/>
      <c r="AN242" s="11"/>
      <c r="AO242" s="11"/>
      <c r="AP242" s="11"/>
      <c r="AQ242" s="11"/>
      <c r="AR242" s="11"/>
      <c r="AS242" s="11"/>
      <c r="AT242" s="11"/>
      <c r="AU242" s="11"/>
      <c r="AV242" s="11"/>
      <c r="AW242" s="11"/>
      <c r="AX242" s="11"/>
      <c r="AY242" s="11"/>
      <c r="AZ242" s="11"/>
      <c r="BA242" s="11"/>
      <c r="BB242" s="11"/>
      <c r="BC242" s="11"/>
      <c r="BD242" s="11"/>
      <c r="BE242" s="11"/>
      <c r="BF242" s="11"/>
      <c r="BG242" s="11"/>
      <c r="BH242" s="11"/>
      <c r="BI242" s="11"/>
      <c r="BJ242" s="11"/>
      <c r="BK242" s="11"/>
      <c r="BL242" s="11"/>
      <c r="BM242" s="11"/>
      <c r="BN242" s="11"/>
      <c r="BO242" s="11"/>
    </row>
    <row r="243" spans="1:67" x14ac:dyDescent="0.25">
      <c r="A243" s="11"/>
      <c r="B243" s="11"/>
      <c r="C243" s="11"/>
      <c r="D243" s="11"/>
      <c r="E243" s="11"/>
      <c r="F243" s="11"/>
      <c r="G243" s="11"/>
      <c r="H243" s="11"/>
      <c r="I243" s="11"/>
      <c r="J243" s="11"/>
      <c r="K243" s="11"/>
      <c r="L243" s="11"/>
      <c r="M243" s="11"/>
      <c r="N243" s="11"/>
      <c r="O243" s="11"/>
      <c r="P243" s="11"/>
      <c r="Q243" s="11"/>
      <c r="R243" s="11"/>
      <c r="S243" s="11"/>
      <c r="T243" s="11"/>
      <c r="U243" s="11"/>
      <c r="V243" s="11"/>
      <c r="W243" s="11"/>
      <c r="X243" s="11"/>
      <c r="Y243" s="11"/>
      <c r="Z243" s="11"/>
      <c r="AA243" s="11"/>
      <c r="AB243" s="11"/>
      <c r="AC243" s="11"/>
      <c r="AD243" s="11"/>
      <c r="AE243" s="11"/>
      <c r="AF243" s="11"/>
      <c r="AG243" s="11"/>
      <c r="AH243" s="11"/>
      <c r="AI243" s="10" t="s">
        <v>1095</v>
      </c>
      <c r="AJ243" s="11"/>
      <c r="AK243" s="11"/>
      <c r="AL243" s="11"/>
      <c r="AM243" s="11"/>
      <c r="AN243" s="11"/>
      <c r="AO243" s="11"/>
      <c r="AP243" s="11"/>
      <c r="AQ243" s="11"/>
      <c r="AR243" s="11"/>
      <c r="AS243" s="11"/>
      <c r="AT243" s="11"/>
      <c r="AU243" s="11"/>
      <c r="AV243" s="11"/>
      <c r="AW243" s="11"/>
      <c r="AX243" s="11"/>
      <c r="AY243" s="11"/>
      <c r="AZ243" s="11"/>
      <c r="BA243" s="11"/>
      <c r="BB243" s="11"/>
      <c r="BC243" s="11"/>
      <c r="BD243" s="11"/>
      <c r="BE243" s="11"/>
      <c r="BF243" s="11"/>
      <c r="BG243" s="11"/>
      <c r="BH243" s="11"/>
      <c r="BI243" s="11"/>
      <c r="BJ243" s="11"/>
      <c r="BK243" s="11"/>
      <c r="BL243" s="11"/>
      <c r="BM243" s="11"/>
      <c r="BN243" s="11"/>
      <c r="BO243" s="11"/>
    </row>
    <row r="244" spans="1:67" x14ac:dyDescent="0.25">
      <c r="A244" s="11"/>
      <c r="B244" s="11"/>
      <c r="C244" s="11"/>
      <c r="D244" s="11"/>
      <c r="E244" s="11"/>
      <c r="F244" s="11"/>
      <c r="G244" s="11"/>
      <c r="H244" s="11"/>
      <c r="I244" s="11"/>
      <c r="J244" s="11"/>
      <c r="K244" s="11"/>
      <c r="L244" s="11"/>
      <c r="M244" s="11"/>
      <c r="N244" s="11"/>
      <c r="O244" s="11"/>
      <c r="P244" s="11"/>
      <c r="Q244" s="11"/>
      <c r="R244" s="11"/>
      <c r="S244" s="11"/>
      <c r="T244" s="11"/>
      <c r="U244" s="11"/>
      <c r="V244" s="11"/>
      <c r="W244" s="11"/>
      <c r="X244" s="11"/>
      <c r="Y244" s="11"/>
      <c r="Z244" s="11"/>
      <c r="AA244" s="11"/>
      <c r="AB244" s="11"/>
      <c r="AC244" s="11"/>
      <c r="AD244" s="11"/>
      <c r="AE244" s="11"/>
      <c r="AF244" s="11"/>
      <c r="AG244" s="11"/>
      <c r="AH244" s="11"/>
      <c r="AI244" s="11"/>
      <c r="AJ244" s="11"/>
      <c r="AK244" s="11"/>
      <c r="AL244" s="11"/>
      <c r="AM244" s="11"/>
      <c r="AN244" s="11"/>
      <c r="AO244" s="11"/>
      <c r="AP244" s="11"/>
      <c r="AQ244" s="11"/>
      <c r="AR244" s="11"/>
      <c r="AS244" s="11"/>
      <c r="AT244" s="11"/>
      <c r="AU244" s="11"/>
      <c r="AV244" s="11"/>
      <c r="AW244" s="11"/>
      <c r="AX244" s="11"/>
      <c r="AY244" s="11"/>
      <c r="AZ244" s="11"/>
      <c r="BA244" s="11"/>
      <c r="BB244" s="11"/>
      <c r="BC244" s="11"/>
      <c r="BD244" s="11"/>
      <c r="BE244" s="11"/>
      <c r="BF244" s="11"/>
      <c r="BG244" s="11"/>
      <c r="BH244" s="11"/>
      <c r="BI244" s="11"/>
      <c r="BJ244" s="11"/>
      <c r="BK244" s="11"/>
      <c r="BL244" s="11"/>
      <c r="BM244" s="11"/>
      <c r="BN244" s="11"/>
      <c r="BO244" s="11"/>
    </row>
    <row r="245" spans="1:67" x14ac:dyDescent="0.25">
      <c r="A245" s="11"/>
      <c r="B245" s="11"/>
      <c r="C245" s="11"/>
      <c r="D245" s="11"/>
      <c r="E245" s="11"/>
      <c r="F245" s="11"/>
      <c r="G245" s="11"/>
      <c r="H245" s="11"/>
      <c r="I245" s="11"/>
      <c r="J245" s="11"/>
      <c r="K245" s="11"/>
      <c r="L245" s="11"/>
      <c r="M245" s="11"/>
      <c r="N245" s="11"/>
      <c r="O245" s="11"/>
      <c r="P245" s="11"/>
      <c r="Q245" s="11"/>
      <c r="R245" s="11"/>
      <c r="S245" s="11"/>
      <c r="T245" s="11"/>
      <c r="U245" s="11"/>
      <c r="V245" s="11"/>
      <c r="W245" s="11"/>
      <c r="X245" s="11"/>
      <c r="Y245" s="11"/>
      <c r="Z245" s="11"/>
      <c r="AA245" s="11"/>
      <c r="AB245" s="11"/>
      <c r="AC245" s="11"/>
      <c r="AD245" s="11"/>
      <c r="AE245" s="11"/>
      <c r="AF245" s="11"/>
      <c r="AG245" s="11"/>
      <c r="AH245" s="11"/>
      <c r="AI245" s="11"/>
      <c r="AJ245" s="1484" t="str">
        <f>PENN!R6</f>
        <v>1Q07</v>
      </c>
      <c r="AK245" s="1484" t="str">
        <f>PENN!S6</f>
        <v>2Q07</v>
      </c>
      <c r="AL245" s="1484" t="str">
        <f>PENN!T6</f>
        <v>3Q07</v>
      </c>
      <c r="AM245" s="1484" t="str">
        <f>PENN!U6</f>
        <v>4Q07</v>
      </c>
      <c r="AN245" s="1484" t="str">
        <f>PENN!W6</f>
        <v>1Q08</v>
      </c>
      <c r="AO245" s="1484" t="str">
        <f>PENN!X6</f>
        <v>2Q08</v>
      </c>
      <c r="AP245" s="1484" t="str">
        <f>PENN!Y6</f>
        <v>3Q08</v>
      </c>
      <c r="AQ245" s="1484" t="str">
        <f>PENN!Z6</f>
        <v>4Q08</v>
      </c>
      <c r="AR245" s="1484" t="str">
        <f>PENN!AB6</f>
        <v>1Q09</v>
      </c>
      <c r="AS245" s="1484" t="str">
        <f>PENN!AC6</f>
        <v>2Q09</v>
      </c>
      <c r="AT245" s="1484" t="str">
        <f>PENN!AD6</f>
        <v>3Q09</v>
      </c>
      <c r="AU245" s="1484" t="str">
        <f>PENN!AE6</f>
        <v>4Q09</v>
      </c>
      <c r="AV245" s="1484" t="str">
        <f>PENN!AG6</f>
        <v>1Q10</v>
      </c>
      <c r="AW245" s="1484" t="str">
        <f>PENN!AH6</f>
        <v>2Q10</v>
      </c>
      <c r="AX245" s="1484" t="str">
        <f>PENN!AI6</f>
        <v>3Q10</v>
      </c>
      <c r="AY245" s="1484" t="str">
        <f>PENN!AJ6</f>
        <v>4Q10</v>
      </c>
      <c r="AZ245" s="1484" t="str">
        <f>PENN!AL6</f>
        <v>1Q11</v>
      </c>
      <c r="BA245" s="1484" t="str">
        <f>PENN!AM6</f>
        <v>2Q11</v>
      </c>
      <c r="BB245" s="1484" t="str">
        <f>PENN!AN6</f>
        <v>3Q11</v>
      </c>
      <c r="BC245" s="1484" t="str">
        <f>PENN!AO6</f>
        <v>4Q11</v>
      </c>
      <c r="BD245" s="1484">
        <f>PENN!AP6</f>
        <v>2011</v>
      </c>
      <c r="BE245" s="1484">
        <f>PENN!AU6</f>
        <v>2012</v>
      </c>
      <c r="BF245" s="11"/>
      <c r="BG245" s="11"/>
      <c r="BH245" s="11"/>
      <c r="BI245" s="11"/>
      <c r="BJ245" s="11"/>
      <c r="BK245" s="11"/>
      <c r="BL245" s="11"/>
      <c r="BM245" s="11"/>
      <c r="BN245" s="11"/>
      <c r="BO245" s="11"/>
    </row>
    <row r="246" spans="1:67" x14ac:dyDescent="0.25">
      <c r="A246" s="11"/>
      <c r="B246" s="11"/>
      <c r="C246" s="11"/>
      <c r="D246" s="11"/>
      <c r="E246" s="11"/>
      <c r="F246" s="11"/>
      <c r="G246" s="11"/>
      <c r="H246" s="11"/>
      <c r="I246" s="11"/>
      <c r="J246" s="11"/>
      <c r="K246" s="11"/>
      <c r="L246" s="11"/>
      <c r="M246" s="11"/>
      <c r="N246" s="11"/>
      <c r="O246" s="11"/>
      <c r="P246" s="11"/>
      <c r="Q246" s="11"/>
      <c r="R246" s="11"/>
      <c r="S246" s="11"/>
      <c r="T246" s="11"/>
      <c r="U246" s="11"/>
      <c r="V246" s="11"/>
      <c r="W246" s="11"/>
      <c r="X246" s="11"/>
      <c r="Y246" s="11"/>
      <c r="Z246" s="11"/>
      <c r="AA246" s="11"/>
      <c r="AB246" s="11"/>
      <c r="AC246" s="11"/>
      <c r="AD246" s="11"/>
      <c r="AE246" s="11"/>
      <c r="AF246" s="11"/>
      <c r="AG246" s="11"/>
      <c r="AH246" s="11"/>
      <c r="AI246" s="10" t="s">
        <v>2010</v>
      </c>
      <c r="AJ246" s="11">
        <f>PENN!R258</f>
        <v>596.25799999999992</v>
      </c>
      <c r="AK246" s="11">
        <f>PENN!S258</f>
        <v>625.24399999999991</v>
      </c>
      <c r="AL246" s="11">
        <f>PENN!T258</f>
        <v>629.45000000000005</v>
      </c>
      <c r="AM246" s="11">
        <f>PENN!U258</f>
        <v>585.84100000000001</v>
      </c>
      <c r="AN246" s="11">
        <f>PENN!W258</f>
        <v>613.49400000000003</v>
      </c>
      <c r="AO246" s="11">
        <f>PENN!X258</f>
        <v>620.5859999999999</v>
      </c>
      <c r="AP246" s="11">
        <f>PENN!Y258</f>
        <v>617.88699999999994</v>
      </c>
      <c r="AQ246" s="11">
        <f>PENN!Z258</f>
        <v>571.08600000000013</v>
      </c>
      <c r="AR246" s="11">
        <f>PENN!AB258</f>
        <v>612.226</v>
      </c>
      <c r="AS246" s="11">
        <f>PENN!AC258</f>
        <v>580.81700000000001</v>
      </c>
      <c r="AT246" s="11">
        <f>PENN!AD258</f>
        <v>620.42600000000016</v>
      </c>
      <c r="AU246" s="11">
        <f>PENN!AE258</f>
        <v>555.80600000000004</v>
      </c>
      <c r="AV246" s="11">
        <f>PENN!AG258</f>
        <v>592.32299999999998</v>
      </c>
      <c r="AW246" s="11">
        <f>PENN!AH258</f>
        <v>598.31099999999981</v>
      </c>
      <c r="AX246" s="11">
        <f>PENN!AI258</f>
        <v>638.25599999999997</v>
      </c>
      <c r="AY246" s="11">
        <f>PENN!AJ258</f>
        <v>630.221</v>
      </c>
      <c r="AZ246" s="11">
        <f>PENN!AL258</f>
        <v>667.02300000000002</v>
      </c>
      <c r="BA246" s="11">
        <f>PENN!AM258</f>
        <v>687.87899999999991</v>
      </c>
      <c r="BB246" s="11">
        <f>PENN!AN258</f>
        <v>710.90499999999986</v>
      </c>
      <c r="BC246" s="11">
        <f>PENN!AO258</f>
        <v>676.44999999999982</v>
      </c>
      <c r="BD246" s="11">
        <f>PENN!AP258</f>
        <v>2742.2569999999996</v>
      </c>
      <c r="BE246" s="11">
        <f>PENN!AU258</f>
        <v>2899.4649999999997</v>
      </c>
      <c r="BF246" s="11"/>
      <c r="BG246" s="11"/>
      <c r="BH246" s="11"/>
      <c r="BI246" s="11"/>
      <c r="BJ246" s="11"/>
      <c r="BK246" s="11"/>
      <c r="BL246" s="11"/>
      <c r="BM246" s="11"/>
      <c r="BN246" s="11"/>
      <c r="BO246" s="11"/>
    </row>
    <row r="247" spans="1:67" x14ac:dyDescent="0.25">
      <c r="A247" s="11"/>
      <c r="B247" s="11"/>
      <c r="C247" s="11"/>
      <c r="D247" s="11"/>
      <c r="E247" s="11"/>
      <c r="F247" s="11"/>
      <c r="G247" s="11"/>
      <c r="H247" s="11"/>
      <c r="I247" s="11"/>
      <c r="J247" s="11"/>
      <c r="K247" s="11"/>
      <c r="L247" s="11"/>
      <c r="M247" s="11"/>
      <c r="N247" s="11"/>
      <c r="O247" s="11"/>
      <c r="P247" s="11"/>
      <c r="Q247" s="11"/>
      <c r="R247" s="11"/>
      <c r="S247" s="11"/>
      <c r="T247" s="11"/>
      <c r="U247" s="11"/>
      <c r="V247" s="11"/>
      <c r="W247" s="11"/>
      <c r="X247" s="11"/>
      <c r="Y247" s="11"/>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c r="BC247" s="11"/>
      <c r="BD247" s="11"/>
      <c r="BE247" s="11"/>
      <c r="BF247" s="11"/>
      <c r="BG247" s="11"/>
      <c r="BH247" s="11"/>
      <c r="BI247" s="11"/>
      <c r="BJ247" s="11"/>
      <c r="BK247" s="11"/>
      <c r="BL247" s="11"/>
      <c r="BM247" s="11"/>
      <c r="BN247" s="11"/>
      <c r="BO247" s="11"/>
    </row>
    <row r="248" spans="1:67" x14ac:dyDescent="0.25">
      <c r="A248" s="11"/>
      <c r="B248" s="11"/>
      <c r="C248" s="11"/>
      <c r="D248" s="11"/>
      <c r="E248" s="11"/>
      <c r="F248" s="11"/>
      <c r="G248" s="11"/>
      <c r="H248" s="11"/>
      <c r="I248" s="11"/>
      <c r="J248" s="11"/>
      <c r="K248" s="11"/>
      <c r="L248" s="11"/>
      <c r="M248" s="11"/>
      <c r="N248" s="11"/>
      <c r="O248" s="11"/>
      <c r="P248" s="11"/>
      <c r="Q248" s="11"/>
      <c r="R248" s="11"/>
      <c r="S248" s="11"/>
      <c r="T248" s="11"/>
      <c r="U248" s="11"/>
      <c r="V248" s="11"/>
      <c r="W248" s="11"/>
      <c r="X248" s="11"/>
      <c r="Y248" s="11"/>
      <c r="Z248" s="11"/>
      <c r="AA248" s="11"/>
      <c r="AB248" s="11"/>
      <c r="AC248" s="11"/>
      <c r="AD248" s="11"/>
      <c r="AE248" s="11"/>
      <c r="AF248" s="11"/>
      <c r="AG248" s="11"/>
      <c r="AH248" s="11"/>
      <c r="AI248" s="10" t="s">
        <v>3</v>
      </c>
      <c r="AJ248" s="11">
        <f>PENN!R314</f>
        <v>179.35600000000002</v>
      </c>
      <c r="AK248" s="11">
        <f>PENN!S314</f>
        <v>189.01400000000001</v>
      </c>
      <c r="AL248" s="11">
        <f>PENN!T314</f>
        <v>191.36199999999999</v>
      </c>
      <c r="AM248" s="11">
        <f>PENN!U314</f>
        <v>167.63499999999999</v>
      </c>
      <c r="AN248" s="11">
        <f>PENN!W314</f>
        <v>175.00299999999999</v>
      </c>
      <c r="AO248" s="11">
        <f>PENN!X314</f>
        <v>179.59699999999998</v>
      </c>
      <c r="AP248" s="11">
        <f>PENN!Y314</f>
        <v>177.45400000000001</v>
      </c>
      <c r="AQ248" s="11">
        <f>PENN!Z314</f>
        <v>157.10599999999999</v>
      </c>
      <c r="AR248" s="11">
        <f>PENN!AB314</f>
        <v>175.251</v>
      </c>
      <c r="AS248" s="11">
        <f>PENN!AC314</f>
        <v>158.39600000000002</v>
      </c>
      <c r="AT248" s="11">
        <f>PENN!AD314</f>
        <v>172.499</v>
      </c>
      <c r="AU248" s="11">
        <f>PENN!AE314</f>
        <v>143.74899999999997</v>
      </c>
      <c r="AV248" s="11">
        <f>PENN!AG314</f>
        <v>164.91700000000003</v>
      </c>
      <c r="AW248" s="11">
        <f>PENN!AH314</f>
        <v>168.21899999999999</v>
      </c>
      <c r="AX248" s="11">
        <f>PENN!AI314</f>
        <v>181.75400000000002</v>
      </c>
      <c r="AY248" s="11">
        <f>PENN!AJ314</f>
        <v>169.15200000000002</v>
      </c>
      <c r="AZ248" s="11">
        <f>PENN!AL314</f>
        <v>198.673</v>
      </c>
      <c r="BA248" s="11">
        <f>PENN!AM314</f>
        <v>209.76500000000001</v>
      </c>
      <c r="BB248" s="11">
        <f>PENN!AN314+6</f>
        <v>216.70600000000007</v>
      </c>
      <c r="BC248" s="11">
        <f>PENN!AO314</f>
        <v>185.34300000000002</v>
      </c>
      <c r="BD248" s="11">
        <f>PENN!AP314</f>
        <v>804.48699999999997</v>
      </c>
      <c r="BE248" s="11">
        <f>PENN!AU314</f>
        <v>879.23199999999997</v>
      </c>
      <c r="BF248" s="11"/>
      <c r="BG248" s="11"/>
      <c r="BH248" s="11"/>
      <c r="BI248" s="11"/>
      <c r="BJ248" s="11"/>
      <c r="BK248" s="11"/>
      <c r="BL248" s="11"/>
      <c r="BM248" s="11"/>
      <c r="BN248" s="11"/>
      <c r="BO248" s="11"/>
    </row>
    <row r="249" spans="1:67" x14ac:dyDescent="0.25">
      <c r="A249" s="11"/>
      <c r="B249" s="11"/>
      <c r="C249" s="11"/>
      <c r="D249" s="11"/>
      <c r="E249" s="11"/>
      <c r="F249" s="11"/>
      <c r="G249" s="11"/>
      <c r="H249" s="11"/>
      <c r="I249" s="11"/>
      <c r="J249" s="11"/>
      <c r="K249" s="11"/>
      <c r="L249" s="11"/>
      <c r="M249" s="11"/>
      <c r="N249" s="11"/>
      <c r="O249" s="11"/>
      <c r="P249" s="11"/>
      <c r="Q249" s="11"/>
      <c r="R249" s="11"/>
      <c r="S249" s="11"/>
      <c r="T249" s="11"/>
      <c r="U249" s="11"/>
      <c r="V249" s="11"/>
      <c r="W249" s="11"/>
      <c r="X249" s="11"/>
      <c r="Y249" s="11"/>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c r="BC249" s="11"/>
      <c r="BD249" s="11"/>
      <c r="BE249" s="11"/>
      <c r="BF249" s="11"/>
      <c r="BG249" s="11"/>
      <c r="BH249" s="11"/>
      <c r="BI249" s="11"/>
      <c r="BJ249" s="11"/>
      <c r="BK249" s="11"/>
      <c r="BL249" s="11"/>
      <c r="BM249" s="11"/>
      <c r="BN249" s="11"/>
      <c r="BO249" s="11"/>
    </row>
    <row r="250" spans="1:67" x14ac:dyDescent="0.25">
      <c r="A250" s="11"/>
      <c r="B250" s="11"/>
      <c r="C250" s="11"/>
      <c r="D250" s="11"/>
      <c r="E250" s="11"/>
      <c r="F250" s="11"/>
      <c r="G250" s="11"/>
      <c r="H250" s="11"/>
      <c r="I250" s="11"/>
      <c r="J250" s="11"/>
      <c r="K250" s="11"/>
      <c r="L250" s="11"/>
      <c r="M250" s="11"/>
      <c r="N250" s="11"/>
      <c r="O250" s="11"/>
      <c r="P250" s="11"/>
      <c r="Q250" s="11"/>
      <c r="R250" s="11"/>
      <c r="S250" s="11"/>
      <c r="T250" s="11"/>
      <c r="U250" s="11"/>
      <c r="V250" s="11"/>
      <c r="W250" s="11"/>
      <c r="X250" s="11"/>
      <c r="Y250" s="11"/>
      <c r="Z250" s="11"/>
      <c r="AA250" s="11"/>
      <c r="AB250" s="11"/>
      <c r="AC250" s="11"/>
      <c r="AD250" s="11"/>
      <c r="AE250" s="11"/>
      <c r="AF250" s="11"/>
      <c r="AG250" s="11"/>
      <c r="AH250" s="11"/>
      <c r="AI250" s="11"/>
      <c r="AJ250" s="280">
        <f>AJ248/AJ246</f>
        <v>0.30080267266854288</v>
      </c>
      <c r="AK250" s="280">
        <f t="shared" ref="AK250:BE250" si="6">AK248/AK246</f>
        <v>0.30230438036990365</v>
      </c>
      <c r="AL250" s="280">
        <f t="shared" si="6"/>
        <v>0.30401461593454598</v>
      </c>
      <c r="AM250" s="280">
        <f t="shared" si="6"/>
        <v>0.28614419270757763</v>
      </c>
      <c r="AN250" s="280">
        <f>AN248/AN246</f>
        <v>0.28525625352489181</v>
      </c>
      <c r="AO250" s="280">
        <f t="shared" si="6"/>
        <v>0.28939905186388348</v>
      </c>
      <c r="AP250" s="280">
        <f t="shared" si="6"/>
        <v>0.28719490780676732</v>
      </c>
      <c r="AQ250" s="280">
        <f t="shared" si="6"/>
        <v>0.27510042270341062</v>
      </c>
      <c r="AR250" s="280">
        <f t="shared" si="6"/>
        <v>0.28625213564925373</v>
      </c>
      <c r="AS250" s="280">
        <f t="shared" si="6"/>
        <v>0.27271240339039665</v>
      </c>
      <c r="AT250" s="280">
        <f t="shared" si="6"/>
        <v>0.27803315786250082</v>
      </c>
      <c r="AU250" s="280">
        <f t="shared" si="6"/>
        <v>0.25863160887072101</v>
      </c>
      <c r="AV250" s="280">
        <f t="shared" si="6"/>
        <v>0.2784241030653884</v>
      </c>
      <c r="AW250" s="280">
        <f t="shared" si="6"/>
        <v>0.28115645542201306</v>
      </c>
      <c r="AX250" s="280">
        <f t="shared" si="6"/>
        <v>0.28476661402321329</v>
      </c>
      <c r="AY250" s="280">
        <f t="shared" si="6"/>
        <v>0.26840108469885965</v>
      </c>
      <c r="AZ250" s="280">
        <f t="shared" si="6"/>
        <v>0.2978502990151764</v>
      </c>
      <c r="BA250" s="280">
        <f t="shared" si="6"/>
        <v>0.30494461962060193</v>
      </c>
      <c r="BB250" s="280">
        <f>BB248/BB246</f>
        <v>0.30483116590824388</v>
      </c>
      <c r="BC250" s="280">
        <f t="shared" si="6"/>
        <v>0.27399364328479575</v>
      </c>
      <c r="BD250" s="280">
        <f t="shared" si="6"/>
        <v>0.29336674133751872</v>
      </c>
      <c r="BE250" s="280">
        <f t="shared" si="6"/>
        <v>0.30323939071518369</v>
      </c>
      <c r="BF250" s="11"/>
      <c r="BG250" s="11"/>
      <c r="BH250" s="11"/>
      <c r="BI250" s="11"/>
      <c r="BJ250" s="11"/>
      <c r="BK250" s="11"/>
      <c r="BL250" s="11"/>
      <c r="BM250" s="11"/>
      <c r="BN250" s="11"/>
      <c r="BO250" s="11"/>
    </row>
    <row r="251" spans="1:67" x14ac:dyDescent="0.25">
      <c r="A251" s="11"/>
      <c r="B251" s="11"/>
      <c r="C251" s="11"/>
      <c r="D251" s="11"/>
      <c r="E251" s="11"/>
      <c r="F251" s="11"/>
      <c r="G251" s="11"/>
      <c r="H251" s="11"/>
      <c r="I251" s="11"/>
      <c r="J251" s="11"/>
      <c r="K251" s="11"/>
      <c r="L251" s="11"/>
      <c r="M251" s="11"/>
      <c r="N251" s="11"/>
      <c r="O251" s="11"/>
      <c r="P251" s="11"/>
      <c r="Q251" s="11"/>
      <c r="R251" s="11"/>
      <c r="S251" s="11"/>
      <c r="T251" s="11"/>
      <c r="U251" s="11"/>
      <c r="V251" s="11"/>
      <c r="W251" s="11"/>
      <c r="X251" s="11"/>
      <c r="Y251" s="11"/>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c r="BC251" s="11"/>
      <c r="BD251" s="11"/>
      <c r="BE251" s="11"/>
      <c r="BF251" s="11"/>
      <c r="BG251" s="11"/>
      <c r="BH251" s="11"/>
      <c r="BI251" s="11"/>
      <c r="BJ251" s="11"/>
      <c r="BK251" s="11"/>
      <c r="BL251" s="11"/>
      <c r="BM251" s="11"/>
      <c r="BN251" s="11"/>
      <c r="BO251" s="11"/>
    </row>
    <row r="252" spans="1:67" x14ac:dyDescent="0.25">
      <c r="A252" s="11"/>
      <c r="B252" s="11"/>
      <c r="C252" s="11"/>
      <c r="D252" s="11"/>
      <c r="E252" s="11"/>
      <c r="F252" s="11"/>
      <c r="G252" s="11"/>
      <c r="H252" s="11"/>
      <c r="I252" s="11"/>
      <c r="J252" s="11"/>
      <c r="K252" s="11"/>
      <c r="L252" s="11"/>
      <c r="M252" s="11"/>
      <c r="N252" s="11"/>
      <c r="O252" s="11"/>
      <c r="P252" s="11"/>
      <c r="Q252" s="11"/>
      <c r="R252" s="11"/>
      <c r="S252" s="11"/>
      <c r="T252" s="11"/>
      <c r="U252" s="11"/>
      <c r="V252" s="11"/>
      <c r="W252" s="11"/>
      <c r="X252" s="11"/>
      <c r="Y252" s="11"/>
      <c r="Z252" s="11"/>
      <c r="AA252" s="11"/>
      <c r="AB252" s="11"/>
      <c r="AC252" s="11"/>
      <c r="AD252" s="11"/>
      <c r="AE252" s="11"/>
      <c r="AF252" s="11"/>
      <c r="AG252" s="11"/>
      <c r="AH252" s="11"/>
      <c r="AI252" s="11"/>
      <c r="AJ252" s="11"/>
      <c r="AK252" s="11"/>
      <c r="AL252" s="11"/>
      <c r="AM252" s="11"/>
      <c r="AN252" s="426">
        <f>(AN250-AJ250)*10000</f>
        <v>-155.4641914365107</v>
      </c>
      <c r="AO252" s="426">
        <f t="shared" ref="AO252:BA252" si="7">(AO250-AK250)*10000</f>
        <v>-129.05328506020163</v>
      </c>
      <c r="AP252" s="426">
        <f t="shared" si="7"/>
        <v>-168.19708127778665</v>
      </c>
      <c r="AQ252" s="426">
        <f t="shared" si="7"/>
        <v>-110.43770004167008</v>
      </c>
      <c r="AR252" s="426">
        <f t="shared" si="7"/>
        <v>9.9588212436191306</v>
      </c>
      <c r="AS252" s="426">
        <f t="shared" si="7"/>
        <v>-166.86648473486832</v>
      </c>
      <c r="AT252" s="426">
        <f t="shared" si="7"/>
        <v>-91.61749944266495</v>
      </c>
      <c r="AU252" s="426">
        <f t="shared" si="7"/>
        <v>-164.68813832689611</v>
      </c>
      <c r="AV252" s="426">
        <f t="shared" si="7"/>
        <v>-78.280325838653297</v>
      </c>
      <c r="AW252" s="426">
        <f t="shared" si="7"/>
        <v>84.440520316164111</v>
      </c>
      <c r="AX252" s="426">
        <f t="shared" si="7"/>
        <v>67.334561607124698</v>
      </c>
      <c r="AY252" s="426">
        <f t="shared" si="7"/>
        <v>97.694758281386413</v>
      </c>
      <c r="AZ252" s="426">
        <f>(AZ250-AV250)*10000</f>
        <v>194.26195949788004</v>
      </c>
      <c r="BA252" s="426">
        <f t="shared" si="7"/>
        <v>237.88164198588868</v>
      </c>
      <c r="BB252" s="426">
        <f>(BB250-AX250)*10000</f>
        <v>200.6455188503059</v>
      </c>
      <c r="BC252" s="426">
        <f>(BC250-AY250)*10000</f>
        <v>55.925585859361028</v>
      </c>
      <c r="BD252" s="426"/>
      <c r="BE252" s="426">
        <f>BE250-BD250</f>
        <v>9.872649377664966E-3</v>
      </c>
      <c r="BF252" s="11"/>
      <c r="BG252" s="11"/>
      <c r="BH252" s="11"/>
      <c r="BI252" s="11"/>
      <c r="BJ252" s="11"/>
      <c r="BK252" s="11"/>
      <c r="BL252" s="11"/>
      <c r="BM252" s="11"/>
      <c r="BN252" s="11"/>
      <c r="BO252" s="11"/>
    </row>
    <row r="253" spans="1:67" x14ac:dyDescent="0.25">
      <c r="A253" s="11"/>
      <c r="B253" s="11"/>
      <c r="C253" s="11"/>
      <c r="D253" s="11"/>
      <c r="E253" s="11"/>
      <c r="F253" s="11"/>
      <c r="G253" s="11"/>
      <c r="H253" s="11"/>
      <c r="I253" s="11"/>
      <c r="J253" s="11"/>
      <c r="K253" s="11"/>
      <c r="L253" s="11"/>
      <c r="M253" s="11"/>
      <c r="N253" s="11"/>
      <c r="O253" s="11"/>
      <c r="P253" s="11"/>
      <c r="Q253" s="11"/>
      <c r="R253" s="11"/>
      <c r="S253" s="11"/>
      <c r="T253" s="11"/>
      <c r="U253" s="11"/>
      <c r="V253" s="11"/>
      <c r="W253" s="11"/>
      <c r="X253" s="11"/>
      <c r="Y253" s="11"/>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c r="BC253" s="11"/>
      <c r="BD253" s="11"/>
      <c r="BE253" s="11"/>
      <c r="BF253" s="11"/>
      <c r="BG253" s="11"/>
      <c r="BH253" s="11"/>
      <c r="BI253" s="11"/>
      <c r="BJ253" s="11"/>
      <c r="BK253" s="11"/>
      <c r="BL253" s="11"/>
      <c r="BM253" s="11"/>
      <c r="BN253" s="11"/>
      <c r="BO253" s="11"/>
    </row>
    <row r="254" spans="1:67" x14ac:dyDescent="0.25">
      <c r="A254" s="11"/>
      <c r="B254" s="11"/>
      <c r="C254" s="11"/>
      <c r="D254" s="11"/>
      <c r="E254" s="11"/>
      <c r="F254" s="11"/>
      <c r="G254" s="11"/>
      <c r="H254" s="11"/>
      <c r="I254" s="11"/>
      <c r="J254" s="11"/>
      <c r="K254" s="11"/>
      <c r="L254" s="11"/>
      <c r="M254" s="11"/>
      <c r="N254" s="11"/>
      <c r="O254" s="11"/>
      <c r="P254" s="11"/>
      <c r="Q254" s="11"/>
      <c r="R254" s="11"/>
      <c r="S254" s="11"/>
      <c r="T254" s="11"/>
      <c r="U254" s="11"/>
      <c r="V254" s="11"/>
      <c r="W254" s="11"/>
      <c r="X254" s="11"/>
      <c r="Y254" s="11"/>
      <c r="Z254" s="11"/>
      <c r="AA254" s="11"/>
      <c r="AB254" s="11"/>
      <c r="AC254" s="11"/>
      <c r="AD254" s="11"/>
      <c r="AE254" s="11"/>
      <c r="AF254" s="11"/>
      <c r="AG254" s="11"/>
      <c r="AH254" s="11"/>
      <c r="AI254" s="11"/>
      <c r="AJ254" s="11"/>
      <c r="AK254" s="11"/>
      <c r="AL254" s="11"/>
      <c r="AM254" s="11"/>
      <c r="AN254" s="11"/>
      <c r="AO254" s="11"/>
      <c r="AP254" s="11"/>
      <c r="AQ254" s="11"/>
      <c r="AR254" s="11"/>
      <c r="AS254" s="11"/>
      <c r="AT254" s="11"/>
      <c r="AU254" s="11"/>
      <c r="AV254" s="11"/>
      <c r="AW254" s="11"/>
      <c r="AX254" s="11"/>
      <c r="AY254" s="11"/>
      <c r="AZ254" s="11"/>
      <c r="BA254" s="11"/>
      <c r="BB254" s="11"/>
      <c r="BC254" s="11"/>
      <c r="BD254" s="11"/>
      <c r="BE254" s="11"/>
      <c r="BF254" s="11"/>
      <c r="BG254" s="11"/>
      <c r="BH254" s="11"/>
      <c r="BI254" s="11"/>
      <c r="BJ254" s="11"/>
      <c r="BK254" s="11"/>
      <c r="BL254" s="11"/>
      <c r="BM254" s="11"/>
      <c r="BN254" s="11"/>
      <c r="BO254" s="11"/>
    </row>
    <row r="255" spans="1:67" x14ac:dyDescent="0.25">
      <c r="A255" s="11"/>
      <c r="B255" s="11"/>
      <c r="C255" s="11"/>
      <c r="D255" s="11"/>
      <c r="E255" s="11"/>
      <c r="F255" s="11"/>
      <c r="G255" s="11"/>
      <c r="H255" s="11"/>
      <c r="I255" s="11"/>
      <c r="J255" s="11"/>
      <c r="K255" s="11"/>
      <c r="L255" s="11"/>
      <c r="M255" s="11"/>
      <c r="N255" s="11"/>
      <c r="O255" s="11"/>
      <c r="P255" s="11"/>
      <c r="Q255" s="11"/>
      <c r="R255" s="11"/>
      <c r="S255" s="11"/>
      <c r="T255" s="11"/>
      <c r="U255" s="11"/>
      <c r="V255" s="11"/>
      <c r="W255" s="11"/>
      <c r="X255" s="11"/>
      <c r="Y255" s="11"/>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c r="BC255" s="11"/>
      <c r="BD255" s="11"/>
      <c r="BE255" s="11"/>
      <c r="BF255" s="11"/>
      <c r="BG255" s="11"/>
      <c r="BH255" s="11"/>
      <c r="BI255" s="11"/>
      <c r="BJ255" s="11"/>
      <c r="BK255" s="11"/>
      <c r="BL255" s="11"/>
      <c r="BM255" s="11"/>
      <c r="BN255" s="11"/>
      <c r="BO255" s="11"/>
    </row>
    <row r="256" spans="1:67" x14ac:dyDescent="0.25">
      <c r="A256" s="11"/>
      <c r="B256" s="11"/>
      <c r="C256" s="11"/>
      <c r="D256" s="11"/>
      <c r="E256" s="11"/>
      <c r="F256" s="11"/>
      <c r="G256" s="11"/>
      <c r="H256" s="11"/>
      <c r="I256" s="11"/>
      <c r="J256" s="11"/>
      <c r="K256" s="11"/>
      <c r="L256" s="11"/>
      <c r="M256" s="11"/>
      <c r="N256" s="11"/>
      <c r="O256" s="11"/>
      <c r="P256" s="11"/>
      <c r="Q256" s="11"/>
      <c r="R256" s="11"/>
      <c r="S256" s="11"/>
      <c r="T256" s="11"/>
      <c r="U256" s="11"/>
      <c r="V256" s="11"/>
      <c r="W256" s="11"/>
      <c r="X256" s="11"/>
      <c r="Y256" s="11"/>
      <c r="Z256" s="11"/>
      <c r="AA256" s="11"/>
      <c r="AB256" s="11"/>
      <c r="AC256" s="11"/>
      <c r="AD256" s="11"/>
      <c r="AE256" s="11"/>
      <c r="AF256" s="11"/>
      <c r="AG256" s="11"/>
      <c r="AH256" s="11"/>
      <c r="AI256" s="11"/>
      <c r="AJ256" s="11"/>
      <c r="AK256" s="11"/>
      <c r="AL256" s="11"/>
      <c r="AM256" s="11"/>
      <c r="AN256" s="11"/>
      <c r="AO256" s="11"/>
      <c r="AP256" s="11"/>
      <c r="AQ256" s="11"/>
      <c r="AR256" s="11"/>
      <c r="AS256" s="11"/>
      <c r="AT256" s="11"/>
      <c r="AU256" s="11"/>
      <c r="AV256" s="11"/>
      <c r="AW256" s="11"/>
      <c r="AX256" s="11"/>
      <c r="AY256" s="11"/>
      <c r="AZ256" s="11"/>
      <c r="BA256" s="11"/>
      <c r="BB256" s="11"/>
      <c r="BC256" s="11"/>
      <c r="BD256" s="11"/>
      <c r="BE256" s="11"/>
      <c r="BF256" s="11"/>
      <c r="BG256" s="11"/>
      <c r="BH256" s="11"/>
      <c r="BI256" s="11"/>
      <c r="BJ256" s="11"/>
      <c r="BK256" s="11"/>
      <c r="BL256" s="11"/>
      <c r="BM256" s="11"/>
      <c r="BN256" s="11"/>
      <c r="BO256" s="11"/>
    </row>
    <row r="257" spans="1:67" x14ac:dyDescent="0.25">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c r="BC257" s="11"/>
      <c r="BD257" s="11"/>
      <c r="BE257" s="11"/>
      <c r="BF257" s="11"/>
      <c r="BG257" s="11"/>
      <c r="BH257" s="11"/>
      <c r="BI257" s="11"/>
      <c r="BJ257" s="11"/>
      <c r="BK257" s="11"/>
      <c r="BL257" s="11"/>
      <c r="BM257" s="11"/>
      <c r="BN257" s="11"/>
      <c r="BO257" s="11"/>
    </row>
    <row r="258" spans="1:67" x14ac:dyDescent="0.25">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c r="AA258" s="11"/>
      <c r="AB258" s="11"/>
      <c r="AC258" s="11"/>
      <c r="AD258" s="11"/>
      <c r="AE258" s="11"/>
      <c r="AF258" s="11"/>
      <c r="AG258" s="11"/>
      <c r="AH258" s="11"/>
      <c r="AI258" s="11"/>
      <c r="AJ258" s="11"/>
      <c r="AK258" s="11"/>
      <c r="AL258" s="11"/>
      <c r="AM258" s="11"/>
      <c r="AN258" s="11"/>
      <c r="AO258" s="11"/>
      <c r="AP258" s="11"/>
      <c r="AQ258" s="11"/>
      <c r="AR258" s="11"/>
      <c r="AS258" s="11"/>
      <c r="AT258" s="11"/>
      <c r="AU258" s="11"/>
      <c r="AV258" s="11"/>
      <c r="AW258" s="11"/>
      <c r="AX258" s="11"/>
      <c r="AY258" s="11"/>
      <c r="AZ258" s="11"/>
      <c r="BA258" s="11"/>
      <c r="BB258" s="11"/>
      <c r="BC258" s="11"/>
      <c r="BD258" s="11"/>
      <c r="BE258" s="11"/>
      <c r="BF258" s="11"/>
      <c r="BG258" s="11"/>
      <c r="BH258" s="11"/>
      <c r="BI258" s="11"/>
      <c r="BJ258" s="11"/>
      <c r="BK258" s="11"/>
      <c r="BL258" s="11"/>
      <c r="BM258" s="11"/>
      <c r="BN258" s="11"/>
      <c r="BO258" s="11"/>
    </row>
    <row r="259" spans="1:67" x14ac:dyDescent="0.25">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c r="BC259" s="11"/>
      <c r="BD259" s="11"/>
      <c r="BE259" s="11"/>
      <c r="BF259" s="11"/>
      <c r="BG259" s="11"/>
      <c r="BH259" s="11"/>
      <c r="BI259" s="11"/>
      <c r="BJ259" s="11"/>
      <c r="BK259" s="11"/>
      <c r="BL259" s="11"/>
      <c r="BM259" s="11"/>
      <c r="BN259" s="11"/>
      <c r="BO259" s="11"/>
    </row>
    <row r="260" spans="1:67" x14ac:dyDescent="0.25">
      <c r="A260" s="11"/>
      <c r="B260" s="11"/>
      <c r="C260" s="11"/>
      <c r="D260" s="11"/>
      <c r="E260" s="11"/>
      <c r="F260" s="11"/>
      <c r="G260" s="11"/>
      <c r="H260" s="11"/>
      <c r="I260" s="11"/>
      <c r="J260" s="11"/>
      <c r="K260" s="11"/>
      <c r="L260" s="11"/>
      <c r="M260" s="11"/>
      <c r="N260" s="11"/>
      <c r="O260" s="11"/>
      <c r="P260" s="11"/>
      <c r="Q260" s="11"/>
      <c r="R260" s="11"/>
      <c r="S260" s="11"/>
      <c r="T260" s="11"/>
      <c r="U260" s="11"/>
      <c r="V260" s="11"/>
      <c r="W260" s="11"/>
      <c r="X260" s="11"/>
      <c r="Y260" s="11"/>
      <c r="Z260" s="11"/>
      <c r="AA260" s="11"/>
      <c r="AB260" s="11"/>
      <c r="AC260" s="11"/>
      <c r="AD260" s="11"/>
      <c r="AE260" s="11"/>
      <c r="AF260" s="11"/>
      <c r="AG260" s="11"/>
      <c r="AH260" s="11"/>
      <c r="AI260" s="11"/>
      <c r="AJ260" s="11"/>
      <c r="AK260" s="11"/>
      <c r="AL260" s="11"/>
      <c r="AM260" s="11"/>
      <c r="AN260" s="11"/>
      <c r="AO260" s="11"/>
      <c r="AP260" s="11"/>
      <c r="AQ260" s="11"/>
      <c r="AR260" s="11"/>
      <c r="AS260" s="11"/>
      <c r="AT260" s="11"/>
      <c r="AU260" s="11"/>
      <c r="AV260" s="11"/>
      <c r="AW260" s="11"/>
      <c r="AX260" s="11"/>
      <c r="AY260" s="11"/>
      <c r="AZ260" s="11"/>
      <c r="BA260" s="11"/>
      <c r="BB260" s="11"/>
      <c r="BC260" s="11"/>
      <c r="BD260" s="11"/>
      <c r="BE260" s="11"/>
      <c r="BF260" s="11"/>
      <c r="BG260" s="11"/>
      <c r="BH260" s="11"/>
      <c r="BI260" s="11"/>
      <c r="BJ260" s="11"/>
      <c r="BK260" s="11"/>
      <c r="BL260" s="11"/>
      <c r="BM260" s="11"/>
      <c r="BN260" s="11"/>
      <c r="BO260" s="11"/>
    </row>
    <row r="261" spans="1:67" x14ac:dyDescent="0.25">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c r="BC261" s="11"/>
      <c r="BD261" s="11"/>
      <c r="BE261" s="11"/>
      <c r="BF261" s="11"/>
      <c r="BG261" s="11"/>
      <c r="BH261" s="11"/>
      <c r="BI261" s="11"/>
      <c r="BJ261" s="11"/>
      <c r="BK261" s="11"/>
      <c r="BL261" s="11"/>
      <c r="BM261" s="11"/>
      <c r="BN261" s="11"/>
      <c r="BO261" s="11"/>
    </row>
    <row r="262" spans="1:67" x14ac:dyDescent="0.25">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c r="AA262" s="11"/>
      <c r="AB262" s="11"/>
      <c r="AC262" s="11"/>
      <c r="AD262" s="11"/>
      <c r="AE262" s="11"/>
      <c r="AF262" s="11"/>
      <c r="AG262" s="11"/>
      <c r="AH262" s="11"/>
      <c r="AI262" s="11"/>
      <c r="AJ262" s="11"/>
      <c r="AK262" s="11"/>
      <c r="AL262" s="11"/>
      <c r="AM262" s="11"/>
      <c r="AN262" s="11"/>
      <c r="AO262" s="11"/>
      <c r="AP262" s="11"/>
      <c r="AQ262" s="11"/>
      <c r="AR262" s="11"/>
      <c r="AS262" s="11"/>
      <c r="AT262" s="11"/>
      <c r="AU262" s="11"/>
      <c r="AV262" s="11"/>
      <c r="AW262" s="11"/>
      <c r="AX262" s="11"/>
      <c r="AY262" s="11"/>
      <c r="AZ262" s="11"/>
      <c r="BA262" s="11"/>
      <c r="BB262" s="11"/>
      <c r="BC262" s="11"/>
      <c r="BD262" s="11"/>
      <c r="BE262" s="11"/>
      <c r="BF262" s="11"/>
      <c r="BG262" s="11"/>
      <c r="BH262" s="11"/>
      <c r="BI262" s="11"/>
      <c r="BJ262" s="11"/>
      <c r="BK262" s="11"/>
      <c r="BL262" s="11"/>
      <c r="BM262" s="11"/>
      <c r="BN262" s="11"/>
      <c r="BO262" s="11"/>
    </row>
    <row r="263" spans="1:67" x14ac:dyDescent="0.25">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c r="BC263" s="11"/>
      <c r="BD263" s="11"/>
      <c r="BE263" s="11"/>
      <c r="BF263" s="11"/>
      <c r="BG263" s="11"/>
      <c r="BH263" s="11"/>
      <c r="BI263" s="11"/>
      <c r="BJ263" s="11"/>
      <c r="BK263" s="11"/>
      <c r="BL263" s="11"/>
      <c r="BM263" s="11"/>
      <c r="BN263" s="11"/>
      <c r="BO263" s="11"/>
    </row>
    <row r="264" spans="1:67" x14ac:dyDescent="0.25">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c r="AA264" s="11"/>
      <c r="AB264" s="11"/>
      <c r="AC264" s="11"/>
      <c r="AD264" s="11"/>
      <c r="AE264" s="11"/>
      <c r="AF264" s="11"/>
      <c r="AG264" s="11"/>
      <c r="AH264" s="11"/>
      <c r="AI264" s="11"/>
      <c r="AJ264" s="11"/>
      <c r="AK264" s="11"/>
      <c r="AL264" s="11"/>
      <c r="AM264" s="11"/>
      <c r="AN264" s="11"/>
      <c r="AO264" s="11"/>
      <c r="AP264" s="11"/>
      <c r="AQ264" s="11"/>
      <c r="AR264" s="11"/>
      <c r="AS264" s="11"/>
      <c r="AT264" s="11"/>
      <c r="AU264" s="11"/>
      <c r="AV264" s="11"/>
      <c r="AW264" s="11"/>
      <c r="AX264" s="11"/>
      <c r="AY264" s="11"/>
      <c r="AZ264" s="11"/>
      <c r="BA264" s="11"/>
      <c r="BB264" s="11"/>
      <c r="BC264" s="11"/>
      <c r="BD264" s="11"/>
      <c r="BE264" s="11"/>
      <c r="BF264" s="11"/>
      <c r="BG264" s="11"/>
      <c r="BH264" s="11"/>
      <c r="BI264" s="11"/>
      <c r="BJ264" s="11"/>
      <c r="BK264" s="11"/>
      <c r="BL264" s="11"/>
      <c r="BM264" s="11"/>
      <c r="BN264" s="11"/>
      <c r="BO264" s="11"/>
    </row>
    <row r="265" spans="1:67" x14ac:dyDescent="0.25">
      <c r="A265" s="11"/>
      <c r="B265" s="11"/>
      <c r="C265" s="11"/>
      <c r="D265" s="11"/>
      <c r="E265" s="11"/>
      <c r="F265" s="11"/>
      <c r="G265" s="11"/>
      <c r="H265" s="11"/>
      <c r="I265" s="11"/>
      <c r="J265" s="11"/>
      <c r="K265" s="11"/>
      <c r="L265" s="11"/>
      <c r="M265" s="11"/>
      <c r="N265" s="11"/>
      <c r="O265" s="11"/>
      <c r="P265" s="11"/>
      <c r="Q265" s="11"/>
      <c r="R265" s="11"/>
      <c r="S265" s="11"/>
      <c r="T265" s="11"/>
      <c r="U265" s="11"/>
      <c r="V265" s="11"/>
      <c r="W265" s="11"/>
      <c r="X265" s="11"/>
      <c r="Y265" s="11"/>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c r="BC265" s="11"/>
      <c r="BD265" s="11"/>
      <c r="BE265" s="11"/>
      <c r="BF265" s="11"/>
      <c r="BG265" s="11"/>
      <c r="BH265" s="11"/>
      <c r="BI265" s="11"/>
      <c r="BJ265" s="11"/>
      <c r="BK265" s="11"/>
      <c r="BL265" s="11"/>
      <c r="BM265" s="11"/>
      <c r="BN265" s="11"/>
      <c r="BO265" s="11"/>
    </row>
    <row r="266" spans="1:67" x14ac:dyDescent="0.25">
      <c r="A266" s="11"/>
      <c r="B266" s="11"/>
      <c r="C266" s="11"/>
      <c r="D266" s="11"/>
      <c r="E266" s="11"/>
      <c r="F266" s="11"/>
      <c r="G266" s="11"/>
      <c r="H266" s="11"/>
      <c r="I266" s="11"/>
      <c r="J266" s="11"/>
      <c r="K266" s="11"/>
      <c r="L266" s="11"/>
      <c r="M266" s="11"/>
      <c r="N266" s="11"/>
      <c r="O266" s="11"/>
      <c r="P266" s="11"/>
      <c r="Q266" s="11"/>
      <c r="R266" s="11"/>
      <c r="S266" s="11"/>
      <c r="T266" s="11"/>
      <c r="U266" s="11"/>
      <c r="V266" s="11"/>
      <c r="W266" s="11"/>
      <c r="X266" s="11"/>
      <c r="Y266" s="11"/>
      <c r="Z266" s="11"/>
      <c r="AA266" s="11"/>
      <c r="AB266" s="11"/>
      <c r="AC266" s="11"/>
      <c r="AD266" s="11"/>
      <c r="AE266" s="11"/>
      <c r="AF266" s="11"/>
      <c r="AG266" s="11"/>
      <c r="AH266" s="11"/>
      <c r="AI266" s="11"/>
      <c r="AJ266" s="11"/>
      <c r="AK266" s="11"/>
      <c r="AL266" s="11"/>
      <c r="AM266" s="11"/>
      <c r="AN266" s="11"/>
      <c r="AO266" s="11"/>
      <c r="AP266" s="11"/>
      <c r="AQ266" s="11"/>
      <c r="AR266" s="11"/>
      <c r="AS266" s="11"/>
      <c r="AT266" s="11"/>
      <c r="AU266" s="11"/>
      <c r="AV266" s="11"/>
      <c r="AW266" s="11"/>
      <c r="AX266" s="11"/>
      <c r="AY266" s="11"/>
      <c r="AZ266" s="11"/>
      <c r="BA266" s="11"/>
      <c r="BB266" s="11"/>
      <c r="BC266" s="11"/>
      <c r="BD266" s="11"/>
      <c r="BE266" s="11"/>
      <c r="BF266" s="11"/>
      <c r="BG266" s="11"/>
      <c r="BH266" s="11"/>
      <c r="BI266" s="11"/>
      <c r="BJ266" s="11"/>
      <c r="BK266" s="11"/>
      <c r="BL266" s="11"/>
      <c r="BM266" s="11"/>
      <c r="BN266" s="11"/>
      <c r="BO266" s="11"/>
    </row>
    <row r="267" spans="1:67" x14ac:dyDescent="0.25">
      <c r="A267" s="11"/>
      <c r="B267" s="11"/>
      <c r="C267" s="11"/>
      <c r="D267" s="11"/>
      <c r="E267" s="11"/>
      <c r="F267" s="11"/>
      <c r="G267" s="11"/>
      <c r="H267" s="11"/>
      <c r="I267" s="11"/>
      <c r="J267" s="11"/>
      <c r="K267" s="11"/>
      <c r="L267" s="11"/>
      <c r="M267" s="11"/>
      <c r="N267" s="11"/>
      <c r="O267" s="11"/>
      <c r="P267" s="11"/>
      <c r="Q267" s="11"/>
      <c r="R267" s="11"/>
      <c r="S267" s="11"/>
      <c r="T267" s="11"/>
      <c r="U267" s="11"/>
      <c r="V267" s="11"/>
      <c r="W267" s="11"/>
      <c r="X267" s="11"/>
      <c r="Y267" s="11"/>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c r="BC267" s="11"/>
      <c r="BD267" s="11"/>
      <c r="BE267" s="11"/>
      <c r="BF267" s="11"/>
      <c r="BG267" s="11"/>
      <c r="BH267" s="11"/>
      <c r="BI267" s="11"/>
      <c r="BJ267" s="11"/>
      <c r="BK267" s="11"/>
      <c r="BL267" s="11"/>
      <c r="BM267" s="11"/>
      <c r="BN267" s="11"/>
      <c r="BO267" s="11"/>
    </row>
    <row r="268" spans="1:67" x14ac:dyDescent="0.25">
      <c r="A268" s="11"/>
      <c r="B268" s="11"/>
      <c r="C268" s="11"/>
      <c r="D268" s="11"/>
      <c r="E268" s="11"/>
      <c r="F268" s="11"/>
      <c r="G268" s="11"/>
      <c r="H268" s="11"/>
      <c r="I268" s="11"/>
      <c r="J268" s="11"/>
      <c r="K268" s="11"/>
      <c r="L268" s="11"/>
      <c r="M268" s="11"/>
      <c r="N268" s="11"/>
      <c r="O268" s="11"/>
      <c r="P268" s="11"/>
      <c r="Q268" s="11"/>
      <c r="R268" s="11"/>
      <c r="S268" s="11"/>
      <c r="T268" s="11"/>
      <c r="U268" s="11"/>
      <c r="V268" s="11"/>
      <c r="W268" s="11"/>
      <c r="X268" s="11"/>
      <c r="Y268" s="11"/>
      <c r="Z268" s="11"/>
      <c r="AA268" s="11"/>
      <c r="AB268" s="11"/>
      <c r="AC268" s="11"/>
      <c r="AD268" s="11"/>
      <c r="AE268" s="11"/>
      <c r="AF268" s="11"/>
      <c r="AG268" s="11"/>
      <c r="AH268" s="11"/>
      <c r="AI268" s="11"/>
      <c r="AJ268" s="11"/>
      <c r="AK268" s="11"/>
      <c r="AL268" s="11"/>
      <c r="AM268" s="11"/>
      <c r="AN268" s="11"/>
      <c r="AO268" s="11"/>
      <c r="AP268" s="11"/>
      <c r="AQ268" s="11"/>
      <c r="AR268" s="11"/>
      <c r="AS268" s="11"/>
      <c r="AT268" s="11"/>
      <c r="AU268" s="11"/>
      <c r="AV268" s="11"/>
      <c r="AW268" s="11"/>
      <c r="AX268" s="11"/>
      <c r="AY268" s="11"/>
      <c r="AZ268" s="11"/>
      <c r="BA268" s="11"/>
      <c r="BB268" s="11"/>
      <c r="BC268" s="11"/>
      <c r="BD268" s="11"/>
      <c r="BE268" s="11"/>
      <c r="BF268" s="11"/>
      <c r="BG268" s="11"/>
      <c r="BH268" s="11"/>
      <c r="BI268" s="11"/>
      <c r="BJ268" s="11"/>
      <c r="BK268" s="11"/>
      <c r="BL268" s="11"/>
      <c r="BM268" s="11"/>
      <c r="BN268" s="11"/>
      <c r="BO268" s="11"/>
    </row>
    <row r="269" spans="1:67" x14ac:dyDescent="0.25">
      <c r="A269" s="11"/>
      <c r="B269" s="11"/>
      <c r="C269" s="11"/>
      <c r="D269" s="11"/>
      <c r="E269" s="11"/>
      <c r="F269" s="11"/>
      <c r="G269" s="11"/>
      <c r="H269" s="11"/>
      <c r="I269" s="11"/>
      <c r="J269" s="11"/>
      <c r="K269" s="11"/>
      <c r="L269" s="11"/>
      <c r="M269" s="11"/>
      <c r="N269" s="11"/>
      <c r="O269" s="11"/>
      <c r="P269" s="11"/>
      <c r="Q269" s="11"/>
      <c r="R269" s="11"/>
      <c r="S269" s="11"/>
      <c r="T269" s="11"/>
      <c r="U269" s="11"/>
      <c r="V269" s="11"/>
      <c r="W269" s="11"/>
      <c r="X269" s="11"/>
      <c r="Y269" s="11"/>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c r="BC269" s="11"/>
      <c r="BD269" s="11"/>
      <c r="BE269" s="11"/>
      <c r="BF269" s="11"/>
      <c r="BG269" s="11"/>
      <c r="BH269" s="11"/>
      <c r="BI269" s="11"/>
      <c r="BJ269" s="11"/>
      <c r="BK269" s="11"/>
      <c r="BL269" s="11"/>
      <c r="BM269" s="11"/>
      <c r="BN269" s="11"/>
      <c r="BO269" s="11"/>
    </row>
    <row r="270" spans="1:67" x14ac:dyDescent="0.25">
      <c r="A270" s="11"/>
      <c r="B270" s="11"/>
      <c r="C270" s="11"/>
      <c r="D270" s="11"/>
      <c r="E270" s="11"/>
      <c r="F270" s="11"/>
      <c r="G270" s="11"/>
      <c r="H270" s="11"/>
      <c r="I270" s="11"/>
      <c r="J270" s="11"/>
      <c r="K270" s="11"/>
      <c r="L270" s="11"/>
      <c r="M270" s="11"/>
      <c r="N270" s="11"/>
      <c r="O270" s="11"/>
      <c r="P270" s="11"/>
      <c r="Q270" s="11"/>
      <c r="R270" s="11"/>
      <c r="S270" s="11"/>
      <c r="T270" s="11"/>
      <c r="U270" s="11"/>
      <c r="V270" s="11"/>
      <c r="W270" s="11"/>
      <c r="X270" s="11"/>
      <c r="Y270" s="11"/>
      <c r="Z270" s="11"/>
      <c r="AA270" s="11"/>
      <c r="AB270" s="11"/>
      <c r="AC270" s="11"/>
      <c r="AD270" s="11"/>
      <c r="AE270" s="11"/>
      <c r="AF270" s="11"/>
      <c r="AG270" s="11"/>
      <c r="AH270" s="11"/>
      <c r="AI270" s="11"/>
      <c r="AJ270" s="11"/>
      <c r="AK270" s="11"/>
      <c r="AL270" s="11"/>
      <c r="AM270" s="11"/>
      <c r="AN270" s="11"/>
      <c r="AO270" s="11"/>
      <c r="AP270" s="11"/>
      <c r="AQ270" s="11"/>
      <c r="AR270" s="11"/>
      <c r="AS270" s="11"/>
      <c r="AT270" s="11"/>
      <c r="AU270" s="11"/>
      <c r="AV270" s="11"/>
      <c r="AW270" s="11"/>
      <c r="AX270" s="11"/>
      <c r="AY270" s="11"/>
      <c r="AZ270" s="11"/>
      <c r="BA270" s="11"/>
      <c r="BB270" s="11"/>
      <c r="BC270" s="11"/>
      <c r="BD270" s="11"/>
      <c r="BE270" s="11"/>
      <c r="BF270" s="11"/>
      <c r="BG270" s="11"/>
      <c r="BH270" s="11"/>
      <c r="BI270" s="11"/>
      <c r="BJ270" s="11"/>
      <c r="BK270" s="11"/>
      <c r="BL270" s="11"/>
      <c r="BM270" s="11"/>
      <c r="BN270" s="11"/>
      <c r="BO270" s="11"/>
    </row>
    <row r="271" spans="1:67" x14ac:dyDescent="0.25">
      <c r="A271" s="11"/>
      <c r="B271" s="11"/>
      <c r="C271" s="11"/>
      <c r="D271" s="11"/>
      <c r="E271" s="11"/>
      <c r="F271" s="11"/>
      <c r="G271" s="11"/>
      <c r="H271" s="11"/>
      <c r="I271" s="11"/>
      <c r="J271" s="11"/>
      <c r="K271" s="11"/>
      <c r="L271" s="11"/>
      <c r="M271" s="11"/>
      <c r="N271" s="11"/>
      <c r="O271" s="11"/>
      <c r="P271" s="11"/>
      <c r="Q271" s="11"/>
      <c r="R271" s="11"/>
      <c r="S271" s="11"/>
      <c r="T271" s="11"/>
      <c r="U271" s="11"/>
      <c r="V271" s="11"/>
      <c r="W271" s="11"/>
      <c r="X271" s="11"/>
      <c r="Y271" s="11"/>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c r="BC271" s="11"/>
      <c r="BD271" s="11"/>
      <c r="BE271" s="11"/>
      <c r="BF271" s="11"/>
      <c r="BG271" s="11"/>
      <c r="BH271" s="11"/>
      <c r="BI271" s="11"/>
      <c r="BJ271" s="11"/>
      <c r="BK271" s="11"/>
      <c r="BL271" s="11"/>
      <c r="BM271" s="11"/>
      <c r="BN271" s="11"/>
      <c r="BO271" s="11"/>
    </row>
    <row r="272" spans="1:67" x14ac:dyDescent="0.25">
      <c r="A272" s="11"/>
      <c r="B272" s="11"/>
      <c r="C272" s="11"/>
      <c r="D272" s="11"/>
      <c r="E272" s="11"/>
      <c r="F272" s="11"/>
      <c r="G272" s="11"/>
      <c r="H272" s="11"/>
      <c r="I272" s="11"/>
      <c r="J272" s="11"/>
      <c r="K272" s="11"/>
      <c r="L272" s="11"/>
      <c r="M272" s="11"/>
      <c r="N272" s="11"/>
      <c r="O272" s="11"/>
      <c r="P272" s="11"/>
      <c r="Q272" s="11"/>
      <c r="R272" s="11"/>
      <c r="S272" s="11"/>
      <c r="T272" s="11"/>
      <c r="U272" s="11"/>
      <c r="V272" s="11"/>
      <c r="W272" s="11"/>
      <c r="X272" s="11"/>
      <c r="Y272" s="11"/>
      <c r="Z272" s="11"/>
      <c r="AA272" s="11"/>
      <c r="AB272" s="11"/>
      <c r="AC272" s="11"/>
      <c r="AD272" s="11"/>
      <c r="AE272" s="11"/>
      <c r="AF272" s="11"/>
      <c r="AG272" s="11"/>
      <c r="AH272" s="11"/>
      <c r="AI272" s="11"/>
      <c r="AJ272" s="11"/>
      <c r="AK272" s="11"/>
      <c r="AL272" s="11"/>
      <c r="AM272" s="11"/>
      <c r="AN272" s="11"/>
      <c r="AO272" s="11"/>
      <c r="AP272" s="11"/>
      <c r="AQ272" s="11"/>
      <c r="AR272" s="11"/>
      <c r="AS272" s="11"/>
      <c r="AT272" s="11"/>
      <c r="AU272" s="11"/>
      <c r="AV272" s="11"/>
      <c r="AW272" s="11"/>
      <c r="AX272" s="11"/>
      <c r="AY272" s="11"/>
      <c r="AZ272" s="11"/>
      <c r="BA272" s="11"/>
      <c r="BB272" s="11"/>
      <c r="BC272" s="11"/>
      <c r="BD272" s="11"/>
      <c r="BE272" s="11"/>
      <c r="BF272" s="11"/>
      <c r="BG272" s="11"/>
      <c r="BH272" s="11"/>
      <c r="BI272" s="11"/>
      <c r="BJ272" s="11"/>
      <c r="BK272" s="11"/>
      <c r="BL272" s="11"/>
      <c r="BM272" s="11"/>
      <c r="BN272" s="11"/>
      <c r="BO272" s="11"/>
    </row>
    <row r="273" spans="1:67" x14ac:dyDescent="0.25">
      <c r="A273" s="11"/>
      <c r="B273" s="11"/>
      <c r="C273" s="11"/>
      <c r="D273" s="11"/>
      <c r="E273" s="11"/>
      <c r="F273" s="11"/>
      <c r="G273" s="11"/>
      <c r="H273" s="11"/>
      <c r="I273" s="11"/>
      <c r="J273" s="11"/>
      <c r="K273" s="11"/>
      <c r="L273" s="11"/>
      <c r="M273" s="11"/>
      <c r="N273" s="11"/>
      <c r="O273" s="11"/>
      <c r="P273" s="11"/>
      <c r="Q273" s="11"/>
      <c r="R273" s="11"/>
      <c r="S273" s="11"/>
      <c r="T273" s="11"/>
      <c r="U273" s="11"/>
      <c r="V273" s="11"/>
      <c r="W273" s="11"/>
      <c r="X273" s="11"/>
      <c r="Y273" s="11"/>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c r="BC273" s="11"/>
      <c r="BD273" s="11"/>
      <c r="BE273" s="11"/>
      <c r="BF273" s="11"/>
      <c r="BG273" s="11"/>
      <c r="BH273" s="11"/>
      <c r="BI273" s="11"/>
      <c r="BJ273" s="11"/>
      <c r="BK273" s="11"/>
      <c r="BL273" s="11"/>
      <c r="BM273" s="11"/>
      <c r="BN273" s="11"/>
      <c r="BO273" s="11"/>
    </row>
    <row r="274" spans="1:67" x14ac:dyDescent="0.25">
      <c r="A274" s="11"/>
      <c r="B274" s="11"/>
      <c r="C274" s="11"/>
      <c r="D274" s="11"/>
      <c r="E274" s="11"/>
      <c r="F274" s="11"/>
      <c r="G274" s="11"/>
      <c r="H274" s="11"/>
      <c r="I274" s="11"/>
      <c r="J274" s="11"/>
      <c r="K274" s="11"/>
      <c r="L274" s="11"/>
      <c r="M274" s="11"/>
      <c r="N274" s="11"/>
      <c r="O274" s="11"/>
      <c r="P274" s="11"/>
      <c r="Q274" s="11"/>
      <c r="R274" s="11"/>
      <c r="S274" s="11"/>
      <c r="T274" s="11"/>
      <c r="U274" s="11"/>
      <c r="V274" s="11"/>
      <c r="W274" s="11"/>
      <c r="X274" s="11"/>
      <c r="Y274" s="11"/>
      <c r="Z274" s="11"/>
      <c r="AA274" s="11"/>
      <c r="AB274" s="11"/>
      <c r="AC274" s="11"/>
      <c r="AD274" s="11"/>
      <c r="AE274" s="11"/>
      <c r="AF274" s="11"/>
      <c r="AG274" s="11"/>
      <c r="AH274" s="11"/>
      <c r="AI274" s="11"/>
      <c r="AJ274" s="11"/>
      <c r="AK274" s="11"/>
      <c r="AL274" s="11"/>
      <c r="AM274" s="11"/>
      <c r="AN274" s="11"/>
      <c r="AO274" s="11"/>
      <c r="AP274" s="11"/>
      <c r="AQ274" s="11"/>
      <c r="AR274" s="11"/>
      <c r="AS274" s="11"/>
      <c r="AT274" s="11"/>
      <c r="AU274" s="11"/>
      <c r="AV274" s="11"/>
      <c r="AW274" s="11"/>
      <c r="AX274" s="11"/>
      <c r="AY274" s="11"/>
      <c r="AZ274" s="11"/>
      <c r="BA274" s="11"/>
      <c r="BB274" s="11"/>
      <c r="BC274" s="11"/>
      <c r="BD274" s="11"/>
      <c r="BE274" s="11"/>
      <c r="BF274" s="11"/>
      <c r="BG274" s="11"/>
      <c r="BH274" s="11"/>
      <c r="BI274" s="11"/>
      <c r="BJ274" s="11"/>
      <c r="BK274" s="11"/>
      <c r="BL274" s="11"/>
      <c r="BM274" s="11"/>
      <c r="BN274" s="11"/>
      <c r="BO274" s="11"/>
    </row>
    <row r="275" spans="1:67" x14ac:dyDescent="0.25">
      <c r="A275" s="11"/>
      <c r="B275" s="11"/>
      <c r="C275" s="11"/>
      <c r="D275" s="11"/>
      <c r="E275" s="11"/>
      <c r="F275" s="11"/>
      <c r="G275" s="11"/>
      <c r="H275" s="11"/>
      <c r="I275" s="11"/>
      <c r="J275" s="11"/>
      <c r="K275" s="11"/>
      <c r="L275" s="11"/>
      <c r="M275" s="11"/>
      <c r="N275" s="11"/>
      <c r="O275" s="11"/>
      <c r="P275" s="11"/>
      <c r="Q275" s="11"/>
      <c r="R275" s="11"/>
      <c r="S275" s="11"/>
      <c r="T275" s="11"/>
      <c r="U275" s="11"/>
      <c r="V275" s="11"/>
      <c r="W275" s="11"/>
      <c r="X275" s="11"/>
      <c r="Y275" s="11"/>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c r="BC275" s="11"/>
      <c r="BD275" s="11"/>
      <c r="BE275" s="11"/>
      <c r="BF275" s="11"/>
      <c r="BG275" s="11"/>
      <c r="BH275" s="11"/>
      <c r="BI275" s="11"/>
      <c r="BJ275" s="11"/>
      <c r="BK275" s="11"/>
      <c r="BL275" s="11"/>
      <c r="BM275" s="11"/>
      <c r="BN275" s="11"/>
      <c r="BO275" s="11"/>
    </row>
    <row r="276" spans="1:67" x14ac:dyDescent="0.25">
      <c r="A276" s="11"/>
      <c r="B276" s="11"/>
      <c r="C276" s="11"/>
      <c r="D276" s="11"/>
      <c r="E276" s="11"/>
      <c r="F276" s="11"/>
      <c r="G276" s="11"/>
      <c r="H276" s="11"/>
      <c r="I276" s="11"/>
      <c r="J276" s="11"/>
      <c r="K276" s="11"/>
      <c r="L276" s="11"/>
      <c r="M276" s="11"/>
      <c r="N276" s="11"/>
      <c r="O276" s="11"/>
      <c r="P276" s="11"/>
      <c r="Q276" s="11"/>
      <c r="R276" s="11"/>
      <c r="S276" s="11"/>
      <c r="T276" s="11"/>
      <c r="U276" s="11"/>
      <c r="V276" s="11"/>
      <c r="W276" s="11"/>
      <c r="X276" s="11"/>
      <c r="Y276" s="11"/>
      <c r="Z276" s="11"/>
      <c r="AA276" s="11"/>
      <c r="AB276" s="11"/>
      <c r="AC276" s="11"/>
      <c r="AD276" s="11"/>
      <c r="AE276" s="11"/>
      <c r="AF276" s="11"/>
      <c r="AG276" s="11"/>
      <c r="AH276" s="11"/>
      <c r="AI276" s="11"/>
      <c r="AJ276" s="11"/>
      <c r="AK276" s="11"/>
      <c r="AL276" s="11"/>
      <c r="AM276" s="11"/>
      <c r="AN276" s="11"/>
      <c r="AO276" s="11"/>
      <c r="AP276" s="11"/>
      <c r="AQ276" s="11"/>
      <c r="AR276" s="11"/>
      <c r="AS276" s="11"/>
      <c r="AT276" s="11"/>
      <c r="AU276" s="11"/>
      <c r="AV276" s="11"/>
      <c r="AW276" s="11"/>
      <c r="AX276" s="11"/>
      <c r="AY276" s="11"/>
      <c r="AZ276" s="11"/>
      <c r="BA276" s="11"/>
      <c r="BB276" s="11"/>
      <c r="BC276" s="11"/>
      <c r="BD276" s="11"/>
      <c r="BE276" s="11"/>
      <c r="BF276" s="11"/>
      <c r="BG276" s="11"/>
      <c r="BH276" s="11"/>
      <c r="BI276" s="11"/>
      <c r="BJ276" s="11"/>
      <c r="BK276" s="11"/>
      <c r="BL276" s="11"/>
      <c r="BM276" s="11"/>
      <c r="BN276" s="11"/>
      <c r="BO276" s="11"/>
    </row>
    <row r="277" spans="1:67" x14ac:dyDescent="0.25">
      <c r="A277" s="11"/>
      <c r="B277" s="11"/>
      <c r="C277" s="11"/>
      <c r="D277" s="11"/>
      <c r="E277" s="11"/>
      <c r="F277" s="11"/>
      <c r="G277" s="11"/>
      <c r="H277" s="11"/>
      <c r="I277" s="11"/>
      <c r="J277" s="11"/>
      <c r="K277" s="11"/>
      <c r="L277" s="11"/>
      <c r="M277" s="11"/>
      <c r="N277" s="11"/>
      <c r="O277" s="11"/>
      <c r="P277" s="11"/>
      <c r="Q277" s="11"/>
      <c r="R277" s="11"/>
      <c r="S277" s="11"/>
      <c r="T277" s="11"/>
      <c r="U277" s="11"/>
      <c r="V277" s="11"/>
      <c r="W277" s="11"/>
      <c r="X277" s="11"/>
      <c r="Y277" s="11"/>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c r="BC277" s="11"/>
      <c r="BD277" s="11"/>
      <c r="BE277" s="11"/>
      <c r="BF277" s="11"/>
      <c r="BG277" s="11"/>
      <c r="BH277" s="11"/>
      <c r="BI277" s="11"/>
      <c r="BJ277" s="11"/>
      <c r="BK277" s="11"/>
      <c r="BL277" s="11"/>
      <c r="BM277" s="11"/>
      <c r="BN277" s="11"/>
      <c r="BO277" s="11"/>
    </row>
    <row r="278" spans="1:67" x14ac:dyDescent="0.25">
      <c r="A278" s="11"/>
      <c r="B278" s="11"/>
      <c r="C278" s="11"/>
      <c r="D278" s="11"/>
      <c r="E278" s="11"/>
      <c r="F278" s="11"/>
      <c r="G278" s="11"/>
      <c r="H278" s="11"/>
      <c r="I278" s="11"/>
      <c r="J278" s="11"/>
      <c r="K278" s="11"/>
      <c r="L278" s="11"/>
      <c r="M278" s="11"/>
      <c r="N278" s="11"/>
      <c r="O278" s="11"/>
      <c r="P278" s="11"/>
      <c r="Q278" s="11"/>
      <c r="R278" s="11"/>
      <c r="S278" s="11"/>
      <c r="T278" s="11"/>
      <c r="U278" s="11"/>
      <c r="V278" s="11"/>
      <c r="W278" s="11"/>
      <c r="X278" s="11"/>
      <c r="Y278" s="11"/>
      <c r="Z278" s="11"/>
      <c r="AA278" s="11"/>
      <c r="AB278" s="11"/>
      <c r="AC278" s="11"/>
      <c r="AD278" s="11"/>
      <c r="AE278" s="11"/>
      <c r="AF278" s="11"/>
      <c r="AG278" s="11"/>
      <c r="AH278" s="11"/>
      <c r="AI278" s="11"/>
      <c r="AJ278" s="11"/>
      <c r="AK278" s="11"/>
      <c r="AL278" s="11"/>
      <c r="AM278" s="11"/>
      <c r="AN278" s="11"/>
      <c r="AO278" s="11"/>
      <c r="AP278" s="11"/>
      <c r="AQ278" s="11"/>
      <c r="AR278" s="11"/>
      <c r="AS278" s="11"/>
      <c r="AT278" s="11"/>
      <c r="AU278" s="11"/>
      <c r="AV278" s="11"/>
      <c r="AW278" s="11"/>
      <c r="AX278" s="11"/>
      <c r="AY278" s="11"/>
      <c r="AZ278" s="11"/>
      <c r="BA278" s="11"/>
      <c r="BB278" s="11"/>
      <c r="BC278" s="11"/>
      <c r="BD278" s="11"/>
      <c r="BE278" s="11"/>
      <c r="BF278" s="11"/>
      <c r="BG278" s="11"/>
      <c r="BH278" s="11"/>
      <c r="BI278" s="11"/>
      <c r="BJ278" s="11"/>
      <c r="BK278" s="11"/>
      <c r="BL278" s="11"/>
      <c r="BM278" s="11"/>
      <c r="BN278" s="11"/>
      <c r="BO278" s="11"/>
    </row>
    <row r="279" spans="1:67" x14ac:dyDescent="0.25">
      <c r="A279" s="11"/>
      <c r="B279" s="11"/>
      <c r="C279" s="11"/>
      <c r="D279" s="11"/>
      <c r="E279" s="11"/>
      <c r="F279" s="11"/>
      <c r="G279" s="11"/>
      <c r="H279" s="11"/>
      <c r="I279" s="11"/>
      <c r="J279" s="11"/>
      <c r="K279" s="11"/>
      <c r="L279" s="11"/>
      <c r="M279" s="11"/>
      <c r="N279" s="11"/>
      <c r="O279" s="11"/>
      <c r="P279" s="11"/>
      <c r="Q279" s="11"/>
      <c r="R279" s="11"/>
      <c r="S279" s="11"/>
      <c r="T279" s="11"/>
      <c r="U279" s="11"/>
      <c r="V279" s="11"/>
      <c r="W279" s="11"/>
      <c r="X279" s="11"/>
      <c r="Y279" s="11"/>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c r="BC279" s="11"/>
      <c r="BD279" s="11"/>
      <c r="BE279" s="11"/>
      <c r="BF279" s="11"/>
      <c r="BG279" s="11"/>
      <c r="BH279" s="11"/>
      <c r="BI279" s="11"/>
      <c r="BJ279" s="11"/>
      <c r="BK279" s="11"/>
      <c r="BL279" s="11"/>
      <c r="BM279" s="11"/>
      <c r="BN279" s="11"/>
      <c r="BO279" s="11"/>
    </row>
    <row r="280" spans="1:67" x14ac:dyDescent="0.25">
      <c r="A280" s="11"/>
      <c r="B280" s="11"/>
      <c r="C280" s="11"/>
      <c r="D280" s="11"/>
      <c r="E280" s="11"/>
      <c r="F280" s="11"/>
      <c r="G280" s="11"/>
      <c r="H280" s="11"/>
      <c r="I280" s="11"/>
      <c r="J280" s="11"/>
      <c r="K280" s="11"/>
      <c r="L280" s="11"/>
      <c r="M280" s="11"/>
      <c r="N280" s="11"/>
      <c r="O280" s="11"/>
      <c r="P280" s="11"/>
      <c r="Q280" s="11"/>
      <c r="R280" s="11"/>
      <c r="S280" s="11"/>
      <c r="T280" s="11"/>
      <c r="U280" s="11"/>
      <c r="V280" s="11"/>
      <c r="W280" s="11"/>
      <c r="X280" s="11"/>
      <c r="Y280" s="11"/>
      <c r="Z280" s="11"/>
      <c r="AA280" s="11"/>
      <c r="AB280" s="11"/>
      <c r="AC280" s="11"/>
      <c r="AD280" s="11"/>
      <c r="AE280" s="11"/>
      <c r="AF280" s="11"/>
      <c r="AG280" s="11"/>
      <c r="AH280" s="11"/>
      <c r="AI280" s="11"/>
      <c r="AJ280" s="11"/>
      <c r="AK280" s="11"/>
      <c r="AL280" s="11"/>
      <c r="AM280" s="11"/>
      <c r="AN280" s="11"/>
      <c r="AO280" s="11"/>
      <c r="AP280" s="11"/>
      <c r="AQ280" s="11"/>
      <c r="AR280" s="11"/>
      <c r="AS280" s="11"/>
      <c r="AT280" s="11"/>
      <c r="AU280" s="11"/>
      <c r="AV280" s="11"/>
      <c r="AW280" s="11"/>
      <c r="AX280" s="11"/>
      <c r="AY280" s="11"/>
      <c r="AZ280" s="11"/>
      <c r="BA280" s="11"/>
      <c r="BB280" s="11"/>
      <c r="BC280" s="11"/>
      <c r="BD280" s="11"/>
      <c r="BE280" s="11"/>
      <c r="BF280" s="11"/>
      <c r="BG280" s="11"/>
      <c r="BH280" s="11"/>
      <c r="BI280" s="11"/>
      <c r="BJ280" s="11"/>
      <c r="BK280" s="11"/>
      <c r="BL280" s="11"/>
      <c r="BM280" s="11"/>
      <c r="BN280" s="11"/>
      <c r="BO280" s="11"/>
    </row>
    <row r="281" spans="1:67" x14ac:dyDescent="0.25">
      <c r="A281" s="11"/>
      <c r="B281" s="11"/>
      <c r="C281" s="11"/>
      <c r="D281" s="11"/>
      <c r="E281" s="11"/>
      <c r="F281" s="11"/>
      <c r="G281" s="11"/>
      <c r="H281" s="11"/>
      <c r="I281" s="11"/>
      <c r="J281" s="11"/>
      <c r="K281" s="11"/>
      <c r="L281" s="11"/>
      <c r="M281" s="11"/>
      <c r="N281" s="11"/>
      <c r="O281" s="11"/>
      <c r="P281" s="11"/>
      <c r="Q281" s="11"/>
      <c r="R281" s="11"/>
      <c r="S281" s="11"/>
      <c r="T281" s="11"/>
      <c r="U281" s="11"/>
      <c r="V281" s="11"/>
      <c r="W281" s="11"/>
      <c r="X281" s="11"/>
      <c r="Y281" s="11"/>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c r="BC281" s="11"/>
      <c r="BD281" s="11"/>
      <c r="BE281" s="11"/>
      <c r="BF281" s="11"/>
      <c r="BG281" s="11"/>
      <c r="BH281" s="11"/>
      <c r="BI281" s="11"/>
      <c r="BJ281" s="11"/>
      <c r="BK281" s="11"/>
      <c r="BL281" s="11"/>
      <c r="BM281" s="11"/>
      <c r="BN281" s="11"/>
      <c r="BO281" s="11"/>
    </row>
    <row r="282" spans="1:67" x14ac:dyDescent="0.25">
      <c r="A282" s="11"/>
      <c r="B282" s="11"/>
      <c r="C282" s="11"/>
      <c r="D282" s="11"/>
      <c r="E282" s="11"/>
      <c r="F282" s="11"/>
      <c r="G282" s="11"/>
      <c r="H282" s="11"/>
      <c r="I282" s="11"/>
      <c r="J282" s="11"/>
      <c r="K282" s="11"/>
      <c r="L282" s="11"/>
      <c r="M282" s="11"/>
      <c r="N282" s="11"/>
      <c r="O282" s="11"/>
      <c r="P282" s="11"/>
      <c r="Q282" s="11"/>
      <c r="R282" s="11"/>
      <c r="S282" s="11"/>
      <c r="T282" s="11"/>
      <c r="U282" s="11"/>
      <c r="V282" s="11"/>
      <c r="W282" s="11"/>
      <c r="X282" s="11"/>
      <c r="Y282" s="11"/>
      <c r="Z282" s="11"/>
      <c r="AA282" s="11"/>
      <c r="AB282" s="11"/>
      <c r="AC282" s="11"/>
      <c r="AD282" s="11"/>
      <c r="AE282" s="11"/>
      <c r="AF282" s="11"/>
      <c r="AG282" s="11"/>
      <c r="AH282" s="11"/>
      <c r="AI282" s="11"/>
      <c r="AJ282" s="11"/>
      <c r="AK282" s="11"/>
      <c r="AL282" s="11"/>
      <c r="AM282" s="11"/>
      <c r="AN282" s="11"/>
      <c r="AO282" s="11"/>
      <c r="AP282" s="11"/>
      <c r="AQ282" s="11"/>
      <c r="AR282" s="11"/>
      <c r="AS282" s="11"/>
      <c r="AT282" s="11"/>
      <c r="AU282" s="11"/>
      <c r="AV282" s="11"/>
      <c r="AW282" s="11"/>
      <c r="AX282" s="11"/>
      <c r="AY282" s="11"/>
      <c r="AZ282" s="11"/>
      <c r="BA282" s="11"/>
      <c r="BB282" s="11"/>
      <c r="BC282" s="11"/>
      <c r="BD282" s="11"/>
      <c r="BE282" s="11"/>
      <c r="BF282" s="11"/>
      <c r="BG282" s="11"/>
      <c r="BH282" s="11"/>
      <c r="BI282" s="11"/>
      <c r="BJ282" s="11"/>
      <c r="BK282" s="11"/>
      <c r="BL282" s="11"/>
      <c r="BM282" s="11"/>
      <c r="BN282" s="11"/>
      <c r="BO282" s="11"/>
    </row>
    <row r="283" spans="1:67" x14ac:dyDescent="0.25">
      <c r="A283" s="11"/>
      <c r="B283" s="11"/>
      <c r="C283" s="11"/>
      <c r="D283" s="11"/>
      <c r="E283" s="11"/>
      <c r="F283" s="11"/>
      <c r="G283" s="11"/>
      <c r="H283" s="11"/>
      <c r="I283" s="11"/>
      <c r="J283" s="11"/>
      <c r="K283" s="11"/>
      <c r="L283" s="11"/>
      <c r="M283" s="11"/>
      <c r="N283" s="11"/>
      <c r="O283" s="11"/>
      <c r="P283" s="11"/>
      <c r="Q283" s="11"/>
      <c r="R283" s="11"/>
      <c r="S283" s="11"/>
      <c r="T283" s="11"/>
      <c r="U283" s="11"/>
      <c r="V283" s="11"/>
      <c r="W283" s="11"/>
      <c r="X283" s="11"/>
      <c r="Y283" s="11"/>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c r="BC283" s="11"/>
      <c r="BD283" s="11"/>
      <c r="BE283" s="11"/>
      <c r="BF283" s="11"/>
      <c r="BG283" s="11"/>
      <c r="BH283" s="11"/>
      <c r="BI283" s="11"/>
      <c r="BJ283" s="11"/>
      <c r="BK283" s="11"/>
      <c r="BL283" s="11"/>
      <c r="BM283" s="11"/>
      <c r="BN283" s="11"/>
      <c r="BO283" s="11"/>
    </row>
    <row r="284" spans="1:67" x14ac:dyDescent="0.25">
      <c r="A284" s="11"/>
      <c r="B284" s="11"/>
      <c r="C284" s="11"/>
      <c r="D284" s="11"/>
      <c r="E284" s="11"/>
      <c r="F284" s="11"/>
      <c r="G284" s="11"/>
      <c r="H284" s="11"/>
      <c r="I284" s="11"/>
      <c r="J284" s="11"/>
      <c r="K284" s="11"/>
      <c r="L284" s="11"/>
      <c r="M284" s="11"/>
      <c r="N284" s="11"/>
      <c r="O284" s="11"/>
      <c r="P284" s="11"/>
      <c r="Q284" s="11"/>
      <c r="R284" s="11"/>
      <c r="S284" s="11"/>
      <c r="T284" s="11"/>
      <c r="U284" s="11"/>
      <c r="V284" s="11"/>
      <c r="W284" s="11"/>
      <c r="X284" s="11"/>
      <c r="Y284" s="11"/>
      <c r="Z284" s="11"/>
      <c r="AA284" s="11"/>
      <c r="AB284" s="11"/>
      <c r="AC284" s="11"/>
      <c r="AD284" s="11"/>
      <c r="AE284" s="11"/>
      <c r="AF284" s="11"/>
      <c r="AG284" s="11"/>
      <c r="AH284" s="11"/>
      <c r="AI284" s="11"/>
      <c r="AJ284" s="11"/>
      <c r="AK284" s="11"/>
      <c r="AL284" s="11"/>
      <c r="AM284" s="11"/>
      <c r="AN284" s="11"/>
      <c r="AO284" s="11"/>
      <c r="AP284" s="11"/>
      <c r="AQ284" s="11"/>
      <c r="AR284" s="11"/>
      <c r="AS284" s="11"/>
      <c r="AT284" s="11"/>
      <c r="AU284" s="11"/>
      <c r="AV284" s="11"/>
      <c r="AW284" s="11"/>
      <c r="AX284" s="11"/>
      <c r="AY284" s="11"/>
      <c r="AZ284" s="11"/>
      <c r="BA284" s="11"/>
      <c r="BB284" s="11"/>
      <c r="BC284" s="11"/>
      <c r="BD284" s="11"/>
      <c r="BE284" s="11"/>
      <c r="BF284" s="11"/>
      <c r="BG284" s="11"/>
      <c r="BH284" s="11"/>
      <c r="BI284" s="11"/>
      <c r="BJ284" s="11"/>
      <c r="BK284" s="11"/>
      <c r="BL284" s="11"/>
      <c r="BM284" s="11"/>
      <c r="BN284" s="11"/>
      <c r="BO284" s="11"/>
    </row>
    <row r="285" spans="1:67" x14ac:dyDescent="0.25">
      <c r="A285" s="11"/>
      <c r="B285" s="11"/>
      <c r="C285" s="11"/>
      <c r="D285" s="11"/>
      <c r="E285" s="11"/>
      <c r="F285" s="11"/>
      <c r="G285" s="11"/>
      <c r="H285" s="11"/>
      <c r="I285" s="11"/>
      <c r="J285" s="11"/>
      <c r="K285" s="11"/>
      <c r="L285" s="11"/>
      <c r="M285" s="11"/>
      <c r="N285" s="11"/>
      <c r="O285" s="11"/>
      <c r="P285" s="11"/>
      <c r="Q285" s="11"/>
      <c r="R285" s="11"/>
      <c r="S285" s="11"/>
      <c r="T285" s="11"/>
      <c r="U285" s="11"/>
      <c r="V285" s="11"/>
      <c r="W285" s="11"/>
      <c r="X285" s="11"/>
      <c r="Y285" s="11"/>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c r="BC285" s="11"/>
      <c r="BD285" s="11"/>
      <c r="BE285" s="11"/>
      <c r="BF285" s="11"/>
      <c r="BG285" s="11"/>
      <c r="BH285" s="11"/>
      <c r="BI285" s="11"/>
      <c r="BJ285" s="11"/>
      <c r="BK285" s="11"/>
      <c r="BL285" s="11"/>
      <c r="BM285" s="11"/>
      <c r="BN285" s="11"/>
      <c r="BO285" s="11"/>
    </row>
    <row r="286" spans="1:67" x14ac:dyDescent="0.25">
      <c r="A286" s="11"/>
      <c r="B286" s="11"/>
      <c r="C286" s="11"/>
      <c r="D286" s="11"/>
      <c r="E286" s="11"/>
      <c r="F286" s="11"/>
      <c r="G286" s="11"/>
      <c r="H286" s="11"/>
      <c r="I286" s="11"/>
      <c r="J286" s="11"/>
      <c r="K286" s="11"/>
      <c r="L286" s="11"/>
      <c r="M286" s="11"/>
      <c r="N286" s="11"/>
      <c r="O286" s="11"/>
      <c r="P286" s="11"/>
      <c r="Q286" s="11"/>
      <c r="R286" s="11"/>
      <c r="S286" s="11"/>
      <c r="T286" s="11"/>
      <c r="U286" s="11"/>
      <c r="V286" s="11"/>
      <c r="W286" s="11"/>
      <c r="X286" s="11"/>
      <c r="Y286" s="11"/>
      <c r="Z286" s="11"/>
      <c r="AA286" s="11"/>
      <c r="AB286" s="11"/>
      <c r="AC286" s="11"/>
      <c r="AD286" s="11"/>
      <c r="AE286" s="11"/>
      <c r="AF286" s="11"/>
      <c r="AG286" s="11"/>
      <c r="AH286" s="11"/>
      <c r="AI286" s="11"/>
      <c r="AJ286" s="11"/>
      <c r="AK286" s="11"/>
      <c r="AL286" s="11"/>
      <c r="AM286" s="11"/>
      <c r="AN286" s="11"/>
      <c r="AO286" s="11"/>
      <c r="AP286" s="11"/>
      <c r="AQ286" s="11"/>
      <c r="AR286" s="11"/>
      <c r="AS286" s="11"/>
      <c r="AT286" s="11"/>
      <c r="AU286" s="11"/>
      <c r="AV286" s="11"/>
      <c r="AW286" s="11"/>
      <c r="AX286" s="11"/>
      <c r="AY286" s="11"/>
      <c r="AZ286" s="11"/>
      <c r="BA286" s="11"/>
      <c r="BB286" s="11"/>
      <c r="BC286" s="11"/>
      <c r="BD286" s="11"/>
      <c r="BE286" s="11"/>
      <c r="BF286" s="11"/>
      <c r="BG286" s="11"/>
      <c r="BH286" s="11"/>
      <c r="BI286" s="11"/>
      <c r="BJ286" s="11"/>
      <c r="BK286" s="11"/>
      <c r="BL286" s="11"/>
      <c r="BM286" s="11"/>
      <c r="BN286" s="11"/>
      <c r="BO286" s="11"/>
    </row>
    <row r="287" spans="1:67" x14ac:dyDescent="0.25">
      <c r="A287" s="11"/>
      <c r="B287" s="11"/>
      <c r="C287" s="11"/>
      <c r="D287" s="11"/>
      <c r="E287" s="11"/>
      <c r="F287" s="11"/>
      <c r="G287" s="11"/>
      <c r="H287" s="11"/>
      <c r="I287" s="11"/>
      <c r="J287" s="11"/>
      <c r="K287" s="11"/>
      <c r="L287" s="11"/>
      <c r="M287" s="11"/>
      <c r="N287" s="11"/>
      <c r="O287" s="11"/>
      <c r="P287" s="11"/>
      <c r="Q287" s="11"/>
      <c r="R287" s="11"/>
      <c r="S287" s="11"/>
      <c r="T287" s="11"/>
      <c r="U287" s="11"/>
      <c r="V287" s="11"/>
      <c r="W287" s="11"/>
      <c r="X287" s="11"/>
      <c r="Y287" s="11"/>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c r="BC287" s="11"/>
      <c r="BD287" s="11"/>
      <c r="BE287" s="11"/>
      <c r="BF287" s="11"/>
      <c r="BG287" s="11"/>
      <c r="BH287" s="11"/>
      <c r="BI287" s="11"/>
      <c r="BJ287" s="11"/>
      <c r="BK287" s="11"/>
      <c r="BL287" s="11"/>
      <c r="BM287" s="11"/>
      <c r="BN287" s="11"/>
      <c r="BO287" s="11"/>
    </row>
    <row r="288" spans="1:67" x14ac:dyDescent="0.25">
      <c r="A288" s="11"/>
      <c r="B288" s="11"/>
      <c r="C288" s="11"/>
      <c r="D288" s="11"/>
      <c r="E288" s="11"/>
      <c r="F288" s="11"/>
      <c r="G288" s="11"/>
      <c r="H288" s="11"/>
      <c r="I288" s="11"/>
      <c r="J288" s="11"/>
      <c r="K288" s="11"/>
      <c r="L288" s="11"/>
      <c r="M288" s="11"/>
      <c r="N288" s="11"/>
      <c r="O288" s="11"/>
      <c r="P288" s="11"/>
      <c r="Q288" s="11"/>
      <c r="R288" s="11"/>
      <c r="S288" s="11"/>
      <c r="T288" s="11"/>
      <c r="U288" s="11"/>
      <c r="V288" s="11"/>
      <c r="W288" s="11"/>
      <c r="X288" s="11"/>
      <c r="Y288" s="11"/>
      <c r="Z288" s="11"/>
      <c r="AA288" s="11"/>
      <c r="AB288" s="11"/>
      <c r="AC288" s="11"/>
      <c r="AD288" s="11"/>
      <c r="AE288" s="11"/>
      <c r="AF288" s="11"/>
      <c r="AG288" s="11"/>
      <c r="AH288" s="11"/>
      <c r="AI288" s="11"/>
      <c r="AJ288" s="11"/>
      <c r="AK288" s="11"/>
      <c r="AL288" s="11"/>
      <c r="AM288" s="11"/>
      <c r="AN288" s="11"/>
      <c r="AO288" s="11"/>
      <c r="AP288" s="11"/>
      <c r="AQ288" s="11"/>
      <c r="AR288" s="11"/>
      <c r="AS288" s="11"/>
      <c r="AT288" s="11"/>
      <c r="AU288" s="11"/>
      <c r="AV288" s="11"/>
      <c r="AW288" s="11"/>
      <c r="AX288" s="11"/>
      <c r="AY288" s="11"/>
      <c r="AZ288" s="11"/>
      <c r="BA288" s="11"/>
      <c r="BB288" s="11"/>
      <c r="BC288" s="11"/>
      <c r="BD288" s="11"/>
      <c r="BE288" s="11"/>
      <c r="BF288" s="11"/>
      <c r="BG288" s="11"/>
      <c r="BH288" s="11"/>
      <c r="BI288" s="11"/>
      <c r="BJ288" s="11"/>
      <c r="BK288" s="11"/>
      <c r="BL288" s="11"/>
      <c r="BM288" s="11"/>
      <c r="BN288" s="11"/>
      <c r="BO288" s="11"/>
    </row>
    <row r="289" spans="1:67" x14ac:dyDescent="0.25">
      <c r="A289" s="11"/>
      <c r="B289" s="11"/>
      <c r="C289" s="11"/>
      <c r="D289" s="11"/>
      <c r="E289" s="11"/>
      <c r="F289" s="11"/>
      <c r="G289" s="11"/>
      <c r="H289" s="11"/>
      <c r="I289" s="11"/>
      <c r="J289" s="11"/>
      <c r="K289" s="11"/>
      <c r="L289" s="11"/>
      <c r="M289" s="11"/>
      <c r="N289" s="11"/>
      <c r="O289" s="11"/>
      <c r="P289" s="11"/>
      <c r="Q289" s="11"/>
      <c r="R289" s="11"/>
      <c r="S289" s="11"/>
      <c r="T289" s="11"/>
      <c r="U289" s="11"/>
      <c r="V289" s="11"/>
      <c r="W289" s="11"/>
      <c r="X289" s="11"/>
      <c r="Y289" s="11"/>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c r="BC289" s="11"/>
      <c r="BD289" s="11"/>
      <c r="BE289" s="11"/>
      <c r="BF289" s="11"/>
      <c r="BG289" s="11"/>
      <c r="BH289" s="11"/>
      <c r="BI289" s="11"/>
      <c r="BJ289" s="11"/>
      <c r="BK289" s="11"/>
      <c r="BL289" s="11"/>
      <c r="BM289" s="11"/>
      <c r="BN289" s="11"/>
      <c r="BO289" s="11"/>
    </row>
    <row r="290" spans="1:67" x14ac:dyDescent="0.25">
      <c r="A290" s="11"/>
      <c r="B290" s="11"/>
      <c r="C290" s="11"/>
      <c r="D290" s="11"/>
      <c r="E290" s="11"/>
      <c r="F290" s="11"/>
      <c r="G290" s="11"/>
      <c r="H290" s="11"/>
      <c r="I290" s="11"/>
      <c r="J290" s="11"/>
      <c r="K290" s="11"/>
      <c r="L290" s="11"/>
      <c r="M290" s="11"/>
      <c r="N290" s="11"/>
      <c r="O290" s="11"/>
      <c r="P290" s="11"/>
      <c r="Q290" s="11"/>
      <c r="R290" s="11"/>
      <c r="S290" s="11"/>
      <c r="T290" s="11"/>
      <c r="U290" s="11"/>
      <c r="V290" s="11"/>
      <c r="W290" s="11"/>
      <c r="X290" s="11"/>
      <c r="Y290" s="11"/>
      <c r="Z290" s="11"/>
      <c r="AA290" s="11"/>
      <c r="AB290" s="11"/>
      <c r="AC290" s="11"/>
      <c r="AD290" s="11"/>
      <c r="AE290" s="11"/>
      <c r="AF290" s="11"/>
      <c r="AG290" s="11"/>
      <c r="AH290" s="11"/>
      <c r="AI290" s="11"/>
      <c r="AJ290" s="11"/>
      <c r="AK290" s="11"/>
      <c r="AL290" s="11"/>
      <c r="AM290" s="11"/>
      <c r="AN290" s="11"/>
      <c r="AO290" s="11"/>
      <c r="AP290" s="11"/>
      <c r="AQ290" s="11"/>
      <c r="AR290" s="11"/>
      <c r="AS290" s="11"/>
      <c r="AT290" s="11"/>
      <c r="AU290" s="11"/>
      <c r="AV290" s="11"/>
      <c r="AW290" s="11"/>
      <c r="AX290" s="11"/>
      <c r="AY290" s="11"/>
      <c r="AZ290" s="11"/>
      <c r="BA290" s="11"/>
      <c r="BB290" s="11"/>
      <c r="BC290" s="11"/>
      <c r="BD290" s="11"/>
      <c r="BE290" s="11"/>
      <c r="BF290" s="11"/>
      <c r="BG290" s="11"/>
      <c r="BH290" s="11"/>
      <c r="BI290" s="11"/>
      <c r="BJ290" s="11"/>
      <c r="BK290" s="11"/>
      <c r="BL290" s="11"/>
      <c r="BM290" s="11"/>
      <c r="BN290" s="11"/>
      <c r="BO290" s="11"/>
    </row>
    <row r="291" spans="1:67" x14ac:dyDescent="0.25">
      <c r="A291" s="11"/>
      <c r="B291" s="11"/>
      <c r="C291" s="11"/>
      <c r="D291" s="11"/>
      <c r="E291" s="11"/>
      <c r="F291" s="11"/>
      <c r="G291" s="11"/>
      <c r="H291" s="11"/>
      <c r="I291" s="11"/>
      <c r="J291" s="11"/>
      <c r="K291" s="11"/>
      <c r="L291" s="11"/>
      <c r="M291" s="11"/>
      <c r="N291" s="11"/>
      <c r="O291" s="11"/>
      <c r="P291" s="11"/>
      <c r="Q291" s="11"/>
      <c r="R291" s="11"/>
      <c r="S291" s="11"/>
      <c r="T291" s="11"/>
      <c r="U291" s="11"/>
      <c r="V291" s="11"/>
      <c r="W291" s="11"/>
      <c r="X291" s="11"/>
      <c r="Y291" s="11"/>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c r="BC291" s="11"/>
      <c r="BD291" s="11"/>
      <c r="BE291" s="11"/>
      <c r="BF291" s="11"/>
      <c r="BG291" s="11"/>
      <c r="BH291" s="11"/>
      <c r="BI291" s="11"/>
      <c r="BJ291" s="11"/>
      <c r="BK291" s="11"/>
      <c r="BL291" s="11"/>
      <c r="BM291" s="11"/>
      <c r="BN291" s="11"/>
      <c r="BO291" s="11"/>
    </row>
    <row r="292" spans="1:67" x14ac:dyDescent="0.25">
      <c r="A292" s="11"/>
      <c r="B292" s="11"/>
      <c r="C292" s="11"/>
      <c r="D292" s="11"/>
      <c r="E292" s="11"/>
      <c r="F292" s="11"/>
      <c r="G292" s="11"/>
      <c r="H292" s="11"/>
      <c r="I292" s="11"/>
      <c r="J292" s="11"/>
      <c r="K292" s="11"/>
      <c r="L292" s="11"/>
      <c r="M292" s="11"/>
      <c r="N292" s="11"/>
      <c r="O292" s="11"/>
      <c r="P292" s="11"/>
      <c r="Q292" s="11"/>
      <c r="R292" s="11"/>
      <c r="S292" s="11"/>
      <c r="T292" s="11"/>
      <c r="U292" s="11"/>
      <c r="V292" s="11"/>
      <c r="W292" s="11"/>
      <c r="X292" s="11"/>
      <c r="Y292" s="11"/>
      <c r="Z292" s="11"/>
      <c r="AA292" s="11"/>
      <c r="AB292" s="11"/>
      <c r="AC292" s="11"/>
      <c r="AD292" s="11"/>
      <c r="AE292" s="11"/>
      <c r="AF292" s="11"/>
      <c r="AG292" s="11"/>
      <c r="AH292" s="11"/>
      <c r="AI292" s="11"/>
      <c r="AJ292" s="11"/>
      <c r="AK292" s="11"/>
      <c r="AL292" s="11"/>
      <c r="AM292" s="11"/>
      <c r="AN292" s="11"/>
      <c r="AO292" s="11"/>
      <c r="AP292" s="11"/>
      <c r="AQ292" s="11"/>
      <c r="AR292" s="11"/>
      <c r="AS292" s="11"/>
      <c r="AT292" s="11"/>
      <c r="AU292" s="11"/>
      <c r="AV292" s="11"/>
      <c r="AW292" s="11"/>
      <c r="AX292" s="11"/>
      <c r="AY292" s="11"/>
      <c r="AZ292" s="11"/>
      <c r="BA292" s="11"/>
      <c r="BB292" s="11"/>
      <c r="BC292" s="11"/>
      <c r="BD292" s="11"/>
      <c r="BE292" s="11"/>
      <c r="BF292" s="11"/>
      <c r="BG292" s="11"/>
      <c r="BH292" s="11"/>
      <c r="BI292" s="11"/>
      <c r="BJ292" s="11"/>
      <c r="BK292" s="11"/>
      <c r="BL292" s="11"/>
      <c r="BM292" s="11"/>
      <c r="BN292" s="11"/>
      <c r="BO292" s="11"/>
    </row>
    <row r="293" spans="1:67" x14ac:dyDescent="0.25">
      <c r="A293" s="11"/>
      <c r="B293" s="11"/>
      <c r="C293" s="11"/>
      <c r="D293" s="11"/>
      <c r="E293" s="11"/>
      <c r="F293" s="11"/>
      <c r="G293" s="11"/>
      <c r="H293" s="11"/>
      <c r="I293" s="11"/>
      <c r="J293" s="11"/>
      <c r="K293" s="11"/>
      <c r="L293" s="11"/>
      <c r="M293" s="11"/>
      <c r="N293" s="11"/>
      <c r="O293" s="11"/>
      <c r="P293" s="11"/>
      <c r="Q293" s="11"/>
      <c r="R293" s="11"/>
      <c r="S293" s="11"/>
      <c r="T293" s="11"/>
      <c r="U293" s="11"/>
      <c r="V293" s="11"/>
      <c r="W293" s="11"/>
      <c r="X293" s="11"/>
      <c r="Y293" s="11"/>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c r="BC293" s="11"/>
      <c r="BD293" s="11"/>
      <c r="BE293" s="11"/>
      <c r="BF293" s="11"/>
      <c r="BG293" s="11"/>
      <c r="BH293" s="11"/>
      <c r="BI293" s="11"/>
      <c r="BJ293" s="11"/>
      <c r="BK293" s="11"/>
      <c r="BL293" s="11"/>
      <c r="BM293" s="11"/>
      <c r="BN293" s="11"/>
      <c r="BO293" s="11"/>
    </row>
    <row r="294" spans="1:67" x14ac:dyDescent="0.25">
      <c r="A294" s="11"/>
      <c r="B294" s="11"/>
      <c r="C294" s="11"/>
      <c r="D294" s="11"/>
      <c r="E294" s="11"/>
      <c r="F294" s="11"/>
      <c r="G294" s="11"/>
      <c r="H294" s="11"/>
      <c r="I294" s="11"/>
      <c r="J294" s="11"/>
      <c r="K294" s="11"/>
      <c r="L294" s="11"/>
      <c r="M294" s="11"/>
      <c r="N294" s="11"/>
      <c r="O294" s="11"/>
      <c r="P294" s="11"/>
      <c r="Q294" s="11"/>
      <c r="R294" s="11"/>
      <c r="S294" s="11"/>
      <c r="T294" s="11"/>
      <c r="U294" s="11"/>
      <c r="V294" s="11"/>
      <c r="W294" s="11"/>
      <c r="X294" s="11"/>
      <c r="Y294" s="11"/>
      <c r="Z294" s="11"/>
      <c r="AA294" s="11"/>
      <c r="AB294" s="11"/>
      <c r="AC294" s="11"/>
      <c r="AD294" s="11"/>
      <c r="AE294" s="11"/>
      <c r="AF294" s="11"/>
      <c r="AG294" s="11"/>
      <c r="AH294" s="11"/>
      <c r="AI294" s="11"/>
      <c r="AJ294" s="11"/>
      <c r="AK294" s="11"/>
      <c r="AL294" s="11"/>
      <c r="AM294" s="11"/>
      <c r="AN294" s="11"/>
      <c r="AO294" s="11"/>
      <c r="AP294" s="11"/>
      <c r="AQ294" s="11"/>
      <c r="AR294" s="11"/>
      <c r="AS294" s="11"/>
      <c r="AT294" s="11"/>
      <c r="AU294" s="11"/>
      <c r="AV294" s="11"/>
      <c r="AW294" s="11"/>
      <c r="AX294" s="11"/>
      <c r="AY294" s="11"/>
      <c r="AZ294" s="11"/>
      <c r="BA294" s="11"/>
      <c r="BB294" s="11"/>
      <c r="BC294" s="11"/>
      <c r="BD294" s="11"/>
      <c r="BE294" s="11"/>
      <c r="BF294" s="11"/>
      <c r="BG294" s="11"/>
      <c r="BH294" s="11"/>
      <c r="BI294" s="11"/>
      <c r="BJ294" s="11"/>
      <c r="BK294" s="11"/>
      <c r="BL294" s="11"/>
      <c r="BM294" s="11"/>
      <c r="BN294" s="11"/>
      <c r="BO294" s="11"/>
    </row>
    <row r="295" spans="1:67" x14ac:dyDescent="0.25">
      <c r="A295" s="11"/>
      <c r="B295" s="11"/>
      <c r="C295" s="11"/>
      <c r="D295" s="11"/>
      <c r="E295" s="11"/>
      <c r="F295" s="11"/>
      <c r="G295" s="11"/>
      <c r="H295" s="11"/>
      <c r="I295" s="11"/>
      <c r="J295" s="11"/>
      <c r="K295" s="11"/>
      <c r="L295" s="11"/>
      <c r="M295" s="11"/>
      <c r="N295" s="11"/>
      <c r="O295" s="11"/>
      <c r="P295" s="11"/>
      <c r="Q295" s="11"/>
      <c r="R295" s="11"/>
      <c r="S295" s="11"/>
      <c r="T295" s="11"/>
      <c r="U295" s="11"/>
      <c r="V295" s="11"/>
      <c r="W295" s="11"/>
      <c r="X295" s="11"/>
      <c r="Y295" s="11"/>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c r="BC295" s="11"/>
      <c r="BD295" s="11"/>
      <c r="BE295" s="11"/>
      <c r="BF295" s="11"/>
      <c r="BG295" s="11"/>
      <c r="BH295" s="11"/>
      <c r="BI295" s="11"/>
      <c r="BJ295" s="11"/>
      <c r="BK295" s="11"/>
      <c r="BL295" s="11"/>
      <c r="BM295" s="11"/>
      <c r="BN295" s="11"/>
      <c r="BO295" s="11"/>
    </row>
    <row r="296" spans="1:67" x14ac:dyDescent="0.25">
      <c r="A296" s="11"/>
      <c r="B296" s="11"/>
      <c r="C296" s="11"/>
      <c r="D296" s="11"/>
      <c r="E296" s="11"/>
      <c r="F296" s="11"/>
      <c r="G296" s="11"/>
      <c r="H296" s="11"/>
      <c r="I296" s="11"/>
      <c r="J296" s="11"/>
      <c r="K296" s="11"/>
      <c r="L296" s="11"/>
      <c r="M296" s="11"/>
      <c r="N296" s="11"/>
      <c r="O296" s="11"/>
      <c r="P296" s="11"/>
      <c r="Q296" s="11"/>
      <c r="R296" s="11"/>
      <c r="S296" s="11"/>
      <c r="T296" s="11"/>
      <c r="U296" s="11"/>
      <c r="V296" s="11"/>
      <c r="W296" s="11"/>
      <c r="X296" s="11"/>
      <c r="Y296" s="11"/>
      <c r="Z296" s="11"/>
      <c r="AA296" s="11"/>
      <c r="AB296" s="11"/>
      <c r="AC296" s="11"/>
      <c r="AD296" s="11"/>
      <c r="AE296" s="11"/>
      <c r="AF296" s="11"/>
      <c r="AG296" s="11"/>
      <c r="AH296" s="11"/>
      <c r="AI296" s="11"/>
      <c r="AJ296" s="11"/>
      <c r="AK296" s="11"/>
      <c r="AL296" s="11"/>
      <c r="AM296" s="11"/>
      <c r="AN296" s="11"/>
      <c r="AO296" s="11"/>
      <c r="AP296" s="11"/>
      <c r="AQ296" s="11"/>
      <c r="AR296" s="11"/>
      <c r="AS296" s="11"/>
      <c r="AT296" s="11"/>
      <c r="AU296" s="11"/>
      <c r="AV296" s="11"/>
      <c r="AW296" s="11"/>
      <c r="AX296" s="11"/>
      <c r="AY296" s="11"/>
      <c r="AZ296" s="11"/>
      <c r="BA296" s="11"/>
      <c r="BB296" s="11"/>
      <c r="BC296" s="11"/>
      <c r="BD296" s="11"/>
      <c r="BE296" s="11"/>
      <c r="BF296" s="11"/>
      <c r="BG296" s="11"/>
      <c r="BH296" s="11"/>
      <c r="BI296" s="11"/>
      <c r="BJ296" s="11"/>
      <c r="BK296" s="11"/>
      <c r="BL296" s="11"/>
      <c r="BM296" s="11"/>
      <c r="BN296" s="11"/>
      <c r="BO296" s="11"/>
    </row>
    <row r="297" spans="1:67" x14ac:dyDescent="0.25">
      <c r="A297" s="11"/>
      <c r="B297" s="11"/>
      <c r="C297" s="11"/>
      <c r="D297" s="11"/>
      <c r="E297" s="11"/>
      <c r="F297" s="11"/>
      <c r="G297" s="11"/>
      <c r="H297" s="11"/>
      <c r="I297" s="11"/>
      <c r="J297" s="11"/>
      <c r="K297" s="11"/>
      <c r="L297" s="11"/>
      <c r="M297" s="11"/>
      <c r="N297" s="11"/>
      <c r="O297" s="11"/>
      <c r="P297" s="11"/>
      <c r="Q297" s="11"/>
      <c r="R297" s="11"/>
      <c r="S297" s="11"/>
      <c r="T297" s="11"/>
      <c r="U297" s="11"/>
      <c r="V297" s="11"/>
      <c r="W297" s="11"/>
      <c r="X297" s="11"/>
      <c r="Y297" s="11"/>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c r="BC297" s="11"/>
      <c r="BD297" s="11"/>
      <c r="BE297" s="11"/>
      <c r="BF297" s="11"/>
      <c r="BG297" s="11"/>
      <c r="BH297" s="11"/>
      <c r="BI297" s="11"/>
      <c r="BJ297" s="11"/>
      <c r="BK297" s="11"/>
      <c r="BL297" s="11"/>
      <c r="BM297" s="11"/>
      <c r="BN297" s="11"/>
      <c r="BO297" s="11"/>
    </row>
    <row r="298" spans="1:67" x14ac:dyDescent="0.25">
      <c r="A298" s="11"/>
      <c r="B298" s="11"/>
      <c r="C298" s="11"/>
      <c r="D298" s="11"/>
      <c r="E298" s="11"/>
      <c r="F298" s="11"/>
      <c r="G298" s="11"/>
      <c r="H298" s="11"/>
      <c r="I298" s="11"/>
      <c r="J298" s="11"/>
      <c r="K298" s="11"/>
      <c r="L298" s="11"/>
      <c r="M298" s="11"/>
      <c r="N298" s="11"/>
      <c r="O298" s="11"/>
      <c r="P298" s="11"/>
      <c r="Q298" s="11"/>
      <c r="R298" s="11"/>
      <c r="S298" s="11"/>
      <c r="T298" s="11"/>
      <c r="U298" s="11"/>
      <c r="V298" s="11"/>
      <c r="W298" s="11"/>
      <c r="X298" s="11"/>
      <c r="Y298" s="11"/>
      <c r="Z298" s="11"/>
      <c r="AA298" s="11"/>
      <c r="AB298" s="11"/>
      <c r="AC298" s="11"/>
      <c r="AD298" s="11"/>
      <c r="AE298" s="11"/>
      <c r="AF298" s="11"/>
      <c r="AG298" s="11"/>
      <c r="AH298" s="11"/>
      <c r="AI298" s="11"/>
      <c r="AJ298" s="11"/>
      <c r="AK298" s="11"/>
      <c r="AL298" s="11"/>
      <c r="AM298" s="11"/>
      <c r="AN298" s="11"/>
      <c r="AO298" s="11"/>
      <c r="AP298" s="11"/>
      <c r="AQ298" s="11"/>
      <c r="AR298" s="11"/>
      <c r="AS298" s="11"/>
      <c r="AT298" s="11"/>
      <c r="AU298" s="11"/>
      <c r="AV298" s="11"/>
      <c r="AW298" s="11"/>
      <c r="AX298" s="11"/>
      <c r="AY298" s="11"/>
      <c r="AZ298" s="11"/>
      <c r="BA298" s="11"/>
      <c r="BB298" s="11"/>
      <c r="BC298" s="11"/>
      <c r="BD298" s="11"/>
      <c r="BE298" s="11"/>
      <c r="BF298" s="11"/>
      <c r="BG298" s="11"/>
      <c r="BH298" s="11"/>
      <c r="BI298" s="11"/>
      <c r="BJ298" s="11"/>
      <c r="BK298" s="11"/>
      <c r="BL298" s="11"/>
      <c r="BM298" s="11"/>
      <c r="BN298" s="11"/>
      <c r="BO298" s="11"/>
    </row>
    <row r="299" spans="1:67" x14ac:dyDescent="0.25">
      <c r="A299" s="11"/>
      <c r="B299" s="11"/>
      <c r="C299" s="11"/>
      <c r="D299" s="11"/>
      <c r="E299" s="11"/>
      <c r="F299" s="11"/>
      <c r="G299" s="11"/>
      <c r="H299" s="11"/>
      <c r="I299" s="11"/>
      <c r="J299" s="11"/>
      <c r="K299" s="11"/>
      <c r="L299" s="11"/>
      <c r="M299" s="11"/>
      <c r="N299" s="11"/>
      <c r="O299" s="11"/>
      <c r="P299" s="11"/>
      <c r="Q299" s="11"/>
      <c r="R299" s="11"/>
      <c r="S299" s="11"/>
      <c r="T299" s="11"/>
      <c r="U299" s="11"/>
      <c r="V299" s="11"/>
      <c r="W299" s="11"/>
      <c r="X299" s="11"/>
      <c r="Y299" s="11"/>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c r="BC299" s="11"/>
      <c r="BD299" s="11"/>
      <c r="BE299" s="11"/>
      <c r="BF299" s="11"/>
      <c r="BG299" s="11"/>
      <c r="BH299" s="11"/>
      <c r="BI299" s="11"/>
      <c r="BJ299" s="11"/>
      <c r="BK299" s="11"/>
      <c r="BL299" s="11"/>
      <c r="BM299" s="11"/>
      <c r="BN299" s="11"/>
      <c r="BO299" s="11"/>
    </row>
    <row r="300" spans="1:67" x14ac:dyDescent="0.25">
      <c r="A300" s="11"/>
      <c r="B300" s="11"/>
      <c r="C300" s="11"/>
      <c r="D300" s="11"/>
      <c r="E300" s="11"/>
      <c r="F300" s="11"/>
      <c r="G300" s="11"/>
      <c r="H300" s="11"/>
      <c r="I300" s="11"/>
      <c r="J300" s="11"/>
      <c r="K300" s="11"/>
      <c r="L300" s="11"/>
      <c r="M300" s="11"/>
      <c r="N300" s="11"/>
      <c r="O300" s="11"/>
      <c r="P300" s="11"/>
      <c r="Q300" s="11"/>
      <c r="R300" s="11"/>
      <c r="S300" s="11"/>
      <c r="T300" s="11"/>
      <c r="U300" s="11"/>
      <c r="V300" s="11"/>
      <c r="W300" s="11"/>
      <c r="X300" s="11"/>
      <c r="Y300" s="11"/>
      <c r="Z300" s="11"/>
      <c r="AA300" s="11"/>
      <c r="AB300" s="11"/>
      <c r="AC300" s="11"/>
      <c r="AD300" s="11"/>
      <c r="AE300" s="11"/>
      <c r="AF300" s="11"/>
      <c r="AG300" s="11"/>
      <c r="AH300" s="11"/>
      <c r="AI300" s="11"/>
      <c r="AJ300" s="11"/>
      <c r="AK300" s="11"/>
      <c r="AL300" s="11"/>
      <c r="AM300" s="11"/>
      <c r="AN300" s="11"/>
      <c r="AO300" s="11"/>
      <c r="AP300" s="11"/>
      <c r="AQ300" s="11"/>
      <c r="AR300" s="11"/>
      <c r="AS300" s="11"/>
      <c r="AT300" s="11"/>
      <c r="AU300" s="11"/>
      <c r="AV300" s="11"/>
      <c r="AW300" s="11"/>
      <c r="AX300" s="11"/>
      <c r="AY300" s="11"/>
      <c r="AZ300" s="11"/>
      <c r="BA300" s="11"/>
      <c r="BB300" s="11"/>
      <c r="BC300" s="11"/>
      <c r="BD300" s="11"/>
      <c r="BE300" s="11"/>
      <c r="BF300" s="11"/>
      <c r="BG300" s="11"/>
      <c r="BH300" s="11"/>
      <c r="BI300" s="11"/>
      <c r="BJ300" s="11"/>
      <c r="BK300" s="11"/>
      <c r="BL300" s="11"/>
      <c r="BM300" s="11"/>
      <c r="BN300" s="11"/>
      <c r="BO300" s="11"/>
    </row>
    <row r="301" spans="1:67" x14ac:dyDescent="0.25">
      <c r="A301" s="11"/>
      <c r="B301" s="11"/>
      <c r="C301" s="11"/>
      <c r="D301" s="11"/>
      <c r="E301" s="11"/>
      <c r="F301" s="11"/>
      <c r="G301" s="11"/>
      <c r="H301" s="11"/>
      <c r="I301" s="11"/>
      <c r="J301" s="11"/>
      <c r="K301" s="11"/>
      <c r="L301" s="11"/>
      <c r="M301" s="11"/>
      <c r="N301" s="11"/>
      <c r="O301" s="11"/>
      <c r="P301" s="11"/>
      <c r="Q301" s="11"/>
      <c r="R301" s="11"/>
      <c r="S301" s="11"/>
      <c r="T301" s="11"/>
      <c r="U301" s="11"/>
      <c r="V301" s="11"/>
      <c r="W301" s="11"/>
      <c r="X301" s="11"/>
      <c r="Y301" s="11"/>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c r="BC301" s="11"/>
      <c r="BD301" s="11"/>
      <c r="BE301" s="11"/>
      <c r="BF301" s="11"/>
      <c r="BG301" s="11"/>
      <c r="BH301" s="11"/>
      <c r="BI301" s="11"/>
      <c r="BJ301" s="11"/>
      <c r="BK301" s="11"/>
      <c r="BL301" s="11"/>
      <c r="BM301" s="11"/>
      <c r="BN301" s="11"/>
      <c r="BO301" s="11"/>
    </row>
    <row r="302" spans="1:67" x14ac:dyDescent="0.25">
      <c r="A302" s="11"/>
      <c r="B302" s="11"/>
      <c r="C302" s="11"/>
      <c r="D302" s="11"/>
      <c r="E302" s="11"/>
      <c r="F302" s="11"/>
      <c r="G302" s="11"/>
      <c r="H302" s="11"/>
      <c r="I302" s="11"/>
      <c r="J302" s="11"/>
      <c r="K302" s="11"/>
      <c r="L302" s="11"/>
      <c r="M302" s="11"/>
      <c r="N302" s="11"/>
      <c r="O302" s="11"/>
      <c r="P302" s="11"/>
      <c r="Q302" s="11"/>
      <c r="R302" s="11"/>
      <c r="S302" s="11"/>
      <c r="T302" s="11"/>
      <c r="U302" s="11"/>
      <c r="V302" s="11"/>
      <c r="W302" s="11"/>
      <c r="X302" s="11"/>
      <c r="Y302" s="11"/>
      <c r="Z302" s="11"/>
      <c r="AA302" s="11"/>
      <c r="AB302" s="11"/>
      <c r="AC302" s="11"/>
      <c r="AD302" s="11"/>
      <c r="AE302" s="11"/>
      <c r="AF302" s="11"/>
      <c r="AG302" s="11"/>
      <c r="AH302" s="11"/>
      <c r="AI302" s="11"/>
      <c r="AJ302" s="11"/>
      <c r="AK302" s="11"/>
      <c r="AL302" s="11"/>
      <c r="AM302" s="11"/>
      <c r="AN302" s="11"/>
      <c r="AO302" s="11"/>
      <c r="AP302" s="11"/>
      <c r="AQ302" s="11"/>
      <c r="AR302" s="11"/>
      <c r="AS302" s="11"/>
      <c r="AT302" s="11"/>
      <c r="AU302" s="11"/>
      <c r="AV302" s="11"/>
      <c r="AW302" s="11"/>
      <c r="AX302" s="11"/>
      <c r="AY302" s="11"/>
      <c r="AZ302" s="11"/>
      <c r="BA302" s="11"/>
      <c r="BB302" s="11"/>
      <c r="BC302" s="11"/>
      <c r="BD302" s="11"/>
      <c r="BE302" s="11"/>
      <c r="BF302" s="11"/>
      <c r="BG302" s="11"/>
      <c r="BH302" s="11"/>
      <c r="BI302" s="11"/>
      <c r="BJ302" s="11"/>
      <c r="BK302" s="11"/>
      <c r="BL302" s="11"/>
      <c r="BM302" s="11"/>
      <c r="BN302" s="11"/>
      <c r="BO302" s="11"/>
    </row>
    <row r="303" spans="1:67" x14ac:dyDescent="0.25">
      <c r="A303" s="11"/>
      <c r="B303" s="11"/>
      <c r="C303" s="11"/>
      <c r="D303" s="11"/>
      <c r="E303" s="11"/>
      <c r="F303" s="11"/>
      <c r="G303" s="11"/>
      <c r="H303" s="11"/>
      <c r="I303" s="11"/>
      <c r="J303" s="11"/>
      <c r="K303" s="11"/>
      <c r="L303" s="11"/>
      <c r="M303" s="11"/>
      <c r="N303" s="11"/>
      <c r="O303" s="11"/>
      <c r="P303" s="11"/>
      <c r="Q303" s="11"/>
      <c r="R303" s="11"/>
      <c r="S303" s="11"/>
      <c r="T303" s="11"/>
      <c r="U303" s="11"/>
      <c r="V303" s="11"/>
      <c r="W303" s="11"/>
      <c r="X303" s="11"/>
      <c r="Y303" s="11"/>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c r="BC303" s="11"/>
      <c r="BD303" s="11"/>
      <c r="BE303" s="11"/>
      <c r="BF303" s="11"/>
      <c r="BG303" s="11"/>
      <c r="BH303" s="11"/>
      <c r="BI303" s="11"/>
      <c r="BJ303" s="11"/>
      <c r="BK303" s="11"/>
      <c r="BL303" s="11"/>
      <c r="BM303" s="11"/>
      <c r="BN303" s="11"/>
      <c r="BO303" s="11"/>
    </row>
    <row r="304" spans="1:67" x14ac:dyDescent="0.25">
      <c r="A304" s="11"/>
      <c r="B304" s="11"/>
      <c r="C304" s="11"/>
      <c r="D304" s="11"/>
      <c r="E304" s="11"/>
      <c r="F304" s="11"/>
      <c r="G304" s="11"/>
      <c r="H304" s="11"/>
      <c r="I304" s="11"/>
      <c r="J304" s="11"/>
      <c r="K304" s="11"/>
      <c r="L304" s="11"/>
      <c r="M304" s="11"/>
      <c r="N304" s="11"/>
      <c r="O304" s="11"/>
      <c r="P304" s="11"/>
      <c r="Q304" s="11"/>
      <c r="R304" s="11"/>
      <c r="S304" s="11"/>
      <c r="T304" s="11"/>
      <c r="U304" s="11"/>
      <c r="V304" s="11"/>
      <c r="W304" s="11"/>
      <c r="X304" s="11"/>
      <c r="Y304" s="11"/>
      <c r="Z304" s="11"/>
      <c r="AA304" s="11"/>
      <c r="AB304" s="11"/>
      <c r="AC304" s="11"/>
      <c r="AD304" s="11"/>
      <c r="AE304" s="11"/>
      <c r="AF304" s="11"/>
      <c r="AG304" s="11"/>
      <c r="AH304" s="11"/>
      <c r="AI304" s="11"/>
      <c r="AJ304" s="11"/>
      <c r="AK304" s="11"/>
      <c r="AL304" s="11"/>
      <c r="AM304" s="11"/>
      <c r="AN304" s="11"/>
      <c r="AO304" s="11"/>
      <c r="AP304" s="11"/>
      <c r="AQ304" s="11"/>
      <c r="AR304" s="11"/>
      <c r="AS304" s="11"/>
      <c r="AT304" s="11"/>
      <c r="AU304" s="11"/>
      <c r="AV304" s="11"/>
      <c r="AW304" s="11"/>
      <c r="AX304" s="11"/>
      <c r="AY304" s="11"/>
      <c r="AZ304" s="11"/>
      <c r="BA304" s="11"/>
      <c r="BB304" s="11"/>
      <c r="BC304" s="11"/>
      <c r="BD304" s="11"/>
      <c r="BE304" s="11"/>
      <c r="BF304" s="11"/>
      <c r="BG304" s="11"/>
      <c r="BH304" s="11"/>
      <c r="BI304" s="11"/>
      <c r="BJ304" s="11"/>
      <c r="BK304" s="11"/>
      <c r="BL304" s="11"/>
      <c r="BM304" s="11"/>
      <c r="BN304" s="11"/>
      <c r="BO304" s="11"/>
    </row>
    <row r="305" spans="1:67" x14ac:dyDescent="0.25">
      <c r="A305" s="11"/>
      <c r="B305" s="11"/>
      <c r="C305" s="11"/>
      <c r="D305" s="11"/>
      <c r="E305" s="11"/>
      <c r="F305" s="11"/>
      <c r="G305" s="11"/>
      <c r="H305" s="11"/>
      <c r="I305" s="11"/>
      <c r="J305" s="11"/>
      <c r="K305" s="11"/>
      <c r="L305" s="11"/>
      <c r="M305" s="11"/>
      <c r="N305" s="11"/>
      <c r="O305" s="11"/>
      <c r="P305" s="11"/>
      <c r="Q305" s="11"/>
      <c r="R305" s="11"/>
      <c r="S305" s="11"/>
      <c r="T305" s="11"/>
      <c r="U305" s="11"/>
      <c r="V305" s="11"/>
      <c r="W305" s="11"/>
      <c r="X305" s="11"/>
      <c r="Y305" s="11"/>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c r="BC305" s="11"/>
      <c r="BD305" s="11"/>
      <c r="BE305" s="11"/>
      <c r="BF305" s="11"/>
      <c r="BG305" s="11"/>
      <c r="BH305" s="11"/>
      <c r="BI305" s="11"/>
      <c r="BJ305" s="11"/>
      <c r="BK305" s="11"/>
      <c r="BL305" s="11"/>
      <c r="BM305" s="11"/>
      <c r="BN305" s="11"/>
      <c r="BO305" s="11"/>
    </row>
    <row r="306" spans="1:67" x14ac:dyDescent="0.25">
      <c r="A306" s="11"/>
      <c r="B306" s="11"/>
      <c r="C306" s="11"/>
      <c r="D306" s="11"/>
      <c r="E306" s="11"/>
      <c r="F306" s="11"/>
      <c r="G306" s="11"/>
      <c r="H306" s="11"/>
      <c r="I306" s="11"/>
      <c r="J306" s="11"/>
      <c r="K306" s="11"/>
      <c r="L306" s="11"/>
      <c r="M306" s="11"/>
      <c r="N306" s="11"/>
      <c r="O306" s="11"/>
      <c r="P306" s="11"/>
      <c r="Q306" s="11"/>
      <c r="R306" s="11"/>
      <c r="S306" s="11"/>
      <c r="T306" s="11"/>
      <c r="U306" s="11"/>
      <c r="V306" s="11"/>
      <c r="W306" s="11"/>
      <c r="X306" s="11"/>
      <c r="Y306" s="11"/>
      <c r="Z306" s="11"/>
      <c r="AA306" s="11"/>
      <c r="AB306" s="11"/>
      <c r="AC306" s="11"/>
      <c r="AD306" s="11"/>
      <c r="AE306" s="11"/>
      <c r="AF306" s="11"/>
      <c r="AG306" s="11"/>
      <c r="AH306" s="11"/>
      <c r="AI306" s="11"/>
      <c r="AJ306" s="11"/>
      <c r="AK306" s="11"/>
      <c r="AL306" s="11"/>
      <c r="AM306" s="11"/>
      <c r="AN306" s="11"/>
      <c r="AO306" s="11"/>
      <c r="AP306" s="11"/>
      <c r="AQ306" s="11"/>
      <c r="AR306" s="11"/>
      <c r="AS306" s="11"/>
      <c r="AT306" s="11"/>
      <c r="AU306" s="11"/>
      <c r="AV306" s="11"/>
      <c r="AW306" s="11"/>
      <c r="AX306" s="11"/>
      <c r="AY306" s="11"/>
      <c r="AZ306" s="11"/>
      <c r="BA306" s="11"/>
      <c r="BB306" s="11"/>
      <c r="BC306" s="11"/>
      <c r="BD306" s="11"/>
      <c r="BE306" s="11"/>
      <c r="BF306" s="11"/>
      <c r="BG306" s="11"/>
      <c r="BH306" s="11"/>
      <c r="BI306" s="11"/>
      <c r="BJ306" s="11"/>
      <c r="BK306" s="11"/>
      <c r="BL306" s="11"/>
      <c r="BM306" s="11"/>
      <c r="BN306" s="11"/>
      <c r="BO306" s="11"/>
    </row>
    <row r="307" spans="1:67" x14ac:dyDescent="0.25">
      <c r="A307" s="11"/>
      <c r="B307" s="11"/>
      <c r="C307" s="11"/>
      <c r="D307" s="11"/>
      <c r="E307" s="11"/>
      <c r="F307" s="11"/>
      <c r="G307" s="11"/>
      <c r="H307" s="11"/>
      <c r="I307" s="11"/>
      <c r="J307" s="11"/>
      <c r="K307" s="11"/>
      <c r="L307" s="11"/>
      <c r="M307" s="11"/>
      <c r="N307" s="11"/>
      <c r="O307" s="11"/>
      <c r="P307" s="11"/>
      <c r="Q307" s="11"/>
      <c r="R307" s="11"/>
      <c r="S307" s="11"/>
      <c r="T307" s="11"/>
      <c r="U307" s="11"/>
      <c r="V307" s="11"/>
      <c r="W307" s="11"/>
      <c r="X307" s="11"/>
      <c r="Y307" s="11"/>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c r="BC307" s="11"/>
      <c r="BD307" s="11"/>
      <c r="BE307" s="11"/>
      <c r="BF307" s="11"/>
      <c r="BG307" s="11"/>
      <c r="BH307" s="11"/>
      <c r="BI307" s="11"/>
      <c r="BJ307" s="11"/>
      <c r="BK307" s="11"/>
      <c r="BL307" s="11"/>
      <c r="BM307" s="11"/>
      <c r="BN307" s="11"/>
      <c r="BO307" s="11"/>
    </row>
    <row r="308" spans="1:67" x14ac:dyDescent="0.25">
      <c r="A308" s="11"/>
      <c r="B308" s="11"/>
      <c r="C308" s="11"/>
      <c r="D308" s="11"/>
      <c r="E308" s="11"/>
      <c r="F308" s="11"/>
      <c r="G308" s="11"/>
      <c r="H308" s="11"/>
      <c r="I308" s="11"/>
      <c r="J308" s="11"/>
      <c r="K308" s="11"/>
      <c r="L308" s="11"/>
      <c r="M308" s="11"/>
      <c r="N308" s="11"/>
      <c r="O308" s="11"/>
      <c r="P308" s="11"/>
      <c r="Q308" s="11"/>
      <c r="R308" s="11"/>
      <c r="S308" s="11"/>
      <c r="T308" s="11"/>
      <c r="U308" s="11"/>
      <c r="V308" s="11"/>
      <c r="W308" s="11"/>
      <c r="X308" s="11"/>
      <c r="Y308" s="11"/>
      <c r="Z308" s="11"/>
      <c r="AA308" s="11"/>
      <c r="AB308" s="11"/>
      <c r="AC308" s="11"/>
      <c r="AD308" s="11"/>
      <c r="AE308" s="11"/>
      <c r="AF308" s="11"/>
      <c r="AG308" s="11"/>
      <c r="AH308" s="11"/>
      <c r="AI308" s="11"/>
      <c r="AJ308" s="11"/>
      <c r="AK308" s="11"/>
      <c r="AL308" s="11"/>
      <c r="AM308" s="11"/>
      <c r="AN308" s="11"/>
      <c r="AO308" s="11"/>
      <c r="AP308" s="11"/>
      <c r="AQ308" s="11"/>
      <c r="AR308" s="11"/>
      <c r="AS308" s="11"/>
      <c r="AT308" s="11"/>
      <c r="AU308" s="11"/>
      <c r="AV308" s="11"/>
      <c r="AW308" s="11"/>
      <c r="AX308" s="11"/>
      <c r="AY308" s="11"/>
      <c r="AZ308" s="11"/>
      <c r="BA308" s="11"/>
      <c r="BB308" s="11"/>
      <c r="BC308" s="11"/>
      <c r="BD308" s="11"/>
      <c r="BE308" s="11"/>
      <c r="BF308" s="11"/>
      <c r="BG308" s="11"/>
      <c r="BH308" s="11"/>
      <c r="BI308" s="11"/>
      <c r="BJ308" s="11"/>
      <c r="BK308" s="11"/>
      <c r="BL308" s="11"/>
      <c r="BM308" s="11"/>
      <c r="BN308" s="11"/>
      <c r="BO308" s="11"/>
    </row>
    <row r="309" spans="1:67" x14ac:dyDescent="0.25">
      <c r="A309" s="11"/>
      <c r="B309" s="11"/>
      <c r="C309" s="11"/>
      <c r="D309" s="11"/>
      <c r="E309" s="11"/>
      <c r="F309" s="11"/>
      <c r="G309" s="11"/>
      <c r="H309" s="11"/>
      <c r="I309" s="11"/>
      <c r="J309" s="11"/>
      <c r="K309" s="11"/>
      <c r="L309" s="11"/>
      <c r="M309" s="11"/>
      <c r="N309" s="11"/>
      <c r="O309" s="11"/>
      <c r="P309" s="11"/>
      <c r="Q309" s="11"/>
      <c r="R309" s="11"/>
      <c r="S309" s="11"/>
      <c r="T309" s="11"/>
      <c r="U309" s="11"/>
      <c r="V309" s="11"/>
      <c r="W309" s="11"/>
      <c r="X309" s="11"/>
      <c r="Y309" s="11"/>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c r="BC309" s="11"/>
      <c r="BD309" s="11"/>
      <c r="BE309" s="11"/>
      <c r="BF309" s="11"/>
      <c r="BG309" s="11"/>
      <c r="BH309" s="11"/>
      <c r="BI309" s="11"/>
      <c r="BJ309" s="11"/>
      <c r="BK309" s="11"/>
      <c r="BL309" s="11"/>
      <c r="BM309" s="11"/>
      <c r="BN309" s="11"/>
      <c r="BO309" s="11"/>
    </row>
    <row r="310" spans="1:67" x14ac:dyDescent="0.25">
      <c r="A310" s="11"/>
      <c r="B310" s="11"/>
      <c r="C310" s="11"/>
      <c r="D310" s="11"/>
      <c r="E310" s="11"/>
      <c r="F310" s="11"/>
      <c r="G310" s="11"/>
      <c r="H310" s="11"/>
      <c r="I310" s="11"/>
      <c r="J310" s="11"/>
      <c r="K310" s="11"/>
      <c r="L310" s="11"/>
      <c r="M310" s="11"/>
      <c r="N310" s="11"/>
      <c r="O310" s="11"/>
      <c r="P310" s="11"/>
      <c r="Q310" s="11"/>
      <c r="R310" s="11"/>
      <c r="S310" s="11"/>
      <c r="T310" s="11"/>
      <c r="U310" s="11"/>
      <c r="V310" s="11"/>
      <c r="W310" s="11"/>
      <c r="X310" s="11"/>
      <c r="Y310" s="11"/>
      <c r="Z310" s="11"/>
      <c r="AA310" s="11"/>
      <c r="AB310" s="11"/>
      <c r="AC310" s="11"/>
      <c r="AD310" s="11"/>
      <c r="AE310" s="11"/>
      <c r="AF310" s="11"/>
      <c r="AG310" s="11"/>
      <c r="AH310" s="11"/>
      <c r="AI310" s="11"/>
      <c r="AJ310" s="11"/>
      <c r="AK310" s="11"/>
      <c r="AL310" s="11"/>
      <c r="AM310" s="11"/>
      <c r="AN310" s="11"/>
      <c r="AO310" s="11"/>
      <c r="AP310" s="11"/>
      <c r="AQ310" s="11"/>
      <c r="AR310" s="11"/>
      <c r="AS310" s="11"/>
      <c r="AT310" s="11"/>
      <c r="AU310" s="11"/>
      <c r="AV310" s="11"/>
      <c r="AW310" s="11"/>
      <c r="AX310" s="11"/>
      <c r="AY310" s="11"/>
      <c r="AZ310" s="11"/>
      <c r="BA310" s="11"/>
      <c r="BB310" s="11"/>
      <c r="BC310" s="11"/>
      <c r="BD310" s="11"/>
      <c r="BE310" s="11"/>
      <c r="BF310" s="11"/>
      <c r="BG310" s="11"/>
      <c r="BH310" s="11"/>
      <c r="BI310" s="11"/>
      <c r="BJ310" s="11"/>
      <c r="BK310" s="11"/>
      <c r="BL310" s="11"/>
      <c r="BM310" s="11"/>
      <c r="BN310" s="11"/>
      <c r="BO310" s="11"/>
    </row>
    <row r="311" spans="1:67" x14ac:dyDescent="0.25">
      <c r="A311" s="11"/>
      <c r="B311" s="11"/>
      <c r="C311" s="11"/>
      <c r="D311" s="11"/>
      <c r="E311" s="11"/>
      <c r="F311" s="11"/>
      <c r="G311" s="11"/>
      <c r="H311" s="11"/>
      <c r="I311" s="11"/>
      <c r="J311" s="11"/>
      <c r="K311" s="11"/>
      <c r="L311" s="11"/>
      <c r="M311" s="11"/>
      <c r="N311" s="11"/>
      <c r="O311" s="11"/>
      <c r="P311" s="11"/>
      <c r="Q311" s="11"/>
      <c r="R311" s="11"/>
      <c r="S311" s="11"/>
      <c r="T311" s="11"/>
      <c r="U311" s="11"/>
      <c r="V311" s="11"/>
      <c r="W311" s="11"/>
      <c r="X311" s="11"/>
      <c r="Y311" s="11"/>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c r="BC311" s="11"/>
      <c r="BD311" s="11"/>
      <c r="BE311" s="11"/>
      <c r="BF311" s="11"/>
      <c r="BG311" s="11"/>
      <c r="BH311" s="11"/>
      <c r="BI311" s="11"/>
      <c r="BJ311" s="11"/>
      <c r="BK311" s="11"/>
      <c r="BL311" s="11"/>
      <c r="BM311" s="11"/>
      <c r="BN311" s="11"/>
      <c r="BO311" s="11"/>
    </row>
    <row r="312" spans="1:67" x14ac:dyDescent="0.25">
      <c r="A312" s="11"/>
      <c r="B312" s="11"/>
      <c r="C312" s="11"/>
      <c r="D312" s="11"/>
      <c r="E312" s="11"/>
      <c r="F312" s="11"/>
      <c r="G312" s="11"/>
      <c r="H312" s="11"/>
      <c r="I312" s="11"/>
      <c r="J312" s="11"/>
      <c r="K312" s="11"/>
      <c r="L312" s="11"/>
      <c r="M312" s="11"/>
      <c r="N312" s="11"/>
      <c r="O312" s="11"/>
      <c r="P312" s="11"/>
      <c r="Q312" s="11"/>
      <c r="R312" s="11"/>
      <c r="S312" s="11"/>
      <c r="T312" s="11"/>
      <c r="U312" s="11"/>
      <c r="V312" s="11"/>
      <c r="W312" s="11"/>
      <c r="X312" s="11"/>
      <c r="Y312" s="11"/>
      <c r="Z312" s="11"/>
      <c r="AA312" s="11"/>
      <c r="AB312" s="11"/>
      <c r="AC312" s="11"/>
      <c r="AD312" s="11"/>
      <c r="AE312" s="11"/>
      <c r="AF312" s="11"/>
      <c r="AG312" s="11"/>
      <c r="AH312" s="11"/>
      <c r="AI312" s="11"/>
      <c r="AJ312" s="11"/>
      <c r="AK312" s="11"/>
      <c r="AL312" s="11"/>
      <c r="AM312" s="11"/>
      <c r="AN312" s="11"/>
      <c r="AO312" s="11"/>
      <c r="AP312" s="11"/>
      <c r="AQ312" s="11"/>
      <c r="AR312" s="11"/>
      <c r="AS312" s="11"/>
      <c r="AT312" s="11"/>
      <c r="AU312" s="11"/>
      <c r="AV312" s="11"/>
      <c r="AW312" s="11"/>
      <c r="AX312" s="11"/>
      <c r="AY312" s="11"/>
      <c r="AZ312" s="11"/>
      <c r="BA312" s="11"/>
      <c r="BB312" s="11"/>
      <c r="BC312" s="11"/>
      <c r="BD312" s="11"/>
      <c r="BE312" s="11"/>
      <c r="BF312" s="11"/>
      <c r="BG312" s="11"/>
      <c r="BH312" s="11"/>
      <c r="BI312" s="11"/>
      <c r="BJ312" s="11"/>
      <c r="BK312" s="11"/>
      <c r="BL312" s="11"/>
      <c r="BM312" s="11"/>
      <c r="BN312" s="11"/>
      <c r="BO312" s="11"/>
    </row>
    <row r="313" spans="1:67" x14ac:dyDescent="0.25">
      <c r="A313" s="11"/>
      <c r="B313" s="11"/>
      <c r="C313" s="11"/>
      <c r="D313" s="11"/>
      <c r="E313" s="11"/>
      <c r="F313" s="11"/>
      <c r="G313" s="11"/>
      <c r="H313" s="11"/>
      <c r="I313" s="11"/>
      <c r="J313" s="11"/>
      <c r="K313" s="11"/>
      <c r="L313" s="11"/>
      <c r="M313" s="11"/>
      <c r="N313" s="11"/>
      <c r="O313" s="11"/>
      <c r="P313" s="11"/>
      <c r="Q313" s="11"/>
      <c r="R313" s="11"/>
      <c r="S313" s="11"/>
      <c r="T313" s="11"/>
      <c r="U313" s="11"/>
      <c r="V313" s="11"/>
      <c r="W313" s="11"/>
      <c r="X313" s="11"/>
      <c r="Y313" s="11"/>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c r="BC313" s="11"/>
      <c r="BD313" s="11"/>
      <c r="BE313" s="11"/>
      <c r="BF313" s="11"/>
      <c r="BG313" s="11"/>
      <c r="BH313" s="11"/>
      <c r="BI313" s="11"/>
      <c r="BJ313" s="11"/>
      <c r="BK313" s="11"/>
      <c r="BL313" s="11"/>
      <c r="BM313" s="11"/>
      <c r="BN313" s="11"/>
      <c r="BO313" s="11"/>
    </row>
    <row r="314" spans="1:67" ht="3.75" customHeight="1" x14ac:dyDescent="0.25">
      <c r="A314" s="11"/>
      <c r="B314" s="11"/>
      <c r="C314" s="11"/>
      <c r="D314" s="11"/>
      <c r="E314" s="11"/>
      <c r="F314" s="11"/>
      <c r="G314" s="11"/>
      <c r="H314" s="11"/>
      <c r="I314" s="11"/>
      <c r="J314" s="11"/>
      <c r="K314" s="11"/>
      <c r="L314" s="11"/>
      <c r="M314" s="11"/>
      <c r="N314" s="11"/>
      <c r="O314" s="11"/>
      <c r="P314" s="11"/>
      <c r="Q314" s="11"/>
      <c r="R314" s="11"/>
      <c r="S314" s="11"/>
      <c r="T314" s="11"/>
      <c r="U314" s="11"/>
      <c r="V314" s="11"/>
      <c r="W314" s="11"/>
      <c r="X314" s="11"/>
      <c r="Y314" s="11"/>
      <c r="Z314" s="11"/>
      <c r="AA314" s="11"/>
      <c r="AB314" s="11"/>
      <c r="AC314" s="11"/>
      <c r="AD314" s="11"/>
      <c r="AE314" s="11"/>
      <c r="AF314" s="11"/>
      <c r="AG314" s="11"/>
      <c r="AH314" s="11"/>
      <c r="AI314" s="11"/>
      <c r="AJ314" s="11"/>
      <c r="AK314" s="11"/>
      <c r="AL314" s="11"/>
      <c r="AM314" s="11"/>
      <c r="AN314" s="11"/>
      <c r="AO314" s="11"/>
      <c r="AP314" s="11"/>
      <c r="AQ314" s="11"/>
      <c r="AR314" s="11"/>
      <c r="AS314" s="11"/>
      <c r="AT314" s="11"/>
      <c r="AU314" s="11"/>
      <c r="AV314" s="11"/>
      <c r="AW314" s="11"/>
      <c r="AX314" s="11"/>
      <c r="AY314" s="11"/>
      <c r="AZ314" s="11"/>
      <c r="BA314" s="11"/>
      <c r="BB314" s="11"/>
      <c r="BC314" s="11"/>
      <c r="BD314" s="11"/>
      <c r="BE314" s="11"/>
      <c r="BF314" s="11"/>
      <c r="BG314" s="11"/>
      <c r="BH314" s="11"/>
      <c r="BI314" s="11"/>
      <c r="BJ314" s="11"/>
      <c r="BK314" s="11"/>
      <c r="BL314" s="11"/>
      <c r="BM314" s="11"/>
      <c r="BN314" s="11"/>
      <c r="BO314" s="11"/>
    </row>
    <row r="315" spans="1:67" x14ac:dyDescent="0.25">
      <c r="A315" s="11"/>
      <c r="B315" s="11"/>
      <c r="C315" s="11"/>
      <c r="D315" s="11"/>
      <c r="E315" s="11"/>
      <c r="F315" s="11"/>
      <c r="G315" s="11"/>
      <c r="H315" s="11"/>
      <c r="I315" s="11"/>
      <c r="J315" s="11"/>
      <c r="K315" s="11"/>
      <c r="L315" s="11"/>
      <c r="M315" s="11"/>
      <c r="N315" s="11"/>
      <c r="O315" s="11"/>
      <c r="P315" s="11"/>
      <c r="Q315" s="11"/>
      <c r="R315" s="11"/>
      <c r="S315" s="11"/>
      <c r="T315" s="11"/>
      <c r="U315" s="11"/>
      <c r="V315" s="11"/>
      <c r="W315" s="11"/>
      <c r="X315" s="11"/>
      <c r="Y315" s="11"/>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c r="BC315" s="11"/>
      <c r="BD315" s="11"/>
      <c r="BE315" s="11"/>
      <c r="BF315" s="11"/>
      <c r="BG315" s="11" t="s">
        <v>2180</v>
      </c>
      <c r="BH315" s="11"/>
      <c r="BI315" s="11"/>
      <c r="BJ315" s="11"/>
      <c r="BK315" s="11"/>
      <c r="BL315" s="11"/>
      <c r="BM315" s="11"/>
      <c r="BN315" s="11"/>
      <c r="BO315" s="11"/>
    </row>
    <row r="316" spans="1:67" x14ac:dyDescent="0.25">
      <c r="A316" s="11"/>
      <c r="B316" s="11"/>
      <c r="C316" s="11"/>
      <c r="D316" s="11"/>
      <c r="E316" s="11"/>
      <c r="F316" s="11"/>
      <c r="G316" s="11"/>
      <c r="H316" s="11"/>
      <c r="I316" s="11"/>
      <c r="J316" s="11"/>
      <c r="K316" s="11"/>
      <c r="L316" s="11"/>
      <c r="M316" s="11"/>
      <c r="N316" s="11"/>
      <c r="O316" s="11"/>
      <c r="P316" s="11"/>
      <c r="Q316" s="11"/>
      <c r="R316" s="11"/>
      <c r="S316" s="11"/>
      <c r="T316" s="11"/>
      <c r="U316" s="11"/>
      <c r="V316" s="11"/>
      <c r="W316" s="11"/>
      <c r="X316" s="11"/>
      <c r="Y316" s="11"/>
      <c r="Z316" s="11"/>
      <c r="AA316" s="11"/>
      <c r="AB316" s="11"/>
      <c r="AC316" s="11"/>
      <c r="AD316" s="11"/>
      <c r="AE316" s="11"/>
      <c r="AF316" s="11"/>
      <c r="AG316" s="11"/>
      <c r="AH316" s="11"/>
      <c r="AI316" s="11"/>
      <c r="AJ316" s="11"/>
      <c r="AK316" s="11"/>
      <c r="AL316" s="11"/>
      <c r="AM316" s="11"/>
      <c r="AN316" s="11"/>
      <c r="AO316" s="11"/>
      <c r="AP316" s="11"/>
      <c r="AQ316" s="11"/>
      <c r="AR316" s="11"/>
      <c r="AS316" s="11"/>
      <c r="AT316" s="11"/>
      <c r="AU316" s="11"/>
      <c r="AV316" s="11"/>
      <c r="AW316" s="11"/>
      <c r="AX316" s="11"/>
      <c r="AY316" s="11"/>
      <c r="AZ316" s="11"/>
      <c r="BA316" s="11"/>
      <c r="BB316" s="11"/>
      <c r="BC316" s="11"/>
      <c r="BD316" s="11"/>
      <c r="BE316" s="11"/>
      <c r="BF316" s="11"/>
      <c r="BG316" s="11"/>
      <c r="BH316" s="11"/>
      <c r="BI316" s="11"/>
      <c r="BJ316" s="11"/>
      <c r="BK316" s="11"/>
      <c r="BL316" s="11"/>
      <c r="BM316" s="11"/>
      <c r="BN316" s="11"/>
      <c r="BO316" s="11"/>
    </row>
    <row r="317" spans="1:67" x14ac:dyDescent="0.25">
      <c r="A317" s="11"/>
      <c r="B317" s="11"/>
      <c r="C317" s="11"/>
      <c r="D317" s="11"/>
      <c r="E317" s="11"/>
      <c r="F317" s="11"/>
      <c r="G317" s="11"/>
      <c r="H317" s="11"/>
      <c r="I317" s="11"/>
      <c r="J317" s="11"/>
      <c r="K317" s="11"/>
      <c r="L317" s="11"/>
      <c r="M317" s="11"/>
      <c r="N317" s="11"/>
      <c r="O317" s="11"/>
      <c r="P317" s="11"/>
      <c r="Q317" s="11"/>
      <c r="R317" s="11"/>
      <c r="S317" s="11"/>
      <c r="T317" s="11"/>
      <c r="U317" s="11"/>
      <c r="V317" s="11"/>
      <c r="W317" s="11"/>
      <c r="X317" s="11"/>
      <c r="Y317" s="11"/>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c r="BC317" s="11"/>
      <c r="BD317" s="11"/>
      <c r="BE317" s="11"/>
      <c r="BF317" s="11"/>
      <c r="BG317" s="359"/>
      <c r="BH317" s="359"/>
      <c r="BI317" s="359"/>
      <c r="BJ317" s="359"/>
      <c r="BK317" s="11"/>
      <c r="BL317" s="11"/>
      <c r="BM317" s="11"/>
      <c r="BN317" s="11"/>
      <c r="BO317" s="11"/>
    </row>
    <row r="318" spans="1:67" ht="5.0999999999999996" customHeight="1" x14ac:dyDescent="0.25">
      <c r="A318" s="11"/>
      <c r="B318" s="11"/>
      <c r="C318" s="11"/>
      <c r="D318" s="11"/>
      <c r="E318" s="11"/>
      <c r="F318" s="11"/>
      <c r="G318" s="11"/>
      <c r="H318" s="11"/>
      <c r="I318" s="11"/>
      <c r="J318" s="11"/>
      <c r="K318" s="11"/>
      <c r="L318" s="11"/>
      <c r="M318" s="11"/>
      <c r="N318" s="11"/>
      <c r="O318" s="11"/>
      <c r="P318" s="11"/>
      <c r="Q318" s="11"/>
      <c r="R318" s="11"/>
      <c r="S318" s="11"/>
      <c r="T318" s="11"/>
      <c r="U318" s="11"/>
      <c r="V318" s="11"/>
      <c r="W318" s="11"/>
      <c r="X318" s="11"/>
      <c r="Y318" s="11"/>
      <c r="Z318" s="11"/>
      <c r="AA318" s="11"/>
      <c r="AB318" s="11"/>
      <c r="AC318" s="11"/>
      <c r="AD318" s="11"/>
      <c r="AE318" s="11"/>
      <c r="AF318" s="11"/>
      <c r="AG318" s="11"/>
      <c r="AH318" s="11"/>
      <c r="AI318" s="11"/>
      <c r="AJ318" s="11"/>
      <c r="AK318" s="11"/>
      <c r="AL318" s="11"/>
      <c r="AM318" s="11"/>
      <c r="AN318" s="11"/>
      <c r="AO318" s="11"/>
      <c r="AP318" s="11"/>
      <c r="AQ318" s="11"/>
      <c r="AR318" s="11"/>
      <c r="AS318" s="11"/>
      <c r="AT318" s="11"/>
      <c r="AU318" s="11"/>
      <c r="AV318" s="11"/>
      <c r="AW318" s="11"/>
      <c r="AX318" s="11"/>
      <c r="AY318" s="11"/>
      <c r="AZ318" s="11"/>
      <c r="BA318" s="11"/>
      <c r="BB318" s="11"/>
      <c r="BC318" s="11"/>
      <c r="BD318" s="11"/>
      <c r="BE318" s="11"/>
      <c r="BF318" s="11"/>
      <c r="BG318" s="1569"/>
      <c r="BH318" s="10"/>
      <c r="BI318" s="10"/>
      <c r="BJ318" s="1532"/>
      <c r="BK318" s="1532"/>
      <c r="BL318" s="1532"/>
      <c r="BM318" s="277"/>
      <c r="BN318" s="277"/>
      <c r="BO318" s="277"/>
    </row>
    <row r="319" spans="1:67" x14ac:dyDescent="0.25">
      <c r="A319" s="11"/>
      <c r="B319" s="11"/>
      <c r="C319" s="11"/>
      <c r="D319" s="11"/>
      <c r="E319" s="11"/>
      <c r="F319" s="11"/>
      <c r="G319" s="11"/>
      <c r="H319" s="11"/>
      <c r="I319" s="11"/>
      <c r="J319" s="11"/>
      <c r="K319" s="11"/>
      <c r="L319" s="11"/>
      <c r="M319" s="11"/>
      <c r="N319" s="11"/>
      <c r="O319" s="11"/>
      <c r="P319" s="11"/>
      <c r="Q319" s="11"/>
      <c r="R319" s="11"/>
      <c r="S319" s="11"/>
      <c r="T319" s="11"/>
      <c r="U319" s="11"/>
      <c r="V319" s="11"/>
      <c r="W319" s="11"/>
      <c r="X319" s="11"/>
      <c r="Y319" s="11"/>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c r="BC319" s="11"/>
      <c r="BD319" s="11"/>
      <c r="BE319" s="11"/>
      <c r="BF319" s="11"/>
      <c r="BG319" s="1569" t="s">
        <v>1967</v>
      </c>
      <c r="BH319" s="1069"/>
      <c r="BI319" s="1554">
        <v>2010</v>
      </c>
      <c r="BJ319" s="1069"/>
      <c r="BK319" s="1554">
        <v>2011</v>
      </c>
      <c r="BL319" s="1554" t="s">
        <v>154</v>
      </c>
      <c r="BM319" s="1555"/>
      <c r="BN319" s="1554">
        <v>2012</v>
      </c>
      <c r="BO319" s="1554" t="s">
        <v>1374</v>
      </c>
    </row>
    <row r="320" spans="1:67" ht="3.95" customHeight="1" x14ac:dyDescent="0.25">
      <c r="A320" s="11"/>
      <c r="B320" s="11"/>
      <c r="C320" s="11"/>
      <c r="D320" s="11"/>
      <c r="E320" s="11"/>
      <c r="F320" s="11"/>
      <c r="G320" s="11"/>
      <c r="H320" s="11"/>
      <c r="I320" s="11"/>
      <c r="J320" s="11"/>
      <c r="K320" s="11"/>
      <c r="L320" s="11"/>
      <c r="M320" s="11"/>
      <c r="N320" s="11"/>
      <c r="O320" s="11"/>
      <c r="P320" s="11"/>
      <c r="Q320" s="11"/>
      <c r="R320" s="11"/>
      <c r="S320" s="11"/>
      <c r="T320" s="11"/>
      <c r="U320" s="11"/>
      <c r="V320" s="11"/>
      <c r="W320" s="11"/>
      <c r="X320" s="11"/>
      <c r="Y320" s="11"/>
      <c r="Z320" s="11"/>
      <c r="AA320" s="11"/>
      <c r="AB320" s="11"/>
      <c r="AC320" s="11"/>
      <c r="AD320" s="11"/>
      <c r="AE320" s="11"/>
      <c r="AF320" s="11"/>
      <c r="AG320" s="11"/>
      <c r="AH320" s="11"/>
      <c r="AI320" s="11"/>
      <c r="AJ320" s="11"/>
      <c r="AK320" s="11"/>
      <c r="AL320" s="11"/>
      <c r="AM320" s="11"/>
      <c r="AN320" s="11"/>
      <c r="AO320" s="11"/>
      <c r="AP320" s="11"/>
      <c r="AQ320" s="11"/>
      <c r="AR320" s="11"/>
      <c r="AS320" s="11"/>
      <c r="AT320" s="11"/>
      <c r="AU320" s="11"/>
      <c r="AV320" s="11"/>
      <c r="AW320" s="11"/>
      <c r="AX320" s="11"/>
      <c r="AY320" s="11"/>
      <c r="AZ320" s="11"/>
      <c r="BA320" s="11"/>
      <c r="BB320" s="11"/>
      <c r="BC320" s="11"/>
      <c r="BD320" s="11"/>
      <c r="BE320" s="11"/>
      <c r="BF320" s="11"/>
      <c r="BG320" s="1069"/>
      <c r="BH320" s="1069"/>
      <c r="BI320" s="1069"/>
      <c r="BJ320" s="1069"/>
      <c r="BK320" s="1554"/>
      <c r="BL320" s="1554"/>
      <c r="BM320" s="1555"/>
      <c r="BN320" s="1554"/>
      <c r="BO320" s="1556"/>
    </row>
    <row r="321" spans="1:67" ht="15" customHeight="1" x14ac:dyDescent="0.25">
      <c r="A321" s="11"/>
      <c r="B321" s="11"/>
      <c r="C321" s="11"/>
      <c r="D321" s="11"/>
      <c r="E321" s="11"/>
      <c r="F321" s="11"/>
      <c r="G321" s="11"/>
      <c r="H321" s="11"/>
      <c r="I321" s="11"/>
      <c r="J321" s="11"/>
      <c r="K321" s="11"/>
      <c r="L321" s="11"/>
      <c r="M321" s="11"/>
      <c r="N321" s="11"/>
      <c r="O321" s="11"/>
      <c r="P321" s="11"/>
      <c r="Q321" s="11"/>
      <c r="R321" s="11"/>
      <c r="S321" s="11"/>
      <c r="T321" s="11"/>
      <c r="U321" s="11"/>
      <c r="V321" s="11"/>
      <c r="W321" s="11"/>
      <c r="X321" s="11"/>
      <c r="Y321" s="11"/>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c r="BC321" s="11"/>
      <c r="BD321" s="11"/>
      <c r="BE321" s="11"/>
      <c r="BF321" s="11"/>
      <c r="BG321" s="1557" t="s">
        <v>1540</v>
      </c>
      <c r="BH321" s="1557"/>
      <c r="BI321" s="1557">
        <f>PENN!AK258-PENN!AK227</f>
        <v>2430.0009999999997</v>
      </c>
      <c r="BJ321" s="1557"/>
      <c r="BK321" s="1069">
        <f>PENN!AP258-PENN!AP231-PENN!AP227</f>
        <v>2533.1748149199993</v>
      </c>
      <c r="BL321" s="1558">
        <f>BK321/BI321-1</f>
        <v>4.245834257681369E-2</v>
      </c>
      <c r="BM321" s="1069"/>
      <c r="BN321" s="1069">
        <f>PENN!AU258-PENN!AU222-PENN!AU231</f>
        <v>2617.5392215499996</v>
      </c>
      <c r="BO321" s="1558">
        <f>BN321/BK322-1</f>
        <v>-1.1675749340560593E-2</v>
      </c>
    </row>
    <row r="322" spans="1:67" ht="27" customHeight="1" x14ac:dyDescent="0.25">
      <c r="A322" s="11"/>
      <c r="B322" s="11"/>
      <c r="C322" s="11"/>
      <c r="D322" s="11"/>
      <c r="E322" s="11"/>
      <c r="F322" s="11"/>
      <c r="G322" s="11"/>
      <c r="H322" s="11"/>
      <c r="I322" s="11"/>
      <c r="J322" s="11"/>
      <c r="K322" s="11"/>
      <c r="L322" s="11"/>
      <c r="M322" s="11"/>
      <c r="N322" s="11"/>
      <c r="O322" s="11"/>
      <c r="P322" s="11"/>
      <c r="Q322" s="11"/>
      <c r="R322" s="11"/>
      <c r="S322" s="11"/>
      <c r="T322" s="11"/>
      <c r="U322" s="11"/>
      <c r="V322" s="11"/>
      <c r="W322" s="11"/>
      <c r="X322" s="11"/>
      <c r="Y322" s="11"/>
      <c r="Z322" s="11"/>
      <c r="AA322" s="11"/>
      <c r="AB322" s="11"/>
      <c r="AC322" s="11"/>
      <c r="AD322" s="11"/>
      <c r="AE322" s="11"/>
      <c r="AF322" s="11"/>
      <c r="AG322" s="11"/>
      <c r="AH322" s="11"/>
      <c r="AI322" s="11"/>
      <c r="AJ322" s="11"/>
      <c r="AK322" s="11"/>
      <c r="AL322" s="11"/>
      <c r="AM322" s="11"/>
      <c r="AN322" s="11"/>
      <c r="AO322" s="11"/>
      <c r="AP322" s="11"/>
      <c r="AQ322" s="11"/>
      <c r="AR322" s="11"/>
      <c r="AS322" s="11"/>
      <c r="AT322" s="11"/>
      <c r="AU322" s="11"/>
      <c r="AV322" s="11"/>
      <c r="AW322" s="11"/>
      <c r="AX322" s="11"/>
      <c r="AY322" s="11"/>
      <c r="AZ322" s="11"/>
      <c r="BA322" s="11"/>
      <c r="BB322" s="11"/>
      <c r="BC322" s="11"/>
      <c r="BD322" s="11"/>
      <c r="BE322" s="11"/>
      <c r="BF322" s="11"/>
      <c r="BG322" s="1557" t="s">
        <v>1697</v>
      </c>
      <c r="BH322" s="1557"/>
      <c r="BI322" s="1557"/>
      <c r="BJ322" s="1557"/>
      <c r="BK322" s="1069">
        <f>PENN!AP227+BK321</f>
        <v>2648.4619999999995</v>
      </c>
      <c r="BL322" s="1558"/>
      <c r="BM322" s="1069"/>
      <c r="BN322" s="1069">
        <f>BN321</f>
        <v>2617.5392215499996</v>
      </c>
      <c r="BO322" s="1558"/>
    </row>
    <row r="323" spans="1:67" ht="3.95" customHeight="1" x14ac:dyDescent="0.25">
      <c r="A323" s="11"/>
      <c r="B323" s="11"/>
      <c r="C323" s="11"/>
      <c r="D323" s="11"/>
      <c r="E323" s="11"/>
      <c r="F323" s="11"/>
      <c r="G323" s="11"/>
      <c r="H323" s="11"/>
      <c r="I323" s="11"/>
      <c r="J323" s="11"/>
      <c r="K323" s="11"/>
      <c r="L323" s="11"/>
      <c r="M323" s="11"/>
      <c r="N323" s="11"/>
      <c r="O323" s="11"/>
      <c r="P323" s="11"/>
      <c r="Q323" s="11"/>
      <c r="R323" s="11"/>
      <c r="S323" s="11"/>
      <c r="T323" s="11"/>
      <c r="U323" s="11"/>
      <c r="V323" s="11"/>
      <c r="W323" s="11"/>
      <c r="X323" s="11"/>
      <c r="Y323" s="11"/>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c r="BC323" s="11"/>
      <c r="BD323" s="11"/>
      <c r="BE323" s="11"/>
      <c r="BF323" s="11"/>
      <c r="BG323" s="1557"/>
      <c r="BH323" s="1557"/>
      <c r="BI323" s="1557"/>
      <c r="BJ323" s="1557"/>
      <c r="BK323" s="1069"/>
      <c r="BL323" s="1069"/>
      <c r="BM323" s="1069"/>
      <c r="BN323" s="1069"/>
      <c r="BO323" s="1069"/>
    </row>
    <row r="324" spans="1:67" ht="15" customHeight="1" x14ac:dyDescent="0.25">
      <c r="A324" s="11"/>
      <c r="B324" s="11"/>
      <c r="C324" s="11"/>
      <c r="D324" s="11"/>
      <c r="E324" s="11"/>
      <c r="F324" s="11"/>
      <c r="G324" s="11"/>
      <c r="H324" s="11"/>
      <c r="I324" s="11"/>
      <c r="J324" s="11"/>
      <c r="K324" s="11"/>
      <c r="L324" s="11"/>
      <c r="M324" s="11"/>
      <c r="N324" s="11"/>
      <c r="O324" s="11"/>
      <c r="P324" s="11"/>
      <c r="Q324" s="11"/>
      <c r="R324" s="11"/>
      <c r="S324" s="11"/>
      <c r="T324" s="11"/>
      <c r="U324" s="11"/>
      <c r="V324" s="11"/>
      <c r="W324" s="11"/>
      <c r="X324" s="11"/>
      <c r="Y324" s="11"/>
      <c r="Z324" s="11"/>
      <c r="AA324" s="11"/>
      <c r="AB324" s="11"/>
      <c r="AC324" s="11"/>
      <c r="AD324" s="11"/>
      <c r="AE324" s="11"/>
      <c r="AF324" s="11"/>
      <c r="AG324" s="11"/>
      <c r="AH324" s="11"/>
      <c r="AI324" s="11"/>
      <c r="AJ324" s="11"/>
      <c r="AK324" s="11"/>
      <c r="AL324" s="11"/>
      <c r="AM324" s="11"/>
      <c r="AN324" s="11"/>
      <c r="AO324" s="11"/>
      <c r="AP324" s="11"/>
      <c r="AQ324" s="11"/>
      <c r="AR324" s="11"/>
      <c r="AS324" s="11"/>
      <c r="AT324" s="11"/>
      <c r="AU324" s="11"/>
      <c r="AV324" s="11"/>
      <c r="AW324" s="11"/>
      <c r="AX324" s="11"/>
      <c r="AY324" s="11"/>
      <c r="AZ324" s="11"/>
      <c r="BA324" s="11"/>
      <c r="BB324" s="11"/>
      <c r="BC324" s="11"/>
      <c r="BD324" s="11"/>
      <c r="BE324" s="11"/>
      <c r="BF324" s="11"/>
      <c r="BG324" s="1559" t="s">
        <v>1541</v>
      </c>
      <c r="BH324" s="1560"/>
      <c r="BI324" s="1560"/>
      <c r="BJ324" s="1560"/>
      <c r="BK324" s="1561">
        <f>AE144</f>
        <v>-1.0688110422788499E-3</v>
      </c>
      <c r="BL324" s="1561">
        <f>BK324</f>
        <v>-1.0688110422788499E-3</v>
      </c>
      <c r="BM324" s="1561"/>
      <c r="BN324" s="1561">
        <f>AF144</f>
        <v>-1.1675749340560593E-2</v>
      </c>
      <c r="BO324" s="1562">
        <f>BN324</f>
        <v>-1.1675749340560593E-2</v>
      </c>
    </row>
    <row r="325" spans="1:67" ht="3.95" customHeight="1" x14ac:dyDescent="0.25">
      <c r="A325" s="11"/>
      <c r="B325" s="11"/>
      <c r="C325" s="11"/>
      <c r="D325" s="11"/>
      <c r="E325" s="11"/>
      <c r="F325" s="11"/>
      <c r="G325" s="11"/>
      <c r="H325" s="11"/>
      <c r="I325" s="11"/>
      <c r="J325" s="11"/>
      <c r="K325" s="11"/>
      <c r="L325" s="11"/>
      <c r="M325" s="11"/>
      <c r="N325" s="11"/>
      <c r="O325" s="11"/>
      <c r="P325" s="11"/>
      <c r="Q325" s="11"/>
      <c r="R325" s="11"/>
      <c r="S325" s="11"/>
      <c r="T325" s="11"/>
      <c r="U325" s="11"/>
      <c r="V325" s="11"/>
      <c r="W325" s="11"/>
      <c r="X325" s="11"/>
      <c r="Y325" s="11"/>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c r="BC325" s="11"/>
      <c r="BD325" s="11"/>
      <c r="BE325" s="11"/>
      <c r="BF325" s="11"/>
      <c r="BG325" s="1069"/>
      <c r="BH325" s="1069"/>
      <c r="BI325" s="1069"/>
      <c r="BJ325" s="1069"/>
      <c r="BK325" s="1069"/>
      <c r="BL325" s="1069"/>
      <c r="BM325" s="1069"/>
      <c r="BN325" s="1069"/>
      <c r="BO325" s="1558"/>
    </row>
    <row r="326" spans="1:67" ht="15" customHeight="1" x14ac:dyDescent="0.25">
      <c r="A326" s="11"/>
      <c r="B326" s="11"/>
      <c r="C326" s="11"/>
      <c r="D326" s="11"/>
      <c r="E326" s="11"/>
      <c r="F326" s="11"/>
      <c r="G326" s="11"/>
      <c r="H326" s="11"/>
      <c r="I326" s="11"/>
      <c r="J326" s="11"/>
      <c r="K326" s="11"/>
      <c r="L326" s="11"/>
      <c r="M326" s="11"/>
      <c r="N326" s="11"/>
      <c r="O326" s="11"/>
      <c r="P326" s="11"/>
      <c r="Q326" s="11"/>
      <c r="R326" s="11"/>
      <c r="S326" s="11"/>
      <c r="T326" s="11"/>
      <c r="U326" s="11"/>
      <c r="V326" s="11"/>
      <c r="W326" s="11"/>
      <c r="X326" s="11"/>
      <c r="Y326" s="11"/>
      <c r="Z326" s="11"/>
      <c r="AA326" s="11"/>
      <c r="AB326" s="11"/>
      <c r="AC326" s="11"/>
      <c r="AD326" s="11"/>
      <c r="AE326" s="11"/>
      <c r="AF326" s="11"/>
      <c r="AG326" s="11"/>
      <c r="AH326" s="11"/>
      <c r="AI326" s="11"/>
      <c r="AJ326" s="11"/>
      <c r="AK326" s="11"/>
      <c r="AL326" s="11"/>
      <c r="AM326" s="11"/>
      <c r="AN326" s="11"/>
      <c r="AO326" s="11"/>
      <c r="AP326" s="11"/>
      <c r="AQ326" s="11"/>
      <c r="AR326" s="11"/>
      <c r="AS326" s="11"/>
      <c r="AT326" s="11"/>
      <c r="AU326" s="11"/>
      <c r="AV326" s="11"/>
      <c r="AW326" s="11"/>
      <c r="AX326" s="11"/>
      <c r="AY326" s="11"/>
      <c r="AZ326" s="11"/>
      <c r="BA326" s="11"/>
      <c r="BB326" s="11"/>
      <c r="BC326" s="11"/>
      <c r="BD326" s="11"/>
      <c r="BE326" s="11"/>
      <c r="BF326" s="11"/>
      <c r="BG326" s="1559" t="s">
        <v>1542</v>
      </c>
      <c r="BH326" s="1560"/>
      <c r="BI326" s="1560"/>
      <c r="BJ326" s="1560"/>
      <c r="BK326" s="1561">
        <f>$AE$145</f>
        <v>1.1766979023950519E-3</v>
      </c>
      <c r="BL326" s="1561">
        <f>BK326</f>
        <v>1.1766979023950519E-3</v>
      </c>
      <c r="BM326" s="1563"/>
      <c r="BN326" s="1561">
        <f>AF145</f>
        <v>4.0460837961697083E-2</v>
      </c>
      <c r="BO326" s="1562">
        <f>BN326</f>
        <v>4.0460837961697083E-2</v>
      </c>
    </row>
    <row r="327" spans="1:67" ht="15" customHeight="1" x14ac:dyDescent="0.25">
      <c r="A327" s="11"/>
      <c r="B327" s="11"/>
      <c r="C327" s="11"/>
      <c r="D327" s="11"/>
      <c r="E327" s="11"/>
      <c r="F327" s="11"/>
      <c r="G327" s="11"/>
      <c r="H327" s="11"/>
      <c r="I327" s="11"/>
      <c r="J327" s="11"/>
      <c r="K327" s="11"/>
      <c r="L327" s="11"/>
      <c r="M327" s="11"/>
      <c r="N327" s="11"/>
      <c r="O327" s="11"/>
      <c r="P327" s="11"/>
      <c r="Q327" s="11"/>
      <c r="R327" s="11"/>
      <c r="S327" s="11"/>
      <c r="T327" s="11"/>
      <c r="U327" s="11"/>
      <c r="V327" s="11"/>
      <c r="W327" s="11"/>
      <c r="X327" s="11"/>
      <c r="Y327" s="11"/>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c r="BC327" s="11"/>
      <c r="BD327" s="11"/>
      <c r="BE327" s="11"/>
      <c r="BF327" s="11"/>
      <c r="BG327" s="1564"/>
      <c r="BH327" s="1564"/>
      <c r="BI327" s="1564"/>
      <c r="BJ327" s="1564"/>
      <c r="BK327" s="1565"/>
      <c r="BL327" s="1565"/>
      <c r="BM327" s="1566"/>
      <c r="BN327" s="1565"/>
      <c r="BO327" s="1565"/>
    </row>
    <row r="328" spans="1:67" ht="15" customHeight="1" x14ac:dyDescent="0.25">
      <c r="A328" s="11"/>
      <c r="B328" s="11"/>
      <c r="C328" s="11"/>
      <c r="D328" s="11"/>
      <c r="E328" s="11"/>
      <c r="F328" s="11"/>
      <c r="G328" s="11"/>
      <c r="H328" s="11"/>
      <c r="I328" s="11"/>
      <c r="J328" s="11"/>
      <c r="K328" s="11"/>
      <c r="L328" s="11"/>
      <c r="M328" s="11"/>
      <c r="N328" s="11"/>
      <c r="O328" s="11"/>
      <c r="P328" s="11"/>
      <c r="Q328" s="11"/>
      <c r="R328" s="11"/>
      <c r="S328" s="11"/>
      <c r="T328" s="11"/>
      <c r="U328" s="11"/>
      <c r="V328" s="11"/>
      <c r="W328" s="11"/>
      <c r="X328" s="11"/>
      <c r="Y328" s="11"/>
      <c r="Z328" s="11"/>
      <c r="AA328" s="11"/>
      <c r="AB328" s="11"/>
      <c r="AC328" s="11"/>
      <c r="AD328" s="11"/>
      <c r="AE328" s="11"/>
      <c r="AF328" s="11"/>
      <c r="AG328" s="11"/>
      <c r="AH328" s="11"/>
      <c r="AI328" s="11"/>
      <c r="AJ328" s="11"/>
      <c r="AK328" s="11"/>
      <c r="AL328" s="11"/>
      <c r="AM328" s="11"/>
      <c r="AN328" s="11"/>
      <c r="AO328" s="11"/>
      <c r="AP328" s="11"/>
      <c r="AQ328" s="11"/>
      <c r="AR328" s="11"/>
      <c r="AS328" s="11"/>
      <c r="AT328" s="11"/>
      <c r="AU328" s="11"/>
      <c r="AV328" s="11"/>
      <c r="AW328" s="11"/>
      <c r="AX328" s="11"/>
      <c r="AY328" s="11"/>
      <c r="AZ328" s="11"/>
      <c r="BA328" s="11"/>
      <c r="BB328" s="11"/>
      <c r="BC328" s="11"/>
      <c r="BD328" s="11"/>
      <c r="BE328" s="11"/>
      <c r="BF328" s="11"/>
      <c r="BG328" s="1568" t="s">
        <v>800</v>
      </c>
      <c r="BH328" s="1564"/>
      <c r="BI328" s="1564"/>
      <c r="BJ328" s="1564"/>
      <c r="BK328" s="1565"/>
      <c r="BL328" s="1565"/>
      <c r="BM328" s="1566"/>
      <c r="BN328" s="1565"/>
      <c r="BO328" s="1565"/>
    </row>
    <row r="329" spans="1:67" ht="15" customHeight="1" x14ac:dyDescent="0.25">
      <c r="A329" s="11"/>
      <c r="B329" s="11"/>
      <c r="C329" s="11"/>
      <c r="D329" s="11"/>
      <c r="E329" s="11"/>
      <c r="F329" s="11"/>
      <c r="G329" s="11"/>
      <c r="H329" s="11"/>
      <c r="I329" s="11"/>
      <c r="J329" s="11"/>
      <c r="K329" s="11"/>
      <c r="L329" s="11"/>
      <c r="M329" s="11"/>
      <c r="N329" s="11"/>
      <c r="O329" s="11"/>
      <c r="P329" s="11"/>
      <c r="Q329" s="11"/>
      <c r="R329" s="11"/>
      <c r="S329" s="11"/>
      <c r="T329" s="11"/>
      <c r="U329" s="11"/>
      <c r="V329" s="11"/>
      <c r="W329" s="11"/>
      <c r="X329" s="11"/>
      <c r="Y329" s="11"/>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c r="BC329" s="11"/>
      <c r="BD329" s="11"/>
      <c r="BE329" s="11"/>
      <c r="BF329" s="11"/>
      <c r="BG329" s="1557" t="s">
        <v>1540</v>
      </c>
      <c r="BH329" s="1564"/>
      <c r="BI329" s="1564"/>
      <c r="BJ329" s="1564"/>
      <c r="BK329" s="1565"/>
      <c r="BL329" s="1565">
        <f>BL353</f>
        <v>5.7458342576813592E-2</v>
      </c>
      <c r="BM329" s="1566"/>
      <c r="BN329" s="1565"/>
      <c r="BO329" s="1565">
        <f>BO353</f>
        <v>3.3242506594393095E-3</v>
      </c>
    </row>
    <row r="330" spans="1:67" ht="3.95" customHeight="1" x14ac:dyDescent="0.25">
      <c r="A330" s="11"/>
      <c r="B330" s="11"/>
      <c r="C330" s="11"/>
      <c r="D330" s="11"/>
      <c r="E330" s="11"/>
      <c r="F330" s="11"/>
      <c r="G330" s="11"/>
      <c r="H330" s="11"/>
      <c r="I330" s="11"/>
      <c r="J330" s="11"/>
      <c r="K330" s="11"/>
      <c r="L330" s="11"/>
      <c r="M330" s="11"/>
      <c r="N330" s="11"/>
      <c r="O330" s="11"/>
      <c r="P330" s="11"/>
      <c r="Q330" s="11"/>
      <c r="R330" s="11"/>
      <c r="S330" s="11"/>
      <c r="T330" s="11"/>
      <c r="U330" s="11"/>
      <c r="V330" s="11"/>
      <c r="W330" s="11"/>
      <c r="X330" s="11"/>
      <c r="Y330" s="11"/>
      <c r="Z330" s="11"/>
      <c r="AA330" s="11"/>
      <c r="AB330" s="11"/>
      <c r="AC330" s="11"/>
      <c r="AD330" s="11"/>
      <c r="AE330" s="11"/>
      <c r="AF330" s="11"/>
      <c r="AG330" s="11"/>
      <c r="AH330" s="11"/>
      <c r="AI330" s="11"/>
      <c r="AJ330" s="11"/>
      <c r="AK330" s="11"/>
      <c r="AL330" s="11"/>
      <c r="AM330" s="11"/>
      <c r="AN330" s="11"/>
      <c r="AO330" s="11"/>
      <c r="AP330" s="11"/>
      <c r="AQ330" s="11"/>
      <c r="AR330" s="11"/>
      <c r="AS330" s="11"/>
      <c r="AT330" s="11"/>
      <c r="AU330" s="11"/>
      <c r="AV330" s="11"/>
      <c r="AW330" s="11"/>
      <c r="AX330" s="11"/>
      <c r="AY330" s="11"/>
      <c r="AZ330" s="11"/>
      <c r="BA330" s="11"/>
      <c r="BB330" s="11"/>
      <c r="BC330" s="11"/>
      <c r="BD330" s="11"/>
      <c r="BE330" s="11"/>
      <c r="BF330" s="11"/>
      <c r="BG330" s="1557"/>
      <c r="BH330" s="1564"/>
      <c r="BI330" s="1564"/>
      <c r="BJ330" s="1564"/>
      <c r="BK330" s="1565"/>
      <c r="BL330" s="1565"/>
      <c r="BM330" s="1566"/>
      <c r="BN330" s="1565"/>
      <c r="BO330" s="1565"/>
    </row>
    <row r="331" spans="1:67" ht="15" customHeight="1" x14ac:dyDescent="0.25">
      <c r="A331" s="11"/>
      <c r="B331" s="11"/>
      <c r="C331" s="11"/>
      <c r="D331" s="11"/>
      <c r="E331" s="11"/>
      <c r="F331" s="11"/>
      <c r="G331" s="11"/>
      <c r="H331" s="11"/>
      <c r="I331" s="11"/>
      <c r="J331" s="11"/>
      <c r="K331" s="11"/>
      <c r="L331" s="11"/>
      <c r="M331" s="11"/>
      <c r="N331" s="11"/>
      <c r="O331" s="11"/>
      <c r="P331" s="11"/>
      <c r="Q331" s="11"/>
      <c r="R331" s="11"/>
      <c r="S331" s="11"/>
      <c r="T331" s="11"/>
      <c r="U331" s="11"/>
      <c r="V331" s="11"/>
      <c r="W331" s="11"/>
      <c r="X331" s="11"/>
      <c r="Y331" s="11"/>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c r="BC331" s="11"/>
      <c r="BD331" s="11"/>
      <c r="BE331" s="11"/>
      <c r="BF331" s="11"/>
      <c r="BG331" s="1559" t="s">
        <v>1541</v>
      </c>
      <c r="BH331" s="1560"/>
      <c r="BI331" s="1560"/>
      <c r="BJ331" s="1560"/>
      <c r="BK331" s="1561"/>
      <c r="BL331" s="1561">
        <f>BL357</f>
        <v>1.393118895772115E-2</v>
      </c>
      <c r="BM331" s="1563"/>
      <c r="BN331" s="1561"/>
      <c r="BO331" s="1562">
        <f>BO357</f>
        <v>3.3242506594394067E-3</v>
      </c>
    </row>
    <row r="332" spans="1:67" ht="3.95" customHeight="1" x14ac:dyDescent="0.25">
      <c r="A332" s="11"/>
      <c r="B332" s="11"/>
      <c r="C332" s="11"/>
      <c r="D332" s="11"/>
      <c r="E332" s="11"/>
      <c r="F332" s="11"/>
      <c r="G332" s="11"/>
      <c r="H332" s="11"/>
      <c r="I332" s="11"/>
      <c r="J332" s="11"/>
      <c r="K332" s="11"/>
      <c r="L332" s="11"/>
      <c r="M332" s="11"/>
      <c r="N332" s="11"/>
      <c r="O332" s="11"/>
      <c r="P332" s="11"/>
      <c r="Q332" s="11"/>
      <c r="R332" s="11"/>
      <c r="S332" s="11"/>
      <c r="T332" s="11"/>
      <c r="U332" s="11"/>
      <c r="V332" s="11"/>
      <c r="W332" s="11"/>
      <c r="X332" s="11"/>
      <c r="Y332" s="11"/>
      <c r="Z332" s="11"/>
      <c r="AA332" s="11"/>
      <c r="AB332" s="11"/>
      <c r="AC332" s="11"/>
      <c r="AD332" s="11"/>
      <c r="AE332" s="11"/>
      <c r="AF332" s="11"/>
      <c r="AG332" s="11"/>
      <c r="AH332" s="11"/>
      <c r="AI332" s="11"/>
      <c r="AJ332" s="11"/>
      <c r="AK332" s="11"/>
      <c r="AL332" s="11"/>
      <c r="AM332" s="11"/>
      <c r="AN332" s="11"/>
      <c r="AO332" s="11"/>
      <c r="AP332" s="11"/>
      <c r="AQ332" s="11"/>
      <c r="AR332" s="11"/>
      <c r="AS332" s="11"/>
      <c r="AT332" s="11"/>
      <c r="AU332" s="11"/>
      <c r="AV332" s="11"/>
      <c r="AW332" s="11"/>
      <c r="AX332" s="11"/>
      <c r="AY332" s="11"/>
      <c r="AZ332" s="11"/>
      <c r="BA332" s="11"/>
      <c r="BB332" s="11"/>
      <c r="BC332" s="11"/>
      <c r="BD332" s="11"/>
      <c r="BE332" s="11"/>
      <c r="BF332" s="11"/>
      <c r="BG332" s="1069"/>
      <c r="BH332" s="1564"/>
      <c r="BI332" s="1564"/>
      <c r="BJ332" s="1564"/>
      <c r="BK332" s="1565"/>
      <c r="BL332" s="1565"/>
      <c r="BM332" s="1566"/>
      <c r="BN332" s="1565"/>
      <c r="BO332" s="1565"/>
    </row>
    <row r="333" spans="1:67" ht="15" customHeight="1" x14ac:dyDescent="0.25">
      <c r="A333" s="11"/>
      <c r="B333" s="11"/>
      <c r="C333" s="11"/>
      <c r="D333" s="11"/>
      <c r="E333" s="11"/>
      <c r="F333" s="11"/>
      <c r="G333" s="11"/>
      <c r="H333" s="11"/>
      <c r="I333" s="11"/>
      <c r="J333" s="11"/>
      <c r="K333" s="11"/>
      <c r="L333" s="11"/>
      <c r="M333" s="11"/>
      <c r="N333" s="11"/>
      <c r="O333" s="11"/>
      <c r="P333" s="11"/>
      <c r="Q333" s="11"/>
      <c r="R333" s="11"/>
      <c r="S333" s="11"/>
      <c r="T333" s="11"/>
      <c r="U333" s="11"/>
      <c r="V333" s="11"/>
      <c r="W333" s="11"/>
      <c r="X333" s="11"/>
      <c r="Y333" s="11"/>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c r="BC333" s="11"/>
      <c r="BD333" s="11"/>
      <c r="BE333" s="11"/>
      <c r="BF333" s="11"/>
      <c r="BG333" s="1559" t="s">
        <v>1542</v>
      </c>
      <c r="BH333" s="1560"/>
      <c r="BI333" s="1560"/>
      <c r="BJ333" s="1560"/>
      <c r="BK333" s="1561"/>
      <c r="BL333" s="1561">
        <f>BL359</f>
        <v>1.6176697902395051E-2</v>
      </c>
      <c r="BM333" s="1563"/>
      <c r="BN333" s="1561"/>
      <c r="BO333" s="1562">
        <f>BO359</f>
        <v>5.5460837961697082E-2</v>
      </c>
    </row>
    <row r="334" spans="1:67" ht="5.0999999999999996" customHeight="1" x14ac:dyDescent="0.25">
      <c r="A334" s="11"/>
      <c r="B334" s="11"/>
      <c r="C334" s="11"/>
      <c r="D334" s="11"/>
      <c r="E334" s="11"/>
      <c r="F334" s="11"/>
      <c r="G334" s="11"/>
      <c r="H334" s="11"/>
      <c r="I334" s="11"/>
      <c r="J334" s="11"/>
      <c r="K334" s="11"/>
      <c r="L334" s="11"/>
      <c r="M334" s="11"/>
      <c r="N334" s="11"/>
      <c r="O334" s="11"/>
      <c r="P334" s="11"/>
      <c r="Q334" s="11"/>
      <c r="R334" s="11"/>
      <c r="S334" s="11"/>
      <c r="T334" s="11"/>
      <c r="U334" s="11"/>
      <c r="V334" s="11"/>
      <c r="W334" s="11"/>
      <c r="X334" s="11"/>
      <c r="Y334" s="11"/>
      <c r="Z334" s="11"/>
      <c r="AA334" s="11"/>
      <c r="AB334" s="11"/>
      <c r="AC334" s="11"/>
      <c r="AD334" s="11"/>
      <c r="AE334" s="11"/>
      <c r="AF334" s="11"/>
      <c r="AG334" s="11"/>
      <c r="AH334" s="11"/>
      <c r="AI334" s="11"/>
      <c r="AJ334" s="11"/>
      <c r="AK334" s="11"/>
      <c r="AL334" s="11"/>
      <c r="AM334" s="11"/>
      <c r="AN334" s="11"/>
      <c r="AO334" s="11"/>
      <c r="AP334" s="11"/>
      <c r="AQ334" s="11"/>
      <c r="AR334" s="11"/>
      <c r="AS334" s="11"/>
      <c r="AT334" s="11"/>
      <c r="AU334" s="11"/>
      <c r="AV334" s="11"/>
      <c r="AW334" s="11"/>
      <c r="AX334" s="11"/>
      <c r="AY334" s="11"/>
      <c r="AZ334" s="11"/>
      <c r="BA334" s="11"/>
      <c r="BB334" s="11"/>
      <c r="BC334" s="11"/>
      <c r="BD334" s="11"/>
      <c r="BE334" s="11"/>
      <c r="BF334" s="11"/>
      <c r="BG334" s="1564"/>
      <c r="BH334" s="1564"/>
      <c r="BI334" s="1564"/>
      <c r="BJ334" s="1564"/>
      <c r="BK334" s="1565"/>
      <c r="BL334" s="1565"/>
      <c r="BM334" s="1566"/>
      <c r="BN334" s="1565"/>
      <c r="BO334" s="1565"/>
    </row>
    <row r="335" spans="1:67" ht="3.95" customHeight="1" x14ac:dyDescent="0.25">
      <c r="A335" s="11"/>
      <c r="B335" s="11"/>
      <c r="C335" s="11"/>
      <c r="D335" s="11"/>
      <c r="E335" s="11"/>
      <c r="F335" s="11"/>
      <c r="G335" s="11"/>
      <c r="H335" s="11"/>
      <c r="I335" s="11"/>
      <c r="J335" s="11"/>
      <c r="K335" s="11"/>
      <c r="L335" s="11"/>
      <c r="M335" s="11"/>
      <c r="N335" s="11"/>
      <c r="O335" s="11"/>
      <c r="P335" s="11"/>
      <c r="Q335" s="11"/>
      <c r="R335" s="11"/>
      <c r="S335" s="11"/>
      <c r="T335" s="11"/>
      <c r="U335" s="11"/>
      <c r="V335" s="11"/>
      <c r="W335" s="11"/>
      <c r="X335" s="11"/>
      <c r="Y335" s="11"/>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c r="BC335" s="11"/>
      <c r="BD335" s="11"/>
      <c r="BE335" s="11"/>
      <c r="BF335" s="11"/>
      <c r="BG335" s="1069"/>
      <c r="BH335" s="1069"/>
      <c r="BI335" s="1069"/>
      <c r="BJ335" s="1069"/>
      <c r="BK335" s="1069"/>
      <c r="BL335" s="1069"/>
      <c r="BM335" s="1069"/>
      <c r="BN335" s="1069"/>
      <c r="BO335" s="1069"/>
    </row>
    <row r="336" spans="1:67" ht="3.95" customHeight="1" x14ac:dyDescent="0.25">
      <c r="A336" s="11"/>
      <c r="B336" s="11"/>
      <c r="C336" s="11"/>
      <c r="D336" s="11"/>
      <c r="E336" s="11"/>
      <c r="F336" s="11"/>
      <c r="G336" s="11"/>
      <c r="H336" s="11"/>
      <c r="I336" s="11"/>
      <c r="J336" s="11"/>
      <c r="K336" s="11"/>
      <c r="L336" s="11"/>
      <c r="M336" s="11"/>
      <c r="N336" s="11"/>
      <c r="O336" s="11"/>
      <c r="P336" s="11"/>
      <c r="Q336" s="11"/>
      <c r="R336" s="11"/>
      <c r="S336" s="11"/>
      <c r="T336" s="11"/>
      <c r="U336" s="11"/>
      <c r="V336" s="11"/>
      <c r="W336" s="11"/>
      <c r="X336" s="11"/>
      <c r="Y336" s="11"/>
      <c r="Z336" s="11"/>
      <c r="AA336" s="11"/>
      <c r="AB336" s="11"/>
      <c r="AC336" s="11"/>
      <c r="AD336" s="11"/>
      <c r="AE336" s="11"/>
      <c r="AF336" s="11"/>
      <c r="AG336" s="11"/>
      <c r="AH336" s="11"/>
      <c r="AI336" s="11"/>
      <c r="AJ336" s="11"/>
      <c r="AK336" s="11"/>
      <c r="AL336" s="11"/>
      <c r="AM336" s="11"/>
      <c r="AN336" s="11"/>
      <c r="AO336" s="11"/>
      <c r="AP336" s="11"/>
      <c r="AQ336" s="11"/>
      <c r="AR336" s="11"/>
      <c r="AS336" s="11"/>
      <c r="AT336" s="11"/>
      <c r="AU336" s="11"/>
      <c r="AV336" s="11"/>
      <c r="AW336" s="11"/>
      <c r="AX336" s="11"/>
      <c r="AY336" s="11"/>
      <c r="AZ336" s="11"/>
      <c r="BA336" s="11"/>
      <c r="BB336" s="11"/>
      <c r="BC336" s="11"/>
      <c r="BD336" s="11"/>
      <c r="BE336" s="11"/>
      <c r="BF336" s="11"/>
      <c r="BG336" s="1567"/>
      <c r="BH336" s="1567"/>
      <c r="BI336" s="1567"/>
      <c r="BJ336" s="1567"/>
      <c r="BK336" s="1567"/>
      <c r="BL336" s="1567"/>
      <c r="BM336" s="1567"/>
      <c r="BN336" s="1567"/>
      <c r="BO336" s="1567"/>
    </row>
    <row r="337" spans="1:67" ht="12.75" customHeight="1" x14ac:dyDescent="0.25">
      <c r="A337" s="11"/>
      <c r="B337" s="11"/>
      <c r="C337" s="11"/>
      <c r="D337" s="11"/>
      <c r="E337" s="11"/>
      <c r="F337" s="11"/>
      <c r="G337" s="11"/>
      <c r="H337" s="11"/>
      <c r="I337" s="11"/>
      <c r="J337" s="11"/>
      <c r="K337" s="11"/>
      <c r="L337" s="11"/>
      <c r="M337" s="11"/>
      <c r="N337" s="11"/>
      <c r="O337" s="11"/>
      <c r="P337" s="11"/>
      <c r="Q337" s="11"/>
      <c r="R337" s="11"/>
      <c r="S337" s="11"/>
      <c r="T337" s="11"/>
      <c r="U337" s="11"/>
      <c r="V337" s="11"/>
      <c r="W337" s="11"/>
      <c r="X337" s="11"/>
      <c r="Y337" s="11"/>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c r="BC337" s="11"/>
      <c r="BD337" s="11"/>
      <c r="BE337" s="11"/>
      <c r="BF337" s="11"/>
      <c r="BG337" s="1553" t="s">
        <v>1698</v>
      </c>
      <c r="BH337" s="1567"/>
      <c r="BI337" s="1567"/>
      <c r="BJ337" s="1567"/>
      <c r="BK337" s="1567"/>
      <c r="BL337" s="1567"/>
      <c r="BM337" s="1567"/>
      <c r="BN337" s="1567"/>
      <c r="BO337" s="1567"/>
    </row>
    <row r="338" spans="1:67" ht="12.75" customHeight="1" x14ac:dyDescent="0.25">
      <c r="A338" s="11"/>
      <c r="B338" s="11"/>
      <c r="C338" s="11"/>
      <c r="D338" s="11"/>
      <c r="E338" s="11"/>
      <c r="F338" s="11"/>
      <c r="G338" s="11"/>
      <c r="H338" s="11"/>
      <c r="I338" s="11"/>
      <c r="J338" s="11"/>
      <c r="K338" s="11"/>
      <c r="L338" s="11"/>
      <c r="M338" s="11"/>
      <c r="N338" s="11"/>
      <c r="O338" s="11"/>
      <c r="P338" s="11"/>
      <c r="Q338" s="11"/>
      <c r="R338" s="11"/>
      <c r="S338" s="11"/>
      <c r="T338" s="11"/>
      <c r="U338" s="11"/>
      <c r="V338" s="11"/>
      <c r="W338" s="11"/>
      <c r="X338" s="11"/>
      <c r="Y338" s="11"/>
      <c r="Z338" s="11"/>
      <c r="AA338" s="11"/>
      <c r="AB338" s="11"/>
      <c r="AC338" s="11"/>
      <c r="AD338" s="11"/>
      <c r="AE338" s="11"/>
      <c r="AF338" s="11"/>
      <c r="AG338" s="11"/>
      <c r="AH338" s="11"/>
      <c r="AI338" s="11"/>
      <c r="AJ338" s="11"/>
      <c r="AK338" s="11"/>
      <c r="AL338" s="11"/>
      <c r="AM338" s="11"/>
      <c r="AN338" s="11"/>
      <c r="AO338" s="11"/>
      <c r="AP338" s="11"/>
      <c r="AQ338" s="11"/>
      <c r="AR338" s="11"/>
      <c r="AS338" s="11"/>
      <c r="AT338" s="11"/>
      <c r="AU338" s="11"/>
      <c r="AV338" s="11"/>
      <c r="AW338" s="11"/>
      <c r="AX338" s="11"/>
      <c r="AY338" s="11"/>
      <c r="AZ338" s="11"/>
      <c r="BA338" s="11"/>
      <c r="BB338" s="11"/>
      <c r="BC338" s="11"/>
      <c r="BD338" s="11"/>
      <c r="BE338" s="11"/>
      <c r="BF338" s="11"/>
      <c r="BG338" s="1567"/>
      <c r="BH338" s="1567"/>
      <c r="BI338" s="1567"/>
      <c r="BJ338" s="1567"/>
      <c r="BK338" s="1567"/>
      <c r="BL338" s="1567"/>
      <c r="BM338" s="1567"/>
      <c r="BN338" s="1567"/>
      <c r="BO338" s="1567"/>
    </row>
    <row r="339" spans="1:67" ht="46.5" customHeight="1" x14ac:dyDescent="0.25">
      <c r="A339" s="11"/>
      <c r="B339" s="11"/>
      <c r="C339" s="11"/>
      <c r="D339" s="11"/>
      <c r="E339" s="11"/>
      <c r="F339" s="11"/>
      <c r="G339" s="11"/>
      <c r="H339" s="11"/>
      <c r="I339" s="11"/>
      <c r="J339" s="11"/>
      <c r="K339" s="11"/>
      <c r="L339" s="11"/>
      <c r="M339" s="11"/>
      <c r="N339" s="11"/>
      <c r="O339" s="11"/>
      <c r="P339" s="11"/>
      <c r="Q339" s="11"/>
      <c r="R339" s="11"/>
      <c r="S339" s="11"/>
      <c r="T339" s="11"/>
      <c r="U339" s="11"/>
      <c r="V339" s="11"/>
      <c r="W339" s="11"/>
      <c r="X339" s="11"/>
      <c r="Y339" s="11"/>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c r="BC339" s="11"/>
      <c r="BD339" s="11"/>
      <c r="BE339" s="11"/>
      <c r="BF339" s="11"/>
      <c r="BG339" s="3580" t="s">
        <v>1543</v>
      </c>
      <c r="BH339" s="3581"/>
      <c r="BI339" s="3581"/>
      <c r="BJ339" s="3581"/>
      <c r="BK339" s="3581"/>
      <c r="BL339" s="3581"/>
      <c r="BM339" s="3581"/>
      <c r="BN339" s="3581"/>
      <c r="BO339" s="3581"/>
    </row>
    <row r="340" spans="1:67" ht="12.75" customHeight="1" x14ac:dyDescent="0.25">
      <c r="A340" s="11"/>
      <c r="B340" s="11"/>
      <c r="C340" s="11"/>
      <c r="D340" s="11"/>
      <c r="E340" s="11"/>
      <c r="F340" s="11"/>
      <c r="G340" s="11"/>
      <c r="H340" s="11"/>
      <c r="I340" s="11"/>
      <c r="J340" s="11"/>
      <c r="K340" s="11"/>
      <c r="L340" s="11"/>
      <c r="M340" s="11"/>
      <c r="N340" s="11"/>
      <c r="O340" s="11"/>
      <c r="P340" s="11"/>
      <c r="Q340" s="11"/>
      <c r="R340" s="11"/>
      <c r="S340" s="11"/>
      <c r="T340" s="11"/>
      <c r="U340" s="11"/>
      <c r="V340" s="11"/>
      <c r="W340" s="11"/>
      <c r="X340" s="11"/>
      <c r="Y340" s="11"/>
      <c r="Z340" s="11"/>
      <c r="AA340" s="11"/>
      <c r="AB340" s="11"/>
      <c r="AC340" s="11"/>
      <c r="AD340" s="11"/>
      <c r="AE340" s="11"/>
      <c r="AF340" s="11"/>
      <c r="AG340" s="11"/>
      <c r="AH340" s="11"/>
      <c r="AI340" s="11"/>
      <c r="AJ340" s="11"/>
      <c r="AK340" s="11"/>
      <c r="AL340" s="11"/>
      <c r="AM340" s="11"/>
      <c r="AN340" s="11"/>
      <c r="AO340" s="11"/>
      <c r="AP340" s="11"/>
      <c r="AQ340" s="11"/>
      <c r="AR340" s="11"/>
      <c r="AS340" s="11"/>
      <c r="AT340" s="11"/>
      <c r="AU340" s="11"/>
      <c r="AV340" s="11"/>
      <c r="AW340" s="11"/>
      <c r="AX340" s="11"/>
      <c r="AY340" s="11"/>
      <c r="AZ340" s="11"/>
      <c r="BA340" s="11"/>
      <c r="BB340" s="11"/>
      <c r="BC340" s="11"/>
      <c r="BD340" s="11"/>
      <c r="BE340" s="11"/>
      <c r="BF340" s="11"/>
      <c r="BG340" s="1567"/>
      <c r="BH340" s="1567"/>
      <c r="BI340" s="1567"/>
      <c r="BJ340" s="1567"/>
      <c r="BK340" s="1567"/>
      <c r="BL340" s="1567"/>
      <c r="BM340" s="1567"/>
      <c r="BN340" s="1567"/>
      <c r="BO340" s="1567"/>
    </row>
    <row r="341" spans="1:67" ht="48" customHeight="1" x14ac:dyDescent="0.25">
      <c r="A341" s="11"/>
      <c r="B341" s="11"/>
      <c r="C341" s="11"/>
      <c r="D341" s="11"/>
      <c r="E341" s="11"/>
      <c r="F341" s="11"/>
      <c r="G341" s="11"/>
      <c r="H341" s="11"/>
      <c r="I341" s="11"/>
      <c r="J341" s="11"/>
      <c r="K341" s="11"/>
      <c r="L341" s="11"/>
      <c r="M341" s="11"/>
      <c r="N341" s="11"/>
      <c r="O341" s="11"/>
      <c r="P341" s="11"/>
      <c r="Q341" s="11"/>
      <c r="R341" s="11"/>
      <c r="S341" s="11"/>
      <c r="T341" s="11"/>
      <c r="U341" s="11"/>
      <c r="V341" s="11"/>
      <c r="W341" s="11"/>
      <c r="X341" s="11"/>
      <c r="Y341" s="11"/>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c r="BC341" s="11"/>
      <c r="BD341" s="11"/>
      <c r="BE341" s="11"/>
      <c r="BF341" s="11"/>
      <c r="BG341" s="3580" t="s">
        <v>1711</v>
      </c>
      <c r="BH341" s="3580"/>
      <c r="BI341" s="3580"/>
      <c r="BJ341" s="3580"/>
      <c r="BK341" s="3580"/>
      <c r="BL341" s="3580"/>
      <c r="BM341" s="3580"/>
      <c r="BN341" s="3580"/>
      <c r="BO341" s="3580"/>
    </row>
    <row r="342" spans="1:67" ht="12.75" customHeight="1" x14ac:dyDescent="0.25">
      <c r="A342" s="11"/>
      <c r="B342" s="11"/>
      <c r="C342" s="11"/>
      <c r="D342" s="11"/>
      <c r="E342" s="11"/>
      <c r="F342" s="11"/>
      <c r="G342" s="11"/>
      <c r="H342" s="11"/>
      <c r="I342" s="11"/>
      <c r="J342" s="11"/>
      <c r="K342" s="11"/>
      <c r="L342" s="11"/>
      <c r="M342" s="11"/>
      <c r="N342" s="11"/>
      <c r="O342" s="11"/>
      <c r="P342" s="11"/>
      <c r="Q342" s="11"/>
      <c r="R342" s="11"/>
      <c r="S342" s="11"/>
      <c r="T342" s="11"/>
      <c r="U342" s="11"/>
      <c r="V342" s="11"/>
      <c r="W342" s="11"/>
      <c r="X342" s="11"/>
      <c r="Y342" s="11"/>
      <c r="Z342" s="11"/>
      <c r="AA342" s="11"/>
      <c r="AB342" s="11"/>
      <c r="AC342" s="11"/>
      <c r="AD342" s="11"/>
      <c r="AE342" s="11"/>
      <c r="AF342" s="11"/>
      <c r="AG342" s="11"/>
      <c r="AH342" s="11"/>
      <c r="AI342" s="11"/>
      <c r="AJ342" s="11"/>
      <c r="AK342" s="11"/>
      <c r="AL342" s="11"/>
      <c r="AM342" s="11"/>
      <c r="AN342" s="11"/>
      <c r="AO342" s="11"/>
      <c r="AP342" s="11"/>
      <c r="AQ342" s="11"/>
      <c r="AR342" s="11"/>
      <c r="AS342" s="11"/>
      <c r="AT342" s="11"/>
      <c r="AU342" s="11"/>
      <c r="AV342" s="11"/>
      <c r="AW342" s="11"/>
      <c r="AX342" s="11"/>
      <c r="AY342" s="11"/>
      <c r="AZ342" s="11"/>
      <c r="BA342" s="11"/>
      <c r="BB342" s="11"/>
      <c r="BC342" s="11"/>
      <c r="BD342" s="11"/>
      <c r="BE342" s="11"/>
      <c r="BF342" s="11"/>
      <c r="BG342" s="1567"/>
      <c r="BH342" s="1567"/>
      <c r="BI342" s="1567"/>
      <c r="BJ342" s="1567"/>
      <c r="BK342" s="1567"/>
      <c r="BL342" s="1567"/>
      <c r="BM342" s="1567"/>
      <c r="BN342" s="1567"/>
      <c r="BO342" s="1567"/>
    </row>
    <row r="343" spans="1:67" ht="92.25" customHeight="1" x14ac:dyDescent="0.25">
      <c r="A343" s="11"/>
      <c r="B343" s="11"/>
      <c r="C343" s="11"/>
      <c r="D343" s="11"/>
      <c r="E343" s="11"/>
      <c r="F343" s="11"/>
      <c r="G343" s="11"/>
      <c r="H343" s="11"/>
      <c r="I343" s="11"/>
      <c r="J343" s="11"/>
      <c r="K343" s="11"/>
      <c r="L343" s="11"/>
      <c r="M343" s="11"/>
      <c r="N343" s="11"/>
      <c r="O343" s="11"/>
      <c r="P343" s="11"/>
      <c r="Q343" s="11"/>
      <c r="R343" s="11"/>
      <c r="S343" s="11"/>
      <c r="T343" s="11"/>
      <c r="U343" s="11"/>
      <c r="V343" s="11"/>
      <c r="W343" s="11"/>
      <c r="X343" s="11"/>
      <c r="Y343" s="11"/>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c r="BC343" s="11"/>
      <c r="BD343" s="11"/>
      <c r="BE343" s="11"/>
      <c r="BF343" s="11"/>
      <c r="BG343" s="3580" t="s">
        <v>1710</v>
      </c>
      <c r="BH343" s="3580"/>
      <c r="BI343" s="3580"/>
      <c r="BJ343" s="3580"/>
      <c r="BK343" s="3580"/>
      <c r="BL343" s="3580"/>
      <c r="BM343" s="3580"/>
      <c r="BN343" s="3580"/>
      <c r="BO343" s="3580"/>
    </row>
    <row r="344" spans="1:67" ht="12.75" customHeight="1" x14ac:dyDescent="0.25">
      <c r="A344" s="11"/>
      <c r="B344" s="11"/>
      <c r="C344" s="11"/>
      <c r="D344" s="11"/>
      <c r="E344" s="11"/>
      <c r="F344" s="11"/>
      <c r="G344" s="11"/>
      <c r="H344" s="11"/>
      <c r="I344" s="11"/>
      <c r="J344" s="11"/>
      <c r="K344" s="11"/>
      <c r="L344" s="11"/>
      <c r="M344" s="11"/>
      <c r="N344" s="11"/>
      <c r="O344" s="11"/>
      <c r="P344" s="11"/>
      <c r="Q344" s="11"/>
      <c r="R344" s="11"/>
      <c r="S344" s="11"/>
      <c r="T344" s="11"/>
      <c r="U344" s="11"/>
      <c r="V344" s="11"/>
      <c r="W344" s="11"/>
      <c r="X344" s="11"/>
      <c r="Y344" s="11"/>
      <c r="Z344" s="11"/>
      <c r="AA344" s="11"/>
      <c r="AB344" s="11"/>
      <c r="AC344" s="11"/>
      <c r="AD344" s="11"/>
      <c r="AE344" s="11"/>
      <c r="AF344" s="11"/>
      <c r="AG344" s="11"/>
      <c r="AH344" s="11"/>
      <c r="AI344" s="11"/>
      <c r="AJ344" s="11"/>
      <c r="AK344" s="11"/>
      <c r="AL344" s="11"/>
      <c r="AM344" s="11"/>
      <c r="AN344" s="11"/>
      <c r="AO344" s="11"/>
      <c r="AP344" s="11"/>
      <c r="AQ344" s="11"/>
      <c r="AR344" s="11"/>
      <c r="AS344" s="11"/>
      <c r="AT344" s="11"/>
      <c r="AU344" s="11"/>
      <c r="AV344" s="11"/>
      <c r="AW344" s="11"/>
      <c r="AX344" s="11"/>
      <c r="AY344" s="11"/>
      <c r="AZ344" s="11"/>
      <c r="BA344" s="11"/>
      <c r="BB344" s="11"/>
      <c r="BC344" s="11"/>
      <c r="BD344" s="11"/>
      <c r="BE344" s="11"/>
      <c r="BF344" s="11"/>
      <c r="BG344" s="296"/>
      <c r="BH344" s="296"/>
      <c r="BI344" s="296"/>
      <c r="BJ344" s="296"/>
      <c r="BK344" s="296"/>
      <c r="BL344" s="296"/>
      <c r="BM344" s="296"/>
      <c r="BN344" s="296"/>
      <c r="BO344" s="296"/>
    </row>
    <row r="345" spans="1:67" ht="12.75" customHeight="1" x14ac:dyDescent="0.25">
      <c r="A345" s="11"/>
      <c r="B345" s="11"/>
      <c r="C345" s="11"/>
      <c r="D345" s="11"/>
      <c r="E345" s="11"/>
      <c r="F345" s="11"/>
      <c r="G345" s="11"/>
      <c r="H345" s="11"/>
      <c r="I345" s="11"/>
      <c r="J345" s="11"/>
      <c r="K345" s="11"/>
      <c r="L345" s="11"/>
      <c r="M345" s="11"/>
      <c r="N345" s="11"/>
      <c r="O345" s="11"/>
      <c r="P345" s="11"/>
      <c r="Q345" s="11"/>
      <c r="R345" s="11"/>
      <c r="S345" s="11"/>
      <c r="T345" s="11"/>
      <c r="U345" s="11"/>
      <c r="V345" s="11"/>
      <c r="W345" s="11"/>
      <c r="X345" s="11"/>
      <c r="Y345" s="11"/>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c r="BC345" s="11"/>
      <c r="BD345" s="11"/>
      <c r="BE345" s="11"/>
      <c r="BF345" s="11"/>
      <c r="BG345" s="719"/>
      <c r="BH345" s="296"/>
      <c r="BI345" s="296"/>
      <c r="BJ345" s="296"/>
      <c r="BK345" s="296"/>
      <c r="BL345" s="296"/>
      <c r="BM345" s="296"/>
      <c r="BN345" s="296"/>
      <c r="BO345" s="296"/>
    </row>
    <row r="346" spans="1:67" ht="12.75" customHeight="1" x14ac:dyDescent="0.25">
      <c r="A346" s="11"/>
      <c r="B346" s="11"/>
      <c r="C346" s="11"/>
      <c r="D346" s="11"/>
      <c r="E346" s="11"/>
      <c r="F346" s="11"/>
      <c r="G346" s="11"/>
      <c r="H346" s="11"/>
      <c r="I346" s="11"/>
      <c r="J346" s="11"/>
      <c r="K346" s="11"/>
      <c r="L346" s="11"/>
      <c r="M346" s="11"/>
      <c r="N346" s="11"/>
      <c r="O346" s="11"/>
      <c r="P346" s="11"/>
      <c r="Q346" s="11"/>
      <c r="R346" s="11"/>
      <c r="S346" s="11"/>
      <c r="T346" s="11"/>
      <c r="U346" s="11"/>
      <c r="V346" s="11"/>
      <c r="W346" s="11"/>
      <c r="X346" s="11"/>
      <c r="Y346" s="11"/>
      <c r="Z346" s="11"/>
      <c r="AA346" s="11"/>
      <c r="AB346" s="11"/>
      <c r="AC346" s="11"/>
      <c r="AD346" s="11"/>
      <c r="AE346" s="11"/>
      <c r="AF346" s="11"/>
      <c r="AG346" s="11"/>
      <c r="AH346" s="11"/>
      <c r="AI346" s="11"/>
      <c r="AJ346" s="11"/>
      <c r="AK346" s="11"/>
      <c r="AL346" s="11"/>
      <c r="AM346" s="11"/>
      <c r="AN346" s="11"/>
      <c r="AO346" s="11"/>
      <c r="AP346" s="11"/>
      <c r="AQ346" s="11"/>
      <c r="AR346" s="11"/>
      <c r="AS346" s="11"/>
      <c r="AT346" s="11"/>
      <c r="AU346" s="11"/>
      <c r="AV346" s="11"/>
      <c r="AW346" s="11"/>
      <c r="AX346" s="11"/>
      <c r="AY346" s="11"/>
      <c r="AZ346" s="11"/>
      <c r="BA346" s="11"/>
      <c r="BB346" s="11"/>
      <c r="BC346" s="11"/>
      <c r="BD346" s="11"/>
      <c r="BE346" s="11"/>
      <c r="BF346" s="11"/>
      <c r="BG346" s="296"/>
      <c r="BH346" s="296"/>
      <c r="BI346" s="296"/>
      <c r="BJ346" s="296"/>
      <c r="BK346" s="296"/>
      <c r="BL346" s="296"/>
      <c r="BM346" s="296"/>
      <c r="BN346" s="296"/>
      <c r="BO346" s="296"/>
    </row>
    <row r="347" spans="1:67" ht="12.75" customHeight="1" x14ac:dyDescent="0.25">
      <c r="A347" s="11"/>
      <c r="B347" s="11"/>
      <c r="C347" s="11"/>
      <c r="D347" s="11"/>
      <c r="E347" s="11"/>
      <c r="F347" s="11"/>
      <c r="G347" s="11"/>
      <c r="H347" s="11"/>
      <c r="I347" s="11"/>
      <c r="J347" s="11"/>
      <c r="K347" s="11"/>
      <c r="L347" s="11"/>
      <c r="M347" s="11"/>
      <c r="N347" s="11"/>
      <c r="O347" s="11"/>
      <c r="P347" s="11"/>
      <c r="Q347" s="11"/>
      <c r="R347" s="11"/>
      <c r="S347" s="11"/>
      <c r="T347" s="11"/>
      <c r="U347" s="11"/>
      <c r="V347" s="11"/>
      <c r="W347" s="11"/>
      <c r="X347" s="11"/>
      <c r="Y347" s="11"/>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c r="BC347" s="11"/>
      <c r="BD347" s="11"/>
      <c r="BE347" s="11"/>
      <c r="BF347" s="11"/>
      <c r="BG347" s="296"/>
      <c r="BH347" s="296"/>
      <c r="BI347" s="296"/>
      <c r="BJ347" s="296"/>
      <c r="BK347" s="296"/>
      <c r="BL347" s="296"/>
      <c r="BM347" s="296"/>
      <c r="BN347" s="296"/>
      <c r="BO347" s="296"/>
    </row>
    <row r="348" spans="1:67" x14ac:dyDescent="0.25">
      <c r="A348" s="11"/>
      <c r="B348" s="11"/>
      <c r="C348" s="11"/>
      <c r="D348" s="11"/>
      <c r="E348" s="11"/>
      <c r="F348" s="11"/>
      <c r="G348" s="11"/>
      <c r="H348" s="11"/>
      <c r="I348" s="11"/>
      <c r="J348" s="11"/>
      <c r="K348" s="11"/>
      <c r="L348" s="11"/>
      <c r="M348" s="11"/>
      <c r="N348" s="11"/>
      <c r="O348" s="11"/>
      <c r="P348" s="11"/>
      <c r="Q348" s="11"/>
      <c r="R348" s="11"/>
      <c r="S348" s="11"/>
      <c r="T348" s="11"/>
      <c r="U348" s="11"/>
      <c r="V348" s="11"/>
      <c r="W348" s="11"/>
      <c r="X348" s="11"/>
      <c r="Y348" s="11"/>
      <c r="Z348" s="11"/>
      <c r="AA348" s="11"/>
      <c r="AB348" s="11"/>
      <c r="AC348" s="11"/>
      <c r="AD348" s="11"/>
      <c r="AE348" s="11"/>
      <c r="AF348" s="11"/>
      <c r="AG348" s="11"/>
      <c r="AH348" s="11"/>
      <c r="AI348" s="11"/>
      <c r="AJ348" s="11"/>
      <c r="AK348" s="11"/>
      <c r="AL348" s="11"/>
      <c r="AM348" s="11"/>
      <c r="AN348" s="11"/>
      <c r="AO348" s="11"/>
      <c r="AP348" s="11"/>
      <c r="AQ348" s="11"/>
      <c r="AR348" s="11"/>
      <c r="AS348" s="11"/>
      <c r="AT348" s="11"/>
      <c r="AU348" s="11"/>
      <c r="AV348" s="11"/>
      <c r="AW348" s="11"/>
      <c r="AX348" s="11"/>
      <c r="AY348" s="11"/>
      <c r="AZ348" s="11"/>
      <c r="BA348" s="11"/>
      <c r="BB348" s="11"/>
      <c r="BC348" s="11"/>
      <c r="BD348" s="11"/>
      <c r="BE348" s="11"/>
      <c r="BF348" s="11"/>
      <c r="BG348" s="11"/>
      <c r="BH348" s="11"/>
      <c r="BI348" s="11"/>
      <c r="BJ348" s="11"/>
      <c r="BK348" s="11"/>
      <c r="BL348" s="11"/>
      <c r="BM348" s="11"/>
      <c r="BN348" s="11"/>
      <c r="BO348" s="11"/>
    </row>
    <row r="349" spans="1:67" x14ac:dyDescent="0.25">
      <c r="A349" s="11"/>
      <c r="B349" s="11"/>
      <c r="C349" s="11"/>
      <c r="D349" s="11"/>
      <c r="E349" s="11"/>
      <c r="F349" s="11"/>
      <c r="G349" s="11"/>
      <c r="H349" s="11"/>
      <c r="I349" s="11"/>
      <c r="J349" s="11"/>
      <c r="K349" s="11"/>
      <c r="L349" s="11"/>
      <c r="M349" s="11"/>
      <c r="N349" s="11"/>
      <c r="O349" s="11"/>
      <c r="P349" s="11"/>
      <c r="Q349" s="11"/>
      <c r="R349" s="11"/>
      <c r="S349" s="11"/>
      <c r="T349" s="11"/>
      <c r="U349" s="11"/>
      <c r="V349" s="11"/>
      <c r="W349" s="11"/>
      <c r="X349" s="11"/>
      <c r="Y349" s="11"/>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c r="BC349" s="11"/>
      <c r="BD349" s="11"/>
      <c r="BE349" s="11"/>
      <c r="BF349" s="11"/>
      <c r="BG349" s="359" t="s">
        <v>2184</v>
      </c>
      <c r="BH349" s="11"/>
      <c r="BI349" s="11"/>
      <c r="BJ349" s="11"/>
      <c r="BK349" s="11"/>
      <c r="BL349" s="11"/>
      <c r="BM349" s="11"/>
      <c r="BN349" s="11"/>
      <c r="BO349" s="11"/>
    </row>
    <row r="350" spans="1:67" x14ac:dyDescent="0.25">
      <c r="A350" s="11"/>
      <c r="B350" s="11"/>
      <c r="C350" s="11"/>
      <c r="D350" s="11"/>
      <c r="E350" s="11"/>
      <c r="F350" s="11"/>
      <c r="G350" s="11"/>
      <c r="H350" s="11"/>
      <c r="I350" s="11"/>
      <c r="J350" s="11"/>
      <c r="K350" s="11"/>
      <c r="L350" s="11"/>
      <c r="M350" s="11"/>
      <c r="N350" s="11"/>
      <c r="O350" s="11"/>
      <c r="P350" s="11"/>
      <c r="Q350" s="11"/>
      <c r="R350" s="11"/>
      <c r="S350" s="11"/>
      <c r="T350" s="11"/>
      <c r="U350" s="11"/>
      <c r="V350" s="11"/>
      <c r="W350" s="11"/>
      <c r="X350" s="11"/>
      <c r="Y350" s="11"/>
      <c r="Z350" s="11"/>
      <c r="AA350" s="11"/>
      <c r="AB350" s="11"/>
      <c r="AC350" s="11"/>
      <c r="AD350" s="11"/>
      <c r="AE350" s="11"/>
      <c r="AF350" s="11"/>
      <c r="AG350" s="11"/>
      <c r="AH350" s="11"/>
      <c r="AI350" s="11"/>
      <c r="AJ350" s="11"/>
      <c r="AK350" s="11"/>
      <c r="AL350" s="11"/>
      <c r="AM350" s="11"/>
      <c r="AN350" s="11"/>
      <c r="AO350" s="11"/>
      <c r="AP350" s="11"/>
      <c r="AQ350" s="11"/>
      <c r="AR350" s="11"/>
      <c r="AS350" s="11"/>
      <c r="AT350" s="11"/>
      <c r="AU350" s="11"/>
      <c r="AV350" s="11"/>
      <c r="AW350" s="11"/>
      <c r="AX350" s="11"/>
      <c r="AY350" s="11"/>
      <c r="AZ350" s="11"/>
      <c r="BA350" s="11"/>
      <c r="BB350" s="11"/>
      <c r="BC350" s="11"/>
      <c r="BD350" s="11"/>
      <c r="BE350" s="11"/>
      <c r="BF350" s="11"/>
      <c r="BG350" s="11"/>
      <c r="BH350" s="11"/>
      <c r="BI350" s="11"/>
      <c r="BJ350" s="11"/>
      <c r="BK350" s="11"/>
      <c r="BL350" s="11"/>
      <c r="BM350" s="11"/>
      <c r="BN350" s="11"/>
      <c r="BO350" s="11"/>
    </row>
    <row r="351" spans="1:67" x14ac:dyDescent="0.25">
      <c r="A351" s="11"/>
      <c r="B351" s="11"/>
      <c r="C351" s="11"/>
      <c r="D351" s="11"/>
      <c r="E351" s="11"/>
      <c r="F351" s="11"/>
      <c r="G351" s="11"/>
      <c r="H351" s="11"/>
      <c r="I351" s="11"/>
      <c r="J351" s="11"/>
      <c r="K351" s="11"/>
      <c r="L351" s="11"/>
      <c r="M351" s="11"/>
      <c r="N351" s="11"/>
      <c r="O351" s="11"/>
      <c r="P351" s="11"/>
      <c r="Q351" s="11"/>
      <c r="R351" s="11"/>
      <c r="S351" s="11"/>
      <c r="T351" s="11"/>
      <c r="U351" s="11"/>
      <c r="V351" s="11"/>
      <c r="W351" s="11"/>
      <c r="X351" s="11"/>
      <c r="Y351" s="11"/>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c r="BC351" s="11"/>
      <c r="BD351" s="11"/>
      <c r="BE351" s="11"/>
      <c r="BF351" s="11"/>
      <c r="BG351" s="11"/>
      <c r="BH351" s="11"/>
      <c r="BI351" s="1531">
        <v>2010</v>
      </c>
      <c r="BJ351" s="11"/>
      <c r="BK351" s="1531">
        <v>2011</v>
      </c>
      <c r="BL351" s="1531" t="s">
        <v>154</v>
      </c>
      <c r="BM351" s="1530"/>
      <c r="BN351" s="1531">
        <v>2012</v>
      </c>
      <c r="BO351" s="1531" t="s">
        <v>1374</v>
      </c>
    </row>
    <row r="352" spans="1:67" x14ac:dyDescent="0.25">
      <c r="A352" s="11"/>
      <c r="B352" s="11"/>
      <c r="C352" s="11"/>
      <c r="D352" s="11"/>
      <c r="E352" s="11"/>
      <c r="F352" s="11"/>
      <c r="G352" s="11"/>
      <c r="H352" s="11"/>
      <c r="I352" s="11"/>
      <c r="J352" s="11"/>
      <c r="K352" s="11"/>
      <c r="L352" s="11"/>
      <c r="M352" s="11"/>
      <c r="N352" s="11"/>
      <c r="O352" s="11"/>
      <c r="P352" s="11"/>
      <c r="Q352" s="11"/>
      <c r="R352" s="11"/>
      <c r="S352" s="11"/>
      <c r="T352" s="11"/>
      <c r="U352" s="11"/>
      <c r="V352" s="11"/>
      <c r="W352" s="11"/>
      <c r="X352" s="11"/>
      <c r="Y352" s="11"/>
      <c r="Z352" s="11"/>
      <c r="AA352" s="11"/>
      <c r="AB352" s="11"/>
      <c r="AC352" s="11"/>
      <c r="AD352" s="11"/>
      <c r="AE352" s="11"/>
      <c r="AF352" s="11"/>
      <c r="AG352" s="11"/>
      <c r="AH352" s="11"/>
      <c r="AI352" s="11"/>
      <c r="AJ352" s="11"/>
      <c r="AK352" s="11"/>
      <c r="AL352" s="11"/>
      <c r="AM352" s="11"/>
      <c r="AN352" s="11"/>
      <c r="AO352" s="11"/>
      <c r="AP352" s="11"/>
      <c r="AQ352" s="11"/>
      <c r="AR352" s="11"/>
      <c r="AS352" s="11"/>
      <c r="AT352" s="11"/>
      <c r="AU352" s="11"/>
      <c r="AV352" s="11"/>
      <c r="AW352" s="11"/>
      <c r="AX352" s="11"/>
      <c r="AY352" s="11"/>
      <c r="AZ352" s="11"/>
      <c r="BA352" s="11"/>
      <c r="BB352" s="11"/>
      <c r="BC352" s="11"/>
      <c r="BD352" s="11"/>
      <c r="BE352" s="11"/>
      <c r="BF352" s="11"/>
      <c r="BG352" s="11"/>
      <c r="BH352" s="11"/>
      <c r="BI352" s="11"/>
      <c r="BJ352" s="11"/>
      <c r="BK352" s="11"/>
      <c r="BL352" s="11"/>
      <c r="BM352" s="11"/>
      <c r="BN352" s="11"/>
      <c r="BO352" s="11"/>
    </row>
    <row r="353" spans="1:67" ht="15" customHeight="1" x14ac:dyDescent="0.25">
      <c r="A353" s="11"/>
      <c r="B353" s="11"/>
      <c r="C353" s="11"/>
      <c r="D353" s="11"/>
      <c r="E353" s="11"/>
      <c r="F353" s="11"/>
      <c r="G353" s="11"/>
      <c r="H353" s="11"/>
      <c r="I353" s="11"/>
      <c r="J353" s="11"/>
      <c r="K353" s="11"/>
      <c r="L353" s="11"/>
      <c r="M353" s="11"/>
      <c r="N353" s="11"/>
      <c r="O353" s="11"/>
      <c r="P353" s="11"/>
      <c r="Q353" s="11"/>
      <c r="R353" s="11"/>
      <c r="S353" s="11"/>
      <c r="T353" s="11"/>
      <c r="U353" s="11"/>
      <c r="V353" s="11"/>
      <c r="W353" s="11"/>
      <c r="X353" s="11"/>
      <c r="Y353" s="11"/>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c r="BC353" s="11"/>
      <c r="BD353" s="11"/>
      <c r="BE353" s="11"/>
      <c r="BF353" s="11"/>
      <c r="BG353" s="1403" t="s">
        <v>2183</v>
      </c>
      <c r="BH353" s="11"/>
      <c r="BI353" s="11">
        <f>BI321</f>
        <v>2430.0009999999997</v>
      </c>
      <c r="BJ353" s="11"/>
      <c r="BK353" s="11">
        <f>BI321*(1+BL321+0.015)</f>
        <v>2569.6248299199992</v>
      </c>
      <c r="BL353" s="280">
        <f>BK353/BI353-1</f>
        <v>5.7458342576813592E-2</v>
      </c>
      <c r="BM353" s="11"/>
      <c r="BN353" s="11">
        <f>BK354*(1+BO321+0.015)</f>
        <v>2697.1251438232493</v>
      </c>
      <c r="BO353" s="646">
        <f>BN353/BK354-1</f>
        <v>3.3242506594393095E-3</v>
      </c>
    </row>
    <row r="354" spans="1:67" ht="27" customHeight="1" x14ac:dyDescent="0.25">
      <c r="A354" s="11"/>
      <c r="B354" s="11"/>
      <c r="C354" s="11"/>
      <c r="D354" s="11"/>
      <c r="E354" s="11"/>
      <c r="F354" s="11"/>
      <c r="G354" s="11"/>
      <c r="H354" s="11"/>
      <c r="I354" s="11"/>
      <c r="J354" s="11"/>
      <c r="K354" s="11"/>
      <c r="L354" s="11"/>
      <c r="M354" s="11"/>
      <c r="N354" s="11"/>
      <c r="O354" s="11"/>
      <c r="P354" s="11"/>
      <c r="Q354" s="11"/>
      <c r="R354" s="11"/>
      <c r="S354" s="11"/>
      <c r="T354" s="11"/>
      <c r="U354" s="11"/>
      <c r="V354" s="11"/>
      <c r="W354" s="11"/>
      <c r="X354" s="11"/>
      <c r="Y354" s="11"/>
      <c r="Z354" s="11"/>
      <c r="AA354" s="11"/>
      <c r="AB354" s="11"/>
      <c r="AC354" s="11"/>
      <c r="AD354" s="11"/>
      <c r="AE354" s="11"/>
      <c r="AF354" s="11"/>
      <c r="AG354" s="11"/>
      <c r="AH354" s="11"/>
      <c r="AI354" s="11"/>
      <c r="AJ354" s="11"/>
      <c r="AK354" s="11"/>
      <c r="AL354" s="11"/>
      <c r="AM354" s="11"/>
      <c r="AN354" s="11"/>
      <c r="AO354" s="11"/>
      <c r="AP354" s="11"/>
      <c r="AQ354" s="11"/>
      <c r="AR354" s="11"/>
      <c r="AS354" s="11"/>
      <c r="AT354" s="11"/>
      <c r="AU354" s="11"/>
      <c r="AV354" s="11"/>
      <c r="AW354" s="11"/>
      <c r="AX354" s="11"/>
      <c r="AY354" s="11"/>
      <c r="AZ354" s="11"/>
      <c r="BA354" s="11"/>
      <c r="BB354" s="11"/>
      <c r="BC354" s="11"/>
      <c r="BD354" s="11"/>
      <c r="BE354" s="11"/>
      <c r="BF354" s="11"/>
      <c r="BG354" s="1403"/>
      <c r="BH354" s="11"/>
      <c r="BI354" s="11"/>
      <c r="BJ354" s="11"/>
      <c r="BK354" s="11">
        <f>$BK$322*(1+0.015)</f>
        <v>2688.1889299999993</v>
      </c>
      <c r="BL354" s="11"/>
      <c r="BM354" s="11"/>
      <c r="BN354" s="11">
        <f>BK354*(1+BO321+0.015)</f>
        <v>2697.1251438232493</v>
      </c>
      <c r="BO354" s="11"/>
    </row>
    <row r="355" spans="1:67" ht="3.95" customHeight="1" x14ac:dyDescent="0.25">
      <c r="A355" s="11"/>
      <c r="B355" s="11"/>
      <c r="C355" s="11"/>
      <c r="D355" s="11"/>
      <c r="E355" s="11"/>
      <c r="F355" s="11"/>
      <c r="G355" s="11"/>
      <c r="H355" s="11"/>
      <c r="I355" s="11"/>
      <c r="J355" s="11"/>
      <c r="K355" s="11"/>
      <c r="L355" s="11"/>
      <c r="M355" s="11"/>
      <c r="N355" s="11"/>
      <c r="O355" s="11"/>
      <c r="P355" s="11"/>
      <c r="Q355" s="11"/>
      <c r="R355" s="11"/>
      <c r="S355" s="11"/>
      <c r="T355" s="11"/>
      <c r="U355" s="11"/>
      <c r="V355" s="11"/>
      <c r="W355" s="11"/>
      <c r="X355" s="11"/>
      <c r="Y355" s="11"/>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c r="BC355" s="11"/>
      <c r="BD355" s="11"/>
      <c r="BE355" s="11"/>
      <c r="BF355" s="11"/>
      <c r="BG355" s="1403"/>
      <c r="BH355" s="11"/>
      <c r="BI355" s="11"/>
      <c r="BJ355" s="11"/>
      <c r="BK355" s="11"/>
      <c r="BL355" s="11"/>
      <c r="BM355" s="11"/>
      <c r="BN355" s="11"/>
      <c r="BO355" s="11"/>
    </row>
    <row r="356" spans="1:67" ht="3.95" customHeight="1" x14ac:dyDescent="0.25">
      <c r="A356" s="11"/>
      <c r="B356" s="11"/>
      <c r="C356" s="11"/>
      <c r="D356" s="11"/>
      <c r="E356" s="11"/>
      <c r="F356" s="11"/>
      <c r="G356" s="11"/>
      <c r="H356" s="11"/>
      <c r="I356" s="11"/>
      <c r="J356" s="11"/>
      <c r="K356" s="11"/>
      <c r="L356" s="11"/>
      <c r="M356" s="11"/>
      <c r="N356" s="11"/>
      <c r="O356" s="11"/>
      <c r="P356" s="11"/>
      <c r="Q356" s="11"/>
      <c r="R356" s="11"/>
      <c r="S356" s="11"/>
      <c r="T356" s="11"/>
      <c r="U356" s="11"/>
      <c r="V356" s="11"/>
      <c r="W356" s="11"/>
      <c r="X356" s="11"/>
      <c r="Y356" s="11"/>
      <c r="Z356" s="11"/>
      <c r="AA356" s="11"/>
      <c r="AB356" s="11"/>
      <c r="AC356" s="11"/>
      <c r="AD356" s="11"/>
      <c r="AE356" s="11"/>
      <c r="AF356" s="11"/>
      <c r="AG356" s="11"/>
      <c r="AH356" s="11"/>
      <c r="AI356" s="11"/>
      <c r="AJ356" s="11"/>
      <c r="AK356" s="11"/>
      <c r="AL356" s="11"/>
      <c r="AM356" s="11"/>
      <c r="AN356" s="11"/>
      <c r="AO356" s="11"/>
      <c r="AP356" s="11"/>
      <c r="AQ356" s="11"/>
      <c r="AR356" s="11"/>
      <c r="AS356" s="11"/>
      <c r="AT356" s="11"/>
      <c r="AU356" s="11"/>
      <c r="AV356" s="11"/>
      <c r="AW356" s="11"/>
      <c r="AX356" s="11"/>
      <c r="AY356" s="11"/>
      <c r="AZ356" s="11"/>
      <c r="BA356" s="11"/>
      <c r="BB356" s="11"/>
      <c r="BC356" s="11"/>
      <c r="BD356" s="11"/>
      <c r="BE356" s="11"/>
      <c r="BF356" s="11"/>
      <c r="BG356" s="1403"/>
      <c r="BH356" s="11"/>
      <c r="BI356" s="11"/>
      <c r="BJ356" s="11"/>
      <c r="BK356" s="11"/>
      <c r="BL356" s="11"/>
      <c r="BM356" s="11"/>
      <c r="BN356" s="11"/>
      <c r="BO356" s="11"/>
    </row>
    <row r="357" spans="1:67" ht="15" customHeight="1" x14ac:dyDescent="0.25">
      <c r="A357" s="11"/>
      <c r="B357" s="11"/>
      <c r="C357" s="11"/>
      <c r="D357" s="11"/>
      <c r="E357" s="11"/>
      <c r="F357" s="11"/>
      <c r="G357" s="11"/>
      <c r="H357" s="11"/>
      <c r="I357" s="11"/>
      <c r="J357" s="11"/>
      <c r="K357" s="11"/>
      <c r="L357" s="11"/>
      <c r="M357" s="11"/>
      <c r="N357" s="11"/>
      <c r="O357" s="11"/>
      <c r="P357" s="11"/>
      <c r="Q357" s="11"/>
      <c r="R357" s="11"/>
      <c r="S357" s="11"/>
      <c r="T357" s="11"/>
      <c r="U357" s="11"/>
      <c r="V357" s="11"/>
      <c r="W357" s="11"/>
      <c r="X357" s="11"/>
      <c r="Y357" s="11"/>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c r="BC357" s="11"/>
      <c r="BD357" s="11"/>
      <c r="BE357" s="11"/>
      <c r="BF357" s="11"/>
      <c r="BG357" s="1533" t="s">
        <v>2181</v>
      </c>
      <c r="BH357" s="385"/>
      <c r="BI357" s="385"/>
      <c r="BJ357" s="385"/>
      <c r="BK357" s="1534">
        <f>$BK$324+0.015</f>
        <v>1.393118895772115E-2</v>
      </c>
      <c r="BL357" s="1534">
        <f>BK357</f>
        <v>1.393118895772115E-2</v>
      </c>
      <c r="BM357" s="1534"/>
      <c r="BN357" s="1534">
        <f>$BN$324+0.015</f>
        <v>3.3242506594394067E-3</v>
      </c>
      <c r="BO357" s="1535">
        <f>BN357</f>
        <v>3.3242506594394067E-3</v>
      </c>
    </row>
    <row r="358" spans="1:67" ht="3.95" customHeight="1" x14ac:dyDescent="0.25">
      <c r="A358" s="11"/>
      <c r="B358" s="11"/>
      <c r="C358" s="11"/>
      <c r="D358" s="11"/>
      <c r="E358" s="11"/>
      <c r="F358" s="11"/>
      <c r="G358" s="11"/>
      <c r="H358" s="11"/>
      <c r="I358" s="11"/>
      <c r="J358" s="11"/>
      <c r="K358" s="11"/>
      <c r="L358" s="11"/>
      <c r="M358" s="11"/>
      <c r="N358" s="11"/>
      <c r="O358" s="11"/>
      <c r="P358" s="11"/>
      <c r="Q358" s="11"/>
      <c r="R358" s="11"/>
      <c r="S358" s="11"/>
      <c r="T358" s="11"/>
      <c r="U358" s="11"/>
      <c r="V358" s="11"/>
      <c r="W358" s="11"/>
      <c r="X358" s="11"/>
      <c r="Y358" s="11"/>
      <c r="Z358" s="11"/>
      <c r="AA358" s="11"/>
      <c r="AB358" s="11"/>
      <c r="AC358" s="11"/>
      <c r="AD358" s="11"/>
      <c r="AE358" s="11"/>
      <c r="AF358" s="11"/>
      <c r="AG358" s="11"/>
      <c r="AH358" s="11"/>
      <c r="AI358" s="11"/>
      <c r="AJ358" s="11"/>
      <c r="AK358" s="11"/>
      <c r="AL358" s="11"/>
      <c r="AM358" s="11"/>
      <c r="AN358" s="11"/>
      <c r="AO358" s="11"/>
      <c r="AP358" s="11"/>
      <c r="AQ358" s="11"/>
      <c r="AR358" s="11"/>
      <c r="AS358" s="11"/>
      <c r="AT358" s="11"/>
      <c r="AU358" s="11"/>
      <c r="AV358" s="11"/>
      <c r="AW358" s="11"/>
      <c r="AX358" s="11"/>
      <c r="AY358" s="11"/>
      <c r="AZ358" s="11"/>
      <c r="BA358" s="11"/>
      <c r="BB358" s="11"/>
      <c r="BC358" s="11"/>
      <c r="BD358" s="11"/>
      <c r="BE358" s="11"/>
      <c r="BF358" s="11"/>
      <c r="BG358" s="11"/>
      <c r="BH358" s="11"/>
      <c r="BI358" s="11"/>
      <c r="BJ358" s="11"/>
      <c r="BK358" s="11"/>
      <c r="BL358" s="11"/>
      <c r="BM358" s="11"/>
      <c r="BN358" s="11"/>
      <c r="BO358" s="11"/>
    </row>
    <row r="359" spans="1:67" ht="15" customHeight="1" x14ac:dyDescent="0.25">
      <c r="A359" s="11"/>
      <c r="B359" s="11"/>
      <c r="C359" s="11"/>
      <c r="D359" s="11"/>
      <c r="E359" s="11"/>
      <c r="F359" s="11"/>
      <c r="G359" s="11"/>
      <c r="H359" s="11"/>
      <c r="I359" s="11"/>
      <c r="J359" s="11"/>
      <c r="K359" s="11"/>
      <c r="L359" s="11"/>
      <c r="M359" s="11"/>
      <c r="N359" s="11"/>
      <c r="O359" s="11"/>
      <c r="P359" s="11"/>
      <c r="Q359" s="11"/>
      <c r="R359" s="11"/>
      <c r="S359" s="11"/>
      <c r="T359" s="11"/>
      <c r="U359" s="11"/>
      <c r="V359" s="11"/>
      <c r="W359" s="11"/>
      <c r="X359" s="11"/>
      <c r="Y359" s="11"/>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c r="BC359" s="11"/>
      <c r="BD359" s="11"/>
      <c r="BE359" s="11"/>
      <c r="BF359" s="11"/>
      <c r="BG359" s="1533" t="s">
        <v>2182</v>
      </c>
      <c r="BH359" s="385"/>
      <c r="BI359" s="385"/>
      <c r="BJ359" s="385"/>
      <c r="BK359" s="1534">
        <f>BK326+0.015</f>
        <v>1.6176697902395051E-2</v>
      </c>
      <c r="BL359" s="1534">
        <f>BK359</f>
        <v>1.6176697902395051E-2</v>
      </c>
      <c r="BM359" s="1534"/>
      <c r="BN359" s="1534">
        <f>$BN$326+0.015</f>
        <v>5.5460837961697082E-2</v>
      </c>
      <c r="BO359" s="1535">
        <f>BN359</f>
        <v>5.5460837961697082E-2</v>
      </c>
    </row>
    <row r="360" spans="1:67" ht="3.95" customHeight="1" x14ac:dyDescent="0.25">
      <c r="A360" s="11"/>
      <c r="B360" s="11"/>
      <c r="C360" s="11"/>
      <c r="D360" s="11"/>
      <c r="E360" s="11"/>
      <c r="F360" s="11"/>
      <c r="G360" s="11"/>
      <c r="H360" s="11"/>
      <c r="I360" s="11"/>
      <c r="J360" s="11"/>
      <c r="K360" s="11"/>
      <c r="L360" s="11"/>
      <c r="M360" s="11"/>
      <c r="N360" s="11"/>
      <c r="O360" s="11"/>
      <c r="P360" s="11"/>
      <c r="Q360" s="11"/>
      <c r="R360" s="11"/>
      <c r="S360" s="11"/>
      <c r="T360" s="11"/>
      <c r="U360" s="11"/>
      <c r="V360" s="11"/>
      <c r="W360" s="11"/>
      <c r="X360" s="11"/>
      <c r="Y360" s="11"/>
      <c r="Z360" s="11"/>
      <c r="AA360" s="11"/>
      <c r="AB360" s="11"/>
      <c r="AC360" s="11"/>
      <c r="AD360" s="11"/>
      <c r="AE360" s="11"/>
      <c r="AF360" s="11"/>
      <c r="AG360" s="11"/>
      <c r="AH360" s="11"/>
      <c r="AI360" s="11"/>
      <c r="AJ360" s="11"/>
      <c r="AK360" s="11"/>
      <c r="AL360" s="11"/>
      <c r="AM360" s="11"/>
      <c r="AN360" s="11"/>
      <c r="AO360" s="11"/>
      <c r="AP360" s="11"/>
      <c r="AQ360" s="11"/>
      <c r="AR360" s="11"/>
      <c r="AS360" s="11"/>
      <c r="AT360" s="11"/>
      <c r="AU360" s="11"/>
      <c r="AV360" s="11"/>
      <c r="AW360" s="11"/>
      <c r="AX360" s="11"/>
      <c r="AY360" s="11"/>
      <c r="AZ360" s="11"/>
      <c r="BA360" s="11"/>
      <c r="BB360" s="11"/>
      <c r="BC360" s="11"/>
      <c r="BD360" s="11"/>
      <c r="BE360" s="11"/>
      <c r="BF360" s="11"/>
      <c r="BG360" s="1536"/>
      <c r="BH360" s="281"/>
      <c r="BI360" s="281"/>
      <c r="BJ360" s="281"/>
      <c r="BK360" s="281"/>
      <c r="BL360" s="281"/>
      <c r="BM360" s="281"/>
      <c r="BN360" s="281"/>
      <c r="BO360" s="281"/>
    </row>
    <row r="361" spans="1:67" x14ac:dyDescent="0.25">
      <c r="A361" s="11"/>
      <c r="B361" s="11"/>
      <c r="C361" s="11"/>
      <c r="D361" s="11"/>
      <c r="E361" s="11"/>
      <c r="F361" s="11"/>
      <c r="G361" s="11"/>
      <c r="H361" s="11"/>
      <c r="I361" s="11"/>
      <c r="J361" s="11"/>
      <c r="K361" s="11"/>
      <c r="L361" s="11"/>
      <c r="M361" s="11"/>
      <c r="N361" s="11"/>
      <c r="O361" s="11"/>
      <c r="P361" s="11"/>
      <c r="Q361" s="11"/>
      <c r="R361" s="11"/>
      <c r="S361" s="11"/>
      <c r="T361" s="11"/>
      <c r="U361" s="11"/>
      <c r="V361" s="11"/>
      <c r="W361" s="11"/>
      <c r="X361" s="11"/>
      <c r="Y361" s="11"/>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c r="BC361" s="11"/>
      <c r="BD361" s="11"/>
      <c r="BE361" s="11"/>
      <c r="BF361" s="11"/>
      <c r="BG361" s="11"/>
      <c r="BH361" s="11"/>
      <c r="BI361" s="11"/>
      <c r="BJ361" s="11"/>
      <c r="BK361" s="11"/>
      <c r="BL361" s="11"/>
      <c r="BM361" s="11"/>
      <c r="BN361" s="11"/>
      <c r="BO361" s="11"/>
    </row>
    <row r="362" spans="1:67" x14ac:dyDescent="0.25">
      <c r="A362" s="11"/>
      <c r="B362" s="11"/>
      <c r="C362" s="11"/>
      <c r="D362" s="11"/>
      <c r="E362" s="11"/>
      <c r="F362" s="11"/>
      <c r="G362" s="11"/>
      <c r="H362" s="11"/>
      <c r="I362" s="11"/>
      <c r="J362" s="11"/>
      <c r="K362" s="11"/>
      <c r="L362" s="11"/>
      <c r="M362" s="11"/>
      <c r="N362" s="11"/>
      <c r="O362" s="11"/>
      <c r="P362" s="11"/>
      <c r="Q362" s="11"/>
      <c r="R362" s="11"/>
      <c r="S362" s="11"/>
      <c r="T362" s="11"/>
      <c r="U362" s="11"/>
      <c r="V362" s="11"/>
      <c r="W362" s="11"/>
      <c r="X362" s="11"/>
      <c r="Y362" s="11"/>
      <c r="Z362" s="11"/>
      <c r="AA362" s="11"/>
      <c r="AB362" s="11"/>
      <c r="AC362" s="11"/>
      <c r="AD362" s="11"/>
      <c r="AE362" s="11"/>
      <c r="AF362" s="11"/>
      <c r="AG362" s="11"/>
      <c r="AH362" s="11"/>
      <c r="AI362" s="11"/>
      <c r="AJ362" s="11"/>
      <c r="AK362" s="11"/>
      <c r="AL362" s="11"/>
      <c r="AM362" s="11"/>
      <c r="AN362" s="11"/>
      <c r="AO362" s="11"/>
      <c r="AP362" s="11"/>
      <c r="AQ362" s="11"/>
      <c r="AR362" s="11"/>
      <c r="AS362" s="11"/>
      <c r="AT362" s="11"/>
      <c r="AU362" s="11"/>
      <c r="AV362" s="11"/>
      <c r="AW362" s="11"/>
      <c r="AX362" s="11"/>
      <c r="AY362" s="11"/>
      <c r="AZ362" s="11"/>
      <c r="BA362" s="11"/>
      <c r="BB362" s="11"/>
      <c r="BC362" s="11"/>
      <c r="BD362" s="11"/>
      <c r="BE362" s="11"/>
      <c r="BF362" s="11"/>
      <c r="BG362" s="359" t="s">
        <v>2185</v>
      </c>
      <c r="BH362" s="11"/>
      <c r="BI362" s="11"/>
      <c r="BJ362" s="11"/>
      <c r="BK362" s="11"/>
      <c r="BL362" s="11"/>
      <c r="BM362" s="11"/>
      <c r="BN362" s="11"/>
      <c r="BO362" s="11"/>
    </row>
    <row r="363" spans="1:67" x14ac:dyDescent="0.25">
      <c r="A363" s="11"/>
      <c r="B363" s="11"/>
      <c r="C363" s="11"/>
      <c r="D363" s="11"/>
      <c r="E363" s="11"/>
      <c r="F363" s="11"/>
      <c r="G363" s="11"/>
      <c r="H363" s="11"/>
      <c r="I363" s="11"/>
      <c r="J363" s="11"/>
      <c r="K363" s="11"/>
      <c r="L363" s="11"/>
      <c r="M363" s="11"/>
      <c r="N363" s="11"/>
      <c r="O363" s="11"/>
      <c r="P363" s="11"/>
      <c r="Q363" s="11"/>
      <c r="R363" s="11"/>
      <c r="S363" s="11"/>
      <c r="T363" s="11"/>
      <c r="U363" s="11"/>
      <c r="V363" s="11"/>
      <c r="W363" s="11"/>
      <c r="X363" s="11"/>
      <c r="Y363" s="11"/>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c r="BC363" s="11"/>
      <c r="BD363" s="11"/>
      <c r="BE363" s="11"/>
      <c r="BF363" s="11"/>
      <c r="BG363" s="11"/>
      <c r="BH363" s="11"/>
      <c r="BI363" s="1531">
        <v>2010</v>
      </c>
      <c r="BJ363" s="11"/>
      <c r="BK363" s="1531">
        <v>2011</v>
      </c>
      <c r="BL363" s="1531" t="s">
        <v>154</v>
      </c>
      <c r="BM363" s="1530"/>
      <c r="BN363" s="1531">
        <v>2012</v>
      </c>
      <c r="BO363" s="1531" t="s">
        <v>1374</v>
      </c>
    </row>
    <row r="364" spans="1:67" ht="15" customHeight="1" x14ac:dyDescent="0.25">
      <c r="A364" s="11"/>
      <c r="B364" s="11"/>
      <c r="C364" s="11"/>
      <c r="D364" s="11"/>
      <c r="E364" s="11"/>
      <c r="F364" s="11"/>
      <c r="G364" s="11"/>
      <c r="H364" s="11"/>
      <c r="I364" s="11"/>
      <c r="J364" s="11"/>
      <c r="K364" s="11"/>
      <c r="L364" s="11"/>
      <c r="M364" s="11"/>
      <c r="N364" s="11"/>
      <c r="O364" s="11"/>
      <c r="P364" s="11"/>
      <c r="Q364" s="11"/>
      <c r="R364" s="11"/>
      <c r="S364" s="11"/>
      <c r="T364" s="11"/>
      <c r="U364" s="11"/>
      <c r="V364" s="11"/>
      <c r="W364" s="11"/>
      <c r="X364" s="11"/>
      <c r="Y364" s="11"/>
      <c r="Z364" s="11"/>
      <c r="AA364" s="11"/>
      <c r="AB364" s="11"/>
      <c r="AC364" s="11"/>
      <c r="AD364" s="11"/>
      <c r="AE364" s="11"/>
      <c r="AF364" s="11"/>
      <c r="AG364" s="11"/>
      <c r="AH364" s="11"/>
      <c r="AI364" s="11"/>
      <c r="AJ364" s="11"/>
      <c r="AK364" s="11"/>
      <c r="AL364" s="11"/>
      <c r="AM364" s="11"/>
      <c r="AN364" s="11"/>
      <c r="AO364" s="11"/>
      <c r="AP364" s="11"/>
      <c r="AQ364" s="11"/>
      <c r="AR364" s="11"/>
      <c r="AS364" s="11"/>
      <c r="AT364" s="11"/>
      <c r="AU364" s="11"/>
      <c r="AV364" s="11"/>
      <c r="AW364" s="11"/>
      <c r="AX364" s="11"/>
      <c r="AY364" s="11"/>
      <c r="AZ364" s="11"/>
      <c r="BA364" s="11"/>
      <c r="BB364" s="11"/>
      <c r="BC364" s="11"/>
      <c r="BD364" s="11"/>
      <c r="BE364" s="11"/>
      <c r="BF364" s="11"/>
      <c r="BG364" s="1403" t="s">
        <v>2183</v>
      </c>
      <c r="BH364" s="11"/>
      <c r="BI364" s="11">
        <f>BI321</f>
        <v>2430.0009999999997</v>
      </c>
      <c r="BJ364" s="11"/>
      <c r="BK364" s="11">
        <f>BI321*(1+BL321-0.03)</f>
        <v>2460.2747849199995</v>
      </c>
      <c r="BL364" s="280">
        <f>BK364/BI364-1</f>
        <v>1.2458342576813664E-2</v>
      </c>
      <c r="BM364" s="11"/>
      <c r="BN364" s="11">
        <f>BK365*(1+BO321-0.03)</f>
        <v>2461.9428007034994</v>
      </c>
      <c r="BO364" s="646">
        <f>BN364/BK365-1</f>
        <v>-4.167574934056073E-2</v>
      </c>
    </row>
    <row r="365" spans="1:67" ht="27" customHeight="1" x14ac:dyDescent="0.25">
      <c r="A365" s="11"/>
      <c r="B365" s="11"/>
      <c r="C365" s="11"/>
      <c r="D365" s="11"/>
      <c r="E365" s="11"/>
      <c r="F365" s="11"/>
      <c r="G365" s="11"/>
      <c r="H365" s="11"/>
      <c r="I365" s="11"/>
      <c r="J365" s="11"/>
      <c r="K365" s="11"/>
      <c r="L365" s="11"/>
      <c r="M365" s="11"/>
      <c r="N365" s="11"/>
      <c r="O365" s="11"/>
      <c r="P365" s="11"/>
      <c r="Q365" s="11"/>
      <c r="R365" s="11"/>
      <c r="S365" s="11"/>
      <c r="T365" s="11"/>
      <c r="U365" s="11"/>
      <c r="V365" s="11"/>
      <c r="W365" s="11"/>
      <c r="X365" s="11"/>
      <c r="Y365" s="11"/>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c r="BC365" s="11"/>
      <c r="BD365" s="11"/>
      <c r="BE365" s="11"/>
      <c r="BF365" s="11"/>
      <c r="BG365" s="1403"/>
      <c r="BH365" s="11"/>
      <c r="BI365" s="11"/>
      <c r="BJ365" s="11"/>
      <c r="BK365" s="11">
        <f>$BK$322*(1-0.03)</f>
        <v>2569.0081399999995</v>
      </c>
      <c r="BL365" s="11"/>
      <c r="BM365" s="11"/>
      <c r="BN365" s="11">
        <f>BK365*(1+BO321-0.03)</f>
        <v>2461.9428007034994</v>
      </c>
      <c r="BO365" s="11"/>
    </row>
    <row r="366" spans="1:67" x14ac:dyDescent="0.25">
      <c r="A366" s="11"/>
      <c r="B366" s="11"/>
      <c r="C366" s="11"/>
      <c r="D366" s="11"/>
      <c r="E366" s="11"/>
      <c r="F366" s="11"/>
      <c r="G366" s="11"/>
      <c r="H366" s="11"/>
      <c r="I366" s="11"/>
      <c r="J366" s="11"/>
      <c r="K366" s="11"/>
      <c r="L366" s="11"/>
      <c r="M366" s="11"/>
      <c r="N366" s="11"/>
      <c r="O366" s="11"/>
      <c r="P366" s="11"/>
      <c r="Q366" s="11"/>
      <c r="R366" s="11"/>
      <c r="S366" s="11"/>
      <c r="T366" s="11"/>
      <c r="U366" s="11"/>
      <c r="V366" s="11"/>
      <c r="W366" s="11"/>
      <c r="X366" s="11"/>
      <c r="Y366" s="11"/>
      <c r="Z366" s="11"/>
      <c r="AA366" s="11"/>
      <c r="AB366" s="11"/>
      <c r="AC366" s="11"/>
      <c r="AD366" s="11"/>
      <c r="AE366" s="11"/>
      <c r="AF366" s="11"/>
      <c r="AG366" s="11"/>
      <c r="AH366" s="11"/>
      <c r="AI366" s="11"/>
      <c r="AJ366" s="11"/>
      <c r="AK366" s="11"/>
      <c r="AL366" s="11"/>
      <c r="AM366" s="11"/>
      <c r="AN366" s="11"/>
      <c r="AO366" s="11"/>
      <c r="AP366" s="11"/>
      <c r="AQ366" s="11"/>
      <c r="AR366" s="11"/>
      <c r="AS366" s="11"/>
      <c r="AT366" s="11"/>
      <c r="AU366" s="11"/>
      <c r="AV366" s="11"/>
      <c r="AW366" s="11"/>
      <c r="AX366" s="11"/>
      <c r="AY366" s="11"/>
      <c r="AZ366" s="11"/>
      <c r="BA366" s="11"/>
      <c r="BB366" s="11"/>
      <c r="BC366" s="11"/>
      <c r="BD366" s="11"/>
      <c r="BE366" s="11"/>
      <c r="BF366" s="11"/>
      <c r="BG366" s="1403"/>
      <c r="BH366" s="11"/>
      <c r="BI366" s="11"/>
      <c r="BJ366" s="11"/>
      <c r="BK366" s="11"/>
      <c r="BL366" s="11"/>
      <c r="BM366" s="11"/>
      <c r="BN366" s="11"/>
      <c r="BO366" s="11"/>
    </row>
    <row r="367" spans="1:67" x14ac:dyDescent="0.25">
      <c r="A367" s="11"/>
      <c r="B367" s="11"/>
      <c r="C367" s="11"/>
      <c r="D367" s="11"/>
      <c r="E367" s="11"/>
      <c r="F367" s="11"/>
      <c r="G367" s="11"/>
      <c r="H367" s="11"/>
      <c r="I367" s="11"/>
      <c r="J367" s="11"/>
      <c r="K367" s="11"/>
      <c r="L367" s="11"/>
      <c r="M367" s="11"/>
      <c r="N367" s="11"/>
      <c r="O367" s="11"/>
      <c r="P367" s="11"/>
      <c r="Q367" s="11"/>
      <c r="R367" s="11"/>
      <c r="S367" s="11"/>
      <c r="T367" s="11"/>
      <c r="U367" s="11"/>
      <c r="V367" s="11"/>
      <c r="W367" s="11"/>
      <c r="X367" s="11"/>
      <c r="Y367" s="11"/>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c r="BC367" s="11"/>
      <c r="BD367" s="11"/>
      <c r="BE367" s="11"/>
      <c r="BF367" s="11"/>
      <c r="BG367" s="1403"/>
      <c r="BH367" s="11"/>
      <c r="BI367" s="11"/>
      <c r="BJ367" s="11"/>
      <c r="BK367" s="11"/>
      <c r="BL367" s="11"/>
      <c r="BM367" s="11"/>
      <c r="BN367" s="11"/>
      <c r="BO367" s="11"/>
    </row>
    <row r="368" spans="1:67" ht="15" customHeight="1" x14ac:dyDescent="0.25">
      <c r="A368" s="11"/>
      <c r="B368" s="11"/>
      <c r="C368" s="11"/>
      <c r="D368" s="11"/>
      <c r="E368" s="11"/>
      <c r="F368" s="11"/>
      <c r="G368" s="11"/>
      <c r="H368" s="11"/>
      <c r="I368" s="11"/>
      <c r="J368" s="11"/>
      <c r="K368" s="11"/>
      <c r="L368" s="11"/>
      <c r="M368" s="11"/>
      <c r="N368" s="11"/>
      <c r="O368" s="11"/>
      <c r="P368" s="11"/>
      <c r="Q368" s="11"/>
      <c r="R368" s="11"/>
      <c r="S368" s="11"/>
      <c r="T368" s="11"/>
      <c r="U368" s="11"/>
      <c r="V368" s="11"/>
      <c r="W368" s="11"/>
      <c r="X368" s="11"/>
      <c r="Y368" s="11"/>
      <c r="Z368" s="11"/>
      <c r="AA368" s="11"/>
      <c r="AB368" s="11"/>
      <c r="AC368" s="11"/>
      <c r="AD368" s="11"/>
      <c r="AE368" s="11"/>
      <c r="AF368" s="11"/>
      <c r="AG368" s="11"/>
      <c r="AH368" s="11"/>
      <c r="AI368" s="11"/>
      <c r="AJ368" s="11"/>
      <c r="AK368" s="11"/>
      <c r="AL368" s="11"/>
      <c r="AM368" s="11"/>
      <c r="AN368" s="11"/>
      <c r="AO368" s="11"/>
      <c r="AP368" s="11"/>
      <c r="AQ368" s="11"/>
      <c r="AR368" s="11"/>
      <c r="AS368" s="11"/>
      <c r="AT368" s="11"/>
      <c r="AU368" s="11"/>
      <c r="AV368" s="11"/>
      <c r="AW368" s="11"/>
      <c r="AX368" s="11"/>
      <c r="AY368" s="11"/>
      <c r="AZ368" s="11"/>
      <c r="BA368" s="11"/>
      <c r="BB368" s="11"/>
      <c r="BC368" s="11"/>
      <c r="BD368" s="11"/>
      <c r="BE368" s="11"/>
      <c r="BF368" s="11"/>
      <c r="BG368" s="1533" t="s">
        <v>2181</v>
      </c>
      <c r="BH368" s="385"/>
      <c r="BI368" s="385"/>
      <c r="BJ368" s="385"/>
      <c r="BK368" s="1534">
        <f>$BK$324-0.03</f>
        <v>-3.1068811042278849E-2</v>
      </c>
      <c r="BL368" s="1534">
        <f>BK368</f>
        <v>-3.1068811042278849E-2</v>
      </c>
      <c r="BM368" s="385"/>
      <c r="BN368" s="1534">
        <f>$BN$324-0.03</f>
        <v>-4.1675749340560592E-2</v>
      </c>
      <c r="BO368" s="1535">
        <f>BN368</f>
        <v>-4.1675749340560592E-2</v>
      </c>
    </row>
    <row r="369" spans="1:67" x14ac:dyDescent="0.25">
      <c r="A369" s="11"/>
      <c r="B369" s="11"/>
      <c r="C369" s="11"/>
      <c r="D369" s="11"/>
      <c r="E369" s="11"/>
      <c r="F369" s="11"/>
      <c r="G369" s="11"/>
      <c r="H369" s="11"/>
      <c r="I369" s="11"/>
      <c r="J369" s="11"/>
      <c r="K369" s="11"/>
      <c r="L369" s="11"/>
      <c r="M369" s="11"/>
      <c r="N369" s="11"/>
      <c r="O369" s="11"/>
      <c r="P369" s="11"/>
      <c r="Q369" s="11"/>
      <c r="R369" s="11"/>
      <c r="S369" s="11"/>
      <c r="T369" s="11"/>
      <c r="U369" s="11"/>
      <c r="V369" s="11"/>
      <c r="W369" s="11"/>
      <c r="X369" s="11"/>
      <c r="Y369" s="11"/>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c r="BC369" s="11"/>
      <c r="BD369" s="11"/>
      <c r="BE369" s="11"/>
      <c r="BF369" s="11"/>
      <c r="BG369" s="11"/>
      <c r="BH369" s="11"/>
      <c r="BI369" s="11"/>
      <c r="BJ369" s="11"/>
      <c r="BK369" s="11"/>
      <c r="BL369" s="11"/>
      <c r="BM369" s="11"/>
      <c r="BN369" s="11"/>
      <c r="BO369" s="11"/>
    </row>
    <row r="370" spans="1:67" ht="15" customHeight="1" x14ac:dyDescent="0.25">
      <c r="A370" s="11"/>
      <c r="B370" s="11"/>
      <c r="C370" s="11"/>
      <c r="D370" s="11"/>
      <c r="E370" s="11"/>
      <c r="F370" s="11"/>
      <c r="G370" s="11"/>
      <c r="H370" s="11"/>
      <c r="I370" s="11"/>
      <c r="J370" s="11"/>
      <c r="K370" s="11"/>
      <c r="L370" s="11"/>
      <c r="M370" s="11"/>
      <c r="N370" s="11"/>
      <c r="O370" s="11"/>
      <c r="P370" s="11"/>
      <c r="Q370" s="11"/>
      <c r="R370" s="11"/>
      <c r="S370" s="11"/>
      <c r="T370" s="11"/>
      <c r="U370" s="11"/>
      <c r="V370" s="11"/>
      <c r="W370" s="11"/>
      <c r="X370" s="11"/>
      <c r="Y370" s="11"/>
      <c r="Z370" s="11"/>
      <c r="AA370" s="11"/>
      <c r="AB370" s="11"/>
      <c r="AC370" s="11"/>
      <c r="AD370" s="11"/>
      <c r="AE370" s="11"/>
      <c r="AF370" s="11"/>
      <c r="AG370" s="11"/>
      <c r="AH370" s="11"/>
      <c r="AI370" s="11"/>
      <c r="AJ370" s="11"/>
      <c r="AK370" s="11"/>
      <c r="AL370" s="11"/>
      <c r="AM370" s="11"/>
      <c r="AN370" s="11"/>
      <c r="AO370" s="11"/>
      <c r="AP370" s="11"/>
      <c r="AQ370" s="11"/>
      <c r="AR370" s="11"/>
      <c r="AS370" s="11"/>
      <c r="AT370" s="11"/>
      <c r="AU370" s="11"/>
      <c r="AV370" s="11"/>
      <c r="AW370" s="11"/>
      <c r="AX370" s="11"/>
      <c r="AY370" s="11"/>
      <c r="AZ370" s="11"/>
      <c r="BA370" s="11"/>
      <c r="BB370" s="11"/>
      <c r="BC370" s="11"/>
      <c r="BD370" s="11"/>
      <c r="BE370" s="11"/>
      <c r="BF370" s="11"/>
      <c r="BG370" s="1533" t="s">
        <v>2182</v>
      </c>
      <c r="BH370" s="385"/>
      <c r="BI370" s="385"/>
      <c r="BJ370" s="385"/>
      <c r="BK370" s="1534">
        <f>$AE$145-0.03</f>
        <v>-2.8823302097604947E-2</v>
      </c>
      <c r="BL370" s="1534">
        <f>BK370</f>
        <v>-2.8823302097604947E-2</v>
      </c>
      <c r="BM370" s="385"/>
      <c r="BN370" s="1534">
        <f>$BN$326-0.03</f>
        <v>1.0460837961697084E-2</v>
      </c>
      <c r="BO370" s="1535">
        <f>BN370</f>
        <v>1.0460837961697084E-2</v>
      </c>
    </row>
    <row r="371" spans="1:67" ht="3.95" customHeight="1" x14ac:dyDescent="0.25"/>
  </sheetData>
  <mergeCells count="3">
    <mergeCell ref="BG339:BO339"/>
    <mergeCell ref="BG341:BO341"/>
    <mergeCell ref="BG343:BO343"/>
  </mergeCells>
  <phoneticPr fontId="13" type="noConversion"/>
  <pageMargins left="0.75" right="0.75" top="1" bottom="1" header="0.5" footer="0.5"/>
  <pageSetup orientation="portrait" horizontalDpi="1200" verticalDpi="12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H67"/>
  <sheetViews>
    <sheetView zoomScale="85" workbookViewId="0">
      <selection activeCell="H12" sqref="H12"/>
    </sheetView>
  </sheetViews>
  <sheetFormatPr defaultRowHeight="15.75" x14ac:dyDescent="0.25"/>
  <cols>
    <col min="1" max="1" width="26.25" bestFit="1" customWidth="1"/>
  </cols>
  <sheetData>
    <row r="1" spans="1:34" x14ac:dyDescent="0.25">
      <c r="A1" s="10" t="s">
        <v>1800</v>
      </c>
      <c r="B1" s="11"/>
      <c r="C1" s="11"/>
      <c r="D1" s="11"/>
      <c r="E1" s="11"/>
      <c r="F1" s="419"/>
      <c r="G1" s="11"/>
      <c r="H1" s="11"/>
      <c r="I1" s="11"/>
      <c r="J1" s="11"/>
      <c r="K1" s="419"/>
      <c r="L1" s="11"/>
      <c r="M1" s="11"/>
      <c r="N1" s="11"/>
      <c r="O1" s="11"/>
      <c r="P1" s="419"/>
      <c r="Q1" s="11"/>
      <c r="R1" s="11"/>
      <c r="S1" s="11"/>
      <c r="T1" s="11"/>
      <c r="U1" s="419"/>
      <c r="V1" s="11"/>
      <c r="W1" s="11"/>
      <c r="X1" s="11"/>
      <c r="Y1" s="11"/>
      <c r="Z1" s="419"/>
      <c r="AA1" s="11"/>
      <c r="AB1" s="11"/>
      <c r="AC1" s="11"/>
      <c r="AD1" s="11"/>
      <c r="AE1" s="419"/>
      <c r="AF1" s="11"/>
      <c r="AG1" s="11"/>
      <c r="AH1" s="11"/>
    </row>
    <row r="2" spans="1:34" x14ac:dyDescent="0.25">
      <c r="A2" s="897" t="s">
        <v>1802</v>
      </c>
      <c r="B2" s="11"/>
      <c r="C2" s="11"/>
      <c r="D2" s="11"/>
      <c r="E2" s="11"/>
      <c r="F2" s="419"/>
      <c r="G2" s="11"/>
      <c r="H2" s="11"/>
      <c r="I2" s="11"/>
      <c r="J2" s="11"/>
      <c r="K2" s="419"/>
      <c r="L2" s="11"/>
      <c r="M2" s="11"/>
      <c r="N2" s="11"/>
      <c r="O2" s="11"/>
      <c r="P2" s="419"/>
      <c r="Q2" s="11"/>
      <c r="R2" s="11"/>
      <c r="S2" s="11"/>
      <c r="T2" s="11"/>
      <c r="U2" s="419"/>
      <c r="V2" s="11"/>
      <c r="W2" s="11"/>
      <c r="X2" s="11"/>
      <c r="Y2" s="11"/>
      <c r="Z2" s="419"/>
      <c r="AA2" s="11"/>
      <c r="AB2" s="11"/>
      <c r="AC2" s="11"/>
      <c r="AD2" s="11"/>
      <c r="AE2" s="419"/>
      <c r="AF2" s="11"/>
      <c r="AG2" s="11"/>
      <c r="AH2" s="11"/>
    </row>
    <row r="3" spans="1:34" x14ac:dyDescent="0.25">
      <c r="A3" s="897" t="s">
        <v>1803</v>
      </c>
      <c r="B3" s="11"/>
      <c r="C3" s="11"/>
      <c r="D3" s="11"/>
      <c r="E3" s="11"/>
      <c r="F3" s="419"/>
      <c r="G3" s="11"/>
      <c r="H3" s="11"/>
      <c r="I3" s="11"/>
      <c r="J3" s="11"/>
      <c r="K3" s="419"/>
      <c r="L3" s="11"/>
      <c r="M3" s="11"/>
      <c r="N3" s="11"/>
      <c r="O3" s="11"/>
      <c r="P3" s="419"/>
      <c r="Q3" s="11"/>
      <c r="R3" s="11"/>
      <c r="S3" s="11"/>
      <c r="T3" s="11"/>
      <c r="U3" s="419"/>
      <c r="V3" s="11"/>
      <c r="W3" s="11"/>
      <c r="X3" s="11"/>
      <c r="Y3" s="11"/>
      <c r="Z3" s="419"/>
      <c r="AA3" s="11"/>
      <c r="AB3" s="11"/>
      <c r="AC3" s="11"/>
      <c r="AD3" s="11"/>
      <c r="AE3" s="419"/>
      <c r="AF3" s="11"/>
      <c r="AG3" s="11"/>
      <c r="AH3" s="11"/>
    </row>
    <row r="4" spans="1:34" x14ac:dyDescent="0.25">
      <c r="A4" s="11"/>
      <c r="B4" s="11"/>
      <c r="C4" s="11"/>
      <c r="D4" s="11"/>
      <c r="E4" s="11"/>
      <c r="F4" s="419"/>
      <c r="G4" s="11"/>
      <c r="H4" s="11"/>
      <c r="I4" s="11"/>
      <c r="J4" s="11"/>
      <c r="K4" s="419"/>
      <c r="L4" s="11"/>
      <c r="M4" s="11"/>
      <c r="N4" s="11"/>
      <c r="O4" s="11"/>
      <c r="P4" s="419"/>
      <c r="Q4" s="11"/>
      <c r="R4" s="11"/>
      <c r="S4" s="11"/>
      <c r="T4" s="11"/>
      <c r="U4" s="419"/>
      <c r="V4" s="11"/>
      <c r="W4" s="11"/>
      <c r="X4" s="11"/>
      <c r="Y4" s="11"/>
      <c r="Z4" s="419"/>
      <c r="AA4" s="11"/>
      <c r="AB4" s="11"/>
      <c r="AC4" s="11"/>
      <c r="AD4" s="11"/>
      <c r="AE4" s="419"/>
      <c r="AF4" s="11"/>
      <c r="AG4" s="11"/>
      <c r="AH4" s="11"/>
    </row>
    <row r="5" spans="1:34" x14ac:dyDescent="0.25">
      <c r="A5" s="294"/>
      <c r="B5" s="1061" t="str">
        <f>PENN!C324</f>
        <v>1Q04</v>
      </c>
      <c r="C5" s="997" t="str">
        <f>PENN!D324</f>
        <v>2Q04</v>
      </c>
      <c r="D5" s="997" t="str">
        <f>PENN!E324</f>
        <v>3Q04</v>
      </c>
      <c r="E5" s="997" t="str">
        <f>PENN!F324</f>
        <v>4Q04</v>
      </c>
      <c r="F5" s="998">
        <f>PENN!G324</f>
        <v>2004</v>
      </c>
      <c r="G5" s="997" t="str">
        <f>PENN!H324</f>
        <v>1Q05</v>
      </c>
      <c r="H5" s="997" t="str">
        <f>PENN!I324</f>
        <v>2Q05</v>
      </c>
      <c r="I5" s="997" t="str">
        <f>PENN!J324</f>
        <v>3Q05</v>
      </c>
      <c r="J5" s="997" t="str">
        <f>PENN!K324</f>
        <v>4Q05</v>
      </c>
      <c r="K5" s="998">
        <f>PENN!L324</f>
        <v>2005</v>
      </c>
      <c r="L5" s="997" t="str">
        <f>PENN!M324</f>
        <v>1Q06</v>
      </c>
      <c r="M5" s="997" t="str">
        <f>PENN!N324</f>
        <v>2Q06</v>
      </c>
      <c r="N5" s="997" t="str">
        <f>PENN!O324</f>
        <v>3Q06</v>
      </c>
      <c r="O5" s="997" t="str">
        <f>PENN!P324</f>
        <v>4Q06</v>
      </c>
      <c r="P5" s="998">
        <f>PENN!Q324</f>
        <v>2006</v>
      </c>
      <c r="Q5" s="997" t="str">
        <f>PENN!R324</f>
        <v>1Q07</v>
      </c>
      <c r="R5" s="997" t="str">
        <f>PENN!S324</f>
        <v>2Q07</v>
      </c>
      <c r="S5" s="997" t="str">
        <f>PENN!T324</f>
        <v>3Q07</v>
      </c>
      <c r="T5" s="997" t="str">
        <f>PENN!U324</f>
        <v>4Q07</v>
      </c>
      <c r="U5" s="998">
        <f>PENN!V324</f>
        <v>2007</v>
      </c>
      <c r="V5" s="997" t="str">
        <f>PENN!W324</f>
        <v>1Q08</v>
      </c>
      <c r="W5" s="997" t="str">
        <f>PENN!X324</f>
        <v>2Q08</v>
      </c>
      <c r="X5" s="997" t="str">
        <f>PENN!Y324</f>
        <v>3Q08</v>
      </c>
      <c r="Y5" s="997" t="str">
        <f>PENN!Z324</f>
        <v>4Q08</v>
      </c>
      <c r="Z5" s="998">
        <f>PENN!AA324</f>
        <v>2008</v>
      </c>
      <c r="AA5" s="997" t="str">
        <f>PENN!AB324</f>
        <v>1Q09</v>
      </c>
      <c r="AB5" s="997" t="str">
        <f>PENN!AC324</f>
        <v>2Q09</v>
      </c>
      <c r="AC5" s="997" t="str">
        <f>PENN!AD324</f>
        <v>3Q09</v>
      </c>
      <c r="AD5" s="997" t="str">
        <f>PENN!AE324</f>
        <v>4Q09</v>
      </c>
      <c r="AE5" s="998">
        <f>PENN!AF324</f>
        <v>2009</v>
      </c>
      <c r="AF5" s="997" t="str">
        <f>PENN!AG324</f>
        <v>1Q10</v>
      </c>
      <c r="AG5" s="997" t="str">
        <f>PENN!AH324</f>
        <v>2Q10</v>
      </c>
      <c r="AH5" s="1062" t="str">
        <f>PENN!AI324</f>
        <v>3Q10</v>
      </c>
    </row>
    <row r="6" spans="1:34" x14ac:dyDescent="0.25">
      <c r="A6" s="785" t="s">
        <v>1092</v>
      </c>
      <c r="B6" s="283"/>
      <c r="C6" s="283"/>
      <c r="D6" s="283"/>
      <c r="E6" s="283"/>
      <c r="F6" s="341"/>
      <c r="G6" s="283"/>
      <c r="H6" s="283"/>
      <c r="I6" s="283"/>
      <c r="J6" s="283"/>
      <c r="K6" s="341"/>
      <c r="L6" s="283"/>
      <c r="M6" s="283"/>
      <c r="N6" s="283"/>
      <c r="O6" s="283"/>
      <c r="P6" s="341"/>
      <c r="Q6" s="283"/>
      <c r="R6" s="283"/>
      <c r="S6" s="283"/>
      <c r="T6" s="283"/>
      <c r="U6" s="341"/>
      <c r="V6" s="283"/>
      <c r="W6" s="283"/>
      <c r="X6" s="283"/>
      <c r="Y6" s="283"/>
      <c r="Z6" s="341"/>
      <c r="AA6" s="283"/>
      <c r="AB6" s="283"/>
      <c r="AC6" s="283"/>
      <c r="AD6" s="283"/>
      <c r="AE6" s="341"/>
      <c r="AF6" s="283"/>
      <c r="AG6" s="283"/>
      <c r="AH6" s="283"/>
    </row>
    <row r="7" spans="1:34" x14ac:dyDescent="0.25">
      <c r="A7" s="281"/>
      <c r="B7" s="281"/>
      <c r="C7" s="281"/>
      <c r="D7" s="281"/>
      <c r="E7" s="281"/>
      <c r="F7" s="419"/>
      <c r="G7" s="281"/>
      <c r="H7" s="281"/>
      <c r="I7" s="281"/>
      <c r="J7" s="281"/>
      <c r="K7" s="419"/>
      <c r="L7" s="281"/>
      <c r="M7" s="281"/>
      <c r="N7" s="281"/>
      <c r="O7" s="281"/>
      <c r="P7" s="419"/>
      <c r="Q7" s="281"/>
      <c r="R7" s="281"/>
      <c r="S7" s="281"/>
      <c r="T7" s="281"/>
      <c r="U7" s="419"/>
      <c r="V7" s="281"/>
      <c r="W7" s="281"/>
      <c r="X7" s="281"/>
      <c r="Y7" s="281"/>
      <c r="Z7" s="419"/>
      <c r="AA7" s="281"/>
      <c r="AB7" s="281"/>
      <c r="AC7" s="281"/>
      <c r="AD7" s="281"/>
      <c r="AE7" s="419"/>
      <c r="AF7" s="281"/>
      <c r="AG7" s="281"/>
      <c r="AH7" s="281"/>
    </row>
    <row r="8" spans="1:34" x14ac:dyDescent="0.25">
      <c r="A8" s="281" t="s">
        <v>1362</v>
      </c>
      <c r="B8" s="1068">
        <f>PENN!C886</f>
        <v>112.002</v>
      </c>
      <c r="C8" s="1068">
        <f>PENN!D886</f>
        <v>107.67100000000001</v>
      </c>
      <c r="D8" s="1068">
        <f>PENN!E886</f>
        <v>115.358</v>
      </c>
      <c r="E8" s="1068">
        <f>PENN!F886</f>
        <v>104.346</v>
      </c>
      <c r="F8" s="1063">
        <f>PENN!G886</f>
        <v>439.37700000000001</v>
      </c>
      <c r="G8" s="1068">
        <f>PENN!H886</f>
        <v>112.69499999999999</v>
      </c>
      <c r="H8" s="1068">
        <f>PENN!I886</f>
        <v>112</v>
      </c>
      <c r="I8" s="1068">
        <f>PENN!J886</f>
        <v>114.90779900000001</v>
      </c>
      <c r="J8" s="1068">
        <f>PENN!K886</f>
        <v>107.45116099999998</v>
      </c>
      <c r="K8" s="1063">
        <f>PENN!L886</f>
        <v>447.05395999999996</v>
      </c>
      <c r="L8" s="1068">
        <f>PENN!M886</f>
        <v>121.06725299999999</v>
      </c>
      <c r="M8" s="1068">
        <f>PENN!N886</f>
        <v>116.8</v>
      </c>
      <c r="N8" s="1068">
        <f>PENN!O886</f>
        <v>120.431673</v>
      </c>
      <c r="O8" s="1068">
        <f>PENN!P886</f>
        <v>118.58144300000001</v>
      </c>
      <c r="P8" s="1063">
        <f>PENN!Q886</f>
        <v>476.88036899999997</v>
      </c>
      <c r="Q8" s="1068">
        <f>PENN!R886</f>
        <v>120.82797099999999</v>
      </c>
      <c r="R8" s="1068">
        <f>PENN!S886</f>
        <v>120.63761700000001</v>
      </c>
      <c r="S8" s="1068">
        <f>PENN!T886</f>
        <v>121.485567</v>
      </c>
      <c r="T8" s="1068">
        <f>PENN!U886</f>
        <v>113.101962</v>
      </c>
      <c r="U8" s="1063">
        <f>PENN!V886</f>
        <v>476.05311699999999</v>
      </c>
      <c r="V8" s="1068">
        <f>PENN!W886</f>
        <v>118.286592</v>
      </c>
      <c r="W8" s="1068">
        <f>PENN!X886</f>
        <v>112.116587</v>
      </c>
      <c r="X8" s="1068">
        <f>PENN!Y886</f>
        <v>105.83780099999998</v>
      </c>
      <c r="Y8" s="1068">
        <f>PENN!Z886</f>
        <v>99.926992299999995</v>
      </c>
      <c r="Z8" s="1063">
        <f>PENN!AA886</f>
        <v>436.16797229999997</v>
      </c>
      <c r="AA8" s="1068">
        <f>PENN!AB886</f>
        <v>102.7</v>
      </c>
      <c r="AB8" s="1068">
        <f>PENN!AC886</f>
        <v>96.5</v>
      </c>
      <c r="AC8" s="1068">
        <f>PENN!AD886</f>
        <v>118.7</v>
      </c>
      <c r="AD8" s="1068">
        <f>PENN!AE886</f>
        <v>108.2</v>
      </c>
      <c r="AE8" s="1063">
        <f>PENN!AF886</f>
        <v>426.09999999999997</v>
      </c>
      <c r="AF8" s="1068">
        <f>PENN!AG886</f>
        <v>112.9</v>
      </c>
      <c r="AG8" s="1068">
        <f>PENN!AH886</f>
        <v>110.8</v>
      </c>
      <c r="AH8" s="1068">
        <f>PENN!AI886</f>
        <v>110.685869</v>
      </c>
    </row>
    <row r="9" spans="1:34" x14ac:dyDescent="0.25">
      <c r="A9" s="281" t="s">
        <v>1057</v>
      </c>
      <c r="B9" s="281">
        <f>PENN!C883</f>
        <v>964.19899999999996</v>
      </c>
      <c r="C9" s="281">
        <f>PENN!D883</f>
        <v>939.34299999999996</v>
      </c>
      <c r="D9" s="281">
        <f>PENN!E883</f>
        <v>1006.177</v>
      </c>
      <c r="E9" s="281">
        <f>PENN!F883</f>
        <v>882.03499999999997</v>
      </c>
      <c r="F9" s="419">
        <f>PENN!G883</f>
        <v>3791.7539999999999</v>
      </c>
      <c r="G9" s="281">
        <f>PENN!H883</f>
        <v>952.577</v>
      </c>
      <c r="H9" s="281">
        <f>PENN!I883</f>
        <v>952.96699999999998</v>
      </c>
      <c r="I9" s="281">
        <f>PENN!J883</f>
        <v>988.50599999999997</v>
      </c>
      <c r="J9" s="281">
        <f>PENN!K883</f>
        <v>883.84</v>
      </c>
      <c r="K9" s="419">
        <f>PENN!L883</f>
        <v>3777.89</v>
      </c>
      <c r="L9" s="281">
        <f>PENN!M883</f>
        <v>1016.69</v>
      </c>
      <c r="M9" s="281">
        <f>PENN!N883</f>
        <v>989.5</v>
      </c>
      <c r="N9" s="281">
        <f>PENN!O883</f>
        <v>1031.655</v>
      </c>
      <c r="O9" s="281">
        <f>PENN!P883</f>
        <v>960.21799999999996</v>
      </c>
      <c r="P9" s="419">
        <f>PENN!Q883</f>
        <v>3998.0630000000001</v>
      </c>
      <c r="Q9" s="281">
        <f>PENN!R883</f>
        <v>957.23800000000006</v>
      </c>
      <c r="R9" s="281">
        <f>PENN!S883</f>
        <v>954.48800000000006</v>
      </c>
      <c r="S9" s="281">
        <f>PENN!T883</f>
        <v>986.22199999999998</v>
      </c>
      <c r="T9" s="281">
        <f>PENN!U883</f>
        <v>868.35599999999999</v>
      </c>
      <c r="U9" s="419">
        <f>PENN!V883</f>
        <v>3766.3040000000001</v>
      </c>
      <c r="V9" s="281">
        <f>PENN!W883</f>
        <v>903.64599999999996</v>
      </c>
      <c r="W9" s="281">
        <f>PENN!X883</f>
        <v>912.82299999999998</v>
      </c>
      <c r="X9" s="281">
        <f>PENN!Y883</f>
        <v>891.79700000000003</v>
      </c>
      <c r="Y9" s="281">
        <f>PENN!Z883</f>
        <v>827.58100000000002</v>
      </c>
      <c r="Z9" s="419">
        <f>PENN!AA883</f>
        <v>3535.8470000000002</v>
      </c>
      <c r="AA9" s="281">
        <f>PENN!AB883</f>
        <v>865.5</v>
      </c>
      <c r="AB9" s="281">
        <f>PENN!AC883</f>
        <v>857.7</v>
      </c>
      <c r="AC9" s="281">
        <f>PENN!AD883</f>
        <v>1160.4000000000001</v>
      </c>
      <c r="AD9" s="281">
        <f>PENN!AE883</f>
        <v>964.7</v>
      </c>
      <c r="AE9" s="419">
        <f>PENN!AF883</f>
        <v>3848.3</v>
      </c>
      <c r="AF9" s="281">
        <f>PENN!AG883</f>
        <v>997.91</v>
      </c>
      <c r="AG9" s="281">
        <f>PENN!AH883</f>
        <v>972.60699999999997</v>
      </c>
      <c r="AH9" s="281">
        <f>PENN!AI883</f>
        <v>1018.174</v>
      </c>
    </row>
    <row r="10" spans="1:34" x14ac:dyDescent="0.25">
      <c r="A10" s="281" t="s">
        <v>1801</v>
      </c>
      <c r="B10" s="1068">
        <f>B8/B9*1000</f>
        <v>116.16066807785531</v>
      </c>
      <c r="C10" s="1068">
        <f t="shared" ref="C10:AH10" si="0">C8/C9*1000</f>
        <v>114.62373169332184</v>
      </c>
      <c r="D10" s="1068">
        <f t="shared" si="0"/>
        <v>114.64980813514919</v>
      </c>
      <c r="E10" s="1068">
        <f t="shared" si="0"/>
        <v>118.30142794787056</v>
      </c>
      <c r="F10" s="1063">
        <f t="shared" si="0"/>
        <v>115.87697936100285</v>
      </c>
      <c r="G10" s="1068">
        <f t="shared" si="0"/>
        <v>118.3053968340617</v>
      </c>
      <c r="H10" s="1068">
        <f t="shared" si="0"/>
        <v>117.52767934251658</v>
      </c>
      <c r="I10" s="1068">
        <f t="shared" si="0"/>
        <v>116.24390646086115</v>
      </c>
      <c r="J10" s="1068">
        <f t="shared" si="0"/>
        <v>121.5730912834902</v>
      </c>
      <c r="K10" s="1063">
        <f t="shared" si="0"/>
        <v>118.33429771645018</v>
      </c>
      <c r="L10" s="1068">
        <f t="shared" si="0"/>
        <v>119.07981095515839</v>
      </c>
      <c r="M10" s="1068">
        <f t="shared" si="0"/>
        <v>118.03941384537644</v>
      </c>
      <c r="N10" s="1068">
        <f t="shared" si="0"/>
        <v>116.73638280239034</v>
      </c>
      <c r="O10" s="1068">
        <f t="shared" si="0"/>
        <v>123.49429296263975</v>
      </c>
      <c r="P10" s="1063">
        <f t="shared" si="0"/>
        <v>119.27785255009738</v>
      </c>
      <c r="Q10" s="1068">
        <f t="shared" si="0"/>
        <v>126.22563145215712</v>
      </c>
      <c r="R10" s="1068">
        <f t="shared" si="0"/>
        <v>126.38987289520665</v>
      </c>
      <c r="S10" s="1068">
        <f t="shared" si="0"/>
        <v>123.18277933365916</v>
      </c>
      <c r="T10" s="1068">
        <f t="shared" si="0"/>
        <v>130.24837969680638</v>
      </c>
      <c r="U10" s="1063">
        <f t="shared" si="0"/>
        <v>126.39795327196104</v>
      </c>
      <c r="V10" s="1068">
        <f t="shared" si="0"/>
        <v>130.89925922319139</v>
      </c>
      <c r="W10" s="1068">
        <f t="shared" si="0"/>
        <v>122.82401626602309</v>
      </c>
      <c r="X10" s="1068">
        <f t="shared" si="0"/>
        <v>118.67925211679338</v>
      </c>
      <c r="Y10" s="1068">
        <f t="shared" si="0"/>
        <v>120.74587538863264</v>
      </c>
      <c r="Z10" s="1063">
        <f t="shared" si="0"/>
        <v>123.3560084189163</v>
      </c>
      <c r="AA10" s="1068">
        <f t="shared" si="0"/>
        <v>118.65973425765453</v>
      </c>
      <c r="AB10" s="1068">
        <f t="shared" si="0"/>
        <v>112.51020170222688</v>
      </c>
      <c r="AC10" s="1068">
        <f t="shared" si="0"/>
        <v>102.29231299551877</v>
      </c>
      <c r="AD10" s="1068">
        <f t="shared" si="0"/>
        <v>112.15922048305173</v>
      </c>
      <c r="AE10" s="1063">
        <f t="shared" si="0"/>
        <v>110.72421588753474</v>
      </c>
      <c r="AF10" s="1068">
        <f t="shared" si="0"/>
        <v>113.13645519134994</v>
      </c>
      <c r="AG10" s="1068">
        <f t="shared" si="0"/>
        <v>113.92062775612349</v>
      </c>
      <c r="AH10" s="1068">
        <f t="shared" si="0"/>
        <v>108.71017036380815</v>
      </c>
    </row>
    <row r="11" spans="1:34" x14ac:dyDescent="0.25">
      <c r="A11" s="294" t="s">
        <v>1804</v>
      </c>
      <c r="B11" s="1065"/>
      <c r="C11" s="1065"/>
      <c r="D11" s="1065"/>
      <c r="E11" s="1065"/>
      <c r="F11" s="1066"/>
      <c r="G11" s="1067">
        <f>G10/B10-1</f>
        <v>1.8463467813123469E-2</v>
      </c>
      <c r="H11" s="1067">
        <f t="shared" ref="H11:AH11" si="1">H10/C10-1</f>
        <v>2.533461095965972E-2</v>
      </c>
      <c r="I11" s="1067">
        <f t="shared" si="1"/>
        <v>1.3904064486814027E-2</v>
      </c>
      <c r="J11" s="1067">
        <f t="shared" si="1"/>
        <v>2.7655315682759918E-2</v>
      </c>
      <c r="K11" s="1064">
        <f t="shared" si="1"/>
        <v>2.1206268656622562E-2</v>
      </c>
      <c r="L11" s="1067">
        <f t="shared" si="1"/>
        <v>6.5458900592920699E-3</v>
      </c>
      <c r="M11" s="1067">
        <f t="shared" si="1"/>
        <v>4.3541615534541389E-3</v>
      </c>
      <c r="N11" s="1067">
        <f t="shared" si="1"/>
        <v>4.2365776970425539E-3</v>
      </c>
      <c r="O11" s="1067">
        <f t="shared" si="1"/>
        <v>1.5802852908211262E-2</v>
      </c>
      <c r="P11" s="1064">
        <f t="shared" si="1"/>
        <v>7.9736378366661587E-3</v>
      </c>
      <c r="Q11" s="1067">
        <f t="shared" si="1"/>
        <v>6.000866511023939E-2</v>
      </c>
      <c r="R11" s="1067">
        <f t="shared" si="1"/>
        <v>7.0742972857936515E-2</v>
      </c>
      <c r="S11" s="1067">
        <f t="shared" si="1"/>
        <v>5.5221828675137141E-2</v>
      </c>
      <c r="T11" s="1067">
        <f t="shared" si="1"/>
        <v>5.4691488749281092E-2</v>
      </c>
      <c r="U11" s="1064">
        <f t="shared" si="1"/>
        <v>5.969340132840828E-2</v>
      </c>
      <c r="V11" s="1067">
        <f t="shared" si="1"/>
        <v>3.7025980518114565E-2</v>
      </c>
      <c r="W11" s="1067">
        <f t="shared" si="1"/>
        <v>-2.8213151477255671E-2</v>
      </c>
      <c r="X11" s="1067">
        <f t="shared" si="1"/>
        <v>-3.6559714281712119E-2</v>
      </c>
      <c r="Y11" s="1067">
        <f t="shared" si="1"/>
        <v>-7.2956794781584011E-2</v>
      </c>
      <c r="Z11" s="1064">
        <f t="shared" si="1"/>
        <v>-2.4066409101574759E-2</v>
      </c>
      <c r="AA11" s="1067">
        <f t="shared" si="1"/>
        <v>-9.3503393664495116E-2</v>
      </c>
      <c r="AB11" s="1067">
        <f t="shared" si="1"/>
        <v>-8.3972295299786004E-2</v>
      </c>
      <c r="AC11" s="1067">
        <f t="shared" si="1"/>
        <v>-0.13807753949399737</v>
      </c>
      <c r="AD11" s="1067">
        <f t="shared" si="1"/>
        <v>-7.1113442823151574E-2</v>
      </c>
      <c r="AE11" s="1064">
        <f t="shared" si="1"/>
        <v>-0.10240111278961028</v>
      </c>
      <c r="AF11" s="1067">
        <f t="shared" si="1"/>
        <v>-4.6547205763258326E-2</v>
      </c>
      <c r="AG11" s="1067">
        <f t="shared" si="1"/>
        <v>1.253598369354525E-2</v>
      </c>
      <c r="AH11" s="1067">
        <f t="shared" si="1"/>
        <v>6.2740368072139896E-2</v>
      </c>
    </row>
    <row r="12" spans="1:34" x14ac:dyDescent="0.25">
      <c r="A12" s="281"/>
      <c r="B12" s="1068"/>
      <c r="C12" s="1068"/>
      <c r="D12" s="1068"/>
      <c r="E12" s="1068"/>
      <c r="F12" s="1063"/>
      <c r="G12" s="382"/>
      <c r="H12" s="382"/>
      <c r="I12" s="382"/>
      <c r="J12" s="382"/>
      <c r="K12" s="1063"/>
      <c r="L12" s="382"/>
      <c r="M12" s="382"/>
      <c r="N12" s="382"/>
      <c r="O12" s="382"/>
      <c r="P12" s="1063"/>
      <c r="Q12" s="382"/>
      <c r="R12" s="382"/>
      <c r="S12" s="382"/>
      <c r="T12" s="382"/>
      <c r="U12" s="1063"/>
      <c r="V12" s="382"/>
      <c r="W12" s="382"/>
      <c r="X12" s="382"/>
      <c r="Y12" s="382"/>
      <c r="Z12" s="1063"/>
      <c r="AA12" s="382"/>
      <c r="AB12" s="382"/>
      <c r="AC12" s="382"/>
      <c r="AD12" s="382"/>
      <c r="AE12" s="1063"/>
      <c r="AF12" s="382"/>
      <c r="AG12" s="382"/>
      <c r="AH12" s="382"/>
    </row>
    <row r="13" spans="1:34" x14ac:dyDescent="0.25">
      <c r="A13" s="281"/>
      <c r="B13" s="281"/>
      <c r="C13" s="281"/>
      <c r="D13" s="281"/>
      <c r="E13" s="281"/>
      <c r="F13" s="419"/>
      <c r="G13" s="281"/>
      <c r="H13" s="281"/>
      <c r="I13" s="281"/>
      <c r="J13" s="281"/>
      <c r="K13" s="419"/>
      <c r="L13" s="281"/>
      <c r="M13" s="281"/>
      <c r="N13" s="281"/>
      <c r="O13" s="281"/>
      <c r="P13" s="419"/>
      <c r="Q13" s="281"/>
      <c r="R13" s="281"/>
      <c r="S13" s="281"/>
      <c r="T13" s="281"/>
      <c r="U13" s="419"/>
      <c r="V13" s="281"/>
      <c r="W13" s="281"/>
      <c r="X13" s="281"/>
      <c r="Y13" s="281"/>
      <c r="Z13" s="419"/>
      <c r="AA13" s="281"/>
      <c r="AB13" s="281"/>
      <c r="AC13" s="281"/>
      <c r="AD13" s="281"/>
      <c r="AE13" s="419"/>
      <c r="AF13" s="281"/>
      <c r="AG13" s="281"/>
      <c r="AH13" s="281"/>
    </row>
    <row r="14" spans="1:34" x14ac:dyDescent="0.25">
      <c r="A14" s="785" t="s">
        <v>1094</v>
      </c>
      <c r="B14" s="283"/>
      <c r="C14" s="283"/>
      <c r="D14" s="283"/>
      <c r="E14" s="283"/>
      <c r="F14" s="341"/>
      <c r="G14" s="283"/>
      <c r="H14" s="283"/>
      <c r="I14" s="283"/>
      <c r="J14" s="283"/>
      <c r="K14" s="341"/>
      <c r="L14" s="283"/>
      <c r="M14" s="283"/>
      <c r="N14" s="283"/>
      <c r="O14" s="283"/>
      <c r="P14" s="341"/>
      <c r="Q14" s="283"/>
      <c r="R14" s="283"/>
      <c r="S14" s="283"/>
      <c r="T14" s="283"/>
      <c r="U14" s="341"/>
      <c r="V14" s="283"/>
      <c r="W14" s="283"/>
      <c r="X14" s="283"/>
      <c r="Y14" s="283"/>
      <c r="Z14" s="341"/>
      <c r="AA14" s="283"/>
      <c r="AB14" s="283"/>
      <c r="AC14" s="283"/>
      <c r="AD14" s="283"/>
      <c r="AE14" s="341"/>
      <c r="AF14" s="283"/>
      <c r="AG14" s="283"/>
      <c r="AH14" s="283"/>
    </row>
    <row r="15" spans="1:34" x14ac:dyDescent="0.25">
      <c r="A15" s="281"/>
      <c r="B15" s="281"/>
      <c r="C15" s="281"/>
      <c r="D15" s="281"/>
      <c r="E15" s="281"/>
      <c r="F15" s="419"/>
      <c r="G15" s="281"/>
      <c r="H15" s="281"/>
      <c r="I15" s="281"/>
      <c r="J15" s="281"/>
      <c r="K15" s="419"/>
      <c r="L15" s="281"/>
      <c r="M15" s="281"/>
      <c r="N15" s="281"/>
      <c r="O15" s="281"/>
      <c r="P15" s="419"/>
      <c r="Q15" s="281"/>
      <c r="R15" s="281"/>
      <c r="S15" s="281"/>
      <c r="T15" s="281"/>
      <c r="U15" s="419"/>
      <c r="V15" s="281"/>
      <c r="W15" s="281"/>
      <c r="X15" s="281"/>
      <c r="Y15" s="281"/>
      <c r="Z15" s="419"/>
      <c r="AA15" s="281"/>
      <c r="AB15" s="281"/>
      <c r="AC15" s="281"/>
      <c r="AD15" s="281"/>
      <c r="AE15" s="419"/>
      <c r="AF15" s="281"/>
      <c r="AG15" s="281"/>
      <c r="AH15" s="281"/>
    </row>
    <row r="16" spans="1:34" x14ac:dyDescent="0.25">
      <c r="A16" s="281" t="s">
        <v>1362</v>
      </c>
      <c r="B16" s="1068">
        <f>PENN!C793</f>
        <v>57.582000000000001</v>
      </c>
      <c r="C16" s="1068">
        <f>PENN!D793</f>
        <v>56.881</v>
      </c>
      <c r="D16" s="1068">
        <f>PENN!E793</f>
        <v>57.797999999999995</v>
      </c>
      <c r="E16" s="1068">
        <f>PENN!F793</f>
        <v>57.279000000000003</v>
      </c>
      <c r="F16" s="1063">
        <f>PENN!G793</f>
        <v>229.54</v>
      </c>
      <c r="G16" s="1068">
        <f>PENN!H793</f>
        <v>56.037999999999997</v>
      </c>
      <c r="H16" s="1068">
        <f>PENN!I793</f>
        <v>60.725000000000001</v>
      </c>
      <c r="I16" s="1068">
        <f>PENN!J793</f>
        <v>64.245000000000005</v>
      </c>
      <c r="J16" s="1068">
        <f>PENN!K793</f>
        <v>62.265999999999998</v>
      </c>
      <c r="K16" s="1063">
        <f>PENN!L793</f>
        <v>243.274</v>
      </c>
      <c r="L16" s="1068">
        <f>PENN!M793</f>
        <v>66.569999999999993</v>
      </c>
      <c r="M16" s="1068">
        <f>PENN!N793</f>
        <v>65.7</v>
      </c>
      <c r="N16" s="1068">
        <f>PENN!O793</f>
        <v>67.000999999999991</v>
      </c>
      <c r="O16" s="1068">
        <f>PENN!P793</f>
        <v>66.481999999999999</v>
      </c>
      <c r="P16" s="1063">
        <f>PENN!Q793</f>
        <v>265.75299999999993</v>
      </c>
      <c r="Q16" s="1068">
        <f>PENN!R793</f>
        <v>69.617999999999995</v>
      </c>
      <c r="R16" s="1068">
        <f>PENN!S793</f>
        <v>69.385000000000005</v>
      </c>
      <c r="S16" s="1068">
        <f>PENN!T793</f>
        <v>69.116</v>
      </c>
      <c r="T16" s="1068">
        <f>PENN!U793</f>
        <v>64.448000000000008</v>
      </c>
      <c r="U16" s="1063">
        <f>PENN!V793</f>
        <v>272.56700000000001</v>
      </c>
      <c r="V16" s="1068">
        <f>PENN!W793</f>
        <v>58.553999999999995</v>
      </c>
      <c r="W16" s="1068">
        <f>PENN!X793</f>
        <v>57.257999999999996</v>
      </c>
      <c r="X16" s="1068">
        <f>PENN!Y793</f>
        <v>57.055</v>
      </c>
      <c r="Y16" s="1068">
        <f>PENN!Z793</f>
        <v>50.037999999999997</v>
      </c>
      <c r="Z16" s="1063">
        <f>PENN!AA793</f>
        <v>222.90499999999997</v>
      </c>
      <c r="AA16" s="1068">
        <f>PENN!AB793</f>
        <v>53.4</v>
      </c>
      <c r="AB16" s="1068">
        <f>PENN!AC793</f>
        <v>57.3</v>
      </c>
      <c r="AC16" s="1068">
        <f>PENN!AD793</f>
        <v>47.5</v>
      </c>
      <c r="AD16" s="1068">
        <f>PENN!AE793</f>
        <v>44.1</v>
      </c>
      <c r="AE16" s="1063">
        <f>PENN!AF793</f>
        <v>202.29999999999998</v>
      </c>
      <c r="AF16" s="1068">
        <f>PENN!AG793</f>
        <v>47.8</v>
      </c>
      <c r="AG16" s="1068">
        <f>PENN!AH793</f>
        <v>45.4</v>
      </c>
      <c r="AH16" s="1068">
        <f>PENN!AI793</f>
        <v>45.13</v>
      </c>
    </row>
    <row r="17" spans="1:34" x14ac:dyDescent="0.25">
      <c r="A17" s="281" t="s">
        <v>1057</v>
      </c>
      <c r="B17" s="281">
        <f>PENN!C790</f>
        <v>364.62400000000002</v>
      </c>
      <c r="C17" s="281">
        <f>PENN!D790</f>
        <v>363.02100000000002</v>
      </c>
      <c r="D17" s="281">
        <f>PENN!E790</f>
        <v>378.62299999999999</v>
      </c>
      <c r="E17" s="281">
        <f>PENN!F790</f>
        <v>350.62700000000001</v>
      </c>
      <c r="F17" s="419">
        <f>PENN!G790</f>
        <v>1456.895</v>
      </c>
      <c r="G17" s="281">
        <f>PENN!H790</f>
        <v>348.863</v>
      </c>
      <c r="H17" s="281">
        <f>PENN!I790</f>
        <v>358.601</v>
      </c>
      <c r="I17" s="281">
        <f>PENN!J790</f>
        <v>420.73200000000008</v>
      </c>
      <c r="J17" s="281">
        <f>PENN!K790</f>
        <v>431.83</v>
      </c>
      <c r="K17" s="419">
        <f>PENN!L790</f>
        <v>1560.0259999999998</v>
      </c>
      <c r="L17" s="281">
        <f>PENN!M790</f>
        <v>441.50599999999997</v>
      </c>
      <c r="M17" s="281">
        <f>PENN!N790</f>
        <v>444.6</v>
      </c>
      <c r="N17" s="281">
        <f>PENN!O790</f>
        <v>470.39599999999996</v>
      </c>
      <c r="O17" s="281">
        <f>PENN!P790</f>
        <v>457.68</v>
      </c>
      <c r="P17" s="419">
        <f>PENN!Q790</f>
        <v>1814.182</v>
      </c>
      <c r="Q17" s="281">
        <f>PENN!R790</f>
        <v>459.577</v>
      </c>
      <c r="R17" s="281">
        <f>PENN!S790</f>
        <v>472.53100000000001</v>
      </c>
      <c r="S17" s="281">
        <f>PENN!T790</f>
        <v>461.31799999999998</v>
      </c>
      <c r="T17" s="281">
        <f>PENN!U790</f>
        <v>422.35100000000006</v>
      </c>
      <c r="U17" s="419">
        <f>PENN!V790</f>
        <v>1815.777</v>
      </c>
      <c r="V17" s="281">
        <f>PENN!W790</f>
        <v>416.65299999999996</v>
      </c>
      <c r="W17" s="281">
        <f>PENN!X790</f>
        <v>445.00200000000001</v>
      </c>
      <c r="X17" s="281">
        <f>PENN!Y790</f>
        <v>415.16800000000006</v>
      </c>
      <c r="Y17" s="281">
        <f>PENN!Z790</f>
        <v>366.57899999999995</v>
      </c>
      <c r="Z17" s="419">
        <f>PENN!AA790</f>
        <v>1643.402</v>
      </c>
      <c r="AA17" s="281">
        <f>PENN!AB790</f>
        <v>402.6</v>
      </c>
      <c r="AB17" s="281">
        <f>PENN!AC790</f>
        <v>440.4</v>
      </c>
      <c r="AC17" s="281">
        <f>PENN!AD790</f>
        <v>393.3</v>
      </c>
      <c r="AD17" s="281">
        <f>PENN!AE790</f>
        <v>363.7</v>
      </c>
      <c r="AE17" s="419">
        <f>PENN!AF790</f>
        <v>1600</v>
      </c>
      <c r="AF17" s="281">
        <f>PENN!AG790</f>
        <v>391.3</v>
      </c>
      <c r="AG17" s="281">
        <f>PENN!AH790</f>
        <v>371.8</v>
      </c>
      <c r="AH17" s="281">
        <f>PENN!AI790</f>
        <v>370.91</v>
      </c>
    </row>
    <row r="18" spans="1:34" x14ac:dyDescent="0.25">
      <c r="A18" s="281" t="s">
        <v>1801</v>
      </c>
      <c r="B18" s="1068">
        <f t="shared" ref="B18:AH18" si="2">B16/B17*1000</f>
        <v>157.92158497520734</v>
      </c>
      <c r="C18" s="1068">
        <f t="shared" si="2"/>
        <v>156.68790510741803</v>
      </c>
      <c r="D18" s="1068">
        <f t="shared" si="2"/>
        <v>152.65316687047536</v>
      </c>
      <c r="E18" s="1068">
        <f t="shared" si="2"/>
        <v>163.36163501384664</v>
      </c>
      <c r="F18" s="1063">
        <f t="shared" si="2"/>
        <v>157.55425064949773</v>
      </c>
      <c r="G18" s="1068">
        <f t="shared" si="2"/>
        <v>160.6303907264456</v>
      </c>
      <c r="H18" s="1068">
        <f t="shared" si="2"/>
        <v>169.33862426485146</v>
      </c>
      <c r="I18" s="1068">
        <f t="shared" si="2"/>
        <v>152.69815464476196</v>
      </c>
      <c r="J18" s="1068">
        <f t="shared" si="2"/>
        <v>144.19100108839129</v>
      </c>
      <c r="K18" s="1063">
        <f t="shared" si="2"/>
        <v>155.94227275699251</v>
      </c>
      <c r="L18" s="1068">
        <f t="shared" si="2"/>
        <v>150.77937785669957</v>
      </c>
      <c r="M18" s="1068">
        <f t="shared" si="2"/>
        <v>147.77327935222672</v>
      </c>
      <c r="N18" s="1068">
        <f t="shared" si="2"/>
        <v>142.43530982406313</v>
      </c>
      <c r="O18" s="1068">
        <f t="shared" si="2"/>
        <v>145.25869603216222</v>
      </c>
      <c r="P18" s="1063">
        <f t="shared" si="2"/>
        <v>146.48640544333475</v>
      </c>
      <c r="Q18" s="1068">
        <f t="shared" si="2"/>
        <v>151.48277655322175</v>
      </c>
      <c r="R18" s="1068">
        <f t="shared" si="2"/>
        <v>146.83692710107908</v>
      </c>
      <c r="S18" s="1068">
        <f t="shared" si="2"/>
        <v>149.82289873796384</v>
      </c>
      <c r="T18" s="1068">
        <f t="shared" si="2"/>
        <v>152.5934589950065</v>
      </c>
      <c r="U18" s="1063">
        <f t="shared" si="2"/>
        <v>150.1103935119786</v>
      </c>
      <c r="V18" s="1068">
        <f t="shared" si="2"/>
        <v>140.53420952207233</v>
      </c>
      <c r="W18" s="1068">
        <f t="shared" si="2"/>
        <v>128.66908463332749</v>
      </c>
      <c r="X18" s="1068">
        <f t="shared" si="2"/>
        <v>137.42629489748725</v>
      </c>
      <c r="Y18" s="1068">
        <f t="shared" si="2"/>
        <v>136.49990861451423</v>
      </c>
      <c r="Z18" s="1063">
        <f t="shared" si="2"/>
        <v>135.63632026734786</v>
      </c>
      <c r="AA18" s="1068">
        <f t="shared" si="2"/>
        <v>132.63785394932933</v>
      </c>
      <c r="AB18" s="1068">
        <f t="shared" si="2"/>
        <v>130.10899182561309</v>
      </c>
      <c r="AC18" s="1068">
        <f t="shared" si="2"/>
        <v>120.77294685990337</v>
      </c>
      <c r="AD18" s="1068">
        <f t="shared" si="2"/>
        <v>121.25378058839705</v>
      </c>
      <c r="AE18" s="1063">
        <f t="shared" si="2"/>
        <v>126.43749999999999</v>
      </c>
      <c r="AF18" s="1068">
        <f t="shared" si="2"/>
        <v>122.15691285458726</v>
      </c>
      <c r="AG18" s="1068">
        <f t="shared" si="2"/>
        <v>122.10866057019902</v>
      </c>
      <c r="AH18" s="1068">
        <f t="shared" si="2"/>
        <v>121.67372138793777</v>
      </c>
    </row>
    <row r="19" spans="1:34" x14ac:dyDescent="0.25">
      <c r="A19" s="294" t="s">
        <v>1805</v>
      </c>
      <c r="B19" s="1065"/>
      <c r="C19" s="1065"/>
      <c r="D19" s="1065"/>
      <c r="E19" s="1065"/>
      <c r="F19" s="1066"/>
      <c r="G19" s="1067">
        <f t="shared" ref="G19:AH19" si="3">G18/B18-1</f>
        <v>1.715285311797965E-2</v>
      </c>
      <c r="H19" s="1067">
        <f t="shared" si="3"/>
        <v>8.0738325965623581E-2</v>
      </c>
      <c r="I19" s="1067">
        <f t="shared" si="3"/>
        <v>2.9470580407142677E-4</v>
      </c>
      <c r="J19" s="1067">
        <f t="shared" si="3"/>
        <v>-0.11735089406904153</v>
      </c>
      <c r="K19" s="1064">
        <f t="shared" si="3"/>
        <v>-1.0231256128349742E-2</v>
      </c>
      <c r="L19" s="1067">
        <f t="shared" si="3"/>
        <v>-6.1327204803494184E-2</v>
      </c>
      <c r="M19" s="1067">
        <f t="shared" si="3"/>
        <v>-0.12735041994256313</v>
      </c>
      <c r="N19" s="1067">
        <f t="shared" si="3"/>
        <v>-6.7210012095918148E-2</v>
      </c>
      <c r="O19" s="1067">
        <f t="shared" si="3"/>
        <v>7.4047266175536475E-3</v>
      </c>
      <c r="P19" s="1064">
        <f t="shared" si="3"/>
        <v>-6.0636972557101321E-2</v>
      </c>
      <c r="Q19" s="1067">
        <f t="shared" si="3"/>
        <v>4.6650855476448871E-3</v>
      </c>
      <c r="R19" s="1067">
        <f t="shared" si="3"/>
        <v>-6.3364111242045773E-3</v>
      </c>
      <c r="S19" s="1067">
        <f t="shared" si="3"/>
        <v>5.1866274753260999E-2</v>
      </c>
      <c r="T19" s="1067">
        <f t="shared" si="3"/>
        <v>5.049448441434623E-2</v>
      </c>
      <c r="U19" s="1064">
        <f t="shared" si="3"/>
        <v>2.4739415631614525E-2</v>
      </c>
      <c r="V19" s="1067">
        <f t="shared" si="3"/>
        <v>-7.2275985958725641E-2</v>
      </c>
      <c r="W19" s="1067">
        <f t="shared" si="3"/>
        <v>-0.12372802146183082</v>
      </c>
      <c r="X19" s="1067">
        <f t="shared" si="3"/>
        <v>-8.2741716686164923E-2</v>
      </c>
      <c r="Y19" s="1067">
        <f t="shared" si="3"/>
        <v>-0.10546684298583808</v>
      </c>
      <c r="Z19" s="1064">
        <f t="shared" si="3"/>
        <v>-9.6422858577582371E-2</v>
      </c>
      <c r="AA19" s="1067">
        <f t="shared" si="3"/>
        <v>-5.6188138102436946E-2</v>
      </c>
      <c r="AB19" s="1067">
        <f t="shared" si="3"/>
        <v>1.1190778238525212E-2</v>
      </c>
      <c r="AC19" s="1067">
        <f t="shared" si="3"/>
        <v>-0.12118021554758784</v>
      </c>
      <c r="AD19" s="1067">
        <f t="shared" si="3"/>
        <v>-0.11169332039022362</v>
      </c>
      <c r="AE19" s="1064">
        <f t="shared" si="3"/>
        <v>-6.7819742154729745E-2</v>
      </c>
      <c r="AF19" s="1067">
        <f t="shared" si="3"/>
        <v>-7.9019230051370015E-2</v>
      </c>
      <c r="AG19" s="1067">
        <f t="shared" si="3"/>
        <v>-6.1489456978784607E-2</v>
      </c>
      <c r="AH19" s="1067">
        <f t="shared" si="3"/>
        <v>7.4584130921249159E-3</v>
      </c>
    </row>
    <row r="20" spans="1:34" x14ac:dyDescent="0.25">
      <c r="A20" s="281"/>
      <c r="B20" s="1068"/>
      <c r="C20" s="1068"/>
      <c r="D20" s="1068"/>
      <c r="E20" s="1068"/>
      <c r="F20" s="1063"/>
      <c r="G20" s="382"/>
      <c r="H20" s="382"/>
      <c r="I20" s="382"/>
      <c r="J20" s="382"/>
      <c r="K20" s="1063"/>
      <c r="L20" s="382"/>
      <c r="M20" s="382"/>
      <c r="N20" s="382"/>
      <c r="O20" s="382"/>
      <c r="P20" s="1063"/>
      <c r="Q20" s="382"/>
      <c r="R20" s="382"/>
      <c r="S20" s="382"/>
      <c r="T20" s="382"/>
      <c r="U20" s="1063"/>
      <c r="V20" s="382"/>
      <c r="W20" s="382"/>
      <c r="X20" s="382"/>
      <c r="Y20" s="382"/>
      <c r="Z20" s="1063"/>
      <c r="AA20" s="382"/>
      <c r="AB20" s="382"/>
      <c r="AC20" s="382"/>
      <c r="AD20" s="382"/>
      <c r="AE20" s="1063"/>
      <c r="AF20" s="382"/>
      <c r="AG20" s="382"/>
      <c r="AH20" s="382"/>
    </row>
    <row r="21" spans="1:34" x14ac:dyDescent="0.25">
      <c r="A21" s="281"/>
      <c r="B21" s="281"/>
      <c r="C21" s="281"/>
      <c r="D21" s="281"/>
      <c r="E21" s="281"/>
      <c r="F21" s="419"/>
      <c r="G21" s="281"/>
      <c r="H21" s="281"/>
      <c r="I21" s="281"/>
      <c r="J21" s="281"/>
      <c r="K21" s="419"/>
      <c r="L21" s="281"/>
      <c r="M21" s="281"/>
      <c r="N21" s="281"/>
      <c r="O21" s="281"/>
      <c r="P21" s="419"/>
      <c r="Q21" s="281"/>
      <c r="R21" s="281"/>
      <c r="S21" s="281"/>
      <c r="T21" s="281"/>
      <c r="U21" s="419"/>
      <c r="V21" s="281"/>
      <c r="W21" s="281"/>
      <c r="X21" s="281"/>
      <c r="Y21" s="281"/>
      <c r="Z21" s="419"/>
      <c r="AA21" s="281"/>
      <c r="AB21" s="281"/>
      <c r="AC21" s="281"/>
      <c r="AD21" s="281"/>
      <c r="AE21" s="419"/>
      <c r="AF21" s="281"/>
      <c r="AG21" s="281"/>
      <c r="AH21" s="281"/>
    </row>
    <row r="22" spans="1:34" x14ac:dyDescent="0.25">
      <c r="A22" s="785" t="s">
        <v>1799</v>
      </c>
      <c r="B22" s="283"/>
      <c r="C22" s="283"/>
      <c r="D22" s="283"/>
      <c r="E22" s="283"/>
      <c r="F22" s="341"/>
      <c r="G22" s="283"/>
      <c r="H22" s="283"/>
      <c r="I22" s="283"/>
      <c r="J22" s="283"/>
      <c r="K22" s="341"/>
      <c r="L22" s="283"/>
      <c r="M22" s="283"/>
      <c r="N22" s="283"/>
      <c r="O22" s="283"/>
      <c r="P22" s="341"/>
      <c r="Q22" s="283"/>
      <c r="R22" s="283"/>
      <c r="S22" s="283"/>
      <c r="T22" s="283"/>
      <c r="U22" s="341"/>
      <c r="V22" s="283"/>
      <c r="W22" s="283"/>
      <c r="X22" s="283"/>
      <c r="Y22" s="283"/>
      <c r="Z22" s="341"/>
      <c r="AA22" s="283"/>
      <c r="AB22" s="283"/>
      <c r="AC22" s="283"/>
      <c r="AD22" s="283"/>
      <c r="AE22" s="341"/>
      <c r="AF22" s="283"/>
      <c r="AG22" s="283"/>
      <c r="AH22" s="283"/>
    </row>
    <row r="23" spans="1:34" x14ac:dyDescent="0.25">
      <c r="A23" s="281"/>
      <c r="B23" s="281"/>
      <c r="C23" s="281"/>
      <c r="D23" s="281"/>
      <c r="E23" s="281"/>
      <c r="F23" s="419"/>
      <c r="G23" s="281"/>
      <c r="H23" s="281"/>
      <c r="I23" s="281"/>
      <c r="J23" s="281"/>
      <c r="K23" s="419"/>
      <c r="L23" s="281"/>
      <c r="M23" s="281"/>
      <c r="N23" s="281"/>
      <c r="O23" s="281"/>
      <c r="P23" s="419"/>
      <c r="Q23" s="281"/>
      <c r="R23" s="281"/>
      <c r="S23" s="281"/>
      <c r="T23" s="281"/>
      <c r="U23" s="419"/>
      <c r="V23" s="281"/>
      <c r="W23" s="281"/>
      <c r="X23" s="281"/>
      <c r="Y23" s="281"/>
      <c r="Z23" s="419"/>
      <c r="AA23" s="281"/>
      <c r="AB23" s="281"/>
      <c r="AC23" s="281"/>
      <c r="AD23" s="281"/>
      <c r="AE23" s="419"/>
      <c r="AF23" s="281"/>
      <c r="AG23" s="281"/>
      <c r="AH23" s="281"/>
    </row>
    <row r="24" spans="1:34" x14ac:dyDescent="0.25">
      <c r="A24" s="281" t="s">
        <v>1362</v>
      </c>
      <c r="B24" s="1068">
        <f>PENN!C824</f>
        <v>55.2</v>
      </c>
      <c r="C24" s="1068">
        <f>PENN!D824</f>
        <v>55.341999999999999</v>
      </c>
      <c r="D24" s="1068">
        <f>PENN!E824</f>
        <v>59.069000000000003</v>
      </c>
      <c r="E24" s="1068">
        <f>PENN!F824</f>
        <v>58.540999999999997</v>
      </c>
      <c r="F24" s="1063">
        <f>PENN!G824</f>
        <v>228.15199999999999</v>
      </c>
      <c r="G24" s="1068">
        <f>PENN!H824</f>
        <v>56.252000000000002</v>
      </c>
      <c r="H24" s="1068">
        <f>PENN!I824</f>
        <v>58.194000000000003</v>
      </c>
      <c r="I24" s="1068">
        <f>PENN!J824</f>
        <v>63.445</v>
      </c>
      <c r="J24" s="1068">
        <f>PENN!K824</f>
        <v>61.095999999999997</v>
      </c>
      <c r="K24" s="1063">
        <f>PENN!L824</f>
        <v>238.98699999999999</v>
      </c>
      <c r="L24" s="1068">
        <f>PENN!M824</f>
        <v>63.196999999999996</v>
      </c>
      <c r="M24" s="1068">
        <f>PENN!N824</f>
        <v>63.3</v>
      </c>
      <c r="N24" s="1068">
        <f>PENN!O824</f>
        <v>64.959000000000003</v>
      </c>
      <c r="O24" s="1068">
        <f>PENN!P824</f>
        <v>62.332999999999998</v>
      </c>
      <c r="P24" s="1063">
        <f>PENN!Q824</f>
        <v>253.78899999999999</v>
      </c>
      <c r="Q24" s="1068">
        <f>PENN!R824</f>
        <v>63.585000000000001</v>
      </c>
      <c r="R24" s="1068">
        <f>PENN!S824</f>
        <v>61.692</v>
      </c>
      <c r="S24" s="1068">
        <f>PENN!T824</f>
        <v>59.531000000000006</v>
      </c>
      <c r="T24" s="1068">
        <f>PENN!U824</f>
        <v>55.332999999999998</v>
      </c>
      <c r="U24" s="1063">
        <f>PENN!V824</f>
        <v>240.14099999999999</v>
      </c>
      <c r="V24" s="1068">
        <f>PENN!W824</f>
        <v>48.442999999999998</v>
      </c>
      <c r="W24" s="1068">
        <f>PENN!X824</f>
        <v>47.465000000000003</v>
      </c>
      <c r="X24" s="1068">
        <f>PENN!Y824</f>
        <v>49.763000000000005</v>
      </c>
      <c r="Y24" s="1068">
        <f>PENN!Z824</f>
        <v>39.775999999999996</v>
      </c>
      <c r="Z24" s="1063">
        <f>PENN!AA824</f>
        <v>185.447</v>
      </c>
      <c r="AA24" s="1068">
        <f>PENN!AB824</f>
        <v>36.1</v>
      </c>
      <c r="AB24" s="1068">
        <f>PENN!AC824</f>
        <v>3.7</v>
      </c>
      <c r="AC24" s="1068">
        <f>PENN!AD824</f>
        <v>43.4</v>
      </c>
      <c r="AD24" s="1068">
        <f>PENN!AE824</f>
        <v>36.700000000000003</v>
      </c>
      <c r="AE24" s="1063">
        <f>PENN!AF824</f>
        <v>119.9</v>
      </c>
      <c r="AF24" s="1068">
        <f>PENN!AG824</f>
        <v>39.700000000000003</v>
      </c>
      <c r="AG24" s="1068">
        <f>PENN!AH824</f>
        <v>36.799999999999997</v>
      </c>
      <c r="AH24" s="1068">
        <f>PENN!AI824</f>
        <v>33.934000000000005</v>
      </c>
    </row>
    <row r="25" spans="1:34" x14ac:dyDescent="0.25">
      <c r="A25" s="281" t="s">
        <v>1057</v>
      </c>
      <c r="B25" s="281">
        <f>PENN!C821</f>
        <v>419.23500000000001</v>
      </c>
      <c r="C25" s="281">
        <f>PENN!D821</f>
        <v>419.46499999999997</v>
      </c>
      <c r="D25" s="281">
        <f>PENN!E821</f>
        <v>484.61599999999999</v>
      </c>
      <c r="E25" s="281">
        <f>PENN!F821</f>
        <v>463.07600000000002</v>
      </c>
      <c r="F25" s="419">
        <f>PENN!G821</f>
        <v>1786.3920000000001</v>
      </c>
      <c r="G25" s="281">
        <f>PENN!H821</f>
        <v>444.15199999999999</v>
      </c>
      <c r="H25" s="281">
        <f>PENN!I821</f>
        <v>445.40699999999998</v>
      </c>
      <c r="I25" s="281">
        <f>PENN!J821</f>
        <v>526.08899999999994</v>
      </c>
      <c r="J25" s="281">
        <f>PENN!K821</f>
        <v>508.32100000000003</v>
      </c>
      <c r="K25" s="419">
        <f>PENN!L821</f>
        <v>1923.9690000000001</v>
      </c>
      <c r="L25" s="281">
        <f>PENN!M821</f>
        <v>527.76599999999996</v>
      </c>
      <c r="M25" s="281">
        <f>PENN!N821</f>
        <v>520</v>
      </c>
      <c r="N25" s="281">
        <f>PENN!O821</f>
        <v>557.53</v>
      </c>
      <c r="O25" s="281">
        <f>PENN!P821</f>
        <v>536.26700000000005</v>
      </c>
      <c r="P25" s="419">
        <f>PENN!Q821</f>
        <v>2141.5630000000001</v>
      </c>
      <c r="Q25" s="281">
        <f>PENN!R821</f>
        <v>547.76400000000001</v>
      </c>
      <c r="R25" s="281">
        <f>PENN!S821</f>
        <v>523.02499999999998</v>
      </c>
      <c r="S25" s="281">
        <f>PENN!T821</f>
        <v>516.01499999999999</v>
      </c>
      <c r="T25" s="281">
        <f>PENN!U821</f>
        <v>522.74099999999999</v>
      </c>
      <c r="U25" s="419">
        <f>PENN!V821</f>
        <v>2109.5450000000001</v>
      </c>
      <c r="V25" s="281">
        <f>PENN!W821</f>
        <v>470.97199999999998</v>
      </c>
      <c r="W25" s="281">
        <f>PENN!X821</f>
        <v>411.22299999999996</v>
      </c>
      <c r="X25" s="281">
        <f>PENN!Y821</f>
        <v>465.60199999999998</v>
      </c>
      <c r="Y25" s="281">
        <f>PENN!Z821</f>
        <v>354.38900000000001</v>
      </c>
      <c r="Z25" s="419">
        <f>PENN!AA821</f>
        <v>1702.1860000000001</v>
      </c>
      <c r="AA25" s="281">
        <f>PENN!AB821</f>
        <v>322.5</v>
      </c>
      <c r="AB25" s="281">
        <f>PENN!AC821</f>
        <v>36.799999999999997</v>
      </c>
      <c r="AC25" s="281">
        <f>PENN!AD821</f>
        <v>417.1</v>
      </c>
      <c r="AD25" s="281">
        <f>PENN!AE821</f>
        <v>340</v>
      </c>
      <c r="AE25" s="419">
        <f>PENN!AF821</f>
        <v>1116.4000000000001</v>
      </c>
      <c r="AF25" s="281">
        <f>PENN!AG821</f>
        <v>349.8</v>
      </c>
      <c r="AG25" s="281">
        <f>PENN!AH821</f>
        <v>318.10000000000002</v>
      </c>
      <c r="AH25" s="281">
        <f>PENN!AI821</f>
        <v>307.00099999999998</v>
      </c>
    </row>
    <row r="26" spans="1:34" x14ac:dyDescent="0.25">
      <c r="A26" s="281" t="s">
        <v>1801</v>
      </c>
      <c r="B26" s="1068">
        <f t="shared" ref="B26:AH26" si="4">B24/B25*1000</f>
        <v>131.66839600701277</v>
      </c>
      <c r="C26" s="1068">
        <f t="shared" si="4"/>
        <v>131.93472637764773</v>
      </c>
      <c r="D26" s="1068">
        <f t="shared" si="4"/>
        <v>121.8882579196725</v>
      </c>
      <c r="E26" s="1068">
        <f t="shared" si="4"/>
        <v>126.41769385586815</v>
      </c>
      <c r="F26" s="1063">
        <f t="shared" si="4"/>
        <v>127.71664897738007</v>
      </c>
      <c r="G26" s="1068">
        <f t="shared" si="4"/>
        <v>126.65033592103606</v>
      </c>
      <c r="H26" s="1068">
        <f t="shared" si="4"/>
        <v>130.65353710202132</v>
      </c>
      <c r="I26" s="1068">
        <f t="shared" si="4"/>
        <v>120.5974654478615</v>
      </c>
      <c r="J26" s="1068">
        <f t="shared" si="4"/>
        <v>120.19176858717226</v>
      </c>
      <c r="K26" s="1063">
        <f t="shared" si="4"/>
        <v>124.21561885872381</v>
      </c>
      <c r="L26" s="1068">
        <f t="shared" si="4"/>
        <v>119.74435640037441</v>
      </c>
      <c r="M26" s="1068">
        <f t="shared" si="4"/>
        <v>121.73076923076923</v>
      </c>
      <c r="N26" s="1068">
        <f t="shared" si="4"/>
        <v>116.51211593994944</v>
      </c>
      <c r="O26" s="1068">
        <f t="shared" si="4"/>
        <v>116.23500979922314</v>
      </c>
      <c r="P26" s="1063">
        <f t="shared" si="4"/>
        <v>118.50643665397655</v>
      </c>
      <c r="Q26" s="1068">
        <f t="shared" si="4"/>
        <v>116.08101299099611</v>
      </c>
      <c r="R26" s="1068">
        <f t="shared" si="4"/>
        <v>117.95229673533771</v>
      </c>
      <c r="S26" s="1068">
        <f t="shared" si="4"/>
        <v>115.36680135267386</v>
      </c>
      <c r="T26" s="1068">
        <f t="shared" si="4"/>
        <v>105.85165502610279</v>
      </c>
      <c r="U26" s="1063">
        <f t="shared" si="4"/>
        <v>113.83544792834472</v>
      </c>
      <c r="V26" s="1068">
        <f t="shared" si="4"/>
        <v>102.8574947130615</v>
      </c>
      <c r="W26" s="1068">
        <f t="shared" si="4"/>
        <v>115.42399136235086</v>
      </c>
      <c r="X26" s="1068">
        <f t="shared" si="4"/>
        <v>106.878836431115</v>
      </c>
      <c r="Y26" s="1068">
        <f t="shared" si="4"/>
        <v>112.23824667244185</v>
      </c>
      <c r="Z26" s="1063">
        <f t="shared" si="4"/>
        <v>108.9463783628816</v>
      </c>
      <c r="AA26" s="1068">
        <f t="shared" si="4"/>
        <v>111.93798449612403</v>
      </c>
      <c r="AB26" s="1068">
        <f t="shared" si="4"/>
        <v>100.54347826086958</v>
      </c>
      <c r="AC26" s="1068">
        <f t="shared" si="4"/>
        <v>104.05178614241188</v>
      </c>
      <c r="AD26" s="1068">
        <f t="shared" si="4"/>
        <v>107.94117647058825</v>
      </c>
      <c r="AE26" s="1063">
        <f t="shared" si="4"/>
        <v>107.39878179863847</v>
      </c>
      <c r="AF26" s="1068">
        <f t="shared" si="4"/>
        <v>113.49342481417953</v>
      </c>
      <c r="AG26" s="1068">
        <f t="shared" si="4"/>
        <v>115.68689091480665</v>
      </c>
      <c r="AH26" s="1068">
        <f t="shared" si="4"/>
        <v>110.53384190930976</v>
      </c>
    </row>
    <row r="27" spans="1:34" x14ac:dyDescent="0.25">
      <c r="A27" s="294" t="s">
        <v>1805</v>
      </c>
      <c r="B27" s="1065"/>
      <c r="C27" s="1065"/>
      <c r="D27" s="1065"/>
      <c r="E27" s="1065"/>
      <c r="F27" s="1066"/>
      <c r="G27" s="1067">
        <f t="shared" ref="G27:AH27" si="5">G26/B26-1</f>
        <v>-3.8111348191022576E-2</v>
      </c>
      <c r="H27" s="1067">
        <f t="shared" si="5"/>
        <v>-9.710781314383965E-3</v>
      </c>
      <c r="I27" s="1067">
        <f t="shared" si="5"/>
        <v>-1.0589965709918214E-2</v>
      </c>
      <c r="J27" s="1067">
        <f t="shared" si="5"/>
        <v>-4.9248843882520266E-2</v>
      </c>
      <c r="K27" s="1064">
        <f t="shared" si="5"/>
        <v>-2.7412480257576477E-2</v>
      </c>
      <c r="L27" s="1067">
        <f t="shared" si="5"/>
        <v>-5.4527921070555929E-2</v>
      </c>
      <c r="M27" s="1067">
        <f t="shared" si="5"/>
        <v>-6.8293351019534265E-2</v>
      </c>
      <c r="N27" s="1067">
        <f t="shared" si="5"/>
        <v>-3.3875915159081837E-2</v>
      </c>
      <c r="O27" s="1067">
        <f t="shared" si="5"/>
        <v>-3.2920380775322222E-2</v>
      </c>
      <c r="P27" s="1064">
        <f t="shared" si="5"/>
        <v>-4.5961870634324886E-2</v>
      </c>
      <c r="Q27" s="1067">
        <f t="shared" si="5"/>
        <v>-3.0593036026930864E-2</v>
      </c>
      <c r="R27" s="1067">
        <f t="shared" si="5"/>
        <v>-3.1039584480638038E-2</v>
      </c>
      <c r="S27" s="1067">
        <f t="shared" si="5"/>
        <v>-9.8300041848512487E-3</v>
      </c>
      <c r="T27" s="1067">
        <f t="shared" si="5"/>
        <v>-8.933069985588582E-2</v>
      </c>
      <c r="U27" s="1064">
        <f t="shared" si="5"/>
        <v>-3.9415485415956852E-2</v>
      </c>
      <c r="V27" s="1067">
        <f t="shared" si="5"/>
        <v>-0.11391628947070187</v>
      </c>
      <c r="W27" s="1067">
        <f t="shared" si="5"/>
        <v>-2.1434982132309655E-2</v>
      </c>
      <c r="X27" s="1067">
        <f t="shared" si="5"/>
        <v>-7.3573721573603534E-2</v>
      </c>
      <c r="Y27" s="1067">
        <f t="shared" si="5"/>
        <v>6.0335302690960546E-2</v>
      </c>
      <c r="Z27" s="1064">
        <f t="shared" si="5"/>
        <v>-4.2948568784484498E-2</v>
      </c>
      <c r="AA27" s="1067">
        <f t="shared" si="5"/>
        <v>8.8282237559782262E-2</v>
      </c>
      <c r="AB27" s="1067">
        <f t="shared" si="5"/>
        <v>-0.12892045168293342</v>
      </c>
      <c r="AC27" s="1067">
        <f t="shared" si="5"/>
        <v>-2.645098302997706E-2</v>
      </c>
      <c r="AD27" s="1067">
        <f t="shared" si="5"/>
        <v>-3.8285257737447065E-2</v>
      </c>
      <c r="AE27" s="1064">
        <f t="shared" si="5"/>
        <v>-1.4205121707564827E-2</v>
      </c>
      <c r="AF27" s="1067">
        <f t="shared" si="5"/>
        <v>1.3895554087892004E-2</v>
      </c>
      <c r="AG27" s="1067">
        <f t="shared" si="5"/>
        <v>0.15061556369321205</v>
      </c>
      <c r="AH27" s="1067">
        <f t="shared" si="5"/>
        <v>6.2296439179103658E-2</v>
      </c>
    </row>
    <row r="28" spans="1:34" x14ac:dyDescent="0.25">
      <c r="A28" s="281"/>
      <c r="B28" s="1068"/>
      <c r="C28" s="1068"/>
      <c r="D28" s="1068"/>
      <c r="E28" s="1068"/>
      <c r="F28" s="1063"/>
      <c r="G28" s="382"/>
      <c r="H28" s="382"/>
      <c r="I28" s="382"/>
      <c r="J28" s="382"/>
      <c r="K28" s="1063"/>
      <c r="L28" s="382"/>
      <c r="M28" s="382"/>
      <c r="N28" s="382"/>
      <c r="O28" s="382"/>
      <c r="P28" s="1063"/>
      <c r="Q28" s="382"/>
      <c r="R28" s="382"/>
      <c r="S28" s="382"/>
      <c r="T28" s="382"/>
      <c r="U28" s="1063"/>
      <c r="V28" s="382"/>
      <c r="W28" s="382"/>
      <c r="X28" s="382"/>
      <c r="Y28" s="382"/>
      <c r="Z28" s="1063"/>
      <c r="AA28" s="382"/>
      <c r="AB28" s="382"/>
      <c r="AC28" s="382"/>
      <c r="AD28" s="382"/>
      <c r="AE28" s="1063"/>
      <c r="AF28" s="382"/>
      <c r="AG28" s="382"/>
      <c r="AH28" s="382"/>
    </row>
    <row r="29" spans="1:34" x14ac:dyDescent="0.25">
      <c r="A29" s="281"/>
      <c r="B29" s="281"/>
      <c r="C29" s="281"/>
      <c r="D29" s="281"/>
      <c r="E29" s="281"/>
      <c r="F29" s="419"/>
      <c r="G29" s="281"/>
      <c r="H29" s="281"/>
      <c r="I29" s="281"/>
      <c r="J29" s="281"/>
      <c r="K29" s="419"/>
      <c r="L29" s="281"/>
      <c r="M29" s="281"/>
      <c r="N29" s="281"/>
      <c r="O29" s="281"/>
      <c r="P29" s="419"/>
      <c r="Q29" s="281"/>
      <c r="R29" s="281"/>
      <c r="S29" s="281"/>
      <c r="T29" s="281"/>
      <c r="U29" s="419"/>
      <c r="V29" s="281"/>
      <c r="W29" s="281"/>
      <c r="X29" s="281"/>
      <c r="Y29" s="281"/>
      <c r="Z29" s="419"/>
      <c r="AA29" s="281"/>
      <c r="AB29" s="281"/>
      <c r="AC29" s="281"/>
      <c r="AD29" s="281"/>
      <c r="AE29" s="419"/>
      <c r="AF29" s="281"/>
      <c r="AG29" s="281"/>
      <c r="AH29" s="281"/>
    </row>
    <row r="30" spans="1:34" x14ac:dyDescent="0.25">
      <c r="A30" s="785" t="s">
        <v>1093</v>
      </c>
      <c r="B30" s="283"/>
      <c r="C30" s="283"/>
      <c r="D30" s="283"/>
      <c r="E30" s="283"/>
      <c r="F30" s="341"/>
      <c r="G30" s="283"/>
      <c r="H30" s="283"/>
      <c r="I30" s="283"/>
      <c r="J30" s="283"/>
      <c r="K30" s="341"/>
      <c r="L30" s="283"/>
      <c r="M30" s="283"/>
      <c r="N30" s="283"/>
      <c r="O30" s="283"/>
      <c r="P30" s="341"/>
      <c r="Q30" s="283"/>
      <c r="R30" s="283"/>
      <c r="S30" s="283"/>
      <c r="T30" s="283"/>
      <c r="U30" s="341"/>
      <c r="V30" s="283"/>
      <c r="W30" s="283"/>
      <c r="X30" s="283"/>
      <c r="Y30" s="283"/>
      <c r="Z30" s="341"/>
      <c r="AA30" s="283"/>
      <c r="AB30" s="283"/>
      <c r="AC30" s="283"/>
      <c r="AD30" s="283"/>
      <c r="AE30" s="341"/>
      <c r="AF30" s="283"/>
      <c r="AG30" s="283"/>
      <c r="AH30" s="283"/>
    </row>
    <row r="31" spans="1:34" x14ac:dyDescent="0.25">
      <c r="A31" s="281"/>
      <c r="B31" s="281"/>
      <c r="C31" s="281"/>
      <c r="D31" s="281"/>
      <c r="E31" s="281"/>
      <c r="F31" s="419"/>
      <c r="G31" s="281"/>
      <c r="H31" s="281"/>
      <c r="I31" s="281"/>
      <c r="J31" s="281"/>
      <c r="K31" s="419"/>
      <c r="L31" s="281"/>
      <c r="M31" s="281"/>
      <c r="N31" s="281"/>
      <c r="O31" s="281"/>
      <c r="P31" s="419"/>
      <c r="Q31" s="281"/>
      <c r="R31" s="281"/>
      <c r="S31" s="281"/>
      <c r="T31" s="281"/>
      <c r="U31" s="419"/>
      <c r="V31" s="281"/>
      <c r="W31" s="281"/>
      <c r="X31" s="281"/>
      <c r="Y31" s="281"/>
      <c r="Z31" s="419"/>
      <c r="AA31" s="281"/>
      <c r="AB31" s="281"/>
      <c r="AC31" s="281"/>
      <c r="AD31" s="281"/>
      <c r="AE31" s="419"/>
      <c r="AF31" s="281"/>
      <c r="AG31" s="281"/>
      <c r="AH31" s="281"/>
    </row>
    <row r="32" spans="1:34" x14ac:dyDescent="0.25">
      <c r="A32" s="281" t="s">
        <v>1362</v>
      </c>
      <c r="B32" s="1068">
        <f>PENN!C917</f>
        <v>38.328000000000003</v>
      </c>
      <c r="C32" s="1068">
        <f>PENN!D917</f>
        <v>36.963000000000001</v>
      </c>
      <c r="D32" s="1068">
        <f>PENN!E917</f>
        <v>35.979999999999997</v>
      </c>
      <c r="E32" s="1068">
        <f>PENN!F917</f>
        <v>35.290999999999997</v>
      </c>
      <c r="F32" s="1063">
        <f>PENN!G917</f>
        <v>146.56199999999998</v>
      </c>
      <c r="G32" s="1068">
        <f>PENN!H917</f>
        <v>39.786999999999999</v>
      </c>
      <c r="H32" s="1068">
        <f>PENN!I917</f>
        <v>38.228999999999999</v>
      </c>
      <c r="I32" s="1068">
        <f>PENN!J917</f>
        <v>35.099090390000001</v>
      </c>
      <c r="J32" s="1068">
        <f>PENN!K917</f>
        <v>36.150378969999998</v>
      </c>
      <c r="K32" s="1063">
        <f>PENN!L917</f>
        <v>149.26546936</v>
      </c>
      <c r="L32" s="1068">
        <f>PENN!M917</f>
        <v>40.360808849999998</v>
      </c>
      <c r="M32" s="1068">
        <f>PENN!N917</f>
        <v>39.799999999999997</v>
      </c>
      <c r="N32" s="1068">
        <f>PENN!O917</f>
        <v>41.10716043</v>
      </c>
      <c r="O32" s="1068">
        <f>PENN!P917</f>
        <v>40.941609630000002</v>
      </c>
      <c r="P32" s="1063">
        <f>PENN!Q917</f>
        <v>162.20957891</v>
      </c>
      <c r="Q32" s="1068">
        <f>PENN!R917</f>
        <v>44.585070369999997</v>
      </c>
      <c r="R32" s="1068">
        <f>PENN!S917</f>
        <v>44.84515717</v>
      </c>
      <c r="S32" s="1068">
        <f>PENN!T917</f>
        <v>46.589377740000003</v>
      </c>
      <c r="T32" s="1068">
        <f>PENN!U917</f>
        <v>45.99807792</v>
      </c>
      <c r="U32" s="1063">
        <f>PENN!V917</f>
        <v>182.01768320000002</v>
      </c>
      <c r="V32" s="1068">
        <f>PENN!W917</f>
        <v>48.385600230000001</v>
      </c>
      <c r="W32" s="1068">
        <f>PENN!X917</f>
        <v>47.565882479999999</v>
      </c>
      <c r="X32" s="1068">
        <f>PENN!Y917</f>
        <v>48.03092934</v>
      </c>
      <c r="Y32" s="1068">
        <f>PENN!Z917</f>
        <v>48.340629620000001</v>
      </c>
      <c r="Z32" s="1063">
        <f>PENN!AA917</f>
        <v>192.32304167000001</v>
      </c>
      <c r="AA32" s="1068">
        <f>PENN!AB917</f>
        <v>51.9</v>
      </c>
      <c r="AB32" s="1068">
        <f>PENN!AC917</f>
        <v>50</v>
      </c>
      <c r="AC32" s="1068">
        <f>PENN!AD917</f>
        <v>49.7</v>
      </c>
      <c r="AD32" s="1068">
        <f>PENN!AE917</f>
        <v>47.4</v>
      </c>
      <c r="AE32" s="1063">
        <f>PENN!AF917</f>
        <v>199.00000000000003</v>
      </c>
      <c r="AF32" s="1068">
        <f>PENN!AG917</f>
        <v>48.7</v>
      </c>
      <c r="AG32" s="1068">
        <f>PENN!AH917</f>
        <v>48.2</v>
      </c>
      <c r="AH32" s="1068">
        <f>PENN!AI917</f>
        <v>47.612274999999997</v>
      </c>
    </row>
    <row r="33" spans="1:34" x14ac:dyDescent="0.25">
      <c r="A33" s="281" t="s">
        <v>1057</v>
      </c>
      <c r="B33" s="281">
        <f>PENN!C914</f>
        <v>1287.6859999999999</v>
      </c>
      <c r="C33" s="281">
        <f>PENN!D914</f>
        <v>1197.4490000000001</v>
      </c>
      <c r="D33" s="281">
        <f>PENN!E914</f>
        <v>1163.221</v>
      </c>
      <c r="E33" s="281">
        <f>PENN!F914</f>
        <v>1117.0119999999999</v>
      </c>
      <c r="F33" s="419">
        <f>PENN!G914</f>
        <v>4765.3680000000004</v>
      </c>
      <c r="G33" s="281">
        <f>PENN!H914</f>
        <v>1283.229</v>
      </c>
      <c r="H33" s="281">
        <f>PENN!I914</f>
        <v>1245.9570000000001</v>
      </c>
      <c r="I33" s="281">
        <f>PENN!J914</f>
        <v>1202.4280000000001</v>
      </c>
      <c r="J33" s="281">
        <f>PENN!K914</f>
        <v>1154.527</v>
      </c>
      <c r="K33" s="419">
        <f>PENN!L914</f>
        <v>4886.1410000000005</v>
      </c>
      <c r="L33" s="281">
        <f>PENN!M914</f>
        <v>1181.8989999999999</v>
      </c>
      <c r="M33" s="281">
        <f>PENN!N914</f>
        <v>1203.4000000000001</v>
      </c>
      <c r="N33" s="281">
        <f>PENN!O914</f>
        <v>1272.7819999999999</v>
      </c>
      <c r="O33" s="281">
        <f>PENN!P914</f>
        <v>1269.9960000000001</v>
      </c>
      <c r="P33" s="419">
        <f>PENN!Q914</f>
        <v>4928.0770000000002</v>
      </c>
      <c r="Q33" s="281">
        <f>PENN!R914</f>
        <v>1295.2560000000001</v>
      </c>
      <c r="R33" s="281">
        <f>PENN!S914</f>
        <v>1325.5409999999999</v>
      </c>
      <c r="S33" s="281">
        <f>PENN!T914</f>
        <v>1380.914</v>
      </c>
      <c r="T33" s="281">
        <f>PENN!U914</f>
        <v>1333.431</v>
      </c>
      <c r="U33" s="419">
        <f>PENN!V914</f>
        <v>5335.1419999999998</v>
      </c>
      <c r="V33" s="281">
        <f>PENN!W914</f>
        <v>1370.8689999999999</v>
      </c>
      <c r="W33" s="281">
        <f>PENN!X914</f>
        <v>1338.232</v>
      </c>
      <c r="X33" s="281">
        <f>PENN!Y914</f>
        <v>1369.173</v>
      </c>
      <c r="Y33" s="281">
        <f>PENN!Z914</f>
        <v>1398.787</v>
      </c>
      <c r="Z33" s="419">
        <f>PENN!AA914</f>
        <v>5477.0609999999997</v>
      </c>
      <c r="AA33" s="281">
        <f>PENN!AB914</f>
        <v>1457</v>
      </c>
      <c r="AB33" s="281">
        <f>PENN!AC914</f>
        <v>1383</v>
      </c>
      <c r="AC33" s="281">
        <f>PENN!AD914</f>
        <v>1381</v>
      </c>
      <c r="AD33" s="281">
        <f>PENN!AE914</f>
        <v>1341</v>
      </c>
      <c r="AE33" s="419">
        <f>PENN!AF914</f>
        <v>5562</v>
      </c>
      <c r="AF33" s="281">
        <f>PENN!AG914</f>
        <v>1336.327</v>
      </c>
      <c r="AG33" s="281">
        <f>PENN!AH914</f>
        <v>1292.5</v>
      </c>
      <c r="AH33" s="281">
        <f>PENN!AI914</f>
        <v>1361.9770000000001</v>
      </c>
    </row>
    <row r="34" spans="1:34" x14ac:dyDescent="0.25">
      <c r="A34" s="281" t="s">
        <v>1801</v>
      </c>
      <c r="B34" s="1068">
        <f t="shared" ref="B34:AH34" si="6">B32/B33*1000</f>
        <v>29.765020354341047</v>
      </c>
      <c r="C34" s="1068">
        <f t="shared" si="6"/>
        <v>30.868120479452571</v>
      </c>
      <c r="D34" s="1068">
        <f t="shared" si="6"/>
        <v>30.931353543307761</v>
      </c>
      <c r="E34" s="1068">
        <f t="shared" si="6"/>
        <v>31.594110000608765</v>
      </c>
      <c r="F34" s="1063">
        <f t="shared" si="6"/>
        <v>30.755652029392056</v>
      </c>
      <c r="G34" s="1068">
        <f t="shared" si="6"/>
        <v>31.005377839808794</v>
      </c>
      <c r="H34" s="1068">
        <f t="shared" si="6"/>
        <v>30.682439281612442</v>
      </c>
      <c r="I34" s="1068">
        <f t="shared" si="6"/>
        <v>29.19018052640158</v>
      </c>
      <c r="J34" s="1068">
        <f t="shared" si="6"/>
        <v>31.311852360317257</v>
      </c>
      <c r="K34" s="1063">
        <f t="shared" si="6"/>
        <v>30.548743755041041</v>
      </c>
      <c r="L34" s="1068">
        <f t="shared" si="6"/>
        <v>34.149118367982375</v>
      </c>
      <c r="M34" s="1068">
        <f t="shared" si="6"/>
        <v>33.072959946817349</v>
      </c>
      <c r="N34" s="1068">
        <f t="shared" si="6"/>
        <v>32.297094419939945</v>
      </c>
      <c r="O34" s="1068">
        <f t="shared" si="6"/>
        <v>32.237589433352547</v>
      </c>
      <c r="P34" s="1063">
        <f t="shared" si="6"/>
        <v>32.915390508305777</v>
      </c>
      <c r="Q34" s="1068">
        <f t="shared" si="6"/>
        <v>34.421821145781216</v>
      </c>
      <c r="R34" s="1068">
        <f t="shared" si="6"/>
        <v>33.83158813646655</v>
      </c>
      <c r="S34" s="1068">
        <f t="shared" si="6"/>
        <v>33.738073290588702</v>
      </c>
      <c r="T34" s="1068">
        <f t="shared" si="6"/>
        <v>34.496031605684884</v>
      </c>
      <c r="U34" s="1063">
        <f t="shared" si="6"/>
        <v>34.116745758594618</v>
      </c>
      <c r="V34" s="1068">
        <f t="shared" si="6"/>
        <v>35.295568161509237</v>
      </c>
      <c r="W34" s="1068">
        <f t="shared" si="6"/>
        <v>35.543823851170792</v>
      </c>
      <c r="X34" s="1068">
        <f t="shared" si="6"/>
        <v>35.080248690267773</v>
      </c>
      <c r="Y34" s="1068">
        <f t="shared" si="6"/>
        <v>34.558964030978267</v>
      </c>
      <c r="Z34" s="1063">
        <f t="shared" si="6"/>
        <v>35.114277834407908</v>
      </c>
      <c r="AA34" s="1068">
        <f t="shared" si="6"/>
        <v>35.621139327385038</v>
      </c>
      <c r="AB34" s="1068">
        <f t="shared" si="6"/>
        <v>36.153289949385396</v>
      </c>
      <c r="AC34" s="1068">
        <f t="shared" si="6"/>
        <v>35.988414192614052</v>
      </c>
      <c r="AD34" s="1068">
        <f t="shared" si="6"/>
        <v>35.34675615212528</v>
      </c>
      <c r="AE34" s="1063">
        <f t="shared" si="6"/>
        <v>35.778496943545491</v>
      </c>
      <c r="AF34" s="1068">
        <f t="shared" si="6"/>
        <v>36.443175959177658</v>
      </c>
      <c r="AG34" s="1068">
        <f t="shared" si="6"/>
        <v>37.292069632495163</v>
      </c>
      <c r="AH34" s="1068">
        <f t="shared" si="6"/>
        <v>34.958207811145115</v>
      </c>
    </row>
    <row r="35" spans="1:34" x14ac:dyDescent="0.25">
      <c r="A35" s="294" t="s">
        <v>1805</v>
      </c>
      <c r="B35" s="1065"/>
      <c r="C35" s="1065"/>
      <c r="D35" s="1065"/>
      <c r="E35" s="1065"/>
      <c r="F35" s="1066"/>
      <c r="G35" s="1067">
        <f t="shared" ref="G35:AH35" si="7">G34/B34-1</f>
        <v>4.1671649160718527E-2</v>
      </c>
      <c r="H35" s="1067">
        <f t="shared" si="7"/>
        <v>-6.0153062433370152E-3</v>
      </c>
      <c r="I35" s="1067">
        <f t="shared" si="7"/>
        <v>-5.6291523565831669E-2</v>
      </c>
      <c r="J35" s="1067">
        <f t="shared" si="7"/>
        <v>-8.9338690118527797E-3</v>
      </c>
      <c r="K35" s="1064">
        <f t="shared" si="7"/>
        <v>-6.7274878176304398E-3</v>
      </c>
      <c r="L35" s="1067">
        <f t="shared" si="7"/>
        <v>0.10139339518505186</v>
      </c>
      <c r="M35" s="1067">
        <f t="shared" si="7"/>
        <v>7.7911688939200863E-2</v>
      </c>
      <c r="N35" s="1067">
        <f t="shared" si="7"/>
        <v>0.10643695371216566</v>
      </c>
      <c r="O35" s="1067">
        <f t="shared" si="7"/>
        <v>2.9565068919669368E-2</v>
      </c>
      <c r="P35" s="1064">
        <f t="shared" si="7"/>
        <v>7.7471164517991076E-2</v>
      </c>
      <c r="Q35" s="1067">
        <f t="shared" si="7"/>
        <v>7.985646213769293E-3</v>
      </c>
      <c r="R35" s="1067">
        <f t="shared" si="7"/>
        <v>2.2938019181503844E-2</v>
      </c>
      <c r="S35" s="1067">
        <f t="shared" si="7"/>
        <v>4.4616362447734925E-2</v>
      </c>
      <c r="T35" s="1067">
        <f t="shared" si="7"/>
        <v>7.0056173927067533E-2</v>
      </c>
      <c r="U35" s="1064">
        <f t="shared" si="7"/>
        <v>3.6498283378582297E-2</v>
      </c>
      <c r="V35" s="1067">
        <f t="shared" si="7"/>
        <v>2.5383520878444532E-2</v>
      </c>
      <c r="W35" s="1067">
        <f t="shared" si="7"/>
        <v>5.0610562761570499E-2</v>
      </c>
      <c r="X35" s="1067">
        <f t="shared" si="7"/>
        <v>3.9782218389260438E-2</v>
      </c>
      <c r="Y35" s="1067">
        <f t="shared" si="7"/>
        <v>1.8243381155476079E-3</v>
      </c>
      <c r="Z35" s="1064">
        <f t="shared" si="7"/>
        <v>2.9238781531851998E-2</v>
      </c>
      <c r="AA35" s="1067">
        <f t="shared" si="7"/>
        <v>9.2241372737227323E-3</v>
      </c>
      <c r="AB35" s="1067">
        <f t="shared" si="7"/>
        <v>1.7146891700976274E-2</v>
      </c>
      <c r="AC35" s="1067">
        <f t="shared" si="7"/>
        <v>2.5888228739901376E-2</v>
      </c>
      <c r="AD35" s="1067">
        <f t="shared" si="7"/>
        <v>2.2795594232536853E-2</v>
      </c>
      <c r="AE35" s="1064">
        <f t="shared" si="7"/>
        <v>1.8915926799631499E-2</v>
      </c>
      <c r="AF35" s="1067">
        <f t="shared" si="7"/>
        <v>2.3077213343388303E-2</v>
      </c>
      <c r="AG35" s="1067">
        <f t="shared" si="7"/>
        <v>3.1498646034816113E-2</v>
      </c>
      <c r="AH35" s="1067">
        <f t="shared" si="7"/>
        <v>-2.8626056595746463E-2</v>
      </c>
    </row>
    <row r="36" spans="1:34" x14ac:dyDescent="0.25">
      <c r="A36" s="281"/>
      <c r="B36" s="1068"/>
      <c r="C36" s="1068"/>
      <c r="D36" s="1068"/>
      <c r="E36" s="1068"/>
      <c r="F36" s="1063"/>
      <c r="G36" s="382"/>
      <c r="H36" s="382"/>
      <c r="I36" s="382"/>
      <c r="J36" s="382"/>
      <c r="K36" s="1063"/>
      <c r="L36" s="382"/>
      <c r="M36" s="382"/>
      <c r="N36" s="382"/>
      <c r="O36" s="382"/>
      <c r="P36" s="1063"/>
      <c r="Q36" s="382"/>
      <c r="R36" s="382"/>
      <c r="S36" s="382"/>
      <c r="T36" s="382"/>
      <c r="U36" s="1063"/>
      <c r="V36" s="382"/>
      <c r="W36" s="382"/>
      <c r="X36" s="382"/>
      <c r="Y36" s="382"/>
      <c r="Z36" s="1063"/>
      <c r="AA36" s="382"/>
      <c r="AB36" s="382"/>
      <c r="AC36" s="382"/>
      <c r="AD36" s="382"/>
      <c r="AE36" s="1063"/>
      <c r="AF36" s="382"/>
      <c r="AG36" s="382"/>
      <c r="AH36" s="382"/>
    </row>
    <row r="37" spans="1:34" x14ac:dyDescent="0.25">
      <c r="A37" s="281"/>
      <c r="B37" s="281"/>
      <c r="C37" s="281"/>
      <c r="D37" s="281"/>
      <c r="E37" s="281"/>
      <c r="F37" s="419"/>
      <c r="G37" s="281"/>
      <c r="H37" s="281"/>
      <c r="I37" s="281"/>
      <c r="J37" s="281"/>
      <c r="K37" s="419"/>
      <c r="L37" s="281"/>
      <c r="M37" s="281"/>
      <c r="N37" s="281"/>
      <c r="O37" s="281"/>
      <c r="P37" s="419"/>
      <c r="Q37" s="281"/>
      <c r="R37" s="281"/>
      <c r="S37" s="281"/>
      <c r="T37" s="281"/>
      <c r="U37" s="419"/>
      <c r="V37" s="281"/>
      <c r="W37" s="281"/>
      <c r="X37" s="281"/>
      <c r="Y37" s="281"/>
      <c r="Z37" s="419"/>
      <c r="AA37" s="281"/>
      <c r="AB37" s="281"/>
      <c r="AC37" s="281"/>
      <c r="AD37" s="281"/>
      <c r="AE37" s="419"/>
      <c r="AF37" s="281"/>
      <c r="AG37" s="281"/>
      <c r="AH37" s="281"/>
    </row>
    <row r="38" spans="1:34" x14ac:dyDescent="0.25">
      <c r="A38" s="785" t="s">
        <v>1548</v>
      </c>
      <c r="B38" s="283"/>
      <c r="C38" s="283"/>
      <c r="D38" s="283"/>
      <c r="E38" s="283"/>
      <c r="F38" s="341"/>
      <c r="G38" s="283"/>
      <c r="H38" s="283"/>
      <c r="I38" s="283"/>
      <c r="J38" s="283"/>
      <c r="K38" s="341"/>
      <c r="L38" s="283"/>
      <c r="M38" s="283"/>
      <c r="N38" s="283"/>
      <c r="O38" s="283"/>
      <c r="P38" s="341"/>
      <c r="Q38" s="283"/>
      <c r="R38" s="283"/>
      <c r="S38" s="283"/>
      <c r="T38" s="283"/>
      <c r="U38" s="341"/>
      <c r="V38" s="283"/>
      <c r="W38" s="283"/>
      <c r="X38" s="283"/>
      <c r="Y38" s="283"/>
      <c r="Z38" s="341"/>
      <c r="AA38" s="283"/>
      <c r="AB38" s="283"/>
      <c r="AC38" s="283"/>
      <c r="AD38" s="283"/>
      <c r="AE38" s="341"/>
      <c r="AF38" s="283"/>
      <c r="AG38" s="283"/>
      <c r="AH38" s="283"/>
    </row>
    <row r="39" spans="1:34" x14ac:dyDescent="0.25">
      <c r="A39" s="281"/>
      <c r="B39" s="281"/>
      <c r="C39" s="281"/>
      <c r="D39" s="281"/>
      <c r="E39" s="281"/>
      <c r="F39" s="419"/>
      <c r="G39" s="281"/>
      <c r="H39" s="281"/>
      <c r="I39" s="281"/>
      <c r="J39" s="281"/>
      <c r="K39" s="419"/>
      <c r="L39" s="281"/>
      <c r="M39" s="281"/>
      <c r="N39" s="281"/>
      <c r="O39" s="281"/>
      <c r="P39" s="419"/>
      <c r="Q39" s="281"/>
      <c r="R39" s="281"/>
      <c r="S39" s="281"/>
      <c r="T39" s="281"/>
      <c r="U39" s="419"/>
      <c r="V39" s="281"/>
      <c r="W39" s="281"/>
      <c r="X39" s="281"/>
      <c r="Y39" s="281"/>
      <c r="Z39" s="419"/>
      <c r="AA39" s="281"/>
      <c r="AB39" s="281"/>
      <c r="AC39" s="281"/>
      <c r="AD39" s="281"/>
      <c r="AE39" s="419"/>
      <c r="AF39" s="281"/>
      <c r="AG39" s="281"/>
      <c r="AH39" s="281"/>
    </row>
    <row r="40" spans="1:34" x14ac:dyDescent="0.25">
      <c r="A40" s="281" t="s">
        <v>1362</v>
      </c>
      <c r="B40" s="1068">
        <f>PENN!C1010</f>
        <v>27.833822000000001</v>
      </c>
      <c r="C40" s="1068">
        <f>PENN!D1010</f>
        <v>26.736314999999998</v>
      </c>
      <c r="D40" s="1068">
        <f>PENN!E1010</f>
        <v>25.16561153</v>
      </c>
      <c r="E40" s="1068">
        <f>PENN!F1010</f>
        <v>26.196209960000001</v>
      </c>
      <c r="F40" s="1063">
        <f>PENN!G1010</f>
        <v>105.93195849</v>
      </c>
      <c r="G40" s="1068">
        <f>PENN!H1010</f>
        <v>29.888244279999999</v>
      </c>
      <c r="H40" s="1068">
        <f>PENN!I1010</f>
        <v>29.375931999999999</v>
      </c>
      <c r="I40" s="1068">
        <f>PENN!J1010</f>
        <v>29.879949999999997</v>
      </c>
      <c r="J40" s="1068">
        <f>PENN!K1010</f>
        <v>44.184684000000004</v>
      </c>
      <c r="K40" s="1063">
        <f>PENN!L1010</f>
        <v>133.32881028</v>
      </c>
      <c r="L40" s="1068">
        <f>PENN!M1010</f>
        <v>44.792237999999998</v>
      </c>
      <c r="M40" s="1068">
        <f>PENN!N1010</f>
        <v>36.700000000000003</v>
      </c>
      <c r="N40" s="1068">
        <f>PENN!O1010</f>
        <v>34.951773000000003</v>
      </c>
      <c r="O40" s="1068">
        <f>PENN!P1010</f>
        <v>33.58543418</v>
      </c>
      <c r="P40" s="1063">
        <f>PENN!Q1010</f>
        <v>150.02944518000001</v>
      </c>
      <c r="Q40" s="1068">
        <f>PENN!R1010</f>
        <v>36.263494999999999</v>
      </c>
      <c r="R40" s="1068">
        <f>PENN!S1010</f>
        <v>35.059904000000003</v>
      </c>
      <c r="S40" s="1068">
        <f>PENN!T1010</f>
        <v>35.529046000000001</v>
      </c>
      <c r="T40" s="1068">
        <f>PENN!U1010</f>
        <v>34.227240000000002</v>
      </c>
      <c r="U40" s="1063">
        <f>PENN!V1010</f>
        <v>141.07968499999998</v>
      </c>
      <c r="V40" s="1068">
        <f>PENN!W1010</f>
        <v>36.098852000000001</v>
      </c>
      <c r="W40" s="1068">
        <f>PENN!X1010</f>
        <v>34.679112449999998</v>
      </c>
      <c r="X40" s="1068">
        <f>PENN!Y1010</f>
        <v>30.98709732</v>
      </c>
      <c r="Y40" s="1068">
        <f>PENN!Z1010</f>
        <v>34.903369010000006</v>
      </c>
      <c r="Z40" s="1063">
        <f>PENN!AA1010</f>
        <v>136.66843077999999</v>
      </c>
      <c r="AA40" s="1068">
        <f>PENN!AB1010</f>
        <v>36.700000000000003</v>
      </c>
      <c r="AB40" s="1068">
        <f>PENN!AC1010</f>
        <v>32.799999999999997</v>
      </c>
      <c r="AC40" s="1068">
        <f>PENN!AD1010</f>
        <v>30.6</v>
      </c>
      <c r="AD40" s="1068">
        <f>PENN!AE1010</f>
        <v>28.1</v>
      </c>
      <c r="AE40" s="1063">
        <f>PENN!AF1010</f>
        <v>128.19999999999999</v>
      </c>
      <c r="AF40" s="1068">
        <f>PENN!AG1010</f>
        <v>31.4</v>
      </c>
      <c r="AG40" s="1068">
        <f>PENN!AH1010</f>
        <v>30</v>
      </c>
      <c r="AH40" s="1068">
        <f>PENN!AI1010</f>
        <v>28.193031749999999</v>
      </c>
    </row>
    <row r="41" spans="1:34" x14ac:dyDescent="0.25">
      <c r="A41" s="281" t="s">
        <v>1057</v>
      </c>
      <c r="B41" s="281">
        <f>PENN!C1007</f>
        <v>382.822</v>
      </c>
      <c r="C41" s="281">
        <f>PENN!D1007</f>
        <v>370.72800000000001</v>
      </c>
      <c r="D41" s="281">
        <f>PENN!E1007</f>
        <v>365.99099999999999</v>
      </c>
      <c r="E41" s="281">
        <f>PENN!F1007</f>
        <v>346.42500000000001</v>
      </c>
      <c r="F41" s="419">
        <f>PENN!G1007</f>
        <v>1465.9659999999999</v>
      </c>
      <c r="G41" s="281">
        <f>PENN!H1007</f>
        <v>392.505</v>
      </c>
      <c r="H41" s="281">
        <f>PENN!I1007</f>
        <v>397.25799999999998</v>
      </c>
      <c r="I41" s="281">
        <f>PENN!J1007</f>
        <v>315.77999999999997</v>
      </c>
      <c r="J41" s="281">
        <f>PENN!K1007</f>
        <v>454.584</v>
      </c>
      <c r="K41" s="419">
        <f>PENN!L1007</f>
        <v>1560.127</v>
      </c>
      <c r="L41" s="281">
        <f>PENN!M1007</f>
        <v>442.642</v>
      </c>
      <c r="M41" s="281">
        <f>PENN!N1007</f>
        <v>381.2</v>
      </c>
      <c r="N41" s="281">
        <f>PENN!O1007</f>
        <v>366.50299999999999</v>
      </c>
      <c r="O41" s="281">
        <f>PENN!P1007</f>
        <v>338.78399999999999</v>
      </c>
      <c r="P41" s="419">
        <f>PENN!Q1007</f>
        <v>1529.1289999999999</v>
      </c>
      <c r="Q41" s="281">
        <f>PENN!R1007</f>
        <v>366.39299999999997</v>
      </c>
      <c r="R41" s="281">
        <f>PENN!S1007</f>
        <v>361.81200000000001</v>
      </c>
      <c r="S41" s="281">
        <f>PENN!T1007</f>
        <v>361.07799999999997</v>
      </c>
      <c r="T41" s="281">
        <f>PENN!U1007</f>
        <v>336.625</v>
      </c>
      <c r="U41" s="419">
        <f>PENN!V1007</f>
        <v>1425.9079999999999</v>
      </c>
      <c r="V41" s="281">
        <f>PENN!W1007</f>
        <v>353.75299999999999</v>
      </c>
      <c r="W41" s="281">
        <f>PENN!X1007</f>
        <v>350.59399999999999</v>
      </c>
      <c r="X41" s="281">
        <f>PENN!Y1007</f>
        <v>309.22199999999998</v>
      </c>
      <c r="Y41" s="281">
        <f>PENN!Z1007</f>
        <v>324.92399999999998</v>
      </c>
      <c r="Z41" s="419">
        <f>PENN!AA1007</f>
        <v>1338.4929999999999</v>
      </c>
      <c r="AA41" s="281">
        <f>PENN!AB1007</f>
        <v>338.3</v>
      </c>
      <c r="AB41" s="281">
        <f>PENN!AC1007</f>
        <v>312</v>
      </c>
      <c r="AC41" s="281">
        <f>PENN!AD1007</f>
        <v>295.3</v>
      </c>
      <c r="AD41" s="281">
        <f>PENN!AE1007</f>
        <v>275.05500000000001</v>
      </c>
      <c r="AE41" s="419">
        <f>PENN!AF1007</f>
        <v>1220.655</v>
      </c>
      <c r="AF41" s="281">
        <f>PENN!AG1007</f>
        <v>293.10000000000002</v>
      </c>
      <c r="AG41" s="281">
        <f>PENN!AH1007</f>
        <v>285.3</v>
      </c>
      <c r="AH41" s="281">
        <f>PENN!AI1007</f>
        <v>282.72500000000002</v>
      </c>
    </row>
    <row r="42" spans="1:34" x14ac:dyDescent="0.25">
      <c r="A42" s="281" t="s">
        <v>1801</v>
      </c>
      <c r="B42" s="1068">
        <f t="shared" ref="B42:AH42" si="8">B40/B41*1000</f>
        <v>72.706955190663024</v>
      </c>
      <c r="C42" s="1068">
        <f t="shared" si="8"/>
        <v>72.118412960445383</v>
      </c>
      <c r="D42" s="1068">
        <f t="shared" si="8"/>
        <v>68.760192272487572</v>
      </c>
      <c r="E42" s="1068">
        <f t="shared" si="8"/>
        <v>75.618705232012701</v>
      </c>
      <c r="F42" s="1063">
        <f t="shared" si="8"/>
        <v>72.260856315903652</v>
      </c>
      <c r="G42" s="1068">
        <f t="shared" si="8"/>
        <v>76.147423039196951</v>
      </c>
      <c r="H42" s="1068">
        <f t="shared" si="8"/>
        <v>73.946734867516824</v>
      </c>
      <c r="I42" s="1068">
        <f t="shared" si="8"/>
        <v>94.622680347077079</v>
      </c>
      <c r="J42" s="1068">
        <f t="shared" si="8"/>
        <v>97.198062404308118</v>
      </c>
      <c r="K42" s="1063">
        <f t="shared" si="8"/>
        <v>85.460228737788668</v>
      </c>
      <c r="L42" s="1068">
        <f t="shared" si="8"/>
        <v>101.19292340085215</v>
      </c>
      <c r="M42" s="1068">
        <f t="shared" si="8"/>
        <v>96.274921301154251</v>
      </c>
      <c r="N42" s="1068">
        <f t="shared" si="8"/>
        <v>95.365585002032731</v>
      </c>
      <c r="O42" s="1068">
        <f t="shared" si="8"/>
        <v>99.135243045716436</v>
      </c>
      <c r="P42" s="1063">
        <f t="shared" si="8"/>
        <v>98.11431552210442</v>
      </c>
      <c r="Q42" s="1068">
        <f t="shared" si="8"/>
        <v>98.974311736305012</v>
      </c>
      <c r="R42" s="1068">
        <f t="shared" si="8"/>
        <v>96.900887753861127</v>
      </c>
      <c r="S42" s="1068">
        <f t="shared" si="8"/>
        <v>98.3971496463368</v>
      </c>
      <c r="T42" s="1068">
        <f t="shared" si="8"/>
        <v>101.6776531748979</v>
      </c>
      <c r="U42" s="1063">
        <f t="shared" si="8"/>
        <v>98.94024369033626</v>
      </c>
      <c r="V42" s="1068">
        <f t="shared" si="8"/>
        <v>102.04535933264171</v>
      </c>
      <c r="W42" s="1068">
        <f t="shared" si="8"/>
        <v>98.915305025185816</v>
      </c>
      <c r="X42" s="1068">
        <f t="shared" si="8"/>
        <v>100.20987290684363</v>
      </c>
      <c r="Y42" s="1068">
        <f t="shared" si="8"/>
        <v>107.42010134677651</v>
      </c>
      <c r="Z42" s="1063">
        <f t="shared" si="8"/>
        <v>102.10619762673396</v>
      </c>
      <c r="AA42" s="1068">
        <f t="shared" si="8"/>
        <v>108.48359444280226</v>
      </c>
      <c r="AB42" s="1068">
        <f t="shared" si="8"/>
        <v>105.12820512820511</v>
      </c>
      <c r="AC42" s="1068">
        <f t="shared" si="8"/>
        <v>103.62343379613952</v>
      </c>
      <c r="AD42" s="1068">
        <f t="shared" si="8"/>
        <v>102.16138590463726</v>
      </c>
      <c r="AE42" s="1063">
        <f t="shared" si="8"/>
        <v>105.02558052848674</v>
      </c>
      <c r="AF42" s="1068">
        <f t="shared" si="8"/>
        <v>107.13067212555441</v>
      </c>
      <c r="AG42" s="1068">
        <f t="shared" si="8"/>
        <v>105.15247108307045</v>
      </c>
      <c r="AH42" s="1068">
        <f t="shared" si="8"/>
        <v>99.71892032894155</v>
      </c>
    </row>
    <row r="43" spans="1:34" x14ac:dyDescent="0.25">
      <c r="A43" s="294" t="s">
        <v>1805</v>
      </c>
      <c r="B43" s="1065"/>
      <c r="C43" s="1065"/>
      <c r="D43" s="1065"/>
      <c r="E43" s="1065"/>
      <c r="F43" s="1066"/>
      <c r="G43" s="1067">
        <f t="shared" ref="G43:AH43" si="9">G42/B42-1</f>
        <v>4.731965242543601E-2</v>
      </c>
      <c r="H43" s="1067">
        <f t="shared" si="9"/>
        <v>2.5351665850914085E-2</v>
      </c>
      <c r="I43" s="1067">
        <f t="shared" si="9"/>
        <v>0.37612588359409882</v>
      </c>
      <c r="J43" s="1067">
        <f t="shared" si="9"/>
        <v>0.28537062498076105</v>
      </c>
      <c r="K43" s="1064">
        <f t="shared" si="9"/>
        <v>0.18266282874065531</v>
      </c>
      <c r="L43" s="1067">
        <f t="shared" si="9"/>
        <v>0.32890804917670047</v>
      </c>
      <c r="M43" s="1067">
        <f t="shared" si="9"/>
        <v>0.30194959214413819</v>
      </c>
      <c r="N43" s="1067">
        <f t="shared" si="9"/>
        <v>7.8512324131030375E-3</v>
      </c>
      <c r="O43" s="1067">
        <f t="shared" si="9"/>
        <v>1.9930239281420681E-2</v>
      </c>
      <c r="P43" s="1064">
        <f t="shared" si="9"/>
        <v>0.14806989135427373</v>
      </c>
      <c r="Q43" s="1067">
        <f t="shared" si="9"/>
        <v>-2.1924573280274084E-2</v>
      </c>
      <c r="R43" s="1067">
        <f t="shared" si="9"/>
        <v>6.5018640809770822E-3</v>
      </c>
      <c r="S43" s="1067">
        <f t="shared" si="9"/>
        <v>3.1788874825645408E-2</v>
      </c>
      <c r="T43" s="1067">
        <f t="shared" si="9"/>
        <v>2.5645875786162398E-2</v>
      </c>
      <c r="U43" s="1064">
        <f t="shared" si="9"/>
        <v>8.4180189591778198E-3</v>
      </c>
      <c r="V43" s="1067">
        <f t="shared" si="9"/>
        <v>3.1028734046858686E-2</v>
      </c>
      <c r="W43" s="1067">
        <f t="shared" si="9"/>
        <v>2.0788429476946924E-2</v>
      </c>
      <c r="X43" s="1067">
        <f t="shared" si="9"/>
        <v>1.8422517999984622E-2</v>
      </c>
      <c r="Y43" s="1067">
        <f t="shared" si="9"/>
        <v>5.6476993641866313E-2</v>
      </c>
      <c r="Z43" s="1064">
        <f t="shared" si="9"/>
        <v>3.199864704504396E-2</v>
      </c>
      <c r="AA43" s="1067">
        <f t="shared" si="9"/>
        <v>6.3091895136294651E-2</v>
      </c>
      <c r="AB43" s="1067">
        <f t="shared" si="9"/>
        <v>6.2810301211095432E-2</v>
      </c>
      <c r="AC43" s="1067">
        <f t="shared" si="9"/>
        <v>3.4064117539288619E-2</v>
      </c>
      <c r="AD43" s="1067">
        <f t="shared" si="9"/>
        <v>-4.8954668411295921E-2</v>
      </c>
      <c r="AE43" s="1064">
        <f t="shared" si="9"/>
        <v>2.8591632727575256E-2</v>
      </c>
      <c r="AF43" s="1067">
        <f t="shared" si="9"/>
        <v>-1.2471215801769686E-2</v>
      </c>
      <c r="AG43" s="1067">
        <f t="shared" si="9"/>
        <v>2.3082249749961647E-4</v>
      </c>
      <c r="AH43" s="1067">
        <f t="shared" si="9"/>
        <v>-3.7679830943253667E-2</v>
      </c>
    </row>
    <row r="44" spans="1:34" x14ac:dyDescent="0.25">
      <c r="A44" s="281"/>
      <c r="B44" s="1068"/>
      <c r="C44" s="1068"/>
      <c r="D44" s="1068"/>
      <c r="E44" s="1068"/>
      <c r="F44" s="1063"/>
      <c r="G44" s="382"/>
      <c r="H44" s="382"/>
      <c r="I44" s="382"/>
      <c r="J44" s="382"/>
      <c r="K44" s="1063"/>
      <c r="L44" s="382"/>
      <c r="M44" s="382"/>
      <c r="N44" s="382"/>
      <c r="O44" s="382"/>
      <c r="P44" s="1063"/>
      <c r="Q44" s="382"/>
      <c r="R44" s="382"/>
      <c r="S44" s="382"/>
      <c r="T44" s="382"/>
      <c r="U44" s="1063"/>
      <c r="V44" s="382"/>
      <c r="W44" s="382"/>
      <c r="X44" s="382"/>
      <c r="Y44" s="382"/>
      <c r="Z44" s="1063"/>
      <c r="AA44" s="382"/>
      <c r="AB44" s="382"/>
      <c r="AC44" s="382"/>
      <c r="AD44" s="382"/>
      <c r="AE44" s="1063"/>
      <c r="AF44" s="382"/>
      <c r="AG44" s="382"/>
      <c r="AH44" s="382"/>
    </row>
    <row r="45" spans="1:34" x14ac:dyDescent="0.25">
      <c r="A45" s="281"/>
      <c r="B45" s="281"/>
      <c r="C45" s="281"/>
      <c r="D45" s="281"/>
      <c r="E45" s="281"/>
      <c r="F45" s="419"/>
      <c r="G45" s="281"/>
      <c r="H45" s="281"/>
      <c r="I45" s="281"/>
      <c r="J45" s="281"/>
      <c r="K45" s="419"/>
      <c r="L45" s="281"/>
      <c r="M45" s="281"/>
      <c r="N45" s="281"/>
      <c r="O45" s="281"/>
      <c r="P45" s="419"/>
      <c r="Q45" s="281"/>
      <c r="R45" s="281"/>
      <c r="S45" s="281"/>
      <c r="T45" s="281"/>
      <c r="U45" s="419"/>
      <c r="V45" s="281"/>
      <c r="W45" s="281"/>
      <c r="X45" s="281"/>
      <c r="Y45" s="281"/>
      <c r="Z45" s="419"/>
      <c r="AA45" s="281"/>
      <c r="AB45" s="281"/>
      <c r="AC45" s="281"/>
      <c r="AD45" s="281"/>
      <c r="AE45" s="419"/>
      <c r="AF45" s="281"/>
      <c r="AG45" s="281"/>
      <c r="AH45" s="281"/>
    </row>
    <row r="46" spans="1:34" x14ac:dyDescent="0.25">
      <c r="A46" s="785" t="s">
        <v>1020</v>
      </c>
      <c r="B46" s="283"/>
      <c r="C46" s="283"/>
      <c r="D46" s="283"/>
      <c r="E46" s="283"/>
      <c r="F46" s="341"/>
      <c r="G46" s="283"/>
      <c r="H46" s="283"/>
      <c r="I46" s="283"/>
      <c r="J46" s="283"/>
      <c r="K46" s="341"/>
      <c r="L46" s="283"/>
      <c r="M46" s="283"/>
      <c r="N46" s="283"/>
      <c r="O46" s="283"/>
      <c r="P46" s="341"/>
      <c r="Q46" s="283"/>
      <c r="R46" s="283"/>
      <c r="S46" s="283"/>
      <c r="T46" s="283"/>
      <c r="U46" s="341"/>
      <c r="V46" s="283"/>
      <c r="W46" s="283"/>
      <c r="X46" s="283"/>
      <c r="Y46" s="283"/>
      <c r="Z46" s="341"/>
      <c r="AA46" s="283"/>
      <c r="AB46" s="283"/>
      <c r="AC46" s="283"/>
      <c r="AD46" s="283"/>
      <c r="AE46" s="341"/>
      <c r="AF46" s="283"/>
      <c r="AG46" s="283"/>
      <c r="AH46" s="283"/>
    </row>
    <row r="47" spans="1:34" x14ac:dyDescent="0.25">
      <c r="A47" s="281"/>
      <c r="B47" s="281"/>
      <c r="C47" s="281"/>
      <c r="D47" s="281"/>
      <c r="E47" s="281"/>
      <c r="F47" s="419"/>
      <c r="G47" s="281"/>
      <c r="H47" s="281"/>
      <c r="I47" s="281"/>
      <c r="J47" s="281"/>
      <c r="K47" s="419"/>
      <c r="L47" s="281"/>
      <c r="M47" s="281"/>
      <c r="N47" s="281"/>
      <c r="O47" s="281"/>
      <c r="P47" s="419"/>
      <c r="Q47" s="281"/>
      <c r="R47" s="281"/>
      <c r="S47" s="281"/>
      <c r="T47" s="281"/>
      <c r="U47" s="419"/>
      <c r="V47" s="281"/>
      <c r="W47" s="281"/>
      <c r="X47" s="281"/>
      <c r="Y47" s="281"/>
      <c r="Z47" s="419"/>
      <c r="AA47" s="281"/>
      <c r="AB47" s="281"/>
      <c r="AC47" s="281"/>
      <c r="AD47" s="281"/>
      <c r="AE47" s="419"/>
      <c r="AF47" s="281"/>
      <c r="AG47" s="281"/>
      <c r="AH47" s="281"/>
    </row>
    <row r="48" spans="1:34" x14ac:dyDescent="0.25">
      <c r="A48" s="281" t="s">
        <v>1362</v>
      </c>
      <c r="B48" s="1068">
        <f>PENN!C855</f>
        <v>27.186</v>
      </c>
      <c r="C48" s="1068">
        <f>PENN!D855</f>
        <v>25.901</v>
      </c>
      <c r="D48" s="1068">
        <f>PENN!E855</f>
        <v>27.774000000000001</v>
      </c>
      <c r="E48" s="1068">
        <f>PENN!F855</f>
        <v>26.306999999999999</v>
      </c>
      <c r="F48" s="1063">
        <f>PENN!G855</f>
        <v>107.16800000000001</v>
      </c>
      <c r="G48" s="1068">
        <f>PENN!H855</f>
        <v>28.306000000000001</v>
      </c>
      <c r="H48" s="1068">
        <f>PENN!I855</f>
        <v>28.021999999999998</v>
      </c>
      <c r="I48" s="1068">
        <f>PENN!J855</f>
        <v>29.758000000000003</v>
      </c>
      <c r="J48" s="1068">
        <f>PENN!K855</f>
        <v>27.506</v>
      </c>
      <c r="K48" s="1063">
        <f>PENN!L855</f>
        <v>113.59200000000001</v>
      </c>
      <c r="L48" s="1068">
        <f>PENN!M855</f>
        <v>31.008999999999997</v>
      </c>
      <c r="M48" s="1068">
        <f>PENN!N855</f>
        <v>29.8</v>
      </c>
      <c r="N48" s="1068">
        <f>PENN!O855</f>
        <v>30.916000000000004</v>
      </c>
      <c r="O48" s="1068">
        <f>PENN!P855</f>
        <v>29.974000000000004</v>
      </c>
      <c r="P48" s="1063">
        <f>PENN!Q855</f>
        <v>121.699</v>
      </c>
      <c r="Q48" s="1068">
        <f>PENN!R855</f>
        <v>32.373999999999995</v>
      </c>
      <c r="R48" s="1068">
        <f>PENN!S855</f>
        <v>32.104999999999997</v>
      </c>
      <c r="S48" s="1068">
        <f>PENN!T855</f>
        <v>31.842000000000002</v>
      </c>
      <c r="T48" s="1068">
        <f>PENN!U855</f>
        <v>29.385000000000002</v>
      </c>
      <c r="U48" s="1063">
        <f>PENN!V855</f>
        <v>125.70599999999999</v>
      </c>
      <c r="V48" s="1068">
        <f>PENN!W855</f>
        <v>24.220999999999997</v>
      </c>
      <c r="W48" s="1068">
        <f>PENN!X855</f>
        <v>23.532</v>
      </c>
      <c r="X48" s="1068">
        <f>PENN!Y855</f>
        <v>23.462</v>
      </c>
      <c r="Y48" s="1068">
        <f>PENN!Z855</f>
        <v>20.236000000000001</v>
      </c>
      <c r="Z48" s="1063">
        <f>PENN!AA855</f>
        <v>91.451000000000008</v>
      </c>
      <c r="AA48" s="1068">
        <f>PENN!AB855</f>
        <v>21.9</v>
      </c>
      <c r="AB48" s="1068">
        <f>PENN!AC855</f>
        <v>22</v>
      </c>
      <c r="AC48" s="1068">
        <f>PENN!AD855</f>
        <v>21.4</v>
      </c>
      <c r="AD48" s="1068">
        <f>PENN!AE855</f>
        <v>18.899999999999999</v>
      </c>
      <c r="AE48" s="1063">
        <f>PENN!AF855</f>
        <v>84.199999999999989</v>
      </c>
      <c r="AF48" s="1068">
        <f>PENN!AG855</f>
        <v>20.2</v>
      </c>
      <c r="AG48" s="1068">
        <f>PENN!AH855</f>
        <v>19.5</v>
      </c>
      <c r="AH48" s="1068">
        <f>PENN!AI855</f>
        <v>19.7</v>
      </c>
    </row>
    <row r="49" spans="1:34" x14ac:dyDescent="0.25">
      <c r="A49" s="281" t="s">
        <v>1057</v>
      </c>
      <c r="B49" s="281">
        <f>PENN!C852</f>
        <v>348.98599999999999</v>
      </c>
      <c r="C49" s="281">
        <f>PENN!D852</f>
        <v>347.90499999999997</v>
      </c>
      <c r="D49" s="281">
        <f>PENN!E852</f>
        <v>375.59899999999999</v>
      </c>
      <c r="E49" s="281">
        <f>PENN!F852</f>
        <v>338.089</v>
      </c>
      <c r="F49" s="419">
        <f>PENN!G852</f>
        <v>1410.579</v>
      </c>
      <c r="G49" s="281">
        <f>PENN!H852</f>
        <v>351.072</v>
      </c>
      <c r="H49" s="281">
        <f>PENN!I852</f>
        <v>359.8</v>
      </c>
      <c r="I49" s="281">
        <f>PENN!J852</f>
        <v>386.91099999999994</v>
      </c>
      <c r="J49" s="281">
        <f>PENN!K852</f>
        <v>350.21600000000001</v>
      </c>
      <c r="K49" s="419">
        <f>PENN!L852</f>
        <v>1447.9989999999998</v>
      </c>
      <c r="L49" s="281">
        <f>PENN!M852</f>
        <v>378.39799999999997</v>
      </c>
      <c r="M49" s="281">
        <f>PENN!N852</f>
        <v>361.4</v>
      </c>
      <c r="N49" s="281">
        <f>PENN!O852</f>
        <v>381.77099999999996</v>
      </c>
      <c r="O49" s="281">
        <f>PENN!P852</f>
        <v>347.68600000000004</v>
      </c>
      <c r="P49" s="419">
        <f>PENN!Q852</f>
        <v>1469.2550000000001</v>
      </c>
      <c r="Q49" s="281">
        <f>PENN!R852</f>
        <v>357.32799999999997</v>
      </c>
      <c r="R49" s="281">
        <f>PENN!S852</f>
        <v>368.72899999999998</v>
      </c>
      <c r="S49" s="281">
        <f>PENN!T852</f>
        <v>380.54</v>
      </c>
      <c r="T49" s="281">
        <f>PENN!U852</f>
        <v>380.54</v>
      </c>
      <c r="U49" s="419">
        <f>PENN!V852</f>
        <v>1487.1369999999999</v>
      </c>
      <c r="V49" s="281">
        <f>PENN!W852</f>
        <v>312.46299999999997</v>
      </c>
      <c r="W49" s="281">
        <f>PENN!X852</f>
        <v>301.05099999999999</v>
      </c>
      <c r="X49" s="281">
        <f>PENN!Y852</f>
        <v>309.803</v>
      </c>
      <c r="Y49" s="281">
        <f>PENN!Z852</f>
        <v>269.06100000000004</v>
      </c>
      <c r="Z49" s="419">
        <f>PENN!AA852</f>
        <v>1192.3779999999999</v>
      </c>
      <c r="AA49" s="281">
        <f>PENN!AB852</f>
        <v>290.60000000000002</v>
      </c>
      <c r="AB49" s="281">
        <f>PENN!AC852</f>
        <v>296</v>
      </c>
      <c r="AC49" s="281">
        <f>PENN!AD852</f>
        <v>311.8</v>
      </c>
      <c r="AD49" s="281">
        <f>PENN!AE852</f>
        <v>260.39999999999998</v>
      </c>
      <c r="AE49" s="419">
        <f>PENN!AF852</f>
        <v>1158.8000000000002</v>
      </c>
      <c r="AF49" s="281">
        <f>PENN!AG852</f>
        <v>269.89999999999998</v>
      </c>
      <c r="AG49" s="281">
        <f>PENN!AH852</f>
        <v>264.89999999999998</v>
      </c>
      <c r="AH49" s="281">
        <f>PENN!AI852</f>
        <v>265.03899999999999</v>
      </c>
    </row>
    <row r="50" spans="1:34" x14ac:dyDescent="0.25">
      <c r="A50" s="281" t="s">
        <v>1801</v>
      </c>
      <c r="B50" s="1068">
        <f t="shared" ref="B50:AH50" si="10">B48/B49*1000</f>
        <v>77.899973064822092</v>
      </c>
      <c r="C50" s="1068">
        <f t="shared" si="10"/>
        <v>74.448484500079047</v>
      </c>
      <c r="D50" s="1068">
        <f t="shared" si="10"/>
        <v>73.945883774983429</v>
      </c>
      <c r="E50" s="1068">
        <f t="shared" si="10"/>
        <v>77.81087228510836</v>
      </c>
      <c r="F50" s="1063">
        <f t="shared" si="10"/>
        <v>75.974475729469958</v>
      </c>
      <c r="G50" s="1068">
        <f t="shared" si="10"/>
        <v>80.627335703217582</v>
      </c>
      <c r="H50" s="1068">
        <f t="shared" si="10"/>
        <v>77.882156753752085</v>
      </c>
      <c r="I50" s="1068">
        <f t="shared" si="10"/>
        <v>76.911744561410785</v>
      </c>
      <c r="J50" s="1068">
        <f t="shared" si="10"/>
        <v>78.540100966260823</v>
      </c>
      <c r="K50" s="1063">
        <f t="shared" si="10"/>
        <v>78.447567988651954</v>
      </c>
      <c r="L50" s="1068">
        <f t="shared" si="10"/>
        <v>81.948107548137145</v>
      </c>
      <c r="M50" s="1068">
        <f t="shared" si="10"/>
        <v>82.457111234089666</v>
      </c>
      <c r="N50" s="1068">
        <f t="shared" si="10"/>
        <v>80.980483064454887</v>
      </c>
      <c r="O50" s="1068">
        <f t="shared" si="10"/>
        <v>86.209971065846773</v>
      </c>
      <c r="P50" s="1063">
        <f t="shared" si="10"/>
        <v>82.830414053380792</v>
      </c>
      <c r="Q50" s="1068">
        <f t="shared" si="10"/>
        <v>90.600232839296112</v>
      </c>
      <c r="R50" s="1068">
        <f t="shared" si="10"/>
        <v>87.06936530622761</v>
      </c>
      <c r="S50" s="1068">
        <f t="shared" si="10"/>
        <v>83.6758290849845</v>
      </c>
      <c r="T50" s="1068">
        <f t="shared" si="10"/>
        <v>77.219214800021021</v>
      </c>
      <c r="U50" s="1063">
        <f t="shared" si="10"/>
        <v>84.528863178039416</v>
      </c>
      <c r="V50" s="1068">
        <f t="shared" si="10"/>
        <v>77.516377939147986</v>
      </c>
      <c r="W50" s="1068">
        <f t="shared" si="10"/>
        <v>78.166157893513073</v>
      </c>
      <c r="X50" s="1068">
        <f t="shared" si="10"/>
        <v>75.73199743062527</v>
      </c>
      <c r="Y50" s="1068">
        <f t="shared" si="10"/>
        <v>75.20971080907303</v>
      </c>
      <c r="Z50" s="1063">
        <f t="shared" si="10"/>
        <v>76.696316101102184</v>
      </c>
      <c r="AA50" s="1068">
        <f t="shared" si="10"/>
        <v>75.361321403991724</v>
      </c>
      <c r="AB50" s="1068">
        <f t="shared" si="10"/>
        <v>74.324324324324323</v>
      </c>
      <c r="AC50" s="1068">
        <f t="shared" si="10"/>
        <v>68.633739576651692</v>
      </c>
      <c r="AD50" s="1068">
        <f t="shared" si="10"/>
        <v>72.580645161290334</v>
      </c>
      <c r="AE50" s="1063">
        <f t="shared" si="10"/>
        <v>72.661373835001712</v>
      </c>
      <c r="AF50" s="1068">
        <f t="shared" si="10"/>
        <v>74.842534271952573</v>
      </c>
      <c r="AG50" s="1068">
        <f t="shared" si="10"/>
        <v>73.612684031710089</v>
      </c>
      <c r="AH50" s="1068">
        <f t="shared" si="10"/>
        <v>74.328683703153132</v>
      </c>
    </row>
    <row r="51" spans="1:34" x14ac:dyDescent="0.25">
      <c r="A51" s="294" t="s">
        <v>1805</v>
      </c>
      <c r="B51" s="1065"/>
      <c r="C51" s="1065"/>
      <c r="D51" s="1065"/>
      <c r="E51" s="1065"/>
      <c r="F51" s="1066"/>
      <c r="G51" s="1067">
        <f t="shared" ref="G51:AH51" si="11">G50/B50-1</f>
        <v>3.5011085769259598E-2</v>
      </c>
      <c r="H51" s="1067">
        <f t="shared" si="11"/>
        <v>4.6121452662604367E-2</v>
      </c>
      <c r="I51" s="1067">
        <f t="shared" si="11"/>
        <v>4.0108531199010811E-2</v>
      </c>
      <c r="J51" s="1067">
        <f t="shared" si="11"/>
        <v>9.3718096165338327E-3</v>
      </c>
      <c r="K51" s="1064">
        <f t="shared" si="11"/>
        <v>3.2551619941257437E-2</v>
      </c>
      <c r="L51" s="1067">
        <f t="shared" si="11"/>
        <v>1.6381191731067668E-2</v>
      </c>
      <c r="M51" s="1067">
        <f t="shared" si="11"/>
        <v>5.874201063541018E-2</v>
      </c>
      <c r="N51" s="1067">
        <f t="shared" si="11"/>
        <v>5.2901394010057778E-2</v>
      </c>
      <c r="O51" s="1067">
        <f t="shared" si="11"/>
        <v>9.7655465236551775E-2</v>
      </c>
      <c r="P51" s="1064">
        <f t="shared" si="11"/>
        <v>5.5869750676819541E-2</v>
      </c>
      <c r="Q51" s="1067">
        <f t="shared" si="11"/>
        <v>0.1055805380993895</v>
      </c>
      <c r="R51" s="1067">
        <f t="shared" si="11"/>
        <v>5.5935188646666134E-2</v>
      </c>
      <c r="S51" s="1067">
        <f t="shared" si="11"/>
        <v>3.3283896545594827E-2</v>
      </c>
      <c r="T51" s="1067">
        <f t="shared" si="11"/>
        <v>-0.10428905328083982</v>
      </c>
      <c r="U51" s="1064">
        <f t="shared" si="11"/>
        <v>2.0505138650689814E-2</v>
      </c>
      <c r="V51" s="1067">
        <f t="shared" si="11"/>
        <v>-0.14441303835671004</v>
      </c>
      <c r="W51" s="1067">
        <f t="shared" si="11"/>
        <v>-0.10225418987954582</v>
      </c>
      <c r="X51" s="1067">
        <f t="shared" si="11"/>
        <v>-9.4935798560073503E-2</v>
      </c>
      <c r="Y51" s="1067">
        <f t="shared" si="11"/>
        <v>-2.6023367320583524E-2</v>
      </c>
      <c r="Z51" s="1064">
        <f t="shared" si="11"/>
        <v>-9.2661213962382138E-2</v>
      </c>
      <c r="AA51" s="1067">
        <f t="shared" si="11"/>
        <v>-2.7801305897548922E-2</v>
      </c>
      <c r="AB51" s="1067">
        <f t="shared" si="11"/>
        <v>-4.914957665467623E-2</v>
      </c>
      <c r="AC51" s="1067">
        <f t="shared" si="11"/>
        <v>-9.3728649643447959E-2</v>
      </c>
      <c r="AD51" s="1067">
        <f t="shared" si="11"/>
        <v>-3.495646532210217E-2</v>
      </c>
      <c r="AE51" s="1064">
        <f t="shared" si="11"/>
        <v>-5.2609336030971177E-2</v>
      </c>
      <c r="AF51" s="1067">
        <f t="shared" si="11"/>
        <v>-6.8839972863277143E-3</v>
      </c>
      <c r="AG51" s="1067">
        <f t="shared" si="11"/>
        <v>-9.5747966642641957E-3</v>
      </c>
      <c r="AH51" s="1067">
        <f t="shared" si="11"/>
        <v>8.297586816089475E-2</v>
      </c>
    </row>
    <row r="52" spans="1:34" x14ac:dyDescent="0.25">
      <c r="A52" s="281"/>
      <c r="B52" s="281"/>
      <c r="C52" s="281"/>
      <c r="D52" s="281"/>
      <c r="E52" s="281"/>
      <c r="F52" s="419"/>
      <c r="G52" s="281"/>
      <c r="H52" s="281"/>
      <c r="I52" s="281"/>
      <c r="J52" s="281"/>
      <c r="K52" s="419"/>
      <c r="L52" s="281"/>
      <c r="M52" s="281"/>
      <c r="N52" s="281"/>
      <c r="O52" s="281"/>
      <c r="P52" s="419"/>
      <c r="Q52" s="281"/>
      <c r="R52" s="281"/>
      <c r="S52" s="281"/>
      <c r="T52" s="281"/>
      <c r="U52" s="419"/>
      <c r="V52" s="281"/>
      <c r="W52" s="281"/>
      <c r="X52" s="281"/>
      <c r="Y52" s="281"/>
      <c r="Z52" s="419"/>
      <c r="AA52" s="281"/>
      <c r="AB52" s="281"/>
      <c r="AC52" s="281"/>
      <c r="AD52" s="281"/>
      <c r="AE52" s="419"/>
      <c r="AF52" s="281"/>
      <c r="AG52" s="281"/>
      <c r="AH52" s="281"/>
    </row>
    <row r="53" spans="1:34" x14ac:dyDescent="0.25">
      <c r="A53" s="281"/>
      <c r="B53" s="281"/>
      <c r="C53" s="281"/>
      <c r="D53" s="281"/>
      <c r="E53" s="281"/>
      <c r="F53" s="419"/>
      <c r="G53" s="281"/>
      <c r="H53" s="281"/>
      <c r="I53" s="281"/>
      <c r="J53" s="281"/>
      <c r="K53" s="419"/>
      <c r="L53" s="281"/>
      <c r="M53" s="281"/>
      <c r="N53" s="281"/>
      <c r="O53" s="281"/>
      <c r="P53" s="419"/>
      <c r="Q53" s="281"/>
      <c r="R53" s="281"/>
      <c r="S53" s="281"/>
      <c r="T53" s="281"/>
      <c r="U53" s="419"/>
      <c r="V53" s="281"/>
      <c r="W53" s="281"/>
      <c r="X53" s="281"/>
      <c r="Y53" s="281"/>
      <c r="Z53" s="419"/>
      <c r="AA53" s="281"/>
      <c r="AB53" s="281"/>
      <c r="AC53" s="281"/>
      <c r="AD53" s="281"/>
      <c r="AE53" s="419"/>
      <c r="AF53" s="281"/>
      <c r="AG53" s="281"/>
      <c r="AH53" s="281"/>
    </row>
    <row r="54" spans="1:34" x14ac:dyDescent="0.25">
      <c r="A54" s="785" t="s">
        <v>1019</v>
      </c>
      <c r="B54" s="283"/>
      <c r="C54" s="283"/>
      <c r="D54" s="283"/>
      <c r="E54" s="283"/>
      <c r="F54" s="341"/>
      <c r="G54" s="283"/>
      <c r="H54" s="283"/>
      <c r="I54" s="283"/>
      <c r="J54" s="283"/>
      <c r="K54" s="341"/>
      <c r="L54" s="283"/>
      <c r="M54" s="283"/>
      <c r="N54" s="283"/>
      <c r="O54" s="283"/>
      <c r="P54" s="341"/>
      <c r="Q54" s="283"/>
      <c r="R54" s="283"/>
      <c r="S54" s="283"/>
      <c r="T54" s="283"/>
      <c r="U54" s="341"/>
      <c r="V54" s="283"/>
      <c r="W54" s="283"/>
      <c r="X54" s="283"/>
      <c r="Y54" s="283"/>
      <c r="Z54" s="341"/>
      <c r="AA54" s="283"/>
      <c r="AB54" s="283"/>
      <c r="AC54" s="283"/>
      <c r="AD54" s="283"/>
      <c r="AE54" s="341"/>
      <c r="AF54" s="283"/>
      <c r="AG54" s="283"/>
      <c r="AH54" s="283"/>
    </row>
    <row r="55" spans="1:34" x14ac:dyDescent="0.25">
      <c r="A55" s="281"/>
      <c r="B55" s="281"/>
      <c r="C55" s="281"/>
      <c r="D55" s="281"/>
      <c r="E55" s="281"/>
      <c r="F55" s="419"/>
      <c r="G55" s="281"/>
      <c r="H55" s="281"/>
      <c r="I55" s="281"/>
      <c r="J55" s="281"/>
      <c r="K55" s="419"/>
      <c r="L55" s="281"/>
      <c r="M55" s="281"/>
      <c r="N55" s="281"/>
      <c r="O55" s="281"/>
      <c r="P55" s="419"/>
      <c r="Q55" s="281"/>
      <c r="R55" s="281"/>
      <c r="S55" s="281"/>
      <c r="T55" s="281"/>
      <c r="U55" s="419"/>
      <c r="V55" s="281"/>
      <c r="W55" s="281"/>
      <c r="X55" s="281"/>
      <c r="Y55" s="281"/>
      <c r="Z55" s="419"/>
      <c r="AA55" s="281"/>
      <c r="AB55" s="281"/>
      <c r="AC55" s="281"/>
      <c r="AD55" s="281"/>
      <c r="AE55" s="419"/>
      <c r="AF55" s="281"/>
      <c r="AG55" s="281"/>
      <c r="AH55" s="281"/>
    </row>
    <row r="56" spans="1:34" x14ac:dyDescent="0.25">
      <c r="A56" s="281" t="s">
        <v>1362</v>
      </c>
      <c r="B56" s="1068">
        <f>PENN!C948</f>
        <v>11.686</v>
      </c>
      <c r="C56" s="1068">
        <f>PENN!D948</f>
        <v>11.397</v>
      </c>
      <c r="D56" s="1068">
        <f>PENN!E948</f>
        <v>12.914</v>
      </c>
      <c r="E56" s="1068">
        <f>PENN!F948</f>
        <v>13.894</v>
      </c>
      <c r="F56" s="1063">
        <f>PENN!G948</f>
        <v>49.890999999999998</v>
      </c>
      <c r="G56" s="1068">
        <f>PENN!H948</f>
        <v>13.746</v>
      </c>
      <c r="H56" s="1068">
        <f>PENN!I948</f>
        <v>14.241</v>
      </c>
      <c r="I56" s="1068">
        <f>PENN!J948</f>
        <v>13.770267</v>
      </c>
      <c r="J56" s="1068">
        <f>PENN!K948</f>
        <v>13.527916000000001</v>
      </c>
      <c r="K56" s="1063">
        <f>PENN!L948</f>
        <v>55.285183000000004</v>
      </c>
      <c r="L56" s="1068">
        <f>PENN!M948</f>
        <v>14.489084999999999</v>
      </c>
      <c r="M56" s="1068">
        <f>PENN!N948</f>
        <v>13.9</v>
      </c>
      <c r="N56" s="1068">
        <f>PENN!O948</f>
        <v>14.154093</v>
      </c>
      <c r="O56" s="1068">
        <f>PENN!P948</f>
        <v>14.202297999999999</v>
      </c>
      <c r="P56" s="1063">
        <f>PENN!Q948</f>
        <v>56.745475999999996</v>
      </c>
      <c r="Q56" s="1068">
        <f>PENN!R948</f>
        <v>14.856680000000001</v>
      </c>
      <c r="R56" s="1068">
        <f>PENN!S948</f>
        <v>14.548337</v>
      </c>
      <c r="S56" s="1068">
        <f>PENN!T948</f>
        <v>14.273394</v>
      </c>
      <c r="T56" s="1068">
        <f>PENN!U948</f>
        <v>13.794276999999999</v>
      </c>
      <c r="U56" s="1063">
        <f>PENN!V948</f>
        <v>57.472687999999998</v>
      </c>
      <c r="V56" s="1068">
        <f>PENN!W948</f>
        <v>14.878496999999999</v>
      </c>
      <c r="W56" s="1068">
        <f>PENN!X948</f>
        <v>14.590800000000002</v>
      </c>
      <c r="X56" s="1068">
        <f>PENN!Y948</f>
        <v>14.471935999999999</v>
      </c>
      <c r="Y56" s="1068">
        <f>PENN!Z948</f>
        <v>13.351683000000001</v>
      </c>
      <c r="Z56" s="1063">
        <f>PENN!AA948</f>
        <v>57.292915999999998</v>
      </c>
      <c r="AA56" s="1068">
        <f>PENN!AB948</f>
        <v>14.6</v>
      </c>
      <c r="AB56" s="1068">
        <f>PENN!AC948</f>
        <v>14.2</v>
      </c>
      <c r="AC56" s="1068">
        <f>PENN!AD948</f>
        <v>14.3</v>
      </c>
      <c r="AD56" s="1068">
        <f>PENN!AE948</f>
        <v>13.7</v>
      </c>
      <c r="AE56" s="1063">
        <f>PENN!AF948</f>
        <v>56.8</v>
      </c>
      <c r="AF56" s="1068">
        <f>PENN!AG948</f>
        <v>15.4</v>
      </c>
      <c r="AG56" s="1068">
        <f>PENN!AH948</f>
        <v>14.5</v>
      </c>
      <c r="AH56" s="1068">
        <f>PENN!AI948</f>
        <v>14.523021</v>
      </c>
    </row>
    <row r="57" spans="1:34" x14ac:dyDescent="0.25">
      <c r="A57" s="281" t="s">
        <v>1057</v>
      </c>
      <c r="B57" s="281">
        <f>PENN!C945</f>
        <v>214.45500000000001</v>
      </c>
      <c r="C57" s="281">
        <f>PENN!D945</f>
        <v>219.13200000000001</v>
      </c>
      <c r="D57" s="281">
        <f>PENN!E945</f>
        <v>268.928</v>
      </c>
      <c r="E57" s="281">
        <f>PENN!F945</f>
        <v>268.928</v>
      </c>
      <c r="F57" s="419">
        <f>PENN!G945</f>
        <v>971.44299999999998</v>
      </c>
      <c r="G57" s="281">
        <f>PENN!H945</f>
        <v>268.928</v>
      </c>
      <c r="H57" s="281">
        <f>PENN!I945</f>
        <v>268.928</v>
      </c>
      <c r="I57" s="281">
        <f>PENN!J945</f>
        <v>302.65100000000001</v>
      </c>
      <c r="J57" s="281">
        <f>PENN!K945</f>
        <v>281.33699999999999</v>
      </c>
      <c r="K57" s="419">
        <f>PENN!L945</f>
        <v>1121.8440000000001</v>
      </c>
      <c r="L57" s="281">
        <f>PENN!M945</f>
        <v>284.19099999999997</v>
      </c>
      <c r="M57" s="281">
        <f>PENN!N945</f>
        <v>297.39999999999998</v>
      </c>
      <c r="N57" s="281">
        <f>PENN!O945</f>
        <v>334.88400000000001</v>
      </c>
      <c r="O57" s="281">
        <f>PENN!P945</f>
        <v>304.108</v>
      </c>
      <c r="P57" s="419">
        <f>PENN!Q945</f>
        <v>1220.5829999999999</v>
      </c>
      <c r="Q57" s="281">
        <f>PENN!R945</f>
        <v>310.22699999999998</v>
      </c>
      <c r="R57" s="281">
        <f>PENN!S945</f>
        <v>297.83100000000002</v>
      </c>
      <c r="S57" s="281">
        <f>PENN!T945</f>
        <v>303.46300000000002</v>
      </c>
      <c r="T57" s="281">
        <f>PENN!U945</f>
        <v>274.37700000000001</v>
      </c>
      <c r="U57" s="419">
        <f>PENN!V945</f>
        <v>1185.8979999999999</v>
      </c>
      <c r="V57" s="281">
        <f>PENN!W945</f>
        <v>268.18599999999998</v>
      </c>
      <c r="W57" s="281">
        <f>PENN!X945</f>
        <v>277.23500000000001</v>
      </c>
      <c r="X57" s="281">
        <f>PENN!Y945</f>
        <v>279.45699999999999</v>
      </c>
      <c r="Y57" s="281">
        <f>PENN!Z945</f>
        <v>254.10300000000001</v>
      </c>
      <c r="Z57" s="419">
        <f>PENN!AA945</f>
        <v>1078.981</v>
      </c>
      <c r="AA57" s="281">
        <f>PENN!AB945</f>
        <v>283.2</v>
      </c>
      <c r="AB57" s="281">
        <f>PENN!AC945</f>
        <v>275.60000000000002</v>
      </c>
      <c r="AC57" s="281">
        <f>PENN!AD945</f>
        <v>273.8</v>
      </c>
      <c r="AD57" s="281">
        <f>PENN!AE945</f>
        <v>240.66200000000001</v>
      </c>
      <c r="AE57" s="419">
        <f>PENN!AF945</f>
        <v>1073.2619999999999</v>
      </c>
      <c r="AF57" s="281">
        <f>PENN!AG945</f>
        <v>250.26300000000001</v>
      </c>
      <c r="AG57" s="281">
        <f>PENN!AH945</f>
        <v>256.8</v>
      </c>
      <c r="AH57" s="281">
        <f>PENN!AI945</f>
        <v>258.35000000000002</v>
      </c>
    </row>
    <row r="58" spans="1:34" x14ac:dyDescent="0.25">
      <c r="A58" s="281" t="s">
        <v>1801</v>
      </c>
      <c r="B58" s="1068">
        <f t="shared" ref="B58:AH58" si="12">B56/B57*1000</f>
        <v>54.491618288218966</v>
      </c>
      <c r="C58" s="1068">
        <f t="shared" si="12"/>
        <v>52.009747549422265</v>
      </c>
      <c r="D58" s="1068">
        <f t="shared" si="12"/>
        <v>48.020287958115176</v>
      </c>
      <c r="E58" s="1068">
        <f t="shared" si="12"/>
        <v>51.664386006663499</v>
      </c>
      <c r="F58" s="1063">
        <f t="shared" si="12"/>
        <v>51.357619541239167</v>
      </c>
      <c r="G58" s="1068">
        <f t="shared" si="12"/>
        <v>51.114052831984772</v>
      </c>
      <c r="H58" s="1068">
        <f t="shared" si="12"/>
        <v>52.954694193241316</v>
      </c>
      <c r="I58" s="1068">
        <f t="shared" si="12"/>
        <v>45.498831987999381</v>
      </c>
      <c r="J58" s="1068">
        <f t="shared" si="12"/>
        <v>48.084382786480276</v>
      </c>
      <c r="K58" s="1063">
        <f t="shared" si="12"/>
        <v>49.280633492713783</v>
      </c>
      <c r="L58" s="1068">
        <f t="shared" si="12"/>
        <v>50.983616652181105</v>
      </c>
      <c r="M58" s="1068">
        <f t="shared" si="12"/>
        <v>46.73839946200404</v>
      </c>
      <c r="N58" s="1068">
        <f t="shared" si="12"/>
        <v>42.265659153617364</v>
      </c>
      <c r="O58" s="1068">
        <f t="shared" si="12"/>
        <v>46.701494206005755</v>
      </c>
      <c r="P58" s="1063">
        <f t="shared" si="12"/>
        <v>46.490468898878653</v>
      </c>
      <c r="Q58" s="1068">
        <f t="shared" si="12"/>
        <v>47.889706569705417</v>
      </c>
      <c r="R58" s="1068">
        <f t="shared" si="12"/>
        <v>48.847624995383285</v>
      </c>
      <c r="S58" s="1068">
        <f t="shared" si="12"/>
        <v>47.035038868000385</v>
      </c>
      <c r="T58" s="1068">
        <f t="shared" si="12"/>
        <v>50.27490277975194</v>
      </c>
      <c r="U58" s="1063">
        <f t="shared" si="12"/>
        <v>48.463432774150895</v>
      </c>
      <c r="V58" s="1068">
        <f t="shared" si="12"/>
        <v>55.478276270946289</v>
      </c>
      <c r="W58" s="1068">
        <f t="shared" si="12"/>
        <v>52.629718469890165</v>
      </c>
      <c r="X58" s="1068">
        <f t="shared" si="12"/>
        <v>51.785913396336468</v>
      </c>
      <c r="Y58" s="1068">
        <f t="shared" si="12"/>
        <v>52.544373738208527</v>
      </c>
      <c r="Z58" s="1063">
        <f t="shared" si="12"/>
        <v>53.099096276950199</v>
      </c>
      <c r="AA58" s="1068">
        <f t="shared" si="12"/>
        <v>51.553672316384187</v>
      </c>
      <c r="AB58" s="1068">
        <f t="shared" si="12"/>
        <v>51.523947750362836</v>
      </c>
      <c r="AC58" s="1068">
        <f t="shared" si="12"/>
        <v>52.227903579254928</v>
      </c>
      <c r="AD58" s="1068">
        <f t="shared" si="12"/>
        <v>56.926311590529451</v>
      </c>
      <c r="AE58" s="1063">
        <f t="shared" si="12"/>
        <v>52.922771886081868</v>
      </c>
      <c r="AF58" s="1068">
        <f t="shared" si="12"/>
        <v>61.535264901323806</v>
      </c>
      <c r="AG58" s="1068">
        <f t="shared" si="12"/>
        <v>56.464174454828658</v>
      </c>
      <c r="AH58" s="1068">
        <f t="shared" si="12"/>
        <v>56.214519063286232</v>
      </c>
    </row>
    <row r="59" spans="1:34" x14ac:dyDescent="0.25">
      <c r="A59" s="294" t="s">
        <v>1805</v>
      </c>
      <c r="B59" s="1065"/>
      <c r="C59" s="1065"/>
      <c r="D59" s="1065"/>
      <c r="E59" s="1065"/>
      <c r="F59" s="1066"/>
      <c r="G59" s="1067">
        <f t="shared" ref="G59:AH59" si="13">G58/B58-1</f>
        <v>-6.1983210672317712E-2</v>
      </c>
      <c r="H59" s="1067">
        <f t="shared" si="13"/>
        <v>1.8168645077946577E-2</v>
      </c>
      <c r="I59" s="1067">
        <f t="shared" si="13"/>
        <v>-5.250813931634668E-2</v>
      </c>
      <c r="J59" s="1067">
        <f t="shared" si="13"/>
        <v>-6.9293443644554031E-2</v>
      </c>
      <c r="K59" s="1064">
        <f t="shared" si="13"/>
        <v>-4.0441633920699993E-2</v>
      </c>
      <c r="L59" s="1067">
        <f t="shared" si="13"/>
        <v>-2.5518653398981517E-3</v>
      </c>
      <c r="M59" s="1067">
        <f t="shared" si="13"/>
        <v>-0.11738892700527903</v>
      </c>
      <c r="N59" s="1067">
        <f t="shared" si="13"/>
        <v>-7.106056777973524E-2</v>
      </c>
      <c r="O59" s="1067">
        <f t="shared" si="13"/>
        <v>-2.8759620074885195E-2</v>
      </c>
      <c r="P59" s="1064">
        <f t="shared" si="13"/>
        <v>-5.6617871891757598E-2</v>
      </c>
      <c r="Q59" s="1067">
        <f t="shared" si="13"/>
        <v>-6.0684397962248671E-2</v>
      </c>
      <c r="R59" s="1067">
        <f t="shared" si="13"/>
        <v>4.5128321843668218E-2</v>
      </c>
      <c r="S59" s="1067">
        <f t="shared" si="13"/>
        <v>0.11284290390570728</v>
      </c>
      <c r="T59" s="1067">
        <f t="shared" si="13"/>
        <v>7.6515936684669272E-2</v>
      </c>
      <c r="U59" s="1064">
        <f t="shared" si="13"/>
        <v>4.243802917031525E-2</v>
      </c>
      <c r="V59" s="1067">
        <f t="shared" si="13"/>
        <v>0.15845930670290076</v>
      </c>
      <c r="W59" s="1067">
        <f t="shared" si="13"/>
        <v>7.7426353376736978E-2</v>
      </c>
      <c r="X59" s="1067">
        <f t="shared" si="13"/>
        <v>0.10100713516297888</v>
      </c>
      <c r="Y59" s="1067">
        <f t="shared" si="13"/>
        <v>4.5141230175995695E-2</v>
      </c>
      <c r="Z59" s="1064">
        <f t="shared" si="13"/>
        <v>9.5652809498708136E-2</v>
      </c>
      <c r="AA59" s="1067">
        <f t="shared" si="13"/>
        <v>-7.0741274213261707E-2</v>
      </c>
      <c r="AB59" s="1067">
        <f t="shared" si="13"/>
        <v>-2.1010386368681577E-2</v>
      </c>
      <c r="AC59" s="1067">
        <f t="shared" si="13"/>
        <v>8.5349500265785583E-3</v>
      </c>
      <c r="AD59" s="1067">
        <f t="shared" si="13"/>
        <v>8.339499627787017E-2</v>
      </c>
      <c r="AE59" s="1064">
        <f t="shared" si="13"/>
        <v>-3.320666512828585E-3</v>
      </c>
      <c r="AF59" s="1067">
        <f t="shared" si="13"/>
        <v>0.19361554931882874</v>
      </c>
      <c r="AG59" s="1067">
        <f t="shared" si="13"/>
        <v>9.5882146461322648E-2</v>
      </c>
      <c r="AH59" s="1067">
        <f t="shared" si="13"/>
        <v>7.6331141225718158E-2</v>
      </c>
    </row>
    <row r="60" spans="1:34" x14ac:dyDescent="0.25">
      <c r="A60" s="281"/>
      <c r="B60" s="281"/>
      <c r="C60" s="281"/>
      <c r="D60" s="281"/>
      <c r="E60" s="281"/>
      <c r="F60" s="419"/>
      <c r="G60" s="281"/>
      <c r="H60" s="281"/>
      <c r="I60" s="281"/>
      <c r="J60" s="281"/>
      <c r="K60" s="419"/>
      <c r="L60" s="281"/>
      <c r="M60" s="281"/>
      <c r="N60" s="281"/>
      <c r="O60" s="281"/>
      <c r="P60" s="419"/>
      <c r="Q60" s="281"/>
      <c r="R60" s="281"/>
      <c r="S60" s="281"/>
      <c r="T60" s="281"/>
      <c r="U60" s="419"/>
      <c r="V60" s="281"/>
      <c r="W60" s="281"/>
      <c r="X60" s="281"/>
      <c r="Y60" s="281"/>
      <c r="Z60" s="419"/>
      <c r="AA60" s="281"/>
      <c r="AB60" s="281"/>
      <c r="AC60" s="281"/>
      <c r="AD60" s="281"/>
      <c r="AE60" s="419"/>
      <c r="AF60" s="281"/>
      <c r="AG60" s="281"/>
      <c r="AH60" s="281"/>
    </row>
    <row r="61" spans="1:34" x14ac:dyDescent="0.25">
      <c r="A61" s="281"/>
      <c r="B61" s="281"/>
      <c r="C61" s="281"/>
      <c r="D61" s="281"/>
      <c r="E61" s="281"/>
      <c r="F61" s="419"/>
      <c r="G61" s="281"/>
      <c r="H61" s="281"/>
      <c r="I61" s="281"/>
      <c r="J61" s="281"/>
      <c r="K61" s="419"/>
      <c r="L61" s="281"/>
      <c r="M61" s="281"/>
      <c r="N61" s="281"/>
      <c r="O61" s="281"/>
      <c r="P61" s="419"/>
      <c r="Q61" s="281"/>
      <c r="R61" s="281"/>
      <c r="S61" s="281"/>
      <c r="T61" s="281"/>
      <c r="U61" s="419"/>
      <c r="V61" s="281"/>
      <c r="W61" s="281"/>
      <c r="X61" s="281"/>
      <c r="Y61" s="281"/>
      <c r="Z61" s="419"/>
      <c r="AA61" s="281"/>
      <c r="AB61" s="281"/>
      <c r="AC61" s="281"/>
      <c r="AD61" s="281"/>
      <c r="AE61" s="419"/>
      <c r="AF61" s="281"/>
      <c r="AG61" s="281"/>
      <c r="AH61" s="281"/>
    </row>
    <row r="62" spans="1:34" x14ac:dyDescent="0.25">
      <c r="A62" s="785" t="s">
        <v>841</v>
      </c>
      <c r="B62" s="283"/>
      <c r="C62" s="283"/>
      <c r="D62" s="283"/>
      <c r="E62" s="283"/>
      <c r="F62" s="341"/>
      <c r="G62" s="283"/>
      <c r="H62" s="283"/>
      <c r="I62" s="283"/>
      <c r="J62" s="283"/>
      <c r="K62" s="341"/>
      <c r="L62" s="283"/>
      <c r="M62" s="283"/>
      <c r="N62" s="283"/>
      <c r="O62" s="283"/>
      <c r="P62" s="341"/>
      <c r="Q62" s="283"/>
      <c r="R62" s="283"/>
      <c r="S62" s="283"/>
      <c r="T62" s="283"/>
      <c r="U62" s="341"/>
      <c r="V62" s="283"/>
      <c r="W62" s="283"/>
      <c r="X62" s="283"/>
      <c r="Y62" s="283"/>
      <c r="Z62" s="341"/>
      <c r="AA62" s="283"/>
      <c r="AB62" s="283"/>
      <c r="AC62" s="283"/>
      <c r="AD62" s="283"/>
      <c r="AE62" s="341"/>
      <c r="AF62" s="283"/>
      <c r="AG62" s="283"/>
      <c r="AH62" s="283"/>
    </row>
    <row r="63" spans="1:34" x14ac:dyDescent="0.25">
      <c r="A63" s="281"/>
      <c r="B63" s="281"/>
      <c r="C63" s="281"/>
      <c r="D63" s="281"/>
      <c r="E63" s="281"/>
      <c r="F63" s="419"/>
      <c r="G63" s="281"/>
      <c r="H63" s="281"/>
      <c r="I63" s="281"/>
      <c r="J63" s="281"/>
      <c r="K63" s="419"/>
      <c r="L63" s="281"/>
      <c r="M63" s="281"/>
      <c r="N63" s="281"/>
      <c r="O63" s="281"/>
      <c r="P63" s="419"/>
      <c r="Q63" s="281"/>
      <c r="R63" s="281"/>
      <c r="S63" s="281"/>
      <c r="T63" s="281"/>
      <c r="U63" s="419"/>
      <c r="V63" s="281"/>
      <c r="W63" s="281"/>
      <c r="X63" s="281"/>
      <c r="Y63" s="281"/>
      <c r="Z63" s="419"/>
      <c r="AA63" s="281"/>
      <c r="AB63" s="281"/>
      <c r="AC63" s="281"/>
      <c r="AD63" s="281"/>
      <c r="AE63" s="419"/>
      <c r="AF63" s="281"/>
      <c r="AG63" s="281"/>
      <c r="AH63" s="281"/>
    </row>
    <row r="64" spans="1:34" x14ac:dyDescent="0.25">
      <c r="A64" s="281" t="s">
        <v>1362</v>
      </c>
      <c r="B64" s="1068">
        <f t="shared" ref="B64:AH64" si="14">B8+B16+B24+B32+B40+B48+B56</f>
        <v>329.81782199999992</v>
      </c>
      <c r="C64" s="1068">
        <f t="shared" si="14"/>
        <v>320.89131500000002</v>
      </c>
      <c r="D64" s="1068">
        <f t="shared" si="14"/>
        <v>334.05861153000001</v>
      </c>
      <c r="E64" s="1068">
        <f t="shared" si="14"/>
        <v>321.85420995999999</v>
      </c>
      <c r="F64" s="1063">
        <f t="shared" si="14"/>
        <v>1306.62195849</v>
      </c>
      <c r="G64" s="1068">
        <f t="shared" si="14"/>
        <v>336.71224427999994</v>
      </c>
      <c r="H64" s="1068">
        <f t="shared" si="14"/>
        <v>340.78693199999992</v>
      </c>
      <c r="I64" s="1068">
        <f t="shared" si="14"/>
        <v>351.10510639</v>
      </c>
      <c r="J64" s="1068">
        <f t="shared" si="14"/>
        <v>352.18213996999998</v>
      </c>
      <c r="K64" s="1063">
        <f t="shared" si="14"/>
        <v>1380.78642264</v>
      </c>
      <c r="L64" s="1068">
        <f t="shared" si="14"/>
        <v>381.48538485</v>
      </c>
      <c r="M64" s="1068">
        <f t="shared" si="14"/>
        <v>366</v>
      </c>
      <c r="N64" s="1068">
        <f t="shared" si="14"/>
        <v>373.52069942999998</v>
      </c>
      <c r="O64" s="1068">
        <f t="shared" si="14"/>
        <v>366.09978480999996</v>
      </c>
      <c r="P64" s="1063">
        <f t="shared" si="14"/>
        <v>1487.1058690899999</v>
      </c>
      <c r="Q64" s="1068">
        <f t="shared" si="14"/>
        <v>382.11021636999999</v>
      </c>
      <c r="R64" s="1068">
        <f t="shared" si="14"/>
        <v>378.27301517000006</v>
      </c>
      <c r="S64" s="1068">
        <f t="shared" si="14"/>
        <v>378.36638474</v>
      </c>
      <c r="T64" s="1068">
        <f t="shared" si="14"/>
        <v>356.28755691999999</v>
      </c>
      <c r="U64" s="1063">
        <f t="shared" si="14"/>
        <v>1495.0371731999999</v>
      </c>
      <c r="V64" s="1068">
        <f t="shared" si="14"/>
        <v>348.86754123000003</v>
      </c>
      <c r="W64" s="1068">
        <f t="shared" si="14"/>
        <v>337.20738192999994</v>
      </c>
      <c r="X64" s="1068">
        <f t="shared" si="14"/>
        <v>329.60776365999993</v>
      </c>
      <c r="Y64" s="1068">
        <f t="shared" si="14"/>
        <v>306.57267393000001</v>
      </c>
      <c r="Z64" s="1063">
        <f t="shared" si="14"/>
        <v>1322.2553607500001</v>
      </c>
      <c r="AA64" s="1068">
        <f t="shared" si="14"/>
        <v>317.3</v>
      </c>
      <c r="AB64" s="1068">
        <f t="shared" si="14"/>
        <v>276.5</v>
      </c>
      <c r="AC64" s="1068">
        <f t="shared" si="14"/>
        <v>325.60000000000002</v>
      </c>
      <c r="AD64" s="1068">
        <f t="shared" si="14"/>
        <v>297.09999999999997</v>
      </c>
      <c r="AE64" s="1063">
        <f t="shared" si="14"/>
        <v>1216.5</v>
      </c>
      <c r="AF64" s="1068">
        <f t="shared" si="14"/>
        <v>316.09999999999991</v>
      </c>
      <c r="AG64" s="1068">
        <f t="shared" si="14"/>
        <v>305.2</v>
      </c>
      <c r="AH64" s="1068">
        <f t="shared" si="14"/>
        <v>299.77819675000001</v>
      </c>
    </row>
    <row r="65" spans="1:34" x14ac:dyDescent="0.25">
      <c r="A65" s="281" t="s">
        <v>1057</v>
      </c>
      <c r="B65" s="281">
        <f t="shared" ref="B65:AH65" si="15">B9+B17+B25+B33+B41+B49+B57</f>
        <v>3982.0069999999996</v>
      </c>
      <c r="C65" s="281">
        <f t="shared" si="15"/>
        <v>3857.0430000000001</v>
      </c>
      <c r="D65" s="281">
        <f t="shared" si="15"/>
        <v>4043.1549999999997</v>
      </c>
      <c r="E65" s="281">
        <f t="shared" si="15"/>
        <v>3766.192</v>
      </c>
      <c r="F65" s="419">
        <f t="shared" si="15"/>
        <v>15648.396999999999</v>
      </c>
      <c r="G65" s="281">
        <f t="shared" si="15"/>
        <v>4041.326</v>
      </c>
      <c r="H65" s="281">
        <f t="shared" si="15"/>
        <v>4028.9179999999997</v>
      </c>
      <c r="I65" s="281">
        <f t="shared" si="15"/>
        <v>4143.0969999999998</v>
      </c>
      <c r="J65" s="281">
        <f t="shared" si="15"/>
        <v>4064.6549999999997</v>
      </c>
      <c r="K65" s="419">
        <f t="shared" si="15"/>
        <v>16277.995999999999</v>
      </c>
      <c r="L65" s="281">
        <f t="shared" si="15"/>
        <v>4273.0919999999996</v>
      </c>
      <c r="M65" s="281">
        <f t="shared" si="15"/>
        <v>4197.5</v>
      </c>
      <c r="N65" s="281">
        <f t="shared" si="15"/>
        <v>4415.5210000000006</v>
      </c>
      <c r="O65" s="281">
        <f t="shared" si="15"/>
        <v>4214.7390000000005</v>
      </c>
      <c r="P65" s="419">
        <f t="shared" si="15"/>
        <v>17100.851999999999</v>
      </c>
      <c r="Q65" s="281">
        <f t="shared" si="15"/>
        <v>4293.7830000000004</v>
      </c>
      <c r="R65" s="281">
        <f t="shared" si="15"/>
        <v>4303.9569999999994</v>
      </c>
      <c r="S65" s="281">
        <f t="shared" si="15"/>
        <v>4389.55</v>
      </c>
      <c r="T65" s="281">
        <f t="shared" si="15"/>
        <v>4138.4210000000003</v>
      </c>
      <c r="U65" s="419">
        <f t="shared" si="15"/>
        <v>17125.710999999999</v>
      </c>
      <c r="V65" s="281">
        <f t="shared" si="15"/>
        <v>4096.5419999999995</v>
      </c>
      <c r="W65" s="281">
        <f t="shared" si="15"/>
        <v>4036.16</v>
      </c>
      <c r="X65" s="281">
        <f t="shared" si="15"/>
        <v>4040.2219999999993</v>
      </c>
      <c r="Y65" s="281">
        <f t="shared" si="15"/>
        <v>3795.4240000000004</v>
      </c>
      <c r="Z65" s="419">
        <f t="shared" si="15"/>
        <v>15968.348</v>
      </c>
      <c r="AA65" s="281">
        <f t="shared" si="15"/>
        <v>3959.7</v>
      </c>
      <c r="AB65" s="281">
        <f t="shared" si="15"/>
        <v>3601.4999999999995</v>
      </c>
      <c r="AC65" s="281">
        <f t="shared" si="15"/>
        <v>4232.7000000000007</v>
      </c>
      <c r="AD65" s="281">
        <f t="shared" si="15"/>
        <v>3785.5169999999998</v>
      </c>
      <c r="AE65" s="419">
        <f t="shared" si="15"/>
        <v>15579.417000000003</v>
      </c>
      <c r="AF65" s="281">
        <f t="shared" si="15"/>
        <v>3888.6</v>
      </c>
      <c r="AG65" s="281">
        <f t="shared" si="15"/>
        <v>3762.0070000000005</v>
      </c>
      <c r="AH65" s="281">
        <f t="shared" si="15"/>
        <v>3864.1759999999999</v>
      </c>
    </row>
    <row r="66" spans="1:34" x14ac:dyDescent="0.25">
      <c r="A66" s="281" t="s">
        <v>1801</v>
      </c>
      <c r="B66" s="1068">
        <f>B64/B65*1000</f>
        <v>82.827032197582767</v>
      </c>
      <c r="C66" s="1068">
        <f t="shared" ref="C66:AH66" si="16">C64/C65*1000</f>
        <v>83.196198486768239</v>
      </c>
      <c r="D66" s="1068">
        <f t="shared" si="16"/>
        <v>82.623251280250201</v>
      </c>
      <c r="E66" s="1068">
        <f t="shared" si="16"/>
        <v>85.458789663405369</v>
      </c>
      <c r="F66" s="1063">
        <f t="shared" si="16"/>
        <v>83.498773611763554</v>
      </c>
      <c r="G66" s="1068">
        <f t="shared" si="16"/>
        <v>83.317268708339782</v>
      </c>
      <c r="H66" s="1068">
        <f t="shared" si="16"/>
        <v>84.585224122208473</v>
      </c>
      <c r="I66" s="1068">
        <f t="shared" si="16"/>
        <v>84.744602018731413</v>
      </c>
      <c r="J66" s="1068">
        <f t="shared" si="16"/>
        <v>86.645026446278962</v>
      </c>
      <c r="K66" s="1063">
        <f t="shared" si="16"/>
        <v>84.82533246967256</v>
      </c>
      <c r="L66" s="1068">
        <f t="shared" si="16"/>
        <v>89.276192707762903</v>
      </c>
      <c r="M66" s="1068">
        <f t="shared" si="16"/>
        <v>87.194758784991066</v>
      </c>
      <c r="N66" s="1068">
        <f t="shared" si="16"/>
        <v>84.59266741795588</v>
      </c>
      <c r="O66" s="1068">
        <f t="shared" si="16"/>
        <v>86.861792583123147</v>
      </c>
      <c r="P66" s="1063">
        <f t="shared" si="16"/>
        <v>86.960922712505791</v>
      </c>
      <c r="Q66" s="1068">
        <f t="shared" si="16"/>
        <v>88.991506177652653</v>
      </c>
      <c r="R66" s="1068">
        <f t="shared" si="16"/>
        <v>87.889589782147013</v>
      </c>
      <c r="S66" s="1068">
        <f t="shared" si="16"/>
        <v>86.197078228975627</v>
      </c>
      <c r="T66" s="1068">
        <f t="shared" si="16"/>
        <v>86.092632170579051</v>
      </c>
      <c r="U66" s="1063">
        <f t="shared" si="16"/>
        <v>87.297816318399867</v>
      </c>
      <c r="V66" s="1068">
        <f t="shared" si="16"/>
        <v>85.161470633036373</v>
      </c>
      <c r="W66" s="1068">
        <f t="shared" si="16"/>
        <v>83.546584359886609</v>
      </c>
      <c r="X66" s="1068">
        <f t="shared" si="16"/>
        <v>81.581597164710246</v>
      </c>
      <c r="Y66" s="1068">
        <f t="shared" si="16"/>
        <v>80.774288703976154</v>
      </c>
      <c r="Z66" s="1063">
        <f t="shared" si="16"/>
        <v>82.804768580319035</v>
      </c>
      <c r="AA66" s="1068">
        <f t="shared" si="16"/>
        <v>80.132333257570025</v>
      </c>
      <c r="AB66" s="1068">
        <f t="shared" si="16"/>
        <v>76.773566569484942</v>
      </c>
      <c r="AC66" s="1068">
        <f t="shared" si="16"/>
        <v>76.924894275521524</v>
      </c>
      <c r="AD66" s="1068">
        <f t="shared" si="16"/>
        <v>78.483335301360412</v>
      </c>
      <c r="AE66" s="1063">
        <f t="shared" si="16"/>
        <v>78.083794791550915</v>
      </c>
      <c r="AF66" s="1068">
        <f t="shared" si="16"/>
        <v>81.288895746541144</v>
      </c>
      <c r="AG66" s="1068">
        <f t="shared" si="16"/>
        <v>81.126909120583761</v>
      </c>
      <c r="AH66" s="1068">
        <f t="shared" si="16"/>
        <v>77.57881544474165</v>
      </c>
    </row>
    <row r="67" spans="1:34" x14ac:dyDescent="0.25">
      <c r="A67" s="294" t="s">
        <v>1805</v>
      </c>
      <c r="B67" s="1065"/>
      <c r="C67" s="1065"/>
      <c r="D67" s="1065"/>
      <c r="E67" s="1065"/>
      <c r="F67" s="1066"/>
      <c r="G67" s="1067">
        <f>G66/B66-1</f>
        <v>5.918798461685304E-3</v>
      </c>
      <c r="H67" s="1067">
        <f t="shared" ref="H67:AH67" si="17">H66/C66-1</f>
        <v>1.669578250815329E-2</v>
      </c>
      <c r="I67" s="1067">
        <f t="shared" si="17"/>
        <v>2.5674985014639384E-2</v>
      </c>
      <c r="J67" s="1067">
        <f t="shared" si="17"/>
        <v>1.3880804859813578E-2</v>
      </c>
      <c r="K67" s="1064">
        <f t="shared" si="17"/>
        <v>1.5887165769367773E-2</v>
      </c>
      <c r="L67" s="1067">
        <f t="shared" si="17"/>
        <v>7.1520875465600264E-2</v>
      </c>
      <c r="M67" s="1067">
        <f t="shared" si="17"/>
        <v>3.085095168645946E-2</v>
      </c>
      <c r="N67" s="1067">
        <f t="shared" si="17"/>
        <v>-1.7928528443846847E-3</v>
      </c>
      <c r="O67" s="1067">
        <f t="shared" si="17"/>
        <v>2.5017724125062646E-3</v>
      </c>
      <c r="P67" s="1064">
        <f t="shared" si="17"/>
        <v>2.5176326230100798E-2</v>
      </c>
      <c r="Q67" s="1067">
        <f t="shared" si="17"/>
        <v>-3.1888291993157347E-3</v>
      </c>
      <c r="R67" s="1067">
        <f t="shared" si="17"/>
        <v>7.9687243457979839E-3</v>
      </c>
      <c r="S67" s="1067">
        <f t="shared" si="17"/>
        <v>1.8966310674336073E-2</v>
      </c>
      <c r="T67" s="1067">
        <f t="shared" si="17"/>
        <v>-8.8549912414948029E-3</v>
      </c>
      <c r="U67" s="1064">
        <f t="shared" si="17"/>
        <v>3.8740803959480541E-3</v>
      </c>
      <c r="V67" s="1067">
        <f t="shared" si="17"/>
        <v>-4.3038214646804906E-2</v>
      </c>
      <c r="W67" s="1067">
        <f t="shared" si="17"/>
        <v>-4.9414332607826017E-2</v>
      </c>
      <c r="X67" s="1067">
        <f t="shared" si="17"/>
        <v>-5.3545678799050811E-2</v>
      </c>
      <c r="Y67" s="1067">
        <f t="shared" si="17"/>
        <v>-6.1774664480758745E-2</v>
      </c>
      <c r="Z67" s="1064">
        <f t="shared" si="17"/>
        <v>-5.146804270216121E-2</v>
      </c>
      <c r="AA67" s="1067">
        <f t="shared" si="17"/>
        <v>-5.9054139601898981E-2</v>
      </c>
      <c r="AB67" s="1067">
        <f t="shared" si="17"/>
        <v>-8.1068757535629588E-2</v>
      </c>
      <c r="AC67" s="1067">
        <f t="shared" si="17"/>
        <v>-5.7080310401217194E-2</v>
      </c>
      <c r="AD67" s="1067">
        <f t="shared" si="17"/>
        <v>-2.8362408872601663E-2</v>
      </c>
      <c r="AE67" s="1064">
        <f t="shared" si="17"/>
        <v>-5.7013308167015331E-2</v>
      </c>
      <c r="AF67" s="1067">
        <f t="shared" si="17"/>
        <v>1.4433156279795023E-2</v>
      </c>
      <c r="AG67" s="1067">
        <f t="shared" si="17"/>
        <v>5.6703664368110029E-2</v>
      </c>
      <c r="AH67" s="1067">
        <f t="shared" si="17"/>
        <v>8.500774364121666E-3</v>
      </c>
    </row>
  </sheetData>
  <phoneticPr fontId="13"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F298"/>
  <sheetViews>
    <sheetView zoomScale="85" workbookViewId="0">
      <pane xSplit="1" ySplit="3" topLeftCell="BM282" activePane="bottomRight" state="frozen"/>
      <selection pane="topRight" activeCell="C1" sqref="C1"/>
      <selection pane="bottomLeft" activeCell="A4" sqref="A4"/>
      <selection pane="bottomRight" activeCell="CB327" sqref="CB327"/>
    </sheetView>
  </sheetViews>
  <sheetFormatPr defaultRowHeight="15.75" outlineLevelCol="1" x14ac:dyDescent="0.25"/>
  <cols>
    <col min="1" max="1" width="21.625" customWidth="1"/>
    <col min="2" max="2" width="0" hidden="1" customWidth="1" outlineLevel="1"/>
    <col min="3" max="6" width="8.125" hidden="1" customWidth="1" outlineLevel="1"/>
    <col min="7" max="7" width="8.625" hidden="1" customWidth="1" outlineLevel="1"/>
    <col min="8" max="11" width="8.125" hidden="1" customWidth="1" outlineLevel="1"/>
    <col min="12" max="16" width="8.625" hidden="1" customWidth="1" outlineLevel="1"/>
    <col min="17" max="17" width="9" collapsed="1"/>
    <col min="18" max="21" width="8.625" customWidth="1"/>
    <col min="23" max="26" width="8.625" customWidth="1"/>
    <col min="28" max="31" width="8.625" customWidth="1"/>
  </cols>
  <sheetData>
    <row r="1" spans="1:84" x14ac:dyDescent="0.25">
      <c r="A1" s="2"/>
      <c r="B1" s="2"/>
      <c r="C1" s="2"/>
      <c r="D1" s="2"/>
      <c r="E1" s="2"/>
      <c r="F1" s="2"/>
      <c r="G1" s="2"/>
      <c r="H1" s="2"/>
      <c r="I1" s="2"/>
      <c r="J1" s="2"/>
      <c r="K1" s="2"/>
      <c r="L1" s="2"/>
      <c r="M1" s="2"/>
      <c r="N1" s="2"/>
      <c r="O1" s="2"/>
      <c r="P1" s="2"/>
      <c r="Q1" s="55"/>
      <c r="R1" s="2"/>
      <c r="S1" s="2"/>
      <c r="T1" s="2"/>
      <c r="U1" s="2"/>
      <c r="V1" s="55"/>
      <c r="W1" s="2"/>
      <c r="X1" s="2"/>
      <c r="Y1" s="2"/>
      <c r="Z1" s="2"/>
      <c r="AA1" s="55"/>
      <c r="AB1" s="2"/>
      <c r="AC1" s="2"/>
      <c r="AD1" s="2"/>
      <c r="AE1" s="2"/>
      <c r="AF1" s="55"/>
      <c r="AG1" s="4"/>
      <c r="AH1" s="4"/>
      <c r="AI1" s="4"/>
      <c r="AJ1" s="4"/>
      <c r="AK1" s="55"/>
      <c r="AL1" s="4"/>
      <c r="AM1" s="4"/>
      <c r="AN1" s="4"/>
      <c r="AO1" s="4"/>
      <c r="AP1" s="55"/>
      <c r="AQ1" s="2"/>
      <c r="AR1" s="2"/>
      <c r="AS1" s="2"/>
      <c r="AT1" s="2"/>
      <c r="AU1" s="55"/>
      <c r="AV1" s="2"/>
      <c r="AW1" s="2"/>
      <c r="AX1" s="2"/>
      <c r="AY1" s="2"/>
      <c r="AZ1" s="55"/>
      <c r="BA1" s="2"/>
      <c r="BB1" s="2"/>
      <c r="BC1" s="2"/>
      <c r="BD1" s="2"/>
      <c r="BE1" s="55"/>
      <c r="BF1" s="2"/>
      <c r="BG1" s="2"/>
      <c r="BH1" s="2"/>
      <c r="BI1" s="2"/>
      <c r="BJ1" s="55"/>
      <c r="BK1" s="2"/>
      <c r="BL1" s="2"/>
      <c r="BM1" s="2"/>
      <c r="BN1" s="2"/>
      <c r="BO1" s="55"/>
      <c r="BP1" s="2"/>
      <c r="BQ1" s="2"/>
      <c r="BR1" s="2"/>
      <c r="BS1" s="2"/>
      <c r="BU1" s="2"/>
      <c r="BV1" s="2"/>
      <c r="BW1" s="2"/>
      <c r="BX1" s="2"/>
    </row>
    <row r="2" spans="1:84" ht="12" customHeight="1" x14ac:dyDescent="0.25">
      <c r="A2" s="2"/>
      <c r="B2" s="38"/>
      <c r="C2" s="39" t="s">
        <v>1338</v>
      </c>
      <c r="D2" s="40" t="s">
        <v>1339</v>
      </c>
      <c r="E2" s="40" t="s">
        <v>139</v>
      </c>
      <c r="F2" s="40" t="s">
        <v>2203</v>
      </c>
      <c r="G2" s="41">
        <v>2004</v>
      </c>
      <c r="H2" s="39" t="s">
        <v>628</v>
      </c>
      <c r="I2" s="40" t="s">
        <v>1483</v>
      </c>
      <c r="J2" s="40" t="s">
        <v>484</v>
      </c>
      <c r="K2" s="40" t="s">
        <v>1361</v>
      </c>
      <c r="L2" s="41">
        <v>2005</v>
      </c>
      <c r="M2" s="39" t="s">
        <v>590</v>
      </c>
      <c r="N2" s="40" t="s">
        <v>1827</v>
      </c>
      <c r="O2" s="40" t="s">
        <v>2051</v>
      </c>
      <c r="P2" s="40" t="s">
        <v>1224</v>
      </c>
      <c r="Q2" s="41">
        <v>2006</v>
      </c>
      <c r="R2" s="39" t="s">
        <v>1417</v>
      </c>
      <c r="S2" s="40" t="s">
        <v>1209</v>
      </c>
      <c r="T2" s="40" t="s">
        <v>1546</v>
      </c>
      <c r="U2" s="40" t="s">
        <v>984</v>
      </c>
      <c r="V2" s="41">
        <v>2007</v>
      </c>
      <c r="W2" s="39" t="s">
        <v>2022</v>
      </c>
      <c r="X2" s="40" t="s">
        <v>727</v>
      </c>
      <c r="Y2" s="40" t="s">
        <v>48</v>
      </c>
      <c r="Z2" s="40" t="s">
        <v>10</v>
      </c>
      <c r="AA2" s="41">
        <v>2008</v>
      </c>
      <c r="AB2" s="40" t="s">
        <v>1482</v>
      </c>
      <c r="AC2" s="40" t="s">
        <v>133</v>
      </c>
      <c r="AD2" s="40" t="s">
        <v>1707</v>
      </c>
      <c r="AE2" s="40" t="s">
        <v>1398</v>
      </c>
      <c r="AF2" s="41" t="s">
        <v>150</v>
      </c>
      <c r="AG2" s="40" t="s">
        <v>1671</v>
      </c>
      <c r="AH2" s="40" t="s">
        <v>1672</v>
      </c>
      <c r="AI2" s="40" t="s">
        <v>2112</v>
      </c>
      <c r="AJ2" s="40" t="s">
        <v>2113</v>
      </c>
      <c r="AK2" s="41">
        <v>2010</v>
      </c>
      <c r="AL2" s="40" t="s">
        <v>2115</v>
      </c>
      <c r="AM2" s="40" t="s">
        <v>2116</v>
      </c>
      <c r="AN2" s="40" t="s">
        <v>2117</v>
      </c>
      <c r="AO2" s="40" t="s">
        <v>2118</v>
      </c>
      <c r="AP2" s="41">
        <v>2011</v>
      </c>
      <c r="AQ2" s="40" t="s">
        <v>1309</v>
      </c>
      <c r="AR2" s="40" t="s">
        <v>548</v>
      </c>
      <c r="AS2" s="40" t="s">
        <v>549</v>
      </c>
      <c r="AT2" s="40" t="s">
        <v>550</v>
      </c>
      <c r="AU2" s="41" t="s">
        <v>1136</v>
      </c>
      <c r="AV2" s="40" t="s">
        <v>662</v>
      </c>
      <c r="AW2" s="40" t="s">
        <v>661</v>
      </c>
      <c r="AX2" s="40" t="s">
        <v>2037</v>
      </c>
      <c r="AY2" s="40" t="s">
        <v>2038</v>
      </c>
      <c r="AZ2" s="41" t="s">
        <v>1137</v>
      </c>
      <c r="BA2" s="40" t="s">
        <v>2039</v>
      </c>
      <c r="BB2" s="40" t="s">
        <v>2040</v>
      </c>
      <c r="BC2" s="40" t="s">
        <v>2041</v>
      </c>
      <c r="BD2" s="40" t="s">
        <v>2042</v>
      </c>
      <c r="BE2" s="41" t="s">
        <v>1138</v>
      </c>
      <c r="BF2" s="40" t="s">
        <v>930</v>
      </c>
      <c r="BG2" s="40" t="s">
        <v>1381</v>
      </c>
      <c r="BH2" s="40" t="s">
        <v>1382</v>
      </c>
      <c r="BI2" s="40" t="s">
        <v>1383</v>
      </c>
      <c r="BJ2" s="41" t="s">
        <v>1139</v>
      </c>
      <c r="BK2" s="40" t="s">
        <v>2482</v>
      </c>
      <c r="BL2" s="40" t="s">
        <v>2520</v>
      </c>
      <c r="BM2" s="40" t="s">
        <v>2365</v>
      </c>
      <c r="BN2" s="40" t="s">
        <v>2366</v>
      </c>
      <c r="BO2" s="41" t="s">
        <v>567</v>
      </c>
      <c r="BP2" s="40" t="s">
        <v>2521</v>
      </c>
      <c r="BQ2" s="40" t="s">
        <v>2522</v>
      </c>
      <c r="BR2" s="40" t="s">
        <v>2523</v>
      </c>
      <c r="BS2" s="40" t="s">
        <v>2524</v>
      </c>
      <c r="BT2" s="41" t="s">
        <v>2043</v>
      </c>
      <c r="BU2" s="40" t="s">
        <v>2579</v>
      </c>
      <c r="BV2" s="40" t="s">
        <v>2580</v>
      </c>
      <c r="BW2" s="40" t="s">
        <v>2577</v>
      </c>
      <c r="BX2" s="40" t="s">
        <v>2578</v>
      </c>
      <c r="BY2" s="41" t="s">
        <v>2044</v>
      </c>
      <c r="BZ2" s="41" t="s">
        <v>2045</v>
      </c>
      <c r="CA2" s="41" t="s">
        <v>2046</v>
      </c>
      <c r="CB2" s="41" t="s">
        <v>2046</v>
      </c>
      <c r="CC2" s="41" t="s">
        <v>2046</v>
      </c>
      <c r="CD2" s="41" t="s">
        <v>2046</v>
      </c>
      <c r="CE2" s="41" t="s">
        <v>2046</v>
      </c>
      <c r="CF2" s="41" t="s">
        <v>2046</v>
      </c>
    </row>
    <row r="3" spans="1:84" ht="12" customHeight="1" x14ac:dyDescent="0.25">
      <c r="A3" s="2"/>
      <c r="B3" s="42"/>
      <c r="C3" s="42">
        <v>38077</v>
      </c>
      <c r="D3" s="43">
        <v>38168</v>
      </c>
      <c r="E3" s="43">
        <v>38260</v>
      </c>
      <c r="F3" s="42">
        <v>38352</v>
      </c>
      <c r="G3" s="44">
        <v>38352</v>
      </c>
      <c r="H3" s="42">
        <v>38442</v>
      </c>
      <c r="I3" s="43">
        <v>38533</v>
      </c>
      <c r="J3" s="43">
        <v>38625</v>
      </c>
      <c r="K3" s="42">
        <v>38717</v>
      </c>
      <c r="L3" s="44">
        <v>38717</v>
      </c>
      <c r="M3" s="42">
        <v>38807</v>
      </c>
      <c r="N3" s="43">
        <v>38898</v>
      </c>
      <c r="O3" s="43">
        <v>38990</v>
      </c>
      <c r="P3" s="42">
        <v>39082</v>
      </c>
      <c r="Q3" s="45">
        <v>39082</v>
      </c>
      <c r="R3" s="42">
        <v>39172</v>
      </c>
      <c r="S3" s="43">
        <v>39263</v>
      </c>
      <c r="T3" s="43">
        <v>39355</v>
      </c>
      <c r="U3" s="42">
        <v>39447</v>
      </c>
      <c r="V3" s="45">
        <v>39447</v>
      </c>
      <c r="W3" s="42">
        <v>39538</v>
      </c>
      <c r="X3" s="43">
        <v>39629</v>
      </c>
      <c r="Y3" s="43">
        <v>39721</v>
      </c>
      <c r="Z3" s="42">
        <v>39813</v>
      </c>
      <c r="AA3" s="45">
        <v>39813</v>
      </c>
      <c r="AB3" s="46">
        <v>39903</v>
      </c>
      <c r="AC3" s="47">
        <v>39994</v>
      </c>
      <c r="AD3" s="47">
        <v>40086</v>
      </c>
      <c r="AE3" s="46">
        <v>40178</v>
      </c>
      <c r="AF3" s="45">
        <v>40178</v>
      </c>
      <c r="AG3" s="46">
        <v>40268</v>
      </c>
      <c r="AH3" s="47">
        <v>40359</v>
      </c>
      <c r="AI3" s="47">
        <v>40451</v>
      </c>
      <c r="AJ3" s="46">
        <v>40543</v>
      </c>
      <c r="AK3" s="44">
        <v>40543</v>
      </c>
      <c r="AL3" s="46">
        <v>40633</v>
      </c>
      <c r="AM3" s="47">
        <v>40724</v>
      </c>
      <c r="AN3" s="47">
        <v>40816</v>
      </c>
      <c r="AO3" s="46">
        <v>40908</v>
      </c>
      <c r="AP3" s="44">
        <v>40908</v>
      </c>
      <c r="AQ3" s="46">
        <v>40999</v>
      </c>
      <c r="AR3" s="47">
        <v>41090</v>
      </c>
      <c r="AS3" s="47">
        <v>41182</v>
      </c>
      <c r="AT3" s="46">
        <v>41274</v>
      </c>
      <c r="AU3" s="44">
        <v>41274</v>
      </c>
      <c r="AV3" s="46">
        <v>41364</v>
      </c>
      <c r="AW3" s="47">
        <v>41455</v>
      </c>
      <c r="AX3" s="47">
        <v>41547</v>
      </c>
      <c r="AY3" s="46">
        <v>41639</v>
      </c>
      <c r="AZ3" s="44">
        <v>41639</v>
      </c>
      <c r="BA3" s="46">
        <v>41729</v>
      </c>
      <c r="BB3" s="47">
        <v>41820</v>
      </c>
      <c r="BC3" s="47">
        <v>41912</v>
      </c>
      <c r="BD3" s="46">
        <v>42004</v>
      </c>
      <c r="BE3" s="44">
        <v>42004</v>
      </c>
      <c r="BF3" s="46">
        <v>42094</v>
      </c>
      <c r="BG3" s="47">
        <v>42185</v>
      </c>
      <c r="BH3" s="47">
        <v>42277</v>
      </c>
      <c r="BI3" s="46">
        <v>42369</v>
      </c>
      <c r="BJ3" s="44">
        <v>42369</v>
      </c>
      <c r="BK3" s="46">
        <v>42460</v>
      </c>
      <c r="BL3" s="47">
        <v>42551</v>
      </c>
      <c r="BM3" s="47">
        <v>42643</v>
      </c>
      <c r="BN3" s="46">
        <v>42735</v>
      </c>
      <c r="BO3" s="44">
        <v>42735</v>
      </c>
      <c r="BP3" s="46">
        <v>42825</v>
      </c>
      <c r="BQ3" s="47">
        <v>42916</v>
      </c>
      <c r="BR3" s="47">
        <v>43008</v>
      </c>
      <c r="BS3" s="46">
        <v>43100</v>
      </c>
      <c r="BT3" s="44">
        <v>43100</v>
      </c>
      <c r="BU3" s="46">
        <v>43190</v>
      </c>
      <c r="BV3" s="47">
        <v>43281</v>
      </c>
      <c r="BW3" s="47">
        <v>43373</v>
      </c>
      <c r="BX3" s="46">
        <v>43465</v>
      </c>
      <c r="BY3" s="44">
        <v>43465</v>
      </c>
      <c r="BZ3" s="44">
        <v>43830</v>
      </c>
      <c r="CA3" s="44">
        <v>44196</v>
      </c>
      <c r="CB3" s="44">
        <v>44561</v>
      </c>
      <c r="CC3" s="44">
        <v>44926</v>
      </c>
      <c r="CD3" s="44">
        <v>45291</v>
      </c>
      <c r="CE3" s="44">
        <v>45657</v>
      </c>
      <c r="CF3" s="44">
        <v>46022</v>
      </c>
    </row>
    <row r="4" spans="1:84" ht="12" customHeight="1" x14ac:dyDescent="0.25">
      <c r="A4" s="2"/>
      <c r="B4" s="46"/>
      <c r="C4" s="46"/>
      <c r="D4" s="47"/>
      <c r="E4" s="47"/>
      <c r="F4" s="46"/>
      <c r="G4" s="48"/>
      <c r="H4" s="46"/>
      <c r="I4" s="47"/>
      <c r="J4" s="47"/>
      <c r="K4" s="46"/>
      <c r="L4" s="45"/>
      <c r="M4" s="46"/>
      <c r="N4" s="46"/>
      <c r="O4" s="46"/>
      <c r="P4" s="46"/>
      <c r="Q4" s="45"/>
      <c r="R4" s="46"/>
      <c r="S4" s="46"/>
      <c r="T4" s="46"/>
      <c r="U4" s="46"/>
      <c r="V4" s="45"/>
      <c r="W4" s="46"/>
      <c r="X4" s="46"/>
      <c r="Y4" s="46"/>
      <c r="Z4" s="46"/>
      <c r="AA4" s="45"/>
      <c r="AB4" s="46"/>
      <c r="AC4" s="46"/>
      <c r="AD4" s="46"/>
      <c r="AE4" s="46"/>
      <c r="AF4" s="45"/>
      <c r="AG4" s="46"/>
      <c r="AH4" s="46"/>
      <c r="AI4" s="46"/>
      <c r="AJ4" s="46"/>
      <c r="AK4" s="45"/>
      <c r="AL4" s="46"/>
      <c r="AM4" s="46"/>
      <c r="AN4" s="46"/>
      <c r="AO4" s="46"/>
      <c r="AP4" s="45"/>
      <c r="AQ4" s="247"/>
      <c r="AR4" s="46"/>
      <c r="AS4" s="46"/>
      <c r="AT4" s="1678"/>
      <c r="AU4" s="45"/>
      <c r="AV4" s="247"/>
      <c r="AW4" s="46"/>
      <c r="AX4" s="46"/>
      <c r="AY4" s="1678"/>
      <c r="AZ4" s="45"/>
      <c r="BA4" s="247"/>
      <c r="BB4" s="46"/>
      <c r="BC4" s="46"/>
      <c r="BD4" s="1678"/>
      <c r="BE4" s="45"/>
      <c r="BF4" s="247"/>
      <c r="BG4" s="46"/>
      <c r="BH4" s="46"/>
      <c r="BI4" s="1678"/>
      <c r="BJ4" s="45"/>
      <c r="BK4" s="247"/>
      <c r="BL4" s="46"/>
      <c r="BM4" s="46"/>
      <c r="BN4" s="1678"/>
      <c r="BO4" s="45"/>
      <c r="BP4" s="247"/>
      <c r="BQ4" s="46"/>
      <c r="BR4" s="46"/>
      <c r="BS4" s="1678"/>
      <c r="BT4" s="45"/>
      <c r="BU4" s="247"/>
      <c r="BV4" s="46"/>
      <c r="BW4" s="46"/>
      <c r="BX4" s="1678"/>
      <c r="BY4" s="45"/>
      <c r="BZ4" s="45"/>
      <c r="CA4" s="45"/>
      <c r="CB4" s="45"/>
      <c r="CC4" s="45"/>
      <c r="CD4" s="45"/>
      <c r="CE4" s="45"/>
      <c r="CF4" s="45"/>
    </row>
    <row r="5" spans="1:84" ht="12" customHeight="1" x14ac:dyDescent="0.25">
      <c r="A5" s="2" t="s">
        <v>554</v>
      </c>
      <c r="B5" s="46"/>
      <c r="C5" s="46"/>
      <c r="D5" s="47"/>
      <c r="E5" s="47"/>
      <c r="F5" s="46"/>
      <c r="G5" s="45"/>
      <c r="H5" s="46"/>
      <c r="I5" s="47"/>
      <c r="J5" s="47"/>
      <c r="K5" s="46"/>
      <c r="L5" s="45"/>
      <c r="M5" s="46"/>
      <c r="N5" s="46"/>
      <c r="O5" s="46"/>
      <c r="P5" s="46"/>
      <c r="Q5" s="45"/>
      <c r="R5" s="46"/>
      <c r="S5" s="46"/>
      <c r="T5" s="46"/>
      <c r="U5" s="46"/>
      <c r="V5" s="45"/>
      <c r="W5" s="46"/>
      <c r="X5" s="46"/>
      <c r="Y5" s="46"/>
      <c r="Z5" s="46"/>
      <c r="AA5" s="45"/>
      <c r="AB5" s="46"/>
      <c r="AC5" s="46"/>
      <c r="AD5" s="46"/>
      <c r="AE5" s="46"/>
      <c r="AF5" s="45"/>
      <c r="AG5" s="46"/>
      <c r="AH5" s="46"/>
      <c r="AI5" s="46"/>
      <c r="AJ5" s="46"/>
      <c r="AK5" s="45"/>
      <c r="AL5" s="46"/>
      <c r="AM5" s="46"/>
      <c r="AN5" s="46"/>
      <c r="AO5" s="46"/>
      <c r="AP5" s="45"/>
      <c r="AQ5" s="247"/>
      <c r="AR5" s="46"/>
      <c r="AS5" s="46"/>
      <c r="AT5" s="1678"/>
      <c r="AU5" s="45"/>
      <c r="AV5" s="247"/>
      <c r="AW5" s="46"/>
      <c r="AX5" s="46"/>
      <c r="AY5" s="1678"/>
      <c r="AZ5" s="45"/>
      <c r="BA5" s="247"/>
      <c r="BB5" s="46"/>
      <c r="BC5" s="46"/>
      <c r="BD5" s="1678"/>
      <c r="BE5" s="45"/>
      <c r="BF5" s="247"/>
      <c r="BG5" s="46"/>
      <c r="BH5" s="46"/>
      <c r="BI5" s="1678"/>
      <c r="BJ5" s="45"/>
      <c r="BK5" s="247"/>
      <c r="BL5" s="46"/>
      <c r="BM5" s="46"/>
      <c r="BN5" s="1678"/>
      <c r="BO5" s="45"/>
      <c r="BP5" s="247"/>
      <c r="BQ5" s="46"/>
      <c r="BR5" s="46"/>
      <c r="BS5" s="1678"/>
      <c r="BT5" s="45"/>
      <c r="BU5" s="247"/>
      <c r="BV5" s="46"/>
      <c r="BW5" s="46"/>
      <c r="BX5" s="1678"/>
      <c r="BY5" s="45"/>
      <c r="BZ5" s="45"/>
      <c r="CA5" s="45"/>
      <c r="CB5" s="45"/>
      <c r="CC5" s="45"/>
      <c r="CD5" s="45"/>
      <c r="CE5" s="45"/>
      <c r="CF5" s="45"/>
    </row>
    <row r="6" spans="1:84" ht="12" customHeight="1" x14ac:dyDescent="0.25">
      <c r="A6" s="2" t="s">
        <v>897</v>
      </c>
      <c r="B6" s="46"/>
      <c r="C6" s="46"/>
      <c r="D6" s="47"/>
      <c r="E6" s="47"/>
      <c r="F6" s="46"/>
      <c r="G6" s="45"/>
      <c r="H6" s="46"/>
      <c r="I6" s="47"/>
      <c r="J6" s="47"/>
      <c r="K6" s="46"/>
      <c r="L6" s="49">
        <v>86</v>
      </c>
      <c r="M6" s="46"/>
      <c r="N6" s="46"/>
      <c r="O6" s="46"/>
      <c r="P6" s="46"/>
      <c r="Q6" s="45"/>
      <c r="R6" s="46"/>
      <c r="S6" s="46"/>
      <c r="T6" s="46"/>
      <c r="U6" s="46"/>
      <c r="V6" s="45"/>
      <c r="W6" s="46"/>
      <c r="X6" s="46"/>
      <c r="Y6" s="46"/>
      <c r="Z6" s="46"/>
      <c r="AA6" s="45"/>
      <c r="AB6" s="46"/>
      <c r="AC6" s="46"/>
      <c r="AD6" s="46"/>
      <c r="AE6" s="46"/>
      <c r="AF6" s="45"/>
      <c r="AG6" s="46"/>
      <c r="AH6" s="46"/>
      <c r="AI6" s="46"/>
      <c r="AJ6" s="46"/>
      <c r="AK6" s="45"/>
      <c r="AL6" s="46"/>
      <c r="AM6" s="46"/>
      <c r="AN6" s="46"/>
      <c r="AO6" s="46"/>
      <c r="AP6" s="45"/>
      <c r="AQ6" s="247"/>
      <c r="AR6" s="46"/>
      <c r="AS6" s="46"/>
      <c r="AT6" s="1678"/>
      <c r="AU6" s="45"/>
      <c r="AV6" s="247"/>
      <c r="AW6" s="46"/>
      <c r="AX6" s="46"/>
      <c r="AY6" s="1678"/>
      <c r="AZ6" s="45"/>
      <c r="BA6" s="247"/>
      <c r="BB6" s="46"/>
      <c r="BC6" s="46"/>
      <c r="BD6" s="1678"/>
      <c r="BE6" s="45"/>
      <c r="BF6" s="247"/>
      <c r="BG6" s="46"/>
      <c r="BH6" s="46"/>
      <c r="BI6" s="1678"/>
      <c r="BJ6" s="45"/>
      <c r="BK6" s="247"/>
      <c r="BL6" s="46"/>
      <c r="BM6" s="46"/>
      <c r="BN6" s="1678"/>
      <c r="BO6" s="45"/>
      <c r="BP6" s="247"/>
      <c r="BQ6" s="46"/>
      <c r="BR6" s="46"/>
      <c r="BS6" s="1678"/>
      <c r="BT6" s="45"/>
      <c r="BU6" s="247"/>
      <c r="BV6" s="46"/>
      <c r="BW6" s="46"/>
      <c r="BX6" s="1678"/>
      <c r="BY6" s="45"/>
      <c r="BZ6" s="45"/>
      <c r="CA6" s="45"/>
      <c r="CB6" s="45"/>
      <c r="CC6" s="45"/>
      <c r="CD6" s="45"/>
      <c r="CE6" s="45"/>
      <c r="CF6" s="45"/>
    </row>
    <row r="7" spans="1:84" ht="12" customHeight="1" x14ac:dyDescent="0.25">
      <c r="A7" s="2" t="s">
        <v>555</v>
      </c>
      <c r="B7" s="46"/>
      <c r="C7" s="46"/>
      <c r="D7" s="47"/>
      <c r="E7" s="47"/>
      <c r="F7" s="46"/>
      <c r="G7" s="45"/>
      <c r="H7" s="46"/>
      <c r="I7" s="47"/>
      <c r="J7" s="47"/>
      <c r="K7" s="46"/>
      <c r="L7" s="50">
        <v>31</v>
      </c>
      <c r="M7" s="46"/>
      <c r="N7" s="46"/>
      <c r="O7" s="46"/>
      <c r="P7" s="46"/>
      <c r="Q7" s="45"/>
      <c r="R7" s="46"/>
      <c r="S7" s="46"/>
      <c r="T7" s="46"/>
      <c r="U7" s="46"/>
      <c r="V7" s="45"/>
      <c r="W7" s="46"/>
      <c r="X7" s="46"/>
      <c r="Y7" s="46"/>
      <c r="Z7" s="46"/>
      <c r="AA7" s="45"/>
      <c r="AB7" s="46"/>
      <c r="AC7" s="46"/>
      <c r="AD7" s="46"/>
      <c r="AE7" s="46"/>
      <c r="AF7" s="45"/>
      <c r="AG7" s="46"/>
      <c r="AH7" s="46"/>
      <c r="AI7" s="46"/>
      <c r="AJ7" s="46"/>
      <c r="AK7" s="45"/>
      <c r="AL7" s="46"/>
      <c r="AM7" s="46"/>
      <c r="AN7" s="46"/>
      <c r="AO7" s="46"/>
      <c r="AP7" s="45"/>
      <c r="AQ7" s="247"/>
      <c r="AR7" s="46"/>
      <c r="AS7" s="46"/>
      <c r="AT7" s="1678"/>
      <c r="AU7" s="45"/>
      <c r="AV7" s="247"/>
      <c r="AW7" s="46"/>
      <c r="AX7" s="46"/>
      <c r="AY7" s="1678"/>
      <c r="AZ7" s="45"/>
      <c r="BA7" s="247"/>
      <c r="BB7" s="46"/>
      <c r="BC7" s="46"/>
      <c r="BD7" s="1678"/>
      <c r="BE7" s="45"/>
      <c r="BF7" s="247"/>
      <c r="BG7" s="46"/>
      <c r="BH7" s="46"/>
      <c r="BI7" s="1678"/>
      <c r="BJ7" s="45"/>
      <c r="BK7" s="247"/>
      <c r="BL7" s="46"/>
      <c r="BM7" s="46"/>
      <c r="BN7" s="1678"/>
      <c r="BO7" s="45"/>
      <c r="BP7" s="247"/>
      <c r="BQ7" s="46"/>
      <c r="BR7" s="46"/>
      <c r="BS7" s="1678"/>
      <c r="BT7" s="45"/>
      <c r="BU7" s="247"/>
      <c r="BV7" s="46"/>
      <c r="BW7" s="46"/>
      <c r="BX7" s="1678"/>
      <c r="BY7" s="45"/>
      <c r="BZ7" s="45"/>
      <c r="CA7" s="45"/>
      <c r="CB7" s="45"/>
      <c r="CC7" s="45"/>
      <c r="CD7" s="45"/>
      <c r="CE7" s="45"/>
      <c r="CF7" s="45"/>
    </row>
    <row r="8" spans="1:84" ht="12" customHeight="1" x14ac:dyDescent="0.25">
      <c r="A8" s="2" t="s">
        <v>556</v>
      </c>
      <c r="B8" s="46"/>
      <c r="C8" s="46"/>
      <c r="D8" s="47"/>
      <c r="E8" s="47"/>
      <c r="F8" s="46"/>
      <c r="G8" s="45"/>
      <c r="H8" s="46"/>
      <c r="I8" s="47"/>
      <c r="J8" s="47"/>
      <c r="K8" s="46"/>
      <c r="L8" s="50">
        <v>86</v>
      </c>
      <c r="M8" s="46"/>
      <c r="N8" s="46"/>
      <c r="O8" s="46"/>
      <c r="P8" s="46"/>
      <c r="Q8" s="45"/>
      <c r="R8" s="46"/>
      <c r="S8" s="46"/>
      <c r="T8" s="46"/>
      <c r="U8" s="46"/>
      <c r="V8" s="45"/>
      <c r="W8" s="46"/>
      <c r="X8" s="46"/>
      <c r="Y8" s="46"/>
      <c r="Z8" s="46"/>
      <c r="AA8" s="45"/>
      <c r="AB8" s="46"/>
      <c r="AC8" s="46"/>
      <c r="AD8" s="46"/>
      <c r="AE8" s="46"/>
      <c r="AF8" s="45"/>
      <c r="AG8" s="46"/>
      <c r="AH8" s="46"/>
      <c r="AI8" s="46"/>
      <c r="AJ8" s="46"/>
      <c r="AK8" s="45"/>
      <c r="AL8" s="46"/>
      <c r="AM8" s="46"/>
      <c r="AN8" s="46"/>
      <c r="AO8" s="46"/>
      <c r="AP8" s="45"/>
      <c r="AQ8" s="247"/>
      <c r="AR8" s="46"/>
      <c r="AS8" s="46"/>
      <c r="AT8" s="1678"/>
      <c r="AU8" s="45"/>
      <c r="AV8" s="247"/>
      <c r="AW8" s="46"/>
      <c r="AX8" s="46"/>
      <c r="AY8" s="1678"/>
      <c r="AZ8" s="45"/>
      <c r="BA8" s="247"/>
      <c r="BB8" s="46"/>
      <c r="BC8" s="46"/>
      <c r="BD8" s="1678"/>
      <c r="BE8" s="45"/>
      <c r="BF8" s="247"/>
      <c r="BG8" s="46"/>
      <c r="BH8" s="46"/>
      <c r="BI8" s="1678"/>
      <c r="BJ8" s="45"/>
      <c r="BK8" s="247"/>
      <c r="BL8" s="46"/>
      <c r="BM8" s="46"/>
      <c r="BN8" s="1678"/>
      <c r="BO8" s="45"/>
      <c r="BP8" s="247"/>
      <c r="BQ8" s="46"/>
      <c r="BR8" s="46"/>
      <c r="BS8" s="1678"/>
      <c r="BT8" s="45"/>
      <c r="BU8" s="247"/>
      <c r="BV8" s="46"/>
      <c r="BW8" s="46"/>
      <c r="BX8" s="1678"/>
      <c r="BY8" s="45"/>
      <c r="BZ8" s="45"/>
      <c r="CA8" s="45"/>
      <c r="CB8" s="45"/>
      <c r="CC8" s="45"/>
      <c r="CD8" s="45"/>
      <c r="CE8" s="45"/>
      <c r="CF8" s="45"/>
    </row>
    <row r="9" spans="1:84" ht="12" customHeight="1" x14ac:dyDescent="0.25">
      <c r="A9" s="2"/>
      <c r="B9" s="46"/>
      <c r="C9" s="46"/>
      <c r="D9" s="47"/>
      <c r="E9" s="47"/>
      <c r="F9" s="46"/>
      <c r="G9" s="45"/>
      <c r="H9" s="46"/>
      <c r="I9" s="47"/>
      <c r="J9" s="47"/>
      <c r="K9" s="46"/>
      <c r="L9" s="45"/>
      <c r="M9" s="46"/>
      <c r="N9" s="46"/>
      <c r="O9" s="46"/>
      <c r="P9" s="46"/>
      <c r="Q9" s="45"/>
      <c r="R9" s="46"/>
      <c r="S9" s="46"/>
      <c r="T9" s="46"/>
      <c r="U9" s="46"/>
      <c r="V9" s="45"/>
      <c r="W9" s="46"/>
      <c r="X9" s="46"/>
      <c r="Y9" s="46"/>
      <c r="Z9" s="46"/>
      <c r="AA9" s="45"/>
      <c r="AB9" s="46"/>
      <c r="AC9" s="46"/>
      <c r="AD9" s="46"/>
      <c r="AE9" s="46"/>
      <c r="AF9" s="45"/>
      <c r="AG9" s="46"/>
      <c r="AH9" s="46"/>
      <c r="AI9" s="46"/>
      <c r="AJ9" s="46"/>
      <c r="AK9" s="45"/>
      <c r="AL9" s="46"/>
      <c r="AM9" s="46"/>
      <c r="AN9" s="46"/>
      <c r="AO9" s="46"/>
      <c r="AP9" s="45"/>
      <c r="AQ9" s="247"/>
      <c r="AR9" s="46"/>
      <c r="AS9" s="46"/>
      <c r="AT9" s="1678"/>
      <c r="AU9" s="45"/>
      <c r="AV9" s="247"/>
      <c r="AW9" s="46"/>
      <c r="AX9" s="46"/>
      <c r="AY9" s="1678"/>
      <c r="AZ9" s="45"/>
      <c r="BA9" s="247"/>
      <c r="BB9" s="46"/>
      <c r="BC9" s="46"/>
      <c r="BD9" s="1678"/>
      <c r="BE9" s="45"/>
      <c r="BF9" s="247"/>
      <c r="BG9" s="46"/>
      <c r="BH9" s="46"/>
      <c r="BI9" s="1678"/>
      <c r="BJ9" s="45"/>
      <c r="BK9" s="247"/>
      <c r="BL9" s="46"/>
      <c r="BM9" s="46"/>
      <c r="BN9" s="1678"/>
      <c r="BO9" s="45"/>
      <c r="BP9" s="247"/>
      <c r="BQ9" s="46"/>
      <c r="BR9" s="46"/>
      <c r="BS9" s="1678"/>
      <c r="BT9" s="45"/>
      <c r="BU9" s="247"/>
      <c r="BV9" s="46"/>
      <c r="BW9" s="46"/>
      <c r="BX9" s="1678"/>
      <c r="BY9" s="45"/>
      <c r="BZ9" s="45"/>
      <c r="CA9" s="45"/>
      <c r="CB9" s="45"/>
      <c r="CC9" s="45"/>
      <c r="CD9" s="45"/>
      <c r="CE9" s="45"/>
      <c r="CF9" s="45"/>
    </row>
    <row r="10" spans="1:84" ht="12" customHeight="1" x14ac:dyDescent="0.25">
      <c r="A10" s="2"/>
      <c r="B10" s="46"/>
      <c r="C10" s="46"/>
      <c r="D10" s="47"/>
      <c r="E10" s="47"/>
      <c r="F10" s="46"/>
      <c r="G10" s="45"/>
      <c r="H10" s="46"/>
      <c r="I10" s="47"/>
      <c r="J10" s="47"/>
      <c r="K10" s="46"/>
      <c r="L10" s="45"/>
      <c r="M10" s="46"/>
      <c r="N10" s="46"/>
      <c r="O10" s="46"/>
      <c r="P10" s="46"/>
      <c r="Q10" s="45"/>
      <c r="R10" s="46"/>
      <c r="S10" s="46"/>
      <c r="T10" s="46"/>
      <c r="U10" s="46"/>
      <c r="V10" s="45"/>
      <c r="W10" s="46"/>
      <c r="X10" s="46"/>
      <c r="Y10" s="46"/>
      <c r="Z10" s="46"/>
      <c r="AA10" s="45"/>
      <c r="AB10" s="46"/>
      <c r="AC10" s="46"/>
      <c r="AD10" s="46"/>
      <c r="AE10" s="46"/>
      <c r="AF10" s="45"/>
      <c r="AG10" s="46"/>
      <c r="AH10" s="46"/>
      <c r="AI10" s="46"/>
      <c r="AJ10" s="46"/>
      <c r="AK10" s="45"/>
      <c r="AL10" s="46"/>
      <c r="AM10" s="46"/>
      <c r="AN10" s="46"/>
      <c r="AO10" s="46"/>
      <c r="AP10" s="45"/>
      <c r="AQ10" s="247"/>
      <c r="AR10" s="46"/>
      <c r="AS10" s="46"/>
      <c r="AT10" s="1678"/>
      <c r="AU10" s="45"/>
      <c r="AV10" s="247"/>
      <c r="AW10" s="46"/>
      <c r="AX10" s="46"/>
      <c r="AY10" s="1678"/>
      <c r="AZ10" s="45"/>
      <c r="BA10" s="247"/>
      <c r="BB10" s="46"/>
      <c r="BC10" s="46"/>
      <c r="BD10" s="1678"/>
      <c r="BE10" s="45"/>
      <c r="BF10" s="247"/>
      <c r="BG10" s="46"/>
      <c r="BH10" s="46"/>
      <c r="BI10" s="1678"/>
      <c r="BJ10" s="45"/>
      <c r="BK10" s="247"/>
      <c r="BL10" s="46"/>
      <c r="BM10" s="46"/>
      <c r="BN10" s="1678"/>
      <c r="BO10" s="45"/>
      <c r="BP10" s="247"/>
      <c r="BQ10" s="46"/>
      <c r="BR10" s="46"/>
      <c r="BS10" s="1678"/>
      <c r="BT10" s="45"/>
      <c r="BU10" s="247"/>
      <c r="BV10" s="46"/>
      <c r="BW10" s="46"/>
      <c r="BX10" s="1678"/>
      <c r="BY10" s="45"/>
      <c r="BZ10" s="45"/>
      <c r="CA10" s="45"/>
      <c r="CB10" s="45"/>
      <c r="CC10" s="45"/>
      <c r="CD10" s="45"/>
      <c r="CE10" s="45"/>
      <c r="CF10" s="45"/>
    </row>
    <row r="11" spans="1:84" x14ac:dyDescent="0.25">
      <c r="A11" s="51" t="s">
        <v>557</v>
      </c>
      <c r="B11" s="2"/>
      <c r="C11" s="53"/>
      <c r="D11" s="54"/>
      <c r="E11" s="54"/>
      <c r="F11" s="4"/>
      <c r="G11" s="52"/>
      <c r="H11" s="53"/>
      <c r="I11" s="54"/>
      <c r="J11" s="54"/>
      <c r="K11" s="4"/>
      <c r="L11" s="52"/>
      <c r="M11" s="4"/>
      <c r="N11" s="4"/>
      <c r="O11" s="4"/>
      <c r="P11" s="4"/>
      <c r="Q11" s="55"/>
      <c r="R11" s="4"/>
      <c r="S11" s="4"/>
      <c r="T11" s="4"/>
      <c r="U11" s="4"/>
      <c r="V11" s="55"/>
      <c r="W11" s="4"/>
      <c r="X11" s="4"/>
      <c r="Y11" s="4"/>
      <c r="Z11" s="4"/>
      <c r="AA11" s="55"/>
      <c r="AB11" s="4"/>
      <c r="AC11" s="4"/>
      <c r="AD11" s="4"/>
      <c r="AE11" s="4"/>
      <c r="AF11" s="55"/>
      <c r="AG11" s="4"/>
      <c r="AH11" s="4"/>
      <c r="AI11" s="4"/>
      <c r="AJ11" s="4"/>
      <c r="AK11" s="55"/>
      <c r="AL11" s="4"/>
      <c r="AM11" s="4"/>
      <c r="AN11" s="4"/>
      <c r="AO11" s="4"/>
      <c r="AP11" s="55"/>
      <c r="AQ11" s="53"/>
      <c r="AR11" s="4"/>
      <c r="AS11" s="4"/>
      <c r="AT11" s="1679"/>
      <c r="AU11" s="55"/>
      <c r="AV11" s="53"/>
      <c r="AW11" s="4"/>
      <c r="AX11" s="4"/>
      <c r="AY11" s="1679"/>
      <c r="AZ11" s="55"/>
      <c r="BA11" s="53"/>
      <c r="BB11" s="4"/>
      <c r="BC11" s="4"/>
      <c r="BD11" s="1679"/>
      <c r="BE11" s="55"/>
      <c r="BF11" s="53"/>
      <c r="BG11" s="4"/>
      <c r="BH11" s="4"/>
      <c r="BI11" s="1679"/>
      <c r="BJ11" s="55"/>
      <c r="BK11" s="53"/>
      <c r="BL11" s="4"/>
      <c r="BM11" s="4"/>
      <c r="BN11" s="1679"/>
      <c r="BO11" s="55"/>
      <c r="BP11" s="53"/>
      <c r="BQ11" s="4"/>
      <c r="BR11" s="4"/>
      <c r="BS11" s="1679"/>
      <c r="BT11" s="55"/>
      <c r="BU11" s="53"/>
      <c r="BV11" s="4"/>
      <c r="BW11" s="4"/>
      <c r="BX11" s="1679"/>
      <c r="BY11" s="55"/>
      <c r="BZ11" s="55"/>
      <c r="CA11" s="55"/>
      <c r="CB11" s="55"/>
      <c r="CC11" s="55"/>
      <c r="CD11" s="55"/>
      <c r="CE11" s="55"/>
      <c r="CF11" s="55"/>
    </row>
    <row r="12" spans="1:84" ht="12" customHeight="1" x14ac:dyDescent="0.25">
      <c r="A12" s="2" t="s">
        <v>558</v>
      </c>
      <c r="B12" s="2"/>
      <c r="C12" s="53"/>
      <c r="D12" s="4"/>
      <c r="E12" s="4"/>
      <c r="F12" s="4"/>
      <c r="G12" s="55"/>
      <c r="H12" s="53"/>
      <c r="I12" s="4"/>
      <c r="J12" s="4"/>
      <c r="K12" s="4"/>
      <c r="L12" s="55"/>
      <c r="M12" s="4"/>
      <c r="N12" s="4"/>
      <c r="O12" s="4"/>
      <c r="P12" s="4"/>
      <c r="Q12" s="55"/>
      <c r="R12" s="4"/>
      <c r="S12" s="4"/>
      <c r="T12" s="4"/>
      <c r="U12" s="4"/>
      <c r="V12" s="55"/>
      <c r="W12" s="4"/>
      <c r="X12" s="4"/>
      <c r="Y12" s="4"/>
      <c r="Z12" s="4"/>
      <c r="AA12" s="55"/>
      <c r="AB12" s="4"/>
      <c r="AC12" s="4"/>
      <c r="AD12" s="4"/>
      <c r="AE12" s="4"/>
      <c r="AF12" s="55"/>
      <c r="AG12" s="4"/>
      <c r="AH12" s="4"/>
      <c r="AI12" s="4"/>
      <c r="AJ12" s="4"/>
      <c r="AK12" s="55"/>
      <c r="AL12" s="4"/>
      <c r="AM12" s="4"/>
      <c r="AN12" s="4"/>
      <c r="AO12" s="4"/>
      <c r="AP12" s="55"/>
      <c r="AQ12" s="53"/>
      <c r="AR12" s="4"/>
      <c r="AS12" s="4"/>
      <c r="AT12" s="1679"/>
      <c r="AU12" s="55"/>
      <c r="AV12" s="53"/>
      <c r="AW12" s="4"/>
      <c r="AX12" s="4"/>
      <c r="AY12" s="1679"/>
      <c r="AZ12" s="55"/>
      <c r="BA12" s="53"/>
      <c r="BB12" s="4"/>
      <c r="BC12" s="4"/>
      <c r="BD12" s="1679"/>
      <c r="BE12" s="55"/>
      <c r="BF12" s="53"/>
      <c r="BG12" s="4"/>
      <c r="BH12" s="4"/>
      <c r="BI12" s="1679"/>
      <c r="BJ12" s="55"/>
      <c r="BK12" s="53"/>
      <c r="BL12" s="4"/>
      <c r="BM12" s="4"/>
      <c r="BN12" s="1679"/>
      <c r="BO12" s="55"/>
      <c r="BP12" s="53"/>
      <c r="BQ12" s="4"/>
      <c r="BR12" s="4"/>
      <c r="BS12" s="1679"/>
      <c r="BT12" s="55"/>
      <c r="BU12" s="53"/>
      <c r="BV12" s="4"/>
      <c r="BW12" s="4"/>
      <c r="BX12" s="1679"/>
      <c r="BY12" s="55"/>
      <c r="BZ12" s="55"/>
      <c r="CA12" s="55"/>
      <c r="CB12" s="55"/>
      <c r="CC12" s="55"/>
      <c r="CD12" s="55"/>
      <c r="CE12" s="55"/>
      <c r="CF12" s="55"/>
    </row>
    <row r="13" spans="1:84" x14ac:dyDescent="0.25">
      <c r="A13" s="56">
        <v>1</v>
      </c>
      <c r="B13" s="57"/>
      <c r="C13" s="57">
        <v>25</v>
      </c>
      <c r="D13" s="58">
        <v>25</v>
      </c>
      <c r="E13" s="58">
        <v>25</v>
      </c>
      <c r="F13" s="57">
        <v>25</v>
      </c>
      <c r="G13" s="49">
        <v>25</v>
      </c>
      <c r="H13" s="57">
        <v>25</v>
      </c>
      <c r="I13" s="58">
        <v>25</v>
      </c>
      <c r="J13" s="58">
        <v>25</v>
      </c>
      <c r="K13" s="58">
        <v>25</v>
      </c>
      <c r="L13" s="49">
        <v>25</v>
      </c>
      <c r="M13" s="58">
        <v>25</v>
      </c>
      <c r="N13" s="58">
        <v>25</v>
      </c>
      <c r="O13" s="58">
        <v>25</v>
      </c>
      <c r="P13" s="58">
        <v>25</v>
      </c>
      <c r="Q13" s="49">
        <v>25</v>
      </c>
      <c r="R13" s="58">
        <v>25</v>
      </c>
      <c r="S13" s="58">
        <v>25</v>
      </c>
      <c r="T13" s="58">
        <v>25</v>
      </c>
      <c r="U13" s="58">
        <v>25</v>
      </c>
      <c r="V13" s="49">
        <v>25</v>
      </c>
      <c r="W13" s="58">
        <v>25</v>
      </c>
      <c r="X13" s="58">
        <v>25</v>
      </c>
      <c r="Y13" s="58">
        <v>25</v>
      </c>
      <c r="Z13" s="58">
        <v>25</v>
      </c>
      <c r="AA13" s="49">
        <v>25</v>
      </c>
      <c r="AB13" s="58">
        <v>25</v>
      </c>
      <c r="AC13" s="58">
        <v>25</v>
      </c>
      <c r="AD13" s="58">
        <v>25</v>
      </c>
      <c r="AE13" s="58">
        <v>25</v>
      </c>
      <c r="AF13" s="49">
        <v>25</v>
      </c>
      <c r="AG13" s="58">
        <v>25</v>
      </c>
      <c r="AH13" s="58">
        <v>25</v>
      </c>
      <c r="AI13" s="58">
        <v>25</v>
      </c>
      <c r="AJ13" s="58">
        <v>25</v>
      </c>
      <c r="AK13" s="49">
        <v>25</v>
      </c>
      <c r="AL13" s="58">
        <v>25</v>
      </c>
      <c r="AM13" s="58">
        <v>25</v>
      </c>
      <c r="AN13" s="58">
        <v>25</v>
      </c>
      <c r="AO13" s="58">
        <v>25</v>
      </c>
      <c r="AP13" s="49">
        <v>25</v>
      </c>
      <c r="AQ13" s="58">
        <v>25</v>
      </c>
      <c r="AR13" s="58">
        <v>25</v>
      </c>
      <c r="AS13" s="58">
        <v>25</v>
      </c>
      <c r="AT13" s="58">
        <v>25</v>
      </c>
      <c r="AU13" s="49">
        <v>25</v>
      </c>
      <c r="AV13" s="58">
        <v>25</v>
      </c>
      <c r="AW13" s="58">
        <v>25</v>
      </c>
      <c r="AX13" s="58">
        <v>25</v>
      </c>
      <c r="AY13" s="58">
        <v>25</v>
      </c>
      <c r="AZ13" s="49">
        <v>25</v>
      </c>
      <c r="BA13" s="58">
        <v>25</v>
      </c>
      <c r="BB13" s="58">
        <v>25</v>
      </c>
      <c r="BC13" s="58">
        <v>25</v>
      </c>
      <c r="BD13" s="58">
        <v>25</v>
      </c>
      <c r="BE13" s="49">
        <v>25</v>
      </c>
      <c r="BF13" s="58">
        <v>25</v>
      </c>
      <c r="BG13" s="58">
        <v>25</v>
      </c>
      <c r="BH13" s="58">
        <v>25</v>
      </c>
      <c r="BI13" s="58">
        <v>25</v>
      </c>
      <c r="BJ13" s="49">
        <v>25</v>
      </c>
      <c r="BK13" s="58">
        <v>25</v>
      </c>
      <c r="BL13" s="58">
        <v>25</v>
      </c>
      <c r="BM13" s="58">
        <v>25</v>
      </c>
      <c r="BN13" s="58">
        <v>25</v>
      </c>
      <c r="BO13" s="49">
        <v>25</v>
      </c>
      <c r="BP13" s="58">
        <v>25</v>
      </c>
      <c r="BQ13" s="58">
        <v>25</v>
      </c>
      <c r="BR13" s="58">
        <v>25</v>
      </c>
      <c r="BS13" s="58">
        <v>25</v>
      </c>
      <c r="BT13" s="49">
        <v>25</v>
      </c>
      <c r="BU13" s="58">
        <v>25</v>
      </c>
      <c r="BV13" s="58">
        <v>25</v>
      </c>
      <c r="BW13" s="58">
        <v>25</v>
      </c>
      <c r="BX13" s="58">
        <v>25</v>
      </c>
      <c r="BY13" s="49">
        <v>25</v>
      </c>
      <c r="BZ13" s="49">
        <v>25</v>
      </c>
      <c r="CA13" s="49">
        <v>25</v>
      </c>
      <c r="CB13" s="49">
        <v>25</v>
      </c>
      <c r="CC13" s="49">
        <v>25</v>
      </c>
      <c r="CD13" s="49">
        <v>25</v>
      </c>
      <c r="CE13" s="49">
        <v>25</v>
      </c>
      <c r="CF13" s="49">
        <v>25</v>
      </c>
    </row>
    <row r="14" spans="1:84" x14ac:dyDescent="0.25">
      <c r="A14" s="56">
        <v>2</v>
      </c>
      <c r="B14" s="59"/>
      <c r="C14" s="60">
        <v>37.5</v>
      </c>
      <c r="D14" s="62">
        <v>37.5</v>
      </c>
      <c r="E14" s="62">
        <v>37.5</v>
      </c>
      <c r="F14" s="60">
        <v>37.5</v>
      </c>
      <c r="G14" s="61">
        <v>37.5</v>
      </c>
      <c r="H14" s="60">
        <v>37.5</v>
      </c>
      <c r="I14" s="62">
        <v>37.5</v>
      </c>
      <c r="J14" s="63">
        <v>50</v>
      </c>
      <c r="K14" s="63">
        <v>50</v>
      </c>
      <c r="L14" s="50">
        <v>50</v>
      </c>
      <c r="M14" s="63">
        <v>50</v>
      </c>
      <c r="N14" s="63">
        <v>50</v>
      </c>
      <c r="O14" s="63">
        <v>50</v>
      </c>
      <c r="P14" s="63">
        <v>50</v>
      </c>
      <c r="Q14" s="50">
        <v>50</v>
      </c>
      <c r="R14" s="63">
        <v>50</v>
      </c>
      <c r="S14" s="63">
        <v>50</v>
      </c>
      <c r="T14" s="63">
        <v>50</v>
      </c>
      <c r="U14" s="63">
        <v>50</v>
      </c>
      <c r="V14" s="50">
        <v>50</v>
      </c>
      <c r="W14" s="63">
        <v>50</v>
      </c>
      <c r="X14" s="63">
        <v>50</v>
      </c>
      <c r="Y14" s="63">
        <v>50</v>
      </c>
      <c r="Z14" s="63">
        <v>50</v>
      </c>
      <c r="AA14" s="50">
        <v>50</v>
      </c>
      <c r="AB14" s="63">
        <v>50</v>
      </c>
      <c r="AC14" s="63">
        <v>50</v>
      </c>
      <c r="AD14" s="63">
        <v>50</v>
      </c>
      <c r="AE14" s="63">
        <v>50</v>
      </c>
      <c r="AF14" s="50">
        <v>50</v>
      </c>
      <c r="AG14" s="63">
        <v>50</v>
      </c>
      <c r="AH14" s="63">
        <v>50</v>
      </c>
      <c r="AI14" s="63">
        <v>50</v>
      </c>
      <c r="AJ14" s="63">
        <v>50</v>
      </c>
      <c r="AK14" s="50">
        <v>50</v>
      </c>
      <c r="AL14" s="63">
        <v>50</v>
      </c>
      <c r="AM14" s="63">
        <v>50</v>
      </c>
      <c r="AN14" s="63">
        <v>50</v>
      </c>
      <c r="AO14" s="63">
        <v>50</v>
      </c>
      <c r="AP14" s="50">
        <v>50</v>
      </c>
      <c r="AQ14" s="63">
        <v>50</v>
      </c>
      <c r="AR14" s="63">
        <v>50</v>
      </c>
      <c r="AS14" s="63">
        <v>50</v>
      </c>
      <c r="AT14" s="63">
        <v>50</v>
      </c>
      <c r="AU14" s="50">
        <v>50</v>
      </c>
      <c r="AV14" s="63">
        <v>50</v>
      </c>
      <c r="AW14" s="63">
        <v>50</v>
      </c>
      <c r="AX14" s="63">
        <v>50</v>
      </c>
      <c r="AY14" s="63">
        <v>50</v>
      </c>
      <c r="AZ14" s="50">
        <v>50</v>
      </c>
      <c r="BA14" s="63">
        <v>50</v>
      </c>
      <c r="BB14" s="63">
        <v>50</v>
      </c>
      <c r="BC14" s="63">
        <v>50</v>
      </c>
      <c r="BD14" s="63">
        <v>50</v>
      </c>
      <c r="BE14" s="50">
        <v>50</v>
      </c>
      <c r="BF14" s="63">
        <v>50</v>
      </c>
      <c r="BG14" s="63">
        <v>50</v>
      </c>
      <c r="BH14" s="63">
        <v>50</v>
      </c>
      <c r="BI14" s="63">
        <v>50</v>
      </c>
      <c r="BJ14" s="50">
        <v>50</v>
      </c>
      <c r="BK14" s="63">
        <v>50</v>
      </c>
      <c r="BL14" s="63">
        <v>50</v>
      </c>
      <c r="BM14" s="63">
        <v>50</v>
      </c>
      <c r="BN14" s="63">
        <v>50</v>
      </c>
      <c r="BO14" s="50">
        <v>50</v>
      </c>
      <c r="BP14" s="63">
        <v>50</v>
      </c>
      <c r="BQ14" s="63">
        <v>50</v>
      </c>
      <c r="BR14" s="63">
        <v>50</v>
      </c>
      <c r="BS14" s="63">
        <v>50</v>
      </c>
      <c r="BT14" s="50">
        <v>50</v>
      </c>
      <c r="BU14" s="63">
        <v>50</v>
      </c>
      <c r="BV14" s="63">
        <v>50</v>
      </c>
      <c r="BW14" s="63">
        <v>50</v>
      </c>
      <c r="BX14" s="63">
        <v>50</v>
      </c>
      <c r="BY14" s="50">
        <v>50</v>
      </c>
      <c r="BZ14" s="50">
        <v>50</v>
      </c>
      <c r="CA14" s="50">
        <v>50</v>
      </c>
      <c r="CB14" s="50">
        <v>50</v>
      </c>
      <c r="CC14" s="50">
        <v>50</v>
      </c>
      <c r="CD14" s="50">
        <v>50</v>
      </c>
      <c r="CE14" s="50">
        <v>50</v>
      </c>
      <c r="CF14" s="50">
        <v>50</v>
      </c>
    </row>
    <row r="15" spans="1:84" x14ac:dyDescent="0.25">
      <c r="A15" s="56">
        <v>3</v>
      </c>
      <c r="B15" s="59"/>
      <c r="C15" s="59">
        <v>50</v>
      </c>
      <c r="D15" s="63">
        <v>50</v>
      </c>
      <c r="E15" s="63">
        <v>50</v>
      </c>
      <c r="F15" s="59">
        <v>50</v>
      </c>
      <c r="G15" s="50">
        <v>50</v>
      </c>
      <c r="H15" s="59">
        <v>50</v>
      </c>
      <c r="I15" s="63">
        <v>50</v>
      </c>
      <c r="J15" s="63">
        <v>75</v>
      </c>
      <c r="K15" s="63">
        <v>75</v>
      </c>
      <c r="L15" s="50">
        <v>75</v>
      </c>
      <c r="M15" s="63">
        <v>75</v>
      </c>
      <c r="N15" s="63">
        <v>75</v>
      </c>
      <c r="O15" s="63">
        <v>75</v>
      </c>
      <c r="P15" s="63">
        <v>75</v>
      </c>
      <c r="Q15" s="50">
        <v>75</v>
      </c>
      <c r="R15" s="63">
        <v>75</v>
      </c>
      <c r="S15" s="63">
        <v>75</v>
      </c>
      <c r="T15" s="63">
        <v>75</v>
      </c>
      <c r="U15" s="63">
        <v>75</v>
      </c>
      <c r="V15" s="50">
        <v>75</v>
      </c>
      <c r="W15" s="63">
        <v>75</v>
      </c>
      <c r="X15" s="63">
        <v>75</v>
      </c>
      <c r="Y15" s="63">
        <v>75</v>
      </c>
      <c r="Z15" s="63">
        <v>75</v>
      </c>
      <c r="AA15" s="50">
        <v>75</v>
      </c>
      <c r="AB15" s="63">
        <v>75</v>
      </c>
      <c r="AC15" s="63">
        <v>75</v>
      </c>
      <c r="AD15" s="63">
        <v>75</v>
      </c>
      <c r="AE15" s="63">
        <v>75</v>
      </c>
      <c r="AF15" s="50">
        <v>75</v>
      </c>
      <c r="AG15" s="63">
        <v>75</v>
      </c>
      <c r="AH15" s="63">
        <v>75</v>
      </c>
      <c r="AI15" s="63">
        <v>75</v>
      </c>
      <c r="AJ15" s="63">
        <v>75</v>
      </c>
      <c r="AK15" s="50">
        <v>75</v>
      </c>
      <c r="AL15" s="63">
        <v>75</v>
      </c>
      <c r="AM15" s="63">
        <v>75</v>
      </c>
      <c r="AN15" s="63">
        <v>75</v>
      </c>
      <c r="AO15" s="63">
        <v>75</v>
      </c>
      <c r="AP15" s="50">
        <v>75</v>
      </c>
      <c r="AQ15" s="63">
        <v>75</v>
      </c>
      <c r="AR15" s="63">
        <v>75</v>
      </c>
      <c r="AS15" s="63">
        <v>75</v>
      </c>
      <c r="AT15" s="63">
        <v>75</v>
      </c>
      <c r="AU15" s="50">
        <v>75</v>
      </c>
      <c r="AV15" s="63">
        <v>75</v>
      </c>
      <c r="AW15" s="63">
        <v>75</v>
      </c>
      <c r="AX15" s="63">
        <v>75</v>
      </c>
      <c r="AY15" s="63">
        <v>75</v>
      </c>
      <c r="AZ15" s="50">
        <v>75</v>
      </c>
      <c r="BA15" s="63">
        <v>75</v>
      </c>
      <c r="BB15" s="63">
        <v>75</v>
      </c>
      <c r="BC15" s="63">
        <v>75</v>
      </c>
      <c r="BD15" s="63">
        <v>75</v>
      </c>
      <c r="BE15" s="50">
        <v>75</v>
      </c>
      <c r="BF15" s="63">
        <v>75</v>
      </c>
      <c r="BG15" s="63">
        <v>75</v>
      </c>
      <c r="BH15" s="63">
        <v>75</v>
      </c>
      <c r="BI15" s="63">
        <v>75</v>
      </c>
      <c r="BJ15" s="50">
        <v>75</v>
      </c>
      <c r="BK15" s="63">
        <v>75</v>
      </c>
      <c r="BL15" s="63">
        <v>75</v>
      </c>
      <c r="BM15" s="63">
        <v>75</v>
      </c>
      <c r="BN15" s="63">
        <v>75</v>
      </c>
      <c r="BO15" s="50">
        <v>75</v>
      </c>
      <c r="BP15" s="63">
        <v>75</v>
      </c>
      <c r="BQ15" s="63">
        <v>75</v>
      </c>
      <c r="BR15" s="63">
        <v>75</v>
      </c>
      <c r="BS15" s="63">
        <v>75</v>
      </c>
      <c r="BT15" s="50">
        <v>75</v>
      </c>
      <c r="BU15" s="63">
        <v>75</v>
      </c>
      <c r="BV15" s="63">
        <v>75</v>
      </c>
      <c r="BW15" s="63">
        <v>75</v>
      </c>
      <c r="BX15" s="63">
        <v>75</v>
      </c>
      <c r="BY15" s="50">
        <v>75</v>
      </c>
      <c r="BZ15" s="50">
        <v>75</v>
      </c>
      <c r="CA15" s="50">
        <v>75</v>
      </c>
      <c r="CB15" s="50">
        <v>75</v>
      </c>
      <c r="CC15" s="50">
        <v>75</v>
      </c>
      <c r="CD15" s="50">
        <v>75</v>
      </c>
      <c r="CE15" s="50">
        <v>75</v>
      </c>
      <c r="CF15" s="50">
        <v>75</v>
      </c>
    </row>
    <row r="16" spans="1:84" x14ac:dyDescent="0.25">
      <c r="A16" s="56">
        <v>4</v>
      </c>
      <c r="B16" s="59"/>
      <c r="C16" s="59">
        <v>75</v>
      </c>
      <c r="D16" s="63">
        <v>75</v>
      </c>
      <c r="E16" s="63">
        <v>75</v>
      </c>
      <c r="F16" s="59">
        <v>75</v>
      </c>
      <c r="G16" s="50">
        <v>75</v>
      </c>
      <c r="H16" s="59">
        <v>75</v>
      </c>
      <c r="I16" s="63">
        <v>75</v>
      </c>
      <c r="J16" s="63">
        <v>100</v>
      </c>
      <c r="K16" s="63">
        <v>100</v>
      </c>
      <c r="L16" s="50">
        <v>100</v>
      </c>
      <c r="M16" s="63">
        <v>100</v>
      </c>
      <c r="N16" s="63">
        <v>100</v>
      </c>
      <c r="O16" s="63">
        <v>100</v>
      </c>
      <c r="P16" s="63">
        <v>100</v>
      </c>
      <c r="Q16" s="50">
        <v>100</v>
      </c>
      <c r="R16" s="63">
        <v>100</v>
      </c>
      <c r="S16" s="63">
        <v>100</v>
      </c>
      <c r="T16" s="63">
        <v>100</v>
      </c>
      <c r="U16" s="63">
        <v>100</v>
      </c>
      <c r="V16" s="50">
        <v>100</v>
      </c>
      <c r="W16" s="63">
        <v>100</v>
      </c>
      <c r="X16" s="63">
        <v>100</v>
      </c>
      <c r="Y16" s="63">
        <v>100</v>
      </c>
      <c r="Z16" s="63">
        <v>100</v>
      </c>
      <c r="AA16" s="50">
        <v>100</v>
      </c>
      <c r="AB16" s="63">
        <v>100</v>
      </c>
      <c r="AC16" s="63">
        <v>100</v>
      </c>
      <c r="AD16" s="63">
        <v>100</v>
      </c>
      <c r="AE16" s="63">
        <v>100</v>
      </c>
      <c r="AF16" s="50">
        <v>100</v>
      </c>
      <c r="AG16" s="63">
        <v>100</v>
      </c>
      <c r="AH16" s="63">
        <v>100</v>
      </c>
      <c r="AI16" s="63">
        <v>100</v>
      </c>
      <c r="AJ16" s="63">
        <v>100</v>
      </c>
      <c r="AK16" s="50">
        <v>100</v>
      </c>
      <c r="AL16" s="63">
        <v>100</v>
      </c>
      <c r="AM16" s="63">
        <v>100</v>
      </c>
      <c r="AN16" s="63">
        <v>100</v>
      </c>
      <c r="AO16" s="63">
        <v>100</v>
      </c>
      <c r="AP16" s="50">
        <v>100</v>
      </c>
      <c r="AQ16" s="63">
        <v>100</v>
      </c>
      <c r="AR16" s="63">
        <v>100</v>
      </c>
      <c r="AS16" s="63">
        <v>100</v>
      </c>
      <c r="AT16" s="63">
        <v>100</v>
      </c>
      <c r="AU16" s="50">
        <v>100</v>
      </c>
      <c r="AV16" s="63">
        <v>100</v>
      </c>
      <c r="AW16" s="63">
        <v>100</v>
      </c>
      <c r="AX16" s="63">
        <v>100</v>
      </c>
      <c r="AY16" s="63">
        <v>100</v>
      </c>
      <c r="AZ16" s="50">
        <v>100</v>
      </c>
      <c r="BA16" s="63">
        <v>100</v>
      </c>
      <c r="BB16" s="63">
        <v>100</v>
      </c>
      <c r="BC16" s="63">
        <v>100</v>
      </c>
      <c r="BD16" s="63">
        <v>100</v>
      </c>
      <c r="BE16" s="50">
        <v>100</v>
      </c>
      <c r="BF16" s="63">
        <v>100</v>
      </c>
      <c r="BG16" s="63">
        <v>100</v>
      </c>
      <c r="BH16" s="63">
        <v>100</v>
      </c>
      <c r="BI16" s="63">
        <v>100</v>
      </c>
      <c r="BJ16" s="50">
        <v>100</v>
      </c>
      <c r="BK16" s="63">
        <v>100</v>
      </c>
      <c r="BL16" s="63">
        <v>100</v>
      </c>
      <c r="BM16" s="63">
        <v>100</v>
      </c>
      <c r="BN16" s="63">
        <v>100</v>
      </c>
      <c r="BO16" s="50">
        <v>100</v>
      </c>
      <c r="BP16" s="63">
        <v>100</v>
      </c>
      <c r="BQ16" s="63">
        <v>100</v>
      </c>
      <c r="BR16" s="63">
        <v>100</v>
      </c>
      <c r="BS16" s="63">
        <v>100</v>
      </c>
      <c r="BT16" s="50">
        <v>100</v>
      </c>
      <c r="BU16" s="63">
        <v>100</v>
      </c>
      <c r="BV16" s="63">
        <v>100</v>
      </c>
      <c r="BW16" s="63">
        <v>100</v>
      </c>
      <c r="BX16" s="63">
        <v>100</v>
      </c>
      <c r="BY16" s="50">
        <v>100</v>
      </c>
      <c r="BZ16" s="50">
        <v>100</v>
      </c>
      <c r="CA16" s="50">
        <v>100</v>
      </c>
      <c r="CB16" s="50">
        <v>100</v>
      </c>
      <c r="CC16" s="50">
        <v>100</v>
      </c>
      <c r="CD16" s="50">
        <v>100</v>
      </c>
      <c r="CE16" s="50">
        <v>100</v>
      </c>
      <c r="CF16" s="50">
        <v>100</v>
      </c>
    </row>
    <row r="17" spans="1:84" x14ac:dyDescent="0.25">
      <c r="A17" s="56">
        <v>5</v>
      </c>
      <c r="B17" s="59"/>
      <c r="C17" s="59">
        <v>100</v>
      </c>
      <c r="D17" s="63">
        <v>100</v>
      </c>
      <c r="E17" s="63">
        <v>100</v>
      </c>
      <c r="F17" s="59">
        <v>100</v>
      </c>
      <c r="G17" s="50">
        <v>100</v>
      </c>
      <c r="H17" s="59">
        <v>100</v>
      </c>
      <c r="I17" s="63">
        <v>100</v>
      </c>
      <c r="J17" s="63">
        <v>150</v>
      </c>
      <c r="K17" s="63">
        <v>150</v>
      </c>
      <c r="L17" s="50">
        <v>150</v>
      </c>
      <c r="M17" s="63">
        <v>150</v>
      </c>
      <c r="N17" s="63">
        <v>150</v>
      </c>
      <c r="O17" s="63">
        <v>150</v>
      </c>
      <c r="P17" s="63">
        <v>150</v>
      </c>
      <c r="Q17" s="50">
        <v>150</v>
      </c>
      <c r="R17" s="63">
        <v>150</v>
      </c>
      <c r="S17" s="63">
        <v>150</v>
      </c>
      <c r="T17" s="63">
        <v>150</v>
      </c>
      <c r="U17" s="63">
        <v>150</v>
      </c>
      <c r="V17" s="50">
        <v>150</v>
      </c>
      <c r="W17" s="63">
        <v>150</v>
      </c>
      <c r="X17" s="63">
        <v>150</v>
      </c>
      <c r="Y17" s="63">
        <v>150</v>
      </c>
      <c r="Z17" s="63">
        <v>150</v>
      </c>
      <c r="AA17" s="50">
        <v>150</v>
      </c>
      <c r="AB17" s="63">
        <v>150</v>
      </c>
      <c r="AC17" s="63">
        <v>150</v>
      </c>
      <c r="AD17" s="63">
        <v>150</v>
      </c>
      <c r="AE17" s="63">
        <v>150</v>
      </c>
      <c r="AF17" s="50">
        <v>150</v>
      </c>
      <c r="AG17" s="63">
        <v>150</v>
      </c>
      <c r="AH17" s="63">
        <v>150</v>
      </c>
      <c r="AI17" s="63">
        <v>150</v>
      </c>
      <c r="AJ17" s="63">
        <v>150</v>
      </c>
      <c r="AK17" s="50">
        <v>150</v>
      </c>
      <c r="AL17" s="63">
        <v>150</v>
      </c>
      <c r="AM17" s="63">
        <v>150</v>
      </c>
      <c r="AN17" s="63">
        <v>150</v>
      </c>
      <c r="AO17" s="63">
        <v>150</v>
      </c>
      <c r="AP17" s="50">
        <v>150</v>
      </c>
      <c r="AQ17" s="63">
        <v>150</v>
      </c>
      <c r="AR17" s="63">
        <v>150</v>
      </c>
      <c r="AS17" s="63">
        <v>150</v>
      </c>
      <c r="AT17" s="63">
        <v>150</v>
      </c>
      <c r="AU17" s="50">
        <v>150</v>
      </c>
      <c r="AV17" s="63">
        <v>150</v>
      </c>
      <c r="AW17" s="63">
        <v>150</v>
      </c>
      <c r="AX17" s="63">
        <v>150</v>
      </c>
      <c r="AY17" s="63">
        <v>150</v>
      </c>
      <c r="AZ17" s="50">
        <v>150</v>
      </c>
      <c r="BA17" s="63">
        <v>150</v>
      </c>
      <c r="BB17" s="63">
        <v>150</v>
      </c>
      <c r="BC17" s="63">
        <v>150</v>
      </c>
      <c r="BD17" s="63">
        <v>150</v>
      </c>
      <c r="BE17" s="50">
        <v>150</v>
      </c>
      <c r="BF17" s="63">
        <v>150</v>
      </c>
      <c r="BG17" s="63">
        <v>150</v>
      </c>
      <c r="BH17" s="63">
        <v>150</v>
      </c>
      <c r="BI17" s="63">
        <v>150</v>
      </c>
      <c r="BJ17" s="50">
        <v>150</v>
      </c>
      <c r="BK17" s="63">
        <v>150</v>
      </c>
      <c r="BL17" s="63">
        <v>150</v>
      </c>
      <c r="BM17" s="63">
        <v>150</v>
      </c>
      <c r="BN17" s="63">
        <v>150</v>
      </c>
      <c r="BO17" s="50">
        <v>150</v>
      </c>
      <c r="BP17" s="63">
        <v>150</v>
      </c>
      <c r="BQ17" s="63">
        <v>150</v>
      </c>
      <c r="BR17" s="63">
        <v>150</v>
      </c>
      <c r="BS17" s="63">
        <v>150</v>
      </c>
      <c r="BT17" s="50">
        <v>150</v>
      </c>
      <c r="BU17" s="63">
        <v>150</v>
      </c>
      <c r="BV17" s="63">
        <v>150</v>
      </c>
      <c r="BW17" s="63">
        <v>150</v>
      </c>
      <c r="BX17" s="63">
        <v>150</v>
      </c>
      <c r="BY17" s="50">
        <v>150</v>
      </c>
      <c r="BZ17" s="50">
        <v>150</v>
      </c>
      <c r="CA17" s="50">
        <v>150</v>
      </c>
      <c r="CB17" s="50">
        <v>150</v>
      </c>
      <c r="CC17" s="50">
        <v>150</v>
      </c>
      <c r="CD17" s="50">
        <v>150</v>
      </c>
      <c r="CE17" s="50">
        <v>150</v>
      </c>
      <c r="CF17" s="50">
        <v>150</v>
      </c>
    </row>
    <row r="18" spans="1:84" x14ac:dyDescent="0.25">
      <c r="A18" s="56">
        <v>6</v>
      </c>
      <c r="B18" s="59"/>
      <c r="C18" s="59">
        <v>250</v>
      </c>
      <c r="D18" s="63">
        <v>250</v>
      </c>
      <c r="E18" s="63">
        <v>250</v>
      </c>
      <c r="F18" s="59">
        <v>250</v>
      </c>
      <c r="G18" s="50">
        <v>250</v>
      </c>
      <c r="H18" s="59">
        <v>250</v>
      </c>
      <c r="I18" s="63">
        <v>250</v>
      </c>
      <c r="J18" s="63">
        <v>200</v>
      </c>
      <c r="K18" s="63">
        <v>200</v>
      </c>
      <c r="L18" s="50">
        <v>200</v>
      </c>
      <c r="M18" s="63">
        <v>200</v>
      </c>
      <c r="N18" s="63">
        <v>200</v>
      </c>
      <c r="O18" s="63">
        <v>200</v>
      </c>
      <c r="P18" s="63">
        <v>200</v>
      </c>
      <c r="Q18" s="50">
        <v>200</v>
      </c>
      <c r="R18" s="63">
        <v>200</v>
      </c>
      <c r="S18" s="63">
        <v>200</v>
      </c>
      <c r="T18" s="63">
        <v>200</v>
      </c>
      <c r="U18" s="63">
        <v>200</v>
      </c>
      <c r="V18" s="50">
        <v>200</v>
      </c>
      <c r="W18" s="63">
        <v>200</v>
      </c>
      <c r="X18" s="63">
        <v>200</v>
      </c>
      <c r="Y18" s="63">
        <v>200</v>
      </c>
      <c r="Z18" s="63">
        <v>200</v>
      </c>
      <c r="AA18" s="50">
        <v>200</v>
      </c>
      <c r="AB18" s="63">
        <v>200</v>
      </c>
      <c r="AC18" s="63">
        <v>200</v>
      </c>
      <c r="AD18" s="63">
        <v>200</v>
      </c>
      <c r="AE18" s="63">
        <v>200</v>
      </c>
      <c r="AF18" s="50">
        <v>200</v>
      </c>
      <c r="AG18" s="63">
        <v>200</v>
      </c>
      <c r="AH18" s="63">
        <v>200</v>
      </c>
      <c r="AI18" s="63">
        <v>200</v>
      </c>
      <c r="AJ18" s="63">
        <v>200</v>
      </c>
      <c r="AK18" s="50">
        <v>200</v>
      </c>
      <c r="AL18" s="63">
        <v>200</v>
      </c>
      <c r="AM18" s="63">
        <v>200</v>
      </c>
      <c r="AN18" s="63">
        <v>200</v>
      </c>
      <c r="AO18" s="63">
        <v>200</v>
      </c>
      <c r="AP18" s="50">
        <v>200</v>
      </c>
      <c r="AQ18" s="63">
        <v>200</v>
      </c>
      <c r="AR18" s="63">
        <v>200</v>
      </c>
      <c r="AS18" s="63">
        <v>200</v>
      </c>
      <c r="AT18" s="63">
        <v>200</v>
      </c>
      <c r="AU18" s="50">
        <v>200</v>
      </c>
      <c r="AV18" s="63">
        <v>200</v>
      </c>
      <c r="AW18" s="63">
        <v>200</v>
      </c>
      <c r="AX18" s="63">
        <v>200</v>
      </c>
      <c r="AY18" s="63">
        <v>200</v>
      </c>
      <c r="AZ18" s="50">
        <v>200</v>
      </c>
      <c r="BA18" s="63">
        <v>200</v>
      </c>
      <c r="BB18" s="63">
        <v>200</v>
      </c>
      <c r="BC18" s="63">
        <v>200</v>
      </c>
      <c r="BD18" s="63">
        <v>200</v>
      </c>
      <c r="BE18" s="50">
        <v>200</v>
      </c>
      <c r="BF18" s="63">
        <v>200</v>
      </c>
      <c r="BG18" s="63">
        <v>200</v>
      </c>
      <c r="BH18" s="63">
        <v>200</v>
      </c>
      <c r="BI18" s="63">
        <v>200</v>
      </c>
      <c r="BJ18" s="50">
        <v>200</v>
      </c>
      <c r="BK18" s="63">
        <v>200</v>
      </c>
      <c r="BL18" s="63">
        <v>200</v>
      </c>
      <c r="BM18" s="63">
        <v>200</v>
      </c>
      <c r="BN18" s="63">
        <v>200</v>
      </c>
      <c r="BO18" s="50">
        <v>200</v>
      </c>
      <c r="BP18" s="63">
        <v>200</v>
      </c>
      <c r="BQ18" s="63">
        <v>200</v>
      </c>
      <c r="BR18" s="63">
        <v>200</v>
      </c>
      <c r="BS18" s="63">
        <v>200</v>
      </c>
      <c r="BT18" s="50">
        <v>200</v>
      </c>
      <c r="BU18" s="63">
        <v>200</v>
      </c>
      <c r="BV18" s="63">
        <v>200</v>
      </c>
      <c r="BW18" s="63">
        <v>200</v>
      </c>
      <c r="BX18" s="63">
        <v>200</v>
      </c>
      <c r="BY18" s="50">
        <v>200</v>
      </c>
      <c r="BZ18" s="50">
        <v>200</v>
      </c>
      <c r="CA18" s="50">
        <v>200</v>
      </c>
      <c r="CB18" s="50">
        <v>200</v>
      </c>
      <c r="CC18" s="50">
        <v>200</v>
      </c>
      <c r="CD18" s="50">
        <v>200</v>
      </c>
      <c r="CE18" s="50">
        <v>200</v>
      </c>
      <c r="CF18" s="50">
        <v>200</v>
      </c>
    </row>
    <row r="19" spans="1:84" x14ac:dyDescent="0.25">
      <c r="A19" s="64">
        <v>7</v>
      </c>
      <c r="B19" s="65"/>
      <c r="C19" s="66" t="s">
        <v>2251</v>
      </c>
      <c r="D19" s="68" t="s">
        <v>2251</v>
      </c>
      <c r="E19" s="68" t="s">
        <v>2251</v>
      </c>
      <c r="F19" s="66" t="s">
        <v>2251</v>
      </c>
      <c r="G19" s="67" t="s">
        <v>2251</v>
      </c>
      <c r="H19" s="66" t="s">
        <v>2251</v>
      </c>
      <c r="I19" s="68" t="s">
        <v>2251</v>
      </c>
      <c r="J19" s="68" t="s">
        <v>559</v>
      </c>
      <c r="K19" s="68" t="s">
        <v>559</v>
      </c>
      <c r="L19" s="67" t="s">
        <v>559</v>
      </c>
      <c r="M19" s="68" t="s">
        <v>559</v>
      </c>
      <c r="N19" s="68" t="s">
        <v>559</v>
      </c>
      <c r="O19" s="68" t="s">
        <v>559</v>
      </c>
      <c r="P19" s="68" t="s">
        <v>559</v>
      </c>
      <c r="Q19" s="67" t="s">
        <v>559</v>
      </c>
      <c r="R19" s="68" t="s">
        <v>559</v>
      </c>
      <c r="S19" s="68" t="s">
        <v>559</v>
      </c>
      <c r="T19" s="68" t="s">
        <v>559</v>
      </c>
      <c r="U19" s="68" t="s">
        <v>559</v>
      </c>
      <c r="V19" s="67" t="s">
        <v>559</v>
      </c>
      <c r="W19" s="68" t="s">
        <v>559</v>
      </c>
      <c r="X19" s="68" t="s">
        <v>559</v>
      </c>
      <c r="Y19" s="68" t="s">
        <v>559</v>
      </c>
      <c r="Z19" s="68" t="s">
        <v>559</v>
      </c>
      <c r="AA19" s="67" t="s">
        <v>559</v>
      </c>
      <c r="AB19" s="68" t="s">
        <v>559</v>
      </c>
      <c r="AC19" s="68" t="s">
        <v>559</v>
      </c>
      <c r="AD19" s="68" t="s">
        <v>559</v>
      </c>
      <c r="AE19" s="68" t="s">
        <v>559</v>
      </c>
      <c r="AF19" s="67" t="s">
        <v>559</v>
      </c>
      <c r="AG19" s="68" t="s">
        <v>559</v>
      </c>
      <c r="AH19" s="68" t="s">
        <v>559</v>
      </c>
      <c r="AI19" s="68" t="s">
        <v>559</v>
      </c>
      <c r="AJ19" s="68" t="s">
        <v>559</v>
      </c>
      <c r="AK19" s="67" t="s">
        <v>559</v>
      </c>
      <c r="AL19" s="68" t="s">
        <v>559</v>
      </c>
      <c r="AM19" s="68" t="s">
        <v>559</v>
      </c>
      <c r="AN19" s="68" t="s">
        <v>559</v>
      </c>
      <c r="AO19" s="68" t="s">
        <v>559</v>
      </c>
      <c r="AP19" s="67" t="s">
        <v>559</v>
      </c>
      <c r="AQ19" s="68" t="s">
        <v>559</v>
      </c>
      <c r="AR19" s="68" t="s">
        <v>559</v>
      </c>
      <c r="AS19" s="68" t="s">
        <v>559</v>
      </c>
      <c r="AT19" s="68" t="s">
        <v>559</v>
      </c>
      <c r="AU19" s="67" t="s">
        <v>559</v>
      </c>
      <c r="AV19" s="68" t="s">
        <v>559</v>
      </c>
      <c r="AW19" s="68" t="s">
        <v>559</v>
      </c>
      <c r="AX19" s="68" t="s">
        <v>559</v>
      </c>
      <c r="AY19" s="68" t="s">
        <v>559</v>
      </c>
      <c r="AZ19" s="67" t="s">
        <v>559</v>
      </c>
      <c r="BA19" s="68" t="s">
        <v>559</v>
      </c>
      <c r="BB19" s="68" t="s">
        <v>559</v>
      </c>
      <c r="BC19" s="68" t="s">
        <v>559</v>
      </c>
      <c r="BD19" s="68" t="s">
        <v>559</v>
      </c>
      <c r="BE19" s="67" t="s">
        <v>559</v>
      </c>
      <c r="BF19" s="68" t="s">
        <v>559</v>
      </c>
      <c r="BG19" s="68" t="s">
        <v>559</v>
      </c>
      <c r="BH19" s="68" t="s">
        <v>559</v>
      </c>
      <c r="BI19" s="68" t="s">
        <v>559</v>
      </c>
      <c r="BJ19" s="67" t="s">
        <v>559</v>
      </c>
      <c r="BK19" s="68" t="s">
        <v>559</v>
      </c>
      <c r="BL19" s="68" t="s">
        <v>559</v>
      </c>
      <c r="BM19" s="68" t="s">
        <v>559</v>
      </c>
      <c r="BN19" s="68" t="s">
        <v>559</v>
      </c>
      <c r="BO19" s="67" t="s">
        <v>559</v>
      </c>
      <c r="BP19" s="68" t="s">
        <v>559</v>
      </c>
      <c r="BQ19" s="68" t="s">
        <v>559</v>
      </c>
      <c r="BR19" s="68" t="s">
        <v>559</v>
      </c>
      <c r="BS19" s="68" t="s">
        <v>559</v>
      </c>
      <c r="BT19" s="67" t="s">
        <v>559</v>
      </c>
      <c r="BU19" s="68" t="s">
        <v>559</v>
      </c>
      <c r="BV19" s="68" t="s">
        <v>559</v>
      </c>
      <c r="BW19" s="68" t="s">
        <v>559</v>
      </c>
      <c r="BX19" s="68" t="s">
        <v>559</v>
      </c>
      <c r="BY19" s="67" t="s">
        <v>559</v>
      </c>
      <c r="BZ19" s="67" t="s">
        <v>559</v>
      </c>
      <c r="CA19" s="67" t="s">
        <v>559</v>
      </c>
      <c r="CB19" s="67" t="s">
        <v>559</v>
      </c>
      <c r="CC19" s="67" t="s">
        <v>559</v>
      </c>
      <c r="CD19" s="67" t="s">
        <v>559</v>
      </c>
      <c r="CE19" s="67" t="s">
        <v>559</v>
      </c>
      <c r="CF19" s="67" t="s">
        <v>559</v>
      </c>
    </row>
    <row r="20" spans="1:84" ht="12" customHeight="1" x14ac:dyDescent="0.25">
      <c r="A20" s="2" t="s">
        <v>2252</v>
      </c>
      <c r="B20" s="2"/>
      <c r="C20" s="2"/>
      <c r="D20" s="2"/>
      <c r="E20" s="2"/>
      <c r="F20" s="2"/>
      <c r="G20" s="55"/>
      <c r="H20" s="2"/>
      <c r="I20" s="2"/>
      <c r="J20" s="2"/>
      <c r="K20" s="2"/>
      <c r="L20" s="55"/>
      <c r="M20" s="4"/>
      <c r="N20" s="4"/>
      <c r="O20" s="4"/>
      <c r="P20" s="4"/>
      <c r="Q20" s="55"/>
      <c r="R20" s="4"/>
      <c r="S20" s="4"/>
      <c r="T20" s="4"/>
      <c r="U20" s="4"/>
      <c r="V20" s="55"/>
      <c r="W20" s="4"/>
      <c r="X20" s="4"/>
      <c r="Y20" s="4"/>
      <c r="Z20" s="4"/>
      <c r="AA20" s="55"/>
      <c r="AB20" s="4"/>
      <c r="AC20" s="4"/>
      <c r="AD20" s="4"/>
      <c r="AE20" s="4"/>
      <c r="AF20" s="55"/>
      <c r="AG20" s="4"/>
      <c r="AH20" s="4"/>
      <c r="AI20" s="4"/>
      <c r="AJ20" s="4"/>
      <c r="AK20" s="55"/>
      <c r="AL20" s="4"/>
      <c r="AM20" s="4"/>
      <c r="AN20" s="4"/>
      <c r="AO20" s="4"/>
      <c r="AP20" s="55"/>
      <c r="AQ20" s="4"/>
      <c r="AR20" s="4"/>
      <c r="AS20" s="4"/>
      <c r="AT20" s="4"/>
      <c r="AU20" s="55"/>
      <c r="AV20" s="4"/>
      <c r="AW20" s="4"/>
      <c r="AX20" s="4"/>
      <c r="AY20" s="4"/>
      <c r="AZ20" s="55"/>
      <c r="BA20" s="4"/>
      <c r="BB20" s="4"/>
      <c r="BC20" s="4"/>
      <c r="BD20" s="4"/>
      <c r="BE20" s="55"/>
      <c r="BF20" s="4"/>
      <c r="BG20" s="4"/>
      <c r="BH20" s="4"/>
      <c r="BI20" s="4"/>
      <c r="BJ20" s="55"/>
      <c r="BK20" s="4"/>
      <c r="BL20" s="4"/>
      <c r="BM20" s="4"/>
      <c r="BN20" s="4"/>
      <c r="BO20" s="55"/>
      <c r="BP20" s="4"/>
      <c r="BQ20" s="4"/>
      <c r="BR20" s="4"/>
      <c r="BS20" s="4"/>
      <c r="BT20" s="55"/>
      <c r="BU20" s="4"/>
      <c r="BV20" s="4"/>
      <c r="BW20" s="4"/>
      <c r="BX20" s="4"/>
      <c r="BY20" s="55"/>
      <c r="BZ20" s="55"/>
      <c r="CA20" s="55"/>
      <c r="CB20" s="55"/>
      <c r="CC20" s="55"/>
      <c r="CD20" s="55"/>
      <c r="CE20" s="55"/>
      <c r="CF20" s="55"/>
    </row>
    <row r="21" spans="1:84" ht="12" customHeight="1" x14ac:dyDescent="0.25">
      <c r="A21" s="56">
        <v>1</v>
      </c>
      <c r="B21" s="9"/>
      <c r="C21" s="9">
        <v>0.15</v>
      </c>
      <c r="D21" s="9">
        <v>0.15</v>
      </c>
      <c r="E21" s="9">
        <v>0.15</v>
      </c>
      <c r="F21" s="9">
        <v>0.15</v>
      </c>
      <c r="G21" s="69">
        <v>0.15</v>
      </c>
      <c r="H21" s="9">
        <v>0.15</v>
      </c>
      <c r="I21" s="9">
        <v>0.15</v>
      </c>
      <c r="J21" s="70">
        <v>0.15</v>
      </c>
      <c r="K21" s="70">
        <v>0.15</v>
      </c>
      <c r="L21" s="69">
        <v>0.15</v>
      </c>
      <c r="M21" s="70">
        <v>0.15</v>
      </c>
      <c r="N21" s="70">
        <v>0.15</v>
      </c>
      <c r="O21" s="70">
        <v>0.15</v>
      </c>
      <c r="P21" s="70">
        <v>0.15</v>
      </c>
      <c r="Q21" s="69">
        <v>0.15</v>
      </c>
      <c r="R21" s="70">
        <v>0.15</v>
      </c>
      <c r="S21" s="70">
        <v>0.15</v>
      </c>
      <c r="T21" s="70">
        <v>0.15</v>
      </c>
      <c r="U21" s="70">
        <v>0.15</v>
      </c>
      <c r="V21" s="69">
        <v>0.15</v>
      </c>
      <c r="W21" s="70">
        <v>0.15</v>
      </c>
      <c r="X21" s="70">
        <v>0.15</v>
      </c>
      <c r="Y21" s="70">
        <v>0.15</v>
      </c>
      <c r="Z21" s="70">
        <v>0.15</v>
      </c>
      <c r="AA21" s="69">
        <v>0.15</v>
      </c>
      <c r="AB21" s="70">
        <v>0.15</v>
      </c>
      <c r="AC21" s="70">
        <v>0.15</v>
      </c>
      <c r="AD21" s="70">
        <v>0.15</v>
      </c>
      <c r="AE21" s="70">
        <v>0.15</v>
      </c>
      <c r="AF21" s="69">
        <v>0.15</v>
      </c>
      <c r="AG21" s="70">
        <v>0.15</v>
      </c>
      <c r="AH21" s="70">
        <v>0.15</v>
      </c>
      <c r="AI21" s="70">
        <v>0.15</v>
      </c>
      <c r="AJ21" s="70">
        <v>0.15</v>
      </c>
      <c r="AK21" s="69">
        <v>0.15</v>
      </c>
      <c r="AL21" s="70">
        <v>0.15</v>
      </c>
      <c r="AM21" s="70">
        <v>0.15</v>
      </c>
      <c r="AN21" s="70">
        <v>0.15</v>
      </c>
      <c r="AO21" s="70">
        <v>0.15</v>
      </c>
      <c r="AP21" s="69">
        <v>0.15</v>
      </c>
      <c r="AQ21" s="70">
        <v>0.15</v>
      </c>
      <c r="AR21" s="70">
        <v>0.15</v>
      </c>
      <c r="AS21" s="70">
        <v>0.15</v>
      </c>
      <c r="AT21" s="70">
        <v>0.15</v>
      </c>
      <c r="AU21" s="69">
        <v>0.15</v>
      </c>
      <c r="AV21" s="70">
        <v>0.15</v>
      </c>
      <c r="AW21" s="70">
        <v>0.15</v>
      </c>
      <c r="AX21" s="70">
        <v>0.15</v>
      </c>
      <c r="AY21" s="70">
        <v>0.15</v>
      </c>
      <c r="AZ21" s="69">
        <v>0.15</v>
      </c>
      <c r="BA21" s="70">
        <v>0.15</v>
      </c>
      <c r="BB21" s="70">
        <v>0.15</v>
      </c>
      <c r="BC21" s="70">
        <v>0.15</v>
      </c>
      <c r="BD21" s="70">
        <v>0.15</v>
      </c>
      <c r="BE21" s="69">
        <v>0.15</v>
      </c>
      <c r="BF21" s="70">
        <v>0.15</v>
      </c>
      <c r="BG21" s="70">
        <v>0.15</v>
      </c>
      <c r="BH21" s="70">
        <v>0.15</v>
      </c>
      <c r="BI21" s="70">
        <v>0.15</v>
      </c>
      <c r="BJ21" s="69">
        <v>0.15</v>
      </c>
      <c r="BK21" s="70">
        <v>0.15</v>
      </c>
      <c r="BL21" s="70">
        <v>0.15</v>
      </c>
      <c r="BM21" s="70">
        <v>0.15</v>
      </c>
      <c r="BN21" s="70">
        <v>0.15</v>
      </c>
      <c r="BO21" s="69">
        <v>0.15</v>
      </c>
      <c r="BP21" s="70">
        <v>0.15</v>
      </c>
      <c r="BQ21" s="70">
        <v>0.15</v>
      </c>
      <c r="BR21" s="70">
        <v>0.15</v>
      </c>
      <c r="BS21" s="70">
        <v>0.15</v>
      </c>
      <c r="BT21" s="69">
        <v>0.15</v>
      </c>
      <c r="BU21" s="70">
        <v>0.15</v>
      </c>
      <c r="BV21" s="70">
        <v>0.15</v>
      </c>
      <c r="BW21" s="70">
        <v>0.15</v>
      </c>
      <c r="BX21" s="70">
        <v>0.15</v>
      </c>
      <c r="BY21" s="69">
        <v>0.15</v>
      </c>
      <c r="BZ21" s="69">
        <v>0.15</v>
      </c>
      <c r="CA21" s="69">
        <v>0.15</v>
      </c>
      <c r="CB21" s="69">
        <v>0.15</v>
      </c>
      <c r="CC21" s="69">
        <v>0.15</v>
      </c>
      <c r="CD21" s="69">
        <v>0.15</v>
      </c>
      <c r="CE21" s="69">
        <v>0.15</v>
      </c>
      <c r="CF21" s="69">
        <v>0.15</v>
      </c>
    </row>
    <row r="22" spans="1:84" ht="12" customHeight="1" x14ac:dyDescent="0.25">
      <c r="A22" s="56">
        <v>2</v>
      </c>
      <c r="B22" s="9"/>
      <c r="C22" s="9">
        <v>0.27500000000000002</v>
      </c>
      <c r="D22" s="9">
        <v>0.27500000000000002</v>
      </c>
      <c r="E22" s="9">
        <v>0.27500000000000002</v>
      </c>
      <c r="F22" s="9">
        <v>0.27500000000000002</v>
      </c>
      <c r="G22" s="69">
        <v>0.27500000000000002</v>
      </c>
      <c r="H22" s="9">
        <v>0.27500000000000002</v>
      </c>
      <c r="I22" s="9">
        <v>0.27500000000000002</v>
      </c>
      <c r="J22" s="70">
        <v>0.22500000000000001</v>
      </c>
      <c r="K22" s="70">
        <v>0.22500000000000001</v>
      </c>
      <c r="L22" s="69">
        <v>0.22500000000000001</v>
      </c>
      <c r="M22" s="70">
        <v>0.22500000000000001</v>
      </c>
      <c r="N22" s="70">
        <v>0.22500000000000001</v>
      </c>
      <c r="O22" s="70">
        <v>0.22500000000000001</v>
      </c>
      <c r="P22" s="70">
        <v>0.22500000000000001</v>
      </c>
      <c r="Q22" s="69">
        <v>0.22500000000000001</v>
      </c>
      <c r="R22" s="70">
        <v>0.22500000000000001</v>
      </c>
      <c r="S22" s="70">
        <v>0.22500000000000001</v>
      </c>
      <c r="T22" s="70">
        <v>0.22500000000000001</v>
      </c>
      <c r="U22" s="70">
        <v>0.22500000000000001</v>
      </c>
      <c r="V22" s="69">
        <v>0.22500000000000001</v>
      </c>
      <c r="W22" s="70">
        <v>0.22500000000000001</v>
      </c>
      <c r="X22" s="70">
        <v>0.22500000000000001</v>
      </c>
      <c r="Y22" s="70">
        <v>0.22500000000000001</v>
      </c>
      <c r="Z22" s="70">
        <v>0.22500000000000001</v>
      </c>
      <c r="AA22" s="69">
        <v>0.22500000000000001</v>
      </c>
      <c r="AB22" s="70">
        <v>0.22500000000000001</v>
      </c>
      <c r="AC22" s="70">
        <v>0.22500000000000001</v>
      </c>
      <c r="AD22" s="70">
        <v>0.22500000000000001</v>
      </c>
      <c r="AE22" s="70">
        <v>0.22500000000000001</v>
      </c>
      <c r="AF22" s="69">
        <v>0.22500000000000001</v>
      </c>
      <c r="AG22" s="70">
        <v>0.22500000000000001</v>
      </c>
      <c r="AH22" s="70">
        <v>0.22500000000000001</v>
      </c>
      <c r="AI22" s="70">
        <v>0.22500000000000001</v>
      </c>
      <c r="AJ22" s="70">
        <v>0.22500000000000001</v>
      </c>
      <c r="AK22" s="69">
        <v>0.22500000000000001</v>
      </c>
      <c r="AL22" s="70">
        <v>0.22500000000000001</v>
      </c>
      <c r="AM22" s="70">
        <v>0.22500000000000001</v>
      </c>
      <c r="AN22" s="70">
        <v>0.22500000000000001</v>
      </c>
      <c r="AO22" s="70">
        <v>0.22500000000000001</v>
      </c>
      <c r="AP22" s="69">
        <v>0.22500000000000001</v>
      </c>
      <c r="AQ22" s="70">
        <v>0.22500000000000001</v>
      </c>
      <c r="AR22" s="70">
        <v>0.22500000000000001</v>
      </c>
      <c r="AS22" s="70">
        <v>0.22500000000000001</v>
      </c>
      <c r="AT22" s="70">
        <v>0.22500000000000001</v>
      </c>
      <c r="AU22" s="69">
        <v>0.22500000000000001</v>
      </c>
      <c r="AV22" s="70">
        <v>0.22500000000000001</v>
      </c>
      <c r="AW22" s="70">
        <v>0.22500000000000001</v>
      </c>
      <c r="AX22" s="70">
        <v>0.22500000000000001</v>
      </c>
      <c r="AY22" s="70">
        <v>0.22500000000000001</v>
      </c>
      <c r="AZ22" s="69">
        <v>0.22500000000000001</v>
      </c>
      <c r="BA22" s="70">
        <v>0.22500000000000001</v>
      </c>
      <c r="BB22" s="70">
        <v>0.22500000000000001</v>
      </c>
      <c r="BC22" s="70">
        <v>0.22500000000000001</v>
      </c>
      <c r="BD22" s="70">
        <v>0.22500000000000001</v>
      </c>
      <c r="BE22" s="69">
        <v>0.22500000000000001</v>
      </c>
      <c r="BF22" s="70">
        <v>0.22500000000000001</v>
      </c>
      <c r="BG22" s="70">
        <v>0.22500000000000001</v>
      </c>
      <c r="BH22" s="70">
        <v>0.22500000000000001</v>
      </c>
      <c r="BI22" s="70">
        <v>0.22500000000000001</v>
      </c>
      <c r="BJ22" s="69">
        <v>0.22500000000000001</v>
      </c>
      <c r="BK22" s="70">
        <v>0.22500000000000001</v>
      </c>
      <c r="BL22" s="70">
        <v>0.22500000000000001</v>
      </c>
      <c r="BM22" s="70">
        <v>0.22500000000000001</v>
      </c>
      <c r="BN22" s="70">
        <v>0.22500000000000001</v>
      </c>
      <c r="BO22" s="69">
        <v>0.22500000000000001</v>
      </c>
      <c r="BP22" s="70">
        <v>0.22500000000000001</v>
      </c>
      <c r="BQ22" s="70">
        <v>0.22500000000000001</v>
      </c>
      <c r="BR22" s="70">
        <v>0.22500000000000001</v>
      </c>
      <c r="BS22" s="70">
        <v>0.22500000000000001</v>
      </c>
      <c r="BT22" s="69">
        <v>0.22500000000000001</v>
      </c>
      <c r="BU22" s="70">
        <v>0.22500000000000001</v>
      </c>
      <c r="BV22" s="70">
        <v>0.22500000000000001</v>
      </c>
      <c r="BW22" s="70">
        <v>0.22500000000000001</v>
      </c>
      <c r="BX22" s="70">
        <v>0.22500000000000001</v>
      </c>
      <c r="BY22" s="69">
        <v>0.22500000000000001</v>
      </c>
      <c r="BZ22" s="69">
        <v>0.22500000000000001</v>
      </c>
      <c r="CA22" s="69">
        <v>0.22500000000000001</v>
      </c>
      <c r="CB22" s="69">
        <v>0.22500000000000001</v>
      </c>
      <c r="CC22" s="69">
        <v>0.22500000000000001</v>
      </c>
      <c r="CD22" s="69">
        <v>0.22500000000000001</v>
      </c>
      <c r="CE22" s="69">
        <v>0.22500000000000001</v>
      </c>
      <c r="CF22" s="69">
        <v>0.22500000000000001</v>
      </c>
    </row>
    <row r="23" spans="1:84" ht="12" customHeight="1" x14ac:dyDescent="0.25">
      <c r="A23" s="56">
        <v>3</v>
      </c>
      <c r="B23" s="9"/>
      <c r="C23" s="9">
        <v>0.32500000000000001</v>
      </c>
      <c r="D23" s="9">
        <v>0.32500000000000001</v>
      </c>
      <c r="E23" s="9">
        <v>0.32500000000000001</v>
      </c>
      <c r="F23" s="9">
        <v>0.32500000000000001</v>
      </c>
      <c r="G23" s="69">
        <v>0.32500000000000001</v>
      </c>
      <c r="H23" s="9">
        <v>0.32500000000000001</v>
      </c>
      <c r="I23" s="9">
        <v>0.32500000000000001</v>
      </c>
      <c r="J23" s="70">
        <v>0.27500000000000002</v>
      </c>
      <c r="K23" s="70">
        <v>0.27500000000000002</v>
      </c>
      <c r="L23" s="69">
        <v>0.27500000000000002</v>
      </c>
      <c r="M23" s="70">
        <v>0.27500000000000002</v>
      </c>
      <c r="N23" s="70">
        <v>0.27500000000000002</v>
      </c>
      <c r="O23" s="70">
        <v>0.27500000000000002</v>
      </c>
      <c r="P23" s="70">
        <v>0.27500000000000002</v>
      </c>
      <c r="Q23" s="69">
        <v>0.27500000000000002</v>
      </c>
      <c r="R23" s="70">
        <v>0.27500000000000002</v>
      </c>
      <c r="S23" s="70">
        <v>0.27500000000000002</v>
      </c>
      <c r="T23" s="70">
        <v>0.27500000000000002</v>
      </c>
      <c r="U23" s="70">
        <v>0.27500000000000002</v>
      </c>
      <c r="V23" s="69">
        <v>0.27500000000000002</v>
      </c>
      <c r="W23" s="70">
        <v>0.27500000000000002</v>
      </c>
      <c r="X23" s="70">
        <v>0.27500000000000002</v>
      </c>
      <c r="Y23" s="70">
        <v>0.27500000000000002</v>
      </c>
      <c r="Z23" s="70">
        <v>0.27500000000000002</v>
      </c>
      <c r="AA23" s="69">
        <v>0.27500000000000002</v>
      </c>
      <c r="AB23" s="70">
        <v>0.27500000000000002</v>
      </c>
      <c r="AC23" s="70">
        <v>0.27500000000000002</v>
      </c>
      <c r="AD23" s="70">
        <v>0.27500000000000002</v>
      </c>
      <c r="AE23" s="70">
        <v>0.27500000000000002</v>
      </c>
      <c r="AF23" s="69">
        <v>0.27500000000000002</v>
      </c>
      <c r="AG23" s="70">
        <v>0.27500000000000002</v>
      </c>
      <c r="AH23" s="70">
        <v>0.27500000000000002</v>
      </c>
      <c r="AI23" s="70">
        <v>0.27500000000000002</v>
      </c>
      <c r="AJ23" s="70">
        <v>0.27500000000000002</v>
      </c>
      <c r="AK23" s="69">
        <v>0.27500000000000002</v>
      </c>
      <c r="AL23" s="70">
        <v>0.27500000000000002</v>
      </c>
      <c r="AM23" s="70">
        <v>0.27500000000000002</v>
      </c>
      <c r="AN23" s="70">
        <v>0.27500000000000002</v>
      </c>
      <c r="AO23" s="70">
        <v>0.27500000000000002</v>
      </c>
      <c r="AP23" s="69">
        <v>0.27500000000000002</v>
      </c>
      <c r="AQ23" s="70">
        <v>0.27500000000000002</v>
      </c>
      <c r="AR23" s="70">
        <v>0.27500000000000002</v>
      </c>
      <c r="AS23" s="70">
        <v>0.27500000000000002</v>
      </c>
      <c r="AT23" s="70">
        <v>0.27500000000000002</v>
      </c>
      <c r="AU23" s="69">
        <v>0.27500000000000002</v>
      </c>
      <c r="AV23" s="70">
        <v>0.27500000000000002</v>
      </c>
      <c r="AW23" s="70">
        <v>0.27500000000000002</v>
      </c>
      <c r="AX23" s="70">
        <v>0.27500000000000002</v>
      </c>
      <c r="AY23" s="70">
        <v>0.27500000000000002</v>
      </c>
      <c r="AZ23" s="69">
        <v>0.27500000000000002</v>
      </c>
      <c r="BA23" s="70">
        <v>0.27500000000000002</v>
      </c>
      <c r="BB23" s="70">
        <v>0.27500000000000002</v>
      </c>
      <c r="BC23" s="70">
        <v>0.27500000000000002</v>
      </c>
      <c r="BD23" s="70">
        <v>0.27500000000000002</v>
      </c>
      <c r="BE23" s="69">
        <v>0.27500000000000002</v>
      </c>
      <c r="BF23" s="70">
        <v>0.27500000000000002</v>
      </c>
      <c r="BG23" s="70">
        <v>0.27500000000000002</v>
      </c>
      <c r="BH23" s="70">
        <v>0.27500000000000002</v>
      </c>
      <c r="BI23" s="70">
        <v>0.27500000000000002</v>
      </c>
      <c r="BJ23" s="69">
        <v>0.27500000000000002</v>
      </c>
      <c r="BK23" s="70">
        <v>0.27500000000000002</v>
      </c>
      <c r="BL23" s="70">
        <v>0.27500000000000002</v>
      </c>
      <c r="BM23" s="70">
        <v>0.27500000000000002</v>
      </c>
      <c r="BN23" s="70">
        <v>0.27500000000000002</v>
      </c>
      <c r="BO23" s="69">
        <v>0.27500000000000002</v>
      </c>
      <c r="BP23" s="70">
        <v>0.27500000000000002</v>
      </c>
      <c r="BQ23" s="70">
        <v>0.27500000000000002</v>
      </c>
      <c r="BR23" s="70">
        <v>0.27500000000000002</v>
      </c>
      <c r="BS23" s="70">
        <v>0.27500000000000002</v>
      </c>
      <c r="BT23" s="69">
        <v>0.27500000000000002</v>
      </c>
      <c r="BU23" s="70">
        <v>0.27500000000000002</v>
      </c>
      <c r="BV23" s="70">
        <v>0.27500000000000002</v>
      </c>
      <c r="BW23" s="70">
        <v>0.27500000000000002</v>
      </c>
      <c r="BX23" s="70">
        <v>0.27500000000000002</v>
      </c>
      <c r="BY23" s="69">
        <v>0.27500000000000002</v>
      </c>
      <c r="BZ23" s="69">
        <v>0.27500000000000002</v>
      </c>
      <c r="CA23" s="69">
        <v>0.27500000000000002</v>
      </c>
      <c r="CB23" s="69">
        <v>0.27500000000000002</v>
      </c>
      <c r="CC23" s="69">
        <v>0.27500000000000002</v>
      </c>
      <c r="CD23" s="69">
        <v>0.27500000000000002</v>
      </c>
      <c r="CE23" s="69">
        <v>0.27500000000000002</v>
      </c>
      <c r="CF23" s="69">
        <v>0.27500000000000002</v>
      </c>
    </row>
    <row r="24" spans="1:84" ht="12" customHeight="1" x14ac:dyDescent="0.25">
      <c r="A24" s="56">
        <v>4</v>
      </c>
      <c r="B24" s="9"/>
      <c r="C24" s="9">
        <v>0.375</v>
      </c>
      <c r="D24" s="9">
        <v>0.375</v>
      </c>
      <c r="E24" s="9">
        <v>0.375</v>
      </c>
      <c r="F24" s="9">
        <v>0.375</v>
      </c>
      <c r="G24" s="69">
        <v>0.375</v>
      </c>
      <c r="H24" s="9">
        <v>0.375</v>
      </c>
      <c r="I24" s="9">
        <v>0.375</v>
      </c>
      <c r="J24" s="70">
        <v>0.32500000000000001</v>
      </c>
      <c r="K24" s="70">
        <v>0.32500000000000001</v>
      </c>
      <c r="L24" s="69">
        <v>0.32500000000000001</v>
      </c>
      <c r="M24" s="70">
        <v>0.32500000000000001</v>
      </c>
      <c r="N24" s="70">
        <v>0.32500000000000001</v>
      </c>
      <c r="O24" s="70">
        <v>0.32500000000000001</v>
      </c>
      <c r="P24" s="70">
        <v>0.32500000000000001</v>
      </c>
      <c r="Q24" s="69">
        <v>0.32500000000000001</v>
      </c>
      <c r="R24" s="70">
        <v>0.32500000000000001</v>
      </c>
      <c r="S24" s="70">
        <v>0.32500000000000001</v>
      </c>
      <c r="T24" s="70">
        <v>0.32500000000000001</v>
      </c>
      <c r="U24" s="70">
        <v>0.32500000000000001</v>
      </c>
      <c r="V24" s="69">
        <v>0.32500000000000001</v>
      </c>
      <c r="W24" s="70">
        <v>0.32500000000000001</v>
      </c>
      <c r="X24" s="70">
        <v>0.32500000000000001</v>
      </c>
      <c r="Y24" s="70">
        <v>0.32500000000000001</v>
      </c>
      <c r="Z24" s="70">
        <v>0.32500000000000001</v>
      </c>
      <c r="AA24" s="69">
        <v>0.32500000000000001</v>
      </c>
      <c r="AB24" s="70">
        <v>0.32500000000000001</v>
      </c>
      <c r="AC24" s="70">
        <v>0.32500000000000001</v>
      </c>
      <c r="AD24" s="70">
        <v>0.32500000000000001</v>
      </c>
      <c r="AE24" s="70">
        <v>0.32500000000000001</v>
      </c>
      <c r="AF24" s="69">
        <v>0.32500000000000001</v>
      </c>
      <c r="AG24" s="70">
        <v>0.32500000000000001</v>
      </c>
      <c r="AH24" s="70">
        <v>0.32500000000000001</v>
      </c>
      <c r="AI24" s="70">
        <v>0.32500000000000001</v>
      </c>
      <c r="AJ24" s="70">
        <v>0.32500000000000001</v>
      </c>
      <c r="AK24" s="69">
        <v>0.32500000000000001</v>
      </c>
      <c r="AL24" s="70">
        <v>0.32500000000000001</v>
      </c>
      <c r="AM24" s="70">
        <v>0.32500000000000001</v>
      </c>
      <c r="AN24" s="70">
        <v>0.32500000000000001</v>
      </c>
      <c r="AO24" s="70">
        <v>0.32500000000000001</v>
      </c>
      <c r="AP24" s="69">
        <v>0.32500000000000001</v>
      </c>
      <c r="AQ24" s="70">
        <v>0.32500000000000001</v>
      </c>
      <c r="AR24" s="70">
        <v>0.32500000000000001</v>
      </c>
      <c r="AS24" s="70">
        <v>0.32500000000000001</v>
      </c>
      <c r="AT24" s="70">
        <v>0.32500000000000001</v>
      </c>
      <c r="AU24" s="69">
        <v>0.32500000000000001</v>
      </c>
      <c r="AV24" s="70">
        <v>0.32500000000000001</v>
      </c>
      <c r="AW24" s="70">
        <v>0.32500000000000001</v>
      </c>
      <c r="AX24" s="70">
        <v>0.32500000000000001</v>
      </c>
      <c r="AY24" s="70">
        <v>0.32500000000000001</v>
      </c>
      <c r="AZ24" s="69">
        <v>0.32500000000000001</v>
      </c>
      <c r="BA24" s="70">
        <v>0.32500000000000001</v>
      </c>
      <c r="BB24" s="70">
        <v>0.32500000000000001</v>
      </c>
      <c r="BC24" s="70">
        <v>0.32500000000000001</v>
      </c>
      <c r="BD24" s="70">
        <v>0.32500000000000001</v>
      </c>
      <c r="BE24" s="69">
        <v>0.32500000000000001</v>
      </c>
      <c r="BF24" s="70">
        <v>0.32500000000000001</v>
      </c>
      <c r="BG24" s="70">
        <v>0.32500000000000001</v>
      </c>
      <c r="BH24" s="70">
        <v>0.32500000000000001</v>
      </c>
      <c r="BI24" s="70">
        <v>0.32500000000000001</v>
      </c>
      <c r="BJ24" s="69">
        <v>0.32500000000000001</v>
      </c>
      <c r="BK24" s="70">
        <v>0.32500000000000001</v>
      </c>
      <c r="BL24" s="70">
        <v>0.32500000000000001</v>
      </c>
      <c r="BM24" s="70">
        <v>0.32500000000000001</v>
      </c>
      <c r="BN24" s="70">
        <v>0.32500000000000001</v>
      </c>
      <c r="BO24" s="69">
        <v>0.32500000000000001</v>
      </c>
      <c r="BP24" s="70">
        <v>0.32500000000000001</v>
      </c>
      <c r="BQ24" s="70">
        <v>0.32500000000000001</v>
      </c>
      <c r="BR24" s="70">
        <v>0.32500000000000001</v>
      </c>
      <c r="BS24" s="70">
        <v>0.32500000000000001</v>
      </c>
      <c r="BT24" s="69">
        <v>0.32500000000000001</v>
      </c>
      <c r="BU24" s="70">
        <v>0.32500000000000001</v>
      </c>
      <c r="BV24" s="70">
        <v>0.32500000000000001</v>
      </c>
      <c r="BW24" s="70">
        <v>0.32500000000000001</v>
      </c>
      <c r="BX24" s="70">
        <v>0.32500000000000001</v>
      </c>
      <c r="BY24" s="69">
        <v>0.32500000000000001</v>
      </c>
      <c r="BZ24" s="69">
        <v>0.32500000000000001</v>
      </c>
      <c r="CA24" s="69">
        <v>0.32500000000000001</v>
      </c>
      <c r="CB24" s="69">
        <v>0.32500000000000001</v>
      </c>
      <c r="CC24" s="69">
        <v>0.32500000000000001</v>
      </c>
      <c r="CD24" s="69">
        <v>0.32500000000000001</v>
      </c>
      <c r="CE24" s="69">
        <v>0.32500000000000001</v>
      </c>
      <c r="CF24" s="69">
        <v>0.32500000000000001</v>
      </c>
    </row>
    <row r="25" spans="1:84" ht="12" customHeight="1" x14ac:dyDescent="0.25">
      <c r="A25" s="56">
        <v>5</v>
      </c>
      <c r="B25" s="9"/>
      <c r="C25" s="9">
        <v>0.45</v>
      </c>
      <c r="D25" s="9">
        <v>0.45</v>
      </c>
      <c r="E25" s="9">
        <v>0.45</v>
      </c>
      <c r="F25" s="9">
        <v>0.45</v>
      </c>
      <c r="G25" s="69">
        <v>0.45</v>
      </c>
      <c r="H25" s="9">
        <v>0.45</v>
      </c>
      <c r="I25" s="9">
        <v>0.45</v>
      </c>
      <c r="J25" s="70">
        <v>0.375</v>
      </c>
      <c r="K25" s="70">
        <v>0.375</v>
      </c>
      <c r="L25" s="69">
        <v>0.375</v>
      </c>
      <c r="M25" s="70">
        <v>0.375</v>
      </c>
      <c r="N25" s="70">
        <v>0.375</v>
      </c>
      <c r="O25" s="70">
        <v>0.375</v>
      </c>
      <c r="P25" s="70">
        <v>0.375</v>
      </c>
      <c r="Q25" s="69">
        <v>0.375</v>
      </c>
      <c r="R25" s="70">
        <v>0.375</v>
      </c>
      <c r="S25" s="70">
        <v>0.375</v>
      </c>
      <c r="T25" s="70">
        <v>0.375</v>
      </c>
      <c r="U25" s="70">
        <v>0.375</v>
      </c>
      <c r="V25" s="69">
        <v>0.375</v>
      </c>
      <c r="W25" s="70">
        <v>0.375</v>
      </c>
      <c r="X25" s="70">
        <v>0.375</v>
      </c>
      <c r="Y25" s="70">
        <v>0.375</v>
      </c>
      <c r="Z25" s="70">
        <v>0.375</v>
      </c>
      <c r="AA25" s="69">
        <v>0.375</v>
      </c>
      <c r="AB25" s="70">
        <v>0.375</v>
      </c>
      <c r="AC25" s="70">
        <v>0.375</v>
      </c>
      <c r="AD25" s="70">
        <v>0.375</v>
      </c>
      <c r="AE25" s="70">
        <v>0.375</v>
      </c>
      <c r="AF25" s="69">
        <v>0.375</v>
      </c>
      <c r="AG25" s="70">
        <v>0.375</v>
      </c>
      <c r="AH25" s="70">
        <v>0.375</v>
      </c>
      <c r="AI25" s="70">
        <v>0.375</v>
      </c>
      <c r="AJ25" s="70">
        <v>0.375</v>
      </c>
      <c r="AK25" s="69">
        <v>0.375</v>
      </c>
      <c r="AL25" s="70">
        <v>0.375</v>
      </c>
      <c r="AM25" s="70">
        <v>0.375</v>
      </c>
      <c r="AN25" s="70">
        <v>0.375</v>
      </c>
      <c r="AO25" s="70">
        <v>0.375</v>
      </c>
      <c r="AP25" s="69">
        <v>0.375</v>
      </c>
      <c r="AQ25" s="70">
        <v>0.375</v>
      </c>
      <c r="AR25" s="70">
        <v>0.375</v>
      </c>
      <c r="AS25" s="70">
        <v>0.375</v>
      </c>
      <c r="AT25" s="70">
        <v>0.375</v>
      </c>
      <c r="AU25" s="69">
        <v>0.375</v>
      </c>
      <c r="AV25" s="70">
        <v>0.375</v>
      </c>
      <c r="AW25" s="70">
        <v>0.375</v>
      </c>
      <c r="AX25" s="70">
        <v>0.375</v>
      </c>
      <c r="AY25" s="70">
        <v>0.375</v>
      </c>
      <c r="AZ25" s="69">
        <v>0.375</v>
      </c>
      <c r="BA25" s="70">
        <v>0.375</v>
      </c>
      <c r="BB25" s="70">
        <v>0.375</v>
      </c>
      <c r="BC25" s="70">
        <v>0.375</v>
      </c>
      <c r="BD25" s="70">
        <v>0.375</v>
      </c>
      <c r="BE25" s="69">
        <v>0.375</v>
      </c>
      <c r="BF25" s="70">
        <v>0.375</v>
      </c>
      <c r="BG25" s="70">
        <v>0.375</v>
      </c>
      <c r="BH25" s="70">
        <v>0.375</v>
      </c>
      <c r="BI25" s="70">
        <v>0.375</v>
      </c>
      <c r="BJ25" s="69">
        <v>0.375</v>
      </c>
      <c r="BK25" s="70">
        <v>0.375</v>
      </c>
      <c r="BL25" s="70">
        <v>0.375</v>
      </c>
      <c r="BM25" s="70">
        <v>0.375</v>
      </c>
      <c r="BN25" s="70">
        <v>0.375</v>
      </c>
      <c r="BO25" s="69">
        <v>0.375</v>
      </c>
      <c r="BP25" s="70">
        <v>0.375</v>
      </c>
      <c r="BQ25" s="70">
        <v>0.375</v>
      </c>
      <c r="BR25" s="70">
        <v>0.375</v>
      </c>
      <c r="BS25" s="70">
        <v>0.375</v>
      </c>
      <c r="BT25" s="69">
        <v>0.375</v>
      </c>
      <c r="BU25" s="70">
        <v>0.375</v>
      </c>
      <c r="BV25" s="70">
        <v>0.375</v>
      </c>
      <c r="BW25" s="70">
        <v>0.375</v>
      </c>
      <c r="BX25" s="70">
        <v>0.375</v>
      </c>
      <c r="BY25" s="69">
        <v>0.375</v>
      </c>
      <c r="BZ25" s="69">
        <v>0.375</v>
      </c>
      <c r="CA25" s="69">
        <v>0.375</v>
      </c>
      <c r="CB25" s="69">
        <v>0.375</v>
      </c>
      <c r="CC25" s="69">
        <v>0.375</v>
      </c>
      <c r="CD25" s="69">
        <v>0.375</v>
      </c>
      <c r="CE25" s="69">
        <v>0.375</v>
      </c>
      <c r="CF25" s="69">
        <v>0.375</v>
      </c>
    </row>
    <row r="26" spans="1:84" ht="12" customHeight="1" x14ac:dyDescent="0.25">
      <c r="A26" s="56">
        <v>6</v>
      </c>
      <c r="B26" s="9"/>
      <c r="C26" s="9">
        <v>0.5</v>
      </c>
      <c r="D26" s="9">
        <v>0.5</v>
      </c>
      <c r="E26" s="9">
        <v>0.5</v>
      </c>
      <c r="F26" s="9">
        <v>0.5</v>
      </c>
      <c r="G26" s="69">
        <v>0.5</v>
      </c>
      <c r="H26" s="9">
        <v>0.5</v>
      </c>
      <c r="I26" s="9">
        <v>0.5</v>
      </c>
      <c r="J26" s="70">
        <v>0.45</v>
      </c>
      <c r="K26" s="70">
        <v>0.45</v>
      </c>
      <c r="L26" s="69">
        <v>0.45</v>
      </c>
      <c r="M26" s="70">
        <v>0.45</v>
      </c>
      <c r="N26" s="70">
        <v>0.45</v>
      </c>
      <c r="O26" s="70">
        <v>0.45</v>
      </c>
      <c r="P26" s="70">
        <v>0.45</v>
      </c>
      <c r="Q26" s="69">
        <v>0.45</v>
      </c>
      <c r="R26" s="70">
        <v>0.45</v>
      </c>
      <c r="S26" s="70">
        <v>0.45</v>
      </c>
      <c r="T26" s="70">
        <v>0.45</v>
      </c>
      <c r="U26" s="70">
        <v>0.45</v>
      </c>
      <c r="V26" s="69">
        <v>0.45</v>
      </c>
      <c r="W26" s="70">
        <v>0.45</v>
      </c>
      <c r="X26" s="70">
        <v>0.45</v>
      </c>
      <c r="Y26" s="70">
        <v>0.45</v>
      </c>
      <c r="Z26" s="70">
        <v>0.45</v>
      </c>
      <c r="AA26" s="69">
        <v>0.45</v>
      </c>
      <c r="AB26" s="70">
        <v>0.45</v>
      </c>
      <c r="AC26" s="70">
        <v>0.45</v>
      </c>
      <c r="AD26" s="70">
        <v>0.45</v>
      </c>
      <c r="AE26" s="70">
        <v>0.45</v>
      </c>
      <c r="AF26" s="69">
        <v>0.45</v>
      </c>
      <c r="AG26" s="70">
        <v>0.45</v>
      </c>
      <c r="AH26" s="70">
        <v>0.45</v>
      </c>
      <c r="AI26" s="70">
        <v>0.45</v>
      </c>
      <c r="AJ26" s="70">
        <v>0.45</v>
      </c>
      <c r="AK26" s="69">
        <v>0.45</v>
      </c>
      <c r="AL26" s="70">
        <v>0.45</v>
      </c>
      <c r="AM26" s="70">
        <v>0.45</v>
      </c>
      <c r="AN26" s="70">
        <v>0.45</v>
      </c>
      <c r="AO26" s="70">
        <v>0.45</v>
      </c>
      <c r="AP26" s="69">
        <v>0.45</v>
      </c>
      <c r="AQ26" s="70">
        <v>0.45</v>
      </c>
      <c r="AR26" s="70">
        <v>0.45</v>
      </c>
      <c r="AS26" s="70">
        <v>0.45</v>
      </c>
      <c r="AT26" s="70">
        <v>0.45</v>
      </c>
      <c r="AU26" s="69">
        <v>0.45</v>
      </c>
      <c r="AV26" s="70">
        <v>0.45</v>
      </c>
      <c r="AW26" s="70">
        <v>0.45</v>
      </c>
      <c r="AX26" s="70">
        <v>0.45</v>
      </c>
      <c r="AY26" s="70">
        <v>0.45</v>
      </c>
      <c r="AZ26" s="69">
        <v>0.45</v>
      </c>
      <c r="BA26" s="70">
        <v>0.45</v>
      </c>
      <c r="BB26" s="70">
        <v>0.45</v>
      </c>
      <c r="BC26" s="70">
        <v>0.45</v>
      </c>
      <c r="BD26" s="70">
        <v>0.45</v>
      </c>
      <c r="BE26" s="69">
        <v>0.45</v>
      </c>
      <c r="BF26" s="70">
        <v>0.45</v>
      </c>
      <c r="BG26" s="70">
        <v>0.45</v>
      </c>
      <c r="BH26" s="70">
        <v>0.45</v>
      </c>
      <c r="BI26" s="70">
        <v>0.45</v>
      </c>
      <c r="BJ26" s="69">
        <v>0.45</v>
      </c>
      <c r="BK26" s="70">
        <v>0.45</v>
      </c>
      <c r="BL26" s="70">
        <v>0.45</v>
      </c>
      <c r="BM26" s="70">
        <v>0.45</v>
      </c>
      <c r="BN26" s="70">
        <v>0.45</v>
      </c>
      <c r="BO26" s="69">
        <v>0.45</v>
      </c>
      <c r="BP26" s="70">
        <v>0.45</v>
      </c>
      <c r="BQ26" s="70">
        <v>0.45</v>
      </c>
      <c r="BR26" s="70">
        <v>0.45</v>
      </c>
      <c r="BS26" s="70">
        <v>0.45</v>
      </c>
      <c r="BT26" s="69">
        <v>0.45</v>
      </c>
      <c r="BU26" s="70">
        <v>0.45</v>
      </c>
      <c r="BV26" s="70">
        <v>0.45</v>
      </c>
      <c r="BW26" s="70">
        <v>0.45</v>
      </c>
      <c r="BX26" s="70">
        <v>0.45</v>
      </c>
      <c r="BY26" s="69">
        <v>0.45</v>
      </c>
      <c r="BZ26" s="69">
        <v>0.45</v>
      </c>
      <c r="CA26" s="69">
        <v>0.45</v>
      </c>
      <c r="CB26" s="69">
        <v>0.45</v>
      </c>
      <c r="CC26" s="69">
        <v>0.45</v>
      </c>
      <c r="CD26" s="69">
        <v>0.45</v>
      </c>
      <c r="CE26" s="69">
        <v>0.45</v>
      </c>
      <c r="CF26" s="69">
        <v>0.45</v>
      </c>
    </row>
    <row r="27" spans="1:84" ht="12" customHeight="1" x14ac:dyDescent="0.25">
      <c r="A27" s="56">
        <v>7</v>
      </c>
      <c r="B27" s="9"/>
      <c r="C27" s="9">
        <v>0.7</v>
      </c>
      <c r="D27" s="9">
        <v>0.7</v>
      </c>
      <c r="E27" s="9">
        <v>0.7</v>
      </c>
      <c r="F27" s="9">
        <v>0.7</v>
      </c>
      <c r="G27" s="69">
        <v>0.7</v>
      </c>
      <c r="H27" s="9">
        <v>0.7</v>
      </c>
      <c r="I27" s="9">
        <v>0.7</v>
      </c>
      <c r="J27" s="70">
        <v>0.5</v>
      </c>
      <c r="K27" s="70">
        <v>0.5</v>
      </c>
      <c r="L27" s="69">
        <v>0.5</v>
      </c>
      <c r="M27" s="70">
        <v>0.5</v>
      </c>
      <c r="N27" s="70">
        <v>0.5</v>
      </c>
      <c r="O27" s="70">
        <v>0.5</v>
      </c>
      <c r="P27" s="70">
        <v>0.5</v>
      </c>
      <c r="Q27" s="69">
        <v>0.5</v>
      </c>
      <c r="R27" s="70">
        <v>0.5</v>
      </c>
      <c r="S27" s="70">
        <v>0.5</v>
      </c>
      <c r="T27" s="70">
        <v>0.5</v>
      </c>
      <c r="U27" s="70">
        <v>0.5</v>
      </c>
      <c r="V27" s="69">
        <v>0.5</v>
      </c>
      <c r="W27" s="70">
        <v>0.5</v>
      </c>
      <c r="X27" s="70">
        <v>0.5</v>
      </c>
      <c r="Y27" s="70">
        <v>0.5</v>
      </c>
      <c r="Z27" s="70">
        <v>0.5</v>
      </c>
      <c r="AA27" s="69">
        <v>0.5</v>
      </c>
      <c r="AB27" s="70">
        <v>0.5</v>
      </c>
      <c r="AC27" s="70">
        <v>0.5</v>
      </c>
      <c r="AD27" s="70">
        <v>0.5</v>
      </c>
      <c r="AE27" s="70">
        <v>0.5</v>
      </c>
      <c r="AF27" s="69">
        <v>0.5</v>
      </c>
      <c r="AG27" s="70">
        <v>0.5</v>
      </c>
      <c r="AH27" s="70">
        <v>0.5</v>
      </c>
      <c r="AI27" s="70">
        <v>0.5</v>
      </c>
      <c r="AJ27" s="70">
        <v>0.5</v>
      </c>
      <c r="AK27" s="69">
        <v>0.5</v>
      </c>
      <c r="AL27" s="70">
        <v>0.5</v>
      </c>
      <c r="AM27" s="70">
        <v>0.5</v>
      </c>
      <c r="AN27" s="70">
        <v>0.5</v>
      </c>
      <c r="AO27" s="70">
        <v>0.5</v>
      </c>
      <c r="AP27" s="69">
        <v>0.5</v>
      </c>
      <c r="AQ27" s="70">
        <v>0.5</v>
      </c>
      <c r="AR27" s="70">
        <v>0.5</v>
      </c>
      <c r="AS27" s="70">
        <v>0.5</v>
      </c>
      <c r="AT27" s="70">
        <v>0.5</v>
      </c>
      <c r="AU27" s="69">
        <v>0.5</v>
      </c>
      <c r="AV27" s="70">
        <v>0.5</v>
      </c>
      <c r="AW27" s="70">
        <v>0.5</v>
      </c>
      <c r="AX27" s="70">
        <v>0.5</v>
      </c>
      <c r="AY27" s="70">
        <v>0.5</v>
      </c>
      <c r="AZ27" s="69">
        <v>0.5</v>
      </c>
      <c r="BA27" s="70">
        <v>0.5</v>
      </c>
      <c r="BB27" s="70">
        <v>0.5</v>
      </c>
      <c r="BC27" s="70">
        <v>0.5</v>
      </c>
      <c r="BD27" s="70">
        <v>0.5</v>
      </c>
      <c r="BE27" s="69">
        <v>0.5</v>
      </c>
      <c r="BF27" s="70">
        <v>0.5</v>
      </c>
      <c r="BG27" s="70">
        <v>0.5</v>
      </c>
      <c r="BH27" s="70">
        <v>0.5</v>
      </c>
      <c r="BI27" s="70">
        <v>0.5</v>
      </c>
      <c r="BJ27" s="69">
        <v>0.5</v>
      </c>
      <c r="BK27" s="70">
        <v>0.5</v>
      </c>
      <c r="BL27" s="70">
        <v>0.5</v>
      </c>
      <c r="BM27" s="70">
        <v>0.5</v>
      </c>
      <c r="BN27" s="70">
        <v>0.5</v>
      </c>
      <c r="BO27" s="69">
        <v>0.5</v>
      </c>
      <c r="BP27" s="70">
        <v>0.5</v>
      </c>
      <c r="BQ27" s="70">
        <v>0.5</v>
      </c>
      <c r="BR27" s="70">
        <v>0.5</v>
      </c>
      <c r="BS27" s="70">
        <v>0.5</v>
      </c>
      <c r="BT27" s="69">
        <v>0.5</v>
      </c>
      <c r="BU27" s="70">
        <v>0.5</v>
      </c>
      <c r="BV27" s="70">
        <v>0.5</v>
      </c>
      <c r="BW27" s="70">
        <v>0.5</v>
      </c>
      <c r="BX27" s="70">
        <v>0.5</v>
      </c>
      <c r="BY27" s="69">
        <v>0.5</v>
      </c>
      <c r="BZ27" s="69">
        <v>0.5</v>
      </c>
      <c r="CA27" s="69">
        <v>0.5</v>
      </c>
      <c r="CB27" s="69">
        <v>0.5</v>
      </c>
      <c r="CC27" s="69">
        <v>0.5</v>
      </c>
      <c r="CD27" s="69">
        <v>0.5</v>
      </c>
      <c r="CE27" s="69">
        <v>0.5</v>
      </c>
      <c r="CF27" s="69">
        <v>0.5</v>
      </c>
    </row>
    <row r="28" spans="1:84" ht="12" customHeight="1" x14ac:dyDescent="0.25">
      <c r="A28" s="2"/>
      <c r="B28" s="2"/>
      <c r="C28" s="2"/>
      <c r="D28" s="2"/>
      <c r="E28" s="2"/>
      <c r="F28" s="2"/>
      <c r="G28" s="55"/>
      <c r="H28" s="2"/>
      <c r="I28" s="2"/>
      <c r="J28" s="2"/>
      <c r="K28" s="2"/>
      <c r="L28" s="55"/>
      <c r="M28" s="4"/>
      <c r="N28" s="4"/>
      <c r="O28" s="4"/>
      <c r="P28" s="4"/>
      <c r="Q28" s="55"/>
      <c r="R28" s="4"/>
      <c r="S28" s="4"/>
      <c r="T28" s="4"/>
      <c r="U28" s="4"/>
      <c r="V28" s="55"/>
      <c r="W28" s="4"/>
      <c r="X28" s="4"/>
      <c r="Y28" s="4"/>
      <c r="Z28" s="4"/>
      <c r="AA28" s="55"/>
      <c r="AB28" s="4"/>
      <c r="AC28" s="4"/>
      <c r="AD28" s="4"/>
      <c r="AE28" s="4"/>
      <c r="AF28" s="55"/>
      <c r="AG28" s="4"/>
      <c r="AH28" s="4"/>
      <c r="AI28" s="4"/>
      <c r="AJ28" s="4"/>
      <c r="AK28" s="55"/>
      <c r="AL28" s="4"/>
      <c r="AM28" s="4"/>
      <c r="AN28" s="4"/>
      <c r="AO28" s="4"/>
      <c r="AP28" s="55"/>
      <c r="AQ28" s="4"/>
      <c r="AR28" s="4"/>
      <c r="AS28" s="4"/>
      <c r="AT28" s="4"/>
      <c r="AU28" s="55"/>
      <c r="AV28" s="4"/>
      <c r="AW28" s="4"/>
      <c r="AX28" s="4"/>
      <c r="AY28" s="1679"/>
      <c r="AZ28" s="1679"/>
      <c r="BA28" s="4"/>
      <c r="BB28" s="4"/>
      <c r="BC28" s="4"/>
      <c r="BD28" s="1679"/>
      <c r="BE28" s="1679"/>
      <c r="BF28" s="4"/>
      <c r="BG28" s="4"/>
      <c r="BH28" s="4"/>
      <c r="BI28" s="4"/>
      <c r="BJ28" s="55"/>
      <c r="BK28" s="4"/>
      <c r="BL28" s="4"/>
      <c r="BM28" s="4"/>
      <c r="BN28" s="4"/>
      <c r="BO28" s="55"/>
      <c r="BP28" s="4"/>
      <c r="BQ28" s="4"/>
      <c r="BR28" s="4"/>
      <c r="BS28" s="4"/>
      <c r="BT28" s="55"/>
      <c r="BU28" s="4"/>
      <c r="BV28" s="4"/>
      <c r="BW28" s="4"/>
      <c r="BX28" s="4"/>
      <c r="BY28" s="55"/>
      <c r="BZ28" s="55"/>
      <c r="CA28" s="55"/>
      <c r="CB28" s="55"/>
      <c r="CC28" s="55"/>
      <c r="CD28" s="55"/>
      <c r="CE28" s="55"/>
      <c r="CF28" s="55"/>
    </row>
    <row r="29" spans="1:84" ht="12" customHeight="1" x14ac:dyDescent="0.25">
      <c r="A29" s="2"/>
      <c r="B29" s="71"/>
      <c r="C29" s="73"/>
      <c r="D29" s="74"/>
      <c r="E29" s="74"/>
      <c r="F29" s="74"/>
      <c r="G29" s="72"/>
      <c r="H29" s="73"/>
      <c r="I29" s="74"/>
      <c r="J29" s="74"/>
      <c r="K29" s="74"/>
      <c r="L29" s="72"/>
      <c r="M29" s="74"/>
      <c r="N29" s="74"/>
      <c r="O29" s="74"/>
      <c r="P29" s="74"/>
      <c r="Q29" s="72"/>
      <c r="R29" s="74"/>
      <c r="S29" s="74"/>
      <c r="T29" s="74"/>
      <c r="U29" s="74"/>
      <c r="V29" s="72"/>
      <c r="W29" s="74"/>
      <c r="X29" s="74"/>
      <c r="Y29" s="74"/>
      <c r="Z29" s="74"/>
      <c r="AA29" s="72"/>
      <c r="AB29" s="74"/>
      <c r="AC29" s="74"/>
      <c r="AD29" s="74"/>
      <c r="AE29" s="74"/>
      <c r="AF29" s="72"/>
      <c r="AG29" s="74"/>
      <c r="AH29" s="74"/>
      <c r="AI29" s="74"/>
      <c r="AJ29" s="74"/>
      <c r="AK29" s="72"/>
      <c r="AL29" s="74"/>
      <c r="AM29" s="74"/>
      <c r="AN29" s="74"/>
      <c r="AO29" s="74"/>
      <c r="AP29" s="72"/>
      <c r="AQ29" s="74"/>
      <c r="AR29" s="74"/>
      <c r="AS29" s="74"/>
      <c r="AT29" s="74"/>
      <c r="AU29" s="72"/>
      <c r="AV29" s="74"/>
      <c r="AW29" s="74"/>
      <c r="AX29" s="74"/>
      <c r="AY29" s="2895"/>
      <c r="AZ29" s="2895"/>
      <c r="BA29" s="74"/>
      <c r="BB29" s="74"/>
      <c r="BC29" s="74"/>
      <c r="BD29" s="2895"/>
      <c r="BE29" s="2895"/>
      <c r="BF29" s="74"/>
      <c r="BG29" s="74"/>
      <c r="BH29" s="74"/>
      <c r="BI29" s="74"/>
      <c r="BJ29" s="72"/>
      <c r="BK29" s="74"/>
      <c r="BL29" s="74"/>
      <c r="BM29" s="74"/>
      <c r="BN29" s="74"/>
      <c r="BO29" s="72"/>
      <c r="BP29" s="74"/>
      <c r="BQ29" s="74"/>
      <c r="BR29" s="74"/>
      <c r="BS29" s="74"/>
      <c r="BT29" s="72"/>
      <c r="BU29" s="74"/>
      <c r="BV29" s="74"/>
      <c r="BW29" s="74"/>
      <c r="BX29" s="74"/>
      <c r="BY29" s="72"/>
      <c r="BZ29" s="72"/>
      <c r="CA29" s="72"/>
      <c r="CB29" s="72"/>
      <c r="CC29" s="72"/>
      <c r="CD29" s="72"/>
      <c r="CE29" s="72"/>
      <c r="CF29" s="72"/>
    </row>
    <row r="30" spans="1:84" ht="12" customHeight="1" x14ac:dyDescent="0.25">
      <c r="A30" s="75" t="s">
        <v>897</v>
      </c>
      <c r="B30" s="2"/>
      <c r="C30" s="76"/>
      <c r="D30" s="4"/>
      <c r="E30" s="4"/>
      <c r="F30" s="4"/>
      <c r="G30" s="55"/>
      <c r="H30" s="76"/>
      <c r="I30" s="4"/>
      <c r="J30" s="4"/>
      <c r="K30" s="4"/>
      <c r="L30" s="55"/>
      <c r="M30" s="4"/>
      <c r="N30" s="4"/>
      <c r="O30" s="4"/>
      <c r="P30" s="4"/>
      <c r="Q30" s="55"/>
      <c r="R30" s="4"/>
      <c r="S30" s="4"/>
      <c r="T30" s="4"/>
      <c r="U30" s="4"/>
      <c r="V30" s="55"/>
      <c r="W30" s="4"/>
      <c r="X30" s="4"/>
      <c r="Y30" s="4"/>
      <c r="Z30" s="4"/>
      <c r="AA30" s="55"/>
      <c r="AB30" s="4"/>
      <c r="AC30" s="4"/>
      <c r="AD30" s="4"/>
      <c r="AE30" s="4"/>
      <c r="AF30" s="55"/>
      <c r="AG30" s="4"/>
      <c r="AH30" s="4"/>
      <c r="AI30" s="4"/>
      <c r="AJ30" s="4"/>
      <c r="AK30" s="55"/>
      <c r="AL30" s="4"/>
      <c r="AM30" s="4"/>
      <c r="AN30" s="4"/>
      <c r="AO30" s="4"/>
      <c r="AP30" s="55"/>
      <c r="AQ30" s="4"/>
      <c r="AR30" s="4"/>
      <c r="AS30" s="4"/>
      <c r="AT30" s="4"/>
      <c r="AU30" s="55"/>
      <c r="AV30" s="4"/>
      <c r="AW30" s="4"/>
      <c r="AX30" s="4"/>
      <c r="AY30" s="1679"/>
      <c r="AZ30" s="1679"/>
      <c r="BA30" s="4"/>
      <c r="BB30" s="4"/>
      <c r="BC30" s="4"/>
      <c r="BD30" s="1679"/>
      <c r="BE30" s="1679"/>
      <c r="BF30" s="4"/>
      <c r="BG30" s="4"/>
      <c r="BH30" s="4"/>
      <c r="BI30" s="1679"/>
      <c r="BJ30" s="1679"/>
      <c r="BK30" s="4"/>
      <c r="BL30" s="4"/>
      <c r="BM30" s="4"/>
      <c r="BN30" s="1679"/>
      <c r="BO30" s="1679"/>
      <c r="BP30" s="4"/>
      <c r="BQ30" s="4"/>
      <c r="BR30" s="4"/>
      <c r="BS30" s="1679"/>
      <c r="BT30" s="55"/>
      <c r="BU30" s="4"/>
      <c r="BV30" s="4"/>
      <c r="BW30" s="4"/>
      <c r="BX30" s="1679"/>
      <c r="BY30" s="55"/>
      <c r="BZ30" s="55"/>
      <c r="CA30" s="55"/>
      <c r="CB30" s="55"/>
      <c r="CC30" s="55"/>
      <c r="CD30" s="55"/>
      <c r="CE30" s="55"/>
      <c r="CF30" s="55"/>
    </row>
    <row r="31" spans="1:84" ht="12" customHeight="1" x14ac:dyDescent="0.25">
      <c r="A31" s="77" t="s">
        <v>2253</v>
      </c>
      <c r="B31" s="78"/>
      <c r="C31" s="78">
        <v>4</v>
      </c>
      <c r="D31" s="78">
        <v>4</v>
      </c>
      <c r="E31" s="78">
        <v>4</v>
      </c>
      <c r="F31" s="78">
        <v>4</v>
      </c>
      <c r="G31" s="79">
        <v>4</v>
      </c>
      <c r="H31" s="78">
        <v>4</v>
      </c>
      <c r="I31" s="78">
        <v>4</v>
      </c>
      <c r="J31" s="78">
        <v>3</v>
      </c>
      <c r="K31" s="78">
        <v>3</v>
      </c>
      <c r="L31" s="79">
        <v>3</v>
      </c>
      <c r="M31" s="78">
        <v>3</v>
      </c>
      <c r="N31" s="78">
        <v>3</v>
      </c>
      <c r="O31" s="78">
        <v>3</v>
      </c>
      <c r="P31" s="78">
        <v>3</v>
      </c>
      <c r="Q31" s="79">
        <v>3</v>
      </c>
      <c r="R31" s="78">
        <v>3</v>
      </c>
      <c r="S31" s="78">
        <v>3</v>
      </c>
      <c r="T31" s="78">
        <v>3</v>
      </c>
      <c r="U31" s="78">
        <v>3</v>
      </c>
      <c r="V31" s="79">
        <v>3</v>
      </c>
      <c r="W31" s="78">
        <v>3</v>
      </c>
      <c r="X31" s="78">
        <v>3</v>
      </c>
      <c r="Y31" s="78">
        <v>3</v>
      </c>
      <c r="Z31" s="78">
        <v>3</v>
      </c>
      <c r="AA31" s="79">
        <v>3</v>
      </c>
      <c r="AB31" s="78">
        <v>3</v>
      </c>
      <c r="AC31" s="78">
        <v>3</v>
      </c>
      <c r="AD31" s="78">
        <v>3</v>
      </c>
      <c r="AE31" s="78">
        <v>3</v>
      </c>
      <c r="AF31" s="79">
        <v>3</v>
      </c>
      <c r="AG31" s="78">
        <v>3</v>
      </c>
      <c r="AH31" s="78">
        <v>3</v>
      </c>
      <c r="AI31" s="78">
        <v>3</v>
      </c>
      <c r="AJ31" s="78">
        <v>3</v>
      </c>
      <c r="AK31" s="79">
        <v>3</v>
      </c>
      <c r="AL31" s="78">
        <v>3</v>
      </c>
      <c r="AM31" s="78">
        <v>3</v>
      </c>
      <c r="AN31" s="78">
        <v>3</v>
      </c>
      <c r="AO31" s="78">
        <v>3</v>
      </c>
      <c r="AP31" s="79">
        <v>3</v>
      </c>
      <c r="AQ31" s="78">
        <v>3</v>
      </c>
      <c r="AR31" s="78">
        <v>3</v>
      </c>
      <c r="AS31" s="78">
        <v>3</v>
      </c>
      <c r="AT31" s="78">
        <v>3</v>
      </c>
      <c r="AU31" s="79">
        <v>3</v>
      </c>
      <c r="AV31" s="78">
        <v>3</v>
      </c>
      <c r="AW31" s="78">
        <v>3</v>
      </c>
      <c r="AX31" s="78">
        <v>3</v>
      </c>
      <c r="AY31" s="2904">
        <v>3</v>
      </c>
      <c r="AZ31" s="2904">
        <v>3</v>
      </c>
      <c r="BA31" s="78">
        <v>3</v>
      </c>
      <c r="BB31" s="78">
        <v>3</v>
      </c>
      <c r="BC31" s="78">
        <v>3</v>
      </c>
      <c r="BD31" s="2904">
        <v>3</v>
      </c>
      <c r="BE31" s="2904">
        <v>3</v>
      </c>
      <c r="BF31" s="78">
        <v>3</v>
      </c>
      <c r="BG31" s="78">
        <v>3</v>
      </c>
      <c r="BH31" s="78">
        <v>3</v>
      </c>
      <c r="BI31" s="2904">
        <v>3</v>
      </c>
      <c r="BJ31" s="79">
        <v>3</v>
      </c>
      <c r="BK31" s="78">
        <v>3</v>
      </c>
      <c r="BL31" s="78">
        <v>3</v>
      </c>
      <c r="BM31" s="78">
        <v>3</v>
      </c>
      <c r="BN31" s="2904">
        <v>3</v>
      </c>
      <c r="BO31" s="79">
        <v>3</v>
      </c>
      <c r="BP31" s="78">
        <v>3</v>
      </c>
      <c r="BQ31" s="78">
        <v>3</v>
      </c>
      <c r="BR31" s="78">
        <v>3</v>
      </c>
      <c r="BS31" s="2904">
        <v>3</v>
      </c>
      <c r="BT31" s="79">
        <v>3</v>
      </c>
      <c r="BU31" s="78">
        <v>3</v>
      </c>
      <c r="BV31" s="78">
        <v>3</v>
      </c>
      <c r="BW31" s="78">
        <v>3</v>
      </c>
      <c r="BX31" s="2904">
        <v>3</v>
      </c>
      <c r="BY31" s="79">
        <v>3</v>
      </c>
      <c r="BZ31" s="79">
        <v>3</v>
      </c>
      <c r="CA31" s="79">
        <v>3</v>
      </c>
      <c r="CB31" s="79">
        <v>3</v>
      </c>
      <c r="CC31" s="79">
        <v>3</v>
      </c>
      <c r="CD31" s="79">
        <v>3</v>
      </c>
      <c r="CE31" s="79">
        <v>3</v>
      </c>
      <c r="CF31" s="79">
        <v>3</v>
      </c>
    </row>
    <row r="32" spans="1:84" ht="12" customHeight="1" x14ac:dyDescent="0.25">
      <c r="A32" s="77"/>
      <c r="B32" s="78"/>
      <c r="C32" s="78"/>
      <c r="D32" s="78"/>
      <c r="E32" s="78"/>
      <c r="F32" s="78"/>
      <c r="G32" s="79"/>
      <c r="H32" s="78"/>
      <c r="I32" s="78"/>
      <c r="J32" s="78"/>
      <c r="K32" s="78"/>
      <c r="L32" s="79"/>
      <c r="M32" s="78"/>
      <c r="N32" s="78"/>
      <c r="O32" s="78"/>
      <c r="P32" s="78"/>
      <c r="Q32" s="79"/>
      <c r="R32" s="78"/>
      <c r="S32" s="78"/>
      <c r="T32" s="78"/>
      <c r="U32" s="78"/>
      <c r="V32" s="79"/>
      <c r="W32" s="78"/>
      <c r="X32" s="78"/>
      <c r="Y32" s="78"/>
      <c r="Z32" s="78"/>
      <c r="AA32" s="79"/>
      <c r="AB32" s="78"/>
      <c r="AC32" s="78"/>
      <c r="AD32" s="78"/>
      <c r="AE32" s="78"/>
      <c r="AF32" s="79"/>
      <c r="AG32" s="78"/>
      <c r="AH32" s="78"/>
      <c r="AI32" s="78"/>
      <c r="AJ32" s="78"/>
      <c r="AK32" s="221"/>
      <c r="AL32" s="78"/>
      <c r="AM32" s="78"/>
      <c r="AN32" s="78"/>
      <c r="AO32" s="78"/>
      <c r="AP32" s="221"/>
      <c r="AQ32" s="78"/>
      <c r="AR32" s="78"/>
      <c r="AS32" s="78"/>
      <c r="AT32" s="78"/>
      <c r="AU32" s="221"/>
      <c r="AV32" s="78"/>
      <c r="AW32" s="78"/>
      <c r="AX32" s="78"/>
      <c r="AY32" s="2904"/>
      <c r="AZ32" s="2905"/>
      <c r="BA32" s="78"/>
      <c r="BB32" s="78"/>
      <c r="BC32" s="78"/>
      <c r="BD32" s="2904"/>
      <c r="BE32" s="2905"/>
      <c r="BF32" s="78"/>
      <c r="BG32" s="78"/>
      <c r="BH32" s="78"/>
      <c r="BI32" s="2904"/>
      <c r="BJ32" s="221"/>
      <c r="BK32" s="78"/>
      <c r="BL32" s="78"/>
      <c r="BM32" s="78"/>
      <c r="BN32" s="2904"/>
      <c r="BO32" s="221"/>
      <c r="BP32" s="78"/>
      <c r="BQ32" s="78"/>
      <c r="BR32" s="78"/>
      <c r="BS32" s="2904"/>
      <c r="BT32" s="221"/>
      <c r="BU32" s="78"/>
      <c r="BV32" s="78"/>
      <c r="BW32" s="78"/>
      <c r="BX32" s="2904"/>
      <c r="BY32" s="221"/>
      <c r="BZ32" s="221"/>
      <c r="CA32" s="221"/>
      <c r="CB32" s="221"/>
      <c r="CC32" s="221"/>
      <c r="CD32" s="221"/>
      <c r="CE32" s="221"/>
      <c r="CF32" s="221"/>
    </row>
    <row r="33" spans="1:84" ht="12" customHeight="1" x14ac:dyDescent="0.25">
      <c r="A33" s="6" t="s">
        <v>2254</v>
      </c>
      <c r="B33" s="80"/>
      <c r="C33" s="80">
        <v>57.582000000000001</v>
      </c>
      <c r="D33" s="80">
        <v>56.881</v>
      </c>
      <c r="E33" s="80">
        <v>57.797999999999995</v>
      </c>
      <c r="F33" s="80">
        <v>57.279000000000003</v>
      </c>
      <c r="G33" s="48">
        <v>229.54</v>
      </c>
      <c r="H33" s="80">
        <v>56.037999999999997</v>
      </c>
      <c r="I33" s="80">
        <v>60.725000000000001</v>
      </c>
      <c r="J33" s="80">
        <v>64.245000000000005</v>
      </c>
      <c r="K33" s="80">
        <v>62.265999999999998</v>
      </c>
      <c r="L33" s="48">
        <v>243.274</v>
      </c>
      <c r="M33" s="80">
        <v>66.569999999999993</v>
      </c>
      <c r="N33" s="80">
        <v>65.7</v>
      </c>
      <c r="O33" s="80">
        <v>67.000999999999991</v>
      </c>
      <c r="P33" s="80">
        <v>66.481999999999999</v>
      </c>
      <c r="Q33" s="48">
        <v>265.75299999999993</v>
      </c>
      <c r="R33" s="80">
        <v>69.617999999999995</v>
      </c>
      <c r="S33" s="80">
        <v>69.385000000000005</v>
      </c>
      <c r="T33" s="80">
        <v>69.116</v>
      </c>
      <c r="U33" s="80">
        <v>64.448000000000008</v>
      </c>
      <c r="V33" s="48">
        <v>272.56700000000001</v>
      </c>
      <c r="W33" s="80">
        <v>58.553999999999995</v>
      </c>
      <c r="X33" s="80">
        <v>57.257999999999996</v>
      </c>
      <c r="Y33" s="80">
        <v>57.055</v>
      </c>
      <c r="Z33" s="80">
        <v>50.037999999999997</v>
      </c>
      <c r="AA33" s="48">
        <v>222.905</v>
      </c>
      <c r="AB33" s="34">
        <f>PENN!AB$793</f>
        <v>53.4</v>
      </c>
      <c r="AC33" s="34">
        <f>PENN!AC$793</f>
        <v>57.3</v>
      </c>
      <c r="AD33" s="34">
        <f>PENN!AD$793</f>
        <v>47.5</v>
      </c>
      <c r="AE33" s="34">
        <f>PENN!AE$793</f>
        <v>44.1</v>
      </c>
      <c r="AF33" s="34">
        <f>PENN!AF$793</f>
        <v>202.29999999999998</v>
      </c>
      <c r="AG33" s="34">
        <f>PENN!AG$793</f>
        <v>47.8</v>
      </c>
      <c r="AH33" s="34">
        <f>PENN!AH$793</f>
        <v>45.4</v>
      </c>
      <c r="AI33" s="34">
        <f>PENN!AI$793</f>
        <v>45.13</v>
      </c>
      <c r="AJ33" s="34">
        <f>PENN!AJ$793</f>
        <v>42.697000000000003</v>
      </c>
      <c r="AK33" s="34">
        <f>PENN!AK$793</f>
        <v>181.02699999999999</v>
      </c>
      <c r="AL33" s="34">
        <f>PENN!AL$793</f>
        <v>44.341999999999999</v>
      </c>
      <c r="AM33" s="34">
        <f>PENN!AM$793</f>
        <v>46.4</v>
      </c>
      <c r="AN33" s="34">
        <f>PENN!AN$793</f>
        <v>43.469000000000001</v>
      </c>
      <c r="AO33" s="34">
        <f>PENN!AO$793</f>
        <v>39.19</v>
      </c>
      <c r="AP33" s="34">
        <f>PENN!AP$793</f>
        <v>173.40099999999998</v>
      </c>
      <c r="AQ33" s="34">
        <f>PENN!AQ$793</f>
        <v>38.189</v>
      </c>
      <c r="AR33" s="34">
        <f>PENN!AR$793</f>
        <v>38.948999999999998</v>
      </c>
      <c r="AS33" s="34">
        <f>PENN!AS$793</f>
        <v>38.125999999999998</v>
      </c>
      <c r="AT33" s="34">
        <f>PENN!AT$793</f>
        <v>36.513999999999996</v>
      </c>
      <c r="AU33" s="34">
        <f>PENN!AU$793</f>
        <v>151.77800000000002</v>
      </c>
      <c r="AV33" s="34">
        <f>PENN!AV$793</f>
        <v>36.709271999999999</v>
      </c>
      <c r="AW33" s="34">
        <f>PENN!AW$793</f>
        <v>37.733473000000004</v>
      </c>
      <c r="AX33" s="34">
        <f>PENN!AX$793</f>
        <v>35.355093999999994</v>
      </c>
      <c r="AY33" s="2897">
        <f>PENN!AY$793</f>
        <v>31.953983999999998</v>
      </c>
      <c r="AZ33" s="2897">
        <f>PENN!AZ$793</f>
        <v>141.751823</v>
      </c>
      <c r="BA33" s="34">
        <f>PENN!BA$793</f>
        <v>31.234246999999996</v>
      </c>
      <c r="BB33" s="34">
        <f>PENN!BB$793</f>
        <v>33.345424000000001</v>
      </c>
      <c r="BC33" s="34">
        <f>PENN!BC$793</f>
        <v>31.966752</v>
      </c>
      <c r="BD33" s="2897">
        <f>PENN!BD$793</f>
        <v>30.419910000000002</v>
      </c>
      <c r="BE33" s="2897">
        <f>PENN!BE$793</f>
        <v>126.96633299999999</v>
      </c>
      <c r="BF33" s="34">
        <f>PENN!BF$793</f>
        <v>30.407322999999998</v>
      </c>
      <c r="BG33" s="34">
        <f>PENN!BG$793</f>
        <v>32.211692999999997</v>
      </c>
      <c r="BH33" s="34">
        <f>PENN!BH$793</f>
        <v>29.485301</v>
      </c>
      <c r="BI33" s="2897">
        <f>PENN!BI$793</f>
        <v>29.045582999999997</v>
      </c>
      <c r="BJ33" s="111">
        <f>PENN!BJ$793</f>
        <v>121.14989999999999</v>
      </c>
      <c r="BK33" s="34">
        <f>PENN!BK$793</f>
        <v>30.469566999999998</v>
      </c>
      <c r="BL33" s="34">
        <f>PENN!BL$793</f>
        <v>30.2</v>
      </c>
      <c r="BM33" s="34">
        <f>PENN!BM$793</f>
        <v>30.406834000000003</v>
      </c>
      <c r="BN33" s="2897">
        <f>PENN!BN$793</f>
        <v>28.942206000000002</v>
      </c>
      <c r="BO33" s="111">
        <f>PENN!BO$793</f>
        <v>120.018607</v>
      </c>
      <c r="BP33" s="34">
        <f>PENN!BP$793</f>
        <v>31.958572</v>
      </c>
      <c r="BQ33" s="34">
        <f>PENN!BQ$793</f>
        <v>29.800344000000003</v>
      </c>
      <c r="BR33" s="34">
        <f>PENN!BR$793</f>
        <v>30.446326999999997</v>
      </c>
      <c r="BS33" s="2897">
        <f>PENN!BS$793</f>
        <v>28.686271999999999</v>
      </c>
      <c r="BT33" s="111">
        <f>PENN!BT$793</f>
        <v>120.891515</v>
      </c>
      <c r="BU33" s="34">
        <f>PENN!BU$793</f>
        <v>28.657595000000001</v>
      </c>
      <c r="BV33" s="34">
        <f>PENN!BV$793</f>
        <v>29.800344000000003</v>
      </c>
      <c r="BW33" s="34">
        <f>PENN!BW$793</f>
        <v>30.750790269999996</v>
      </c>
      <c r="BX33" s="2897">
        <f>PENN!BX$793</f>
        <v>28.973134720000001</v>
      </c>
      <c r="BY33" s="111">
        <f>PENN!BY$793</f>
        <v>118.18186399</v>
      </c>
      <c r="BZ33" s="111">
        <f>PENN!BZ$793</f>
        <v>119.3636826299</v>
      </c>
      <c r="CA33" s="111">
        <f>PENN!CA$793</f>
        <v>119.3636826299</v>
      </c>
      <c r="CB33" s="111">
        <f>PENN!CB$793</f>
        <v>113.39549849840499</v>
      </c>
      <c r="CC33" s="111">
        <f>PENN!CC$793</f>
        <v>107.72572357348473</v>
      </c>
      <c r="CD33" s="111">
        <f>PENN!CD$793</f>
        <v>109.88023804495442</v>
      </c>
      <c r="CE33" s="111">
        <f>PENN!CE$793</f>
        <v>112.07784280585352</v>
      </c>
      <c r="CF33" s="111">
        <f>PENN!CF$793</f>
        <v>114.31939966197059</v>
      </c>
    </row>
    <row r="34" spans="1:84" ht="12" customHeight="1" x14ac:dyDescent="0.25">
      <c r="A34" s="6" t="s">
        <v>1057</v>
      </c>
      <c r="B34" s="81"/>
      <c r="C34" s="81">
        <v>364.62400000000002</v>
      </c>
      <c r="D34" s="81">
        <v>363.02100000000002</v>
      </c>
      <c r="E34" s="81">
        <v>378.62299999999999</v>
      </c>
      <c r="F34" s="81">
        <v>350.62700000000001</v>
      </c>
      <c r="G34" s="82">
        <v>1456.895</v>
      </c>
      <c r="H34" s="81">
        <v>348.863</v>
      </c>
      <c r="I34" s="81">
        <v>358.601</v>
      </c>
      <c r="J34" s="81">
        <v>420.73200000000008</v>
      </c>
      <c r="K34" s="81">
        <v>431.83</v>
      </c>
      <c r="L34" s="82">
        <v>1560.0259999999998</v>
      </c>
      <c r="M34" s="81">
        <v>441.50599999999997</v>
      </c>
      <c r="N34" s="81">
        <v>444.6</v>
      </c>
      <c r="O34" s="81">
        <v>470.39599999999996</v>
      </c>
      <c r="P34" s="81">
        <v>457.68</v>
      </c>
      <c r="Q34" s="82">
        <v>1814.182</v>
      </c>
      <c r="R34" s="81">
        <v>459.577</v>
      </c>
      <c r="S34" s="81">
        <v>472.53100000000001</v>
      </c>
      <c r="T34" s="81">
        <v>461.31799999999998</v>
      </c>
      <c r="U34" s="81">
        <v>422.35100000000006</v>
      </c>
      <c r="V34" s="82">
        <v>1815.777</v>
      </c>
      <c r="W34" s="81">
        <v>416.65299999999996</v>
      </c>
      <c r="X34" s="81">
        <v>445.00200000000001</v>
      </c>
      <c r="Y34" s="81">
        <v>415.16800000000006</v>
      </c>
      <c r="Z34" s="81">
        <v>366.57899999999995</v>
      </c>
      <c r="AA34" s="82">
        <v>1643.402</v>
      </c>
      <c r="AB34" s="120">
        <f>PENN!AB$790</f>
        <v>402.6</v>
      </c>
      <c r="AC34" s="120">
        <f>PENN!AC$790</f>
        <v>440.4</v>
      </c>
      <c r="AD34" s="120">
        <f>PENN!AD$790</f>
        <v>393.3</v>
      </c>
      <c r="AE34" s="120">
        <f>PENN!AE$790</f>
        <v>363.7</v>
      </c>
      <c r="AF34" s="120">
        <f>PENN!AF$790</f>
        <v>1600</v>
      </c>
      <c r="AG34" s="120">
        <f>PENN!AG$790</f>
        <v>391.3</v>
      </c>
      <c r="AH34" s="120">
        <f>PENN!AH$790</f>
        <v>371.8</v>
      </c>
      <c r="AI34" s="120">
        <f>PENN!AI$790</f>
        <v>370.91</v>
      </c>
      <c r="AJ34" s="120">
        <f>PENN!AJ$790</f>
        <v>353.97399999999999</v>
      </c>
      <c r="AK34" s="120">
        <f>PENN!AK$790</f>
        <v>1487.9839999999999</v>
      </c>
      <c r="AL34" s="120">
        <f>PENN!AL$790</f>
        <v>367.04300000000001</v>
      </c>
      <c r="AM34" s="120">
        <f>PENN!AM$790</f>
        <v>393.76499999999999</v>
      </c>
      <c r="AN34" s="120">
        <f>PENN!AN$790</f>
        <v>386.81899999999996</v>
      </c>
      <c r="AO34" s="120">
        <f>PENN!AO$790</f>
        <v>350.98199999999997</v>
      </c>
      <c r="AP34" s="120">
        <f>PENN!AP$790</f>
        <v>1498.6089999999999</v>
      </c>
      <c r="AQ34" s="120">
        <f>PENN!AQ$790</f>
        <v>348.83</v>
      </c>
      <c r="AR34" s="120">
        <f>PENN!AR$790</f>
        <v>351.81100000000004</v>
      </c>
      <c r="AS34" s="120">
        <f>PENN!AS$790</f>
        <v>347.38200000000001</v>
      </c>
      <c r="AT34" s="120">
        <f>PENN!AT$790</f>
        <v>326.43100000000004</v>
      </c>
      <c r="AU34" s="120">
        <f>PENN!AU$790</f>
        <v>1374.4540000000002</v>
      </c>
      <c r="AV34" s="120">
        <f>PENN!AV$790</f>
        <v>331.42500000000001</v>
      </c>
      <c r="AW34" s="120">
        <f>PENN!AW$790</f>
        <v>333.26099999999997</v>
      </c>
      <c r="AX34" s="120">
        <f>PENN!AX$790</f>
        <v>317.57400000000001</v>
      </c>
      <c r="AY34" s="2898">
        <f>PENN!AY$790</f>
        <v>274.51300000000003</v>
      </c>
      <c r="AZ34" s="2898">
        <f>PENN!AZ$790</f>
        <v>1256.7730000000001</v>
      </c>
      <c r="BA34" s="120">
        <f>PENN!BA$790</f>
        <v>262.60399999999998</v>
      </c>
      <c r="BB34" s="120">
        <f>PENN!BB$790</f>
        <v>285.59399999999999</v>
      </c>
      <c r="BC34" s="120">
        <f>PENN!BC$790</f>
        <v>281.39699999999999</v>
      </c>
      <c r="BD34" s="2898">
        <f>PENN!BD$790</f>
        <v>267.70599999999996</v>
      </c>
      <c r="BE34" s="2898">
        <f>PENN!BE$790</f>
        <v>1097.3009999999999</v>
      </c>
      <c r="BF34" s="120">
        <f>PENN!BF$790</f>
        <v>258.38499999999999</v>
      </c>
      <c r="BG34" s="120">
        <f>PENN!BG$790</f>
        <v>265.24899999999997</v>
      </c>
      <c r="BH34" s="120">
        <f>PENN!BH$790</f>
        <v>262.10000000000002</v>
      </c>
      <c r="BI34" s="2898">
        <f>PENN!BI$790</f>
        <v>255.65600000000001</v>
      </c>
      <c r="BJ34" s="121">
        <f>PENN!BJ$790</f>
        <v>1041.3900000000001</v>
      </c>
      <c r="BK34" s="120">
        <f>PENN!BK$790</f>
        <v>245.88099999999997</v>
      </c>
      <c r="BL34" s="120">
        <f>PENN!BL$790</f>
        <v>254.4</v>
      </c>
      <c r="BM34" s="120">
        <f>PENN!BM$790</f>
        <v>255.3</v>
      </c>
      <c r="BN34" s="2898">
        <f>PENN!BN$790</f>
        <v>246.375</v>
      </c>
      <c r="BO34" s="121">
        <f>PENN!BO$790</f>
        <v>1001.9559999999999</v>
      </c>
      <c r="BP34" s="120">
        <f>PENN!BP$790</f>
        <v>253.72300000000001</v>
      </c>
      <c r="BQ34" s="120">
        <f>PENN!BQ$790</f>
        <v>244.858</v>
      </c>
      <c r="BR34" s="120">
        <f>PENN!BR$790</f>
        <v>258.745</v>
      </c>
      <c r="BS34" s="2898">
        <f>PENN!BS$790</f>
        <v>234.25299999999999</v>
      </c>
      <c r="BT34" s="121">
        <f>PENN!BT$790</f>
        <v>991.57899999999995</v>
      </c>
      <c r="BU34" s="120">
        <f>PENN!BU$790</f>
        <v>215.97499999999997</v>
      </c>
      <c r="BV34" s="120">
        <f>PENN!BV$790</f>
        <v>244.858</v>
      </c>
      <c r="BW34" s="120">
        <f>PENN!BW$790</f>
        <v>261.33244999999999</v>
      </c>
      <c r="BX34" s="2898">
        <f>PENN!BX$790</f>
        <v>236.59553</v>
      </c>
      <c r="BY34" s="121">
        <f>PENN!BY$790</f>
        <v>958.76098000000002</v>
      </c>
      <c r="BZ34" s="121">
        <f>PENN!BZ$790</f>
        <v>968.34858980000001</v>
      </c>
      <c r="CA34" s="121">
        <f>PENN!CA$790</f>
        <v>968.34858980000001</v>
      </c>
      <c r="CB34" s="121">
        <f>PENN!CB$790</f>
        <v>919.93116031</v>
      </c>
      <c r="CC34" s="121">
        <f>PENN!CC$790</f>
        <v>873.9346022945</v>
      </c>
      <c r="CD34" s="121">
        <f>PENN!CD$790</f>
        <v>891.41329434039005</v>
      </c>
      <c r="CE34" s="121">
        <f>PENN!CE$790</f>
        <v>909.24156022719785</v>
      </c>
      <c r="CF34" s="121">
        <f>PENN!CF$790</f>
        <v>927.42639143174188</v>
      </c>
    </row>
    <row r="35" spans="1:84" ht="12" customHeight="1" x14ac:dyDescent="0.25">
      <c r="A35" s="6"/>
      <c r="B35" s="83"/>
      <c r="C35" s="85"/>
      <c r="D35" s="86"/>
      <c r="E35" s="86"/>
      <c r="F35" s="86"/>
      <c r="G35" s="84"/>
      <c r="H35" s="85"/>
      <c r="I35" s="86"/>
      <c r="J35" s="86"/>
      <c r="K35" s="86"/>
      <c r="L35" s="84"/>
      <c r="M35" s="85"/>
      <c r="N35" s="86"/>
      <c r="O35" s="86"/>
      <c r="P35" s="86"/>
      <c r="Q35" s="84"/>
      <c r="R35" s="85"/>
      <c r="S35" s="86"/>
      <c r="T35" s="86"/>
      <c r="U35" s="86"/>
      <c r="V35" s="84"/>
      <c r="W35" s="85"/>
      <c r="X35" s="86"/>
      <c r="Y35" s="86"/>
      <c r="Z35" s="86"/>
      <c r="AA35" s="84"/>
      <c r="AB35" s="85"/>
      <c r="AC35" s="86"/>
      <c r="AD35" s="86"/>
      <c r="AE35" s="86"/>
      <c r="AF35" s="84"/>
      <c r="AG35" s="85"/>
      <c r="AH35" s="86"/>
      <c r="AI35" s="86"/>
      <c r="AJ35" s="86"/>
      <c r="AK35" s="84"/>
      <c r="AL35" s="85"/>
      <c r="AM35" s="86"/>
      <c r="AN35" s="86"/>
      <c r="AO35" s="86"/>
      <c r="AP35" s="84"/>
      <c r="AQ35" s="85"/>
      <c r="AR35" s="86"/>
      <c r="AS35" s="86"/>
      <c r="AT35" s="86"/>
      <c r="AU35" s="84"/>
      <c r="AV35" s="85"/>
      <c r="AW35" s="86"/>
      <c r="AX35" s="86"/>
      <c r="AY35" s="2906"/>
      <c r="AZ35" s="2906"/>
      <c r="BA35" s="86"/>
      <c r="BB35" s="86"/>
      <c r="BC35" s="86"/>
      <c r="BD35" s="2906"/>
      <c r="BE35" s="2906"/>
      <c r="BF35" s="86"/>
      <c r="BG35" s="86"/>
      <c r="BH35" s="86"/>
      <c r="BI35" s="2906"/>
      <c r="BJ35" s="84"/>
      <c r="BK35" s="86"/>
      <c r="BL35" s="86"/>
      <c r="BM35" s="86"/>
      <c r="BN35" s="2906"/>
      <c r="BO35" s="84"/>
      <c r="BP35" s="86"/>
      <c r="BQ35" s="86"/>
      <c r="BR35" s="86"/>
      <c r="BS35" s="2906"/>
      <c r="BT35" s="84"/>
      <c r="BU35" s="86"/>
      <c r="BV35" s="86"/>
      <c r="BW35" s="86"/>
      <c r="BX35" s="2906"/>
      <c r="BY35" s="84"/>
      <c r="BZ35" s="84"/>
      <c r="CA35" s="84"/>
      <c r="CB35" s="84"/>
      <c r="CC35" s="84"/>
      <c r="CD35" s="84"/>
      <c r="CE35" s="84"/>
      <c r="CF35" s="84"/>
    </row>
    <row r="36" spans="1:84" ht="12" customHeight="1" x14ac:dyDescent="0.25">
      <c r="A36" s="6" t="s">
        <v>1058</v>
      </c>
      <c r="B36" s="6"/>
      <c r="C36" s="88"/>
      <c r="D36" s="89"/>
      <c r="E36" s="89"/>
      <c r="F36" s="89"/>
      <c r="G36" s="87"/>
      <c r="H36" s="88"/>
      <c r="I36" s="89"/>
      <c r="J36" s="89"/>
      <c r="K36" s="89"/>
      <c r="L36" s="87"/>
      <c r="M36" s="88"/>
      <c r="N36" s="89"/>
      <c r="O36" s="89"/>
      <c r="P36" s="89"/>
      <c r="Q36" s="87"/>
      <c r="R36" s="88"/>
      <c r="S36" s="89"/>
      <c r="T36" s="89"/>
      <c r="U36" s="89"/>
      <c r="V36" s="87"/>
      <c r="W36" s="88"/>
      <c r="X36" s="89"/>
      <c r="Y36" s="89"/>
      <c r="Z36" s="89"/>
      <c r="AA36" s="87"/>
      <c r="AB36" s="88"/>
      <c r="AC36" s="89"/>
      <c r="AD36" s="89"/>
      <c r="AE36" s="89"/>
      <c r="AF36" s="87"/>
      <c r="AG36" s="88"/>
      <c r="AH36" s="89"/>
      <c r="AI36" s="89"/>
      <c r="AJ36" s="89"/>
      <c r="AK36" s="87"/>
      <c r="AL36" s="88"/>
      <c r="AM36" s="89"/>
      <c r="AN36" s="89"/>
      <c r="AO36" s="89"/>
      <c r="AP36" s="87"/>
      <c r="AQ36" s="88"/>
      <c r="AR36" s="89"/>
      <c r="AS36" s="89"/>
      <c r="AT36" s="89"/>
      <c r="AU36" s="87"/>
      <c r="AV36" s="88"/>
      <c r="AW36" s="89"/>
      <c r="AX36" s="89"/>
      <c r="AY36" s="2907"/>
      <c r="AZ36" s="2907"/>
      <c r="BA36" s="89"/>
      <c r="BB36" s="89"/>
      <c r="BC36" s="89"/>
      <c r="BD36" s="2907"/>
      <c r="BE36" s="2907"/>
      <c r="BF36" s="89"/>
      <c r="BG36" s="89"/>
      <c r="BH36" s="89"/>
      <c r="BI36" s="2907"/>
      <c r="BJ36" s="87"/>
      <c r="BK36" s="89"/>
      <c r="BL36" s="89"/>
      <c r="BM36" s="89"/>
      <c r="BN36" s="2907"/>
      <c r="BO36" s="87"/>
      <c r="BP36" s="89"/>
      <c r="BQ36" s="89"/>
      <c r="BR36" s="89"/>
      <c r="BS36" s="2907"/>
      <c r="BT36" s="87"/>
      <c r="BU36" s="89"/>
      <c r="BV36" s="89"/>
      <c r="BW36" s="89"/>
      <c r="BX36" s="2907"/>
      <c r="BY36" s="87"/>
      <c r="BZ36" s="87"/>
      <c r="CA36" s="87"/>
      <c r="CB36" s="87"/>
      <c r="CC36" s="87"/>
      <c r="CD36" s="87"/>
      <c r="CE36" s="87"/>
      <c r="CF36" s="87"/>
    </row>
    <row r="37" spans="1:84" ht="12" customHeight="1" x14ac:dyDescent="0.25">
      <c r="A37" s="90">
        <v>1</v>
      </c>
      <c r="B37" s="80"/>
      <c r="C37" s="91">
        <f t="shared" ref="C37:F43" si="0">$G37/4</f>
        <v>0.9375</v>
      </c>
      <c r="D37" s="92">
        <f t="shared" si="0"/>
        <v>0.9375</v>
      </c>
      <c r="E37" s="92">
        <f t="shared" si="0"/>
        <v>0.9375</v>
      </c>
      <c r="F37" s="92">
        <f t="shared" si="0"/>
        <v>0.9375</v>
      </c>
      <c r="G37" s="48">
        <f>IF(G$33&gt;0, MIN(G$13,G$33)*G$21,0)</f>
        <v>3.75</v>
      </c>
      <c r="H37" s="93">
        <f>IF((H$33*4)&gt;0, MIN(H$13,H$33*4)*H$21,0)/4</f>
        <v>0.9375</v>
      </c>
      <c r="I37" s="94">
        <f>IF((I$33*4)&gt;0, MIN(I$13,I$33*4)*I$21,0)/4</f>
        <v>0.9375</v>
      </c>
      <c r="J37" s="94">
        <f>IF((J$33*4)&gt;0, MIN(J$13,J$33*4)*J$21,0)/4</f>
        <v>0.9375</v>
      </c>
      <c r="K37" s="94">
        <f>IF((K$33*4)&gt;0, MIN(K$13,K$33*4)*K$21,0)/4</f>
        <v>0.9375</v>
      </c>
      <c r="L37" s="48">
        <f>IF(L$33&gt;0, MIN(L$13,L$33)*L$21,0)</f>
        <v>3.75</v>
      </c>
      <c r="M37" s="80">
        <f t="shared" ref="M37:P43" si="1">$Q37/4</f>
        <v>0.9375</v>
      </c>
      <c r="N37" s="80">
        <f t="shared" si="1"/>
        <v>0.9375</v>
      </c>
      <c r="O37" s="80">
        <f t="shared" si="1"/>
        <v>0.9375</v>
      </c>
      <c r="P37" s="80">
        <f t="shared" si="1"/>
        <v>0.9375</v>
      </c>
      <c r="Q37" s="48">
        <f>IF(Q$33&gt;0, MIN(Q$13,Q$33)*Q$21,0)</f>
        <v>3.75</v>
      </c>
      <c r="R37" s="80">
        <f t="shared" ref="R37:U43" si="2">$V37/4</f>
        <v>0.9375</v>
      </c>
      <c r="S37" s="80">
        <f t="shared" si="2"/>
        <v>0.9375</v>
      </c>
      <c r="T37" s="80">
        <f t="shared" si="2"/>
        <v>0.9375</v>
      </c>
      <c r="U37" s="80">
        <f t="shared" si="2"/>
        <v>0.9375</v>
      </c>
      <c r="V37" s="48">
        <f>IF(V$33&gt;0, MIN(V$13,V$33)*V$21,0)</f>
        <v>3.75</v>
      </c>
      <c r="W37" s="80">
        <f t="shared" ref="W37:Z43" si="3">$AA37/($AA$33/W$33)</f>
        <v>0.98507211592382393</v>
      </c>
      <c r="X37" s="80">
        <f t="shared" si="3"/>
        <v>0.9632691056728202</v>
      </c>
      <c r="Y37" s="80">
        <f t="shared" si="3"/>
        <v>0.95985397366591152</v>
      </c>
      <c r="Z37" s="80">
        <f t="shared" si="3"/>
        <v>0.84180480473744423</v>
      </c>
      <c r="AA37" s="48">
        <f>IF(AA$33&gt;0, MIN(AA$13,AA$33)*AA$21,0)</f>
        <v>3.75</v>
      </c>
      <c r="AB37" s="80">
        <f t="shared" ref="AB37:AE43" si="4">$AF37/4</f>
        <v>0.9375</v>
      </c>
      <c r="AC37" s="80">
        <f t="shared" si="4"/>
        <v>0.9375</v>
      </c>
      <c r="AD37" s="80">
        <f t="shared" si="4"/>
        <v>0.9375</v>
      </c>
      <c r="AE37" s="80">
        <f t="shared" si="4"/>
        <v>0.9375</v>
      </c>
      <c r="AF37" s="48">
        <f>IF(AF$33&gt;0, MIN(AF$13,AF$33)*AF$21,0)</f>
        <v>3.75</v>
      </c>
      <c r="AG37" s="80">
        <f t="shared" ref="AG37:AG43" si="5">$AK37/4</f>
        <v>0.9375</v>
      </c>
      <c r="AH37" s="80">
        <f t="shared" ref="AH37:AJ43" si="6">$AK37/4</f>
        <v>0.9375</v>
      </c>
      <c r="AI37" s="80">
        <f t="shared" si="6"/>
        <v>0.9375</v>
      </c>
      <c r="AJ37" s="80">
        <f t="shared" si="6"/>
        <v>0.9375</v>
      </c>
      <c r="AK37" s="48">
        <f>IF(AK$33&gt;0, MIN(AK$13,AK$33)*AK$21,0)</f>
        <v>3.75</v>
      </c>
      <c r="AL37" s="80">
        <f t="shared" ref="AL37:AL43" si="7">$AP37/4</f>
        <v>0.9375</v>
      </c>
      <c r="AM37" s="80">
        <f t="shared" ref="AM37:AO43" si="8">$AP37/4</f>
        <v>0.9375</v>
      </c>
      <c r="AN37" s="80">
        <f t="shared" si="8"/>
        <v>0.9375</v>
      </c>
      <c r="AO37" s="80">
        <f t="shared" si="8"/>
        <v>0.9375</v>
      </c>
      <c r="AP37" s="48">
        <f>IF(AP$33&gt;0, MIN(AP$13,AP$33)*AP$21,0)</f>
        <v>3.75</v>
      </c>
      <c r="AQ37" s="80">
        <f>$AU37/4</f>
        <v>0.9375</v>
      </c>
      <c r="AR37" s="80">
        <f t="shared" ref="AR37:AT43" si="9">$AU37/4</f>
        <v>0.9375</v>
      </c>
      <c r="AS37" s="80">
        <f t="shared" si="9"/>
        <v>0.9375</v>
      </c>
      <c r="AT37" s="80">
        <f t="shared" si="9"/>
        <v>0.9375</v>
      </c>
      <c r="AU37" s="48">
        <f>IF(AU$33&gt;0, MIN(AU$13,AU$33)*AU$21,0)</f>
        <v>3.75</v>
      </c>
      <c r="AV37" s="80">
        <f>$AZ37/4</f>
        <v>0.9375</v>
      </c>
      <c r="AW37" s="80">
        <f t="shared" ref="AW37:AY43" si="10">$AZ37/4</f>
        <v>0.9375</v>
      </c>
      <c r="AX37" s="80">
        <f t="shared" si="10"/>
        <v>0.9375</v>
      </c>
      <c r="AY37" s="2901">
        <f t="shared" si="10"/>
        <v>0.9375</v>
      </c>
      <c r="AZ37" s="2901">
        <f>IF(AZ$33&gt;0, MIN(AZ$13,AZ$33)*AZ$21,0)</f>
        <v>3.75</v>
      </c>
      <c r="BA37" s="80">
        <f>$BE37/4</f>
        <v>0.9375</v>
      </c>
      <c r="BB37" s="80">
        <f t="shared" ref="BB37:BD43" si="11">$BE37/4</f>
        <v>0.9375</v>
      </c>
      <c r="BC37" s="80">
        <f t="shared" si="11"/>
        <v>0.9375</v>
      </c>
      <c r="BD37" s="2901">
        <f t="shared" si="11"/>
        <v>0.9375</v>
      </c>
      <c r="BE37" s="2901">
        <f>IF(BE$33&gt;0, MIN(BE$13,BE$33)*BE$21,0)</f>
        <v>3.75</v>
      </c>
      <c r="BF37" s="80">
        <f>$BJ37/4</f>
        <v>0.9375</v>
      </c>
      <c r="BG37" s="80">
        <f t="shared" ref="BG37:BI43" si="12">$BJ37/4</f>
        <v>0.9375</v>
      </c>
      <c r="BH37" s="80">
        <f t="shared" si="12"/>
        <v>0.9375</v>
      </c>
      <c r="BI37" s="2901">
        <f t="shared" si="12"/>
        <v>0.9375</v>
      </c>
      <c r="BJ37" s="48">
        <f>IF(BJ$33&gt;0, MIN(BJ$13,BJ$33)*BJ$21,0)</f>
        <v>3.75</v>
      </c>
      <c r="BK37" s="80">
        <f t="shared" ref="BK37:BN43" si="13">$BO37/4</f>
        <v>0.9375</v>
      </c>
      <c r="BL37" s="80">
        <f t="shared" si="13"/>
        <v>0.9375</v>
      </c>
      <c r="BM37" s="80">
        <f t="shared" si="13"/>
        <v>0.9375</v>
      </c>
      <c r="BN37" s="2901">
        <f t="shared" si="13"/>
        <v>0.9375</v>
      </c>
      <c r="BO37" s="48">
        <f>IF(BO$33&gt;0, MIN(BO$13,BO$33)*BO$21,0)</f>
        <v>3.75</v>
      </c>
      <c r="BP37" s="80">
        <f t="shared" ref="BP37:BP43" si="14">$BT37/4</f>
        <v>0.9375</v>
      </c>
      <c r="BQ37" s="80">
        <f t="shared" ref="BQ37:BS43" si="15">$BT37/4</f>
        <v>0.9375</v>
      </c>
      <c r="BR37" s="80">
        <f t="shared" si="15"/>
        <v>0.9375</v>
      </c>
      <c r="BS37" s="80">
        <f t="shared" si="15"/>
        <v>0.9375</v>
      </c>
      <c r="BT37" s="48">
        <f>IF(BT$33&gt;0, MIN(BT$13,BT$33)*BT$21,0)</f>
        <v>3.75</v>
      </c>
      <c r="BU37" s="80">
        <f t="shared" ref="BU37:BX43" si="16">$BY37/4</f>
        <v>0.9375</v>
      </c>
      <c r="BV37" s="80">
        <f t="shared" si="16"/>
        <v>0.9375</v>
      </c>
      <c r="BW37" s="80">
        <f t="shared" si="16"/>
        <v>0.9375</v>
      </c>
      <c r="BX37" s="80">
        <f t="shared" si="16"/>
        <v>0.9375</v>
      </c>
      <c r="BY37" s="48">
        <f t="shared" ref="BY37:CF37" si="17">IF(BY$33&gt;0, MIN(BY$13,BY$33)*BY$21,0)</f>
        <v>3.75</v>
      </c>
      <c r="BZ37" s="48">
        <f t="shared" si="17"/>
        <v>3.75</v>
      </c>
      <c r="CA37" s="48">
        <f t="shared" si="17"/>
        <v>3.75</v>
      </c>
      <c r="CB37" s="48">
        <f t="shared" si="17"/>
        <v>3.75</v>
      </c>
      <c r="CC37" s="48">
        <f t="shared" si="17"/>
        <v>3.75</v>
      </c>
      <c r="CD37" s="48">
        <f t="shared" si="17"/>
        <v>3.75</v>
      </c>
      <c r="CE37" s="48">
        <f t="shared" si="17"/>
        <v>3.75</v>
      </c>
      <c r="CF37" s="48">
        <f t="shared" si="17"/>
        <v>3.75</v>
      </c>
    </row>
    <row r="38" spans="1:84" ht="12" customHeight="1" x14ac:dyDescent="0.25">
      <c r="A38" s="95">
        <v>2</v>
      </c>
      <c r="B38" s="97"/>
      <c r="C38" s="98">
        <f t="shared" si="0"/>
        <v>0.85937500000000011</v>
      </c>
      <c r="D38" s="99">
        <f t="shared" si="0"/>
        <v>0.85937500000000011</v>
      </c>
      <c r="E38" s="99">
        <f t="shared" si="0"/>
        <v>0.85937500000000011</v>
      </c>
      <c r="F38" s="99">
        <f t="shared" si="0"/>
        <v>0.85937500000000011</v>
      </c>
      <c r="G38" s="96">
        <f>IF(G$33&gt;G13,MIN(G14-G13,G$33-G13)*G22,0)</f>
        <v>3.4375000000000004</v>
      </c>
      <c r="H38" s="100">
        <f>(IF(H$33*4&gt;H13,MIN(H14-H13,H$33*4-H13)*H22,0))/4</f>
        <v>0.85937500000000011</v>
      </c>
      <c r="I38" s="101">
        <f>(IF(I$33*4&gt;I13,MIN(I14-I13,I$33*4-I13)*I22,0))/4</f>
        <v>0.85937500000000011</v>
      </c>
      <c r="J38" s="101">
        <f>(IF(J$33*4&gt;J13,MIN(J14-J13,J$33*4-J13)*J22,0))/4</f>
        <v>1.40625</v>
      </c>
      <c r="K38" s="101">
        <f>(IF(K$33*4&gt;K13,MIN(K14-K13,K$33*4-K13)*K22,0))/4</f>
        <v>1.40625</v>
      </c>
      <c r="L38" s="96">
        <f>IF(L$33&gt;L13,MIN(L14-L13,L$33-L13)*L22,0)</f>
        <v>5.625</v>
      </c>
      <c r="M38" s="102">
        <f t="shared" si="1"/>
        <v>1.40625</v>
      </c>
      <c r="N38" s="102">
        <f t="shared" si="1"/>
        <v>1.40625</v>
      </c>
      <c r="O38" s="102">
        <f t="shared" si="1"/>
        <v>1.40625</v>
      </c>
      <c r="P38" s="102">
        <f t="shared" si="1"/>
        <v>1.40625</v>
      </c>
      <c r="Q38" s="96">
        <f>IF(Q$33&gt;Q13,MIN(Q14-Q13,Q$33-Q13)*Q22,0)</f>
        <v>5.625</v>
      </c>
      <c r="R38" s="102">
        <f t="shared" si="2"/>
        <v>1.40625</v>
      </c>
      <c r="S38" s="102">
        <f t="shared" si="2"/>
        <v>1.40625</v>
      </c>
      <c r="T38" s="102">
        <f t="shared" si="2"/>
        <v>1.40625</v>
      </c>
      <c r="U38" s="102">
        <f t="shared" si="2"/>
        <v>1.40625</v>
      </c>
      <c r="V38" s="96">
        <f>IF(V$33&gt;V13,MIN(V14-V13,V$33-V13)*V22,0)</f>
        <v>5.625</v>
      </c>
      <c r="W38" s="102">
        <f t="shared" si="3"/>
        <v>1.4776081738857358</v>
      </c>
      <c r="X38" s="102">
        <f t="shared" si="3"/>
        <v>1.4449036585092303</v>
      </c>
      <c r="Y38" s="102">
        <f t="shared" si="3"/>
        <v>1.4397809604988672</v>
      </c>
      <c r="Z38" s="102">
        <f t="shared" si="3"/>
        <v>1.2627072071061662</v>
      </c>
      <c r="AA38" s="96">
        <f>IF(AA$33&gt;AA13,MIN(AA14-AA13,AA$33-AA13)*AA22,0)</f>
        <v>5.625</v>
      </c>
      <c r="AB38" s="102">
        <f t="shared" si="4"/>
        <v>1.40625</v>
      </c>
      <c r="AC38" s="102">
        <f t="shared" si="4"/>
        <v>1.40625</v>
      </c>
      <c r="AD38" s="102">
        <f t="shared" si="4"/>
        <v>1.40625</v>
      </c>
      <c r="AE38" s="102">
        <f t="shared" si="4"/>
        <v>1.40625</v>
      </c>
      <c r="AF38" s="96">
        <f>IF(AF$33&gt;AF13,MIN(AF14-AF13,AF$33-AF13)*AF22,0)</f>
        <v>5.625</v>
      </c>
      <c r="AG38" s="102">
        <f t="shared" si="5"/>
        <v>1.40625</v>
      </c>
      <c r="AH38" s="102">
        <f t="shared" si="6"/>
        <v>1.40625</v>
      </c>
      <c r="AI38" s="102">
        <f t="shared" si="6"/>
        <v>1.40625</v>
      </c>
      <c r="AJ38" s="102">
        <f t="shared" si="6"/>
        <v>1.40625</v>
      </c>
      <c r="AK38" s="96">
        <f>IF(AK$33&gt;AK13,MIN(AK14-AK13,AK$33-AK13)*AK22,0)</f>
        <v>5.625</v>
      </c>
      <c r="AL38" s="102">
        <f t="shared" si="7"/>
        <v>1.40625</v>
      </c>
      <c r="AM38" s="102">
        <f t="shared" si="8"/>
        <v>1.40625</v>
      </c>
      <c r="AN38" s="102">
        <f t="shared" si="8"/>
        <v>1.40625</v>
      </c>
      <c r="AO38" s="102">
        <f t="shared" si="8"/>
        <v>1.40625</v>
      </c>
      <c r="AP38" s="96">
        <f>IF(AP$33&gt;AP13,MIN(AP14-AP13,AP$33-AP13)*AP22,0)</f>
        <v>5.625</v>
      </c>
      <c r="AQ38" s="102">
        <f t="shared" ref="AQ38:AQ43" si="18">$AU38/4</f>
        <v>1.40625</v>
      </c>
      <c r="AR38" s="102">
        <f t="shared" si="9"/>
        <v>1.40625</v>
      </c>
      <c r="AS38" s="102">
        <f t="shared" si="9"/>
        <v>1.40625</v>
      </c>
      <c r="AT38" s="102">
        <f t="shared" si="9"/>
        <v>1.40625</v>
      </c>
      <c r="AU38" s="96">
        <f>IF(AU$33&gt;AU13,MIN(AU14-AU13,AU$33-AU13)*AU22,0)</f>
        <v>5.625</v>
      </c>
      <c r="AV38" s="102">
        <f t="shared" ref="AV38:AV43" si="19">$AZ38/4</f>
        <v>1.40625</v>
      </c>
      <c r="AW38" s="102">
        <f t="shared" si="10"/>
        <v>1.40625</v>
      </c>
      <c r="AX38" s="102">
        <f t="shared" si="10"/>
        <v>1.40625</v>
      </c>
      <c r="AY38" s="2908">
        <f t="shared" si="10"/>
        <v>1.40625</v>
      </c>
      <c r="AZ38" s="2902">
        <f>IF(AZ$33&gt;AZ13,MIN(AZ14-AZ13,AZ$33-AZ13)*AZ22,0)</f>
        <v>5.625</v>
      </c>
      <c r="BA38" s="102">
        <f t="shared" ref="BA38:BA43" si="20">$BE38/4</f>
        <v>1.40625</v>
      </c>
      <c r="BB38" s="102">
        <f t="shared" si="11"/>
        <v>1.40625</v>
      </c>
      <c r="BC38" s="102">
        <f t="shared" si="11"/>
        <v>1.40625</v>
      </c>
      <c r="BD38" s="2908">
        <f t="shared" si="11"/>
        <v>1.40625</v>
      </c>
      <c r="BE38" s="2902">
        <f>IF(BE$33&gt;BE13,MIN(BE14-BE13,BE$33-BE13)*BE22,0)</f>
        <v>5.625</v>
      </c>
      <c r="BF38" s="102">
        <f t="shared" ref="BF38:BF43" si="21">$BJ38/4</f>
        <v>1.40625</v>
      </c>
      <c r="BG38" s="102">
        <f t="shared" si="12"/>
        <v>1.40625</v>
      </c>
      <c r="BH38" s="102">
        <f t="shared" si="12"/>
        <v>1.40625</v>
      </c>
      <c r="BI38" s="2908">
        <f t="shared" si="12"/>
        <v>1.40625</v>
      </c>
      <c r="BJ38" s="96">
        <f>IF(BJ$33&gt;BJ13,MIN(BJ14-BJ13,BJ$33-BJ13)*BJ22,0)</f>
        <v>5.625</v>
      </c>
      <c r="BK38" s="102">
        <f t="shared" si="13"/>
        <v>1.40625</v>
      </c>
      <c r="BL38" s="102">
        <f t="shared" si="13"/>
        <v>1.40625</v>
      </c>
      <c r="BM38" s="102">
        <f t="shared" si="13"/>
        <v>1.40625</v>
      </c>
      <c r="BN38" s="2908">
        <f t="shared" si="13"/>
        <v>1.40625</v>
      </c>
      <c r="BO38" s="96">
        <f>IF(BO$33&gt;BO13,MIN(BO14-BO13,BO$33-BO13)*BO22,0)</f>
        <v>5.625</v>
      </c>
      <c r="BP38" s="102">
        <f t="shared" si="14"/>
        <v>1.40625</v>
      </c>
      <c r="BQ38" s="102">
        <f t="shared" si="15"/>
        <v>1.40625</v>
      </c>
      <c r="BR38" s="102">
        <f t="shared" si="15"/>
        <v>1.40625</v>
      </c>
      <c r="BS38" s="102">
        <f t="shared" si="15"/>
        <v>1.40625</v>
      </c>
      <c r="BT38" s="96">
        <f t="shared" ref="BT38:CA41" si="22">IF(BT$33&gt;BT13,MIN(BT14-BT13,BT$33-BT13)*BT22,0)</f>
        <v>5.625</v>
      </c>
      <c r="BU38" s="102">
        <f t="shared" si="16"/>
        <v>1.40625</v>
      </c>
      <c r="BV38" s="102">
        <f t="shared" si="16"/>
        <v>1.40625</v>
      </c>
      <c r="BW38" s="102">
        <f t="shared" si="16"/>
        <v>1.40625</v>
      </c>
      <c r="BX38" s="102">
        <f t="shared" si="16"/>
        <v>1.40625</v>
      </c>
      <c r="BY38" s="96">
        <f t="shared" si="22"/>
        <v>5.625</v>
      </c>
      <c r="BZ38" s="96">
        <f t="shared" si="22"/>
        <v>5.625</v>
      </c>
      <c r="CA38" s="96">
        <f t="shared" si="22"/>
        <v>5.625</v>
      </c>
      <c r="CB38" s="96">
        <f t="shared" ref="CB38:CF41" si="23">IF(CB$33&gt;CB13,MIN(CB14-CB13,CB$33-CB13)*CB22,0)</f>
        <v>5.625</v>
      </c>
      <c r="CC38" s="96">
        <f t="shared" si="23"/>
        <v>5.625</v>
      </c>
      <c r="CD38" s="96">
        <f t="shared" si="23"/>
        <v>5.625</v>
      </c>
      <c r="CE38" s="96">
        <f t="shared" si="23"/>
        <v>5.625</v>
      </c>
      <c r="CF38" s="96">
        <f t="shared" si="23"/>
        <v>5.625</v>
      </c>
    </row>
    <row r="39" spans="1:84" ht="12" customHeight="1" x14ac:dyDescent="0.25">
      <c r="A39" s="90">
        <v>3</v>
      </c>
      <c r="B39" s="97"/>
      <c r="C39" s="98">
        <f t="shared" si="0"/>
        <v>1.015625</v>
      </c>
      <c r="D39" s="99">
        <f t="shared" si="0"/>
        <v>1.015625</v>
      </c>
      <c r="E39" s="99">
        <f t="shared" si="0"/>
        <v>1.015625</v>
      </c>
      <c r="F39" s="99">
        <f t="shared" si="0"/>
        <v>1.015625</v>
      </c>
      <c r="G39" s="96">
        <f>IF(G$33&gt;G14,MIN(G15-G14,G$33-G14)*G23,0)</f>
        <v>4.0625</v>
      </c>
      <c r="H39" s="101">
        <f>IF(H$33*4&gt;H14,MIN(H15-H14,H$33*4-H14)*H23,0)/4</f>
        <v>1.015625</v>
      </c>
      <c r="I39" s="101">
        <f>IF(I$33*4&gt;I14,MIN(I15-I14,I$33*4-I14)*I23,0)/4</f>
        <v>1.015625</v>
      </c>
      <c r="J39" s="101">
        <f>IF(J$33*4&gt;J14,MIN(J15-J14,J$33*4-J14)*J23,0)/4</f>
        <v>1.7187500000000002</v>
      </c>
      <c r="K39" s="101">
        <f>IF(K$33*4&gt;K14,MIN(K15-K14,K$33*4-K14)*K23,0)/4</f>
        <v>1.7187500000000002</v>
      </c>
      <c r="L39" s="96">
        <f>IF(L$33&gt;L14,MIN(L15-L14,L$33-L14)*L23,0)</f>
        <v>6.8750000000000009</v>
      </c>
      <c r="M39" s="102">
        <f t="shared" si="1"/>
        <v>1.7187500000000002</v>
      </c>
      <c r="N39" s="102">
        <f t="shared" si="1"/>
        <v>1.7187500000000002</v>
      </c>
      <c r="O39" s="102">
        <f t="shared" si="1"/>
        <v>1.7187500000000002</v>
      </c>
      <c r="P39" s="102">
        <f t="shared" si="1"/>
        <v>1.7187500000000002</v>
      </c>
      <c r="Q39" s="96">
        <f>IF(Q$33&gt;Q14,MIN(Q15-Q14,Q$33-Q14)*Q23,0)</f>
        <v>6.8750000000000009</v>
      </c>
      <c r="R39" s="102">
        <f t="shared" si="2"/>
        <v>1.7187500000000002</v>
      </c>
      <c r="S39" s="102">
        <f t="shared" si="2"/>
        <v>1.7187500000000002</v>
      </c>
      <c r="T39" s="102">
        <f t="shared" si="2"/>
        <v>1.7187500000000002</v>
      </c>
      <c r="U39" s="102">
        <f t="shared" si="2"/>
        <v>1.7187500000000002</v>
      </c>
      <c r="V39" s="96">
        <f>IF(V$33&gt;V14,MIN(V15-V14,V$33-V14)*V23,0)</f>
        <v>6.8750000000000009</v>
      </c>
      <c r="W39" s="102">
        <f t="shared" si="3"/>
        <v>1.8059655458603441</v>
      </c>
      <c r="X39" s="102">
        <f t="shared" si="3"/>
        <v>1.7659933604001705</v>
      </c>
      <c r="Y39" s="102">
        <f t="shared" si="3"/>
        <v>1.7597322850541712</v>
      </c>
      <c r="Z39" s="102">
        <f t="shared" si="3"/>
        <v>1.5433088086853146</v>
      </c>
      <c r="AA39" s="96">
        <f>IF(AA$33&gt;AA14,MIN(AA15-AA14,AA$33-AA14)*AA23,0)</f>
        <v>6.8750000000000009</v>
      </c>
      <c r="AB39" s="102">
        <f t="shared" si="4"/>
        <v>1.7187500000000002</v>
      </c>
      <c r="AC39" s="102">
        <f t="shared" si="4"/>
        <v>1.7187500000000002</v>
      </c>
      <c r="AD39" s="102">
        <f t="shared" si="4"/>
        <v>1.7187500000000002</v>
      </c>
      <c r="AE39" s="102">
        <f t="shared" si="4"/>
        <v>1.7187500000000002</v>
      </c>
      <c r="AF39" s="96">
        <f>IF(AF$33&gt;AF14,MIN(AF15-AF14,AF$33-AF14)*AF23,0)</f>
        <v>6.8750000000000009</v>
      </c>
      <c r="AG39" s="102">
        <f t="shared" si="5"/>
        <v>1.7187500000000002</v>
      </c>
      <c r="AH39" s="102">
        <f t="shared" si="6"/>
        <v>1.7187500000000002</v>
      </c>
      <c r="AI39" s="102">
        <f t="shared" si="6"/>
        <v>1.7187500000000002</v>
      </c>
      <c r="AJ39" s="102">
        <f t="shared" si="6"/>
        <v>1.7187500000000002</v>
      </c>
      <c r="AK39" s="96">
        <f>IF(AK$33&gt;AK14,MIN(AK15-AK14,AK$33-AK14)*AK23,0)</f>
        <v>6.8750000000000009</v>
      </c>
      <c r="AL39" s="102">
        <f t="shared" si="7"/>
        <v>1.7187500000000002</v>
      </c>
      <c r="AM39" s="102">
        <f t="shared" si="8"/>
        <v>1.7187500000000002</v>
      </c>
      <c r="AN39" s="102">
        <f t="shared" si="8"/>
        <v>1.7187500000000002</v>
      </c>
      <c r="AO39" s="102">
        <f t="shared" si="8"/>
        <v>1.7187500000000002</v>
      </c>
      <c r="AP39" s="96">
        <f>IF(AP$33&gt;AP14,MIN(AP15-AP14,AP$33-AP14)*AP23,0)</f>
        <v>6.8750000000000009</v>
      </c>
      <c r="AQ39" s="102">
        <f t="shared" si="18"/>
        <v>1.7187500000000002</v>
      </c>
      <c r="AR39" s="102">
        <f t="shared" si="9"/>
        <v>1.7187500000000002</v>
      </c>
      <c r="AS39" s="102">
        <f t="shared" si="9"/>
        <v>1.7187500000000002</v>
      </c>
      <c r="AT39" s="102">
        <f t="shared" si="9"/>
        <v>1.7187500000000002</v>
      </c>
      <c r="AU39" s="96">
        <f>IF(AU$33&gt;AU14,MIN(AU15-AU14,AU$33-AU14)*AU23,0)</f>
        <v>6.8750000000000009</v>
      </c>
      <c r="AV39" s="102">
        <f t="shared" si="19"/>
        <v>1.7187500000000002</v>
      </c>
      <c r="AW39" s="102">
        <f t="shared" si="10"/>
        <v>1.7187500000000002</v>
      </c>
      <c r="AX39" s="102">
        <f t="shared" si="10"/>
        <v>1.7187500000000002</v>
      </c>
      <c r="AY39" s="102">
        <f t="shared" si="10"/>
        <v>1.7187500000000002</v>
      </c>
      <c r="AZ39" s="96">
        <f>IF(AZ$33&gt;AZ14,MIN(AZ15-AZ14,AZ$33-AZ14)*AZ23,0)</f>
        <v>6.8750000000000009</v>
      </c>
      <c r="BA39" s="102">
        <f t="shared" si="20"/>
        <v>1.7187500000000002</v>
      </c>
      <c r="BB39" s="102">
        <f t="shared" si="11"/>
        <v>1.7187500000000002</v>
      </c>
      <c r="BC39" s="102">
        <f t="shared" si="11"/>
        <v>1.7187500000000002</v>
      </c>
      <c r="BD39" s="102">
        <f t="shared" si="11"/>
        <v>1.7187500000000002</v>
      </c>
      <c r="BE39" s="96">
        <f>IF(BE$33&gt;BE14,MIN(BE15-BE14,BE$33-BE14)*BE23,0)</f>
        <v>6.8750000000000009</v>
      </c>
      <c r="BF39" s="102">
        <f t="shared" si="21"/>
        <v>1.7187500000000002</v>
      </c>
      <c r="BG39" s="102">
        <f t="shared" si="12"/>
        <v>1.7187500000000002</v>
      </c>
      <c r="BH39" s="102">
        <f t="shared" si="12"/>
        <v>1.7187500000000002</v>
      </c>
      <c r="BI39" s="2908">
        <f t="shared" si="12"/>
        <v>1.7187500000000002</v>
      </c>
      <c r="BJ39" s="2902">
        <f>IF(BJ$33&gt;BJ14,MIN(BJ15-BJ14,BJ$33-BJ14)*BJ23,0)</f>
        <v>6.8750000000000009</v>
      </c>
      <c r="BK39" s="102">
        <f t="shared" si="13"/>
        <v>1.7187500000000002</v>
      </c>
      <c r="BL39" s="102">
        <f t="shared" si="13"/>
        <v>1.7187500000000002</v>
      </c>
      <c r="BM39" s="102">
        <f t="shared" si="13"/>
        <v>1.7187500000000002</v>
      </c>
      <c r="BN39" s="2908">
        <f t="shared" si="13"/>
        <v>1.7187500000000002</v>
      </c>
      <c r="BO39" s="2902">
        <f>IF(BO$33&gt;BO14,MIN(BO15-BO14,BO$33-BO14)*BO23,0)</f>
        <v>6.8750000000000009</v>
      </c>
      <c r="BP39" s="102">
        <f t="shared" si="14"/>
        <v>1.7187500000000002</v>
      </c>
      <c r="BQ39" s="102">
        <f t="shared" si="15"/>
        <v>1.7187500000000002</v>
      </c>
      <c r="BR39" s="102">
        <f t="shared" si="15"/>
        <v>1.7187500000000002</v>
      </c>
      <c r="BS39" s="102">
        <f t="shared" si="15"/>
        <v>1.7187500000000002</v>
      </c>
      <c r="BT39" s="96">
        <f t="shared" si="22"/>
        <v>6.8750000000000009</v>
      </c>
      <c r="BU39" s="102">
        <f t="shared" si="16"/>
        <v>1.7187500000000002</v>
      </c>
      <c r="BV39" s="102">
        <f t="shared" si="16"/>
        <v>1.7187500000000002</v>
      </c>
      <c r="BW39" s="102">
        <f t="shared" si="16"/>
        <v>1.7187500000000002</v>
      </c>
      <c r="BX39" s="102">
        <f t="shared" si="16"/>
        <v>1.7187500000000002</v>
      </c>
      <c r="BY39" s="96">
        <f t="shared" si="22"/>
        <v>6.8750000000000009</v>
      </c>
      <c r="BZ39" s="96">
        <f t="shared" si="22"/>
        <v>6.8750000000000009</v>
      </c>
      <c r="CA39" s="96">
        <f t="shared" si="22"/>
        <v>6.8750000000000009</v>
      </c>
      <c r="CB39" s="96">
        <f t="shared" si="23"/>
        <v>6.8750000000000009</v>
      </c>
      <c r="CC39" s="96">
        <f t="shared" si="23"/>
        <v>6.8750000000000009</v>
      </c>
      <c r="CD39" s="96">
        <f t="shared" si="23"/>
        <v>6.8750000000000009</v>
      </c>
      <c r="CE39" s="96">
        <f t="shared" si="23"/>
        <v>6.8750000000000009</v>
      </c>
      <c r="CF39" s="96">
        <f t="shared" si="23"/>
        <v>6.8750000000000009</v>
      </c>
    </row>
    <row r="40" spans="1:84" ht="12" customHeight="1" x14ac:dyDescent="0.25">
      <c r="A40" s="95">
        <v>4</v>
      </c>
      <c r="B40" s="97"/>
      <c r="C40" s="98">
        <f t="shared" si="0"/>
        <v>2.34375</v>
      </c>
      <c r="D40" s="99">
        <f t="shared" si="0"/>
        <v>2.34375</v>
      </c>
      <c r="E40" s="99">
        <f t="shared" si="0"/>
        <v>2.34375</v>
      </c>
      <c r="F40" s="99">
        <f t="shared" si="0"/>
        <v>2.34375</v>
      </c>
      <c r="G40" s="96">
        <f>IF(G$33&gt;G15,MIN(G16-G15,G$33-G15)*G24,0)</f>
        <v>9.375</v>
      </c>
      <c r="H40" s="100">
        <f>IF(H$33*4&gt;H15,MIN(I16-I15,H$33*4-I15)*H24,0)/4</f>
        <v>2.34375</v>
      </c>
      <c r="I40" s="101">
        <f>IF(I$33*4&gt;I15,MIN(J16-J15,I$33*4-J15)*I24,0)/4</f>
        <v>2.34375</v>
      </c>
      <c r="J40" s="101">
        <f>IF(J$33*4&gt;J15,MIN(K16-K15,J$33*4-K15)*J24,0)/4</f>
        <v>2.03125</v>
      </c>
      <c r="K40" s="101">
        <f>IF(K$33*4&gt;K15,MIN(L16-L15,K$33*4-L15)*K24,0)/4</f>
        <v>2.03125</v>
      </c>
      <c r="L40" s="96">
        <f>IF(L$33&gt;L15,MIN(L16-L15,L$33-L15)*L24,0)</f>
        <v>8.125</v>
      </c>
      <c r="M40" s="102">
        <f t="shared" si="1"/>
        <v>2.03125</v>
      </c>
      <c r="N40" s="102">
        <f t="shared" si="1"/>
        <v>2.03125</v>
      </c>
      <c r="O40" s="102">
        <f t="shared" si="1"/>
        <v>2.03125</v>
      </c>
      <c r="P40" s="102">
        <f t="shared" si="1"/>
        <v>2.03125</v>
      </c>
      <c r="Q40" s="96">
        <f>IF(Q$33&gt;Q15,MIN(Q16-Q15,Q$33-Q15)*Q24,0)</f>
        <v>8.125</v>
      </c>
      <c r="R40" s="102">
        <f t="shared" si="2"/>
        <v>2.03125</v>
      </c>
      <c r="S40" s="102">
        <f t="shared" si="2"/>
        <v>2.03125</v>
      </c>
      <c r="T40" s="102">
        <f t="shared" si="2"/>
        <v>2.03125</v>
      </c>
      <c r="U40" s="102">
        <f t="shared" si="2"/>
        <v>2.03125</v>
      </c>
      <c r="V40" s="96">
        <f>IF(V$33&gt;V15,MIN(V16-V15,V$33-V15)*V24,0)</f>
        <v>8.125</v>
      </c>
      <c r="W40" s="102">
        <f t="shared" si="3"/>
        <v>2.1343229178349516</v>
      </c>
      <c r="X40" s="102">
        <f t="shared" si="3"/>
        <v>2.0870830622911103</v>
      </c>
      <c r="Y40" s="102">
        <f t="shared" si="3"/>
        <v>2.0796836096094751</v>
      </c>
      <c r="Z40" s="102">
        <f t="shared" si="3"/>
        <v>1.8239104102644625</v>
      </c>
      <c r="AA40" s="96">
        <f>IF(AA$33&gt;AA15,MIN(AA16-AA15,AA$33-AA15)*AA24,0)</f>
        <v>8.125</v>
      </c>
      <c r="AB40" s="102">
        <f t="shared" si="4"/>
        <v>2.03125</v>
      </c>
      <c r="AC40" s="102">
        <f t="shared" si="4"/>
        <v>2.03125</v>
      </c>
      <c r="AD40" s="102">
        <f t="shared" si="4"/>
        <v>2.03125</v>
      </c>
      <c r="AE40" s="102">
        <f t="shared" si="4"/>
        <v>2.03125</v>
      </c>
      <c r="AF40" s="96">
        <f>IF(AF$33&gt;AF15,MIN(AF16-AF15,AF$33-AF15)*AF24,0)</f>
        <v>8.125</v>
      </c>
      <c r="AG40" s="102">
        <f t="shared" si="5"/>
        <v>2.03125</v>
      </c>
      <c r="AH40" s="102">
        <f t="shared" si="6"/>
        <v>2.03125</v>
      </c>
      <c r="AI40" s="102">
        <f t="shared" si="6"/>
        <v>2.03125</v>
      </c>
      <c r="AJ40" s="102">
        <f t="shared" si="6"/>
        <v>2.03125</v>
      </c>
      <c r="AK40" s="96">
        <f>IF(AK$33&gt;AK15,MIN(AK16-AK15,AK$33-AK15)*AK24,0)</f>
        <v>8.125</v>
      </c>
      <c r="AL40" s="102">
        <f t="shared" si="7"/>
        <v>2.03125</v>
      </c>
      <c r="AM40" s="102">
        <f t="shared" si="8"/>
        <v>2.03125</v>
      </c>
      <c r="AN40" s="102">
        <f t="shared" si="8"/>
        <v>2.03125</v>
      </c>
      <c r="AO40" s="102">
        <f t="shared" si="8"/>
        <v>2.03125</v>
      </c>
      <c r="AP40" s="96">
        <f>IF(AP$33&gt;AP15,MIN(AP16-AP15,AP$33-AP15)*AP24,0)</f>
        <v>8.125</v>
      </c>
      <c r="AQ40" s="102">
        <f t="shared" si="18"/>
        <v>2.03125</v>
      </c>
      <c r="AR40" s="102">
        <f t="shared" si="9"/>
        <v>2.03125</v>
      </c>
      <c r="AS40" s="102">
        <f t="shared" si="9"/>
        <v>2.03125</v>
      </c>
      <c r="AT40" s="102">
        <f t="shared" si="9"/>
        <v>2.03125</v>
      </c>
      <c r="AU40" s="96">
        <f>IF(AU$33&gt;AU15,MIN(AU16-AU15,AU$33-AU15)*AU24,0)</f>
        <v>8.125</v>
      </c>
      <c r="AV40" s="102">
        <f t="shared" si="19"/>
        <v>2.03125</v>
      </c>
      <c r="AW40" s="102">
        <f t="shared" si="10"/>
        <v>2.03125</v>
      </c>
      <c r="AX40" s="102">
        <f t="shared" si="10"/>
        <v>2.03125</v>
      </c>
      <c r="AY40" s="102">
        <f t="shared" si="10"/>
        <v>2.03125</v>
      </c>
      <c r="AZ40" s="96">
        <f>IF(AZ$33&gt;AZ15,MIN(AZ16-AZ15,AZ$33-AZ15)*AZ24,0)</f>
        <v>8.125</v>
      </c>
      <c r="BA40" s="102">
        <f t="shared" si="20"/>
        <v>2.03125</v>
      </c>
      <c r="BB40" s="102">
        <f t="shared" si="11"/>
        <v>2.03125</v>
      </c>
      <c r="BC40" s="102">
        <f t="shared" si="11"/>
        <v>2.03125</v>
      </c>
      <c r="BD40" s="102">
        <f t="shared" si="11"/>
        <v>2.03125</v>
      </c>
      <c r="BE40" s="96">
        <f>IF(BE$33&gt;BE15,MIN(BE16-BE15,BE$33-BE15)*BE24,0)</f>
        <v>8.125</v>
      </c>
      <c r="BF40" s="102">
        <f t="shared" si="21"/>
        <v>2.03125</v>
      </c>
      <c r="BG40" s="102">
        <f t="shared" si="12"/>
        <v>2.03125</v>
      </c>
      <c r="BH40" s="102">
        <f t="shared" si="12"/>
        <v>2.03125</v>
      </c>
      <c r="BI40" s="102">
        <f t="shared" si="12"/>
        <v>2.03125</v>
      </c>
      <c r="BJ40" s="96">
        <f>IF(BJ$33&gt;BJ15,MIN(BJ16-BJ15,BJ$33-BJ15)*BJ24,0)</f>
        <v>8.125</v>
      </c>
      <c r="BK40" s="102">
        <f t="shared" si="13"/>
        <v>2.03125</v>
      </c>
      <c r="BL40" s="102">
        <f t="shared" si="13"/>
        <v>2.03125</v>
      </c>
      <c r="BM40" s="102">
        <f t="shared" si="13"/>
        <v>2.03125</v>
      </c>
      <c r="BN40" s="102">
        <f t="shared" si="13"/>
        <v>2.03125</v>
      </c>
      <c r="BO40" s="96">
        <f>IF(BO$33&gt;BO15,MIN(BO16-BO15,BO$33-BO15)*BO24,0)</f>
        <v>8.125</v>
      </c>
      <c r="BP40" s="102">
        <f t="shared" si="14"/>
        <v>2.03125</v>
      </c>
      <c r="BQ40" s="102">
        <f t="shared" si="15"/>
        <v>2.03125</v>
      </c>
      <c r="BR40" s="102">
        <f t="shared" si="15"/>
        <v>2.03125</v>
      </c>
      <c r="BS40" s="102">
        <f t="shared" si="15"/>
        <v>2.03125</v>
      </c>
      <c r="BT40" s="96">
        <f t="shared" si="22"/>
        <v>8.125</v>
      </c>
      <c r="BU40" s="102">
        <f t="shared" si="16"/>
        <v>2.03125</v>
      </c>
      <c r="BV40" s="102">
        <f t="shared" si="16"/>
        <v>2.03125</v>
      </c>
      <c r="BW40" s="102">
        <f t="shared" si="16"/>
        <v>2.03125</v>
      </c>
      <c r="BX40" s="102">
        <f t="shared" si="16"/>
        <v>2.03125</v>
      </c>
      <c r="BY40" s="96">
        <f t="shared" si="22"/>
        <v>8.125</v>
      </c>
      <c r="BZ40" s="96">
        <f t="shared" si="22"/>
        <v>8.125</v>
      </c>
      <c r="CA40" s="96">
        <f t="shared" si="22"/>
        <v>8.125</v>
      </c>
      <c r="CB40" s="96">
        <f t="shared" si="23"/>
        <v>8.125</v>
      </c>
      <c r="CC40" s="96">
        <f t="shared" si="23"/>
        <v>8.125</v>
      </c>
      <c r="CD40" s="96">
        <f t="shared" si="23"/>
        <v>8.125</v>
      </c>
      <c r="CE40" s="96">
        <f t="shared" si="23"/>
        <v>8.125</v>
      </c>
      <c r="CF40" s="96">
        <f t="shared" si="23"/>
        <v>8.125</v>
      </c>
    </row>
    <row r="41" spans="1:84" ht="12" customHeight="1" x14ac:dyDescent="0.25">
      <c r="A41" s="90">
        <v>5</v>
      </c>
      <c r="B41" s="97"/>
      <c r="C41" s="98">
        <f t="shared" si="0"/>
        <v>2.8125</v>
      </c>
      <c r="D41" s="99">
        <f t="shared" si="0"/>
        <v>2.8125</v>
      </c>
      <c r="E41" s="99">
        <f t="shared" si="0"/>
        <v>2.8125</v>
      </c>
      <c r="F41" s="99">
        <f t="shared" si="0"/>
        <v>2.8125</v>
      </c>
      <c r="G41" s="96">
        <f>IF(G$33&gt;G16,MIN(G17-G16,G$33-G16)*G25,0)</f>
        <v>11.25</v>
      </c>
      <c r="H41" s="100">
        <f t="shared" ref="H41:K42" si="24">IF(H$33*4&gt;H16,MIN(H17-H16,H$33*4-H16)*H25,0)/4</f>
        <v>2.8125</v>
      </c>
      <c r="I41" s="101">
        <f t="shared" si="24"/>
        <v>2.8125</v>
      </c>
      <c r="J41" s="101">
        <f t="shared" si="24"/>
        <v>4.6875</v>
      </c>
      <c r="K41" s="101">
        <f t="shared" si="24"/>
        <v>4.6875</v>
      </c>
      <c r="L41" s="96">
        <f>IF(L$33&gt;L16,MIN(L17-L16,L$33-L16)*L25,0)</f>
        <v>18.75</v>
      </c>
      <c r="M41" s="102">
        <f t="shared" si="1"/>
        <v>4.6875</v>
      </c>
      <c r="N41" s="102">
        <f t="shared" si="1"/>
        <v>4.6875</v>
      </c>
      <c r="O41" s="102">
        <f t="shared" si="1"/>
        <v>4.6875</v>
      </c>
      <c r="P41" s="102">
        <f t="shared" si="1"/>
        <v>4.6875</v>
      </c>
      <c r="Q41" s="96">
        <f>IF(Q$33&gt;Q16,MIN(Q17-Q16,Q$33-Q16)*Q25,0)</f>
        <v>18.75</v>
      </c>
      <c r="R41" s="102">
        <f t="shared" si="2"/>
        <v>4.6875</v>
      </c>
      <c r="S41" s="102">
        <f t="shared" si="2"/>
        <v>4.6875</v>
      </c>
      <c r="T41" s="102">
        <f t="shared" si="2"/>
        <v>4.6875</v>
      </c>
      <c r="U41" s="102">
        <f t="shared" si="2"/>
        <v>4.6875</v>
      </c>
      <c r="V41" s="96">
        <f>IF(V$33&gt;V16,MIN(V17-V16,V$33-V16)*V25,0)</f>
        <v>18.75</v>
      </c>
      <c r="W41" s="102">
        <f t="shared" si="3"/>
        <v>4.9253605796191193</v>
      </c>
      <c r="X41" s="102">
        <f t="shared" si="3"/>
        <v>4.816345528364101</v>
      </c>
      <c r="Y41" s="102">
        <f t="shared" si="3"/>
        <v>4.7992698683295574</v>
      </c>
      <c r="Z41" s="102">
        <f t="shared" si="3"/>
        <v>4.2090240236872214</v>
      </c>
      <c r="AA41" s="96">
        <f>IF(AA$33&gt;AA16,MIN(AA17-AA16,AA$33-AA16)*AA25,0)</f>
        <v>18.75</v>
      </c>
      <c r="AB41" s="102">
        <f t="shared" si="4"/>
        <v>4.6875</v>
      </c>
      <c r="AC41" s="102">
        <f t="shared" si="4"/>
        <v>4.6875</v>
      </c>
      <c r="AD41" s="102">
        <f t="shared" si="4"/>
        <v>4.6875</v>
      </c>
      <c r="AE41" s="102">
        <f t="shared" si="4"/>
        <v>4.6875</v>
      </c>
      <c r="AF41" s="96">
        <f>IF(AF$33&gt;AF16,MIN(AF17-AF16,AF$33-AF16)*AF25,0)</f>
        <v>18.75</v>
      </c>
      <c r="AG41" s="102">
        <f t="shared" si="5"/>
        <v>4.6875</v>
      </c>
      <c r="AH41" s="102">
        <f t="shared" si="6"/>
        <v>4.6875</v>
      </c>
      <c r="AI41" s="102">
        <f t="shared" si="6"/>
        <v>4.6875</v>
      </c>
      <c r="AJ41" s="102">
        <f t="shared" si="6"/>
        <v>4.6875</v>
      </c>
      <c r="AK41" s="96">
        <f>IF(AK$33&gt;AK16,MIN(AK17-AK16,AK$33-AK16)*AK25,0)</f>
        <v>18.75</v>
      </c>
      <c r="AL41" s="102">
        <f t="shared" si="7"/>
        <v>4.6875</v>
      </c>
      <c r="AM41" s="102">
        <f t="shared" si="8"/>
        <v>4.6875</v>
      </c>
      <c r="AN41" s="102">
        <f t="shared" si="8"/>
        <v>4.6875</v>
      </c>
      <c r="AO41" s="102">
        <f t="shared" si="8"/>
        <v>4.6875</v>
      </c>
      <c r="AP41" s="96">
        <f>IF(AP$33&gt;AP16,MIN(AP17-AP16,AP$33-AP16)*AP25,0)</f>
        <v>18.75</v>
      </c>
      <c r="AQ41" s="102">
        <f t="shared" si="18"/>
        <v>4.6875</v>
      </c>
      <c r="AR41" s="102">
        <f t="shared" si="9"/>
        <v>4.6875</v>
      </c>
      <c r="AS41" s="102">
        <f t="shared" si="9"/>
        <v>4.6875</v>
      </c>
      <c r="AT41" s="102">
        <f t="shared" si="9"/>
        <v>4.6875</v>
      </c>
      <c r="AU41" s="96">
        <f>IF(AU$33&gt;AU16,MIN(AU17-AU16,AU$33-AU16)*AU25,0)</f>
        <v>18.75</v>
      </c>
      <c r="AV41" s="102">
        <f t="shared" si="19"/>
        <v>3.9142334062500002</v>
      </c>
      <c r="AW41" s="102">
        <f t="shared" si="10"/>
        <v>3.9142334062500002</v>
      </c>
      <c r="AX41" s="102">
        <f t="shared" si="10"/>
        <v>3.9142334062500002</v>
      </c>
      <c r="AY41" s="102">
        <f t="shared" si="10"/>
        <v>3.9142334062500002</v>
      </c>
      <c r="AZ41" s="96">
        <f>IF(AZ$33&gt;AZ16,MIN(AZ17-AZ16,AZ$33-AZ16)*AZ25,0)</f>
        <v>15.656933625000001</v>
      </c>
      <c r="BA41" s="102">
        <f t="shared" si="20"/>
        <v>2.5280937187499992</v>
      </c>
      <c r="BB41" s="102">
        <f t="shared" si="11"/>
        <v>2.5280937187499992</v>
      </c>
      <c r="BC41" s="102">
        <f t="shared" si="11"/>
        <v>2.5280937187499992</v>
      </c>
      <c r="BD41" s="102">
        <f t="shared" si="11"/>
        <v>2.5280937187499992</v>
      </c>
      <c r="BE41" s="96">
        <f>IF(BE$33&gt;BE16,MIN(BE17-BE16,BE$33-BE16)*BE25,0)</f>
        <v>10.112374874999997</v>
      </c>
      <c r="BF41" s="102">
        <f t="shared" si="21"/>
        <v>1.9828031249999989</v>
      </c>
      <c r="BG41" s="102">
        <f t="shared" si="12"/>
        <v>1.9828031249999989</v>
      </c>
      <c r="BH41" s="102">
        <f t="shared" si="12"/>
        <v>1.9828031249999989</v>
      </c>
      <c r="BI41" s="102">
        <f t="shared" si="12"/>
        <v>1.9828031249999989</v>
      </c>
      <c r="BJ41" s="96">
        <f>IF(BJ$33&gt;BJ16,MIN(BJ17-BJ16,BJ$33-BJ16)*BJ25,0)</f>
        <v>7.9312124999999956</v>
      </c>
      <c r="BK41" s="102">
        <f t="shared" si="13"/>
        <v>1.8767444062500003</v>
      </c>
      <c r="BL41" s="102">
        <f t="shared" si="13"/>
        <v>1.8767444062500003</v>
      </c>
      <c r="BM41" s="102">
        <f t="shared" si="13"/>
        <v>1.8767444062500003</v>
      </c>
      <c r="BN41" s="102">
        <f t="shared" si="13"/>
        <v>1.8767444062500003</v>
      </c>
      <c r="BO41" s="96">
        <f>IF(BO$33&gt;BO16,MIN(BO17-BO16,BO$33-BO16)*BO25,0)</f>
        <v>7.5069776250000011</v>
      </c>
      <c r="BP41" s="102">
        <f t="shared" si="14"/>
        <v>1.9585795312499998</v>
      </c>
      <c r="BQ41" s="102">
        <f t="shared" si="15"/>
        <v>1.9585795312499998</v>
      </c>
      <c r="BR41" s="102">
        <f t="shared" si="15"/>
        <v>1.9585795312499998</v>
      </c>
      <c r="BS41" s="102">
        <f t="shared" si="15"/>
        <v>1.9585795312499998</v>
      </c>
      <c r="BT41" s="96">
        <f t="shared" si="22"/>
        <v>7.8343181249999994</v>
      </c>
      <c r="BU41" s="102">
        <f t="shared" si="16"/>
        <v>1.7045497490624997</v>
      </c>
      <c r="BV41" s="102">
        <f t="shared" si="16"/>
        <v>1.7045497490624997</v>
      </c>
      <c r="BW41" s="102">
        <f t="shared" si="16"/>
        <v>1.7045497490624997</v>
      </c>
      <c r="BX41" s="102">
        <f t="shared" si="16"/>
        <v>1.7045497490624997</v>
      </c>
      <c r="BY41" s="96">
        <f t="shared" si="22"/>
        <v>6.8181989962499987</v>
      </c>
      <c r="BZ41" s="96">
        <f t="shared" si="22"/>
        <v>7.2613809862124992</v>
      </c>
      <c r="CA41" s="96">
        <f t="shared" si="22"/>
        <v>7.2613809862124992</v>
      </c>
      <c r="CB41" s="96">
        <f t="shared" si="23"/>
        <v>5.0233119369018713</v>
      </c>
      <c r="CC41" s="96">
        <f t="shared" si="23"/>
        <v>2.8971463400567732</v>
      </c>
      <c r="CD41" s="96">
        <f t="shared" si="23"/>
        <v>3.7050892668579092</v>
      </c>
      <c r="CE41" s="96">
        <f t="shared" si="23"/>
        <v>4.5291910521950705</v>
      </c>
      <c r="CF41" s="96">
        <f t="shared" si="23"/>
        <v>5.3697748732389723</v>
      </c>
    </row>
    <row r="42" spans="1:84" ht="12" customHeight="1" x14ac:dyDescent="0.25">
      <c r="A42" s="95">
        <v>6</v>
      </c>
      <c r="B42" s="97"/>
      <c r="C42" s="98">
        <f t="shared" si="0"/>
        <v>16.192499999999999</v>
      </c>
      <c r="D42" s="99">
        <f t="shared" si="0"/>
        <v>16.192499999999999</v>
      </c>
      <c r="E42" s="99">
        <f t="shared" si="0"/>
        <v>16.192499999999999</v>
      </c>
      <c r="F42" s="99">
        <f t="shared" si="0"/>
        <v>16.192499999999999</v>
      </c>
      <c r="G42" s="96">
        <f>IF(G$33&gt;G17, MIN(G18-G17,G$33-G17)*G26, 0)</f>
        <v>64.77</v>
      </c>
      <c r="H42" s="100">
        <f t="shared" si="24"/>
        <v>15.518999999999998</v>
      </c>
      <c r="I42" s="101">
        <f t="shared" si="24"/>
        <v>17.862500000000001</v>
      </c>
      <c r="J42" s="101">
        <f t="shared" si="24"/>
        <v>5.625</v>
      </c>
      <c r="K42" s="101">
        <f t="shared" si="24"/>
        <v>5.625</v>
      </c>
      <c r="L42" s="96">
        <f>IF(L$33&gt;L17, MIN(L18-L17,L$33-L17)*L26, 0)</f>
        <v>22.5</v>
      </c>
      <c r="M42" s="102">
        <f t="shared" si="1"/>
        <v>5.625</v>
      </c>
      <c r="N42" s="102">
        <f t="shared" si="1"/>
        <v>5.625</v>
      </c>
      <c r="O42" s="102">
        <f t="shared" si="1"/>
        <v>5.625</v>
      </c>
      <c r="P42" s="102">
        <f t="shared" si="1"/>
        <v>5.625</v>
      </c>
      <c r="Q42" s="96">
        <f>IF(Q$33&gt;Q17, MIN(Q18-Q17,Q$33-Q17)*Q26, 0)</f>
        <v>22.5</v>
      </c>
      <c r="R42" s="102">
        <f t="shared" si="2"/>
        <v>5.625</v>
      </c>
      <c r="S42" s="102">
        <f t="shared" si="2"/>
        <v>5.625</v>
      </c>
      <c r="T42" s="102">
        <f t="shared" si="2"/>
        <v>5.625</v>
      </c>
      <c r="U42" s="102">
        <f t="shared" si="2"/>
        <v>5.625</v>
      </c>
      <c r="V42" s="96">
        <f>IF(V$33&gt;V17, MIN(V18-V17,V$33-V17)*V26, 0)</f>
        <v>22.5</v>
      </c>
      <c r="W42" s="102">
        <f t="shared" si="3"/>
        <v>5.9104326955429434</v>
      </c>
      <c r="X42" s="102">
        <f t="shared" si="3"/>
        <v>5.7796146340369212</v>
      </c>
      <c r="Y42" s="102">
        <f t="shared" si="3"/>
        <v>5.7591238419954687</v>
      </c>
      <c r="Z42" s="102">
        <f t="shared" si="3"/>
        <v>5.050828828424665</v>
      </c>
      <c r="AA42" s="96">
        <f>IF(AA$33&gt;AA17, MIN(AA18-AA17,AA$33-AA17)*AA26, 0)</f>
        <v>22.5</v>
      </c>
      <c r="AB42" s="102">
        <f t="shared" si="4"/>
        <v>5.625</v>
      </c>
      <c r="AC42" s="102">
        <f t="shared" si="4"/>
        <v>5.625</v>
      </c>
      <c r="AD42" s="102">
        <f t="shared" si="4"/>
        <v>5.625</v>
      </c>
      <c r="AE42" s="102">
        <f t="shared" si="4"/>
        <v>5.625</v>
      </c>
      <c r="AF42" s="96">
        <f>IF(AF$33&gt;AF17, MIN(AF18-AF17,AF$33-AF17)*AF26, 0)</f>
        <v>22.5</v>
      </c>
      <c r="AG42" s="102">
        <f t="shared" si="5"/>
        <v>3.4905374999999985</v>
      </c>
      <c r="AH42" s="102">
        <f t="shared" si="6"/>
        <v>3.4905374999999985</v>
      </c>
      <c r="AI42" s="102">
        <f t="shared" si="6"/>
        <v>3.4905374999999985</v>
      </c>
      <c r="AJ42" s="102">
        <f t="shared" si="6"/>
        <v>3.4905374999999985</v>
      </c>
      <c r="AK42" s="96">
        <f>IF(AK$33&gt;AK17, MIN(AK18-AK17,AK$33-AK17)*AK26, 0)</f>
        <v>13.962149999999994</v>
      </c>
      <c r="AL42" s="102">
        <f t="shared" si="7"/>
        <v>2.6326124999999982</v>
      </c>
      <c r="AM42" s="102">
        <f t="shared" si="8"/>
        <v>2.6326124999999982</v>
      </c>
      <c r="AN42" s="102">
        <f t="shared" si="8"/>
        <v>2.6326124999999982</v>
      </c>
      <c r="AO42" s="102">
        <f t="shared" si="8"/>
        <v>2.6326124999999982</v>
      </c>
      <c r="AP42" s="96">
        <f>IF(AP$33&gt;AP17, MIN(AP18-AP17,AP$33-AP17)*AP26, 0)</f>
        <v>10.530449999999993</v>
      </c>
      <c r="AQ42" s="102">
        <f t="shared" si="18"/>
        <v>0.20002500000000226</v>
      </c>
      <c r="AR42" s="102">
        <f t="shared" si="9"/>
        <v>0.20002500000000226</v>
      </c>
      <c r="AS42" s="102">
        <f t="shared" si="9"/>
        <v>0.20002500000000226</v>
      </c>
      <c r="AT42" s="102">
        <f t="shared" si="9"/>
        <v>0.20002500000000226</v>
      </c>
      <c r="AU42" s="96">
        <f>IF(AU$33&gt;AU17, MIN(AU18-AU17,AU$33-AU17)*AU26, 0)</f>
        <v>0.80010000000000903</v>
      </c>
      <c r="AV42" s="102">
        <f t="shared" si="19"/>
        <v>0</v>
      </c>
      <c r="AW42" s="102">
        <f t="shared" si="10"/>
        <v>0</v>
      </c>
      <c r="AX42" s="102">
        <f t="shared" si="10"/>
        <v>0</v>
      </c>
      <c r="AY42" s="102">
        <f t="shared" si="10"/>
        <v>0</v>
      </c>
      <c r="AZ42" s="96">
        <f>IF(AZ$33&gt;AZ17, MIN(AZ18-AZ17,AZ$33-AZ17)*AZ26, 0)</f>
        <v>0</v>
      </c>
      <c r="BA42" s="102">
        <f t="shared" si="20"/>
        <v>0</v>
      </c>
      <c r="BB42" s="102">
        <f t="shared" si="11"/>
        <v>0</v>
      </c>
      <c r="BC42" s="102">
        <f t="shared" si="11"/>
        <v>0</v>
      </c>
      <c r="BD42" s="102">
        <f t="shared" si="11"/>
        <v>0</v>
      </c>
      <c r="BE42" s="96">
        <f>IF(BE$33&gt;BE17, MIN(BE18-BE17,BE$33-BE17)*BE26, 0)</f>
        <v>0</v>
      </c>
      <c r="BF42" s="102">
        <f t="shared" si="21"/>
        <v>0</v>
      </c>
      <c r="BG42" s="102">
        <f t="shared" si="12"/>
        <v>0</v>
      </c>
      <c r="BH42" s="102">
        <f t="shared" si="12"/>
        <v>0</v>
      </c>
      <c r="BI42" s="102">
        <f t="shared" si="12"/>
        <v>0</v>
      </c>
      <c r="BJ42" s="96">
        <f>IF(BJ$33&gt;BJ17, MIN(BJ18-BJ17,BJ$33-BJ17)*BJ26, 0)</f>
        <v>0</v>
      </c>
      <c r="BK42" s="102">
        <f t="shared" si="13"/>
        <v>0</v>
      </c>
      <c r="BL42" s="102">
        <f t="shared" si="13"/>
        <v>0</v>
      </c>
      <c r="BM42" s="102">
        <f t="shared" si="13"/>
        <v>0</v>
      </c>
      <c r="BN42" s="102">
        <f t="shared" si="13"/>
        <v>0</v>
      </c>
      <c r="BO42" s="96">
        <f t="shared" ref="BO42:CF42" si="25">IF(BO$33&gt;BO17, MIN(BO18-BO17,BO$33-BO17)*BO26, 0)</f>
        <v>0</v>
      </c>
      <c r="BP42" s="102">
        <f t="shared" si="14"/>
        <v>0</v>
      </c>
      <c r="BQ42" s="102">
        <f t="shared" si="15"/>
        <v>0</v>
      </c>
      <c r="BR42" s="102">
        <f t="shared" si="15"/>
        <v>0</v>
      </c>
      <c r="BS42" s="102">
        <f t="shared" si="15"/>
        <v>0</v>
      </c>
      <c r="BT42" s="96">
        <f>IF(BT$33&gt;BT17, MIN(BT18-BT17,BT$33-BT17)*BT26, 0)</f>
        <v>0</v>
      </c>
      <c r="BU42" s="102">
        <f t="shared" si="16"/>
        <v>0</v>
      </c>
      <c r="BV42" s="102">
        <f t="shared" si="16"/>
        <v>0</v>
      </c>
      <c r="BW42" s="102">
        <f t="shared" si="16"/>
        <v>0</v>
      </c>
      <c r="BX42" s="102">
        <f t="shared" si="16"/>
        <v>0</v>
      </c>
      <c r="BY42" s="96">
        <f t="shared" si="25"/>
        <v>0</v>
      </c>
      <c r="BZ42" s="96">
        <f t="shared" si="25"/>
        <v>0</v>
      </c>
      <c r="CA42" s="96">
        <f t="shared" si="25"/>
        <v>0</v>
      </c>
      <c r="CB42" s="96">
        <f t="shared" si="25"/>
        <v>0</v>
      </c>
      <c r="CC42" s="96">
        <f t="shared" si="25"/>
        <v>0</v>
      </c>
      <c r="CD42" s="96">
        <f t="shared" si="25"/>
        <v>0</v>
      </c>
      <c r="CE42" s="96">
        <f t="shared" si="25"/>
        <v>0</v>
      </c>
      <c r="CF42" s="96">
        <f t="shared" si="25"/>
        <v>0</v>
      </c>
    </row>
    <row r="43" spans="1:84" ht="12" customHeight="1" x14ac:dyDescent="0.25">
      <c r="A43" s="90">
        <v>7</v>
      </c>
      <c r="B43" s="97"/>
      <c r="C43" s="98">
        <f t="shared" si="0"/>
        <v>0</v>
      </c>
      <c r="D43" s="99">
        <f t="shared" si="0"/>
        <v>0</v>
      </c>
      <c r="E43" s="99">
        <f t="shared" si="0"/>
        <v>0</v>
      </c>
      <c r="F43" s="99">
        <f t="shared" si="0"/>
        <v>0</v>
      </c>
      <c r="G43" s="96">
        <f>IF(G$33&gt;G18,(G$33-G18)*G27,0)</f>
        <v>0</v>
      </c>
      <c r="H43" s="100">
        <f>IF(H$33*4&gt;H18,(H$33*4-H18)*H27,0)/4</f>
        <v>0</v>
      </c>
      <c r="I43" s="101">
        <f>IF(I$33*4&gt;I18,(I$33*4-I18)*I27,0)/4</f>
        <v>0</v>
      </c>
      <c r="J43" s="101">
        <f>IF(J$33*4&gt;J18,(J$33*4-J18)*J27,0)/4</f>
        <v>7.1225000000000023</v>
      </c>
      <c r="K43" s="101">
        <f>IF(K$33*4&gt;K18,(K$33*4-K18)*K27,0)/4</f>
        <v>6.1329999999999991</v>
      </c>
      <c r="L43" s="96">
        <f>IF(L$33&gt;L18,(L$33-L18)*L27,0)</f>
        <v>21.637</v>
      </c>
      <c r="M43" s="102">
        <f t="shared" si="1"/>
        <v>8.2191249999999911</v>
      </c>
      <c r="N43" s="102">
        <f t="shared" si="1"/>
        <v>8.2191249999999911</v>
      </c>
      <c r="O43" s="102">
        <f t="shared" si="1"/>
        <v>8.2191249999999911</v>
      </c>
      <c r="P43" s="102">
        <f t="shared" si="1"/>
        <v>8.2191249999999911</v>
      </c>
      <c r="Q43" s="96">
        <f>IF(Q$33&gt;Q18,(Q$33-Q18)*Q27,0)</f>
        <v>32.876499999999965</v>
      </c>
      <c r="R43" s="102">
        <f t="shared" si="2"/>
        <v>9.0708750000000009</v>
      </c>
      <c r="S43" s="102">
        <f t="shared" si="2"/>
        <v>9.0708750000000009</v>
      </c>
      <c r="T43" s="102">
        <f t="shared" si="2"/>
        <v>9.0708750000000009</v>
      </c>
      <c r="U43" s="102">
        <f t="shared" si="2"/>
        <v>9.0708750000000009</v>
      </c>
      <c r="V43" s="96">
        <f>IF(V$33&gt;V18,(V$33-V18)*V27,0)</f>
        <v>36.283500000000004</v>
      </c>
      <c r="W43" s="102">
        <f t="shared" si="3"/>
        <v>3.0084102420313585</v>
      </c>
      <c r="X43" s="102">
        <f t="shared" si="3"/>
        <v>2.941823848724793</v>
      </c>
      <c r="Y43" s="102">
        <f t="shared" si="3"/>
        <v>2.931394035575694</v>
      </c>
      <c r="Z43" s="102">
        <f t="shared" si="3"/>
        <v>2.5708718736681546</v>
      </c>
      <c r="AA43" s="96">
        <f>IF(AA$33&gt;AA18,(AA$33-AA18)*AA27,0)</f>
        <v>11.452500000000001</v>
      </c>
      <c r="AB43" s="102">
        <f t="shared" si="4"/>
        <v>0.28749999999999787</v>
      </c>
      <c r="AC43" s="102">
        <f t="shared" si="4"/>
        <v>0.28749999999999787</v>
      </c>
      <c r="AD43" s="102">
        <f t="shared" si="4"/>
        <v>0.28749999999999787</v>
      </c>
      <c r="AE43" s="102">
        <f t="shared" si="4"/>
        <v>0.28749999999999787</v>
      </c>
      <c r="AF43" s="96">
        <f>IF(AF$33&gt;AF18,(AF$33-AF18)*AF27,0)</f>
        <v>1.1499999999999915</v>
      </c>
      <c r="AG43" s="102">
        <f t="shared" si="5"/>
        <v>0</v>
      </c>
      <c r="AH43" s="102">
        <f t="shared" si="6"/>
        <v>0</v>
      </c>
      <c r="AI43" s="102">
        <f t="shared" si="6"/>
        <v>0</v>
      </c>
      <c r="AJ43" s="102">
        <f t="shared" si="6"/>
        <v>0</v>
      </c>
      <c r="AK43" s="96">
        <f>IF(AK$33&gt;AK18,(AK$33-AK18)*AK27,0)</f>
        <v>0</v>
      </c>
      <c r="AL43" s="102">
        <f t="shared" si="7"/>
        <v>0</v>
      </c>
      <c r="AM43" s="102">
        <f t="shared" si="8"/>
        <v>0</v>
      </c>
      <c r="AN43" s="102">
        <f t="shared" si="8"/>
        <v>0</v>
      </c>
      <c r="AO43" s="102">
        <f t="shared" si="8"/>
        <v>0</v>
      </c>
      <c r="AP43" s="96">
        <f>IF(AP$33&gt;AP18,(AP$33-AP18)*AP27,0)</f>
        <v>0</v>
      </c>
      <c r="AQ43" s="102">
        <f t="shared" si="18"/>
        <v>0</v>
      </c>
      <c r="AR43" s="102">
        <f t="shared" si="9"/>
        <v>0</v>
      </c>
      <c r="AS43" s="102">
        <f t="shared" si="9"/>
        <v>0</v>
      </c>
      <c r="AT43" s="102">
        <f t="shared" si="9"/>
        <v>0</v>
      </c>
      <c r="AU43" s="96">
        <f>IF(AU$33&gt;AU18,(AU$33-AU18)*AU27,0)</f>
        <v>0</v>
      </c>
      <c r="AV43" s="102">
        <f t="shared" si="19"/>
        <v>0</v>
      </c>
      <c r="AW43" s="102">
        <f t="shared" si="10"/>
        <v>0</v>
      </c>
      <c r="AX43" s="102">
        <f t="shared" si="10"/>
        <v>0</v>
      </c>
      <c r="AY43" s="102">
        <f t="shared" si="10"/>
        <v>0</v>
      </c>
      <c r="AZ43" s="96">
        <f>IF(AZ$33&gt;AZ18,(AZ$33-AZ18)*AZ27,0)</f>
        <v>0</v>
      </c>
      <c r="BA43" s="102">
        <f t="shared" si="20"/>
        <v>0</v>
      </c>
      <c r="BB43" s="102">
        <f t="shared" si="11"/>
        <v>0</v>
      </c>
      <c r="BC43" s="102">
        <f t="shared" si="11"/>
        <v>0</v>
      </c>
      <c r="BD43" s="102">
        <f t="shared" si="11"/>
        <v>0</v>
      </c>
      <c r="BE43" s="96">
        <f>IF(BE$33&gt;BE18,(BE$33-BE18)*BE27,0)</f>
        <v>0</v>
      </c>
      <c r="BF43" s="102">
        <f t="shared" si="21"/>
        <v>0</v>
      </c>
      <c r="BG43" s="102">
        <f t="shared" si="12"/>
        <v>0</v>
      </c>
      <c r="BH43" s="102">
        <f t="shared" si="12"/>
        <v>0</v>
      </c>
      <c r="BI43" s="102">
        <f t="shared" si="12"/>
        <v>0</v>
      </c>
      <c r="BJ43" s="96">
        <f>IF(BJ$33&gt;BJ18,(BJ$33-BJ18)*BJ27,0)</f>
        <v>0</v>
      </c>
      <c r="BK43" s="102">
        <f t="shared" si="13"/>
        <v>0</v>
      </c>
      <c r="BL43" s="102">
        <f t="shared" si="13"/>
        <v>0</v>
      </c>
      <c r="BM43" s="102">
        <f t="shared" si="13"/>
        <v>0</v>
      </c>
      <c r="BN43" s="102">
        <f t="shared" si="13"/>
        <v>0</v>
      </c>
      <c r="BO43" s="96">
        <f t="shared" ref="BO43:CF43" si="26">IF(BO$33&gt;BO18,(BO$33-BO18)*BO27,0)</f>
        <v>0</v>
      </c>
      <c r="BP43" s="102">
        <f t="shared" si="14"/>
        <v>0</v>
      </c>
      <c r="BQ43" s="102">
        <f t="shared" si="15"/>
        <v>0</v>
      </c>
      <c r="BR43" s="102">
        <f t="shared" si="15"/>
        <v>0</v>
      </c>
      <c r="BS43" s="102">
        <f t="shared" si="15"/>
        <v>0</v>
      </c>
      <c r="BT43" s="96">
        <f>IF(BT$33&gt;BT18,(BT$33-BT18)*BT27,0)</f>
        <v>0</v>
      </c>
      <c r="BU43" s="102">
        <f t="shared" si="16"/>
        <v>0</v>
      </c>
      <c r="BV43" s="102">
        <f t="shared" si="16"/>
        <v>0</v>
      </c>
      <c r="BW43" s="102">
        <f t="shared" si="16"/>
        <v>0</v>
      </c>
      <c r="BX43" s="102">
        <f t="shared" si="16"/>
        <v>0</v>
      </c>
      <c r="BY43" s="96">
        <f t="shared" si="26"/>
        <v>0</v>
      </c>
      <c r="BZ43" s="96">
        <f t="shared" si="26"/>
        <v>0</v>
      </c>
      <c r="CA43" s="96">
        <f t="shared" si="26"/>
        <v>0</v>
      </c>
      <c r="CB43" s="96">
        <f t="shared" si="26"/>
        <v>0</v>
      </c>
      <c r="CC43" s="96">
        <f t="shared" si="26"/>
        <v>0</v>
      </c>
      <c r="CD43" s="96">
        <f t="shared" si="26"/>
        <v>0</v>
      </c>
      <c r="CE43" s="96">
        <f t="shared" si="26"/>
        <v>0</v>
      </c>
      <c r="CF43" s="96">
        <f t="shared" si="26"/>
        <v>0</v>
      </c>
    </row>
    <row r="44" spans="1:84" ht="5.25" customHeight="1" x14ac:dyDescent="0.25">
      <c r="A44" s="103"/>
      <c r="B44" s="104"/>
      <c r="C44" s="104" t="s">
        <v>1059</v>
      </c>
      <c r="D44" s="104" t="s">
        <v>1059</v>
      </c>
      <c r="E44" s="104" t="s">
        <v>1059</v>
      </c>
      <c r="F44" s="104" t="s">
        <v>1059</v>
      </c>
      <c r="G44" s="105" t="s">
        <v>1059</v>
      </c>
      <c r="H44" s="104" t="s">
        <v>1059</v>
      </c>
      <c r="I44" s="104" t="s">
        <v>1059</v>
      </c>
      <c r="J44" s="104" t="s">
        <v>1059</v>
      </c>
      <c r="K44" s="104" t="s">
        <v>1059</v>
      </c>
      <c r="L44" s="105" t="s">
        <v>1059</v>
      </c>
      <c r="M44" s="104" t="s">
        <v>1059</v>
      </c>
      <c r="N44" s="104" t="s">
        <v>1059</v>
      </c>
      <c r="O44" s="104" t="s">
        <v>1059</v>
      </c>
      <c r="P44" s="104" t="s">
        <v>1059</v>
      </c>
      <c r="Q44" s="105" t="s">
        <v>1059</v>
      </c>
      <c r="R44" s="104" t="s">
        <v>1059</v>
      </c>
      <c r="S44" s="104" t="s">
        <v>1059</v>
      </c>
      <c r="T44" s="104" t="s">
        <v>1059</v>
      </c>
      <c r="U44" s="104" t="s">
        <v>1059</v>
      </c>
      <c r="V44" s="105" t="s">
        <v>1059</v>
      </c>
      <c r="W44" s="104" t="s">
        <v>1059</v>
      </c>
      <c r="X44" s="104" t="s">
        <v>1059</v>
      </c>
      <c r="Y44" s="104" t="s">
        <v>1059</v>
      </c>
      <c r="Z44" s="104" t="s">
        <v>1059</v>
      </c>
      <c r="AA44" s="105" t="s">
        <v>1059</v>
      </c>
      <c r="AB44" s="104" t="s">
        <v>1059</v>
      </c>
      <c r="AC44" s="104" t="s">
        <v>1059</v>
      </c>
      <c r="AD44" s="104" t="s">
        <v>1059</v>
      </c>
      <c r="AE44" s="104" t="s">
        <v>1059</v>
      </c>
      <c r="AF44" s="105" t="s">
        <v>1059</v>
      </c>
      <c r="AG44" s="104" t="s">
        <v>1059</v>
      </c>
      <c r="AH44" s="104" t="s">
        <v>1059</v>
      </c>
      <c r="AI44" s="104" t="s">
        <v>1059</v>
      </c>
      <c r="AJ44" s="104" t="s">
        <v>1059</v>
      </c>
      <c r="AK44" s="105" t="s">
        <v>1059</v>
      </c>
      <c r="AL44" s="104" t="s">
        <v>1059</v>
      </c>
      <c r="AM44" s="104" t="s">
        <v>1059</v>
      </c>
      <c r="AN44" s="104" t="s">
        <v>1059</v>
      </c>
      <c r="AO44" s="104" t="s">
        <v>1059</v>
      </c>
      <c r="AP44" s="105" t="s">
        <v>1059</v>
      </c>
      <c r="AQ44" s="104" t="s">
        <v>1059</v>
      </c>
      <c r="AR44" s="104" t="s">
        <v>1059</v>
      </c>
      <c r="AS44" s="104" t="s">
        <v>1059</v>
      </c>
      <c r="AT44" s="104" t="s">
        <v>1059</v>
      </c>
      <c r="AU44" s="105" t="s">
        <v>1059</v>
      </c>
      <c r="AV44" s="104"/>
      <c r="AW44" s="104"/>
      <c r="AX44" s="104"/>
      <c r="AY44" s="104"/>
      <c r="AZ44" s="105" t="s">
        <v>1059</v>
      </c>
      <c r="BA44" s="104"/>
      <c r="BB44" s="104"/>
      <c r="BC44" s="104"/>
      <c r="BD44" s="104"/>
      <c r="BE44" s="105" t="s">
        <v>1059</v>
      </c>
      <c r="BF44" s="104"/>
      <c r="BG44" s="104"/>
      <c r="BH44" s="104"/>
      <c r="BI44" s="104"/>
      <c r="BJ44" s="105" t="s">
        <v>1059</v>
      </c>
      <c r="BK44" s="104"/>
      <c r="BL44" s="104"/>
      <c r="BM44" s="104"/>
      <c r="BN44" s="104"/>
      <c r="BO44" s="105" t="s">
        <v>1059</v>
      </c>
      <c r="BP44" s="104"/>
      <c r="BQ44" s="104"/>
      <c r="BR44" s="104"/>
      <c r="BS44" s="104"/>
      <c r="BT44" s="105" t="s">
        <v>1059</v>
      </c>
      <c r="BU44" s="104"/>
      <c r="BV44" s="104"/>
      <c r="BW44" s="104"/>
      <c r="BX44" s="104"/>
      <c r="BY44" s="105" t="s">
        <v>1059</v>
      </c>
      <c r="BZ44" s="105" t="s">
        <v>1059</v>
      </c>
      <c r="CA44" s="105" t="s">
        <v>1059</v>
      </c>
      <c r="CB44" s="105" t="s">
        <v>1059</v>
      </c>
      <c r="CC44" s="105" t="s">
        <v>1059</v>
      </c>
      <c r="CD44" s="105" t="s">
        <v>1059</v>
      </c>
      <c r="CE44" s="105" t="s">
        <v>1059</v>
      </c>
      <c r="CF44" s="105" t="s">
        <v>1059</v>
      </c>
    </row>
    <row r="45" spans="1:84" ht="12" customHeight="1" x14ac:dyDescent="0.25">
      <c r="A45" s="103" t="s">
        <v>2242</v>
      </c>
      <c r="B45" s="80"/>
      <c r="C45" s="107">
        <f t="shared" ref="C45:I45" si="27">SUM(C37:C44)</f>
        <v>24.161249999999999</v>
      </c>
      <c r="D45" s="108">
        <f t="shared" si="27"/>
        <v>24.161249999999999</v>
      </c>
      <c r="E45" s="108">
        <f t="shared" si="27"/>
        <v>24.161249999999999</v>
      </c>
      <c r="F45" s="107">
        <f t="shared" si="27"/>
        <v>24.161249999999999</v>
      </c>
      <c r="G45" s="106">
        <f t="shared" si="27"/>
        <v>96.644999999999996</v>
      </c>
      <c r="H45" s="107">
        <f t="shared" si="27"/>
        <v>23.487749999999998</v>
      </c>
      <c r="I45" s="108">
        <f t="shared" si="27"/>
        <v>25.831250000000001</v>
      </c>
      <c r="J45" s="109">
        <f>MAX(SUM(J37:J43),86/4)</f>
        <v>23.528750000000002</v>
      </c>
      <c r="K45" s="109">
        <f>MAX(SUM(K37:K43),86/4)</f>
        <v>22.539249999999999</v>
      </c>
      <c r="L45" s="106">
        <f>SUM(H45:K45)</f>
        <v>95.387</v>
      </c>
      <c r="M45" s="109">
        <f>$Q45/4</f>
        <v>24.625374999999991</v>
      </c>
      <c r="N45" s="109">
        <f>$Q45/4</f>
        <v>24.625374999999991</v>
      </c>
      <c r="O45" s="109">
        <f>$Q45/4</f>
        <v>24.625374999999991</v>
      </c>
      <c r="P45" s="109">
        <f>$Q45/4</f>
        <v>24.625374999999991</v>
      </c>
      <c r="Q45" s="110">
        <f>MAX(SUM(Q37:Q43),86)</f>
        <v>98.501499999999965</v>
      </c>
      <c r="R45" s="109">
        <f>$V45/4</f>
        <v>25.477125000000001</v>
      </c>
      <c r="S45" s="109">
        <f>$V45/4</f>
        <v>25.477125000000001</v>
      </c>
      <c r="T45" s="108">
        <f>$V45/4</f>
        <v>25.477125000000001</v>
      </c>
      <c r="U45" s="108">
        <f>$V45/4</f>
        <v>25.477125000000001</v>
      </c>
      <c r="V45" s="106">
        <f>SUM(V37:V43)</f>
        <v>101.9085</v>
      </c>
      <c r="W45" s="108">
        <f>SUM(W37:W44)</f>
        <v>20.247172270698279</v>
      </c>
      <c r="X45" s="108">
        <f>SUM(X37:X44)</f>
        <v>19.799033197999151</v>
      </c>
      <c r="Y45" s="108">
        <f>SUM(Y37:Y44)</f>
        <v>19.728838574729142</v>
      </c>
      <c r="Z45" s="108">
        <f>SUM(Z37:Z44)</f>
        <v>17.302455956573429</v>
      </c>
      <c r="AA45" s="106">
        <f>SUM(AA37:AA43)</f>
        <v>77.077500000000001</v>
      </c>
      <c r="AB45" s="108">
        <f>SUM(AB37:AB44)</f>
        <v>16.693749999999998</v>
      </c>
      <c r="AC45" s="108">
        <f>SUM(AC37:AC44)</f>
        <v>16.693749999999998</v>
      </c>
      <c r="AD45" s="108">
        <f>SUM(AD37:AD44)</f>
        <v>16.693749999999998</v>
      </c>
      <c r="AE45" s="108">
        <f>SUM(AE37:AE44)</f>
        <v>16.693749999999998</v>
      </c>
      <c r="AF45" s="106">
        <f>SUM(AF37:AF43)</f>
        <v>66.774999999999991</v>
      </c>
      <c r="AG45" s="108">
        <f t="shared" ref="AG45:BE45" si="28">SUM(AG37:AG44)</f>
        <v>14.271787499999999</v>
      </c>
      <c r="AH45" s="108">
        <f t="shared" si="28"/>
        <v>14.271787499999999</v>
      </c>
      <c r="AI45" s="108">
        <f t="shared" si="28"/>
        <v>14.271787499999999</v>
      </c>
      <c r="AJ45" s="108">
        <f t="shared" si="28"/>
        <v>14.271787499999999</v>
      </c>
      <c r="AK45" s="106">
        <f t="shared" si="28"/>
        <v>57.087149999999994</v>
      </c>
      <c r="AL45" s="108">
        <f t="shared" si="28"/>
        <v>13.413862499999999</v>
      </c>
      <c r="AM45" s="108">
        <f t="shared" si="28"/>
        <v>13.413862499999999</v>
      </c>
      <c r="AN45" s="108">
        <f t="shared" si="28"/>
        <v>13.413862499999999</v>
      </c>
      <c r="AO45" s="108">
        <f t="shared" si="28"/>
        <v>13.413862499999999</v>
      </c>
      <c r="AP45" s="106">
        <f t="shared" si="28"/>
        <v>53.655449999999995</v>
      </c>
      <c r="AQ45" s="108">
        <f t="shared" si="28"/>
        <v>10.981275000000002</v>
      </c>
      <c r="AR45" s="108">
        <f t="shared" si="28"/>
        <v>10.981275000000002</v>
      </c>
      <c r="AS45" s="108">
        <f t="shared" si="28"/>
        <v>10.981275000000002</v>
      </c>
      <c r="AT45" s="108">
        <f t="shared" si="28"/>
        <v>10.981275000000002</v>
      </c>
      <c r="AU45" s="106">
        <f t="shared" si="28"/>
        <v>43.925100000000008</v>
      </c>
      <c r="AV45" s="108">
        <f t="shared" ref="AV45:BD45" si="29">SUM(AV37:AV44)</f>
        <v>10.00798340625</v>
      </c>
      <c r="AW45" s="108">
        <f t="shared" si="29"/>
        <v>10.00798340625</v>
      </c>
      <c r="AX45" s="108">
        <f t="shared" si="29"/>
        <v>10.00798340625</v>
      </c>
      <c r="AY45" s="108">
        <f t="shared" si="29"/>
        <v>10.00798340625</v>
      </c>
      <c r="AZ45" s="106">
        <f t="shared" si="29"/>
        <v>40.031933625000001</v>
      </c>
      <c r="BA45" s="108">
        <f t="shared" si="29"/>
        <v>8.6218437187500001</v>
      </c>
      <c r="BB45" s="108">
        <f t="shared" si="29"/>
        <v>8.6218437187500001</v>
      </c>
      <c r="BC45" s="108">
        <f t="shared" si="29"/>
        <v>8.6218437187500001</v>
      </c>
      <c r="BD45" s="108">
        <f t="shared" si="29"/>
        <v>8.6218437187500001</v>
      </c>
      <c r="BE45" s="106">
        <f t="shared" si="28"/>
        <v>34.487374875</v>
      </c>
      <c r="BF45" s="108">
        <f t="shared" ref="BF45:CF45" si="30">SUM(BF37:BF44)</f>
        <v>8.0765531249999984</v>
      </c>
      <c r="BG45" s="108">
        <f t="shared" si="30"/>
        <v>8.0765531249999984</v>
      </c>
      <c r="BH45" s="108">
        <f t="shared" si="30"/>
        <v>8.0765531249999984</v>
      </c>
      <c r="BI45" s="108">
        <f t="shared" si="30"/>
        <v>8.0765531249999984</v>
      </c>
      <c r="BJ45" s="106">
        <f t="shared" si="30"/>
        <v>32.306212499999994</v>
      </c>
      <c r="BK45" s="108">
        <f t="shared" si="30"/>
        <v>7.9704944062500003</v>
      </c>
      <c r="BL45" s="108">
        <f t="shared" si="30"/>
        <v>7.9704944062500003</v>
      </c>
      <c r="BM45" s="108">
        <f t="shared" si="30"/>
        <v>7.9704944062500003</v>
      </c>
      <c r="BN45" s="108">
        <f t="shared" si="30"/>
        <v>7.9704944062500003</v>
      </c>
      <c r="BO45" s="106">
        <f t="shared" si="30"/>
        <v>31.881977625000001</v>
      </c>
      <c r="BP45" s="108">
        <f t="shared" si="30"/>
        <v>8.052329531249999</v>
      </c>
      <c r="BQ45" s="108">
        <f t="shared" si="30"/>
        <v>8.052329531249999</v>
      </c>
      <c r="BR45" s="108">
        <f t="shared" si="30"/>
        <v>8.052329531249999</v>
      </c>
      <c r="BS45" s="108">
        <f t="shared" si="30"/>
        <v>8.052329531249999</v>
      </c>
      <c r="BT45" s="106">
        <f t="shared" si="30"/>
        <v>32.209318124999996</v>
      </c>
      <c r="BU45" s="108">
        <f>SUM(BU37:BU44)</f>
        <v>7.7982997490624992</v>
      </c>
      <c r="BV45" s="108">
        <f>SUM(BV37:BV44)</f>
        <v>7.7982997490624992</v>
      </c>
      <c r="BW45" s="108">
        <f>SUM(BW37:BW44)</f>
        <v>7.7982997490624992</v>
      </c>
      <c r="BX45" s="108">
        <f>SUM(BX37:BX44)</f>
        <v>7.7982997490624992</v>
      </c>
      <c r="BY45" s="106">
        <f t="shared" si="30"/>
        <v>31.193198996249997</v>
      </c>
      <c r="BZ45" s="106">
        <f t="shared" si="30"/>
        <v>31.636380986212501</v>
      </c>
      <c r="CA45" s="106">
        <f t="shared" si="30"/>
        <v>31.636380986212501</v>
      </c>
      <c r="CB45" s="106">
        <f t="shared" si="30"/>
        <v>29.39831193690187</v>
      </c>
      <c r="CC45" s="106">
        <f t="shared" si="30"/>
        <v>27.272146340056771</v>
      </c>
      <c r="CD45" s="106">
        <f t="shared" si="30"/>
        <v>28.080089266857911</v>
      </c>
      <c r="CE45" s="106">
        <f t="shared" si="30"/>
        <v>28.90419105219507</v>
      </c>
      <c r="CF45" s="106">
        <f t="shared" si="30"/>
        <v>29.744774873238974</v>
      </c>
    </row>
    <row r="46" spans="1:84" ht="12" customHeight="1" x14ac:dyDescent="0.25">
      <c r="A46" s="6"/>
      <c r="B46" s="6"/>
      <c r="C46" s="88"/>
      <c r="D46" s="89"/>
      <c r="E46" s="89"/>
      <c r="F46" s="89"/>
      <c r="G46" s="87"/>
      <c r="H46" s="88"/>
      <c r="I46" s="89"/>
      <c r="J46" s="89"/>
      <c r="K46" s="89"/>
      <c r="L46" s="87"/>
      <c r="M46" s="88"/>
      <c r="N46" s="89"/>
      <c r="O46" s="89"/>
      <c r="P46" s="89"/>
      <c r="Q46" s="87"/>
      <c r="R46" s="88"/>
      <c r="S46" s="89"/>
      <c r="T46" s="89"/>
      <c r="U46" s="89"/>
      <c r="V46" s="87"/>
      <c r="W46" s="88"/>
      <c r="X46" s="89"/>
      <c r="Y46" s="89"/>
      <c r="Z46" s="89"/>
      <c r="AA46" s="87"/>
      <c r="AB46" s="88"/>
      <c r="AC46" s="89"/>
      <c r="AD46" s="89"/>
      <c r="AE46" s="89"/>
      <c r="AF46" s="87"/>
      <c r="AG46" s="88"/>
      <c r="AH46" s="89"/>
      <c r="AI46" s="89"/>
      <c r="AJ46" s="89"/>
      <c r="AK46" s="87"/>
      <c r="AL46" s="88"/>
      <c r="AM46" s="89"/>
      <c r="AN46" s="89"/>
      <c r="AO46" s="89"/>
      <c r="AP46" s="87"/>
      <c r="AQ46" s="88"/>
      <c r="AR46" s="89"/>
      <c r="AS46" s="89"/>
      <c r="AT46" s="89"/>
      <c r="AU46" s="87"/>
      <c r="AV46" s="88"/>
      <c r="AW46" s="89"/>
      <c r="AX46" s="89"/>
      <c r="AY46" s="89"/>
      <c r="AZ46" s="87"/>
      <c r="BA46" s="88"/>
      <c r="BB46" s="89"/>
      <c r="BC46" s="89"/>
      <c r="BD46" s="89"/>
      <c r="BE46" s="87"/>
      <c r="BF46" s="88"/>
      <c r="BG46" s="89"/>
      <c r="BH46" s="89"/>
      <c r="BI46" s="89"/>
      <c r="BJ46" s="87"/>
      <c r="BK46" s="88"/>
      <c r="BL46" s="89"/>
      <c r="BM46" s="89"/>
      <c r="BN46" s="89"/>
      <c r="BO46" s="87"/>
      <c r="BP46" s="88"/>
      <c r="BQ46" s="89"/>
      <c r="BR46" s="89"/>
      <c r="BS46" s="89"/>
      <c r="BT46" s="87"/>
      <c r="BU46" s="88"/>
      <c r="BV46" s="89"/>
      <c r="BW46" s="89"/>
      <c r="BX46" s="89"/>
      <c r="BY46" s="87"/>
      <c r="BZ46" s="87"/>
      <c r="CA46" s="87"/>
      <c r="CB46" s="87"/>
      <c r="CC46" s="87"/>
      <c r="CD46" s="87"/>
      <c r="CE46" s="87"/>
      <c r="CF46" s="87"/>
    </row>
    <row r="47" spans="1:84" ht="12" customHeight="1" x14ac:dyDescent="0.25">
      <c r="A47" s="2" t="s">
        <v>2243</v>
      </c>
      <c r="B47" s="2"/>
      <c r="C47" s="34"/>
      <c r="D47" s="112"/>
      <c r="E47" s="112"/>
      <c r="F47" s="34"/>
      <c r="G47" s="111"/>
      <c r="H47" s="34"/>
      <c r="I47" s="112"/>
      <c r="J47" s="109"/>
      <c r="K47" s="109"/>
      <c r="L47" s="106"/>
      <c r="M47" s="108">
        <f>M33*0.03</f>
        <v>1.9970999999999997</v>
      </c>
      <c r="N47" s="108">
        <f>N33*0.03</f>
        <v>1.9710000000000001</v>
      </c>
      <c r="O47" s="108">
        <f>O33*0.03</f>
        <v>2.0100299999999995</v>
      </c>
      <c r="P47" s="108">
        <f>P33*0.03</f>
        <v>1.9944599999999999</v>
      </c>
      <c r="Q47" s="111">
        <f>SUM(M47:P47)</f>
        <v>7.9725899999999994</v>
      </c>
      <c r="R47" s="108">
        <f>R33*0.03</f>
        <v>2.0885399999999996</v>
      </c>
      <c r="S47" s="108">
        <f>S33*0.03</f>
        <v>2.08155</v>
      </c>
      <c r="T47" s="108">
        <f>T33*0.03</f>
        <v>2.07348</v>
      </c>
      <c r="U47" s="108">
        <f>U33*0.03</f>
        <v>1.93344</v>
      </c>
      <c r="V47" s="111">
        <f>SUM(R47:U47)</f>
        <v>8.1770099999999992</v>
      </c>
      <c r="W47" s="108">
        <f>W33*0.03</f>
        <v>1.7566199999999998</v>
      </c>
      <c r="X47" s="109">
        <f>X33*0.03/2</f>
        <v>0.85886999999999991</v>
      </c>
      <c r="Y47" s="113">
        <v>0</v>
      </c>
      <c r="Z47" s="108">
        <f>Z33*0.03</f>
        <v>1.5011399999999999</v>
      </c>
      <c r="AA47" s="111">
        <f>SUM(W47:Z47)</f>
        <v>4.1166299999999998</v>
      </c>
      <c r="AB47" s="108">
        <f>AB33*0.03</f>
        <v>1.6019999999999999</v>
      </c>
      <c r="AC47" s="108">
        <f>AC33*0.03</f>
        <v>1.7189999999999999</v>
      </c>
      <c r="AD47" s="108">
        <f>AD33*0.03</f>
        <v>1.425</v>
      </c>
      <c r="AE47" s="108">
        <f>AE33*0.03</f>
        <v>1.323</v>
      </c>
      <c r="AF47" s="111">
        <f>SUM(AB47:AE47)</f>
        <v>6.0689999999999991</v>
      </c>
      <c r="AG47" s="108">
        <f t="shared" ref="AG47:BE47" si="31">AG33*0.03</f>
        <v>1.4339999999999999</v>
      </c>
      <c r="AH47" s="108">
        <f t="shared" si="31"/>
        <v>1.3619999999999999</v>
      </c>
      <c r="AI47" s="108">
        <f t="shared" si="31"/>
        <v>1.3539000000000001</v>
      </c>
      <c r="AJ47" s="108">
        <f t="shared" si="31"/>
        <v>1.28091</v>
      </c>
      <c r="AK47" s="106">
        <f t="shared" si="31"/>
        <v>5.4308099999999992</v>
      </c>
      <c r="AL47" s="108">
        <f t="shared" si="31"/>
        <v>1.33026</v>
      </c>
      <c r="AM47" s="108">
        <f t="shared" si="31"/>
        <v>1.3919999999999999</v>
      </c>
      <c r="AN47" s="108">
        <f t="shared" si="31"/>
        <v>1.3040700000000001</v>
      </c>
      <c r="AO47" s="108">
        <f t="shared" si="31"/>
        <v>1.1757</v>
      </c>
      <c r="AP47" s="106">
        <f t="shared" si="31"/>
        <v>5.2020299999999997</v>
      </c>
      <c r="AQ47" s="108">
        <f t="shared" si="31"/>
        <v>1.14567</v>
      </c>
      <c r="AR47" s="108">
        <f t="shared" si="31"/>
        <v>1.1684699999999999</v>
      </c>
      <c r="AS47" s="108">
        <f t="shared" si="31"/>
        <v>1.1437799999999998</v>
      </c>
      <c r="AT47" s="108">
        <f t="shared" si="31"/>
        <v>1.0954199999999998</v>
      </c>
      <c r="AU47" s="106">
        <f t="shared" si="31"/>
        <v>4.5533400000000004</v>
      </c>
      <c r="AV47" s="108">
        <f t="shared" si="31"/>
        <v>1.1012781599999999</v>
      </c>
      <c r="AW47" s="108">
        <f t="shared" si="31"/>
        <v>1.13200419</v>
      </c>
      <c r="AX47" s="108">
        <f t="shared" si="31"/>
        <v>1.0606528199999998</v>
      </c>
      <c r="AY47" s="108">
        <f t="shared" si="31"/>
        <v>0.95861951999999995</v>
      </c>
      <c r="AZ47" s="106">
        <f t="shared" si="31"/>
        <v>4.2525546900000002</v>
      </c>
      <c r="BA47" s="108">
        <f t="shared" si="31"/>
        <v>0.93702740999999989</v>
      </c>
      <c r="BB47" s="108">
        <f t="shared" si="31"/>
        <v>1.00036272</v>
      </c>
      <c r="BC47" s="108">
        <f t="shared" si="31"/>
        <v>0.95900255999999995</v>
      </c>
      <c r="BD47" s="108">
        <f t="shared" si="31"/>
        <v>0.91259730000000006</v>
      </c>
      <c r="BE47" s="106">
        <f t="shared" si="31"/>
        <v>3.8089899899999997</v>
      </c>
      <c r="BF47" s="108">
        <f t="shared" ref="BF47:CF47" si="32">BF33*0.03</f>
        <v>0.91221968999999992</v>
      </c>
      <c r="BG47" s="108">
        <f t="shared" si="32"/>
        <v>0.9663507899999999</v>
      </c>
      <c r="BH47" s="108">
        <f t="shared" si="32"/>
        <v>0.88455902999999991</v>
      </c>
      <c r="BI47" s="108">
        <f t="shared" si="32"/>
        <v>0.87136748999999991</v>
      </c>
      <c r="BJ47" s="106">
        <f t="shared" si="32"/>
        <v>3.6344969999999996</v>
      </c>
      <c r="BK47" s="108">
        <f t="shared" si="32"/>
        <v>0.91408700999999992</v>
      </c>
      <c r="BL47" s="108">
        <f t="shared" si="32"/>
        <v>0.90599999999999992</v>
      </c>
      <c r="BM47" s="108">
        <f t="shared" si="32"/>
        <v>0.91220502000000003</v>
      </c>
      <c r="BN47" s="108">
        <f t="shared" si="32"/>
        <v>0.86826618</v>
      </c>
      <c r="BO47" s="106">
        <f t="shared" si="32"/>
        <v>3.60055821</v>
      </c>
      <c r="BP47" s="108">
        <f t="shared" si="32"/>
        <v>0.95875716</v>
      </c>
      <c r="BQ47" s="108">
        <f t="shared" si="32"/>
        <v>0.89401032000000002</v>
      </c>
      <c r="BR47" s="108">
        <f t="shared" si="32"/>
        <v>0.91338980999999986</v>
      </c>
      <c r="BS47" s="108">
        <f t="shared" si="32"/>
        <v>0.86058815999999994</v>
      </c>
      <c r="BT47" s="106">
        <f t="shared" si="32"/>
        <v>3.6267454499999996</v>
      </c>
      <c r="BU47" s="108">
        <f>BU33*0.03</f>
        <v>0.85972784999999996</v>
      </c>
      <c r="BV47" s="108">
        <f>BV33*0.03</f>
        <v>0.89401032000000002</v>
      </c>
      <c r="BW47" s="108">
        <f>BW33*0.03</f>
        <v>0.92252370809999984</v>
      </c>
      <c r="BX47" s="108">
        <f>BX33*0.03</f>
        <v>0.86919404160000002</v>
      </c>
      <c r="BY47" s="106">
        <f t="shared" si="32"/>
        <v>3.5454559196999997</v>
      </c>
      <c r="BZ47" s="106">
        <f t="shared" si="32"/>
        <v>3.5809104788969996</v>
      </c>
      <c r="CA47" s="106">
        <f t="shared" si="32"/>
        <v>3.5809104788969996</v>
      </c>
      <c r="CB47" s="106">
        <f t="shared" si="32"/>
        <v>3.4018649549521496</v>
      </c>
      <c r="CC47" s="106">
        <f t="shared" si="32"/>
        <v>3.2317717072045418</v>
      </c>
      <c r="CD47" s="106">
        <f t="shared" si="32"/>
        <v>3.2964071413486327</v>
      </c>
      <c r="CE47" s="106">
        <f t="shared" si="32"/>
        <v>3.3623352841756056</v>
      </c>
      <c r="CF47" s="106">
        <f t="shared" si="32"/>
        <v>3.4295819898591176</v>
      </c>
    </row>
    <row r="48" spans="1:84" ht="12" customHeight="1" x14ac:dyDescent="0.25">
      <c r="A48" s="114"/>
      <c r="B48" s="2"/>
      <c r="C48" s="2"/>
      <c r="D48" s="4"/>
      <c r="E48" s="4"/>
      <c r="F48" s="2"/>
      <c r="G48" s="55"/>
      <c r="H48" s="2"/>
      <c r="I48" s="4"/>
      <c r="J48" s="4"/>
      <c r="K48" s="2"/>
      <c r="L48" s="55"/>
      <c r="M48" s="2"/>
      <c r="N48" s="4"/>
      <c r="O48" s="4"/>
      <c r="P48" s="2"/>
      <c r="Q48" s="55"/>
      <c r="R48" s="2"/>
      <c r="S48" s="4"/>
      <c r="T48" s="4"/>
      <c r="U48" s="2"/>
      <c r="V48" s="55"/>
      <c r="W48" s="2"/>
      <c r="X48" s="4"/>
      <c r="Y48" s="4"/>
      <c r="Z48" s="2"/>
      <c r="AA48" s="55"/>
      <c r="AB48" s="2"/>
      <c r="AC48" s="4"/>
      <c r="AD48" s="4"/>
      <c r="AE48" s="2"/>
      <c r="AF48" s="55"/>
      <c r="AG48" s="2"/>
      <c r="AH48" s="4"/>
      <c r="AI48" s="4"/>
      <c r="AJ48" s="2"/>
      <c r="AK48" s="55"/>
      <c r="AL48" s="2"/>
      <c r="AM48" s="4"/>
      <c r="AN48" s="4"/>
      <c r="AO48" s="2"/>
      <c r="AP48" s="55"/>
      <c r="AQ48" s="2"/>
      <c r="AR48" s="4"/>
      <c r="AS48" s="4"/>
      <c r="AT48" s="2"/>
      <c r="AU48" s="55"/>
      <c r="AV48" s="2"/>
      <c r="AW48" s="4"/>
      <c r="AX48" s="4"/>
      <c r="AY48" s="2"/>
      <c r="AZ48" s="55"/>
      <c r="BA48" s="2"/>
      <c r="BB48" s="4"/>
      <c r="BC48" s="4"/>
      <c r="BD48" s="2"/>
      <c r="BE48" s="55"/>
      <c r="BF48" s="2"/>
      <c r="BG48" s="4"/>
      <c r="BH48" s="4"/>
      <c r="BI48" s="2"/>
      <c r="BJ48" s="55"/>
      <c r="BK48" s="2"/>
      <c r="BL48" s="4"/>
      <c r="BM48" s="4"/>
      <c r="BN48" s="2"/>
      <c r="BO48" s="55"/>
      <c r="BP48" s="2"/>
      <c r="BQ48" s="4"/>
      <c r="BR48" s="4"/>
      <c r="BS48" s="2"/>
      <c r="BT48" s="55"/>
      <c r="BU48" s="2"/>
      <c r="BV48" s="4"/>
      <c r="BW48" s="4"/>
      <c r="BX48" s="2"/>
      <c r="BY48" s="55"/>
      <c r="BZ48" s="55"/>
      <c r="CA48" s="55"/>
      <c r="CB48" s="55"/>
      <c r="CC48" s="55"/>
      <c r="CD48" s="55"/>
      <c r="CE48" s="55"/>
      <c r="CF48" s="55"/>
    </row>
    <row r="49" spans="1:84" ht="12" customHeight="1" x14ac:dyDescent="0.25">
      <c r="A49" s="6" t="s">
        <v>2244</v>
      </c>
      <c r="B49" s="97"/>
      <c r="C49" s="97">
        <f>(C34*C31)/1000</f>
        <v>1.458496</v>
      </c>
      <c r="D49" s="97">
        <f>(D34*D31)/1000</f>
        <v>1.4520840000000002</v>
      </c>
      <c r="E49" s="97">
        <f>(E34*E31)/1000</f>
        <v>1.5144919999999999</v>
      </c>
      <c r="F49" s="97">
        <f>(F34*F31)/1000</f>
        <v>1.4025080000000001</v>
      </c>
      <c r="G49" s="96">
        <f>SUM(C49:F49)</f>
        <v>5.8275800000000002</v>
      </c>
      <c r="H49" s="97">
        <f>(H34*H31)/1000</f>
        <v>1.3954519999999999</v>
      </c>
      <c r="I49" s="97">
        <f>(I34*I31)/1000</f>
        <v>1.434404</v>
      </c>
      <c r="J49" s="97">
        <f>(J34*J31)/1000</f>
        <v>1.2621960000000003</v>
      </c>
      <c r="K49" s="97">
        <f>(K34*K31)/1000</f>
        <v>1.29549</v>
      </c>
      <c r="L49" s="96">
        <f>SUM(H49:K49)</f>
        <v>5.3875420000000007</v>
      </c>
      <c r="M49" s="97">
        <f>(M34*M31)/1000</f>
        <v>1.3245180000000001</v>
      </c>
      <c r="N49" s="97">
        <f>(N34*N31)/1000</f>
        <v>1.3338000000000001</v>
      </c>
      <c r="O49" s="97">
        <f>(O34*O31)/1000</f>
        <v>1.4111879999999999</v>
      </c>
      <c r="P49" s="97">
        <f>(P34*P31)/1000</f>
        <v>1.37304</v>
      </c>
      <c r="Q49" s="96">
        <f>SUM(M49:P49)</f>
        <v>5.4425460000000001</v>
      </c>
      <c r="R49" s="97">
        <f>(R34*R31)/1000</f>
        <v>1.3787309999999999</v>
      </c>
      <c r="S49" s="97">
        <f>(S34*S31)/1000</f>
        <v>1.4175930000000001</v>
      </c>
      <c r="T49" s="97">
        <f>(T34*T31)/1000</f>
        <v>1.3839539999999999</v>
      </c>
      <c r="U49" s="97">
        <f>(U34*U31)/1000</f>
        <v>1.2670530000000002</v>
      </c>
      <c r="V49" s="96">
        <f>SUM(R49:U49)</f>
        <v>5.4473310000000001</v>
      </c>
      <c r="W49" s="97">
        <f>(W34*W31)/1000</f>
        <v>1.2499589999999998</v>
      </c>
      <c r="X49" s="97">
        <f>(X34*X31)/1000</f>
        <v>1.3350060000000001</v>
      </c>
      <c r="Y49" s="97">
        <f>(Y34*Y31)/1000</f>
        <v>1.2455040000000002</v>
      </c>
      <c r="Z49" s="97">
        <f>(Z34*Z31)/1000</f>
        <v>1.0997369999999997</v>
      </c>
      <c r="AA49" s="96">
        <f>SUM(W49:Z49)</f>
        <v>4.9302060000000001</v>
      </c>
      <c r="AB49" s="97">
        <f>(AB34*AB31)/1000</f>
        <v>1.2078000000000002</v>
      </c>
      <c r="AC49" s="97">
        <f>(AC34*AC31)/1000</f>
        <v>1.3211999999999997</v>
      </c>
      <c r="AD49" s="97">
        <f>(AD34*AD31)/1000</f>
        <v>1.1799000000000002</v>
      </c>
      <c r="AE49" s="97">
        <f>(AE34*AE31)/1000</f>
        <v>1.0911</v>
      </c>
      <c r="AF49" s="96">
        <f>SUM(AB49:AE49)</f>
        <v>4.8</v>
      </c>
      <c r="AG49" s="97">
        <f t="shared" ref="AG49:BE49" si="33">(AG34*AG31)/1000</f>
        <v>1.1739000000000002</v>
      </c>
      <c r="AH49" s="97">
        <f t="shared" si="33"/>
        <v>1.1154000000000002</v>
      </c>
      <c r="AI49" s="97">
        <f t="shared" si="33"/>
        <v>1.11273</v>
      </c>
      <c r="AJ49" s="97">
        <f t="shared" si="33"/>
        <v>1.061922</v>
      </c>
      <c r="AK49" s="96">
        <f t="shared" si="33"/>
        <v>4.463951999999999</v>
      </c>
      <c r="AL49" s="97">
        <f t="shared" si="33"/>
        <v>1.1011289999999998</v>
      </c>
      <c r="AM49" s="97">
        <f t="shared" si="33"/>
        <v>1.181295</v>
      </c>
      <c r="AN49" s="97">
        <f t="shared" si="33"/>
        <v>1.1604569999999998</v>
      </c>
      <c r="AO49" s="97">
        <f t="shared" si="33"/>
        <v>1.0529459999999999</v>
      </c>
      <c r="AP49" s="96">
        <f t="shared" si="33"/>
        <v>4.4958269999999994</v>
      </c>
      <c r="AQ49" s="97">
        <f t="shared" si="33"/>
        <v>1.0464899999999999</v>
      </c>
      <c r="AR49" s="97">
        <f t="shared" si="33"/>
        <v>1.0554330000000001</v>
      </c>
      <c r="AS49" s="97">
        <f t="shared" si="33"/>
        <v>1.042146</v>
      </c>
      <c r="AT49" s="97">
        <f t="shared" si="33"/>
        <v>0.97929300000000008</v>
      </c>
      <c r="AU49" s="96">
        <f t="shared" si="33"/>
        <v>4.1233620000000011</v>
      </c>
      <c r="AV49" s="97">
        <f>(AV34*AV31)/1000</f>
        <v>0.99427500000000013</v>
      </c>
      <c r="AW49" s="97">
        <f>(AW34*AW31)/1000</f>
        <v>0.99978299999999987</v>
      </c>
      <c r="AX49" s="97">
        <f>(AX34*AX31)/1000</f>
        <v>0.95272199999999996</v>
      </c>
      <c r="AY49" s="97">
        <f>(AY34*AY31)/1000</f>
        <v>0.82353900000000013</v>
      </c>
      <c r="AZ49" s="96">
        <f t="shared" si="33"/>
        <v>3.7703190000000002</v>
      </c>
      <c r="BA49" s="97">
        <f>(BA34*BA31)/1000</f>
        <v>0.78781199999999985</v>
      </c>
      <c r="BB49" s="97">
        <f>(BB34*BB31)/1000</f>
        <v>0.85678199999999993</v>
      </c>
      <c r="BC49" s="97">
        <f>(BC34*BC31)/1000</f>
        <v>0.84419100000000002</v>
      </c>
      <c r="BD49" s="97">
        <f>(BD34*BD31)/1000</f>
        <v>0.80311799999999989</v>
      </c>
      <c r="BE49" s="96">
        <f t="shared" si="33"/>
        <v>3.2919029999999996</v>
      </c>
      <c r="BF49" s="97">
        <f t="shared" ref="BF49:CF49" si="34">(BF34*BF31)/1000</f>
        <v>0.77515499999999993</v>
      </c>
      <c r="BG49" s="97">
        <f t="shared" si="34"/>
        <v>0.79574699999999987</v>
      </c>
      <c r="BH49" s="97">
        <f t="shared" si="34"/>
        <v>0.78630000000000011</v>
      </c>
      <c r="BI49" s="97">
        <f t="shared" si="34"/>
        <v>0.76696800000000009</v>
      </c>
      <c r="BJ49" s="96">
        <f t="shared" si="34"/>
        <v>3.1241699999999999</v>
      </c>
      <c r="BK49" s="97">
        <f t="shared" si="34"/>
        <v>0.73764299999999994</v>
      </c>
      <c r="BL49" s="97">
        <f t="shared" si="34"/>
        <v>0.7632000000000001</v>
      </c>
      <c r="BM49" s="97">
        <f t="shared" si="34"/>
        <v>0.76590000000000014</v>
      </c>
      <c r="BN49" s="97">
        <f t="shared" si="34"/>
        <v>0.73912500000000003</v>
      </c>
      <c r="BO49" s="96">
        <f t="shared" si="34"/>
        <v>3.0058679999999995</v>
      </c>
      <c r="BP49" s="97">
        <f t="shared" si="34"/>
        <v>0.7611690000000001</v>
      </c>
      <c r="BQ49" s="97">
        <f t="shared" si="34"/>
        <v>0.73457400000000006</v>
      </c>
      <c r="BR49" s="97">
        <f t="shared" si="34"/>
        <v>0.77623500000000001</v>
      </c>
      <c r="BS49" s="97">
        <f t="shared" si="34"/>
        <v>0.70275900000000002</v>
      </c>
      <c r="BT49" s="96">
        <f t="shared" si="34"/>
        <v>2.9747370000000002</v>
      </c>
      <c r="BU49" s="97">
        <f>(BU34*BU31)/1000</f>
        <v>0.64792499999999997</v>
      </c>
      <c r="BV49" s="97">
        <f>(BV34*BV31)/1000</f>
        <v>0.73457400000000006</v>
      </c>
      <c r="BW49" s="97">
        <f>(BW34*BW31)/1000</f>
        <v>0.78399735000000004</v>
      </c>
      <c r="BX49" s="97">
        <f>(BX34*BX31)/1000</f>
        <v>0.70978658999999988</v>
      </c>
      <c r="BY49" s="96">
        <f t="shared" si="34"/>
        <v>2.8762829399999998</v>
      </c>
      <c r="BZ49" s="96">
        <f t="shared" si="34"/>
        <v>2.9050457694</v>
      </c>
      <c r="CA49" s="96">
        <f t="shared" si="34"/>
        <v>2.9050457694</v>
      </c>
      <c r="CB49" s="96">
        <f t="shared" si="34"/>
        <v>2.75979348093</v>
      </c>
      <c r="CC49" s="96">
        <f t="shared" si="34"/>
        <v>2.6218038068834999</v>
      </c>
      <c r="CD49" s="96">
        <f t="shared" si="34"/>
        <v>2.67423988302117</v>
      </c>
      <c r="CE49" s="96">
        <f t="shared" si="34"/>
        <v>2.7277246806815936</v>
      </c>
      <c r="CF49" s="96">
        <f t="shared" si="34"/>
        <v>2.7822791742952258</v>
      </c>
    </row>
    <row r="50" spans="1:84" ht="5.25" customHeight="1" x14ac:dyDescent="0.25">
      <c r="A50" s="6"/>
      <c r="B50" s="104"/>
      <c r="C50" s="104" t="s">
        <v>1059</v>
      </c>
      <c r="D50" s="104" t="s">
        <v>1059</v>
      </c>
      <c r="E50" s="104" t="s">
        <v>1059</v>
      </c>
      <c r="F50" s="104" t="s">
        <v>1059</v>
      </c>
      <c r="G50" s="105" t="s">
        <v>1059</v>
      </c>
      <c r="H50" s="104" t="s">
        <v>1059</v>
      </c>
      <c r="I50" s="104" t="s">
        <v>1059</v>
      </c>
      <c r="J50" s="104" t="s">
        <v>1059</v>
      </c>
      <c r="K50" s="104" t="s">
        <v>1059</v>
      </c>
      <c r="L50" s="105" t="s">
        <v>1059</v>
      </c>
      <c r="M50" s="104" t="s">
        <v>1059</v>
      </c>
      <c r="N50" s="104" t="s">
        <v>1059</v>
      </c>
      <c r="O50" s="104" t="s">
        <v>1059</v>
      </c>
      <c r="P50" s="104" t="s">
        <v>1059</v>
      </c>
      <c r="Q50" s="105" t="s">
        <v>1059</v>
      </c>
      <c r="R50" s="104" t="s">
        <v>1059</v>
      </c>
      <c r="S50" s="104" t="s">
        <v>1059</v>
      </c>
      <c r="T50" s="104" t="s">
        <v>1059</v>
      </c>
      <c r="U50" s="104" t="s">
        <v>1059</v>
      </c>
      <c r="V50" s="105" t="s">
        <v>1059</v>
      </c>
      <c r="W50" s="104" t="s">
        <v>1059</v>
      </c>
      <c r="X50" s="104" t="s">
        <v>1059</v>
      </c>
      <c r="Y50" s="104" t="s">
        <v>1059</v>
      </c>
      <c r="Z50" s="104" t="s">
        <v>1059</v>
      </c>
      <c r="AA50" s="105" t="s">
        <v>1059</v>
      </c>
      <c r="AB50" s="104" t="s">
        <v>1059</v>
      </c>
      <c r="AC50" s="104" t="s">
        <v>1059</v>
      </c>
      <c r="AD50" s="104" t="s">
        <v>1059</v>
      </c>
      <c r="AE50" s="104" t="s">
        <v>1059</v>
      </c>
      <c r="AF50" s="105" t="s">
        <v>1059</v>
      </c>
      <c r="AG50" s="104" t="s">
        <v>1059</v>
      </c>
      <c r="AH50" s="104" t="s">
        <v>1059</v>
      </c>
      <c r="AI50" s="104" t="s">
        <v>1059</v>
      </c>
      <c r="AJ50" s="104" t="s">
        <v>1059</v>
      </c>
      <c r="AK50" s="105" t="s">
        <v>1059</v>
      </c>
      <c r="AL50" s="104" t="s">
        <v>1059</v>
      </c>
      <c r="AM50" s="104" t="s">
        <v>1059</v>
      </c>
      <c r="AN50" s="104" t="s">
        <v>1059</v>
      </c>
      <c r="AO50" s="104" t="s">
        <v>1059</v>
      </c>
      <c r="AP50" s="105" t="s">
        <v>1059</v>
      </c>
      <c r="AQ50" s="104" t="s">
        <v>1059</v>
      </c>
      <c r="AR50" s="104" t="s">
        <v>1059</v>
      </c>
      <c r="AS50" s="104" t="s">
        <v>1059</v>
      </c>
      <c r="AT50" s="104" t="s">
        <v>1059</v>
      </c>
      <c r="AU50" s="105" t="s">
        <v>1059</v>
      </c>
      <c r="AV50" s="104" t="s">
        <v>1059</v>
      </c>
      <c r="AW50" s="104" t="s">
        <v>1059</v>
      </c>
      <c r="AX50" s="104" t="s">
        <v>1059</v>
      </c>
      <c r="AY50" s="104" t="s">
        <v>1059</v>
      </c>
      <c r="AZ50" s="105" t="s">
        <v>1059</v>
      </c>
      <c r="BA50" s="104" t="s">
        <v>1059</v>
      </c>
      <c r="BB50" s="104" t="s">
        <v>1059</v>
      </c>
      <c r="BC50" s="104" t="s">
        <v>1059</v>
      </c>
      <c r="BD50" s="104" t="s">
        <v>1059</v>
      </c>
      <c r="BE50" s="105" t="s">
        <v>1059</v>
      </c>
      <c r="BF50" s="104" t="s">
        <v>1059</v>
      </c>
      <c r="BG50" s="104" t="s">
        <v>1059</v>
      </c>
      <c r="BH50" s="104" t="s">
        <v>1059</v>
      </c>
      <c r="BI50" s="104" t="s">
        <v>1059</v>
      </c>
      <c r="BJ50" s="105" t="s">
        <v>1059</v>
      </c>
      <c r="BK50" s="104" t="s">
        <v>1059</v>
      </c>
      <c r="BL50" s="104" t="s">
        <v>1059</v>
      </c>
      <c r="BM50" s="104" t="s">
        <v>1059</v>
      </c>
      <c r="BN50" s="104" t="s">
        <v>1059</v>
      </c>
      <c r="BO50" s="105" t="s">
        <v>1059</v>
      </c>
      <c r="BP50" s="104" t="s">
        <v>1059</v>
      </c>
      <c r="BQ50" s="104" t="s">
        <v>1059</v>
      </c>
      <c r="BR50" s="104" t="s">
        <v>1059</v>
      </c>
      <c r="BS50" s="104" t="s">
        <v>1059</v>
      </c>
      <c r="BT50" s="105" t="s">
        <v>1059</v>
      </c>
      <c r="BU50" s="104" t="s">
        <v>1059</v>
      </c>
      <c r="BV50" s="104" t="s">
        <v>1059</v>
      </c>
      <c r="BW50" s="104" t="s">
        <v>1059</v>
      </c>
      <c r="BX50" s="104" t="s">
        <v>1059</v>
      </c>
      <c r="BY50" s="105" t="s">
        <v>1059</v>
      </c>
      <c r="BZ50" s="105" t="s">
        <v>1059</v>
      </c>
      <c r="CA50" s="105" t="s">
        <v>1059</v>
      </c>
      <c r="CB50" s="105" t="s">
        <v>1059</v>
      </c>
      <c r="CC50" s="105" t="s">
        <v>1059</v>
      </c>
      <c r="CD50" s="105" t="s">
        <v>1059</v>
      </c>
      <c r="CE50" s="105" t="s">
        <v>1059</v>
      </c>
      <c r="CF50" s="105" t="s">
        <v>1059</v>
      </c>
    </row>
    <row r="51" spans="1:84" ht="12" customHeight="1" x14ac:dyDescent="0.25">
      <c r="A51" s="6" t="s">
        <v>2245</v>
      </c>
      <c r="B51" s="80"/>
      <c r="C51" s="80">
        <f t="shared" ref="C51:Q51" si="35">C45+C49+C47</f>
        <v>25.619745999999999</v>
      </c>
      <c r="D51" s="92">
        <f t="shared" si="35"/>
        <v>25.613333999999998</v>
      </c>
      <c r="E51" s="92">
        <f t="shared" si="35"/>
        <v>25.675742</v>
      </c>
      <c r="F51" s="80">
        <f t="shared" si="35"/>
        <v>25.563758</v>
      </c>
      <c r="G51" s="48">
        <f t="shared" si="35"/>
        <v>102.47257999999999</v>
      </c>
      <c r="H51" s="80">
        <f t="shared" si="35"/>
        <v>24.883201999999997</v>
      </c>
      <c r="I51" s="92">
        <f t="shared" si="35"/>
        <v>27.265654000000001</v>
      </c>
      <c r="J51" s="92">
        <f t="shared" si="35"/>
        <v>24.790946000000002</v>
      </c>
      <c r="K51" s="80">
        <f t="shared" si="35"/>
        <v>23.83474</v>
      </c>
      <c r="L51" s="48">
        <f t="shared" si="35"/>
        <v>100.774542</v>
      </c>
      <c r="M51" s="80">
        <f t="shared" si="35"/>
        <v>27.946992999999992</v>
      </c>
      <c r="N51" s="92">
        <f t="shared" si="35"/>
        <v>27.930174999999991</v>
      </c>
      <c r="O51" s="92">
        <f t="shared" si="35"/>
        <v>28.046592999999991</v>
      </c>
      <c r="P51" s="80">
        <f t="shared" si="35"/>
        <v>27.992874999999991</v>
      </c>
      <c r="Q51" s="48">
        <f t="shared" si="35"/>
        <v>111.91663599999995</v>
      </c>
      <c r="R51" s="115">
        <f>+$V$51/4</f>
        <v>26.851630500000002</v>
      </c>
      <c r="S51" s="115">
        <f>+$V$51/4</f>
        <v>26.851630500000002</v>
      </c>
      <c r="T51" s="115">
        <f>+$V$51/4</f>
        <v>26.851630500000002</v>
      </c>
      <c r="U51" s="115">
        <f>+$V$51/4</f>
        <v>26.851630500000002</v>
      </c>
      <c r="V51" s="116">
        <v>107.40652200000001</v>
      </c>
      <c r="W51" s="80">
        <f t="shared" ref="W51:BE51" si="36">W45+W49+W47</f>
        <v>23.253751270698281</v>
      </c>
      <c r="X51" s="92">
        <f t="shared" si="36"/>
        <v>21.99290919799915</v>
      </c>
      <c r="Y51" s="92">
        <f t="shared" si="36"/>
        <v>20.974342574729143</v>
      </c>
      <c r="Z51" s="80">
        <f t="shared" si="36"/>
        <v>19.903332956573429</v>
      </c>
      <c r="AA51" s="48">
        <f t="shared" si="36"/>
        <v>86.124336</v>
      </c>
      <c r="AB51" s="80">
        <f t="shared" si="36"/>
        <v>19.503549999999997</v>
      </c>
      <c r="AC51" s="92">
        <f t="shared" si="36"/>
        <v>19.73395</v>
      </c>
      <c r="AD51" s="92">
        <f t="shared" si="36"/>
        <v>19.298649999999999</v>
      </c>
      <c r="AE51" s="80">
        <f t="shared" si="36"/>
        <v>19.107849999999999</v>
      </c>
      <c r="AF51" s="48">
        <f t="shared" si="36"/>
        <v>77.643999999999991</v>
      </c>
      <c r="AG51" s="80">
        <f>AG45+AG49+AG47</f>
        <v>16.879687499999999</v>
      </c>
      <c r="AH51" s="92">
        <f>AH45+AH49+AH47</f>
        <v>16.749187499999998</v>
      </c>
      <c r="AI51" s="92">
        <f>AI45+AI49+AI47</f>
        <v>16.738417499999997</v>
      </c>
      <c r="AJ51" s="80">
        <f>AJ45+AJ49+AJ47</f>
        <v>16.614619499999996</v>
      </c>
      <c r="AK51" s="48">
        <f t="shared" si="36"/>
        <v>66.981911999999994</v>
      </c>
      <c r="AL51" s="80">
        <f t="shared" si="36"/>
        <v>15.8452515</v>
      </c>
      <c r="AM51" s="92">
        <f t="shared" si="36"/>
        <v>15.987157499999999</v>
      </c>
      <c r="AN51" s="92">
        <f t="shared" si="36"/>
        <v>15.878389499999997</v>
      </c>
      <c r="AO51" s="80">
        <f t="shared" si="36"/>
        <v>15.642508499999998</v>
      </c>
      <c r="AP51" s="48">
        <f t="shared" ref="AP51:AY51" si="37">AP45+AP49+AP47</f>
        <v>63.353306999999994</v>
      </c>
      <c r="AQ51" s="80">
        <f t="shared" si="37"/>
        <v>13.173435000000001</v>
      </c>
      <c r="AR51" s="92">
        <f t="shared" si="37"/>
        <v>13.205178000000002</v>
      </c>
      <c r="AS51" s="92">
        <f t="shared" si="37"/>
        <v>13.167201000000002</v>
      </c>
      <c r="AT51" s="80">
        <f t="shared" si="37"/>
        <v>13.055988000000003</v>
      </c>
      <c r="AU51" s="48">
        <f t="shared" si="37"/>
        <v>52.601802000000006</v>
      </c>
      <c r="AV51" s="80">
        <f t="shared" si="37"/>
        <v>12.10353656625</v>
      </c>
      <c r="AW51" s="92">
        <f t="shared" si="37"/>
        <v>12.139770596249999</v>
      </c>
      <c r="AX51" s="92">
        <f t="shared" si="37"/>
        <v>12.021358226249999</v>
      </c>
      <c r="AY51" s="80">
        <f t="shared" si="37"/>
        <v>11.79014192625</v>
      </c>
      <c r="AZ51" s="48">
        <f t="shared" si="36"/>
        <v>48.054807315000005</v>
      </c>
      <c r="BA51" s="80">
        <f>BA45+BA49+BA47</f>
        <v>10.346683128750001</v>
      </c>
      <c r="BB51" s="92">
        <f>BB45+BB49+BB47</f>
        <v>10.478988438749999</v>
      </c>
      <c r="BC51" s="92">
        <f>BC45+BC49+BC47</f>
        <v>10.425037278750001</v>
      </c>
      <c r="BD51" s="80">
        <f>BD45+BD49+BD47</f>
        <v>10.337559018749999</v>
      </c>
      <c r="BE51" s="48">
        <f t="shared" si="36"/>
        <v>41.588267864999999</v>
      </c>
      <c r="BF51" s="80">
        <f t="shared" ref="BF51:CF51" si="38">BF45+BF49+BF47</f>
        <v>9.7639278149999988</v>
      </c>
      <c r="BG51" s="92">
        <f t="shared" si="38"/>
        <v>9.8386509149999988</v>
      </c>
      <c r="BH51" s="92">
        <f t="shared" si="38"/>
        <v>9.7474121549999992</v>
      </c>
      <c r="BI51" s="80">
        <f t="shared" si="38"/>
        <v>9.7148886149999996</v>
      </c>
      <c r="BJ51" s="48">
        <f t="shared" si="38"/>
        <v>39.064879499999989</v>
      </c>
      <c r="BK51" s="80">
        <f t="shared" si="38"/>
        <v>9.622224416249999</v>
      </c>
      <c r="BL51" s="92">
        <f t="shared" si="38"/>
        <v>9.6396944062500012</v>
      </c>
      <c r="BM51" s="92">
        <f t="shared" si="38"/>
        <v>9.6485994262499997</v>
      </c>
      <c r="BN51" s="80">
        <f t="shared" si="38"/>
        <v>9.5778855862500016</v>
      </c>
      <c r="BO51" s="48">
        <f t="shared" si="38"/>
        <v>38.488403835</v>
      </c>
      <c r="BP51" s="80">
        <f t="shared" si="38"/>
        <v>9.7722556912499989</v>
      </c>
      <c r="BQ51" s="92">
        <f t="shared" si="38"/>
        <v>9.6809138512499988</v>
      </c>
      <c r="BR51" s="92">
        <f t="shared" si="38"/>
        <v>9.7419543412499987</v>
      </c>
      <c r="BS51" s="80">
        <f t="shared" si="38"/>
        <v>9.61567669125</v>
      </c>
      <c r="BT51" s="48">
        <f t="shared" si="38"/>
        <v>38.810800574999995</v>
      </c>
      <c r="BU51" s="80">
        <f>BU45+BU49+BU47</f>
        <v>9.3059525990625005</v>
      </c>
      <c r="BV51" s="92">
        <f>BV45+BV49+BV47</f>
        <v>9.4268840690624991</v>
      </c>
      <c r="BW51" s="92">
        <f>BW45+BW49+BW47</f>
        <v>9.5048208071624991</v>
      </c>
      <c r="BX51" s="80">
        <f>BX45+BX49+BX47</f>
        <v>9.3772803806624996</v>
      </c>
      <c r="BY51" s="48">
        <f t="shared" si="38"/>
        <v>37.614937855949997</v>
      </c>
      <c r="BZ51" s="48">
        <f t="shared" si="38"/>
        <v>38.122337234509502</v>
      </c>
      <c r="CA51" s="48">
        <f t="shared" si="38"/>
        <v>38.122337234509502</v>
      </c>
      <c r="CB51" s="48">
        <f t="shared" si="38"/>
        <v>35.559970372784022</v>
      </c>
      <c r="CC51" s="48">
        <f t="shared" si="38"/>
        <v>33.125721854144814</v>
      </c>
      <c r="CD51" s="48">
        <f t="shared" si="38"/>
        <v>34.050736291227715</v>
      </c>
      <c r="CE51" s="48">
        <f t="shared" si="38"/>
        <v>34.994251017052271</v>
      </c>
      <c r="CF51" s="48">
        <f t="shared" si="38"/>
        <v>35.956636037393316</v>
      </c>
    </row>
    <row r="52" spans="1:84" ht="12" customHeight="1" x14ac:dyDescent="0.25">
      <c r="A52" s="6"/>
      <c r="B52" s="117"/>
      <c r="C52" s="118"/>
      <c r="D52" s="112"/>
      <c r="E52" s="112"/>
      <c r="F52" s="112"/>
      <c r="G52" s="111"/>
      <c r="H52" s="118"/>
      <c r="I52" s="112"/>
      <c r="J52" s="112"/>
      <c r="K52" s="112"/>
      <c r="L52" s="111"/>
      <c r="M52" s="112"/>
      <c r="N52" s="112"/>
      <c r="O52" s="112"/>
      <c r="P52" s="112"/>
      <c r="Q52" s="111"/>
      <c r="R52" s="112"/>
      <c r="S52" s="112"/>
      <c r="T52" s="112"/>
      <c r="U52" s="112"/>
      <c r="V52" s="111"/>
      <c r="W52" s="112"/>
      <c r="X52" s="112"/>
      <c r="Y52" s="112"/>
      <c r="Z52" s="112"/>
      <c r="AA52" s="111"/>
      <c r="AB52" s="112"/>
      <c r="AC52" s="112"/>
      <c r="AD52" s="112"/>
      <c r="AE52" s="112"/>
      <c r="AF52" s="111"/>
      <c r="AG52" s="112"/>
      <c r="AH52" s="112"/>
      <c r="AI52" s="112"/>
      <c r="AJ52" s="112"/>
      <c r="AK52" s="111"/>
      <c r="AL52" s="112"/>
      <c r="AM52" s="112"/>
      <c r="AN52" s="112"/>
      <c r="AO52" s="112"/>
      <c r="AP52" s="111"/>
      <c r="AQ52" s="112"/>
      <c r="AR52" s="112"/>
      <c r="AS52" s="112"/>
      <c r="AT52" s="112"/>
      <c r="AU52" s="111"/>
      <c r="AV52" s="112"/>
      <c r="AW52" s="112"/>
      <c r="AX52" s="112"/>
      <c r="AY52" s="112"/>
      <c r="AZ52" s="111"/>
      <c r="BA52" s="112"/>
      <c r="BB52" s="112"/>
      <c r="BC52" s="112"/>
      <c r="BD52" s="112"/>
      <c r="BE52" s="111"/>
      <c r="BF52" s="112"/>
      <c r="BG52" s="112"/>
      <c r="BH52" s="112"/>
      <c r="BI52" s="112"/>
      <c r="BJ52" s="111"/>
      <c r="BK52" s="112"/>
      <c r="BL52" s="112"/>
      <c r="BM52" s="112"/>
      <c r="BN52" s="112"/>
      <c r="BO52" s="111"/>
      <c r="BP52" s="112"/>
      <c r="BQ52" s="112"/>
      <c r="BR52" s="112"/>
      <c r="BS52" s="112"/>
      <c r="BT52" s="111"/>
      <c r="BU52" s="112"/>
      <c r="BV52" s="112"/>
      <c r="BW52" s="112"/>
      <c r="BX52" s="112"/>
      <c r="BY52" s="111"/>
      <c r="BZ52" s="111"/>
      <c r="CA52" s="111"/>
      <c r="CB52" s="111"/>
      <c r="CC52" s="111"/>
      <c r="CD52" s="111"/>
      <c r="CE52" s="111"/>
      <c r="CF52" s="111"/>
    </row>
    <row r="53" spans="1:84" ht="12" customHeight="1" x14ac:dyDescent="0.25">
      <c r="A53" s="2" t="s">
        <v>2246</v>
      </c>
      <c r="B53" s="119"/>
      <c r="C53" s="118"/>
      <c r="D53" s="112"/>
      <c r="E53" s="112"/>
      <c r="F53" s="112"/>
      <c r="G53" s="111"/>
      <c r="H53" s="118"/>
      <c r="I53" s="112"/>
      <c r="J53" s="112"/>
      <c r="K53" s="112"/>
      <c r="L53" s="111"/>
      <c r="M53" s="112"/>
      <c r="N53" s="112"/>
      <c r="O53" s="112"/>
      <c r="P53" s="112"/>
      <c r="Q53" s="111"/>
      <c r="R53" s="112"/>
      <c r="S53" s="112"/>
      <c r="T53" s="112"/>
      <c r="U53" s="112"/>
      <c r="V53" s="111"/>
      <c r="W53" s="112"/>
      <c r="X53" s="112"/>
      <c r="Y53" s="112"/>
      <c r="Z53" s="112"/>
      <c r="AA53" s="111"/>
      <c r="AB53" s="112"/>
      <c r="AC53" s="112"/>
      <c r="AD53" s="112"/>
      <c r="AE53" s="112"/>
      <c r="AF53" s="111"/>
      <c r="AG53" s="112"/>
      <c r="AH53" s="112"/>
      <c r="AI53" s="112"/>
      <c r="AJ53" s="112"/>
      <c r="AK53" s="111"/>
      <c r="AL53" s="112"/>
      <c r="AM53" s="112"/>
      <c r="AN53" s="112"/>
      <c r="AO53" s="112"/>
      <c r="AP53" s="111"/>
      <c r="AQ53" s="112"/>
      <c r="AR53" s="112"/>
      <c r="AS53" s="112"/>
      <c r="AT53" s="112"/>
      <c r="AU53" s="111"/>
      <c r="AV53" s="112"/>
      <c r="AW53" s="112"/>
      <c r="AX53" s="112"/>
      <c r="AY53" s="112"/>
      <c r="AZ53" s="111"/>
      <c r="BA53" s="112"/>
      <c r="BB53" s="112"/>
      <c r="BC53" s="112"/>
      <c r="BD53" s="112"/>
      <c r="BE53" s="111"/>
      <c r="BF53" s="112"/>
      <c r="BG53" s="112"/>
      <c r="BH53" s="112"/>
      <c r="BI53" s="112"/>
      <c r="BJ53" s="111"/>
      <c r="BK53" s="112"/>
      <c r="BL53" s="112"/>
      <c r="BM53" s="112"/>
      <c r="BN53" s="112"/>
      <c r="BO53" s="111"/>
      <c r="BP53" s="112"/>
      <c r="BQ53" s="112"/>
      <c r="BR53" s="112"/>
      <c r="BS53" s="112"/>
      <c r="BT53" s="111"/>
      <c r="BU53" s="112"/>
      <c r="BV53" s="112"/>
      <c r="BW53" s="112"/>
      <c r="BX53" s="112"/>
      <c r="BY53" s="111"/>
      <c r="BZ53" s="111"/>
      <c r="CA53" s="111"/>
      <c r="CB53" s="111"/>
      <c r="CC53" s="111"/>
      <c r="CD53" s="111"/>
      <c r="CE53" s="111"/>
      <c r="CF53" s="111"/>
    </row>
    <row r="54" spans="1:84" ht="12" customHeight="1" x14ac:dyDescent="0.25">
      <c r="A54" s="2"/>
      <c r="B54" s="119"/>
      <c r="C54" s="118"/>
      <c r="D54" s="112"/>
      <c r="E54" s="112"/>
      <c r="F54" s="112"/>
      <c r="G54" s="111"/>
      <c r="H54" s="118"/>
      <c r="I54" s="112"/>
      <c r="J54" s="112"/>
      <c r="K54" s="112"/>
      <c r="L54" s="111"/>
      <c r="M54" s="112"/>
      <c r="N54" s="112"/>
      <c r="O54" s="112"/>
      <c r="P54" s="112"/>
      <c r="Q54" s="111"/>
      <c r="R54" s="112"/>
      <c r="S54" s="112"/>
      <c r="T54" s="112"/>
      <c r="U54" s="112"/>
      <c r="V54" s="111"/>
      <c r="W54" s="112"/>
      <c r="X54" s="112"/>
      <c r="Y54" s="112"/>
      <c r="Z54" s="112"/>
      <c r="AA54" s="111"/>
      <c r="AB54" s="112"/>
      <c r="AC54" s="112"/>
      <c r="AD54" s="112"/>
      <c r="AE54" s="112"/>
      <c r="AF54" s="111"/>
      <c r="AG54" s="112"/>
      <c r="AH54" s="112"/>
      <c r="AI54" s="112"/>
      <c r="AJ54" s="112"/>
      <c r="AK54" s="111"/>
      <c r="AL54" s="112"/>
      <c r="AM54" s="112"/>
      <c r="AN54" s="112"/>
      <c r="AO54" s="112"/>
      <c r="AP54" s="111"/>
      <c r="AQ54" s="112"/>
      <c r="AR54" s="112"/>
      <c r="AS54" s="112"/>
      <c r="AT54" s="112"/>
      <c r="AU54" s="111"/>
      <c r="AV54" s="112"/>
      <c r="AW54" s="112"/>
      <c r="AX54" s="112"/>
      <c r="AY54" s="112"/>
      <c r="AZ54" s="111"/>
      <c r="BA54" s="112"/>
      <c r="BB54" s="112"/>
      <c r="BC54" s="112"/>
      <c r="BD54" s="112"/>
      <c r="BE54" s="111"/>
      <c r="BF54" s="112"/>
      <c r="BG54" s="112"/>
      <c r="BH54" s="112"/>
      <c r="BI54" s="112"/>
      <c r="BJ54" s="111"/>
      <c r="BK54" s="112"/>
      <c r="BL54" s="112"/>
      <c r="BM54" s="112"/>
      <c r="BN54" s="112"/>
      <c r="BO54" s="111"/>
      <c r="BP54" s="112"/>
      <c r="BQ54" s="112"/>
      <c r="BR54" s="112"/>
      <c r="BS54" s="112"/>
      <c r="BT54" s="111"/>
      <c r="BU54" s="112"/>
      <c r="BV54" s="112"/>
      <c r="BW54" s="112"/>
      <c r="BX54" s="112"/>
      <c r="BY54" s="111"/>
      <c r="BZ54" s="111"/>
      <c r="CA54" s="111"/>
      <c r="CB54" s="111"/>
      <c r="CC54" s="111"/>
      <c r="CD54" s="111"/>
      <c r="CE54" s="111"/>
      <c r="CF54" s="111"/>
    </row>
    <row r="55" spans="1:84" ht="12" customHeight="1" x14ac:dyDescent="0.25">
      <c r="A55" s="2"/>
      <c r="B55" s="119"/>
      <c r="C55" s="118"/>
      <c r="D55" s="112"/>
      <c r="E55" s="112"/>
      <c r="F55" s="112"/>
      <c r="G55" s="111"/>
      <c r="H55" s="118"/>
      <c r="I55" s="112"/>
      <c r="J55" s="112"/>
      <c r="K55" s="112"/>
      <c r="L55" s="111"/>
      <c r="M55" s="112"/>
      <c r="N55" s="112"/>
      <c r="O55" s="112"/>
      <c r="P55" s="112"/>
      <c r="Q55" s="111"/>
      <c r="R55" s="112"/>
      <c r="S55" s="112"/>
      <c r="T55" s="112"/>
      <c r="U55" s="112"/>
      <c r="V55" s="111"/>
      <c r="W55" s="112"/>
      <c r="X55" s="112"/>
      <c r="Y55" s="112"/>
      <c r="Z55" s="112"/>
      <c r="AA55" s="111"/>
      <c r="AB55" s="112"/>
      <c r="AC55" s="112"/>
      <c r="AD55" s="112"/>
      <c r="AE55" s="112"/>
      <c r="AF55" s="111"/>
      <c r="AG55" s="112"/>
      <c r="AH55" s="112"/>
      <c r="AI55" s="112"/>
      <c r="AJ55" s="112"/>
      <c r="AK55" s="111"/>
      <c r="AL55" s="112"/>
      <c r="AM55" s="112"/>
      <c r="AN55" s="112"/>
      <c r="AO55" s="112"/>
      <c r="AP55" s="111"/>
      <c r="AQ55" s="112"/>
      <c r="AR55" s="112"/>
      <c r="AS55" s="112"/>
      <c r="AT55" s="112"/>
      <c r="AU55" s="111"/>
      <c r="AV55" s="112"/>
      <c r="AW55" s="112"/>
      <c r="AX55" s="112"/>
      <c r="AY55" s="112"/>
      <c r="AZ55" s="111"/>
      <c r="BA55" s="112"/>
      <c r="BB55" s="112"/>
      <c r="BC55" s="112"/>
      <c r="BD55" s="112"/>
      <c r="BE55" s="111"/>
      <c r="BF55" s="112"/>
      <c r="BG55" s="112"/>
      <c r="BH55" s="112"/>
      <c r="BI55" s="112"/>
      <c r="BJ55" s="111"/>
      <c r="BK55" s="112"/>
      <c r="BL55" s="112"/>
      <c r="BM55" s="112"/>
      <c r="BN55" s="112"/>
      <c r="BO55" s="111"/>
      <c r="BP55" s="112"/>
      <c r="BQ55" s="112"/>
      <c r="BR55" s="112"/>
      <c r="BS55" s="112"/>
      <c r="BT55" s="111"/>
      <c r="BU55" s="112"/>
      <c r="BV55" s="112"/>
      <c r="BW55" s="112"/>
      <c r="BX55" s="112"/>
      <c r="BY55" s="111"/>
      <c r="BZ55" s="111"/>
      <c r="CA55" s="111"/>
      <c r="CB55" s="111"/>
      <c r="CC55" s="111"/>
      <c r="CD55" s="111"/>
      <c r="CE55" s="111"/>
      <c r="CF55" s="111"/>
    </row>
    <row r="56" spans="1:84" ht="12" customHeight="1" x14ac:dyDescent="0.25">
      <c r="A56" s="75" t="s">
        <v>555</v>
      </c>
      <c r="B56" s="2"/>
      <c r="C56" s="76"/>
      <c r="D56" s="4"/>
      <c r="E56" s="4"/>
      <c r="F56" s="4"/>
      <c r="G56" s="55"/>
      <c r="H56" s="76"/>
      <c r="I56" s="4"/>
      <c r="J56" s="4"/>
      <c r="K56" s="4"/>
      <c r="L56" s="55"/>
      <c r="M56" s="4"/>
      <c r="N56" s="4"/>
      <c r="O56" s="4"/>
      <c r="P56" s="4"/>
      <c r="Q56" s="55"/>
      <c r="R56" s="4"/>
      <c r="S56" s="4"/>
      <c r="T56" s="4"/>
      <c r="U56" s="4"/>
      <c r="V56" s="55"/>
      <c r="W56" s="4"/>
      <c r="X56" s="4"/>
      <c r="Y56" s="4"/>
      <c r="Z56" s="4"/>
      <c r="AA56" s="55"/>
      <c r="AB56" s="4"/>
      <c r="AC56" s="4"/>
      <c r="AD56" s="4"/>
      <c r="AE56" s="4"/>
      <c r="AF56" s="55"/>
      <c r="AG56" s="4"/>
      <c r="AH56" s="4"/>
      <c r="AI56" s="4"/>
      <c r="AJ56" s="4"/>
      <c r="AK56" s="55"/>
      <c r="AL56" s="4"/>
      <c r="AM56" s="4"/>
      <c r="AN56" s="4"/>
      <c r="AO56" s="4"/>
      <c r="AP56" s="55"/>
      <c r="AQ56" s="4"/>
      <c r="AR56" s="4"/>
      <c r="AS56" s="4"/>
      <c r="AT56" s="4"/>
      <c r="AU56" s="55"/>
      <c r="AV56" s="4"/>
      <c r="AW56" s="4"/>
      <c r="AX56" s="4"/>
      <c r="AY56" s="4"/>
      <c r="AZ56" s="55"/>
      <c r="BA56" s="4"/>
      <c r="BB56" s="4"/>
      <c r="BC56" s="4"/>
      <c r="BD56" s="4"/>
      <c r="BE56" s="55"/>
      <c r="BF56" s="4"/>
      <c r="BG56" s="4"/>
      <c r="BH56" s="4"/>
      <c r="BI56" s="4"/>
      <c r="BJ56" s="55"/>
      <c r="BK56" s="4"/>
      <c r="BL56" s="4"/>
      <c r="BM56" s="4"/>
      <c r="BN56" s="4"/>
      <c r="BO56" s="55"/>
      <c r="BP56" s="4"/>
      <c r="BQ56" s="4"/>
      <c r="BR56" s="4"/>
      <c r="BS56" s="4"/>
      <c r="BT56" s="55"/>
      <c r="BU56" s="4"/>
      <c r="BV56" s="4"/>
      <c r="BW56" s="4"/>
      <c r="BX56" s="4"/>
      <c r="BY56" s="55"/>
      <c r="BZ56" s="55"/>
      <c r="CA56" s="55"/>
      <c r="CB56" s="55"/>
      <c r="CC56" s="55"/>
      <c r="CD56" s="55"/>
      <c r="CE56" s="55"/>
      <c r="CF56" s="55"/>
    </row>
    <row r="57" spans="1:84" ht="12" customHeight="1" x14ac:dyDescent="0.25">
      <c r="A57" s="2" t="s">
        <v>2247</v>
      </c>
      <c r="B57" s="71"/>
      <c r="C57" s="71">
        <v>4.3</v>
      </c>
      <c r="D57" s="71">
        <v>4.3</v>
      </c>
      <c r="E57" s="71">
        <v>4.3</v>
      </c>
      <c r="F57" s="71">
        <v>4.3</v>
      </c>
      <c r="G57" s="72">
        <v>4.3</v>
      </c>
      <c r="H57" s="71">
        <v>4.3</v>
      </c>
      <c r="I57" s="71">
        <v>4.3</v>
      </c>
      <c r="J57" s="78">
        <v>3</v>
      </c>
      <c r="K57" s="78">
        <v>3</v>
      </c>
      <c r="L57" s="79">
        <v>3</v>
      </c>
      <c r="M57" s="78">
        <v>3</v>
      </c>
      <c r="N57" s="78">
        <v>3</v>
      </c>
      <c r="O57" s="78">
        <v>3</v>
      </c>
      <c r="P57" s="78">
        <v>3</v>
      </c>
      <c r="Q57" s="79">
        <v>3</v>
      </c>
      <c r="R57" s="78">
        <v>3</v>
      </c>
      <c r="S57" s="78">
        <v>3</v>
      </c>
      <c r="T57" s="78">
        <v>3</v>
      </c>
      <c r="U57" s="78">
        <v>3</v>
      </c>
      <c r="V57" s="79">
        <v>3</v>
      </c>
      <c r="W57" s="78">
        <v>3</v>
      </c>
      <c r="X57" s="78">
        <v>3</v>
      </c>
      <c r="Y57" s="78">
        <v>3</v>
      </c>
      <c r="Z57" s="78">
        <v>3</v>
      </c>
      <c r="AA57" s="79">
        <v>3</v>
      </c>
      <c r="AB57" s="74">
        <v>3</v>
      </c>
      <c r="AC57" s="74">
        <v>3</v>
      </c>
      <c r="AD57" s="74">
        <v>3</v>
      </c>
      <c r="AE57" s="74">
        <v>3</v>
      </c>
      <c r="AF57" s="79">
        <v>3</v>
      </c>
      <c r="AG57" s="74">
        <v>3</v>
      </c>
      <c r="AH57" s="74">
        <v>3</v>
      </c>
      <c r="AI57" s="74">
        <v>3</v>
      </c>
      <c r="AJ57" s="74">
        <v>3</v>
      </c>
      <c r="AK57" s="72">
        <v>3</v>
      </c>
      <c r="AL57" s="74">
        <v>3</v>
      </c>
      <c r="AM57" s="74">
        <v>3</v>
      </c>
      <c r="AN57" s="74">
        <v>3</v>
      </c>
      <c r="AO57" s="74">
        <v>3</v>
      </c>
      <c r="AP57" s="72">
        <v>3</v>
      </c>
      <c r="AQ57" s="74">
        <v>3</v>
      </c>
      <c r="AR57" s="74">
        <v>3</v>
      </c>
      <c r="AS57" s="74">
        <v>3</v>
      </c>
      <c r="AT57" s="74">
        <v>3</v>
      </c>
      <c r="AU57" s="72">
        <v>3</v>
      </c>
      <c r="AV57" s="74">
        <v>3</v>
      </c>
      <c r="AW57" s="74">
        <v>3</v>
      </c>
      <c r="AX57" s="74">
        <v>3</v>
      </c>
      <c r="AY57" s="2895">
        <v>3</v>
      </c>
      <c r="AZ57" s="2895">
        <v>3</v>
      </c>
      <c r="BA57" s="74">
        <v>3</v>
      </c>
      <c r="BB57" s="74">
        <v>3</v>
      </c>
      <c r="BC57" s="74">
        <v>3</v>
      </c>
      <c r="BD57" s="74">
        <v>3</v>
      </c>
      <c r="BE57" s="72">
        <v>3</v>
      </c>
      <c r="BF57" s="74">
        <v>3</v>
      </c>
      <c r="BG57" s="74">
        <v>3</v>
      </c>
      <c r="BH57" s="74">
        <v>3</v>
      </c>
      <c r="BI57" s="2895">
        <v>3</v>
      </c>
      <c r="BJ57" s="72">
        <v>3</v>
      </c>
      <c r="BK57" s="74">
        <v>3</v>
      </c>
      <c r="BL57" s="74">
        <v>3</v>
      </c>
      <c r="BM57" s="74">
        <v>3</v>
      </c>
      <c r="BN57" s="2895">
        <v>3</v>
      </c>
      <c r="BO57" s="72">
        <v>3</v>
      </c>
      <c r="BP57" s="74">
        <v>3</v>
      </c>
      <c r="BQ57" s="74">
        <v>3</v>
      </c>
      <c r="BR57" s="74">
        <v>3</v>
      </c>
      <c r="BS57" s="2895">
        <v>3</v>
      </c>
      <c r="BT57" s="72">
        <v>3</v>
      </c>
      <c r="BU57" s="74">
        <v>3</v>
      </c>
      <c r="BV57" s="74">
        <v>3</v>
      </c>
      <c r="BW57" s="74">
        <v>3</v>
      </c>
      <c r="BX57" s="2895">
        <v>3</v>
      </c>
      <c r="BY57" s="72">
        <v>3</v>
      </c>
      <c r="BZ57" s="72">
        <v>3</v>
      </c>
      <c r="CA57" s="72">
        <v>3</v>
      </c>
      <c r="CB57" s="72">
        <v>3</v>
      </c>
      <c r="CC57" s="72">
        <v>3</v>
      </c>
      <c r="CD57" s="72">
        <v>3</v>
      </c>
      <c r="CE57" s="72">
        <v>3</v>
      </c>
      <c r="CF57" s="72">
        <v>3</v>
      </c>
    </row>
    <row r="58" spans="1:84" ht="12" customHeight="1" x14ac:dyDescent="0.25">
      <c r="A58" s="2"/>
      <c r="B58" s="71"/>
      <c r="C58" s="71"/>
      <c r="D58" s="71"/>
      <c r="E58" s="71"/>
      <c r="F58" s="71"/>
      <c r="G58" s="72"/>
      <c r="H58" s="71"/>
      <c r="I58" s="71"/>
      <c r="J58" s="71"/>
      <c r="K58" s="71"/>
      <c r="L58" s="72"/>
      <c r="M58" s="71"/>
      <c r="N58" s="71"/>
      <c r="O58" s="71"/>
      <c r="P58" s="71"/>
      <c r="Q58" s="72"/>
      <c r="R58" s="71"/>
      <c r="S58" s="71"/>
      <c r="T58" s="71"/>
      <c r="U58" s="71"/>
      <c r="V58" s="72"/>
      <c r="W58" s="71"/>
      <c r="X58" s="71"/>
      <c r="Y58" s="71"/>
      <c r="Z58" s="71"/>
      <c r="AA58" s="72"/>
      <c r="AB58" s="71"/>
      <c r="AC58" s="71"/>
      <c r="AD58" s="71"/>
      <c r="AE58" s="71"/>
      <c r="AF58" s="72"/>
      <c r="AG58" s="71"/>
      <c r="AH58" s="71"/>
      <c r="AI58" s="71"/>
      <c r="AJ58" s="71"/>
      <c r="AK58" s="222"/>
      <c r="AL58" s="71"/>
      <c r="AM58" s="71"/>
      <c r="AN58" s="71"/>
      <c r="AO58" s="71"/>
      <c r="AP58" s="222"/>
      <c r="AQ58" s="71"/>
      <c r="AR58" s="71"/>
      <c r="AS58" s="71"/>
      <c r="AT58" s="71"/>
      <c r="AU58" s="222"/>
      <c r="AV58" s="71"/>
      <c r="AW58" s="71"/>
      <c r="AX58" s="71"/>
      <c r="AY58" s="2895"/>
      <c r="AZ58" s="2903"/>
      <c r="BA58" s="71"/>
      <c r="BB58" s="71"/>
      <c r="BC58" s="71"/>
      <c r="BD58" s="2895"/>
      <c r="BE58" s="2903"/>
      <c r="BF58" s="71"/>
      <c r="BG58" s="71"/>
      <c r="BH58" s="71"/>
      <c r="BI58" s="2895"/>
      <c r="BJ58" s="222"/>
      <c r="BK58" s="71"/>
      <c r="BL58" s="71"/>
      <c r="BM58" s="71"/>
      <c r="BN58" s="2895"/>
      <c r="BO58" s="222"/>
      <c r="BP58" s="71"/>
      <c r="BQ58" s="71"/>
      <c r="BR58" s="71"/>
      <c r="BS58" s="2895"/>
      <c r="BT58" s="222"/>
      <c r="BU58" s="71"/>
      <c r="BV58" s="71"/>
      <c r="BW58" s="71"/>
      <c r="BX58" s="2895"/>
      <c r="BY58" s="222"/>
      <c r="BZ58" s="222"/>
      <c r="CA58" s="222"/>
      <c r="CB58" s="222"/>
      <c r="CC58" s="222"/>
      <c r="CD58" s="222"/>
      <c r="CE58" s="222"/>
      <c r="CF58" s="222"/>
    </row>
    <row r="59" spans="1:84" ht="12" customHeight="1" x14ac:dyDescent="0.25">
      <c r="A59" s="2" t="s">
        <v>2254</v>
      </c>
      <c r="B59" s="34"/>
      <c r="C59" s="34">
        <v>27.186</v>
      </c>
      <c r="D59" s="34">
        <v>25.901</v>
      </c>
      <c r="E59" s="34">
        <v>27.774000000000001</v>
      </c>
      <c r="F59" s="34">
        <v>26.306999999999999</v>
      </c>
      <c r="G59" s="111">
        <v>107.16800000000001</v>
      </c>
      <c r="H59" s="34">
        <v>28.306000000000001</v>
      </c>
      <c r="I59" s="34">
        <v>28.021999999999998</v>
      </c>
      <c r="J59" s="34">
        <v>29.758000000000003</v>
      </c>
      <c r="K59" s="34">
        <v>27.506</v>
      </c>
      <c r="L59" s="111">
        <v>113.59200000000001</v>
      </c>
      <c r="M59" s="34">
        <v>31.008999999999997</v>
      </c>
      <c r="N59" s="34">
        <v>29.8</v>
      </c>
      <c r="O59" s="34">
        <v>30.916000000000004</v>
      </c>
      <c r="P59" s="34">
        <v>29.974000000000004</v>
      </c>
      <c r="Q59" s="111">
        <v>121.699</v>
      </c>
      <c r="R59" s="34">
        <v>32.373999999999995</v>
      </c>
      <c r="S59" s="34">
        <v>32.104999999999997</v>
      </c>
      <c r="T59" s="34">
        <v>31.842000000000002</v>
      </c>
      <c r="U59" s="34">
        <v>29.385000000000002</v>
      </c>
      <c r="V59" s="111">
        <v>125.70599999999999</v>
      </c>
      <c r="W59" s="34">
        <v>24.220999999999997</v>
      </c>
      <c r="X59" s="34">
        <v>23.532</v>
      </c>
      <c r="Y59" s="34">
        <v>23.462</v>
      </c>
      <c r="Z59" s="34">
        <v>20.236000000000001</v>
      </c>
      <c r="AA59" s="111">
        <v>91.451000000000008</v>
      </c>
      <c r="AB59" s="34">
        <f>PENN!AB$855</f>
        <v>21.9</v>
      </c>
      <c r="AC59" s="34">
        <f>PENN!AC$855</f>
        <v>22</v>
      </c>
      <c r="AD59" s="34">
        <f>PENN!AD$855</f>
        <v>21.4</v>
      </c>
      <c r="AE59" s="34">
        <f>PENN!AE$855</f>
        <v>18.899999999999999</v>
      </c>
      <c r="AF59" s="34">
        <f>PENN!AF$855</f>
        <v>84.199999999999989</v>
      </c>
      <c r="AG59" s="34">
        <f>PENN!AG$855</f>
        <v>20.2</v>
      </c>
      <c r="AH59" s="34">
        <f>PENN!AH$855</f>
        <v>19.5</v>
      </c>
      <c r="AI59" s="34">
        <f>PENN!AI$855</f>
        <v>19.7</v>
      </c>
      <c r="AJ59" s="34">
        <f>PENN!AJ$855</f>
        <v>17.905999999999999</v>
      </c>
      <c r="AK59" s="34">
        <f>PENN!AK$855</f>
        <v>77.306000000000012</v>
      </c>
      <c r="AL59" s="34">
        <f>PENN!AL$855</f>
        <v>18.998999999999999</v>
      </c>
      <c r="AM59" s="34">
        <f>PENN!AM$855</f>
        <v>19.192999999999998</v>
      </c>
      <c r="AN59" s="34">
        <f>PENN!AN$855</f>
        <v>17.977</v>
      </c>
      <c r="AO59" s="34">
        <f>PENN!AO$855</f>
        <v>16.920999999999999</v>
      </c>
      <c r="AP59" s="34">
        <f>PENN!AP$855</f>
        <v>73.09</v>
      </c>
      <c r="AQ59" s="34">
        <f>PENN!AQ$855</f>
        <v>18.036000000000001</v>
      </c>
      <c r="AR59" s="34">
        <f>PENN!AR$855</f>
        <v>18.003999999999998</v>
      </c>
      <c r="AS59" s="34">
        <f>PENN!AS$855</f>
        <v>18.02</v>
      </c>
      <c r="AT59" s="34">
        <f>PENN!AT$855</f>
        <v>16.910999999999998</v>
      </c>
      <c r="AU59" s="34">
        <f>PENN!AU$855</f>
        <v>70.971000000000004</v>
      </c>
      <c r="AV59" s="34">
        <f>PENN!AV$855</f>
        <v>17.537926000000002</v>
      </c>
      <c r="AW59" s="34">
        <f>PENN!AW$855</f>
        <v>16.058562999999999</v>
      </c>
      <c r="AX59" s="34">
        <f>PENN!AX$855</f>
        <v>16.037262999999999</v>
      </c>
      <c r="AY59" s="2897">
        <f>PENN!AY$855</f>
        <v>14.629350000000001</v>
      </c>
      <c r="AZ59" s="2897">
        <f>PENN!AZ$855</f>
        <v>64.263102000000003</v>
      </c>
      <c r="BA59" s="34">
        <f>PENN!BA$855</f>
        <v>14.669376</v>
      </c>
      <c r="BB59" s="34">
        <f>PENN!BB$855</f>
        <v>14.479374</v>
      </c>
      <c r="BC59" s="34">
        <f>PENN!BC$855</f>
        <v>14.215969000000001</v>
      </c>
      <c r="BD59" s="2897">
        <f>PENN!BD$855</f>
        <v>13.181482000000001</v>
      </c>
      <c r="BE59" s="2897">
        <f>PENN!BE$855</f>
        <v>56.546201000000003</v>
      </c>
      <c r="BF59" s="34">
        <f>PENN!BF$855</f>
        <v>14.446052999999999</v>
      </c>
      <c r="BG59" s="34">
        <f>PENN!BG$855</f>
        <v>14.771667000000001</v>
      </c>
      <c r="BH59" s="34">
        <f>PENN!BH$855</f>
        <v>13.604216000000001</v>
      </c>
      <c r="BI59" s="2897">
        <f>PENN!BI$855</f>
        <v>11.756263000000001</v>
      </c>
      <c r="BJ59" s="111">
        <f>PENN!BJ$855</f>
        <v>54.578198999999998</v>
      </c>
      <c r="BK59" s="34">
        <f>PENN!BK$855</f>
        <v>12.376076999999999</v>
      </c>
      <c r="BL59" s="34">
        <f>PENN!BL$855</f>
        <v>12.7</v>
      </c>
      <c r="BM59" s="34">
        <f>PENN!BM$855</f>
        <v>12.912684</v>
      </c>
      <c r="BN59" s="2897">
        <f>PENN!BN$855</f>
        <v>11.222885</v>
      </c>
      <c r="BO59" s="111">
        <f>PENN!BO$855</f>
        <v>49.211645999999995</v>
      </c>
      <c r="BP59" s="34">
        <f>PENN!BP$855</f>
        <v>12.389593000000001</v>
      </c>
      <c r="BQ59" s="34">
        <f>PENN!BQ$855</f>
        <v>11.732147000000001</v>
      </c>
      <c r="BR59" s="34">
        <f>PENN!BR$855</f>
        <v>12.470331</v>
      </c>
      <c r="BS59" s="2897">
        <f>PENN!BS$855</f>
        <v>11.376583999999999</v>
      </c>
      <c r="BT59" s="111">
        <f>PENN!BT$855</f>
        <v>47.968655000000005</v>
      </c>
      <c r="BU59" s="34">
        <f>PENN!BU$855</f>
        <v>11.551483000000001</v>
      </c>
      <c r="BV59" s="34">
        <f>PENN!BV$855</f>
        <v>12.201432880000002</v>
      </c>
      <c r="BW59" s="34">
        <f>PENN!BW$855</f>
        <v>12.595034309999999</v>
      </c>
      <c r="BX59" s="2897">
        <f>PENN!BX$855</f>
        <v>11.490349839999999</v>
      </c>
      <c r="BY59" s="111">
        <f>PENN!BY$855</f>
        <v>47.838300030000006</v>
      </c>
      <c r="BZ59" s="111">
        <f>PENN!BZ$855</f>
        <v>47.838300030000006</v>
      </c>
      <c r="CA59" s="111">
        <f>PENN!CA$855</f>
        <v>46.881534029400008</v>
      </c>
      <c r="CB59" s="111">
        <f>PENN!CB$855</f>
        <v>44.537457327930007</v>
      </c>
      <c r="CC59" s="111">
        <f>PENN!CC$855</f>
        <v>42.310584461533502</v>
      </c>
      <c r="CD59" s="111">
        <f>PENN!CD$855</f>
        <v>43.156796150764173</v>
      </c>
      <c r="CE59" s="111">
        <f>PENN!CE$855</f>
        <v>44.019932073779458</v>
      </c>
      <c r="CF59" s="111">
        <f>PENN!CF$855</f>
        <v>44.900330715255045</v>
      </c>
    </row>
    <row r="60" spans="1:84" ht="12" customHeight="1" x14ac:dyDescent="0.25">
      <c r="A60" s="2" t="s">
        <v>1057</v>
      </c>
      <c r="B60" s="120"/>
      <c r="C60" s="120">
        <v>348.98599999999999</v>
      </c>
      <c r="D60" s="120">
        <v>347.90499999999997</v>
      </c>
      <c r="E60" s="120">
        <v>375.59899999999999</v>
      </c>
      <c r="F60" s="120">
        <v>338.089</v>
      </c>
      <c r="G60" s="121">
        <v>1410.579</v>
      </c>
      <c r="H60" s="120">
        <v>351.072</v>
      </c>
      <c r="I60" s="120">
        <v>359.8</v>
      </c>
      <c r="J60" s="120">
        <v>386.91099999999994</v>
      </c>
      <c r="K60" s="120">
        <v>350.21600000000001</v>
      </c>
      <c r="L60" s="121">
        <v>1447.9989999999998</v>
      </c>
      <c r="M60" s="120">
        <v>378.39799999999997</v>
      </c>
      <c r="N60" s="120">
        <v>361.4</v>
      </c>
      <c r="O60" s="120">
        <v>381.77099999999996</v>
      </c>
      <c r="P60" s="120">
        <v>347.68600000000004</v>
      </c>
      <c r="Q60" s="121">
        <v>1469.2550000000001</v>
      </c>
      <c r="R60" s="120">
        <v>357.32799999999997</v>
      </c>
      <c r="S60" s="120">
        <v>368.72899999999998</v>
      </c>
      <c r="T60" s="120">
        <v>380.54</v>
      </c>
      <c r="U60" s="120">
        <v>380.54</v>
      </c>
      <c r="V60" s="121">
        <v>1487.1369999999999</v>
      </c>
      <c r="W60" s="120">
        <v>312.46299999999997</v>
      </c>
      <c r="X60" s="120">
        <v>301.05099999999999</v>
      </c>
      <c r="Y60" s="120">
        <v>309.803</v>
      </c>
      <c r="Z60" s="120">
        <v>269.06100000000004</v>
      </c>
      <c r="AA60" s="121">
        <v>1192.3779999999999</v>
      </c>
      <c r="AB60" s="120">
        <f>PENN!AB$852</f>
        <v>290.60000000000002</v>
      </c>
      <c r="AC60" s="120">
        <f>PENN!AC$852</f>
        <v>296</v>
      </c>
      <c r="AD60" s="120">
        <f>PENN!AD$852</f>
        <v>311.8</v>
      </c>
      <c r="AE60" s="120">
        <f>PENN!AE$852</f>
        <v>260.39999999999998</v>
      </c>
      <c r="AF60" s="120">
        <f>PENN!AF$852</f>
        <v>1158.8000000000002</v>
      </c>
      <c r="AG60" s="120">
        <f>PENN!AG$852</f>
        <v>269.89999999999998</v>
      </c>
      <c r="AH60" s="120">
        <f>PENN!AH$852</f>
        <v>264.89999999999998</v>
      </c>
      <c r="AI60" s="120">
        <f>PENN!AI$852</f>
        <v>265.03899999999999</v>
      </c>
      <c r="AJ60" s="120">
        <f>PENN!AJ$852</f>
        <v>235.2</v>
      </c>
      <c r="AK60" s="120">
        <f>PENN!AK$852</f>
        <v>1035.039</v>
      </c>
      <c r="AL60" s="120">
        <f>PENN!AL$852</f>
        <v>236.5</v>
      </c>
      <c r="AM60" s="120">
        <f>PENN!AM$852</f>
        <v>246.01799999999997</v>
      </c>
      <c r="AN60" s="120">
        <f>PENN!AN$852</f>
        <v>247.85099999999997</v>
      </c>
      <c r="AO60" s="120">
        <f>PENN!AO$852</f>
        <v>213.29300000000001</v>
      </c>
      <c r="AP60" s="120">
        <f>PENN!AP$852</f>
        <v>943.66199999999992</v>
      </c>
      <c r="AQ60" s="120">
        <f>PENN!AQ$852</f>
        <v>220.637</v>
      </c>
      <c r="AR60" s="120">
        <f>PENN!AR$852</f>
        <v>218.87699999999998</v>
      </c>
      <c r="AS60" s="120">
        <f>PENN!AS$852</f>
        <v>232.19100000000003</v>
      </c>
      <c r="AT60" s="120">
        <f>PENN!AT$852</f>
        <v>204.80100000000002</v>
      </c>
      <c r="AU60" s="120">
        <f>PENN!AU$852</f>
        <v>876.50600000000009</v>
      </c>
      <c r="AV60" s="120">
        <f>PENN!AV$852</f>
        <v>199.94200000000001</v>
      </c>
      <c r="AW60" s="120">
        <f>PENN!AW$852</f>
        <v>181.92199999999997</v>
      </c>
      <c r="AX60" s="120">
        <f>PENN!AX$852</f>
        <v>197.14099999999999</v>
      </c>
      <c r="AY60" s="2898">
        <f>PENN!AY$852</f>
        <v>174.291</v>
      </c>
      <c r="AZ60" s="2898">
        <f>PENN!AZ$852</f>
        <v>753.29600000000005</v>
      </c>
      <c r="BA60" s="120">
        <f>PENN!BA$852</f>
        <v>161.833</v>
      </c>
      <c r="BB60" s="120">
        <f>PENN!BB$852</f>
        <v>168.196</v>
      </c>
      <c r="BC60" s="120">
        <f>PENN!BC$852</f>
        <v>165.72400000000002</v>
      </c>
      <c r="BD60" s="2898">
        <f>PENN!BD$852</f>
        <v>153.13</v>
      </c>
      <c r="BE60" s="2898">
        <f>PENN!BE$852</f>
        <v>648.88300000000004</v>
      </c>
      <c r="BF60" s="120">
        <f>PENN!BF$852</f>
        <v>155.44399999999999</v>
      </c>
      <c r="BG60" s="120">
        <f>PENN!BG$852</f>
        <v>151.268</v>
      </c>
      <c r="BH60" s="120">
        <f>PENN!BH$852</f>
        <v>146.059</v>
      </c>
      <c r="BI60" s="2898">
        <f>PENN!BI$852</f>
        <v>122.274</v>
      </c>
      <c r="BJ60" s="121">
        <f>PENN!BJ$852</f>
        <v>575.04499999999996</v>
      </c>
      <c r="BK60" s="120">
        <f>PENN!BK$852</f>
        <v>126.099</v>
      </c>
      <c r="BL60" s="120">
        <f>PENN!BL$852</f>
        <v>140.30000000000001</v>
      </c>
      <c r="BM60" s="120">
        <f>PENN!BM$852</f>
        <v>142.22800000000001</v>
      </c>
      <c r="BN60" s="2898">
        <f>PENN!BN$852</f>
        <v>122.244</v>
      </c>
      <c r="BO60" s="121">
        <f>PENN!BO$852</f>
        <v>530.87099999999998</v>
      </c>
      <c r="BP60" s="120">
        <f>PENN!BP$852</f>
        <v>125.23499999999999</v>
      </c>
      <c r="BQ60" s="120">
        <f>PENN!BQ$852</f>
        <v>119.63200000000001</v>
      </c>
      <c r="BR60" s="120">
        <f>PENN!BR$852</f>
        <v>132.86000000000001</v>
      </c>
      <c r="BS60" s="2898">
        <f>PENN!BS$852</f>
        <v>117.09399999999999</v>
      </c>
      <c r="BT60" s="121">
        <f>PENN!BT$852</f>
        <v>494.82099999999997</v>
      </c>
      <c r="BU60" s="120">
        <f>PENN!BU$852</f>
        <v>116.76331688256424</v>
      </c>
      <c r="BV60" s="120">
        <f>PENN!BV$852</f>
        <v>124.41728000000001</v>
      </c>
      <c r="BW60" s="120">
        <f>PENN!BW$852</f>
        <v>134.18860000000001</v>
      </c>
      <c r="BX60" s="2898">
        <f>PENN!BX$852</f>
        <v>118.26494</v>
      </c>
      <c r="BY60" s="121">
        <f>PENN!BY$852</f>
        <v>493.63413688256423</v>
      </c>
      <c r="BZ60" s="121">
        <f>PENN!BZ$852</f>
        <v>493.63413688256423</v>
      </c>
      <c r="CA60" s="121">
        <f>PENN!CA$852</f>
        <v>483.76145414491293</v>
      </c>
      <c r="CB60" s="121">
        <f>PENN!CB$852</f>
        <v>459.57338143766725</v>
      </c>
      <c r="CC60" s="121">
        <f>PENN!CC$852</f>
        <v>436.59471236578389</v>
      </c>
      <c r="CD60" s="121">
        <f>PENN!CD$852</f>
        <v>445.32660661309956</v>
      </c>
      <c r="CE60" s="121">
        <f>PENN!CE$852</f>
        <v>454.23313874536154</v>
      </c>
      <c r="CF60" s="121">
        <f>PENN!CF$852</f>
        <v>463.3178015202688</v>
      </c>
    </row>
    <row r="61" spans="1:84" ht="12" customHeight="1" x14ac:dyDescent="0.25">
      <c r="A61" s="2"/>
      <c r="B61" s="35"/>
      <c r="C61" s="124"/>
      <c r="D61" s="125"/>
      <c r="E61" s="125"/>
      <c r="F61" s="125"/>
      <c r="G61" s="123"/>
      <c r="H61" s="124"/>
      <c r="I61" s="125"/>
      <c r="J61" s="125"/>
      <c r="K61" s="125"/>
      <c r="L61" s="123"/>
      <c r="M61" s="124"/>
      <c r="N61" s="125"/>
      <c r="O61" s="125"/>
      <c r="P61" s="125"/>
      <c r="Q61" s="123"/>
      <c r="R61" s="124"/>
      <c r="S61" s="125"/>
      <c r="T61" s="125"/>
      <c r="U61" s="125"/>
      <c r="V61" s="123"/>
      <c r="W61" s="124"/>
      <c r="X61" s="125"/>
      <c r="Y61" s="125"/>
      <c r="Z61" s="125"/>
      <c r="AA61" s="123"/>
      <c r="AB61" s="124"/>
      <c r="AC61" s="125"/>
      <c r="AD61" s="125"/>
      <c r="AE61" s="125"/>
      <c r="AF61" s="123"/>
      <c r="AG61" s="124"/>
      <c r="AH61" s="125"/>
      <c r="AI61" s="125"/>
      <c r="AJ61" s="125"/>
      <c r="AK61" s="123"/>
      <c r="AL61" s="124"/>
      <c r="AM61" s="125"/>
      <c r="AN61" s="125"/>
      <c r="AO61" s="125"/>
      <c r="AP61" s="123"/>
      <c r="AQ61" s="124"/>
      <c r="AR61" s="125"/>
      <c r="AS61" s="125"/>
      <c r="AT61" s="125"/>
      <c r="AU61" s="123"/>
      <c r="AV61" s="124"/>
      <c r="AW61" s="125"/>
      <c r="AX61" s="125"/>
      <c r="AY61" s="2894"/>
      <c r="AZ61" s="2894"/>
      <c r="BA61" s="125"/>
      <c r="BB61" s="125"/>
      <c r="BC61" s="125"/>
      <c r="BD61" s="2894"/>
      <c r="BE61" s="2894"/>
      <c r="BF61" s="125"/>
      <c r="BG61" s="125"/>
      <c r="BH61" s="125"/>
      <c r="BI61" s="2894"/>
      <c r="BJ61" s="123"/>
      <c r="BK61" s="125"/>
      <c r="BL61" s="125"/>
      <c r="BM61" s="125"/>
      <c r="BN61" s="2894"/>
      <c r="BO61" s="123"/>
      <c r="BP61" s="125"/>
      <c r="BQ61" s="125"/>
      <c r="BR61" s="125"/>
      <c r="BS61" s="2894"/>
      <c r="BT61" s="123"/>
      <c r="BU61" s="125"/>
      <c r="BV61" s="125"/>
      <c r="BW61" s="125"/>
      <c r="BX61" s="2894"/>
      <c r="BY61" s="123"/>
      <c r="BZ61" s="123"/>
      <c r="CA61" s="123"/>
      <c r="CB61" s="123"/>
      <c r="CC61" s="123"/>
      <c r="CD61" s="123"/>
      <c r="CE61" s="123"/>
      <c r="CF61" s="123"/>
    </row>
    <row r="62" spans="1:84" ht="12" customHeight="1" x14ac:dyDescent="0.25">
      <c r="A62" s="2" t="s">
        <v>1058</v>
      </c>
      <c r="B62" s="2"/>
      <c r="C62" s="53"/>
      <c r="D62" s="4"/>
      <c r="E62" s="4"/>
      <c r="F62" s="4"/>
      <c r="G62" s="55"/>
      <c r="H62" s="53"/>
      <c r="I62" s="4"/>
      <c r="J62" s="4"/>
      <c r="K62" s="4"/>
      <c r="L62" s="55"/>
      <c r="M62" s="53"/>
      <c r="N62" s="4"/>
      <c r="O62" s="4"/>
      <c r="P62" s="4"/>
      <c r="Q62" s="55"/>
      <c r="R62" s="53"/>
      <c r="S62" s="4"/>
      <c r="T62" s="4"/>
      <c r="U62" s="4"/>
      <c r="V62" s="55"/>
      <c r="W62" s="53"/>
      <c r="X62" s="4"/>
      <c r="Y62" s="4"/>
      <c r="Z62" s="4"/>
      <c r="AA62" s="55"/>
      <c r="AB62" s="53"/>
      <c r="AC62" s="4"/>
      <c r="AD62" s="4"/>
      <c r="AE62" s="4"/>
      <c r="AF62" s="55"/>
      <c r="AG62" s="53"/>
      <c r="AH62" s="4"/>
      <c r="AI62" s="4"/>
      <c r="AJ62" s="4"/>
      <c r="AK62" s="55"/>
      <c r="AL62" s="53"/>
      <c r="AM62" s="4"/>
      <c r="AN62" s="4"/>
      <c r="AO62" s="4"/>
      <c r="AP62" s="55"/>
      <c r="AQ62" s="53"/>
      <c r="AR62" s="4"/>
      <c r="AS62" s="4"/>
      <c r="AT62" s="4"/>
      <c r="AU62" s="55"/>
      <c r="AV62" s="53"/>
      <c r="AW62" s="4"/>
      <c r="AX62" s="4"/>
      <c r="AY62" s="1679"/>
      <c r="AZ62" s="1679"/>
      <c r="BA62" s="4"/>
      <c r="BB62" s="4"/>
      <c r="BC62" s="4"/>
      <c r="BD62" s="1679"/>
      <c r="BE62" s="1679"/>
      <c r="BF62" s="4"/>
      <c r="BG62" s="4"/>
      <c r="BH62" s="4"/>
      <c r="BI62" s="4"/>
      <c r="BJ62" s="55"/>
      <c r="BK62" s="4"/>
      <c r="BL62" s="4"/>
      <c r="BM62" s="4"/>
      <c r="BN62" s="4"/>
      <c r="BO62" s="55"/>
      <c r="BP62" s="4"/>
      <c r="BQ62" s="4"/>
      <c r="BR62" s="4"/>
      <c r="BS62" s="4"/>
      <c r="BT62" s="55"/>
      <c r="BU62" s="4"/>
      <c r="BV62" s="4"/>
      <c r="BW62" s="4"/>
      <c r="BX62" s="4"/>
      <c r="BY62" s="55"/>
      <c r="BZ62" s="55"/>
      <c r="CA62" s="55"/>
      <c r="CB62" s="55"/>
      <c r="CC62" s="55"/>
      <c r="CD62" s="55"/>
      <c r="CE62" s="55"/>
      <c r="CF62" s="55"/>
    </row>
    <row r="63" spans="1:84" ht="12" customHeight="1" x14ac:dyDescent="0.25">
      <c r="A63" s="126">
        <v>1</v>
      </c>
      <c r="B63" s="34"/>
      <c r="C63" s="91">
        <f t="shared" ref="C63:F69" si="39">$G63/4</f>
        <v>0.9375</v>
      </c>
      <c r="D63" s="92">
        <f t="shared" si="39"/>
        <v>0.9375</v>
      </c>
      <c r="E63" s="92">
        <f t="shared" si="39"/>
        <v>0.9375</v>
      </c>
      <c r="F63" s="92">
        <f t="shared" si="39"/>
        <v>0.9375</v>
      </c>
      <c r="G63" s="48">
        <f>IF(G$59&gt;0, MIN(G$13,G$59)*G$21,0)</f>
        <v>3.75</v>
      </c>
      <c r="H63" s="93">
        <f>IF(H$59*4&gt;0, MIN(H$13,H$59*4)*H$21,0)/4</f>
        <v>0.9375</v>
      </c>
      <c r="I63" s="94">
        <f>IF(I$59*4&gt;0, MIN(I$13,I$59*4)*I$21,0)/4</f>
        <v>0.9375</v>
      </c>
      <c r="J63" s="34">
        <f t="shared" ref="J63:K69" si="40">$L63/4</f>
        <v>0.9375</v>
      </c>
      <c r="K63" s="34">
        <f t="shared" si="40"/>
        <v>0.9375</v>
      </c>
      <c r="L63" s="48">
        <f>IF(L$59&gt;0, MIN(L$13,L$59)*L$21,0)</f>
        <v>3.75</v>
      </c>
      <c r="M63" s="34">
        <f t="shared" ref="M63:P69" si="41">$Q63/4</f>
        <v>0.9375</v>
      </c>
      <c r="N63" s="34">
        <f t="shared" si="41"/>
        <v>0.9375</v>
      </c>
      <c r="O63" s="34">
        <f t="shared" si="41"/>
        <v>0.9375</v>
      </c>
      <c r="P63" s="34">
        <f t="shared" si="41"/>
        <v>0.9375</v>
      </c>
      <c r="Q63" s="48">
        <f>IF(Q$59&gt;0, MIN(Q$13,Q$59)*Q$21,0)</f>
        <v>3.75</v>
      </c>
      <c r="R63" s="34">
        <f t="shared" ref="R63:U69" si="42">$V63/4</f>
        <v>0.9375</v>
      </c>
      <c r="S63" s="34">
        <f t="shared" si="42"/>
        <v>0.9375</v>
      </c>
      <c r="T63" s="34">
        <f t="shared" si="42"/>
        <v>0.9375</v>
      </c>
      <c r="U63" s="34">
        <f t="shared" si="42"/>
        <v>0.9375</v>
      </c>
      <c r="V63" s="48">
        <f>IF(V$59&gt;0, MIN(V$13,V$59)*V$21,0)</f>
        <v>3.75</v>
      </c>
      <c r="W63" s="34">
        <f t="shared" ref="W63:Z69" si="43">$AA63/($AA$59/W$59)</f>
        <v>0.99319580977791355</v>
      </c>
      <c r="X63" s="34">
        <f t="shared" si="43"/>
        <v>0.9649429749264633</v>
      </c>
      <c r="Y63" s="34">
        <f t="shared" si="43"/>
        <v>0.96207258531891382</v>
      </c>
      <c r="Z63" s="34">
        <f t="shared" si="43"/>
        <v>0.82978862997670888</v>
      </c>
      <c r="AA63" s="48">
        <f>IF(AA$59&gt;0, MIN(AA$13,AA$59)*AA$21,0)</f>
        <v>3.75</v>
      </c>
      <c r="AB63" s="34">
        <f t="shared" ref="AB63:AE69" si="44">$AF63/4</f>
        <v>0.9375</v>
      </c>
      <c r="AC63" s="34">
        <f t="shared" si="44"/>
        <v>0.9375</v>
      </c>
      <c r="AD63" s="34">
        <f t="shared" si="44"/>
        <v>0.9375</v>
      </c>
      <c r="AE63" s="34">
        <f t="shared" si="44"/>
        <v>0.9375</v>
      </c>
      <c r="AF63" s="48">
        <f>IF(AF$59&gt;0, MIN(AF$13,AF$59)*AF$21,0)</f>
        <v>3.75</v>
      </c>
      <c r="AG63" s="34">
        <f t="shared" ref="AG63:AG69" si="45">$AK63/4</f>
        <v>0.9375</v>
      </c>
      <c r="AH63" s="34">
        <f t="shared" ref="AH63:AJ69" si="46">$AK63/4</f>
        <v>0.9375</v>
      </c>
      <c r="AI63" s="34">
        <f t="shared" si="46"/>
        <v>0.9375</v>
      </c>
      <c r="AJ63" s="34">
        <f t="shared" si="46"/>
        <v>0.9375</v>
      </c>
      <c r="AK63" s="48">
        <f>IF(AK$59&gt;0, MIN(AK$13,AK$59)*AK$21,0)</f>
        <v>3.75</v>
      </c>
      <c r="AL63" s="34">
        <f t="shared" ref="AL63:AL69" si="47">$AP63/4</f>
        <v>0.9375</v>
      </c>
      <c r="AM63" s="34">
        <f t="shared" ref="AM63:AO69" si="48">$AP63/4</f>
        <v>0.9375</v>
      </c>
      <c r="AN63" s="34">
        <f t="shared" si="48"/>
        <v>0.9375</v>
      </c>
      <c r="AO63" s="34">
        <f t="shared" si="48"/>
        <v>0.9375</v>
      </c>
      <c r="AP63" s="48">
        <f>IF(AP$59&gt;0, MIN(AP$13,AP$59)*AP$21,0)</f>
        <v>3.75</v>
      </c>
      <c r="AQ63" s="34">
        <f t="shared" ref="AQ63:AT69" si="49">$AU63/4</f>
        <v>0.9375</v>
      </c>
      <c r="AR63" s="34">
        <f t="shared" si="49"/>
        <v>0.9375</v>
      </c>
      <c r="AS63" s="34">
        <f t="shared" si="49"/>
        <v>0.9375</v>
      </c>
      <c r="AT63" s="34">
        <f t="shared" si="49"/>
        <v>0.9375</v>
      </c>
      <c r="AU63" s="48">
        <f>IF(AU$59&gt;0, MIN(AU$13,AU$59)*AU$21,0)</f>
        <v>3.75</v>
      </c>
      <c r="AV63" s="34">
        <f>$AZ63/4</f>
        <v>0.9375</v>
      </c>
      <c r="AW63" s="34">
        <f>$AZ63/4</f>
        <v>0.9375</v>
      </c>
      <c r="AX63" s="34">
        <f>$AZ63/4</f>
        <v>0.9375</v>
      </c>
      <c r="AY63" s="34">
        <f>$AZ63/4</f>
        <v>0.9375</v>
      </c>
      <c r="AZ63" s="48">
        <f>IF(AZ$59&gt;0, MIN(AZ$13,AZ$59)*AZ$21,0)</f>
        <v>3.75</v>
      </c>
      <c r="BA63" s="34">
        <f>$BE63/4</f>
        <v>0.9375</v>
      </c>
      <c r="BB63" s="34">
        <f t="shared" ref="BB63:BD69" si="50">$BE63/4</f>
        <v>0.9375</v>
      </c>
      <c r="BC63" s="34">
        <f t="shared" si="50"/>
        <v>0.9375</v>
      </c>
      <c r="BD63" s="2897">
        <f t="shared" si="50"/>
        <v>0.9375</v>
      </c>
      <c r="BE63" s="2901">
        <f>IF(BE$59&gt;0, MIN(BE$13,BE$59)*BE$21,0)</f>
        <v>3.75</v>
      </c>
      <c r="BF63" s="34">
        <f>$BJ63/4</f>
        <v>0.9375</v>
      </c>
      <c r="BG63" s="34">
        <f t="shared" ref="BG63:BI69" si="51">$BJ63/4</f>
        <v>0.9375</v>
      </c>
      <c r="BH63" s="34">
        <f t="shared" si="51"/>
        <v>0.9375</v>
      </c>
      <c r="BI63" s="34">
        <f t="shared" si="51"/>
        <v>0.9375</v>
      </c>
      <c r="BJ63" s="48">
        <f>IF(BJ$59&gt;0, MIN(BJ$13,BJ$59)*BJ$21,0)</f>
        <v>3.75</v>
      </c>
      <c r="BK63" s="34">
        <f t="shared" ref="BK63:BN69" si="52">$BO63/4</f>
        <v>0.9375</v>
      </c>
      <c r="BL63" s="34">
        <f t="shared" si="52"/>
        <v>0.9375</v>
      </c>
      <c r="BM63" s="34">
        <f t="shared" si="52"/>
        <v>0.9375</v>
      </c>
      <c r="BN63" s="34">
        <f t="shared" si="52"/>
        <v>0.9375</v>
      </c>
      <c r="BO63" s="48">
        <f>IF(BO$59&gt;0, MIN(BO$13,BO$59)*BO$21,0)</f>
        <v>3.75</v>
      </c>
      <c r="BP63" s="34">
        <f t="shared" ref="BP63:BS69" si="53">$BT63/4</f>
        <v>0.9375</v>
      </c>
      <c r="BQ63" s="34">
        <f t="shared" si="53"/>
        <v>0.9375</v>
      </c>
      <c r="BR63" s="34">
        <f t="shared" si="53"/>
        <v>0.9375</v>
      </c>
      <c r="BS63" s="34">
        <f t="shared" si="53"/>
        <v>0.9375</v>
      </c>
      <c r="BT63" s="48">
        <f>IF(BT$59&gt;0, MIN(BT$13,BT$59)*BT$21,0)</f>
        <v>3.75</v>
      </c>
      <c r="BU63" s="34">
        <f>$BY63/4</f>
        <v>0.9375</v>
      </c>
      <c r="BV63" s="34">
        <f>$BY63/4</f>
        <v>0.9375</v>
      </c>
      <c r="BW63" s="34">
        <f>$BY63/4</f>
        <v>0.9375</v>
      </c>
      <c r="BX63" s="34">
        <f>$BY63/4</f>
        <v>0.9375</v>
      </c>
      <c r="BY63" s="48">
        <f t="shared" ref="BY63:CF63" si="54">IF(BY$59&gt;0, MIN(BY$13,BY$59)*BY$21,0)</f>
        <v>3.75</v>
      </c>
      <c r="BZ63" s="48">
        <f t="shared" si="54"/>
        <v>3.75</v>
      </c>
      <c r="CA63" s="48">
        <f t="shared" si="54"/>
        <v>3.75</v>
      </c>
      <c r="CB63" s="48">
        <f t="shared" si="54"/>
        <v>3.75</v>
      </c>
      <c r="CC63" s="48">
        <f t="shared" si="54"/>
        <v>3.75</v>
      </c>
      <c r="CD63" s="48">
        <f t="shared" si="54"/>
        <v>3.75</v>
      </c>
      <c r="CE63" s="48">
        <f t="shared" si="54"/>
        <v>3.75</v>
      </c>
      <c r="CF63" s="48">
        <f t="shared" si="54"/>
        <v>3.75</v>
      </c>
    </row>
    <row r="64" spans="1:84" ht="12" customHeight="1" x14ac:dyDescent="0.25">
      <c r="A64" s="127">
        <v>2</v>
      </c>
      <c r="B64" s="7"/>
      <c r="C64" s="98">
        <f t="shared" si="39"/>
        <v>0.85937500000000011</v>
      </c>
      <c r="D64" s="99">
        <f t="shared" si="39"/>
        <v>0.85937500000000011</v>
      </c>
      <c r="E64" s="99">
        <f t="shared" si="39"/>
        <v>0.85937500000000011</v>
      </c>
      <c r="F64" s="99">
        <f t="shared" si="39"/>
        <v>0.85937500000000011</v>
      </c>
      <c r="G64" s="96">
        <f>IF(G$59&gt;G13,MIN(G14-G13,G$59-G13)*G22,0)</f>
        <v>3.4375000000000004</v>
      </c>
      <c r="H64" s="100">
        <f t="shared" ref="H64:I68" si="55">IF(H$59*4&gt;H13,MIN(H14-H13,H$59*4-H13)*H22,0)/4</f>
        <v>0.85937500000000011</v>
      </c>
      <c r="I64" s="101">
        <f t="shared" si="55"/>
        <v>0.85937500000000011</v>
      </c>
      <c r="J64" s="35">
        <f t="shared" si="40"/>
        <v>1.40625</v>
      </c>
      <c r="K64" s="35">
        <f t="shared" si="40"/>
        <v>1.40625</v>
      </c>
      <c r="L64" s="96">
        <f>IF(L$59&gt;L13,MIN(L14-L13,L$59-L13)*L22,0)</f>
        <v>5.625</v>
      </c>
      <c r="M64" s="37">
        <f t="shared" si="41"/>
        <v>1.40625</v>
      </c>
      <c r="N64" s="37">
        <f t="shared" si="41"/>
        <v>1.40625</v>
      </c>
      <c r="O64" s="37">
        <f t="shared" si="41"/>
        <v>1.40625</v>
      </c>
      <c r="P64" s="37">
        <f t="shared" si="41"/>
        <v>1.40625</v>
      </c>
      <c r="Q64" s="96">
        <f>IF(Q$59&gt;Q13,MIN(Q14-Q13,Q$59-Q13)*Q22,0)</f>
        <v>5.625</v>
      </c>
      <c r="R64" s="37">
        <f t="shared" si="42"/>
        <v>1.40625</v>
      </c>
      <c r="S64" s="37">
        <f t="shared" si="42"/>
        <v>1.40625</v>
      </c>
      <c r="T64" s="37">
        <f t="shared" si="42"/>
        <v>1.40625</v>
      </c>
      <c r="U64" s="37">
        <f t="shared" si="42"/>
        <v>1.40625</v>
      </c>
      <c r="V64" s="96">
        <f>IF(V$59&gt;V13,MIN(V14-V13,V$59-V13)*V22,0)</f>
        <v>5.625</v>
      </c>
      <c r="W64" s="37">
        <f t="shared" si="43"/>
        <v>1.4897937146668705</v>
      </c>
      <c r="X64" s="37">
        <f t="shared" si="43"/>
        <v>1.447414462389695</v>
      </c>
      <c r="Y64" s="37">
        <f t="shared" si="43"/>
        <v>1.4431088779783707</v>
      </c>
      <c r="Z64" s="37">
        <f t="shared" si="43"/>
        <v>1.2446829449650632</v>
      </c>
      <c r="AA64" s="96">
        <f>IF(AA$59&gt;AA13,MIN(AA14-AA13,AA$59-AA13)*AA22,0)</f>
        <v>5.625</v>
      </c>
      <c r="AB64" s="37">
        <f t="shared" si="44"/>
        <v>1.40625</v>
      </c>
      <c r="AC64" s="37">
        <f t="shared" si="44"/>
        <v>1.40625</v>
      </c>
      <c r="AD64" s="37">
        <f t="shared" si="44"/>
        <v>1.40625</v>
      </c>
      <c r="AE64" s="37">
        <f t="shared" si="44"/>
        <v>1.40625</v>
      </c>
      <c r="AF64" s="96">
        <f>IF(AF$59&gt;AF13,MIN(AF14-AF13,AF$59-AF13)*AF22,0)</f>
        <v>5.625</v>
      </c>
      <c r="AG64" s="37">
        <f t="shared" si="45"/>
        <v>1.40625</v>
      </c>
      <c r="AH64" s="37">
        <f t="shared" si="46"/>
        <v>1.40625</v>
      </c>
      <c r="AI64" s="37">
        <f t="shared" si="46"/>
        <v>1.40625</v>
      </c>
      <c r="AJ64" s="37">
        <f t="shared" si="46"/>
        <v>1.40625</v>
      </c>
      <c r="AK64" s="96">
        <f>IF(AK$59&gt;AK13,MIN(AK14-AK13,AK$59-AK13)*AK22,0)</f>
        <v>5.625</v>
      </c>
      <c r="AL64" s="37">
        <f t="shared" si="47"/>
        <v>1.40625</v>
      </c>
      <c r="AM64" s="37">
        <f t="shared" si="48"/>
        <v>1.40625</v>
      </c>
      <c r="AN64" s="37">
        <f t="shared" si="48"/>
        <v>1.40625</v>
      </c>
      <c r="AO64" s="37">
        <f t="shared" si="48"/>
        <v>1.40625</v>
      </c>
      <c r="AP64" s="96">
        <f>IF(AP$59&gt;AP13,MIN(AP14-AP13,AP$59-AP13)*AP22,0)</f>
        <v>5.625</v>
      </c>
      <c r="AQ64" s="37">
        <f t="shared" si="49"/>
        <v>1.40625</v>
      </c>
      <c r="AR64" s="37">
        <f t="shared" si="49"/>
        <v>1.40625</v>
      </c>
      <c r="AS64" s="37">
        <f t="shared" si="49"/>
        <v>1.40625</v>
      </c>
      <c r="AT64" s="37">
        <f t="shared" si="49"/>
        <v>1.40625</v>
      </c>
      <c r="AU64" s="96">
        <f>IF(AU$59&gt;AU13,MIN(AU14-AU13,AU$59-AU13)*AU22,0)</f>
        <v>5.625</v>
      </c>
      <c r="AV64" s="37">
        <f t="shared" ref="AV64:AY69" si="56">$AZ64/4</f>
        <v>1.40625</v>
      </c>
      <c r="AW64" s="37">
        <f t="shared" si="56"/>
        <v>1.40625</v>
      </c>
      <c r="AX64" s="37">
        <f t="shared" si="56"/>
        <v>1.40625</v>
      </c>
      <c r="AY64" s="37">
        <f t="shared" si="56"/>
        <v>1.40625</v>
      </c>
      <c r="AZ64" s="96">
        <f>IF(AZ$59&gt;AZ13,MIN(AZ14-AZ13,AZ$59-AZ13)*AZ22,0)</f>
        <v>5.625</v>
      </c>
      <c r="BA64" s="37">
        <f t="shared" ref="BA64:BA69" si="57">$BE64/4</f>
        <v>1.40625</v>
      </c>
      <c r="BB64" s="37">
        <f t="shared" si="50"/>
        <v>1.40625</v>
      </c>
      <c r="BC64" s="37">
        <f t="shared" si="50"/>
        <v>1.40625</v>
      </c>
      <c r="BD64" s="37">
        <f t="shared" si="50"/>
        <v>1.40625</v>
      </c>
      <c r="BE64" s="96">
        <f>IF(BE$59&gt;BE13,MIN(BE14-BE13,BE$59-BE13)*BE22,0)</f>
        <v>5.625</v>
      </c>
      <c r="BF64" s="37">
        <f t="shared" ref="BF64:BF69" si="58">$BJ64/4</f>
        <v>1.40625</v>
      </c>
      <c r="BG64" s="37">
        <f t="shared" si="51"/>
        <v>1.40625</v>
      </c>
      <c r="BH64" s="37">
        <f t="shared" si="51"/>
        <v>1.40625</v>
      </c>
      <c r="BI64" s="37">
        <f t="shared" si="51"/>
        <v>1.40625</v>
      </c>
      <c r="BJ64" s="96">
        <f>IF(BJ$59&gt;BJ13,MIN(BJ14-BJ13,BJ$59-BJ13)*BJ22,0)</f>
        <v>5.625</v>
      </c>
      <c r="BK64" s="37">
        <f t="shared" si="52"/>
        <v>1.3619050874999998</v>
      </c>
      <c r="BL64" s="37">
        <f t="shared" si="52"/>
        <v>1.3619050874999998</v>
      </c>
      <c r="BM64" s="37">
        <f t="shared" si="52"/>
        <v>1.3619050874999998</v>
      </c>
      <c r="BN64" s="37">
        <f t="shared" si="52"/>
        <v>1.3619050874999998</v>
      </c>
      <c r="BO64" s="96">
        <f>IF(BO$59&gt;BO13,MIN(BO14-BO13,BO$59-BO13)*BO22,0)</f>
        <v>5.4476203499999993</v>
      </c>
      <c r="BP64" s="37">
        <f t="shared" si="53"/>
        <v>1.2919868437500004</v>
      </c>
      <c r="BQ64" s="37">
        <f t="shared" si="53"/>
        <v>1.2919868437500004</v>
      </c>
      <c r="BR64" s="37">
        <f t="shared" si="53"/>
        <v>1.2919868437500004</v>
      </c>
      <c r="BS64" s="37">
        <f t="shared" si="53"/>
        <v>1.2919868437500004</v>
      </c>
      <c r="BT64" s="96">
        <f t="shared" ref="BT64:CA68" si="59">IF(BT$59&gt;BT13,MIN(BT14-BT13,BT$59-BT13)*BT22,0)</f>
        <v>5.1679473750000016</v>
      </c>
      <c r="BU64" s="37">
        <f t="shared" ref="BU64:BX69" si="60">$BY64/4</f>
        <v>1.2846543766875005</v>
      </c>
      <c r="BV64" s="37">
        <f t="shared" si="60"/>
        <v>1.2846543766875005</v>
      </c>
      <c r="BW64" s="37">
        <f t="shared" si="60"/>
        <v>1.2846543766875005</v>
      </c>
      <c r="BX64" s="37">
        <f t="shared" si="60"/>
        <v>1.2846543766875005</v>
      </c>
      <c r="BY64" s="96">
        <f t="shared" si="59"/>
        <v>5.138617506750002</v>
      </c>
      <c r="BZ64" s="96">
        <f t="shared" si="59"/>
        <v>5.138617506750002</v>
      </c>
      <c r="CA64" s="96">
        <f t="shared" si="59"/>
        <v>4.9233451566150022</v>
      </c>
      <c r="CB64" s="96">
        <f t="shared" ref="CB64:CF68" si="61">IF(CB$59&gt;CB13,MIN(CB14-CB13,CB$59-CB13)*CB22,0)</f>
        <v>4.3959278987842518</v>
      </c>
      <c r="CC64" s="96">
        <f t="shared" si="61"/>
        <v>3.894881503845038</v>
      </c>
      <c r="CD64" s="96">
        <f t="shared" si="61"/>
        <v>4.0852791339219392</v>
      </c>
      <c r="CE64" s="96">
        <f t="shared" si="61"/>
        <v>4.2794847166003782</v>
      </c>
      <c r="CF64" s="96">
        <f t="shared" si="61"/>
        <v>4.4775744109323856</v>
      </c>
    </row>
    <row r="65" spans="1:84" ht="12" customHeight="1" x14ac:dyDescent="0.25">
      <c r="A65" s="126">
        <v>3</v>
      </c>
      <c r="B65" s="7"/>
      <c r="C65" s="98">
        <f t="shared" si="39"/>
        <v>1.015625</v>
      </c>
      <c r="D65" s="99">
        <f t="shared" si="39"/>
        <v>1.015625</v>
      </c>
      <c r="E65" s="99">
        <f t="shared" si="39"/>
        <v>1.015625</v>
      </c>
      <c r="F65" s="99">
        <f t="shared" si="39"/>
        <v>1.015625</v>
      </c>
      <c r="G65" s="96">
        <f>IF(G$59&gt;G14,MIN(G15-G14,G$59-G14)*G23,0)</f>
        <v>4.0625</v>
      </c>
      <c r="H65" s="100">
        <f t="shared" si="55"/>
        <v>1.015625</v>
      </c>
      <c r="I65" s="101">
        <f t="shared" si="55"/>
        <v>1.015625</v>
      </c>
      <c r="J65" s="35">
        <f t="shared" si="40"/>
        <v>1.7187500000000002</v>
      </c>
      <c r="K65" s="35">
        <f t="shared" si="40"/>
        <v>1.7187500000000002</v>
      </c>
      <c r="L65" s="96">
        <f>IF(L$59&gt;L14,MIN(L15-L14,L$59-L14)*L23,0)</f>
        <v>6.8750000000000009</v>
      </c>
      <c r="M65" s="37">
        <f t="shared" si="41"/>
        <v>1.7187500000000002</v>
      </c>
      <c r="N65" s="37">
        <f t="shared" si="41"/>
        <v>1.7187500000000002</v>
      </c>
      <c r="O65" s="37">
        <f t="shared" si="41"/>
        <v>1.7187500000000002</v>
      </c>
      <c r="P65" s="37">
        <f t="shared" si="41"/>
        <v>1.7187500000000002</v>
      </c>
      <c r="Q65" s="96">
        <f>IF(Q$59&gt;Q14,MIN(Q15-Q14,Q$59-Q14)*Q23,0)</f>
        <v>6.8750000000000009</v>
      </c>
      <c r="R65" s="37">
        <f t="shared" si="42"/>
        <v>1.7187500000000002</v>
      </c>
      <c r="S65" s="37">
        <f t="shared" si="42"/>
        <v>1.7187500000000002</v>
      </c>
      <c r="T65" s="37">
        <f t="shared" si="42"/>
        <v>1.7187500000000002</v>
      </c>
      <c r="U65" s="37">
        <f t="shared" si="42"/>
        <v>1.7187500000000002</v>
      </c>
      <c r="V65" s="96">
        <f>IF(V$59&gt;V14,MIN(V15-V14,V$59-V14)*V23,0)</f>
        <v>6.8750000000000009</v>
      </c>
      <c r="W65" s="37">
        <f t="shared" si="43"/>
        <v>1.8208589845928418</v>
      </c>
      <c r="X65" s="37">
        <f t="shared" si="43"/>
        <v>1.7690621206985162</v>
      </c>
      <c r="Y65" s="37">
        <f t="shared" si="43"/>
        <v>1.7637997397513423</v>
      </c>
      <c r="Z65" s="37">
        <f t="shared" si="43"/>
        <v>1.5212791549572997</v>
      </c>
      <c r="AA65" s="96">
        <f>IF(AA$59&gt;AA14,MIN(AA15-AA14,AA$59-AA14)*AA23,0)</f>
        <v>6.8750000000000009</v>
      </c>
      <c r="AB65" s="37">
        <f t="shared" si="44"/>
        <v>1.7187500000000002</v>
      </c>
      <c r="AC65" s="37">
        <f t="shared" si="44"/>
        <v>1.7187500000000002</v>
      </c>
      <c r="AD65" s="37">
        <f t="shared" si="44"/>
        <v>1.7187500000000002</v>
      </c>
      <c r="AE65" s="37">
        <f t="shared" si="44"/>
        <v>1.7187500000000002</v>
      </c>
      <c r="AF65" s="96">
        <f>IF(AF$59&gt;AF14,MIN(AF15-AF14,AF$59-AF14)*AF23,0)</f>
        <v>6.8750000000000009</v>
      </c>
      <c r="AG65" s="37">
        <f t="shared" si="45"/>
        <v>1.7187500000000002</v>
      </c>
      <c r="AH65" s="37">
        <f t="shared" si="46"/>
        <v>1.7187500000000002</v>
      </c>
      <c r="AI65" s="37">
        <f t="shared" si="46"/>
        <v>1.7187500000000002</v>
      </c>
      <c r="AJ65" s="37">
        <f t="shared" si="46"/>
        <v>1.7187500000000002</v>
      </c>
      <c r="AK65" s="96">
        <f>IF(AK$59&gt;AK14,MIN(AK15-AK14,AK$59-AK14)*AK23,0)</f>
        <v>6.8750000000000009</v>
      </c>
      <c r="AL65" s="37">
        <f t="shared" si="47"/>
        <v>1.5874375000000003</v>
      </c>
      <c r="AM65" s="37">
        <f t="shared" si="48"/>
        <v>1.5874375000000003</v>
      </c>
      <c r="AN65" s="37">
        <f t="shared" si="48"/>
        <v>1.5874375000000003</v>
      </c>
      <c r="AO65" s="37">
        <f t="shared" si="48"/>
        <v>1.5874375000000003</v>
      </c>
      <c r="AP65" s="96">
        <f>IF(AP$59&gt;AP14,MIN(AP15-AP14,AP$59-AP14)*AP23,0)</f>
        <v>6.3497500000000011</v>
      </c>
      <c r="AQ65" s="37">
        <f t="shared" si="49"/>
        <v>1.4417562500000003</v>
      </c>
      <c r="AR65" s="37">
        <f t="shared" si="49"/>
        <v>1.4417562500000003</v>
      </c>
      <c r="AS65" s="37">
        <f t="shared" si="49"/>
        <v>1.4417562500000003</v>
      </c>
      <c r="AT65" s="37">
        <f t="shared" si="49"/>
        <v>1.4417562500000003</v>
      </c>
      <c r="AU65" s="96">
        <f>IF(AU$59&gt;AU14,MIN(AU15-AU14,AU$59-AU14)*AU23,0)</f>
        <v>5.7670250000000012</v>
      </c>
      <c r="AV65" s="37">
        <f t="shared" si="56"/>
        <v>0.98058826250000031</v>
      </c>
      <c r="AW65" s="37">
        <f t="shared" si="56"/>
        <v>0.98058826250000031</v>
      </c>
      <c r="AX65" s="37">
        <f t="shared" si="56"/>
        <v>0.98058826250000031</v>
      </c>
      <c r="AY65" s="37">
        <f t="shared" si="56"/>
        <v>0.98058826250000031</v>
      </c>
      <c r="AZ65" s="96">
        <f>IF(AZ$59&gt;AZ14,MIN(AZ15-AZ14,AZ$59-AZ14)*AZ23,0)</f>
        <v>3.9223530500000012</v>
      </c>
      <c r="BA65" s="37">
        <f t="shared" si="57"/>
        <v>0.45005131875000026</v>
      </c>
      <c r="BB65" s="37">
        <f t="shared" si="50"/>
        <v>0.45005131875000026</v>
      </c>
      <c r="BC65" s="37">
        <f t="shared" si="50"/>
        <v>0.45005131875000026</v>
      </c>
      <c r="BD65" s="37">
        <f t="shared" si="50"/>
        <v>0.45005131875000026</v>
      </c>
      <c r="BE65" s="96">
        <f>IF(BE$59&gt;BE14,MIN(BE15-BE14,BE$59-BE14)*BE23,0)</f>
        <v>1.800205275000001</v>
      </c>
      <c r="BF65" s="37">
        <f t="shared" si="58"/>
        <v>0.3147511812499999</v>
      </c>
      <c r="BG65" s="37">
        <f t="shared" si="51"/>
        <v>0.3147511812499999</v>
      </c>
      <c r="BH65" s="37">
        <f t="shared" si="51"/>
        <v>0.3147511812499999</v>
      </c>
      <c r="BI65" s="37">
        <f t="shared" si="51"/>
        <v>0.3147511812499999</v>
      </c>
      <c r="BJ65" s="96">
        <f>IF(BJ$59&gt;BJ14,MIN(BJ15-BJ14,BJ$59-BJ14)*BJ23,0)</f>
        <v>1.2590047249999996</v>
      </c>
      <c r="BK65" s="37">
        <f t="shared" si="52"/>
        <v>0</v>
      </c>
      <c r="BL65" s="37">
        <f t="shared" si="52"/>
        <v>0</v>
      </c>
      <c r="BM65" s="37">
        <f t="shared" si="52"/>
        <v>0</v>
      </c>
      <c r="BN65" s="37">
        <f t="shared" si="52"/>
        <v>0</v>
      </c>
      <c r="BO65" s="96">
        <f>IF(BO$59&gt;BO14,MIN(BO15-BO14,BO$59-BO14)*BO23,0)</f>
        <v>0</v>
      </c>
      <c r="BP65" s="37">
        <f t="shared" si="53"/>
        <v>0</v>
      </c>
      <c r="BQ65" s="37">
        <f t="shared" si="53"/>
        <v>0</v>
      </c>
      <c r="BR65" s="37">
        <f t="shared" si="53"/>
        <v>0</v>
      </c>
      <c r="BS65" s="37">
        <f t="shared" si="53"/>
        <v>0</v>
      </c>
      <c r="BT65" s="96">
        <f t="shared" si="59"/>
        <v>0</v>
      </c>
      <c r="BU65" s="37">
        <f t="shared" si="60"/>
        <v>0</v>
      </c>
      <c r="BV65" s="37">
        <f t="shared" si="60"/>
        <v>0</v>
      </c>
      <c r="BW65" s="37">
        <f t="shared" si="60"/>
        <v>0</v>
      </c>
      <c r="BX65" s="37">
        <f t="shared" si="60"/>
        <v>0</v>
      </c>
      <c r="BY65" s="96">
        <f t="shared" si="59"/>
        <v>0</v>
      </c>
      <c r="BZ65" s="96">
        <f t="shared" si="59"/>
        <v>0</v>
      </c>
      <c r="CA65" s="96">
        <f t="shared" si="59"/>
        <v>0</v>
      </c>
      <c r="CB65" s="96">
        <f t="shared" si="61"/>
        <v>0</v>
      </c>
      <c r="CC65" s="96">
        <f t="shared" si="61"/>
        <v>0</v>
      </c>
      <c r="CD65" s="96">
        <f t="shared" si="61"/>
        <v>0</v>
      </c>
      <c r="CE65" s="96">
        <f t="shared" si="61"/>
        <v>0</v>
      </c>
      <c r="CF65" s="96">
        <f t="shared" si="61"/>
        <v>0</v>
      </c>
    </row>
    <row r="66" spans="1:84" ht="12" customHeight="1" x14ac:dyDescent="0.25">
      <c r="A66" s="127">
        <v>4</v>
      </c>
      <c r="B66" s="7"/>
      <c r="C66" s="98">
        <f t="shared" si="39"/>
        <v>2.34375</v>
      </c>
      <c r="D66" s="99">
        <f t="shared" si="39"/>
        <v>2.34375</v>
      </c>
      <c r="E66" s="99">
        <f t="shared" si="39"/>
        <v>2.34375</v>
      </c>
      <c r="F66" s="99">
        <f t="shared" si="39"/>
        <v>2.34375</v>
      </c>
      <c r="G66" s="96">
        <f>IF(G$59&gt;G15,MIN(G16-G15,G$59-G15)*G24,0)</f>
        <v>9.375</v>
      </c>
      <c r="H66" s="100">
        <f t="shared" si="55"/>
        <v>2.34375</v>
      </c>
      <c r="I66" s="101">
        <f t="shared" si="55"/>
        <v>2.34375</v>
      </c>
      <c r="J66" s="35">
        <f t="shared" si="40"/>
        <v>2.03125</v>
      </c>
      <c r="K66" s="35">
        <f t="shared" si="40"/>
        <v>2.03125</v>
      </c>
      <c r="L66" s="96">
        <f>IF(L$59&gt;L15,MIN(L16-L15,L$59-L15)*L24,0)</f>
        <v>8.125</v>
      </c>
      <c r="M66" s="37">
        <f t="shared" si="41"/>
        <v>2.03125</v>
      </c>
      <c r="N66" s="37">
        <f t="shared" si="41"/>
        <v>2.03125</v>
      </c>
      <c r="O66" s="37">
        <f t="shared" si="41"/>
        <v>2.03125</v>
      </c>
      <c r="P66" s="37">
        <f t="shared" si="41"/>
        <v>2.03125</v>
      </c>
      <c r="Q66" s="96">
        <f>IF(Q$59&gt;Q15,MIN(Q16-Q15,Q$59-Q15)*Q24,0)</f>
        <v>8.125</v>
      </c>
      <c r="R66" s="37">
        <f t="shared" si="42"/>
        <v>2.03125</v>
      </c>
      <c r="S66" s="37">
        <f t="shared" si="42"/>
        <v>2.03125</v>
      </c>
      <c r="T66" s="37">
        <f t="shared" si="42"/>
        <v>2.03125</v>
      </c>
      <c r="U66" s="37">
        <f t="shared" si="42"/>
        <v>2.03125</v>
      </c>
      <c r="V66" s="96">
        <f>IF(V$59&gt;V15,MIN(V16-V15,V$59-V15)*V24,0)</f>
        <v>8.125</v>
      </c>
      <c r="W66" s="37">
        <f t="shared" si="43"/>
        <v>1.4160522364435602</v>
      </c>
      <c r="X66" s="37">
        <f t="shared" si="43"/>
        <v>1.3757706629779887</v>
      </c>
      <c r="Y66" s="37">
        <f t="shared" si="43"/>
        <v>1.3716781954270598</v>
      </c>
      <c r="Z66" s="37">
        <f t="shared" si="43"/>
        <v>1.183073905151393</v>
      </c>
      <c r="AA66" s="96">
        <f>IF(AA$59&gt;AA15,MIN(AA16-AA15,AA$59-AA15)*AA24,0)</f>
        <v>5.3465750000000023</v>
      </c>
      <c r="AB66" s="37">
        <f t="shared" si="44"/>
        <v>0.74749999999999905</v>
      </c>
      <c r="AC66" s="37">
        <f t="shared" si="44"/>
        <v>0.74749999999999905</v>
      </c>
      <c r="AD66" s="37">
        <f t="shared" si="44"/>
        <v>0.74749999999999905</v>
      </c>
      <c r="AE66" s="37">
        <f t="shared" si="44"/>
        <v>0.74749999999999905</v>
      </c>
      <c r="AF66" s="96">
        <f>IF(AF$59&gt;AF15,MIN(AF16-AF15,AF$59-AF15)*AF24,0)</f>
        <v>2.9899999999999962</v>
      </c>
      <c r="AG66" s="37">
        <f t="shared" si="45"/>
        <v>0.18736250000000096</v>
      </c>
      <c r="AH66" s="37">
        <f t="shared" si="46"/>
        <v>0.18736250000000096</v>
      </c>
      <c r="AI66" s="37">
        <f t="shared" si="46"/>
        <v>0.18736250000000096</v>
      </c>
      <c r="AJ66" s="37">
        <f t="shared" si="46"/>
        <v>0.18736250000000096</v>
      </c>
      <c r="AK66" s="96">
        <f>IF(AK$59&gt;AK15,MIN(AK16-AK15,AK$59-AK15)*AK24,0)</f>
        <v>0.74945000000000384</v>
      </c>
      <c r="AL66" s="37">
        <f t="shared" si="47"/>
        <v>0</v>
      </c>
      <c r="AM66" s="37">
        <f t="shared" si="48"/>
        <v>0</v>
      </c>
      <c r="AN66" s="37">
        <f t="shared" si="48"/>
        <v>0</v>
      </c>
      <c r="AO66" s="37">
        <f t="shared" si="48"/>
        <v>0</v>
      </c>
      <c r="AP66" s="96">
        <f>IF(AP$59&gt;AP15,MIN(AP16-AP15,AP$59-AP15)*AP24,0)</f>
        <v>0</v>
      </c>
      <c r="AQ66" s="37">
        <f t="shared" si="49"/>
        <v>0</v>
      </c>
      <c r="AR66" s="37">
        <f t="shared" si="49"/>
        <v>0</v>
      </c>
      <c r="AS66" s="37">
        <f t="shared" si="49"/>
        <v>0</v>
      </c>
      <c r="AT66" s="37">
        <f t="shared" si="49"/>
        <v>0</v>
      </c>
      <c r="AU66" s="96">
        <f>IF(AU$59&gt;AU15,MIN(AU16-AU15,AU$59-AU15)*AU24,0)</f>
        <v>0</v>
      </c>
      <c r="AV66" s="37">
        <f t="shared" si="56"/>
        <v>0</v>
      </c>
      <c r="AW66" s="37">
        <f t="shared" si="56"/>
        <v>0</v>
      </c>
      <c r="AX66" s="37">
        <f t="shared" si="56"/>
        <v>0</v>
      </c>
      <c r="AY66" s="37">
        <f t="shared" si="56"/>
        <v>0</v>
      </c>
      <c r="AZ66" s="96">
        <f>IF(AZ$59&gt;AZ15,MIN(AZ16-AZ15,AZ$59-AZ15)*AZ24,0)</f>
        <v>0</v>
      </c>
      <c r="BA66" s="37">
        <f t="shared" si="57"/>
        <v>0</v>
      </c>
      <c r="BB66" s="37">
        <f t="shared" si="50"/>
        <v>0</v>
      </c>
      <c r="BC66" s="37">
        <f t="shared" si="50"/>
        <v>0</v>
      </c>
      <c r="BD66" s="37">
        <f t="shared" si="50"/>
        <v>0</v>
      </c>
      <c r="BE66" s="96">
        <f>IF(BE$59&gt;BE15,MIN(BE16-BE15,BE$59-BE15)*BE24,0)</f>
        <v>0</v>
      </c>
      <c r="BF66" s="37">
        <f t="shared" si="58"/>
        <v>0</v>
      </c>
      <c r="BG66" s="37">
        <f t="shared" si="51"/>
        <v>0</v>
      </c>
      <c r="BH66" s="37">
        <f t="shared" si="51"/>
        <v>0</v>
      </c>
      <c r="BI66" s="37">
        <f t="shared" si="51"/>
        <v>0</v>
      </c>
      <c r="BJ66" s="96">
        <f>IF(BJ$59&gt;BJ15,MIN(BJ16-BJ15,BJ$59-BJ15)*BJ24,0)</f>
        <v>0</v>
      </c>
      <c r="BK66" s="37">
        <f t="shared" si="52"/>
        <v>0</v>
      </c>
      <c r="BL66" s="37">
        <f t="shared" si="52"/>
        <v>0</v>
      </c>
      <c r="BM66" s="37">
        <f t="shared" si="52"/>
        <v>0</v>
      </c>
      <c r="BN66" s="37">
        <f t="shared" si="52"/>
        <v>0</v>
      </c>
      <c r="BO66" s="96">
        <f>IF(BO$59&gt;BO15,MIN(BO16-BO15,BO$59-BO15)*BO24,0)</f>
        <v>0</v>
      </c>
      <c r="BP66" s="37">
        <f t="shared" si="53"/>
        <v>0</v>
      </c>
      <c r="BQ66" s="37">
        <f t="shared" si="53"/>
        <v>0</v>
      </c>
      <c r="BR66" s="37">
        <f t="shared" si="53"/>
        <v>0</v>
      </c>
      <c r="BS66" s="37">
        <f t="shared" si="53"/>
        <v>0</v>
      </c>
      <c r="BT66" s="96">
        <f t="shared" si="59"/>
        <v>0</v>
      </c>
      <c r="BU66" s="37">
        <f t="shared" si="60"/>
        <v>0</v>
      </c>
      <c r="BV66" s="37">
        <f t="shared" si="60"/>
        <v>0</v>
      </c>
      <c r="BW66" s="37">
        <f t="shared" si="60"/>
        <v>0</v>
      </c>
      <c r="BX66" s="37">
        <f t="shared" si="60"/>
        <v>0</v>
      </c>
      <c r="BY66" s="96">
        <f t="shared" si="59"/>
        <v>0</v>
      </c>
      <c r="BZ66" s="96">
        <f t="shared" si="59"/>
        <v>0</v>
      </c>
      <c r="CA66" s="96">
        <f t="shared" si="59"/>
        <v>0</v>
      </c>
      <c r="CB66" s="96">
        <f t="shared" si="61"/>
        <v>0</v>
      </c>
      <c r="CC66" s="96">
        <f t="shared" si="61"/>
        <v>0</v>
      </c>
      <c r="CD66" s="96">
        <f t="shared" si="61"/>
        <v>0</v>
      </c>
      <c r="CE66" s="96">
        <f t="shared" si="61"/>
        <v>0</v>
      </c>
      <c r="CF66" s="96">
        <f t="shared" si="61"/>
        <v>0</v>
      </c>
    </row>
    <row r="67" spans="1:84" ht="12" customHeight="1" x14ac:dyDescent="0.25">
      <c r="A67" s="126">
        <v>5</v>
      </c>
      <c r="B67" s="7"/>
      <c r="C67" s="98">
        <f t="shared" si="39"/>
        <v>2.8125</v>
      </c>
      <c r="D67" s="99">
        <f t="shared" si="39"/>
        <v>2.8125</v>
      </c>
      <c r="E67" s="99">
        <f t="shared" si="39"/>
        <v>2.8125</v>
      </c>
      <c r="F67" s="99">
        <f t="shared" si="39"/>
        <v>2.8125</v>
      </c>
      <c r="G67" s="96">
        <f>IF(G$59&gt;G16,MIN(G17-G16,G$59-G16)*G25,0)</f>
        <v>11.25</v>
      </c>
      <c r="H67" s="100">
        <f t="shared" si="55"/>
        <v>2.8125</v>
      </c>
      <c r="I67" s="101">
        <f t="shared" si="55"/>
        <v>2.8125</v>
      </c>
      <c r="J67" s="35">
        <f t="shared" si="40"/>
        <v>1.2742500000000012</v>
      </c>
      <c r="K67" s="35">
        <f t="shared" si="40"/>
        <v>1.2742500000000012</v>
      </c>
      <c r="L67" s="96">
        <f>IF(L$59&gt;L16,MIN(L17-L16,L$59-L16)*L25,0)</f>
        <v>5.0970000000000049</v>
      </c>
      <c r="M67" s="37">
        <f t="shared" si="41"/>
        <v>2.0342812499999998</v>
      </c>
      <c r="N67" s="37">
        <f t="shared" si="41"/>
        <v>2.0342812499999998</v>
      </c>
      <c r="O67" s="37">
        <f t="shared" si="41"/>
        <v>2.0342812499999998</v>
      </c>
      <c r="P67" s="37">
        <f t="shared" si="41"/>
        <v>2.0342812499999998</v>
      </c>
      <c r="Q67" s="96">
        <f>IF(Q$59&gt;Q16,MIN(Q17-Q16,Q$59-Q16)*Q25,0)</f>
        <v>8.1371249999999993</v>
      </c>
      <c r="R67" s="37">
        <f t="shared" si="42"/>
        <v>2.409937499999999</v>
      </c>
      <c r="S67" s="37">
        <f t="shared" si="42"/>
        <v>2.409937499999999</v>
      </c>
      <c r="T67" s="37">
        <f t="shared" si="42"/>
        <v>2.409937499999999</v>
      </c>
      <c r="U67" s="37">
        <f t="shared" si="42"/>
        <v>2.409937499999999</v>
      </c>
      <c r="V67" s="96">
        <f>IF(V$59&gt;V16,MIN(V17-V16,V$59-V16)*V25,0)</f>
        <v>9.6397499999999958</v>
      </c>
      <c r="W67" s="37">
        <f t="shared" si="43"/>
        <v>0</v>
      </c>
      <c r="X67" s="37">
        <f t="shared" si="43"/>
        <v>0</v>
      </c>
      <c r="Y67" s="37">
        <f t="shared" si="43"/>
        <v>0</v>
      </c>
      <c r="Z67" s="37">
        <f t="shared" si="43"/>
        <v>0</v>
      </c>
      <c r="AA67" s="96">
        <f>IF(AA$59&gt;AA16,MIN(AA17-AA16,AA$59-AA16)*AA25,0)</f>
        <v>0</v>
      </c>
      <c r="AB67" s="37">
        <f t="shared" si="44"/>
        <v>0</v>
      </c>
      <c r="AC67" s="37">
        <f t="shared" si="44"/>
        <v>0</v>
      </c>
      <c r="AD67" s="37">
        <f t="shared" si="44"/>
        <v>0</v>
      </c>
      <c r="AE67" s="37">
        <f t="shared" si="44"/>
        <v>0</v>
      </c>
      <c r="AF67" s="96">
        <f>IF(AF$59&gt;AF16,MIN(AF17-AF16,AF$59-AF16)*AF25,0)</f>
        <v>0</v>
      </c>
      <c r="AG67" s="37">
        <f t="shared" si="45"/>
        <v>0</v>
      </c>
      <c r="AH67" s="37">
        <f t="shared" si="46"/>
        <v>0</v>
      </c>
      <c r="AI67" s="37">
        <f t="shared" si="46"/>
        <v>0</v>
      </c>
      <c r="AJ67" s="37">
        <f t="shared" si="46"/>
        <v>0</v>
      </c>
      <c r="AK67" s="96">
        <f>IF(AK$59&gt;AK16,MIN(AK17-AK16,AK$59-AK16)*AK25,0)</f>
        <v>0</v>
      </c>
      <c r="AL67" s="37">
        <f t="shared" si="47"/>
        <v>0</v>
      </c>
      <c r="AM67" s="37">
        <f t="shared" si="48"/>
        <v>0</v>
      </c>
      <c r="AN67" s="37">
        <f t="shared" si="48"/>
        <v>0</v>
      </c>
      <c r="AO67" s="37">
        <f t="shared" si="48"/>
        <v>0</v>
      </c>
      <c r="AP67" s="96">
        <f>IF(AP$59&gt;AP16,MIN(AP17-AP16,AP$59-AP16)*AP25,0)</f>
        <v>0</v>
      </c>
      <c r="AQ67" s="37">
        <f t="shared" si="49"/>
        <v>0</v>
      </c>
      <c r="AR67" s="37">
        <f t="shared" si="49"/>
        <v>0</v>
      </c>
      <c r="AS67" s="37">
        <f t="shared" si="49"/>
        <v>0</v>
      </c>
      <c r="AT67" s="37">
        <f t="shared" si="49"/>
        <v>0</v>
      </c>
      <c r="AU67" s="96">
        <f>IF(AU$59&gt;AU16,MIN(AU17-AU16,AU$59-AU16)*AU25,0)</f>
        <v>0</v>
      </c>
      <c r="AV67" s="37">
        <f t="shared" si="56"/>
        <v>0</v>
      </c>
      <c r="AW67" s="37">
        <f t="shared" si="56"/>
        <v>0</v>
      </c>
      <c r="AX67" s="37">
        <f t="shared" si="56"/>
        <v>0</v>
      </c>
      <c r="AY67" s="37">
        <f t="shared" si="56"/>
        <v>0</v>
      </c>
      <c r="AZ67" s="96">
        <f>IF(AZ$59&gt;AZ16,MIN(AZ17-AZ16,AZ$59-AZ16)*AZ25,0)</f>
        <v>0</v>
      </c>
      <c r="BA67" s="37">
        <f t="shared" si="57"/>
        <v>0</v>
      </c>
      <c r="BB67" s="37">
        <f t="shared" si="50"/>
        <v>0</v>
      </c>
      <c r="BC67" s="37">
        <f t="shared" si="50"/>
        <v>0</v>
      </c>
      <c r="BD67" s="37">
        <f t="shared" si="50"/>
        <v>0</v>
      </c>
      <c r="BE67" s="96">
        <f>IF(BE$59&gt;BE16,MIN(BE17-BE16,BE$59-BE16)*BE25,0)</f>
        <v>0</v>
      </c>
      <c r="BF67" s="37">
        <f t="shared" si="58"/>
        <v>0</v>
      </c>
      <c r="BG67" s="37">
        <f t="shared" si="51"/>
        <v>0</v>
      </c>
      <c r="BH67" s="37">
        <f t="shared" si="51"/>
        <v>0</v>
      </c>
      <c r="BI67" s="37">
        <f t="shared" si="51"/>
        <v>0</v>
      </c>
      <c r="BJ67" s="96">
        <f>IF(BJ$59&gt;BJ16,MIN(BJ17-BJ16,BJ$59-BJ16)*BJ25,0)</f>
        <v>0</v>
      </c>
      <c r="BK67" s="37">
        <f t="shared" si="52"/>
        <v>0</v>
      </c>
      <c r="BL67" s="37">
        <f t="shared" si="52"/>
        <v>0</v>
      </c>
      <c r="BM67" s="37">
        <f t="shared" si="52"/>
        <v>0</v>
      </c>
      <c r="BN67" s="37">
        <f t="shared" si="52"/>
        <v>0</v>
      </c>
      <c r="BO67" s="96">
        <f>IF(BO$59&gt;BO16,MIN(BO17-BO16,BO$59-BO16)*BO25,0)</f>
        <v>0</v>
      </c>
      <c r="BP67" s="37">
        <f t="shared" si="53"/>
        <v>0</v>
      </c>
      <c r="BQ67" s="37">
        <f t="shared" si="53"/>
        <v>0</v>
      </c>
      <c r="BR67" s="37">
        <f t="shared" si="53"/>
        <v>0</v>
      </c>
      <c r="BS67" s="37">
        <f t="shared" si="53"/>
        <v>0</v>
      </c>
      <c r="BT67" s="96">
        <f t="shared" si="59"/>
        <v>0</v>
      </c>
      <c r="BU67" s="37">
        <f t="shared" si="60"/>
        <v>0</v>
      </c>
      <c r="BV67" s="37">
        <f t="shared" si="60"/>
        <v>0</v>
      </c>
      <c r="BW67" s="37">
        <f t="shared" si="60"/>
        <v>0</v>
      </c>
      <c r="BX67" s="37">
        <f t="shared" si="60"/>
        <v>0</v>
      </c>
      <c r="BY67" s="96">
        <f t="shared" si="59"/>
        <v>0</v>
      </c>
      <c r="BZ67" s="96">
        <f t="shared" si="59"/>
        <v>0</v>
      </c>
      <c r="CA67" s="96">
        <f t="shared" si="59"/>
        <v>0</v>
      </c>
      <c r="CB67" s="96">
        <f t="shared" si="61"/>
        <v>0</v>
      </c>
      <c r="CC67" s="96">
        <f t="shared" si="61"/>
        <v>0</v>
      </c>
      <c r="CD67" s="96">
        <f t="shared" si="61"/>
        <v>0</v>
      </c>
      <c r="CE67" s="96">
        <f t="shared" si="61"/>
        <v>0</v>
      </c>
      <c r="CF67" s="96">
        <f t="shared" si="61"/>
        <v>0</v>
      </c>
    </row>
    <row r="68" spans="1:84" ht="12" customHeight="1" x14ac:dyDescent="0.25">
      <c r="A68" s="127">
        <v>6</v>
      </c>
      <c r="B68" s="7"/>
      <c r="C68" s="76">
        <f t="shared" si="39"/>
        <v>0.8960000000000008</v>
      </c>
      <c r="D68" s="129">
        <f t="shared" si="39"/>
        <v>0.8960000000000008</v>
      </c>
      <c r="E68" s="129">
        <f t="shared" si="39"/>
        <v>0.8960000000000008</v>
      </c>
      <c r="F68" s="129">
        <f t="shared" si="39"/>
        <v>0.8960000000000008</v>
      </c>
      <c r="G68" s="96">
        <f>IF(G$59&gt;G17,MIN(G18-G17,G$59-G17)*G26,0)</f>
        <v>3.5840000000000032</v>
      </c>
      <c r="H68" s="100">
        <f t="shared" si="55"/>
        <v>1.6530000000000005</v>
      </c>
      <c r="I68" s="101">
        <f t="shared" si="55"/>
        <v>1.5109999999999992</v>
      </c>
      <c r="J68" s="35">
        <f t="shared" si="40"/>
        <v>0</v>
      </c>
      <c r="K68" s="35">
        <f t="shared" si="40"/>
        <v>0</v>
      </c>
      <c r="L68" s="96">
        <f>IF(L$59&gt;L17,MIN(L18-L17,L$59-L17)*L26,0)</f>
        <v>0</v>
      </c>
      <c r="M68" s="37">
        <f t="shared" si="41"/>
        <v>0</v>
      </c>
      <c r="N68" s="37">
        <f t="shared" si="41"/>
        <v>0</v>
      </c>
      <c r="O68" s="37">
        <f t="shared" si="41"/>
        <v>0</v>
      </c>
      <c r="P68" s="37">
        <f t="shared" si="41"/>
        <v>0</v>
      </c>
      <c r="Q68" s="96">
        <f>IF(Q$59&gt;Q17,MIN(Q18-Q17,Q$59-Q17)*Q26,0)</f>
        <v>0</v>
      </c>
      <c r="R68" s="37">
        <f t="shared" si="42"/>
        <v>0</v>
      </c>
      <c r="S68" s="37">
        <f t="shared" si="42"/>
        <v>0</v>
      </c>
      <c r="T68" s="37">
        <f t="shared" si="42"/>
        <v>0</v>
      </c>
      <c r="U68" s="37">
        <f t="shared" si="42"/>
        <v>0</v>
      </c>
      <c r="V68" s="96">
        <f>IF(V$59&gt;V17,MIN(V18-V17,V$59-V17)*V26,0)</f>
        <v>0</v>
      </c>
      <c r="W68" s="37">
        <f t="shared" si="43"/>
        <v>0</v>
      </c>
      <c r="X68" s="37">
        <f t="shared" si="43"/>
        <v>0</v>
      </c>
      <c r="Y68" s="37">
        <f t="shared" si="43"/>
        <v>0</v>
      </c>
      <c r="Z68" s="37">
        <f t="shared" si="43"/>
        <v>0</v>
      </c>
      <c r="AA68" s="96">
        <f>IF(AA$59&gt;AA17,MIN(AA18-AA17,AA$59-AA17)*AA26,0)</f>
        <v>0</v>
      </c>
      <c r="AB68" s="37">
        <f t="shared" si="44"/>
        <v>0</v>
      </c>
      <c r="AC68" s="37">
        <f t="shared" si="44"/>
        <v>0</v>
      </c>
      <c r="AD68" s="37">
        <f t="shared" si="44"/>
        <v>0</v>
      </c>
      <c r="AE68" s="37">
        <f t="shared" si="44"/>
        <v>0</v>
      </c>
      <c r="AF68" s="96">
        <f>IF(AF$59&gt;AF17,MIN(AF18-AF17,AF$59-AF17)*AF26,0)</f>
        <v>0</v>
      </c>
      <c r="AG68" s="37">
        <f t="shared" si="45"/>
        <v>0</v>
      </c>
      <c r="AH68" s="37">
        <f t="shared" si="46"/>
        <v>0</v>
      </c>
      <c r="AI68" s="37">
        <f t="shared" si="46"/>
        <v>0</v>
      </c>
      <c r="AJ68" s="37">
        <f t="shared" si="46"/>
        <v>0</v>
      </c>
      <c r="AK68" s="96">
        <f>IF(AK$59&gt;AK17,MIN(AK18-AK17,AK$59-AK17)*AK26,0)</f>
        <v>0</v>
      </c>
      <c r="AL68" s="37">
        <f t="shared" si="47"/>
        <v>0</v>
      </c>
      <c r="AM68" s="37">
        <f t="shared" si="48"/>
        <v>0</v>
      </c>
      <c r="AN68" s="37">
        <f t="shared" si="48"/>
        <v>0</v>
      </c>
      <c r="AO68" s="37">
        <f t="shared" si="48"/>
        <v>0</v>
      </c>
      <c r="AP68" s="96">
        <f>IF(AP$59&gt;AP17,MIN(AP18-AP17,AP$59-AP17)*AP26,0)</f>
        <v>0</v>
      </c>
      <c r="AQ68" s="37">
        <f t="shared" si="49"/>
        <v>0</v>
      </c>
      <c r="AR68" s="37">
        <f t="shared" si="49"/>
        <v>0</v>
      </c>
      <c r="AS68" s="37">
        <f t="shared" si="49"/>
        <v>0</v>
      </c>
      <c r="AT68" s="37">
        <f t="shared" si="49"/>
        <v>0</v>
      </c>
      <c r="AU68" s="96">
        <f>IF(AU$59&gt;AU17,MIN(AU18-AU17,AU$59-AU17)*AU26,0)</f>
        <v>0</v>
      </c>
      <c r="AV68" s="37">
        <f t="shared" si="56"/>
        <v>0</v>
      </c>
      <c r="AW68" s="37">
        <f t="shared" si="56"/>
        <v>0</v>
      </c>
      <c r="AX68" s="37">
        <f t="shared" si="56"/>
        <v>0</v>
      </c>
      <c r="AY68" s="37">
        <f t="shared" si="56"/>
        <v>0</v>
      </c>
      <c r="AZ68" s="96">
        <f>IF(AZ$59&gt;AZ17,MIN(AZ18-AZ17,AZ$59-AZ17)*AZ26,0)</f>
        <v>0</v>
      </c>
      <c r="BA68" s="37">
        <f t="shared" si="57"/>
        <v>0</v>
      </c>
      <c r="BB68" s="37">
        <f t="shared" si="50"/>
        <v>0</v>
      </c>
      <c r="BC68" s="37">
        <f t="shared" si="50"/>
        <v>0</v>
      </c>
      <c r="BD68" s="37">
        <f t="shared" si="50"/>
        <v>0</v>
      </c>
      <c r="BE68" s="96">
        <f>IF(BE$59&gt;BE17,MIN(BE18-BE17,BE$59-BE17)*BE26,0)</f>
        <v>0</v>
      </c>
      <c r="BF68" s="37">
        <f t="shared" si="58"/>
        <v>0</v>
      </c>
      <c r="BG68" s="37">
        <f t="shared" si="51"/>
        <v>0</v>
      </c>
      <c r="BH68" s="37">
        <f t="shared" si="51"/>
        <v>0</v>
      </c>
      <c r="BI68" s="37">
        <f t="shared" si="51"/>
        <v>0</v>
      </c>
      <c r="BJ68" s="96">
        <f>IF(BJ$59&gt;BJ17,MIN(BJ18-BJ17,BJ$59-BJ17)*BJ26,0)</f>
        <v>0</v>
      </c>
      <c r="BK68" s="37">
        <f t="shared" si="52"/>
        <v>0</v>
      </c>
      <c r="BL68" s="37">
        <f t="shared" si="52"/>
        <v>0</v>
      </c>
      <c r="BM68" s="37">
        <f t="shared" si="52"/>
        <v>0</v>
      </c>
      <c r="BN68" s="37">
        <f t="shared" si="52"/>
        <v>0</v>
      </c>
      <c r="BO68" s="96">
        <f>IF(BO$59&gt;BO17,MIN(BO18-BO17,BO$59-BO17)*BO26,0)</f>
        <v>0</v>
      </c>
      <c r="BP68" s="37">
        <f t="shared" si="53"/>
        <v>0</v>
      </c>
      <c r="BQ68" s="37">
        <f t="shared" si="53"/>
        <v>0</v>
      </c>
      <c r="BR68" s="37">
        <f t="shared" si="53"/>
        <v>0</v>
      </c>
      <c r="BS68" s="37">
        <f t="shared" si="53"/>
        <v>0</v>
      </c>
      <c r="BT68" s="96">
        <f t="shared" si="59"/>
        <v>0</v>
      </c>
      <c r="BU68" s="37">
        <f t="shared" si="60"/>
        <v>0</v>
      </c>
      <c r="BV68" s="37">
        <f t="shared" si="60"/>
        <v>0</v>
      </c>
      <c r="BW68" s="37">
        <f t="shared" si="60"/>
        <v>0</v>
      </c>
      <c r="BX68" s="37">
        <f t="shared" si="60"/>
        <v>0</v>
      </c>
      <c r="BY68" s="96">
        <f t="shared" si="59"/>
        <v>0</v>
      </c>
      <c r="BZ68" s="96">
        <f t="shared" si="59"/>
        <v>0</v>
      </c>
      <c r="CA68" s="96">
        <f t="shared" si="59"/>
        <v>0</v>
      </c>
      <c r="CB68" s="96">
        <f t="shared" si="61"/>
        <v>0</v>
      </c>
      <c r="CC68" s="96">
        <f t="shared" si="61"/>
        <v>0</v>
      </c>
      <c r="CD68" s="96">
        <f t="shared" si="61"/>
        <v>0</v>
      </c>
      <c r="CE68" s="96">
        <f t="shared" si="61"/>
        <v>0</v>
      </c>
      <c r="CF68" s="96">
        <f t="shared" si="61"/>
        <v>0</v>
      </c>
    </row>
    <row r="69" spans="1:84" ht="12" customHeight="1" x14ac:dyDescent="0.25">
      <c r="A69" s="126">
        <v>7</v>
      </c>
      <c r="B69" s="7"/>
      <c r="C69" s="76">
        <f t="shared" si="39"/>
        <v>0</v>
      </c>
      <c r="D69" s="129">
        <f t="shared" si="39"/>
        <v>0</v>
      </c>
      <c r="E69" s="129">
        <f t="shared" si="39"/>
        <v>0</v>
      </c>
      <c r="F69" s="129">
        <f t="shared" si="39"/>
        <v>0</v>
      </c>
      <c r="G69" s="96">
        <f>IF(G$59&gt;G18,(G$59-G18)*G27,0)</f>
        <v>0</v>
      </c>
      <c r="H69" s="100">
        <f>IF(H$59*4&gt;H18,(H$59*4-H18)*H27,0)/4</f>
        <v>0</v>
      </c>
      <c r="I69" s="101">
        <f>IF(I$59*4&gt;I18,(I$59*4-I18)*I27,0)/4</f>
        <v>0</v>
      </c>
      <c r="J69" s="35">
        <f t="shared" si="40"/>
        <v>0</v>
      </c>
      <c r="K69" s="35">
        <f t="shared" si="40"/>
        <v>0</v>
      </c>
      <c r="L69" s="96">
        <f>IF(L$59&gt;L18,(L$59-L18)*L27,0)</f>
        <v>0</v>
      </c>
      <c r="M69" s="37">
        <f t="shared" si="41"/>
        <v>0</v>
      </c>
      <c r="N69" s="37">
        <f t="shared" si="41"/>
        <v>0</v>
      </c>
      <c r="O69" s="37">
        <f t="shared" si="41"/>
        <v>0</v>
      </c>
      <c r="P69" s="37">
        <f t="shared" si="41"/>
        <v>0</v>
      </c>
      <c r="Q69" s="96">
        <f>IF(Q$59&gt;Q18,(Q$59-Q18)*Q27,0)</f>
        <v>0</v>
      </c>
      <c r="R69" s="37">
        <f t="shared" si="42"/>
        <v>0</v>
      </c>
      <c r="S69" s="37">
        <f t="shared" si="42"/>
        <v>0</v>
      </c>
      <c r="T69" s="37">
        <f t="shared" si="42"/>
        <v>0</v>
      </c>
      <c r="U69" s="37">
        <f t="shared" si="42"/>
        <v>0</v>
      </c>
      <c r="V69" s="96">
        <f>IF(V$59&gt;V18,(V$59-V18)*V27,0)</f>
        <v>0</v>
      </c>
      <c r="W69" s="37">
        <f t="shared" si="43"/>
        <v>0</v>
      </c>
      <c r="X69" s="37">
        <f t="shared" si="43"/>
        <v>0</v>
      </c>
      <c r="Y69" s="37">
        <f t="shared" si="43"/>
        <v>0</v>
      </c>
      <c r="Z69" s="37">
        <f t="shared" si="43"/>
        <v>0</v>
      </c>
      <c r="AA69" s="96">
        <f>IF(AA$59&gt;AA18,(AA$59-AA18)*AA27,0)</f>
        <v>0</v>
      </c>
      <c r="AB69" s="37">
        <f t="shared" si="44"/>
        <v>0</v>
      </c>
      <c r="AC69" s="37">
        <f t="shared" si="44"/>
        <v>0</v>
      </c>
      <c r="AD69" s="37">
        <f t="shared" si="44"/>
        <v>0</v>
      </c>
      <c r="AE69" s="37">
        <f t="shared" si="44"/>
        <v>0</v>
      </c>
      <c r="AF69" s="96">
        <f>IF(AF$59&gt;AF18,(AF$59-AF18)*AF27,0)</f>
        <v>0</v>
      </c>
      <c r="AG69" s="37">
        <f t="shared" si="45"/>
        <v>0</v>
      </c>
      <c r="AH69" s="37">
        <f t="shared" si="46"/>
        <v>0</v>
      </c>
      <c r="AI69" s="37">
        <f t="shared" si="46"/>
        <v>0</v>
      </c>
      <c r="AJ69" s="37">
        <f t="shared" si="46"/>
        <v>0</v>
      </c>
      <c r="AK69" s="96">
        <f>IF(AK$59&gt;AK18,(AK$59-AK18)*AK27,0)</f>
        <v>0</v>
      </c>
      <c r="AL69" s="37">
        <f t="shared" si="47"/>
        <v>0</v>
      </c>
      <c r="AM69" s="37">
        <f t="shared" si="48"/>
        <v>0</v>
      </c>
      <c r="AN69" s="37">
        <f t="shared" si="48"/>
        <v>0</v>
      </c>
      <c r="AO69" s="37">
        <f t="shared" si="48"/>
        <v>0</v>
      </c>
      <c r="AP69" s="96">
        <f>IF(AP$59&gt;AP18,(AP$59-AP18)*AP27,0)</f>
        <v>0</v>
      </c>
      <c r="AQ69" s="37">
        <f t="shared" si="49"/>
        <v>0</v>
      </c>
      <c r="AR69" s="37">
        <f t="shared" si="49"/>
        <v>0</v>
      </c>
      <c r="AS69" s="37">
        <f t="shared" si="49"/>
        <v>0</v>
      </c>
      <c r="AT69" s="37">
        <f t="shared" si="49"/>
        <v>0</v>
      </c>
      <c r="AU69" s="96">
        <f>IF(AU$59&gt;AU18,(AU$59-AU18)*AU27,0)</f>
        <v>0</v>
      </c>
      <c r="AV69" s="37">
        <f t="shared" si="56"/>
        <v>0</v>
      </c>
      <c r="AW69" s="37">
        <f t="shared" si="56"/>
        <v>0</v>
      </c>
      <c r="AX69" s="37">
        <f t="shared" si="56"/>
        <v>0</v>
      </c>
      <c r="AY69" s="37">
        <f t="shared" si="56"/>
        <v>0</v>
      </c>
      <c r="AZ69" s="96">
        <f>IF(AZ$59&gt;AZ18,(AZ$59-AZ18)*AZ27,0)</f>
        <v>0</v>
      </c>
      <c r="BA69" s="37">
        <f t="shared" si="57"/>
        <v>0</v>
      </c>
      <c r="BB69" s="37">
        <f t="shared" si="50"/>
        <v>0</v>
      </c>
      <c r="BC69" s="37">
        <f t="shared" si="50"/>
        <v>0</v>
      </c>
      <c r="BD69" s="37">
        <f t="shared" si="50"/>
        <v>0</v>
      </c>
      <c r="BE69" s="96">
        <f>IF(BE$59&gt;BE18,(BE$59-BE18)*BE27,0)</f>
        <v>0</v>
      </c>
      <c r="BF69" s="37">
        <f t="shared" si="58"/>
        <v>0</v>
      </c>
      <c r="BG69" s="37">
        <f t="shared" si="51"/>
        <v>0</v>
      </c>
      <c r="BH69" s="37">
        <f t="shared" si="51"/>
        <v>0</v>
      </c>
      <c r="BI69" s="37">
        <f t="shared" si="51"/>
        <v>0</v>
      </c>
      <c r="BJ69" s="96">
        <f>IF(BJ$59&gt;BJ18,(BJ$59-BJ18)*BJ27,0)</f>
        <v>0</v>
      </c>
      <c r="BK69" s="37">
        <f t="shared" si="52"/>
        <v>0</v>
      </c>
      <c r="BL69" s="37">
        <f t="shared" si="52"/>
        <v>0</v>
      </c>
      <c r="BM69" s="37">
        <f t="shared" si="52"/>
        <v>0</v>
      </c>
      <c r="BN69" s="37">
        <f t="shared" si="52"/>
        <v>0</v>
      </c>
      <c r="BO69" s="96">
        <f t="shared" ref="BO69:CF69" si="62">IF(BO$59&gt;BO18,(BO$59-BO18)*BO27,0)</f>
        <v>0</v>
      </c>
      <c r="BP69" s="37">
        <f t="shared" si="53"/>
        <v>0</v>
      </c>
      <c r="BQ69" s="37">
        <f t="shared" si="53"/>
        <v>0</v>
      </c>
      <c r="BR69" s="37">
        <f t="shared" si="53"/>
        <v>0</v>
      </c>
      <c r="BS69" s="37">
        <f t="shared" si="53"/>
        <v>0</v>
      </c>
      <c r="BT69" s="96">
        <f>IF(BT$59&gt;BT18,(BT$59-BT18)*BT27,0)</f>
        <v>0</v>
      </c>
      <c r="BU69" s="37">
        <f t="shared" si="60"/>
        <v>0</v>
      </c>
      <c r="BV69" s="37">
        <f t="shared" si="60"/>
        <v>0</v>
      </c>
      <c r="BW69" s="37">
        <f t="shared" si="60"/>
        <v>0</v>
      </c>
      <c r="BX69" s="37">
        <f t="shared" si="60"/>
        <v>0</v>
      </c>
      <c r="BY69" s="96">
        <f t="shared" si="62"/>
        <v>0</v>
      </c>
      <c r="BZ69" s="96">
        <f t="shared" si="62"/>
        <v>0</v>
      </c>
      <c r="CA69" s="96">
        <f t="shared" si="62"/>
        <v>0</v>
      </c>
      <c r="CB69" s="96">
        <f t="shared" si="62"/>
        <v>0</v>
      </c>
      <c r="CC69" s="96">
        <f t="shared" si="62"/>
        <v>0</v>
      </c>
      <c r="CD69" s="96">
        <f t="shared" si="62"/>
        <v>0</v>
      </c>
      <c r="CE69" s="96">
        <f t="shared" si="62"/>
        <v>0</v>
      </c>
      <c r="CF69" s="96">
        <f t="shared" si="62"/>
        <v>0</v>
      </c>
    </row>
    <row r="70" spans="1:84" ht="5.25" customHeight="1" x14ac:dyDescent="0.25">
      <c r="A70" s="114"/>
      <c r="B70" s="130"/>
      <c r="C70" s="130" t="s">
        <v>1059</v>
      </c>
      <c r="D70" s="130" t="s">
        <v>1059</v>
      </c>
      <c r="E70" s="130" t="s">
        <v>1059</v>
      </c>
      <c r="F70" s="130" t="s">
        <v>1059</v>
      </c>
      <c r="G70" s="131" t="s">
        <v>1059</v>
      </c>
      <c r="H70" s="130" t="s">
        <v>1059</v>
      </c>
      <c r="I70" s="130" t="s">
        <v>1059</v>
      </c>
      <c r="J70" s="130" t="s">
        <v>1059</v>
      </c>
      <c r="K70" s="130" t="s">
        <v>1059</v>
      </c>
      <c r="L70" s="131" t="s">
        <v>1059</v>
      </c>
      <c r="M70" s="130" t="s">
        <v>1059</v>
      </c>
      <c r="N70" s="130" t="s">
        <v>1059</v>
      </c>
      <c r="O70" s="130" t="s">
        <v>1059</v>
      </c>
      <c r="P70" s="130" t="s">
        <v>1059</v>
      </c>
      <c r="Q70" s="131" t="s">
        <v>1059</v>
      </c>
      <c r="R70" s="130" t="s">
        <v>1059</v>
      </c>
      <c r="S70" s="130" t="s">
        <v>1059</v>
      </c>
      <c r="T70" s="130" t="s">
        <v>1059</v>
      </c>
      <c r="U70" s="130" t="s">
        <v>1059</v>
      </c>
      <c r="V70" s="131" t="s">
        <v>1059</v>
      </c>
      <c r="W70" s="130" t="s">
        <v>1059</v>
      </c>
      <c r="X70" s="130" t="s">
        <v>1059</v>
      </c>
      <c r="Y70" s="130" t="s">
        <v>1059</v>
      </c>
      <c r="Z70" s="130" t="s">
        <v>1059</v>
      </c>
      <c r="AA70" s="131" t="s">
        <v>1059</v>
      </c>
      <c r="AB70" s="130" t="s">
        <v>1059</v>
      </c>
      <c r="AC70" s="130" t="s">
        <v>1059</v>
      </c>
      <c r="AD70" s="130" t="s">
        <v>1059</v>
      </c>
      <c r="AE70" s="130" t="s">
        <v>1059</v>
      </c>
      <c r="AF70" s="131" t="s">
        <v>1059</v>
      </c>
      <c r="AG70" s="130" t="s">
        <v>1059</v>
      </c>
      <c r="AH70" s="130" t="s">
        <v>1059</v>
      </c>
      <c r="AI70" s="130" t="s">
        <v>1059</v>
      </c>
      <c r="AJ70" s="130" t="s">
        <v>1059</v>
      </c>
      <c r="AK70" s="131" t="s">
        <v>1059</v>
      </c>
      <c r="AL70" s="130" t="s">
        <v>1059</v>
      </c>
      <c r="AM70" s="130" t="s">
        <v>1059</v>
      </c>
      <c r="AN70" s="130" t="s">
        <v>1059</v>
      </c>
      <c r="AO70" s="130" t="s">
        <v>1059</v>
      </c>
      <c r="AP70" s="131" t="s">
        <v>1059</v>
      </c>
      <c r="AQ70" s="130" t="s">
        <v>1059</v>
      </c>
      <c r="AR70" s="130" t="s">
        <v>1059</v>
      </c>
      <c r="AS70" s="130" t="s">
        <v>1059</v>
      </c>
      <c r="AT70" s="130" t="s">
        <v>1059</v>
      </c>
      <c r="AU70" s="131" t="s">
        <v>1059</v>
      </c>
      <c r="AV70" s="130" t="s">
        <v>1059</v>
      </c>
      <c r="AW70" s="130" t="s">
        <v>1059</v>
      </c>
      <c r="AX70" s="130" t="s">
        <v>1059</v>
      </c>
      <c r="AY70" s="130" t="s">
        <v>1059</v>
      </c>
      <c r="AZ70" s="131" t="s">
        <v>1059</v>
      </c>
      <c r="BA70" s="130" t="s">
        <v>1059</v>
      </c>
      <c r="BB70" s="130" t="s">
        <v>1059</v>
      </c>
      <c r="BC70" s="130" t="s">
        <v>1059</v>
      </c>
      <c r="BD70" s="130" t="s">
        <v>1059</v>
      </c>
      <c r="BE70" s="131" t="s">
        <v>1059</v>
      </c>
      <c r="BF70" s="130" t="s">
        <v>1059</v>
      </c>
      <c r="BG70" s="130" t="s">
        <v>1059</v>
      </c>
      <c r="BH70" s="130" t="s">
        <v>1059</v>
      </c>
      <c r="BI70" s="130" t="s">
        <v>1059</v>
      </c>
      <c r="BJ70" s="131" t="s">
        <v>1059</v>
      </c>
      <c r="BK70" s="130" t="s">
        <v>1059</v>
      </c>
      <c r="BL70" s="130" t="s">
        <v>1059</v>
      </c>
      <c r="BM70" s="130" t="s">
        <v>1059</v>
      </c>
      <c r="BN70" s="130" t="s">
        <v>1059</v>
      </c>
      <c r="BO70" s="131" t="s">
        <v>1059</v>
      </c>
      <c r="BP70" s="130" t="s">
        <v>1059</v>
      </c>
      <c r="BQ70" s="130" t="s">
        <v>1059</v>
      </c>
      <c r="BR70" s="130" t="s">
        <v>1059</v>
      </c>
      <c r="BS70" s="130" t="s">
        <v>1059</v>
      </c>
      <c r="BT70" s="131" t="s">
        <v>1059</v>
      </c>
      <c r="BU70" s="130" t="s">
        <v>1059</v>
      </c>
      <c r="BV70" s="130" t="s">
        <v>1059</v>
      </c>
      <c r="BW70" s="130" t="s">
        <v>1059</v>
      </c>
      <c r="BX70" s="130" t="s">
        <v>1059</v>
      </c>
      <c r="BY70" s="131" t="s">
        <v>1059</v>
      </c>
      <c r="BZ70" s="131" t="s">
        <v>1059</v>
      </c>
      <c r="CA70" s="131" t="s">
        <v>1059</v>
      </c>
      <c r="CB70" s="131" t="s">
        <v>1059</v>
      </c>
      <c r="CC70" s="131" t="s">
        <v>1059</v>
      </c>
      <c r="CD70" s="131" t="s">
        <v>1059</v>
      </c>
      <c r="CE70" s="131" t="s">
        <v>1059</v>
      </c>
      <c r="CF70" s="131" t="s">
        <v>1059</v>
      </c>
    </row>
    <row r="71" spans="1:84" ht="12" customHeight="1" x14ac:dyDescent="0.25">
      <c r="A71" s="114" t="s">
        <v>2242</v>
      </c>
      <c r="B71" s="80"/>
      <c r="C71" s="36">
        <f t="shared" ref="C71:I71" si="63">SUM(C63:C70)</f>
        <v>8.8647500000000008</v>
      </c>
      <c r="D71" s="133">
        <f t="shared" si="63"/>
        <v>8.8647500000000008</v>
      </c>
      <c r="E71" s="133">
        <f t="shared" si="63"/>
        <v>8.8647500000000008</v>
      </c>
      <c r="F71" s="36">
        <f t="shared" si="63"/>
        <v>8.8647500000000008</v>
      </c>
      <c r="G71" s="132">
        <f t="shared" si="63"/>
        <v>35.459000000000003</v>
      </c>
      <c r="H71" s="36">
        <f t="shared" si="63"/>
        <v>9.6217500000000005</v>
      </c>
      <c r="I71" s="133">
        <f t="shared" si="63"/>
        <v>9.4797499999999992</v>
      </c>
      <c r="J71" s="109">
        <f>MAX(SUM(J63:J69),31/4)</f>
        <v>7.75</v>
      </c>
      <c r="K71" s="109">
        <f>MAX(SUM(K63:K69),31/4)</f>
        <v>7.75</v>
      </c>
      <c r="L71" s="106">
        <f>SUM(H71:K71)</f>
        <v>34.601500000000001</v>
      </c>
      <c r="M71" s="109">
        <f>$Q71/4</f>
        <v>8.1280312499999994</v>
      </c>
      <c r="N71" s="109">
        <f>$Q71/4</f>
        <v>8.1280312499999994</v>
      </c>
      <c r="O71" s="109">
        <f>$Q71/4</f>
        <v>8.1280312499999994</v>
      </c>
      <c r="P71" s="109">
        <f>$Q71/4</f>
        <v>8.1280312499999994</v>
      </c>
      <c r="Q71" s="110">
        <f>MAX(SUM(Q63:Q69),31)</f>
        <v>32.512124999999997</v>
      </c>
      <c r="R71" s="109">
        <f>$V71/4</f>
        <v>8.5036874999999981</v>
      </c>
      <c r="S71" s="109">
        <f>$V71/4</f>
        <v>8.5036874999999981</v>
      </c>
      <c r="T71" s="108">
        <f>SUM(T63:T70)</f>
        <v>8.5036874999999981</v>
      </c>
      <c r="U71" s="108">
        <f>SUM(U63:U70)</f>
        <v>8.5036874999999981</v>
      </c>
      <c r="V71" s="106">
        <f>SUM(V63:V69)</f>
        <v>34.014749999999992</v>
      </c>
      <c r="W71" s="108">
        <f>SUM(W63:W70)</f>
        <v>5.7199007454811861</v>
      </c>
      <c r="X71" s="108">
        <f>SUM(X63:X70)</f>
        <v>5.5571902209926627</v>
      </c>
      <c r="Y71" s="108">
        <f>SUM(Y63:Y70)</f>
        <v>5.5406593984756869</v>
      </c>
      <c r="Z71" s="108">
        <f>SUM(Z63:Z70)</f>
        <v>4.7788246350504648</v>
      </c>
      <c r="AA71" s="106">
        <f>SUM(AA63:AA69)</f>
        <v>21.596575000000001</v>
      </c>
      <c r="AB71" s="108">
        <f>SUM(AB63:AB70)</f>
        <v>4.8099999999999987</v>
      </c>
      <c r="AC71" s="108">
        <f>SUM(AC63:AC70)</f>
        <v>4.8099999999999987</v>
      </c>
      <c r="AD71" s="108">
        <f>SUM(AD63:AD70)</f>
        <v>4.8099999999999987</v>
      </c>
      <c r="AE71" s="108">
        <f>SUM(AE63:AE70)</f>
        <v>4.8099999999999987</v>
      </c>
      <c r="AF71" s="106">
        <f>SUM(AF63:AF69)</f>
        <v>19.239999999999995</v>
      </c>
      <c r="AG71" s="108">
        <f t="shared" ref="AG71:AU71" si="64">SUM(AG63:AG70)</f>
        <v>4.2498625000000008</v>
      </c>
      <c r="AH71" s="108">
        <f t="shared" si="64"/>
        <v>4.2498625000000008</v>
      </c>
      <c r="AI71" s="108">
        <f t="shared" si="64"/>
        <v>4.2498625000000008</v>
      </c>
      <c r="AJ71" s="108">
        <f t="shared" si="64"/>
        <v>4.2498625000000008</v>
      </c>
      <c r="AK71" s="132">
        <f t="shared" si="64"/>
        <v>16.999450000000003</v>
      </c>
      <c r="AL71" s="108">
        <f t="shared" si="64"/>
        <v>3.9311875000000001</v>
      </c>
      <c r="AM71" s="108">
        <f t="shared" si="64"/>
        <v>3.9311875000000001</v>
      </c>
      <c r="AN71" s="108">
        <f t="shared" si="64"/>
        <v>3.9311875000000001</v>
      </c>
      <c r="AO71" s="108">
        <f t="shared" si="64"/>
        <v>3.9311875000000001</v>
      </c>
      <c r="AP71" s="132">
        <f t="shared" si="64"/>
        <v>15.72475</v>
      </c>
      <c r="AQ71" s="108">
        <f t="shared" si="64"/>
        <v>3.7855062500000001</v>
      </c>
      <c r="AR71" s="108">
        <f t="shared" si="64"/>
        <v>3.7855062500000001</v>
      </c>
      <c r="AS71" s="108">
        <f t="shared" si="64"/>
        <v>3.7855062500000001</v>
      </c>
      <c r="AT71" s="108">
        <f t="shared" si="64"/>
        <v>3.7855062500000001</v>
      </c>
      <c r="AU71" s="132">
        <f t="shared" si="64"/>
        <v>15.142025</v>
      </c>
      <c r="AV71" s="108">
        <f t="shared" ref="AV71:BE71" si="65">SUM(AV63:AV70)</f>
        <v>3.3243382625000004</v>
      </c>
      <c r="AW71" s="108">
        <f t="shared" si="65"/>
        <v>3.3243382625000004</v>
      </c>
      <c r="AX71" s="108">
        <f t="shared" si="65"/>
        <v>3.3243382625000004</v>
      </c>
      <c r="AY71" s="108">
        <f t="shared" si="65"/>
        <v>3.3243382625000004</v>
      </c>
      <c r="AZ71" s="132">
        <f t="shared" si="65"/>
        <v>13.297353050000002</v>
      </c>
      <c r="BA71" s="108">
        <f t="shared" si="65"/>
        <v>2.7938013187500004</v>
      </c>
      <c r="BB71" s="108">
        <f t="shared" si="65"/>
        <v>2.7938013187500004</v>
      </c>
      <c r="BC71" s="108">
        <f t="shared" si="65"/>
        <v>2.7938013187500004</v>
      </c>
      <c r="BD71" s="108">
        <f t="shared" si="65"/>
        <v>2.7938013187500004</v>
      </c>
      <c r="BE71" s="132">
        <f t="shared" si="65"/>
        <v>11.175205275000001</v>
      </c>
      <c r="BF71" s="108">
        <f t="shared" ref="BF71:CF71" si="66">SUM(BF63:BF70)</f>
        <v>2.6585011812500001</v>
      </c>
      <c r="BG71" s="108">
        <f t="shared" si="66"/>
        <v>2.6585011812500001</v>
      </c>
      <c r="BH71" s="108">
        <f t="shared" si="66"/>
        <v>2.6585011812500001</v>
      </c>
      <c r="BI71" s="108">
        <f t="shared" si="66"/>
        <v>2.6585011812500001</v>
      </c>
      <c r="BJ71" s="132">
        <f t="shared" si="66"/>
        <v>10.634004725</v>
      </c>
      <c r="BK71" s="108">
        <f t="shared" si="66"/>
        <v>2.2994050874999998</v>
      </c>
      <c r="BL71" s="108">
        <f t="shared" si="66"/>
        <v>2.2994050874999998</v>
      </c>
      <c r="BM71" s="108">
        <f t="shared" si="66"/>
        <v>2.2994050874999998</v>
      </c>
      <c r="BN71" s="108">
        <f t="shared" si="66"/>
        <v>2.2994050874999998</v>
      </c>
      <c r="BO71" s="132">
        <f t="shared" si="66"/>
        <v>9.1976203499999993</v>
      </c>
      <c r="BP71" s="108">
        <f t="shared" si="66"/>
        <v>2.2294868437500002</v>
      </c>
      <c r="BQ71" s="108">
        <f t="shared" si="66"/>
        <v>2.2294868437500002</v>
      </c>
      <c r="BR71" s="108">
        <f t="shared" si="66"/>
        <v>2.2294868437500002</v>
      </c>
      <c r="BS71" s="108">
        <f t="shared" si="66"/>
        <v>2.2294868437500002</v>
      </c>
      <c r="BT71" s="132">
        <f t="shared" si="66"/>
        <v>8.9179473750000007</v>
      </c>
      <c r="BU71" s="108">
        <f>SUM(BU63:BU70)</f>
        <v>2.2221543766875005</v>
      </c>
      <c r="BV71" s="108">
        <f>SUM(BV63:BV70)</f>
        <v>2.2221543766875005</v>
      </c>
      <c r="BW71" s="108">
        <f>SUM(BW63:BW70)</f>
        <v>2.2221543766875005</v>
      </c>
      <c r="BX71" s="108">
        <f>SUM(BX63:BX70)</f>
        <v>2.2221543766875005</v>
      </c>
      <c r="BY71" s="132">
        <f t="shared" si="66"/>
        <v>8.888617506750002</v>
      </c>
      <c r="BZ71" s="132">
        <f t="shared" si="66"/>
        <v>8.888617506750002</v>
      </c>
      <c r="CA71" s="132">
        <f t="shared" si="66"/>
        <v>8.673345156615003</v>
      </c>
      <c r="CB71" s="132">
        <f t="shared" si="66"/>
        <v>8.1459278987842509</v>
      </c>
      <c r="CC71" s="132">
        <f t="shared" si="66"/>
        <v>7.6448815038450384</v>
      </c>
      <c r="CD71" s="132">
        <f t="shared" si="66"/>
        <v>7.8352791339219392</v>
      </c>
      <c r="CE71" s="132">
        <f t="shared" si="66"/>
        <v>8.0294847166003791</v>
      </c>
      <c r="CF71" s="132">
        <f t="shared" si="66"/>
        <v>8.2275744109323856</v>
      </c>
    </row>
    <row r="72" spans="1:84" ht="12" customHeight="1" x14ac:dyDescent="0.25">
      <c r="A72" s="2"/>
      <c r="B72" s="2"/>
      <c r="C72" s="53"/>
      <c r="D72" s="4"/>
      <c r="E72" s="4"/>
      <c r="F72" s="4"/>
      <c r="G72" s="55"/>
      <c r="H72" s="53"/>
      <c r="I72" s="4"/>
      <c r="J72" s="4"/>
      <c r="K72" s="4"/>
      <c r="L72" s="55"/>
      <c r="M72" s="53"/>
      <c r="N72" s="4"/>
      <c r="O72" s="4"/>
      <c r="P72" s="4"/>
      <c r="Q72" s="55"/>
      <c r="R72" s="53"/>
      <c r="S72" s="4"/>
      <c r="T72" s="4"/>
      <c r="U72" s="4"/>
      <c r="V72" s="55"/>
      <c r="W72" s="53"/>
      <c r="X72" s="4"/>
      <c r="Y72" s="4"/>
      <c r="Z72" s="4"/>
      <c r="AA72" s="55"/>
      <c r="AB72" s="53"/>
      <c r="AC72" s="4"/>
      <c r="AD72" s="4"/>
      <c r="AE72" s="4"/>
      <c r="AF72" s="55"/>
      <c r="AG72" s="53"/>
      <c r="AH72" s="4"/>
      <c r="AI72" s="4"/>
      <c r="AJ72" s="4"/>
      <c r="AK72" s="55"/>
      <c r="AL72" s="53"/>
      <c r="AM72" s="4"/>
      <c r="AN72" s="4"/>
      <c r="AO72" s="4"/>
      <c r="AP72" s="55"/>
      <c r="AQ72" s="53"/>
      <c r="AR72" s="4"/>
      <c r="AS72" s="4"/>
      <c r="AT72" s="4"/>
      <c r="AU72" s="55"/>
      <c r="AV72" s="53"/>
      <c r="AW72" s="4"/>
      <c r="AX72" s="4"/>
      <c r="AY72" s="4"/>
      <c r="AZ72" s="55"/>
      <c r="BA72" s="53"/>
      <c r="BB72" s="4"/>
      <c r="BC72" s="4"/>
      <c r="BD72" s="4"/>
      <c r="BE72" s="55"/>
      <c r="BF72" s="53"/>
      <c r="BG72" s="4"/>
      <c r="BH72" s="4"/>
      <c r="BI72" s="4"/>
      <c r="BJ72" s="55"/>
      <c r="BK72" s="53"/>
      <c r="BL72" s="4"/>
      <c r="BM72" s="4"/>
      <c r="BN72" s="4"/>
      <c r="BO72" s="55"/>
      <c r="BP72" s="53"/>
      <c r="BQ72" s="4"/>
      <c r="BR72" s="4"/>
      <c r="BS72" s="4"/>
      <c r="BT72" s="55"/>
      <c r="BU72" s="53"/>
      <c r="BV72" s="4"/>
      <c r="BW72" s="4"/>
      <c r="BX72" s="4"/>
      <c r="BY72" s="55"/>
      <c r="BZ72" s="55"/>
      <c r="CA72" s="55"/>
      <c r="CB72" s="55"/>
      <c r="CC72" s="55"/>
      <c r="CD72" s="55"/>
      <c r="CE72" s="55"/>
      <c r="CF72" s="55"/>
    </row>
    <row r="73" spans="1:84" ht="12" customHeight="1" x14ac:dyDescent="0.25">
      <c r="A73" s="2" t="s">
        <v>2244</v>
      </c>
      <c r="B73" s="7"/>
      <c r="C73" s="7">
        <f t="shared" ref="C73:N73" si="67">(C60*C57)/1000</f>
        <v>1.5006397999999999</v>
      </c>
      <c r="D73" s="129">
        <f t="shared" si="67"/>
        <v>1.4959914999999999</v>
      </c>
      <c r="E73" s="129">
        <f t="shared" si="67"/>
        <v>1.6150756999999998</v>
      </c>
      <c r="F73" s="7">
        <f t="shared" si="67"/>
        <v>1.4537826999999999</v>
      </c>
      <c r="G73" s="128">
        <f t="shared" si="67"/>
        <v>6.0654896999999988</v>
      </c>
      <c r="H73" s="7">
        <f t="shared" si="67"/>
        <v>1.5096096000000001</v>
      </c>
      <c r="I73" s="129">
        <f t="shared" si="67"/>
        <v>1.54714</v>
      </c>
      <c r="J73" s="129">
        <f t="shared" si="67"/>
        <v>1.1607329999999998</v>
      </c>
      <c r="K73" s="7">
        <f t="shared" si="67"/>
        <v>1.0506480000000002</v>
      </c>
      <c r="L73" s="128">
        <f t="shared" si="67"/>
        <v>4.343996999999999</v>
      </c>
      <c r="M73" s="7">
        <f t="shared" si="67"/>
        <v>1.135194</v>
      </c>
      <c r="N73" s="129">
        <f t="shared" si="67"/>
        <v>1.0841999999999998</v>
      </c>
      <c r="O73" s="129">
        <f t="shared" ref="O73:AO73" si="68">(O60*O57)/1000</f>
        <v>1.1453129999999998</v>
      </c>
      <c r="P73" s="7">
        <f t="shared" si="68"/>
        <v>1.043058</v>
      </c>
      <c r="Q73" s="128">
        <f t="shared" si="68"/>
        <v>4.4077650000000004</v>
      </c>
      <c r="R73" s="7">
        <f t="shared" si="68"/>
        <v>1.0719839999999998</v>
      </c>
      <c r="S73" s="129">
        <f t="shared" si="68"/>
        <v>1.1061869999999998</v>
      </c>
      <c r="T73" s="129">
        <f t="shared" si="68"/>
        <v>1.1416200000000001</v>
      </c>
      <c r="U73" s="7">
        <f t="shared" si="68"/>
        <v>1.1416200000000001</v>
      </c>
      <c r="V73" s="128">
        <f t="shared" si="68"/>
        <v>4.461411</v>
      </c>
      <c r="W73" s="7">
        <f t="shared" si="68"/>
        <v>0.93738899999999992</v>
      </c>
      <c r="X73" s="129">
        <f t="shared" si="68"/>
        <v>0.90315299999999998</v>
      </c>
      <c r="Y73" s="129">
        <f t="shared" si="68"/>
        <v>0.92940900000000004</v>
      </c>
      <c r="Z73" s="7">
        <f t="shared" si="68"/>
        <v>0.80718300000000009</v>
      </c>
      <c r="AA73" s="128">
        <f t="shared" si="68"/>
        <v>3.577134</v>
      </c>
      <c r="AB73" s="7">
        <f t="shared" si="68"/>
        <v>0.87180000000000002</v>
      </c>
      <c r="AC73" s="129">
        <f t="shared" si="68"/>
        <v>0.88800000000000001</v>
      </c>
      <c r="AD73" s="129">
        <f t="shared" si="68"/>
        <v>0.93540000000000012</v>
      </c>
      <c r="AE73" s="7">
        <f t="shared" si="68"/>
        <v>0.78119999999999989</v>
      </c>
      <c r="AF73" s="128">
        <f t="shared" si="68"/>
        <v>3.4764000000000004</v>
      </c>
      <c r="AG73" s="7">
        <f>(AG60*AG57)/1000</f>
        <v>0.80969999999999998</v>
      </c>
      <c r="AH73" s="129">
        <f>(AH60*AH57)/1000</f>
        <v>0.79469999999999996</v>
      </c>
      <c r="AI73" s="129">
        <f>(AI60*AI57)/1000</f>
        <v>0.79511699999999996</v>
      </c>
      <c r="AJ73" s="7">
        <f>(AJ60*AJ57)/1000</f>
        <v>0.70559999999999989</v>
      </c>
      <c r="AK73" s="128">
        <f t="shared" si="68"/>
        <v>3.1051170000000003</v>
      </c>
      <c r="AL73" s="7">
        <f t="shared" si="68"/>
        <v>0.70950000000000002</v>
      </c>
      <c r="AM73" s="129">
        <f t="shared" si="68"/>
        <v>0.73805399999999988</v>
      </c>
      <c r="AN73" s="129">
        <f t="shared" si="68"/>
        <v>0.74355299999999991</v>
      </c>
      <c r="AO73" s="7">
        <f t="shared" si="68"/>
        <v>0.63987899999999998</v>
      </c>
      <c r="AP73" s="128">
        <f t="shared" ref="AP73:AU73" si="69">(AP60*AP57)/1000</f>
        <v>2.8309859999999998</v>
      </c>
      <c r="AQ73" s="7">
        <f t="shared" si="69"/>
        <v>0.66191100000000003</v>
      </c>
      <c r="AR73" s="129">
        <f t="shared" si="69"/>
        <v>0.65663099999999996</v>
      </c>
      <c r="AS73" s="129">
        <f t="shared" si="69"/>
        <v>0.69657300000000011</v>
      </c>
      <c r="AT73" s="7">
        <f t="shared" si="69"/>
        <v>0.61440300000000003</v>
      </c>
      <c r="AU73" s="128">
        <f t="shared" si="69"/>
        <v>2.629518</v>
      </c>
      <c r="AV73" s="7">
        <f t="shared" ref="AV73:BE73" si="70">(AV60*AV57)/1000</f>
        <v>0.59982599999999997</v>
      </c>
      <c r="AW73" s="129">
        <f t="shared" si="70"/>
        <v>0.54576599999999986</v>
      </c>
      <c r="AX73" s="129">
        <f t="shared" si="70"/>
        <v>0.59142300000000003</v>
      </c>
      <c r="AY73" s="7">
        <f t="shared" si="70"/>
        <v>0.52287300000000003</v>
      </c>
      <c r="AZ73" s="128">
        <f t="shared" si="70"/>
        <v>2.2598880000000001</v>
      </c>
      <c r="BA73" s="7">
        <f t="shared" si="70"/>
        <v>0.48549900000000001</v>
      </c>
      <c r="BB73" s="129">
        <f t="shared" si="70"/>
        <v>0.50458799999999993</v>
      </c>
      <c r="BC73" s="129">
        <f t="shared" si="70"/>
        <v>0.497172</v>
      </c>
      <c r="BD73" s="7">
        <f t="shared" si="70"/>
        <v>0.45938999999999997</v>
      </c>
      <c r="BE73" s="128">
        <f t="shared" si="70"/>
        <v>1.9466490000000001</v>
      </c>
      <c r="BF73" s="7">
        <f t="shared" ref="BF73:CF73" si="71">(BF60*BF57)/1000</f>
        <v>0.46633199999999997</v>
      </c>
      <c r="BG73" s="129">
        <f t="shared" si="71"/>
        <v>0.45380399999999999</v>
      </c>
      <c r="BH73" s="129">
        <f t="shared" si="71"/>
        <v>0.43817700000000004</v>
      </c>
      <c r="BI73" s="7">
        <f t="shared" si="71"/>
        <v>0.36682199999999998</v>
      </c>
      <c r="BJ73" s="128">
        <f t="shared" si="71"/>
        <v>1.7251349999999999</v>
      </c>
      <c r="BK73" s="7">
        <f t="shared" si="71"/>
        <v>0.37829700000000005</v>
      </c>
      <c r="BL73" s="129">
        <f t="shared" si="71"/>
        <v>0.42090000000000005</v>
      </c>
      <c r="BM73" s="129">
        <f t="shared" si="71"/>
        <v>0.42668400000000001</v>
      </c>
      <c r="BN73" s="7">
        <f t="shared" si="71"/>
        <v>0.36673199999999995</v>
      </c>
      <c r="BO73" s="128">
        <f t="shared" si="71"/>
        <v>1.5926129999999998</v>
      </c>
      <c r="BP73" s="7">
        <f t="shared" si="71"/>
        <v>0.3757049999999999</v>
      </c>
      <c r="BQ73" s="129">
        <f t="shared" si="71"/>
        <v>0.35889599999999999</v>
      </c>
      <c r="BR73" s="129">
        <f t="shared" si="71"/>
        <v>0.39858000000000005</v>
      </c>
      <c r="BS73" s="7">
        <f t="shared" si="71"/>
        <v>0.35128199999999998</v>
      </c>
      <c r="BT73" s="128">
        <f t="shared" si="71"/>
        <v>1.4844629999999999</v>
      </c>
      <c r="BU73" s="7">
        <f>(BU60*BU57)/1000</f>
        <v>0.35028995064769269</v>
      </c>
      <c r="BV73" s="129">
        <f>(BV60*BV57)/1000</f>
        <v>0.37325184</v>
      </c>
      <c r="BW73" s="129">
        <f>(BW60*BW57)/1000</f>
        <v>0.40256580000000003</v>
      </c>
      <c r="BX73" s="7">
        <f>(BX60*BX57)/1000</f>
        <v>0.35479481999999996</v>
      </c>
      <c r="BY73" s="128">
        <f t="shared" si="71"/>
        <v>1.4809024106476927</v>
      </c>
      <c r="BZ73" s="128">
        <f t="shared" si="71"/>
        <v>1.4809024106476927</v>
      </c>
      <c r="CA73" s="128">
        <f t="shared" si="71"/>
        <v>1.4512843624347389</v>
      </c>
      <c r="CB73" s="128">
        <f t="shared" si="71"/>
        <v>1.3787201443130017</v>
      </c>
      <c r="CC73" s="128">
        <f t="shared" si="71"/>
        <v>1.3097841370973518</v>
      </c>
      <c r="CD73" s="128">
        <f t="shared" si="71"/>
        <v>1.3359798198392987</v>
      </c>
      <c r="CE73" s="128">
        <f t="shared" si="71"/>
        <v>1.3626994162360848</v>
      </c>
      <c r="CF73" s="128">
        <f t="shared" si="71"/>
        <v>1.3899534045608064</v>
      </c>
    </row>
    <row r="74" spans="1:84" ht="5.25" customHeight="1" x14ac:dyDescent="0.25">
      <c r="A74" s="2"/>
      <c r="B74" s="130"/>
      <c r="C74" s="130" t="s">
        <v>1059</v>
      </c>
      <c r="D74" s="130" t="s">
        <v>1059</v>
      </c>
      <c r="E74" s="130" t="s">
        <v>1059</v>
      </c>
      <c r="F74" s="130" t="s">
        <v>1059</v>
      </c>
      <c r="G74" s="131" t="s">
        <v>1059</v>
      </c>
      <c r="H74" s="130" t="s">
        <v>1059</v>
      </c>
      <c r="I74" s="130" t="s">
        <v>1059</v>
      </c>
      <c r="J74" s="130" t="s">
        <v>1059</v>
      </c>
      <c r="K74" s="130" t="s">
        <v>1059</v>
      </c>
      <c r="L74" s="131" t="s">
        <v>1059</v>
      </c>
      <c r="M74" s="130" t="s">
        <v>1059</v>
      </c>
      <c r="N74" s="130" t="s">
        <v>1059</v>
      </c>
      <c r="O74" s="130" t="s">
        <v>1059</v>
      </c>
      <c r="P74" s="130" t="s">
        <v>1059</v>
      </c>
      <c r="Q74" s="131" t="s">
        <v>1059</v>
      </c>
      <c r="R74" s="130" t="s">
        <v>1059</v>
      </c>
      <c r="S74" s="130" t="s">
        <v>1059</v>
      </c>
      <c r="T74" s="130" t="s">
        <v>1059</v>
      </c>
      <c r="U74" s="130" t="s">
        <v>1059</v>
      </c>
      <c r="V74" s="131" t="s">
        <v>1059</v>
      </c>
      <c r="W74" s="130" t="s">
        <v>1059</v>
      </c>
      <c r="X74" s="130" t="s">
        <v>1059</v>
      </c>
      <c r="Y74" s="130" t="s">
        <v>1059</v>
      </c>
      <c r="Z74" s="130" t="s">
        <v>1059</v>
      </c>
      <c r="AA74" s="131" t="s">
        <v>1059</v>
      </c>
      <c r="AB74" s="130" t="s">
        <v>1059</v>
      </c>
      <c r="AC74" s="130" t="s">
        <v>1059</v>
      </c>
      <c r="AD74" s="130" t="s">
        <v>1059</v>
      </c>
      <c r="AE74" s="130" t="s">
        <v>1059</v>
      </c>
      <c r="AF74" s="131" t="s">
        <v>1059</v>
      </c>
      <c r="AG74" s="130" t="s">
        <v>1059</v>
      </c>
      <c r="AH74" s="130" t="s">
        <v>1059</v>
      </c>
      <c r="AI74" s="130" t="s">
        <v>1059</v>
      </c>
      <c r="AJ74" s="130" t="s">
        <v>1059</v>
      </c>
      <c r="AK74" s="131" t="s">
        <v>1059</v>
      </c>
      <c r="AL74" s="130" t="s">
        <v>1059</v>
      </c>
      <c r="AM74" s="130" t="s">
        <v>1059</v>
      </c>
      <c r="AN74" s="130" t="s">
        <v>1059</v>
      </c>
      <c r="AO74" s="130" t="s">
        <v>1059</v>
      </c>
      <c r="AP74" s="131" t="s">
        <v>1059</v>
      </c>
      <c r="AQ74" s="130" t="s">
        <v>1059</v>
      </c>
      <c r="AR74" s="130" t="s">
        <v>1059</v>
      </c>
      <c r="AS74" s="130" t="s">
        <v>1059</v>
      </c>
      <c r="AT74" s="130" t="s">
        <v>1059</v>
      </c>
      <c r="AU74" s="131" t="s">
        <v>1059</v>
      </c>
      <c r="AV74" s="130" t="s">
        <v>1059</v>
      </c>
      <c r="AW74" s="130" t="s">
        <v>1059</v>
      </c>
      <c r="AX74" s="130" t="s">
        <v>1059</v>
      </c>
      <c r="AY74" s="130" t="s">
        <v>1059</v>
      </c>
      <c r="AZ74" s="131" t="s">
        <v>1059</v>
      </c>
      <c r="BA74" s="130" t="s">
        <v>1059</v>
      </c>
      <c r="BB74" s="130" t="s">
        <v>1059</v>
      </c>
      <c r="BC74" s="130" t="s">
        <v>1059</v>
      </c>
      <c r="BD74" s="130" t="s">
        <v>1059</v>
      </c>
      <c r="BE74" s="131" t="s">
        <v>1059</v>
      </c>
      <c r="BF74" s="130" t="s">
        <v>1059</v>
      </c>
      <c r="BG74" s="130" t="s">
        <v>1059</v>
      </c>
      <c r="BH74" s="130" t="s">
        <v>1059</v>
      </c>
      <c r="BI74" s="130" t="s">
        <v>1059</v>
      </c>
      <c r="BJ74" s="131" t="s">
        <v>1059</v>
      </c>
      <c r="BK74" s="130" t="s">
        <v>1059</v>
      </c>
      <c r="BL74" s="130" t="s">
        <v>1059</v>
      </c>
      <c r="BM74" s="130" t="s">
        <v>1059</v>
      </c>
      <c r="BN74" s="130" t="s">
        <v>1059</v>
      </c>
      <c r="BO74" s="131" t="s">
        <v>1059</v>
      </c>
      <c r="BP74" s="130" t="s">
        <v>1059</v>
      </c>
      <c r="BQ74" s="130" t="s">
        <v>1059</v>
      </c>
      <c r="BR74" s="130" t="s">
        <v>1059</v>
      </c>
      <c r="BS74" s="130" t="s">
        <v>1059</v>
      </c>
      <c r="BT74" s="131" t="s">
        <v>1059</v>
      </c>
      <c r="BU74" s="130" t="s">
        <v>1059</v>
      </c>
      <c r="BV74" s="130" t="s">
        <v>1059</v>
      </c>
      <c r="BW74" s="130" t="s">
        <v>1059</v>
      </c>
      <c r="BX74" s="130" t="s">
        <v>1059</v>
      </c>
      <c r="BY74" s="131" t="s">
        <v>1059</v>
      </c>
      <c r="BZ74" s="131" t="s">
        <v>1059</v>
      </c>
      <c r="CA74" s="131" t="s">
        <v>1059</v>
      </c>
      <c r="CB74" s="131" t="s">
        <v>1059</v>
      </c>
      <c r="CC74" s="131" t="s">
        <v>1059</v>
      </c>
      <c r="CD74" s="131" t="s">
        <v>1059</v>
      </c>
      <c r="CE74" s="131" t="s">
        <v>1059</v>
      </c>
      <c r="CF74" s="131" t="s">
        <v>1059</v>
      </c>
    </row>
    <row r="75" spans="1:84" ht="12" customHeight="1" x14ac:dyDescent="0.25">
      <c r="A75" s="6" t="s">
        <v>2245</v>
      </c>
      <c r="B75" s="80"/>
      <c r="C75" s="34">
        <f t="shared" ref="C75:AO75" si="72">C71+C73</f>
        <v>10.365389800000001</v>
      </c>
      <c r="D75" s="112">
        <f t="shared" si="72"/>
        <v>10.360741500000001</v>
      </c>
      <c r="E75" s="112">
        <f t="shared" si="72"/>
        <v>10.479825700000001</v>
      </c>
      <c r="F75" s="34">
        <f t="shared" si="72"/>
        <v>10.3185327</v>
      </c>
      <c r="G75" s="111">
        <f t="shared" si="72"/>
        <v>41.524489700000004</v>
      </c>
      <c r="H75" s="34">
        <f t="shared" si="72"/>
        <v>11.1313596</v>
      </c>
      <c r="I75" s="112">
        <f t="shared" si="72"/>
        <v>11.02689</v>
      </c>
      <c r="J75" s="112">
        <f t="shared" si="72"/>
        <v>8.9107330000000005</v>
      </c>
      <c r="K75" s="34">
        <f t="shared" si="72"/>
        <v>8.8006480000000007</v>
      </c>
      <c r="L75" s="111">
        <f t="shared" si="72"/>
        <v>38.945497000000003</v>
      </c>
      <c r="M75" s="34">
        <f t="shared" si="72"/>
        <v>9.2632252499999996</v>
      </c>
      <c r="N75" s="112">
        <f t="shared" si="72"/>
        <v>9.2122312499999985</v>
      </c>
      <c r="O75" s="112">
        <f t="shared" si="72"/>
        <v>9.2733442499999992</v>
      </c>
      <c r="P75" s="34">
        <f t="shared" si="72"/>
        <v>9.1710892499999996</v>
      </c>
      <c r="Q75" s="111">
        <f t="shared" si="72"/>
        <v>36.919889999999995</v>
      </c>
      <c r="R75" s="34">
        <f t="shared" si="72"/>
        <v>9.5756714999999986</v>
      </c>
      <c r="S75" s="112">
        <f t="shared" si="72"/>
        <v>9.6098744999999983</v>
      </c>
      <c r="T75" s="112">
        <f t="shared" si="72"/>
        <v>9.6453074999999977</v>
      </c>
      <c r="U75" s="34">
        <f t="shared" si="72"/>
        <v>9.6453074999999977</v>
      </c>
      <c r="V75" s="111">
        <f t="shared" si="72"/>
        <v>38.476160999999991</v>
      </c>
      <c r="W75" s="34">
        <f t="shared" si="72"/>
        <v>6.6572897454811857</v>
      </c>
      <c r="X75" s="112">
        <f t="shared" si="72"/>
        <v>6.4603432209926623</v>
      </c>
      <c r="Y75" s="112">
        <f t="shared" si="72"/>
        <v>6.4700683984756866</v>
      </c>
      <c r="Z75" s="34">
        <f t="shared" si="72"/>
        <v>5.586007635050465</v>
      </c>
      <c r="AA75" s="111">
        <f t="shared" si="72"/>
        <v>25.173709000000002</v>
      </c>
      <c r="AB75" s="34">
        <f t="shared" si="72"/>
        <v>5.6817999999999991</v>
      </c>
      <c r="AC75" s="112">
        <f t="shared" si="72"/>
        <v>5.6979999999999986</v>
      </c>
      <c r="AD75" s="112">
        <f t="shared" si="72"/>
        <v>5.7453999999999992</v>
      </c>
      <c r="AE75" s="34">
        <f t="shared" si="72"/>
        <v>5.5911999999999988</v>
      </c>
      <c r="AF75" s="111">
        <f t="shared" si="72"/>
        <v>22.716399999999997</v>
      </c>
      <c r="AG75" s="34">
        <f>AG71+AG73</f>
        <v>5.0595625000000011</v>
      </c>
      <c r="AH75" s="112">
        <f>AH71+AH73</f>
        <v>5.0445625000000005</v>
      </c>
      <c r="AI75" s="112">
        <f>AI71+AI73</f>
        <v>5.0449795000000011</v>
      </c>
      <c r="AJ75" s="34">
        <f>AJ71+AJ73</f>
        <v>4.9554625000000003</v>
      </c>
      <c r="AK75" s="111">
        <f t="shared" si="72"/>
        <v>20.104567000000003</v>
      </c>
      <c r="AL75" s="34">
        <f t="shared" si="72"/>
        <v>4.6406875000000003</v>
      </c>
      <c r="AM75" s="112">
        <f t="shared" si="72"/>
        <v>4.6692415</v>
      </c>
      <c r="AN75" s="112">
        <f t="shared" si="72"/>
        <v>4.6747405000000004</v>
      </c>
      <c r="AO75" s="34">
        <f t="shared" si="72"/>
        <v>4.5710664999999997</v>
      </c>
      <c r="AP75" s="111">
        <f t="shared" ref="AP75:AU75" si="73">AP71+AP73</f>
        <v>18.555736</v>
      </c>
      <c r="AQ75" s="34">
        <f t="shared" si="73"/>
        <v>4.44741725</v>
      </c>
      <c r="AR75" s="112">
        <f t="shared" si="73"/>
        <v>4.44213725</v>
      </c>
      <c r="AS75" s="112">
        <f t="shared" si="73"/>
        <v>4.48207925</v>
      </c>
      <c r="AT75" s="34">
        <f t="shared" si="73"/>
        <v>4.3999092500000003</v>
      </c>
      <c r="AU75" s="111">
        <f t="shared" si="73"/>
        <v>17.771543000000001</v>
      </c>
      <c r="AV75" s="34">
        <f t="shared" ref="AV75:BE75" si="74">AV71+AV73</f>
        <v>3.9241642625000006</v>
      </c>
      <c r="AW75" s="112">
        <f t="shared" si="74"/>
        <v>3.8701042625000004</v>
      </c>
      <c r="AX75" s="112">
        <f t="shared" si="74"/>
        <v>3.9157612625000002</v>
      </c>
      <c r="AY75" s="34">
        <f t="shared" si="74"/>
        <v>3.8472112625000006</v>
      </c>
      <c r="AZ75" s="111">
        <f t="shared" si="74"/>
        <v>15.557241050000002</v>
      </c>
      <c r="BA75" s="34">
        <f t="shared" si="74"/>
        <v>3.2793003187500003</v>
      </c>
      <c r="BB75" s="112">
        <f t="shared" si="74"/>
        <v>3.2983893187500004</v>
      </c>
      <c r="BC75" s="112">
        <f t="shared" si="74"/>
        <v>3.2909733187500003</v>
      </c>
      <c r="BD75" s="34">
        <f t="shared" si="74"/>
        <v>3.2531913187500003</v>
      </c>
      <c r="BE75" s="111">
        <f t="shared" si="74"/>
        <v>13.121854275000002</v>
      </c>
      <c r="BF75" s="34">
        <f t="shared" ref="BF75:CF75" si="75">BF71+BF73</f>
        <v>3.1248331812500001</v>
      </c>
      <c r="BG75" s="112">
        <f t="shared" si="75"/>
        <v>3.11230518125</v>
      </c>
      <c r="BH75" s="112">
        <f t="shared" si="75"/>
        <v>3.0966781812500002</v>
      </c>
      <c r="BI75" s="34">
        <f t="shared" si="75"/>
        <v>3.0253231812500001</v>
      </c>
      <c r="BJ75" s="111">
        <f t="shared" si="75"/>
        <v>12.359139725</v>
      </c>
      <c r="BK75" s="34">
        <f t="shared" si="75"/>
        <v>2.6777020874999997</v>
      </c>
      <c r="BL75" s="112">
        <f t="shared" si="75"/>
        <v>2.7203050874999999</v>
      </c>
      <c r="BM75" s="112">
        <f t="shared" si="75"/>
        <v>2.7260890874999997</v>
      </c>
      <c r="BN75" s="34">
        <f t="shared" si="75"/>
        <v>2.6661370874999997</v>
      </c>
      <c r="BO75" s="111">
        <f t="shared" si="75"/>
        <v>10.790233349999999</v>
      </c>
      <c r="BP75" s="34">
        <f t="shared" si="75"/>
        <v>2.6051918437500001</v>
      </c>
      <c r="BQ75" s="112">
        <f t="shared" si="75"/>
        <v>2.5883828437500003</v>
      </c>
      <c r="BR75" s="112">
        <f t="shared" si="75"/>
        <v>2.6280668437500001</v>
      </c>
      <c r="BS75" s="34">
        <f t="shared" si="75"/>
        <v>2.58076884375</v>
      </c>
      <c r="BT75" s="111">
        <f t="shared" si="75"/>
        <v>10.402410375000001</v>
      </c>
      <c r="BU75" s="34">
        <f>BU71+BU73</f>
        <v>2.5724443273351931</v>
      </c>
      <c r="BV75" s="112">
        <f>BV71+BV73</f>
        <v>2.5954062166875005</v>
      </c>
      <c r="BW75" s="112">
        <f>BW71+BW73</f>
        <v>2.6247201766875006</v>
      </c>
      <c r="BX75" s="34">
        <f>BX71+BX73</f>
        <v>2.5769491966875004</v>
      </c>
      <c r="BY75" s="111">
        <f t="shared" si="75"/>
        <v>10.369519917397694</v>
      </c>
      <c r="BZ75" s="111">
        <f t="shared" si="75"/>
        <v>10.369519917397694</v>
      </c>
      <c r="CA75" s="111">
        <f t="shared" si="75"/>
        <v>10.124629519049742</v>
      </c>
      <c r="CB75" s="111">
        <f t="shared" si="75"/>
        <v>9.5246480430972529</v>
      </c>
      <c r="CC75" s="111">
        <f t="shared" si="75"/>
        <v>8.954665640942391</v>
      </c>
      <c r="CD75" s="111">
        <f t="shared" si="75"/>
        <v>9.1712589537612388</v>
      </c>
      <c r="CE75" s="111">
        <f t="shared" si="75"/>
        <v>9.3921841328364639</v>
      </c>
      <c r="CF75" s="111">
        <f t="shared" si="75"/>
        <v>9.617527815493192</v>
      </c>
    </row>
    <row r="76" spans="1:84" ht="12" customHeight="1" x14ac:dyDescent="0.25">
      <c r="A76" s="6"/>
      <c r="B76" s="117"/>
      <c r="C76" s="118"/>
      <c r="D76" s="112"/>
      <c r="E76" s="112"/>
      <c r="F76" s="112"/>
      <c r="G76" s="111"/>
      <c r="H76" s="118"/>
      <c r="I76" s="112"/>
      <c r="J76" s="112"/>
      <c r="K76" s="112"/>
      <c r="L76" s="111"/>
      <c r="M76" s="112"/>
      <c r="N76" s="112"/>
      <c r="O76" s="112"/>
      <c r="P76" s="112"/>
      <c r="Q76" s="111"/>
      <c r="R76" s="112"/>
      <c r="S76" s="112"/>
      <c r="T76" s="112"/>
      <c r="U76" s="112"/>
      <c r="V76" s="111"/>
      <c r="W76" s="112"/>
      <c r="X76" s="112"/>
      <c r="Y76" s="112"/>
      <c r="Z76" s="112"/>
      <c r="AA76" s="111"/>
      <c r="AB76" s="112"/>
      <c r="AC76" s="112"/>
      <c r="AD76" s="112"/>
      <c r="AE76" s="112"/>
      <c r="AF76" s="111"/>
      <c r="AG76" s="112"/>
      <c r="AH76" s="112"/>
      <c r="AI76" s="112"/>
      <c r="AJ76" s="112"/>
      <c r="AK76" s="111"/>
      <c r="AL76" s="112"/>
      <c r="AM76" s="112"/>
      <c r="AN76" s="112"/>
      <c r="AO76" s="112"/>
      <c r="AP76" s="111"/>
      <c r="AQ76" s="112"/>
      <c r="AR76" s="112"/>
      <c r="AS76" s="112"/>
      <c r="AT76" s="112"/>
      <c r="AU76" s="111"/>
      <c r="AV76" s="112"/>
      <c r="AW76" s="112"/>
      <c r="AX76" s="112"/>
      <c r="AY76" s="112"/>
      <c r="AZ76" s="111"/>
      <c r="BA76" s="112"/>
      <c r="BB76" s="112"/>
      <c r="BC76" s="112"/>
      <c r="BD76" s="112"/>
      <c r="BE76" s="111"/>
      <c r="BF76" s="112"/>
      <c r="BG76" s="112"/>
      <c r="BH76" s="112"/>
      <c r="BI76" s="112"/>
      <c r="BJ76" s="111"/>
      <c r="BK76" s="112"/>
      <c r="BL76" s="112"/>
      <c r="BM76" s="112"/>
      <c r="BN76" s="112"/>
      <c r="BO76" s="111"/>
      <c r="BP76" s="112"/>
      <c r="BQ76" s="112"/>
      <c r="BR76" s="112"/>
      <c r="BS76" s="112"/>
      <c r="BT76" s="111"/>
      <c r="BU76" s="112"/>
      <c r="BV76" s="112"/>
      <c r="BW76" s="112"/>
      <c r="BX76" s="112"/>
      <c r="BY76" s="111"/>
      <c r="BZ76" s="111"/>
      <c r="CA76" s="111"/>
      <c r="CB76" s="111"/>
      <c r="CC76" s="111"/>
      <c r="CD76" s="111"/>
      <c r="CE76" s="111"/>
      <c r="CF76" s="111"/>
    </row>
    <row r="77" spans="1:84" ht="12" customHeight="1" x14ac:dyDescent="0.25">
      <c r="A77" s="2" t="s">
        <v>2246</v>
      </c>
      <c r="B77" s="119"/>
      <c r="C77" s="118"/>
      <c r="D77" s="112"/>
      <c r="E77" s="112"/>
      <c r="F77" s="112"/>
      <c r="G77" s="111"/>
      <c r="H77" s="118"/>
      <c r="I77" s="112"/>
      <c r="J77" s="112"/>
      <c r="K77" s="112"/>
      <c r="L77" s="111"/>
      <c r="M77" s="112"/>
      <c r="N77" s="112"/>
      <c r="O77" s="112"/>
      <c r="P77" s="112"/>
      <c r="Q77" s="111"/>
      <c r="R77" s="112"/>
      <c r="S77" s="112"/>
      <c r="T77" s="112"/>
      <c r="U77" s="112"/>
      <c r="V77" s="111"/>
      <c r="W77" s="112"/>
      <c r="X77" s="112"/>
      <c r="Y77" s="112"/>
      <c r="Z77" s="112"/>
      <c r="AA77" s="111"/>
      <c r="AB77" s="112"/>
      <c r="AC77" s="112"/>
      <c r="AD77" s="112"/>
      <c r="AE77" s="112"/>
      <c r="AF77" s="111"/>
      <c r="AG77" s="112"/>
      <c r="AH77" s="112"/>
      <c r="AI77" s="112"/>
      <c r="AJ77" s="112"/>
      <c r="AK77" s="111"/>
      <c r="AL77" s="112"/>
      <c r="AM77" s="112"/>
      <c r="AN77" s="112"/>
      <c r="AO77" s="112"/>
      <c r="AP77" s="111"/>
      <c r="AQ77" s="112"/>
      <c r="AR77" s="112"/>
      <c r="AS77" s="112"/>
      <c r="AT77" s="112"/>
      <c r="AU77" s="111"/>
      <c r="AV77" s="112"/>
      <c r="AW77" s="112"/>
      <c r="AX77" s="112"/>
      <c r="AY77" s="112"/>
      <c r="AZ77" s="111"/>
      <c r="BA77" s="112"/>
      <c r="BB77" s="112"/>
      <c r="BC77" s="112"/>
      <c r="BD77" s="112"/>
      <c r="BE77" s="111"/>
      <c r="BF77" s="112"/>
      <c r="BG77" s="112"/>
      <c r="BH77" s="112"/>
      <c r="BI77" s="112"/>
      <c r="BJ77" s="111"/>
      <c r="BK77" s="112"/>
      <c r="BL77" s="112"/>
      <c r="BM77" s="112"/>
      <c r="BN77" s="112"/>
      <c r="BO77" s="111"/>
      <c r="BP77" s="112"/>
      <c r="BQ77" s="112"/>
      <c r="BR77" s="112"/>
      <c r="BS77" s="112"/>
      <c r="BT77" s="111"/>
      <c r="BU77" s="112"/>
      <c r="BV77" s="112"/>
      <c r="BW77" s="112"/>
      <c r="BX77" s="112"/>
      <c r="BY77" s="111"/>
      <c r="BZ77" s="111"/>
      <c r="CA77" s="111"/>
      <c r="CB77" s="111"/>
      <c r="CC77" s="111"/>
      <c r="CD77" s="111"/>
      <c r="CE77" s="111"/>
      <c r="CF77" s="111"/>
    </row>
    <row r="78" spans="1:84" ht="12" customHeight="1" x14ac:dyDescent="0.25">
      <c r="A78" s="2"/>
      <c r="B78" s="119"/>
      <c r="C78" s="118"/>
      <c r="D78" s="112"/>
      <c r="E78" s="112"/>
      <c r="F78" s="112"/>
      <c r="G78" s="111"/>
      <c r="H78" s="118"/>
      <c r="I78" s="112"/>
      <c r="J78" s="112"/>
      <c r="K78" s="112"/>
      <c r="L78" s="111"/>
      <c r="M78" s="112"/>
      <c r="N78" s="112"/>
      <c r="O78" s="112"/>
      <c r="P78" s="112"/>
      <c r="Q78" s="111"/>
      <c r="R78" s="112"/>
      <c r="S78" s="112"/>
      <c r="T78" s="112"/>
      <c r="U78" s="112"/>
      <c r="V78" s="111"/>
      <c r="W78" s="112"/>
      <c r="X78" s="112"/>
      <c r="Y78" s="112"/>
      <c r="Z78" s="112"/>
      <c r="AA78" s="111"/>
      <c r="AB78" s="112"/>
      <c r="AC78" s="112"/>
      <c r="AD78" s="112"/>
      <c r="AE78" s="112"/>
      <c r="AF78" s="111"/>
      <c r="AG78" s="112"/>
      <c r="AH78" s="112"/>
      <c r="AI78" s="112"/>
      <c r="AJ78" s="112"/>
      <c r="AK78" s="111"/>
      <c r="AL78" s="112"/>
      <c r="AM78" s="112"/>
      <c r="AN78" s="112"/>
      <c r="AO78" s="112"/>
      <c r="AP78" s="111"/>
      <c r="AQ78" s="112"/>
      <c r="AR78" s="112"/>
      <c r="AS78" s="112"/>
      <c r="AT78" s="112"/>
      <c r="AU78" s="111"/>
      <c r="AV78" s="112"/>
      <c r="AW78" s="112"/>
      <c r="AX78" s="112"/>
      <c r="AY78" s="112"/>
      <c r="AZ78" s="111"/>
      <c r="BA78" s="112"/>
      <c r="BB78" s="112"/>
      <c r="BC78" s="112"/>
      <c r="BD78" s="112"/>
      <c r="BE78" s="111"/>
      <c r="BF78" s="112"/>
      <c r="BG78" s="112"/>
      <c r="BH78" s="112"/>
      <c r="BI78" s="112"/>
      <c r="BJ78" s="111"/>
      <c r="BK78" s="112"/>
      <c r="BL78" s="112"/>
      <c r="BM78" s="112"/>
      <c r="BN78" s="112"/>
      <c r="BO78" s="111"/>
      <c r="BP78" s="112"/>
      <c r="BQ78" s="112"/>
      <c r="BR78" s="112"/>
      <c r="BS78" s="112"/>
      <c r="BT78" s="111"/>
      <c r="BU78" s="112"/>
      <c r="BV78" s="112"/>
      <c r="BW78" s="112"/>
      <c r="BX78" s="112"/>
      <c r="BY78" s="111"/>
      <c r="BZ78" s="111"/>
      <c r="CA78" s="111"/>
      <c r="CB78" s="111"/>
      <c r="CC78" s="111"/>
      <c r="CD78" s="111"/>
      <c r="CE78" s="111"/>
      <c r="CF78" s="111"/>
    </row>
    <row r="79" spans="1:84" ht="12" customHeight="1" x14ac:dyDescent="0.25">
      <c r="A79" s="2"/>
      <c r="B79" s="119"/>
      <c r="C79" s="118"/>
      <c r="D79" s="112"/>
      <c r="E79" s="112"/>
      <c r="F79" s="112"/>
      <c r="G79" s="111"/>
      <c r="H79" s="118"/>
      <c r="I79" s="112"/>
      <c r="J79" s="112"/>
      <c r="K79" s="112"/>
      <c r="L79" s="111"/>
      <c r="M79" s="112"/>
      <c r="N79" s="112"/>
      <c r="O79" s="112"/>
      <c r="P79" s="112"/>
      <c r="Q79" s="111"/>
      <c r="R79" s="112"/>
      <c r="S79" s="112"/>
      <c r="T79" s="112"/>
      <c r="U79" s="112"/>
      <c r="V79" s="111"/>
      <c r="W79" s="112"/>
      <c r="X79" s="112"/>
      <c r="Y79" s="112"/>
      <c r="Z79" s="112"/>
      <c r="AA79" s="111"/>
      <c r="AB79" s="112"/>
      <c r="AC79" s="112"/>
      <c r="AD79" s="112"/>
      <c r="AE79" s="112"/>
      <c r="AF79" s="111"/>
      <c r="AG79" s="112"/>
      <c r="AH79" s="112"/>
      <c r="AI79" s="112"/>
      <c r="AJ79" s="112"/>
      <c r="AK79" s="111"/>
      <c r="AL79" s="112"/>
      <c r="AM79" s="112"/>
      <c r="AN79" s="112"/>
      <c r="AO79" s="112"/>
      <c r="AP79" s="111"/>
      <c r="AQ79" s="112"/>
      <c r="AR79" s="112"/>
      <c r="AS79" s="112"/>
      <c r="AT79" s="112"/>
      <c r="AU79" s="111"/>
      <c r="AV79" s="112"/>
      <c r="AW79" s="112"/>
      <c r="AX79" s="112"/>
      <c r="AY79" s="112"/>
      <c r="AZ79" s="111"/>
      <c r="BA79" s="112"/>
      <c r="BB79" s="112"/>
      <c r="BC79" s="112"/>
      <c r="BD79" s="112"/>
      <c r="BE79" s="111"/>
      <c r="BF79" s="112"/>
      <c r="BG79" s="112"/>
      <c r="BH79" s="112"/>
      <c r="BI79" s="112"/>
      <c r="BJ79" s="111"/>
      <c r="BK79" s="112"/>
      <c r="BL79" s="112"/>
      <c r="BM79" s="112"/>
      <c r="BN79" s="2897"/>
      <c r="BO79" s="111"/>
      <c r="BP79" s="112"/>
      <c r="BQ79" s="112"/>
      <c r="BR79" s="112"/>
      <c r="BS79" s="2897"/>
      <c r="BT79" s="111"/>
      <c r="BU79" s="112"/>
      <c r="BV79" s="112"/>
      <c r="BW79" s="112"/>
      <c r="BX79" s="2897"/>
      <c r="BY79" s="111"/>
      <c r="BZ79" s="111"/>
      <c r="CA79" s="111"/>
      <c r="CB79" s="111"/>
      <c r="CC79" s="111"/>
      <c r="CD79" s="111"/>
      <c r="CE79" s="111"/>
      <c r="CF79" s="111"/>
    </row>
    <row r="80" spans="1:84" ht="12" customHeight="1" x14ac:dyDescent="0.25">
      <c r="A80" s="136" t="s">
        <v>556</v>
      </c>
      <c r="B80" s="119"/>
      <c r="C80" s="118"/>
      <c r="D80" s="112"/>
      <c r="E80" s="112"/>
      <c r="F80" s="112"/>
      <c r="G80" s="111"/>
      <c r="H80" s="118"/>
      <c r="I80" s="112"/>
      <c r="J80" s="112"/>
      <c r="K80" s="112"/>
      <c r="L80" s="111"/>
      <c r="M80" s="112"/>
      <c r="N80" s="112"/>
      <c r="O80" s="112"/>
      <c r="P80" s="112"/>
      <c r="Q80" s="111"/>
      <c r="R80" s="112"/>
      <c r="S80" s="112"/>
      <c r="T80" s="112"/>
      <c r="U80" s="112"/>
      <c r="V80" s="111"/>
      <c r="W80" s="112"/>
      <c r="X80" s="112"/>
      <c r="Y80" s="112"/>
      <c r="Z80" s="112"/>
      <c r="AA80" s="111"/>
      <c r="AB80" s="112"/>
      <c r="AC80" s="112"/>
      <c r="AD80" s="112"/>
      <c r="AE80" s="112"/>
      <c r="AF80" s="111"/>
      <c r="AG80" s="112"/>
      <c r="AH80" s="112"/>
      <c r="AI80" s="112"/>
      <c r="AJ80" s="112"/>
      <c r="AK80" s="111"/>
      <c r="AL80" s="112"/>
      <c r="AM80" s="112"/>
      <c r="AN80" s="112"/>
      <c r="AO80" s="112"/>
      <c r="AP80" s="111"/>
      <c r="AQ80" s="112"/>
      <c r="AR80" s="112"/>
      <c r="AS80" s="112"/>
      <c r="AT80" s="112"/>
      <c r="AU80" s="111"/>
      <c r="AV80" s="112"/>
      <c r="AW80" s="112"/>
      <c r="AX80" s="112"/>
      <c r="AY80" s="112"/>
      <c r="AZ80" s="111"/>
      <c r="BA80" s="112"/>
      <c r="BB80" s="112"/>
      <c r="BC80" s="112"/>
      <c r="BD80" s="112"/>
      <c r="BE80" s="111"/>
      <c r="BF80" s="112"/>
      <c r="BG80" s="112"/>
      <c r="BH80" s="112"/>
      <c r="BI80" s="112"/>
      <c r="BJ80" s="111"/>
      <c r="BK80" s="112"/>
      <c r="BL80" s="112"/>
      <c r="BM80" s="112"/>
      <c r="BN80" s="2897"/>
      <c r="BO80" s="111"/>
      <c r="BP80" s="112"/>
      <c r="BQ80" s="112"/>
      <c r="BR80" s="112"/>
      <c r="BS80" s="2897"/>
      <c r="BT80" s="111"/>
      <c r="BU80" s="112"/>
      <c r="BV80" s="112"/>
      <c r="BW80" s="112"/>
      <c r="BX80" s="2897"/>
      <c r="BY80" s="111"/>
      <c r="BZ80" s="111"/>
      <c r="CA80" s="111"/>
      <c r="CB80" s="111"/>
      <c r="CC80" s="111"/>
      <c r="CD80" s="111"/>
      <c r="CE80" s="111"/>
      <c r="CF80" s="111"/>
    </row>
    <row r="81" spans="1:84" ht="12" customHeight="1" x14ac:dyDescent="0.25">
      <c r="A81" s="137" t="s">
        <v>2253</v>
      </c>
      <c r="B81" s="71"/>
      <c r="C81" s="71">
        <v>4</v>
      </c>
      <c r="D81" s="71">
        <v>4</v>
      </c>
      <c r="E81" s="71">
        <v>4</v>
      </c>
      <c r="F81" s="71">
        <v>4</v>
      </c>
      <c r="G81" s="72">
        <v>4</v>
      </c>
      <c r="H81" s="71">
        <v>4</v>
      </c>
      <c r="I81" s="71">
        <v>4</v>
      </c>
      <c r="J81" s="78">
        <v>3</v>
      </c>
      <c r="K81" s="78">
        <v>3</v>
      </c>
      <c r="L81" s="79">
        <v>3</v>
      </c>
      <c r="M81" s="78">
        <v>3</v>
      </c>
      <c r="N81" s="78">
        <v>3</v>
      </c>
      <c r="O81" s="78">
        <v>3</v>
      </c>
      <c r="P81" s="78">
        <v>3</v>
      </c>
      <c r="Q81" s="79">
        <v>3</v>
      </c>
      <c r="R81" s="78">
        <v>3</v>
      </c>
      <c r="S81" s="78">
        <v>3</v>
      </c>
      <c r="T81" s="78">
        <v>3</v>
      </c>
      <c r="U81" s="78">
        <v>3</v>
      </c>
      <c r="V81" s="79">
        <v>3</v>
      </c>
      <c r="W81" s="78">
        <v>3</v>
      </c>
      <c r="X81" s="78">
        <v>3</v>
      </c>
      <c r="Y81" s="78">
        <v>3</v>
      </c>
      <c r="Z81" s="78">
        <v>3</v>
      </c>
      <c r="AA81" s="79">
        <v>3</v>
      </c>
      <c r="AB81" s="78">
        <v>3</v>
      </c>
      <c r="AC81" s="78">
        <v>3</v>
      </c>
      <c r="AD81" s="78">
        <v>3</v>
      </c>
      <c r="AE81" s="78">
        <v>3</v>
      </c>
      <c r="AF81" s="79">
        <v>3</v>
      </c>
      <c r="AG81" s="78">
        <v>3</v>
      </c>
      <c r="AH81" s="78">
        <v>3</v>
      </c>
      <c r="AI81" s="78">
        <v>3</v>
      </c>
      <c r="AJ81" s="78">
        <v>3</v>
      </c>
      <c r="AK81" s="72">
        <v>3</v>
      </c>
      <c r="AL81" s="78">
        <v>3</v>
      </c>
      <c r="AM81" s="78">
        <v>3</v>
      </c>
      <c r="AN81" s="78">
        <v>3</v>
      </c>
      <c r="AO81" s="78">
        <v>3</v>
      </c>
      <c r="AP81" s="72">
        <v>3</v>
      </c>
      <c r="AQ81" s="78">
        <v>3</v>
      </c>
      <c r="AR81" s="78">
        <v>3</v>
      </c>
      <c r="AS81" s="78">
        <v>3</v>
      </c>
      <c r="AT81" s="78">
        <v>3</v>
      </c>
      <c r="AU81" s="72">
        <v>3</v>
      </c>
      <c r="AV81" s="78">
        <v>3</v>
      </c>
      <c r="AW81" s="78">
        <v>3</v>
      </c>
      <c r="AX81" s="78">
        <v>3</v>
      </c>
      <c r="AY81" s="78">
        <v>3</v>
      </c>
      <c r="AZ81" s="72">
        <v>3</v>
      </c>
      <c r="BA81" s="78">
        <v>3</v>
      </c>
      <c r="BB81" s="78">
        <v>3</v>
      </c>
      <c r="BC81" s="78">
        <v>3</v>
      </c>
      <c r="BD81" s="78">
        <v>3</v>
      </c>
      <c r="BE81" s="72">
        <v>3</v>
      </c>
      <c r="BF81" s="78">
        <v>3</v>
      </c>
      <c r="BG81" s="78">
        <v>3</v>
      </c>
      <c r="BH81" s="78">
        <v>3</v>
      </c>
      <c r="BI81" s="78">
        <v>3</v>
      </c>
      <c r="BJ81" s="72">
        <v>3</v>
      </c>
      <c r="BK81" s="78">
        <v>3</v>
      </c>
      <c r="BL81" s="78">
        <v>3</v>
      </c>
      <c r="BM81" s="78">
        <v>3</v>
      </c>
      <c r="BN81" s="2904">
        <v>3</v>
      </c>
      <c r="BO81" s="72">
        <v>3</v>
      </c>
      <c r="BP81" s="78">
        <v>3</v>
      </c>
      <c r="BQ81" s="78">
        <v>3</v>
      </c>
      <c r="BR81" s="78">
        <v>3</v>
      </c>
      <c r="BS81" s="2904">
        <v>3</v>
      </c>
      <c r="BT81" s="72">
        <v>3</v>
      </c>
      <c r="BU81" s="78">
        <v>3</v>
      </c>
      <c r="BV81" s="78">
        <v>3</v>
      </c>
      <c r="BW81" s="78">
        <v>3</v>
      </c>
      <c r="BX81" s="2904">
        <v>3</v>
      </c>
      <c r="BY81" s="72">
        <v>3</v>
      </c>
      <c r="BZ81" s="72">
        <v>3</v>
      </c>
      <c r="CA81" s="72">
        <v>3</v>
      </c>
      <c r="CB81" s="72">
        <v>3</v>
      </c>
      <c r="CC81" s="72">
        <v>3</v>
      </c>
      <c r="CD81" s="72">
        <v>3</v>
      </c>
      <c r="CE81" s="72">
        <v>3</v>
      </c>
      <c r="CF81" s="72">
        <v>3</v>
      </c>
    </row>
    <row r="82" spans="1:84" ht="12" customHeight="1" x14ac:dyDescent="0.25">
      <c r="A82" s="138"/>
      <c r="B82" s="119"/>
      <c r="C82" s="112"/>
      <c r="D82" s="112"/>
      <c r="E82" s="112"/>
      <c r="F82" s="112"/>
      <c r="G82" s="111"/>
      <c r="H82" s="112"/>
      <c r="I82" s="112"/>
      <c r="J82" s="112"/>
      <c r="K82" s="112"/>
      <c r="L82" s="111"/>
      <c r="M82" s="112"/>
      <c r="N82" s="112"/>
      <c r="O82" s="112"/>
      <c r="P82" s="112"/>
      <c r="Q82" s="111"/>
      <c r="R82" s="112"/>
      <c r="S82" s="112"/>
      <c r="T82" s="112"/>
      <c r="U82" s="112"/>
      <c r="V82" s="111"/>
      <c r="W82" s="112"/>
      <c r="X82" s="112"/>
      <c r="Y82" s="112"/>
      <c r="Z82" s="112"/>
      <c r="AA82" s="111"/>
      <c r="AB82" s="112"/>
      <c r="AC82" s="112"/>
      <c r="AD82" s="112"/>
      <c r="AE82" s="112"/>
      <c r="AF82" s="111"/>
      <c r="AG82" s="112"/>
      <c r="AH82" s="112"/>
      <c r="AI82" s="112"/>
      <c r="AJ82" s="112"/>
      <c r="AK82" s="111"/>
      <c r="AL82" s="112"/>
      <c r="AM82" s="112"/>
      <c r="AN82" s="112"/>
      <c r="AO82" s="112"/>
      <c r="AP82" s="111"/>
      <c r="AQ82" s="112"/>
      <c r="AR82" s="112"/>
      <c r="AS82" s="112"/>
      <c r="AT82" s="112"/>
      <c r="AU82" s="111"/>
      <c r="AV82" s="112"/>
      <c r="AW82" s="112"/>
      <c r="AX82" s="112"/>
      <c r="AY82" s="2897"/>
      <c r="AZ82" s="2897"/>
      <c r="BA82" s="112"/>
      <c r="BB82" s="112"/>
      <c r="BC82" s="112"/>
      <c r="BD82" s="112"/>
      <c r="BE82" s="111"/>
      <c r="BF82" s="112"/>
      <c r="BG82" s="112"/>
      <c r="BH82" s="112"/>
      <c r="BI82" s="2897"/>
      <c r="BJ82" s="111"/>
      <c r="BK82" s="112"/>
      <c r="BL82" s="112"/>
      <c r="BM82" s="112"/>
      <c r="BN82" s="2897"/>
      <c r="BO82" s="111"/>
      <c r="BP82" s="112"/>
      <c r="BQ82" s="112"/>
      <c r="BR82" s="112"/>
      <c r="BS82" s="2897"/>
      <c r="BT82" s="111"/>
      <c r="BU82" s="112"/>
      <c r="BV82" s="112"/>
      <c r="BW82" s="112"/>
      <c r="BX82" s="2897"/>
      <c r="BY82" s="111"/>
      <c r="BZ82" s="111"/>
      <c r="CA82" s="111"/>
      <c r="CB82" s="111"/>
      <c r="CC82" s="111"/>
      <c r="CD82" s="111"/>
      <c r="CE82" s="111"/>
      <c r="CF82" s="111"/>
    </row>
    <row r="83" spans="1:84" ht="12" customHeight="1" x14ac:dyDescent="0.25">
      <c r="A83" s="2" t="s">
        <v>2254</v>
      </c>
      <c r="B83" s="135"/>
      <c r="C83" s="34">
        <f>PENN!C824</f>
        <v>55.2</v>
      </c>
      <c r="D83" s="34">
        <f>PENN!D824</f>
        <v>55.341999999999999</v>
      </c>
      <c r="E83" s="34">
        <f>PENN!E824</f>
        <v>59.069000000000003</v>
      </c>
      <c r="F83" s="34">
        <f>PENN!F824</f>
        <v>58.540999999999997</v>
      </c>
      <c r="G83" s="111">
        <v>228.15199999999999</v>
      </c>
      <c r="H83" s="34">
        <f>PENN!H824</f>
        <v>56.252000000000002</v>
      </c>
      <c r="I83" s="34">
        <f>PENN!I824</f>
        <v>58.194000000000003</v>
      </c>
      <c r="J83" s="34">
        <f>PENN!J824</f>
        <v>63.445</v>
      </c>
      <c r="K83" s="34">
        <f>PENN!K824</f>
        <v>61.095999999999997</v>
      </c>
      <c r="L83" s="111">
        <v>238.98699999999999</v>
      </c>
      <c r="M83" s="34">
        <f>PENN!M824</f>
        <v>63.196999999999996</v>
      </c>
      <c r="N83" s="34">
        <f>PENN!N824</f>
        <v>63.3</v>
      </c>
      <c r="O83" s="34">
        <f>PENN!O824</f>
        <v>64.959000000000003</v>
      </c>
      <c r="P83" s="34">
        <f>PENN!P824</f>
        <v>62.332999999999998</v>
      </c>
      <c r="Q83" s="111">
        <v>253.78899999999999</v>
      </c>
      <c r="R83" s="34">
        <v>63.585000000000001</v>
      </c>
      <c r="S83" s="34">
        <v>61.692</v>
      </c>
      <c r="T83" s="34">
        <v>59.531000000000006</v>
      </c>
      <c r="U83" s="34">
        <v>55.332999999999998</v>
      </c>
      <c r="V83" s="111">
        <v>240.14099999999999</v>
      </c>
      <c r="W83" s="34">
        <v>48.442999999999998</v>
      </c>
      <c r="X83" s="34">
        <v>47.465000000000003</v>
      </c>
      <c r="Y83" s="34">
        <v>49.763000000000005</v>
      </c>
      <c r="Z83" s="34">
        <v>39.775999999999996</v>
      </c>
      <c r="AA83" s="111">
        <v>185.447</v>
      </c>
      <c r="AB83" s="34">
        <f>PENN!AB$824</f>
        <v>36.1</v>
      </c>
      <c r="AC83" s="34">
        <f>PENN!AC$824</f>
        <v>3.7</v>
      </c>
      <c r="AD83" s="34">
        <f>PENN!AD$824</f>
        <v>43.4</v>
      </c>
      <c r="AE83" s="34">
        <f>PENN!AE$824</f>
        <v>36.700000000000003</v>
      </c>
      <c r="AF83" s="34">
        <f>PENN!AF$824</f>
        <v>119.9</v>
      </c>
      <c r="AG83" s="34">
        <f>PENN!AG$824</f>
        <v>39.700000000000003</v>
      </c>
      <c r="AH83" s="34">
        <f>PENN!AH$824</f>
        <v>36.799999999999997</v>
      </c>
      <c r="AI83" s="34">
        <f>PENN!AI$824</f>
        <v>33.934000000000005</v>
      </c>
      <c r="AJ83" s="34">
        <f>PENN!AJ$824</f>
        <v>32.926000000000002</v>
      </c>
      <c r="AK83" s="34">
        <f>PENN!AK$824</f>
        <v>143.36000000000001</v>
      </c>
      <c r="AL83" s="34">
        <f>PENN!AL$824</f>
        <v>40.466000000000001</v>
      </c>
      <c r="AM83" s="34">
        <f>PENN!AM$824</f>
        <v>40.688000000000002</v>
      </c>
      <c r="AN83" s="34">
        <f>PENN!AN$824</f>
        <v>34.548999999999999</v>
      </c>
      <c r="AO83" s="34">
        <f>PENN!AO$824</f>
        <v>30.807000000000002</v>
      </c>
      <c r="AP83" s="34">
        <f>PENN!AP$824</f>
        <v>146.51</v>
      </c>
      <c r="AQ83" s="34">
        <f>PENN!AQ$824</f>
        <v>35.182000000000002</v>
      </c>
      <c r="AR83" s="34">
        <f>PENN!AR$824</f>
        <v>35.375999999999998</v>
      </c>
      <c r="AS83" s="34">
        <f>PENN!AS$824</f>
        <v>37.649000000000001</v>
      </c>
      <c r="AT83" s="34">
        <f>PENN!AT$824</f>
        <v>33.588999999999999</v>
      </c>
      <c r="AU83" s="34">
        <f>PENN!AU$824</f>
        <v>141.79599999999999</v>
      </c>
      <c r="AV83" s="34">
        <f>PENN!AV$824</f>
        <v>34.635998000000001</v>
      </c>
      <c r="AW83" s="34">
        <f>PENN!AW$824</f>
        <v>35.205632000000001</v>
      </c>
      <c r="AX83" s="34">
        <f>PENN!AX$824</f>
        <v>31.955390999999995</v>
      </c>
      <c r="AY83" s="2897">
        <f>PENN!AY$824</f>
        <v>29.464942999999998</v>
      </c>
      <c r="AZ83" s="2897">
        <f>PENN!AZ$824</f>
        <v>131.26196400000001</v>
      </c>
      <c r="BA83" s="34">
        <f>PENN!BA$824</f>
        <v>29.131957999999997</v>
      </c>
      <c r="BB83" s="34">
        <f>PENN!BB$824</f>
        <v>33.087440000000001</v>
      </c>
      <c r="BC83" s="34">
        <f>PENN!BC$824</f>
        <v>31.074675999999997</v>
      </c>
      <c r="BD83" s="2897">
        <f>PENN!BD$824</f>
        <v>29.315315999999996</v>
      </c>
      <c r="BE83" s="2897">
        <f>PENN!BE$824</f>
        <v>122.60938999999999</v>
      </c>
      <c r="BF83" s="34">
        <f>PENN!BF$824</f>
        <v>29.705186999999999</v>
      </c>
      <c r="BG83" s="34">
        <f>PENN!BG$824</f>
        <v>33.815408999999995</v>
      </c>
      <c r="BH83" s="34">
        <f>PENN!BH$824</f>
        <v>32.656564000000003</v>
      </c>
      <c r="BI83" s="2897">
        <f>PENN!BI$824</f>
        <v>29.125692999999998</v>
      </c>
      <c r="BJ83" s="111">
        <f>PENN!BJ$824</f>
        <v>125.302853</v>
      </c>
      <c r="BK83" s="34">
        <f>PENN!BK$824</f>
        <v>30.901687999999996</v>
      </c>
      <c r="BL83" s="34">
        <f>PENN!BL$824</f>
        <v>30.6</v>
      </c>
      <c r="BM83" s="34">
        <f>PENN!BM$824</f>
        <v>29.988585</v>
      </c>
      <c r="BN83" s="2897">
        <f>PENN!BN$824</f>
        <v>27.869340000000001</v>
      </c>
      <c r="BO83" s="111">
        <f>PENN!BO$824</f>
        <v>119.359613</v>
      </c>
      <c r="BP83" s="34">
        <f>PENN!BP$824</f>
        <v>30.681711</v>
      </c>
      <c r="BQ83" s="34">
        <f>PENN!BQ$824</f>
        <v>31.423943000000001</v>
      </c>
      <c r="BR83" s="34">
        <f>PENN!BR$824</f>
        <v>32.264961</v>
      </c>
      <c r="BS83" s="2897">
        <f>PENN!BS$824</f>
        <v>28.870128000000001</v>
      </c>
      <c r="BT83" s="111">
        <f>PENN!BT$824</f>
        <v>123.24074300000001</v>
      </c>
      <c r="BU83" s="34">
        <f>PENN!BU$824</f>
        <v>29.019148999999999</v>
      </c>
      <c r="BV83" s="34">
        <f>PENN!BV$824</f>
        <v>31.423943000000001</v>
      </c>
      <c r="BW83" s="34">
        <f>PENN!BW$824</f>
        <v>32.587610609999999</v>
      </c>
      <c r="BX83" s="2897">
        <f>PENN!BX$824</f>
        <v>29.158829280000003</v>
      </c>
      <c r="BY83" s="111">
        <f>PENN!BY$824</f>
        <v>122.18953189</v>
      </c>
      <c r="BZ83" s="111">
        <f>PENN!BZ$824</f>
        <v>122.18953189</v>
      </c>
      <c r="CA83" s="111">
        <f>PENN!CA$824</f>
        <v>119.74574125219999</v>
      </c>
      <c r="CB83" s="111">
        <f>PENN!CB$824</f>
        <v>113.75845418958998</v>
      </c>
      <c r="CC83" s="111">
        <f>PENN!CC$824</f>
        <v>108.07053148011047</v>
      </c>
      <c r="CD83" s="111">
        <f>PENN!CD$824</f>
        <v>110.23194210971269</v>
      </c>
      <c r="CE83" s="111">
        <f>PENN!CE$824</f>
        <v>112.43658095190695</v>
      </c>
      <c r="CF83" s="111">
        <f>PENN!CF$824</f>
        <v>114.68531257094509</v>
      </c>
    </row>
    <row r="84" spans="1:84" ht="12" customHeight="1" x14ac:dyDescent="0.25">
      <c r="A84" s="2" t="s">
        <v>1057</v>
      </c>
      <c r="B84" s="2"/>
      <c r="C84" s="33">
        <v>419.23500000000001</v>
      </c>
      <c r="D84" s="140">
        <v>419.46499999999997</v>
      </c>
      <c r="E84" s="140">
        <v>484.61599999999999</v>
      </c>
      <c r="F84" s="33">
        <v>463.07600000000002</v>
      </c>
      <c r="G84" s="139">
        <v>1786.3920000000001</v>
      </c>
      <c r="H84" s="33">
        <v>444.15199999999999</v>
      </c>
      <c r="I84" s="33">
        <v>445.40699999999998</v>
      </c>
      <c r="J84" s="33">
        <v>526.08899999999994</v>
      </c>
      <c r="K84" s="33">
        <v>508.32100000000003</v>
      </c>
      <c r="L84" s="139">
        <v>1923.9690000000001</v>
      </c>
      <c r="M84" s="33">
        <v>527.76599999999996</v>
      </c>
      <c r="N84" s="33">
        <v>520</v>
      </c>
      <c r="O84" s="33">
        <v>557.53</v>
      </c>
      <c r="P84" s="33">
        <v>536.26700000000005</v>
      </c>
      <c r="Q84" s="139">
        <v>2141.5630000000001</v>
      </c>
      <c r="R84" s="33">
        <v>547.76400000000001</v>
      </c>
      <c r="S84" s="33">
        <v>523.02499999999998</v>
      </c>
      <c r="T84" s="33">
        <v>516.01499999999999</v>
      </c>
      <c r="U84" s="33">
        <v>522.74099999999999</v>
      </c>
      <c r="V84" s="139">
        <v>2109.5450000000001</v>
      </c>
      <c r="W84" s="33">
        <v>470.97199999999998</v>
      </c>
      <c r="X84" s="33">
        <v>411.22299999999996</v>
      </c>
      <c r="Y84" s="33">
        <v>465.60199999999998</v>
      </c>
      <c r="Z84" s="33">
        <v>354.38900000000001</v>
      </c>
      <c r="AA84" s="139">
        <v>1702.1860000000001</v>
      </c>
      <c r="AB84" s="120">
        <f>PENN!AB$821</f>
        <v>322.5</v>
      </c>
      <c r="AC84" s="120">
        <f>PENN!AC$821</f>
        <v>36.799999999999997</v>
      </c>
      <c r="AD84" s="120">
        <f>PENN!AD$821</f>
        <v>417.1</v>
      </c>
      <c r="AE84" s="120">
        <f>PENN!AE$821</f>
        <v>340</v>
      </c>
      <c r="AF84" s="120">
        <f>PENN!AF$821</f>
        <v>1116.4000000000001</v>
      </c>
      <c r="AG84" s="120">
        <f>PENN!AG$821</f>
        <v>349.8</v>
      </c>
      <c r="AH84" s="120">
        <f>PENN!AH$821</f>
        <v>318.10000000000002</v>
      </c>
      <c r="AI84" s="120">
        <f>PENN!AI$821</f>
        <v>307.00099999999998</v>
      </c>
      <c r="AJ84" s="120">
        <f>PENN!AJ$821</f>
        <v>290.798</v>
      </c>
      <c r="AK84" s="120">
        <f>PENN!AK$821</f>
        <v>1265.6990000000001</v>
      </c>
      <c r="AL84" s="120">
        <f>PENN!AL$821</f>
        <v>384.03200000000004</v>
      </c>
      <c r="AM84" s="120">
        <f>PENN!AM$821</f>
        <v>392.78699999999998</v>
      </c>
      <c r="AN84" s="120">
        <f>PENN!AN$821</f>
        <v>334.62900000000002</v>
      </c>
      <c r="AO84" s="120">
        <f>PENN!AO$821</f>
        <v>299.93899999999996</v>
      </c>
      <c r="AP84" s="120">
        <f>PENN!AP$821</f>
        <v>1411.3869999999997</v>
      </c>
      <c r="AQ84" s="120">
        <f>PENN!AQ$821</f>
        <v>320.58199999999999</v>
      </c>
      <c r="AR84" s="120">
        <f>PENN!AR$821</f>
        <v>350.87</v>
      </c>
      <c r="AS84" s="120">
        <f>PENN!AS$821</f>
        <v>354.572</v>
      </c>
      <c r="AT84" s="120">
        <f>PENN!AT$821</f>
        <v>320.077</v>
      </c>
      <c r="AU84" s="120">
        <f>PENN!AU$821</f>
        <v>1346.1009999999999</v>
      </c>
      <c r="AV84" s="120">
        <f>PENN!AV$821</f>
        <v>325.21299999999997</v>
      </c>
      <c r="AW84" s="120">
        <f>PENN!AW$821</f>
        <v>326.71699999999998</v>
      </c>
      <c r="AX84" s="120">
        <f>PENN!AX$821</f>
        <v>311.31</v>
      </c>
      <c r="AY84" s="2898">
        <f>PENN!AY$821</f>
        <v>274.19200000000001</v>
      </c>
      <c r="AZ84" s="2898">
        <f>PENN!AZ$821</f>
        <v>1237.432</v>
      </c>
      <c r="BA84" s="120">
        <f>PENN!BA$821</f>
        <v>261.05700000000002</v>
      </c>
      <c r="BB84" s="120">
        <f>PENN!BB$821</f>
        <v>297.33699999999999</v>
      </c>
      <c r="BC84" s="120">
        <f>PENN!BC$821</f>
        <v>281.12900000000002</v>
      </c>
      <c r="BD84" s="2898">
        <f>PENN!BD$821</f>
        <v>258.25800000000004</v>
      </c>
      <c r="BE84" s="2898">
        <f>PENN!BE$821</f>
        <v>1097.7809999999999</v>
      </c>
      <c r="BF84" s="120">
        <f>PENN!BF$821</f>
        <v>259.29200000000003</v>
      </c>
      <c r="BG84" s="120">
        <f>PENN!BG$821</f>
        <v>285.51</v>
      </c>
      <c r="BH84" s="120">
        <f>PENN!BH$821</f>
        <v>289.57100000000003</v>
      </c>
      <c r="BI84" s="2898">
        <f>PENN!BI$821</f>
        <v>260.15300000000002</v>
      </c>
      <c r="BJ84" s="121">
        <f>PENN!BJ$821</f>
        <v>1094.5260000000001</v>
      </c>
      <c r="BK84" s="120">
        <f>PENN!BK$821</f>
        <v>270.51299999999998</v>
      </c>
      <c r="BL84" s="120">
        <f>PENN!BL$821</f>
        <v>274.10000000000002</v>
      </c>
      <c r="BM84" s="120">
        <f>PENN!BM$821</f>
        <v>273.32499999999999</v>
      </c>
      <c r="BN84" s="2898">
        <f>PENN!BN$821</f>
        <v>238.69300000000001</v>
      </c>
      <c r="BO84" s="121">
        <f>PENN!BO$821</f>
        <v>1056.6310000000001</v>
      </c>
      <c r="BP84" s="120">
        <f>PENN!BP$821</f>
        <v>265.2</v>
      </c>
      <c r="BQ84" s="120">
        <f>PENN!BQ$821</f>
        <v>270.67099999999999</v>
      </c>
      <c r="BR84" s="120">
        <f>PENN!BR$821</f>
        <v>284.25799999999998</v>
      </c>
      <c r="BS84" s="2898">
        <f>PENN!BS$821</f>
        <v>244.17599999999999</v>
      </c>
      <c r="BT84" s="121">
        <f>PENN!BT$821</f>
        <v>1064.3049999999998</v>
      </c>
      <c r="BU84" s="120">
        <f>PENN!BU$821</f>
        <v>225.85</v>
      </c>
      <c r="BV84" s="120">
        <f>PENN!BV$821</f>
        <v>270.67099999999999</v>
      </c>
      <c r="BW84" s="120">
        <f>PENN!BW$821</f>
        <v>287.10057999999998</v>
      </c>
      <c r="BX84" s="2898">
        <f>PENN!BX$821</f>
        <v>246.61775999999998</v>
      </c>
      <c r="BY84" s="121">
        <f>PENN!BY$821</f>
        <v>1030.2393400000001</v>
      </c>
      <c r="BZ84" s="121">
        <f>PENN!BZ$821</f>
        <v>1030.2393400000001</v>
      </c>
      <c r="CA84" s="121">
        <f>PENN!CA$821</f>
        <v>1009.6345532</v>
      </c>
      <c r="CB84" s="121">
        <f>PENN!CB$821</f>
        <v>959.15282553999998</v>
      </c>
      <c r="CC84" s="121">
        <f>PENN!CC$821</f>
        <v>911.19518426299999</v>
      </c>
      <c r="CD84" s="121">
        <f>PENN!CD$821</f>
        <v>929.41908794825997</v>
      </c>
      <c r="CE84" s="121">
        <f>PENN!CE$821</f>
        <v>948.00746970722514</v>
      </c>
      <c r="CF84" s="121">
        <f>PENN!CF$821</f>
        <v>966.96761910136968</v>
      </c>
    </row>
    <row r="85" spans="1:84" ht="12" customHeight="1" x14ac:dyDescent="0.25">
      <c r="A85" s="2"/>
      <c r="B85" s="2"/>
      <c r="C85" s="76"/>
      <c r="D85" s="129"/>
      <c r="E85" s="129"/>
      <c r="F85" s="129"/>
      <c r="G85" s="128"/>
      <c r="H85" s="76"/>
      <c r="I85" s="129"/>
      <c r="J85" s="129"/>
      <c r="K85" s="129"/>
      <c r="L85" s="128"/>
      <c r="M85" s="76"/>
      <c r="N85" s="129"/>
      <c r="O85" s="129"/>
      <c r="P85" s="129"/>
      <c r="Q85" s="128"/>
      <c r="R85" s="76"/>
      <c r="S85" s="129"/>
      <c r="T85" s="129"/>
      <c r="U85" s="129"/>
      <c r="V85" s="128"/>
      <c r="W85" s="76"/>
      <c r="X85" s="129"/>
      <c r="Y85" s="129"/>
      <c r="Z85" s="129"/>
      <c r="AA85" s="128"/>
      <c r="AB85" s="76"/>
      <c r="AC85" s="129"/>
      <c r="AD85" s="129"/>
      <c r="AE85" s="129"/>
      <c r="AF85" s="128"/>
      <c r="AG85" s="76"/>
      <c r="AH85" s="129"/>
      <c r="AI85" s="129"/>
      <c r="AJ85" s="129"/>
      <c r="AK85" s="128"/>
      <c r="AL85" s="76"/>
      <c r="AM85" s="129"/>
      <c r="AN85" s="129"/>
      <c r="AO85" s="129"/>
      <c r="AP85" s="128"/>
      <c r="AQ85" s="76"/>
      <c r="AR85" s="129"/>
      <c r="AS85" s="129"/>
      <c r="AT85" s="129"/>
      <c r="AU85" s="128"/>
      <c r="AV85" s="76"/>
      <c r="AW85" s="129"/>
      <c r="AX85" s="129"/>
      <c r="AY85" s="2900"/>
      <c r="AZ85" s="2900"/>
      <c r="BA85" s="129"/>
      <c r="BB85" s="129"/>
      <c r="BC85" s="129"/>
      <c r="BD85" s="2900"/>
      <c r="BE85" s="2900"/>
      <c r="BF85" s="129"/>
      <c r="BG85" s="129"/>
      <c r="BH85" s="129"/>
      <c r="BI85" s="2900"/>
      <c r="BJ85" s="128"/>
      <c r="BK85" s="129"/>
      <c r="BL85" s="129"/>
      <c r="BM85" s="129"/>
      <c r="BN85" s="2900"/>
      <c r="BO85" s="128"/>
      <c r="BP85" s="129"/>
      <c r="BQ85" s="129"/>
      <c r="BR85" s="129"/>
      <c r="BS85" s="2900"/>
      <c r="BT85" s="128"/>
      <c r="BU85" s="129"/>
      <c r="BV85" s="129"/>
      <c r="BW85" s="129"/>
      <c r="BX85" s="2900"/>
      <c r="BY85" s="128"/>
      <c r="BZ85" s="128"/>
      <c r="CA85" s="128"/>
      <c r="CB85" s="128"/>
      <c r="CC85" s="128"/>
      <c r="CD85" s="128"/>
      <c r="CE85" s="128"/>
      <c r="CF85" s="128"/>
    </row>
    <row r="86" spans="1:84" ht="12" customHeight="1" x14ac:dyDescent="0.25">
      <c r="A86" s="2" t="s">
        <v>1058</v>
      </c>
      <c r="B86" s="2"/>
      <c r="C86" s="53"/>
      <c r="D86" s="4"/>
      <c r="E86" s="4"/>
      <c r="F86" s="4"/>
      <c r="G86" s="55"/>
      <c r="H86" s="53"/>
      <c r="I86" s="4"/>
      <c r="J86" s="4"/>
      <c r="K86" s="4"/>
      <c r="L86" s="55"/>
      <c r="M86" s="53"/>
      <c r="N86" s="4"/>
      <c r="O86" s="4"/>
      <c r="P86" s="4"/>
      <c r="Q86" s="55"/>
      <c r="R86" s="53"/>
      <c r="S86" s="4"/>
      <c r="T86" s="4"/>
      <c r="U86" s="4"/>
      <c r="V86" s="55"/>
      <c r="W86" s="53"/>
      <c r="X86" s="4"/>
      <c r="Y86" s="4"/>
      <c r="Z86" s="4"/>
      <c r="AA86" s="55"/>
      <c r="AB86" s="53"/>
      <c r="AC86" s="4"/>
      <c r="AD86" s="4"/>
      <c r="AE86" s="4"/>
      <c r="AF86" s="55"/>
      <c r="AG86" s="53"/>
      <c r="AH86" s="4"/>
      <c r="AI86" s="4"/>
      <c r="AJ86" s="4"/>
      <c r="AK86" s="55"/>
      <c r="AL86" s="53"/>
      <c r="AM86" s="4"/>
      <c r="AN86" s="4"/>
      <c r="AO86" s="4"/>
      <c r="AP86" s="55"/>
      <c r="AQ86" s="53"/>
      <c r="AR86" s="4"/>
      <c r="AS86" s="4"/>
      <c r="AT86" s="4"/>
      <c r="AU86" s="55"/>
      <c r="AV86" s="53"/>
      <c r="AW86" s="4"/>
      <c r="AX86" s="4"/>
      <c r="AY86" s="4"/>
      <c r="AZ86" s="55"/>
      <c r="BA86" s="53"/>
      <c r="BB86" s="4"/>
      <c r="BC86" s="4"/>
      <c r="BD86" s="1679"/>
      <c r="BE86" s="1679"/>
      <c r="BF86" s="4"/>
      <c r="BG86" s="4"/>
      <c r="BH86" s="4"/>
      <c r="BI86" s="1679"/>
      <c r="BJ86" s="55"/>
      <c r="BK86" s="4"/>
      <c r="BL86" s="4"/>
      <c r="BM86" s="4"/>
      <c r="BN86" s="1679"/>
      <c r="BO86" s="55"/>
      <c r="BP86" s="4"/>
      <c r="BQ86" s="4"/>
      <c r="BR86" s="4"/>
      <c r="BS86" s="1679"/>
      <c r="BT86" s="55"/>
      <c r="BU86" s="4"/>
      <c r="BV86" s="4"/>
      <c r="BW86" s="4"/>
      <c r="BX86" s="1679"/>
      <c r="BY86" s="55"/>
      <c r="BZ86" s="55"/>
      <c r="CA86" s="55"/>
      <c r="CB86" s="55"/>
      <c r="CC86" s="55"/>
      <c r="CD86" s="55"/>
      <c r="CE86" s="55"/>
      <c r="CF86" s="55"/>
    </row>
    <row r="87" spans="1:84" ht="12" customHeight="1" x14ac:dyDescent="0.25">
      <c r="A87" s="126">
        <v>1</v>
      </c>
      <c r="B87" s="2"/>
      <c r="C87" s="98">
        <f t="shared" ref="C87:C93" si="76">$G87/4</f>
        <v>0.9375</v>
      </c>
      <c r="D87" s="99">
        <f t="shared" ref="D87:F93" si="77">$G87/4</f>
        <v>0.9375</v>
      </c>
      <c r="E87" s="99">
        <f t="shared" si="77"/>
        <v>0.9375</v>
      </c>
      <c r="F87" s="99">
        <f t="shared" si="77"/>
        <v>0.9375</v>
      </c>
      <c r="G87" s="48">
        <f>IF(G$83&gt;0, MIN(G$13, G$83)*G$21,0)</f>
        <v>3.75</v>
      </c>
      <c r="H87" s="93">
        <f>IF(H$83*4&gt;0, MIN(H$13, H$83*4)*H$21,0)/4</f>
        <v>0.9375</v>
      </c>
      <c r="I87" s="94">
        <f>IF(I$83*4&gt;0, MIN(I$13, I$83*4)*I$21,0)/4</f>
        <v>0.9375</v>
      </c>
      <c r="J87" s="92">
        <f t="shared" ref="J87:K93" si="78">$L87/4</f>
        <v>0.9375</v>
      </c>
      <c r="K87" s="92">
        <f t="shared" si="78"/>
        <v>0.9375</v>
      </c>
      <c r="L87" s="48">
        <f>IF(L$83&gt;0, MIN(L$13, L$83)*L$21,0)</f>
        <v>3.75</v>
      </c>
      <c r="M87" s="91">
        <f t="shared" ref="M87:P93" si="79">$Q87/4</f>
        <v>0.9375</v>
      </c>
      <c r="N87" s="92">
        <f t="shared" si="79"/>
        <v>0.9375</v>
      </c>
      <c r="O87" s="92">
        <f t="shared" si="79"/>
        <v>0.9375</v>
      </c>
      <c r="P87" s="92">
        <f t="shared" si="79"/>
        <v>0.9375</v>
      </c>
      <c r="Q87" s="48">
        <f>IF(Q$83&gt;0, MIN(Q$13, Q$83)*Q$21,0)</f>
        <v>3.75</v>
      </c>
      <c r="R87" s="91">
        <f t="shared" ref="R87:U93" si="80">$V87/4</f>
        <v>0.9375</v>
      </c>
      <c r="S87" s="92">
        <f t="shared" si="80"/>
        <v>0.9375</v>
      </c>
      <c r="T87" s="92">
        <f t="shared" si="80"/>
        <v>0.9375</v>
      </c>
      <c r="U87" s="92">
        <f t="shared" si="80"/>
        <v>0.9375</v>
      </c>
      <c r="V87" s="48">
        <f>IF(V$83&gt;0, MIN(V$13, V$83)*V$21,0)</f>
        <v>3.75</v>
      </c>
      <c r="W87" s="91">
        <f t="shared" ref="W87:Z93" si="81">$AA87/($AA$83/W$83)</f>
        <v>0.97958581157958868</v>
      </c>
      <c r="X87" s="92">
        <f t="shared" si="81"/>
        <v>0.95980927165173879</v>
      </c>
      <c r="Y87" s="92">
        <f t="shared" si="81"/>
        <v>1.0062780740588955</v>
      </c>
      <c r="Z87" s="92">
        <f t="shared" si="81"/>
        <v>0.80432684270977683</v>
      </c>
      <c r="AA87" s="48">
        <f>IF(AA$83&gt;0, MIN(AA$13, AA$83)*AA$21,0)</f>
        <v>3.75</v>
      </c>
      <c r="AB87" s="91">
        <f t="shared" ref="AB87:AE93" si="82">$AF87/4</f>
        <v>0.9375</v>
      </c>
      <c r="AC87" s="92">
        <f>$AF87/4</f>
        <v>0.9375</v>
      </c>
      <c r="AD87" s="92">
        <f t="shared" si="82"/>
        <v>0.9375</v>
      </c>
      <c r="AE87" s="92">
        <f t="shared" si="82"/>
        <v>0.9375</v>
      </c>
      <c r="AF87" s="48">
        <f>IF(AF$83&gt;0, MIN(AF$13, AF$83)*AF$21,0)</f>
        <v>3.75</v>
      </c>
      <c r="AG87" s="91">
        <f t="shared" ref="AG87:AG93" si="83">$AK87/4</f>
        <v>0.9375</v>
      </c>
      <c r="AH87" s="92">
        <f t="shared" ref="AH87:AJ93" si="84">$AK87/4</f>
        <v>0.9375</v>
      </c>
      <c r="AI87" s="92">
        <f t="shared" si="84"/>
        <v>0.9375</v>
      </c>
      <c r="AJ87" s="92">
        <f t="shared" si="84"/>
        <v>0.9375</v>
      </c>
      <c r="AK87" s="48">
        <f>IF(AK$83&gt;0, MIN(AK$13, AK$83)*AK$21,0)</f>
        <v>3.75</v>
      </c>
      <c r="AL87" s="91">
        <f t="shared" ref="AL87:AL93" si="85">$AP87/4</f>
        <v>0.9375</v>
      </c>
      <c r="AM87" s="92">
        <f t="shared" ref="AM87:AO93" si="86">$AP87/4</f>
        <v>0.9375</v>
      </c>
      <c r="AN87" s="92">
        <f t="shared" si="86"/>
        <v>0.9375</v>
      </c>
      <c r="AO87" s="92">
        <f t="shared" si="86"/>
        <v>0.9375</v>
      </c>
      <c r="AP87" s="48">
        <f>IF(AP$83&gt;0, MIN(AP$13, AP$83)*AP$21,0)</f>
        <v>3.75</v>
      </c>
      <c r="AQ87" s="91">
        <f t="shared" ref="AQ87:AT93" si="87">$AU87/4</f>
        <v>0.9375</v>
      </c>
      <c r="AR87" s="92">
        <f t="shared" si="87"/>
        <v>0.9375</v>
      </c>
      <c r="AS87" s="92">
        <f t="shared" si="87"/>
        <v>0.9375</v>
      </c>
      <c r="AT87" s="92">
        <f t="shared" si="87"/>
        <v>0.9375</v>
      </c>
      <c r="AU87" s="48">
        <f>IF(AU$83&gt;0, MIN(AU$13, AU$83)*AU$21,0)</f>
        <v>3.75</v>
      </c>
      <c r="AV87" s="91">
        <f>$AZ87/4</f>
        <v>0.9375</v>
      </c>
      <c r="AW87" s="92">
        <f t="shared" ref="AW87:AY93" si="88">$AZ87/4</f>
        <v>0.9375</v>
      </c>
      <c r="AX87" s="92">
        <f t="shared" si="88"/>
        <v>0.9375</v>
      </c>
      <c r="AY87" s="92">
        <f t="shared" si="88"/>
        <v>0.9375</v>
      </c>
      <c r="AZ87" s="48">
        <f>IF(AZ$83&gt;0, MIN(AZ$13, AZ$83)*AZ$21,0)</f>
        <v>3.75</v>
      </c>
      <c r="BA87" s="91">
        <f>$BE87/4</f>
        <v>0.9375</v>
      </c>
      <c r="BB87" s="92">
        <f t="shared" ref="BB87:BD93" si="89">$BE87/4</f>
        <v>0.9375</v>
      </c>
      <c r="BC87" s="92">
        <f t="shared" si="89"/>
        <v>0.9375</v>
      </c>
      <c r="BD87" s="92">
        <f t="shared" si="89"/>
        <v>0.9375</v>
      </c>
      <c r="BE87" s="48">
        <f>IF(BE$83&gt;0, MIN(BE$13, BE$83)*BE$21,0)</f>
        <v>3.75</v>
      </c>
      <c r="BF87" s="92">
        <f>$BJ87/4</f>
        <v>0.9375</v>
      </c>
      <c r="BG87" s="92">
        <f t="shared" ref="BG87:BI93" si="90">$BJ87/4</f>
        <v>0.9375</v>
      </c>
      <c r="BH87" s="92">
        <f t="shared" si="90"/>
        <v>0.9375</v>
      </c>
      <c r="BI87" s="2901">
        <f t="shared" si="90"/>
        <v>0.9375</v>
      </c>
      <c r="BJ87" s="48">
        <f>IF(BJ$83&gt;0, MIN(BJ$13, BJ$83)*BJ$21,0)</f>
        <v>3.75</v>
      </c>
      <c r="BK87" s="92">
        <f>$BO87/4</f>
        <v>0.9375</v>
      </c>
      <c r="BL87" s="92">
        <f t="shared" ref="BL87:BN93" si="91">$BO87/4</f>
        <v>0.9375</v>
      </c>
      <c r="BM87" s="92">
        <f t="shared" si="91"/>
        <v>0.9375</v>
      </c>
      <c r="BN87" s="2901">
        <f t="shared" si="91"/>
        <v>0.9375</v>
      </c>
      <c r="BO87" s="48">
        <f>IF(BO$83&gt;0, MIN(BO$13, BO$83)*BO$21,0)</f>
        <v>3.75</v>
      </c>
      <c r="BP87" s="92">
        <f t="shared" ref="BP87:BS93" si="92">$BT87/4</f>
        <v>0.9375</v>
      </c>
      <c r="BQ87" s="92">
        <f t="shared" si="92"/>
        <v>0.9375</v>
      </c>
      <c r="BR87" s="92">
        <f t="shared" si="92"/>
        <v>0.9375</v>
      </c>
      <c r="BS87" s="92">
        <f t="shared" si="92"/>
        <v>0.9375</v>
      </c>
      <c r="BT87" s="48">
        <f>IF(BT$83&gt;0, MIN(BT$13, BT$83)*BT$21,0)</f>
        <v>3.75</v>
      </c>
      <c r="BU87" s="92">
        <f>$BY87/4</f>
        <v>0.9375</v>
      </c>
      <c r="BV87" s="92">
        <f>$BY87/4</f>
        <v>0.9375</v>
      </c>
      <c r="BW87" s="92">
        <f>$BY87/4</f>
        <v>0.9375</v>
      </c>
      <c r="BX87" s="92">
        <f>$BY87/4</f>
        <v>0.9375</v>
      </c>
      <c r="BY87" s="48">
        <f t="shared" ref="BY87:CF87" si="93">IF(BY$83&gt;0, MIN(BY$13, BY$83)*BY$21,0)</f>
        <v>3.75</v>
      </c>
      <c r="BZ87" s="48">
        <f t="shared" si="93"/>
        <v>3.75</v>
      </c>
      <c r="CA87" s="48">
        <f t="shared" si="93"/>
        <v>3.75</v>
      </c>
      <c r="CB87" s="48">
        <f t="shared" si="93"/>
        <v>3.75</v>
      </c>
      <c r="CC87" s="48">
        <f t="shared" si="93"/>
        <v>3.75</v>
      </c>
      <c r="CD87" s="48">
        <f t="shared" si="93"/>
        <v>3.75</v>
      </c>
      <c r="CE87" s="48">
        <f t="shared" si="93"/>
        <v>3.75</v>
      </c>
      <c r="CF87" s="48">
        <f t="shared" si="93"/>
        <v>3.75</v>
      </c>
    </row>
    <row r="88" spans="1:84" ht="12" customHeight="1" x14ac:dyDescent="0.25">
      <c r="A88" s="127">
        <v>2</v>
      </c>
      <c r="B88" s="4"/>
      <c r="C88" s="98">
        <f t="shared" si="76"/>
        <v>0.85937500000000011</v>
      </c>
      <c r="D88" s="99">
        <f t="shared" si="77"/>
        <v>0.85937500000000011</v>
      </c>
      <c r="E88" s="99">
        <f t="shared" si="77"/>
        <v>0.85937500000000011</v>
      </c>
      <c r="F88" s="99">
        <f t="shared" si="77"/>
        <v>0.85937500000000011</v>
      </c>
      <c r="G88" s="96">
        <f>IF(G83&gt;G$13,MIN(G14-G13,G83)*G$22,0)</f>
        <v>3.4375000000000004</v>
      </c>
      <c r="H88" s="100">
        <f>IF(H$83*4&gt;H$13,MIN(H14-H13,H$83*4)*H$22,0)/4</f>
        <v>0.85937500000000011</v>
      </c>
      <c r="I88" s="101">
        <f>IF(I$83*4&gt;I$13,MIN(I14-I13,I$83*4)*I$22,0)/4</f>
        <v>0.85937500000000011</v>
      </c>
      <c r="J88" s="99">
        <f t="shared" si="78"/>
        <v>1.40625</v>
      </c>
      <c r="K88" s="99">
        <f t="shared" si="78"/>
        <v>1.40625</v>
      </c>
      <c r="L88" s="96">
        <f>IF(L$83&gt;L13,MIN(L14-L13,L$83)*L22,0)</f>
        <v>5.625</v>
      </c>
      <c r="M88" s="98">
        <f t="shared" si="79"/>
        <v>1.40625</v>
      </c>
      <c r="N88" s="99">
        <f t="shared" si="79"/>
        <v>1.40625</v>
      </c>
      <c r="O88" s="99">
        <f t="shared" si="79"/>
        <v>1.40625</v>
      </c>
      <c r="P88" s="99">
        <f t="shared" si="79"/>
        <v>1.40625</v>
      </c>
      <c r="Q88" s="96">
        <f>IF(Q83&gt;Q$13,MIN(Q14-Q13,Q83)*Q$22,0)</f>
        <v>5.625</v>
      </c>
      <c r="R88" s="98">
        <f t="shared" si="80"/>
        <v>1.40625</v>
      </c>
      <c r="S88" s="99">
        <f t="shared" si="80"/>
        <v>1.40625</v>
      </c>
      <c r="T88" s="99">
        <f t="shared" si="80"/>
        <v>1.40625</v>
      </c>
      <c r="U88" s="99">
        <f t="shared" si="80"/>
        <v>1.40625</v>
      </c>
      <c r="V88" s="96">
        <f>IF(V83&gt;V$13,MIN(V14-V13,V83)*V$22,0)</f>
        <v>5.625</v>
      </c>
      <c r="W88" s="98">
        <f t="shared" si="81"/>
        <v>1.4693787173693831</v>
      </c>
      <c r="X88" s="99">
        <f t="shared" si="81"/>
        <v>1.4397139074776082</v>
      </c>
      <c r="Y88" s="99">
        <f t="shared" si="81"/>
        <v>1.5094171110883434</v>
      </c>
      <c r="Z88" s="99">
        <f t="shared" si="81"/>
        <v>1.2064902640646653</v>
      </c>
      <c r="AA88" s="96">
        <f>IF(AA83&gt;AA$13,MIN(AA14-AA13,AA83)*AA$22,0)</f>
        <v>5.625</v>
      </c>
      <c r="AB88" s="98">
        <f t="shared" si="82"/>
        <v>1.40625</v>
      </c>
      <c r="AC88" s="99">
        <f>$AF88/4</f>
        <v>1.40625</v>
      </c>
      <c r="AD88" s="99">
        <f t="shared" si="82"/>
        <v>1.40625</v>
      </c>
      <c r="AE88" s="99">
        <f t="shared" si="82"/>
        <v>1.40625</v>
      </c>
      <c r="AF88" s="96">
        <f>IF(AF83&gt;AF$13,MIN(AF14-AF13,AF83)*AF$22,0)</f>
        <v>5.625</v>
      </c>
      <c r="AG88" s="98">
        <f t="shared" si="83"/>
        <v>1.40625</v>
      </c>
      <c r="AH88" s="99">
        <f t="shared" si="84"/>
        <v>1.40625</v>
      </c>
      <c r="AI88" s="99">
        <f t="shared" si="84"/>
        <v>1.40625</v>
      </c>
      <c r="AJ88" s="99">
        <f t="shared" si="84"/>
        <v>1.40625</v>
      </c>
      <c r="AK88" s="96">
        <f>IF(AK83&gt;AK$13,MIN(AK14-AK13,AK83)*AK$22,0)</f>
        <v>5.625</v>
      </c>
      <c r="AL88" s="98">
        <f t="shared" si="85"/>
        <v>1.40625</v>
      </c>
      <c r="AM88" s="99">
        <f t="shared" si="86"/>
        <v>1.40625</v>
      </c>
      <c r="AN88" s="99">
        <f t="shared" si="86"/>
        <v>1.40625</v>
      </c>
      <c r="AO88" s="99">
        <f t="shared" si="86"/>
        <v>1.40625</v>
      </c>
      <c r="AP88" s="96">
        <f>IF(AP83&gt;AP$13,MIN(AP14-AP13,AP83)*AP$22,0)</f>
        <v>5.625</v>
      </c>
      <c r="AQ88" s="98">
        <f t="shared" si="87"/>
        <v>1.40625</v>
      </c>
      <c r="AR88" s="99">
        <f t="shared" si="87"/>
        <v>1.40625</v>
      </c>
      <c r="AS88" s="99">
        <f t="shared" si="87"/>
        <v>1.40625</v>
      </c>
      <c r="AT88" s="99">
        <f t="shared" si="87"/>
        <v>1.40625</v>
      </c>
      <c r="AU88" s="96">
        <f>IF(AU83&gt;AU$13,MIN(AU14-AU13,AU83)*AU$22,0)</f>
        <v>5.625</v>
      </c>
      <c r="AV88" s="98">
        <f t="shared" ref="AV88:AV93" si="94">$AZ88/4</f>
        <v>1.40625</v>
      </c>
      <c r="AW88" s="99">
        <f t="shared" si="88"/>
        <v>1.40625</v>
      </c>
      <c r="AX88" s="99">
        <f t="shared" si="88"/>
        <v>1.40625</v>
      </c>
      <c r="AY88" s="99">
        <f t="shared" si="88"/>
        <v>1.40625</v>
      </c>
      <c r="AZ88" s="96">
        <f>IF(AZ83&gt;AZ$13,MIN(AZ14-AZ13,AZ83)*AZ$22,0)</f>
        <v>5.625</v>
      </c>
      <c r="BA88" s="98">
        <f t="shared" ref="BA88:BA93" si="95">$BE88/4</f>
        <v>1.40625</v>
      </c>
      <c r="BB88" s="99">
        <f t="shared" si="89"/>
        <v>1.40625</v>
      </c>
      <c r="BC88" s="99">
        <f t="shared" si="89"/>
        <v>1.40625</v>
      </c>
      <c r="BD88" s="99">
        <f t="shared" si="89"/>
        <v>1.40625</v>
      </c>
      <c r="BE88" s="96">
        <f>IF(BE83&gt;BE$13,MIN(BE14-BE13,BE83)*BE$22,0)</f>
        <v>5.625</v>
      </c>
      <c r="BF88" s="98">
        <f t="shared" ref="BF88:BF93" si="96">$BJ88/4</f>
        <v>1.40625</v>
      </c>
      <c r="BG88" s="99">
        <f t="shared" si="90"/>
        <v>1.40625</v>
      </c>
      <c r="BH88" s="99">
        <f t="shared" si="90"/>
        <v>1.40625</v>
      </c>
      <c r="BI88" s="2902">
        <f t="shared" si="90"/>
        <v>1.40625</v>
      </c>
      <c r="BJ88" s="96">
        <f>IF(BJ83&gt;BJ$13,MIN(BJ14-BJ13,BJ83)*BJ$22,0)</f>
        <v>5.625</v>
      </c>
      <c r="BK88" s="92">
        <f t="shared" ref="BK88:BK93" si="97">$BO88/4</f>
        <v>1.40625</v>
      </c>
      <c r="BL88" s="92">
        <f t="shared" si="91"/>
        <v>1.40625</v>
      </c>
      <c r="BM88" s="92">
        <f t="shared" si="91"/>
        <v>1.40625</v>
      </c>
      <c r="BN88" s="2901">
        <f t="shared" si="91"/>
        <v>1.40625</v>
      </c>
      <c r="BO88" s="96">
        <f t="shared" ref="BO88:CF88" si="98">IF(BO83&gt;BO$13,MIN(BO14-BO13,BO83)*BO$22,0)</f>
        <v>5.625</v>
      </c>
      <c r="BP88" s="92">
        <f t="shared" si="92"/>
        <v>1.40625</v>
      </c>
      <c r="BQ88" s="92">
        <f t="shared" si="92"/>
        <v>1.40625</v>
      </c>
      <c r="BR88" s="92">
        <f t="shared" si="92"/>
        <v>1.40625</v>
      </c>
      <c r="BS88" s="92">
        <f t="shared" si="92"/>
        <v>1.40625</v>
      </c>
      <c r="BT88" s="96">
        <f>IF(BT83&gt;BT$13,MIN(BT14-BT13,BT83)*BT$22,0)</f>
        <v>5.625</v>
      </c>
      <c r="BU88" s="92">
        <f t="shared" ref="BU88:BX93" si="99">$BY88/4</f>
        <v>1.40625</v>
      </c>
      <c r="BV88" s="92">
        <f t="shared" si="99"/>
        <v>1.40625</v>
      </c>
      <c r="BW88" s="92">
        <f t="shared" si="99"/>
        <v>1.40625</v>
      </c>
      <c r="BX88" s="92">
        <f t="shared" si="99"/>
        <v>1.40625</v>
      </c>
      <c r="BY88" s="96">
        <f t="shared" si="98"/>
        <v>5.625</v>
      </c>
      <c r="BZ88" s="96">
        <f t="shared" si="98"/>
        <v>5.625</v>
      </c>
      <c r="CA88" s="96">
        <f t="shared" si="98"/>
        <v>5.625</v>
      </c>
      <c r="CB88" s="96">
        <f t="shared" si="98"/>
        <v>5.625</v>
      </c>
      <c r="CC88" s="96">
        <f t="shared" si="98"/>
        <v>5.625</v>
      </c>
      <c r="CD88" s="96">
        <f t="shared" si="98"/>
        <v>5.625</v>
      </c>
      <c r="CE88" s="96">
        <f t="shared" si="98"/>
        <v>5.625</v>
      </c>
      <c r="CF88" s="96">
        <f t="shared" si="98"/>
        <v>5.625</v>
      </c>
    </row>
    <row r="89" spans="1:84" ht="12" customHeight="1" x14ac:dyDescent="0.25">
      <c r="A89" s="126">
        <v>3</v>
      </c>
      <c r="B89" s="2"/>
      <c r="C89" s="98">
        <f t="shared" si="76"/>
        <v>1.015625</v>
      </c>
      <c r="D89" s="99">
        <f t="shared" si="77"/>
        <v>1.015625</v>
      </c>
      <c r="E89" s="99">
        <f t="shared" si="77"/>
        <v>1.015625</v>
      </c>
      <c r="F89" s="99">
        <f t="shared" si="77"/>
        <v>1.015625</v>
      </c>
      <c r="G89" s="96">
        <f>IF(G83&gt;G$14,MIN(G15-G14,G83-G$14)*G$23,0)</f>
        <v>4.0625</v>
      </c>
      <c r="H89" s="100">
        <f>IF(H$83&gt;H14,MIN(H15-H14,H$83-H14)*H23,0)/4</f>
        <v>1.015625</v>
      </c>
      <c r="I89" s="101">
        <f>IF(I$83&gt;I14,MIN(I15-I14,I$83-I14)*I23,0)/4</f>
        <v>1.015625</v>
      </c>
      <c r="J89" s="99">
        <f t="shared" si="78"/>
        <v>1.7187500000000002</v>
      </c>
      <c r="K89" s="99">
        <f t="shared" si="78"/>
        <v>1.7187500000000002</v>
      </c>
      <c r="L89" s="96">
        <f>IF(L$83&gt;L14,MIN(L15-L14,L$83-L14)*L23,0)</f>
        <v>6.8750000000000009</v>
      </c>
      <c r="M89" s="98">
        <f t="shared" si="79"/>
        <v>1.7187500000000002</v>
      </c>
      <c r="N89" s="99">
        <f t="shared" si="79"/>
        <v>1.7187500000000002</v>
      </c>
      <c r="O89" s="99">
        <f t="shared" si="79"/>
        <v>1.7187500000000002</v>
      </c>
      <c r="P89" s="99">
        <f t="shared" si="79"/>
        <v>1.7187500000000002</v>
      </c>
      <c r="Q89" s="96">
        <f>IF(Q83&gt;Q$14,MIN(Q15-Q14,Q83-Q$14)*Q$23,0)</f>
        <v>6.8750000000000009</v>
      </c>
      <c r="R89" s="98">
        <f t="shared" si="80"/>
        <v>1.7187500000000002</v>
      </c>
      <c r="S89" s="99">
        <f t="shared" si="80"/>
        <v>1.7187500000000002</v>
      </c>
      <c r="T89" s="99">
        <f t="shared" si="80"/>
        <v>1.7187500000000002</v>
      </c>
      <c r="U89" s="99">
        <f t="shared" si="80"/>
        <v>1.7187500000000002</v>
      </c>
      <c r="V89" s="96">
        <f>IF(V83&gt;V$14,MIN(V15-V14,V83-V$14)*V$23,0)</f>
        <v>6.8750000000000009</v>
      </c>
      <c r="W89" s="98">
        <f t="shared" si="81"/>
        <v>1.7959073212292462</v>
      </c>
      <c r="X89" s="99">
        <f t="shared" si="81"/>
        <v>1.7596503313615213</v>
      </c>
      <c r="Y89" s="99">
        <f t="shared" si="81"/>
        <v>1.8448431357746422</v>
      </c>
      <c r="Z89" s="99">
        <f t="shared" si="81"/>
        <v>1.474599211634591</v>
      </c>
      <c r="AA89" s="96">
        <f>IF(AA83&gt;AA$14,MIN(AA15-AA14,AA83-AA$14)*AA$23,0)</f>
        <v>6.8750000000000009</v>
      </c>
      <c r="AB89" s="98">
        <f t="shared" si="82"/>
        <v>1.7187500000000002</v>
      </c>
      <c r="AC89" s="99">
        <f t="shared" si="82"/>
        <v>1.7187500000000002</v>
      </c>
      <c r="AD89" s="99">
        <f t="shared" si="82"/>
        <v>1.7187500000000002</v>
      </c>
      <c r="AE89" s="99">
        <f t="shared" si="82"/>
        <v>1.7187500000000002</v>
      </c>
      <c r="AF89" s="96">
        <f>IF(AF83&gt;AF$14,MIN(AF15-AF14,AF83-AF$14)*AF$23,0)</f>
        <v>6.8750000000000009</v>
      </c>
      <c r="AG89" s="98">
        <f t="shared" si="83"/>
        <v>1.7187500000000002</v>
      </c>
      <c r="AH89" s="99">
        <f t="shared" si="84"/>
        <v>1.7187500000000002</v>
      </c>
      <c r="AI89" s="99">
        <f t="shared" si="84"/>
        <v>1.7187500000000002</v>
      </c>
      <c r="AJ89" s="99">
        <f t="shared" si="84"/>
        <v>1.7187500000000002</v>
      </c>
      <c r="AK89" s="96">
        <f>IF(AK83&gt;AK$14,MIN(AK15-AK14,AK83-AK$14)*AK$23,0)</f>
        <v>6.8750000000000009</v>
      </c>
      <c r="AL89" s="98">
        <f t="shared" si="85"/>
        <v>1.7187500000000002</v>
      </c>
      <c r="AM89" s="99">
        <f t="shared" si="86"/>
        <v>1.7187500000000002</v>
      </c>
      <c r="AN89" s="99">
        <f t="shared" si="86"/>
        <v>1.7187500000000002</v>
      </c>
      <c r="AO89" s="99">
        <f t="shared" si="86"/>
        <v>1.7187500000000002</v>
      </c>
      <c r="AP89" s="96">
        <f>IF(AP83&gt;AP$14,MIN(AP15-AP14,AP83-AP$14)*AP$23,0)</f>
        <v>6.8750000000000009</v>
      </c>
      <c r="AQ89" s="98">
        <f t="shared" si="87"/>
        <v>1.7187500000000002</v>
      </c>
      <c r="AR89" s="99">
        <f t="shared" si="87"/>
        <v>1.7187500000000002</v>
      </c>
      <c r="AS89" s="99">
        <f t="shared" si="87"/>
        <v>1.7187500000000002</v>
      </c>
      <c r="AT89" s="99">
        <f t="shared" si="87"/>
        <v>1.7187500000000002</v>
      </c>
      <c r="AU89" s="96">
        <f>IF(AU83&gt;AU$14,MIN(AU15-AU14,AU83-AU$14)*AU$23,0)</f>
        <v>6.8750000000000009</v>
      </c>
      <c r="AV89" s="98">
        <f t="shared" si="94"/>
        <v>1.7187500000000002</v>
      </c>
      <c r="AW89" s="99">
        <f t="shared" si="88"/>
        <v>1.7187500000000002</v>
      </c>
      <c r="AX89" s="99">
        <f t="shared" si="88"/>
        <v>1.7187500000000002</v>
      </c>
      <c r="AY89" s="99">
        <f t="shared" si="88"/>
        <v>1.7187500000000002</v>
      </c>
      <c r="AZ89" s="96">
        <f>IF(AZ83&gt;AZ$14,MIN(AZ15-AZ14,AZ83-AZ$14)*AZ$23,0)</f>
        <v>6.8750000000000009</v>
      </c>
      <c r="BA89" s="98">
        <f t="shared" si="95"/>
        <v>1.7187500000000002</v>
      </c>
      <c r="BB89" s="99">
        <f t="shared" si="89"/>
        <v>1.7187500000000002</v>
      </c>
      <c r="BC89" s="99">
        <f t="shared" si="89"/>
        <v>1.7187500000000002</v>
      </c>
      <c r="BD89" s="99">
        <f t="shared" si="89"/>
        <v>1.7187500000000002</v>
      </c>
      <c r="BE89" s="96">
        <f>IF(BE83&gt;BE$14,MIN(BE15-BE14,BE83-BE$14)*BE$23,0)</f>
        <v>6.8750000000000009</v>
      </c>
      <c r="BF89" s="98">
        <f t="shared" si="96"/>
        <v>1.7187500000000002</v>
      </c>
      <c r="BG89" s="99">
        <f t="shared" si="90"/>
        <v>1.7187500000000002</v>
      </c>
      <c r="BH89" s="99">
        <f t="shared" si="90"/>
        <v>1.7187500000000002</v>
      </c>
      <c r="BI89" s="99">
        <f t="shared" si="90"/>
        <v>1.7187500000000002</v>
      </c>
      <c r="BJ89" s="96">
        <f>IF(BJ83&gt;BJ$14,MIN(BJ15-BJ14,BJ83-BJ$14)*BJ$23,0)</f>
        <v>6.8750000000000009</v>
      </c>
      <c r="BK89" s="92">
        <f t="shared" si="97"/>
        <v>1.7187500000000002</v>
      </c>
      <c r="BL89" s="92">
        <f t="shared" si="91"/>
        <v>1.7187500000000002</v>
      </c>
      <c r="BM89" s="92">
        <f t="shared" si="91"/>
        <v>1.7187500000000002</v>
      </c>
      <c r="BN89" s="2901">
        <f t="shared" si="91"/>
        <v>1.7187500000000002</v>
      </c>
      <c r="BO89" s="96">
        <f t="shared" ref="BO89:CF89" si="100">IF(BO83&gt;BO$14,MIN(BO15-BO14,BO83-BO$14)*BO$23,0)</f>
        <v>6.8750000000000009</v>
      </c>
      <c r="BP89" s="92">
        <f t="shared" si="92"/>
        <v>1.7187500000000002</v>
      </c>
      <c r="BQ89" s="92">
        <f t="shared" si="92"/>
        <v>1.7187500000000002</v>
      </c>
      <c r="BR89" s="92">
        <f t="shared" si="92"/>
        <v>1.7187500000000002</v>
      </c>
      <c r="BS89" s="92">
        <f t="shared" si="92"/>
        <v>1.7187500000000002</v>
      </c>
      <c r="BT89" s="96">
        <f>IF(BT83&gt;BT$14,MIN(BT15-BT14,BT83-BT$14)*BT$23,0)</f>
        <v>6.8750000000000009</v>
      </c>
      <c r="BU89" s="92">
        <f t="shared" si="99"/>
        <v>1.7187500000000002</v>
      </c>
      <c r="BV89" s="92">
        <f t="shared" si="99"/>
        <v>1.7187500000000002</v>
      </c>
      <c r="BW89" s="92">
        <f t="shared" si="99"/>
        <v>1.7187500000000002</v>
      </c>
      <c r="BX89" s="92">
        <f t="shared" si="99"/>
        <v>1.7187500000000002</v>
      </c>
      <c r="BY89" s="96">
        <f t="shared" si="100"/>
        <v>6.8750000000000009</v>
      </c>
      <c r="BZ89" s="96">
        <f t="shared" si="100"/>
        <v>6.8750000000000009</v>
      </c>
      <c r="CA89" s="96">
        <f t="shared" si="100"/>
        <v>6.8750000000000009</v>
      </c>
      <c r="CB89" s="96">
        <f t="shared" si="100"/>
        <v>6.8750000000000009</v>
      </c>
      <c r="CC89" s="96">
        <f t="shared" si="100"/>
        <v>6.8750000000000009</v>
      </c>
      <c r="CD89" s="96">
        <f t="shared" si="100"/>
        <v>6.8750000000000009</v>
      </c>
      <c r="CE89" s="96">
        <f t="shared" si="100"/>
        <v>6.8750000000000009</v>
      </c>
      <c r="CF89" s="96">
        <f t="shared" si="100"/>
        <v>6.8750000000000009</v>
      </c>
    </row>
    <row r="90" spans="1:84" ht="12" customHeight="1" x14ac:dyDescent="0.25">
      <c r="A90" s="127">
        <v>4</v>
      </c>
      <c r="B90" s="2"/>
      <c r="C90" s="98">
        <f t="shared" si="76"/>
        <v>2.34375</v>
      </c>
      <c r="D90" s="99">
        <f t="shared" si="77"/>
        <v>2.34375</v>
      </c>
      <c r="E90" s="99">
        <f t="shared" si="77"/>
        <v>2.34375</v>
      </c>
      <c r="F90" s="99">
        <f t="shared" si="77"/>
        <v>2.34375</v>
      </c>
      <c r="G90" s="96">
        <f>IF(G83&gt;G$15, MIN(G16-G15,G83-G$15)*G$24,0)</f>
        <v>9.375</v>
      </c>
      <c r="H90" s="100">
        <f>IF(H$83*4&gt;H$15, MIN(H16-H15,H$83*4-H15)*H24,0)/4</f>
        <v>2.34375</v>
      </c>
      <c r="I90" s="101">
        <f>IF(I$83*4&gt;I$15, MIN(I16-I15,I$83*4-I15)*I24,0)/4</f>
        <v>2.34375</v>
      </c>
      <c r="J90" s="99">
        <f t="shared" si="78"/>
        <v>2.03125</v>
      </c>
      <c r="K90" s="99">
        <f t="shared" si="78"/>
        <v>2.03125</v>
      </c>
      <c r="L90" s="96">
        <f>IF(L$83&gt;L15, MIN(L16-L15,L$83-L15)*L24,0)</f>
        <v>8.125</v>
      </c>
      <c r="M90" s="98">
        <f t="shared" si="79"/>
        <v>2.03125</v>
      </c>
      <c r="N90" s="99">
        <f t="shared" si="79"/>
        <v>2.03125</v>
      </c>
      <c r="O90" s="99">
        <f t="shared" si="79"/>
        <v>2.03125</v>
      </c>
      <c r="P90" s="99">
        <f t="shared" si="79"/>
        <v>2.03125</v>
      </c>
      <c r="Q90" s="96">
        <f>IF(Q83&gt;Q$15, MIN(Q16-Q15,Q83-Q$15)*Q$24,0)</f>
        <v>8.125</v>
      </c>
      <c r="R90" s="98">
        <f t="shared" si="80"/>
        <v>2.03125</v>
      </c>
      <c r="S90" s="99">
        <f t="shared" si="80"/>
        <v>2.03125</v>
      </c>
      <c r="T90" s="99">
        <f t="shared" si="80"/>
        <v>2.03125</v>
      </c>
      <c r="U90" s="99">
        <f t="shared" si="80"/>
        <v>2.03125</v>
      </c>
      <c r="V90" s="96">
        <f>IF(V83&gt;V$15, MIN(V16-V15,V83-V$15)*V$24,0)</f>
        <v>8.125</v>
      </c>
      <c r="W90" s="98">
        <f t="shared" si="81"/>
        <v>2.1224359250891087</v>
      </c>
      <c r="X90" s="99">
        <f t="shared" si="81"/>
        <v>2.0795867552454341</v>
      </c>
      <c r="Y90" s="99">
        <f t="shared" si="81"/>
        <v>2.1802691604609405</v>
      </c>
      <c r="Z90" s="99">
        <f t="shared" si="81"/>
        <v>1.7427081592045164</v>
      </c>
      <c r="AA90" s="96">
        <f>IF(AA83&gt;AA$15, MIN(AA16-AA15,AA83-AA$15)*AA$24,0)</f>
        <v>8.125</v>
      </c>
      <c r="AB90" s="98">
        <f t="shared" si="82"/>
        <v>2.03125</v>
      </c>
      <c r="AC90" s="99">
        <f t="shared" si="82"/>
        <v>2.03125</v>
      </c>
      <c r="AD90" s="99">
        <f t="shared" si="82"/>
        <v>2.03125</v>
      </c>
      <c r="AE90" s="99">
        <f t="shared" si="82"/>
        <v>2.03125</v>
      </c>
      <c r="AF90" s="96">
        <f>IF(AF83&gt;AF$15, MIN(AF16-AF15,AF83-AF$15)*AF$24,0)</f>
        <v>8.125</v>
      </c>
      <c r="AG90" s="98">
        <f t="shared" si="83"/>
        <v>2.03125</v>
      </c>
      <c r="AH90" s="99">
        <f t="shared" si="84"/>
        <v>2.03125</v>
      </c>
      <c r="AI90" s="99">
        <f t="shared" si="84"/>
        <v>2.03125</v>
      </c>
      <c r="AJ90" s="99">
        <f t="shared" si="84"/>
        <v>2.03125</v>
      </c>
      <c r="AK90" s="96">
        <f>IF(AK83&gt;AK$15, MIN(AK16-AK15,AK83-AK$15)*AK$24,0)</f>
        <v>8.125</v>
      </c>
      <c r="AL90" s="98">
        <f t="shared" si="85"/>
        <v>2.03125</v>
      </c>
      <c r="AM90" s="99">
        <f t="shared" si="86"/>
        <v>2.03125</v>
      </c>
      <c r="AN90" s="99">
        <f t="shared" si="86"/>
        <v>2.03125</v>
      </c>
      <c r="AO90" s="99">
        <f t="shared" si="86"/>
        <v>2.03125</v>
      </c>
      <c r="AP90" s="96">
        <f>IF(AP83&gt;AP$15, MIN(AP16-AP15,AP83-AP$15)*AP$24,0)</f>
        <v>8.125</v>
      </c>
      <c r="AQ90" s="98">
        <f t="shared" si="87"/>
        <v>2.03125</v>
      </c>
      <c r="AR90" s="99">
        <f t="shared" si="87"/>
        <v>2.03125</v>
      </c>
      <c r="AS90" s="99">
        <f t="shared" si="87"/>
        <v>2.03125</v>
      </c>
      <c r="AT90" s="99">
        <f t="shared" si="87"/>
        <v>2.03125</v>
      </c>
      <c r="AU90" s="96">
        <f>IF(AU83&gt;AU$15, MIN(AU16-AU15,AU83-AU$15)*AU$24,0)</f>
        <v>8.125</v>
      </c>
      <c r="AV90" s="98">
        <f t="shared" si="94"/>
        <v>2.03125</v>
      </c>
      <c r="AW90" s="99">
        <f t="shared" si="88"/>
        <v>2.03125</v>
      </c>
      <c r="AX90" s="99">
        <f t="shared" si="88"/>
        <v>2.03125</v>
      </c>
      <c r="AY90" s="99">
        <f t="shared" si="88"/>
        <v>2.03125</v>
      </c>
      <c r="AZ90" s="96">
        <f>IF(AZ83&gt;AZ$15, MIN(AZ16-AZ15,AZ83-AZ$15)*AZ$24,0)</f>
        <v>8.125</v>
      </c>
      <c r="BA90" s="98">
        <f t="shared" si="95"/>
        <v>2.03125</v>
      </c>
      <c r="BB90" s="99">
        <f t="shared" si="89"/>
        <v>2.03125</v>
      </c>
      <c r="BC90" s="99">
        <f t="shared" si="89"/>
        <v>2.03125</v>
      </c>
      <c r="BD90" s="99">
        <f t="shared" si="89"/>
        <v>2.03125</v>
      </c>
      <c r="BE90" s="96">
        <f>IF(BE83&gt;BE$15, MIN(BE16-BE15,BE83-BE$15)*BE$24,0)</f>
        <v>8.125</v>
      </c>
      <c r="BF90" s="98">
        <f t="shared" si="96"/>
        <v>2.03125</v>
      </c>
      <c r="BG90" s="99">
        <f t="shared" si="90"/>
        <v>2.03125</v>
      </c>
      <c r="BH90" s="99">
        <f t="shared" si="90"/>
        <v>2.03125</v>
      </c>
      <c r="BI90" s="99">
        <f t="shared" si="90"/>
        <v>2.03125</v>
      </c>
      <c r="BJ90" s="96">
        <f>IF(BJ83&gt;BJ$15, MIN(BJ16-BJ15,BJ83-BJ$15)*BJ$24,0)</f>
        <v>8.125</v>
      </c>
      <c r="BK90" s="92">
        <f t="shared" si="97"/>
        <v>2.03125</v>
      </c>
      <c r="BL90" s="92">
        <f t="shared" si="91"/>
        <v>2.03125</v>
      </c>
      <c r="BM90" s="92">
        <f t="shared" si="91"/>
        <v>2.03125</v>
      </c>
      <c r="BN90" s="2901">
        <f t="shared" si="91"/>
        <v>2.03125</v>
      </c>
      <c r="BO90" s="96">
        <f t="shared" ref="BO90:CF90" si="101">IF(BO83&gt;BO$15, MIN(BO16-BO15,BO83-BO$15)*BO$24,0)</f>
        <v>8.125</v>
      </c>
      <c r="BP90" s="92">
        <f t="shared" si="92"/>
        <v>2.03125</v>
      </c>
      <c r="BQ90" s="92">
        <f t="shared" si="92"/>
        <v>2.03125</v>
      </c>
      <c r="BR90" s="92">
        <f t="shared" si="92"/>
        <v>2.03125</v>
      </c>
      <c r="BS90" s="92">
        <f t="shared" si="92"/>
        <v>2.03125</v>
      </c>
      <c r="BT90" s="96">
        <f>IF(BT83&gt;BT$15, MIN(BT16-BT15,BT83-BT$15)*BT$24,0)</f>
        <v>8.125</v>
      </c>
      <c r="BU90" s="92">
        <f t="shared" si="99"/>
        <v>2.03125</v>
      </c>
      <c r="BV90" s="92">
        <f t="shared" si="99"/>
        <v>2.03125</v>
      </c>
      <c r="BW90" s="92">
        <f t="shared" si="99"/>
        <v>2.03125</v>
      </c>
      <c r="BX90" s="92">
        <f t="shared" si="99"/>
        <v>2.03125</v>
      </c>
      <c r="BY90" s="96">
        <f t="shared" si="101"/>
        <v>8.125</v>
      </c>
      <c r="BZ90" s="96">
        <f t="shared" si="101"/>
        <v>8.125</v>
      </c>
      <c r="CA90" s="96">
        <f t="shared" si="101"/>
        <v>8.125</v>
      </c>
      <c r="CB90" s="96">
        <f t="shared" si="101"/>
        <v>8.125</v>
      </c>
      <c r="CC90" s="96">
        <f t="shared" si="101"/>
        <v>8.125</v>
      </c>
      <c r="CD90" s="96">
        <f t="shared" si="101"/>
        <v>8.125</v>
      </c>
      <c r="CE90" s="96">
        <f t="shared" si="101"/>
        <v>8.125</v>
      </c>
      <c r="CF90" s="96">
        <f t="shared" si="101"/>
        <v>8.125</v>
      </c>
    </row>
    <row r="91" spans="1:84" ht="12" customHeight="1" x14ac:dyDescent="0.25">
      <c r="A91" s="126">
        <v>5</v>
      </c>
      <c r="B91" s="2"/>
      <c r="C91" s="98">
        <f t="shared" si="76"/>
        <v>2.8125</v>
      </c>
      <c r="D91" s="99">
        <f t="shared" si="77"/>
        <v>2.8125</v>
      </c>
      <c r="E91" s="99">
        <f t="shared" si="77"/>
        <v>2.8125</v>
      </c>
      <c r="F91" s="99">
        <f t="shared" si="77"/>
        <v>2.8125</v>
      </c>
      <c r="G91" s="96">
        <f>IF(G83&gt;G$16,MIN(G17-G16,G83-G$16)*G$25,0)</f>
        <v>11.25</v>
      </c>
      <c r="H91" s="100">
        <f>IF(H$83*4&gt;H$16,MIN(H17-H16,H$83*4-H16)*H25,0)/4</f>
        <v>2.8125</v>
      </c>
      <c r="I91" s="101">
        <f>IF(I$83*4&gt;I$16,MIN(I17-I16,I$83*4-I16)*I25,0)/4</f>
        <v>2.8125</v>
      </c>
      <c r="J91" s="99">
        <f t="shared" si="78"/>
        <v>4.6875</v>
      </c>
      <c r="K91" s="99">
        <f t="shared" si="78"/>
        <v>4.6875</v>
      </c>
      <c r="L91" s="96">
        <f>IF(L$83&gt;L16,MIN(L17-L16,L$83-L16)*L25,0)</f>
        <v>18.75</v>
      </c>
      <c r="M91" s="98">
        <f t="shared" si="79"/>
        <v>4.6875</v>
      </c>
      <c r="N91" s="99">
        <f t="shared" si="79"/>
        <v>4.6875</v>
      </c>
      <c r="O91" s="99">
        <f t="shared" si="79"/>
        <v>4.6875</v>
      </c>
      <c r="P91" s="99">
        <f t="shared" si="79"/>
        <v>4.6875</v>
      </c>
      <c r="Q91" s="96">
        <f>IF(Q83&gt;Q$16,MIN(Q17-Q16,Q83-Q$16)*Q$25,0)</f>
        <v>18.75</v>
      </c>
      <c r="R91" s="98">
        <f t="shared" si="80"/>
        <v>4.6875</v>
      </c>
      <c r="S91" s="99">
        <f t="shared" si="80"/>
        <v>4.6875</v>
      </c>
      <c r="T91" s="99">
        <f t="shared" si="80"/>
        <v>4.6875</v>
      </c>
      <c r="U91" s="99">
        <f t="shared" si="80"/>
        <v>4.6875</v>
      </c>
      <c r="V91" s="96">
        <f>IF(V83&gt;V$16,MIN(V17-V16,V83-V$16)*V$25,0)</f>
        <v>18.75</v>
      </c>
      <c r="W91" s="98">
        <f t="shared" si="81"/>
        <v>4.8979290578979437</v>
      </c>
      <c r="X91" s="99">
        <f t="shared" si="81"/>
        <v>4.7990463582586935</v>
      </c>
      <c r="Y91" s="99">
        <f t="shared" si="81"/>
        <v>5.0313903702944778</v>
      </c>
      <c r="Z91" s="99">
        <f t="shared" si="81"/>
        <v>4.0216342135488841</v>
      </c>
      <c r="AA91" s="96">
        <f>IF(AA83&gt;AA$16,MIN(AA17-AA16,AA83-AA$16)*AA$25,0)</f>
        <v>18.75</v>
      </c>
      <c r="AB91" s="98">
        <f t="shared" si="82"/>
        <v>1.8656250000000005</v>
      </c>
      <c r="AC91" s="99">
        <f t="shared" si="82"/>
        <v>1.8656250000000005</v>
      </c>
      <c r="AD91" s="99">
        <f t="shared" si="82"/>
        <v>1.8656250000000005</v>
      </c>
      <c r="AE91" s="99">
        <f t="shared" si="82"/>
        <v>1.8656250000000005</v>
      </c>
      <c r="AF91" s="96">
        <f>IF(AF83&gt;AF$16,MIN(AF17-AF16,AF83-AF$16)*AF$25,0)</f>
        <v>7.4625000000000021</v>
      </c>
      <c r="AG91" s="98">
        <f t="shared" si="83"/>
        <v>4.0650000000000013</v>
      </c>
      <c r="AH91" s="99">
        <f t="shared" si="84"/>
        <v>4.0650000000000013</v>
      </c>
      <c r="AI91" s="99">
        <f t="shared" si="84"/>
        <v>4.0650000000000013</v>
      </c>
      <c r="AJ91" s="99">
        <f t="shared" si="84"/>
        <v>4.0650000000000013</v>
      </c>
      <c r="AK91" s="96">
        <f>IF(AK83&gt;AK$16,MIN(AK17-AK16,AK83-AK$16)*AK$25,0)</f>
        <v>16.260000000000005</v>
      </c>
      <c r="AL91" s="98">
        <f t="shared" si="85"/>
        <v>4.3603124999999991</v>
      </c>
      <c r="AM91" s="99">
        <f t="shared" si="86"/>
        <v>4.3603124999999991</v>
      </c>
      <c r="AN91" s="99">
        <f t="shared" si="86"/>
        <v>4.3603124999999991</v>
      </c>
      <c r="AO91" s="99">
        <f t="shared" si="86"/>
        <v>4.3603124999999991</v>
      </c>
      <c r="AP91" s="96">
        <f>IF(AP83&gt;AP$16,MIN(AP17-AP16,AP83-AP$16)*AP$25,0)</f>
        <v>17.441249999999997</v>
      </c>
      <c r="AQ91" s="98">
        <f t="shared" si="87"/>
        <v>3.9183749999999993</v>
      </c>
      <c r="AR91" s="99">
        <f t="shared" si="87"/>
        <v>3.9183749999999993</v>
      </c>
      <c r="AS91" s="99">
        <f t="shared" si="87"/>
        <v>3.9183749999999993</v>
      </c>
      <c r="AT91" s="99">
        <f t="shared" si="87"/>
        <v>3.9183749999999993</v>
      </c>
      <c r="AU91" s="96">
        <f>IF(AU83&gt;AU$16,MIN(AU17-AU16,AU83-AU$16)*AU$25,0)</f>
        <v>15.673499999999997</v>
      </c>
      <c r="AV91" s="98">
        <f t="shared" si="94"/>
        <v>2.9308091250000006</v>
      </c>
      <c r="AW91" s="99">
        <f t="shared" si="88"/>
        <v>2.9308091250000006</v>
      </c>
      <c r="AX91" s="99">
        <f t="shared" si="88"/>
        <v>2.9308091250000006</v>
      </c>
      <c r="AY91" s="99">
        <f t="shared" si="88"/>
        <v>2.9308091250000006</v>
      </c>
      <c r="AZ91" s="96">
        <f>IF(AZ83&gt;AZ$16,MIN(AZ17-AZ16,AZ83-AZ$16)*AZ$25,0)</f>
        <v>11.723236500000002</v>
      </c>
      <c r="BA91" s="98">
        <f t="shared" si="95"/>
        <v>2.1196303124999991</v>
      </c>
      <c r="BB91" s="99">
        <f t="shared" si="89"/>
        <v>2.1196303124999991</v>
      </c>
      <c r="BC91" s="99">
        <f t="shared" si="89"/>
        <v>2.1196303124999991</v>
      </c>
      <c r="BD91" s="99">
        <f t="shared" si="89"/>
        <v>2.1196303124999991</v>
      </c>
      <c r="BE91" s="96">
        <f>IF(BE83&gt;BE$16,MIN(BE17-BE16,BE83-BE$16)*BE$25,0)</f>
        <v>8.4785212499999965</v>
      </c>
      <c r="BF91" s="98">
        <f t="shared" si="96"/>
        <v>2.3721424687499999</v>
      </c>
      <c r="BG91" s="99">
        <f t="shared" si="90"/>
        <v>2.3721424687499999</v>
      </c>
      <c r="BH91" s="99">
        <f t="shared" si="90"/>
        <v>2.3721424687499999</v>
      </c>
      <c r="BI91" s="99">
        <f t="shared" si="90"/>
        <v>2.3721424687499999</v>
      </c>
      <c r="BJ91" s="96">
        <f>IF(BJ83&gt;BJ$16,MIN(BJ17-BJ16,BJ83-BJ$16)*BJ$25,0)</f>
        <v>9.4885698749999996</v>
      </c>
      <c r="BK91" s="92">
        <f t="shared" si="97"/>
        <v>1.8149637187499996</v>
      </c>
      <c r="BL91" s="92">
        <f t="shared" si="91"/>
        <v>1.8149637187499996</v>
      </c>
      <c r="BM91" s="92">
        <f t="shared" si="91"/>
        <v>1.8149637187499996</v>
      </c>
      <c r="BN91" s="2901">
        <f t="shared" si="91"/>
        <v>1.8149637187499996</v>
      </c>
      <c r="BO91" s="96">
        <f t="shared" ref="BO91:CF91" si="102">IF(BO83&gt;BO$16,MIN(BO17-BO16,BO83-BO$16)*BO$25,0)</f>
        <v>7.2598548749999985</v>
      </c>
      <c r="BP91" s="92">
        <f t="shared" si="92"/>
        <v>2.1788196562500008</v>
      </c>
      <c r="BQ91" s="92">
        <f t="shared" si="92"/>
        <v>2.1788196562500008</v>
      </c>
      <c r="BR91" s="92">
        <f t="shared" si="92"/>
        <v>2.1788196562500008</v>
      </c>
      <c r="BS91" s="92">
        <f t="shared" si="92"/>
        <v>2.1788196562500008</v>
      </c>
      <c r="BT91" s="96">
        <f>IF(BT83&gt;BT$16,MIN(BT17-BT16,BT83-BT$16)*BT$25,0)</f>
        <v>8.7152786250000034</v>
      </c>
      <c r="BU91" s="92">
        <f t="shared" si="99"/>
        <v>2.0802686146874998</v>
      </c>
      <c r="BV91" s="92">
        <f t="shared" si="99"/>
        <v>2.0802686146874998</v>
      </c>
      <c r="BW91" s="92">
        <f t="shared" si="99"/>
        <v>2.0802686146874998</v>
      </c>
      <c r="BX91" s="92">
        <f t="shared" si="99"/>
        <v>2.0802686146874998</v>
      </c>
      <c r="BY91" s="96">
        <f t="shared" si="102"/>
        <v>8.3210744587499992</v>
      </c>
      <c r="BZ91" s="96">
        <f t="shared" si="102"/>
        <v>8.3210744587499992</v>
      </c>
      <c r="CA91" s="96">
        <f t="shared" si="102"/>
        <v>7.4046529695749967</v>
      </c>
      <c r="CB91" s="96">
        <f t="shared" si="102"/>
        <v>5.1594203210962437</v>
      </c>
      <c r="CC91" s="96">
        <f t="shared" si="102"/>
        <v>3.0264493050414281</v>
      </c>
      <c r="CD91" s="96">
        <f t="shared" si="102"/>
        <v>3.836978291142259</v>
      </c>
      <c r="CE91" s="96">
        <f t="shared" si="102"/>
        <v>4.6637178569651052</v>
      </c>
      <c r="CF91" s="96">
        <f t="shared" si="102"/>
        <v>5.5069922141044074</v>
      </c>
    </row>
    <row r="92" spans="1:84" ht="12" customHeight="1" x14ac:dyDescent="0.25">
      <c r="A92" s="127">
        <v>6</v>
      </c>
      <c r="B92" s="2"/>
      <c r="C92" s="76">
        <f t="shared" si="76"/>
        <v>16.018999999999998</v>
      </c>
      <c r="D92" s="129">
        <f t="shared" si="77"/>
        <v>16.018999999999998</v>
      </c>
      <c r="E92" s="129">
        <f t="shared" si="77"/>
        <v>16.018999999999998</v>
      </c>
      <c r="F92" s="129">
        <f t="shared" si="77"/>
        <v>16.018999999999998</v>
      </c>
      <c r="G92" s="128">
        <f>IF(G83&gt;G$17,MIN(G18-G17, G83-G$17)*G$26,0)</f>
        <v>64.075999999999993</v>
      </c>
      <c r="H92" s="141">
        <f>IF(H$83*4&gt;H17,MIN(H18-H17, H$83*4-H17)*H26,0)/4</f>
        <v>15.626000000000001</v>
      </c>
      <c r="I92" s="142">
        <f>IF(I$83*4&gt;I17,MIN(I18-I17, I$83*4-I17)*I26,0)/4</f>
        <v>16.597000000000001</v>
      </c>
      <c r="J92" s="129">
        <f t="shared" si="78"/>
        <v>5.625</v>
      </c>
      <c r="K92" s="129">
        <f t="shared" si="78"/>
        <v>5.625</v>
      </c>
      <c r="L92" s="128">
        <f>IF(L$83&gt;L17,MIN(L18-L17, L$83-L17)*L26,0)</f>
        <v>22.5</v>
      </c>
      <c r="M92" s="98">
        <f t="shared" si="79"/>
        <v>5.625</v>
      </c>
      <c r="N92" s="99">
        <f t="shared" si="79"/>
        <v>5.625</v>
      </c>
      <c r="O92" s="99">
        <f t="shared" si="79"/>
        <v>5.625</v>
      </c>
      <c r="P92" s="99">
        <f t="shared" si="79"/>
        <v>5.625</v>
      </c>
      <c r="Q92" s="128">
        <f>IF(Q83&gt;Q$17,MIN(Q18-Q17, Q83-Q$17)*Q$26,0)</f>
        <v>22.5</v>
      </c>
      <c r="R92" s="98">
        <f t="shared" si="80"/>
        <v>5.625</v>
      </c>
      <c r="S92" s="99">
        <f t="shared" si="80"/>
        <v>5.625</v>
      </c>
      <c r="T92" s="99">
        <f t="shared" si="80"/>
        <v>5.625</v>
      </c>
      <c r="U92" s="99">
        <f t="shared" si="80"/>
        <v>5.625</v>
      </c>
      <c r="V92" s="128">
        <f>IF(V83&gt;V$17,MIN(V18-V17, V83-V$17)*V$26,0)</f>
        <v>22.5</v>
      </c>
      <c r="W92" s="98">
        <f t="shared" si="81"/>
        <v>4.1668053915674017</v>
      </c>
      <c r="X92" s="99">
        <f t="shared" si="81"/>
        <v>4.0826831102687029</v>
      </c>
      <c r="Y92" s="99">
        <f t="shared" si="81"/>
        <v>4.2803446669398815</v>
      </c>
      <c r="Z92" s="99">
        <f t="shared" si="81"/>
        <v>3.4213168312240154</v>
      </c>
      <c r="AA92" s="128">
        <f>IF(AA83&gt;AA$17,MIN(AA18-AA17, AA83-AA$17)*AA$26,0)</f>
        <v>15.951150000000002</v>
      </c>
      <c r="AB92" s="98">
        <f t="shared" si="82"/>
        <v>0</v>
      </c>
      <c r="AC92" s="99">
        <f t="shared" si="82"/>
        <v>0</v>
      </c>
      <c r="AD92" s="99">
        <f t="shared" si="82"/>
        <v>0</v>
      </c>
      <c r="AE92" s="99">
        <f t="shared" si="82"/>
        <v>0</v>
      </c>
      <c r="AF92" s="128">
        <f>IF(AF83&gt;AF$17,MIN(AF18-AF17, AF83-AF$17)*AF$26,0)</f>
        <v>0</v>
      </c>
      <c r="AG92" s="98">
        <f t="shared" si="83"/>
        <v>0</v>
      </c>
      <c r="AH92" s="99">
        <f t="shared" si="84"/>
        <v>0</v>
      </c>
      <c r="AI92" s="99">
        <f t="shared" si="84"/>
        <v>0</v>
      </c>
      <c r="AJ92" s="99">
        <f t="shared" si="84"/>
        <v>0</v>
      </c>
      <c r="AK92" s="128">
        <f>IF(AK83&gt;AK$17,MIN(AK18-AK17, AK83-AK$17)*AK$26,0)</f>
        <v>0</v>
      </c>
      <c r="AL92" s="98">
        <f t="shared" si="85"/>
        <v>0</v>
      </c>
      <c r="AM92" s="99">
        <f t="shared" si="86"/>
        <v>0</v>
      </c>
      <c r="AN92" s="99">
        <f t="shared" si="86"/>
        <v>0</v>
      </c>
      <c r="AO92" s="99">
        <f t="shared" si="86"/>
        <v>0</v>
      </c>
      <c r="AP92" s="128">
        <f>IF(AP83&gt;AP$17,MIN(AP18-AP17, AP83-AP$17)*AP$26,0)</f>
        <v>0</v>
      </c>
      <c r="AQ92" s="98">
        <f t="shared" si="87"/>
        <v>0</v>
      </c>
      <c r="AR92" s="99">
        <f t="shared" si="87"/>
        <v>0</v>
      </c>
      <c r="AS92" s="99">
        <f t="shared" si="87"/>
        <v>0</v>
      </c>
      <c r="AT92" s="99">
        <f t="shared" si="87"/>
        <v>0</v>
      </c>
      <c r="AU92" s="128">
        <f>IF(AU83&gt;AU$17,MIN(AU18-AU17, AU83-AU$17)*AU$26,0)</f>
        <v>0</v>
      </c>
      <c r="AV92" s="98">
        <f t="shared" si="94"/>
        <v>0</v>
      </c>
      <c r="AW92" s="99">
        <f t="shared" si="88"/>
        <v>0</v>
      </c>
      <c r="AX92" s="99">
        <f t="shared" si="88"/>
        <v>0</v>
      </c>
      <c r="AY92" s="99">
        <f t="shared" si="88"/>
        <v>0</v>
      </c>
      <c r="AZ92" s="128">
        <f>IF(AZ83&gt;AZ$17,MIN(AZ18-AZ17, AZ83-AZ$17)*AZ$26,0)</f>
        <v>0</v>
      </c>
      <c r="BA92" s="98">
        <f t="shared" si="95"/>
        <v>0</v>
      </c>
      <c r="BB92" s="99">
        <f t="shared" si="89"/>
        <v>0</v>
      </c>
      <c r="BC92" s="99">
        <f t="shared" si="89"/>
        <v>0</v>
      </c>
      <c r="BD92" s="99">
        <f t="shared" si="89"/>
        <v>0</v>
      </c>
      <c r="BE92" s="128">
        <f>IF(BE83&gt;BE$17,MIN(BE18-BE17, BE83-BE$17)*BE$26,0)</f>
        <v>0</v>
      </c>
      <c r="BF92" s="98">
        <f t="shared" si="96"/>
        <v>0</v>
      </c>
      <c r="BG92" s="99">
        <f t="shared" si="90"/>
        <v>0</v>
      </c>
      <c r="BH92" s="99">
        <f t="shared" si="90"/>
        <v>0</v>
      </c>
      <c r="BI92" s="99">
        <f t="shared" si="90"/>
        <v>0</v>
      </c>
      <c r="BJ92" s="128">
        <f>IF(BJ83&gt;BJ$17,MIN(BJ18-BJ17, BJ83-BJ$17)*BJ$26,0)</f>
        <v>0</v>
      </c>
      <c r="BK92" s="92">
        <f t="shared" si="97"/>
        <v>0</v>
      </c>
      <c r="BL92" s="92">
        <f t="shared" si="91"/>
        <v>0</v>
      </c>
      <c r="BM92" s="92">
        <f t="shared" si="91"/>
        <v>0</v>
      </c>
      <c r="BN92" s="2901">
        <f t="shared" si="91"/>
        <v>0</v>
      </c>
      <c r="BO92" s="128">
        <f t="shared" ref="BO92:CF92" si="103">IF(BO83&gt;BO$17,MIN(BO18-BO17, BO83-BO$17)*BO$26,0)</f>
        <v>0</v>
      </c>
      <c r="BP92" s="92">
        <f t="shared" si="92"/>
        <v>0</v>
      </c>
      <c r="BQ92" s="92">
        <f t="shared" si="92"/>
        <v>0</v>
      </c>
      <c r="BR92" s="92">
        <f t="shared" si="92"/>
        <v>0</v>
      </c>
      <c r="BS92" s="92">
        <f t="shared" si="92"/>
        <v>0</v>
      </c>
      <c r="BT92" s="128">
        <f>IF(BT83&gt;BT$17,MIN(BT18-BT17, BT83-BT$17)*BT$26,0)</f>
        <v>0</v>
      </c>
      <c r="BU92" s="92">
        <f t="shared" si="99"/>
        <v>0</v>
      </c>
      <c r="BV92" s="92">
        <f t="shared" si="99"/>
        <v>0</v>
      </c>
      <c r="BW92" s="92">
        <f t="shared" si="99"/>
        <v>0</v>
      </c>
      <c r="BX92" s="92">
        <f t="shared" si="99"/>
        <v>0</v>
      </c>
      <c r="BY92" s="128">
        <f t="shared" si="103"/>
        <v>0</v>
      </c>
      <c r="BZ92" s="128">
        <f t="shared" si="103"/>
        <v>0</v>
      </c>
      <c r="CA92" s="128">
        <f t="shared" si="103"/>
        <v>0</v>
      </c>
      <c r="CB92" s="128">
        <f t="shared" si="103"/>
        <v>0</v>
      </c>
      <c r="CC92" s="128">
        <f t="shared" si="103"/>
        <v>0</v>
      </c>
      <c r="CD92" s="128">
        <f t="shared" si="103"/>
        <v>0</v>
      </c>
      <c r="CE92" s="128">
        <f t="shared" si="103"/>
        <v>0</v>
      </c>
      <c r="CF92" s="128">
        <f t="shared" si="103"/>
        <v>0</v>
      </c>
    </row>
    <row r="93" spans="1:84" ht="12" customHeight="1" x14ac:dyDescent="0.25">
      <c r="A93" s="126">
        <v>7</v>
      </c>
      <c r="B93" s="2"/>
      <c r="C93" s="76">
        <f t="shared" si="76"/>
        <v>0</v>
      </c>
      <c r="D93" s="129">
        <f t="shared" si="77"/>
        <v>0</v>
      </c>
      <c r="E93" s="129">
        <f t="shared" si="77"/>
        <v>0</v>
      </c>
      <c r="F93" s="129">
        <f t="shared" si="77"/>
        <v>0</v>
      </c>
      <c r="G93" s="128">
        <f>IF(G83&gt;G$18,(G83-G$18)*G$27,0)</f>
        <v>0</v>
      </c>
      <c r="H93" s="141">
        <f>IF(H$83&gt;H18,(H$83-H18)*H27,0)/4</f>
        <v>0</v>
      </c>
      <c r="I93" s="142">
        <f>IF(I$83&gt;I18,(I$83-I18)*I27,0)/4</f>
        <v>0</v>
      </c>
      <c r="J93" s="129">
        <f t="shared" si="78"/>
        <v>4.8733749999999993</v>
      </c>
      <c r="K93" s="129">
        <f t="shared" si="78"/>
        <v>4.8733749999999993</v>
      </c>
      <c r="L93" s="128">
        <f>IF(L$83&gt;L18,(L$83-L18)*L27,0)</f>
        <v>19.493499999999997</v>
      </c>
      <c r="M93" s="98">
        <f t="shared" si="79"/>
        <v>6.7236249999999984</v>
      </c>
      <c r="N93" s="99">
        <f t="shared" si="79"/>
        <v>6.7236249999999984</v>
      </c>
      <c r="O93" s="99">
        <f t="shared" si="79"/>
        <v>6.7236249999999984</v>
      </c>
      <c r="P93" s="99">
        <f t="shared" si="79"/>
        <v>6.7236249999999984</v>
      </c>
      <c r="Q93" s="128">
        <f>IF(Q83&gt;Q$18,(Q83-Q$18)*Q$27,0)</f>
        <v>26.894499999999994</v>
      </c>
      <c r="R93" s="98">
        <f t="shared" si="80"/>
        <v>5.0176249999999989</v>
      </c>
      <c r="S93" s="99">
        <f t="shared" si="80"/>
        <v>5.0176249999999989</v>
      </c>
      <c r="T93" s="99">
        <f t="shared" si="80"/>
        <v>5.0176249999999989</v>
      </c>
      <c r="U93" s="99">
        <f t="shared" si="80"/>
        <v>5.0176249999999989</v>
      </c>
      <c r="V93" s="128">
        <f>IF(V83&gt;V$18,(V83-V$18)*V$27,0)</f>
        <v>20.070499999999996</v>
      </c>
      <c r="W93" s="98">
        <f t="shared" si="81"/>
        <v>0</v>
      </c>
      <c r="X93" s="99">
        <f t="shared" si="81"/>
        <v>0</v>
      </c>
      <c r="Y93" s="99">
        <f t="shared" si="81"/>
        <v>0</v>
      </c>
      <c r="Z93" s="99">
        <f t="shared" si="81"/>
        <v>0</v>
      </c>
      <c r="AA93" s="128">
        <f>IF(AA83&gt;AA$18,(AA83-AA$18)*AA$27,0)</f>
        <v>0</v>
      </c>
      <c r="AB93" s="98">
        <f t="shared" si="82"/>
        <v>0</v>
      </c>
      <c r="AC93" s="99">
        <f t="shared" si="82"/>
        <v>0</v>
      </c>
      <c r="AD93" s="99">
        <f t="shared" si="82"/>
        <v>0</v>
      </c>
      <c r="AE93" s="99">
        <f t="shared" si="82"/>
        <v>0</v>
      </c>
      <c r="AF93" s="128">
        <f>IF(AF83&gt;AF$18,(AF83-AF$18)*AF$27,0)</f>
        <v>0</v>
      </c>
      <c r="AG93" s="98">
        <f t="shared" si="83"/>
        <v>0</v>
      </c>
      <c r="AH93" s="99">
        <f t="shared" si="84"/>
        <v>0</v>
      </c>
      <c r="AI93" s="99">
        <f t="shared" si="84"/>
        <v>0</v>
      </c>
      <c r="AJ93" s="99">
        <f t="shared" si="84"/>
        <v>0</v>
      </c>
      <c r="AK93" s="128">
        <f>IF(AK83&gt;AK$18,(AK83-AK$18)*AK$27,0)</f>
        <v>0</v>
      </c>
      <c r="AL93" s="98">
        <f t="shared" si="85"/>
        <v>0</v>
      </c>
      <c r="AM93" s="99">
        <f t="shared" si="86"/>
        <v>0</v>
      </c>
      <c r="AN93" s="99">
        <f t="shared" si="86"/>
        <v>0</v>
      </c>
      <c r="AO93" s="99">
        <f t="shared" si="86"/>
        <v>0</v>
      </c>
      <c r="AP93" s="128">
        <f>IF(AP83&gt;AP$18,(AP83-AP$18)*AP$27,0)</f>
        <v>0</v>
      </c>
      <c r="AQ93" s="98">
        <f t="shared" si="87"/>
        <v>0</v>
      </c>
      <c r="AR93" s="99">
        <f t="shared" si="87"/>
        <v>0</v>
      </c>
      <c r="AS93" s="99">
        <f t="shared" si="87"/>
        <v>0</v>
      </c>
      <c r="AT93" s="99">
        <f t="shared" si="87"/>
        <v>0</v>
      </c>
      <c r="AU93" s="128">
        <f>IF(AU83&gt;AU$18,(AU83-AU$18)*AU$27,0)</f>
        <v>0</v>
      </c>
      <c r="AV93" s="98">
        <f t="shared" si="94"/>
        <v>0</v>
      </c>
      <c r="AW93" s="99">
        <f t="shared" si="88"/>
        <v>0</v>
      </c>
      <c r="AX93" s="99">
        <f t="shared" si="88"/>
        <v>0</v>
      </c>
      <c r="AY93" s="99">
        <f t="shared" si="88"/>
        <v>0</v>
      </c>
      <c r="AZ93" s="128">
        <f>IF(AZ83&gt;AZ$18,(AZ83-AZ$18)*AZ$27,0)</f>
        <v>0</v>
      </c>
      <c r="BA93" s="98">
        <f t="shared" si="95"/>
        <v>0</v>
      </c>
      <c r="BB93" s="99">
        <f t="shared" si="89"/>
        <v>0</v>
      </c>
      <c r="BC93" s="99">
        <f t="shared" si="89"/>
        <v>0</v>
      </c>
      <c r="BD93" s="99">
        <f t="shared" si="89"/>
        <v>0</v>
      </c>
      <c r="BE93" s="128">
        <f>IF(BE83&gt;BE$18,(BE83-BE$18)*BE$27,0)</f>
        <v>0</v>
      </c>
      <c r="BF93" s="98">
        <f t="shared" si="96"/>
        <v>0</v>
      </c>
      <c r="BG93" s="99">
        <f t="shared" si="90"/>
        <v>0</v>
      </c>
      <c r="BH93" s="99">
        <f t="shared" si="90"/>
        <v>0</v>
      </c>
      <c r="BI93" s="99">
        <f t="shared" si="90"/>
        <v>0</v>
      </c>
      <c r="BJ93" s="128">
        <f>IF(BJ83&gt;BJ$18,(BJ83-BJ$18)*BJ$27,0)</f>
        <v>0</v>
      </c>
      <c r="BK93" s="92">
        <f t="shared" si="97"/>
        <v>0</v>
      </c>
      <c r="BL93" s="92">
        <f t="shared" si="91"/>
        <v>0</v>
      </c>
      <c r="BM93" s="92">
        <f t="shared" si="91"/>
        <v>0</v>
      </c>
      <c r="BN93" s="92">
        <f t="shared" si="91"/>
        <v>0</v>
      </c>
      <c r="BO93" s="128">
        <f t="shared" ref="BO93:CF93" si="104">IF(BO83&gt;BO$18,(BO83-BO$18)*BO$27,0)</f>
        <v>0</v>
      </c>
      <c r="BP93" s="92">
        <f t="shared" si="92"/>
        <v>0</v>
      </c>
      <c r="BQ93" s="92">
        <f t="shared" si="92"/>
        <v>0</v>
      </c>
      <c r="BR93" s="92">
        <f t="shared" si="92"/>
        <v>0</v>
      </c>
      <c r="BS93" s="92">
        <f t="shared" si="92"/>
        <v>0</v>
      </c>
      <c r="BT93" s="128">
        <f>IF(BT83&gt;BT$18,(BT83-BT$18)*BT$27,0)</f>
        <v>0</v>
      </c>
      <c r="BU93" s="92">
        <f t="shared" si="99"/>
        <v>0</v>
      </c>
      <c r="BV93" s="92">
        <f t="shared" si="99"/>
        <v>0</v>
      </c>
      <c r="BW93" s="92">
        <f t="shared" si="99"/>
        <v>0</v>
      </c>
      <c r="BX93" s="92">
        <f t="shared" si="99"/>
        <v>0</v>
      </c>
      <c r="BY93" s="128">
        <f t="shared" si="104"/>
        <v>0</v>
      </c>
      <c r="BZ93" s="128">
        <f t="shared" si="104"/>
        <v>0</v>
      </c>
      <c r="CA93" s="128">
        <f t="shared" si="104"/>
        <v>0</v>
      </c>
      <c r="CB93" s="128">
        <f t="shared" si="104"/>
        <v>0</v>
      </c>
      <c r="CC93" s="128">
        <f t="shared" si="104"/>
        <v>0</v>
      </c>
      <c r="CD93" s="128">
        <f t="shared" si="104"/>
        <v>0</v>
      </c>
      <c r="CE93" s="128">
        <f t="shared" si="104"/>
        <v>0</v>
      </c>
      <c r="CF93" s="128">
        <f t="shared" si="104"/>
        <v>0</v>
      </c>
    </row>
    <row r="94" spans="1:84" ht="5.25" customHeight="1" x14ac:dyDescent="0.25">
      <c r="A94" s="114"/>
      <c r="B94" s="2"/>
      <c r="C94" s="130" t="s">
        <v>1059</v>
      </c>
      <c r="D94" s="130" t="s">
        <v>1059</v>
      </c>
      <c r="E94" s="130" t="s">
        <v>1059</v>
      </c>
      <c r="F94" s="130" t="s">
        <v>1059</v>
      </c>
      <c r="G94" s="131" t="s">
        <v>1059</v>
      </c>
      <c r="H94" s="130" t="s">
        <v>1059</v>
      </c>
      <c r="I94" s="130" t="s">
        <v>1059</v>
      </c>
      <c r="J94" s="130" t="s">
        <v>1059</v>
      </c>
      <c r="K94" s="130" t="s">
        <v>1059</v>
      </c>
      <c r="L94" s="131" t="s">
        <v>1059</v>
      </c>
      <c r="M94" s="130" t="s">
        <v>1059</v>
      </c>
      <c r="N94" s="130" t="s">
        <v>1059</v>
      </c>
      <c r="O94" s="130" t="s">
        <v>1059</v>
      </c>
      <c r="P94" s="130" t="s">
        <v>1059</v>
      </c>
      <c r="Q94" s="131" t="s">
        <v>1059</v>
      </c>
      <c r="R94" s="130" t="s">
        <v>1059</v>
      </c>
      <c r="S94" s="130" t="s">
        <v>1059</v>
      </c>
      <c r="T94" s="130" t="s">
        <v>1059</v>
      </c>
      <c r="U94" s="130" t="s">
        <v>1059</v>
      </c>
      <c r="V94" s="131" t="s">
        <v>1059</v>
      </c>
      <c r="W94" s="130" t="s">
        <v>1059</v>
      </c>
      <c r="X94" s="130" t="s">
        <v>1059</v>
      </c>
      <c r="Y94" s="130" t="s">
        <v>1059</v>
      </c>
      <c r="Z94" s="130" t="s">
        <v>1059</v>
      </c>
      <c r="AA94" s="131" t="s">
        <v>1059</v>
      </c>
      <c r="AB94" s="130" t="s">
        <v>1059</v>
      </c>
      <c r="AC94" s="130" t="s">
        <v>1059</v>
      </c>
      <c r="AD94" s="130" t="s">
        <v>1059</v>
      </c>
      <c r="AE94" s="130" t="s">
        <v>1059</v>
      </c>
      <c r="AF94" s="131" t="s">
        <v>1059</v>
      </c>
      <c r="AG94" s="130" t="s">
        <v>1059</v>
      </c>
      <c r="AH94" s="130" t="s">
        <v>1059</v>
      </c>
      <c r="AI94" s="130" t="s">
        <v>1059</v>
      </c>
      <c r="AJ94" s="130" t="s">
        <v>1059</v>
      </c>
      <c r="AK94" s="131" t="s">
        <v>1059</v>
      </c>
      <c r="AL94" s="130" t="s">
        <v>1059</v>
      </c>
      <c r="AM94" s="130" t="s">
        <v>1059</v>
      </c>
      <c r="AN94" s="130" t="s">
        <v>1059</v>
      </c>
      <c r="AO94" s="130" t="s">
        <v>1059</v>
      </c>
      <c r="AP94" s="131" t="s">
        <v>1059</v>
      </c>
      <c r="AQ94" s="130" t="s">
        <v>1059</v>
      </c>
      <c r="AR94" s="130" t="s">
        <v>1059</v>
      </c>
      <c r="AS94" s="130" t="s">
        <v>1059</v>
      </c>
      <c r="AT94" s="130" t="s">
        <v>1059</v>
      </c>
      <c r="AU94" s="131" t="s">
        <v>1059</v>
      </c>
      <c r="AV94" s="130" t="s">
        <v>1059</v>
      </c>
      <c r="AW94" s="130" t="s">
        <v>1059</v>
      </c>
      <c r="AX94" s="130" t="s">
        <v>1059</v>
      </c>
      <c r="AY94" s="130" t="s">
        <v>1059</v>
      </c>
      <c r="AZ94" s="131" t="s">
        <v>1059</v>
      </c>
      <c r="BA94" s="130" t="s">
        <v>1059</v>
      </c>
      <c r="BB94" s="130" t="s">
        <v>1059</v>
      </c>
      <c r="BC94" s="130" t="s">
        <v>1059</v>
      </c>
      <c r="BD94" s="130" t="s">
        <v>1059</v>
      </c>
      <c r="BE94" s="131" t="s">
        <v>1059</v>
      </c>
      <c r="BF94" s="130" t="s">
        <v>1059</v>
      </c>
      <c r="BG94" s="130" t="s">
        <v>1059</v>
      </c>
      <c r="BH94" s="130" t="s">
        <v>1059</v>
      </c>
      <c r="BI94" s="130" t="s">
        <v>1059</v>
      </c>
      <c r="BJ94" s="131" t="s">
        <v>1059</v>
      </c>
      <c r="BK94" s="130" t="s">
        <v>1059</v>
      </c>
      <c r="BL94" s="130" t="s">
        <v>1059</v>
      </c>
      <c r="BM94" s="130" t="s">
        <v>1059</v>
      </c>
      <c r="BN94" s="130" t="s">
        <v>1059</v>
      </c>
      <c r="BO94" s="131" t="s">
        <v>1059</v>
      </c>
      <c r="BP94" s="130" t="s">
        <v>1059</v>
      </c>
      <c r="BQ94" s="130" t="s">
        <v>1059</v>
      </c>
      <c r="BR94" s="130" t="s">
        <v>1059</v>
      </c>
      <c r="BS94" s="130" t="s">
        <v>1059</v>
      </c>
      <c r="BT94" s="131" t="s">
        <v>1059</v>
      </c>
      <c r="BU94" s="130" t="s">
        <v>1059</v>
      </c>
      <c r="BV94" s="130" t="s">
        <v>1059</v>
      </c>
      <c r="BW94" s="130" t="s">
        <v>1059</v>
      </c>
      <c r="BX94" s="130" t="s">
        <v>1059</v>
      </c>
      <c r="BY94" s="131" t="s">
        <v>1059</v>
      </c>
      <c r="BZ94" s="131" t="s">
        <v>1059</v>
      </c>
      <c r="CA94" s="131" t="s">
        <v>1059</v>
      </c>
      <c r="CB94" s="131" t="s">
        <v>1059</v>
      </c>
      <c r="CC94" s="131" t="s">
        <v>1059</v>
      </c>
      <c r="CD94" s="131" t="s">
        <v>1059</v>
      </c>
      <c r="CE94" s="131" t="s">
        <v>1059</v>
      </c>
      <c r="CF94" s="131" t="s">
        <v>1059</v>
      </c>
    </row>
    <row r="95" spans="1:84" ht="12" customHeight="1" x14ac:dyDescent="0.25">
      <c r="A95" s="114" t="s">
        <v>2242</v>
      </c>
      <c r="B95" s="2"/>
      <c r="C95" s="34">
        <f>SUM(C87:C94)</f>
        <v>23.987749999999998</v>
      </c>
      <c r="D95" s="112">
        <f>SUM(D87:D94)</f>
        <v>23.987749999999998</v>
      </c>
      <c r="E95" s="112">
        <f>SUM(E87:E94)</f>
        <v>23.987749999999998</v>
      </c>
      <c r="F95" s="34">
        <f>SUM(F87:F94)</f>
        <v>23.987749999999998</v>
      </c>
      <c r="G95" s="111">
        <f>SUM(C95:F95)</f>
        <v>95.950999999999993</v>
      </c>
      <c r="H95" s="34">
        <f>SUM(H87:H94)</f>
        <v>23.594750000000001</v>
      </c>
      <c r="I95" s="112">
        <f>SUM(I87:I94)</f>
        <v>24.565750000000001</v>
      </c>
      <c r="J95" s="109">
        <f>MAX(SUM(J87:J93),86/4)</f>
        <v>21.5</v>
      </c>
      <c r="K95" s="109">
        <f>MAX(SUM(K87:K93),86/4)</f>
        <v>21.5</v>
      </c>
      <c r="L95" s="106">
        <f>SUM(H95:K95)</f>
        <v>91.160499999999999</v>
      </c>
      <c r="M95" s="109">
        <f>$Q95/4</f>
        <v>23.129874999999998</v>
      </c>
      <c r="N95" s="109">
        <f>$Q95/4</f>
        <v>23.129874999999998</v>
      </c>
      <c r="O95" s="109">
        <f>$Q95/4</f>
        <v>23.129874999999998</v>
      </c>
      <c r="P95" s="109">
        <f>$Q95/4</f>
        <v>23.129874999999998</v>
      </c>
      <c r="Q95" s="110">
        <f>MAX(SUM(Q87:Q93),86)</f>
        <v>92.519499999999994</v>
      </c>
      <c r="R95" s="109">
        <f>86/4</f>
        <v>21.5</v>
      </c>
      <c r="S95" s="109">
        <f>86/4</f>
        <v>21.5</v>
      </c>
      <c r="T95" s="108">
        <f>SUM(T87:T94)</f>
        <v>21.423874999999999</v>
      </c>
      <c r="U95" s="108">
        <f>SUM(U87:U94)</f>
        <v>21.423874999999999</v>
      </c>
      <c r="V95" s="106">
        <f>SUM(V87:V93)</f>
        <v>85.695499999999996</v>
      </c>
      <c r="W95" s="108">
        <f>SUM(W87:W94)</f>
        <v>15.432042224732673</v>
      </c>
      <c r="X95" s="108">
        <f>SUM(X87:X94)</f>
        <v>15.1204897342637</v>
      </c>
      <c r="Y95" s="108">
        <f>SUM(Y87:Y94)</f>
        <v>15.852542518617181</v>
      </c>
      <c r="Z95" s="108">
        <f>SUM(Z87:Z94)</f>
        <v>12.671075522386449</v>
      </c>
      <c r="AA95" s="106">
        <f>SUM(AA87:AA93)</f>
        <v>59.076149999999998</v>
      </c>
      <c r="AB95" s="108">
        <f>SUM(AB87:AB94)</f>
        <v>7.9593750000000005</v>
      </c>
      <c r="AC95" s="108">
        <f>SUM(AC87:AC94)</f>
        <v>7.9593750000000005</v>
      </c>
      <c r="AD95" s="108">
        <f>SUM(AD87:AD94)</f>
        <v>7.9593750000000005</v>
      </c>
      <c r="AE95" s="108">
        <f>SUM(AE87:AE94)</f>
        <v>7.9593750000000005</v>
      </c>
      <c r="AF95" s="106">
        <f>SUM(AF87:AF93)</f>
        <v>31.837500000000002</v>
      </c>
      <c r="AG95" s="108">
        <f t="shared" ref="AG95:AU95" si="105">SUM(AG87:AG94)</f>
        <v>10.158750000000001</v>
      </c>
      <c r="AH95" s="108">
        <f t="shared" si="105"/>
        <v>10.158750000000001</v>
      </c>
      <c r="AI95" s="108">
        <f t="shared" si="105"/>
        <v>10.158750000000001</v>
      </c>
      <c r="AJ95" s="108">
        <f t="shared" si="105"/>
        <v>10.158750000000001</v>
      </c>
      <c r="AK95" s="111">
        <f t="shared" si="105"/>
        <v>40.635000000000005</v>
      </c>
      <c r="AL95" s="108">
        <f t="shared" si="105"/>
        <v>10.454062499999999</v>
      </c>
      <c r="AM95" s="108">
        <f t="shared" si="105"/>
        <v>10.454062499999999</v>
      </c>
      <c r="AN95" s="108">
        <f t="shared" si="105"/>
        <v>10.454062499999999</v>
      </c>
      <c r="AO95" s="108">
        <f t="shared" si="105"/>
        <v>10.454062499999999</v>
      </c>
      <c r="AP95" s="111">
        <f t="shared" si="105"/>
        <v>41.816249999999997</v>
      </c>
      <c r="AQ95" s="108">
        <f t="shared" si="105"/>
        <v>10.012124999999999</v>
      </c>
      <c r="AR95" s="108">
        <f t="shared" si="105"/>
        <v>10.012124999999999</v>
      </c>
      <c r="AS95" s="108">
        <f t="shared" si="105"/>
        <v>10.012124999999999</v>
      </c>
      <c r="AT95" s="108">
        <f t="shared" si="105"/>
        <v>10.012124999999999</v>
      </c>
      <c r="AU95" s="111">
        <f t="shared" si="105"/>
        <v>40.048499999999997</v>
      </c>
      <c r="AV95" s="108">
        <f t="shared" ref="AV95:BE95" si="106">SUM(AV87:AV94)</f>
        <v>9.0245591249999997</v>
      </c>
      <c r="AW95" s="108">
        <f t="shared" si="106"/>
        <v>9.0245591249999997</v>
      </c>
      <c r="AX95" s="108">
        <f t="shared" si="106"/>
        <v>9.0245591249999997</v>
      </c>
      <c r="AY95" s="108">
        <f t="shared" si="106"/>
        <v>9.0245591249999997</v>
      </c>
      <c r="AZ95" s="111">
        <f t="shared" si="106"/>
        <v>36.098236499999999</v>
      </c>
      <c r="BA95" s="108">
        <f t="shared" si="106"/>
        <v>8.2133803125</v>
      </c>
      <c r="BB95" s="108">
        <f t="shared" si="106"/>
        <v>8.2133803125</v>
      </c>
      <c r="BC95" s="108">
        <f t="shared" si="106"/>
        <v>8.2133803125</v>
      </c>
      <c r="BD95" s="108">
        <f t="shared" si="106"/>
        <v>8.2133803125</v>
      </c>
      <c r="BE95" s="111">
        <f t="shared" si="106"/>
        <v>32.85352125</v>
      </c>
      <c r="BF95" s="108">
        <f t="shared" ref="BF95:CF95" si="107">SUM(BF87:BF94)</f>
        <v>8.465892468749999</v>
      </c>
      <c r="BG95" s="108">
        <f t="shared" si="107"/>
        <v>8.465892468749999</v>
      </c>
      <c r="BH95" s="108">
        <f t="shared" si="107"/>
        <v>8.465892468749999</v>
      </c>
      <c r="BI95" s="108">
        <f t="shared" si="107"/>
        <v>8.465892468749999</v>
      </c>
      <c r="BJ95" s="111">
        <f t="shared" si="107"/>
        <v>33.863569874999996</v>
      </c>
      <c r="BK95" s="108">
        <f t="shared" si="107"/>
        <v>7.9087137187499996</v>
      </c>
      <c r="BL95" s="108">
        <f t="shared" si="107"/>
        <v>7.9087137187499996</v>
      </c>
      <c r="BM95" s="108">
        <f t="shared" si="107"/>
        <v>7.9087137187499996</v>
      </c>
      <c r="BN95" s="108">
        <f t="shared" si="107"/>
        <v>7.9087137187499996</v>
      </c>
      <c r="BO95" s="111">
        <f t="shared" si="107"/>
        <v>31.634854874999998</v>
      </c>
      <c r="BP95" s="108">
        <f t="shared" si="107"/>
        <v>8.2725696562500008</v>
      </c>
      <c r="BQ95" s="108">
        <f t="shared" si="107"/>
        <v>8.2725696562500008</v>
      </c>
      <c r="BR95" s="108">
        <f t="shared" si="107"/>
        <v>8.2725696562500008</v>
      </c>
      <c r="BS95" s="108">
        <f t="shared" si="107"/>
        <v>8.2725696562500008</v>
      </c>
      <c r="BT95" s="111">
        <f t="shared" si="107"/>
        <v>33.090278625000003</v>
      </c>
      <c r="BU95" s="108">
        <f>SUM(BU87:BU94)</f>
        <v>8.1740186146874994</v>
      </c>
      <c r="BV95" s="108">
        <f>SUM(BV87:BV94)</f>
        <v>8.1740186146874994</v>
      </c>
      <c r="BW95" s="108">
        <f>SUM(BW87:BW94)</f>
        <v>8.1740186146874994</v>
      </c>
      <c r="BX95" s="108">
        <f>SUM(BX87:BX94)</f>
        <v>8.1740186146874994</v>
      </c>
      <c r="BY95" s="111">
        <f t="shared" si="107"/>
        <v>32.696074458749997</v>
      </c>
      <c r="BZ95" s="111">
        <f t="shared" si="107"/>
        <v>32.696074458749997</v>
      </c>
      <c r="CA95" s="111">
        <f t="shared" si="107"/>
        <v>31.779652969574997</v>
      </c>
      <c r="CB95" s="111">
        <f t="shared" si="107"/>
        <v>29.534420321096242</v>
      </c>
      <c r="CC95" s="111">
        <f t="shared" si="107"/>
        <v>27.401449305041428</v>
      </c>
      <c r="CD95" s="111">
        <f t="shared" si="107"/>
        <v>28.211978291142259</v>
      </c>
      <c r="CE95" s="111">
        <f t="shared" si="107"/>
        <v>29.038717856965107</v>
      </c>
      <c r="CF95" s="111">
        <f t="shared" si="107"/>
        <v>29.881992214104407</v>
      </c>
    </row>
    <row r="96" spans="1:84" ht="12" customHeight="1" x14ac:dyDescent="0.25">
      <c r="A96" s="114"/>
      <c r="B96" s="2"/>
      <c r="C96" s="34"/>
      <c r="D96" s="112"/>
      <c r="E96" s="112"/>
      <c r="F96" s="34"/>
      <c r="G96" s="111"/>
      <c r="H96" s="34"/>
      <c r="I96" s="112"/>
      <c r="J96" s="109"/>
      <c r="K96" s="109"/>
      <c r="L96" s="106"/>
      <c r="M96" s="109"/>
      <c r="N96" s="109"/>
      <c r="O96" s="109"/>
      <c r="P96" s="109"/>
      <c r="Q96" s="110"/>
      <c r="R96" s="109"/>
      <c r="S96" s="109"/>
      <c r="T96" s="109"/>
      <c r="U96" s="109"/>
      <c r="V96" s="110"/>
      <c r="W96" s="109"/>
      <c r="X96" s="109"/>
      <c r="Y96" s="109"/>
      <c r="Z96" s="109"/>
      <c r="AA96" s="110"/>
      <c r="AB96" s="109"/>
      <c r="AC96" s="109"/>
      <c r="AD96" s="109"/>
      <c r="AE96" s="109"/>
      <c r="AF96" s="110"/>
      <c r="AG96" s="109"/>
      <c r="AH96" s="109"/>
      <c r="AI96" s="109"/>
      <c r="AJ96" s="109"/>
      <c r="AK96" s="111"/>
      <c r="AL96" s="109"/>
      <c r="AM96" s="109"/>
      <c r="AN96" s="109"/>
      <c r="AO96" s="109"/>
      <c r="AP96" s="111"/>
      <c r="AQ96" s="109"/>
      <c r="AR96" s="109"/>
      <c r="AS96" s="109"/>
      <c r="AT96" s="109"/>
      <c r="AU96" s="111"/>
      <c r="AV96" s="109"/>
      <c r="AW96" s="109"/>
      <c r="AX96" s="109"/>
      <c r="AY96" s="109"/>
      <c r="AZ96" s="111"/>
      <c r="BA96" s="109"/>
      <c r="BB96" s="109"/>
      <c r="BC96" s="109"/>
      <c r="BD96" s="109"/>
      <c r="BE96" s="111"/>
      <c r="BF96" s="109"/>
      <c r="BG96" s="109"/>
      <c r="BH96" s="109"/>
      <c r="BI96" s="109"/>
      <c r="BJ96" s="111"/>
      <c r="BK96" s="109"/>
      <c r="BL96" s="109"/>
      <c r="BM96" s="109"/>
      <c r="BN96" s="109"/>
      <c r="BO96" s="111"/>
      <c r="BP96" s="109"/>
      <c r="BQ96" s="109"/>
      <c r="BR96" s="109"/>
      <c r="BS96" s="109"/>
      <c r="BT96" s="111"/>
      <c r="BU96" s="109"/>
      <c r="BV96" s="109"/>
      <c r="BW96" s="109"/>
      <c r="BX96" s="109"/>
      <c r="BY96" s="111"/>
      <c r="BZ96" s="111"/>
      <c r="CA96" s="111"/>
      <c r="CB96" s="111"/>
      <c r="CC96" s="111"/>
      <c r="CD96" s="111"/>
      <c r="CE96" s="111"/>
      <c r="CF96" s="111"/>
    </row>
    <row r="97" spans="1:84" ht="12" customHeight="1" x14ac:dyDescent="0.25">
      <c r="A97" s="2" t="s">
        <v>2243</v>
      </c>
      <c r="B97" s="2"/>
      <c r="C97" s="34"/>
      <c r="D97" s="112"/>
      <c r="E97" s="112"/>
      <c r="F97" s="34"/>
      <c r="G97" s="111"/>
      <c r="H97" s="34"/>
      <c r="I97" s="112"/>
      <c r="J97" s="109"/>
      <c r="K97" s="109"/>
      <c r="L97" s="106"/>
      <c r="M97" s="108">
        <f>M83*0.03</f>
        <v>1.8959099999999998</v>
      </c>
      <c r="N97" s="108">
        <f>N83*0.03</f>
        <v>1.8989999999999998</v>
      </c>
      <c r="O97" s="108">
        <f>O83*0.03</f>
        <v>1.9487700000000001</v>
      </c>
      <c r="P97" s="108">
        <f>P83*0.03</f>
        <v>1.8699899999999998</v>
      </c>
      <c r="Q97" s="111">
        <f>SUM(M97:P97)</f>
        <v>7.613669999999999</v>
      </c>
      <c r="R97" s="108">
        <f>R83*0.03</f>
        <v>1.9075499999999999</v>
      </c>
      <c r="S97" s="108">
        <f>S83*0.03</f>
        <v>1.85076</v>
      </c>
      <c r="T97" s="108">
        <f>T83*0.03</f>
        <v>1.78593</v>
      </c>
      <c r="U97" s="108">
        <f>U83*0.03</f>
        <v>1.6599899999999999</v>
      </c>
      <c r="V97" s="111">
        <f>SUM(R97:U97)</f>
        <v>7.2042299999999999</v>
      </c>
      <c r="W97" s="108">
        <f>W83*0.03</f>
        <v>1.45329</v>
      </c>
      <c r="X97" s="109">
        <f>X83*0.03/2</f>
        <v>0.71197500000000002</v>
      </c>
      <c r="Y97" s="113">
        <v>0</v>
      </c>
      <c r="Z97" s="108">
        <f>Z83*0.03</f>
        <v>1.1932799999999999</v>
      </c>
      <c r="AA97" s="111">
        <f>SUM(W97:Z97)</f>
        <v>3.3585449999999994</v>
      </c>
      <c r="AB97" s="108">
        <f>AB83*0.03</f>
        <v>1.083</v>
      </c>
      <c r="AC97" s="108">
        <f>AC83*0.03</f>
        <v>0.111</v>
      </c>
      <c r="AD97" s="108">
        <f>AD83*0.03</f>
        <v>1.3019999999999998</v>
      </c>
      <c r="AE97" s="108">
        <f>AE83*0.03</f>
        <v>1.101</v>
      </c>
      <c r="AF97" s="111">
        <f>SUM(AB97:AE97)</f>
        <v>3.5969999999999995</v>
      </c>
      <c r="AG97" s="108">
        <f t="shared" ref="AG97:AU97" si="108">AG83*0.03</f>
        <v>1.1910000000000001</v>
      </c>
      <c r="AH97" s="108">
        <f t="shared" si="108"/>
        <v>1.1039999999999999</v>
      </c>
      <c r="AI97" s="108">
        <f t="shared" si="108"/>
        <v>1.0180200000000001</v>
      </c>
      <c r="AJ97" s="108">
        <f t="shared" si="108"/>
        <v>0.98777999999999999</v>
      </c>
      <c r="AK97" s="106">
        <f t="shared" si="108"/>
        <v>4.3008000000000006</v>
      </c>
      <c r="AL97" s="108">
        <f t="shared" si="108"/>
        <v>1.2139800000000001</v>
      </c>
      <c r="AM97" s="108">
        <f t="shared" si="108"/>
        <v>1.2206399999999999</v>
      </c>
      <c r="AN97" s="108">
        <f t="shared" si="108"/>
        <v>1.03647</v>
      </c>
      <c r="AO97" s="108">
        <f t="shared" si="108"/>
        <v>0.92420999999999998</v>
      </c>
      <c r="AP97" s="106">
        <f t="shared" si="108"/>
        <v>4.3952999999999998</v>
      </c>
      <c r="AQ97" s="108">
        <f t="shared" si="108"/>
        <v>1.0554600000000001</v>
      </c>
      <c r="AR97" s="108">
        <f t="shared" si="108"/>
        <v>1.06128</v>
      </c>
      <c r="AS97" s="108">
        <f t="shared" si="108"/>
        <v>1.12947</v>
      </c>
      <c r="AT97" s="108">
        <f t="shared" si="108"/>
        <v>1.0076699999999998</v>
      </c>
      <c r="AU97" s="106">
        <f t="shared" si="108"/>
        <v>4.2538799999999997</v>
      </c>
      <c r="AV97" s="108">
        <f t="shared" ref="AV97:BE97" si="109">AV83*0.03</f>
        <v>1.0390799399999999</v>
      </c>
      <c r="AW97" s="108">
        <f t="shared" si="109"/>
        <v>1.0561689599999999</v>
      </c>
      <c r="AX97" s="108">
        <f t="shared" si="109"/>
        <v>0.95866172999999977</v>
      </c>
      <c r="AY97" s="108">
        <f t="shared" si="109"/>
        <v>0.88394828999999986</v>
      </c>
      <c r="AZ97" s="106">
        <f t="shared" si="109"/>
        <v>3.93785892</v>
      </c>
      <c r="BA97" s="108">
        <f t="shared" si="109"/>
        <v>0.87395873999999985</v>
      </c>
      <c r="BB97" s="108">
        <f t="shared" si="109"/>
        <v>0.99262320000000004</v>
      </c>
      <c r="BC97" s="108">
        <f t="shared" si="109"/>
        <v>0.93224027999999981</v>
      </c>
      <c r="BD97" s="108">
        <f t="shared" si="109"/>
        <v>0.87945947999999985</v>
      </c>
      <c r="BE97" s="106">
        <f t="shared" si="109"/>
        <v>3.6782816999999994</v>
      </c>
      <c r="BF97" s="108">
        <f t="shared" ref="BF97:CF97" si="110">BF83*0.03</f>
        <v>0.89115560999999988</v>
      </c>
      <c r="BG97" s="108">
        <f t="shared" si="110"/>
        <v>1.0144622699999999</v>
      </c>
      <c r="BH97" s="108">
        <f t="shared" si="110"/>
        <v>0.97969692000000008</v>
      </c>
      <c r="BI97" s="108">
        <f t="shared" si="110"/>
        <v>0.87377078999999991</v>
      </c>
      <c r="BJ97" s="106">
        <f t="shared" si="110"/>
        <v>3.7590855899999998</v>
      </c>
      <c r="BK97" s="108">
        <f t="shared" si="110"/>
        <v>0.92705063999999981</v>
      </c>
      <c r="BL97" s="108">
        <f t="shared" si="110"/>
        <v>0.91800000000000004</v>
      </c>
      <c r="BM97" s="108">
        <f t="shared" si="110"/>
        <v>0.89965755000000003</v>
      </c>
      <c r="BN97" s="108">
        <f t="shared" si="110"/>
        <v>0.83608020000000005</v>
      </c>
      <c r="BO97" s="106">
        <f t="shared" si="110"/>
        <v>3.5807883899999999</v>
      </c>
      <c r="BP97" s="108">
        <f t="shared" si="110"/>
        <v>0.92045133000000001</v>
      </c>
      <c r="BQ97" s="108">
        <f t="shared" si="110"/>
        <v>0.94271828999999996</v>
      </c>
      <c r="BR97" s="108">
        <f t="shared" si="110"/>
        <v>0.96794882999999998</v>
      </c>
      <c r="BS97" s="108">
        <f t="shared" si="110"/>
        <v>0.86610383999999996</v>
      </c>
      <c r="BT97" s="106">
        <f t="shared" si="110"/>
        <v>3.69722229</v>
      </c>
      <c r="BU97" s="108">
        <f>BU83*0.03</f>
        <v>0.87057446999999988</v>
      </c>
      <c r="BV97" s="108">
        <f>BV83*0.03</f>
        <v>0.94271828999999996</v>
      </c>
      <c r="BW97" s="108">
        <f>BW83*0.03</f>
        <v>0.97762831829999997</v>
      </c>
      <c r="BX97" s="108">
        <f>BX83*0.03</f>
        <v>0.87476487840000006</v>
      </c>
      <c r="BY97" s="106">
        <f t="shared" si="110"/>
        <v>3.6656859567</v>
      </c>
      <c r="BZ97" s="106">
        <f t="shared" si="110"/>
        <v>3.6656859567</v>
      </c>
      <c r="CA97" s="106">
        <f t="shared" si="110"/>
        <v>3.5923722375659994</v>
      </c>
      <c r="CB97" s="106">
        <f t="shared" si="110"/>
        <v>3.4127536256876994</v>
      </c>
      <c r="CC97" s="106">
        <f t="shared" si="110"/>
        <v>3.2421159444033143</v>
      </c>
      <c r="CD97" s="106">
        <f t="shared" si="110"/>
        <v>3.3069582632913805</v>
      </c>
      <c r="CE97" s="106">
        <f t="shared" si="110"/>
        <v>3.3730974285572084</v>
      </c>
      <c r="CF97" s="106">
        <f t="shared" si="110"/>
        <v>3.4405593771283525</v>
      </c>
    </row>
    <row r="98" spans="1:84" ht="12" customHeight="1" x14ac:dyDescent="0.25">
      <c r="A98" s="114"/>
      <c r="B98" s="2"/>
      <c r="C98" s="2"/>
      <c r="D98" s="4"/>
      <c r="E98" s="4"/>
      <c r="F98" s="2"/>
      <c r="G98" s="55"/>
      <c r="H98" s="2"/>
      <c r="I98" s="4"/>
      <c r="J98" s="4"/>
      <c r="K98" s="2"/>
      <c r="L98" s="55"/>
      <c r="M98" s="2"/>
      <c r="N98" s="4"/>
      <c r="O98" s="4"/>
      <c r="P98" s="2"/>
      <c r="Q98" s="55"/>
      <c r="R98" s="2"/>
      <c r="S98" s="4"/>
      <c r="T98" s="4"/>
      <c r="U98" s="2"/>
      <c r="V98" s="55"/>
      <c r="W98" s="2"/>
      <c r="X98" s="4"/>
      <c r="Y98" s="4"/>
      <c r="Z98" s="2"/>
      <c r="AA98" s="55"/>
      <c r="AB98" s="2"/>
      <c r="AC98" s="4"/>
      <c r="AD98" s="4"/>
      <c r="AE98" s="2"/>
      <c r="AF98" s="55"/>
      <c r="AG98" s="2"/>
      <c r="AH98" s="4"/>
      <c r="AI98" s="4"/>
      <c r="AJ98" s="2"/>
      <c r="AK98" s="55"/>
      <c r="AL98" s="2"/>
      <c r="AM98" s="4"/>
      <c r="AN98" s="4"/>
      <c r="AO98" s="2"/>
      <c r="AP98" s="55"/>
      <c r="AQ98" s="2"/>
      <c r="AR98" s="4"/>
      <c r="AS98" s="4"/>
      <c r="AT98" s="2"/>
      <c r="AU98" s="55"/>
      <c r="AV98" s="2"/>
      <c r="AW98" s="4"/>
      <c r="AX98" s="4"/>
      <c r="AY98" s="2"/>
      <c r="AZ98" s="55"/>
      <c r="BA98" s="2"/>
      <c r="BB98" s="4"/>
      <c r="BC98" s="4"/>
      <c r="BD98" s="2"/>
      <c r="BE98" s="55"/>
      <c r="BF98" s="2"/>
      <c r="BG98" s="4"/>
      <c r="BH98" s="4"/>
      <c r="BI98" s="2"/>
      <c r="BJ98" s="55"/>
      <c r="BK98" s="2"/>
      <c r="BL98" s="4"/>
      <c r="BM98" s="4"/>
      <c r="BN98" s="2"/>
      <c r="BO98" s="55"/>
      <c r="BP98" s="2"/>
      <c r="BQ98" s="4"/>
      <c r="BR98" s="4"/>
      <c r="BS98" s="2"/>
      <c r="BT98" s="55"/>
      <c r="BU98" s="2"/>
      <c r="BV98" s="4"/>
      <c r="BW98" s="4"/>
      <c r="BX98" s="2"/>
      <c r="BY98" s="55"/>
      <c r="BZ98" s="55"/>
      <c r="CA98" s="55"/>
      <c r="CB98" s="55"/>
      <c r="CC98" s="55"/>
      <c r="CD98" s="55"/>
      <c r="CE98" s="55"/>
      <c r="CF98" s="55"/>
    </row>
    <row r="99" spans="1:84" ht="12" customHeight="1" x14ac:dyDescent="0.25">
      <c r="A99" s="2" t="s">
        <v>2244</v>
      </c>
      <c r="B99" s="2"/>
      <c r="C99" s="34">
        <f t="shared" ref="C99:U99" si="111">(C84*C81)/1000</f>
        <v>1.6769400000000001</v>
      </c>
      <c r="D99" s="112">
        <f t="shared" si="111"/>
        <v>1.6778599999999999</v>
      </c>
      <c r="E99" s="112">
        <f t="shared" si="111"/>
        <v>1.938464</v>
      </c>
      <c r="F99" s="34">
        <f t="shared" si="111"/>
        <v>1.8523040000000002</v>
      </c>
      <c r="G99" s="111">
        <f t="shared" si="111"/>
        <v>7.1455679999999999</v>
      </c>
      <c r="H99" s="34">
        <f t="shared" si="111"/>
        <v>1.776608</v>
      </c>
      <c r="I99" s="112">
        <f t="shared" si="111"/>
        <v>1.781628</v>
      </c>
      <c r="J99" s="112">
        <f t="shared" si="111"/>
        <v>1.5782669999999999</v>
      </c>
      <c r="K99" s="34">
        <f t="shared" si="111"/>
        <v>1.5249630000000003</v>
      </c>
      <c r="L99" s="111">
        <f t="shared" si="111"/>
        <v>5.7719070000000006</v>
      </c>
      <c r="M99" s="34">
        <f t="shared" si="111"/>
        <v>1.5832979999999999</v>
      </c>
      <c r="N99" s="112">
        <f t="shared" si="111"/>
        <v>1.56</v>
      </c>
      <c r="O99" s="112">
        <f t="shared" si="111"/>
        <v>1.67259</v>
      </c>
      <c r="P99" s="34">
        <f t="shared" si="111"/>
        <v>1.6088010000000001</v>
      </c>
      <c r="Q99" s="111">
        <f t="shared" si="111"/>
        <v>6.4246889999999999</v>
      </c>
      <c r="R99" s="34">
        <f t="shared" si="111"/>
        <v>1.643292</v>
      </c>
      <c r="S99" s="112">
        <f t="shared" si="111"/>
        <v>1.5690749999999998</v>
      </c>
      <c r="T99" s="112">
        <f t="shared" si="111"/>
        <v>1.5480450000000001</v>
      </c>
      <c r="U99" s="34">
        <f t="shared" si="111"/>
        <v>1.5682229999999999</v>
      </c>
      <c r="V99" s="111">
        <f t="shared" ref="V99:AO99" si="112">(V84*V81)/1000</f>
        <v>6.3286350000000002</v>
      </c>
      <c r="W99" s="34">
        <f t="shared" si="112"/>
        <v>1.4129159999999998</v>
      </c>
      <c r="X99" s="112">
        <f t="shared" si="112"/>
        <v>1.2336689999999999</v>
      </c>
      <c r="Y99" s="112">
        <f t="shared" si="112"/>
        <v>1.396806</v>
      </c>
      <c r="Z99" s="34">
        <f t="shared" si="112"/>
        <v>1.063167</v>
      </c>
      <c r="AA99" s="111">
        <f t="shared" si="112"/>
        <v>5.1065580000000006</v>
      </c>
      <c r="AB99" s="34">
        <f t="shared" si="112"/>
        <v>0.96750000000000003</v>
      </c>
      <c r="AC99" s="112">
        <f t="shared" si="112"/>
        <v>0.1104</v>
      </c>
      <c r="AD99" s="112">
        <f t="shared" si="112"/>
        <v>1.2513000000000001</v>
      </c>
      <c r="AE99" s="34">
        <f t="shared" si="112"/>
        <v>1.02</v>
      </c>
      <c r="AF99" s="111">
        <f t="shared" si="112"/>
        <v>3.3492000000000002</v>
      </c>
      <c r="AG99" s="34">
        <f t="shared" si="112"/>
        <v>1.0494000000000001</v>
      </c>
      <c r="AH99" s="112">
        <f t="shared" si="112"/>
        <v>0.95430000000000004</v>
      </c>
      <c r="AI99" s="112">
        <f t="shared" si="112"/>
        <v>0.92100299999999991</v>
      </c>
      <c r="AJ99" s="34">
        <f t="shared" si="112"/>
        <v>0.872394</v>
      </c>
      <c r="AK99" s="111">
        <f t="shared" si="112"/>
        <v>3.7970970000000004</v>
      </c>
      <c r="AL99" s="34">
        <f t="shared" si="112"/>
        <v>1.152096</v>
      </c>
      <c r="AM99" s="112">
        <f t="shared" si="112"/>
        <v>1.1783609999999998</v>
      </c>
      <c r="AN99" s="112">
        <f t="shared" si="112"/>
        <v>1.003887</v>
      </c>
      <c r="AO99" s="34">
        <f t="shared" si="112"/>
        <v>0.89981699999999987</v>
      </c>
      <c r="AP99" s="111">
        <f t="shared" ref="AP99:AU99" si="113">(AP84*AP81)/1000</f>
        <v>4.2341609999999994</v>
      </c>
      <c r="AQ99" s="34">
        <f t="shared" si="113"/>
        <v>0.96174599999999999</v>
      </c>
      <c r="AR99" s="112">
        <f t="shared" si="113"/>
        <v>1.05261</v>
      </c>
      <c r="AS99" s="112">
        <f t="shared" si="113"/>
        <v>1.0637159999999999</v>
      </c>
      <c r="AT99" s="34">
        <f t="shared" si="113"/>
        <v>0.96023099999999995</v>
      </c>
      <c r="AU99" s="111">
        <f t="shared" si="113"/>
        <v>4.038303</v>
      </c>
      <c r="AV99" s="34">
        <f t="shared" ref="AV99:BE99" si="114">(AV84*AV81)/1000</f>
        <v>0.97563899999999992</v>
      </c>
      <c r="AW99" s="112">
        <f t="shared" si="114"/>
        <v>0.98015099999999999</v>
      </c>
      <c r="AX99" s="112">
        <f t="shared" si="114"/>
        <v>0.93393000000000004</v>
      </c>
      <c r="AY99" s="34">
        <f t="shared" si="114"/>
        <v>0.82257599999999997</v>
      </c>
      <c r="AZ99" s="111">
        <f t="shared" si="114"/>
        <v>3.7122960000000003</v>
      </c>
      <c r="BA99" s="34">
        <f t="shared" si="114"/>
        <v>0.78317100000000006</v>
      </c>
      <c r="BB99" s="112">
        <f t="shared" si="114"/>
        <v>0.892011</v>
      </c>
      <c r="BC99" s="112">
        <f t="shared" si="114"/>
        <v>0.84338700000000011</v>
      </c>
      <c r="BD99" s="34">
        <f t="shared" si="114"/>
        <v>0.77477400000000007</v>
      </c>
      <c r="BE99" s="111">
        <f t="shared" si="114"/>
        <v>3.2933429999999997</v>
      </c>
      <c r="BF99" s="34">
        <f t="shared" ref="BF99:CF99" si="115">(BF84*BF81)/1000</f>
        <v>0.77787600000000012</v>
      </c>
      <c r="BG99" s="112">
        <f t="shared" si="115"/>
        <v>0.85653000000000001</v>
      </c>
      <c r="BH99" s="112">
        <f t="shared" si="115"/>
        <v>0.86871300000000007</v>
      </c>
      <c r="BI99" s="34">
        <f t="shared" si="115"/>
        <v>0.78045900000000001</v>
      </c>
      <c r="BJ99" s="111">
        <f t="shared" si="115"/>
        <v>3.2835780000000003</v>
      </c>
      <c r="BK99" s="34">
        <f t="shared" si="115"/>
        <v>0.81153900000000001</v>
      </c>
      <c r="BL99" s="112">
        <f t="shared" si="115"/>
        <v>0.82230000000000003</v>
      </c>
      <c r="BM99" s="112">
        <f t="shared" si="115"/>
        <v>0.8199749999999999</v>
      </c>
      <c r="BN99" s="34">
        <f t="shared" si="115"/>
        <v>0.71607900000000002</v>
      </c>
      <c r="BO99" s="111">
        <f t="shared" si="115"/>
        <v>3.1698930000000001</v>
      </c>
      <c r="BP99" s="34">
        <f t="shared" si="115"/>
        <v>0.79559999999999986</v>
      </c>
      <c r="BQ99" s="112">
        <f t="shared" si="115"/>
        <v>0.81201299999999987</v>
      </c>
      <c r="BR99" s="112">
        <f t="shared" si="115"/>
        <v>0.85277399999999992</v>
      </c>
      <c r="BS99" s="34">
        <f t="shared" si="115"/>
        <v>0.73252800000000007</v>
      </c>
      <c r="BT99" s="111">
        <f t="shared" si="115"/>
        <v>3.1929149999999997</v>
      </c>
      <c r="BU99" s="34">
        <f>(BU84*BU81)/1000</f>
        <v>0.67754999999999999</v>
      </c>
      <c r="BV99" s="112">
        <f>(BV84*BV81)/1000</f>
        <v>0.81201299999999987</v>
      </c>
      <c r="BW99" s="112">
        <f>(BW84*BW81)/1000</f>
        <v>0.86130173999999993</v>
      </c>
      <c r="BX99" s="34">
        <f>(BX84*BX81)/1000</f>
        <v>0.73985327999999995</v>
      </c>
      <c r="BY99" s="111">
        <f t="shared" si="115"/>
        <v>3.0907180200000002</v>
      </c>
      <c r="BZ99" s="111">
        <f t="shared" si="115"/>
        <v>3.0907180200000002</v>
      </c>
      <c r="CA99" s="111">
        <f t="shared" si="115"/>
        <v>3.0289036596000001</v>
      </c>
      <c r="CB99" s="111">
        <f t="shared" si="115"/>
        <v>2.8774584766200002</v>
      </c>
      <c r="CC99" s="111">
        <f t="shared" si="115"/>
        <v>2.7335855527890001</v>
      </c>
      <c r="CD99" s="111">
        <f t="shared" si="115"/>
        <v>2.78825726384478</v>
      </c>
      <c r="CE99" s="111">
        <f t="shared" si="115"/>
        <v>2.8440224091216755</v>
      </c>
      <c r="CF99" s="111">
        <f t="shared" si="115"/>
        <v>2.9009028573041094</v>
      </c>
    </row>
    <row r="100" spans="1:84" ht="5.25" customHeight="1" x14ac:dyDescent="0.25">
      <c r="A100" s="2"/>
      <c r="B100" s="130"/>
      <c r="C100" s="130" t="s">
        <v>1059</v>
      </c>
      <c r="D100" s="130" t="s">
        <v>1059</v>
      </c>
      <c r="E100" s="130" t="s">
        <v>1059</v>
      </c>
      <c r="F100" s="130" t="s">
        <v>1059</v>
      </c>
      <c r="G100" s="131" t="s">
        <v>1059</v>
      </c>
      <c r="H100" s="130" t="s">
        <v>1059</v>
      </c>
      <c r="I100" s="130" t="s">
        <v>1059</v>
      </c>
      <c r="J100" s="130" t="s">
        <v>1059</v>
      </c>
      <c r="K100" s="130" t="s">
        <v>1059</v>
      </c>
      <c r="L100" s="131" t="s">
        <v>1059</v>
      </c>
      <c r="M100" s="130" t="s">
        <v>1059</v>
      </c>
      <c r="N100" s="130" t="s">
        <v>1059</v>
      </c>
      <c r="O100" s="130" t="s">
        <v>1059</v>
      </c>
      <c r="P100" s="130" t="s">
        <v>1059</v>
      </c>
      <c r="Q100" s="131" t="s">
        <v>1059</v>
      </c>
      <c r="R100" s="130" t="s">
        <v>1059</v>
      </c>
      <c r="S100" s="130" t="s">
        <v>1059</v>
      </c>
      <c r="T100" s="130" t="s">
        <v>1059</v>
      </c>
      <c r="U100" s="130" t="s">
        <v>1059</v>
      </c>
      <c r="V100" s="131" t="s">
        <v>1059</v>
      </c>
      <c r="W100" s="130" t="s">
        <v>1059</v>
      </c>
      <c r="X100" s="130" t="s">
        <v>1059</v>
      </c>
      <c r="Y100" s="130" t="s">
        <v>1059</v>
      </c>
      <c r="Z100" s="130" t="s">
        <v>1059</v>
      </c>
      <c r="AA100" s="131" t="s">
        <v>1059</v>
      </c>
      <c r="AB100" s="130" t="s">
        <v>1059</v>
      </c>
      <c r="AC100" s="130" t="s">
        <v>1059</v>
      </c>
      <c r="AD100" s="130" t="s">
        <v>1059</v>
      </c>
      <c r="AE100" s="130" t="s">
        <v>1059</v>
      </c>
      <c r="AF100" s="131" t="s">
        <v>1059</v>
      </c>
      <c r="AG100" s="130" t="s">
        <v>1059</v>
      </c>
      <c r="AH100" s="130" t="s">
        <v>1059</v>
      </c>
      <c r="AI100" s="130" t="s">
        <v>1059</v>
      </c>
      <c r="AJ100" s="130" t="s">
        <v>1059</v>
      </c>
      <c r="AK100" s="131" t="s">
        <v>1059</v>
      </c>
      <c r="AL100" s="130" t="s">
        <v>1059</v>
      </c>
      <c r="AM100" s="130" t="s">
        <v>1059</v>
      </c>
      <c r="AN100" s="130" t="s">
        <v>1059</v>
      </c>
      <c r="AO100" s="130" t="s">
        <v>1059</v>
      </c>
      <c r="AP100" s="131" t="s">
        <v>1059</v>
      </c>
      <c r="AQ100" s="130" t="s">
        <v>1059</v>
      </c>
      <c r="AR100" s="130" t="s">
        <v>1059</v>
      </c>
      <c r="AS100" s="130" t="s">
        <v>1059</v>
      </c>
      <c r="AT100" s="130" t="s">
        <v>1059</v>
      </c>
      <c r="AU100" s="131" t="s">
        <v>1059</v>
      </c>
      <c r="AV100" s="130" t="s">
        <v>1059</v>
      </c>
      <c r="AW100" s="130" t="s">
        <v>1059</v>
      </c>
      <c r="AX100" s="130" t="s">
        <v>1059</v>
      </c>
      <c r="AY100" s="130" t="s">
        <v>1059</v>
      </c>
      <c r="AZ100" s="131" t="s">
        <v>1059</v>
      </c>
      <c r="BA100" s="130" t="s">
        <v>1059</v>
      </c>
      <c r="BB100" s="130" t="s">
        <v>1059</v>
      </c>
      <c r="BC100" s="130" t="s">
        <v>1059</v>
      </c>
      <c r="BD100" s="130" t="s">
        <v>1059</v>
      </c>
      <c r="BE100" s="131" t="s">
        <v>1059</v>
      </c>
      <c r="BF100" s="130" t="s">
        <v>1059</v>
      </c>
      <c r="BG100" s="130" t="s">
        <v>1059</v>
      </c>
      <c r="BH100" s="130" t="s">
        <v>1059</v>
      </c>
      <c r="BI100" s="130" t="s">
        <v>1059</v>
      </c>
      <c r="BJ100" s="131" t="s">
        <v>1059</v>
      </c>
      <c r="BK100" s="130" t="s">
        <v>1059</v>
      </c>
      <c r="BL100" s="130" t="s">
        <v>1059</v>
      </c>
      <c r="BM100" s="130" t="s">
        <v>1059</v>
      </c>
      <c r="BN100" s="130" t="s">
        <v>1059</v>
      </c>
      <c r="BO100" s="131" t="s">
        <v>1059</v>
      </c>
      <c r="BP100" s="130" t="s">
        <v>1059</v>
      </c>
      <c r="BQ100" s="130" t="s">
        <v>1059</v>
      </c>
      <c r="BR100" s="130" t="s">
        <v>1059</v>
      </c>
      <c r="BS100" s="130" t="s">
        <v>1059</v>
      </c>
      <c r="BT100" s="131" t="s">
        <v>1059</v>
      </c>
      <c r="BU100" s="130" t="s">
        <v>1059</v>
      </c>
      <c r="BV100" s="130" t="s">
        <v>1059</v>
      </c>
      <c r="BW100" s="130" t="s">
        <v>1059</v>
      </c>
      <c r="BX100" s="130" t="s">
        <v>1059</v>
      </c>
      <c r="BY100" s="131" t="s">
        <v>1059</v>
      </c>
      <c r="BZ100" s="131" t="s">
        <v>1059</v>
      </c>
      <c r="CA100" s="131" t="s">
        <v>1059</v>
      </c>
      <c r="CB100" s="131" t="s">
        <v>1059</v>
      </c>
      <c r="CC100" s="131" t="s">
        <v>1059</v>
      </c>
      <c r="CD100" s="131" t="s">
        <v>1059</v>
      </c>
      <c r="CE100" s="131" t="s">
        <v>1059</v>
      </c>
      <c r="CF100" s="131" t="s">
        <v>1059</v>
      </c>
    </row>
    <row r="101" spans="1:84" ht="12" customHeight="1" x14ac:dyDescent="0.25">
      <c r="A101" s="2" t="s">
        <v>2245</v>
      </c>
      <c r="B101" s="2"/>
      <c r="C101" s="34">
        <f t="shared" ref="C101:AO101" si="116">C95+C99+C97</f>
        <v>25.66469</v>
      </c>
      <c r="D101" s="112">
        <f t="shared" si="116"/>
        <v>25.665609999999997</v>
      </c>
      <c r="E101" s="112">
        <f t="shared" si="116"/>
        <v>25.926213999999998</v>
      </c>
      <c r="F101" s="34">
        <f t="shared" si="116"/>
        <v>25.840053999999999</v>
      </c>
      <c r="G101" s="111">
        <f t="shared" si="116"/>
        <v>103.09656799999999</v>
      </c>
      <c r="H101" s="34">
        <f t="shared" si="116"/>
        <v>25.371358000000001</v>
      </c>
      <c r="I101" s="112">
        <f t="shared" si="116"/>
        <v>26.347378000000003</v>
      </c>
      <c r="J101" s="112">
        <f t="shared" si="116"/>
        <v>23.078267</v>
      </c>
      <c r="K101" s="34">
        <f t="shared" si="116"/>
        <v>23.024963</v>
      </c>
      <c r="L101" s="111">
        <f t="shared" si="116"/>
        <v>96.932406999999998</v>
      </c>
      <c r="M101" s="34">
        <f t="shared" si="116"/>
        <v>26.609082999999998</v>
      </c>
      <c r="N101" s="112">
        <f t="shared" si="116"/>
        <v>26.588874999999998</v>
      </c>
      <c r="O101" s="112">
        <f t="shared" si="116"/>
        <v>26.751234999999998</v>
      </c>
      <c r="P101" s="34">
        <f t="shared" si="116"/>
        <v>26.608665999999999</v>
      </c>
      <c r="Q101" s="111">
        <f t="shared" si="116"/>
        <v>106.55785899999999</v>
      </c>
      <c r="R101" s="34">
        <f t="shared" si="116"/>
        <v>25.050841999999999</v>
      </c>
      <c r="S101" s="112">
        <f t="shared" si="116"/>
        <v>24.919834999999999</v>
      </c>
      <c r="T101" s="112">
        <f t="shared" si="116"/>
        <v>24.757849999999998</v>
      </c>
      <c r="U101" s="34">
        <f t="shared" si="116"/>
        <v>24.652087999999999</v>
      </c>
      <c r="V101" s="111">
        <f t="shared" si="116"/>
        <v>99.228364999999997</v>
      </c>
      <c r="W101" s="34">
        <f t="shared" si="116"/>
        <v>18.298248224732671</v>
      </c>
      <c r="X101" s="112">
        <f t="shared" si="116"/>
        <v>17.066133734263698</v>
      </c>
      <c r="Y101" s="112">
        <f t="shared" si="116"/>
        <v>17.249348518617182</v>
      </c>
      <c r="Z101" s="34">
        <f t="shared" si="116"/>
        <v>14.927522522386449</v>
      </c>
      <c r="AA101" s="111">
        <f t="shared" si="116"/>
        <v>67.541253000000012</v>
      </c>
      <c r="AB101" s="34">
        <f t="shared" si="116"/>
        <v>10.009875000000001</v>
      </c>
      <c r="AC101" s="112">
        <f>AC95+AC99+AC97</f>
        <v>8.1807750000000006</v>
      </c>
      <c r="AD101" s="112">
        <f>AD95+AD99+AD97</f>
        <v>10.512675</v>
      </c>
      <c r="AE101" s="34">
        <f t="shared" si="116"/>
        <v>10.080375</v>
      </c>
      <c r="AF101" s="111">
        <f t="shared" si="116"/>
        <v>38.783700000000003</v>
      </c>
      <c r="AG101" s="34">
        <f>AG95+AG99+AG97</f>
        <v>12.399150000000002</v>
      </c>
      <c r="AH101" s="112">
        <f>AH95+AH99+AH97</f>
        <v>12.21705</v>
      </c>
      <c r="AI101" s="112">
        <f>AI95+AI99+AI97</f>
        <v>12.097773000000002</v>
      </c>
      <c r="AJ101" s="34">
        <f>AJ95+AJ99+AJ97</f>
        <v>12.018924000000002</v>
      </c>
      <c r="AK101" s="111">
        <f t="shared" si="116"/>
        <v>48.732897000000008</v>
      </c>
      <c r="AL101" s="34">
        <f t="shared" si="116"/>
        <v>12.820138499999999</v>
      </c>
      <c r="AM101" s="112">
        <f t="shared" si="116"/>
        <v>12.853063499999998</v>
      </c>
      <c r="AN101" s="112">
        <f t="shared" si="116"/>
        <v>12.494419499999999</v>
      </c>
      <c r="AO101" s="34">
        <f t="shared" si="116"/>
        <v>12.2780895</v>
      </c>
      <c r="AP101" s="111">
        <f t="shared" ref="AP101:AU101" si="117">AP95+AP99+AP97</f>
        <v>50.445710999999996</v>
      </c>
      <c r="AQ101" s="34">
        <f t="shared" si="117"/>
        <v>12.029330999999999</v>
      </c>
      <c r="AR101" s="112">
        <f t="shared" si="117"/>
        <v>12.126014999999999</v>
      </c>
      <c r="AS101" s="112">
        <f t="shared" si="117"/>
        <v>12.205310999999998</v>
      </c>
      <c r="AT101" s="34">
        <f t="shared" si="117"/>
        <v>11.980025999999999</v>
      </c>
      <c r="AU101" s="111">
        <f t="shared" si="117"/>
        <v>48.340682999999999</v>
      </c>
      <c r="AV101" s="34">
        <f t="shared" ref="AV101:BE101" si="118">AV95+AV99+AV97</f>
        <v>11.039278065</v>
      </c>
      <c r="AW101" s="112">
        <f t="shared" si="118"/>
        <v>11.060879085</v>
      </c>
      <c r="AX101" s="112">
        <f t="shared" si="118"/>
        <v>10.917150854999999</v>
      </c>
      <c r="AY101" s="34">
        <f t="shared" si="118"/>
        <v>10.731083414999999</v>
      </c>
      <c r="AZ101" s="111">
        <f t="shared" si="118"/>
        <v>43.748391420000004</v>
      </c>
      <c r="BA101" s="34">
        <f t="shared" si="118"/>
        <v>9.8705100524999985</v>
      </c>
      <c r="BB101" s="112">
        <f t="shared" si="118"/>
        <v>10.098014512500001</v>
      </c>
      <c r="BC101" s="112">
        <f t="shared" si="118"/>
        <v>9.9890075925000001</v>
      </c>
      <c r="BD101" s="34">
        <f t="shared" si="118"/>
        <v>9.8676137925000003</v>
      </c>
      <c r="BE101" s="111">
        <f t="shared" si="118"/>
        <v>39.82514595</v>
      </c>
      <c r="BF101" s="34">
        <f t="shared" ref="BF101:CF101" si="119">BF95+BF99+BF97</f>
        <v>10.13492407875</v>
      </c>
      <c r="BG101" s="112">
        <f t="shared" si="119"/>
        <v>10.336884738749998</v>
      </c>
      <c r="BH101" s="112">
        <f t="shared" si="119"/>
        <v>10.314302388749999</v>
      </c>
      <c r="BI101" s="34">
        <f t="shared" si="119"/>
        <v>10.120122258749999</v>
      </c>
      <c r="BJ101" s="111">
        <f t="shared" si="119"/>
        <v>40.906233464999993</v>
      </c>
      <c r="BK101" s="34">
        <f t="shared" si="119"/>
        <v>9.6473033587499994</v>
      </c>
      <c r="BL101" s="112">
        <f t="shared" si="119"/>
        <v>9.6490137187499982</v>
      </c>
      <c r="BM101" s="112">
        <f t="shared" si="119"/>
        <v>9.6283462687500005</v>
      </c>
      <c r="BN101" s="34">
        <f t="shared" si="119"/>
        <v>9.4608729187499989</v>
      </c>
      <c r="BO101" s="111">
        <f t="shared" si="119"/>
        <v>38.385536264999999</v>
      </c>
      <c r="BP101" s="34">
        <f t="shared" si="119"/>
        <v>9.9886209862500017</v>
      </c>
      <c r="BQ101" s="112">
        <f t="shared" si="119"/>
        <v>10.027300946250001</v>
      </c>
      <c r="BR101" s="112">
        <f t="shared" si="119"/>
        <v>10.09329248625</v>
      </c>
      <c r="BS101" s="34">
        <f t="shared" si="119"/>
        <v>9.8712014962500003</v>
      </c>
      <c r="BT101" s="111">
        <f t="shared" si="119"/>
        <v>39.980415915000002</v>
      </c>
      <c r="BU101" s="34">
        <f>BU95+BU99+BU97</f>
        <v>9.7221430846874988</v>
      </c>
      <c r="BV101" s="112">
        <f>BV95+BV99+BV97</f>
        <v>9.9287499046874998</v>
      </c>
      <c r="BW101" s="112">
        <f>BW95+BW99+BW97</f>
        <v>10.0129486729875</v>
      </c>
      <c r="BX101" s="34">
        <f>BX95+BX99+BX97</f>
        <v>9.7886367730875001</v>
      </c>
      <c r="BY101" s="111">
        <f t="shared" si="119"/>
        <v>39.452478435449997</v>
      </c>
      <c r="BZ101" s="111">
        <f t="shared" si="119"/>
        <v>39.452478435449997</v>
      </c>
      <c r="CA101" s="111">
        <f t="shared" si="119"/>
        <v>38.40092886674099</v>
      </c>
      <c r="CB101" s="111">
        <f t="shared" si="119"/>
        <v>35.824632423403941</v>
      </c>
      <c r="CC101" s="111">
        <f t="shared" si="119"/>
        <v>33.377150802233743</v>
      </c>
      <c r="CD101" s="111">
        <f t="shared" si="119"/>
        <v>34.307193818278421</v>
      </c>
      <c r="CE101" s="111">
        <f t="shared" si="119"/>
        <v>35.255837694643986</v>
      </c>
      <c r="CF101" s="111">
        <f t="shared" si="119"/>
        <v>36.22345444853687</v>
      </c>
    </row>
    <row r="102" spans="1:84" ht="12" customHeight="1" x14ac:dyDescent="0.25">
      <c r="A102" s="2"/>
      <c r="B102" s="2"/>
      <c r="C102" s="53"/>
      <c r="D102" s="4"/>
      <c r="E102" s="4"/>
      <c r="F102" s="4"/>
      <c r="G102" s="55"/>
      <c r="H102" s="53"/>
      <c r="I102" s="4"/>
      <c r="J102" s="4"/>
      <c r="K102" s="4"/>
      <c r="L102" s="55"/>
      <c r="M102" s="4"/>
      <c r="N102" s="4"/>
      <c r="O102" s="4"/>
      <c r="P102" s="4"/>
      <c r="Q102" s="55"/>
      <c r="R102" s="4"/>
      <c r="S102" s="4"/>
      <c r="T102" s="4"/>
      <c r="U102" s="4"/>
      <c r="V102" s="55"/>
      <c r="W102" s="4"/>
      <c r="X102" s="4"/>
      <c r="Y102" s="4"/>
      <c r="Z102" s="4"/>
      <c r="AA102" s="55"/>
      <c r="AB102" s="4"/>
      <c r="AC102" s="4"/>
      <c r="AD102" s="4"/>
      <c r="AE102" s="4"/>
      <c r="AF102" s="55"/>
      <c r="AG102" s="4"/>
      <c r="AH102" s="4"/>
      <c r="AI102" s="4"/>
      <c r="AJ102" s="4"/>
      <c r="AK102" s="55"/>
      <c r="AL102" s="4"/>
      <c r="AM102" s="4"/>
      <c r="AN102" s="4"/>
      <c r="AO102" s="4"/>
      <c r="AP102" s="55"/>
      <c r="AQ102" s="4"/>
      <c r="AR102" s="4"/>
      <c r="AS102" s="4"/>
      <c r="AT102" s="4"/>
      <c r="AU102" s="55"/>
      <c r="AV102" s="4"/>
      <c r="AW102" s="4"/>
      <c r="AX102" s="4"/>
      <c r="AY102" s="4"/>
      <c r="AZ102" s="55"/>
      <c r="BA102" s="4"/>
      <c r="BB102" s="4"/>
      <c r="BC102" s="4"/>
      <c r="BD102" s="4"/>
      <c r="BE102" s="55"/>
      <c r="BF102" s="4"/>
      <c r="BG102" s="4"/>
      <c r="BH102" s="4"/>
      <c r="BI102" s="4"/>
      <c r="BJ102" s="55"/>
      <c r="BK102" s="4"/>
      <c r="BL102" s="4"/>
      <c r="BM102" s="4"/>
      <c r="BN102" s="4"/>
      <c r="BO102" s="55"/>
      <c r="BP102" s="4"/>
      <c r="BQ102" s="4"/>
      <c r="BR102" s="4"/>
      <c r="BS102" s="4"/>
      <c r="BT102" s="55"/>
      <c r="BU102" s="4"/>
      <c r="BV102" s="4"/>
      <c r="BW102" s="4"/>
      <c r="BX102" s="4"/>
      <c r="BY102" s="55"/>
      <c r="BZ102" s="55"/>
      <c r="CA102" s="55"/>
      <c r="CB102" s="55"/>
      <c r="CC102" s="55"/>
      <c r="CD102" s="55"/>
      <c r="CE102" s="55"/>
      <c r="CF102" s="55"/>
    </row>
    <row r="103" spans="1:84" ht="12" customHeight="1" x14ac:dyDescent="0.25">
      <c r="A103" s="2" t="s">
        <v>2246</v>
      </c>
      <c r="B103" s="2"/>
      <c r="C103" s="53"/>
      <c r="D103" s="4"/>
      <c r="E103" s="4"/>
      <c r="F103" s="4"/>
      <c r="G103" s="55"/>
      <c r="H103" s="53"/>
      <c r="I103" s="4"/>
      <c r="J103" s="4"/>
      <c r="K103" s="4"/>
      <c r="L103" s="55"/>
      <c r="M103" s="4"/>
      <c r="N103" s="4"/>
      <c r="O103" s="4"/>
      <c r="P103" s="4"/>
      <c r="Q103" s="55"/>
      <c r="R103" s="4"/>
      <c r="S103" s="4"/>
      <c r="T103" s="4"/>
      <c r="U103" s="4"/>
      <c r="V103" s="55"/>
      <c r="W103" s="4"/>
      <c r="X103" s="4"/>
      <c r="Y103" s="4"/>
      <c r="Z103" s="4"/>
      <c r="AA103" s="55"/>
      <c r="AB103" s="4"/>
      <c r="AC103" s="4"/>
      <c r="AD103" s="4"/>
      <c r="AE103" s="4"/>
      <c r="AF103" s="55"/>
      <c r="AG103" s="4"/>
      <c r="AH103" s="4"/>
      <c r="AI103" s="4"/>
      <c r="AJ103" s="4"/>
      <c r="AK103" s="55"/>
      <c r="AL103" s="4"/>
      <c r="AM103" s="4"/>
      <c r="AN103" s="4"/>
      <c r="AO103" s="4"/>
      <c r="AP103" s="55"/>
      <c r="AQ103" s="4"/>
      <c r="AR103" s="4"/>
      <c r="AS103" s="4"/>
      <c r="AT103" s="4"/>
      <c r="AU103" s="55"/>
      <c r="AV103" s="4"/>
      <c r="AW103" s="4"/>
      <c r="AX103" s="4"/>
      <c r="AY103" s="4"/>
      <c r="AZ103" s="55"/>
      <c r="BA103" s="4"/>
      <c r="BB103" s="4"/>
      <c r="BC103" s="4"/>
      <c r="BD103" s="4"/>
      <c r="BE103" s="55"/>
      <c r="BF103" s="4"/>
      <c r="BG103" s="4"/>
      <c r="BH103" s="4"/>
      <c r="BI103" s="4"/>
      <c r="BJ103" s="55"/>
      <c r="BK103" s="4"/>
      <c r="BL103" s="4"/>
      <c r="BM103" s="4"/>
      <c r="BN103" s="4"/>
      <c r="BO103" s="55"/>
      <c r="BP103" s="4"/>
      <c r="BQ103" s="4"/>
      <c r="BR103" s="4"/>
      <c r="BS103" s="4"/>
      <c r="BT103" s="55"/>
      <c r="BU103" s="4"/>
      <c r="BV103" s="4"/>
      <c r="BW103" s="4"/>
      <c r="BX103" s="4"/>
      <c r="BY103" s="55"/>
      <c r="BZ103" s="55"/>
      <c r="CA103" s="55"/>
      <c r="CB103" s="55"/>
      <c r="CC103" s="55"/>
      <c r="CD103" s="55"/>
      <c r="CE103" s="55"/>
      <c r="CF103" s="55"/>
    </row>
    <row r="104" spans="1:84" ht="12" customHeight="1" x14ac:dyDescent="0.25">
      <c r="A104" s="2"/>
      <c r="B104" s="2"/>
      <c r="C104" s="53"/>
      <c r="D104" s="4"/>
      <c r="E104" s="4"/>
      <c r="F104" s="4"/>
      <c r="G104" s="55"/>
      <c r="H104" s="53"/>
      <c r="I104" s="4"/>
      <c r="J104" s="4"/>
      <c r="K104" s="4"/>
      <c r="L104" s="55"/>
      <c r="M104" s="4"/>
      <c r="N104" s="4"/>
      <c r="O104" s="4"/>
      <c r="P104" s="4"/>
      <c r="Q104" s="55"/>
      <c r="R104" s="4"/>
      <c r="S104" s="4"/>
      <c r="T104" s="4"/>
      <c r="U104" s="4"/>
      <c r="V104" s="55"/>
      <c r="W104" s="4"/>
      <c r="X104" s="4"/>
      <c r="Y104" s="4"/>
      <c r="Z104" s="4"/>
      <c r="AA104" s="55"/>
      <c r="AB104" s="4"/>
      <c r="AC104" s="4"/>
      <c r="AD104" s="4"/>
      <c r="AE104" s="4"/>
      <c r="AF104" s="55"/>
      <c r="AG104" s="4"/>
      <c r="AH104" s="4"/>
      <c r="AI104" s="4"/>
      <c r="AJ104" s="4"/>
      <c r="AK104" s="55"/>
      <c r="AL104" s="4"/>
      <c r="AM104" s="4"/>
      <c r="AN104" s="4"/>
      <c r="AO104" s="4"/>
      <c r="AP104" s="55"/>
      <c r="AQ104" s="4"/>
      <c r="AR104" s="4"/>
      <c r="AS104" s="4"/>
      <c r="AT104" s="4"/>
      <c r="AU104" s="55"/>
      <c r="AV104" s="4"/>
      <c r="AW104" s="4"/>
      <c r="AX104" s="4"/>
      <c r="AY104" s="4"/>
      <c r="AZ104" s="55"/>
      <c r="BA104" s="4"/>
      <c r="BB104" s="4"/>
      <c r="BC104" s="4"/>
      <c r="BD104" s="4"/>
      <c r="BE104" s="55"/>
      <c r="BF104" s="4"/>
      <c r="BG104" s="4"/>
      <c r="BH104" s="4"/>
      <c r="BI104" s="4"/>
      <c r="BJ104" s="55"/>
      <c r="BK104" s="4"/>
      <c r="BL104" s="4"/>
      <c r="BM104" s="4"/>
      <c r="BN104" s="4"/>
      <c r="BO104" s="55"/>
      <c r="BP104" s="4"/>
      <c r="BQ104" s="4"/>
      <c r="BR104" s="4"/>
      <c r="BS104" s="4"/>
      <c r="BT104" s="55"/>
      <c r="BU104" s="4"/>
      <c r="BV104" s="4"/>
      <c r="BW104" s="4"/>
      <c r="BX104" s="4"/>
      <c r="BY104" s="55"/>
      <c r="BZ104" s="55"/>
      <c r="CA104" s="55"/>
      <c r="CB104" s="55"/>
      <c r="CC104" s="55"/>
      <c r="CD104" s="55"/>
      <c r="CE104" s="55"/>
      <c r="CF104" s="55"/>
    </row>
    <row r="105" spans="1:84" ht="12" customHeight="1" x14ac:dyDescent="0.25">
      <c r="A105" s="138"/>
      <c r="B105" s="2"/>
      <c r="C105" s="53"/>
      <c r="D105" s="4"/>
      <c r="E105" s="4"/>
      <c r="F105" s="4"/>
      <c r="G105" s="55"/>
      <c r="H105" s="53"/>
      <c r="I105" s="4"/>
      <c r="J105" s="4"/>
      <c r="K105" s="4"/>
      <c r="L105" s="55"/>
      <c r="M105" s="4"/>
      <c r="N105" s="4"/>
      <c r="O105" s="4"/>
      <c r="P105" s="4"/>
      <c r="Q105" s="55"/>
      <c r="R105" s="4"/>
      <c r="S105" s="4"/>
      <c r="T105" s="4"/>
      <c r="U105" s="4"/>
      <c r="V105" s="55"/>
      <c r="W105" s="4"/>
      <c r="X105" s="4"/>
      <c r="Y105" s="4"/>
      <c r="Z105" s="4"/>
      <c r="AA105" s="55"/>
      <c r="AB105" s="4"/>
      <c r="AC105" s="4"/>
      <c r="AD105" s="4"/>
      <c r="AE105" s="4"/>
      <c r="AF105" s="55"/>
      <c r="AG105" s="4"/>
      <c r="AH105" s="4"/>
      <c r="AI105" s="4"/>
      <c r="AJ105" s="4"/>
      <c r="AK105" s="55"/>
      <c r="AL105" s="4"/>
      <c r="AM105" s="4"/>
      <c r="AN105" s="4"/>
      <c r="AO105" s="4"/>
      <c r="AP105" s="55"/>
      <c r="AQ105" s="4"/>
      <c r="AR105" s="4"/>
      <c r="AS105" s="4"/>
      <c r="AT105" s="4"/>
      <c r="AU105" s="55"/>
      <c r="AV105" s="4"/>
      <c r="AW105" s="4"/>
      <c r="AX105" s="4"/>
      <c r="AY105" s="4"/>
      <c r="AZ105" s="55"/>
      <c r="BA105" s="4"/>
      <c r="BB105" s="4"/>
      <c r="BC105" s="4"/>
      <c r="BD105" s="4"/>
      <c r="BE105" s="55"/>
      <c r="BF105" s="4"/>
      <c r="BG105" s="4"/>
      <c r="BH105" s="4"/>
      <c r="BI105" s="4"/>
      <c r="BJ105" s="55"/>
      <c r="BK105" s="4"/>
      <c r="BL105" s="4"/>
      <c r="BM105" s="4"/>
      <c r="BN105" s="4"/>
      <c r="BO105" s="55"/>
      <c r="BP105" s="4"/>
      <c r="BQ105" s="4"/>
      <c r="BR105" s="4"/>
      <c r="BS105" s="4"/>
      <c r="BT105" s="55"/>
      <c r="BU105" s="4"/>
      <c r="BV105" s="4"/>
      <c r="BW105" s="4"/>
      <c r="BX105" s="4"/>
      <c r="BY105" s="55"/>
      <c r="BZ105" s="55"/>
      <c r="CA105" s="55"/>
      <c r="CB105" s="55"/>
      <c r="CC105" s="55"/>
      <c r="CD105" s="55"/>
      <c r="CE105" s="55"/>
      <c r="CF105" s="55"/>
    </row>
    <row r="106" spans="1:84" ht="12" customHeight="1" x14ac:dyDescent="0.25">
      <c r="A106" s="51" t="s">
        <v>2248</v>
      </c>
      <c r="B106" s="2"/>
      <c r="C106" s="53"/>
      <c r="D106" s="4"/>
      <c r="E106" s="4"/>
      <c r="F106" s="4"/>
      <c r="G106" s="55"/>
      <c r="H106" s="53"/>
      <c r="I106" s="4"/>
      <c r="J106" s="4"/>
      <c r="K106" s="4"/>
      <c r="L106" s="55"/>
      <c r="M106" s="4"/>
      <c r="N106" s="4"/>
      <c r="O106" s="4"/>
      <c r="P106" s="4"/>
      <c r="Q106" s="55"/>
      <c r="R106" s="4"/>
      <c r="S106" s="4"/>
      <c r="T106" s="4"/>
      <c r="U106" s="4"/>
      <c r="V106" s="55"/>
      <c r="W106" s="4"/>
      <c r="X106" s="4"/>
      <c r="Y106" s="4"/>
      <c r="Z106" s="4"/>
      <c r="AA106" s="55"/>
      <c r="AB106" s="4"/>
      <c r="AC106" s="4"/>
      <c r="AD106" s="4"/>
      <c r="AE106" s="4"/>
      <c r="AF106" s="55"/>
      <c r="AG106" s="4"/>
      <c r="AH106" s="4"/>
      <c r="AI106" s="4"/>
      <c r="AJ106" s="4"/>
      <c r="AK106" s="55"/>
      <c r="AL106" s="4"/>
      <c r="AM106" s="4"/>
      <c r="AN106" s="4"/>
      <c r="AO106" s="4"/>
      <c r="AP106" s="55"/>
      <c r="AQ106" s="4"/>
      <c r="AR106" s="4"/>
      <c r="AS106" s="4"/>
      <c r="AT106" s="4"/>
      <c r="AU106" s="55"/>
      <c r="AV106" s="4"/>
      <c r="AW106" s="4"/>
      <c r="AX106" s="4"/>
      <c r="AY106" s="4"/>
      <c r="AZ106" s="55"/>
      <c r="BA106" s="4"/>
      <c r="BB106" s="4"/>
      <c r="BC106" s="4"/>
      <c r="BD106" s="4"/>
      <c r="BE106" s="55"/>
      <c r="BF106" s="4"/>
      <c r="BG106" s="4"/>
      <c r="BH106" s="4"/>
      <c r="BI106" s="4"/>
      <c r="BJ106" s="55"/>
      <c r="BK106" s="4"/>
      <c r="BL106" s="4"/>
      <c r="BM106" s="4"/>
      <c r="BN106" s="4"/>
      <c r="BO106" s="55"/>
      <c r="BP106" s="4"/>
      <c r="BQ106" s="4"/>
      <c r="BR106" s="4"/>
      <c r="BS106" s="4"/>
      <c r="BT106" s="55"/>
      <c r="BU106" s="4"/>
      <c r="BV106" s="4"/>
      <c r="BW106" s="4"/>
      <c r="BX106" s="4"/>
      <c r="BY106" s="55"/>
      <c r="BZ106" s="55"/>
      <c r="CA106" s="55"/>
      <c r="CB106" s="55"/>
      <c r="CC106" s="55"/>
      <c r="CD106" s="55"/>
      <c r="CE106" s="55"/>
      <c r="CF106" s="55"/>
    </row>
    <row r="107" spans="1:84" ht="12" customHeight="1" x14ac:dyDescent="0.25">
      <c r="A107" s="2" t="s">
        <v>558</v>
      </c>
      <c r="B107" s="143"/>
      <c r="C107" s="145">
        <v>30</v>
      </c>
      <c r="D107" s="145">
        <v>30</v>
      </c>
      <c r="E107" s="145">
        <v>30</v>
      </c>
      <c r="F107" s="145">
        <v>30</v>
      </c>
      <c r="G107" s="144">
        <v>30</v>
      </c>
      <c r="H107" s="145">
        <v>30</v>
      </c>
      <c r="I107" s="145">
        <v>30</v>
      </c>
      <c r="J107" s="145">
        <v>30</v>
      </c>
      <c r="K107" s="145">
        <v>30</v>
      </c>
      <c r="L107" s="144">
        <v>30</v>
      </c>
      <c r="M107" s="145">
        <v>30</v>
      </c>
      <c r="N107" s="145">
        <v>30</v>
      </c>
      <c r="O107" s="145">
        <v>30</v>
      </c>
      <c r="P107" s="145">
        <v>30</v>
      </c>
      <c r="Q107" s="144">
        <v>30</v>
      </c>
      <c r="R107" s="145">
        <v>30</v>
      </c>
      <c r="S107" s="145">
        <v>30</v>
      </c>
      <c r="T107" s="145">
        <v>30</v>
      </c>
      <c r="U107" s="145">
        <v>30</v>
      </c>
      <c r="V107" s="144">
        <v>30</v>
      </c>
      <c r="W107" s="145">
        <v>30</v>
      </c>
      <c r="X107" s="145">
        <v>30</v>
      </c>
      <c r="Y107" s="145">
        <v>30</v>
      </c>
      <c r="Z107" s="145">
        <v>30</v>
      </c>
      <c r="AA107" s="144">
        <v>30</v>
      </c>
      <c r="AB107" s="145">
        <v>30</v>
      </c>
      <c r="AC107" s="145">
        <v>30</v>
      </c>
      <c r="AD107" s="145">
        <v>30</v>
      </c>
      <c r="AE107" s="145">
        <v>30</v>
      </c>
      <c r="AF107" s="144">
        <v>30</v>
      </c>
      <c r="AG107" s="145">
        <v>30</v>
      </c>
      <c r="AH107" s="145">
        <v>30</v>
      </c>
      <c r="AI107" s="145">
        <v>30</v>
      </c>
      <c r="AJ107" s="145">
        <v>30</v>
      </c>
      <c r="AK107" s="144">
        <v>30</v>
      </c>
      <c r="AL107" s="145">
        <v>30</v>
      </c>
      <c r="AM107" s="145">
        <v>30</v>
      </c>
      <c r="AN107" s="145">
        <v>30</v>
      </c>
      <c r="AO107" s="145">
        <v>30</v>
      </c>
      <c r="AP107" s="144">
        <v>30</v>
      </c>
      <c r="AQ107" s="145">
        <v>30</v>
      </c>
      <c r="AR107" s="145">
        <v>30</v>
      </c>
      <c r="AS107" s="145">
        <v>30</v>
      </c>
      <c r="AT107" s="145">
        <v>30</v>
      </c>
      <c r="AU107" s="144">
        <v>30</v>
      </c>
      <c r="AV107" s="145">
        <v>30</v>
      </c>
      <c r="AW107" s="145">
        <v>30</v>
      </c>
      <c r="AX107" s="145">
        <v>30</v>
      </c>
      <c r="AY107" s="145">
        <v>30</v>
      </c>
      <c r="AZ107" s="144">
        <v>30</v>
      </c>
      <c r="BA107" s="145">
        <v>30</v>
      </c>
      <c r="BB107" s="145">
        <v>30</v>
      </c>
      <c r="BC107" s="145">
        <v>30</v>
      </c>
      <c r="BD107" s="145">
        <v>30</v>
      </c>
      <c r="BE107" s="144">
        <v>30</v>
      </c>
      <c r="BF107" s="145">
        <v>30</v>
      </c>
      <c r="BG107" s="145">
        <v>30</v>
      </c>
      <c r="BH107" s="145">
        <v>30</v>
      </c>
      <c r="BI107" s="145">
        <v>30</v>
      </c>
      <c r="BJ107" s="144">
        <v>30</v>
      </c>
      <c r="BK107" s="145">
        <v>30</v>
      </c>
      <c r="BL107" s="145">
        <v>30</v>
      </c>
      <c r="BM107" s="145">
        <v>30</v>
      </c>
      <c r="BN107" s="145">
        <v>30</v>
      </c>
      <c r="BO107" s="144">
        <v>30</v>
      </c>
      <c r="BP107" s="145">
        <v>30</v>
      </c>
      <c r="BQ107" s="145">
        <v>30</v>
      </c>
      <c r="BR107" s="145">
        <v>30</v>
      </c>
      <c r="BS107" s="145">
        <v>30</v>
      </c>
      <c r="BT107" s="144">
        <v>30</v>
      </c>
      <c r="BU107" s="145">
        <v>30</v>
      </c>
      <c r="BV107" s="145">
        <v>30</v>
      </c>
      <c r="BW107" s="145">
        <v>30</v>
      </c>
      <c r="BX107" s="145">
        <v>30</v>
      </c>
      <c r="BY107" s="144">
        <v>30</v>
      </c>
      <c r="BZ107" s="144">
        <v>30</v>
      </c>
      <c r="CA107" s="144">
        <v>30</v>
      </c>
      <c r="CB107" s="144">
        <v>30</v>
      </c>
      <c r="CC107" s="144">
        <v>30</v>
      </c>
      <c r="CD107" s="144">
        <v>30</v>
      </c>
      <c r="CE107" s="144">
        <v>30</v>
      </c>
      <c r="CF107" s="144">
        <v>30</v>
      </c>
    </row>
    <row r="108" spans="1:84" ht="12" customHeight="1" x14ac:dyDescent="0.25">
      <c r="A108" s="56">
        <v>1</v>
      </c>
      <c r="B108" s="143"/>
      <c r="C108" s="145" t="s">
        <v>2249</v>
      </c>
      <c r="D108" s="145" t="s">
        <v>2249</v>
      </c>
      <c r="E108" s="145" t="s">
        <v>2249</v>
      </c>
      <c r="F108" s="145" t="s">
        <v>2249</v>
      </c>
      <c r="G108" s="144" t="s">
        <v>2249</v>
      </c>
      <c r="H108" s="145" t="s">
        <v>2249</v>
      </c>
      <c r="I108" s="145" t="s">
        <v>2249</v>
      </c>
      <c r="J108" s="145" t="s">
        <v>2249</v>
      </c>
      <c r="K108" s="145" t="s">
        <v>2249</v>
      </c>
      <c r="L108" s="144" t="s">
        <v>2249</v>
      </c>
      <c r="M108" s="145" t="s">
        <v>2249</v>
      </c>
      <c r="N108" s="145" t="s">
        <v>2249</v>
      </c>
      <c r="O108" s="145" t="s">
        <v>2249</v>
      </c>
      <c r="P108" s="145" t="s">
        <v>2249</v>
      </c>
      <c r="Q108" s="144" t="s">
        <v>2249</v>
      </c>
      <c r="R108" s="145" t="s">
        <v>2249</v>
      </c>
      <c r="S108" s="145" t="s">
        <v>2249</v>
      </c>
      <c r="T108" s="145" t="s">
        <v>2249</v>
      </c>
      <c r="U108" s="145" t="s">
        <v>2249</v>
      </c>
      <c r="V108" s="144" t="s">
        <v>2249</v>
      </c>
      <c r="W108" s="145" t="s">
        <v>2249</v>
      </c>
      <c r="X108" s="145" t="s">
        <v>2249</v>
      </c>
      <c r="Y108" s="145" t="s">
        <v>2249</v>
      </c>
      <c r="Z108" s="145" t="s">
        <v>2249</v>
      </c>
      <c r="AA108" s="144" t="s">
        <v>2249</v>
      </c>
      <c r="AB108" s="145" t="s">
        <v>2249</v>
      </c>
      <c r="AC108" s="145" t="s">
        <v>2249</v>
      </c>
      <c r="AD108" s="145" t="s">
        <v>2249</v>
      </c>
      <c r="AE108" s="145" t="s">
        <v>2249</v>
      </c>
      <c r="AF108" s="144" t="s">
        <v>2249</v>
      </c>
      <c r="AG108" s="145" t="s">
        <v>2249</v>
      </c>
      <c r="AH108" s="145" t="s">
        <v>2249</v>
      </c>
      <c r="AI108" s="145" t="s">
        <v>2249</v>
      </c>
      <c r="AJ108" s="145" t="s">
        <v>2249</v>
      </c>
      <c r="AK108" s="223" t="s">
        <v>2249</v>
      </c>
      <c r="AL108" s="145" t="s">
        <v>2249</v>
      </c>
      <c r="AM108" s="145" t="s">
        <v>2249</v>
      </c>
      <c r="AN108" s="145" t="s">
        <v>2249</v>
      </c>
      <c r="AO108" s="145" t="s">
        <v>2249</v>
      </c>
      <c r="AP108" s="223" t="s">
        <v>2249</v>
      </c>
      <c r="AQ108" s="145" t="s">
        <v>2249</v>
      </c>
      <c r="AR108" s="145" t="s">
        <v>2249</v>
      </c>
      <c r="AS108" s="145" t="s">
        <v>2249</v>
      </c>
      <c r="AT108" s="145" t="s">
        <v>2249</v>
      </c>
      <c r="AU108" s="223" t="s">
        <v>2249</v>
      </c>
      <c r="AV108" s="145" t="s">
        <v>2249</v>
      </c>
      <c r="AW108" s="145" t="s">
        <v>2249</v>
      </c>
      <c r="AX108" s="145" t="s">
        <v>2249</v>
      </c>
      <c r="AY108" s="145" t="s">
        <v>2249</v>
      </c>
      <c r="AZ108" s="223" t="s">
        <v>2249</v>
      </c>
      <c r="BA108" s="145" t="s">
        <v>2249</v>
      </c>
      <c r="BB108" s="145" t="s">
        <v>2249</v>
      </c>
      <c r="BC108" s="145" t="s">
        <v>2249</v>
      </c>
      <c r="BD108" s="145" t="s">
        <v>2249</v>
      </c>
      <c r="BE108" s="223" t="s">
        <v>2249</v>
      </c>
      <c r="BF108" s="145" t="s">
        <v>2249</v>
      </c>
      <c r="BG108" s="145" t="s">
        <v>2249</v>
      </c>
      <c r="BH108" s="145" t="s">
        <v>2249</v>
      </c>
      <c r="BI108" s="145" t="s">
        <v>2249</v>
      </c>
      <c r="BJ108" s="223" t="s">
        <v>2249</v>
      </c>
      <c r="BK108" s="145" t="s">
        <v>2249</v>
      </c>
      <c r="BL108" s="145" t="s">
        <v>2249</v>
      </c>
      <c r="BM108" s="145" t="s">
        <v>2249</v>
      </c>
      <c r="BN108" s="145" t="s">
        <v>2249</v>
      </c>
      <c r="BO108" s="223" t="s">
        <v>2249</v>
      </c>
      <c r="BP108" s="145" t="s">
        <v>2249</v>
      </c>
      <c r="BQ108" s="145" t="s">
        <v>2249</v>
      </c>
      <c r="BR108" s="145" t="s">
        <v>2249</v>
      </c>
      <c r="BS108" s="145" t="s">
        <v>2249</v>
      </c>
      <c r="BT108" s="223" t="s">
        <v>2249</v>
      </c>
      <c r="BU108" s="145" t="s">
        <v>2249</v>
      </c>
      <c r="BV108" s="145" t="s">
        <v>2249</v>
      </c>
      <c r="BW108" s="145" t="s">
        <v>2249</v>
      </c>
      <c r="BX108" s="145" t="s">
        <v>2249</v>
      </c>
      <c r="BY108" s="223" t="s">
        <v>2249</v>
      </c>
      <c r="BZ108" s="223" t="s">
        <v>2249</v>
      </c>
      <c r="CA108" s="223" t="s">
        <v>2249</v>
      </c>
      <c r="CB108" s="223" t="s">
        <v>2249</v>
      </c>
      <c r="CC108" s="223" t="s">
        <v>2249</v>
      </c>
      <c r="CD108" s="223" t="s">
        <v>2249</v>
      </c>
      <c r="CE108" s="223" t="s">
        <v>2249</v>
      </c>
      <c r="CF108" s="223" t="s">
        <v>2249</v>
      </c>
    </row>
    <row r="109" spans="1:84" ht="12" customHeight="1" x14ac:dyDescent="0.25">
      <c r="A109" s="56">
        <v>2</v>
      </c>
      <c r="B109" s="2"/>
      <c r="C109" s="4"/>
      <c r="D109" s="4"/>
      <c r="E109" s="4"/>
      <c r="F109" s="4"/>
      <c r="G109" s="55"/>
      <c r="H109" s="4"/>
      <c r="I109" s="4"/>
      <c r="J109" s="4"/>
      <c r="K109" s="4"/>
      <c r="L109" s="55"/>
      <c r="M109" s="4"/>
      <c r="N109" s="4"/>
      <c r="O109" s="4"/>
      <c r="P109" s="4"/>
      <c r="Q109" s="55"/>
      <c r="R109" s="4"/>
      <c r="S109" s="4"/>
      <c r="T109" s="4"/>
      <c r="U109" s="4"/>
      <c r="V109" s="55"/>
      <c r="W109" s="4"/>
      <c r="X109" s="4"/>
      <c r="Y109" s="4"/>
      <c r="Z109" s="4"/>
      <c r="AA109" s="55"/>
      <c r="AB109" s="4"/>
      <c r="AC109" s="4"/>
      <c r="AD109" s="4"/>
      <c r="AE109" s="4"/>
      <c r="AF109" s="55"/>
      <c r="AG109" s="4"/>
      <c r="AH109" s="4"/>
      <c r="AI109" s="4"/>
      <c r="AJ109" s="4"/>
      <c r="AK109" s="55"/>
      <c r="AL109" s="4"/>
      <c r="AM109" s="4"/>
      <c r="AN109" s="4"/>
      <c r="AO109" s="4"/>
      <c r="AP109" s="55"/>
      <c r="AQ109" s="4"/>
      <c r="AR109" s="4"/>
      <c r="AS109" s="4"/>
      <c r="AT109" s="4"/>
      <c r="AU109" s="55"/>
      <c r="AV109" s="4"/>
      <c r="AW109" s="4"/>
      <c r="AX109" s="4"/>
      <c r="AY109" s="4"/>
      <c r="AZ109" s="55"/>
      <c r="BA109" s="4"/>
      <c r="BB109" s="4"/>
      <c r="BC109" s="4"/>
      <c r="BD109" s="4"/>
      <c r="BE109" s="55"/>
      <c r="BF109" s="4"/>
      <c r="BG109" s="4"/>
      <c r="BH109" s="4"/>
      <c r="BI109" s="4"/>
      <c r="BJ109" s="55"/>
      <c r="BK109" s="4"/>
      <c r="BL109" s="4"/>
      <c r="BM109" s="4"/>
      <c r="BN109" s="4"/>
      <c r="BO109" s="55"/>
      <c r="BP109" s="4"/>
      <c r="BQ109" s="4"/>
      <c r="BR109" s="4"/>
      <c r="BS109" s="4"/>
      <c r="BT109" s="55"/>
      <c r="BU109" s="4"/>
      <c r="BV109" s="4"/>
      <c r="BW109" s="4"/>
      <c r="BX109" s="4"/>
      <c r="BY109" s="55"/>
      <c r="BZ109" s="55"/>
      <c r="CA109" s="55"/>
      <c r="CB109" s="55"/>
      <c r="CC109" s="55"/>
      <c r="CD109" s="55"/>
      <c r="CE109" s="55"/>
      <c r="CF109" s="55"/>
    </row>
    <row r="110" spans="1:84" ht="12" customHeight="1" x14ac:dyDescent="0.25">
      <c r="A110" s="2" t="s">
        <v>2252</v>
      </c>
      <c r="B110" s="2"/>
      <c r="C110" s="4"/>
      <c r="D110" s="4"/>
      <c r="E110" s="4"/>
      <c r="F110" s="4"/>
      <c r="G110" s="55"/>
      <c r="H110" s="4"/>
      <c r="I110" s="4"/>
      <c r="J110" s="4"/>
      <c r="K110" s="4"/>
      <c r="L110" s="55"/>
      <c r="M110" s="4"/>
      <c r="N110" s="4"/>
      <c r="O110" s="4"/>
      <c r="P110" s="4"/>
      <c r="Q110" s="55"/>
      <c r="R110" s="4"/>
      <c r="S110" s="4"/>
      <c r="T110" s="4"/>
      <c r="U110" s="4"/>
      <c r="V110" s="55"/>
      <c r="W110" s="4"/>
      <c r="X110" s="4"/>
      <c r="Y110" s="4"/>
      <c r="Z110" s="4"/>
      <c r="AA110" s="55"/>
      <c r="AB110" s="4"/>
      <c r="AC110" s="4"/>
      <c r="AD110" s="4"/>
      <c r="AE110" s="4"/>
      <c r="AF110" s="55"/>
      <c r="AG110" s="4"/>
      <c r="AH110" s="4"/>
      <c r="AI110" s="4"/>
      <c r="AJ110" s="4"/>
      <c r="AK110" s="55"/>
      <c r="AL110" s="4"/>
      <c r="AM110" s="4"/>
      <c r="AN110" s="4"/>
      <c r="AO110" s="4"/>
      <c r="AP110" s="55"/>
      <c r="AQ110" s="4"/>
      <c r="AR110" s="4"/>
      <c r="AS110" s="4"/>
      <c r="AT110" s="4"/>
      <c r="AU110" s="55"/>
      <c r="AV110" s="4"/>
      <c r="AW110" s="4"/>
      <c r="AX110" s="4"/>
      <c r="AY110" s="4"/>
      <c r="AZ110" s="55"/>
      <c r="BA110" s="4"/>
      <c r="BB110" s="4"/>
      <c r="BC110" s="4"/>
      <c r="BD110" s="4"/>
      <c r="BE110" s="55"/>
      <c r="BF110" s="4"/>
      <c r="BG110" s="4"/>
      <c r="BH110" s="4"/>
      <c r="BI110" s="4"/>
      <c r="BJ110" s="55"/>
      <c r="BK110" s="4"/>
      <c r="BL110" s="4"/>
      <c r="BM110" s="4"/>
      <c r="BN110" s="4"/>
      <c r="BO110" s="55"/>
      <c r="BP110" s="4"/>
      <c r="BQ110" s="4"/>
      <c r="BR110" s="4"/>
      <c r="BS110" s="4"/>
      <c r="BT110" s="55"/>
      <c r="BU110" s="4"/>
      <c r="BV110" s="4"/>
      <c r="BW110" s="4"/>
      <c r="BX110" s="4"/>
      <c r="BY110" s="55"/>
      <c r="BZ110" s="55"/>
      <c r="CA110" s="55"/>
      <c r="CB110" s="55"/>
      <c r="CC110" s="55"/>
      <c r="CD110" s="55"/>
      <c r="CE110" s="55"/>
      <c r="CF110" s="55"/>
    </row>
    <row r="111" spans="1:84" ht="12" customHeight="1" x14ac:dyDescent="0.25">
      <c r="A111" s="56">
        <v>1</v>
      </c>
      <c r="B111" s="9"/>
      <c r="C111" s="9">
        <v>0.2</v>
      </c>
      <c r="D111" s="9">
        <v>0.2</v>
      </c>
      <c r="E111" s="9">
        <v>0.2</v>
      </c>
      <c r="F111" s="9">
        <v>0.2</v>
      </c>
      <c r="G111" s="69">
        <v>0.2</v>
      </c>
      <c r="H111" s="9">
        <v>0.2</v>
      </c>
      <c r="I111" s="9">
        <v>0.2</v>
      </c>
      <c r="J111" s="9">
        <v>0.2</v>
      </c>
      <c r="K111" s="9">
        <v>0.2</v>
      </c>
      <c r="L111" s="69">
        <v>0.2</v>
      </c>
      <c r="M111" s="9">
        <v>0.2</v>
      </c>
      <c r="N111" s="9">
        <v>0.2</v>
      </c>
      <c r="O111" s="9">
        <v>0.2</v>
      </c>
      <c r="P111" s="9">
        <v>0.2</v>
      </c>
      <c r="Q111" s="69">
        <v>0.2</v>
      </c>
      <c r="R111" s="9">
        <v>0.2</v>
      </c>
      <c r="S111" s="9">
        <v>0.2</v>
      </c>
      <c r="T111" s="9">
        <v>0.2</v>
      </c>
      <c r="U111" s="9">
        <v>0.2</v>
      </c>
      <c r="V111" s="69">
        <v>0.2</v>
      </c>
      <c r="W111" s="9">
        <v>0.2</v>
      </c>
      <c r="X111" s="9">
        <v>0.2</v>
      </c>
      <c r="Y111" s="9">
        <v>0.2</v>
      </c>
      <c r="Z111" s="9">
        <v>0.21</v>
      </c>
      <c r="AA111" s="69">
        <v>0.2</v>
      </c>
      <c r="AB111" s="70">
        <v>0.21</v>
      </c>
      <c r="AC111" s="70">
        <v>0.21</v>
      </c>
      <c r="AD111" s="70">
        <v>0.21</v>
      </c>
      <c r="AE111" s="70">
        <v>0.21</v>
      </c>
      <c r="AF111" s="69">
        <v>0.21</v>
      </c>
      <c r="AG111" s="70">
        <v>0.21</v>
      </c>
      <c r="AH111" s="70">
        <v>0.21</v>
      </c>
      <c r="AI111" s="70">
        <v>0.21</v>
      </c>
      <c r="AJ111" s="70">
        <v>0.21</v>
      </c>
      <c r="AK111" s="69">
        <v>0.21</v>
      </c>
      <c r="AL111" s="70">
        <v>0.21</v>
      </c>
      <c r="AM111" s="70">
        <v>0.21</v>
      </c>
      <c r="AN111" s="70">
        <v>0.21</v>
      </c>
      <c r="AO111" s="70">
        <v>0.21</v>
      </c>
      <c r="AP111" s="69">
        <v>0.21</v>
      </c>
      <c r="AQ111" s="70">
        <v>0.21</v>
      </c>
      <c r="AR111" s="70">
        <v>0.21</v>
      </c>
      <c r="AS111" s="70">
        <v>0.21</v>
      </c>
      <c r="AT111" s="70">
        <v>0.21</v>
      </c>
      <c r="AU111" s="69">
        <v>0.21</v>
      </c>
      <c r="AV111" s="70">
        <v>0.21</v>
      </c>
      <c r="AW111" s="70">
        <v>0.21</v>
      </c>
      <c r="AX111" s="70">
        <v>0.21</v>
      </c>
      <c r="AY111" s="70">
        <v>0.21</v>
      </c>
      <c r="AZ111" s="69">
        <v>0.21</v>
      </c>
      <c r="BA111" s="70">
        <v>0.21</v>
      </c>
      <c r="BB111" s="70">
        <v>0.21</v>
      </c>
      <c r="BC111" s="70">
        <v>0.21</v>
      </c>
      <c r="BD111" s="70">
        <v>0.21</v>
      </c>
      <c r="BE111" s="69">
        <v>0.21</v>
      </c>
      <c r="BF111" s="70">
        <v>0.21</v>
      </c>
      <c r="BG111" s="70">
        <v>0.21</v>
      </c>
      <c r="BH111" s="70">
        <v>0.21</v>
      </c>
      <c r="BI111" s="70">
        <v>0.21</v>
      </c>
      <c r="BJ111" s="69">
        <v>0.21</v>
      </c>
      <c r="BK111" s="70">
        <v>0.21</v>
      </c>
      <c r="BL111" s="70">
        <v>0.21</v>
      </c>
      <c r="BM111" s="70">
        <v>0.21</v>
      </c>
      <c r="BN111" s="70">
        <v>0.21</v>
      </c>
      <c r="BO111" s="69">
        <v>0.21</v>
      </c>
      <c r="BP111" s="70">
        <v>0.21</v>
      </c>
      <c r="BQ111" s="70">
        <v>0.21</v>
      </c>
      <c r="BR111" s="70">
        <v>0.21</v>
      </c>
      <c r="BS111" s="70">
        <v>0.21</v>
      </c>
      <c r="BT111" s="69">
        <v>0.21</v>
      </c>
      <c r="BU111" s="70">
        <v>0.21</v>
      </c>
      <c r="BV111" s="70">
        <v>0.21</v>
      </c>
      <c r="BW111" s="70">
        <v>0.21</v>
      </c>
      <c r="BX111" s="70">
        <v>0.21</v>
      </c>
      <c r="BY111" s="69">
        <v>0.21</v>
      </c>
      <c r="BZ111" s="69">
        <v>0.21</v>
      </c>
      <c r="CA111" s="69">
        <v>0.21</v>
      </c>
      <c r="CB111" s="69">
        <v>0.21</v>
      </c>
      <c r="CC111" s="69">
        <v>0.21</v>
      </c>
      <c r="CD111" s="69">
        <v>0.21</v>
      </c>
      <c r="CE111" s="69">
        <v>0.21</v>
      </c>
      <c r="CF111" s="69">
        <v>0.21</v>
      </c>
    </row>
    <row r="112" spans="1:84" ht="12" customHeight="1" x14ac:dyDescent="0.25">
      <c r="A112" s="56">
        <v>2</v>
      </c>
      <c r="B112" s="9"/>
      <c r="C112" s="9">
        <v>0.2</v>
      </c>
      <c r="D112" s="9">
        <v>0.2</v>
      </c>
      <c r="E112" s="9">
        <v>0.2</v>
      </c>
      <c r="F112" s="9">
        <v>0.2</v>
      </c>
      <c r="G112" s="69">
        <v>0.2</v>
      </c>
      <c r="H112" s="9">
        <v>0.2</v>
      </c>
      <c r="I112" s="9">
        <v>0.2</v>
      </c>
      <c r="J112" s="9">
        <v>0.2</v>
      </c>
      <c r="K112" s="9">
        <v>0.2</v>
      </c>
      <c r="L112" s="69">
        <v>0.2</v>
      </c>
      <c r="M112" s="9">
        <v>0.2</v>
      </c>
      <c r="N112" s="9">
        <v>0.2</v>
      </c>
      <c r="O112" s="9">
        <v>0.2</v>
      </c>
      <c r="P112" s="9">
        <v>0.2</v>
      </c>
      <c r="Q112" s="69">
        <v>0.2</v>
      </c>
      <c r="R112" s="9">
        <v>0.2</v>
      </c>
      <c r="S112" s="9">
        <v>0.2</v>
      </c>
      <c r="T112" s="9">
        <v>0.2</v>
      </c>
      <c r="U112" s="9">
        <v>0.2</v>
      </c>
      <c r="V112" s="69">
        <v>0.2</v>
      </c>
      <c r="W112" s="9">
        <v>0.2</v>
      </c>
      <c r="X112" s="9">
        <v>0.2</v>
      </c>
      <c r="Y112" s="9">
        <v>0.2</v>
      </c>
      <c r="Z112" s="9">
        <v>0.21</v>
      </c>
      <c r="AA112" s="69">
        <v>0.2</v>
      </c>
      <c r="AB112" s="70">
        <v>0.21</v>
      </c>
      <c r="AC112" s="9">
        <v>0.21</v>
      </c>
      <c r="AD112" s="9">
        <v>0.21</v>
      </c>
      <c r="AE112" s="9">
        <v>0.21</v>
      </c>
      <c r="AF112" s="69">
        <v>0.21</v>
      </c>
      <c r="AG112" s="70">
        <v>0.21</v>
      </c>
      <c r="AH112" s="9">
        <v>0.21</v>
      </c>
      <c r="AI112" s="9">
        <v>0.21</v>
      </c>
      <c r="AJ112" s="9">
        <v>0.21</v>
      </c>
      <c r="AK112" s="69">
        <v>0.21</v>
      </c>
      <c r="AL112" s="70">
        <v>0.21</v>
      </c>
      <c r="AM112" s="9">
        <v>0.21</v>
      </c>
      <c r="AN112" s="9">
        <v>0.21</v>
      </c>
      <c r="AO112" s="9">
        <v>0.21</v>
      </c>
      <c r="AP112" s="69">
        <v>0.21</v>
      </c>
      <c r="AQ112" s="70">
        <v>0.21</v>
      </c>
      <c r="AR112" s="9">
        <v>0.21</v>
      </c>
      <c r="AS112" s="9">
        <v>0.21</v>
      </c>
      <c r="AT112" s="9">
        <v>0.21</v>
      </c>
      <c r="AU112" s="69">
        <v>0.21</v>
      </c>
      <c r="AV112" s="70">
        <v>0.21</v>
      </c>
      <c r="AW112" s="9">
        <v>0.21</v>
      </c>
      <c r="AX112" s="9">
        <v>0.21</v>
      </c>
      <c r="AY112" s="9">
        <v>0.21</v>
      </c>
      <c r="AZ112" s="69">
        <v>0.21</v>
      </c>
      <c r="BA112" s="70">
        <v>0.21</v>
      </c>
      <c r="BB112" s="9">
        <v>0.21</v>
      </c>
      <c r="BC112" s="9">
        <v>0.21</v>
      </c>
      <c r="BD112" s="9">
        <v>0.21</v>
      </c>
      <c r="BE112" s="69">
        <v>0.21</v>
      </c>
      <c r="BF112" s="70">
        <v>0.21</v>
      </c>
      <c r="BG112" s="9">
        <v>0.21</v>
      </c>
      <c r="BH112" s="9">
        <v>0.21</v>
      </c>
      <c r="BI112" s="9">
        <v>0.21</v>
      </c>
      <c r="BJ112" s="69">
        <v>0.21</v>
      </c>
      <c r="BK112" s="70">
        <v>0.21</v>
      </c>
      <c r="BL112" s="9">
        <v>0.21</v>
      </c>
      <c r="BM112" s="9">
        <v>0.21</v>
      </c>
      <c r="BN112" s="9">
        <v>0.21</v>
      </c>
      <c r="BO112" s="69">
        <v>0.21</v>
      </c>
      <c r="BP112" s="70">
        <v>0.21</v>
      </c>
      <c r="BQ112" s="9">
        <v>0.21</v>
      </c>
      <c r="BR112" s="9">
        <v>0.21</v>
      </c>
      <c r="BS112" s="9">
        <v>0.21</v>
      </c>
      <c r="BT112" s="69">
        <v>0.21</v>
      </c>
      <c r="BU112" s="70">
        <v>0.21</v>
      </c>
      <c r="BV112" s="9">
        <v>0.21</v>
      </c>
      <c r="BW112" s="9">
        <v>0.21</v>
      </c>
      <c r="BX112" s="9">
        <v>0.21</v>
      </c>
      <c r="BY112" s="69">
        <v>0.21</v>
      </c>
      <c r="BZ112" s="69">
        <v>0.21</v>
      </c>
      <c r="CA112" s="69">
        <v>0.21</v>
      </c>
      <c r="CB112" s="69">
        <v>0.21</v>
      </c>
      <c r="CC112" s="69">
        <v>0.21</v>
      </c>
      <c r="CD112" s="69">
        <v>0.21</v>
      </c>
      <c r="CE112" s="69">
        <v>0.21</v>
      </c>
      <c r="CF112" s="69">
        <v>0.21</v>
      </c>
    </row>
    <row r="113" spans="1:84" ht="12" customHeight="1" x14ac:dyDescent="0.25">
      <c r="A113" s="75"/>
      <c r="B113" s="2"/>
      <c r="C113" s="4"/>
      <c r="D113" s="4"/>
      <c r="E113" s="4"/>
      <c r="F113" s="4"/>
      <c r="G113" s="55"/>
      <c r="H113" s="4"/>
      <c r="I113" s="4"/>
      <c r="J113" s="4"/>
      <c r="K113" s="4"/>
      <c r="L113" s="55"/>
      <c r="M113" s="4"/>
      <c r="N113" s="4"/>
      <c r="O113" s="4"/>
      <c r="P113" s="4"/>
      <c r="Q113" s="55"/>
      <c r="R113" s="4"/>
      <c r="S113" s="4"/>
      <c r="T113" s="4"/>
      <c r="U113" s="4"/>
      <c r="V113" s="55"/>
      <c r="W113" s="4"/>
      <c r="X113" s="4"/>
      <c r="Y113" s="4"/>
      <c r="Z113" s="4"/>
      <c r="AA113" s="55"/>
      <c r="AB113" s="4"/>
      <c r="AC113" s="4"/>
      <c r="AD113" s="4"/>
      <c r="AE113" s="4"/>
      <c r="AF113" s="55"/>
      <c r="AG113" s="4"/>
      <c r="AH113" s="4"/>
      <c r="AI113" s="4"/>
      <c r="AJ113" s="4"/>
      <c r="AK113" s="55"/>
      <c r="AL113" s="4"/>
      <c r="AM113" s="4"/>
      <c r="AN113" s="4"/>
      <c r="AO113" s="4"/>
      <c r="AP113" s="55"/>
      <c r="AQ113" s="4"/>
      <c r="AR113" s="4"/>
      <c r="AS113" s="4"/>
      <c r="AT113" s="4"/>
      <c r="AU113" s="55"/>
      <c r="AV113" s="4"/>
      <c r="AW113" s="4"/>
      <c r="AX113" s="4"/>
      <c r="AY113" s="4"/>
      <c r="AZ113" s="55"/>
      <c r="BA113" s="4"/>
      <c r="BB113" s="4"/>
      <c r="BC113" s="4"/>
      <c r="BD113" s="4"/>
      <c r="BE113" s="55"/>
      <c r="BF113" s="4"/>
      <c r="BG113" s="4"/>
      <c r="BH113" s="4"/>
      <c r="BI113" s="4"/>
      <c r="BJ113" s="55"/>
      <c r="BK113" s="4"/>
      <c r="BL113" s="4"/>
      <c r="BM113" s="4"/>
      <c r="BN113" s="4"/>
      <c r="BO113" s="55"/>
      <c r="BP113" s="4"/>
      <c r="BQ113" s="4"/>
      <c r="BR113" s="4"/>
      <c r="BS113" s="4"/>
      <c r="BT113" s="55"/>
      <c r="BU113" s="4"/>
      <c r="BV113" s="4"/>
      <c r="BW113" s="4"/>
      <c r="BX113" s="4"/>
      <c r="BY113" s="55"/>
      <c r="BZ113" s="55"/>
      <c r="CA113" s="55"/>
      <c r="CB113" s="55"/>
      <c r="CC113" s="55"/>
      <c r="CD113" s="55"/>
      <c r="CE113" s="55"/>
      <c r="CF113" s="55"/>
    </row>
    <row r="114" spans="1:84" ht="12" customHeight="1" x14ac:dyDescent="0.25">
      <c r="A114" s="6" t="s">
        <v>68</v>
      </c>
      <c r="B114" s="9"/>
      <c r="C114" s="146"/>
      <c r="D114" s="70"/>
      <c r="E114" s="70"/>
      <c r="F114" s="70"/>
      <c r="G114" s="69"/>
      <c r="H114" s="146"/>
      <c r="I114" s="70"/>
      <c r="J114" s="70"/>
      <c r="K114" s="70"/>
      <c r="L114" s="69"/>
      <c r="M114" s="146"/>
      <c r="N114" s="70"/>
      <c r="O114" s="70"/>
      <c r="P114" s="70"/>
      <c r="Q114" s="69"/>
      <c r="R114" s="146"/>
      <c r="S114" s="70"/>
      <c r="T114" s="70"/>
      <c r="U114" s="70"/>
      <c r="V114" s="69"/>
      <c r="W114" s="146"/>
      <c r="X114" s="70"/>
      <c r="Y114" s="70"/>
      <c r="Z114" s="70"/>
      <c r="AA114" s="69"/>
      <c r="AB114" s="146"/>
      <c r="AC114" s="70"/>
      <c r="AD114" s="70"/>
      <c r="AE114" s="70"/>
      <c r="AF114" s="69"/>
      <c r="AG114" s="146"/>
      <c r="AH114" s="70"/>
      <c r="AI114" s="70"/>
      <c r="AJ114" s="70"/>
      <c r="AK114" s="69"/>
      <c r="AL114" s="146"/>
      <c r="AM114" s="70"/>
      <c r="AN114" s="70"/>
      <c r="AO114" s="70"/>
      <c r="AP114" s="69"/>
      <c r="AQ114" s="146"/>
      <c r="AR114" s="70"/>
      <c r="AS114" s="70"/>
      <c r="AT114" s="70"/>
      <c r="AU114" s="69"/>
      <c r="AV114" s="146"/>
      <c r="AW114" s="70"/>
      <c r="AX114" s="70"/>
      <c r="AY114" s="70"/>
      <c r="AZ114" s="69"/>
      <c r="BA114" s="146"/>
      <c r="BB114" s="70"/>
      <c r="BC114" s="70"/>
      <c r="BD114" s="70"/>
      <c r="BE114" s="69"/>
      <c r="BF114" s="146"/>
      <c r="BG114" s="70"/>
      <c r="BH114" s="70"/>
      <c r="BI114" s="70"/>
      <c r="BJ114" s="69"/>
      <c r="BK114" s="146"/>
      <c r="BL114" s="70"/>
      <c r="BM114" s="70"/>
      <c r="BN114" s="70"/>
      <c r="BO114" s="69"/>
      <c r="BP114" s="146"/>
      <c r="BQ114" s="70"/>
      <c r="BR114" s="70"/>
      <c r="BS114" s="70"/>
      <c r="BT114" s="69"/>
      <c r="BU114" s="146"/>
      <c r="BV114" s="70"/>
      <c r="BW114" s="70"/>
      <c r="BX114" s="70"/>
      <c r="BY114" s="69"/>
      <c r="BZ114" s="69"/>
      <c r="CA114" s="69"/>
      <c r="CB114" s="69"/>
      <c r="CC114" s="69"/>
      <c r="CD114" s="69"/>
      <c r="CE114" s="69"/>
      <c r="CF114" s="69"/>
    </row>
    <row r="115" spans="1:84" ht="12" customHeight="1" x14ac:dyDescent="0.25">
      <c r="A115" s="6" t="s">
        <v>69</v>
      </c>
      <c r="B115" s="9"/>
      <c r="C115" s="146"/>
      <c r="D115" s="70"/>
      <c r="E115" s="70"/>
      <c r="F115" s="70"/>
      <c r="G115" s="69"/>
      <c r="H115" s="146"/>
      <c r="I115" s="70"/>
      <c r="J115" s="70"/>
      <c r="K115" s="70"/>
      <c r="L115" s="69"/>
      <c r="M115" s="146"/>
      <c r="N115" s="70"/>
      <c r="O115" s="70"/>
      <c r="P115" s="70"/>
      <c r="Q115" s="69"/>
      <c r="R115" s="146"/>
      <c r="S115" s="70"/>
      <c r="T115" s="70"/>
      <c r="U115" s="70"/>
      <c r="V115" s="69"/>
      <c r="W115" s="146"/>
      <c r="X115" s="70"/>
      <c r="Y115" s="70"/>
      <c r="Z115" s="70"/>
      <c r="AA115" s="69"/>
      <c r="AB115" s="146"/>
      <c r="AC115" s="70"/>
      <c r="AD115" s="70"/>
      <c r="AE115" s="70"/>
      <c r="AF115" s="69"/>
      <c r="AG115" s="146"/>
      <c r="AH115" s="70"/>
      <c r="AI115" s="70"/>
      <c r="AJ115" s="70"/>
      <c r="AK115" s="69"/>
      <c r="AL115" s="146"/>
      <c r="AM115" s="70"/>
      <c r="AN115" s="70"/>
      <c r="AO115" s="70"/>
      <c r="AP115" s="69"/>
      <c r="AQ115" s="146"/>
      <c r="AR115" s="70"/>
      <c r="AS115" s="70"/>
      <c r="AT115" s="70"/>
      <c r="AU115" s="69"/>
      <c r="AV115" s="146"/>
      <c r="AW115" s="70"/>
      <c r="AX115" s="70"/>
      <c r="AY115" s="70"/>
      <c r="AZ115" s="69"/>
      <c r="BA115" s="146"/>
      <c r="BB115" s="70"/>
      <c r="BC115" s="70"/>
      <c r="BD115" s="70"/>
      <c r="BE115" s="69"/>
      <c r="BF115" s="146"/>
      <c r="BG115" s="70"/>
      <c r="BH115" s="70"/>
      <c r="BI115" s="70"/>
      <c r="BJ115" s="69"/>
      <c r="BK115" s="146"/>
      <c r="BL115" s="70"/>
      <c r="BM115" s="70"/>
      <c r="BN115" s="70"/>
      <c r="BO115" s="69"/>
      <c r="BP115" s="146"/>
      <c r="BQ115" s="70"/>
      <c r="BR115" s="70"/>
      <c r="BS115" s="70"/>
      <c r="BT115" s="69"/>
      <c r="BU115" s="146"/>
      <c r="BV115" s="70"/>
      <c r="BW115" s="70"/>
      <c r="BX115" s="70"/>
      <c r="BY115" s="69"/>
      <c r="BZ115" s="69"/>
      <c r="CA115" s="69"/>
      <c r="CB115" s="69"/>
      <c r="CC115" s="69"/>
      <c r="CD115" s="69"/>
      <c r="CE115" s="69"/>
      <c r="CF115" s="69"/>
    </row>
    <row r="116" spans="1:84" ht="12" customHeight="1" x14ac:dyDescent="0.25">
      <c r="A116" s="147">
        <v>1</v>
      </c>
      <c r="B116" s="148"/>
      <c r="C116" s="148">
        <v>50</v>
      </c>
      <c r="D116" s="148">
        <v>50</v>
      </c>
      <c r="E116" s="148">
        <v>50</v>
      </c>
      <c r="F116" s="148">
        <v>50</v>
      </c>
      <c r="G116" s="149">
        <v>50</v>
      </c>
      <c r="H116" s="148">
        <v>50</v>
      </c>
      <c r="I116" s="148">
        <v>50</v>
      </c>
      <c r="J116" s="148">
        <v>50</v>
      </c>
      <c r="K116" s="148">
        <v>50</v>
      </c>
      <c r="L116" s="149">
        <v>50</v>
      </c>
      <c r="M116" s="148">
        <v>50</v>
      </c>
      <c r="N116" s="148">
        <v>50</v>
      </c>
      <c r="O116" s="148">
        <v>50</v>
      </c>
      <c r="P116" s="148">
        <v>50</v>
      </c>
      <c r="Q116" s="149">
        <v>50</v>
      </c>
      <c r="R116" s="148">
        <v>50</v>
      </c>
      <c r="S116" s="148">
        <v>50</v>
      </c>
      <c r="T116" s="148">
        <v>50</v>
      </c>
      <c r="U116" s="148">
        <v>50</v>
      </c>
      <c r="V116" s="149">
        <v>50</v>
      </c>
      <c r="W116" s="148">
        <v>50</v>
      </c>
      <c r="X116" s="148">
        <v>50</v>
      </c>
      <c r="Y116" s="148">
        <v>50</v>
      </c>
      <c r="Z116" s="148">
        <v>50</v>
      </c>
      <c r="AA116" s="149">
        <v>50</v>
      </c>
      <c r="AB116" s="148">
        <v>50</v>
      </c>
      <c r="AC116" s="148">
        <v>50</v>
      </c>
      <c r="AD116" s="148">
        <v>50</v>
      </c>
      <c r="AE116" s="148">
        <v>50</v>
      </c>
      <c r="AF116" s="149">
        <v>50</v>
      </c>
      <c r="AG116" s="148">
        <v>50</v>
      </c>
      <c r="AH116" s="148">
        <v>50</v>
      </c>
      <c r="AI116" s="148">
        <v>50</v>
      </c>
      <c r="AJ116" s="148">
        <v>50</v>
      </c>
      <c r="AK116" s="149">
        <v>50</v>
      </c>
      <c r="AL116" s="148">
        <v>50</v>
      </c>
      <c r="AM116" s="148">
        <v>50</v>
      </c>
      <c r="AN116" s="148">
        <v>50</v>
      </c>
      <c r="AO116" s="148">
        <v>50</v>
      </c>
      <c r="AP116" s="149">
        <v>50</v>
      </c>
      <c r="AQ116" s="148">
        <v>50</v>
      </c>
      <c r="AR116" s="148">
        <v>50</v>
      </c>
      <c r="AS116" s="148">
        <v>50</v>
      </c>
      <c r="AT116" s="148">
        <v>50</v>
      </c>
      <c r="AU116" s="149">
        <v>50</v>
      </c>
      <c r="AV116" s="148">
        <v>50</v>
      </c>
      <c r="AW116" s="148">
        <v>50</v>
      </c>
      <c r="AX116" s="148">
        <v>50</v>
      </c>
      <c r="AY116" s="148">
        <v>50</v>
      </c>
      <c r="AZ116" s="149">
        <v>50</v>
      </c>
      <c r="BA116" s="148">
        <v>50</v>
      </c>
      <c r="BB116" s="148">
        <v>50</v>
      </c>
      <c r="BC116" s="148">
        <v>50</v>
      </c>
      <c r="BD116" s="148">
        <v>50</v>
      </c>
      <c r="BE116" s="149">
        <v>50</v>
      </c>
      <c r="BF116" s="148">
        <v>50</v>
      </c>
      <c r="BG116" s="148">
        <v>50</v>
      </c>
      <c r="BH116" s="148">
        <v>50</v>
      </c>
      <c r="BI116" s="148">
        <v>50</v>
      </c>
      <c r="BJ116" s="149">
        <v>50</v>
      </c>
      <c r="BK116" s="148">
        <v>50</v>
      </c>
      <c r="BL116" s="148">
        <v>50</v>
      </c>
      <c r="BM116" s="148">
        <v>50</v>
      </c>
      <c r="BN116" s="148">
        <v>50</v>
      </c>
      <c r="BO116" s="149">
        <v>50</v>
      </c>
      <c r="BP116" s="148">
        <v>50</v>
      </c>
      <c r="BQ116" s="148">
        <v>50</v>
      </c>
      <c r="BR116" s="148">
        <v>50</v>
      </c>
      <c r="BS116" s="148">
        <v>50</v>
      </c>
      <c r="BT116" s="149">
        <v>50</v>
      </c>
      <c r="BU116" s="148">
        <v>50</v>
      </c>
      <c r="BV116" s="148">
        <v>50</v>
      </c>
      <c r="BW116" s="148">
        <v>50</v>
      </c>
      <c r="BX116" s="148">
        <v>50</v>
      </c>
      <c r="BY116" s="149">
        <v>50</v>
      </c>
      <c r="BZ116" s="149">
        <v>50</v>
      </c>
      <c r="CA116" s="149">
        <v>50</v>
      </c>
      <c r="CB116" s="149">
        <v>50</v>
      </c>
      <c r="CC116" s="149">
        <v>50</v>
      </c>
      <c r="CD116" s="149">
        <v>50</v>
      </c>
      <c r="CE116" s="149">
        <v>50</v>
      </c>
      <c r="CF116" s="149">
        <v>50</v>
      </c>
    </row>
    <row r="117" spans="1:84" ht="12" customHeight="1" x14ac:dyDescent="0.25">
      <c r="A117" s="147">
        <v>2</v>
      </c>
      <c r="B117" s="148"/>
      <c r="C117" s="148">
        <v>100</v>
      </c>
      <c r="D117" s="148">
        <v>100</v>
      </c>
      <c r="E117" s="148">
        <v>100</v>
      </c>
      <c r="F117" s="148">
        <v>100</v>
      </c>
      <c r="G117" s="149">
        <v>100</v>
      </c>
      <c r="H117" s="148">
        <v>100</v>
      </c>
      <c r="I117" s="148">
        <v>100</v>
      </c>
      <c r="J117" s="148">
        <v>100</v>
      </c>
      <c r="K117" s="148">
        <v>100</v>
      </c>
      <c r="L117" s="149">
        <v>100</v>
      </c>
      <c r="M117" s="148">
        <v>100</v>
      </c>
      <c r="N117" s="148">
        <v>100</v>
      </c>
      <c r="O117" s="148">
        <v>100</v>
      </c>
      <c r="P117" s="148">
        <v>100</v>
      </c>
      <c r="Q117" s="149">
        <v>100</v>
      </c>
      <c r="R117" s="148">
        <v>100</v>
      </c>
      <c r="S117" s="148">
        <v>100</v>
      </c>
      <c r="T117" s="148">
        <v>100</v>
      </c>
      <c r="U117" s="148">
        <v>100</v>
      </c>
      <c r="V117" s="149">
        <v>100</v>
      </c>
      <c r="W117" s="148">
        <v>100</v>
      </c>
      <c r="X117" s="148">
        <v>100</v>
      </c>
      <c r="Y117" s="148">
        <v>100</v>
      </c>
      <c r="Z117" s="148">
        <v>100</v>
      </c>
      <c r="AA117" s="149">
        <v>100</v>
      </c>
      <c r="AB117" s="148">
        <v>100</v>
      </c>
      <c r="AC117" s="148">
        <v>100</v>
      </c>
      <c r="AD117" s="148">
        <v>100</v>
      </c>
      <c r="AE117" s="148">
        <v>100</v>
      </c>
      <c r="AF117" s="149">
        <v>100</v>
      </c>
      <c r="AG117" s="148">
        <v>100</v>
      </c>
      <c r="AH117" s="148">
        <v>100</v>
      </c>
      <c r="AI117" s="148">
        <v>100</v>
      </c>
      <c r="AJ117" s="148">
        <v>100</v>
      </c>
      <c r="AK117" s="149">
        <v>100</v>
      </c>
      <c r="AL117" s="148">
        <v>100</v>
      </c>
      <c r="AM117" s="148">
        <v>100</v>
      </c>
      <c r="AN117" s="148">
        <v>100</v>
      </c>
      <c r="AO117" s="148">
        <v>100</v>
      </c>
      <c r="AP117" s="149">
        <v>100</v>
      </c>
      <c r="AQ117" s="148">
        <v>100</v>
      </c>
      <c r="AR117" s="148">
        <v>100</v>
      </c>
      <c r="AS117" s="148">
        <v>100</v>
      </c>
      <c r="AT117" s="148">
        <v>100</v>
      </c>
      <c r="AU117" s="149">
        <v>100</v>
      </c>
      <c r="AV117" s="148">
        <v>100</v>
      </c>
      <c r="AW117" s="148">
        <v>100</v>
      </c>
      <c r="AX117" s="148">
        <v>100</v>
      </c>
      <c r="AY117" s="148">
        <v>100</v>
      </c>
      <c r="AZ117" s="149">
        <v>100</v>
      </c>
      <c r="BA117" s="148">
        <v>100</v>
      </c>
      <c r="BB117" s="148">
        <v>100</v>
      </c>
      <c r="BC117" s="148">
        <v>100</v>
      </c>
      <c r="BD117" s="148">
        <v>100</v>
      </c>
      <c r="BE117" s="149">
        <v>100</v>
      </c>
      <c r="BF117" s="148">
        <v>100</v>
      </c>
      <c r="BG117" s="148">
        <v>100</v>
      </c>
      <c r="BH117" s="148">
        <v>100</v>
      </c>
      <c r="BI117" s="148">
        <v>100</v>
      </c>
      <c r="BJ117" s="149">
        <v>100</v>
      </c>
      <c r="BK117" s="148">
        <v>100</v>
      </c>
      <c r="BL117" s="148">
        <v>100</v>
      </c>
      <c r="BM117" s="148">
        <v>100</v>
      </c>
      <c r="BN117" s="148">
        <v>100</v>
      </c>
      <c r="BO117" s="149">
        <v>100</v>
      </c>
      <c r="BP117" s="148">
        <v>100</v>
      </c>
      <c r="BQ117" s="148">
        <v>100</v>
      </c>
      <c r="BR117" s="148">
        <v>100</v>
      </c>
      <c r="BS117" s="148">
        <v>100</v>
      </c>
      <c r="BT117" s="149">
        <v>100</v>
      </c>
      <c r="BU117" s="148">
        <v>100</v>
      </c>
      <c r="BV117" s="148">
        <v>100</v>
      </c>
      <c r="BW117" s="148">
        <v>100</v>
      </c>
      <c r="BX117" s="148">
        <v>100</v>
      </c>
      <c r="BY117" s="149">
        <v>100</v>
      </c>
      <c r="BZ117" s="149">
        <v>100</v>
      </c>
      <c r="CA117" s="149">
        <v>100</v>
      </c>
      <c r="CB117" s="149">
        <v>100</v>
      </c>
      <c r="CC117" s="149">
        <v>100</v>
      </c>
      <c r="CD117" s="149">
        <v>100</v>
      </c>
      <c r="CE117" s="149">
        <v>100</v>
      </c>
      <c r="CF117" s="149">
        <v>100</v>
      </c>
    </row>
    <row r="118" spans="1:84" ht="12" customHeight="1" x14ac:dyDescent="0.25">
      <c r="A118" s="147">
        <v>3</v>
      </c>
      <c r="B118" s="148"/>
      <c r="C118" s="148">
        <v>101</v>
      </c>
      <c r="D118" s="148">
        <v>101</v>
      </c>
      <c r="E118" s="148">
        <v>101</v>
      </c>
      <c r="F118" s="148">
        <v>101</v>
      </c>
      <c r="G118" s="149">
        <v>101</v>
      </c>
      <c r="H118" s="148">
        <v>101</v>
      </c>
      <c r="I118" s="148">
        <v>101</v>
      </c>
      <c r="J118" s="148">
        <v>101</v>
      </c>
      <c r="K118" s="148">
        <v>101</v>
      </c>
      <c r="L118" s="149">
        <v>101</v>
      </c>
      <c r="M118" s="148">
        <v>101</v>
      </c>
      <c r="N118" s="148">
        <v>101</v>
      </c>
      <c r="O118" s="148">
        <v>101</v>
      </c>
      <c r="P118" s="148">
        <v>101</v>
      </c>
      <c r="Q118" s="149">
        <v>101</v>
      </c>
      <c r="R118" s="148">
        <v>101</v>
      </c>
      <c r="S118" s="148">
        <v>101</v>
      </c>
      <c r="T118" s="148">
        <v>101</v>
      </c>
      <c r="U118" s="148">
        <v>101</v>
      </c>
      <c r="V118" s="149">
        <v>101</v>
      </c>
      <c r="W118" s="148">
        <v>101</v>
      </c>
      <c r="X118" s="148">
        <v>101</v>
      </c>
      <c r="Y118" s="148">
        <v>101</v>
      </c>
      <c r="Z118" s="148">
        <v>101</v>
      </c>
      <c r="AA118" s="149">
        <v>101</v>
      </c>
      <c r="AB118" s="148">
        <v>101</v>
      </c>
      <c r="AC118" s="148">
        <v>101</v>
      </c>
      <c r="AD118" s="148">
        <v>101</v>
      </c>
      <c r="AE118" s="148">
        <v>101</v>
      </c>
      <c r="AF118" s="149">
        <v>101</v>
      </c>
      <c r="AG118" s="148">
        <v>101</v>
      </c>
      <c r="AH118" s="148">
        <v>101</v>
      </c>
      <c r="AI118" s="148">
        <v>101</v>
      </c>
      <c r="AJ118" s="148">
        <v>101</v>
      </c>
      <c r="AK118" s="149">
        <v>101</v>
      </c>
      <c r="AL118" s="148">
        <v>101</v>
      </c>
      <c r="AM118" s="148">
        <v>101</v>
      </c>
      <c r="AN118" s="148">
        <v>101</v>
      </c>
      <c r="AO118" s="148">
        <v>101</v>
      </c>
      <c r="AP118" s="149">
        <v>101</v>
      </c>
      <c r="AQ118" s="148">
        <v>101</v>
      </c>
      <c r="AR118" s="148">
        <v>101</v>
      </c>
      <c r="AS118" s="148">
        <v>101</v>
      </c>
      <c r="AT118" s="148">
        <v>101</v>
      </c>
      <c r="AU118" s="149">
        <v>101</v>
      </c>
      <c r="AV118" s="148">
        <v>101</v>
      </c>
      <c r="AW118" s="148">
        <v>101</v>
      </c>
      <c r="AX118" s="148">
        <v>101</v>
      </c>
      <c r="AY118" s="148">
        <v>101</v>
      </c>
      <c r="AZ118" s="149">
        <v>101</v>
      </c>
      <c r="BA118" s="148">
        <v>101</v>
      </c>
      <c r="BB118" s="148">
        <v>101</v>
      </c>
      <c r="BC118" s="148">
        <v>101</v>
      </c>
      <c r="BD118" s="148">
        <v>101</v>
      </c>
      <c r="BE118" s="149">
        <v>101</v>
      </c>
      <c r="BF118" s="148">
        <v>101</v>
      </c>
      <c r="BG118" s="148">
        <v>101</v>
      </c>
      <c r="BH118" s="148">
        <v>101</v>
      </c>
      <c r="BI118" s="148">
        <v>101</v>
      </c>
      <c r="BJ118" s="149">
        <v>101</v>
      </c>
      <c r="BK118" s="148">
        <v>101</v>
      </c>
      <c r="BL118" s="148">
        <v>101</v>
      </c>
      <c r="BM118" s="148">
        <v>101</v>
      </c>
      <c r="BN118" s="148">
        <v>101</v>
      </c>
      <c r="BO118" s="149">
        <v>101</v>
      </c>
      <c r="BP118" s="148">
        <v>101</v>
      </c>
      <c r="BQ118" s="148">
        <v>101</v>
      </c>
      <c r="BR118" s="148">
        <v>101</v>
      </c>
      <c r="BS118" s="148">
        <v>101</v>
      </c>
      <c r="BT118" s="149">
        <v>101</v>
      </c>
      <c r="BU118" s="148">
        <v>101</v>
      </c>
      <c r="BV118" s="148">
        <v>101</v>
      </c>
      <c r="BW118" s="148">
        <v>101</v>
      </c>
      <c r="BX118" s="148">
        <v>101</v>
      </c>
      <c r="BY118" s="149">
        <v>101</v>
      </c>
      <c r="BZ118" s="149">
        <v>101</v>
      </c>
      <c r="CA118" s="149">
        <v>101</v>
      </c>
      <c r="CB118" s="149">
        <v>101</v>
      </c>
      <c r="CC118" s="149">
        <v>101</v>
      </c>
      <c r="CD118" s="149">
        <v>101</v>
      </c>
      <c r="CE118" s="149">
        <v>101</v>
      </c>
      <c r="CF118" s="149">
        <v>101</v>
      </c>
    </row>
    <row r="119" spans="1:84" ht="12" customHeight="1" x14ac:dyDescent="0.25">
      <c r="A119" s="6" t="s">
        <v>70</v>
      </c>
      <c r="B119" s="9"/>
      <c r="C119" s="146"/>
      <c r="D119" s="70"/>
      <c r="E119" s="70"/>
      <c r="F119" s="70"/>
      <c r="G119" s="69"/>
      <c r="H119" s="146"/>
      <c r="I119" s="70"/>
      <c r="J119" s="70"/>
      <c r="K119" s="70"/>
      <c r="L119" s="69"/>
      <c r="M119" s="146"/>
      <c r="N119" s="70"/>
      <c r="O119" s="70"/>
      <c r="P119" s="70"/>
      <c r="Q119" s="69"/>
      <c r="R119" s="146"/>
      <c r="S119" s="70"/>
      <c r="T119" s="70"/>
      <c r="U119" s="70"/>
      <c r="V119" s="69"/>
      <c r="W119" s="146"/>
      <c r="X119" s="70"/>
      <c r="Y119" s="70"/>
      <c r="Z119" s="70"/>
      <c r="AA119" s="69"/>
      <c r="AB119" s="146"/>
      <c r="AC119" s="70"/>
      <c r="AD119" s="70"/>
      <c r="AE119" s="70"/>
      <c r="AF119" s="69"/>
      <c r="AG119" s="146"/>
      <c r="AH119" s="70"/>
      <c r="AI119" s="70"/>
      <c r="AJ119" s="70"/>
      <c r="AK119" s="69"/>
      <c r="AL119" s="146"/>
      <c r="AM119" s="70"/>
      <c r="AN119" s="70"/>
      <c r="AO119" s="70"/>
      <c r="AP119" s="69"/>
      <c r="AQ119" s="146"/>
      <c r="AR119" s="70"/>
      <c r="AS119" s="70"/>
      <c r="AT119" s="70"/>
      <c r="AU119" s="69"/>
      <c r="AV119" s="146"/>
      <c r="AW119" s="70"/>
      <c r="AX119" s="70"/>
      <c r="AY119" s="70"/>
      <c r="AZ119" s="69"/>
      <c r="BA119" s="146"/>
      <c r="BB119" s="70"/>
      <c r="BC119" s="70"/>
      <c r="BD119" s="70"/>
      <c r="BE119" s="69"/>
      <c r="BF119" s="146"/>
      <c r="BG119" s="70"/>
      <c r="BH119" s="70"/>
      <c r="BI119" s="70"/>
      <c r="BJ119" s="69"/>
      <c r="BK119" s="146"/>
      <c r="BL119" s="70"/>
      <c r="BM119" s="70"/>
      <c r="BN119" s="70"/>
      <c r="BO119" s="69"/>
      <c r="BP119" s="146"/>
      <c r="BQ119" s="70"/>
      <c r="BR119" s="70"/>
      <c r="BS119" s="70"/>
      <c r="BT119" s="69"/>
      <c r="BU119" s="146"/>
      <c r="BV119" s="70"/>
      <c r="BW119" s="70"/>
      <c r="BX119" s="70"/>
      <c r="BY119" s="69"/>
      <c r="BZ119" s="69"/>
      <c r="CA119" s="69"/>
      <c r="CB119" s="69"/>
      <c r="CC119" s="69"/>
      <c r="CD119" s="69"/>
      <c r="CE119" s="69"/>
      <c r="CF119" s="69"/>
    </row>
    <row r="120" spans="1:84" ht="12" customHeight="1" x14ac:dyDescent="0.25">
      <c r="A120" s="6">
        <v>1</v>
      </c>
      <c r="B120" s="9"/>
      <c r="C120" s="9">
        <v>0.03</v>
      </c>
      <c r="D120" s="70">
        <v>0.03</v>
      </c>
      <c r="E120" s="70">
        <v>0.03</v>
      </c>
      <c r="F120" s="9">
        <v>0.03</v>
      </c>
      <c r="G120" s="69">
        <v>0.03</v>
      </c>
      <c r="H120" s="9">
        <v>0.03</v>
      </c>
      <c r="I120" s="70">
        <v>0.03</v>
      </c>
      <c r="J120" s="70">
        <v>0.03</v>
      </c>
      <c r="K120" s="9">
        <v>0.03</v>
      </c>
      <c r="L120" s="69">
        <v>0.03</v>
      </c>
      <c r="M120" s="9">
        <v>0.03</v>
      </c>
      <c r="N120" s="70">
        <v>0.03</v>
      </c>
      <c r="O120" s="70">
        <v>0.03</v>
      </c>
      <c r="P120" s="9">
        <v>0.03</v>
      </c>
      <c r="Q120" s="69">
        <v>0.03</v>
      </c>
      <c r="R120" s="9">
        <v>0.03</v>
      </c>
      <c r="S120" s="70">
        <v>0.03</v>
      </c>
      <c r="T120" s="70">
        <v>0.03</v>
      </c>
      <c r="U120" s="9">
        <v>0.03</v>
      </c>
      <c r="V120" s="69">
        <v>0.03</v>
      </c>
      <c r="W120" s="9">
        <v>0.03</v>
      </c>
      <c r="X120" s="70">
        <v>0.03</v>
      </c>
      <c r="Y120" s="70">
        <v>0.03</v>
      </c>
      <c r="Z120" s="9">
        <v>0.03</v>
      </c>
      <c r="AA120" s="69">
        <v>0.03</v>
      </c>
      <c r="AB120" s="9">
        <v>0.03</v>
      </c>
      <c r="AC120" s="70">
        <v>0.03</v>
      </c>
      <c r="AD120" s="70">
        <v>0.03</v>
      </c>
      <c r="AE120" s="9">
        <v>0.03</v>
      </c>
      <c r="AF120" s="69">
        <v>0.03</v>
      </c>
      <c r="AG120" s="9">
        <v>0.03</v>
      </c>
      <c r="AH120" s="70">
        <v>0.03</v>
      </c>
      <c r="AI120" s="70">
        <v>0.03</v>
      </c>
      <c r="AJ120" s="9">
        <v>0.03</v>
      </c>
      <c r="AK120" s="69">
        <v>0.03</v>
      </c>
      <c r="AL120" s="9">
        <v>0.03</v>
      </c>
      <c r="AM120" s="70">
        <v>0.03</v>
      </c>
      <c r="AN120" s="70">
        <v>0.03</v>
      </c>
      <c r="AO120" s="9">
        <v>0.03</v>
      </c>
      <c r="AP120" s="69">
        <v>0.03</v>
      </c>
      <c r="AQ120" s="9">
        <v>0.03</v>
      </c>
      <c r="AR120" s="70">
        <v>0.03</v>
      </c>
      <c r="AS120" s="70">
        <v>0.03</v>
      </c>
      <c r="AT120" s="9">
        <v>0.03</v>
      </c>
      <c r="AU120" s="69">
        <v>0.03</v>
      </c>
      <c r="AV120" s="9">
        <v>0.03</v>
      </c>
      <c r="AW120" s="70">
        <v>0.03</v>
      </c>
      <c r="AX120" s="70">
        <v>0.03</v>
      </c>
      <c r="AY120" s="9">
        <v>0.03</v>
      </c>
      <c r="AZ120" s="69">
        <v>0.03</v>
      </c>
      <c r="BA120" s="9">
        <v>0.03</v>
      </c>
      <c r="BB120" s="70">
        <v>0.03</v>
      </c>
      <c r="BC120" s="70">
        <v>0.03</v>
      </c>
      <c r="BD120" s="9">
        <v>0.03</v>
      </c>
      <c r="BE120" s="69">
        <v>0.03</v>
      </c>
      <c r="BF120" s="9">
        <v>0.03</v>
      </c>
      <c r="BG120" s="70">
        <v>0.03</v>
      </c>
      <c r="BH120" s="70">
        <v>0.03</v>
      </c>
      <c r="BI120" s="9">
        <v>0.03</v>
      </c>
      <c r="BJ120" s="69">
        <v>0.03</v>
      </c>
      <c r="BK120" s="9">
        <v>0.03</v>
      </c>
      <c r="BL120" s="70">
        <v>0.03</v>
      </c>
      <c r="BM120" s="70">
        <v>0.03</v>
      </c>
      <c r="BN120" s="9">
        <v>0.03</v>
      </c>
      <c r="BO120" s="69">
        <v>0.03</v>
      </c>
      <c r="BP120" s="9">
        <v>0.03</v>
      </c>
      <c r="BQ120" s="70">
        <v>0.03</v>
      </c>
      <c r="BR120" s="70">
        <v>0.03</v>
      </c>
      <c r="BS120" s="9">
        <v>0.03</v>
      </c>
      <c r="BT120" s="69">
        <v>0.03</v>
      </c>
      <c r="BU120" s="9">
        <v>0.03</v>
      </c>
      <c r="BV120" s="70">
        <v>0.03</v>
      </c>
      <c r="BW120" s="70">
        <v>0.03</v>
      </c>
      <c r="BX120" s="9">
        <v>0.03</v>
      </c>
      <c r="BY120" s="69">
        <v>0.03</v>
      </c>
      <c r="BZ120" s="69">
        <v>0.03</v>
      </c>
      <c r="CA120" s="69">
        <v>0.03</v>
      </c>
      <c r="CB120" s="69">
        <v>0.03</v>
      </c>
      <c r="CC120" s="69">
        <v>0.03</v>
      </c>
      <c r="CD120" s="69">
        <v>0.03</v>
      </c>
      <c r="CE120" s="69">
        <v>0.03</v>
      </c>
      <c r="CF120" s="69">
        <v>0.03</v>
      </c>
    </row>
    <row r="121" spans="1:84" ht="12" customHeight="1" x14ac:dyDescent="0.25">
      <c r="A121" s="6">
        <v>2</v>
      </c>
      <c r="B121" s="9"/>
      <c r="C121" s="9">
        <v>0.04</v>
      </c>
      <c r="D121" s="70">
        <v>0.04</v>
      </c>
      <c r="E121" s="70">
        <v>0.04</v>
      </c>
      <c r="F121" s="9">
        <v>0.04</v>
      </c>
      <c r="G121" s="69">
        <v>0.04</v>
      </c>
      <c r="H121" s="9">
        <v>0.04</v>
      </c>
      <c r="I121" s="70">
        <v>0.04</v>
      </c>
      <c r="J121" s="70">
        <v>0.04</v>
      </c>
      <c r="K121" s="9">
        <v>0.04</v>
      </c>
      <c r="L121" s="69">
        <v>0.04</v>
      </c>
      <c r="M121" s="9">
        <v>0.04</v>
      </c>
      <c r="N121" s="70">
        <v>0.04</v>
      </c>
      <c r="O121" s="70">
        <v>0.04</v>
      </c>
      <c r="P121" s="9">
        <v>0.04</v>
      </c>
      <c r="Q121" s="69">
        <v>0.04</v>
      </c>
      <c r="R121" s="9">
        <v>0.04</v>
      </c>
      <c r="S121" s="70">
        <v>0.04</v>
      </c>
      <c r="T121" s="70">
        <v>0.04</v>
      </c>
      <c r="U121" s="9">
        <v>0.04</v>
      </c>
      <c r="V121" s="69">
        <v>0.04</v>
      </c>
      <c r="W121" s="9">
        <v>0.04</v>
      </c>
      <c r="X121" s="70">
        <v>0.04</v>
      </c>
      <c r="Y121" s="70">
        <v>0.04</v>
      </c>
      <c r="Z121" s="9">
        <v>0.04</v>
      </c>
      <c r="AA121" s="69">
        <v>0.04</v>
      </c>
      <c r="AB121" s="9">
        <v>0.04</v>
      </c>
      <c r="AC121" s="70">
        <v>0.04</v>
      </c>
      <c r="AD121" s="70">
        <v>0.04</v>
      </c>
      <c r="AE121" s="9">
        <v>0.04</v>
      </c>
      <c r="AF121" s="69">
        <v>0.04</v>
      </c>
      <c r="AG121" s="9">
        <v>0.04</v>
      </c>
      <c r="AH121" s="70">
        <v>0.04</v>
      </c>
      <c r="AI121" s="70">
        <v>0.04</v>
      </c>
      <c r="AJ121" s="9">
        <v>0.04</v>
      </c>
      <c r="AK121" s="69">
        <v>0.04</v>
      </c>
      <c r="AL121" s="9">
        <v>0.04</v>
      </c>
      <c r="AM121" s="70">
        <v>0.04</v>
      </c>
      <c r="AN121" s="70">
        <v>0.04</v>
      </c>
      <c r="AO121" s="9">
        <v>0.04</v>
      </c>
      <c r="AP121" s="69">
        <v>0.04</v>
      </c>
      <c r="AQ121" s="9">
        <v>0.04</v>
      </c>
      <c r="AR121" s="70">
        <v>0.04</v>
      </c>
      <c r="AS121" s="70">
        <v>0.04</v>
      </c>
      <c r="AT121" s="9">
        <v>0.04</v>
      </c>
      <c r="AU121" s="69">
        <v>0.04</v>
      </c>
      <c r="AV121" s="9">
        <v>0.04</v>
      </c>
      <c r="AW121" s="70">
        <v>0.04</v>
      </c>
      <c r="AX121" s="70">
        <v>0.04</v>
      </c>
      <c r="AY121" s="9">
        <v>0.04</v>
      </c>
      <c r="AZ121" s="69">
        <v>0.04</v>
      </c>
      <c r="BA121" s="9">
        <v>0.04</v>
      </c>
      <c r="BB121" s="70">
        <v>0.04</v>
      </c>
      <c r="BC121" s="70">
        <v>0.04</v>
      </c>
      <c r="BD121" s="9">
        <v>0.04</v>
      </c>
      <c r="BE121" s="69">
        <v>0.04</v>
      </c>
      <c r="BF121" s="9">
        <v>0.04</v>
      </c>
      <c r="BG121" s="70">
        <v>0.04</v>
      </c>
      <c r="BH121" s="70">
        <v>0.04</v>
      </c>
      <c r="BI121" s="9">
        <v>0.04</v>
      </c>
      <c r="BJ121" s="69">
        <v>0.04</v>
      </c>
      <c r="BK121" s="9">
        <v>0.04</v>
      </c>
      <c r="BL121" s="70">
        <v>0.04</v>
      </c>
      <c r="BM121" s="70">
        <v>0.04</v>
      </c>
      <c r="BN121" s="9">
        <v>0.04</v>
      </c>
      <c r="BO121" s="69">
        <v>0.04</v>
      </c>
      <c r="BP121" s="9">
        <v>0.04</v>
      </c>
      <c r="BQ121" s="70">
        <v>0.04</v>
      </c>
      <c r="BR121" s="70">
        <v>0.04</v>
      </c>
      <c r="BS121" s="9">
        <v>0.04</v>
      </c>
      <c r="BT121" s="69">
        <v>0.04</v>
      </c>
      <c r="BU121" s="9">
        <v>0.04</v>
      </c>
      <c r="BV121" s="70">
        <v>0.04</v>
      </c>
      <c r="BW121" s="70">
        <v>0.04</v>
      </c>
      <c r="BX121" s="9">
        <v>0.04</v>
      </c>
      <c r="BY121" s="69">
        <v>0.04</v>
      </c>
      <c r="BZ121" s="69">
        <v>0.04</v>
      </c>
      <c r="CA121" s="69">
        <v>0.04</v>
      </c>
      <c r="CB121" s="69">
        <v>0.04</v>
      </c>
      <c r="CC121" s="69">
        <v>0.04</v>
      </c>
      <c r="CD121" s="69">
        <v>0.04</v>
      </c>
      <c r="CE121" s="69">
        <v>0.04</v>
      </c>
      <c r="CF121" s="69">
        <v>0.04</v>
      </c>
    </row>
    <row r="122" spans="1:84" ht="12" customHeight="1" x14ac:dyDescent="0.25">
      <c r="A122" s="6">
        <v>3</v>
      </c>
      <c r="B122" s="9"/>
      <c r="C122" s="9">
        <v>0.05</v>
      </c>
      <c r="D122" s="70">
        <v>0.05</v>
      </c>
      <c r="E122" s="70">
        <v>0.05</v>
      </c>
      <c r="F122" s="9">
        <v>0.05</v>
      </c>
      <c r="G122" s="69">
        <v>0.05</v>
      </c>
      <c r="H122" s="9">
        <v>0.05</v>
      </c>
      <c r="I122" s="70">
        <v>0.05</v>
      </c>
      <c r="J122" s="70">
        <v>0.05</v>
      </c>
      <c r="K122" s="9">
        <v>0.05</v>
      </c>
      <c r="L122" s="69">
        <v>0.05</v>
      </c>
      <c r="M122" s="9">
        <v>0.05</v>
      </c>
      <c r="N122" s="70">
        <v>0.05</v>
      </c>
      <c r="O122" s="70">
        <v>0.05</v>
      </c>
      <c r="P122" s="9">
        <v>0.05</v>
      </c>
      <c r="Q122" s="69">
        <v>0.05</v>
      </c>
      <c r="R122" s="9">
        <v>0.05</v>
      </c>
      <c r="S122" s="70">
        <v>0.05</v>
      </c>
      <c r="T122" s="70">
        <v>0.05</v>
      </c>
      <c r="U122" s="9">
        <v>0.05</v>
      </c>
      <c r="V122" s="69">
        <v>0.05</v>
      </c>
      <c r="W122" s="9">
        <v>0.05</v>
      </c>
      <c r="X122" s="70">
        <v>0.05</v>
      </c>
      <c r="Y122" s="70">
        <v>0.05</v>
      </c>
      <c r="Z122" s="9">
        <v>0.05</v>
      </c>
      <c r="AA122" s="69">
        <v>0.05</v>
      </c>
      <c r="AB122" s="9">
        <v>0.05</v>
      </c>
      <c r="AC122" s="70">
        <v>0.05</v>
      </c>
      <c r="AD122" s="70">
        <v>0.05</v>
      </c>
      <c r="AE122" s="9">
        <v>0.05</v>
      </c>
      <c r="AF122" s="69">
        <v>0.05</v>
      </c>
      <c r="AG122" s="9">
        <v>0.05</v>
      </c>
      <c r="AH122" s="70">
        <v>0.05</v>
      </c>
      <c r="AI122" s="70">
        <v>0.05</v>
      </c>
      <c r="AJ122" s="9">
        <v>0.05</v>
      </c>
      <c r="AK122" s="69">
        <v>0.05</v>
      </c>
      <c r="AL122" s="9">
        <v>0.05</v>
      </c>
      <c r="AM122" s="70">
        <v>0.05</v>
      </c>
      <c r="AN122" s="70">
        <v>0.05</v>
      </c>
      <c r="AO122" s="9">
        <v>0.05</v>
      </c>
      <c r="AP122" s="69">
        <v>0.05</v>
      </c>
      <c r="AQ122" s="9">
        <v>0.05</v>
      </c>
      <c r="AR122" s="70">
        <v>0.05</v>
      </c>
      <c r="AS122" s="70">
        <v>0.05</v>
      </c>
      <c r="AT122" s="9">
        <v>0.05</v>
      </c>
      <c r="AU122" s="69">
        <v>0.05</v>
      </c>
      <c r="AV122" s="9">
        <v>0.05</v>
      </c>
      <c r="AW122" s="70">
        <v>0.05</v>
      </c>
      <c r="AX122" s="70">
        <v>0.05</v>
      </c>
      <c r="AY122" s="9">
        <v>0.05</v>
      </c>
      <c r="AZ122" s="69">
        <v>0.05</v>
      </c>
      <c r="BA122" s="9">
        <v>0.05</v>
      </c>
      <c r="BB122" s="70">
        <v>0.05</v>
      </c>
      <c r="BC122" s="70">
        <v>0.05</v>
      </c>
      <c r="BD122" s="9">
        <v>0.05</v>
      </c>
      <c r="BE122" s="69">
        <v>0.05</v>
      </c>
      <c r="BF122" s="9">
        <v>0.05</v>
      </c>
      <c r="BG122" s="70">
        <v>0.05</v>
      </c>
      <c r="BH122" s="70">
        <v>0.05</v>
      </c>
      <c r="BI122" s="9">
        <v>0.05</v>
      </c>
      <c r="BJ122" s="69">
        <v>0.05</v>
      </c>
      <c r="BK122" s="9">
        <v>0.05</v>
      </c>
      <c r="BL122" s="70">
        <v>0.05</v>
      </c>
      <c r="BM122" s="70">
        <v>0.05</v>
      </c>
      <c r="BN122" s="9">
        <v>0.05</v>
      </c>
      <c r="BO122" s="69">
        <v>0.05</v>
      </c>
      <c r="BP122" s="9">
        <v>0.05</v>
      </c>
      <c r="BQ122" s="70">
        <v>0.05</v>
      </c>
      <c r="BR122" s="70">
        <v>0.05</v>
      </c>
      <c r="BS122" s="9">
        <v>0.05</v>
      </c>
      <c r="BT122" s="69">
        <v>0.05</v>
      </c>
      <c r="BU122" s="9">
        <v>0.05</v>
      </c>
      <c r="BV122" s="70">
        <v>0.05</v>
      </c>
      <c r="BW122" s="70">
        <v>0.05</v>
      </c>
      <c r="BX122" s="9">
        <v>0.05</v>
      </c>
      <c r="BY122" s="69">
        <v>0.05</v>
      </c>
      <c r="BZ122" s="69">
        <v>0.05</v>
      </c>
      <c r="CA122" s="69">
        <v>0.05</v>
      </c>
      <c r="CB122" s="69">
        <v>0.05</v>
      </c>
      <c r="CC122" s="69">
        <v>0.05</v>
      </c>
      <c r="CD122" s="69">
        <v>0.05</v>
      </c>
      <c r="CE122" s="69">
        <v>0.05</v>
      </c>
      <c r="CF122" s="69">
        <v>0.05</v>
      </c>
    </row>
    <row r="123" spans="1:84" ht="12" customHeight="1" x14ac:dyDescent="0.25">
      <c r="A123" s="6"/>
      <c r="B123" s="9"/>
      <c r="C123" s="146"/>
      <c r="D123" s="70"/>
      <c r="E123" s="70"/>
      <c r="F123" s="70"/>
      <c r="G123" s="69"/>
      <c r="H123" s="146"/>
      <c r="I123" s="70"/>
      <c r="J123" s="70"/>
      <c r="K123" s="70"/>
      <c r="L123" s="69"/>
      <c r="M123" s="146"/>
      <c r="N123" s="70"/>
      <c r="O123" s="70"/>
      <c r="P123" s="70"/>
      <c r="Q123" s="69"/>
      <c r="R123" s="146"/>
      <c r="S123" s="70"/>
      <c r="T123" s="70"/>
      <c r="U123" s="70"/>
      <c r="V123" s="69"/>
      <c r="W123" s="146"/>
      <c r="X123" s="70"/>
      <c r="Y123" s="70"/>
      <c r="Z123" s="70"/>
      <c r="AA123" s="69"/>
      <c r="AB123" s="146"/>
      <c r="AC123" s="70"/>
      <c r="AD123" s="70"/>
      <c r="AE123" s="70"/>
      <c r="AF123" s="69"/>
      <c r="AG123" s="146"/>
      <c r="AH123" s="70"/>
      <c r="AI123" s="70"/>
      <c r="AJ123" s="70"/>
      <c r="AK123" s="69"/>
      <c r="AL123" s="146"/>
      <c r="AM123" s="70"/>
      <c r="AN123" s="70"/>
      <c r="AO123" s="70"/>
      <c r="AP123" s="69"/>
      <c r="AQ123" s="146"/>
      <c r="AR123" s="70"/>
      <c r="AS123" s="70"/>
      <c r="AT123" s="70"/>
      <c r="AU123" s="69"/>
      <c r="AV123" s="146"/>
      <c r="AW123" s="70"/>
      <c r="AX123" s="70"/>
      <c r="AY123" s="70"/>
      <c r="AZ123" s="69"/>
      <c r="BA123" s="146"/>
      <c r="BB123" s="70"/>
      <c r="BC123" s="70"/>
      <c r="BD123" s="70"/>
      <c r="BE123" s="69"/>
      <c r="BF123" s="146"/>
      <c r="BG123" s="70"/>
      <c r="BH123" s="70"/>
      <c r="BI123" s="70"/>
      <c r="BJ123" s="69"/>
      <c r="BK123" s="146"/>
      <c r="BL123" s="70"/>
      <c r="BM123" s="70"/>
      <c r="BN123" s="70"/>
      <c r="BO123" s="69"/>
      <c r="BP123" s="146"/>
      <c r="BQ123" s="70"/>
      <c r="BR123" s="70"/>
      <c r="BS123" s="70"/>
      <c r="BT123" s="69"/>
      <c r="BU123" s="146"/>
      <c r="BV123" s="70"/>
      <c r="BW123" s="70"/>
      <c r="BX123" s="70"/>
      <c r="BY123" s="69"/>
      <c r="BZ123" s="69"/>
      <c r="CA123" s="69"/>
      <c r="CB123" s="69"/>
      <c r="CC123" s="69"/>
      <c r="CD123" s="69"/>
      <c r="CE123" s="69"/>
      <c r="CF123" s="69"/>
    </row>
    <row r="124" spans="1:84" ht="12" customHeight="1" x14ac:dyDescent="0.25">
      <c r="A124" s="2" t="s">
        <v>2253</v>
      </c>
      <c r="B124" s="71"/>
      <c r="C124" s="71">
        <v>2</v>
      </c>
      <c r="D124" s="74">
        <v>2</v>
      </c>
      <c r="E124" s="74">
        <v>2</v>
      </c>
      <c r="F124" s="71">
        <v>2</v>
      </c>
      <c r="G124" s="72">
        <v>2</v>
      </c>
      <c r="H124" s="71">
        <v>2</v>
      </c>
      <c r="I124" s="74">
        <v>2</v>
      </c>
      <c r="J124" s="74">
        <v>2</v>
      </c>
      <c r="K124" s="71">
        <v>2</v>
      </c>
      <c r="L124" s="72">
        <v>2</v>
      </c>
      <c r="M124" s="71">
        <v>2</v>
      </c>
      <c r="N124" s="74">
        <v>2</v>
      </c>
      <c r="O124" s="74">
        <v>2</v>
      </c>
      <c r="P124" s="71">
        <v>2</v>
      </c>
      <c r="Q124" s="72">
        <v>2</v>
      </c>
      <c r="R124" s="71">
        <v>2</v>
      </c>
      <c r="S124" s="74">
        <v>2</v>
      </c>
      <c r="T124" s="74">
        <v>2</v>
      </c>
      <c r="U124" s="71">
        <v>2</v>
      </c>
      <c r="V124" s="72">
        <v>2</v>
      </c>
      <c r="W124" s="71">
        <v>2</v>
      </c>
      <c r="X124" s="74">
        <v>2</v>
      </c>
      <c r="Y124" s="74">
        <v>2</v>
      </c>
      <c r="Z124" s="71">
        <v>2</v>
      </c>
      <c r="AA124" s="72">
        <v>2</v>
      </c>
      <c r="AB124" s="71">
        <v>2</v>
      </c>
      <c r="AC124" s="74">
        <v>2</v>
      </c>
      <c r="AD124" s="74">
        <v>2</v>
      </c>
      <c r="AE124" s="71">
        <v>2</v>
      </c>
      <c r="AF124" s="72">
        <v>2</v>
      </c>
      <c r="AG124" s="71">
        <v>2</v>
      </c>
      <c r="AH124" s="74">
        <v>2</v>
      </c>
      <c r="AI124" s="74">
        <v>2</v>
      </c>
      <c r="AJ124" s="71">
        <v>2</v>
      </c>
      <c r="AK124" s="72">
        <v>2</v>
      </c>
      <c r="AL124" s="71">
        <v>2</v>
      </c>
      <c r="AM124" s="74">
        <v>2</v>
      </c>
      <c r="AN124" s="74">
        <v>2</v>
      </c>
      <c r="AO124" s="71">
        <v>2</v>
      </c>
      <c r="AP124" s="72">
        <v>2</v>
      </c>
      <c r="AQ124" s="71">
        <v>2</v>
      </c>
      <c r="AR124" s="74">
        <v>2</v>
      </c>
      <c r="AS124" s="74">
        <v>2</v>
      </c>
      <c r="AT124" s="71">
        <v>2</v>
      </c>
      <c r="AU124" s="72">
        <v>2</v>
      </c>
      <c r="AV124" s="71">
        <v>2</v>
      </c>
      <c r="AW124" s="74">
        <v>2</v>
      </c>
      <c r="AX124" s="74">
        <v>2</v>
      </c>
      <c r="AY124" s="71">
        <v>2</v>
      </c>
      <c r="AZ124" s="72">
        <v>2</v>
      </c>
      <c r="BA124" s="71">
        <v>2</v>
      </c>
      <c r="BB124" s="74">
        <v>2</v>
      </c>
      <c r="BC124" s="74">
        <v>2</v>
      </c>
      <c r="BD124" s="71">
        <v>2</v>
      </c>
      <c r="BE124" s="72">
        <v>2</v>
      </c>
      <c r="BF124" s="71">
        <v>2</v>
      </c>
      <c r="BG124" s="74">
        <v>2</v>
      </c>
      <c r="BH124" s="74">
        <v>2</v>
      </c>
      <c r="BI124" s="71">
        <v>2</v>
      </c>
      <c r="BJ124" s="72">
        <v>2</v>
      </c>
      <c r="BK124" s="71">
        <v>2</v>
      </c>
      <c r="BL124" s="74">
        <v>2</v>
      </c>
      <c r="BM124" s="74">
        <v>2</v>
      </c>
      <c r="BN124" s="71">
        <v>2</v>
      </c>
      <c r="BO124" s="72">
        <v>2</v>
      </c>
      <c r="BP124" s="71">
        <v>2</v>
      </c>
      <c r="BQ124" s="74">
        <v>2</v>
      </c>
      <c r="BR124" s="74">
        <v>2</v>
      </c>
      <c r="BS124" s="71">
        <v>2</v>
      </c>
      <c r="BT124" s="72">
        <v>2</v>
      </c>
      <c r="BU124" s="71">
        <v>2</v>
      </c>
      <c r="BV124" s="74">
        <v>2</v>
      </c>
      <c r="BW124" s="74">
        <v>2</v>
      </c>
      <c r="BX124" s="71">
        <v>2</v>
      </c>
      <c r="BY124" s="72">
        <v>2</v>
      </c>
      <c r="BZ124" s="72">
        <v>2</v>
      </c>
      <c r="CA124" s="72">
        <v>2</v>
      </c>
      <c r="CB124" s="72">
        <v>2</v>
      </c>
      <c r="CC124" s="72">
        <v>2</v>
      </c>
      <c r="CD124" s="72">
        <v>2</v>
      </c>
      <c r="CE124" s="72">
        <v>2</v>
      </c>
      <c r="CF124" s="72">
        <v>2</v>
      </c>
    </row>
    <row r="125" spans="1:84" ht="12" customHeight="1" x14ac:dyDescent="0.25">
      <c r="A125" s="2"/>
      <c r="B125" s="71"/>
      <c r="C125" s="71"/>
      <c r="D125" s="74"/>
      <c r="E125" s="74"/>
      <c r="F125" s="71"/>
      <c r="G125" s="72"/>
      <c r="H125" s="71"/>
      <c r="I125" s="74"/>
      <c r="J125" s="74"/>
      <c r="K125" s="71"/>
      <c r="L125" s="72"/>
      <c r="M125" s="71"/>
      <c r="N125" s="74"/>
      <c r="O125" s="74"/>
      <c r="P125" s="71"/>
      <c r="Q125" s="72"/>
      <c r="R125" s="71"/>
      <c r="S125" s="74"/>
      <c r="T125" s="74"/>
      <c r="U125" s="71"/>
      <c r="V125" s="72"/>
      <c r="W125" s="71"/>
      <c r="X125" s="74"/>
      <c r="Y125" s="74"/>
      <c r="Z125" s="71"/>
      <c r="AA125" s="72"/>
      <c r="AB125" s="71"/>
      <c r="AC125" s="74"/>
      <c r="AD125" s="74"/>
      <c r="AE125" s="71"/>
      <c r="AF125" s="72"/>
      <c r="AG125" s="71"/>
      <c r="AH125" s="74"/>
      <c r="AI125" s="74"/>
      <c r="AJ125" s="71"/>
      <c r="AK125" s="72"/>
      <c r="AL125" s="71"/>
      <c r="AM125" s="74"/>
      <c r="AN125" s="74"/>
      <c r="AO125" s="71"/>
      <c r="AP125" s="72"/>
      <c r="AQ125" s="71"/>
      <c r="AR125" s="74"/>
      <c r="AS125" s="74"/>
      <c r="AT125" s="71"/>
      <c r="AU125" s="72"/>
      <c r="AV125" s="71"/>
      <c r="AW125" s="74"/>
      <c r="AX125" s="74"/>
      <c r="AY125" s="71"/>
      <c r="AZ125" s="72"/>
      <c r="BA125" s="71"/>
      <c r="BB125" s="74"/>
      <c r="BC125" s="74"/>
      <c r="BD125" s="71"/>
      <c r="BE125" s="72"/>
      <c r="BF125" s="71"/>
      <c r="BG125" s="74"/>
      <c r="BH125" s="74"/>
      <c r="BI125" s="71"/>
      <c r="BJ125" s="72"/>
      <c r="BK125" s="71"/>
      <c r="BL125" s="74"/>
      <c r="BM125" s="74"/>
      <c r="BN125" s="71"/>
      <c r="BO125" s="72"/>
      <c r="BP125" s="71"/>
      <c r="BQ125" s="74"/>
      <c r="BR125" s="74"/>
      <c r="BS125" s="71"/>
      <c r="BT125" s="72"/>
      <c r="BU125" s="71"/>
      <c r="BV125" s="74"/>
      <c r="BW125" s="74"/>
      <c r="BX125" s="71"/>
      <c r="BY125" s="72"/>
      <c r="BZ125" s="72"/>
      <c r="CA125" s="72"/>
      <c r="CB125" s="72"/>
      <c r="CC125" s="72"/>
      <c r="CD125" s="72"/>
      <c r="CE125" s="72"/>
      <c r="CF125" s="72"/>
    </row>
    <row r="126" spans="1:84" ht="12" customHeight="1" x14ac:dyDescent="0.25">
      <c r="A126" s="2"/>
      <c r="B126" s="71"/>
      <c r="C126" s="71"/>
      <c r="D126" s="74"/>
      <c r="E126" s="74"/>
      <c r="F126" s="71"/>
      <c r="G126" s="72"/>
      <c r="H126" s="71"/>
      <c r="I126" s="74"/>
      <c r="J126" s="74"/>
      <c r="K126" s="71"/>
      <c r="L126" s="72"/>
      <c r="M126" s="71"/>
      <c r="N126" s="74"/>
      <c r="O126" s="74"/>
      <c r="P126" s="71"/>
      <c r="Q126" s="72"/>
      <c r="R126" s="71"/>
      <c r="S126" s="74"/>
      <c r="T126" s="74"/>
      <c r="U126" s="71"/>
      <c r="V126" s="72"/>
      <c r="W126" s="71"/>
      <c r="X126" s="74"/>
      <c r="Y126" s="74"/>
      <c r="Z126" s="71"/>
      <c r="AA126" s="72"/>
      <c r="AB126" s="71"/>
      <c r="AC126" s="74"/>
      <c r="AD126" s="74"/>
      <c r="AE126" s="71"/>
      <c r="AF126" s="72"/>
      <c r="AG126" s="71"/>
      <c r="AH126" s="74"/>
      <c r="AI126" s="74"/>
      <c r="AJ126" s="71"/>
      <c r="AK126" s="72"/>
      <c r="AL126" s="71"/>
      <c r="AM126" s="74"/>
      <c r="AN126" s="74"/>
      <c r="AO126" s="71"/>
      <c r="AP126" s="72"/>
      <c r="AQ126" s="71"/>
      <c r="AR126" s="74"/>
      <c r="AS126" s="74"/>
      <c r="AT126" s="71"/>
      <c r="AU126" s="72"/>
      <c r="AV126" s="71"/>
      <c r="AW126" s="74"/>
      <c r="AX126" s="74"/>
      <c r="AY126" s="71"/>
      <c r="AZ126" s="72"/>
      <c r="BA126" s="71"/>
      <c r="BB126" s="74"/>
      <c r="BC126" s="74"/>
      <c r="BD126" s="71"/>
      <c r="BE126" s="72"/>
      <c r="BF126" s="71"/>
      <c r="BG126" s="74"/>
      <c r="BH126" s="74"/>
      <c r="BI126" s="71"/>
      <c r="BJ126" s="72"/>
      <c r="BK126" s="71"/>
      <c r="BL126" s="74"/>
      <c r="BM126" s="74"/>
      <c r="BN126" s="71"/>
      <c r="BO126" s="72"/>
      <c r="BP126" s="71"/>
      <c r="BQ126" s="74"/>
      <c r="BR126" s="74"/>
      <c r="BS126" s="71"/>
      <c r="BT126" s="72"/>
      <c r="BU126" s="71"/>
      <c r="BV126" s="74"/>
      <c r="BW126" s="74"/>
      <c r="BX126" s="71"/>
      <c r="BY126" s="72"/>
      <c r="BZ126" s="72"/>
      <c r="CA126" s="72"/>
      <c r="CB126" s="72"/>
      <c r="CC126" s="72"/>
      <c r="CD126" s="72"/>
      <c r="CE126" s="72"/>
      <c r="CF126" s="72"/>
    </row>
    <row r="127" spans="1:84" ht="12" customHeight="1" x14ac:dyDescent="0.25">
      <c r="A127" s="2"/>
      <c r="B127" s="71"/>
      <c r="C127" s="71"/>
      <c r="D127" s="74"/>
      <c r="E127" s="74"/>
      <c r="F127" s="71"/>
      <c r="G127" s="72"/>
      <c r="H127" s="71"/>
      <c r="I127" s="74"/>
      <c r="J127" s="74"/>
      <c r="K127" s="71"/>
      <c r="L127" s="72"/>
      <c r="M127" s="71"/>
      <c r="N127" s="74"/>
      <c r="O127" s="74"/>
      <c r="P127" s="71"/>
      <c r="Q127" s="72"/>
      <c r="R127" s="71"/>
      <c r="S127" s="74"/>
      <c r="T127" s="74"/>
      <c r="U127" s="71"/>
      <c r="V127" s="72"/>
      <c r="W127" s="71"/>
      <c r="X127" s="74"/>
      <c r="Y127" s="74"/>
      <c r="Z127" s="71"/>
      <c r="AA127" s="72"/>
      <c r="AB127" s="71"/>
      <c r="AC127" s="74"/>
      <c r="AD127" s="74"/>
      <c r="AE127" s="71"/>
      <c r="AF127" s="72"/>
      <c r="AG127" s="71"/>
      <c r="AH127" s="74"/>
      <c r="AI127" s="74"/>
      <c r="AJ127" s="71"/>
      <c r="AK127" s="72"/>
      <c r="AL127" s="71"/>
      <c r="AM127" s="74"/>
      <c r="AN127" s="74"/>
      <c r="AO127" s="71"/>
      <c r="AP127" s="72"/>
      <c r="AQ127" s="71"/>
      <c r="AR127" s="74"/>
      <c r="AS127" s="74"/>
      <c r="AT127" s="71"/>
      <c r="AU127" s="72"/>
      <c r="AV127" s="71"/>
      <c r="AW127" s="74"/>
      <c r="AX127" s="74"/>
      <c r="AY127" s="71"/>
      <c r="AZ127" s="72"/>
      <c r="BA127" s="71"/>
      <c r="BB127" s="74"/>
      <c r="BC127" s="74"/>
      <c r="BD127" s="71"/>
      <c r="BE127" s="72"/>
      <c r="BF127" s="71"/>
      <c r="BG127" s="74"/>
      <c r="BH127" s="74"/>
      <c r="BI127" s="71"/>
      <c r="BJ127" s="72"/>
      <c r="BK127" s="71"/>
      <c r="BL127" s="74"/>
      <c r="BM127" s="74"/>
      <c r="BN127" s="71"/>
      <c r="BO127" s="72"/>
      <c r="BP127" s="71"/>
      <c r="BQ127" s="74"/>
      <c r="BR127" s="74"/>
      <c r="BS127" s="71"/>
      <c r="BT127" s="72"/>
      <c r="BU127" s="71"/>
      <c r="BV127" s="74"/>
      <c r="BW127" s="74"/>
      <c r="BX127" s="71"/>
      <c r="BY127" s="72"/>
      <c r="BZ127" s="72"/>
      <c r="CA127" s="72"/>
      <c r="CB127" s="72"/>
      <c r="CC127" s="72"/>
      <c r="CD127" s="72"/>
      <c r="CE127" s="72"/>
      <c r="CF127" s="72"/>
    </row>
    <row r="128" spans="1:84" ht="12" customHeight="1" x14ac:dyDescent="0.25">
      <c r="A128" s="2"/>
      <c r="B128" s="71"/>
      <c r="C128" s="73"/>
      <c r="D128" s="74"/>
      <c r="E128" s="74"/>
      <c r="F128" s="74"/>
      <c r="G128" s="72"/>
      <c r="H128" s="73"/>
      <c r="I128" s="74"/>
      <c r="J128" s="74"/>
      <c r="K128" s="74"/>
      <c r="L128" s="72"/>
      <c r="M128" s="73"/>
      <c r="N128" s="74"/>
      <c r="O128" s="74"/>
      <c r="P128" s="74"/>
      <c r="Q128" s="72"/>
      <c r="R128" s="73"/>
      <c r="S128" s="74"/>
      <c r="T128" s="74"/>
      <c r="U128" s="74"/>
      <c r="V128" s="72"/>
      <c r="W128" s="73"/>
      <c r="X128" s="74"/>
      <c r="Y128" s="74"/>
      <c r="Z128" s="74"/>
      <c r="AA128" s="72"/>
      <c r="AB128" s="73"/>
      <c r="AC128" s="74"/>
      <c r="AD128" s="74"/>
      <c r="AE128" s="74"/>
      <c r="AF128" s="72"/>
      <c r="AG128" s="73"/>
      <c r="AH128" s="74"/>
      <c r="AI128" s="74"/>
      <c r="AJ128" s="74"/>
      <c r="AK128" s="72"/>
      <c r="AL128" s="73"/>
      <c r="AM128" s="74"/>
      <c r="AN128" s="74"/>
      <c r="AO128" s="74"/>
      <c r="AP128" s="72"/>
      <c r="AQ128" s="73"/>
      <c r="AR128" s="74"/>
      <c r="AS128" s="74"/>
      <c r="AT128" s="74"/>
      <c r="AU128" s="72"/>
      <c r="AV128" s="73"/>
      <c r="AW128" s="74"/>
      <c r="AX128" s="74"/>
      <c r="AY128" s="2895"/>
      <c r="AZ128" s="2895"/>
      <c r="BA128" s="74"/>
      <c r="BB128" s="74"/>
      <c r="BC128" s="74"/>
      <c r="BD128" s="74"/>
      <c r="BE128" s="72"/>
      <c r="BF128" s="74"/>
      <c r="BG128" s="74"/>
      <c r="BH128" s="74"/>
      <c r="BI128" s="2895"/>
      <c r="BJ128" s="2895"/>
      <c r="BK128" s="74"/>
      <c r="BL128" s="74"/>
      <c r="BM128" s="74"/>
      <c r="BN128" s="2895"/>
      <c r="BO128" s="2895"/>
      <c r="BP128" s="74"/>
      <c r="BQ128" s="74"/>
      <c r="BR128" s="74"/>
      <c r="BS128" s="2895"/>
      <c r="BT128" s="72"/>
      <c r="BU128" s="74"/>
      <c r="BV128" s="74"/>
      <c r="BW128" s="74"/>
      <c r="BX128" s="2895"/>
      <c r="BY128" s="72"/>
      <c r="BZ128" s="72"/>
      <c r="CA128" s="72"/>
      <c r="CB128" s="72"/>
      <c r="CC128" s="72"/>
      <c r="CD128" s="72"/>
      <c r="CE128" s="72"/>
      <c r="CF128" s="72"/>
    </row>
    <row r="129" spans="1:84" ht="12" customHeight="1" x14ac:dyDescent="0.25">
      <c r="A129" s="75" t="s">
        <v>895</v>
      </c>
      <c r="B129" s="2"/>
      <c r="C129" s="53"/>
      <c r="D129" s="4"/>
      <c r="E129" s="4"/>
      <c r="F129" s="4"/>
      <c r="G129" s="55"/>
      <c r="H129" s="53"/>
      <c r="I129" s="4"/>
      <c r="J129" s="4"/>
      <c r="K129" s="4"/>
      <c r="L129" s="55"/>
      <c r="M129" s="53"/>
      <c r="N129" s="4"/>
      <c r="O129" s="4"/>
      <c r="P129" s="4"/>
      <c r="Q129" s="55"/>
      <c r="R129" s="53"/>
      <c r="S129" s="4"/>
      <c r="T129" s="4"/>
      <c r="U129" s="4"/>
      <c r="V129" s="55"/>
      <c r="W129" s="53"/>
      <c r="X129" s="4"/>
      <c r="Y129" s="4"/>
      <c r="Z129" s="4"/>
      <c r="AA129" s="55"/>
      <c r="AB129" s="53"/>
      <c r="AC129" s="4"/>
      <c r="AD129" s="4"/>
      <c r="AE129" s="4"/>
      <c r="AF129" s="55"/>
      <c r="AG129" s="53"/>
      <c r="AH129" s="4"/>
      <c r="AI129" s="4"/>
      <c r="AJ129" s="4"/>
      <c r="AK129" s="55"/>
      <c r="AL129" s="53"/>
      <c r="AM129" s="4"/>
      <c r="AN129" s="4"/>
      <c r="AO129" s="4"/>
      <c r="AP129" s="55"/>
      <c r="AQ129" s="53"/>
      <c r="AR129" s="4"/>
      <c r="AS129" s="4"/>
      <c r="AT129" s="4"/>
      <c r="AU129" s="55"/>
      <c r="AV129" s="53"/>
      <c r="AW129" s="4"/>
      <c r="AX129" s="4"/>
      <c r="AY129" s="1679"/>
      <c r="AZ129" s="1679"/>
      <c r="BA129" s="4"/>
      <c r="BB129" s="4"/>
      <c r="BC129" s="4"/>
      <c r="BD129" s="1679"/>
      <c r="BE129" s="1679"/>
      <c r="BF129" s="4"/>
      <c r="BG129" s="4"/>
      <c r="BH129" s="4"/>
      <c r="BI129" s="1679"/>
      <c r="BJ129" s="55"/>
      <c r="BK129" s="4"/>
      <c r="BL129" s="4"/>
      <c r="BM129" s="4"/>
      <c r="BN129" s="1679"/>
      <c r="BO129" s="55"/>
      <c r="BP129" s="4"/>
      <c r="BQ129" s="4"/>
      <c r="BR129" s="4"/>
      <c r="BS129" s="1679"/>
      <c r="BT129" s="55"/>
      <c r="BU129" s="4"/>
      <c r="BV129" s="4"/>
      <c r="BW129" s="4"/>
      <c r="BX129" s="1679"/>
      <c r="BY129" s="55"/>
      <c r="BZ129" s="55"/>
      <c r="CA129" s="55"/>
      <c r="CB129" s="55"/>
      <c r="CC129" s="55"/>
      <c r="CD129" s="55"/>
      <c r="CE129" s="55"/>
      <c r="CF129" s="55"/>
    </row>
    <row r="130" spans="1:84" ht="12" customHeight="1" x14ac:dyDescent="0.25">
      <c r="A130" s="2" t="s">
        <v>2254</v>
      </c>
      <c r="B130" s="34"/>
      <c r="C130" s="34">
        <v>38.328000000000003</v>
      </c>
      <c r="D130" s="112">
        <v>36.963000000000001</v>
      </c>
      <c r="E130" s="112">
        <v>35.979999999999997</v>
      </c>
      <c r="F130" s="34">
        <v>35.290999999999997</v>
      </c>
      <c r="G130" s="111">
        <v>146.56199999999998</v>
      </c>
      <c r="H130" s="34">
        <v>39.786999999999999</v>
      </c>
      <c r="I130" s="34">
        <v>38.228999999999999</v>
      </c>
      <c r="J130" s="34">
        <v>35.099090390000001</v>
      </c>
      <c r="K130" s="34">
        <v>36.150378969999998</v>
      </c>
      <c r="L130" s="111">
        <v>149.26546936</v>
      </c>
      <c r="M130" s="34">
        <v>40.360808849999998</v>
      </c>
      <c r="N130" s="34">
        <v>39.799999999999997</v>
      </c>
      <c r="O130" s="34">
        <v>41.10716043</v>
      </c>
      <c r="P130" s="34">
        <v>40.941609630000002</v>
      </c>
      <c r="Q130" s="111">
        <v>162.20957891</v>
      </c>
      <c r="R130" s="34">
        <v>44.585070369999997</v>
      </c>
      <c r="S130" s="34">
        <v>44.84515717</v>
      </c>
      <c r="T130" s="34">
        <v>46.589377740000003</v>
      </c>
      <c r="U130" s="34">
        <v>45.99807792</v>
      </c>
      <c r="V130" s="111">
        <v>182.01768320000002</v>
      </c>
      <c r="W130" s="34">
        <v>48.385600230000001</v>
      </c>
      <c r="X130" s="34">
        <v>47.565882479999999</v>
      </c>
      <c r="Y130" s="34">
        <v>48.03092934</v>
      </c>
      <c r="Z130" s="34">
        <v>48.340629620000001</v>
      </c>
      <c r="AA130" s="111">
        <v>192.32304167000001</v>
      </c>
      <c r="AB130" s="34">
        <f>PENN!AB917</f>
        <v>51.9</v>
      </c>
      <c r="AC130" s="34">
        <f>PENN!AC917</f>
        <v>50</v>
      </c>
      <c r="AD130" s="34">
        <f>PENN!AD917</f>
        <v>49.7</v>
      </c>
      <c r="AE130" s="34">
        <f>PENN!AE917</f>
        <v>47.4</v>
      </c>
      <c r="AF130" s="34">
        <f>PENN!AF917</f>
        <v>199.00000000000003</v>
      </c>
      <c r="AG130" s="34">
        <f>PENN!AG917</f>
        <v>48.7</v>
      </c>
      <c r="AH130" s="34">
        <f>PENN!AH917</f>
        <v>48.2</v>
      </c>
      <c r="AI130" s="34">
        <f>PENN!AI917</f>
        <v>47.612274999999997</v>
      </c>
      <c r="AJ130" s="34">
        <f>PENN!AJ917</f>
        <v>47.661872000000002</v>
      </c>
      <c r="AK130" s="34">
        <f>PENN!AK917</f>
        <v>192.174147</v>
      </c>
      <c r="AL130" s="34">
        <f>PENN!AL917</f>
        <v>48.358777000000003</v>
      </c>
      <c r="AM130" s="34">
        <f>PENN!AM917</f>
        <v>49.550364999999999</v>
      </c>
      <c r="AN130" s="34">
        <f>PENN!AN917</f>
        <v>48.604431000000005</v>
      </c>
      <c r="AO130" s="34">
        <f>PENN!AO917</f>
        <v>48.099851000000001</v>
      </c>
      <c r="AP130" s="34">
        <f>PENN!AP917</f>
        <v>194.61342400000001</v>
      </c>
      <c r="AQ130" s="34">
        <f>PENN!AQ917</f>
        <v>44.575200530000004</v>
      </c>
      <c r="AR130" s="34">
        <f>PENN!AR917</f>
        <v>37.552812320000001</v>
      </c>
      <c r="AS130" s="34">
        <f>PENN!AS917</f>
        <v>38.246229840000005</v>
      </c>
      <c r="AT130" s="34">
        <f>PENN!AT917</f>
        <v>37.03625195</v>
      </c>
      <c r="AU130" s="34">
        <f>PENN!AU917</f>
        <v>157.41049464000002</v>
      </c>
      <c r="AV130" s="34">
        <f>PENN!AV917</f>
        <v>39.308220489999997</v>
      </c>
      <c r="AW130" s="34">
        <f>PENN!AW917</f>
        <v>38.253989489999995</v>
      </c>
      <c r="AX130" s="34">
        <f>PENN!AX917</f>
        <v>36.506991729999996</v>
      </c>
      <c r="AY130" s="2897">
        <f>PENN!AY917</f>
        <v>33.930754629999996</v>
      </c>
      <c r="AZ130" s="2897">
        <f>PENN!AZ917</f>
        <v>147.99995633999998</v>
      </c>
      <c r="BA130" s="34">
        <f>PENN!BA917</f>
        <v>36.323285029999994</v>
      </c>
      <c r="BB130" s="34">
        <f>PENN!BB917</f>
        <v>36.176569579999999</v>
      </c>
      <c r="BC130" s="34">
        <f>PENN!BC917</f>
        <v>33.935374729999999</v>
      </c>
      <c r="BD130" s="2897">
        <f>PENN!BD917</f>
        <v>34.789132599999995</v>
      </c>
      <c r="BE130" s="2897">
        <f>PENN!BE917</f>
        <v>141.22436193999999</v>
      </c>
      <c r="BF130" s="34">
        <f>PENN!BF917</f>
        <v>36.199310610000005</v>
      </c>
      <c r="BG130" s="34">
        <f>PENN!BG917</f>
        <v>36.868489449999998</v>
      </c>
      <c r="BH130" s="34">
        <f>PENN!BH917</f>
        <v>36.562847809999994</v>
      </c>
      <c r="BI130" s="2897">
        <f>PENN!BI917</f>
        <v>36.729385779999994</v>
      </c>
      <c r="BJ130" s="111">
        <f>PENN!BJ917</f>
        <v>146.36003364999999</v>
      </c>
      <c r="BK130" s="34">
        <f>PENN!BK917</f>
        <v>38.922493559999999</v>
      </c>
      <c r="BL130" s="34">
        <f>PENN!BL917</f>
        <v>38.1</v>
      </c>
      <c r="BM130" s="34">
        <f>PENN!BM917</f>
        <v>38.799999999999997</v>
      </c>
      <c r="BN130" s="2897">
        <f>PENN!BN917</f>
        <v>37.624375999999998</v>
      </c>
      <c r="BO130" s="111">
        <f>PENN!BO917</f>
        <v>153.44686955999998</v>
      </c>
      <c r="BP130" s="34">
        <f>PENN!BP917</f>
        <v>39.513320550000003</v>
      </c>
      <c r="BQ130" s="34">
        <f>PENN!BQ917</f>
        <v>39.680358779999999</v>
      </c>
      <c r="BR130" s="34">
        <f>PENN!BR917</f>
        <v>40.721120170000006</v>
      </c>
      <c r="BS130" s="2897">
        <f>PENN!BS917</f>
        <v>41.786304520000002</v>
      </c>
      <c r="BT130" s="111">
        <f>PENN!BT917</f>
        <v>161.70110402</v>
      </c>
      <c r="BU130" s="34">
        <f>PENN!BU917</f>
        <v>41.846768900000001</v>
      </c>
      <c r="BV130" s="34">
        <f>PENN!BV917</f>
        <v>40.870769543400002</v>
      </c>
      <c r="BW130" s="34">
        <f>PENN!BW917</f>
        <v>41.535542573400008</v>
      </c>
      <c r="BX130" s="2897">
        <f>PENN!BX917</f>
        <v>42.622030610400003</v>
      </c>
      <c r="BY130" s="111">
        <f>PENN!BY917</f>
        <v>166.8751116272</v>
      </c>
      <c r="BZ130" s="111">
        <f>PENN!BZ917</f>
        <v>168.543862743472</v>
      </c>
      <c r="CA130" s="111">
        <f>PENN!CA917</f>
        <v>168.543862743472</v>
      </c>
      <c r="CB130" s="111">
        <f>PENN!CB917</f>
        <v>160.11666960629839</v>
      </c>
      <c r="CC130" s="111">
        <f>PENN!CC917</f>
        <v>152.11083612598347</v>
      </c>
      <c r="CD130" s="111">
        <f>PENN!CD917</f>
        <v>155.15305284850314</v>
      </c>
      <c r="CE130" s="111">
        <f>PENN!CE917</f>
        <v>158.2561139054732</v>
      </c>
      <c r="CF130" s="111">
        <f>PENN!CF917</f>
        <v>161.42123618358266</v>
      </c>
    </row>
    <row r="131" spans="1:84" ht="12" customHeight="1" x14ac:dyDescent="0.25">
      <c r="A131" s="2" t="s">
        <v>1057</v>
      </c>
      <c r="B131" s="120"/>
      <c r="C131" s="120">
        <v>1287.6859999999999</v>
      </c>
      <c r="D131" s="122">
        <v>1197.4490000000001</v>
      </c>
      <c r="E131" s="122">
        <v>1163.221</v>
      </c>
      <c r="F131" s="120">
        <v>1117.0119999999999</v>
      </c>
      <c r="G131" s="121">
        <v>4765.3680000000004</v>
      </c>
      <c r="H131" s="120">
        <v>1283.229</v>
      </c>
      <c r="I131" s="120">
        <v>1245.9570000000001</v>
      </c>
      <c r="J131" s="120">
        <v>1202.4280000000001</v>
      </c>
      <c r="K131" s="120">
        <v>1154.527</v>
      </c>
      <c r="L131" s="121">
        <v>4886.1410000000005</v>
      </c>
      <c r="M131" s="120">
        <v>1181.8989999999999</v>
      </c>
      <c r="N131" s="120">
        <v>1203.4000000000001</v>
      </c>
      <c r="O131" s="120">
        <v>1272.7819999999999</v>
      </c>
      <c r="P131" s="120">
        <v>1269.9960000000001</v>
      </c>
      <c r="Q131" s="121">
        <v>4928.0770000000002</v>
      </c>
      <c r="R131" s="120">
        <v>1295.2560000000001</v>
      </c>
      <c r="S131" s="120">
        <v>1325.5409999999999</v>
      </c>
      <c r="T131" s="120">
        <v>1380.914</v>
      </c>
      <c r="U131" s="120">
        <v>1333.431</v>
      </c>
      <c r="V131" s="121">
        <v>5335.1419999999998</v>
      </c>
      <c r="W131" s="120">
        <v>1370.8689999999999</v>
      </c>
      <c r="X131" s="120">
        <v>1338.232</v>
      </c>
      <c r="Y131" s="120">
        <v>1369.173</v>
      </c>
      <c r="Z131" s="120">
        <v>1398.787</v>
      </c>
      <c r="AA131" s="121">
        <v>5477.0609999999997</v>
      </c>
      <c r="AB131" s="120">
        <f>PENN!AB$914</f>
        <v>1457</v>
      </c>
      <c r="AC131" s="120">
        <f>PENN!AC$914</f>
        <v>1383</v>
      </c>
      <c r="AD131" s="120">
        <f>PENN!AD$914</f>
        <v>1381</v>
      </c>
      <c r="AE131" s="120">
        <f>PENN!AE$914</f>
        <v>1341</v>
      </c>
      <c r="AF131" s="120">
        <f>PENN!AF$914</f>
        <v>5562</v>
      </c>
      <c r="AG131" s="120">
        <f>PENN!AG$914</f>
        <v>1336.327</v>
      </c>
      <c r="AH131" s="120">
        <f>PENN!AH$914</f>
        <v>1292.5</v>
      </c>
      <c r="AI131" s="120">
        <f>PENN!AI$914</f>
        <v>1361.9770000000001</v>
      </c>
      <c r="AJ131" s="120">
        <f>PENN!AJ$914</f>
        <v>1319.5530000000001</v>
      </c>
      <c r="AK131" s="120">
        <f>PENN!AK$914</f>
        <v>5310.357</v>
      </c>
      <c r="AL131" s="120">
        <f>PENN!AL$914</f>
        <v>1307.7750000000001</v>
      </c>
      <c r="AM131" s="120">
        <f>PENN!AM$914</f>
        <v>1301.1310000000001</v>
      </c>
      <c r="AN131" s="120">
        <f>PENN!AN$914</f>
        <v>1338.8810000000001</v>
      </c>
      <c r="AO131" s="120">
        <f>PENN!AO$914</f>
        <v>1300.1690000000001</v>
      </c>
      <c r="AP131" s="120">
        <f>PENN!AP$914</f>
        <v>5247.9560000000001</v>
      </c>
      <c r="AQ131" s="120">
        <f>PENN!AQ$914</f>
        <v>1171.2159999999999</v>
      </c>
      <c r="AR131" s="120">
        <f>PENN!AR$914</f>
        <v>984.29300000000001</v>
      </c>
      <c r="AS131" s="120">
        <f>PENN!AS$914</f>
        <v>1014.501</v>
      </c>
      <c r="AT131" s="120">
        <f>PENN!AT$914</f>
        <v>988.16899999999998</v>
      </c>
      <c r="AU131" s="120">
        <f>PENN!AU$914</f>
        <v>4158.1790000000001</v>
      </c>
      <c r="AV131" s="120">
        <f>PENN!AV$914</f>
        <v>987.04300000000001</v>
      </c>
      <c r="AW131" s="120">
        <f>PENN!AW$914</f>
        <v>944.85</v>
      </c>
      <c r="AX131" s="120">
        <f>PENN!AX$914</f>
        <v>918.48800000000006</v>
      </c>
      <c r="AY131" s="2898">
        <f>PENN!AY$914</f>
        <v>790.84900000000005</v>
      </c>
      <c r="AZ131" s="2898">
        <f>PENN!AZ$914</f>
        <v>3641.2300000000005</v>
      </c>
      <c r="BA131" s="120">
        <f>PENN!BA$914</f>
        <v>842.68</v>
      </c>
      <c r="BB131" s="120">
        <f>PENN!BB$914</f>
        <v>827.00300000000004</v>
      </c>
      <c r="BC131" s="120">
        <f>PENN!BC$914</f>
        <v>792.98699999999997</v>
      </c>
      <c r="BD131" s="2898">
        <f>PENN!BD$914</f>
        <v>815.79</v>
      </c>
      <c r="BE131" s="2898">
        <f>PENN!BE$914</f>
        <v>3278.46</v>
      </c>
      <c r="BF131" s="120">
        <f>PENN!BF$914</f>
        <v>840.23199999999997</v>
      </c>
      <c r="BG131" s="120">
        <f>PENN!BG$914</f>
        <v>819.39599999999996</v>
      </c>
      <c r="BH131" s="120">
        <f>PENN!BH$914</f>
        <v>824.08</v>
      </c>
      <c r="BI131" s="2898">
        <f>PENN!BI$914</f>
        <v>818.72500000000002</v>
      </c>
      <c r="BJ131" s="121">
        <f>PENN!BJ$914</f>
        <v>3302.433</v>
      </c>
      <c r="BK131" s="120">
        <f>PENN!BK$914</f>
        <v>896.76700000000005</v>
      </c>
      <c r="BL131" s="120">
        <f>PENN!BL$914</f>
        <v>852.49099999999999</v>
      </c>
      <c r="BM131" s="120">
        <f>PENN!BM$914</f>
        <v>860.89700000000005</v>
      </c>
      <c r="BN131" s="2898">
        <f>PENN!BN$914</f>
        <v>818.3</v>
      </c>
      <c r="BO131" s="121">
        <f>PENN!BO$914</f>
        <v>3428.4549999999999</v>
      </c>
      <c r="BP131" s="120">
        <f>PENN!BP$914</f>
        <v>826.14499999999998</v>
      </c>
      <c r="BQ131" s="120">
        <f>PENN!BQ$914</f>
        <v>830.01199999999994</v>
      </c>
      <c r="BR131" s="120">
        <f>PENN!BR$914</f>
        <v>844.49599999999998</v>
      </c>
      <c r="BS131" s="2898">
        <f>PENN!BS$914</f>
        <v>823.87599999999998</v>
      </c>
      <c r="BT131" s="121">
        <f>PENN!BT$914</f>
        <v>3324.5289999999995</v>
      </c>
      <c r="BU131" s="120">
        <f>PENN!BU$914</f>
        <v>874.93276727132707</v>
      </c>
      <c r="BV131" s="120">
        <f>PENN!BV$914</f>
        <v>854.91235999999992</v>
      </c>
      <c r="BW131" s="120">
        <f>PENN!BW$914</f>
        <v>861.38591999999994</v>
      </c>
      <c r="BX131" s="2898">
        <f>PENN!BX$914</f>
        <v>840.35352</v>
      </c>
      <c r="BY131" s="121">
        <f>PENN!BY$914</f>
        <v>3431.5845672713272</v>
      </c>
      <c r="BZ131" s="121">
        <f>PENN!BZ$914</f>
        <v>3465.9004129440405</v>
      </c>
      <c r="CA131" s="121">
        <f>PENN!CA$914</f>
        <v>3465.9004129440405</v>
      </c>
      <c r="CB131" s="121">
        <f>PENN!CB$914</f>
        <v>3292.6053922968381</v>
      </c>
      <c r="CC131" s="121">
        <f>PENN!CC$914</f>
        <v>3127.9751226819963</v>
      </c>
      <c r="CD131" s="121">
        <f>PENN!CD$914</f>
        <v>3190.5346251356364</v>
      </c>
      <c r="CE131" s="121">
        <f>PENN!CE$914</f>
        <v>3254.3453176383491</v>
      </c>
      <c r="CF131" s="121">
        <f>PENN!CF$914</f>
        <v>3319.4322239911162</v>
      </c>
    </row>
    <row r="132" spans="1:84" ht="12" customHeight="1" x14ac:dyDescent="0.25">
      <c r="A132" s="2"/>
      <c r="B132" s="35"/>
      <c r="C132" s="124"/>
      <c r="D132" s="125"/>
      <c r="E132" s="125"/>
      <c r="F132" s="125"/>
      <c r="G132" s="134"/>
      <c r="H132" s="124"/>
      <c r="I132" s="125"/>
      <c r="J132" s="125"/>
      <c r="K132" s="125"/>
      <c r="L132" s="134"/>
      <c r="M132" s="124"/>
      <c r="N132" s="125"/>
      <c r="O132" s="125"/>
      <c r="P132" s="125"/>
      <c r="Q132" s="134"/>
      <c r="R132" s="124"/>
      <c r="S132" s="125"/>
      <c r="T132" s="125"/>
      <c r="U132" s="125"/>
      <c r="V132" s="134"/>
      <c r="W132" s="124"/>
      <c r="X132" s="125"/>
      <c r="Y132" s="125"/>
      <c r="Z132" s="125"/>
      <c r="AA132" s="134"/>
      <c r="AB132" s="124"/>
      <c r="AC132" s="125"/>
      <c r="AD132" s="125"/>
      <c r="AE132" s="125"/>
      <c r="AF132" s="134"/>
      <c r="AG132" s="124"/>
      <c r="AH132" s="125"/>
      <c r="AI132" s="125"/>
      <c r="AJ132" s="125"/>
      <c r="AK132" s="123"/>
      <c r="AL132" s="124"/>
      <c r="AM132" s="125"/>
      <c r="AN132" s="125"/>
      <c r="AO132" s="125"/>
      <c r="AP132" s="123"/>
      <c r="AQ132" s="124"/>
      <c r="AR132" s="125"/>
      <c r="AS132" s="125"/>
      <c r="AT132" s="125"/>
      <c r="AU132" s="123"/>
      <c r="AV132" s="124"/>
      <c r="AW132" s="125"/>
      <c r="AX132" s="125"/>
      <c r="AY132" s="2894"/>
      <c r="AZ132" s="2894"/>
      <c r="BA132" s="125"/>
      <c r="BB132" s="125"/>
      <c r="BC132" s="125"/>
      <c r="BD132" s="2894"/>
      <c r="BE132" s="2894"/>
      <c r="BF132" s="125"/>
      <c r="BG132" s="125"/>
      <c r="BH132" s="125"/>
      <c r="BI132" s="2894"/>
      <c r="BJ132" s="123"/>
      <c r="BK132" s="125"/>
      <c r="BL132" s="125"/>
      <c r="BM132" s="125"/>
      <c r="BN132" s="2894"/>
      <c r="BO132" s="123"/>
      <c r="BP132" s="125"/>
      <c r="BQ132" s="125"/>
      <c r="BR132" s="125"/>
      <c r="BS132" s="2894"/>
      <c r="BT132" s="123"/>
      <c r="BU132" s="125"/>
      <c r="BV132" s="125"/>
      <c r="BW132" s="125"/>
      <c r="BX132" s="2894"/>
      <c r="BY132" s="123"/>
      <c r="BZ132" s="123"/>
      <c r="CA132" s="123"/>
      <c r="CB132" s="123"/>
      <c r="CC132" s="123"/>
      <c r="CD132" s="123"/>
      <c r="CE132" s="123"/>
      <c r="CF132" s="123"/>
    </row>
    <row r="133" spans="1:84" ht="12" customHeight="1" x14ac:dyDescent="0.25">
      <c r="A133" s="2" t="s">
        <v>1058</v>
      </c>
      <c r="B133" s="2"/>
      <c r="C133" s="4"/>
      <c r="D133" s="4"/>
      <c r="E133" s="4"/>
      <c r="F133" s="4"/>
      <c r="G133" s="55"/>
      <c r="H133" s="4"/>
      <c r="I133" s="4"/>
      <c r="J133" s="4"/>
      <c r="K133" s="4"/>
      <c r="L133" s="55"/>
      <c r="M133" s="4"/>
      <c r="N133" s="4"/>
      <c r="O133" s="4"/>
      <c r="P133" s="4"/>
      <c r="Q133" s="55"/>
      <c r="R133" s="4"/>
      <c r="S133" s="4"/>
      <c r="T133" s="4"/>
      <c r="U133" s="4"/>
      <c r="V133" s="55"/>
      <c r="W133" s="4"/>
      <c r="X133" s="4"/>
      <c r="Y133" s="4"/>
      <c r="Z133" s="4"/>
      <c r="AA133" s="55"/>
      <c r="AB133" s="4"/>
      <c r="AC133" s="4"/>
      <c r="AD133" s="4"/>
      <c r="AE133" s="4"/>
      <c r="AF133" s="55"/>
      <c r="AG133" s="4"/>
      <c r="AH133" s="4"/>
      <c r="AI133" s="4"/>
      <c r="AJ133" s="4"/>
      <c r="AK133" s="55"/>
      <c r="AL133" s="4"/>
      <c r="AM133" s="4"/>
      <c r="AN133" s="4"/>
      <c r="AO133" s="4"/>
      <c r="AP133" s="55"/>
      <c r="AQ133" s="4"/>
      <c r="AR133" s="4"/>
      <c r="AS133" s="4"/>
      <c r="AT133" s="4"/>
      <c r="AU133" s="55"/>
      <c r="AV133" s="4"/>
      <c r="AW133" s="4"/>
      <c r="AX133" s="4"/>
      <c r="AY133" s="1679"/>
      <c r="AZ133" s="1679"/>
      <c r="BA133" s="4"/>
      <c r="BB133" s="4"/>
      <c r="BC133" s="4"/>
      <c r="BD133" s="1679"/>
      <c r="BE133" s="1679"/>
      <c r="BF133" s="4"/>
      <c r="BG133" s="4"/>
      <c r="BH133" s="4"/>
      <c r="BI133" s="1679"/>
      <c r="BJ133" s="55"/>
      <c r="BK133" s="4"/>
      <c r="BL133" s="4"/>
      <c r="BM133" s="4"/>
      <c r="BN133" s="1679"/>
      <c r="BO133" s="55"/>
      <c r="BP133" s="4"/>
      <c r="BQ133" s="4"/>
      <c r="BR133" s="4"/>
      <c r="BS133" s="1679"/>
      <c r="BT133" s="55"/>
      <c r="BU133" s="4"/>
      <c r="BV133" s="4"/>
      <c r="BW133" s="4"/>
      <c r="BX133" s="1679"/>
      <c r="BY133" s="55"/>
      <c r="BZ133" s="55"/>
      <c r="CA133" s="55"/>
      <c r="CB133" s="55"/>
      <c r="CC133" s="55"/>
      <c r="CD133" s="55"/>
      <c r="CE133" s="55"/>
      <c r="CF133" s="55"/>
    </row>
    <row r="134" spans="1:84" ht="12" customHeight="1" x14ac:dyDescent="0.25">
      <c r="A134" s="114" t="s">
        <v>71</v>
      </c>
      <c r="B134" s="5"/>
      <c r="C134" s="151">
        <f t="shared" ref="C134:F135" si="120">$G134/4</f>
        <v>1.5</v>
      </c>
      <c r="D134" s="151">
        <f t="shared" si="120"/>
        <v>1.5</v>
      </c>
      <c r="E134" s="151">
        <f t="shared" si="120"/>
        <v>1.5</v>
      </c>
      <c r="F134" s="151">
        <f t="shared" si="120"/>
        <v>1.5</v>
      </c>
      <c r="G134" s="150">
        <f>IF(G130&gt;0, MIN(G107,G130)*G111,0)</f>
        <v>6</v>
      </c>
      <c r="H134" s="151">
        <f t="shared" ref="H134:K135" si="121">$L134/4</f>
        <v>1.5</v>
      </c>
      <c r="I134" s="151">
        <f t="shared" si="121"/>
        <v>1.5</v>
      </c>
      <c r="J134" s="151">
        <f t="shared" si="121"/>
        <v>1.5</v>
      </c>
      <c r="K134" s="151">
        <f t="shared" si="121"/>
        <v>1.5</v>
      </c>
      <c r="L134" s="152">
        <f>IF(L130&gt;0, MIN(L107,L130)*L111,0)</f>
        <v>6</v>
      </c>
      <c r="M134" s="153">
        <f t="shared" ref="M134:P135" si="122">$Q134/4</f>
        <v>1.5</v>
      </c>
      <c r="N134" s="153">
        <f t="shared" si="122"/>
        <v>1.5</v>
      </c>
      <c r="O134" s="153">
        <f t="shared" si="122"/>
        <v>1.5</v>
      </c>
      <c r="P134" s="153">
        <f t="shared" si="122"/>
        <v>1.5</v>
      </c>
      <c r="Q134" s="152">
        <f>IF(Q130&gt;0, MIN(Q107,Q130)*Q111,0)</f>
        <v>6</v>
      </c>
      <c r="R134" s="153">
        <f t="shared" ref="R134:U135" si="123">$V134/4</f>
        <v>1.5</v>
      </c>
      <c r="S134" s="153">
        <f t="shared" si="123"/>
        <v>1.5</v>
      </c>
      <c r="T134" s="153">
        <f t="shared" si="123"/>
        <v>1.5</v>
      </c>
      <c r="U134" s="153">
        <f t="shared" si="123"/>
        <v>1.5</v>
      </c>
      <c r="V134" s="152">
        <f>IF(V130&gt;0, MIN(V107,V130)*V111,0)</f>
        <v>6</v>
      </c>
      <c r="W134" s="153">
        <f t="shared" ref="W134:Z135" si="124">$AA134/4</f>
        <v>1.5</v>
      </c>
      <c r="X134" s="153">
        <f t="shared" si="124"/>
        <v>1.5</v>
      </c>
      <c r="Y134" s="153">
        <f t="shared" si="124"/>
        <v>1.5</v>
      </c>
      <c r="Z134" s="153">
        <f t="shared" si="124"/>
        <v>1.5</v>
      </c>
      <c r="AA134" s="152">
        <f>IF(AA130&gt;0, MIN(AA107,AA130)*AA111,0)</f>
        <v>6</v>
      </c>
      <c r="AB134" s="153">
        <f t="shared" ref="AB134:AE135" si="125">$AF134/4</f>
        <v>1.575</v>
      </c>
      <c r="AC134" s="153">
        <f t="shared" si="125"/>
        <v>1.575</v>
      </c>
      <c r="AD134" s="153">
        <f t="shared" si="125"/>
        <v>1.575</v>
      </c>
      <c r="AE134" s="153">
        <f t="shared" si="125"/>
        <v>1.575</v>
      </c>
      <c r="AF134" s="152">
        <f>IF(AF130&gt;0, MIN(AF107,AF130)*AF111,0)</f>
        <v>6.3</v>
      </c>
      <c r="AG134" s="153">
        <f>$AK134/4</f>
        <v>1.575</v>
      </c>
      <c r="AH134" s="153">
        <f t="shared" ref="AH134:AJ135" si="126">$AK134/4</f>
        <v>1.575</v>
      </c>
      <c r="AI134" s="153">
        <f t="shared" si="126"/>
        <v>1.575</v>
      </c>
      <c r="AJ134" s="153">
        <f t="shared" si="126"/>
        <v>1.575</v>
      </c>
      <c r="AK134" s="150">
        <f>IF(AK130&gt;0, MIN(AK107,AK130)*AK111,0)</f>
        <v>6.3</v>
      </c>
      <c r="AL134" s="153">
        <f>$AP134/4</f>
        <v>1.575</v>
      </c>
      <c r="AM134" s="153">
        <f t="shared" ref="AM134:AO135" si="127">$AP134/4</f>
        <v>1.575</v>
      </c>
      <c r="AN134" s="153">
        <f t="shared" si="127"/>
        <v>1.575</v>
      </c>
      <c r="AO134" s="153">
        <f t="shared" si="127"/>
        <v>1.575</v>
      </c>
      <c r="AP134" s="150">
        <f>IF(AP130&gt;0, MIN(AP107,AP130)*AP111,0)</f>
        <v>6.3</v>
      </c>
      <c r="AQ134" s="153">
        <f>$AU134/4</f>
        <v>1.575</v>
      </c>
      <c r="AR134" s="153">
        <f t="shared" ref="AR134:AT135" si="128">$AU134/4</f>
        <v>1.575</v>
      </c>
      <c r="AS134" s="153">
        <f t="shared" si="128"/>
        <v>1.575</v>
      </c>
      <c r="AT134" s="153">
        <f t="shared" si="128"/>
        <v>1.575</v>
      </c>
      <c r="AU134" s="150">
        <f>IF(AU130&gt;0, MIN(AU107,AU130)*AU111,0)</f>
        <v>6.3</v>
      </c>
      <c r="AV134" s="153">
        <f t="shared" ref="AV134:AY135" si="129">$AZ134/4</f>
        <v>1.575</v>
      </c>
      <c r="AW134" s="153">
        <f t="shared" si="129"/>
        <v>1.575</v>
      </c>
      <c r="AX134" s="153">
        <f t="shared" si="129"/>
        <v>1.575</v>
      </c>
      <c r="AY134" s="2899">
        <f t="shared" si="129"/>
        <v>1.575</v>
      </c>
      <c r="AZ134" s="2896">
        <f>IF(AZ130&gt;0, MIN(AZ107,AZ130)*AZ111,0)</f>
        <v>6.3</v>
      </c>
      <c r="BA134" s="153">
        <f t="shared" ref="BA134:BD135" si="130">$BE134/4</f>
        <v>1.575</v>
      </c>
      <c r="BB134" s="153">
        <f t="shared" si="130"/>
        <v>1.575</v>
      </c>
      <c r="BC134" s="153">
        <f t="shared" si="130"/>
        <v>1.575</v>
      </c>
      <c r="BD134" s="153">
        <f t="shared" si="130"/>
        <v>1.575</v>
      </c>
      <c r="BE134" s="150">
        <f>IF(BE130&gt;0, MIN(BE107,BE130)*BE111,0)</f>
        <v>6.3</v>
      </c>
      <c r="BF134" s="153">
        <f>$BJ134/4</f>
        <v>1.575</v>
      </c>
      <c r="BG134" s="153">
        <f t="shared" ref="BG134:BI135" si="131">$BJ134/4</f>
        <v>1.575</v>
      </c>
      <c r="BH134" s="153">
        <f t="shared" si="131"/>
        <v>1.575</v>
      </c>
      <c r="BI134" s="2899">
        <f t="shared" si="131"/>
        <v>1.575</v>
      </c>
      <c r="BJ134" s="150">
        <f>IF(BJ130&gt;0, MIN(BJ107,BJ130)*BJ111,0)</f>
        <v>6.3</v>
      </c>
      <c r="BK134" s="153">
        <f>$BO134/4</f>
        <v>1.575</v>
      </c>
      <c r="BL134" s="153">
        <f t="shared" ref="BL134:BN135" si="132">$BO134/4</f>
        <v>1.575</v>
      </c>
      <c r="BM134" s="153">
        <f t="shared" si="132"/>
        <v>1.575</v>
      </c>
      <c r="BN134" s="2899">
        <f t="shared" si="132"/>
        <v>1.575</v>
      </c>
      <c r="BO134" s="150">
        <f t="shared" ref="BO134:CF134" si="133">IF(BO130&gt;0, MIN(BO107,BO130)*BO111,0)</f>
        <v>6.3</v>
      </c>
      <c r="BP134" s="153">
        <f>$BT134/4</f>
        <v>1.575</v>
      </c>
      <c r="BQ134" s="153">
        <f t="shared" ref="BQ134:BS135" si="134">$BT134/4</f>
        <v>1.575</v>
      </c>
      <c r="BR134" s="153">
        <f t="shared" si="134"/>
        <v>1.575</v>
      </c>
      <c r="BS134" s="153">
        <f t="shared" si="134"/>
        <v>1.575</v>
      </c>
      <c r="BT134" s="150">
        <f>IF(BT130&gt;0, MIN(BT107,BT130)*BT111,0)</f>
        <v>6.3</v>
      </c>
      <c r="BU134" s="153">
        <f t="shared" ref="BU134:BX135" si="135">$BY134/4</f>
        <v>1.575</v>
      </c>
      <c r="BV134" s="153">
        <f t="shared" si="135"/>
        <v>1.575</v>
      </c>
      <c r="BW134" s="153">
        <f t="shared" si="135"/>
        <v>1.575</v>
      </c>
      <c r="BX134" s="153">
        <f t="shared" si="135"/>
        <v>1.575</v>
      </c>
      <c r="BY134" s="150">
        <f t="shared" si="133"/>
        <v>6.3</v>
      </c>
      <c r="BZ134" s="150">
        <f t="shared" si="133"/>
        <v>6.3</v>
      </c>
      <c r="CA134" s="150">
        <f t="shared" si="133"/>
        <v>6.3</v>
      </c>
      <c r="CB134" s="150">
        <f t="shared" si="133"/>
        <v>6.3</v>
      </c>
      <c r="CC134" s="150">
        <f t="shared" si="133"/>
        <v>6.3</v>
      </c>
      <c r="CD134" s="150">
        <f t="shared" si="133"/>
        <v>6.3</v>
      </c>
      <c r="CE134" s="150">
        <f t="shared" si="133"/>
        <v>6.3</v>
      </c>
      <c r="CF134" s="150">
        <f t="shared" si="133"/>
        <v>6.3</v>
      </c>
    </row>
    <row r="135" spans="1:84" ht="12" customHeight="1" x14ac:dyDescent="0.25">
      <c r="A135" s="114" t="s">
        <v>72</v>
      </c>
      <c r="B135" s="2"/>
      <c r="C135" s="151">
        <f t="shared" si="120"/>
        <v>5.8280999999999992</v>
      </c>
      <c r="D135" s="151">
        <f t="shared" si="120"/>
        <v>5.8280999999999992</v>
      </c>
      <c r="E135" s="151">
        <f t="shared" si="120"/>
        <v>5.8280999999999992</v>
      </c>
      <c r="F135" s="151">
        <f t="shared" si="120"/>
        <v>5.8280999999999992</v>
      </c>
      <c r="G135" s="55">
        <f>IF(G130&gt;G107,(G130-G107)*G112,0)</f>
        <v>23.312399999999997</v>
      </c>
      <c r="H135" s="151">
        <f t="shared" si="121"/>
        <v>5.9632734680000006</v>
      </c>
      <c r="I135" s="151">
        <f t="shared" si="121"/>
        <v>5.9632734680000006</v>
      </c>
      <c r="J135" s="151">
        <f t="shared" si="121"/>
        <v>5.9632734680000006</v>
      </c>
      <c r="K135" s="151">
        <f t="shared" si="121"/>
        <v>5.9632734680000006</v>
      </c>
      <c r="L135" s="87">
        <f>IF(L130&gt;L107,(L130-L107)*L112,0)</f>
        <v>23.853093872000002</v>
      </c>
      <c r="M135" s="153">
        <f t="shared" si="122"/>
        <v>6.6104789455000006</v>
      </c>
      <c r="N135" s="153">
        <f t="shared" si="122"/>
        <v>6.6104789455000006</v>
      </c>
      <c r="O135" s="153">
        <f t="shared" si="122"/>
        <v>6.6104789455000006</v>
      </c>
      <c r="P135" s="153">
        <f t="shared" si="122"/>
        <v>6.6104789455000006</v>
      </c>
      <c r="Q135" s="87">
        <f>IF(Q130&gt;Q107,(Q130-Q107)*Q112,0)</f>
        <v>26.441915782000002</v>
      </c>
      <c r="R135" s="153">
        <f t="shared" si="123"/>
        <v>7.6008841600000014</v>
      </c>
      <c r="S135" s="153">
        <f t="shared" si="123"/>
        <v>7.6008841600000014</v>
      </c>
      <c r="T135" s="153">
        <f t="shared" si="123"/>
        <v>7.6008841600000014</v>
      </c>
      <c r="U135" s="153">
        <f t="shared" si="123"/>
        <v>7.6008841600000014</v>
      </c>
      <c r="V135" s="87">
        <f>IF(V130&gt;V107,(V130-V107)*V112,0)</f>
        <v>30.403536640000006</v>
      </c>
      <c r="W135" s="153">
        <f t="shared" si="124"/>
        <v>8.1161520835000012</v>
      </c>
      <c r="X135" s="153">
        <f t="shared" si="124"/>
        <v>8.1161520835000012</v>
      </c>
      <c r="Y135" s="153">
        <f t="shared" si="124"/>
        <v>8.1161520835000012</v>
      </c>
      <c r="Z135" s="153">
        <f t="shared" si="124"/>
        <v>8.1161520835000012</v>
      </c>
      <c r="AA135" s="87">
        <f>IF(AA130&gt;AA107,(AA130-AA107)*AA112,0)</f>
        <v>32.464608334000005</v>
      </c>
      <c r="AB135" s="153">
        <f t="shared" si="125"/>
        <v>8.8725000000000005</v>
      </c>
      <c r="AC135" s="153">
        <f t="shared" si="125"/>
        <v>8.8725000000000005</v>
      </c>
      <c r="AD135" s="153">
        <f t="shared" si="125"/>
        <v>8.8725000000000005</v>
      </c>
      <c r="AE135" s="153">
        <f t="shared" si="125"/>
        <v>8.8725000000000005</v>
      </c>
      <c r="AF135" s="87">
        <f>IF(AF130&gt;AF107,(AF130-AF107)*AF112,0)</f>
        <v>35.49</v>
      </c>
      <c r="AG135" s="153">
        <f>$AK135/4</f>
        <v>8.5141427175000004</v>
      </c>
      <c r="AH135" s="153">
        <f t="shared" si="126"/>
        <v>8.5141427175000004</v>
      </c>
      <c r="AI135" s="153">
        <f t="shared" si="126"/>
        <v>8.5141427175000004</v>
      </c>
      <c r="AJ135" s="153">
        <f t="shared" si="126"/>
        <v>8.5141427175000004</v>
      </c>
      <c r="AK135" s="55">
        <f>IF(AK130&gt;AK107,(AK130-AK107)*AK112,0)</f>
        <v>34.056570870000002</v>
      </c>
      <c r="AL135" s="153">
        <f>$AP135/4</f>
        <v>8.6422047600000003</v>
      </c>
      <c r="AM135" s="153">
        <f t="shared" si="127"/>
        <v>8.6422047600000003</v>
      </c>
      <c r="AN135" s="153">
        <f t="shared" si="127"/>
        <v>8.6422047600000003</v>
      </c>
      <c r="AO135" s="153">
        <f t="shared" si="127"/>
        <v>8.6422047600000003</v>
      </c>
      <c r="AP135" s="55">
        <f>IF(AP130&gt;AP$107,(AP130-AP$107)*AP$112,0)</f>
        <v>34.568819040000001</v>
      </c>
      <c r="AQ135" s="153">
        <f>$AU135/4</f>
        <v>6.689050968600001</v>
      </c>
      <c r="AR135" s="153">
        <f t="shared" si="128"/>
        <v>6.689050968600001</v>
      </c>
      <c r="AS135" s="153">
        <f t="shared" si="128"/>
        <v>6.689050968600001</v>
      </c>
      <c r="AT135" s="153">
        <f t="shared" si="128"/>
        <v>6.689050968600001</v>
      </c>
      <c r="AU135" s="55">
        <f>IF(AU130&gt;AU107,(AU130-AU107)*AU112,0)</f>
        <v>26.756203874400004</v>
      </c>
      <c r="AV135" s="153">
        <f t="shared" si="129"/>
        <v>6.1949977078499989</v>
      </c>
      <c r="AW135" s="153">
        <f t="shared" si="129"/>
        <v>6.1949977078499989</v>
      </c>
      <c r="AX135" s="153">
        <f t="shared" si="129"/>
        <v>6.1949977078499989</v>
      </c>
      <c r="AY135" s="153">
        <f t="shared" si="129"/>
        <v>6.1949977078499989</v>
      </c>
      <c r="AZ135" s="55">
        <f>IF(AZ130&gt;AZ107,(AZ130-AZ107)*AZ112,0)</f>
        <v>24.779990831399996</v>
      </c>
      <c r="BA135" s="153">
        <f t="shared" si="130"/>
        <v>5.8392790018499996</v>
      </c>
      <c r="BB135" s="153">
        <f t="shared" si="130"/>
        <v>5.8392790018499996</v>
      </c>
      <c r="BC135" s="153">
        <f t="shared" si="130"/>
        <v>5.8392790018499996</v>
      </c>
      <c r="BD135" s="153">
        <f t="shared" si="130"/>
        <v>5.8392790018499996</v>
      </c>
      <c r="BE135" s="55">
        <f>IF(BE130&gt;BE107,(BE130-BE107)*BE112,0)</f>
        <v>23.357116007399998</v>
      </c>
      <c r="BF135" s="153">
        <f>$BJ135/4</f>
        <v>6.1089017666249994</v>
      </c>
      <c r="BG135" s="153">
        <f t="shared" si="131"/>
        <v>6.1089017666249994</v>
      </c>
      <c r="BH135" s="153">
        <f t="shared" si="131"/>
        <v>6.1089017666249994</v>
      </c>
      <c r="BI135" s="153">
        <f t="shared" si="131"/>
        <v>6.1089017666249994</v>
      </c>
      <c r="BJ135" s="55">
        <f>IF(BJ130&gt;BJ107,(BJ130-BJ107)*BJ112,0)</f>
        <v>24.435607066499998</v>
      </c>
      <c r="BK135" s="153">
        <f>$BO135/4</f>
        <v>6.4809606518999985</v>
      </c>
      <c r="BL135" s="153">
        <f t="shared" si="132"/>
        <v>6.4809606518999985</v>
      </c>
      <c r="BM135" s="153">
        <f t="shared" si="132"/>
        <v>6.4809606518999985</v>
      </c>
      <c r="BN135" s="153">
        <f t="shared" si="132"/>
        <v>6.4809606518999985</v>
      </c>
      <c r="BO135" s="55">
        <f t="shared" ref="BO135:CF135" si="136">IF(BO130&gt;BO107,(BO130-BO107)*BO112,0)</f>
        <v>25.923842607599994</v>
      </c>
      <c r="BP135" s="153">
        <f>$BT135/4</f>
        <v>6.9143079610499996</v>
      </c>
      <c r="BQ135" s="153">
        <f t="shared" si="134"/>
        <v>6.9143079610499996</v>
      </c>
      <c r="BR135" s="153">
        <f t="shared" si="134"/>
        <v>6.9143079610499996</v>
      </c>
      <c r="BS135" s="153">
        <f t="shared" si="134"/>
        <v>6.9143079610499996</v>
      </c>
      <c r="BT135" s="55">
        <f>IF(BT130&gt;BT107,(BT130-BT107)*BT112,0)</f>
        <v>27.657231844199998</v>
      </c>
      <c r="BU135" s="153">
        <f t="shared" si="135"/>
        <v>7.1859433604279994</v>
      </c>
      <c r="BV135" s="153">
        <f t="shared" si="135"/>
        <v>7.1859433604279994</v>
      </c>
      <c r="BW135" s="153">
        <f t="shared" si="135"/>
        <v>7.1859433604279994</v>
      </c>
      <c r="BX135" s="153">
        <f t="shared" si="135"/>
        <v>7.1859433604279994</v>
      </c>
      <c r="BY135" s="55">
        <f t="shared" si="136"/>
        <v>28.743773441711998</v>
      </c>
      <c r="BZ135" s="55">
        <f t="shared" si="136"/>
        <v>29.094211176129122</v>
      </c>
      <c r="CA135" s="55">
        <f t="shared" si="136"/>
        <v>29.094211176129122</v>
      </c>
      <c r="CB135" s="55">
        <f t="shared" si="136"/>
        <v>27.324500617322659</v>
      </c>
      <c r="CC135" s="55">
        <f t="shared" si="136"/>
        <v>25.643275586456529</v>
      </c>
      <c r="CD135" s="55">
        <f t="shared" si="136"/>
        <v>26.282141098185658</v>
      </c>
      <c r="CE135" s="55">
        <f t="shared" si="136"/>
        <v>26.93378392014937</v>
      </c>
      <c r="CF135" s="55">
        <f t="shared" si="136"/>
        <v>27.59845959855236</v>
      </c>
    </row>
    <row r="136" spans="1:84" ht="5.25" customHeight="1" x14ac:dyDescent="0.25">
      <c r="A136" s="114"/>
      <c r="B136" s="154"/>
      <c r="C136" s="130" t="s">
        <v>1059</v>
      </c>
      <c r="D136" s="130" t="s">
        <v>1059</v>
      </c>
      <c r="E136" s="130" t="s">
        <v>1059</v>
      </c>
      <c r="F136" s="130" t="s">
        <v>1059</v>
      </c>
      <c r="G136" s="131" t="s">
        <v>1059</v>
      </c>
      <c r="H136" s="130" t="s">
        <v>1059</v>
      </c>
      <c r="I136" s="130" t="s">
        <v>1059</v>
      </c>
      <c r="J136" s="130" t="s">
        <v>1059</v>
      </c>
      <c r="K136" s="130" t="s">
        <v>1059</v>
      </c>
      <c r="L136" s="105" t="s">
        <v>1059</v>
      </c>
      <c r="M136" s="104" t="s">
        <v>1059</v>
      </c>
      <c r="N136" s="104" t="s">
        <v>1059</v>
      </c>
      <c r="O136" s="104" t="s">
        <v>1059</v>
      </c>
      <c r="P136" s="104" t="s">
        <v>1059</v>
      </c>
      <c r="Q136" s="105" t="s">
        <v>1059</v>
      </c>
      <c r="R136" s="104" t="s">
        <v>1059</v>
      </c>
      <c r="S136" s="104" t="s">
        <v>1059</v>
      </c>
      <c r="T136" s="104" t="s">
        <v>1059</v>
      </c>
      <c r="U136" s="104" t="s">
        <v>1059</v>
      </c>
      <c r="V136" s="105" t="s">
        <v>1059</v>
      </c>
      <c r="W136" s="104" t="s">
        <v>1059</v>
      </c>
      <c r="X136" s="104" t="s">
        <v>1059</v>
      </c>
      <c r="Y136" s="104" t="s">
        <v>1059</v>
      </c>
      <c r="Z136" s="104" t="s">
        <v>1059</v>
      </c>
      <c r="AA136" s="105" t="s">
        <v>1059</v>
      </c>
      <c r="AB136" s="104" t="s">
        <v>1059</v>
      </c>
      <c r="AC136" s="104" t="s">
        <v>1059</v>
      </c>
      <c r="AD136" s="104" t="s">
        <v>1059</v>
      </c>
      <c r="AE136" s="104" t="s">
        <v>1059</v>
      </c>
      <c r="AF136" s="105" t="s">
        <v>1059</v>
      </c>
      <c r="AG136" s="104" t="s">
        <v>1059</v>
      </c>
      <c r="AH136" s="104" t="s">
        <v>1059</v>
      </c>
      <c r="AI136" s="104" t="s">
        <v>1059</v>
      </c>
      <c r="AJ136" s="104" t="s">
        <v>1059</v>
      </c>
      <c r="AK136" s="131" t="s">
        <v>1059</v>
      </c>
      <c r="AL136" s="104" t="s">
        <v>1059</v>
      </c>
      <c r="AM136" s="104" t="s">
        <v>1059</v>
      </c>
      <c r="AN136" s="104" t="s">
        <v>1059</v>
      </c>
      <c r="AO136" s="104" t="s">
        <v>1059</v>
      </c>
      <c r="AP136" s="131" t="s">
        <v>1059</v>
      </c>
      <c r="AQ136" s="104" t="s">
        <v>1059</v>
      </c>
      <c r="AR136" s="104" t="s">
        <v>1059</v>
      </c>
      <c r="AS136" s="104" t="s">
        <v>1059</v>
      </c>
      <c r="AT136" s="104" t="s">
        <v>1059</v>
      </c>
      <c r="AU136" s="131" t="s">
        <v>1059</v>
      </c>
      <c r="AV136" s="104" t="s">
        <v>1059</v>
      </c>
      <c r="AW136" s="104" t="s">
        <v>1059</v>
      </c>
      <c r="AX136" s="104" t="s">
        <v>1059</v>
      </c>
      <c r="AY136" s="104" t="s">
        <v>1059</v>
      </c>
      <c r="AZ136" s="131" t="s">
        <v>1059</v>
      </c>
      <c r="BA136" s="104" t="s">
        <v>1059</v>
      </c>
      <c r="BB136" s="104" t="s">
        <v>1059</v>
      </c>
      <c r="BC136" s="104" t="s">
        <v>1059</v>
      </c>
      <c r="BD136" s="104" t="s">
        <v>1059</v>
      </c>
      <c r="BE136" s="131" t="s">
        <v>1059</v>
      </c>
      <c r="BF136" s="104" t="s">
        <v>1059</v>
      </c>
      <c r="BG136" s="104" t="s">
        <v>1059</v>
      </c>
      <c r="BH136" s="104" t="s">
        <v>1059</v>
      </c>
      <c r="BI136" s="104" t="s">
        <v>1059</v>
      </c>
      <c r="BJ136" s="131" t="s">
        <v>1059</v>
      </c>
      <c r="BK136" s="104" t="s">
        <v>1059</v>
      </c>
      <c r="BL136" s="104" t="s">
        <v>1059</v>
      </c>
      <c r="BM136" s="104" t="s">
        <v>1059</v>
      </c>
      <c r="BN136" s="104" t="s">
        <v>1059</v>
      </c>
      <c r="BO136" s="131" t="s">
        <v>1059</v>
      </c>
      <c r="BP136" s="104" t="s">
        <v>1059</v>
      </c>
      <c r="BQ136" s="104" t="s">
        <v>1059</v>
      </c>
      <c r="BR136" s="104" t="s">
        <v>1059</v>
      </c>
      <c r="BS136" s="104" t="s">
        <v>1059</v>
      </c>
      <c r="BT136" s="131" t="s">
        <v>1059</v>
      </c>
      <c r="BU136" s="104" t="s">
        <v>1059</v>
      </c>
      <c r="BV136" s="104" t="s">
        <v>1059</v>
      </c>
      <c r="BW136" s="104" t="s">
        <v>1059</v>
      </c>
      <c r="BX136" s="104" t="s">
        <v>1059</v>
      </c>
      <c r="BY136" s="131" t="s">
        <v>1059</v>
      </c>
      <c r="BZ136" s="131" t="s">
        <v>1059</v>
      </c>
      <c r="CA136" s="131" t="s">
        <v>1059</v>
      </c>
      <c r="CB136" s="131" t="s">
        <v>1059</v>
      </c>
      <c r="CC136" s="131" t="s">
        <v>1059</v>
      </c>
      <c r="CD136" s="131" t="s">
        <v>1059</v>
      </c>
      <c r="CE136" s="131" t="s">
        <v>1059</v>
      </c>
      <c r="CF136" s="131" t="s">
        <v>1059</v>
      </c>
    </row>
    <row r="137" spans="1:84" ht="12" customHeight="1" x14ac:dyDescent="0.25">
      <c r="A137" s="114" t="s">
        <v>2242</v>
      </c>
      <c r="B137" s="5"/>
      <c r="C137" s="151">
        <f t="shared" ref="C137:N137" si="137">SUM(C134:C136)</f>
        <v>7.3280999999999992</v>
      </c>
      <c r="D137" s="151">
        <f t="shared" si="137"/>
        <v>7.3280999999999992</v>
      </c>
      <c r="E137" s="151">
        <f t="shared" si="137"/>
        <v>7.3280999999999992</v>
      </c>
      <c r="F137" s="151">
        <f t="shared" si="137"/>
        <v>7.3280999999999992</v>
      </c>
      <c r="G137" s="150">
        <f t="shared" si="137"/>
        <v>29.312399999999997</v>
      </c>
      <c r="H137" s="151">
        <f t="shared" si="137"/>
        <v>7.4632734680000006</v>
      </c>
      <c r="I137" s="151">
        <f t="shared" si="137"/>
        <v>7.4632734680000006</v>
      </c>
      <c r="J137" s="151">
        <f t="shared" si="137"/>
        <v>7.4632734680000006</v>
      </c>
      <c r="K137" s="151">
        <f t="shared" si="137"/>
        <v>7.4632734680000006</v>
      </c>
      <c r="L137" s="152">
        <f t="shared" si="137"/>
        <v>29.853093872000002</v>
      </c>
      <c r="M137" s="153">
        <f t="shared" si="137"/>
        <v>8.1104789455000006</v>
      </c>
      <c r="N137" s="153">
        <f t="shared" si="137"/>
        <v>8.1104789455000006</v>
      </c>
      <c r="O137" s="153">
        <f t="shared" ref="O137:AK137" si="138">SUM(O134:O136)</f>
        <v>8.1104789455000006</v>
      </c>
      <c r="P137" s="153">
        <f t="shared" si="138"/>
        <v>8.1104789455000006</v>
      </c>
      <c r="Q137" s="152">
        <f t="shared" si="138"/>
        <v>32.441915782000002</v>
      </c>
      <c r="R137" s="153">
        <f t="shared" si="138"/>
        <v>9.1008841600000014</v>
      </c>
      <c r="S137" s="153">
        <f t="shared" si="138"/>
        <v>9.1008841600000014</v>
      </c>
      <c r="T137" s="153">
        <f t="shared" si="138"/>
        <v>9.1008841600000014</v>
      </c>
      <c r="U137" s="153">
        <f t="shared" si="138"/>
        <v>9.1008841600000014</v>
      </c>
      <c r="V137" s="152">
        <f t="shared" si="138"/>
        <v>36.403536640000006</v>
      </c>
      <c r="W137" s="153">
        <f t="shared" si="138"/>
        <v>9.6161520835000012</v>
      </c>
      <c r="X137" s="153">
        <f t="shared" si="138"/>
        <v>9.6161520835000012</v>
      </c>
      <c r="Y137" s="153">
        <f t="shared" si="138"/>
        <v>9.6161520835000012</v>
      </c>
      <c r="Z137" s="153">
        <f t="shared" si="138"/>
        <v>9.6161520835000012</v>
      </c>
      <c r="AA137" s="152">
        <f t="shared" si="138"/>
        <v>38.464608334000005</v>
      </c>
      <c r="AB137" s="153">
        <f t="shared" si="138"/>
        <v>10.4475</v>
      </c>
      <c r="AC137" s="153">
        <f t="shared" si="138"/>
        <v>10.4475</v>
      </c>
      <c r="AD137" s="153">
        <f t="shared" si="138"/>
        <v>10.4475</v>
      </c>
      <c r="AE137" s="153">
        <f t="shared" si="138"/>
        <v>10.4475</v>
      </c>
      <c r="AF137" s="152">
        <f t="shared" si="138"/>
        <v>41.79</v>
      </c>
      <c r="AG137" s="153">
        <f t="shared" si="138"/>
        <v>10.0891427175</v>
      </c>
      <c r="AH137" s="153">
        <f t="shared" si="138"/>
        <v>10.0891427175</v>
      </c>
      <c r="AI137" s="153">
        <f t="shared" si="138"/>
        <v>10.0891427175</v>
      </c>
      <c r="AJ137" s="153">
        <f t="shared" si="138"/>
        <v>10.0891427175</v>
      </c>
      <c r="AK137" s="150">
        <f t="shared" si="138"/>
        <v>40.356570869999999</v>
      </c>
      <c r="AL137" s="153">
        <f t="shared" ref="AL137:AU137" si="139">SUM(AL134:AL136)</f>
        <v>10.21720476</v>
      </c>
      <c r="AM137" s="153">
        <f t="shared" si="139"/>
        <v>10.21720476</v>
      </c>
      <c r="AN137" s="153">
        <f t="shared" si="139"/>
        <v>10.21720476</v>
      </c>
      <c r="AO137" s="153">
        <f t="shared" si="139"/>
        <v>10.21720476</v>
      </c>
      <c r="AP137" s="150">
        <f t="shared" si="139"/>
        <v>40.868819039999998</v>
      </c>
      <c r="AQ137" s="153">
        <f t="shared" si="139"/>
        <v>8.2640509686000012</v>
      </c>
      <c r="AR137" s="153">
        <f t="shared" si="139"/>
        <v>8.2640509686000012</v>
      </c>
      <c r="AS137" s="153">
        <f t="shared" si="139"/>
        <v>8.2640509686000012</v>
      </c>
      <c r="AT137" s="153">
        <f t="shared" si="139"/>
        <v>8.2640509686000012</v>
      </c>
      <c r="AU137" s="150">
        <f t="shared" si="139"/>
        <v>33.056203874400005</v>
      </c>
      <c r="AV137" s="153">
        <f t="shared" ref="AV137:BE137" si="140">SUM(AV134:AV136)</f>
        <v>7.7699977078499991</v>
      </c>
      <c r="AW137" s="153">
        <f t="shared" si="140"/>
        <v>7.7699977078499991</v>
      </c>
      <c r="AX137" s="153">
        <f t="shared" si="140"/>
        <v>7.7699977078499991</v>
      </c>
      <c r="AY137" s="153">
        <f t="shared" si="140"/>
        <v>7.7699977078499991</v>
      </c>
      <c r="AZ137" s="150">
        <f t="shared" si="140"/>
        <v>31.079990831399996</v>
      </c>
      <c r="BA137" s="153">
        <f t="shared" si="140"/>
        <v>7.4142790018499998</v>
      </c>
      <c r="BB137" s="153">
        <f t="shared" si="140"/>
        <v>7.4142790018499998</v>
      </c>
      <c r="BC137" s="153">
        <f t="shared" si="140"/>
        <v>7.4142790018499998</v>
      </c>
      <c r="BD137" s="153">
        <f t="shared" si="140"/>
        <v>7.4142790018499998</v>
      </c>
      <c r="BE137" s="150">
        <f t="shared" si="140"/>
        <v>29.657116007399999</v>
      </c>
      <c r="BF137" s="153">
        <f t="shared" ref="BF137:BO137" si="141">SUM(BF134:BF136)</f>
        <v>7.6839017666249996</v>
      </c>
      <c r="BG137" s="153">
        <f t="shared" si="141"/>
        <v>7.6839017666249996</v>
      </c>
      <c r="BH137" s="153">
        <f t="shared" si="141"/>
        <v>7.6839017666249996</v>
      </c>
      <c r="BI137" s="153">
        <f t="shared" si="141"/>
        <v>7.6839017666249996</v>
      </c>
      <c r="BJ137" s="150">
        <f t="shared" si="141"/>
        <v>30.735607066499998</v>
      </c>
      <c r="BK137" s="153">
        <f t="shared" si="141"/>
        <v>8.0559606518999978</v>
      </c>
      <c r="BL137" s="153">
        <f t="shared" si="141"/>
        <v>8.0559606518999978</v>
      </c>
      <c r="BM137" s="153">
        <f t="shared" si="141"/>
        <v>8.0559606518999978</v>
      </c>
      <c r="BN137" s="153">
        <f t="shared" si="141"/>
        <v>8.0559606518999978</v>
      </c>
      <c r="BO137" s="150">
        <f t="shared" si="141"/>
        <v>32.223842607599991</v>
      </c>
      <c r="BP137" s="153">
        <f t="shared" ref="BP137:CF137" si="142">SUM(BP134:BP136)</f>
        <v>8.4893079610499989</v>
      </c>
      <c r="BQ137" s="153">
        <f t="shared" si="142"/>
        <v>8.4893079610499989</v>
      </c>
      <c r="BR137" s="153">
        <f t="shared" si="142"/>
        <v>8.4893079610499989</v>
      </c>
      <c r="BS137" s="153">
        <f t="shared" si="142"/>
        <v>8.4893079610499989</v>
      </c>
      <c r="BT137" s="150">
        <f t="shared" si="142"/>
        <v>33.957231844199995</v>
      </c>
      <c r="BU137" s="153">
        <f>SUM(BU134:BU136)</f>
        <v>8.7609433604279996</v>
      </c>
      <c r="BV137" s="153">
        <f>SUM(BV134:BV136)</f>
        <v>8.7609433604279996</v>
      </c>
      <c r="BW137" s="153">
        <f>SUM(BW134:BW136)</f>
        <v>8.7609433604279996</v>
      </c>
      <c r="BX137" s="153">
        <f>SUM(BX134:BX136)</f>
        <v>8.7609433604279996</v>
      </c>
      <c r="BY137" s="150">
        <f t="shared" si="142"/>
        <v>35.043773441711998</v>
      </c>
      <c r="BZ137" s="150">
        <f t="shared" si="142"/>
        <v>35.394211176129119</v>
      </c>
      <c r="CA137" s="150">
        <f t="shared" si="142"/>
        <v>35.394211176129119</v>
      </c>
      <c r="CB137" s="150">
        <f t="shared" si="142"/>
        <v>33.62450061732266</v>
      </c>
      <c r="CC137" s="150">
        <f t="shared" si="142"/>
        <v>31.943275586456529</v>
      </c>
      <c r="CD137" s="150">
        <f t="shared" si="142"/>
        <v>32.582141098185659</v>
      </c>
      <c r="CE137" s="150">
        <f t="shared" si="142"/>
        <v>33.233783920149371</v>
      </c>
      <c r="CF137" s="150">
        <f t="shared" si="142"/>
        <v>33.898459598552357</v>
      </c>
    </row>
    <row r="138" spans="1:84" ht="12" customHeight="1" x14ac:dyDescent="0.25">
      <c r="A138" s="114"/>
      <c r="B138" s="2"/>
      <c r="C138" s="4"/>
      <c r="D138" s="4"/>
      <c r="E138" s="4"/>
      <c r="F138" s="4"/>
      <c r="G138" s="55"/>
      <c r="H138" s="4"/>
      <c r="I138" s="4"/>
      <c r="J138" s="4"/>
      <c r="K138" s="4"/>
      <c r="L138" s="55"/>
      <c r="M138" s="4"/>
      <c r="N138" s="4"/>
      <c r="O138" s="4"/>
      <c r="P138" s="4"/>
      <c r="Q138" s="55"/>
      <c r="R138" s="4"/>
      <c r="S138" s="4"/>
      <c r="T138" s="4"/>
      <c r="U138" s="4"/>
      <c r="V138" s="55"/>
      <c r="W138" s="4"/>
      <c r="X138" s="4"/>
      <c r="Y138" s="4"/>
      <c r="Z138" s="4"/>
      <c r="AA138" s="55"/>
      <c r="AB138" s="4"/>
      <c r="AC138" s="4"/>
      <c r="AD138" s="4">
        <f>SUM(AB137:AE137)</f>
        <v>41.79</v>
      </c>
      <c r="AE138" s="4"/>
      <c r="AF138" s="55"/>
      <c r="AG138" s="4"/>
      <c r="AH138" s="4"/>
      <c r="AI138" s="4"/>
      <c r="AJ138" s="4"/>
      <c r="AK138" s="55"/>
      <c r="AL138" s="4"/>
      <c r="AM138" s="4"/>
      <c r="AN138" s="4"/>
      <c r="AO138" s="4"/>
      <c r="AP138" s="55"/>
      <c r="AQ138" s="4"/>
      <c r="AR138" s="4"/>
      <c r="AS138" s="4"/>
      <c r="AT138" s="4"/>
      <c r="AU138" s="55"/>
      <c r="AV138" s="4"/>
      <c r="AW138" s="4"/>
      <c r="AX138" s="4"/>
      <c r="AY138" s="4"/>
      <c r="AZ138" s="55"/>
      <c r="BA138" s="4"/>
      <c r="BB138" s="4"/>
      <c r="BC138" s="4"/>
      <c r="BD138" s="4"/>
      <c r="BE138" s="55"/>
      <c r="BF138" s="4"/>
      <c r="BG138" s="4"/>
      <c r="BH138" s="4"/>
      <c r="BI138" s="4"/>
      <c r="BJ138" s="55"/>
      <c r="BK138" s="4"/>
      <c r="BL138" s="4"/>
      <c r="BM138" s="4"/>
      <c r="BN138" s="4"/>
      <c r="BO138" s="55"/>
      <c r="BP138" s="4"/>
      <c r="BQ138" s="4"/>
      <c r="BR138" s="4"/>
      <c r="BS138" s="4"/>
      <c r="BT138" s="55"/>
      <c r="BU138" s="4"/>
      <c r="BV138" s="4"/>
      <c r="BW138" s="4"/>
      <c r="BX138" s="4"/>
      <c r="BY138" s="55"/>
      <c r="BZ138" s="55"/>
      <c r="CA138" s="55"/>
      <c r="CB138" s="55"/>
      <c r="CC138" s="55"/>
      <c r="CD138" s="55"/>
      <c r="CE138" s="55"/>
      <c r="CF138" s="55"/>
    </row>
    <row r="139" spans="1:84" ht="12" customHeight="1" x14ac:dyDescent="0.25">
      <c r="A139" s="6" t="s">
        <v>56</v>
      </c>
      <c r="B139" s="6"/>
      <c r="C139" s="88"/>
      <c r="D139" s="89"/>
      <c r="E139" s="89"/>
      <c r="F139" s="89"/>
      <c r="G139" s="87"/>
      <c r="H139" s="88"/>
      <c r="I139" s="89"/>
      <c r="J139" s="89"/>
      <c r="K139" s="89"/>
      <c r="L139" s="87"/>
      <c r="M139" s="88"/>
      <c r="N139" s="89"/>
      <c r="O139" s="89"/>
      <c r="P139" s="89"/>
      <c r="Q139" s="87"/>
      <c r="R139" s="88"/>
      <c r="S139" s="89"/>
      <c r="T139" s="89"/>
      <c r="U139" s="89"/>
      <c r="V139" s="87"/>
      <c r="W139" s="88"/>
      <c r="X139" s="89"/>
      <c r="Y139" s="89"/>
      <c r="Z139" s="89"/>
      <c r="AA139" s="87"/>
      <c r="AB139" s="88"/>
      <c r="AC139" s="89"/>
      <c r="AD139" s="89">
        <f>SUM(AB146:AE146)</f>
        <v>11.124000000000001</v>
      </c>
      <c r="AE139" s="89"/>
      <c r="AF139" s="87"/>
      <c r="AG139" s="88"/>
      <c r="AH139" s="89"/>
      <c r="AI139" s="89"/>
      <c r="AJ139" s="89"/>
      <c r="AK139" s="87"/>
      <c r="AL139" s="88"/>
      <c r="AM139" s="89"/>
      <c r="AN139" s="89"/>
      <c r="AO139" s="89"/>
      <c r="AP139" s="87"/>
      <c r="AQ139" s="88"/>
      <c r="AR139" s="89"/>
      <c r="AS139" s="89"/>
      <c r="AT139" s="89"/>
      <c r="AU139" s="87"/>
      <c r="AV139" s="88"/>
      <c r="AW139" s="89"/>
      <c r="AX139" s="89"/>
      <c r="AY139" s="89"/>
      <c r="AZ139" s="87"/>
      <c r="BA139" s="88"/>
      <c r="BB139" s="89"/>
      <c r="BC139" s="89"/>
      <c r="BD139" s="89"/>
      <c r="BE139" s="87"/>
      <c r="BF139" s="88"/>
      <c r="BG139" s="89"/>
      <c r="BH139" s="89"/>
      <c r="BI139" s="89"/>
      <c r="BJ139" s="87"/>
      <c r="BK139" s="89"/>
      <c r="BL139" s="89"/>
      <c r="BM139" s="89"/>
      <c r="BN139" s="89"/>
      <c r="BO139" s="87"/>
      <c r="BP139" s="89"/>
      <c r="BQ139" s="89"/>
      <c r="BR139" s="89"/>
      <c r="BS139" s="89"/>
      <c r="BT139" s="87"/>
      <c r="BU139" s="89"/>
      <c r="BV139" s="89"/>
      <c r="BW139" s="89"/>
      <c r="BX139" s="89"/>
      <c r="BY139" s="87"/>
      <c r="BZ139" s="87"/>
      <c r="CA139" s="87"/>
      <c r="CB139" s="87"/>
      <c r="CC139" s="87"/>
      <c r="CD139" s="87"/>
      <c r="CE139" s="87"/>
      <c r="CF139" s="87"/>
    </row>
    <row r="140" spans="1:84" ht="12" customHeight="1" x14ac:dyDescent="0.25">
      <c r="A140" s="103" t="s">
        <v>57</v>
      </c>
      <c r="B140" s="97"/>
      <c r="C140" s="91">
        <f t="shared" ref="C140:F142" si="143">$G140/4</f>
        <v>0.375</v>
      </c>
      <c r="D140" s="92">
        <f t="shared" si="143"/>
        <v>0.375</v>
      </c>
      <c r="E140" s="92">
        <f t="shared" si="143"/>
        <v>0.375</v>
      </c>
      <c r="F140" s="92">
        <f t="shared" si="143"/>
        <v>0.375</v>
      </c>
      <c r="G140" s="48">
        <f>IF(G130&gt;0, MIN(G116,G130)*G120,0)</f>
        <v>1.5</v>
      </c>
      <c r="H140" s="91">
        <f t="shared" ref="H140:K142" si="144">$L140/4</f>
        <v>0.375</v>
      </c>
      <c r="I140" s="92">
        <f t="shared" si="144"/>
        <v>0.375</v>
      </c>
      <c r="J140" s="92">
        <f t="shared" si="144"/>
        <v>0.375</v>
      </c>
      <c r="K140" s="92">
        <f t="shared" si="144"/>
        <v>0.375</v>
      </c>
      <c r="L140" s="48">
        <f>IF(L130&gt;0, MIN(L116,L130)*L120,0)</f>
        <v>1.5</v>
      </c>
      <c r="M140" s="92">
        <f t="shared" ref="M140:P142" si="145">$Q140/4</f>
        <v>0.375</v>
      </c>
      <c r="N140" s="92">
        <f t="shared" si="145"/>
        <v>0.375</v>
      </c>
      <c r="O140" s="92">
        <f t="shared" si="145"/>
        <v>0.375</v>
      </c>
      <c r="P140" s="92">
        <f t="shared" si="145"/>
        <v>0.375</v>
      </c>
      <c r="Q140" s="48">
        <f>IF(Q130&gt;0, MIN(Q116,Q130)*Q120,0)</f>
        <v>1.5</v>
      </c>
      <c r="R140" s="92">
        <f t="shared" ref="R140:U142" si="146">$V140/4</f>
        <v>0.375</v>
      </c>
      <c r="S140" s="92">
        <f t="shared" si="146"/>
        <v>0.375</v>
      </c>
      <c r="T140" s="92">
        <f t="shared" si="146"/>
        <v>0.375</v>
      </c>
      <c r="U140" s="92">
        <f t="shared" si="146"/>
        <v>0.375</v>
      </c>
      <c r="V140" s="48">
        <f>IF(V130&gt;0, MIN(V116,V130)*V120,0)</f>
        <v>1.5</v>
      </c>
      <c r="W140" s="92">
        <f t="shared" ref="W140:Z142" si="147">$AA140/4</f>
        <v>0.375</v>
      </c>
      <c r="X140" s="92">
        <f t="shared" si="147"/>
        <v>0.375</v>
      </c>
      <c r="Y140" s="92">
        <f t="shared" si="147"/>
        <v>0.375</v>
      </c>
      <c r="Z140" s="92">
        <f t="shared" si="147"/>
        <v>0.375</v>
      </c>
      <c r="AA140" s="48">
        <f>IF(AA130&gt;0, MIN(AA116,AA130)*AA120,0)</f>
        <v>1.5</v>
      </c>
      <c r="AB140" s="92">
        <f t="shared" ref="AB140:AE142" si="148">$AF140/4</f>
        <v>0.375</v>
      </c>
      <c r="AC140" s="92">
        <f t="shared" si="148"/>
        <v>0.375</v>
      </c>
      <c r="AD140" s="92">
        <f t="shared" si="148"/>
        <v>0.375</v>
      </c>
      <c r="AE140" s="92">
        <f t="shared" si="148"/>
        <v>0.375</v>
      </c>
      <c r="AF140" s="48">
        <f>IF(AF130&gt;0, MIN(AF116,AF130)*AF120,0)</f>
        <v>1.5</v>
      </c>
      <c r="AG140" s="92">
        <f>$AK140/4</f>
        <v>0.375</v>
      </c>
      <c r="AH140" s="92">
        <f t="shared" ref="AH140:AJ142" si="149">$AK140/4</f>
        <v>0.375</v>
      </c>
      <c r="AI140" s="92">
        <f t="shared" si="149"/>
        <v>0.375</v>
      </c>
      <c r="AJ140" s="92">
        <f t="shared" si="149"/>
        <v>0.375</v>
      </c>
      <c r="AK140" s="48">
        <f>IF(AK130&gt;0, MIN(AK116,AK130)*AK120,0)</f>
        <v>1.5</v>
      </c>
      <c r="AL140" s="92">
        <f>$AP140/4</f>
        <v>0.375</v>
      </c>
      <c r="AM140" s="92">
        <f t="shared" ref="AM140:AO142" si="150">$AP140/4</f>
        <v>0.375</v>
      </c>
      <c r="AN140" s="92">
        <f t="shared" si="150"/>
        <v>0.375</v>
      </c>
      <c r="AO140" s="92">
        <f t="shared" si="150"/>
        <v>0.375</v>
      </c>
      <c r="AP140" s="48">
        <f>IF(AP130&gt;0, MIN(AP$116,AP130)*AP$120,0)</f>
        <v>1.5</v>
      </c>
      <c r="AQ140" s="92">
        <f>$AU140/4</f>
        <v>0.375</v>
      </c>
      <c r="AR140" s="92">
        <f t="shared" ref="AR140:AT142" si="151">$AU140/4</f>
        <v>0.375</v>
      </c>
      <c r="AS140" s="92">
        <f t="shared" si="151"/>
        <v>0.375</v>
      </c>
      <c r="AT140" s="92">
        <f t="shared" si="151"/>
        <v>0.375</v>
      </c>
      <c r="AU140" s="48">
        <f>IF(AU130&gt;0, MIN(AU116,AU130)*AU120,0)</f>
        <v>1.5</v>
      </c>
      <c r="AV140" s="92">
        <f t="shared" ref="AV140:AY142" si="152">$AZ140/4</f>
        <v>0.375</v>
      </c>
      <c r="AW140" s="92">
        <f t="shared" si="152"/>
        <v>0.375</v>
      </c>
      <c r="AX140" s="92">
        <f t="shared" si="152"/>
        <v>0.375</v>
      </c>
      <c r="AY140" s="92">
        <f t="shared" si="152"/>
        <v>0.375</v>
      </c>
      <c r="AZ140" s="48">
        <f>IF(AZ130&gt;0, MIN(AZ116,AZ130)*AZ120,0)</f>
        <v>1.5</v>
      </c>
      <c r="BA140" s="92">
        <f t="shared" ref="BA140:BD142" si="153">$BE140/4</f>
        <v>0.375</v>
      </c>
      <c r="BB140" s="92">
        <f t="shared" si="153"/>
        <v>0.375</v>
      </c>
      <c r="BC140" s="92">
        <f t="shared" si="153"/>
        <v>0.375</v>
      </c>
      <c r="BD140" s="92">
        <f t="shared" si="153"/>
        <v>0.375</v>
      </c>
      <c r="BE140" s="48">
        <f>IF(BE130&gt;0, MIN(BE116,BE130)*BE120,0)</f>
        <v>1.5</v>
      </c>
      <c r="BF140" s="92">
        <f>$BJ140/4</f>
        <v>0.375</v>
      </c>
      <c r="BG140" s="92">
        <f t="shared" ref="BG140:BI142" si="154">$BJ140/4</f>
        <v>0.375</v>
      </c>
      <c r="BH140" s="92">
        <f t="shared" si="154"/>
        <v>0.375</v>
      </c>
      <c r="BI140" s="92">
        <f t="shared" si="154"/>
        <v>0.375</v>
      </c>
      <c r="BJ140" s="48">
        <f>IF(BJ130&gt;0, MIN(BJ116,BJ130)*BJ120,0)</f>
        <v>1.5</v>
      </c>
      <c r="BK140" s="92">
        <f>$BO140/4</f>
        <v>0.375</v>
      </c>
      <c r="BL140" s="92">
        <f t="shared" ref="BL140:BN142" si="155">$BO140/4</f>
        <v>0.375</v>
      </c>
      <c r="BM140" s="92">
        <f t="shared" si="155"/>
        <v>0.375</v>
      </c>
      <c r="BN140" s="92">
        <f t="shared" si="155"/>
        <v>0.375</v>
      </c>
      <c r="BO140" s="48">
        <f t="shared" ref="BO140:CF140" si="156">IF(BO130&gt;0, MIN(BO116,BO130)*BO120,0)</f>
        <v>1.5</v>
      </c>
      <c r="BP140" s="92">
        <f>$BT140/4</f>
        <v>0.375</v>
      </c>
      <c r="BQ140" s="92">
        <f t="shared" ref="BQ140:BS142" si="157">$BT140/4</f>
        <v>0.375</v>
      </c>
      <c r="BR140" s="92">
        <f t="shared" si="157"/>
        <v>0.375</v>
      </c>
      <c r="BS140" s="92">
        <f t="shared" si="157"/>
        <v>0.375</v>
      </c>
      <c r="BT140" s="48">
        <f>IF(BT130&gt;0, MIN(BT116,BT130)*BT120,0)</f>
        <v>1.5</v>
      </c>
      <c r="BU140" s="92">
        <f t="shared" ref="BU140:BX142" si="158">$BY140/4</f>
        <v>0.375</v>
      </c>
      <c r="BV140" s="92">
        <f t="shared" si="158"/>
        <v>0.375</v>
      </c>
      <c r="BW140" s="92">
        <f t="shared" si="158"/>
        <v>0.375</v>
      </c>
      <c r="BX140" s="92">
        <f t="shared" si="158"/>
        <v>0.375</v>
      </c>
      <c r="BY140" s="48">
        <f t="shared" si="156"/>
        <v>1.5</v>
      </c>
      <c r="BZ140" s="48">
        <f t="shared" si="156"/>
        <v>1.5</v>
      </c>
      <c r="CA140" s="48">
        <f t="shared" si="156"/>
        <v>1.5</v>
      </c>
      <c r="CB140" s="48">
        <f t="shared" si="156"/>
        <v>1.5</v>
      </c>
      <c r="CC140" s="48">
        <f t="shared" si="156"/>
        <v>1.5</v>
      </c>
      <c r="CD140" s="48">
        <f t="shared" si="156"/>
        <v>1.5</v>
      </c>
      <c r="CE140" s="48">
        <f t="shared" si="156"/>
        <v>1.5</v>
      </c>
      <c r="CF140" s="48">
        <f t="shared" si="156"/>
        <v>1.5</v>
      </c>
    </row>
    <row r="141" spans="1:84" ht="12" customHeight="1" x14ac:dyDescent="0.25">
      <c r="A141" s="103" t="s">
        <v>58</v>
      </c>
      <c r="B141" s="97"/>
      <c r="C141" s="98">
        <f t="shared" si="143"/>
        <v>0.5</v>
      </c>
      <c r="D141" s="99">
        <f t="shared" si="143"/>
        <v>0.5</v>
      </c>
      <c r="E141" s="99">
        <f t="shared" si="143"/>
        <v>0.5</v>
      </c>
      <c r="F141" s="99">
        <f t="shared" si="143"/>
        <v>0.5</v>
      </c>
      <c r="G141" s="96">
        <f>IF(G130&gt;G116, MIN(G117-G116, G130-G116)*G121,0)</f>
        <v>2</v>
      </c>
      <c r="H141" s="98">
        <f t="shared" si="144"/>
        <v>0.5</v>
      </c>
      <c r="I141" s="99">
        <f t="shared" si="144"/>
        <v>0.5</v>
      </c>
      <c r="J141" s="99">
        <f t="shared" si="144"/>
        <v>0.5</v>
      </c>
      <c r="K141" s="99">
        <f t="shared" si="144"/>
        <v>0.5</v>
      </c>
      <c r="L141" s="96">
        <f>IF(L130&gt;L116, MIN(L117-L116, L130-L116)*L121,0)</f>
        <v>2</v>
      </c>
      <c r="M141" s="99">
        <f t="shared" si="145"/>
        <v>0.5</v>
      </c>
      <c r="N141" s="99">
        <f t="shared" si="145"/>
        <v>0.5</v>
      </c>
      <c r="O141" s="99">
        <f t="shared" si="145"/>
        <v>0.5</v>
      </c>
      <c r="P141" s="99">
        <f t="shared" si="145"/>
        <v>0.5</v>
      </c>
      <c r="Q141" s="96">
        <f>IF(Q130&gt;Q116, MIN(Q117-Q116, Q130-Q116)*Q121,0)</f>
        <v>2</v>
      </c>
      <c r="R141" s="99">
        <f t="shared" si="146"/>
        <v>0.5</v>
      </c>
      <c r="S141" s="99">
        <f t="shared" si="146"/>
        <v>0.5</v>
      </c>
      <c r="T141" s="99">
        <f t="shared" si="146"/>
        <v>0.5</v>
      </c>
      <c r="U141" s="99">
        <f t="shared" si="146"/>
        <v>0.5</v>
      </c>
      <c r="V141" s="96">
        <f>IF(V130&gt;V116, MIN(V117-V116, V130-V116)*V121,0)</f>
        <v>2</v>
      </c>
      <c r="W141" s="99">
        <f t="shared" si="147"/>
        <v>0.5</v>
      </c>
      <c r="X141" s="99">
        <f t="shared" si="147"/>
        <v>0.5</v>
      </c>
      <c r="Y141" s="99">
        <f t="shared" si="147"/>
        <v>0.5</v>
      </c>
      <c r="Z141" s="99">
        <f t="shared" si="147"/>
        <v>0.5</v>
      </c>
      <c r="AA141" s="96">
        <f>IF(AA130&gt;AA116, MIN(AA117-AA116, AA130-AA116)*AA121,0)</f>
        <v>2</v>
      </c>
      <c r="AB141" s="99">
        <f t="shared" si="148"/>
        <v>0.5</v>
      </c>
      <c r="AC141" s="99">
        <f t="shared" si="148"/>
        <v>0.5</v>
      </c>
      <c r="AD141" s="99">
        <f t="shared" si="148"/>
        <v>0.5</v>
      </c>
      <c r="AE141" s="99">
        <f t="shared" si="148"/>
        <v>0.5</v>
      </c>
      <c r="AF141" s="96">
        <f>IF(AF130&gt;AF116, MIN(AF117-AF116, AF130-AF116)*AF121,0)</f>
        <v>2</v>
      </c>
      <c r="AG141" s="99">
        <f>$AK141/4</f>
        <v>0.5</v>
      </c>
      <c r="AH141" s="99">
        <f t="shared" si="149"/>
        <v>0.5</v>
      </c>
      <c r="AI141" s="99">
        <f t="shared" si="149"/>
        <v>0.5</v>
      </c>
      <c r="AJ141" s="99">
        <f t="shared" si="149"/>
        <v>0.5</v>
      </c>
      <c r="AK141" s="96">
        <f>IF(AK130&gt;AK116, MIN(AK117-AK116, AK130-AK116)*AK121,0)</f>
        <v>2</v>
      </c>
      <c r="AL141" s="99">
        <f>$AP141/4</f>
        <v>0.5</v>
      </c>
      <c r="AM141" s="99">
        <f t="shared" si="150"/>
        <v>0.5</v>
      </c>
      <c r="AN141" s="99">
        <f t="shared" si="150"/>
        <v>0.5</v>
      </c>
      <c r="AO141" s="99">
        <f t="shared" si="150"/>
        <v>0.5</v>
      </c>
      <c r="AP141" s="96">
        <f>IF(AP130&gt;AP$116, MIN(AP$117-AP$116, AP130-AP$116)*AP$121,0)</f>
        <v>2</v>
      </c>
      <c r="AQ141" s="99">
        <f>$AU141/4</f>
        <v>0.5</v>
      </c>
      <c r="AR141" s="99">
        <f t="shared" si="151"/>
        <v>0.5</v>
      </c>
      <c r="AS141" s="99">
        <f t="shared" si="151"/>
        <v>0.5</v>
      </c>
      <c r="AT141" s="99">
        <f t="shared" si="151"/>
        <v>0.5</v>
      </c>
      <c r="AU141" s="96">
        <f>IF(AU130&gt;AU116, MIN(AU117-AU116, AU130-AU116)*AU121,0)</f>
        <v>2</v>
      </c>
      <c r="AV141" s="99">
        <f t="shared" si="152"/>
        <v>0.5</v>
      </c>
      <c r="AW141" s="99">
        <f t="shared" si="152"/>
        <v>0.5</v>
      </c>
      <c r="AX141" s="99">
        <f t="shared" si="152"/>
        <v>0.5</v>
      </c>
      <c r="AY141" s="99">
        <f t="shared" si="152"/>
        <v>0.5</v>
      </c>
      <c r="AZ141" s="96">
        <f>IF(AZ130&gt;AZ116, MIN(AZ117-AZ116, AZ130-AZ116)*AZ121,0)</f>
        <v>2</v>
      </c>
      <c r="BA141" s="99">
        <f t="shared" si="153"/>
        <v>0.5</v>
      </c>
      <c r="BB141" s="99">
        <f t="shared" si="153"/>
        <v>0.5</v>
      </c>
      <c r="BC141" s="99">
        <f t="shared" si="153"/>
        <v>0.5</v>
      </c>
      <c r="BD141" s="99">
        <f t="shared" si="153"/>
        <v>0.5</v>
      </c>
      <c r="BE141" s="96">
        <f>IF(BE130&gt;BE116, MIN(BE117-BE116, BE130-BE116)*BE121,0)</f>
        <v>2</v>
      </c>
      <c r="BF141" s="99">
        <f>$BJ141/4</f>
        <v>0.5</v>
      </c>
      <c r="BG141" s="99">
        <f t="shared" si="154"/>
        <v>0.5</v>
      </c>
      <c r="BH141" s="99">
        <f t="shared" si="154"/>
        <v>0.5</v>
      </c>
      <c r="BI141" s="99">
        <f t="shared" si="154"/>
        <v>0.5</v>
      </c>
      <c r="BJ141" s="96">
        <f>IF(BJ130&gt;BJ116, MIN(BJ117-BJ116, BJ130-BJ116)*BJ121,0)</f>
        <v>2</v>
      </c>
      <c r="BK141" s="99">
        <f>$BO141/4</f>
        <v>0.5</v>
      </c>
      <c r="BL141" s="99">
        <f t="shared" si="155"/>
        <v>0.5</v>
      </c>
      <c r="BM141" s="99">
        <f t="shared" si="155"/>
        <v>0.5</v>
      </c>
      <c r="BN141" s="99">
        <f t="shared" si="155"/>
        <v>0.5</v>
      </c>
      <c r="BO141" s="96">
        <f t="shared" ref="BO141:CF141" si="159">IF(BO130&gt;BO116, MIN(BO117-BO116, BO130-BO116)*BO121,0)</f>
        <v>2</v>
      </c>
      <c r="BP141" s="99">
        <f>$BT141/4</f>
        <v>0.5</v>
      </c>
      <c r="BQ141" s="99">
        <f t="shared" si="157"/>
        <v>0.5</v>
      </c>
      <c r="BR141" s="99">
        <f t="shared" si="157"/>
        <v>0.5</v>
      </c>
      <c r="BS141" s="99">
        <f t="shared" si="157"/>
        <v>0.5</v>
      </c>
      <c r="BT141" s="96">
        <f>IF(BT130&gt;BT116, MIN(BT117-BT116, BT130-BT116)*BT121,0)</f>
        <v>2</v>
      </c>
      <c r="BU141" s="99">
        <f t="shared" si="158"/>
        <v>0.5</v>
      </c>
      <c r="BV141" s="99">
        <f t="shared" si="158"/>
        <v>0.5</v>
      </c>
      <c r="BW141" s="99">
        <f t="shared" si="158"/>
        <v>0.5</v>
      </c>
      <c r="BX141" s="99">
        <f t="shared" si="158"/>
        <v>0.5</v>
      </c>
      <c r="BY141" s="96">
        <f t="shared" si="159"/>
        <v>2</v>
      </c>
      <c r="BZ141" s="96">
        <f t="shared" si="159"/>
        <v>2</v>
      </c>
      <c r="CA141" s="96">
        <f t="shared" si="159"/>
        <v>2</v>
      </c>
      <c r="CB141" s="96">
        <f t="shared" si="159"/>
        <v>2</v>
      </c>
      <c r="CC141" s="96">
        <f t="shared" si="159"/>
        <v>2</v>
      </c>
      <c r="CD141" s="96">
        <f t="shared" si="159"/>
        <v>2</v>
      </c>
      <c r="CE141" s="96">
        <f t="shared" si="159"/>
        <v>2</v>
      </c>
      <c r="CF141" s="96">
        <f t="shared" si="159"/>
        <v>2</v>
      </c>
    </row>
    <row r="142" spans="1:84" ht="12" customHeight="1" x14ac:dyDescent="0.25">
      <c r="A142" s="103" t="s">
        <v>59</v>
      </c>
      <c r="B142" s="97"/>
      <c r="C142" s="98">
        <f t="shared" si="143"/>
        <v>0.58202499999999979</v>
      </c>
      <c r="D142" s="99">
        <f t="shared" si="143"/>
        <v>0.58202499999999979</v>
      </c>
      <c r="E142" s="99">
        <f t="shared" si="143"/>
        <v>0.58202499999999979</v>
      </c>
      <c r="F142" s="99">
        <f t="shared" si="143"/>
        <v>0.58202499999999979</v>
      </c>
      <c r="G142" s="96">
        <f>IF(G130&gt;G117,(G130-G117)*G122,0)</f>
        <v>2.3280999999999992</v>
      </c>
      <c r="H142" s="98">
        <f t="shared" si="144"/>
        <v>0.61581836700000003</v>
      </c>
      <c r="I142" s="99">
        <f t="shared" si="144"/>
        <v>0.61581836700000003</v>
      </c>
      <c r="J142" s="99">
        <f t="shared" si="144"/>
        <v>0.61581836700000003</v>
      </c>
      <c r="K142" s="99">
        <f t="shared" si="144"/>
        <v>0.61581836700000003</v>
      </c>
      <c r="L142" s="96">
        <f>IF(L130&gt;L117,(L130-L117)*L122,0)</f>
        <v>2.4632734680000001</v>
      </c>
      <c r="M142" s="99">
        <f t="shared" si="145"/>
        <v>0.77761973637500015</v>
      </c>
      <c r="N142" s="99">
        <f t="shared" si="145"/>
        <v>0.77761973637500015</v>
      </c>
      <c r="O142" s="99">
        <f t="shared" si="145"/>
        <v>0.77761973637500015</v>
      </c>
      <c r="P142" s="99">
        <f t="shared" si="145"/>
        <v>0.77761973637500015</v>
      </c>
      <c r="Q142" s="96">
        <f>IF(Q130&gt;Q117,(Q130-Q117)*Q122,0)</f>
        <v>3.1104789455000006</v>
      </c>
      <c r="R142" s="99">
        <f t="shared" si="146"/>
        <v>1.0252210400000004</v>
      </c>
      <c r="S142" s="99">
        <f t="shared" si="146"/>
        <v>1.0252210400000004</v>
      </c>
      <c r="T142" s="99">
        <f t="shared" si="146"/>
        <v>1.0252210400000004</v>
      </c>
      <c r="U142" s="99">
        <f t="shared" si="146"/>
        <v>1.0252210400000004</v>
      </c>
      <c r="V142" s="96">
        <f>IF(V130&gt;V117,(V130-V117)*V122,0)</f>
        <v>4.1008841600000014</v>
      </c>
      <c r="W142" s="99">
        <f t="shared" si="147"/>
        <v>1.1540380208750001</v>
      </c>
      <c r="X142" s="99">
        <f t="shared" si="147"/>
        <v>1.1540380208750001</v>
      </c>
      <c r="Y142" s="99">
        <f t="shared" si="147"/>
        <v>1.1540380208750001</v>
      </c>
      <c r="Z142" s="99">
        <f t="shared" si="147"/>
        <v>1.1540380208750001</v>
      </c>
      <c r="AA142" s="96">
        <f>IF(AA130&gt;AA117,(AA130-AA117)*AA122,0)</f>
        <v>4.6161520835000003</v>
      </c>
      <c r="AB142" s="99">
        <f t="shared" si="148"/>
        <v>1.2375000000000005</v>
      </c>
      <c r="AC142" s="99">
        <f t="shared" si="148"/>
        <v>1.2375000000000005</v>
      </c>
      <c r="AD142" s="99">
        <f t="shared" si="148"/>
        <v>1.2375000000000005</v>
      </c>
      <c r="AE142" s="99">
        <f t="shared" si="148"/>
        <v>1.2375000000000005</v>
      </c>
      <c r="AF142" s="96">
        <f>IF(AF130&gt;AF117,(AF130-AF117)*AF122,0)</f>
        <v>4.950000000000002</v>
      </c>
      <c r="AG142" s="99">
        <f>$AK142/4</f>
        <v>1.1521768375000001</v>
      </c>
      <c r="AH142" s="99">
        <f t="shared" si="149"/>
        <v>1.1521768375000001</v>
      </c>
      <c r="AI142" s="99">
        <f t="shared" si="149"/>
        <v>1.1521768375000001</v>
      </c>
      <c r="AJ142" s="99">
        <f t="shared" si="149"/>
        <v>1.1521768375000001</v>
      </c>
      <c r="AK142" s="96">
        <f>IF(AK130&gt;AK117,(AK130-AK117)*AK122,0)</f>
        <v>4.6087073500000004</v>
      </c>
      <c r="AL142" s="99">
        <f>$AP142/4</f>
        <v>1.1826678000000002</v>
      </c>
      <c r="AM142" s="99">
        <f t="shared" si="150"/>
        <v>1.1826678000000002</v>
      </c>
      <c r="AN142" s="99">
        <f t="shared" si="150"/>
        <v>1.1826678000000002</v>
      </c>
      <c r="AO142" s="99">
        <f t="shared" si="150"/>
        <v>1.1826678000000002</v>
      </c>
      <c r="AP142" s="96">
        <f>IF(AP130&gt;AP$117,(AP130-AP$117)*AP$122,0)</f>
        <v>4.7306712000000006</v>
      </c>
      <c r="AQ142" s="99">
        <f>$AU142/4</f>
        <v>0.71763118300000039</v>
      </c>
      <c r="AR142" s="99">
        <f t="shared" si="151"/>
        <v>0.71763118300000039</v>
      </c>
      <c r="AS142" s="99">
        <f t="shared" si="151"/>
        <v>0.71763118300000039</v>
      </c>
      <c r="AT142" s="99">
        <f t="shared" si="151"/>
        <v>0.71763118300000039</v>
      </c>
      <c r="AU142" s="96">
        <f>IF(AU130&gt;AU117,(AU130-AU117)*AU122,0)</f>
        <v>2.8705247320000016</v>
      </c>
      <c r="AV142" s="99">
        <f t="shared" si="152"/>
        <v>0.59999945424999979</v>
      </c>
      <c r="AW142" s="99">
        <f t="shared" si="152"/>
        <v>0.59999945424999979</v>
      </c>
      <c r="AX142" s="99">
        <f t="shared" si="152"/>
        <v>0.59999945424999979</v>
      </c>
      <c r="AY142" s="99">
        <f t="shared" si="152"/>
        <v>0.59999945424999979</v>
      </c>
      <c r="AZ142" s="96">
        <f>IF(AZ130&gt;AZ117,(AZ130-AZ117)*AZ122,0)</f>
        <v>2.3999978169999991</v>
      </c>
      <c r="BA142" s="99">
        <f t="shared" si="153"/>
        <v>0.51530452424999995</v>
      </c>
      <c r="BB142" s="99">
        <f t="shared" si="153"/>
        <v>0.51530452424999995</v>
      </c>
      <c r="BC142" s="99">
        <f t="shared" si="153"/>
        <v>0.51530452424999995</v>
      </c>
      <c r="BD142" s="99">
        <f t="shared" si="153"/>
        <v>0.51530452424999995</v>
      </c>
      <c r="BE142" s="96">
        <f>IF(BE130&gt;BE117,(BE130-BE117)*BE122,0)</f>
        <v>2.0612180969999998</v>
      </c>
      <c r="BF142" s="99">
        <f>$BJ142/4</f>
        <v>0.57950042062499996</v>
      </c>
      <c r="BG142" s="99">
        <f t="shared" si="154"/>
        <v>0.57950042062499996</v>
      </c>
      <c r="BH142" s="99">
        <f t="shared" si="154"/>
        <v>0.57950042062499996</v>
      </c>
      <c r="BI142" s="99">
        <f t="shared" si="154"/>
        <v>0.57950042062499996</v>
      </c>
      <c r="BJ142" s="96">
        <f>IF(BJ130&gt;BJ117,(BJ130-BJ117)*BJ122,0)</f>
        <v>2.3180016824999998</v>
      </c>
      <c r="BK142" s="99">
        <f>$BO142/4</f>
        <v>0.66808586949999982</v>
      </c>
      <c r="BL142" s="99">
        <f t="shared" si="155"/>
        <v>0.66808586949999982</v>
      </c>
      <c r="BM142" s="99">
        <f t="shared" si="155"/>
        <v>0.66808586949999982</v>
      </c>
      <c r="BN142" s="99">
        <f t="shared" si="155"/>
        <v>0.66808586949999982</v>
      </c>
      <c r="BO142" s="96">
        <f t="shared" ref="BO142:CF142" si="160">IF(BO130&gt;BO117,(BO130-BO117)*BO122,0)</f>
        <v>2.6723434779999993</v>
      </c>
      <c r="BP142" s="99">
        <f>$BT142/4</f>
        <v>0.77126380025000008</v>
      </c>
      <c r="BQ142" s="99">
        <f t="shared" si="157"/>
        <v>0.77126380025000008</v>
      </c>
      <c r="BR142" s="99">
        <f t="shared" si="157"/>
        <v>0.77126380025000008</v>
      </c>
      <c r="BS142" s="99">
        <f t="shared" si="157"/>
        <v>0.77126380025000008</v>
      </c>
      <c r="BT142" s="96">
        <f>IF(BT130&gt;BT117,(BT130-BT117)*BT122,0)</f>
        <v>3.0850552010000003</v>
      </c>
      <c r="BU142" s="99">
        <f t="shared" si="158"/>
        <v>0.83593889533999999</v>
      </c>
      <c r="BV142" s="99">
        <f t="shared" si="158"/>
        <v>0.83593889533999999</v>
      </c>
      <c r="BW142" s="99">
        <f t="shared" si="158"/>
        <v>0.83593889533999999</v>
      </c>
      <c r="BX142" s="99">
        <f t="shared" si="158"/>
        <v>0.83593889533999999</v>
      </c>
      <c r="BY142" s="96">
        <f t="shared" si="160"/>
        <v>3.34375558136</v>
      </c>
      <c r="BZ142" s="96">
        <f t="shared" si="160"/>
        <v>3.4271931371736004</v>
      </c>
      <c r="CA142" s="96">
        <f t="shared" si="160"/>
        <v>3.4271931371736004</v>
      </c>
      <c r="CB142" s="96">
        <f t="shared" si="160"/>
        <v>3.0058334803149194</v>
      </c>
      <c r="CC142" s="96">
        <f t="shared" si="160"/>
        <v>2.6055418062991738</v>
      </c>
      <c r="CD142" s="96">
        <f t="shared" si="160"/>
        <v>2.7576526424251568</v>
      </c>
      <c r="CE142" s="96">
        <f t="shared" si="160"/>
        <v>2.9128056952736601</v>
      </c>
      <c r="CF142" s="96">
        <f t="shared" si="160"/>
        <v>3.0710618091791333</v>
      </c>
    </row>
    <row r="143" spans="1:84" ht="5.25" customHeight="1" x14ac:dyDescent="0.25">
      <c r="A143" s="103"/>
      <c r="B143" s="130"/>
      <c r="C143" s="130" t="s">
        <v>1059</v>
      </c>
      <c r="D143" s="130" t="s">
        <v>1059</v>
      </c>
      <c r="E143" s="130" t="s">
        <v>1059</v>
      </c>
      <c r="F143" s="130" t="s">
        <v>1059</v>
      </c>
      <c r="G143" s="131" t="s">
        <v>1059</v>
      </c>
      <c r="H143" s="130" t="s">
        <v>1059</v>
      </c>
      <c r="I143" s="130" t="s">
        <v>1059</v>
      </c>
      <c r="J143" s="130" t="s">
        <v>1059</v>
      </c>
      <c r="K143" s="130" t="s">
        <v>1059</v>
      </c>
      <c r="L143" s="131" t="s">
        <v>1059</v>
      </c>
      <c r="M143" s="130" t="s">
        <v>1059</v>
      </c>
      <c r="N143" s="130" t="s">
        <v>1059</v>
      </c>
      <c r="O143" s="130" t="s">
        <v>1059</v>
      </c>
      <c r="P143" s="130" t="s">
        <v>1059</v>
      </c>
      <c r="Q143" s="131" t="s">
        <v>1059</v>
      </c>
      <c r="R143" s="130" t="s">
        <v>1059</v>
      </c>
      <c r="S143" s="130" t="s">
        <v>1059</v>
      </c>
      <c r="T143" s="130" t="s">
        <v>1059</v>
      </c>
      <c r="U143" s="130" t="s">
        <v>1059</v>
      </c>
      <c r="V143" s="131" t="s">
        <v>1059</v>
      </c>
      <c r="W143" s="130" t="s">
        <v>1059</v>
      </c>
      <c r="X143" s="130" t="s">
        <v>1059</v>
      </c>
      <c r="Y143" s="130" t="s">
        <v>1059</v>
      </c>
      <c r="Z143" s="130" t="s">
        <v>1059</v>
      </c>
      <c r="AA143" s="131" t="s">
        <v>1059</v>
      </c>
      <c r="AB143" s="130" t="s">
        <v>1059</v>
      </c>
      <c r="AC143" s="130" t="s">
        <v>1059</v>
      </c>
      <c r="AD143" s="130" t="s">
        <v>1059</v>
      </c>
      <c r="AE143" s="130" t="s">
        <v>1059</v>
      </c>
      <c r="AF143" s="131" t="s">
        <v>1059</v>
      </c>
      <c r="AG143" s="130" t="s">
        <v>1059</v>
      </c>
      <c r="AH143" s="130" t="s">
        <v>1059</v>
      </c>
      <c r="AI143" s="130" t="s">
        <v>1059</v>
      </c>
      <c r="AJ143" s="130" t="s">
        <v>1059</v>
      </c>
      <c r="AK143" s="131" t="s">
        <v>1059</v>
      </c>
      <c r="AL143" s="130" t="s">
        <v>1059</v>
      </c>
      <c r="AM143" s="130" t="s">
        <v>1059</v>
      </c>
      <c r="AN143" s="130" t="s">
        <v>1059</v>
      </c>
      <c r="AO143" s="130" t="s">
        <v>1059</v>
      </c>
      <c r="AP143" s="131" t="s">
        <v>1059</v>
      </c>
      <c r="AQ143" s="130" t="s">
        <v>1059</v>
      </c>
      <c r="AR143" s="130" t="s">
        <v>1059</v>
      </c>
      <c r="AS143" s="130" t="s">
        <v>1059</v>
      </c>
      <c r="AT143" s="130" t="s">
        <v>1059</v>
      </c>
      <c r="AU143" s="131" t="s">
        <v>1059</v>
      </c>
      <c r="AV143" s="130" t="s">
        <v>1059</v>
      </c>
      <c r="AW143" s="130" t="s">
        <v>1059</v>
      </c>
      <c r="AX143" s="130" t="s">
        <v>1059</v>
      </c>
      <c r="AY143" s="130" t="s">
        <v>1059</v>
      </c>
      <c r="AZ143" s="131" t="s">
        <v>1059</v>
      </c>
      <c r="BA143" s="130" t="s">
        <v>1059</v>
      </c>
      <c r="BB143" s="130" t="s">
        <v>1059</v>
      </c>
      <c r="BC143" s="130" t="s">
        <v>1059</v>
      </c>
      <c r="BD143" s="130" t="s">
        <v>1059</v>
      </c>
      <c r="BE143" s="131" t="s">
        <v>1059</v>
      </c>
      <c r="BF143" s="130" t="s">
        <v>1059</v>
      </c>
      <c r="BG143" s="130" t="s">
        <v>1059</v>
      </c>
      <c r="BH143" s="130" t="s">
        <v>1059</v>
      </c>
      <c r="BI143" s="130" t="s">
        <v>1059</v>
      </c>
      <c r="BJ143" s="131" t="s">
        <v>1059</v>
      </c>
      <c r="BK143" s="130" t="s">
        <v>1059</v>
      </c>
      <c r="BL143" s="130" t="s">
        <v>1059</v>
      </c>
      <c r="BM143" s="130" t="s">
        <v>1059</v>
      </c>
      <c r="BN143" s="130" t="s">
        <v>1059</v>
      </c>
      <c r="BO143" s="131" t="s">
        <v>1059</v>
      </c>
      <c r="BP143" s="130" t="s">
        <v>1059</v>
      </c>
      <c r="BQ143" s="130" t="s">
        <v>1059</v>
      </c>
      <c r="BR143" s="130" t="s">
        <v>1059</v>
      </c>
      <c r="BS143" s="130" t="s">
        <v>1059</v>
      </c>
      <c r="BT143" s="131" t="s">
        <v>1059</v>
      </c>
      <c r="BU143" s="130" t="s">
        <v>1059</v>
      </c>
      <c r="BV143" s="130" t="s">
        <v>1059</v>
      </c>
      <c r="BW143" s="130" t="s">
        <v>1059</v>
      </c>
      <c r="BX143" s="130" t="s">
        <v>1059</v>
      </c>
      <c r="BY143" s="131" t="s">
        <v>1059</v>
      </c>
      <c r="BZ143" s="131" t="s">
        <v>1059</v>
      </c>
      <c r="CA143" s="131" t="s">
        <v>1059</v>
      </c>
      <c r="CB143" s="131" t="s">
        <v>1059</v>
      </c>
      <c r="CC143" s="131" t="s">
        <v>1059</v>
      </c>
      <c r="CD143" s="131" t="s">
        <v>1059</v>
      </c>
      <c r="CE143" s="131" t="s">
        <v>1059</v>
      </c>
      <c r="CF143" s="131" t="s">
        <v>1059</v>
      </c>
    </row>
    <row r="144" spans="1:84" ht="12" customHeight="1" x14ac:dyDescent="0.25">
      <c r="A144" s="103" t="s">
        <v>127</v>
      </c>
      <c r="B144" s="34"/>
      <c r="C144" s="34">
        <f t="shared" ref="C144:N144" si="161">SUM(C140:C143)</f>
        <v>1.4570249999999998</v>
      </c>
      <c r="D144" s="112">
        <f t="shared" si="161"/>
        <v>1.4570249999999998</v>
      </c>
      <c r="E144" s="112">
        <f t="shared" si="161"/>
        <v>1.4570249999999998</v>
      </c>
      <c r="F144" s="34">
        <f t="shared" si="161"/>
        <v>1.4570249999999998</v>
      </c>
      <c r="G144" s="111">
        <f t="shared" si="161"/>
        <v>5.8280999999999992</v>
      </c>
      <c r="H144" s="34">
        <f t="shared" si="161"/>
        <v>1.4908183670000001</v>
      </c>
      <c r="I144" s="112">
        <f t="shared" si="161"/>
        <v>1.4908183670000001</v>
      </c>
      <c r="J144" s="112">
        <f t="shared" si="161"/>
        <v>1.4908183670000001</v>
      </c>
      <c r="K144" s="34">
        <f t="shared" si="161"/>
        <v>1.4908183670000001</v>
      </c>
      <c r="L144" s="111">
        <f t="shared" si="161"/>
        <v>5.9632734680000006</v>
      </c>
      <c r="M144" s="112">
        <f t="shared" si="161"/>
        <v>1.6526197363750001</v>
      </c>
      <c r="N144" s="112">
        <f t="shared" si="161"/>
        <v>1.6526197363750001</v>
      </c>
      <c r="O144" s="112">
        <f t="shared" ref="O144:AK144" si="162">SUM(O140:O143)</f>
        <v>1.6526197363750001</v>
      </c>
      <c r="P144" s="34">
        <f t="shared" si="162"/>
        <v>1.6526197363750001</v>
      </c>
      <c r="Q144" s="111">
        <f t="shared" si="162"/>
        <v>6.6104789455000006</v>
      </c>
      <c r="R144" s="112">
        <f t="shared" si="162"/>
        <v>1.9002210400000004</v>
      </c>
      <c r="S144" s="112">
        <f t="shared" si="162"/>
        <v>1.9002210400000004</v>
      </c>
      <c r="T144" s="112">
        <f t="shared" si="162"/>
        <v>1.9002210400000004</v>
      </c>
      <c r="U144" s="34">
        <f t="shared" si="162"/>
        <v>1.9002210400000004</v>
      </c>
      <c r="V144" s="111">
        <f t="shared" si="162"/>
        <v>7.6008841600000014</v>
      </c>
      <c r="W144" s="112">
        <f t="shared" si="162"/>
        <v>2.0290380208750003</v>
      </c>
      <c r="X144" s="112">
        <f t="shared" si="162"/>
        <v>2.0290380208750003</v>
      </c>
      <c r="Y144" s="112">
        <f t="shared" si="162"/>
        <v>2.0290380208750003</v>
      </c>
      <c r="Z144" s="34">
        <f t="shared" si="162"/>
        <v>2.0290380208750003</v>
      </c>
      <c r="AA144" s="111">
        <f t="shared" si="162"/>
        <v>8.1161520835000012</v>
      </c>
      <c r="AB144" s="112">
        <f t="shared" si="162"/>
        <v>2.1125000000000007</v>
      </c>
      <c r="AC144" s="112">
        <f t="shared" si="162"/>
        <v>2.1125000000000007</v>
      </c>
      <c r="AD144" s="112">
        <f t="shared" si="162"/>
        <v>2.1125000000000007</v>
      </c>
      <c r="AE144" s="34">
        <f t="shared" si="162"/>
        <v>2.1125000000000007</v>
      </c>
      <c r="AF144" s="111">
        <f t="shared" si="162"/>
        <v>8.4500000000000028</v>
      </c>
      <c r="AG144" s="112">
        <f t="shared" si="162"/>
        <v>2.0271768374999999</v>
      </c>
      <c r="AH144" s="112">
        <f t="shared" si="162"/>
        <v>2.0271768374999999</v>
      </c>
      <c r="AI144" s="112">
        <f t="shared" si="162"/>
        <v>2.0271768374999999</v>
      </c>
      <c r="AJ144" s="34">
        <f t="shared" si="162"/>
        <v>2.0271768374999999</v>
      </c>
      <c r="AK144" s="111">
        <f t="shared" si="162"/>
        <v>8.1087073499999995</v>
      </c>
      <c r="AL144" s="112">
        <f t="shared" ref="AL144:AU144" si="163">SUM(AL140:AL143)</f>
        <v>2.0576677999999999</v>
      </c>
      <c r="AM144" s="112">
        <f t="shared" si="163"/>
        <v>2.0576677999999999</v>
      </c>
      <c r="AN144" s="112">
        <f t="shared" si="163"/>
        <v>2.0576677999999999</v>
      </c>
      <c r="AO144" s="34">
        <f t="shared" si="163"/>
        <v>2.0576677999999999</v>
      </c>
      <c r="AP144" s="111">
        <f t="shared" si="163"/>
        <v>8.2306711999999997</v>
      </c>
      <c r="AQ144" s="112">
        <f t="shared" si="163"/>
        <v>1.5926311830000004</v>
      </c>
      <c r="AR144" s="112">
        <f t="shared" si="163"/>
        <v>1.5926311830000004</v>
      </c>
      <c r="AS144" s="112">
        <f t="shared" si="163"/>
        <v>1.5926311830000004</v>
      </c>
      <c r="AT144" s="34">
        <f t="shared" si="163"/>
        <v>1.5926311830000004</v>
      </c>
      <c r="AU144" s="111">
        <f t="shared" si="163"/>
        <v>6.3705247320000016</v>
      </c>
      <c r="AV144" s="112">
        <f t="shared" ref="AV144:BE144" si="164">SUM(AV140:AV143)</f>
        <v>1.4749994542499998</v>
      </c>
      <c r="AW144" s="112">
        <f t="shared" si="164"/>
        <v>1.4749994542499998</v>
      </c>
      <c r="AX144" s="112">
        <f t="shared" si="164"/>
        <v>1.4749994542499998</v>
      </c>
      <c r="AY144" s="34">
        <f t="shared" si="164"/>
        <v>1.4749994542499998</v>
      </c>
      <c r="AZ144" s="111">
        <f t="shared" si="164"/>
        <v>5.8999978169999991</v>
      </c>
      <c r="BA144" s="112">
        <f t="shared" si="164"/>
        <v>1.3903045242499998</v>
      </c>
      <c r="BB144" s="112">
        <f t="shared" si="164"/>
        <v>1.3903045242499998</v>
      </c>
      <c r="BC144" s="112">
        <f t="shared" si="164"/>
        <v>1.3903045242499998</v>
      </c>
      <c r="BD144" s="34">
        <f t="shared" si="164"/>
        <v>1.3903045242499998</v>
      </c>
      <c r="BE144" s="111">
        <f t="shared" si="164"/>
        <v>5.5612180969999994</v>
      </c>
      <c r="BF144" s="112">
        <f t="shared" ref="BF144:BO144" si="165">SUM(BF140:BF143)</f>
        <v>1.4545004206250001</v>
      </c>
      <c r="BG144" s="112">
        <f t="shared" si="165"/>
        <v>1.4545004206250001</v>
      </c>
      <c r="BH144" s="112">
        <f t="shared" si="165"/>
        <v>1.4545004206250001</v>
      </c>
      <c r="BI144" s="34">
        <f t="shared" si="165"/>
        <v>1.4545004206250001</v>
      </c>
      <c r="BJ144" s="111">
        <f t="shared" si="165"/>
        <v>5.8180016825000003</v>
      </c>
      <c r="BK144" s="112">
        <f t="shared" si="165"/>
        <v>1.5430858694999998</v>
      </c>
      <c r="BL144" s="112">
        <f t="shared" si="165"/>
        <v>1.5430858694999998</v>
      </c>
      <c r="BM144" s="112">
        <f t="shared" si="165"/>
        <v>1.5430858694999998</v>
      </c>
      <c r="BN144" s="34">
        <f t="shared" si="165"/>
        <v>1.5430858694999998</v>
      </c>
      <c r="BO144" s="111">
        <f t="shared" si="165"/>
        <v>6.1723434779999993</v>
      </c>
      <c r="BP144" s="112">
        <f t="shared" ref="BP144:CF144" si="166">SUM(BP140:BP143)</f>
        <v>1.6462638002500001</v>
      </c>
      <c r="BQ144" s="112">
        <f t="shared" si="166"/>
        <v>1.6462638002500001</v>
      </c>
      <c r="BR144" s="112">
        <f t="shared" si="166"/>
        <v>1.6462638002500001</v>
      </c>
      <c r="BS144" s="34">
        <f t="shared" si="166"/>
        <v>1.6462638002500001</v>
      </c>
      <c r="BT144" s="111">
        <f t="shared" si="166"/>
        <v>6.5850552010000003</v>
      </c>
      <c r="BU144" s="112">
        <f>SUM(BU140:BU143)</f>
        <v>1.71093889534</v>
      </c>
      <c r="BV144" s="112">
        <f>SUM(BV140:BV143)</f>
        <v>1.71093889534</v>
      </c>
      <c r="BW144" s="112">
        <f>SUM(BW140:BW143)</f>
        <v>1.71093889534</v>
      </c>
      <c r="BX144" s="34">
        <f>SUM(BX140:BX143)</f>
        <v>1.71093889534</v>
      </c>
      <c r="BY144" s="111">
        <f t="shared" si="166"/>
        <v>6.84375558136</v>
      </c>
      <c r="BZ144" s="111">
        <f t="shared" si="166"/>
        <v>6.9271931371736004</v>
      </c>
      <c r="CA144" s="111">
        <f t="shared" si="166"/>
        <v>6.9271931371736004</v>
      </c>
      <c r="CB144" s="111">
        <f t="shared" si="166"/>
        <v>6.5058334803149194</v>
      </c>
      <c r="CC144" s="111">
        <f t="shared" si="166"/>
        <v>6.1055418062991738</v>
      </c>
      <c r="CD144" s="111">
        <f t="shared" si="166"/>
        <v>6.2576526424251568</v>
      </c>
      <c r="CE144" s="111">
        <f t="shared" si="166"/>
        <v>6.4128056952736596</v>
      </c>
      <c r="CF144" s="111">
        <f t="shared" si="166"/>
        <v>6.5710618091791329</v>
      </c>
    </row>
    <row r="145" spans="1:84" ht="12" customHeight="1" x14ac:dyDescent="0.25">
      <c r="A145" s="103"/>
      <c r="B145" s="6"/>
      <c r="C145" s="88"/>
      <c r="D145" s="89"/>
      <c r="E145" s="89"/>
      <c r="F145" s="89"/>
      <c r="G145" s="87"/>
      <c r="H145" s="88"/>
      <c r="I145" s="89"/>
      <c r="J145" s="89"/>
      <c r="K145" s="89"/>
      <c r="L145" s="87"/>
      <c r="M145" s="88"/>
      <c r="N145" s="89"/>
      <c r="O145" s="89"/>
      <c r="P145" s="89"/>
      <c r="Q145" s="87"/>
      <c r="R145" s="88"/>
      <c r="S145" s="89"/>
      <c r="T145" s="89"/>
      <c r="U145" s="89"/>
      <c r="V145" s="87"/>
      <c r="W145" s="88"/>
      <c r="X145" s="89"/>
      <c r="Y145" s="89"/>
      <c r="Z145" s="89"/>
      <c r="AA145" s="87"/>
      <c r="AB145" s="88"/>
      <c r="AC145" s="89"/>
      <c r="AD145" s="89"/>
      <c r="AE145" s="89"/>
      <c r="AF145" s="87"/>
      <c r="AG145" s="88"/>
      <c r="AH145" s="89"/>
      <c r="AI145" s="89"/>
      <c r="AJ145" s="89"/>
      <c r="AK145" s="87"/>
      <c r="AL145" s="88"/>
      <c r="AM145" s="89"/>
      <c r="AN145" s="89"/>
      <c r="AO145" s="89"/>
      <c r="AP145" s="87"/>
      <c r="AQ145" s="88"/>
      <c r="AR145" s="89"/>
      <c r="AS145" s="89"/>
      <c r="AT145" s="89"/>
      <c r="AU145" s="87"/>
      <c r="AV145" s="88"/>
      <c r="AW145" s="89"/>
      <c r="AX145" s="89"/>
      <c r="AY145" s="89"/>
      <c r="AZ145" s="87"/>
      <c r="BA145" s="88"/>
      <c r="BB145" s="89"/>
      <c r="BC145" s="89"/>
      <c r="BD145" s="89"/>
      <c r="BE145" s="87"/>
      <c r="BF145" s="88"/>
      <c r="BG145" s="89"/>
      <c r="BH145" s="89"/>
      <c r="BI145" s="89"/>
      <c r="BJ145" s="87"/>
      <c r="BK145" s="88"/>
      <c r="BL145" s="89"/>
      <c r="BM145" s="89"/>
      <c r="BN145" s="89"/>
      <c r="BO145" s="87"/>
      <c r="BP145" s="88"/>
      <c r="BQ145" s="89"/>
      <c r="BR145" s="89"/>
      <c r="BS145" s="89"/>
      <c r="BT145" s="87"/>
      <c r="BU145" s="88"/>
      <c r="BV145" s="89"/>
      <c r="BW145" s="89"/>
      <c r="BX145" s="89"/>
      <c r="BY145" s="87"/>
      <c r="BZ145" s="87"/>
      <c r="CA145" s="87"/>
      <c r="CB145" s="87"/>
      <c r="CC145" s="87"/>
      <c r="CD145" s="87"/>
      <c r="CE145" s="87"/>
      <c r="CF145" s="87"/>
    </row>
    <row r="146" spans="1:84" ht="12" customHeight="1" x14ac:dyDescent="0.25">
      <c r="A146" s="2" t="s">
        <v>128</v>
      </c>
      <c r="B146" s="34"/>
      <c r="C146" s="34">
        <f t="shared" ref="C146:N146" si="167">(C131*C124)/1000</f>
        <v>2.5753719999999998</v>
      </c>
      <c r="D146" s="112">
        <f t="shared" si="167"/>
        <v>2.394898</v>
      </c>
      <c r="E146" s="112">
        <f t="shared" si="167"/>
        <v>2.3264420000000001</v>
      </c>
      <c r="F146" s="34">
        <f t="shared" si="167"/>
        <v>2.2340239999999998</v>
      </c>
      <c r="G146" s="111">
        <f t="shared" si="167"/>
        <v>9.530736000000001</v>
      </c>
      <c r="H146" s="34">
        <f t="shared" si="167"/>
        <v>2.5664579999999999</v>
      </c>
      <c r="I146" s="112">
        <f t="shared" si="167"/>
        <v>2.4919140000000004</v>
      </c>
      <c r="J146" s="112">
        <f t="shared" si="167"/>
        <v>2.4048560000000001</v>
      </c>
      <c r="K146" s="34">
        <f t="shared" si="167"/>
        <v>2.3090540000000002</v>
      </c>
      <c r="L146" s="111">
        <f t="shared" si="167"/>
        <v>9.7722820000000006</v>
      </c>
      <c r="M146" s="34">
        <f t="shared" si="167"/>
        <v>2.3637979999999996</v>
      </c>
      <c r="N146" s="112">
        <f t="shared" si="167"/>
        <v>2.4068000000000001</v>
      </c>
      <c r="O146" s="112">
        <f t="shared" ref="O146:AO146" si="168">(O131*O124)/1000</f>
        <v>2.5455639999999997</v>
      </c>
      <c r="P146" s="34">
        <f t="shared" si="168"/>
        <v>2.5399920000000002</v>
      </c>
      <c r="Q146" s="111">
        <f t="shared" si="168"/>
        <v>9.8561540000000001</v>
      </c>
      <c r="R146" s="34">
        <f t="shared" si="168"/>
        <v>2.5905120000000004</v>
      </c>
      <c r="S146" s="112">
        <f t="shared" si="168"/>
        <v>2.6510819999999997</v>
      </c>
      <c r="T146" s="112">
        <f t="shared" si="168"/>
        <v>2.7618279999999999</v>
      </c>
      <c r="U146" s="34">
        <f t="shared" si="168"/>
        <v>2.6668620000000001</v>
      </c>
      <c r="V146" s="111">
        <f t="shared" si="168"/>
        <v>10.670283999999999</v>
      </c>
      <c r="W146" s="34">
        <f t="shared" si="168"/>
        <v>2.7417379999999998</v>
      </c>
      <c r="X146" s="112">
        <f t="shared" si="168"/>
        <v>2.6764639999999997</v>
      </c>
      <c r="Y146" s="112">
        <f t="shared" si="168"/>
        <v>2.7383459999999999</v>
      </c>
      <c r="Z146" s="34">
        <f t="shared" si="168"/>
        <v>2.797574</v>
      </c>
      <c r="AA146" s="111">
        <f t="shared" si="168"/>
        <v>10.954122</v>
      </c>
      <c r="AB146" s="34">
        <f t="shared" si="168"/>
        <v>2.9140000000000001</v>
      </c>
      <c r="AC146" s="112">
        <f t="shared" si="168"/>
        <v>2.766</v>
      </c>
      <c r="AD146" s="112">
        <f t="shared" si="168"/>
        <v>2.762</v>
      </c>
      <c r="AE146" s="34">
        <f t="shared" si="168"/>
        <v>2.6819999999999999</v>
      </c>
      <c r="AF146" s="111">
        <f t="shared" si="168"/>
        <v>11.124000000000001</v>
      </c>
      <c r="AG146" s="34">
        <f>(AG131*AG124)/1000</f>
        <v>2.6726540000000001</v>
      </c>
      <c r="AH146" s="112">
        <f>(AH131*AH124)/1000</f>
        <v>2.585</v>
      </c>
      <c r="AI146" s="112">
        <f>(AI131*AI124)/1000</f>
        <v>2.723954</v>
      </c>
      <c r="AJ146" s="34">
        <f>(AJ131*AJ124)/1000</f>
        <v>2.6391060000000004</v>
      </c>
      <c r="AK146" s="111">
        <f t="shared" si="168"/>
        <v>10.620714</v>
      </c>
      <c r="AL146" s="34">
        <f t="shared" si="168"/>
        <v>2.6155500000000003</v>
      </c>
      <c r="AM146" s="112">
        <f t="shared" si="168"/>
        <v>2.6022620000000001</v>
      </c>
      <c r="AN146" s="112">
        <f t="shared" si="168"/>
        <v>2.677762</v>
      </c>
      <c r="AO146" s="34">
        <f t="shared" si="168"/>
        <v>2.6003380000000003</v>
      </c>
      <c r="AP146" s="111">
        <f t="shared" ref="AP146:AU146" si="169">(AP131*AP124)/1000</f>
        <v>10.495912000000001</v>
      </c>
      <c r="AQ146" s="34">
        <f t="shared" si="169"/>
        <v>2.3424319999999996</v>
      </c>
      <c r="AR146" s="112">
        <f t="shared" si="169"/>
        <v>1.9685859999999999</v>
      </c>
      <c r="AS146" s="112">
        <f t="shared" si="169"/>
        <v>2.0290019999999998</v>
      </c>
      <c r="AT146" s="34">
        <f t="shared" si="169"/>
        <v>1.9763379999999999</v>
      </c>
      <c r="AU146" s="111">
        <f t="shared" si="169"/>
        <v>8.316358000000001</v>
      </c>
      <c r="AV146" s="34">
        <f t="shared" ref="AV146:BE146" si="170">(AV131*AV124)/1000</f>
        <v>1.974086</v>
      </c>
      <c r="AW146" s="112">
        <f t="shared" si="170"/>
        <v>1.8896999999999999</v>
      </c>
      <c r="AX146" s="112">
        <f t="shared" si="170"/>
        <v>1.8369760000000002</v>
      </c>
      <c r="AY146" s="34">
        <f t="shared" si="170"/>
        <v>1.581698</v>
      </c>
      <c r="AZ146" s="111">
        <f t="shared" si="170"/>
        <v>7.2824600000000013</v>
      </c>
      <c r="BA146" s="34">
        <f t="shared" si="170"/>
        <v>1.68536</v>
      </c>
      <c r="BB146" s="112">
        <f t="shared" si="170"/>
        <v>1.6540060000000001</v>
      </c>
      <c r="BC146" s="112">
        <f t="shared" si="170"/>
        <v>1.585974</v>
      </c>
      <c r="BD146" s="34">
        <f t="shared" si="170"/>
        <v>1.63158</v>
      </c>
      <c r="BE146" s="111">
        <f t="shared" si="170"/>
        <v>6.5569199999999999</v>
      </c>
      <c r="BF146" s="34">
        <f t="shared" ref="BF146:CF146" si="171">(BF131*BF124)/1000</f>
        <v>1.680464</v>
      </c>
      <c r="BG146" s="112">
        <f t="shared" si="171"/>
        <v>1.638792</v>
      </c>
      <c r="BH146" s="112">
        <f t="shared" si="171"/>
        <v>1.6481600000000001</v>
      </c>
      <c r="BI146" s="34">
        <f t="shared" si="171"/>
        <v>1.6374500000000001</v>
      </c>
      <c r="BJ146" s="111">
        <f t="shared" si="171"/>
        <v>6.6048660000000003</v>
      </c>
      <c r="BK146" s="34">
        <f t="shared" si="171"/>
        <v>1.7935340000000002</v>
      </c>
      <c r="BL146" s="112">
        <f t="shared" si="171"/>
        <v>1.704982</v>
      </c>
      <c r="BM146" s="112">
        <f t="shared" si="171"/>
        <v>1.721794</v>
      </c>
      <c r="BN146" s="34">
        <f t="shared" si="171"/>
        <v>1.6365999999999998</v>
      </c>
      <c r="BO146" s="111">
        <f t="shared" si="171"/>
        <v>6.8569100000000001</v>
      </c>
      <c r="BP146" s="34">
        <f t="shared" si="171"/>
        <v>1.65229</v>
      </c>
      <c r="BQ146" s="112">
        <f t="shared" si="171"/>
        <v>1.6600239999999999</v>
      </c>
      <c r="BR146" s="112">
        <f t="shared" si="171"/>
        <v>1.688992</v>
      </c>
      <c r="BS146" s="34">
        <f t="shared" si="171"/>
        <v>1.6477519999999999</v>
      </c>
      <c r="BT146" s="111">
        <f t="shared" si="171"/>
        <v>6.6490579999999992</v>
      </c>
      <c r="BU146" s="34">
        <f>(BU131*BU124)/1000</f>
        <v>1.7498655345426541</v>
      </c>
      <c r="BV146" s="112">
        <f>(BV131*BV124)/1000</f>
        <v>1.7098247199999999</v>
      </c>
      <c r="BW146" s="112">
        <f>(BW131*BW124)/1000</f>
        <v>1.7227718399999998</v>
      </c>
      <c r="BX146" s="34">
        <f>(BX131*BX124)/1000</f>
        <v>1.6807070399999999</v>
      </c>
      <c r="BY146" s="111">
        <f t="shared" si="171"/>
        <v>6.8631691345426544</v>
      </c>
      <c r="BZ146" s="111">
        <f t="shared" si="171"/>
        <v>6.9318008258880806</v>
      </c>
      <c r="CA146" s="111">
        <f t="shared" si="171"/>
        <v>6.9318008258880806</v>
      </c>
      <c r="CB146" s="111">
        <f t="shared" si="171"/>
        <v>6.5852107845936763</v>
      </c>
      <c r="CC146" s="111">
        <f t="shared" si="171"/>
        <v>6.2559502453639926</v>
      </c>
      <c r="CD146" s="111">
        <f t="shared" si="171"/>
        <v>6.3810692502712731</v>
      </c>
      <c r="CE146" s="111">
        <f t="shared" si="171"/>
        <v>6.5086906352766984</v>
      </c>
      <c r="CF146" s="111">
        <f t="shared" si="171"/>
        <v>6.6388644479822325</v>
      </c>
    </row>
    <row r="147" spans="1:84" ht="5.25" customHeight="1" x14ac:dyDescent="0.25">
      <c r="A147" s="2"/>
      <c r="B147" s="130"/>
      <c r="C147" s="130" t="s">
        <v>1059</v>
      </c>
      <c r="D147" s="130" t="s">
        <v>1059</v>
      </c>
      <c r="E147" s="130" t="s">
        <v>1059</v>
      </c>
      <c r="F147" s="130" t="s">
        <v>1059</v>
      </c>
      <c r="G147" s="131" t="s">
        <v>1059</v>
      </c>
      <c r="H147" s="130" t="s">
        <v>1059</v>
      </c>
      <c r="I147" s="130" t="s">
        <v>1059</v>
      </c>
      <c r="J147" s="130" t="s">
        <v>1059</v>
      </c>
      <c r="K147" s="130" t="s">
        <v>1059</v>
      </c>
      <c r="L147" s="131" t="s">
        <v>1059</v>
      </c>
      <c r="M147" s="130" t="s">
        <v>1059</v>
      </c>
      <c r="N147" s="130" t="s">
        <v>1059</v>
      </c>
      <c r="O147" s="130" t="s">
        <v>1059</v>
      </c>
      <c r="P147" s="130" t="s">
        <v>1059</v>
      </c>
      <c r="Q147" s="131" t="s">
        <v>1059</v>
      </c>
      <c r="R147" s="130" t="s">
        <v>1059</v>
      </c>
      <c r="S147" s="130" t="s">
        <v>1059</v>
      </c>
      <c r="T147" s="130" t="s">
        <v>1059</v>
      </c>
      <c r="U147" s="130" t="s">
        <v>1059</v>
      </c>
      <c r="V147" s="131" t="s">
        <v>1059</v>
      </c>
      <c r="W147" s="130" t="s">
        <v>1059</v>
      </c>
      <c r="X147" s="130" t="s">
        <v>1059</v>
      </c>
      <c r="Y147" s="130" t="s">
        <v>1059</v>
      </c>
      <c r="Z147" s="130" t="s">
        <v>1059</v>
      </c>
      <c r="AA147" s="131" t="s">
        <v>1059</v>
      </c>
      <c r="AB147" s="130" t="s">
        <v>1059</v>
      </c>
      <c r="AC147" s="130" t="s">
        <v>1059</v>
      </c>
      <c r="AD147" s="130" t="s">
        <v>1059</v>
      </c>
      <c r="AE147" s="130" t="s">
        <v>1059</v>
      </c>
      <c r="AF147" s="131" t="s">
        <v>1059</v>
      </c>
      <c r="AG147" s="130" t="s">
        <v>1059</v>
      </c>
      <c r="AH147" s="130" t="s">
        <v>1059</v>
      </c>
      <c r="AI147" s="130" t="s">
        <v>1059</v>
      </c>
      <c r="AJ147" s="130" t="s">
        <v>1059</v>
      </c>
      <c r="AK147" s="131" t="s">
        <v>1059</v>
      </c>
      <c r="AL147" s="130" t="s">
        <v>1059</v>
      </c>
      <c r="AM147" s="130" t="s">
        <v>1059</v>
      </c>
      <c r="AN147" s="130" t="s">
        <v>1059</v>
      </c>
      <c r="AO147" s="130" t="s">
        <v>1059</v>
      </c>
      <c r="AP147" s="131" t="s">
        <v>1059</v>
      </c>
      <c r="AQ147" s="130" t="s">
        <v>1059</v>
      </c>
      <c r="AR147" s="130" t="s">
        <v>1059</v>
      </c>
      <c r="AS147" s="130" t="s">
        <v>1059</v>
      </c>
      <c r="AT147" s="130" t="s">
        <v>1059</v>
      </c>
      <c r="AU147" s="131" t="s">
        <v>1059</v>
      </c>
      <c r="AV147" s="130" t="s">
        <v>1059</v>
      </c>
      <c r="AW147" s="130" t="s">
        <v>1059</v>
      </c>
      <c r="AX147" s="130" t="s">
        <v>1059</v>
      </c>
      <c r="AY147" s="130" t="s">
        <v>1059</v>
      </c>
      <c r="AZ147" s="131" t="s">
        <v>1059</v>
      </c>
      <c r="BA147" s="130" t="s">
        <v>1059</v>
      </c>
      <c r="BB147" s="130" t="s">
        <v>1059</v>
      </c>
      <c r="BC147" s="130" t="s">
        <v>1059</v>
      </c>
      <c r="BD147" s="130" t="s">
        <v>1059</v>
      </c>
      <c r="BE147" s="131" t="s">
        <v>1059</v>
      </c>
      <c r="BF147" s="130" t="s">
        <v>1059</v>
      </c>
      <c r="BG147" s="130" t="s">
        <v>1059</v>
      </c>
      <c r="BH147" s="130" t="s">
        <v>1059</v>
      </c>
      <c r="BI147" s="130" t="s">
        <v>1059</v>
      </c>
      <c r="BJ147" s="131" t="s">
        <v>1059</v>
      </c>
      <c r="BK147" s="130" t="s">
        <v>1059</v>
      </c>
      <c r="BL147" s="130" t="s">
        <v>1059</v>
      </c>
      <c r="BM147" s="130" t="s">
        <v>1059</v>
      </c>
      <c r="BN147" s="130" t="s">
        <v>1059</v>
      </c>
      <c r="BO147" s="131" t="s">
        <v>1059</v>
      </c>
      <c r="BP147" s="130" t="s">
        <v>1059</v>
      </c>
      <c r="BQ147" s="130" t="s">
        <v>1059</v>
      </c>
      <c r="BR147" s="130" t="s">
        <v>1059</v>
      </c>
      <c r="BS147" s="130" t="s">
        <v>1059</v>
      </c>
      <c r="BT147" s="131" t="s">
        <v>1059</v>
      </c>
      <c r="BU147" s="130" t="s">
        <v>1059</v>
      </c>
      <c r="BV147" s="130" t="s">
        <v>1059</v>
      </c>
      <c r="BW147" s="130" t="s">
        <v>1059</v>
      </c>
      <c r="BX147" s="130" t="s">
        <v>1059</v>
      </c>
      <c r="BY147" s="131" t="s">
        <v>1059</v>
      </c>
      <c r="BZ147" s="131" t="s">
        <v>1059</v>
      </c>
      <c r="CA147" s="131" t="s">
        <v>1059</v>
      </c>
      <c r="CB147" s="131" t="s">
        <v>1059</v>
      </c>
      <c r="CC147" s="131" t="s">
        <v>1059</v>
      </c>
      <c r="CD147" s="131" t="s">
        <v>1059</v>
      </c>
      <c r="CE147" s="131" t="s">
        <v>1059</v>
      </c>
      <c r="CF147" s="131" t="s">
        <v>1059</v>
      </c>
    </row>
    <row r="148" spans="1:84" x14ac:dyDescent="0.25">
      <c r="A148" s="2" t="s">
        <v>129</v>
      </c>
      <c r="B148" s="34"/>
      <c r="C148" s="34">
        <f t="shared" ref="C148:N148" si="172">C137+C144+C146</f>
        <v>11.360496999999999</v>
      </c>
      <c r="D148" s="112">
        <f t="shared" si="172"/>
        <v>11.180022999999998</v>
      </c>
      <c r="E148" s="112">
        <f t="shared" si="172"/>
        <v>11.111566999999999</v>
      </c>
      <c r="F148" s="34">
        <f t="shared" si="172"/>
        <v>11.019148999999999</v>
      </c>
      <c r="G148" s="111">
        <f t="shared" si="172"/>
        <v>44.671235999999993</v>
      </c>
      <c r="H148" s="34">
        <f t="shared" si="172"/>
        <v>11.520549835000001</v>
      </c>
      <c r="I148" s="112">
        <f t="shared" si="172"/>
        <v>11.446005835000001</v>
      </c>
      <c r="J148" s="112">
        <f t="shared" si="172"/>
        <v>11.358947835</v>
      </c>
      <c r="K148" s="34">
        <f t="shared" si="172"/>
        <v>11.263145835</v>
      </c>
      <c r="L148" s="111">
        <f t="shared" si="172"/>
        <v>45.588649340000003</v>
      </c>
      <c r="M148" s="112">
        <f t="shared" si="172"/>
        <v>12.126896681874999</v>
      </c>
      <c r="N148" s="112">
        <f t="shared" si="172"/>
        <v>12.169898681875001</v>
      </c>
      <c r="O148" s="112">
        <f t="shared" ref="O148:AO148" si="173">O137+O144+O146</f>
        <v>12.308662681874999</v>
      </c>
      <c r="P148" s="34">
        <f t="shared" si="173"/>
        <v>12.303090681875</v>
      </c>
      <c r="Q148" s="111">
        <f t="shared" si="173"/>
        <v>48.908548727500005</v>
      </c>
      <c r="R148" s="112">
        <f t="shared" si="173"/>
        <v>13.591617200000002</v>
      </c>
      <c r="S148" s="112">
        <f t="shared" si="173"/>
        <v>13.6521872</v>
      </c>
      <c r="T148" s="112">
        <f t="shared" si="173"/>
        <v>13.762933200000001</v>
      </c>
      <c r="U148" s="34">
        <f t="shared" si="173"/>
        <v>13.667967200000001</v>
      </c>
      <c r="V148" s="111">
        <f t="shared" si="173"/>
        <v>54.674704800000001</v>
      </c>
      <c r="W148" s="112">
        <f t="shared" si="173"/>
        <v>14.386928104375</v>
      </c>
      <c r="X148" s="112">
        <f t="shared" si="173"/>
        <v>14.321654104375</v>
      </c>
      <c r="Y148" s="112">
        <f t="shared" si="173"/>
        <v>14.383536104375001</v>
      </c>
      <c r="Z148" s="34">
        <f t="shared" si="173"/>
        <v>14.442764104375001</v>
      </c>
      <c r="AA148" s="111">
        <f t="shared" si="173"/>
        <v>57.5348824175</v>
      </c>
      <c r="AB148" s="112">
        <f t="shared" si="173"/>
        <v>15.474</v>
      </c>
      <c r="AC148" s="112">
        <f t="shared" si="173"/>
        <v>15.326000000000001</v>
      </c>
      <c r="AD148" s="112">
        <f t="shared" si="173"/>
        <v>15.322000000000001</v>
      </c>
      <c r="AE148" s="34">
        <f t="shared" si="173"/>
        <v>15.242000000000001</v>
      </c>
      <c r="AF148" s="111">
        <f t="shared" si="173"/>
        <v>61.364000000000004</v>
      </c>
      <c r="AG148" s="112">
        <f>AG137+AG144+AG146</f>
        <v>14.788973555</v>
      </c>
      <c r="AH148" s="112">
        <f>AH137+AH144+AH146</f>
        <v>14.701319555000001</v>
      </c>
      <c r="AI148" s="112">
        <f>AI137+AI144+AI146</f>
        <v>14.840273555</v>
      </c>
      <c r="AJ148" s="34">
        <f>AJ137+AJ144+AJ146</f>
        <v>14.755425555</v>
      </c>
      <c r="AK148" s="111">
        <f t="shared" si="173"/>
        <v>59.085992220000001</v>
      </c>
      <c r="AL148" s="112">
        <f t="shared" si="173"/>
        <v>14.890422559999999</v>
      </c>
      <c r="AM148" s="112">
        <f t="shared" si="173"/>
        <v>14.877134559999998</v>
      </c>
      <c r="AN148" s="112">
        <f t="shared" si="173"/>
        <v>14.952634559999998</v>
      </c>
      <c r="AO148" s="34">
        <f t="shared" si="173"/>
        <v>14.875210559999999</v>
      </c>
      <c r="AP148" s="111">
        <f t="shared" ref="AP148:AU148" si="174">AP137+AP144+AP146</f>
        <v>59.595402239999999</v>
      </c>
      <c r="AQ148" s="112">
        <f t="shared" si="174"/>
        <v>12.1991141516</v>
      </c>
      <c r="AR148" s="112">
        <f t="shared" si="174"/>
        <v>11.825268151600001</v>
      </c>
      <c r="AS148" s="112">
        <f t="shared" si="174"/>
        <v>11.885684151600001</v>
      </c>
      <c r="AT148" s="34">
        <f t="shared" si="174"/>
        <v>11.833020151600001</v>
      </c>
      <c r="AU148" s="111">
        <f t="shared" si="174"/>
        <v>47.743086606400006</v>
      </c>
      <c r="AV148" s="112">
        <f t="shared" ref="AV148:BE148" si="175">AV137+AV144+AV146</f>
        <v>11.219083162099999</v>
      </c>
      <c r="AW148" s="112">
        <f t="shared" si="175"/>
        <v>11.134697162099998</v>
      </c>
      <c r="AX148" s="112">
        <f t="shared" si="175"/>
        <v>11.081973162099999</v>
      </c>
      <c r="AY148" s="34">
        <f t="shared" si="175"/>
        <v>10.826695162099998</v>
      </c>
      <c r="AZ148" s="111">
        <f t="shared" si="175"/>
        <v>44.262448648399996</v>
      </c>
      <c r="BA148" s="112">
        <f t="shared" si="175"/>
        <v>10.489943526099999</v>
      </c>
      <c r="BB148" s="112">
        <f t="shared" si="175"/>
        <v>10.458589526100001</v>
      </c>
      <c r="BC148" s="112">
        <f t="shared" si="175"/>
        <v>10.3905575261</v>
      </c>
      <c r="BD148" s="34">
        <f t="shared" si="175"/>
        <v>10.4361635261</v>
      </c>
      <c r="BE148" s="111">
        <f t="shared" si="175"/>
        <v>41.775254104399998</v>
      </c>
      <c r="BF148" s="112">
        <f t="shared" ref="BF148:CF148" si="176">BF137+BF144+BF146</f>
        <v>10.81886618725</v>
      </c>
      <c r="BG148" s="112">
        <f t="shared" si="176"/>
        <v>10.77719418725</v>
      </c>
      <c r="BH148" s="112">
        <f t="shared" si="176"/>
        <v>10.78656218725</v>
      </c>
      <c r="BI148" s="34">
        <f t="shared" si="176"/>
        <v>10.775852187249999</v>
      </c>
      <c r="BJ148" s="111">
        <f t="shared" si="176"/>
        <v>43.158474749</v>
      </c>
      <c r="BK148" s="112">
        <f t="shared" si="176"/>
        <v>11.392580521399999</v>
      </c>
      <c r="BL148" s="112">
        <f t="shared" si="176"/>
        <v>11.304028521399998</v>
      </c>
      <c r="BM148" s="112">
        <f t="shared" si="176"/>
        <v>11.320840521399997</v>
      </c>
      <c r="BN148" s="34">
        <f t="shared" si="176"/>
        <v>11.235646521399998</v>
      </c>
      <c r="BO148" s="111">
        <f t="shared" si="176"/>
        <v>45.253096085599992</v>
      </c>
      <c r="BP148" s="112">
        <f t="shared" si="176"/>
        <v>11.7878617613</v>
      </c>
      <c r="BQ148" s="112">
        <f t="shared" si="176"/>
        <v>11.7955957613</v>
      </c>
      <c r="BR148" s="112">
        <f t="shared" si="176"/>
        <v>11.8245637613</v>
      </c>
      <c r="BS148" s="34">
        <f t="shared" si="176"/>
        <v>11.7833237613</v>
      </c>
      <c r="BT148" s="111">
        <f t="shared" si="176"/>
        <v>47.191345045199995</v>
      </c>
      <c r="BU148" s="112">
        <f>BU137+BU144+BU146</f>
        <v>12.221747790310653</v>
      </c>
      <c r="BV148" s="112">
        <f>BV137+BV144+BV146</f>
        <v>12.181706975768</v>
      </c>
      <c r="BW148" s="112">
        <f>BW137+BW144+BW146</f>
        <v>12.194654095768</v>
      </c>
      <c r="BX148" s="34">
        <f>BX137+BX144+BX146</f>
        <v>12.152589295767999</v>
      </c>
      <c r="BY148" s="111">
        <f t="shared" si="176"/>
        <v>48.75069815761465</v>
      </c>
      <c r="BZ148" s="111">
        <f t="shared" si="176"/>
        <v>49.253205139190804</v>
      </c>
      <c r="CA148" s="111">
        <f t="shared" si="176"/>
        <v>49.253205139190804</v>
      </c>
      <c r="CB148" s="111">
        <f t="shared" si="176"/>
        <v>46.715544882231256</v>
      </c>
      <c r="CC148" s="111">
        <f t="shared" si="176"/>
        <v>44.304767638119692</v>
      </c>
      <c r="CD148" s="111">
        <f t="shared" si="176"/>
        <v>45.22086299088209</v>
      </c>
      <c r="CE148" s="111">
        <f t="shared" si="176"/>
        <v>46.155280250699732</v>
      </c>
      <c r="CF148" s="111">
        <f t="shared" si="176"/>
        <v>47.108385855713721</v>
      </c>
    </row>
    <row r="149" spans="1:84" x14ac:dyDescent="0.25">
      <c r="A149" s="2"/>
      <c r="B149" s="34"/>
      <c r="C149" s="34"/>
      <c r="D149" s="112"/>
      <c r="E149" s="112"/>
      <c r="F149" s="34"/>
      <c r="G149" s="111"/>
      <c r="H149" s="34"/>
      <c r="I149" s="112"/>
      <c r="J149" s="112"/>
      <c r="K149" s="34"/>
      <c r="L149" s="111"/>
      <c r="M149" s="112"/>
      <c r="N149" s="112"/>
      <c r="O149" s="112"/>
      <c r="P149" s="34"/>
      <c r="Q149" s="111"/>
      <c r="R149" s="112"/>
      <c r="S149" s="112"/>
      <c r="T149" s="112"/>
      <c r="U149" s="34"/>
      <c r="V149" s="111"/>
      <c r="W149" s="112"/>
      <c r="X149" s="112"/>
      <c r="Y149" s="112"/>
      <c r="Z149" s="34"/>
      <c r="AA149" s="111"/>
      <c r="AB149" s="112"/>
      <c r="AC149" s="112"/>
      <c r="AD149" s="112"/>
      <c r="AE149" s="34"/>
      <c r="AF149" s="111"/>
      <c r="AG149" s="112"/>
      <c r="AH149" s="112"/>
      <c r="AI149" s="112"/>
      <c r="AJ149" s="34"/>
      <c r="AK149" s="111"/>
      <c r="AL149" s="112"/>
      <c r="AM149" s="112"/>
      <c r="AN149" s="112"/>
      <c r="AO149" s="34"/>
      <c r="AP149" s="111"/>
      <c r="AQ149" s="112"/>
      <c r="AR149" s="112"/>
      <c r="AS149" s="112"/>
      <c r="AT149" s="34"/>
      <c r="AU149" s="111"/>
      <c r="AV149" s="112"/>
      <c r="AW149" s="112"/>
      <c r="AX149" s="112"/>
      <c r="AY149" s="34"/>
      <c r="AZ149" s="111"/>
      <c r="BA149" s="112"/>
      <c r="BB149" s="112"/>
      <c r="BC149" s="112"/>
      <c r="BD149" s="34"/>
      <c r="BE149" s="111"/>
      <c r="BF149" s="112"/>
      <c r="BG149" s="112"/>
      <c r="BH149" s="112"/>
      <c r="BI149" s="34"/>
      <c r="BJ149" s="111"/>
      <c r="BK149" s="112"/>
      <c r="BL149" s="112"/>
      <c r="BM149" s="112"/>
      <c r="BN149" s="34"/>
      <c r="BO149" s="111"/>
      <c r="BP149" s="112"/>
      <c r="BQ149" s="112"/>
      <c r="BR149" s="112"/>
      <c r="BS149" s="34"/>
      <c r="BT149" s="111"/>
      <c r="BU149" s="112"/>
      <c r="BV149" s="112"/>
      <c r="BW149" s="112"/>
      <c r="BX149" s="34"/>
      <c r="BY149" s="111"/>
      <c r="BZ149" s="111"/>
      <c r="CA149" s="111"/>
      <c r="CB149" s="111"/>
      <c r="CC149" s="111"/>
      <c r="CD149" s="111"/>
      <c r="CE149" s="111"/>
      <c r="CF149" s="111"/>
    </row>
    <row r="150" spans="1:84" x14ac:dyDescent="0.25">
      <c r="A150" s="1776" t="s">
        <v>2144</v>
      </c>
      <c r="B150" s="34"/>
      <c r="C150" s="34"/>
      <c r="D150" s="112"/>
      <c r="E150" s="112"/>
      <c r="F150" s="34"/>
      <c r="G150" s="111"/>
      <c r="H150" s="34"/>
      <c r="I150" s="112"/>
      <c r="J150" s="112"/>
      <c r="K150" s="34"/>
      <c r="L150" s="111"/>
      <c r="M150" s="112"/>
      <c r="N150" s="112"/>
      <c r="O150" s="112"/>
      <c r="P150" s="34"/>
      <c r="Q150" s="111"/>
      <c r="R150" s="112"/>
      <c r="S150" s="112"/>
      <c r="T150" s="112"/>
      <c r="U150" s="34"/>
      <c r="V150" s="111"/>
      <c r="W150" s="112"/>
      <c r="X150" s="112"/>
      <c r="Y150" s="112"/>
      <c r="Z150" s="34"/>
      <c r="AA150" s="111"/>
      <c r="AB150" s="112"/>
      <c r="AC150" s="112"/>
      <c r="AD150" s="112"/>
      <c r="AE150" s="34"/>
      <c r="AF150" s="111"/>
      <c r="AG150" s="112"/>
      <c r="AH150" s="112"/>
      <c r="AI150" s="112"/>
      <c r="AJ150" s="34"/>
      <c r="AK150" s="111"/>
      <c r="AL150" s="112"/>
      <c r="AM150" s="112"/>
      <c r="AN150" s="112"/>
      <c r="AO150" s="34"/>
      <c r="AP150" s="111"/>
      <c r="AQ150" s="112"/>
      <c r="AR150" s="112"/>
      <c r="AS150" s="112"/>
      <c r="AT150" s="34"/>
      <c r="AU150" s="111"/>
      <c r="AV150" s="112"/>
      <c r="AW150" s="112"/>
      <c r="AX150" s="112"/>
      <c r="AY150" s="34"/>
      <c r="AZ150" s="111"/>
      <c r="BA150" s="112"/>
      <c r="BB150" s="112"/>
      <c r="BC150" s="112"/>
      <c r="BD150" s="34"/>
      <c r="BE150" s="111"/>
      <c r="BF150" s="112"/>
      <c r="BG150" s="112"/>
      <c r="BH150" s="112"/>
      <c r="BI150" s="34"/>
      <c r="BJ150" s="111"/>
      <c r="BK150" s="112"/>
      <c r="BL150" s="112"/>
      <c r="BM150" s="112"/>
      <c r="BN150" s="34"/>
      <c r="BO150" s="111"/>
      <c r="BP150" s="112"/>
      <c r="BQ150" s="112"/>
      <c r="BR150" s="112"/>
      <c r="BS150" s="34"/>
      <c r="BT150" s="111"/>
      <c r="BU150" s="112"/>
      <c r="BV150" s="112"/>
      <c r="BW150" s="112"/>
      <c r="BX150" s="34"/>
      <c r="BY150" s="111"/>
      <c r="BZ150" s="111"/>
      <c r="CA150" s="111"/>
      <c r="CB150" s="111"/>
      <c r="CC150" s="111"/>
      <c r="CD150" s="111"/>
      <c r="CE150" s="111"/>
      <c r="CF150" s="111"/>
    </row>
    <row r="151" spans="1:84" x14ac:dyDescent="0.25">
      <c r="A151" s="2" t="s">
        <v>2254</v>
      </c>
      <c r="B151" s="34"/>
      <c r="C151" s="34"/>
      <c r="D151" s="112"/>
      <c r="E151" s="112"/>
      <c r="F151" s="34"/>
      <c r="G151" s="111"/>
      <c r="H151" s="34"/>
      <c r="I151" s="112"/>
      <c r="J151" s="112"/>
      <c r="K151" s="34"/>
      <c r="L151" s="111"/>
      <c r="M151" s="112"/>
      <c r="N151" s="112"/>
      <c r="O151" s="112"/>
      <c r="P151" s="34"/>
      <c r="Q151" s="111"/>
      <c r="R151" s="112"/>
      <c r="S151" s="112"/>
      <c r="T151" s="112"/>
      <c r="U151" s="34"/>
      <c r="V151" s="111"/>
      <c r="W151" s="112"/>
      <c r="X151" s="112"/>
      <c r="Y151" s="112"/>
      <c r="Z151" s="34"/>
      <c r="AA151" s="111"/>
      <c r="AB151" s="112"/>
      <c r="AC151" s="112"/>
      <c r="AD151" s="112"/>
      <c r="AE151" s="34"/>
      <c r="AF151" s="111"/>
      <c r="AG151" s="112"/>
      <c r="AH151" s="112"/>
      <c r="AI151" s="112"/>
      <c r="AJ151" s="34"/>
      <c r="AK151" s="111"/>
      <c r="AL151" s="34">
        <f>+PENN!AL979</f>
        <v>65.267497000000006</v>
      </c>
      <c r="AM151" s="112">
        <f>+PENN!AM979</f>
        <v>69.499190999999996</v>
      </c>
      <c r="AN151" s="112">
        <f>+PENN!AN979</f>
        <v>67.558554000000001</v>
      </c>
      <c r="AO151" s="34">
        <f>+PENN!AO979</f>
        <v>66.070278000000002</v>
      </c>
      <c r="AP151" s="111">
        <f>+PENN!AP979</f>
        <v>268.39552000000003</v>
      </c>
      <c r="AQ151" s="112">
        <f>+PENN!AQ979</f>
        <v>68.750182690000003</v>
      </c>
      <c r="AR151" s="112">
        <f>+PENN!AR979</f>
        <v>70.080707380000007</v>
      </c>
      <c r="AS151" s="112">
        <f>+PENN!AS979</f>
        <v>64.92</v>
      </c>
      <c r="AT151" s="34">
        <f>+PENN!AT979</f>
        <v>57.431790970000002</v>
      </c>
      <c r="AU151" s="111">
        <f>+PENN!AU979</f>
        <v>261.18268104000003</v>
      </c>
      <c r="AV151" s="112">
        <f>+PENN!AV979</f>
        <v>62.740855740000001</v>
      </c>
      <c r="AW151" s="112">
        <f>+PENN!AW979</f>
        <v>57.921975750000001</v>
      </c>
      <c r="AX151" s="112">
        <f>+PENN!AX979</f>
        <v>58.936084219999998</v>
      </c>
      <c r="AY151" s="34">
        <f>+PENN!AY979</f>
        <v>52.755495509999996</v>
      </c>
      <c r="AZ151" s="111">
        <f>+PENN!AZ979</f>
        <v>232.35441122</v>
      </c>
      <c r="BA151" s="112">
        <f>+PENN!BA979</f>
        <v>55.6302132</v>
      </c>
      <c r="BB151" s="112">
        <f>+PENN!BB979</f>
        <v>56.054980430000001</v>
      </c>
      <c r="BC151" s="112">
        <f>+PENN!BC979</f>
        <v>53.540775080000003</v>
      </c>
      <c r="BD151" s="34">
        <f>+PENN!BD979</f>
        <v>53.061041780000004</v>
      </c>
      <c r="BE151" s="111">
        <f>+PENN!BE979</f>
        <v>218.28701049000003</v>
      </c>
      <c r="BF151" s="112">
        <f>+PENN!BF979</f>
        <v>56.108040169999995</v>
      </c>
      <c r="BG151" s="112">
        <f>+PENN!BG979</f>
        <v>56.182618309999995</v>
      </c>
      <c r="BH151" s="112">
        <f>+PENN!BH979</f>
        <v>58.912269879999997</v>
      </c>
      <c r="BI151" s="34">
        <f>+PENN!BI979</f>
        <v>54.77271915</v>
      </c>
      <c r="BJ151" s="111">
        <f>+PENN!BJ979</f>
        <v>225.97564750999999</v>
      </c>
      <c r="BK151" s="112">
        <f>+PENN!BK979</f>
        <v>58.59368697</v>
      </c>
      <c r="BL151" s="112">
        <f>+PENN!BL979</f>
        <v>56.203368640000008</v>
      </c>
      <c r="BM151" s="112">
        <f>+PENN!BM979</f>
        <v>61</v>
      </c>
      <c r="BN151" s="34">
        <f>+PENN!BN979</f>
        <v>57.967032000000003</v>
      </c>
      <c r="BO151" s="111">
        <f>+PENN!BO979</f>
        <v>233.76408760999999</v>
      </c>
      <c r="BP151" s="112">
        <f>+PENN!BP979</f>
        <v>60.688388150000002</v>
      </c>
      <c r="BQ151" s="112">
        <f>+PENN!BQ979</f>
        <v>59.35652872</v>
      </c>
      <c r="BR151" s="112">
        <f>+PENN!BR979</f>
        <v>60.987054989999997</v>
      </c>
      <c r="BS151" s="34">
        <f>+PENN!BS979</f>
        <v>56.769345400000006</v>
      </c>
      <c r="BT151" s="111">
        <f>+PENN!BT979</f>
        <v>237.80131726000002</v>
      </c>
      <c r="BU151" s="112">
        <f>+PENN!BU979</f>
        <v>58.641755279999998</v>
      </c>
      <c r="BV151" s="112">
        <f>+PENN!BV979</f>
        <v>59.35652872</v>
      </c>
      <c r="BW151" s="112">
        <f>+PENN!BW979</f>
        <v>62.206796089800001</v>
      </c>
      <c r="BX151" s="34">
        <f>+PENN!BX979</f>
        <v>57.904732308000007</v>
      </c>
      <c r="BY151" s="111">
        <f>+PENN!BY979</f>
        <v>238.1098123978</v>
      </c>
      <c r="BZ151" s="111">
        <f>+PENN!BZ979</f>
        <v>244.06255770774499</v>
      </c>
      <c r="CA151" s="111">
        <f>+PENN!CA979</f>
        <v>246.50318328482243</v>
      </c>
      <c r="CB151" s="111">
        <f>+PENN!CB979</f>
        <v>234.17802412058128</v>
      </c>
      <c r="CC151" s="111">
        <f>+PENN!CC979</f>
        <v>222.4691229145522</v>
      </c>
      <c r="CD151" s="111">
        <f>+PENN!CD979</f>
        <v>226.91850537284324</v>
      </c>
      <c r="CE151" s="111">
        <f>+PENN!CE979</f>
        <v>231.45687548030011</v>
      </c>
      <c r="CF151" s="111">
        <f>+PENN!CF979</f>
        <v>236.08601298990612</v>
      </c>
    </row>
    <row r="152" spans="1:84" x14ac:dyDescent="0.25">
      <c r="A152" s="2" t="s">
        <v>1057</v>
      </c>
      <c r="B152" s="34"/>
      <c r="C152" s="34"/>
      <c r="D152" s="112"/>
      <c r="E152" s="112"/>
      <c r="F152" s="34"/>
      <c r="G152" s="111"/>
      <c r="H152" s="34"/>
      <c r="I152" s="112"/>
      <c r="J152" s="112"/>
      <c r="K152" s="34"/>
      <c r="L152" s="111"/>
      <c r="M152" s="112"/>
      <c r="N152" s="112"/>
      <c r="O152" s="112"/>
      <c r="P152" s="34"/>
      <c r="Q152" s="111"/>
      <c r="R152" s="112"/>
      <c r="S152" s="112"/>
      <c r="T152" s="112"/>
      <c r="U152" s="34"/>
      <c r="V152" s="111"/>
      <c r="W152" s="112"/>
      <c r="X152" s="112"/>
      <c r="Y152" s="112"/>
      <c r="Z152" s="34"/>
      <c r="AA152" s="111"/>
      <c r="AB152" s="112"/>
      <c r="AC152" s="112"/>
      <c r="AD152" s="112"/>
      <c r="AE152" s="34"/>
      <c r="AF152" s="111"/>
      <c r="AG152" s="112"/>
      <c r="AH152" s="112"/>
      <c r="AI152" s="112"/>
      <c r="AJ152" s="34"/>
      <c r="AK152" s="111"/>
      <c r="AL152" s="120">
        <f>+PENN!AL976</f>
        <v>1673.02</v>
      </c>
      <c r="AM152" s="120">
        <f>+PENN!AM976</f>
        <v>1752.374</v>
      </c>
      <c r="AN152" s="120">
        <f>+PENN!AN976</f>
        <v>1743.559</v>
      </c>
      <c r="AO152" s="120">
        <f>+PENN!AO976</f>
        <v>1655.8610000000001</v>
      </c>
      <c r="AP152" s="121">
        <f>+PENN!AP976</f>
        <v>6824.8140000000003</v>
      </c>
      <c r="AQ152" s="120">
        <f>+PENN!AQ976</f>
        <v>1698.5719999999999</v>
      </c>
      <c r="AR152" s="120">
        <f>+PENN!AR976</f>
        <v>1704.277</v>
      </c>
      <c r="AS152" s="120">
        <f>+PENN!AS976</f>
        <v>1627.3</v>
      </c>
      <c r="AT152" s="120">
        <f>+PENN!AT976</f>
        <v>1480.8</v>
      </c>
      <c r="AU152" s="121">
        <f>+PENN!AU976</f>
        <v>6510.9490000000005</v>
      </c>
      <c r="AV152" s="120">
        <f>+PENN!AV976</f>
        <v>1709.5840000000001</v>
      </c>
      <c r="AW152" s="120">
        <f>+PENN!AW976</f>
        <v>1461.1849999999999</v>
      </c>
      <c r="AX152" s="120">
        <f>+PENN!AX976</f>
        <v>1488.981</v>
      </c>
      <c r="AY152" s="120">
        <f>+PENN!AY976</f>
        <v>1372.7449999999999</v>
      </c>
      <c r="AZ152" s="121">
        <f>+PENN!AZ976</f>
        <v>6032.4949999999999</v>
      </c>
      <c r="BA152" s="120">
        <f>+PENN!BA976</f>
        <v>1334.546</v>
      </c>
      <c r="BB152" s="120">
        <f>+PENN!BB976</f>
        <v>1291.682</v>
      </c>
      <c r="BC152" s="120">
        <f>+PENN!BC976</f>
        <v>1219.855</v>
      </c>
      <c r="BD152" s="120">
        <f>+PENN!BD976</f>
        <v>1248.498</v>
      </c>
      <c r="BE152" s="121">
        <f>+PENN!BE976</f>
        <v>5094.5810000000001</v>
      </c>
      <c r="BF152" s="120">
        <f>+PENN!BF976</f>
        <v>1350.692</v>
      </c>
      <c r="BG152" s="120">
        <f>+PENN!BG976</f>
        <v>1368.278</v>
      </c>
      <c r="BH152" s="120">
        <f>+PENN!BH976</f>
        <v>1393.9690000000001</v>
      </c>
      <c r="BI152" s="120">
        <f>+PENN!BI976</f>
        <v>1297.8810000000001</v>
      </c>
      <c r="BJ152" s="121">
        <f>+PENN!BJ976</f>
        <v>5410.8200000000006</v>
      </c>
      <c r="BK152" s="120">
        <f>+PENN!BK976</f>
        <v>1383.903</v>
      </c>
      <c r="BL152" s="120">
        <f>+PENN!BL976</f>
        <v>1436.1479999999999</v>
      </c>
      <c r="BM152" s="120">
        <f>+PENN!BM976</f>
        <v>1460.028</v>
      </c>
      <c r="BN152" s="120">
        <f>+PENN!BN976</f>
        <v>1365.71</v>
      </c>
      <c r="BO152" s="121">
        <f>+PENN!BO976</f>
        <v>5645.7889999999998</v>
      </c>
      <c r="BP152" s="120">
        <f>+PENN!BP976</f>
        <v>1397.4639999999999</v>
      </c>
      <c r="BQ152" s="120">
        <f>+PENN!BQ976</f>
        <v>1338.6210000000001</v>
      </c>
      <c r="BR152" s="120">
        <f>+PENN!BR976</f>
        <v>1396.576</v>
      </c>
      <c r="BS152" s="120">
        <f>+PENN!BS976</f>
        <v>1277.9449999999999</v>
      </c>
      <c r="BT152" s="121">
        <f>+PENN!BT976</f>
        <v>5410.6059999999998</v>
      </c>
      <c r="BU152" s="120">
        <f>+PENN!BU976</f>
        <v>1350.3364382995219</v>
      </c>
      <c r="BV152" s="120">
        <f>+PENN!BV976</f>
        <v>1338.6210000000001</v>
      </c>
      <c r="BW152" s="120">
        <f>+PENN!BW976</f>
        <v>1424.5075200000001</v>
      </c>
      <c r="BX152" s="120">
        <f>+PENN!BX976</f>
        <v>1303.5038999999999</v>
      </c>
      <c r="BY152" s="121">
        <f>+PENN!BY976</f>
        <v>5416.9688582995223</v>
      </c>
      <c r="BZ152" s="121">
        <f>+PENN!BZ976</f>
        <v>5552.3930797570101</v>
      </c>
      <c r="CA152" s="121">
        <f>+PENN!CA976</f>
        <v>5607.91701055458</v>
      </c>
      <c r="CB152" s="121">
        <f>+PENN!CB976</f>
        <v>5327.5211600268503</v>
      </c>
      <c r="CC152" s="121">
        <f>+PENN!CC976</f>
        <v>5061.1451020255072</v>
      </c>
      <c r="CD152" s="121">
        <f>+PENN!CD976</f>
        <v>5162.3680040660174</v>
      </c>
      <c r="CE152" s="121">
        <f>+PENN!CE976</f>
        <v>5265.6153641473375</v>
      </c>
      <c r="CF152" s="121">
        <f>+PENN!CF976</f>
        <v>5370.9276714302841</v>
      </c>
    </row>
    <row r="153" spans="1:84" x14ac:dyDescent="0.25">
      <c r="A153" s="2"/>
      <c r="B153" s="34"/>
      <c r="C153" s="34"/>
      <c r="D153" s="112"/>
      <c r="E153" s="112"/>
      <c r="F153" s="34"/>
      <c r="G153" s="111"/>
      <c r="H153" s="34"/>
      <c r="I153" s="112"/>
      <c r="J153" s="112"/>
      <c r="K153" s="34"/>
      <c r="L153" s="111"/>
      <c r="M153" s="112"/>
      <c r="N153" s="112"/>
      <c r="O153" s="112"/>
      <c r="P153" s="34"/>
      <c r="Q153" s="111"/>
      <c r="R153" s="112"/>
      <c r="S153" s="112"/>
      <c r="T153" s="112"/>
      <c r="U153" s="34"/>
      <c r="V153" s="111"/>
      <c r="W153" s="112"/>
      <c r="X153" s="112"/>
      <c r="Y153" s="112"/>
      <c r="Z153" s="34"/>
      <c r="AA153" s="111"/>
      <c r="AB153" s="112"/>
      <c r="AC153" s="112"/>
      <c r="AD153" s="112"/>
      <c r="AE153" s="34"/>
      <c r="AF153" s="111"/>
      <c r="AG153" s="112"/>
      <c r="AH153" s="112"/>
      <c r="AI153" s="112"/>
      <c r="AJ153" s="34"/>
      <c r="AK153" s="111"/>
      <c r="AL153" s="112"/>
      <c r="AM153" s="112"/>
      <c r="AN153" s="112"/>
      <c r="AO153" s="34"/>
      <c r="AP153" s="111"/>
      <c r="AQ153" s="112"/>
      <c r="AR153" s="112"/>
      <c r="AS153" s="112"/>
      <c r="AT153" s="34"/>
      <c r="AU153" s="111"/>
      <c r="AV153" s="112"/>
      <c r="AW153" s="112"/>
      <c r="AX153" s="112"/>
      <c r="AY153" s="34"/>
      <c r="AZ153" s="111"/>
      <c r="BA153" s="112"/>
      <c r="BB153" s="112"/>
      <c r="BC153" s="112"/>
      <c r="BD153" s="34"/>
      <c r="BE153" s="111"/>
      <c r="BF153" s="112"/>
      <c r="BG153" s="112"/>
      <c r="BH153" s="112"/>
      <c r="BI153" s="34"/>
      <c r="BJ153" s="111"/>
      <c r="BK153" s="112"/>
      <c r="BL153" s="112"/>
      <c r="BM153" s="112"/>
      <c r="BN153" s="34"/>
      <c r="BO153" s="111"/>
      <c r="BP153" s="112"/>
      <c r="BQ153" s="112"/>
      <c r="BR153" s="112"/>
      <c r="BS153" s="34"/>
      <c r="BT153" s="111"/>
      <c r="BU153" s="112"/>
      <c r="BV153" s="112"/>
      <c r="BW153" s="112"/>
      <c r="BX153" s="34"/>
      <c r="BY153" s="111"/>
      <c r="BZ153" s="111"/>
      <c r="CA153" s="111"/>
      <c r="CB153" s="111"/>
      <c r="CC153" s="111"/>
      <c r="CD153" s="111"/>
      <c r="CE153" s="111"/>
      <c r="CF153" s="111"/>
    </row>
    <row r="154" spans="1:84" x14ac:dyDescent="0.25">
      <c r="A154" s="2" t="s">
        <v>1058</v>
      </c>
      <c r="B154" s="34"/>
      <c r="C154" s="34"/>
      <c r="D154" s="112"/>
      <c r="E154" s="112"/>
      <c r="F154" s="34"/>
      <c r="G154" s="111"/>
      <c r="H154" s="34"/>
      <c r="I154" s="112"/>
      <c r="J154" s="112"/>
      <c r="K154" s="34"/>
      <c r="L154" s="111"/>
      <c r="M154" s="112"/>
      <c r="N154" s="112"/>
      <c r="O154" s="112"/>
      <c r="P154" s="34"/>
      <c r="Q154" s="111"/>
      <c r="R154" s="112"/>
      <c r="S154" s="112"/>
      <c r="T154" s="112"/>
      <c r="U154" s="34"/>
      <c r="V154" s="111"/>
      <c r="W154" s="112"/>
      <c r="X154" s="112"/>
      <c r="Y154" s="112"/>
      <c r="Z154" s="34"/>
      <c r="AA154" s="111"/>
      <c r="AB154" s="112"/>
      <c r="AC154" s="112"/>
      <c r="AD154" s="112"/>
      <c r="AE154" s="34"/>
      <c r="AF154" s="111"/>
      <c r="AG154" s="112"/>
      <c r="AH154" s="112"/>
      <c r="AI154" s="112"/>
      <c r="AJ154" s="34"/>
      <c r="AK154" s="111"/>
      <c r="AL154" s="112"/>
      <c r="AM154" s="112"/>
      <c r="AN154" s="112"/>
      <c r="AO154" s="34"/>
      <c r="AP154" s="111"/>
      <c r="AQ154" s="112"/>
      <c r="AR154" s="112"/>
      <c r="AS154" s="112"/>
      <c r="AT154" s="34"/>
      <c r="AU154" s="111"/>
      <c r="AV154" s="112"/>
      <c r="AW154" s="112"/>
      <c r="AX154" s="112"/>
      <c r="AY154" s="34"/>
      <c r="AZ154" s="111"/>
      <c r="BA154" s="112"/>
      <c r="BB154" s="112"/>
      <c r="BC154" s="112"/>
      <c r="BD154" s="34"/>
      <c r="BE154" s="111"/>
      <c r="BF154" s="112"/>
      <c r="BG154" s="112"/>
      <c r="BH154" s="112"/>
      <c r="BI154" s="34"/>
      <c r="BJ154" s="111"/>
      <c r="BK154" s="112"/>
      <c r="BL154" s="112"/>
      <c r="BM154" s="112"/>
      <c r="BN154" s="34"/>
      <c r="BO154" s="111"/>
      <c r="BP154" s="112"/>
      <c r="BQ154" s="112"/>
      <c r="BR154" s="112"/>
      <c r="BS154" s="34"/>
      <c r="BT154" s="111"/>
      <c r="BU154" s="112"/>
      <c r="BV154" s="112"/>
      <c r="BW154" s="112"/>
      <c r="BX154" s="34"/>
      <c r="BY154" s="111"/>
      <c r="BZ154" s="111"/>
      <c r="CA154" s="111"/>
      <c r="CB154" s="111"/>
      <c r="CC154" s="111"/>
      <c r="CD154" s="111"/>
      <c r="CE154" s="111"/>
      <c r="CF154" s="111"/>
    </row>
    <row r="155" spans="1:84" x14ac:dyDescent="0.25">
      <c r="A155" s="114" t="s">
        <v>71</v>
      </c>
      <c r="B155" s="34"/>
      <c r="C155" s="34"/>
      <c r="D155" s="112"/>
      <c r="E155" s="112"/>
      <c r="F155" s="34"/>
      <c r="G155" s="111"/>
      <c r="H155" s="34"/>
      <c r="I155" s="112"/>
      <c r="J155" s="112"/>
      <c r="K155" s="34"/>
      <c r="L155" s="111"/>
      <c r="M155" s="112"/>
      <c r="N155" s="112"/>
      <c r="O155" s="112"/>
      <c r="P155" s="34"/>
      <c r="Q155" s="111"/>
      <c r="R155" s="112"/>
      <c r="S155" s="112"/>
      <c r="T155" s="112"/>
      <c r="U155" s="34"/>
      <c r="V155" s="111"/>
      <c r="W155" s="112"/>
      <c r="X155" s="112"/>
      <c r="Y155" s="112"/>
      <c r="Z155" s="34"/>
      <c r="AA155" s="111"/>
      <c r="AB155" s="112"/>
      <c r="AC155" s="112"/>
      <c r="AD155" s="112"/>
      <c r="AE155" s="34"/>
      <c r="AF155" s="111"/>
      <c r="AG155" s="112"/>
      <c r="AH155" s="112"/>
      <c r="AI155" s="112"/>
      <c r="AJ155" s="34"/>
      <c r="AK155" s="111"/>
      <c r="AL155" s="153">
        <f>$AP155/4</f>
        <v>1.575</v>
      </c>
      <c r="AM155" s="153">
        <f t="shared" ref="AM155:AO156" si="177">$AP155/4</f>
        <v>1.575</v>
      </c>
      <c r="AN155" s="153">
        <f t="shared" si="177"/>
        <v>1.575</v>
      </c>
      <c r="AO155" s="153">
        <f t="shared" si="177"/>
        <v>1.575</v>
      </c>
      <c r="AP155" s="150">
        <f>IF(AP151&gt;0, MIN(AP107,AP151)*AP111,0)</f>
        <v>6.3</v>
      </c>
      <c r="AQ155" s="153">
        <f>$AU155/4</f>
        <v>1.575</v>
      </c>
      <c r="AR155" s="153">
        <f t="shared" ref="AR155:AT156" si="178">$AU155/4</f>
        <v>1.575</v>
      </c>
      <c r="AS155" s="153">
        <f t="shared" si="178"/>
        <v>1.575</v>
      </c>
      <c r="AT155" s="153">
        <f t="shared" si="178"/>
        <v>1.575</v>
      </c>
      <c r="AU155" s="150">
        <f>IF(AU151&gt;0, MIN(AU107,AU151)*AU111,0)</f>
        <v>6.3</v>
      </c>
      <c r="AV155" s="153">
        <f t="shared" ref="AV155:AY156" si="179">$AZ155/4</f>
        <v>1.575</v>
      </c>
      <c r="AW155" s="153">
        <f t="shared" si="179"/>
        <v>1.575</v>
      </c>
      <c r="AX155" s="153">
        <f t="shared" si="179"/>
        <v>1.575</v>
      </c>
      <c r="AY155" s="153">
        <f t="shared" si="179"/>
        <v>1.575</v>
      </c>
      <c r="AZ155" s="150">
        <f>IF(AZ151&gt;0, MIN(AZ107,AZ151)*AZ111,0)</f>
        <v>6.3</v>
      </c>
      <c r="BA155" s="153">
        <f t="shared" ref="BA155:BD156" si="180">$BE155/4</f>
        <v>1.575</v>
      </c>
      <c r="BB155" s="153">
        <f t="shared" si="180"/>
        <v>1.575</v>
      </c>
      <c r="BC155" s="153">
        <f t="shared" si="180"/>
        <v>1.575</v>
      </c>
      <c r="BD155" s="153">
        <f t="shared" si="180"/>
        <v>1.575</v>
      </c>
      <c r="BE155" s="150">
        <f>IF(BE151&gt;0, MIN(BE107,BE151)*BE111,0)</f>
        <v>6.3</v>
      </c>
      <c r="BF155" s="153">
        <f>$BJ155/4</f>
        <v>1.575</v>
      </c>
      <c r="BG155" s="153">
        <f t="shared" ref="BG155:BI156" si="181">$BJ155/4</f>
        <v>1.575</v>
      </c>
      <c r="BH155" s="153">
        <f t="shared" si="181"/>
        <v>1.575</v>
      </c>
      <c r="BI155" s="153">
        <f t="shared" si="181"/>
        <v>1.575</v>
      </c>
      <c r="BJ155" s="150">
        <f>IF(BJ151&gt;0, MIN(BJ107,BJ151)*BJ111,0)</f>
        <v>6.3</v>
      </c>
      <c r="BK155" s="153">
        <f>$BO155/4</f>
        <v>1.575</v>
      </c>
      <c r="BL155" s="153">
        <f t="shared" ref="BL155:BN156" si="182">$BO155/4</f>
        <v>1.575</v>
      </c>
      <c r="BM155" s="153">
        <f t="shared" si="182"/>
        <v>1.575</v>
      </c>
      <c r="BN155" s="153">
        <f t="shared" si="182"/>
        <v>1.575</v>
      </c>
      <c r="BO155" s="150">
        <f t="shared" ref="BO155:CF155" si="183">IF(BO151&gt;0, MIN(BO107,BO151)*BO111,0)</f>
        <v>6.3</v>
      </c>
      <c r="BP155" s="153">
        <f>$BT155/4</f>
        <v>1.575</v>
      </c>
      <c r="BQ155" s="153">
        <f t="shared" ref="BQ155:BS156" si="184">$BT155/4</f>
        <v>1.575</v>
      </c>
      <c r="BR155" s="153">
        <f t="shared" si="184"/>
        <v>1.575</v>
      </c>
      <c r="BS155" s="153">
        <f t="shared" si="184"/>
        <v>1.575</v>
      </c>
      <c r="BT155" s="150">
        <f>IF(BT151&gt;0, MIN(BT107,BT151)*BT111,0)</f>
        <v>6.3</v>
      </c>
      <c r="BU155" s="153">
        <f t="shared" ref="BU155:BX156" si="185">$BY155/4</f>
        <v>1.575</v>
      </c>
      <c r="BV155" s="153">
        <f t="shared" si="185"/>
        <v>1.575</v>
      </c>
      <c r="BW155" s="153">
        <f t="shared" si="185"/>
        <v>1.575</v>
      </c>
      <c r="BX155" s="153">
        <f t="shared" si="185"/>
        <v>1.575</v>
      </c>
      <c r="BY155" s="150">
        <f t="shared" si="183"/>
        <v>6.3</v>
      </c>
      <c r="BZ155" s="150">
        <f t="shared" si="183"/>
        <v>6.3</v>
      </c>
      <c r="CA155" s="150">
        <f t="shared" si="183"/>
        <v>6.3</v>
      </c>
      <c r="CB155" s="150">
        <f t="shared" si="183"/>
        <v>6.3</v>
      </c>
      <c r="CC155" s="150">
        <f t="shared" si="183"/>
        <v>6.3</v>
      </c>
      <c r="CD155" s="150">
        <f t="shared" si="183"/>
        <v>6.3</v>
      </c>
      <c r="CE155" s="150">
        <f t="shared" si="183"/>
        <v>6.3</v>
      </c>
      <c r="CF155" s="150">
        <f t="shared" si="183"/>
        <v>6.3</v>
      </c>
    </row>
    <row r="156" spans="1:84" x14ac:dyDescent="0.25">
      <c r="A156" s="114" t="s">
        <v>72</v>
      </c>
      <c r="B156" s="34"/>
      <c r="C156" s="34"/>
      <c r="D156" s="112"/>
      <c r="E156" s="112"/>
      <c r="F156" s="34"/>
      <c r="G156" s="111"/>
      <c r="H156" s="34"/>
      <c r="I156" s="112"/>
      <c r="J156" s="112"/>
      <c r="K156" s="34"/>
      <c r="L156" s="111"/>
      <c r="M156" s="112"/>
      <c r="N156" s="112"/>
      <c r="O156" s="112"/>
      <c r="P156" s="34"/>
      <c r="Q156" s="111"/>
      <c r="R156" s="112"/>
      <c r="S156" s="112"/>
      <c r="T156" s="112"/>
      <c r="U156" s="34"/>
      <c r="V156" s="111"/>
      <c r="W156" s="112"/>
      <c r="X156" s="112"/>
      <c r="Y156" s="112"/>
      <c r="Z156" s="34"/>
      <c r="AA156" s="111"/>
      <c r="AB156" s="112"/>
      <c r="AC156" s="112"/>
      <c r="AD156" s="112"/>
      <c r="AE156" s="34"/>
      <c r="AF156" s="111"/>
      <c r="AG156" s="112"/>
      <c r="AH156" s="112"/>
      <c r="AI156" s="112"/>
      <c r="AJ156" s="34"/>
      <c r="AK156" s="111"/>
      <c r="AL156" s="153">
        <f>$AP156/4</f>
        <v>12.515764800000001</v>
      </c>
      <c r="AM156" s="153">
        <f t="shared" si="177"/>
        <v>12.515764800000001</v>
      </c>
      <c r="AN156" s="153">
        <f t="shared" si="177"/>
        <v>12.515764800000001</v>
      </c>
      <c r="AO156" s="153">
        <f t="shared" si="177"/>
        <v>12.515764800000001</v>
      </c>
      <c r="AP156" s="55">
        <f>IF(AP151&gt;AP$107,(AP151-AP$107)*AP$112,0)</f>
        <v>50.063059200000005</v>
      </c>
      <c r="AQ156" s="153">
        <f>$AU156/4</f>
        <v>12.137090754600001</v>
      </c>
      <c r="AR156" s="153">
        <f t="shared" si="178"/>
        <v>12.137090754600001</v>
      </c>
      <c r="AS156" s="153">
        <f t="shared" si="178"/>
        <v>12.137090754600001</v>
      </c>
      <c r="AT156" s="153">
        <f t="shared" si="178"/>
        <v>12.137090754600001</v>
      </c>
      <c r="AU156" s="55">
        <f>IF(AU151&gt;AU$107,(AU151-AU$107)*AU$112,0)</f>
        <v>48.548363018400003</v>
      </c>
      <c r="AV156" s="153">
        <f t="shared" si="179"/>
        <v>10.62360658905</v>
      </c>
      <c r="AW156" s="153">
        <f t="shared" si="179"/>
        <v>10.62360658905</v>
      </c>
      <c r="AX156" s="153">
        <f t="shared" si="179"/>
        <v>10.62360658905</v>
      </c>
      <c r="AY156" s="153">
        <f t="shared" si="179"/>
        <v>10.62360658905</v>
      </c>
      <c r="AZ156" s="55">
        <f>IF(AZ151&gt;AZ$107,(AZ151-AZ$107)*AZ$112,0)</f>
        <v>42.494426356200002</v>
      </c>
      <c r="BA156" s="153">
        <f t="shared" si="180"/>
        <v>9.8850680507250015</v>
      </c>
      <c r="BB156" s="153">
        <f t="shared" si="180"/>
        <v>9.8850680507250015</v>
      </c>
      <c r="BC156" s="153">
        <f t="shared" si="180"/>
        <v>9.8850680507250015</v>
      </c>
      <c r="BD156" s="153">
        <f t="shared" si="180"/>
        <v>9.8850680507250015</v>
      </c>
      <c r="BE156" s="55">
        <f>IF(BE151&gt;BE$107,(BE151-BE$107)*BE$112,0)</f>
        <v>39.540272202900006</v>
      </c>
      <c r="BF156" s="153">
        <f>$BJ156/4</f>
        <v>10.288721494274998</v>
      </c>
      <c r="BG156" s="153">
        <f t="shared" si="181"/>
        <v>10.288721494274998</v>
      </c>
      <c r="BH156" s="153">
        <f t="shared" si="181"/>
        <v>10.288721494274998</v>
      </c>
      <c r="BI156" s="153">
        <f t="shared" si="181"/>
        <v>10.288721494274998</v>
      </c>
      <c r="BJ156" s="55">
        <f>IF(BJ151&gt;BJ$107,(BJ151-BJ$107)*BJ$112,0)</f>
        <v>41.154885977099994</v>
      </c>
      <c r="BK156" s="153">
        <f>$BO156/4</f>
        <v>10.697614599524998</v>
      </c>
      <c r="BL156" s="153">
        <f t="shared" si="182"/>
        <v>10.697614599524998</v>
      </c>
      <c r="BM156" s="153">
        <f t="shared" si="182"/>
        <v>10.697614599524998</v>
      </c>
      <c r="BN156" s="153">
        <f t="shared" si="182"/>
        <v>10.697614599524998</v>
      </c>
      <c r="BO156" s="55">
        <f t="shared" ref="BO156:CF156" si="186">IF(BO151&gt;BO$107,(BO151-BO$107)*BO$112,0)</f>
        <v>42.790458398099993</v>
      </c>
      <c r="BP156" s="153">
        <f>$BT156/4</f>
        <v>10.909569156150001</v>
      </c>
      <c r="BQ156" s="153">
        <f t="shared" si="184"/>
        <v>10.909569156150001</v>
      </c>
      <c r="BR156" s="153">
        <f t="shared" si="184"/>
        <v>10.909569156150001</v>
      </c>
      <c r="BS156" s="153">
        <f t="shared" si="184"/>
        <v>10.909569156150001</v>
      </c>
      <c r="BT156" s="55">
        <f>IF(BT151&gt;BT$107,(BT151-BT$107)*BT$112,0)</f>
        <v>43.638276624600003</v>
      </c>
      <c r="BU156" s="153">
        <f t="shared" si="185"/>
        <v>10.9257651508845</v>
      </c>
      <c r="BV156" s="153">
        <f t="shared" si="185"/>
        <v>10.9257651508845</v>
      </c>
      <c r="BW156" s="153">
        <f t="shared" si="185"/>
        <v>10.9257651508845</v>
      </c>
      <c r="BX156" s="153">
        <f t="shared" si="185"/>
        <v>10.9257651508845</v>
      </c>
      <c r="BY156" s="55">
        <f t="shared" si="186"/>
        <v>43.703060603537999</v>
      </c>
      <c r="BZ156" s="55">
        <f t="shared" si="186"/>
        <v>44.953137118626444</v>
      </c>
      <c r="CA156" s="55">
        <f t="shared" si="186"/>
        <v>45.465668489812707</v>
      </c>
      <c r="CB156" s="55">
        <f t="shared" si="186"/>
        <v>42.877385065322066</v>
      </c>
      <c r="CC156" s="55">
        <f t="shared" si="186"/>
        <v>40.418515812055958</v>
      </c>
      <c r="CD156" s="55">
        <f t="shared" si="186"/>
        <v>41.352886128297079</v>
      </c>
      <c r="CE156" s="55">
        <f t="shared" si="186"/>
        <v>42.305943850863024</v>
      </c>
      <c r="CF156" s="55">
        <f t="shared" si="186"/>
        <v>43.278062727880283</v>
      </c>
    </row>
    <row r="157" spans="1:84" x14ac:dyDescent="0.25">
      <c r="A157" s="114"/>
      <c r="B157" s="34"/>
      <c r="C157" s="34"/>
      <c r="D157" s="112"/>
      <c r="E157" s="112"/>
      <c r="F157" s="34"/>
      <c r="G157" s="111"/>
      <c r="H157" s="34"/>
      <c r="I157" s="112"/>
      <c r="J157" s="112"/>
      <c r="K157" s="34"/>
      <c r="L157" s="111"/>
      <c r="M157" s="112"/>
      <c r="N157" s="112"/>
      <c r="O157" s="112"/>
      <c r="P157" s="34"/>
      <c r="Q157" s="111"/>
      <c r="R157" s="112"/>
      <c r="S157" s="112"/>
      <c r="T157" s="112"/>
      <c r="U157" s="34"/>
      <c r="V157" s="111"/>
      <c r="W157" s="112"/>
      <c r="X157" s="112"/>
      <c r="Y157" s="112"/>
      <c r="Z157" s="34"/>
      <c r="AA157" s="111"/>
      <c r="AB157" s="112"/>
      <c r="AC157" s="112"/>
      <c r="AD157" s="112"/>
      <c r="AE157" s="34"/>
      <c r="AF157" s="111"/>
      <c r="AG157" s="112"/>
      <c r="AH157" s="112"/>
      <c r="AI157" s="112"/>
      <c r="AJ157" s="34"/>
      <c r="AK157" s="111"/>
      <c r="AL157" s="104" t="s">
        <v>1059</v>
      </c>
      <c r="AM157" s="104" t="s">
        <v>1059</v>
      </c>
      <c r="AN157" s="104" t="s">
        <v>1059</v>
      </c>
      <c r="AO157" s="104" t="s">
        <v>1059</v>
      </c>
      <c r="AP157" s="131" t="s">
        <v>1059</v>
      </c>
      <c r="AQ157" s="104" t="s">
        <v>1059</v>
      </c>
      <c r="AR157" s="104" t="s">
        <v>1059</v>
      </c>
      <c r="AS157" s="104" t="s">
        <v>1059</v>
      </c>
      <c r="AT157" s="104" t="s">
        <v>1059</v>
      </c>
      <c r="AU157" s="131" t="s">
        <v>1059</v>
      </c>
      <c r="AV157" s="104" t="s">
        <v>1059</v>
      </c>
      <c r="AW157" s="104" t="s">
        <v>1059</v>
      </c>
      <c r="AX157" s="104" t="s">
        <v>1059</v>
      </c>
      <c r="AY157" s="104" t="s">
        <v>1059</v>
      </c>
      <c r="AZ157" s="131" t="s">
        <v>1059</v>
      </c>
      <c r="BA157" s="104" t="s">
        <v>1059</v>
      </c>
      <c r="BB157" s="104" t="s">
        <v>1059</v>
      </c>
      <c r="BC157" s="104" t="s">
        <v>1059</v>
      </c>
      <c r="BD157" s="104" t="s">
        <v>1059</v>
      </c>
      <c r="BE157" s="131" t="s">
        <v>1059</v>
      </c>
      <c r="BF157" s="104" t="s">
        <v>1059</v>
      </c>
      <c r="BG157" s="104" t="s">
        <v>1059</v>
      </c>
      <c r="BH157" s="104" t="s">
        <v>1059</v>
      </c>
      <c r="BI157" s="104" t="s">
        <v>1059</v>
      </c>
      <c r="BJ157" s="131" t="s">
        <v>1059</v>
      </c>
      <c r="BK157" s="104" t="s">
        <v>1059</v>
      </c>
      <c r="BL157" s="104" t="s">
        <v>1059</v>
      </c>
      <c r="BM157" s="104" t="s">
        <v>1059</v>
      </c>
      <c r="BN157" s="104" t="s">
        <v>1059</v>
      </c>
      <c r="BO157" s="131" t="s">
        <v>1059</v>
      </c>
      <c r="BP157" s="104" t="s">
        <v>1059</v>
      </c>
      <c r="BQ157" s="104" t="s">
        <v>1059</v>
      </c>
      <c r="BR157" s="104" t="s">
        <v>1059</v>
      </c>
      <c r="BS157" s="104" t="s">
        <v>1059</v>
      </c>
      <c r="BT157" s="131" t="s">
        <v>1059</v>
      </c>
      <c r="BU157" s="104" t="s">
        <v>1059</v>
      </c>
      <c r="BV157" s="104" t="s">
        <v>1059</v>
      </c>
      <c r="BW157" s="104" t="s">
        <v>1059</v>
      </c>
      <c r="BX157" s="104" t="s">
        <v>1059</v>
      </c>
      <c r="BY157" s="131" t="s">
        <v>1059</v>
      </c>
      <c r="BZ157" s="131" t="s">
        <v>1059</v>
      </c>
      <c r="CA157" s="131" t="s">
        <v>1059</v>
      </c>
      <c r="CB157" s="131" t="s">
        <v>1059</v>
      </c>
      <c r="CC157" s="131" t="s">
        <v>1059</v>
      </c>
      <c r="CD157" s="131" t="s">
        <v>1059</v>
      </c>
      <c r="CE157" s="131" t="s">
        <v>1059</v>
      </c>
      <c r="CF157" s="131" t="s">
        <v>1059</v>
      </c>
    </row>
    <row r="158" spans="1:84" x14ac:dyDescent="0.25">
      <c r="A158" s="114" t="s">
        <v>2242</v>
      </c>
      <c r="B158" s="34"/>
      <c r="C158" s="34"/>
      <c r="D158" s="112"/>
      <c r="E158" s="112"/>
      <c r="F158" s="34"/>
      <c r="G158" s="111"/>
      <c r="H158" s="34"/>
      <c r="I158" s="112"/>
      <c r="J158" s="112"/>
      <c r="K158" s="34"/>
      <c r="L158" s="111"/>
      <c r="M158" s="112"/>
      <c r="N158" s="112"/>
      <c r="O158" s="112"/>
      <c r="P158" s="34"/>
      <c r="Q158" s="111"/>
      <c r="R158" s="112"/>
      <c r="S158" s="112"/>
      <c r="T158" s="112"/>
      <c r="U158" s="34"/>
      <c r="V158" s="111"/>
      <c r="W158" s="112"/>
      <c r="X158" s="112"/>
      <c r="Y158" s="112"/>
      <c r="Z158" s="34"/>
      <c r="AA158" s="111"/>
      <c r="AB158" s="112"/>
      <c r="AC158" s="112"/>
      <c r="AD158" s="112"/>
      <c r="AE158" s="34"/>
      <c r="AF158" s="111"/>
      <c r="AG158" s="112"/>
      <c r="AH158" s="112"/>
      <c r="AI158" s="112"/>
      <c r="AJ158" s="34"/>
      <c r="AK158" s="111"/>
      <c r="AL158" s="153">
        <f t="shared" ref="AL158:AU158" si="187">SUM(AL155:AL157)</f>
        <v>14.090764800000001</v>
      </c>
      <c r="AM158" s="153">
        <f t="shared" si="187"/>
        <v>14.090764800000001</v>
      </c>
      <c r="AN158" s="153">
        <f t="shared" si="187"/>
        <v>14.090764800000001</v>
      </c>
      <c r="AO158" s="153">
        <f t="shared" si="187"/>
        <v>14.090764800000001</v>
      </c>
      <c r="AP158" s="150">
        <f t="shared" si="187"/>
        <v>56.363059200000002</v>
      </c>
      <c r="AQ158" s="153">
        <f t="shared" si="187"/>
        <v>13.7120907546</v>
      </c>
      <c r="AR158" s="153">
        <f t="shared" si="187"/>
        <v>13.7120907546</v>
      </c>
      <c r="AS158" s="153">
        <f t="shared" si="187"/>
        <v>13.7120907546</v>
      </c>
      <c r="AT158" s="153">
        <f t="shared" si="187"/>
        <v>13.7120907546</v>
      </c>
      <c r="AU158" s="150">
        <f t="shared" si="187"/>
        <v>54.848363018400001</v>
      </c>
      <c r="AV158" s="153">
        <f t="shared" ref="AV158:BE158" si="188">SUM(AV155:AV157)</f>
        <v>12.19860658905</v>
      </c>
      <c r="AW158" s="153">
        <f t="shared" si="188"/>
        <v>12.19860658905</v>
      </c>
      <c r="AX158" s="153">
        <f t="shared" si="188"/>
        <v>12.19860658905</v>
      </c>
      <c r="AY158" s="153">
        <f t="shared" si="188"/>
        <v>12.19860658905</v>
      </c>
      <c r="AZ158" s="150">
        <f t="shared" si="188"/>
        <v>48.794426356199999</v>
      </c>
      <c r="BA158" s="153">
        <f t="shared" si="188"/>
        <v>11.460068050725001</v>
      </c>
      <c r="BB158" s="153">
        <f t="shared" si="188"/>
        <v>11.460068050725001</v>
      </c>
      <c r="BC158" s="153">
        <f t="shared" si="188"/>
        <v>11.460068050725001</v>
      </c>
      <c r="BD158" s="153">
        <f t="shared" si="188"/>
        <v>11.460068050725001</v>
      </c>
      <c r="BE158" s="150">
        <f t="shared" si="188"/>
        <v>45.840272202900003</v>
      </c>
      <c r="BF158" s="153">
        <f t="shared" ref="BF158:CF158" si="189">SUM(BF155:BF157)</f>
        <v>11.863721494274998</v>
      </c>
      <c r="BG158" s="153">
        <f t="shared" si="189"/>
        <v>11.863721494274998</v>
      </c>
      <c r="BH158" s="153">
        <f t="shared" si="189"/>
        <v>11.863721494274998</v>
      </c>
      <c r="BI158" s="153">
        <f t="shared" si="189"/>
        <v>11.863721494274998</v>
      </c>
      <c r="BJ158" s="150">
        <f t="shared" si="189"/>
        <v>47.454885977099991</v>
      </c>
      <c r="BK158" s="153">
        <f t="shared" si="189"/>
        <v>12.272614599524998</v>
      </c>
      <c r="BL158" s="153">
        <f t="shared" si="189"/>
        <v>12.272614599524998</v>
      </c>
      <c r="BM158" s="153">
        <f t="shared" si="189"/>
        <v>12.272614599524998</v>
      </c>
      <c r="BN158" s="153">
        <f t="shared" si="189"/>
        <v>12.272614599524998</v>
      </c>
      <c r="BO158" s="150">
        <f t="shared" si="189"/>
        <v>49.09045839809999</v>
      </c>
      <c r="BP158" s="153">
        <f t="shared" si="189"/>
        <v>12.48456915615</v>
      </c>
      <c r="BQ158" s="153">
        <f t="shared" si="189"/>
        <v>12.48456915615</v>
      </c>
      <c r="BR158" s="153">
        <f t="shared" si="189"/>
        <v>12.48456915615</v>
      </c>
      <c r="BS158" s="153">
        <f t="shared" si="189"/>
        <v>12.48456915615</v>
      </c>
      <c r="BT158" s="150">
        <f t="shared" si="189"/>
        <v>49.9382766246</v>
      </c>
      <c r="BU158" s="153">
        <f>SUM(BU155:BU157)</f>
        <v>12.500765150884499</v>
      </c>
      <c r="BV158" s="153">
        <f>SUM(BV155:BV157)</f>
        <v>12.500765150884499</v>
      </c>
      <c r="BW158" s="153">
        <f>SUM(BW155:BW157)</f>
        <v>12.500765150884499</v>
      </c>
      <c r="BX158" s="153">
        <f>SUM(BX155:BX157)</f>
        <v>12.500765150884499</v>
      </c>
      <c r="BY158" s="150">
        <f t="shared" si="189"/>
        <v>50.003060603537996</v>
      </c>
      <c r="BZ158" s="150">
        <f t="shared" si="189"/>
        <v>51.253137118626441</v>
      </c>
      <c r="CA158" s="150">
        <f t="shared" si="189"/>
        <v>51.765668489812704</v>
      </c>
      <c r="CB158" s="150">
        <f t="shared" si="189"/>
        <v>49.177385065322063</v>
      </c>
      <c r="CC158" s="150">
        <f t="shared" si="189"/>
        <v>46.718515812055955</v>
      </c>
      <c r="CD158" s="150">
        <f t="shared" si="189"/>
        <v>47.652886128297077</v>
      </c>
      <c r="CE158" s="150">
        <f t="shared" si="189"/>
        <v>48.605943850863021</v>
      </c>
      <c r="CF158" s="150">
        <f t="shared" si="189"/>
        <v>49.57806272788028</v>
      </c>
    </row>
    <row r="159" spans="1:84" x14ac:dyDescent="0.25">
      <c r="A159" s="114"/>
      <c r="B159" s="34"/>
      <c r="C159" s="34"/>
      <c r="D159" s="112"/>
      <c r="E159" s="112"/>
      <c r="F159" s="34"/>
      <c r="G159" s="111"/>
      <c r="H159" s="34"/>
      <c r="I159" s="112"/>
      <c r="J159" s="112"/>
      <c r="K159" s="34"/>
      <c r="L159" s="111"/>
      <c r="M159" s="112"/>
      <c r="N159" s="112"/>
      <c r="O159" s="112"/>
      <c r="P159" s="34"/>
      <c r="Q159" s="111"/>
      <c r="R159" s="112"/>
      <c r="S159" s="112"/>
      <c r="T159" s="112"/>
      <c r="U159" s="34"/>
      <c r="V159" s="111"/>
      <c r="W159" s="112"/>
      <c r="X159" s="112"/>
      <c r="Y159" s="112"/>
      <c r="Z159" s="34"/>
      <c r="AA159" s="111"/>
      <c r="AB159" s="112"/>
      <c r="AC159" s="112"/>
      <c r="AD159" s="112"/>
      <c r="AE159" s="34"/>
      <c r="AF159" s="111"/>
      <c r="AG159" s="112"/>
      <c r="AH159" s="112"/>
      <c r="AI159" s="112"/>
      <c r="AJ159" s="34"/>
      <c r="AK159" s="111"/>
      <c r="AL159" s="4"/>
      <c r="AM159" s="4"/>
      <c r="AN159" s="4"/>
      <c r="AO159" s="4"/>
      <c r="AP159" s="55"/>
      <c r="AQ159" s="4"/>
      <c r="AR159" s="4"/>
      <c r="AS159" s="4"/>
      <c r="AT159" s="4"/>
      <c r="AU159" s="55"/>
      <c r="AV159" s="4"/>
      <c r="AW159" s="4"/>
      <c r="AX159" s="4"/>
      <c r="AY159" s="4"/>
      <c r="AZ159" s="55"/>
      <c r="BA159" s="4"/>
      <c r="BB159" s="4"/>
      <c r="BC159" s="4"/>
      <c r="BD159" s="4"/>
      <c r="BE159" s="55"/>
      <c r="BF159" s="4"/>
      <c r="BG159" s="4"/>
      <c r="BH159" s="4"/>
      <c r="BI159" s="4"/>
      <c r="BJ159" s="55"/>
      <c r="BK159" s="4"/>
      <c r="BL159" s="4"/>
      <c r="BM159" s="4"/>
      <c r="BN159" s="4"/>
      <c r="BO159" s="55"/>
      <c r="BP159" s="4"/>
      <c r="BQ159" s="4"/>
      <c r="BR159" s="4"/>
      <c r="BS159" s="4"/>
      <c r="BT159" s="55"/>
      <c r="BU159" s="4"/>
      <c r="BV159" s="4"/>
      <c r="BW159" s="4"/>
      <c r="BX159" s="4"/>
      <c r="BY159" s="55"/>
      <c r="BZ159" s="55"/>
      <c r="CA159" s="55"/>
      <c r="CB159" s="55"/>
      <c r="CC159" s="55"/>
      <c r="CD159" s="55"/>
      <c r="CE159" s="55"/>
      <c r="CF159" s="55"/>
    </row>
    <row r="160" spans="1:84" x14ac:dyDescent="0.25">
      <c r="A160" s="6" t="s">
        <v>56</v>
      </c>
      <c r="B160" s="34"/>
      <c r="C160" s="34"/>
      <c r="D160" s="112"/>
      <c r="E160" s="112"/>
      <c r="F160" s="34"/>
      <c r="G160" s="111"/>
      <c r="H160" s="34"/>
      <c r="I160" s="112"/>
      <c r="J160" s="112"/>
      <c r="K160" s="34"/>
      <c r="L160" s="111"/>
      <c r="M160" s="112"/>
      <c r="N160" s="112"/>
      <c r="O160" s="112"/>
      <c r="P160" s="34"/>
      <c r="Q160" s="111"/>
      <c r="R160" s="112"/>
      <c r="S160" s="112"/>
      <c r="T160" s="112"/>
      <c r="U160" s="34"/>
      <c r="V160" s="111"/>
      <c r="W160" s="112"/>
      <c r="X160" s="112"/>
      <c r="Y160" s="112"/>
      <c r="Z160" s="34"/>
      <c r="AA160" s="111"/>
      <c r="AB160" s="112"/>
      <c r="AC160" s="112"/>
      <c r="AD160" s="112"/>
      <c r="AE160" s="34"/>
      <c r="AF160" s="111"/>
      <c r="AG160" s="112"/>
      <c r="AH160" s="112"/>
      <c r="AI160" s="112"/>
      <c r="AJ160" s="34"/>
      <c r="AK160" s="111"/>
      <c r="AL160" s="88"/>
      <c r="AM160" s="89"/>
      <c r="AN160" s="89"/>
      <c r="AO160" s="89"/>
      <c r="AP160" s="87"/>
      <c r="AQ160" s="88"/>
      <c r="AR160" s="89"/>
      <c r="AS160" s="89"/>
      <c r="AT160" s="89"/>
      <c r="AU160" s="87"/>
      <c r="AV160" s="88"/>
      <c r="AW160" s="89"/>
      <c r="AX160" s="89"/>
      <c r="AY160" s="89"/>
      <c r="AZ160" s="87"/>
      <c r="BA160" s="88"/>
      <c r="BB160" s="89"/>
      <c r="BC160" s="89"/>
      <c r="BD160" s="89"/>
      <c r="BE160" s="87"/>
      <c r="BF160" s="88"/>
      <c r="BG160" s="89"/>
      <c r="BH160" s="89"/>
      <c r="BI160" s="89"/>
      <c r="BJ160" s="87"/>
      <c r="BK160" s="88"/>
      <c r="BL160" s="89"/>
      <c r="BM160" s="89"/>
      <c r="BN160" s="89"/>
      <c r="BO160" s="87"/>
      <c r="BP160" s="88"/>
      <c r="BQ160" s="89"/>
      <c r="BR160" s="89"/>
      <c r="BS160" s="89"/>
      <c r="BT160" s="87"/>
      <c r="BU160" s="88"/>
      <c r="BV160" s="89"/>
      <c r="BW160" s="89"/>
      <c r="BX160" s="89"/>
      <c r="BY160" s="87"/>
      <c r="BZ160" s="87"/>
      <c r="CA160" s="87"/>
      <c r="CB160" s="87"/>
      <c r="CC160" s="87"/>
      <c r="CD160" s="87"/>
      <c r="CE160" s="87"/>
      <c r="CF160" s="87"/>
    </row>
    <row r="161" spans="1:84" x14ac:dyDescent="0.25">
      <c r="A161" s="103" t="s">
        <v>57</v>
      </c>
      <c r="B161" s="34"/>
      <c r="C161" s="34"/>
      <c r="D161" s="112"/>
      <c r="E161" s="112"/>
      <c r="F161" s="34"/>
      <c r="G161" s="111"/>
      <c r="H161" s="34"/>
      <c r="I161" s="112"/>
      <c r="J161" s="112"/>
      <c r="K161" s="34"/>
      <c r="L161" s="111"/>
      <c r="M161" s="112"/>
      <c r="N161" s="112"/>
      <c r="O161" s="112"/>
      <c r="P161" s="34"/>
      <c r="Q161" s="111"/>
      <c r="R161" s="112"/>
      <c r="S161" s="112"/>
      <c r="T161" s="112"/>
      <c r="U161" s="34"/>
      <c r="V161" s="111"/>
      <c r="W161" s="112"/>
      <c r="X161" s="112"/>
      <c r="Y161" s="112"/>
      <c r="Z161" s="34"/>
      <c r="AA161" s="111"/>
      <c r="AB161" s="112"/>
      <c r="AC161" s="112"/>
      <c r="AD161" s="112"/>
      <c r="AE161" s="34"/>
      <c r="AF161" s="111"/>
      <c r="AG161" s="112"/>
      <c r="AH161" s="112"/>
      <c r="AI161" s="112"/>
      <c r="AJ161" s="34"/>
      <c r="AK161" s="111"/>
      <c r="AL161" s="92">
        <f>$AP161/4</f>
        <v>0.375</v>
      </c>
      <c r="AM161" s="92">
        <f t="shared" ref="AM161:AO163" si="190">$AP161/4</f>
        <v>0.375</v>
      </c>
      <c r="AN161" s="92">
        <f t="shared" si="190"/>
        <v>0.375</v>
      </c>
      <c r="AO161" s="92">
        <f t="shared" si="190"/>
        <v>0.375</v>
      </c>
      <c r="AP161" s="48">
        <f>IF(AP151&gt;0, MIN(AP$116,AP151)*AP$120,0)</f>
        <v>1.5</v>
      </c>
      <c r="AQ161" s="92">
        <f>$AU161/4</f>
        <v>0.375</v>
      </c>
      <c r="AR161" s="92">
        <f t="shared" ref="AR161:AT163" si="191">$AU161/4</f>
        <v>0.375</v>
      </c>
      <c r="AS161" s="92">
        <f t="shared" si="191"/>
        <v>0.375</v>
      </c>
      <c r="AT161" s="92">
        <f t="shared" si="191"/>
        <v>0.375</v>
      </c>
      <c r="AU161" s="48">
        <f>IF(AU151&gt;0, MIN(AU$116,AU151)*AU$120,0)</f>
        <v>1.5</v>
      </c>
      <c r="AV161" s="92">
        <f t="shared" ref="AV161:AY163" si="192">$AZ161/4</f>
        <v>0.375</v>
      </c>
      <c r="AW161" s="92">
        <f t="shared" si="192"/>
        <v>0.375</v>
      </c>
      <c r="AX161" s="92">
        <f t="shared" si="192"/>
        <v>0.375</v>
      </c>
      <c r="AY161" s="92">
        <f t="shared" si="192"/>
        <v>0.375</v>
      </c>
      <c r="AZ161" s="48">
        <f>IF(AZ151&gt;0, MIN(AZ$116,AZ151)*AZ$120,0)</f>
        <v>1.5</v>
      </c>
      <c r="BA161" s="92">
        <f t="shared" ref="BA161:BD163" si="193">$BE161/4</f>
        <v>0.375</v>
      </c>
      <c r="BB161" s="92">
        <f t="shared" si="193"/>
        <v>0.375</v>
      </c>
      <c r="BC161" s="92">
        <f t="shared" si="193"/>
        <v>0.375</v>
      </c>
      <c r="BD161" s="92">
        <f t="shared" si="193"/>
        <v>0.375</v>
      </c>
      <c r="BE161" s="48">
        <f>IF(BE151&gt;0, MIN(BE$116,BE151)*BE$120,0)</f>
        <v>1.5</v>
      </c>
      <c r="BF161" s="92">
        <f>$BJ161/4</f>
        <v>0.375</v>
      </c>
      <c r="BG161" s="92">
        <f t="shared" ref="BG161:BI163" si="194">$BJ161/4</f>
        <v>0.375</v>
      </c>
      <c r="BH161" s="92">
        <f t="shared" si="194"/>
        <v>0.375</v>
      </c>
      <c r="BI161" s="92">
        <f t="shared" si="194"/>
        <v>0.375</v>
      </c>
      <c r="BJ161" s="48">
        <f>IF(BJ151&gt;0, MIN(BJ$116,BJ151)*BJ$120,0)</f>
        <v>1.5</v>
      </c>
      <c r="BK161" s="92">
        <f>$BO161/4</f>
        <v>0.375</v>
      </c>
      <c r="BL161" s="92">
        <f t="shared" ref="BL161:BN163" si="195">$BO161/4</f>
        <v>0.375</v>
      </c>
      <c r="BM161" s="92">
        <f t="shared" si="195"/>
        <v>0.375</v>
      </c>
      <c r="BN161" s="92">
        <f t="shared" si="195"/>
        <v>0.375</v>
      </c>
      <c r="BO161" s="48">
        <f t="shared" ref="BO161:CF161" si="196">IF(BO151&gt;0, MIN(BO$116,BO151)*BO$120,0)</f>
        <v>1.5</v>
      </c>
      <c r="BP161" s="92">
        <f t="shared" ref="BP161:BS163" si="197">$BT161/4</f>
        <v>0.375</v>
      </c>
      <c r="BQ161" s="92">
        <f t="shared" si="197"/>
        <v>0.375</v>
      </c>
      <c r="BR161" s="92">
        <f t="shared" si="197"/>
        <v>0.375</v>
      </c>
      <c r="BS161" s="92">
        <f t="shared" si="197"/>
        <v>0.375</v>
      </c>
      <c r="BT161" s="48">
        <f>IF(BT151&gt;0, MIN(BT$116,BT151)*BT$120,0)</f>
        <v>1.5</v>
      </c>
      <c r="BU161" s="92">
        <f t="shared" ref="BU161:BX163" si="198">$BY161/4</f>
        <v>0.375</v>
      </c>
      <c r="BV161" s="92">
        <f t="shared" si="198"/>
        <v>0.375</v>
      </c>
      <c r="BW161" s="92">
        <f t="shared" si="198"/>
        <v>0.375</v>
      </c>
      <c r="BX161" s="92">
        <f t="shared" si="198"/>
        <v>0.375</v>
      </c>
      <c r="BY161" s="48">
        <f t="shared" si="196"/>
        <v>1.5</v>
      </c>
      <c r="BZ161" s="48">
        <f t="shared" si="196"/>
        <v>1.5</v>
      </c>
      <c r="CA161" s="48">
        <f t="shared" si="196"/>
        <v>1.5</v>
      </c>
      <c r="CB161" s="48">
        <f t="shared" si="196"/>
        <v>1.5</v>
      </c>
      <c r="CC161" s="48">
        <f t="shared" si="196"/>
        <v>1.5</v>
      </c>
      <c r="CD161" s="48">
        <f t="shared" si="196"/>
        <v>1.5</v>
      </c>
      <c r="CE161" s="48">
        <f t="shared" si="196"/>
        <v>1.5</v>
      </c>
      <c r="CF161" s="48">
        <f t="shared" si="196"/>
        <v>1.5</v>
      </c>
    </row>
    <row r="162" spans="1:84" x14ac:dyDescent="0.25">
      <c r="A162" s="103" t="s">
        <v>58</v>
      </c>
      <c r="B162" s="34"/>
      <c r="C162" s="34"/>
      <c r="D162" s="112"/>
      <c r="E162" s="112"/>
      <c r="F162" s="34"/>
      <c r="G162" s="111"/>
      <c r="H162" s="34"/>
      <c r="I162" s="112"/>
      <c r="J162" s="112"/>
      <c r="K162" s="34"/>
      <c r="L162" s="111"/>
      <c r="M162" s="112"/>
      <c r="N162" s="112"/>
      <c r="O162" s="112"/>
      <c r="P162" s="34"/>
      <c r="Q162" s="111"/>
      <c r="R162" s="112"/>
      <c r="S162" s="112"/>
      <c r="T162" s="112"/>
      <c r="U162" s="34"/>
      <c r="V162" s="111"/>
      <c r="W162" s="112"/>
      <c r="X162" s="112"/>
      <c r="Y162" s="112"/>
      <c r="Z162" s="34"/>
      <c r="AA162" s="111"/>
      <c r="AB162" s="112"/>
      <c r="AC162" s="112"/>
      <c r="AD162" s="112"/>
      <c r="AE162" s="34"/>
      <c r="AF162" s="111"/>
      <c r="AG162" s="112"/>
      <c r="AH162" s="112"/>
      <c r="AI162" s="112"/>
      <c r="AJ162" s="34"/>
      <c r="AK162" s="111"/>
      <c r="AL162" s="99">
        <f>$AP162/4</f>
        <v>0.5</v>
      </c>
      <c r="AM162" s="99">
        <f t="shared" si="190"/>
        <v>0.5</v>
      </c>
      <c r="AN162" s="99">
        <f t="shared" si="190"/>
        <v>0.5</v>
      </c>
      <c r="AO162" s="99">
        <f t="shared" si="190"/>
        <v>0.5</v>
      </c>
      <c r="AP162" s="96">
        <f>IF(AP151&gt;AP$116, MIN(AP$117-AP$116, AP151-AP$116)*AP$121,0)</f>
        <v>2</v>
      </c>
      <c r="AQ162" s="99">
        <f>$AU162/4</f>
        <v>0.5</v>
      </c>
      <c r="AR162" s="99">
        <f t="shared" si="191"/>
        <v>0.5</v>
      </c>
      <c r="AS162" s="99">
        <f t="shared" si="191"/>
        <v>0.5</v>
      </c>
      <c r="AT162" s="99">
        <f t="shared" si="191"/>
        <v>0.5</v>
      </c>
      <c r="AU162" s="96">
        <f>IF(AU151&gt;AU$116, MIN(AU$117-AU$116, AU151-AU$116)*AU$121,0)</f>
        <v>2</v>
      </c>
      <c r="AV162" s="99">
        <f t="shared" si="192"/>
        <v>0.5</v>
      </c>
      <c r="AW162" s="99">
        <f t="shared" si="192"/>
        <v>0.5</v>
      </c>
      <c r="AX162" s="99">
        <f t="shared" si="192"/>
        <v>0.5</v>
      </c>
      <c r="AY162" s="99">
        <f t="shared" si="192"/>
        <v>0.5</v>
      </c>
      <c r="AZ162" s="96">
        <f>IF(AZ151&gt;AZ$116, MIN(AZ$117-AZ$116, AZ151-AZ$116)*AZ$121,0)</f>
        <v>2</v>
      </c>
      <c r="BA162" s="99">
        <f t="shared" si="193"/>
        <v>0.5</v>
      </c>
      <c r="BB162" s="99">
        <f t="shared" si="193"/>
        <v>0.5</v>
      </c>
      <c r="BC162" s="99">
        <f t="shared" si="193"/>
        <v>0.5</v>
      </c>
      <c r="BD162" s="99">
        <f t="shared" si="193"/>
        <v>0.5</v>
      </c>
      <c r="BE162" s="96">
        <f>IF(BE151&gt;BE$116, MIN(BE$117-BE$116, BE151-BE$116)*BE$121,0)</f>
        <v>2</v>
      </c>
      <c r="BF162" s="99">
        <f>$BJ162/4</f>
        <v>0.5</v>
      </c>
      <c r="BG162" s="99">
        <f t="shared" si="194"/>
        <v>0.5</v>
      </c>
      <c r="BH162" s="99">
        <f t="shared" si="194"/>
        <v>0.5</v>
      </c>
      <c r="BI162" s="99">
        <f t="shared" si="194"/>
        <v>0.5</v>
      </c>
      <c r="BJ162" s="96">
        <f>IF(BJ151&gt;BJ$116, MIN(BJ$117-BJ$116, BJ151-BJ$116)*BJ$121,0)</f>
        <v>2</v>
      </c>
      <c r="BK162" s="99">
        <f>$BO162/4</f>
        <v>0.5</v>
      </c>
      <c r="BL162" s="99">
        <f t="shared" si="195"/>
        <v>0.5</v>
      </c>
      <c r="BM162" s="99">
        <f t="shared" si="195"/>
        <v>0.5</v>
      </c>
      <c r="BN162" s="99">
        <f t="shared" si="195"/>
        <v>0.5</v>
      </c>
      <c r="BO162" s="96">
        <f t="shared" ref="BO162:CF162" si="199">IF(BO151&gt;BO$116, MIN(BO$117-BO$116, BO151-BO$116)*BO$121,0)</f>
        <v>2</v>
      </c>
      <c r="BP162" s="92">
        <f t="shared" si="197"/>
        <v>0.5</v>
      </c>
      <c r="BQ162" s="92">
        <f t="shared" si="197"/>
        <v>0.5</v>
      </c>
      <c r="BR162" s="92">
        <f t="shared" si="197"/>
        <v>0.5</v>
      </c>
      <c r="BS162" s="92">
        <f t="shared" si="197"/>
        <v>0.5</v>
      </c>
      <c r="BT162" s="96">
        <f>IF(BT151&gt;BT$116, MIN(BT$117-BT$116, BT151-BT$116)*BT$121,0)</f>
        <v>2</v>
      </c>
      <c r="BU162" s="92">
        <f t="shared" si="198"/>
        <v>0.5</v>
      </c>
      <c r="BV162" s="92">
        <f t="shared" si="198"/>
        <v>0.5</v>
      </c>
      <c r="BW162" s="92">
        <f t="shared" si="198"/>
        <v>0.5</v>
      </c>
      <c r="BX162" s="92">
        <f t="shared" si="198"/>
        <v>0.5</v>
      </c>
      <c r="BY162" s="96">
        <f t="shared" si="199"/>
        <v>2</v>
      </c>
      <c r="BZ162" s="96">
        <f t="shared" si="199"/>
        <v>2</v>
      </c>
      <c r="CA162" s="96">
        <f t="shared" si="199"/>
        <v>2</v>
      </c>
      <c r="CB162" s="96">
        <f t="shared" si="199"/>
        <v>2</v>
      </c>
      <c r="CC162" s="96">
        <f t="shared" si="199"/>
        <v>2</v>
      </c>
      <c r="CD162" s="96">
        <f t="shared" si="199"/>
        <v>2</v>
      </c>
      <c r="CE162" s="96">
        <f t="shared" si="199"/>
        <v>2</v>
      </c>
      <c r="CF162" s="96">
        <f t="shared" si="199"/>
        <v>2</v>
      </c>
    </row>
    <row r="163" spans="1:84" x14ac:dyDescent="0.25">
      <c r="A163" s="103" t="s">
        <v>59</v>
      </c>
      <c r="B163" s="34"/>
      <c r="C163" s="34"/>
      <c r="D163" s="112"/>
      <c r="E163" s="112"/>
      <c r="F163" s="34"/>
      <c r="G163" s="111"/>
      <c r="H163" s="34"/>
      <c r="I163" s="112"/>
      <c r="J163" s="112"/>
      <c r="K163" s="34"/>
      <c r="L163" s="111"/>
      <c r="M163" s="112"/>
      <c r="N163" s="112"/>
      <c r="O163" s="112"/>
      <c r="P163" s="34"/>
      <c r="Q163" s="111"/>
      <c r="R163" s="112"/>
      <c r="S163" s="112"/>
      <c r="T163" s="112"/>
      <c r="U163" s="34"/>
      <c r="V163" s="111"/>
      <c r="W163" s="112"/>
      <c r="X163" s="112"/>
      <c r="Y163" s="112"/>
      <c r="Z163" s="34"/>
      <c r="AA163" s="111"/>
      <c r="AB163" s="112"/>
      <c r="AC163" s="112"/>
      <c r="AD163" s="112"/>
      <c r="AE163" s="34"/>
      <c r="AF163" s="111"/>
      <c r="AG163" s="112"/>
      <c r="AH163" s="112"/>
      <c r="AI163" s="112"/>
      <c r="AJ163" s="34"/>
      <c r="AK163" s="111"/>
      <c r="AL163" s="99">
        <f>$AP163/4</f>
        <v>2.1049440000000006</v>
      </c>
      <c r="AM163" s="99">
        <f t="shared" si="190"/>
        <v>2.1049440000000006</v>
      </c>
      <c r="AN163" s="99">
        <f t="shared" si="190"/>
        <v>2.1049440000000006</v>
      </c>
      <c r="AO163" s="99">
        <f t="shared" si="190"/>
        <v>2.1049440000000006</v>
      </c>
      <c r="AP163" s="96">
        <f>IF(AP151&gt;AP$117,(AP151-AP$117)*AP$122,0)</f>
        <v>8.4197760000000024</v>
      </c>
      <c r="AQ163" s="99">
        <f>$AU163/4</f>
        <v>2.0147835130000007</v>
      </c>
      <c r="AR163" s="99">
        <f t="shared" si="191"/>
        <v>2.0147835130000007</v>
      </c>
      <c r="AS163" s="99">
        <f t="shared" si="191"/>
        <v>2.0147835130000007</v>
      </c>
      <c r="AT163" s="99">
        <f t="shared" si="191"/>
        <v>2.0147835130000007</v>
      </c>
      <c r="AU163" s="96">
        <f>IF(AU151&gt;AU$117,(AU151-AU$117)*AU$122,0)</f>
        <v>8.0591340520000028</v>
      </c>
      <c r="AV163" s="99">
        <f t="shared" si="192"/>
        <v>1.6544301402500001</v>
      </c>
      <c r="AW163" s="99">
        <f t="shared" si="192"/>
        <v>1.6544301402500001</v>
      </c>
      <c r="AX163" s="99">
        <f t="shared" si="192"/>
        <v>1.6544301402500001</v>
      </c>
      <c r="AY163" s="99">
        <f t="shared" si="192"/>
        <v>1.6544301402500001</v>
      </c>
      <c r="AZ163" s="96">
        <f>IF(AZ151&gt;AZ$117,(AZ151-AZ$117)*AZ$122,0)</f>
        <v>6.6177205610000005</v>
      </c>
      <c r="BA163" s="99">
        <f t="shared" si="193"/>
        <v>1.4785876311250004</v>
      </c>
      <c r="BB163" s="99">
        <f t="shared" si="193"/>
        <v>1.4785876311250004</v>
      </c>
      <c r="BC163" s="99">
        <f t="shared" si="193"/>
        <v>1.4785876311250004</v>
      </c>
      <c r="BD163" s="99">
        <f t="shared" si="193"/>
        <v>1.4785876311250004</v>
      </c>
      <c r="BE163" s="96">
        <f>IF(BE151&gt;BE$117,(BE151-BE$117)*BE$122,0)</f>
        <v>5.9143505245000014</v>
      </c>
      <c r="BF163" s="99">
        <f>$BJ163/4</f>
        <v>1.574695593875</v>
      </c>
      <c r="BG163" s="99">
        <f t="shared" si="194"/>
        <v>1.574695593875</v>
      </c>
      <c r="BH163" s="99">
        <f t="shared" si="194"/>
        <v>1.574695593875</v>
      </c>
      <c r="BI163" s="99">
        <f t="shared" si="194"/>
        <v>1.574695593875</v>
      </c>
      <c r="BJ163" s="96">
        <f>IF(BJ151&gt;BJ$117,(BJ151-BJ$117)*BJ$122,0)</f>
        <v>6.2987823755000001</v>
      </c>
      <c r="BK163" s="99">
        <f>$BO163/4</f>
        <v>1.6720510951250001</v>
      </c>
      <c r="BL163" s="99">
        <f t="shared" si="195"/>
        <v>1.6720510951250001</v>
      </c>
      <c r="BM163" s="99">
        <f t="shared" si="195"/>
        <v>1.6720510951250001</v>
      </c>
      <c r="BN163" s="99">
        <f t="shared" si="195"/>
        <v>1.6720510951250001</v>
      </c>
      <c r="BO163" s="96">
        <f t="shared" ref="BO163:CF163" si="200">IF(BO151&gt;BO$117,(BO151-BO$117)*BO$122,0)</f>
        <v>6.6882043805000002</v>
      </c>
      <c r="BP163" s="92">
        <f t="shared" si="197"/>
        <v>1.7225164657500003</v>
      </c>
      <c r="BQ163" s="92">
        <f t="shared" si="197"/>
        <v>1.7225164657500003</v>
      </c>
      <c r="BR163" s="92">
        <f t="shared" si="197"/>
        <v>1.7225164657500003</v>
      </c>
      <c r="BS163" s="92">
        <f t="shared" si="197"/>
        <v>1.7225164657500003</v>
      </c>
      <c r="BT163" s="96">
        <f>IF(BT151&gt;BT$117,(BT151-BT$117)*BT$122,0)</f>
        <v>6.8900658630000011</v>
      </c>
      <c r="BU163" s="92">
        <f t="shared" si="198"/>
        <v>1.7263726549725</v>
      </c>
      <c r="BV163" s="92">
        <f t="shared" si="198"/>
        <v>1.7263726549725</v>
      </c>
      <c r="BW163" s="92">
        <f t="shared" si="198"/>
        <v>1.7263726549725</v>
      </c>
      <c r="BX163" s="92">
        <f t="shared" si="198"/>
        <v>1.7263726549725</v>
      </c>
      <c r="BY163" s="96">
        <f t="shared" si="200"/>
        <v>6.9054906198900001</v>
      </c>
      <c r="BZ163" s="96">
        <f t="shared" si="200"/>
        <v>7.20312788538725</v>
      </c>
      <c r="CA163" s="96">
        <f t="shared" si="200"/>
        <v>7.3251591642411213</v>
      </c>
      <c r="CB163" s="96">
        <f t="shared" si="200"/>
        <v>6.7089012060290649</v>
      </c>
      <c r="CC163" s="96">
        <f t="shared" si="200"/>
        <v>6.1234561457276104</v>
      </c>
      <c r="CD163" s="96">
        <f t="shared" si="200"/>
        <v>6.3459252686421621</v>
      </c>
      <c r="CE163" s="96">
        <f t="shared" si="200"/>
        <v>6.5728437740150056</v>
      </c>
      <c r="CF163" s="96">
        <f t="shared" si="200"/>
        <v>6.8043006494953069</v>
      </c>
    </row>
    <row r="164" spans="1:84" x14ac:dyDescent="0.25">
      <c r="A164" s="103"/>
      <c r="B164" s="34"/>
      <c r="C164" s="34"/>
      <c r="D164" s="112"/>
      <c r="E164" s="112"/>
      <c r="F164" s="34"/>
      <c r="G164" s="111"/>
      <c r="H164" s="34"/>
      <c r="I164" s="112"/>
      <c r="J164" s="112"/>
      <c r="K164" s="34"/>
      <c r="L164" s="111"/>
      <c r="M164" s="112"/>
      <c r="N164" s="112"/>
      <c r="O164" s="112"/>
      <c r="P164" s="34"/>
      <c r="Q164" s="111"/>
      <c r="R164" s="112"/>
      <c r="S164" s="112"/>
      <c r="T164" s="112"/>
      <c r="U164" s="34"/>
      <c r="V164" s="111"/>
      <c r="W164" s="112"/>
      <c r="X164" s="112"/>
      <c r="Y164" s="112"/>
      <c r="Z164" s="34"/>
      <c r="AA164" s="111"/>
      <c r="AB164" s="112"/>
      <c r="AC164" s="112"/>
      <c r="AD164" s="112"/>
      <c r="AE164" s="34"/>
      <c r="AF164" s="111"/>
      <c r="AG164" s="112"/>
      <c r="AH164" s="112"/>
      <c r="AI164" s="112"/>
      <c r="AJ164" s="34"/>
      <c r="AK164" s="111"/>
      <c r="AL164" s="130" t="s">
        <v>1059</v>
      </c>
      <c r="AM164" s="130" t="s">
        <v>1059</v>
      </c>
      <c r="AN164" s="130" t="s">
        <v>1059</v>
      </c>
      <c r="AO164" s="130" t="s">
        <v>1059</v>
      </c>
      <c r="AP164" s="131" t="s">
        <v>1059</v>
      </c>
      <c r="AQ164" s="130" t="s">
        <v>1059</v>
      </c>
      <c r="AR164" s="130" t="s">
        <v>1059</v>
      </c>
      <c r="AS164" s="130" t="s">
        <v>1059</v>
      </c>
      <c r="AT164" s="130" t="s">
        <v>1059</v>
      </c>
      <c r="AU164" s="131" t="s">
        <v>1059</v>
      </c>
      <c r="AV164" s="130" t="s">
        <v>1059</v>
      </c>
      <c r="AW164" s="130" t="s">
        <v>1059</v>
      </c>
      <c r="AX164" s="130" t="s">
        <v>1059</v>
      </c>
      <c r="AY164" s="130" t="s">
        <v>1059</v>
      </c>
      <c r="AZ164" s="131" t="s">
        <v>1059</v>
      </c>
      <c r="BA164" s="130" t="s">
        <v>1059</v>
      </c>
      <c r="BB164" s="130" t="s">
        <v>1059</v>
      </c>
      <c r="BC164" s="130" t="s">
        <v>1059</v>
      </c>
      <c r="BD164" s="130" t="s">
        <v>1059</v>
      </c>
      <c r="BE164" s="131" t="s">
        <v>1059</v>
      </c>
      <c r="BF164" s="130" t="s">
        <v>1059</v>
      </c>
      <c r="BG164" s="130" t="s">
        <v>1059</v>
      </c>
      <c r="BH164" s="130" t="s">
        <v>1059</v>
      </c>
      <c r="BI164" s="130" t="s">
        <v>1059</v>
      </c>
      <c r="BJ164" s="131" t="s">
        <v>1059</v>
      </c>
      <c r="BK164" s="130" t="s">
        <v>1059</v>
      </c>
      <c r="BL164" s="130" t="s">
        <v>1059</v>
      </c>
      <c r="BM164" s="130" t="s">
        <v>1059</v>
      </c>
      <c r="BN164" s="130" t="s">
        <v>1059</v>
      </c>
      <c r="BO164" s="131" t="s">
        <v>1059</v>
      </c>
      <c r="BP164" s="130" t="s">
        <v>1059</v>
      </c>
      <c r="BQ164" s="130" t="s">
        <v>1059</v>
      </c>
      <c r="BR164" s="130" t="s">
        <v>1059</v>
      </c>
      <c r="BS164" s="130" t="s">
        <v>1059</v>
      </c>
      <c r="BT164" s="131" t="s">
        <v>1059</v>
      </c>
      <c r="BU164" s="130" t="s">
        <v>1059</v>
      </c>
      <c r="BV164" s="130" t="s">
        <v>1059</v>
      </c>
      <c r="BW164" s="130" t="s">
        <v>1059</v>
      </c>
      <c r="BX164" s="130" t="s">
        <v>1059</v>
      </c>
      <c r="BY164" s="131" t="s">
        <v>1059</v>
      </c>
      <c r="BZ164" s="131" t="s">
        <v>1059</v>
      </c>
      <c r="CA164" s="131" t="s">
        <v>1059</v>
      </c>
      <c r="CB164" s="131" t="s">
        <v>1059</v>
      </c>
      <c r="CC164" s="131" t="s">
        <v>1059</v>
      </c>
      <c r="CD164" s="131" t="s">
        <v>1059</v>
      </c>
      <c r="CE164" s="131" t="s">
        <v>1059</v>
      </c>
      <c r="CF164" s="131" t="s">
        <v>1059</v>
      </c>
    </row>
    <row r="165" spans="1:84" x14ac:dyDescent="0.25">
      <c r="A165" s="103" t="s">
        <v>127</v>
      </c>
      <c r="B165" s="34"/>
      <c r="C165" s="34"/>
      <c r="D165" s="112"/>
      <c r="E165" s="112"/>
      <c r="F165" s="34"/>
      <c r="G165" s="111"/>
      <c r="H165" s="34"/>
      <c r="I165" s="112"/>
      <c r="J165" s="112"/>
      <c r="K165" s="34"/>
      <c r="L165" s="111"/>
      <c r="M165" s="112"/>
      <c r="N165" s="112"/>
      <c r="O165" s="112"/>
      <c r="P165" s="34"/>
      <c r="Q165" s="111"/>
      <c r="R165" s="112"/>
      <c r="S165" s="112"/>
      <c r="T165" s="112"/>
      <c r="U165" s="34"/>
      <c r="V165" s="111"/>
      <c r="W165" s="112"/>
      <c r="X165" s="112"/>
      <c r="Y165" s="112"/>
      <c r="Z165" s="34"/>
      <c r="AA165" s="111"/>
      <c r="AB165" s="112"/>
      <c r="AC165" s="112"/>
      <c r="AD165" s="112"/>
      <c r="AE165" s="34"/>
      <c r="AF165" s="111"/>
      <c r="AG165" s="112"/>
      <c r="AH165" s="112"/>
      <c r="AI165" s="112"/>
      <c r="AJ165" s="34"/>
      <c r="AK165" s="111"/>
      <c r="AL165" s="112">
        <f t="shared" ref="AL165:AU165" si="201">SUM(AL161:AL164)</f>
        <v>2.9799440000000006</v>
      </c>
      <c r="AM165" s="112">
        <f t="shared" si="201"/>
        <v>2.9799440000000006</v>
      </c>
      <c r="AN165" s="112">
        <f t="shared" si="201"/>
        <v>2.9799440000000006</v>
      </c>
      <c r="AO165" s="34">
        <f t="shared" si="201"/>
        <v>2.9799440000000006</v>
      </c>
      <c r="AP165" s="111">
        <f t="shared" si="201"/>
        <v>11.919776000000002</v>
      </c>
      <c r="AQ165" s="112">
        <f t="shared" si="201"/>
        <v>2.8897835130000007</v>
      </c>
      <c r="AR165" s="112">
        <f t="shared" si="201"/>
        <v>2.8897835130000007</v>
      </c>
      <c r="AS165" s="112">
        <f t="shared" si="201"/>
        <v>2.8897835130000007</v>
      </c>
      <c r="AT165" s="34">
        <f t="shared" si="201"/>
        <v>2.8897835130000007</v>
      </c>
      <c r="AU165" s="111">
        <f t="shared" si="201"/>
        <v>11.559134052000003</v>
      </c>
      <c r="AV165" s="112">
        <f t="shared" ref="AV165:BE165" si="202">SUM(AV161:AV164)</f>
        <v>2.5294301402500001</v>
      </c>
      <c r="AW165" s="112">
        <f t="shared" si="202"/>
        <v>2.5294301402500001</v>
      </c>
      <c r="AX165" s="112">
        <f t="shared" si="202"/>
        <v>2.5294301402500001</v>
      </c>
      <c r="AY165" s="34">
        <f t="shared" si="202"/>
        <v>2.5294301402500001</v>
      </c>
      <c r="AZ165" s="111">
        <f t="shared" si="202"/>
        <v>10.117720561000001</v>
      </c>
      <c r="BA165" s="112">
        <f t="shared" si="202"/>
        <v>2.3535876311250004</v>
      </c>
      <c r="BB165" s="112">
        <f t="shared" si="202"/>
        <v>2.3535876311250004</v>
      </c>
      <c r="BC165" s="112">
        <f t="shared" si="202"/>
        <v>2.3535876311250004</v>
      </c>
      <c r="BD165" s="34">
        <f t="shared" si="202"/>
        <v>2.3535876311250004</v>
      </c>
      <c r="BE165" s="111">
        <f t="shared" si="202"/>
        <v>9.4143505245000014</v>
      </c>
      <c r="BF165" s="112">
        <f t="shared" ref="BF165:CF165" si="203">SUM(BF161:BF164)</f>
        <v>2.449695593875</v>
      </c>
      <c r="BG165" s="112">
        <f t="shared" si="203"/>
        <v>2.449695593875</v>
      </c>
      <c r="BH165" s="112">
        <f t="shared" si="203"/>
        <v>2.449695593875</v>
      </c>
      <c r="BI165" s="34">
        <f t="shared" si="203"/>
        <v>2.449695593875</v>
      </c>
      <c r="BJ165" s="111">
        <f t="shared" si="203"/>
        <v>9.7987823755000001</v>
      </c>
      <c r="BK165" s="112">
        <f t="shared" si="203"/>
        <v>2.5470510951250001</v>
      </c>
      <c r="BL165" s="112">
        <f t="shared" si="203"/>
        <v>2.5470510951250001</v>
      </c>
      <c r="BM165" s="112">
        <f t="shared" si="203"/>
        <v>2.5470510951250001</v>
      </c>
      <c r="BN165" s="34">
        <f t="shared" si="203"/>
        <v>2.5470510951250001</v>
      </c>
      <c r="BO165" s="111">
        <f t="shared" si="203"/>
        <v>10.1882043805</v>
      </c>
      <c r="BP165" s="112">
        <f t="shared" si="203"/>
        <v>2.5975164657500001</v>
      </c>
      <c r="BQ165" s="112">
        <f t="shared" si="203"/>
        <v>2.5975164657500001</v>
      </c>
      <c r="BR165" s="112">
        <f t="shared" si="203"/>
        <v>2.5975164657500001</v>
      </c>
      <c r="BS165" s="34">
        <f t="shared" si="203"/>
        <v>2.5975164657500001</v>
      </c>
      <c r="BT165" s="111">
        <f t="shared" si="203"/>
        <v>10.390065863</v>
      </c>
      <c r="BU165" s="112">
        <f>SUM(BU161:BU164)</f>
        <v>2.6013726549724998</v>
      </c>
      <c r="BV165" s="112">
        <f>SUM(BV161:BV164)</f>
        <v>2.6013726549724998</v>
      </c>
      <c r="BW165" s="112">
        <f>SUM(BW161:BW164)</f>
        <v>2.6013726549724998</v>
      </c>
      <c r="BX165" s="34">
        <f>SUM(BX161:BX164)</f>
        <v>2.6013726549724998</v>
      </c>
      <c r="BY165" s="111">
        <f t="shared" si="203"/>
        <v>10.405490619889999</v>
      </c>
      <c r="BZ165" s="111">
        <f t="shared" si="203"/>
        <v>10.70312788538725</v>
      </c>
      <c r="CA165" s="111">
        <f t="shared" si="203"/>
        <v>10.825159164241121</v>
      </c>
      <c r="CB165" s="111">
        <f t="shared" si="203"/>
        <v>10.208901206029065</v>
      </c>
      <c r="CC165" s="111">
        <f t="shared" si="203"/>
        <v>9.6234561457276104</v>
      </c>
      <c r="CD165" s="111">
        <f t="shared" si="203"/>
        <v>9.8459252686421621</v>
      </c>
      <c r="CE165" s="111">
        <f t="shared" si="203"/>
        <v>10.072843774015006</v>
      </c>
      <c r="CF165" s="111">
        <f t="shared" si="203"/>
        <v>10.304300649495307</v>
      </c>
    </row>
    <row r="166" spans="1:84" x14ac:dyDescent="0.25">
      <c r="A166" s="103"/>
      <c r="B166" s="2"/>
      <c r="C166" s="53"/>
      <c r="D166" s="4"/>
      <c r="E166" s="4"/>
      <c r="F166" s="155"/>
      <c r="G166" s="55"/>
      <c r="H166" s="53"/>
      <c r="I166" s="4"/>
      <c r="J166" s="4"/>
      <c r="K166" s="155"/>
      <c r="L166" s="55"/>
      <c r="M166" s="53"/>
      <c r="N166" s="4"/>
      <c r="O166" s="4"/>
      <c r="P166" s="155"/>
      <c r="Q166" s="55"/>
      <c r="R166" s="53"/>
      <c r="S166" s="4"/>
      <c r="T166" s="4"/>
      <c r="U166" s="155"/>
      <c r="V166" s="55"/>
      <c r="W166" s="53"/>
      <c r="X166" s="4"/>
      <c r="Y166" s="4"/>
      <c r="Z166" s="155"/>
      <c r="AA166" s="55"/>
      <c r="AB166" s="53"/>
      <c r="AC166" s="4"/>
      <c r="AD166" s="4"/>
      <c r="AE166" s="155"/>
      <c r="AF166" s="55"/>
      <c r="AG166" s="53"/>
      <c r="AH166" s="4"/>
      <c r="AI166" s="4"/>
      <c r="AJ166" s="155"/>
      <c r="AK166" s="55"/>
      <c r="AL166" s="88"/>
      <c r="AM166" s="89"/>
      <c r="AN166" s="89"/>
      <c r="AO166" s="89"/>
      <c r="AP166" s="87"/>
      <c r="AQ166" s="88"/>
      <c r="AR166" s="89"/>
      <c r="AS166" s="89"/>
      <c r="AT166" s="89"/>
      <c r="AU166" s="87"/>
      <c r="AV166" s="88"/>
      <c r="AW166" s="89"/>
      <c r="AX166" s="89"/>
      <c r="AY166" s="89"/>
      <c r="AZ166" s="87"/>
      <c r="BA166" s="88"/>
      <c r="BB166" s="89"/>
      <c r="BC166" s="89"/>
      <c r="BD166" s="89"/>
      <c r="BE166" s="87"/>
      <c r="BF166" s="88"/>
      <c r="BG166" s="89"/>
      <c r="BH166" s="89"/>
      <c r="BI166" s="89"/>
      <c r="BJ166" s="87"/>
      <c r="BK166" s="88"/>
      <c r="BL166" s="89"/>
      <c r="BM166" s="89"/>
      <c r="BN166" s="89"/>
      <c r="BO166" s="87"/>
      <c r="BP166" s="88"/>
      <c r="BQ166" s="89"/>
      <c r="BR166" s="89"/>
      <c r="BS166" s="89"/>
      <c r="BT166" s="87"/>
      <c r="BU166" s="88"/>
      <c r="BV166" s="89"/>
      <c r="BW166" s="89"/>
      <c r="BX166" s="89"/>
      <c r="BY166" s="87"/>
      <c r="BZ166" s="87"/>
      <c r="CA166" s="87"/>
      <c r="CB166" s="87"/>
      <c r="CC166" s="87"/>
      <c r="CD166" s="87"/>
      <c r="CE166" s="87"/>
      <c r="CF166" s="87"/>
    </row>
    <row r="167" spans="1:84" x14ac:dyDescent="0.25">
      <c r="A167" s="2" t="s">
        <v>128</v>
      </c>
      <c r="B167" s="2"/>
      <c r="C167" s="4"/>
      <c r="D167" s="4"/>
      <c r="E167" s="4"/>
      <c r="F167" s="4"/>
      <c r="G167" s="55"/>
      <c r="H167" s="4"/>
      <c r="I167" s="4"/>
      <c r="J167" s="4"/>
      <c r="K167" s="4"/>
      <c r="L167" s="55"/>
      <c r="M167" s="4"/>
      <c r="N167" s="4"/>
      <c r="O167" s="4"/>
      <c r="P167" s="4"/>
      <c r="Q167" s="55"/>
      <c r="R167" s="4"/>
      <c r="S167" s="4"/>
      <c r="T167" s="4"/>
      <c r="U167" s="4"/>
      <c r="V167" s="55"/>
      <c r="W167" s="4"/>
      <c r="X167" s="4"/>
      <c r="Y167" s="4"/>
      <c r="Z167" s="4"/>
      <c r="AA167" s="55"/>
      <c r="AB167" s="4"/>
      <c r="AC167" s="4"/>
      <c r="AD167" s="4"/>
      <c r="AE167" s="4"/>
      <c r="AF167" s="55"/>
      <c r="AG167" s="4"/>
      <c r="AH167" s="4"/>
      <c r="AI167" s="4"/>
      <c r="AJ167" s="4"/>
      <c r="AK167" s="55"/>
      <c r="AL167" s="34">
        <f t="shared" ref="AL167:AU167" si="204">(AL152*AL124)/1000</f>
        <v>3.3460399999999999</v>
      </c>
      <c r="AM167" s="112">
        <f t="shared" si="204"/>
        <v>3.5047480000000002</v>
      </c>
      <c r="AN167" s="112">
        <f t="shared" si="204"/>
        <v>3.4871179999999997</v>
      </c>
      <c r="AO167" s="34">
        <f t="shared" si="204"/>
        <v>3.3117220000000001</v>
      </c>
      <c r="AP167" s="111">
        <f t="shared" si="204"/>
        <v>13.649628</v>
      </c>
      <c r="AQ167" s="34">
        <f t="shared" si="204"/>
        <v>3.3971439999999999</v>
      </c>
      <c r="AR167" s="112">
        <f t="shared" si="204"/>
        <v>3.4085540000000001</v>
      </c>
      <c r="AS167" s="112">
        <f t="shared" si="204"/>
        <v>3.2545999999999999</v>
      </c>
      <c r="AT167" s="34">
        <f t="shared" si="204"/>
        <v>2.9615999999999998</v>
      </c>
      <c r="AU167" s="111">
        <f t="shared" si="204"/>
        <v>13.021898</v>
      </c>
      <c r="AV167" s="34">
        <f t="shared" ref="AV167:BE167" si="205">(AV152*AV124)/1000</f>
        <v>3.419168</v>
      </c>
      <c r="AW167" s="112">
        <f t="shared" si="205"/>
        <v>2.9223699999999999</v>
      </c>
      <c r="AX167" s="112">
        <f t="shared" si="205"/>
        <v>2.9779619999999998</v>
      </c>
      <c r="AY167" s="34">
        <f t="shared" si="205"/>
        <v>2.7454899999999998</v>
      </c>
      <c r="AZ167" s="111">
        <f t="shared" si="205"/>
        <v>12.06499</v>
      </c>
      <c r="BA167" s="34">
        <f t="shared" si="205"/>
        <v>2.669092</v>
      </c>
      <c r="BB167" s="112">
        <f t="shared" si="205"/>
        <v>2.583364</v>
      </c>
      <c r="BC167" s="112">
        <f t="shared" si="205"/>
        <v>2.4397099999999998</v>
      </c>
      <c r="BD167" s="34">
        <f t="shared" si="205"/>
        <v>2.4969960000000002</v>
      </c>
      <c r="BE167" s="111">
        <f t="shared" si="205"/>
        <v>10.189162</v>
      </c>
      <c r="BF167" s="34">
        <f t="shared" ref="BF167:CF167" si="206">(BF152*BF124)/1000</f>
        <v>2.701384</v>
      </c>
      <c r="BG167" s="112">
        <f t="shared" si="206"/>
        <v>2.7365560000000002</v>
      </c>
      <c r="BH167" s="112">
        <f t="shared" si="206"/>
        <v>2.787938</v>
      </c>
      <c r="BI167" s="34">
        <f t="shared" si="206"/>
        <v>2.5957620000000001</v>
      </c>
      <c r="BJ167" s="111">
        <f t="shared" si="206"/>
        <v>10.82164</v>
      </c>
      <c r="BK167" s="34">
        <f t="shared" si="206"/>
        <v>2.7678060000000002</v>
      </c>
      <c r="BL167" s="112">
        <f t="shared" si="206"/>
        <v>2.872296</v>
      </c>
      <c r="BM167" s="112">
        <f t="shared" si="206"/>
        <v>2.9200560000000002</v>
      </c>
      <c r="BN167" s="34">
        <f t="shared" si="206"/>
        <v>2.73142</v>
      </c>
      <c r="BO167" s="111">
        <f t="shared" si="206"/>
        <v>11.291577999999999</v>
      </c>
      <c r="BP167" s="34">
        <f t="shared" si="206"/>
        <v>2.7949280000000001</v>
      </c>
      <c r="BQ167" s="112">
        <f t="shared" si="206"/>
        <v>2.6772420000000001</v>
      </c>
      <c r="BR167" s="112">
        <f t="shared" si="206"/>
        <v>2.7931520000000001</v>
      </c>
      <c r="BS167" s="34">
        <f t="shared" si="206"/>
        <v>2.5558899999999998</v>
      </c>
      <c r="BT167" s="111">
        <f t="shared" si="206"/>
        <v>10.821211999999999</v>
      </c>
      <c r="BU167" s="34">
        <f>(BU152*BU124)/1000</f>
        <v>2.700672876599044</v>
      </c>
      <c r="BV167" s="112">
        <f>(BV152*BV124)/1000</f>
        <v>2.6772420000000001</v>
      </c>
      <c r="BW167" s="112">
        <f>(BW152*BW124)/1000</f>
        <v>2.8490150400000003</v>
      </c>
      <c r="BX167" s="34">
        <f>(BX152*BX124)/1000</f>
        <v>2.6070077999999999</v>
      </c>
      <c r="BY167" s="111">
        <f t="shared" si="206"/>
        <v>10.833937716599044</v>
      </c>
      <c r="BZ167" s="111">
        <f t="shared" si="206"/>
        <v>11.10478615951402</v>
      </c>
      <c r="CA167" s="111">
        <f t="shared" si="206"/>
        <v>11.21583402110916</v>
      </c>
      <c r="CB167" s="111">
        <f t="shared" si="206"/>
        <v>10.655042320053701</v>
      </c>
      <c r="CC167" s="111">
        <f t="shared" si="206"/>
        <v>10.122290204051014</v>
      </c>
      <c r="CD167" s="111">
        <f t="shared" si="206"/>
        <v>10.324736008132035</v>
      </c>
      <c r="CE167" s="111">
        <f t="shared" si="206"/>
        <v>10.531230728294675</v>
      </c>
      <c r="CF167" s="111">
        <f t="shared" si="206"/>
        <v>10.741855342860568</v>
      </c>
    </row>
    <row r="168" spans="1:84" x14ac:dyDescent="0.25">
      <c r="A168" s="2"/>
      <c r="B168" s="2"/>
      <c r="C168" s="4"/>
      <c r="D168" s="4"/>
      <c r="E168" s="4"/>
      <c r="F168" s="4"/>
      <c r="G168" s="55"/>
      <c r="H168" s="4"/>
      <c r="I168" s="4"/>
      <c r="J168" s="4"/>
      <c r="K168" s="4"/>
      <c r="L168" s="55"/>
      <c r="M168" s="4"/>
      <c r="N168" s="4"/>
      <c r="O168" s="4"/>
      <c r="P168" s="4"/>
      <c r="Q168" s="55"/>
      <c r="R168" s="4"/>
      <c r="S168" s="4"/>
      <c r="T168" s="4"/>
      <c r="U168" s="4"/>
      <c r="V168" s="55"/>
      <c r="W168" s="4"/>
      <c r="X168" s="4"/>
      <c r="Y168" s="4"/>
      <c r="Z168" s="4"/>
      <c r="AA168" s="55"/>
      <c r="AB168" s="4"/>
      <c r="AC168" s="4"/>
      <c r="AD168" s="4"/>
      <c r="AE168" s="4"/>
      <c r="AF168" s="55"/>
      <c r="AG168" s="4"/>
      <c r="AH168" s="4"/>
      <c r="AI168" s="4"/>
      <c r="AJ168" s="4"/>
      <c r="AK168" s="55"/>
      <c r="AL168" s="130" t="s">
        <v>1059</v>
      </c>
      <c r="AM168" s="130" t="s">
        <v>1059</v>
      </c>
      <c r="AN168" s="130" t="s">
        <v>1059</v>
      </c>
      <c r="AO168" s="130" t="s">
        <v>1059</v>
      </c>
      <c r="AP168" s="131" t="s">
        <v>1059</v>
      </c>
      <c r="AQ168" s="130" t="s">
        <v>1059</v>
      </c>
      <c r="AR168" s="130" t="s">
        <v>1059</v>
      </c>
      <c r="AS168" s="130" t="s">
        <v>1059</v>
      </c>
      <c r="AT168" s="130" t="s">
        <v>1059</v>
      </c>
      <c r="AU168" s="131" t="s">
        <v>1059</v>
      </c>
      <c r="AV168" s="130" t="s">
        <v>1059</v>
      </c>
      <c r="AW168" s="130" t="s">
        <v>1059</v>
      </c>
      <c r="AX168" s="130" t="s">
        <v>1059</v>
      </c>
      <c r="AY168" s="130" t="s">
        <v>1059</v>
      </c>
      <c r="AZ168" s="131" t="s">
        <v>1059</v>
      </c>
      <c r="BA168" s="130" t="s">
        <v>1059</v>
      </c>
      <c r="BB168" s="130" t="s">
        <v>1059</v>
      </c>
      <c r="BC168" s="130" t="s">
        <v>1059</v>
      </c>
      <c r="BD168" s="130" t="s">
        <v>1059</v>
      </c>
      <c r="BE168" s="131" t="s">
        <v>1059</v>
      </c>
      <c r="BF168" s="130" t="s">
        <v>1059</v>
      </c>
      <c r="BG168" s="130" t="s">
        <v>1059</v>
      </c>
      <c r="BH168" s="130" t="s">
        <v>1059</v>
      </c>
      <c r="BI168" s="130" t="s">
        <v>1059</v>
      </c>
      <c r="BJ168" s="131" t="s">
        <v>1059</v>
      </c>
      <c r="BK168" s="130" t="s">
        <v>1059</v>
      </c>
      <c r="BL168" s="130" t="s">
        <v>1059</v>
      </c>
      <c r="BM168" s="130" t="s">
        <v>1059</v>
      </c>
      <c r="BN168" s="130" t="s">
        <v>1059</v>
      </c>
      <c r="BO168" s="131" t="s">
        <v>1059</v>
      </c>
      <c r="BP168" s="130" t="s">
        <v>1059</v>
      </c>
      <c r="BQ168" s="130" t="s">
        <v>1059</v>
      </c>
      <c r="BR168" s="130" t="s">
        <v>1059</v>
      </c>
      <c r="BS168" s="130" t="s">
        <v>1059</v>
      </c>
      <c r="BT168" s="131" t="s">
        <v>1059</v>
      </c>
      <c r="BU168" s="130" t="s">
        <v>1059</v>
      </c>
      <c r="BV168" s="130" t="s">
        <v>1059</v>
      </c>
      <c r="BW168" s="130" t="s">
        <v>1059</v>
      </c>
      <c r="BX168" s="130" t="s">
        <v>1059</v>
      </c>
      <c r="BY168" s="131" t="s">
        <v>1059</v>
      </c>
      <c r="BZ168" s="131" t="s">
        <v>1059</v>
      </c>
      <c r="CA168" s="131" t="s">
        <v>1059</v>
      </c>
      <c r="CB168" s="131" t="s">
        <v>1059</v>
      </c>
      <c r="CC168" s="131" t="s">
        <v>1059</v>
      </c>
      <c r="CD168" s="131" t="s">
        <v>1059</v>
      </c>
      <c r="CE168" s="131" t="s">
        <v>1059</v>
      </c>
      <c r="CF168" s="131" t="s">
        <v>1059</v>
      </c>
    </row>
    <row r="169" spans="1:84" x14ac:dyDescent="0.25">
      <c r="A169" s="2" t="s">
        <v>129</v>
      </c>
      <c r="B169" s="2"/>
      <c r="C169" s="4"/>
      <c r="D169" s="4"/>
      <c r="E169" s="4"/>
      <c r="F169" s="4"/>
      <c r="G169" s="55"/>
      <c r="H169" s="4"/>
      <c r="I169" s="4"/>
      <c r="J169" s="4"/>
      <c r="K169" s="4"/>
      <c r="L169" s="55"/>
      <c r="M169" s="4"/>
      <c r="N169" s="4"/>
      <c r="O169" s="4"/>
      <c r="P169" s="4"/>
      <c r="Q169" s="55"/>
      <c r="R169" s="4"/>
      <c r="S169" s="4"/>
      <c r="T169" s="4"/>
      <c r="U169" s="4"/>
      <c r="V169" s="55"/>
      <c r="W169" s="4"/>
      <c r="X169" s="4"/>
      <c r="Y169" s="4"/>
      <c r="Z169" s="4"/>
      <c r="AA169" s="55"/>
      <c r="AB169" s="4"/>
      <c r="AC169" s="4"/>
      <c r="AD169" s="4"/>
      <c r="AE169" s="4"/>
      <c r="AF169" s="55"/>
      <c r="AG169" s="4"/>
      <c r="AH169" s="4"/>
      <c r="AI169" s="4"/>
      <c r="AJ169" s="4"/>
      <c r="AK169" s="55"/>
      <c r="AL169" s="112">
        <f t="shared" ref="AL169:AU169" si="207">AL158+AL165+AL167</f>
        <v>20.416748800000001</v>
      </c>
      <c r="AM169" s="112">
        <f t="shared" si="207"/>
        <v>20.575456800000001</v>
      </c>
      <c r="AN169" s="112">
        <f t="shared" si="207"/>
        <v>20.557826800000001</v>
      </c>
      <c r="AO169" s="34">
        <f t="shared" si="207"/>
        <v>20.382430800000002</v>
      </c>
      <c r="AP169" s="111">
        <f t="shared" si="207"/>
        <v>81.932463200000001</v>
      </c>
      <c r="AQ169" s="112">
        <f t="shared" si="207"/>
        <v>19.9990182676</v>
      </c>
      <c r="AR169" s="112">
        <f t="shared" si="207"/>
        <v>20.010428267599998</v>
      </c>
      <c r="AS169" s="112">
        <f t="shared" si="207"/>
        <v>19.856474267599999</v>
      </c>
      <c r="AT169" s="34">
        <f t="shared" si="207"/>
        <v>19.5634742676</v>
      </c>
      <c r="AU169" s="111">
        <f t="shared" si="207"/>
        <v>79.429395070400005</v>
      </c>
      <c r="AV169" s="112">
        <f t="shared" ref="AV169:BE169" si="208">AV158+AV165+AV167</f>
        <v>18.1472047293</v>
      </c>
      <c r="AW169" s="112">
        <f t="shared" si="208"/>
        <v>17.650406729299998</v>
      </c>
      <c r="AX169" s="112">
        <f t="shared" si="208"/>
        <v>17.705998729299999</v>
      </c>
      <c r="AY169" s="34">
        <f t="shared" si="208"/>
        <v>17.473526729299998</v>
      </c>
      <c r="AZ169" s="111">
        <f t="shared" si="208"/>
        <v>70.977136917199999</v>
      </c>
      <c r="BA169" s="112">
        <f t="shared" si="208"/>
        <v>16.48274768185</v>
      </c>
      <c r="BB169" s="112">
        <f t="shared" si="208"/>
        <v>16.397019681850001</v>
      </c>
      <c r="BC169" s="112">
        <f t="shared" si="208"/>
        <v>16.253365681849999</v>
      </c>
      <c r="BD169" s="34">
        <f t="shared" si="208"/>
        <v>16.31065168185</v>
      </c>
      <c r="BE169" s="111">
        <f t="shared" si="208"/>
        <v>65.443784727400001</v>
      </c>
      <c r="BF169" s="112">
        <f t="shared" ref="BF169:CF169" si="209">BF158+BF165+BF167</f>
        <v>17.014801088149998</v>
      </c>
      <c r="BG169" s="112">
        <f t="shared" si="209"/>
        <v>17.049973088149997</v>
      </c>
      <c r="BH169" s="112">
        <f t="shared" si="209"/>
        <v>17.101355088149997</v>
      </c>
      <c r="BI169" s="34">
        <f t="shared" si="209"/>
        <v>16.909179088149997</v>
      </c>
      <c r="BJ169" s="111">
        <f t="shared" si="209"/>
        <v>68.07530835259999</v>
      </c>
      <c r="BK169" s="112">
        <f t="shared" si="209"/>
        <v>17.587471694649999</v>
      </c>
      <c r="BL169" s="112">
        <f t="shared" si="209"/>
        <v>17.691961694649997</v>
      </c>
      <c r="BM169" s="112">
        <f t="shared" si="209"/>
        <v>17.739721694649997</v>
      </c>
      <c r="BN169" s="34">
        <f t="shared" si="209"/>
        <v>17.551085694649998</v>
      </c>
      <c r="BO169" s="111">
        <f t="shared" si="209"/>
        <v>70.570240778599995</v>
      </c>
      <c r="BP169" s="112">
        <f t="shared" si="209"/>
        <v>17.877013621899998</v>
      </c>
      <c r="BQ169" s="112">
        <f t="shared" si="209"/>
        <v>17.759327621899999</v>
      </c>
      <c r="BR169" s="112">
        <f>BR158+BR165+BR167</f>
        <v>17.875237621899998</v>
      </c>
      <c r="BS169" s="34">
        <f t="shared" si="209"/>
        <v>17.637975621899997</v>
      </c>
      <c r="BT169" s="111">
        <f t="shared" si="209"/>
        <v>71.1495544876</v>
      </c>
      <c r="BU169" s="112">
        <f>BU158+BU165+BU167</f>
        <v>17.802810682456041</v>
      </c>
      <c r="BV169" s="112">
        <f>BV158+BV165+BV167</f>
        <v>17.779379805856998</v>
      </c>
      <c r="BW169" s="112">
        <f>BW158+BW165+BW167</f>
        <v>17.951152845856999</v>
      </c>
      <c r="BX169" s="34">
        <f>BX158+BX165+BX167</f>
        <v>17.709145605856996</v>
      </c>
      <c r="BY169" s="111">
        <f t="shared" si="209"/>
        <v>71.24248894002703</v>
      </c>
      <c r="BZ169" s="111">
        <f t="shared" si="209"/>
        <v>73.061051163527708</v>
      </c>
      <c r="CA169" s="111">
        <f t="shared" si="209"/>
        <v>73.806661675162985</v>
      </c>
      <c r="CB169" s="111">
        <f t="shared" si="209"/>
        <v>70.04132859140482</v>
      </c>
      <c r="CC169" s="111">
        <f t="shared" si="209"/>
        <v>66.464262161834583</v>
      </c>
      <c r="CD169" s="111">
        <f t="shared" si="209"/>
        <v>67.823547405071281</v>
      </c>
      <c r="CE169" s="111">
        <f t="shared" si="209"/>
        <v>69.2100183531727</v>
      </c>
      <c r="CF169" s="111">
        <f t="shared" si="209"/>
        <v>70.624218720236144</v>
      </c>
    </row>
    <row r="170" spans="1:84" x14ac:dyDescent="0.25">
      <c r="A170" s="2"/>
      <c r="B170" s="2"/>
      <c r="C170" s="4"/>
      <c r="D170" s="4"/>
      <c r="E170" s="4"/>
      <c r="F170" s="4"/>
      <c r="G170" s="55"/>
      <c r="H170" s="4"/>
      <c r="I170" s="4"/>
      <c r="J170" s="4"/>
      <c r="K170" s="4"/>
      <c r="L170" s="55"/>
      <c r="M170" s="4"/>
      <c r="N170" s="4"/>
      <c r="O170" s="4"/>
      <c r="P170" s="4"/>
      <c r="Q170" s="55"/>
      <c r="R170" s="4"/>
      <c r="S170" s="4"/>
      <c r="T170" s="4"/>
      <c r="U170" s="4"/>
      <c r="V170" s="55"/>
      <c r="W170" s="4"/>
      <c r="X170" s="4"/>
      <c r="Y170" s="4"/>
      <c r="Z170" s="4"/>
      <c r="AA170" s="55"/>
      <c r="AB170" s="4"/>
      <c r="AC170" s="4"/>
      <c r="AD170" s="4"/>
      <c r="AE170" s="4"/>
      <c r="AF170" s="55"/>
      <c r="AG170" s="4"/>
      <c r="AH170" s="4"/>
      <c r="AI170" s="4"/>
      <c r="AJ170" s="4"/>
      <c r="AK170" s="55"/>
      <c r="AL170" s="34"/>
      <c r="AM170" s="112"/>
      <c r="AN170" s="112"/>
      <c r="AO170" s="34"/>
      <c r="AP170" s="111"/>
      <c r="AQ170" s="34"/>
      <c r="AR170" s="112"/>
      <c r="AS170" s="112"/>
      <c r="AT170" s="34"/>
      <c r="AU170" s="111"/>
      <c r="AV170" s="34"/>
      <c r="AW170" s="112"/>
      <c r="AX170" s="112"/>
      <c r="AY170" s="34"/>
      <c r="AZ170" s="111"/>
      <c r="BA170" s="34"/>
      <c r="BB170" s="112"/>
      <c r="BC170" s="112"/>
      <c r="BD170" s="34"/>
      <c r="BE170" s="111"/>
      <c r="BF170" s="34"/>
      <c r="BG170" s="112"/>
      <c r="BH170" s="112"/>
      <c r="BI170" s="34"/>
      <c r="BJ170" s="111"/>
      <c r="BK170" s="34"/>
      <c r="BL170" s="112"/>
      <c r="BM170" s="112"/>
      <c r="BN170" s="34"/>
      <c r="BO170" s="111"/>
      <c r="BP170" s="34"/>
      <c r="BQ170" s="112"/>
      <c r="BR170" s="112"/>
      <c r="BS170" s="34"/>
      <c r="BT170" s="111"/>
      <c r="BU170" s="34"/>
      <c r="BV170" s="112"/>
      <c r="BW170" s="112"/>
      <c r="BX170" s="34"/>
      <c r="BY170" s="111"/>
      <c r="BZ170" s="111"/>
      <c r="CA170" s="111"/>
      <c r="CB170" s="111"/>
      <c r="CC170" s="111"/>
      <c r="CD170" s="111"/>
      <c r="CE170" s="111"/>
      <c r="CF170" s="111"/>
    </row>
    <row r="171" spans="1:84" x14ac:dyDescent="0.25">
      <c r="A171" s="2"/>
      <c r="B171" s="71"/>
      <c r="C171" s="74"/>
      <c r="D171" s="74"/>
      <c r="E171" s="74"/>
      <c r="F171" s="74"/>
      <c r="G171" s="72"/>
      <c r="H171" s="74"/>
      <c r="I171" s="74"/>
      <c r="J171" s="74"/>
      <c r="K171" s="74"/>
      <c r="L171" s="72"/>
      <c r="M171" s="74"/>
      <c r="N171" s="74"/>
      <c r="O171" s="74"/>
      <c r="P171" s="74"/>
      <c r="Q171" s="72"/>
      <c r="R171" s="74"/>
      <c r="S171" s="74"/>
      <c r="T171" s="74"/>
      <c r="U171" s="74"/>
      <c r="V171" s="72"/>
      <c r="W171" s="74"/>
      <c r="X171" s="74"/>
      <c r="Y171" s="74"/>
      <c r="Z171" s="74"/>
      <c r="AA171" s="72"/>
      <c r="AB171" s="74"/>
      <c r="AC171" s="74"/>
      <c r="AD171" s="74"/>
      <c r="AE171" s="74"/>
      <c r="AF171" s="72"/>
      <c r="AG171" s="74"/>
      <c r="AH171" s="74"/>
      <c r="AI171" s="74"/>
      <c r="AJ171" s="74"/>
      <c r="AK171" s="72"/>
      <c r="AL171" s="74"/>
      <c r="AM171" s="74"/>
      <c r="AN171" s="74"/>
      <c r="AO171" s="74"/>
      <c r="AP171" s="72"/>
      <c r="AQ171" s="74"/>
      <c r="AR171" s="74"/>
      <c r="AS171" s="74"/>
      <c r="AT171" s="74"/>
      <c r="AU171" s="72"/>
      <c r="AV171" s="74"/>
      <c r="AW171" s="74"/>
      <c r="AX171" s="74"/>
      <c r="AY171" s="74"/>
      <c r="AZ171" s="72"/>
      <c r="BA171" s="74"/>
      <c r="BB171" s="74"/>
      <c r="BC171" s="74"/>
      <c r="BD171" s="74"/>
      <c r="BE171" s="72"/>
      <c r="BF171" s="74"/>
      <c r="BG171" s="74"/>
      <c r="BH171" s="74"/>
      <c r="BI171" s="74"/>
      <c r="BJ171" s="72"/>
      <c r="BK171" s="74"/>
      <c r="BL171" s="74"/>
      <c r="BM171" s="74"/>
      <c r="BN171" s="74"/>
      <c r="BO171" s="72"/>
      <c r="BP171" s="74"/>
      <c r="BQ171" s="74"/>
      <c r="BR171" s="74"/>
      <c r="BS171" s="74"/>
      <c r="BT171" s="72"/>
      <c r="BU171" s="74"/>
      <c r="BV171" s="74"/>
      <c r="BW171" s="74"/>
      <c r="BX171" s="74"/>
      <c r="BY171" s="72"/>
      <c r="BZ171" s="72"/>
      <c r="CA171" s="72"/>
      <c r="CB171" s="72"/>
      <c r="CC171" s="72"/>
      <c r="CD171" s="72"/>
      <c r="CE171" s="72"/>
      <c r="CF171" s="72"/>
    </row>
    <row r="172" spans="1:84" x14ac:dyDescent="0.25">
      <c r="A172" s="3" t="s">
        <v>131</v>
      </c>
      <c r="B172" s="2"/>
      <c r="C172" s="4"/>
      <c r="D172" s="4"/>
      <c r="E172" s="4"/>
      <c r="F172" s="4"/>
      <c r="G172" s="55"/>
      <c r="H172" s="4"/>
      <c r="I172" s="4"/>
      <c r="J172" s="4"/>
      <c r="K172" s="4"/>
      <c r="L172" s="55"/>
      <c r="M172" s="4"/>
      <c r="N172" s="4"/>
      <c r="O172" s="4"/>
      <c r="P172" s="4"/>
      <c r="Q172" s="55"/>
      <c r="R172" s="4"/>
      <c r="S172" s="4"/>
      <c r="T172" s="4"/>
      <c r="U172" s="4"/>
      <c r="V172" s="55"/>
      <c r="W172" s="4"/>
      <c r="X172" s="4"/>
      <c r="Y172" s="4"/>
      <c r="Z172" s="4"/>
      <c r="AA172" s="55"/>
      <c r="AB172" s="4"/>
      <c r="AC172" s="4"/>
      <c r="AD172" s="4"/>
      <c r="AE172" s="4"/>
      <c r="AF172" s="55"/>
      <c r="AG172" s="4"/>
      <c r="AH172" s="4"/>
      <c r="AI172" s="4"/>
      <c r="AJ172" s="4"/>
      <c r="AK172" s="55"/>
      <c r="AL172" s="4"/>
      <c r="AM172" s="4"/>
      <c r="AN172" s="4"/>
      <c r="AO172" s="4"/>
      <c r="AP172" s="55"/>
      <c r="AQ172" s="4"/>
      <c r="AR172" s="4"/>
      <c r="AS172" s="4"/>
      <c r="AT172" s="4"/>
      <c r="AU172" s="55"/>
      <c r="AV172" s="4"/>
      <c r="AW172" s="4"/>
      <c r="AX172" s="4"/>
      <c r="AY172" s="4"/>
      <c r="AZ172" s="55"/>
      <c r="BA172" s="4"/>
      <c r="BB172" s="4"/>
      <c r="BC172" s="4"/>
      <c r="BD172" s="4"/>
      <c r="BE172" s="55"/>
      <c r="BF172" s="4"/>
      <c r="BG172" s="4"/>
      <c r="BH172" s="4"/>
      <c r="BI172" s="4"/>
      <c r="BJ172" s="55"/>
      <c r="BK172" s="4"/>
      <c r="BL172" s="4"/>
      <c r="BM172" s="4"/>
      <c r="BN172" s="4"/>
      <c r="BO172" s="55"/>
      <c r="BP172" s="4"/>
      <c r="BQ172" s="4"/>
      <c r="BR172" s="4"/>
      <c r="BS172" s="4"/>
      <c r="BT172" s="55"/>
      <c r="BU172" s="4"/>
      <c r="BV172" s="4"/>
      <c r="BW172" s="4"/>
      <c r="BX172" s="4"/>
      <c r="BY172" s="55"/>
      <c r="BZ172" s="55"/>
      <c r="CA172" s="55"/>
      <c r="CB172" s="55"/>
      <c r="CC172" s="55"/>
      <c r="CD172" s="55"/>
      <c r="CE172" s="55"/>
      <c r="CF172" s="55"/>
    </row>
    <row r="173" spans="1:84" x14ac:dyDescent="0.25">
      <c r="A173" s="2" t="s">
        <v>2254</v>
      </c>
      <c r="B173" s="34"/>
      <c r="C173" s="34">
        <v>21.695</v>
      </c>
      <c r="D173" s="112">
        <v>20.939</v>
      </c>
      <c r="E173" s="112">
        <v>20.109000000000002</v>
      </c>
      <c r="F173" s="34">
        <v>20.196999999999999</v>
      </c>
      <c r="G173" s="111">
        <v>82.94</v>
      </c>
      <c r="H173" s="34">
        <v>24.521000000000001</v>
      </c>
      <c r="I173" s="34">
        <v>23.506</v>
      </c>
      <c r="J173" s="34">
        <v>23.685359000000002</v>
      </c>
      <c r="K173" s="34">
        <v>0</v>
      </c>
      <c r="L173" s="111">
        <v>0</v>
      </c>
      <c r="M173" s="34"/>
      <c r="N173" s="34"/>
      <c r="O173" s="34"/>
      <c r="P173" s="34"/>
      <c r="Q173" s="111"/>
      <c r="R173" s="34"/>
      <c r="S173" s="34"/>
      <c r="T173" s="34"/>
      <c r="U173" s="34"/>
      <c r="V173" s="111"/>
      <c r="W173" s="34"/>
      <c r="X173" s="34"/>
      <c r="Y173" s="34"/>
      <c r="Z173" s="34"/>
      <c r="AA173" s="111"/>
      <c r="AB173" s="34"/>
      <c r="AC173" s="34"/>
      <c r="AD173" s="34"/>
      <c r="AE173" s="34"/>
      <c r="AF173" s="111"/>
      <c r="AG173" s="34"/>
      <c r="AH173" s="34"/>
      <c r="AI173" s="34"/>
      <c r="AJ173" s="34"/>
      <c r="AK173" s="111"/>
      <c r="AL173" s="34"/>
      <c r="AM173" s="34"/>
      <c r="AN173" s="34"/>
      <c r="AO173" s="34"/>
      <c r="AP173" s="111"/>
      <c r="AQ173" s="34"/>
      <c r="AR173" s="34"/>
      <c r="AS173" s="34"/>
      <c r="AT173" s="34"/>
      <c r="AU173" s="111"/>
      <c r="AV173" s="34"/>
      <c r="AW173" s="34"/>
      <c r="AX173" s="34"/>
      <c r="AY173" s="34"/>
      <c r="AZ173" s="111"/>
      <c r="BA173" s="34"/>
      <c r="BB173" s="34"/>
      <c r="BC173" s="34"/>
      <c r="BD173" s="34"/>
      <c r="BE173" s="111"/>
      <c r="BF173" s="34"/>
      <c r="BG173" s="34"/>
      <c r="BH173" s="34"/>
      <c r="BI173" s="34"/>
      <c r="BJ173" s="111"/>
      <c r="BK173" s="34"/>
      <c r="BL173" s="34"/>
      <c r="BM173" s="34"/>
      <c r="BN173" s="34"/>
      <c r="BO173" s="111"/>
      <c r="BP173" s="34"/>
      <c r="BQ173" s="34"/>
      <c r="BR173" s="34"/>
      <c r="BS173" s="34"/>
      <c r="BT173" s="111"/>
      <c r="BU173" s="34"/>
      <c r="BV173" s="34"/>
      <c r="BW173" s="34"/>
      <c r="BX173" s="34"/>
      <c r="BY173" s="111"/>
      <c r="BZ173" s="111"/>
      <c r="CA173" s="111"/>
      <c r="CB173" s="111"/>
      <c r="CC173" s="111"/>
      <c r="CD173" s="111"/>
      <c r="CE173" s="111"/>
      <c r="CF173" s="111"/>
    </row>
    <row r="174" spans="1:84" x14ac:dyDescent="0.25">
      <c r="A174" s="2" t="s">
        <v>1057</v>
      </c>
      <c r="B174" s="33"/>
      <c r="C174" s="33">
        <v>287.209</v>
      </c>
      <c r="D174" s="140">
        <v>284.24700000000001</v>
      </c>
      <c r="E174" s="140">
        <v>291.74200000000002</v>
      </c>
      <c r="F174" s="33">
        <v>277.60000000000002</v>
      </c>
      <c r="G174" s="139">
        <v>1140.7980000000002</v>
      </c>
      <c r="H174" s="33">
        <v>287.209</v>
      </c>
      <c r="I174" s="33">
        <v>284.24700000000001</v>
      </c>
      <c r="J174" s="33">
        <v>315.77999999999997</v>
      </c>
      <c r="K174" s="33">
        <v>0</v>
      </c>
      <c r="L174" s="139">
        <v>0</v>
      </c>
      <c r="M174" s="33"/>
      <c r="N174" s="33"/>
      <c r="O174" s="33"/>
      <c r="P174" s="33"/>
      <c r="Q174" s="139"/>
      <c r="R174" s="33"/>
      <c r="S174" s="33"/>
      <c r="T174" s="33"/>
      <c r="U174" s="33"/>
      <c r="V174" s="139"/>
      <c r="W174" s="33"/>
      <c r="X174" s="33"/>
      <c r="Y174" s="33"/>
      <c r="Z174" s="33"/>
      <c r="AA174" s="139"/>
      <c r="AB174" s="120"/>
      <c r="AC174" s="120"/>
      <c r="AD174" s="120"/>
      <c r="AE174" s="120"/>
      <c r="AF174" s="121"/>
      <c r="AG174" s="120"/>
      <c r="AH174" s="120"/>
      <c r="AI174" s="120"/>
      <c r="AJ174" s="120"/>
      <c r="AK174" s="121"/>
      <c r="AL174" s="120"/>
      <c r="AM174" s="120"/>
      <c r="AN174" s="120"/>
      <c r="AO174" s="120"/>
      <c r="AP174" s="121"/>
      <c r="AQ174" s="120"/>
      <c r="AR174" s="120"/>
      <c r="AS174" s="120"/>
      <c r="AT174" s="120"/>
      <c r="AU174" s="121"/>
      <c r="AV174" s="120"/>
      <c r="AW174" s="120"/>
      <c r="AX174" s="120"/>
      <c r="AY174" s="120"/>
      <c r="AZ174" s="121"/>
      <c r="BA174" s="120"/>
      <c r="BB174" s="120"/>
      <c r="BC174" s="120"/>
      <c r="BD174" s="120"/>
      <c r="BE174" s="121"/>
      <c r="BF174" s="120"/>
      <c r="BG174" s="120"/>
      <c r="BH174" s="120"/>
      <c r="BI174" s="120"/>
      <c r="BJ174" s="121"/>
      <c r="BK174" s="120"/>
      <c r="BL174" s="120"/>
      <c r="BM174" s="120"/>
      <c r="BN174" s="120"/>
      <c r="BO174" s="121"/>
      <c r="BP174" s="120"/>
      <c r="BQ174" s="120"/>
      <c r="BR174" s="120"/>
      <c r="BS174" s="120"/>
      <c r="BT174" s="121"/>
      <c r="BU174" s="120"/>
      <c r="BV174" s="120"/>
      <c r="BW174" s="120"/>
      <c r="BX174" s="120"/>
      <c r="BY174" s="121"/>
      <c r="BZ174" s="121"/>
      <c r="CA174" s="121"/>
      <c r="CB174" s="121"/>
      <c r="CC174" s="121"/>
      <c r="CD174" s="121"/>
      <c r="CE174" s="121"/>
      <c r="CF174" s="121"/>
    </row>
    <row r="175" spans="1:84" x14ac:dyDescent="0.25">
      <c r="A175" s="2"/>
      <c r="B175" s="7"/>
      <c r="C175" s="76"/>
      <c r="D175" s="129"/>
      <c r="E175" s="129"/>
      <c r="F175" s="129"/>
      <c r="G175" s="128"/>
      <c r="H175" s="76"/>
      <c r="I175" s="129"/>
      <c r="J175" s="129"/>
      <c r="K175" s="129"/>
      <c r="L175" s="128"/>
      <c r="M175" s="76"/>
      <c r="N175" s="129"/>
      <c r="O175" s="129"/>
      <c r="P175" s="129"/>
      <c r="Q175" s="128"/>
      <c r="R175" s="76"/>
      <c r="S175" s="129"/>
      <c r="T175" s="129"/>
      <c r="U175" s="129"/>
      <c r="V175" s="128"/>
      <c r="W175" s="76"/>
      <c r="X175" s="129"/>
      <c r="Y175" s="129"/>
      <c r="Z175" s="129"/>
      <c r="AA175" s="128"/>
      <c r="AB175" s="76"/>
      <c r="AC175" s="129"/>
      <c r="AD175" s="129"/>
      <c r="AE175" s="129"/>
      <c r="AF175" s="128"/>
      <c r="AG175" s="76"/>
      <c r="AH175" s="129"/>
      <c r="AI175" s="129"/>
      <c r="AJ175" s="129"/>
      <c r="AK175" s="128"/>
      <c r="AL175" s="76"/>
      <c r="AM175" s="129"/>
      <c r="AN175" s="129"/>
      <c r="AO175" s="129"/>
      <c r="AP175" s="128"/>
      <c r="AQ175" s="76"/>
      <c r="AR175" s="129"/>
      <c r="AS175" s="129"/>
      <c r="AT175" s="129"/>
      <c r="AU175" s="128"/>
      <c r="AV175" s="76"/>
      <c r="AW175" s="129"/>
      <c r="AX175" s="129"/>
      <c r="AY175" s="129"/>
      <c r="AZ175" s="128"/>
      <c r="BA175" s="76"/>
      <c r="BB175" s="129"/>
      <c r="BC175" s="129"/>
      <c r="BD175" s="129"/>
      <c r="BE175" s="128"/>
      <c r="BF175" s="76"/>
      <c r="BG175" s="129"/>
      <c r="BH175" s="129"/>
      <c r="BI175" s="129"/>
      <c r="BJ175" s="128"/>
      <c r="BK175" s="76"/>
      <c r="BL175" s="129"/>
      <c r="BM175" s="129"/>
      <c r="BN175" s="129"/>
      <c r="BO175" s="128"/>
      <c r="BP175" s="76"/>
      <c r="BQ175" s="129"/>
      <c r="BR175" s="129"/>
      <c r="BS175" s="129"/>
      <c r="BT175" s="128"/>
      <c r="BU175" s="76"/>
      <c r="BV175" s="129"/>
      <c r="BW175" s="129"/>
      <c r="BX175" s="129"/>
      <c r="BY175" s="128"/>
      <c r="BZ175" s="128"/>
      <c r="CA175" s="128"/>
      <c r="CB175" s="128"/>
      <c r="CC175" s="128"/>
      <c r="CD175" s="128"/>
      <c r="CE175" s="128"/>
      <c r="CF175" s="128"/>
    </row>
    <row r="176" spans="1:84" x14ac:dyDescent="0.25">
      <c r="A176" s="2" t="s">
        <v>1058</v>
      </c>
      <c r="B176" s="36"/>
      <c r="C176" s="36"/>
      <c r="D176" s="133"/>
      <c r="E176" s="133"/>
      <c r="F176" s="36"/>
      <c r="G176" s="132"/>
      <c r="H176" s="36"/>
      <c r="I176" s="133"/>
      <c r="J176" s="133"/>
      <c r="K176" s="36"/>
      <c r="L176" s="132"/>
      <c r="M176" s="36"/>
      <c r="N176" s="133"/>
      <c r="O176" s="133"/>
      <c r="P176" s="36"/>
      <c r="Q176" s="132"/>
      <c r="R176" s="36"/>
      <c r="S176" s="133"/>
      <c r="T176" s="133"/>
      <c r="U176" s="36"/>
      <c r="V176" s="132"/>
      <c r="W176" s="36"/>
      <c r="X176" s="133"/>
      <c r="Y176" s="133"/>
      <c r="Z176" s="36"/>
      <c r="AA176" s="132"/>
      <c r="AB176" s="36"/>
      <c r="AC176" s="133"/>
      <c r="AD176" s="133"/>
      <c r="AE176" s="36"/>
      <c r="AF176" s="132"/>
      <c r="AG176" s="36"/>
      <c r="AH176" s="133"/>
      <c r="AI176" s="133"/>
      <c r="AJ176" s="36"/>
      <c r="AK176" s="132"/>
      <c r="AL176" s="36"/>
      <c r="AM176" s="133"/>
      <c r="AN176" s="133"/>
      <c r="AO176" s="36"/>
      <c r="AP176" s="132"/>
      <c r="AQ176" s="36"/>
      <c r="AR176" s="133"/>
      <c r="AS176" s="133"/>
      <c r="AT176" s="36"/>
      <c r="AU176" s="132"/>
      <c r="AV176" s="36"/>
      <c r="AW176" s="133"/>
      <c r="AX176" s="133"/>
      <c r="AY176" s="36"/>
      <c r="AZ176" s="132"/>
      <c r="BA176" s="36"/>
      <c r="BB176" s="133"/>
      <c r="BC176" s="133"/>
      <c r="BD176" s="36"/>
      <c r="BE176" s="132"/>
      <c r="BF176" s="36"/>
      <c r="BG176" s="133"/>
      <c r="BH176" s="133"/>
      <c r="BI176" s="36"/>
      <c r="BJ176" s="132"/>
      <c r="BK176" s="36"/>
      <c r="BL176" s="133"/>
      <c r="BM176" s="133"/>
      <c r="BN176" s="36"/>
      <c r="BO176" s="132"/>
      <c r="BP176" s="36"/>
      <c r="BQ176" s="133"/>
      <c r="BR176" s="133"/>
      <c r="BS176" s="36"/>
      <c r="BT176" s="132"/>
      <c r="BU176" s="36"/>
      <c r="BV176" s="133"/>
      <c r="BW176" s="133"/>
      <c r="BX176" s="36"/>
      <c r="BY176" s="132"/>
      <c r="BZ176" s="132"/>
      <c r="CA176" s="132"/>
      <c r="CB176" s="132"/>
      <c r="CC176" s="132"/>
      <c r="CD176" s="132"/>
      <c r="CE176" s="132"/>
      <c r="CF176" s="132"/>
    </row>
    <row r="177" spans="1:84" x14ac:dyDescent="0.25">
      <c r="A177" s="2" t="s">
        <v>128</v>
      </c>
      <c r="B177" s="7"/>
      <c r="C177" s="7"/>
      <c r="D177" s="129"/>
      <c r="E177" s="129"/>
      <c r="F177" s="7"/>
      <c r="G177" s="128"/>
      <c r="H177" s="7"/>
      <c r="I177" s="129"/>
      <c r="J177" s="129"/>
      <c r="K177" s="7"/>
      <c r="L177" s="128"/>
      <c r="M177" s="7"/>
      <c r="N177" s="129"/>
      <c r="O177" s="129"/>
      <c r="P177" s="7"/>
      <c r="Q177" s="128"/>
      <c r="R177" s="7"/>
      <c r="S177" s="129"/>
      <c r="T177" s="129"/>
      <c r="U177" s="7"/>
      <c r="V177" s="128"/>
      <c r="W177" s="7"/>
      <c r="X177" s="129"/>
      <c r="Y177" s="129"/>
      <c r="Z177" s="7"/>
      <c r="AA177" s="128"/>
      <c r="AB177" s="7"/>
      <c r="AC177" s="129"/>
      <c r="AD177" s="129"/>
      <c r="AE177" s="7"/>
      <c r="AF177" s="128"/>
      <c r="AG177" s="7"/>
      <c r="AH177" s="129"/>
      <c r="AI177" s="129"/>
      <c r="AJ177" s="7"/>
      <c r="AK177" s="128"/>
      <c r="AL177" s="7"/>
      <c r="AM177" s="129"/>
      <c r="AN177" s="129"/>
      <c r="AO177" s="7"/>
      <c r="AP177" s="128"/>
      <c r="AQ177" s="7"/>
      <c r="AR177" s="129"/>
      <c r="AS177" s="129"/>
      <c r="AT177" s="7"/>
      <c r="AU177" s="128"/>
      <c r="AV177" s="7"/>
      <c r="AW177" s="129"/>
      <c r="AX177" s="129"/>
      <c r="AY177" s="7"/>
      <c r="AZ177" s="128"/>
      <c r="BA177" s="7"/>
      <c r="BB177" s="129"/>
      <c r="BC177" s="129"/>
      <c r="BD177" s="7"/>
      <c r="BE177" s="128"/>
      <c r="BF177" s="7"/>
      <c r="BG177" s="129"/>
      <c r="BH177" s="129"/>
      <c r="BI177" s="7"/>
      <c r="BJ177" s="128"/>
      <c r="BK177" s="7"/>
      <c r="BL177" s="129"/>
      <c r="BM177" s="129"/>
      <c r="BN177" s="7"/>
      <c r="BO177" s="128"/>
      <c r="BP177" s="7"/>
      <c r="BQ177" s="129"/>
      <c r="BR177" s="129"/>
      <c r="BS177" s="7"/>
      <c r="BT177" s="128"/>
      <c r="BU177" s="7"/>
      <c r="BV177" s="129"/>
      <c r="BW177" s="129"/>
      <c r="BX177" s="7"/>
      <c r="BY177" s="128"/>
      <c r="BZ177" s="128"/>
      <c r="CA177" s="128"/>
      <c r="CB177" s="128"/>
      <c r="CC177" s="128"/>
      <c r="CD177" s="128"/>
      <c r="CE177" s="128"/>
      <c r="CF177" s="128"/>
    </row>
    <row r="178" spans="1:84" ht="5.25" customHeight="1" x14ac:dyDescent="0.25">
      <c r="A178" s="2"/>
      <c r="B178" s="130"/>
      <c r="C178" s="130" t="s">
        <v>1059</v>
      </c>
      <c r="D178" s="130" t="s">
        <v>1059</v>
      </c>
      <c r="E178" s="130" t="s">
        <v>1059</v>
      </c>
      <c r="F178" s="130" t="s">
        <v>1059</v>
      </c>
      <c r="G178" s="131" t="s">
        <v>1059</v>
      </c>
      <c r="H178" s="130" t="s">
        <v>1059</v>
      </c>
      <c r="I178" s="130" t="s">
        <v>1059</v>
      </c>
      <c r="J178" s="130" t="s">
        <v>1059</v>
      </c>
      <c r="K178" s="130" t="s">
        <v>1059</v>
      </c>
      <c r="L178" s="131" t="s">
        <v>1059</v>
      </c>
      <c r="M178" s="130"/>
      <c r="N178" s="130"/>
      <c r="O178" s="130"/>
      <c r="P178" s="130"/>
      <c r="Q178" s="131"/>
      <c r="R178" s="130"/>
      <c r="S178" s="130"/>
      <c r="T178" s="130"/>
      <c r="U178" s="130"/>
      <c r="V178" s="131"/>
      <c r="W178" s="130"/>
      <c r="X178" s="130"/>
      <c r="Y178" s="130"/>
      <c r="Z178" s="130"/>
      <c r="AA178" s="131"/>
      <c r="AB178" s="130"/>
      <c r="AC178" s="130"/>
      <c r="AD178" s="130"/>
      <c r="AE178" s="130"/>
      <c r="AF178" s="131"/>
      <c r="AG178" s="130"/>
      <c r="AH178" s="130"/>
      <c r="AI178" s="130"/>
      <c r="AJ178" s="130"/>
      <c r="AK178" s="131"/>
      <c r="AL178" s="130"/>
      <c r="AM178" s="130"/>
      <c r="AN178" s="130"/>
      <c r="AO178" s="130"/>
      <c r="AP178" s="131"/>
      <c r="AQ178" s="130"/>
      <c r="AR178" s="130"/>
      <c r="AS178" s="130"/>
      <c r="AT178" s="130"/>
      <c r="AU178" s="131"/>
      <c r="AV178" s="130"/>
      <c r="AW178" s="130"/>
      <c r="AX178" s="130"/>
      <c r="AY178" s="130"/>
      <c r="AZ178" s="131"/>
      <c r="BA178" s="130"/>
      <c r="BB178" s="130"/>
      <c r="BC178" s="130"/>
      <c r="BD178" s="130"/>
      <c r="BE178" s="131"/>
      <c r="BF178" s="130"/>
      <c r="BG178" s="130"/>
      <c r="BH178" s="130"/>
      <c r="BI178" s="130"/>
      <c r="BJ178" s="131"/>
      <c r="BK178" s="130"/>
      <c r="BL178" s="130"/>
      <c r="BM178" s="130"/>
      <c r="BN178" s="130"/>
      <c r="BO178" s="131"/>
      <c r="BP178" s="130"/>
      <c r="BQ178" s="130"/>
      <c r="BR178" s="130"/>
      <c r="BS178" s="130"/>
      <c r="BT178" s="131"/>
      <c r="BU178" s="130"/>
      <c r="BV178" s="130"/>
      <c r="BW178" s="130"/>
      <c r="BX178" s="130"/>
      <c r="BY178" s="131"/>
      <c r="BZ178" s="131"/>
      <c r="CA178" s="131"/>
      <c r="CB178" s="131"/>
      <c r="CC178" s="131"/>
      <c r="CD178" s="131"/>
      <c r="CE178" s="131"/>
      <c r="CF178" s="131"/>
    </row>
    <row r="179" spans="1:84" x14ac:dyDescent="0.25">
      <c r="A179" s="2" t="s">
        <v>129</v>
      </c>
      <c r="B179" s="34"/>
      <c r="C179" s="34">
        <f t="shared" ref="C179:L179" si="210">C176+C177</f>
        <v>0</v>
      </c>
      <c r="D179" s="112">
        <f t="shared" si="210"/>
        <v>0</v>
      </c>
      <c r="E179" s="112">
        <f t="shared" si="210"/>
        <v>0</v>
      </c>
      <c r="F179" s="34">
        <f t="shared" si="210"/>
        <v>0</v>
      </c>
      <c r="G179" s="111">
        <f t="shared" si="210"/>
        <v>0</v>
      </c>
      <c r="H179" s="34">
        <f t="shared" si="210"/>
        <v>0</v>
      </c>
      <c r="I179" s="112">
        <f t="shared" si="210"/>
        <v>0</v>
      </c>
      <c r="J179" s="112">
        <f t="shared" si="210"/>
        <v>0</v>
      </c>
      <c r="K179" s="34">
        <f t="shared" si="210"/>
        <v>0</v>
      </c>
      <c r="L179" s="111">
        <f t="shared" si="210"/>
        <v>0</v>
      </c>
      <c r="M179" s="34"/>
      <c r="N179" s="112"/>
      <c r="O179" s="112"/>
      <c r="P179" s="34"/>
      <c r="Q179" s="111"/>
      <c r="R179" s="34"/>
      <c r="S179" s="112"/>
      <c r="T179" s="112"/>
      <c r="U179" s="34"/>
      <c r="V179" s="111"/>
      <c r="W179" s="34"/>
      <c r="X179" s="112"/>
      <c r="Y179" s="112"/>
      <c r="Z179" s="34"/>
      <c r="AA179" s="111"/>
      <c r="AB179" s="34"/>
      <c r="AC179" s="112"/>
      <c r="AD179" s="112"/>
      <c r="AE179" s="34"/>
      <c r="AF179" s="111"/>
      <c r="AG179" s="34"/>
      <c r="AH179" s="112"/>
      <c r="AI179" s="112"/>
      <c r="AJ179" s="34"/>
      <c r="AK179" s="111"/>
      <c r="AL179" s="34"/>
      <c r="AM179" s="112"/>
      <c r="AN179" s="112"/>
      <c r="AO179" s="34"/>
      <c r="AP179" s="111"/>
      <c r="AQ179" s="34"/>
      <c r="AR179" s="112"/>
      <c r="AS179" s="112"/>
      <c r="AT179" s="34"/>
      <c r="AU179" s="111"/>
      <c r="AV179" s="34"/>
      <c r="AW179" s="112"/>
      <c r="AX179" s="112"/>
      <c r="AY179" s="34"/>
      <c r="AZ179" s="111"/>
      <c r="BA179" s="34"/>
      <c r="BB179" s="112"/>
      <c r="BC179" s="112"/>
      <c r="BD179" s="34"/>
      <c r="BE179" s="111"/>
      <c r="BF179" s="34"/>
      <c r="BG179" s="112"/>
      <c r="BH179" s="112"/>
      <c r="BI179" s="34"/>
      <c r="BJ179" s="111"/>
      <c r="BK179" s="34"/>
      <c r="BL179" s="112"/>
      <c r="BM179" s="112"/>
      <c r="BN179" s="34"/>
      <c r="BO179" s="111"/>
      <c r="BP179" s="34"/>
      <c r="BQ179" s="112"/>
      <c r="BR179" s="112"/>
      <c r="BS179" s="34"/>
      <c r="BT179" s="111"/>
      <c r="BU179" s="34"/>
      <c r="BV179" s="112"/>
      <c r="BW179" s="112"/>
      <c r="BX179" s="34"/>
      <c r="BY179" s="111"/>
      <c r="BZ179" s="111"/>
      <c r="CA179" s="111"/>
      <c r="CB179" s="111"/>
      <c r="CC179" s="111"/>
      <c r="CD179" s="111"/>
      <c r="CE179" s="111"/>
      <c r="CF179" s="111"/>
    </row>
    <row r="180" spans="1:84" x14ac:dyDescent="0.25">
      <c r="A180" s="2"/>
      <c r="B180" s="34"/>
      <c r="C180" s="34"/>
      <c r="D180" s="112"/>
      <c r="E180" s="112"/>
      <c r="F180" s="34"/>
      <c r="G180" s="111"/>
      <c r="H180" s="34"/>
      <c r="I180" s="112"/>
      <c r="J180" s="112"/>
      <c r="K180" s="34"/>
      <c r="L180" s="111"/>
      <c r="M180" s="34"/>
      <c r="N180" s="112"/>
      <c r="O180" s="112"/>
      <c r="P180" s="34"/>
      <c r="Q180" s="111"/>
      <c r="R180" s="34"/>
      <c r="S180" s="112"/>
      <c r="T180" s="112"/>
      <c r="U180" s="34"/>
      <c r="V180" s="111"/>
      <c r="W180" s="34"/>
      <c r="X180" s="112"/>
      <c r="Y180" s="112"/>
      <c r="Z180" s="34"/>
      <c r="AA180" s="111"/>
      <c r="AB180" s="34"/>
      <c r="AC180" s="112"/>
      <c r="AD180" s="112"/>
      <c r="AE180" s="34"/>
      <c r="AF180" s="111"/>
      <c r="AG180" s="34"/>
      <c r="AH180" s="112"/>
      <c r="AI180" s="112"/>
      <c r="AJ180" s="34"/>
      <c r="AK180" s="111"/>
      <c r="AL180" s="34"/>
      <c r="AM180" s="112"/>
      <c r="AN180" s="112"/>
      <c r="AO180" s="34"/>
      <c r="AP180" s="111"/>
      <c r="AQ180" s="34"/>
      <c r="AR180" s="112"/>
      <c r="AS180" s="112"/>
      <c r="AT180" s="34"/>
      <c r="AU180" s="111"/>
      <c r="AV180" s="34"/>
      <c r="AW180" s="112"/>
      <c r="AX180" s="112"/>
      <c r="AY180" s="34"/>
      <c r="AZ180" s="111"/>
      <c r="BA180" s="34"/>
      <c r="BB180" s="112"/>
      <c r="BC180" s="112"/>
      <c r="BD180" s="34"/>
      <c r="BE180" s="111"/>
      <c r="BF180" s="34"/>
      <c r="BG180" s="112"/>
      <c r="BH180" s="112"/>
      <c r="BI180" s="34"/>
      <c r="BJ180" s="111"/>
      <c r="BK180" s="34"/>
      <c r="BL180" s="112"/>
      <c r="BM180" s="112"/>
      <c r="BN180" s="34"/>
      <c r="BO180" s="111"/>
      <c r="BP180" s="34"/>
      <c r="BQ180" s="112"/>
      <c r="BR180" s="112"/>
      <c r="BS180" s="34"/>
      <c r="BT180" s="111"/>
      <c r="BU180" s="34"/>
      <c r="BV180" s="112"/>
      <c r="BW180" s="112"/>
      <c r="BX180" s="34"/>
      <c r="BY180" s="111"/>
      <c r="BZ180" s="111"/>
      <c r="CA180" s="111"/>
      <c r="CB180" s="111"/>
      <c r="CC180" s="111"/>
      <c r="CD180" s="111"/>
      <c r="CE180" s="111"/>
      <c r="CF180" s="111"/>
    </row>
    <row r="181" spans="1:84" x14ac:dyDescent="0.25">
      <c r="A181" s="2"/>
      <c r="B181" s="34"/>
      <c r="C181" s="34"/>
      <c r="D181" s="112"/>
      <c r="E181" s="112"/>
      <c r="F181" s="34"/>
      <c r="G181" s="111"/>
      <c r="H181" s="34"/>
      <c r="I181" s="112"/>
      <c r="J181" s="112"/>
      <c r="K181" s="34"/>
      <c r="L181" s="111"/>
      <c r="M181" s="34"/>
      <c r="N181" s="112"/>
      <c r="O181" s="112"/>
      <c r="P181" s="34"/>
      <c r="Q181" s="111"/>
      <c r="R181" s="34"/>
      <c r="S181" s="112"/>
      <c r="T181" s="112"/>
      <c r="U181" s="34"/>
      <c r="V181" s="111"/>
      <c r="W181" s="34"/>
      <c r="X181" s="112"/>
      <c r="Y181" s="112"/>
      <c r="Z181" s="34"/>
      <c r="AA181" s="111"/>
      <c r="AB181" s="34"/>
      <c r="AC181" s="112"/>
      <c r="AD181" s="112"/>
      <c r="AE181" s="34"/>
      <c r="AF181" s="111"/>
      <c r="AG181" s="34"/>
      <c r="AH181" s="112"/>
      <c r="AI181" s="112"/>
      <c r="AJ181" s="34"/>
      <c r="AK181" s="111"/>
      <c r="AL181" s="34"/>
      <c r="AM181" s="112"/>
      <c r="AN181" s="112"/>
      <c r="AO181" s="34"/>
      <c r="AP181" s="111"/>
      <c r="AQ181" s="34"/>
      <c r="AR181" s="112"/>
      <c r="AS181" s="112"/>
      <c r="AT181" s="34"/>
      <c r="AU181" s="111"/>
      <c r="AV181" s="34"/>
      <c r="AW181" s="112"/>
      <c r="AX181" s="112"/>
      <c r="AY181" s="34"/>
      <c r="AZ181" s="111"/>
      <c r="BA181" s="34"/>
      <c r="BB181" s="112"/>
      <c r="BC181" s="112"/>
      <c r="BD181" s="34"/>
      <c r="BE181" s="111"/>
      <c r="BF181" s="34"/>
      <c r="BG181" s="112"/>
      <c r="BH181" s="112"/>
      <c r="BI181" s="34"/>
      <c r="BJ181" s="111"/>
      <c r="BK181" s="34"/>
      <c r="BL181" s="112"/>
      <c r="BM181" s="112"/>
      <c r="BN181" s="34"/>
      <c r="BO181" s="111"/>
      <c r="BP181" s="34"/>
      <c r="BQ181" s="112"/>
      <c r="BR181" s="112"/>
      <c r="BS181" s="34"/>
      <c r="BT181" s="111"/>
      <c r="BU181" s="34"/>
      <c r="BV181" s="112"/>
      <c r="BW181" s="112"/>
      <c r="BX181" s="34"/>
      <c r="BY181" s="111"/>
      <c r="BZ181" s="111"/>
      <c r="CA181" s="111"/>
      <c r="CB181" s="111"/>
      <c r="CC181" s="111"/>
      <c r="CD181" s="111"/>
      <c r="CE181" s="111"/>
      <c r="CF181" s="111"/>
    </row>
    <row r="182" spans="1:84" x14ac:dyDescent="0.25">
      <c r="A182" s="75" t="s">
        <v>132</v>
      </c>
      <c r="B182" s="2"/>
      <c r="C182" s="4"/>
      <c r="D182" s="4"/>
      <c r="E182" s="4"/>
      <c r="F182" s="4"/>
      <c r="G182" s="55"/>
      <c r="H182" s="4"/>
      <c r="I182" s="4"/>
      <c r="J182" s="4"/>
      <c r="K182" s="4"/>
      <c r="L182" s="55"/>
      <c r="M182" s="4"/>
      <c r="N182" s="4"/>
      <c r="O182" s="4"/>
      <c r="P182" s="4"/>
      <c r="Q182" s="55"/>
      <c r="R182" s="4"/>
      <c r="S182" s="4"/>
      <c r="T182" s="4"/>
      <c r="U182" s="4"/>
      <c r="V182" s="55"/>
      <c r="W182" s="4"/>
      <c r="X182" s="4"/>
      <c r="Y182" s="4"/>
      <c r="Z182" s="4"/>
      <c r="AA182" s="55"/>
      <c r="AB182" s="4"/>
      <c r="AC182" s="4"/>
      <c r="AD182" s="4"/>
      <c r="AE182" s="4"/>
      <c r="AF182" s="55"/>
      <c r="AG182" s="4"/>
      <c r="AH182" s="4"/>
      <c r="AI182" s="4"/>
      <c r="AJ182" s="4"/>
      <c r="AK182" s="55"/>
      <c r="AL182" s="4"/>
      <c r="AM182" s="4"/>
      <c r="AN182" s="4"/>
      <c r="AO182" s="4"/>
      <c r="AP182" s="55"/>
      <c r="AQ182" s="4"/>
      <c r="AR182" s="4"/>
      <c r="AS182" s="4"/>
      <c r="AT182" s="4"/>
      <c r="AU182" s="55"/>
      <c r="AV182" s="4"/>
      <c r="AW182" s="4"/>
      <c r="AX182" s="4"/>
      <c r="AY182" s="4"/>
      <c r="AZ182" s="55"/>
      <c r="BA182" s="4"/>
      <c r="BB182" s="4"/>
      <c r="BC182" s="4"/>
      <c r="BD182" s="4"/>
      <c r="BE182" s="55"/>
      <c r="BF182" s="4"/>
      <c r="BG182" s="4"/>
      <c r="BH182" s="4"/>
      <c r="BI182" s="4"/>
      <c r="BJ182" s="55"/>
      <c r="BK182" s="4"/>
      <c r="BL182" s="4"/>
      <c r="BM182" s="4"/>
      <c r="BN182" s="4"/>
      <c r="BO182" s="55"/>
      <c r="BP182" s="4"/>
      <c r="BQ182" s="4"/>
      <c r="BR182" s="4"/>
      <c r="BS182" s="4"/>
      <c r="BT182" s="55"/>
      <c r="BU182" s="4"/>
      <c r="BV182" s="4"/>
      <c r="BW182" s="4"/>
      <c r="BX182" s="4"/>
      <c r="BY182" s="55"/>
      <c r="BZ182" s="55"/>
      <c r="CA182" s="55"/>
      <c r="CB182" s="55"/>
      <c r="CC182" s="55"/>
      <c r="CD182" s="55"/>
      <c r="CE182" s="55"/>
      <c r="CF182" s="55"/>
    </row>
    <row r="183" spans="1:84" x14ac:dyDescent="0.25">
      <c r="A183" s="2" t="s">
        <v>620</v>
      </c>
      <c r="B183" s="9"/>
      <c r="C183" s="167">
        <v>0.215</v>
      </c>
      <c r="D183" s="1744">
        <v>0.215</v>
      </c>
      <c r="E183" s="1744">
        <v>0.215</v>
      </c>
      <c r="F183" s="167">
        <v>0.215</v>
      </c>
      <c r="G183" s="1745">
        <v>0.215</v>
      </c>
      <c r="H183" s="167">
        <v>0.215</v>
      </c>
      <c r="I183" s="1744">
        <v>0.215</v>
      </c>
      <c r="J183" s="1744">
        <v>0.215</v>
      </c>
      <c r="K183" s="167">
        <v>0.215</v>
      </c>
      <c r="L183" s="1745">
        <v>0.215</v>
      </c>
      <c r="M183" s="167">
        <v>0.215</v>
      </c>
      <c r="N183" s="1744">
        <v>0.215</v>
      </c>
      <c r="O183" s="1744">
        <v>0.215</v>
      </c>
      <c r="P183" s="167">
        <v>0.215</v>
      </c>
      <c r="Q183" s="1745">
        <v>0.215</v>
      </c>
      <c r="R183" s="167">
        <v>0.215</v>
      </c>
      <c r="S183" s="1744">
        <v>0.215</v>
      </c>
      <c r="T183" s="1744">
        <v>0.215</v>
      </c>
      <c r="U183" s="167">
        <v>0.215</v>
      </c>
      <c r="V183" s="1745">
        <v>0.215</v>
      </c>
      <c r="W183" s="167">
        <v>0.215</v>
      </c>
      <c r="X183" s="1744">
        <v>0.215</v>
      </c>
      <c r="Y183" s="1744">
        <v>0.215</v>
      </c>
      <c r="Z183" s="167">
        <v>0.215</v>
      </c>
      <c r="AA183" s="1745">
        <v>0.215</v>
      </c>
      <c r="AB183" s="1744">
        <v>0.23</v>
      </c>
      <c r="AC183" s="1744">
        <v>0.23</v>
      </c>
      <c r="AD183" s="1744">
        <v>0.23</v>
      </c>
      <c r="AE183" s="1744">
        <v>0.23</v>
      </c>
      <c r="AF183" s="1745">
        <v>0.23</v>
      </c>
      <c r="AG183" s="1744">
        <v>0.23</v>
      </c>
      <c r="AH183" s="1744">
        <v>0.23</v>
      </c>
      <c r="AI183" s="1744">
        <v>0.23</v>
      </c>
      <c r="AJ183" s="1744">
        <v>0.23</v>
      </c>
      <c r="AK183" s="1745">
        <v>0.23</v>
      </c>
      <c r="AL183" s="1744">
        <v>0.23</v>
      </c>
      <c r="AM183" s="1744">
        <v>0.23</v>
      </c>
      <c r="AN183" s="1744">
        <v>0.23</v>
      </c>
      <c r="AO183" s="1744">
        <v>0.23</v>
      </c>
      <c r="AP183" s="1745">
        <v>0.23</v>
      </c>
      <c r="AQ183" s="1744">
        <v>0.23</v>
      </c>
      <c r="AR183" s="1744">
        <v>0.23</v>
      </c>
      <c r="AS183" s="1744">
        <v>0.23</v>
      </c>
      <c r="AT183" s="226">
        <v>0.23</v>
      </c>
      <c r="AU183" s="227">
        <v>0.23</v>
      </c>
      <c r="AV183" s="226">
        <v>0.23</v>
      </c>
      <c r="AW183" s="226">
        <v>0.23</v>
      </c>
      <c r="AX183" s="226">
        <v>0.23</v>
      </c>
      <c r="AY183" s="226">
        <v>0.23</v>
      </c>
      <c r="AZ183" s="227">
        <v>0.23</v>
      </c>
      <c r="BA183" s="226">
        <v>0.23</v>
      </c>
      <c r="BB183" s="226">
        <v>0.23</v>
      </c>
      <c r="BC183" s="226">
        <v>0.23</v>
      </c>
      <c r="BD183" s="226">
        <v>0.23</v>
      </c>
      <c r="BE183" s="227">
        <v>0.23</v>
      </c>
      <c r="BF183" s="226">
        <v>0.23</v>
      </c>
      <c r="BG183" s="226">
        <v>0.23</v>
      </c>
      <c r="BH183" s="226">
        <v>0.23</v>
      </c>
      <c r="BI183" s="226">
        <v>0.23</v>
      </c>
      <c r="BJ183" s="227">
        <v>0.23</v>
      </c>
      <c r="BK183" s="226">
        <v>0.23</v>
      </c>
      <c r="BL183" s="226">
        <v>0.23</v>
      </c>
      <c r="BM183" s="226">
        <v>0.23</v>
      </c>
      <c r="BN183" s="226">
        <v>0.23</v>
      </c>
      <c r="BO183" s="227">
        <v>0.23</v>
      </c>
      <c r="BP183" s="226">
        <v>0.23</v>
      </c>
      <c r="BQ183" s="226">
        <v>0.23</v>
      </c>
      <c r="BR183" s="226">
        <v>0.23</v>
      </c>
      <c r="BS183" s="226">
        <v>0.23</v>
      </c>
      <c r="BT183" s="227">
        <v>0.23</v>
      </c>
      <c r="BU183" s="226">
        <v>0.23</v>
      </c>
      <c r="BV183" s="226">
        <v>0.23</v>
      </c>
      <c r="BW183" s="226">
        <v>0.23</v>
      </c>
      <c r="BX183" s="226">
        <v>0.23</v>
      </c>
      <c r="BY183" s="227">
        <v>0.23</v>
      </c>
      <c r="BZ183" s="227">
        <v>0.23</v>
      </c>
      <c r="CA183" s="227">
        <v>0.23</v>
      </c>
      <c r="CB183" s="227">
        <v>0.23</v>
      </c>
      <c r="CC183" s="227">
        <v>0.23</v>
      </c>
      <c r="CD183" s="227">
        <v>0.23</v>
      </c>
      <c r="CE183" s="227">
        <v>0.23</v>
      </c>
      <c r="CF183" s="227">
        <v>0.23</v>
      </c>
    </row>
    <row r="184" spans="1:84" x14ac:dyDescent="0.25">
      <c r="A184" s="2" t="s">
        <v>2253</v>
      </c>
      <c r="B184" s="71"/>
      <c r="C184" s="78">
        <v>2.5</v>
      </c>
      <c r="D184" s="1746">
        <v>2.5</v>
      </c>
      <c r="E184" s="1746">
        <v>2.5</v>
      </c>
      <c r="F184" s="78">
        <v>2.5</v>
      </c>
      <c r="G184" s="79">
        <v>2.5</v>
      </c>
      <c r="H184" s="78">
        <v>2.5</v>
      </c>
      <c r="I184" s="1746">
        <v>2.5</v>
      </c>
      <c r="J184" s="1746">
        <v>2.5</v>
      </c>
      <c r="K184" s="78">
        <v>2.5</v>
      </c>
      <c r="L184" s="79">
        <v>2.5</v>
      </c>
      <c r="M184" s="78">
        <v>2.5</v>
      </c>
      <c r="N184" s="1746">
        <v>2.5</v>
      </c>
      <c r="O184" s="1746">
        <v>2.5</v>
      </c>
      <c r="P184" s="78">
        <v>2.5</v>
      </c>
      <c r="Q184" s="79">
        <v>2.5</v>
      </c>
      <c r="R184" s="78">
        <v>2.5</v>
      </c>
      <c r="S184" s="1746">
        <v>2.5</v>
      </c>
      <c r="T184" s="1746">
        <v>2.5</v>
      </c>
      <c r="U184" s="78">
        <v>2.5</v>
      </c>
      <c r="V184" s="79">
        <v>2.5</v>
      </c>
      <c r="W184" s="78">
        <v>2.5</v>
      </c>
      <c r="X184" s="1746">
        <v>2.5</v>
      </c>
      <c r="Y184" s="1746">
        <v>2.5</v>
      </c>
      <c r="Z184" s="78">
        <v>2.5</v>
      </c>
      <c r="AA184" s="79">
        <v>2.5</v>
      </c>
      <c r="AB184" s="1746">
        <v>0</v>
      </c>
      <c r="AC184" s="1746">
        <v>0</v>
      </c>
      <c r="AD184" s="1746">
        <v>0</v>
      </c>
      <c r="AE184" s="1746">
        <v>0</v>
      </c>
      <c r="AF184" s="79">
        <v>0</v>
      </c>
      <c r="AG184" s="1746">
        <v>0</v>
      </c>
      <c r="AH184" s="1746">
        <v>0</v>
      </c>
      <c r="AI184" s="1746">
        <v>0</v>
      </c>
      <c r="AJ184" s="1746">
        <v>0</v>
      </c>
      <c r="AK184" s="79">
        <v>0</v>
      </c>
      <c r="AL184" s="1746">
        <v>0</v>
      </c>
      <c r="AM184" s="1746">
        <v>0</v>
      </c>
      <c r="AN184" s="1746">
        <v>0</v>
      </c>
      <c r="AO184" s="1746">
        <v>0</v>
      </c>
      <c r="AP184" s="79">
        <v>0</v>
      </c>
      <c r="AQ184" s="1746">
        <v>0</v>
      </c>
      <c r="AR184" s="1746">
        <v>0</v>
      </c>
      <c r="AS184" s="1746">
        <v>0</v>
      </c>
      <c r="AT184" s="224">
        <v>0</v>
      </c>
      <c r="AU184" s="225">
        <v>0</v>
      </c>
      <c r="AV184" s="224">
        <v>0</v>
      </c>
      <c r="AW184" s="224">
        <v>0</v>
      </c>
      <c r="AX184" s="224">
        <v>0</v>
      </c>
      <c r="AY184" s="224">
        <v>0</v>
      </c>
      <c r="AZ184" s="225">
        <v>0</v>
      </c>
      <c r="BA184" s="224">
        <v>0</v>
      </c>
      <c r="BB184" s="224">
        <v>0</v>
      </c>
      <c r="BC184" s="224">
        <v>0</v>
      </c>
      <c r="BD184" s="224">
        <v>0</v>
      </c>
      <c r="BE184" s="225">
        <v>0</v>
      </c>
      <c r="BF184" s="224">
        <v>0</v>
      </c>
      <c r="BG184" s="224">
        <v>0</v>
      </c>
      <c r="BH184" s="224">
        <v>0</v>
      </c>
      <c r="BI184" s="224">
        <v>0</v>
      </c>
      <c r="BJ184" s="225">
        <v>0</v>
      </c>
      <c r="BK184" s="224">
        <v>0</v>
      </c>
      <c r="BL184" s="224">
        <v>0</v>
      </c>
      <c r="BM184" s="224">
        <v>0</v>
      </c>
      <c r="BN184" s="224">
        <v>0</v>
      </c>
      <c r="BO184" s="225">
        <v>0</v>
      </c>
      <c r="BP184" s="224">
        <v>0</v>
      </c>
      <c r="BQ184" s="224">
        <v>0</v>
      </c>
      <c r="BR184" s="224">
        <v>0</v>
      </c>
      <c r="BS184" s="224">
        <v>0</v>
      </c>
      <c r="BT184" s="225">
        <v>0</v>
      </c>
      <c r="BU184" s="224">
        <v>0</v>
      </c>
      <c r="BV184" s="224">
        <v>0</v>
      </c>
      <c r="BW184" s="224">
        <v>0</v>
      </c>
      <c r="BX184" s="224">
        <v>0</v>
      </c>
      <c r="BY184" s="225">
        <v>0</v>
      </c>
      <c r="BZ184" s="225">
        <v>0</v>
      </c>
      <c r="CA184" s="225">
        <v>0</v>
      </c>
      <c r="CB184" s="225">
        <v>0</v>
      </c>
      <c r="CC184" s="225">
        <v>0</v>
      </c>
      <c r="CD184" s="225">
        <v>0</v>
      </c>
      <c r="CE184" s="225">
        <v>0</v>
      </c>
      <c r="CF184" s="225">
        <v>0</v>
      </c>
    </row>
    <row r="185" spans="1:84" x14ac:dyDescent="0.25">
      <c r="A185" s="2"/>
      <c r="B185" s="71"/>
      <c r="C185" s="74"/>
      <c r="D185" s="74"/>
      <c r="E185" s="74"/>
      <c r="F185" s="74"/>
      <c r="G185" s="72"/>
      <c r="H185" s="74"/>
      <c r="I185" s="74"/>
      <c r="J185" s="74"/>
      <c r="K185" s="74"/>
      <c r="L185" s="72"/>
      <c r="M185" s="74"/>
      <c r="N185" s="74"/>
      <c r="O185" s="74"/>
      <c r="P185" s="74"/>
      <c r="Q185" s="72"/>
      <c r="R185" s="74"/>
      <c r="S185" s="74"/>
      <c r="T185" s="74"/>
      <c r="U185" s="74"/>
      <c r="V185" s="72"/>
      <c r="W185" s="74"/>
      <c r="X185" s="74"/>
      <c r="Y185" s="74"/>
      <c r="Z185" s="74"/>
      <c r="AA185" s="72"/>
      <c r="AB185" s="74"/>
      <c r="AC185" s="74"/>
      <c r="AD185" s="74"/>
      <c r="AE185" s="74"/>
      <c r="AF185" s="72"/>
      <c r="AG185" s="74"/>
      <c r="AH185" s="74"/>
      <c r="AI185" s="74"/>
      <c r="AJ185" s="74"/>
      <c r="AK185" s="72"/>
      <c r="AL185" s="74"/>
      <c r="AM185" s="74"/>
      <c r="AN185" s="74"/>
      <c r="AO185" s="74"/>
      <c r="AP185" s="72"/>
      <c r="AQ185" s="74"/>
      <c r="AR185" s="74"/>
      <c r="AS185" s="74"/>
      <c r="AT185" s="74"/>
      <c r="AU185" s="72"/>
      <c r="AV185" s="74"/>
      <c r="AW185" s="74"/>
      <c r="AX185" s="74"/>
      <c r="AY185" s="74"/>
      <c r="AZ185" s="72"/>
      <c r="BA185" s="74"/>
      <c r="BB185" s="74"/>
      <c r="BC185" s="74"/>
      <c r="BD185" s="74"/>
      <c r="BE185" s="72"/>
      <c r="BF185" s="74"/>
      <c r="BG185" s="74"/>
      <c r="BH185" s="74"/>
      <c r="BI185" s="74"/>
      <c r="BJ185" s="72"/>
      <c r="BK185" s="74"/>
      <c r="BL185" s="74"/>
      <c r="BM185" s="74"/>
      <c r="BN185" s="74"/>
      <c r="BO185" s="72"/>
      <c r="BP185" s="74"/>
      <c r="BQ185" s="74"/>
      <c r="BR185" s="74"/>
      <c r="BS185" s="74"/>
      <c r="BT185" s="72"/>
      <c r="BU185" s="74"/>
      <c r="BV185" s="74"/>
      <c r="BW185" s="74"/>
      <c r="BX185" s="74"/>
      <c r="BY185" s="72"/>
      <c r="BZ185" s="72"/>
      <c r="CA185" s="72"/>
      <c r="CB185" s="72"/>
      <c r="CC185" s="72"/>
      <c r="CD185" s="72"/>
      <c r="CE185" s="72"/>
      <c r="CF185" s="72"/>
    </row>
    <row r="186" spans="1:84" x14ac:dyDescent="0.25">
      <c r="A186" s="3" t="s">
        <v>132</v>
      </c>
      <c r="B186" s="2"/>
      <c r="C186" s="4"/>
      <c r="D186" s="4"/>
      <c r="E186" s="4"/>
      <c r="F186" s="4"/>
      <c r="G186" s="55"/>
      <c r="H186" s="4"/>
      <c r="I186" s="4"/>
      <c r="J186" s="4"/>
      <c r="K186" s="4"/>
      <c r="L186" s="55"/>
      <c r="M186" s="4"/>
      <c r="N186" s="4"/>
      <c r="O186" s="4"/>
      <c r="P186" s="4"/>
      <c r="Q186" s="55"/>
      <c r="R186" s="4"/>
      <c r="S186" s="4"/>
      <c r="T186" s="4"/>
      <c r="U186" s="4"/>
      <c r="V186" s="55"/>
      <c r="W186" s="4"/>
      <c r="X186" s="4"/>
      <c r="Y186" s="4"/>
      <c r="Z186" s="4"/>
      <c r="AA186" s="55"/>
      <c r="AB186" s="4"/>
      <c r="AC186" s="4"/>
      <c r="AD186" s="4"/>
      <c r="AE186" s="4"/>
      <c r="AF186" s="55"/>
      <c r="AG186" s="4"/>
      <c r="AH186" s="4"/>
      <c r="AI186" s="4"/>
      <c r="AJ186" s="4"/>
      <c r="AK186" s="55"/>
      <c r="AL186" s="4"/>
      <c r="AM186" s="4"/>
      <c r="AN186" s="4"/>
      <c r="AO186" s="4"/>
      <c r="AP186" s="55"/>
      <c r="AQ186" s="4"/>
      <c r="AR186" s="4"/>
      <c r="AS186" s="4"/>
      <c r="AT186" s="4"/>
      <c r="AU186" s="55"/>
      <c r="AV186" s="4"/>
      <c r="AW186" s="4"/>
      <c r="AX186" s="4"/>
      <c r="AY186" s="4"/>
      <c r="AZ186" s="55"/>
      <c r="BA186" s="4"/>
      <c r="BB186" s="4"/>
      <c r="BC186" s="4"/>
      <c r="BD186" s="4"/>
      <c r="BE186" s="55"/>
      <c r="BF186" s="4"/>
      <c r="BG186" s="4"/>
      <c r="BH186" s="4"/>
      <c r="BI186" s="4"/>
      <c r="BJ186" s="55"/>
      <c r="BK186" s="4"/>
      <c r="BL186" s="4"/>
      <c r="BM186" s="4"/>
      <c r="BN186" s="4"/>
      <c r="BO186" s="55"/>
      <c r="BP186" s="4"/>
      <c r="BQ186" s="4"/>
      <c r="BR186" s="4"/>
      <c r="BS186" s="4"/>
      <c r="BT186" s="55"/>
      <c r="BU186" s="4"/>
      <c r="BV186" s="4"/>
      <c r="BW186" s="4"/>
      <c r="BX186" s="4"/>
      <c r="BY186" s="55"/>
      <c r="BZ186" s="55"/>
      <c r="CA186" s="55"/>
      <c r="CB186" s="55"/>
      <c r="CC186" s="55"/>
      <c r="CD186" s="55"/>
      <c r="CE186" s="55"/>
      <c r="CF186" s="55"/>
    </row>
    <row r="187" spans="1:84" x14ac:dyDescent="0.25">
      <c r="A187" s="2" t="s">
        <v>2254</v>
      </c>
      <c r="B187" s="34"/>
      <c r="C187" s="34">
        <v>27.833822000000001</v>
      </c>
      <c r="D187" s="34">
        <v>26.736314999999998</v>
      </c>
      <c r="E187" s="34">
        <v>25.16561153</v>
      </c>
      <c r="F187" s="34">
        <v>26.196209960000001</v>
      </c>
      <c r="G187" s="111">
        <v>105.93195849</v>
      </c>
      <c r="H187" s="34">
        <v>29.888244279999999</v>
      </c>
      <c r="I187" s="34">
        <v>29.375931999999999</v>
      </c>
      <c r="J187" s="34">
        <v>29.879949999999997</v>
      </c>
      <c r="K187" s="34">
        <v>44.184684000000004</v>
      </c>
      <c r="L187" s="111">
        <v>133.32881028</v>
      </c>
      <c r="M187" s="34">
        <v>44.792237999999998</v>
      </c>
      <c r="N187" s="34">
        <v>36.700000000000003</v>
      </c>
      <c r="O187" s="34">
        <v>34.951773000000003</v>
      </c>
      <c r="P187" s="34">
        <v>33.58543418</v>
      </c>
      <c r="Q187" s="111">
        <v>150.02944518000001</v>
      </c>
      <c r="R187" s="34">
        <v>36.263494999999999</v>
      </c>
      <c r="S187" s="34">
        <v>35.059904000000003</v>
      </c>
      <c r="T187" s="34">
        <v>35.529046000000001</v>
      </c>
      <c r="U187" s="34">
        <v>34.227240000000002</v>
      </c>
      <c r="V187" s="111">
        <v>141.07968499999998</v>
      </c>
      <c r="W187" s="34">
        <v>36.098852000000001</v>
      </c>
      <c r="X187" s="34">
        <v>34.679112449999998</v>
      </c>
      <c r="Y187" s="34">
        <v>30.98709732</v>
      </c>
      <c r="Z187" s="34">
        <v>34.903369010000006</v>
      </c>
      <c r="AA187" s="111">
        <v>136.66843077999999</v>
      </c>
      <c r="AB187" s="34">
        <f>PENN!AB$1010</f>
        <v>36.700000000000003</v>
      </c>
      <c r="AC187" s="34">
        <f>PENN!AC$1010</f>
        <v>32.799999999999997</v>
      </c>
      <c r="AD187" s="34">
        <f>PENN!AD$1010</f>
        <v>30.6</v>
      </c>
      <c r="AE187" s="34">
        <f>PENN!AE$1010</f>
        <v>28.1</v>
      </c>
      <c r="AF187" s="111">
        <f>PENN!AF$1010</f>
        <v>128.19999999999999</v>
      </c>
      <c r="AG187" s="34">
        <f>PENN!AG$1010</f>
        <v>31.4</v>
      </c>
      <c r="AH187" s="34">
        <f>PENN!AH$1010</f>
        <v>30</v>
      </c>
      <c r="AI187" s="34">
        <f>PENN!AI$1010</f>
        <v>28.193031749999999</v>
      </c>
      <c r="AJ187" s="34">
        <f>PENN!AJ$1010</f>
        <v>28.569717820000001</v>
      </c>
      <c r="AK187" s="111">
        <f>PENN!AK$1010</f>
        <v>118.16274956999999</v>
      </c>
      <c r="AL187" s="34">
        <f>PENN!AL$1010</f>
        <v>31.85416107</v>
      </c>
      <c r="AM187" s="34">
        <f>PENN!AM$1010</f>
        <v>30.578431800000001</v>
      </c>
      <c r="AN187" s="34">
        <f>PENN!AN$1010</f>
        <v>29.96765233</v>
      </c>
      <c r="AO187" s="34">
        <f>PENN!AO$1010</f>
        <v>28.486669989999999</v>
      </c>
      <c r="AP187" s="111">
        <f>PENN!AP$1010</f>
        <v>120.88691519</v>
      </c>
      <c r="AQ187" s="34">
        <f>PENN!AQ$1010</f>
        <v>33.075430409999996</v>
      </c>
      <c r="AR187" s="34">
        <f>PENN!AR$1010</f>
        <v>31.015797769999999</v>
      </c>
      <c r="AS187" s="34">
        <f>PENN!AS$1010</f>
        <v>26.735451150000003</v>
      </c>
      <c r="AT187" s="34">
        <f>PENN!AT$1010</f>
        <v>21.33440521</v>
      </c>
      <c r="AU187" s="111">
        <f>PENN!AU$1010</f>
        <v>112.16108454</v>
      </c>
      <c r="AV187" s="34">
        <f>PENN!AV$1010</f>
        <v>22.080070980000002</v>
      </c>
      <c r="AW187" s="34">
        <f>PENN!AW$1010</f>
        <v>21.63325017</v>
      </c>
      <c r="AX187" s="34">
        <f>PENN!AX$1010</f>
        <v>17.708918430000001</v>
      </c>
      <c r="AY187" s="34">
        <f>PENN!AY$1010</f>
        <v>6.3340666666666667</v>
      </c>
      <c r="AZ187" s="111">
        <f>PENN!AZ$1010</f>
        <v>67.756306246666668</v>
      </c>
      <c r="BA187" s="34">
        <f>PENN!BA$1010</f>
        <v>0</v>
      </c>
      <c r="BB187" s="34">
        <f>PENN!BB$1010</f>
        <v>0</v>
      </c>
      <c r="BC187" s="34">
        <f>PENN!BC$1010</f>
        <v>0</v>
      </c>
      <c r="BD187" s="34">
        <f>PENN!BD$1010</f>
        <v>0</v>
      </c>
      <c r="BE187" s="111">
        <f>PENN!BE$1010</f>
        <v>0</v>
      </c>
      <c r="BF187" s="34">
        <f>PENN!BF$1010</f>
        <v>0</v>
      </c>
      <c r="BG187" s="34">
        <f>PENN!BG$1010</f>
        <v>0</v>
      </c>
      <c r="BH187" s="34">
        <f>PENN!BH$1010</f>
        <v>0</v>
      </c>
      <c r="BI187" s="34">
        <f>PENN!BI$1010</f>
        <v>0</v>
      </c>
      <c r="BJ187" s="111">
        <f>PENN!BJ$1010</f>
        <v>0</v>
      </c>
      <c r="BK187" s="34">
        <f>PENN!BK$1010</f>
        <v>0</v>
      </c>
      <c r="BL187" s="34">
        <f>PENN!BL$1010</f>
        <v>0</v>
      </c>
      <c r="BM187" s="34">
        <f>PENN!BM$1010</f>
        <v>0</v>
      </c>
      <c r="BN187" s="34">
        <f>PENN!BN$1010</f>
        <v>0</v>
      </c>
      <c r="BO187" s="111">
        <f>PENN!BO$1010</f>
        <v>0</v>
      </c>
      <c r="BP187" s="34">
        <f>PENN!BP$1010</f>
        <v>0</v>
      </c>
      <c r="BQ187" s="34">
        <f>PENN!BQ$1010</f>
        <v>0</v>
      </c>
      <c r="BR187" s="34">
        <f>PENN!BR$1010</f>
        <v>0</v>
      </c>
      <c r="BS187" s="34">
        <f>PENN!BS$1010</f>
        <v>0</v>
      </c>
      <c r="BT187" s="111">
        <f>PENN!BT$1010</f>
        <v>0</v>
      </c>
      <c r="BU187" s="34">
        <f>PENN!BU$1010</f>
        <v>0</v>
      </c>
      <c r="BV187" s="34">
        <f>PENN!BV$1010</f>
        <v>0</v>
      </c>
      <c r="BW187" s="34">
        <f>PENN!BW$1010</f>
        <v>0</v>
      </c>
      <c r="BX187" s="34">
        <f>PENN!BX$1010</f>
        <v>0</v>
      </c>
      <c r="BY187" s="111">
        <f>PENN!BY$1010</f>
        <v>0</v>
      </c>
      <c r="BZ187" s="111">
        <f>PENN!BZ$1010</f>
        <v>0</v>
      </c>
      <c r="CA187" s="111">
        <f>PENN!CA$1010</f>
        <v>0</v>
      </c>
      <c r="CB187" s="111">
        <f>PENN!CB$1010</f>
        <v>0</v>
      </c>
      <c r="CC187" s="111">
        <f>PENN!CC$1010</f>
        <v>0</v>
      </c>
      <c r="CD187" s="111">
        <f>PENN!CD$1010</f>
        <v>0</v>
      </c>
      <c r="CE187" s="111">
        <f>PENN!CE$1010</f>
        <v>0</v>
      </c>
      <c r="CF187" s="111">
        <f>PENN!CF$1010</f>
        <v>0</v>
      </c>
    </row>
    <row r="188" spans="1:84" x14ac:dyDescent="0.25">
      <c r="A188" s="2" t="s">
        <v>1057</v>
      </c>
      <c r="B188" s="33"/>
      <c r="C188" s="33">
        <v>382.822</v>
      </c>
      <c r="D188" s="33">
        <v>370.72800000000001</v>
      </c>
      <c r="E188" s="33">
        <v>365.99099999999999</v>
      </c>
      <c r="F188" s="33">
        <v>346.42500000000001</v>
      </c>
      <c r="G188" s="139">
        <v>1465.9659999999999</v>
      </c>
      <c r="H188" s="33">
        <v>392.505</v>
      </c>
      <c r="I188" s="33">
        <v>397.25799999999998</v>
      </c>
      <c r="J188" s="33">
        <v>315.77999999999997</v>
      </c>
      <c r="K188" s="33">
        <v>454.584</v>
      </c>
      <c r="L188" s="139">
        <v>1560.127</v>
      </c>
      <c r="M188" s="33">
        <v>442.642</v>
      </c>
      <c r="N188" s="33">
        <v>381.2</v>
      </c>
      <c r="O188" s="33">
        <v>366.50299999999999</v>
      </c>
      <c r="P188" s="33">
        <v>338.78399999999999</v>
      </c>
      <c r="Q188" s="139">
        <v>1529.1289999999999</v>
      </c>
      <c r="R188" s="33">
        <v>366.39299999999997</v>
      </c>
      <c r="S188" s="33">
        <v>361.81200000000001</v>
      </c>
      <c r="T188" s="33">
        <v>361.07799999999997</v>
      </c>
      <c r="U188" s="33">
        <v>336.625</v>
      </c>
      <c r="V188" s="139">
        <v>1425.9079999999999</v>
      </c>
      <c r="W188" s="33">
        <v>353.75299999999999</v>
      </c>
      <c r="X188" s="33">
        <v>350.59399999999999</v>
      </c>
      <c r="Y188" s="33">
        <v>309.22199999999998</v>
      </c>
      <c r="Z188" s="33">
        <v>324.92399999999998</v>
      </c>
      <c r="AA188" s="139">
        <v>1338.4929999999999</v>
      </c>
      <c r="AB188" s="120">
        <f>PENN!AB1007</f>
        <v>338.3</v>
      </c>
      <c r="AC188" s="120">
        <f>PENN!AC1007</f>
        <v>312</v>
      </c>
      <c r="AD188" s="120">
        <f>PENN!AD1007</f>
        <v>295.3</v>
      </c>
      <c r="AE188" s="120">
        <f>PENN!AE1007</f>
        <v>275.05500000000001</v>
      </c>
      <c r="AF188" s="121">
        <f>PENN!AF1007</f>
        <v>1220.655</v>
      </c>
      <c r="AG188" s="120">
        <f>PENN!AG1007</f>
        <v>293.10000000000002</v>
      </c>
      <c r="AH188" s="120">
        <f>PENN!AH1007</f>
        <v>285.3</v>
      </c>
      <c r="AI188" s="120">
        <f>PENN!AI1007</f>
        <v>282.72500000000002</v>
      </c>
      <c r="AJ188" s="120">
        <f>PENN!AJ1007</f>
        <v>272.048</v>
      </c>
      <c r="AK188" s="121">
        <f>PENN!AK1007</f>
        <v>1133.1730000000002</v>
      </c>
      <c r="AL188" s="120">
        <f>PENN!AL1007</f>
        <v>292.61900000000003</v>
      </c>
      <c r="AM188" s="120">
        <f>PENN!AM1007</f>
        <v>294.839</v>
      </c>
      <c r="AN188" s="120">
        <f>PENN!AN1007</f>
        <v>304.358</v>
      </c>
      <c r="AO188" s="120">
        <f>PENN!AO1007</f>
        <v>285.25099999999998</v>
      </c>
      <c r="AP188" s="121">
        <f>PENN!AP1007</f>
        <v>1177.067</v>
      </c>
      <c r="AQ188" s="120">
        <f>PENN!AQ1007</f>
        <v>325.84899999999999</v>
      </c>
      <c r="AR188" s="120">
        <f>PENN!AR1007</f>
        <v>319.80900000000003</v>
      </c>
      <c r="AS188" s="120">
        <f>PENN!AS1007</f>
        <v>272.18700000000001</v>
      </c>
      <c r="AT188" s="120">
        <f>PENN!AT1007</f>
        <v>214.208</v>
      </c>
      <c r="AU188" s="121">
        <f>PENN!AU1007</f>
        <v>1132.0530000000001</v>
      </c>
      <c r="AV188" s="120">
        <f>PENN!AV1007</f>
        <v>223.84</v>
      </c>
      <c r="AW188" s="120">
        <f>PENN!AW1007</f>
        <v>217.37700000000001</v>
      </c>
      <c r="AX188" s="120">
        <f>PENN!AX1007</f>
        <v>206.08</v>
      </c>
      <c r="AY188" s="120">
        <f>PENN!AY1007</f>
        <v>72.746733333333339</v>
      </c>
      <c r="AZ188" s="121">
        <f>PENN!AZ1007</f>
        <v>720.04373333333342</v>
      </c>
      <c r="BA188" s="120">
        <f>PENN!BA1007</f>
        <v>0</v>
      </c>
      <c r="BB188" s="120">
        <f>PENN!BB1007</f>
        <v>0</v>
      </c>
      <c r="BC188" s="120">
        <f>PENN!BC1007</f>
        <v>0</v>
      </c>
      <c r="BD188" s="120">
        <f>PENN!BD1007</f>
        <v>0</v>
      </c>
      <c r="BE188" s="121">
        <f>PENN!BE1007</f>
        <v>0</v>
      </c>
      <c r="BF188" s="120">
        <f>PENN!BF1007</f>
        <v>0</v>
      </c>
      <c r="BG188" s="120">
        <f>PENN!BG1007</f>
        <v>0</v>
      </c>
      <c r="BH188" s="120">
        <f>PENN!BH1007</f>
        <v>0</v>
      </c>
      <c r="BI188" s="120">
        <f>PENN!BI1007</f>
        <v>0</v>
      </c>
      <c r="BJ188" s="121">
        <f>PENN!BJ1007</f>
        <v>0</v>
      </c>
      <c r="BK188" s="120">
        <f>PENN!BK1007</f>
        <v>0</v>
      </c>
      <c r="BL188" s="120">
        <f>PENN!BL1007</f>
        <v>0</v>
      </c>
      <c r="BM188" s="120">
        <f>PENN!BM1007</f>
        <v>0</v>
      </c>
      <c r="BN188" s="120">
        <f>PENN!BN1007</f>
        <v>0</v>
      </c>
      <c r="BO188" s="121">
        <f>PENN!BO1007</f>
        <v>0</v>
      </c>
      <c r="BP188" s="120">
        <f>PENN!BP1007</f>
        <v>0</v>
      </c>
      <c r="BQ188" s="120">
        <f>PENN!BQ1007</f>
        <v>0</v>
      </c>
      <c r="BR188" s="120">
        <f>PENN!BR1007</f>
        <v>0</v>
      </c>
      <c r="BS188" s="120">
        <f>PENN!BS1007</f>
        <v>0</v>
      </c>
      <c r="BT188" s="121">
        <f>PENN!BT1007</f>
        <v>0</v>
      </c>
      <c r="BU188" s="120">
        <f>PENN!BU1007</f>
        <v>0</v>
      </c>
      <c r="BV188" s="120">
        <f>PENN!BV1007</f>
        <v>0</v>
      </c>
      <c r="BW188" s="120">
        <f>PENN!BW1007</f>
        <v>0</v>
      </c>
      <c r="BX188" s="120">
        <f>PENN!BX1007</f>
        <v>0</v>
      </c>
      <c r="BY188" s="121">
        <f>PENN!BY1007</f>
        <v>0</v>
      </c>
      <c r="BZ188" s="121">
        <f>PENN!BZ1007</f>
        <v>0</v>
      </c>
      <c r="CA188" s="121">
        <f>PENN!CA1007</f>
        <v>0</v>
      </c>
      <c r="CB188" s="121">
        <f>PENN!CB1007</f>
        <v>0</v>
      </c>
      <c r="CC188" s="121">
        <f>PENN!CC1007</f>
        <v>0</v>
      </c>
      <c r="CD188" s="121">
        <f>PENN!CD1007</f>
        <v>0</v>
      </c>
      <c r="CE188" s="121">
        <f>PENN!CE1007</f>
        <v>0</v>
      </c>
      <c r="CF188" s="121">
        <f>PENN!CF1007</f>
        <v>0</v>
      </c>
    </row>
    <row r="189" spans="1:84" x14ac:dyDescent="0.25">
      <c r="A189" s="2"/>
      <c r="B189" s="7"/>
      <c r="C189" s="76"/>
      <c r="D189" s="129"/>
      <c r="E189" s="129"/>
      <c r="F189" s="129"/>
      <c r="G189" s="128"/>
      <c r="H189" s="76"/>
      <c r="I189" s="129"/>
      <c r="J189" s="129"/>
      <c r="K189" s="129"/>
      <c r="L189" s="128"/>
      <c r="M189" s="76"/>
      <c r="N189" s="129"/>
      <c r="O189" s="129"/>
      <c r="P189" s="129"/>
      <c r="Q189" s="128"/>
      <c r="R189" s="76"/>
      <c r="S189" s="129"/>
      <c r="T189" s="129"/>
      <c r="U189" s="129"/>
      <c r="V189" s="128"/>
      <c r="W189" s="76"/>
      <c r="X189" s="129"/>
      <c r="Y189" s="129"/>
      <c r="Z189" s="129"/>
      <c r="AA189" s="128"/>
      <c r="AB189" s="76"/>
      <c r="AC189" s="129"/>
      <c r="AD189" s="129"/>
      <c r="AE189" s="129"/>
      <c r="AF189" s="128"/>
      <c r="AG189" s="76"/>
      <c r="AH189" s="129"/>
      <c r="AI189" s="129"/>
      <c r="AJ189" s="129"/>
      <c r="AK189" s="128"/>
      <c r="AL189" s="76"/>
      <c r="AM189" s="129"/>
      <c r="AN189" s="129"/>
      <c r="AO189" s="129"/>
      <c r="AP189" s="128"/>
      <c r="AQ189" s="76"/>
      <c r="AR189" s="129"/>
      <c r="AS189" s="129"/>
      <c r="AT189" s="129"/>
      <c r="AU189" s="128"/>
      <c r="AV189" s="76"/>
      <c r="AW189" s="129"/>
      <c r="AX189" s="129"/>
      <c r="AY189" s="129"/>
      <c r="AZ189" s="128"/>
      <c r="BA189" s="76"/>
      <c r="BB189" s="129"/>
      <c r="BC189" s="129"/>
      <c r="BD189" s="129"/>
      <c r="BE189" s="128"/>
      <c r="BF189" s="76"/>
      <c r="BG189" s="129"/>
      <c r="BH189" s="129"/>
      <c r="BI189" s="129"/>
      <c r="BJ189" s="128"/>
      <c r="BK189" s="76"/>
      <c r="BL189" s="129"/>
      <c r="BM189" s="129"/>
      <c r="BN189" s="129"/>
      <c r="BO189" s="128"/>
      <c r="BP189" s="76"/>
      <c r="BQ189" s="129"/>
      <c r="BR189" s="129"/>
      <c r="BS189" s="129"/>
      <c r="BT189" s="128"/>
      <c r="BU189" s="76"/>
      <c r="BV189" s="129"/>
      <c r="BW189" s="129"/>
      <c r="BX189" s="129"/>
      <c r="BY189" s="128"/>
      <c r="BZ189" s="128"/>
      <c r="CA189" s="128"/>
      <c r="CB189" s="128"/>
      <c r="CC189" s="128"/>
      <c r="CD189" s="128"/>
      <c r="CE189" s="128"/>
      <c r="CF189" s="128"/>
    </row>
    <row r="190" spans="1:84" x14ac:dyDescent="0.25">
      <c r="A190" s="2" t="s">
        <v>1058</v>
      </c>
      <c r="B190" s="36"/>
      <c r="C190" s="36">
        <f t="shared" ref="C190:N190" si="211">C187*C183</f>
        <v>5.9842717300000006</v>
      </c>
      <c r="D190" s="133">
        <f t="shared" si="211"/>
        <v>5.7483077249999992</v>
      </c>
      <c r="E190" s="133">
        <f t="shared" si="211"/>
        <v>5.4106064789500001</v>
      </c>
      <c r="F190" s="36">
        <f t="shared" si="211"/>
        <v>5.6321851413999999</v>
      </c>
      <c r="G190" s="132">
        <f t="shared" si="211"/>
        <v>22.775371075349998</v>
      </c>
      <c r="H190" s="36">
        <f t="shared" si="211"/>
        <v>6.4259725201999993</v>
      </c>
      <c r="I190" s="133">
        <f t="shared" si="211"/>
        <v>6.3158253799999997</v>
      </c>
      <c r="J190" s="133">
        <f t="shared" si="211"/>
        <v>6.4241892499999995</v>
      </c>
      <c r="K190" s="36">
        <f t="shared" si="211"/>
        <v>9.4997070600000004</v>
      </c>
      <c r="L190" s="132">
        <f t="shared" si="211"/>
        <v>28.665694210199998</v>
      </c>
      <c r="M190" s="36">
        <f t="shared" si="211"/>
        <v>9.6303311699999998</v>
      </c>
      <c r="N190" s="133">
        <f t="shared" si="211"/>
        <v>7.8905000000000003</v>
      </c>
      <c r="O190" s="133">
        <f t="shared" ref="O190:BE190" si="212">O187*O183</f>
        <v>7.5146311950000007</v>
      </c>
      <c r="P190" s="36">
        <f t="shared" si="212"/>
        <v>7.2208683486999998</v>
      </c>
      <c r="Q190" s="132">
        <f t="shared" si="212"/>
        <v>32.256330713700002</v>
      </c>
      <c r="R190" s="36">
        <f t="shared" si="212"/>
        <v>7.7966514249999994</v>
      </c>
      <c r="S190" s="133">
        <f t="shared" si="212"/>
        <v>7.5378793600000007</v>
      </c>
      <c r="T190" s="133">
        <f t="shared" si="212"/>
        <v>7.6387448899999999</v>
      </c>
      <c r="U190" s="36">
        <f t="shared" si="212"/>
        <v>7.3588566000000002</v>
      </c>
      <c r="V190" s="132">
        <f t="shared" si="212"/>
        <v>30.332132274999996</v>
      </c>
      <c r="W190" s="36">
        <f t="shared" si="212"/>
        <v>7.7612531799999998</v>
      </c>
      <c r="X190" s="133">
        <f t="shared" si="212"/>
        <v>7.4560091767499994</v>
      </c>
      <c r="Y190" s="133">
        <f t="shared" si="212"/>
        <v>6.6622259238000003</v>
      </c>
      <c r="Z190" s="36">
        <f t="shared" si="212"/>
        <v>7.504224337150001</v>
      </c>
      <c r="AA190" s="132">
        <f t="shared" si="212"/>
        <v>29.383712617699999</v>
      </c>
      <c r="AB190" s="36">
        <f t="shared" si="212"/>
        <v>8.4410000000000007</v>
      </c>
      <c r="AC190" s="133">
        <f t="shared" si="212"/>
        <v>7.5439999999999996</v>
      </c>
      <c r="AD190" s="133">
        <f t="shared" si="212"/>
        <v>7.0380000000000003</v>
      </c>
      <c r="AE190" s="36">
        <f>AE187*AE183</f>
        <v>6.463000000000001</v>
      </c>
      <c r="AF190" s="132">
        <f t="shared" si="212"/>
        <v>29.485999999999997</v>
      </c>
      <c r="AG190" s="36">
        <f>AG187*AG183</f>
        <v>7.2220000000000004</v>
      </c>
      <c r="AH190" s="133">
        <f>AH187*AH183</f>
        <v>6.9</v>
      </c>
      <c r="AI190" s="133">
        <f>AI187*AI183</f>
        <v>6.4843973025000006</v>
      </c>
      <c r="AJ190" s="36">
        <f>AJ187*AJ183</f>
        <v>6.5710350986000003</v>
      </c>
      <c r="AK190" s="132">
        <f t="shared" si="212"/>
        <v>27.177432401099999</v>
      </c>
      <c r="AL190" s="36">
        <f t="shared" si="212"/>
        <v>7.3264570461000007</v>
      </c>
      <c r="AM190" s="133">
        <f t="shared" si="212"/>
        <v>7.0330393140000007</v>
      </c>
      <c r="AN190" s="133">
        <f t="shared" si="212"/>
        <v>6.8925600358999999</v>
      </c>
      <c r="AO190" s="36">
        <f t="shared" si="212"/>
        <v>6.5519340977000002</v>
      </c>
      <c r="AP190" s="132">
        <f t="shared" ref="AP190:AU190" si="213">AP187*AP183</f>
        <v>27.803990493699999</v>
      </c>
      <c r="AQ190" s="36">
        <f t="shared" si="213"/>
        <v>7.6073489942999997</v>
      </c>
      <c r="AR190" s="133">
        <f t="shared" si="213"/>
        <v>7.1336334871</v>
      </c>
      <c r="AS190" s="133">
        <f t="shared" si="213"/>
        <v>6.1491537645000012</v>
      </c>
      <c r="AT190" s="36">
        <f t="shared" si="213"/>
        <v>4.9069131982999998</v>
      </c>
      <c r="AU190" s="132">
        <f t="shared" si="213"/>
        <v>25.797049444200002</v>
      </c>
      <c r="AV190" s="36">
        <f>AV187*AV183</f>
        <v>5.078416325400001</v>
      </c>
      <c r="AW190" s="133">
        <f>AW187*AW183</f>
        <v>4.9756475391000006</v>
      </c>
      <c r="AX190" s="133">
        <f>AX187*AX183</f>
        <v>4.0730512389000006</v>
      </c>
      <c r="AY190" s="36">
        <f>AY187*AY183</f>
        <v>1.4568353333333335</v>
      </c>
      <c r="AZ190" s="132">
        <f t="shared" si="212"/>
        <v>15.583950436733334</v>
      </c>
      <c r="BA190" s="36">
        <f t="shared" si="212"/>
        <v>0</v>
      </c>
      <c r="BB190" s="133">
        <f t="shared" si="212"/>
        <v>0</v>
      </c>
      <c r="BC190" s="133">
        <f t="shared" si="212"/>
        <v>0</v>
      </c>
      <c r="BD190" s="36">
        <f t="shared" si="212"/>
        <v>0</v>
      </c>
      <c r="BE190" s="132">
        <f t="shared" si="212"/>
        <v>0</v>
      </c>
      <c r="BF190" s="36">
        <f t="shared" ref="BF190:CF190" si="214">BF187*BF183</f>
        <v>0</v>
      </c>
      <c r="BG190" s="133">
        <f t="shared" si="214"/>
        <v>0</v>
      </c>
      <c r="BH190" s="133">
        <f t="shared" si="214"/>
        <v>0</v>
      </c>
      <c r="BI190" s="36">
        <f t="shared" si="214"/>
        <v>0</v>
      </c>
      <c r="BJ190" s="132">
        <f t="shared" si="214"/>
        <v>0</v>
      </c>
      <c r="BK190" s="36">
        <f t="shared" si="214"/>
        <v>0</v>
      </c>
      <c r="BL190" s="133">
        <f t="shared" si="214"/>
        <v>0</v>
      </c>
      <c r="BM190" s="133">
        <f t="shared" si="214"/>
        <v>0</v>
      </c>
      <c r="BN190" s="36">
        <f t="shared" si="214"/>
        <v>0</v>
      </c>
      <c r="BO190" s="132">
        <f t="shared" si="214"/>
        <v>0</v>
      </c>
      <c r="BP190" s="36">
        <f t="shared" si="214"/>
        <v>0</v>
      </c>
      <c r="BQ190" s="133">
        <f t="shared" si="214"/>
        <v>0</v>
      </c>
      <c r="BR190" s="133">
        <f t="shared" si="214"/>
        <v>0</v>
      </c>
      <c r="BS190" s="36">
        <f t="shared" si="214"/>
        <v>0</v>
      </c>
      <c r="BT190" s="132">
        <f t="shared" si="214"/>
        <v>0</v>
      </c>
      <c r="BU190" s="36">
        <f>BU187*BU183</f>
        <v>0</v>
      </c>
      <c r="BV190" s="133">
        <f>BV187*BV183</f>
        <v>0</v>
      </c>
      <c r="BW190" s="133">
        <f>BW187*BW183</f>
        <v>0</v>
      </c>
      <c r="BX190" s="36">
        <f>BX187*BX183</f>
        <v>0</v>
      </c>
      <c r="BY190" s="132">
        <f t="shared" si="214"/>
        <v>0</v>
      </c>
      <c r="BZ190" s="132">
        <f t="shared" si="214"/>
        <v>0</v>
      </c>
      <c r="CA190" s="132">
        <f t="shared" si="214"/>
        <v>0</v>
      </c>
      <c r="CB190" s="132">
        <f t="shared" si="214"/>
        <v>0</v>
      </c>
      <c r="CC190" s="132">
        <f t="shared" si="214"/>
        <v>0</v>
      </c>
      <c r="CD190" s="132">
        <f t="shared" si="214"/>
        <v>0</v>
      </c>
      <c r="CE190" s="132">
        <f t="shared" si="214"/>
        <v>0</v>
      </c>
      <c r="CF190" s="132">
        <f t="shared" si="214"/>
        <v>0</v>
      </c>
    </row>
    <row r="191" spans="1:84" x14ac:dyDescent="0.25">
      <c r="A191" s="2"/>
      <c r="B191" s="36"/>
      <c r="C191" s="36"/>
      <c r="D191" s="133"/>
      <c r="E191" s="133"/>
      <c r="F191" s="36"/>
      <c r="G191" s="132"/>
      <c r="H191" s="36"/>
      <c r="I191" s="133"/>
      <c r="J191" s="133"/>
      <c r="K191" s="36"/>
      <c r="L191" s="132"/>
      <c r="M191" s="36"/>
      <c r="N191" s="133"/>
      <c r="O191" s="133"/>
      <c r="P191" s="36"/>
      <c r="Q191" s="132"/>
      <c r="R191" s="36"/>
      <c r="S191" s="133"/>
      <c r="T191" s="133"/>
      <c r="U191" s="36"/>
      <c r="V191" s="132"/>
      <c r="W191" s="36"/>
      <c r="X191" s="133"/>
      <c r="Y191" s="133"/>
      <c r="Z191" s="36"/>
      <c r="AA191" s="132"/>
      <c r="AB191" s="36"/>
      <c r="AC191" s="133"/>
      <c r="AD191" s="133"/>
      <c r="AE191" s="36"/>
      <c r="AF191" s="132"/>
      <c r="AG191" s="36"/>
      <c r="AH191" s="133"/>
      <c r="AI191" s="133"/>
      <c r="AJ191" s="36"/>
      <c r="AK191" s="132"/>
      <c r="AL191" s="36"/>
      <c r="AM191" s="133"/>
      <c r="AN191" s="133"/>
      <c r="AO191" s="36"/>
      <c r="AP191" s="132"/>
      <c r="AQ191" s="36"/>
      <c r="AR191" s="133"/>
      <c r="AS191" s="133"/>
      <c r="AT191" s="36"/>
      <c r="AU191" s="132"/>
      <c r="AV191" s="36"/>
      <c r="AW191" s="133"/>
      <c r="AX191" s="133"/>
      <c r="AY191" s="36"/>
      <c r="AZ191" s="132"/>
      <c r="BA191" s="36"/>
      <c r="BB191" s="133"/>
      <c r="BC191" s="133"/>
      <c r="BD191" s="36"/>
      <c r="BE191" s="132"/>
      <c r="BF191" s="36"/>
      <c r="BG191" s="133"/>
      <c r="BH191" s="133"/>
      <c r="BI191" s="36"/>
      <c r="BJ191" s="132"/>
      <c r="BK191" s="36"/>
      <c r="BL191" s="133"/>
      <c r="BM191" s="133"/>
      <c r="BN191" s="36"/>
      <c r="BO191" s="132"/>
      <c r="BP191" s="36"/>
      <c r="BQ191" s="133"/>
      <c r="BR191" s="133"/>
      <c r="BS191" s="36"/>
      <c r="BT191" s="132"/>
      <c r="BU191" s="36"/>
      <c r="BV191" s="133"/>
      <c r="BW191" s="133"/>
      <c r="BX191" s="36"/>
      <c r="BY191" s="132"/>
      <c r="BZ191" s="132"/>
      <c r="CA191" s="132"/>
      <c r="CB191" s="132"/>
      <c r="CC191" s="132"/>
      <c r="CD191" s="132"/>
      <c r="CE191" s="132"/>
      <c r="CF191" s="132"/>
    </row>
    <row r="192" spans="1:84" x14ac:dyDescent="0.25">
      <c r="A192" s="2" t="s">
        <v>128</v>
      </c>
      <c r="B192" s="7"/>
      <c r="C192" s="7">
        <f t="shared" ref="C192:N192" si="215">(C188*C184)/1000</f>
        <v>0.9570550000000001</v>
      </c>
      <c r="D192" s="129">
        <f t="shared" si="215"/>
        <v>0.92682000000000009</v>
      </c>
      <c r="E192" s="129">
        <f t="shared" si="215"/>
        <v>0.9149775</v>
      </c>
      <c r="F192" s="7">
        <f t="shared" si="215"/>
        <v>0.86606249999999996</v>
      </c>
      <c r="G192" s="128">
        <f t="shared" si="215"/>
        <v>3.6649150000000001</v>
      </c>
      <c r="H192" s="7">
        <f t="shared" si="215"/>
        <v>0.98126250000000004</v>
      </c>
      <c r="I192" s="129">
        <f t="shared" si="215"/>
        <v>0.99314499999999994</v>
      </c>
      <c r="J192" s="129">
        <f t="shared" si="215"/>
        <v>0.78944999999999999</v>
      </c>
      <c r="K192" s="7">
        <f t="shared" si="215"/>
        <v>1.13646</v>
      </c>
      <c r="L192" s="128">
        <f t="shared" si="215"/>
        <v>3.9003175000000003</v>
      </c>
      <c r="M192" s="7">
        <f t="shared" si="215"/>
        <v>1.1066050000000001</v>
      </c>
      <c r="N192" s="129">
        <f t="shared" si="215"/>
        <v>0.95299999999999996</v>
      </c>
      <c r="O192" s="129">
        <f t="shared" ref="O192:BE192" si="216">(O188*O184)/1000</f>
        <v>0.91625749999999995</v>
      </c>
      <c r="P192" s="7">
        <f t="shared" si="216"/>
        <v>0.84696000000000005</v>
      </c>
      <c r="Q192" s="128">
        <f t="shared" si="216"/>
        <v>3.8228224999999996</v>
      </c>
      <c r="R192" s="7">
        <f t="shared" si="216"/>
        <v>0.91598249999999992</v>
      </c>
      <c r="S192" s="129">
        <f t="shared" si="216"/>
        <v>0.90452999999999995</v>
      </c>
      <c r="T192" s="129">
        <f t="shared" si="216"/>
        <v>0.90269499999999991</v>
      </c>
      <c r="U192" s="7">
        <f t="shared" si="216"/>
        <v>0.84156249999999999</v>
      </c>
      <c r="V192" s="128">
        <f t="shared" si="216"/>
        <v>3.5647699999999993</v>
      </c>
      <c r="W192" s="7">
        <f t="shared" si="216"/>
        <v>0.88438249999999996</v>
      </c>
      <c r="X192" s="129">
        <f t="shared" si="216"/>
        <v>0.87648499999999996</v>
      </c>
      <c r="Y192" s="129">
        <f t="shared" si="216"/>
        <v>0.77305499999999994</v>
      </c>
      <c r="Z192" s="7">
        <f t="shared" si="216"/>
        <v>0.81230999999999998</v>
      </c>
      <c r="AA192" s="128">
        <f t="shared" si="216"/>
        <v>3.3462325000000002</v>
      </c>
      <c r="AB192" s="7">
        <f t="shared" si="216"/>
        <v>0</v>
      </c>
      <c r="AC192" s="129">
        <f t="shared" si="216"/>
        <v>0</v>
      </c>
      <c r="AD192" s="129">
        <f t="shared" si="216"/>
        <v>0</v>
      </c>
      <c r="AE192" s="7">
        <f t="shared" si="216"/>
        <v>0</v>
      </c>
      <c r="AF192" s="128">
        <f t="shared" si="216"/>
        <v>0</v>
      </c>
      <c r="AG192" s="7">
        <f>(AG188*AG184)/1000</f>
        <v>0</v>
      </c>
      <c r="AH192" s="129">
        <f>(AH188*AH184)/1000</f>
        <v>0</v>
      </c>
      <c r="AI192" s="129">
        <f>(AI188*AI184)/1000</f>
        <v>0</v>
      </c>
      <c r="AJ192" s="7">
        <f>(AJ188*AJ184)/1000</f>
        <v>0</v>
      </c>
      <c r="AK192" s="128">
        <f t="shared" si="216"/>
        <v>0</v>
      </c>
      <c r="AL192" s="7">
        <f t="shared" si="216"/>
        <v>0</v>
      </c>
      <c r="AM192" s="129">
        <f t="shared" si="216"/>
        <v>0</v>
      </c>
      <c r="AN192" s="129">
        <f t="shared" si="216"/>
        <v>0</v>
      </c>
      <c r="AO192" s="7">
        <f t="shared" si="216"/>
        <v>0</v>
      </c>
      <c r="AP192" s="128">
        <f t="shared" ref="AP192:AU192" si="217">(AP188*AP184)/1000</f>
        <v>0</v>
      </c>
      <c r="AQ192" s="7">
        <f t="shared" si="217"/>
        <v>0</v>
      </c>
      <c r="AR192" s="129">
        <f t="shared" si="217"/>
        <v>0</v>
      </c>
      <c r="AS192" s="129">
        <f t="shared" si="217"/>
        <v>0</v>
      </c>
      <c r="AT192" s="7">
        <f t="shared" si="217"/>
        <v>0</v>
      </c>
      <c r="AU192" s="128">
        <f t="shared" si="217"/>
        <v>0</v>
      </c>
      <c r="AV192" s="7">
        <f>(AV188*AV184)/1000</f>
        <v>0</v>
      </c>
      <c r="AW192" s="129">
        <f>(AW188*AW184)/1000</f>
        <v>0</v>
      </c>
      <c r="AX192" s="129">
        <f>(AX188*AX184)/1000</f>
        <v>0</v>
      </c>
      <c r="AY192" s="7">
        <f>(AY188*AY184)/1000</f>
        <v>0</v>
      </c>
      <c r="AZ192" s="128">
        <f t="shared" si="216"/>
        <v>0</v>
      </c>
      <c r="BA192" s="7">
        <f t="shared" si="216"/>
        <v>0</v>
      </c>
      <c r="BB192" s="129">
        <f t="shared" si="216"/>
        <v>0</v>
      </c>
      <c r="BC192" s="129">
        <f t="shared" si="216"/>
        <v>0</v>
      </c>
      <c r="BD192" s="7">
        <f t="shared" si="216"/>
        <v>0</v>
      </c>
      <c r="BE192" s="128">
        <f t="shared" si="216"/>
        <v>0</v>
      </c>
      <c r="BF192" s="7">
        <f t="shared" ref="BF192:CF192" si="218">(BF188*BF184)/1000</f>
        <v>0</v>
      </c>
      <c r="BG192" s="129">
        <f t="shared" si="218"/>
        <v>0</v>
      </c>
      <c r="BH192" s="129">
        <f t="shared" si="218"/>
        <v>0</v>
      </c>
      <c r="BI192" s="7">
        <f t="shared" si="218"/>
        <v>0</v>
      </c>
      <c r="BJ192" s="128">
        <f t="shared" si="218"/>
        <v>0</v>
      </c>
      <c r="BK192" s="7">
        <f t="shared" si="218"/>
        <v>0</v>
      </c>
      <c r="BL192" s="129">
        <f t="shared" si="218"/>
        <v>0</v>
      </c>
      <c r="BM192" s="129">
        <f t="shared" si="218"/>
        <v>0</v>
      </c>
      <c r="BN192" s="7">
        <f t="shared" si="218"/>
        <v>0</v>
      </c>
      <c r="BO192" s="128">
        <f t="shared" si="218"/>
        <v>0</v>
      </c>
      <c r="BP192" s="7">
        <f t="shared" si="218"/>
        <v>0</v>
      </c>
      <c r="BQ192" s="129">
        <f t="shared" si="218"/>
        <v>0</v>
      </c>
      <c r="BR192" s="129">
        <f t="shared" si="218"/>
        <v>0</v>
      </c>
      <c r="BS192" s="7">
        <f t="shared" si="218"/>
        <v>0</v>
      </c>
      <c r="BT192" s="128">
        <f t="shared" si="218"/>
        <v>0</v>
      </c>
      <c r="BU192" s="7">
        <f>(BU188*BU184)/1000</f>
        <v>0</v>
      </c>
      <c r="BV192" s="129">
        <f>(BV188*BV184)/1000</f>
        <v>0</v>
      </c>
      <c r="BW192" s="129">
        <f>(BW188*BW184)/1000</f>
        <v>0</v>
      </c>
      <c r="BX192" s="7">
        <f>(BX188*BX184)/1000</f>
        <v>0</v>
      </c>
      <c r="BY192" s="128">
        <f t="shared" si="218"/>
        <v>0</v>
      </c>
      <c r="BZ192" s="128">
        <f t="shared" si="218"/>
        <v>0</v>
      </c>
      <c r="CA192" s="128">
        <f t="shared" si="218"/>
        <v>0</v>
      </c>
      <c r="CB192" s="128">
        <f t="shared" si="218"/>
        <v>0</v>
      </c>
      <c r="CC192" s="128">
        <f t="shared" si="218"/>
        <v>0</v>
      </c>
      <c r="CD192" s="128">
        <f t="shared" si="218"/>
        <v>0</v>
      </c>
      <c r="CE192" s="128">
        <f t="shared" si="218"/>
        <v>0</v>
      </c>
      <c r="CF192" s="128">
        <f t="shared" si="218"/>
        <v>0</v>
      </c>
    </row>
    <row r="193" spans="1:84" ht="5.25" customHeight="1" x14ac:dyDescent="0.25">
      <c r="A193" s="2"/>
      <c r="B193" s="130"/>
      <c r="C193" s="130" t="s">
        <v>1059</v>
      </c>
      <c r="D193" s="130" t="s">
        <v>1059</v>
      </c>
      <c r="E193" s="130" t="s">
        <v>1059</v>
      </c>
      <c r="F193" s="130" t="s">
        <v>1059</v>
      </c>
      <c r="G193" s="131" t="s">
        <v>1059</v>
      </c>
      <c r="H193" s="130" t="s">
        <v>1059</v>
      </c>
      <c r="I193" s="130" t="s">
        <v>1059</v>
      </c>
      <c r="J193" s="130" t="s">
        <v>1059</v>
      </c>
      <c r="K193" s="130" t="s">
        <v>1059</v>
      </c>
      <c r="L193" s="131" t="s">
        <v>1059</v>
      </c>
      <c r="M193" s="130" t="s">
        <v>1059</v>
      </c>
      <c r="N193" s="130" t="s">
        <v>1059</v>
      </c>
      <c r="O193" s="130" t="s">
        <v>1059</v>
      </c>
      <c r="P193" s="130" t="s">
        <v>1059</v>
      </c>
      <c r="Q193" s="131" t="s">
        <v>1059</v>
      </c>
      <c r="R193" s="130" t="s">
        <v>1059</v>
      </c>
      <c r="S193" s="130" t="s">
        <v>1059</v>
      </c>
      <c r="T193" s="130" t="s">
        <v>1059</v>
      </c>
      <c r="U193" s="130" t="s">
        <v>1059</v>
      </c>
      <c r="V193" s="131" t="s">
        <v>1059</v>
      </c>
      <c r="W193" s="130" t="s">
        <v>1059</v>
      </c>
      <c r="X193" s="130" t="s">
        <v>1059</v>
      </c>
      <c r="Y193" s="130" t="s">
        <v>1059</v>
      </c>
      <c r="Z193" s="130" t="s">
        <v>1059</v>
      </c>
      <c r="AA193" s="131" t="s">
        <v>1059</v>
      </c>
      <c r="AB193" s="130" t="s">
        <v>1059</v>
      </c>
      <c r="AC193" s="130" t="s">
        <v>1059</v>
      </c>
      <c r="AD193" s="130" t="s">
        <v>1059</v>
      </c>
      <c r="AE193" s="130" t="s">
        <v>1059</v>
      </c>
      <c r="AF193" s="131" t="s">
        <v>1059</v>
      </c>
      <c r="AG193" s="130" t="s">
        <v>1059</v>
      </c>
      <c r="AH193" s="130" t="s">
        <v>1059</v>
      </c>
      <c r="AI193" s="130" t="s">
        <v>1059</v>
      </c>
      <c r="AJ193" s="130" t="s">
        <v>1059</v>
      </c>
      <c r="AK193" s="131" t="s">
        <v>1059</v>
      </c>
      <c r="AL193" s="130" t="s">
        <v>1059</v>
      </c>
      <c r="AM193" s="130" t="s">
        <v>1059</v>
      </c>
      <c r="AN193" s="130" t="s">
        <v>1059</v>
      </c>
      <c r="AO193" s="130" t="s">
        <v>1059</v>
      </c>
      <c r="AP193" s="131" t="s">
        <v>1059</v>
      </c>
      <c r="AQ193" s="130" t="s">
        <v>1059</v>
      </c>
      <c r="AR193" s="130" t="s">
        <v>1059</v>
      </c>
      <c r="AS193" s="130" t="s">
        <v>1059</v>
      </c>
      <c r="AT193" s="130" t="s">
        <v>1059</v>
      </c>
      <c r="AU193" s="131" t="s">
        <v>1059</v>
      </c>
      <c r="AV193" s="130" t="s">
        <v>1059</v>
      </c>
      <c r="AW193" s="130" t="s">
        <v>1059</v>
      </c>
      <c r="AX193" s="130" t="s">
        <v>1059</v>
      </c>
      <c r="AY193" s="130" t="s">
        <v>1059</v>
      </c>
      <c r="AZ193" s="131" t="s">
        <v>1059</v>
      </c>
      <c r="BA193" s="130" t="s">
        <v>1059</v>
      </c>
      <c r="BB193" s="130" t="s">
        <v>1059</v>
      </c>
      <c r="BC193" s="130" t="s">
        <v>1059</v>
      </c>
      <c r="BD193" s="130" t="s">
        <v>1059</v>
      </c>
      <c r="BE193" s="131" t="s">
        <v>1059</v>
      </c>
      <c r="BF193" s="130" t="s">
        <v>1059</v>
      </c>
      <c r="BG193" s="130" t="s">
        <v>1059</v>
      </c>
      <c r="BH193" s="130" t="s">
        <v>1059</v>
      </c>
      <c r="BI193" s="130" t="s">
        <v>1059</v>
      </c>
      <c r="BJ193" s="131" t="s">
        <v>1059</v>
      </c>
      <c r="BK193" s="130" t="s">
        <v>1059</v>
      </c>
      <c r="BL193" s="130" t="s">
        <v>1059</v>
      </c>
      <c r="BM193" s="130" t="s">
        <v>1059</v>
      </c>
      <c r="BN193" s="130" t="s">
        <v>1059</v>
      </c>
      <c r="BO193" s="131" t="s">
        <v>1059</v>
      </c>
      <c r="BP193" s="130" t="s">
        <v>1059</v>
      </c>
      <c r="BQ193" s="130" t="s">
        <v>1059</v>
      </c>
      <c r="BR193" s="130" t="s">
        <v>1059</v>
      </c>
      <c r="BS193" s="130" t="s">
        <v>1059</v>
      </c>
      <c r="BT193" s="131" t="s">
        <v>1059</v>
      </c>
      <c r="BU193" s="130" t="s">
        <v>1059</v>
      </c>
      <c r="BV193" s="130" t="s">
        <v>1059</v>
      </c>
      <c r="BW193" s="130" t="s">
        <v>1059</v>
      </c>
      <c r="BX193" s="130" t="s">
        <v>1059</v>
      </c>
      <c r="BY193" s="131" t="s">
        <v>1059</v>
      </c>
      <c r="BZ193" s="131" t="s">
        <v>1059</v>
      </c>
      <c r="CA193" s="131" t="s">
        <v>1059</v>
      </c>
      <c r="CB193" s="131" t="s">
        <v>1059</v>
      </c>
      <c r="CC193" s="131" t="s">
        <v>1059</v>
      </c>
      <c r="CD193" s="131" t="s">
        <v>1059</v>
      </c>
      <c r="CE193" s="131" t="s">
        <v>1059</v>
      </c>
      <c r="CF193" s="131" t="s">
        <v>1059</v>
      </c>
    </row>
    <row r="194" spans="1:84" x14ac:dyDescent="0.25">
      <c r="A194" s="2" t="s">
        <v>129</v>
      </c>
      <c r="B194" s="34"/>
      <c r="C194" s="34">
        <f t="shared" ref="C194:N194" si="219">C190+C192</f>
        <v>6.941326730000001</v>
      </c>
      <c r="D194" s="112">
        <f t="shared" si="219"/>
        <v>6.6751277249999994</v>
      </c>
      <c r="E194" s="112">
        <f t="shared" si="219"/>
        <v>6.3255839789500001</v>
      </c>
      <c r="F194" s="34">
        <f t="shared" si="219"/>
        <v>6.4982476413999999</v>
      </c>
      <c r="G194" s="111">
        <f t="shared" si="219"/>
        <v>26.440286075349999</v>
      </c>
      <c r="H194" s="34">
        <f t="shared" si="219"/>
        <v>7.407235020199999</v>
      </c>
      <c r="I194" s="112">
        <f t="shared" si="219"/>
        <v>7.3089703799999999</v>
      </c>
      <c r="J194" s="112">
        <f t="shared" si="219"/>
        <v>7.2136392499999999</v>
      </c>
      <c r="K194" s="34">
        <f t="shared" si="219"/>
        <v>10.63616706</v>
      </c>
      <c r="L194" s="111">
        <f t="shared" si="219"/>
        <v>32.566011710200002</v>
      </c>
      <c r="M194" s="34">
        <f t="shared" si="219"/>
        <v>10.73693617</v>
      </c>
      <c r="N194" s="112">
        <f t="shared" si="219"/>
        <v>8.8435000000000006</v>
      </c>
      <c r="O194" s="112">
        <f t="shared" ref="O194:BE194" si="220">O190+O192</f>
        <v>8.4308886950000002</v>
      </c>
      <c r="P194" s="34">
        <f t="shared" si="220"/>
        <v>8.0678283486999991</v>
      </c>
      <c r="Q194" s="111">
        <f t="shared" si="220"/>
        <v>36.079153213700003</v>
      </c>
      <c r="R194" s="34">
        <f t="shared" si="220"/>
        <v>8.7126339249999987</v>
      </c>
      <c r="S194" s="112">
        <f t="shared" si="220"/>
        <v>8.442409360000001</v>
      </c>
      <c r="T194" s="112">
        <f t="shared" si="220"/>
        <v>8.5414398899999995</v>
      </c>
      <c r="U194" s="34">
        <f t="shared" si="220"/>
        <v>8.2004190999999995</v>
      </c>
      <c r="V194" s="111">
        <f t="shared" si="220"/>
        <v>33.896902274999995</v>
      </c>
      <c r="W194" s="34">
        <f t="shared" si="220"/>
        <v>8.6456356799999998</v>
      </c>
      <c r="X194" s="112">
        <f t="shared" si="220"/>
        <v>8.33249417675</v>
      </c>
      <c r="Y194" s="112">
        <f t="shared" si="220"/>
        <v>7.4352809238000006</v>
      </c>
      <c r="Z194" s="34">
        <f t="shared" si="220"/>
        <v>8.3165343371500011</v>
      </c>
      <c r="AA194" s="111">
        <f t="shared" si="220"/>
        <v>32.729945117699998</v>
      </c>
      <c r="AB194" s="34">
        <f t="shared" si="220"/>
        <v>8.4410000000000007</v>
      </c>
      <c r="AC194" s="112">
        <f t="shared" si="220"/>
        <v>7.5439999999999996</v>
      </c>
      <c r="AD194" s="112">
        <f t="shared" si="220"/>
        <v>7.0380000000000003</v>
      </c>
      <c r="AE194" s="34">
        <f t="shared" si="220"/>
        <v>6.463000000000001</v>
      </c>
      <c r="AF194" s="111">
        <f t="shared" si="220"/>
        <v>29.485999999999997</v>
      </c>
      <c r="AG194" s="34">
        <f>AG190+AG192</f>
        <v>7.2220000000000004</v>
      </c>
      <c r="AH194" s="112">
        <f>AH190+AH192</f>
        <v>6.9</v>
      </c>
      <c r="AI194" s="112">
        <f>AI190+AI192</f>
        <v>6.4843973025000006</v>
      </c>
      <c r="AJ194" s="34">
        <f>AJ190+AJ192</f>
        <v>6.5710350986000003</v>
      </c>
      <c r="AK194" s="111">
        <f t="shared" si="220"/>
        <v>27.177432401099999</v>
      </c>
      <c r="AL194" s="34">
        <f t="shared" si="220"/>
        <v>7.3264570461000007</v>
      </c>
      <c r="AM194" s="112">
        <f t="shared" si="220"/>
        <v>7.0330393140000007</v>
      </c>
      <c r="AN194" s="112">
        <f t="shared" si="220"/>
        <v>6.8925600358999999</v>
      </c>
      <c r="AO194" s="34">
        <f t="shared" si="220"/>
        <v>6.5519340977000002</v>
      </c>
      <c r="AP194" s="111">
        <f t="shared" ref="AP194:AU194" si="221">AP190+AP192</f>
        <v>27.803990493699999</v>
      </c>
      <c r="AQ194" s="34">
        <f t="shared" si="221"/>
        <v>7.6073489942999997</v>
      </c>
      <c r="AR194" s="112">
        <f t="shared" si="221"/>
        <v>7.1336334871</v>
      </c>
      <c r="AS194" s="112">
        <f t="shared" si="221"/>
        <v>6.1491537645000012</v>
      </c>
      <c r="AT194" s="34">
        <f t="shared" si="221"/>
        <v>4.9069131982999998</v>
      </c>
      <c r="AU194" s="111">
        <f t="shared" si="221"/>
        <v>25.797049444200002</v>
      </c>
      <c r="AV194" s="34">
        <f>AV190+AV192</f>
        <v>5.078416325400001</v>
      </c>
      <c r="AW194" s="112">
        <f>AW190+AW192</f>
        <v>4.9756475391000006</v>
      </c>
      <c r="AX194" s="112">
        <f>AX190+AX192</f>
        <v>4.0730512389000006</v>
      </c>
      <c r="AY194" s="34">
        <f>AY190+AY192</f>
        <v>1.4568353333333335</v>
      </c>
      <c r="AZ194" s="111">
        <f t="shared" si="220"/>
        <v>15.583950436733334</v>
      </c>
      <c r="BA194" s="34">
        <f t="shared" si="220"/>
        <v>0</v>
      </c>
      <c r="BB194" s="112">
        <f t="shared" si="220"/>
        <v>0</v>
      </c>
      <c r="BC194" s="112">
        <f t="shared" si="220"/>
        <v>0</v>
      </c>
      <c r="BD194" s="34">
        <f t="shared" si="220"/>
        <v>0</v>
      </c>
      <c r="BE194" s="111">
        <f t="shared" si="220"/>
        <v>0</v>
      </c>
      <c r="BF194" s="34">
        <f t="shared" ref="BF194:CF194" si="222">BF190+BF192</f>
        <v>0</v>
      </c>
      <c r="BG194" s="112">
        <f t="shared" si="222"/>
        <v>0</v>
      </c>
      <c r="BH194" s="112">
        <f t="shared" si="222"/>
        <v>0</v>
      </c>
      <c r="BI194" s="34">
        <f t="shared" si="222"/>
        <v>0</v>
      </c>
      <c r="BJ194" s="111">
        <f t="shared" si="222"/>
        <v>0</v>
      </c>
      <c r="BK194" s="34">
        <f t="shared" si="222"/>
        <v>0</v>
      </c>
      <c r="BL194" s="112">
        <f t="shared" si="222"/>
        <v>0</v>
      </c>
      <c r="BM194" s="112">
        <f t="shared" si="222"/>
        <v>0</v>
      </c>
      <c r="BN194" s="34">
        <f t="shared" si="222"/>
        <v>0</v>
      </c>
      <c r="BO194" s="111">
        <f t="shared" si="222"/>
        <v>0</v>
      </c>
      <c r="BP194" s="34">
        <f t="shared" si="222"/>
        <v>0</v>
      </c>
      <c r="BQ194" s="112">
        <f t="shared" si="222"/>
        <v>0</v>
      </c>
      <c r="BR194" s="112">
        <f t="shared" si="222"/>
        <v>0</v>
      </c>
      <c r="BS194" s="34">
        <f t="shared" si="222"/>
        <v>0</v>
      </c>
      <c r="BT194" s="111">
        <f t="shared" si="222"/>
        <v>0</v>
      </c>
      <c r="BU194" s="34">
        <f>BU190+BU192</f>
        <v>0</v>
      </c>
      <c r="BV194" s="112">
        <f>BV190+BV192</f>
        <v>0</v>
      </c>
      <c r="BW194" s="112">
        <f>BW190+BW192</f>
        <v>0</v>
      </c>
      <c r="BX194" s="34">
        <f>BX190+BX192</f>
        <v>0</v>
      </c>
      <c r="BY194" s="111">
        <f t="shared" si="222"/>
        <v>0</v>
      </c>
      <c r="BZ194" s="111">
        <f t="shared" si="222"/>
        <v>0</v>
      </c>
      <c r="CA194" s="111">
        <f t="shared" si="222"/>
        <v>0</v>
      </c>
      <c r="CB194" s="111">
        <f t="shared" si="222"/>
        <v>0</v>
      </c>
      <c r="CC194" s="111">
        <f t="shared" si="222"/>
        <v>0</v>
      </c>
      <c r="CD194" s="111">
        <f t="shared" si="222"/>
        <v>0</v>
      </c>
      <c r="CE194" s="111">
        <f t="shared" si="222"/>
        <v>0</v>
      </c>
      <c r="CF194" s="111">
        <f t="shared" si="222"/>
        <v>0</v>
      </c>
    </row>
    <row r="195" spans="1:84" x14ac:dyDescent="0.25">
      <c r="A195" s="2"/>
      <c r="B195" s="2"/>
      <c r="C195" s="4"/>
      <c r="D195" s="4"/>
      <c r="E195" s="4"/>
      <c r="F195" s="4"/>
      <c r="G195" s="55"/>
      <c r="H195" s="4"/>
      <c r="I195" s="4"/>
      <c r="J195" s="4"/>
      <c r="K195" s="4"/>
      <c r="L195" s="55"/>
      <c r="M195" s="4"/>
      <c r="N195" s="4"/>
      <c r="O195" s="4"/>
      <c r="P195" s="4"/>
      <c r="Q195" s="55"/>
      <c r="R195" s="4"/>
      <c r="S195" s="4"/>
      <c r="T195" s="4"/>
      <c r="U195" s="4"/>
      <c r="V195" s="55"/>
      <c r="W195" s="4"/>
      <c r="X195" s="4"/>
      <c r="Y195" s="4"/>
      <c r="Z195" s="4"/>
      <c r="AA195" s="55"/>
      <c r="AB195" s="4"/>
      <c r="AC195" s="4"/>
      <c r="AD195" s="4"/>
      <c r="AE195" s="4"/>
      <c r="AF195" s="55"/>
      <c r="AG195" s="4"/>
      <c r="AH195" s="4"/>
      <c r="AI195" s="4"/>
      <c r="AJ195" s="4"/>
      <c r="AK195" s="55"/>
      <c r="AL195" s="4"/>
      <c r="AM195" s="4"/>
      <c r="AN195" s="4"/>
      <c r="AO195" s="4"/>
      <c r="AP195" s="55"/>
      <c r="AQ195" s="4"/>
      <c r="AR195" s="4"/>
      <c r="AS195" s="4"/>
      <c r="AT195" s="4"/>
      <c r="AU195" s="55"/>
      <c r="AV195" s="4"/>
      <c r="AW195" s="4"/>
      <c r="AX195" s="4"/>
      <c r="AY195" s="4"/>
      <c r="AZ195" s="55"/>
      <c r="BA195" s="4"/>
      <c r="BB195" s="4"/>
      <c r="BC195" s="4"/>
      <c r="BD195" s="4"/>
      <c r="BE195" s="55"/>
      <c r="BF195" s="4"/>
      <c r="BG195" s="4"/>
      <c r="BH195" s="4"/>
      <c r="BI195" s="4"/>
      <c r="BJ195" s="55"/>
      <c r="BK195" s="4"/>
      <c r="BL195" s="4"/>
      <c r="BM195" s="4"/>
      <c r="BN195" s="4"/>
      <c r="BO195" s="55"/>
      <c r="BP195" s="4"/>
      <c r="BQ195" s="4"/>
      <c r="BR195" s="4"/>
      <c r="BS195" s="4"/>
      <c r="BT195" s="55"/>
      <c r="BU195" s="4"/>
      <c r="BV195" s="4"/>
      <c r="BW195" s="4"/>
      <c r="BX195" s="4"/>
      <c r="BY195" s="55"/>
      <c r="BZ195" s="55"/>
      <c r="CA195" s="55"/>
      <c r="CB195" s="55"/>
      <c r="CC195" s="55"/>
      <c r="CD195" s="55"/>
      <c r="CE195" s="55"/>
      <c r="CF195" s="55"/>
    </row>
    <row r="196" spans="1:84" x14ac:dyDescent="0.25">
      <c r="A196" s="51" t="s">
        <v>621</v>
      </c>
      <c r="B196" s="2"/>
      <c r="C196" s="4"/>
      <c r="D196" s="4"/>
      <c r="E196" s="4"/>
      <c r="F196" s="4"/>
      <c r="G196" s="55"/>
      <c r="H196" s="4"/>
      <c r="I196" s="4"/>
      <c r="J196" s="4"/>
      <c r="K196" s="4"/>
      <c r="L196" s="55"/>
      <c r="M196" s="4"/>
      <c r="N196" s="4"/>
      <c r="O196" s="4"/>
      <c r="P196" s="4"/>
      <c r="Q196" s="55"/>
      <c r="R196" s="4"/>
      <c r="S196" s="4"/>
      <c r="T196" s="4"/>
      <c r="U196" s="4"/>
      <c r="V196" s="55"/>
      <c r="W196" s="4"/>
      <c r="X196" s="4"/>
      <c r="Y196" s="4"/>
      <c r="Z196" s="4"/>
      <c r="AA196" s="55"/>
      <c r="AB196" s="4"/>
      <c r="AC196" s="4"/>
      <c r="AD196" s="4"/>
      <c r="AE196" s="4"/>
      <c r="AF196" s="55"/>
      <c r="AG196" s="4"/>
      <c r="AH196" s="4"/>
      <c r="AI196" s="4"/>
      <c r="AJ196" s="4"/>
      <c r="AK196" s="55"/>
      <c r="AL196" s="4"/>
      <c r="AM196" s="4"/>
      <c r="AN196" s="4"/>
      <c r="AO196" s="4"/>
      <c r="AP196" s="55"/>
      <c r="AQ196" s="4"/>
      <c r="AR196" s="4"/>
      <c r="AS196" s="4"/>
      <c r="AT196" s="4"/>
      <c r="AU196" s="55"/>
      <c r="AV196" s="4"/>
      <c r="AW196" s="4"/>
      <c r="AX196" s="4"/>
      <c r="AY196" s="4"/>
      <c r="AZ196" s="55"/>
      <c r="BA196" s="4"/>
      <c r="BB196" s="4"/>
      <c r="BC196" s="4"/>
      <c r="BD196" s="4"/>
      <c r="BE196" s="55"/>
      <c r="BF196" s="4"/>
      <c r="BG196" s="4"/>
      <c r="BH196" s="4"/>
      <c r="BI196" s="4"/>
      <c r="BJ196" s="55"/>
      <c r="BK196" s="4"/>
      <c r="BL196" s="4"/>
      <c r="BM196" s="4"/>
      <c r="BN196" s="4"/>
      <c r="BO196" s="55"/>
      <c r="BP196" s="4"/>
      <c r="BQ196" s="4"/>
      <c r="BR196" s="4"/>
      <c r="BS196" s="4"/>
      <c r="BT196" s="55"/>
      <c r="BU196" s="4"/>
      <c r="BV196" s="4"/>
      <c r="BW196" s="4"/>
      <c r="BX196" s="4"/>
      <c r="BY196" s="55"/>
      <c r="BZ196" s="55"/>
      <c r="CA196" s="55"/>
      <c r="CB196" s="55"/>
      <c r="CC196" s="55"/>
      <c r="CD196" s="55"/>
      <c r="CE196" s="55"/>
      <c r="CF196" s="55"/>
    </row>
    <row r="197" spans="1:84" x14ac:dyDescent="0.25">
      <c r="A197" s="2" t="s">
        <v>558</v>
      </c>
      <c r="B197" s="2"/>
      <c r="C197" s="4"/>
      <c r="D197" s="4"/>
      <c r="E197" s="4"/>
      <c r="F197" s="4"/>
      <c r="G197" s="55"/>
      <c r="H197" s="4"/>
      <c r="I197" s="4"/>
      <c r="J197" s="4"/>
      <c r="K197" s="4"/>
      <c r="L197" s="55"/>
      <c r="M197" s="4"/>
      <c r="N197" s="4"/>
      <c r="O197" s="4"/>
      <c r="P197" s="4"/>
      <c r="Q197" s="55"/>
      <c r="R197" s="4"/>
      <c r="S197" s="4"/>
      <c r="T197" s="4"/>
      <c r="U197" s="4"/>
      <c r="V197" s="55"/>
      <c r="W197" s="4"/>
      <c r="X197" s="4"/>
      <c r="Y197" s="4"/>
      <c r="Z197" s="4"/>
      <c r="AA197" s="55"/>
      <c r="AB197" s="4"/>
      <c r="AC197" s="4"/>
      <c r="AD197" s="4"/>
      <c r="AE197" s="4"/>
      <c r="AF197" s="55"/>
      <c r="AG197" s="4"/>
      <c r="AH197" s="4"/>
      <c r="AI197" s="4"/>
      <c r="AJ197" s="4"/>
      <c r="AK197" s="55"/>
      <c r="AL197" s="4"/>
      <c r="AM197" s="4"/>
      <c r="AN197" s="4"/>
      <c r="AO197" s="4"/>
      <c r="AP197" s="55"/>
      <c r="AQ197" s="4"/>
      <c r="AR197" s="4"/>
      <c r="AS197" s="4"/>
      <c r="AT197" s="4"/>
      <c r="AU197" s="55"/>
      <c r="AV197" s="4"/>
      <c r="AW197" s="4"/>
      <c r="AX197" s="4"/>
      <c r="AY197" s="4"/>
      <c r="AZ197" s="55"/>
      <c r="BA197" s="4"/>
      <c r="BB197" s="4"/>
      <c r="BC197" s="4"/>
      <c r="BD197" s="4"/>
      <c r="BE197" s="55"/>
      <c r="BF197" s="4"/>
      <c r="BG197" s="4"/>
      <c r="BH197" s="4"/>
      <c r="BI197" s="4"/>
      <c r="BJ197" s="55"/>
      <c r="BK197" s="4"/>
      <c r="BL197" s="4"/>
      <c r="BM197" s="4"/>
      <c r="BN197" s="4"/>
      <c r="BO197" s="55"/>
      <c r="BP197" s="4"/>
      <c r="BQ197" s="4"/>
      <c r="BR197" s="4"/>
      <c r="BS197" s="4"/>
      <c r="BT197" s="55"/>
      <c r="BU197" s="4"/>
      <c r="BV197" s="4"/>
      <c r="BW197" s="4"/>
      <c r="BX197" s="4"/>
      <c r="BY197" s="55"/>
      <c r="BZ197" s="55"/>
      <c r="CA197" s="55"/>
      <c r="CB197" s="55"/>
      <c r="CC197" s="55"/>
      <c r="CD197" s="55"/>
      <c r="CE197" s="55"/>
      <c r="CF197" s="55"/>
    </row>
    <row r="198" spans="1:84" x14ac:dyDescent="0.25">
      <c r="A198" s="2">
        <v>1</v>
      </c>
      <c r="B198" s="157"/>
      <c r="C198" s="157">
        <v>1</v>
      </c>
      <c r="D198" s="158">
        <v>1</v>
      </c>
      <c r="E198" s="158">
        <v>1</v>
      </c>
      <c r="F198" s="157">
        <v>1</v>
      </c>
      <c r="G198" s="156">
        <v>1</v>
      </c>
      <c r="H198" s="157">
        <v>1</v>
      </c>
      <c r="I198" s="158">
        <v>1</v>
      </c>
      <c r="J198" s="158">
        <v>1</v>
      </c>
      <c r="K198" s="157">
        <v>1</v>
      </c>
      <c r="L198" s="156">
        <v>1</v>
      </c>
      <c r="M198" s="157">
        <v>1</v>
      </c>
      <c r="N198" s="158">
        <v>1</v>
      </c>
      <c r="O198" s="158">
        <v>1</v>
      </c>
      <c r="P198" s="157">
        <v>1</v>
      </c>
      <c r="Q198" s="156">
        <v>1</v>
      </c>
      <c r="R198" s="157">
        <v>1</v>
      </c>
      <c r="S198" s="158">
        <v>1</v>
      </c>
      <c r="T198" s="158">
        <v>1</v>
      </c>
      <c r="U198" s="157">
        <v>1</v>
      </c>
      <c r="V198" s="156">
        <v>1</v>
      </c>
      <c r="W198" s="157">
        <v>1</v>
      </c>
      <c r="X198" s="158">
        <v>1</v>
      </c>
      <c r="Y198" s="158">
        <v>1</v>
      </c>
      <c r="Z198" s="157">
        <v>1</v>
      </c>
      <c r="AA198" s="156">
        <v>1</v>
      </c>
      <c r="AB198" s="157">
        <v>1</v>
      </c>
      <c r="AC198" s="158">
        <v>1</v>
      </c>
      <c r="AD198" s="158">
        <v>1</v>
      </c>
      <c r="AE198" s="157">
        <v>1</v>
      </c>
      <c r="AF198" s="156">
        <v>1</v>
      </c>
      <c r="AG198" s="157">
        <v>1</v>
      </c>
      <c r="AH198" s="158">
        <v>1</v>
      </c>
      <c r="AI198" s="158">
        <v>1</v>
      </c>
      <c r="AJ198" s="157">
        <v>1</v>
      </c>
      <c r="AK198" s="156">
        <v>1</v>
      </c>
      <c r="AL198" s="157">
        <v>1</v>
      </c>
      <c r="AM198" s="158">
        <v>1</v>
      </c>
      <c r="AN198" s="158">
        <v>1</v>
      </c>
      <c r="AO198" s="157">
        <v>1</v>
      </c>
      <c r="AP198" s="156">
        <v>1</v>
      </c>
      <c r="AQ198" s="157">
        <v>1</v>
      </c>
      <c r="AR198" s="158">
        <v>1</v>
      </c>
      <c r="AS198" s="158">
        <v>1</v>
      </c>
      <c r="AT198" s="157">
        <v>1</v>
      </c>
      <c r="AU198" s="156">
        <v>1</v>
      </c>
      <c r="AV198" s="157">
        <v>1</v>
      </c>
      <c r="AW198" s="158">
        <v>1</v>
      </c>
      <c r="AX198" s="158">
        <v>1</v>
      </c>
      <c r="AY198" s="157">
        <v>1</v>
      </c>
      <c r="AZ198" s="156">
        <v>1</v>
      </c>
      <c r="BA198" s="157">
        <v>1</v>
      </c>
      <c r="BB198" s="158">
        <v>1</v>
      </c>
      <c r="BC198" s="158">
        <v>1</v>
      </c>
      <c r="BD198" s="157">
        <v>1</v>
      </c>
      <c r="BE198" s="156">
        <v>1</v>
      </c>
      <c r="BF198" s="157">
        <v>1</v>
      </c>
      <c r="BG198" s="158">
        <v>1</v>
      </c>
      <c r="BH198" s="158">
        <v>1</v>
      </c>
      <c r="BI198" s="157">
        <v>1</v>
      </c>
      <c r="BJ198" s="156">
        <v>1</v>
      </c>
      <c r="BK198" s="157">
        <v>1</v>
      </c>
      <c r="BL198" s="158">
        <v>1</v>
      </c>
      <c r="BM198" s="158">
        <v>1</v>
      </c>
      <c r="BN198" s="157">
        <v>1</v>
      </c>
      <c r="BO198" s="156">
        <v>1</v>
      </c>
      <c r="BP198" s="157">
        <v>1</v>
      </c>
      <c r="BQ198" s="158">
        <v>1</v>
      </c>
      <c r="BR198" s="158">
        <v>1</v>
      </c>
      <c r="BS198" s="157">
        <v>1</v>
      </c>
      <c r="BT198" s="156">
        <v>1</v>
      </c>
      <c r="BU198" s="157">
        <v>1</v>
      </c>
      <c r="BV198" s="158">
        <v>1</v>
      </c>
      <c r="BW198" s="158">
        <v>1</v>
      </c>
      <c r="BX198" s="157">
        <v>1</v>
      </c>
      <c r="BY198" s="156">
        <v>1</v>
      </c>
      <c r="BZ198" s="156">
        <v>1</v>
      </c>
      <c r="CA198" s="156">
        <v>1</v>
      </c>
      <c r="CB198" s="156">
        <v>1</v>
      </c>
      <c r="CC198" s="156">
        <v>1</v>
      </c>
      <c r="CD198" s="156">
        <v>1</v>
      </c>
      <c r="CE198" s="156">
        <v>1</v>
      </c>
      <c r="CF198" s="156">
        <v>1</v>
      </c>
    </row>
    <row r="199" spans="1:84" x14ac:dyDescent="0.25">
      <c r="A199" s="2">
        <v>2</v>
      </c>
      <c r="B199" s="59"/>
      <c r="C199" s="59">
        <v>3</v>
      </c>
      <c r="D199" s="63">
        <v>3</v>
      </c>
      <c r="E199" s="63">
        <v>3</v>
      </c>
      <c r="F199" s="59">
        <v>3</v>
      </c>
      <c r="G199" s="50">
        <v>3</v>
      </c>
      <c r="H199" s="59">
        <v>3</v>
      </c>
      <c r="I199" s="63">
        <v>3</v>
      </c>
      <c r="J199" s="63">
        <v>3</v>
      </c>
      <c r="K199" s="59">
        <v>3</v>
      </c>
      <c r="L199" s="50">
        <v>3</v>
      </c>
      <c r="M199" s="59">
        <v>3</v>
      </c>
      <c r="N199" s="63">
        <v>3</v>
      </c>
      <c r="O199" s="63">
        <v>3</v>
      </c>
      <c r="P199" s="59">
        <v>3</v>
      </c>
      <c r="Q199" s="50">
        <v>3</v>
      </c>
      <c r="R199" s="59">
        <v>3</v>
      </c>
      <c r="S199" s="63">
        <v>3</v>
      </c>
      <c r="T199" s="63">
        <v>3</v>
      </c>
      <c r="U199" s="59">
        <v>3</v>
      </c>
      <c r="V199" s="50">
        <v>3</v>
      </c>
      <c r="W199" s="59">
        <v>3</v>
      </c>
      <c r="X199" s="63">
        <v>3</v>
      </c>
      <c r="Y199" s="63">
        <v>3</v>
      </c>
      <c r="Z199" s="59">
        <v>3</v>
      </c>
      <c r="AA199" s="50">
        <v>3</v>
      </c>
      <c r="AB199" s="59">
        <v>3</v>
      </c>
      <c r="AC199" s="63">
        <v>3</v>
      </c>
      <c r="AD199" s="63">
        <v>3</v>
      </c>
      <c r="AE199" s="59">
        <v>3</v>
      </c>
      <c r="AF199" s="50">
        <v>3</v>
      </c>
      <c r="AG199" s="59">
        <v>3</v>
      </c>
      <c r="AH199" s="63">
        <v>3</v>
      </c>
      <c r="AI199" s="63">
        <v>3</v>
      </c>
      <c r="AJ199" s="59">
        <v>3</v>
      </c>
      <c r="AK199" s="50">
        <v>3</v>
      </c>
      <c r="AL199" s="59">
        <v>3</v>
      </c>
      <c r="AM199" s="63">
        <v>3</v>
      </c>
      <c r="AN199" s="63">
        <v>3</v>
      </c>
      <c r="AO199" s="59">
        <v>3</v>
      </c>
      <c r="AP199" s="50">
        <v>3</v>
      </c>
      <c r="AQ199" s="59">
        <v>3</v>
      </c>
      <c r="AR199" s="63">
        <v>3</v>
      </c>
      <c r="AS199" s="63">
        <v>3</v>
      </c>
      <c r="AT199" s="59">
        <v>3</v>
      </c>
      <c r="AU199" s="50">
        <v>3</v>
      </c>
      <c r="AV199" s="59">
        <v>3</v>
      </c>
      <c r="AW199" s="63">
        <v>3</v>
      </c>
      <c r="AX199" s="63">
        <v>3</v>
      </c>
      <c r="AY199" s="59">
        <v>3</v>
      </c>
      <c r="AZ199" s="50">
        <v>3</v>
      </c>
      <c r="BA199" s="59">
        <v>3</v>
      </c>
      <c r="BB199" s="63">
        <v>3</v>
      </c>
      <c r="BC199" s="63">
        <v>3</v>
      </c>
      <c r="BD199" s="59">
        <v>3</v>
      </c>
      <c r="BE199" s="50">
        <v>3</v>
      </c>
      <c r="BF199" s="59">
        <v>3</v>
      </c>
      <c r="BG199" s="63">
        <v>3</v>
      </c>
      <c r="BH199" s="63">
        <v>3</v>
      </c>
      <c r="BI199" s="59">
        <v>3</v>
      </c>
      <c r="BJ199" s="50">
        <v>3</v>
      </c>
      <c r="BK199" s="59">
        <v>3</v>
      </c>
      <c r="BL199" s="63">
        <v>3</v>
      </c>
      <c r="BM199" s="63">
        <v>3</v>
      </c>
      <c r="BN199" s="59">
        <v>3</v>
      </c>
      <c r="BO199" s="50">
        <v>3</v>
      </c>
      <c r="BP199" s="59">
        <v>3</v>
      </c>
      <c r="BQ199" s="63">
        <v>3</v>
      </c>
      <c r="BR199" s="63">
        <v>3</v>
      </c>
      <c r="BS199" s="59">
        <v>3</v>
      </c>
      <c r="BT199" s="50">
        <v>3</v>
      </c>
      <c r="BU199" s="59">
        <v>3</v>
      </c>
      <c r="BV199" s="63">
        <v>3</v>
      </c>
      <c r="BW199" s="63">
        <v>3</v>
      </c>
      <c r="BX199" s="59">
        <v>3</v>
      </c>
      <c r="BY199" s="50">
        <v>3</v>
      </c>
      <c r="BZ199" s="50">
        <v>3</v>
      </c>
      <c r="CA199" s="50">
        <v>3</v>
      </c>
      <c r="CB199" s="50">
        <v>3</v>
      </c>
      <c r="CC199" s="50">
        <v>3</v>
      </c>
      <c r="CD199" s="50">
        <v>3</v>
      </c>
      <c r="CE199" s="50">
        <v>3</v>
      </c>
      <c r="CF199" s="50">
        <v>3</v>
      </c>
    </row>
    <row r="200" spans="1:84" x14ac:dyDescent="0.25">
      <c r="A200" s="2">
        <v>3</v>
      </c>
      <c r="B200" s="59"/>
      <c r="C200" s="59">
        <v>4</v>
      </c>
      <c r="D200" s="63">
        <v>4</v>
      </c>
      <c r="E200" s="63">
        <v>4</v>
      </c>
      <c r="F200" s="59">
        <v>4</v>
      </c>
      <c r="G200" s="50">
        <v>4</v>
      </c>
      <c r="H200" s="59">
        <v>4</v>
      </c>
      <c r="I200" s="63">
        <v>4</v>
      </c>
      <c r="J200" s="63">
        <v>4</v>
      </c>
      <c r="K200" s="59">
        <v>4</v>
      </c>
      <c r="L200" s="50">
        <v>4</v>
      </c>
      <c r="M200" s="59">
        <v>4</v>
      </c>
      <c r="N200" s="63">
        <v>4</v>
      </c>
      <c r="O200" s="63">
        <v>4</v>
      </c>
      <c r="P200" s="59">
        <v>4</v>
      </c>
      <c r="Q200" s="50">
        <v>4</v>
      </c>
      <c r="R200" s="59">
        <v>4</v>
      </c>
      <c r="S200" s="63">
        <v>4</v>
      </c>
      <c r="T200" s="63">
        <v>4</v>
      </c>
      <c r="U200" s="59">
        <v>4</v>
      </c>
      <c r="V200" s="50">
        <v>4</v>
      </c>
      <c r="W200" s="59">
        <v>4</v>
      </c>
      <c r="X200" s="63">
        <v>4</v>
      </c>
      <c r="Y200" s="63">
        <v>4</v>
      </c>
      <c r="Z200" s="59">
        <v>4</v>
      </c>
      <c r="AA200" s="50">
        <v>4</v>
      </c>
      <c r="AB200" s="59">
        <v>4</v>
      </c>
      <c r="AC200" s="63">
        <v>4</v>
      </c>
      <c r="AD200" s="63">
        <v>4</v>
      </c>
      <c r="AE200" s="59">
        <v>4</v>
      </c>
      <c r="AF200" s="50">
        <v>4</v>
      </c>
      <c r="AG200" s="59">
        <v>4</v>
      </c>
      <c r="AH200" s="63">
        <v>4</v>
      </c>
      <c r="AI200" s="63">
        <v>4</v>
      </c>
      <c r="AJ200" s="59">
        <v>4</v>
      </c>
      <c r="AK200" s="50">
        <v>4</v>
      </c>
      <c r="AL200" s="59">
        <v>4</v>
      </c>
      <c r="AM200" s="63">
        <v>4</v>
      </c>
      <c r="AN200" s="63">
        <v>4</v>
      </c>
      <c r="AO200" s="59">
        <v>4</v>
      </c>
      <c r="AP200" s="50">
        <v>4</v>
      </c>
      <c r="AQ200" s="59">
        <v>4</v>
      </c>
      <c r="AR200" s="63">
        <v>4</v>
      </c>
      <c r="AS200" s="63">
        <v>4</v>
      </c>
      <c r="AT200" s="59">
        <v>4</v>
      </c>
      <c r="AU200" s="50">
        <v>4</v>
      </c>
      <c r="AV200" s="59">
        <v>4</v>
      </c>
      <c r="AW200" s="63">
        <v>4</v>
      </c>
      <c r="AX200" s="63">
        <v>4</v>
      </c>
      <c r="AY200" s="59">
        <v>4</v>
      </c>
      <c r="AZ200" s="50">
        <v>4</v>
      </c>
      <c r="BA200" s="59">
        <v>4</v>
      </c>
      <c r="BB200" s="63">
        <v>4</v>
      </c>
      <c r="BC200" s="63">
        <v>4</v>
      </c>
      <c r="BD200" s="59">
        <v>4</v>
      </c>
      <c r="BE200" s="50">
        <v>4</v>
      </c>
      <c r="BF200" s="59">
        <v>4</v>
      </c>
      <c r="BG200" s="63">
        <v>4</v>
      </c>
      <c r="BH200" s="63">
        <v>4</v>
      </c>
      <c r="BI200" s="59">
        <v>4</v>
      </c>
      <c r="BJ200" s="50">
        <v>4</v>
      </c>
      <c r="BK200" s="59">
        <v>4</v>
      </c>
      <c r="BL200" s="63">
        <v>4</v>
      </c>
      <c r="BM200" s="63">
        <v>4</v>
      </c>
      <c r="BN200" s="59">
        <v>4</v>
      </c>
      <c r="BO200" s="50">
        <v>4</v>
      </c>
      <c r="BP200" s="59">
        <v>4</v>
      </c>
      <c r="BQ200" s="63">
        <v>4</v>
      </c>
      <c r="BR200" s="63">
        <v>4</v>
      </c>
      <c r="BS200" s="59">
        <v>4</v>
      </c>
      <c r="BT200" s="50">
        <v>4</v>
      </c>
      <c r="BU200" s="59">
        <v>4</v>
      </c>
      <c r="BV200" s="63">
        <v>4</v>
      </c>
      <c r="BW200" s="63">
        <v>4</v>
      </c>
      <c r="BX200" s="59">
        <v>4</v>
      </c>
      <c r="BY200" s="50">
        <v>4</v>
      </c>
      <c r="BZ200" s="50">
        <v>4</v>
      </c>
      <c r="CA200" s="50">
        <v>4</v>
      </c>
      <c r="CB200" s="50">
        <v>4</v>
      </c>
      <c r="CC200" s="50">
        <v>4</v>
      </c>
      <c r="CD200" s="50">
        <v>4</v>
      </c>
      <c r="CE200" s="50">
        <v>4</v>
      </c>
      <c r="CF200" s="50">
        <v>4</v>
      </c>
    </row>
    <row r="201" spans="1:84" x14ac:dyDescent="0.25">
      <c r="A201" s="2"/>
      <c r="B201" s="2"/>
      <c r="C201" s="4"/>
      <c r="D201" s="4"/>
      <c r="E201" s="4"/>
      <c r="F201" s="4"/>
      <c r="G201" s="55"/>
      <c r="H201" s="4"/>
      <c r="I201" s="4"/>
      <c r="J201" s="4"/>
      <c r="K201" s="4"/>
      <c r="L201" s="55"/>
      <c r="M201" s="4"/>
      <c r="N201" s="4"/>
      <c r="O201" s="4"/>
      <c r="P201" s="4"/>
      <c r="Q201" s="55"/>
      <c r="R201" s="4"/>
      <c r="S201" s="4"/>
      <c r="T201" s="4"/>
      <c r="U201" s="4"/>
      <c r="V201" s="55"/>
      <c r="W201" s="4"/>
      <c r="X201" s="4"/>
      <c r="Y201" s="4"/>
      <c r="Z201" s="4"/>
      <c r="AA201" s="55"/>
      <c r="AB201" s="4"/>
      <c r="AC201" s="4"/>
      <c r="AD201" s="4"/>
      <c r="AE201" s="4"/>
      <c r="AF201" s="55"/>
      <c r="AG201" s="4"/>
      <c r="AH201" s="4"/>
      <c r="AI201" s="4"/>
      <c r="AJ201" s="4"/>
      <c r="AK201" s="55"/>
      <c r="AL201" s="4"/>
      <c r="AM201" s="4"/>
      <c r="AN201" s="4"/>
      <c r="AO201" s="4"/>
      <c r="AP201" s="55"/>
      <c r="AQ201" s="4"/>
      <c r="AR201" s="4"/>
      <c r="AS201" s="4"/>
      <c r="AT201" s="4"/>
      <c r="AU201" s="55"/>
      <c r="AV201" s="4"/>
      <c r="AW201" s="4"/>
      <c r="AX201" s="4"/>
      <c r="AY201" s="4"/>
      <c r="AZ201" s="55"/>
      <c r="BA201" s="4"/>
      <c r="BB201" s="4"/>
      <c r="BC201" s="4"/>
      <c r="BD201" s="4"/>
      <c r="BE201" s="55"/>
      <c r="BF201" s="4"/>
      <c r="BG201" s="4"/>
      <c r="BH201" s="4"/>
      <c r="BI201" s="4"/>
      <c r="BJ201" s="55"/>
      <c r="BK201" s="4"/>
      <c r="BL201" s="4"/>
      <c r="BM201" s="4"/>
      <c r="BN201" s="4"/>
      <c r="BO201" s="55"/>
      <c r="BP201" s="4"/>
      <c r="BQ201" s="4"/>
      <c r="BR201" s="4"/>
      <c r="BS201" s="4"/>
      <c r="BT201" s="55"/>
      <c r="BU201" s="4"/>
      <c r="BV201" s="4"/>
      <c r="BW201" s="4"/>
      <c r="BX201" s="4"/>
      <c r="BY201" s="55"/>
      <c r="BZ201" s="55"/>
      <c r="CA201" s="55"/>
      <c r="CB201" s="55"/>
      <c r="CC201" s="55"/>
      <c r="CD201" s="55"/>
      <c r="CE201" s="55"/>
      <c r="CF201" s="55"/>
    </row>
    <row r="202" spans="1:84" x14ac:dyDescent="0.25">
      <c r="A202" s="2" t="s">
        <v>2252</v>
      </c>
      <c r="B202" s="2"/>
      <c r="C202" s="4"/>
      <c r="D202" s="4"/>
      <c r="E202" s="4"/>
      <c r="F202" s="4"/>
      <c r="G202" s="55"/>
      <c r="H202" s="4"/>
      <c r="I202" s="4"/>
      <c r="J202" s="4"/>
      <c r="K202" s="4"/>
      <c r="L202" s="55"/>
      <c r="M202" s="4"/>
      <c r="N202" s="4"/>
      <c r="O202" s="4"/>
      <c r="P202" s="4"/>
      <c r="Q202" s="55"/>
      <c r="R202" s="4"/>
      <c r="S202" s="4"/>
      <c r="T202" s="4"/>
      <c r="U202" s="4"/>
      <c r="V202" s="55"/>
      <c r="W202" s="4"/>
      <c r="X202" s="4"/>
      <c r="Y202" s="4"/>
      <c r="Z202" s="4"/>
      <c r="AA202" s="55"/>
      <c r="AB202" s="4"/>
      <c r="AC202" s="4"/>
      <c r="AD202" s="4"/>
      <c r="AE202" s="4"/>
      <c r="AF202" s="55"/>
      <c r="AG202" s="4"/>
      <c r="AH202" s="4"/>
      <c r="AI202" s="4"/>
      <c r="AJ202" s="4"/>
      <c r="AK202" s="55"/>
      <c r="AL202" s="4"/>
      <c r="AM202" s="4"/>
      <c r="AN202" s="4"/>
      <c r="AO202" s="4"/>
      <c r="AP202" s="55"/>
      <c r="AQ202" s="4"/>
      <c r="AR202" s="4"/>
      <c r="AS202" s="4"/>
      <c r="AT202" s="4"/>
      <c r="AU202" s="55"/>
      <c r="AV202" s="4"/>
      <c r="AW202" s="4"/>
      <c r="AX202" s="4"/>
      <c r="AY202" s="4"/>
      <c r="AZ202" s="55"/>
      <c r="BA202" s="4"/>
      <c r="BB202" s="4"/>
      <c r="BC202" s="4"/>
      <c r="BD202" s="4"/>
      <c r="BE202" s="55"/>
      <c r="BF202" s="4"/>
      <c r="BG202" s="4"/>
      <c r="BH202" s="4"/>
      <c r="BI202" s="4"/>
      <c r="BJ202" s="55"/>
      <c r="BK202" s="4"/>
      <c r="BL202" s="4"/>
      <c r="BM202" s="4"/>
      <c r="BN202" s="4"/>
      <c r="BO202" s="55"/>
      <c r="BP202" s="4"/>
      <c r="BQ202" s="4"/>
      <c r="BR202" s="4"/>
      <c r="BS202" s="4"/>
      <c r="BT202" s="55"/>
      <c r="BU202" s="4"/>
      <c r="BV202" s="4"/>
      <c r="BW202" s="4"/>
      <c r="BX202" s="4"/>
      <c r="BY202" s="55"/>
      <c r="BZ202" s="55"/>
      <c r="CA202" s="55"/>
      <c r="CB202" s="55"/>
      <c r="CC202" s="55"/>
      <c r="CD202" s="55"/>
      <c r="CE202" s="55"/>
      <c r="CF202" s="55"/>
    </row>
    <row r="203" spans="1:84" x14ac:dyDescent="0.25">
      <c r="A203" s="2">
        <v>1</v>
      </c>
      <c r="B203" s="9"/>
      <c r="C203" s="9">
        <v>0.05</v>
      </c>
      <c r="D203" s="70">
        <v>0.05</v>
      </c>
      <c r="E203" s="70">
        <v>0.05</v>
      </c>
      <c r="F203" s="9">
        <v>0.05</v>
      </c>
      <c r="G203" s="69">
        <v>0.05</v>
      </c>
      <c r="H203" s="9">
        <v>0.05</v>
      </c>
      <c r="I203" s="70">
        <v>0.05</v>
      </c>
      <c r="J203" s="70">
        <v>0.05</v>
      </c>
      <c r="K203" s="9">
        <v>0.05</v>
      </c>
      <c r="L203" s="69">
        <v>0.05</v>
      </c>
      <c r="M203" s="9">
        <v>0.05</v>
      </c>
      <c r="N203" s="70">
        <v>0.05</v>
      </c>
      <c r="O203" s="70">
        <v>0.05</v>
      </c>
      <c r="P203" s="9">
        <v>0.05</v>
      </c>
      <c r="Q203" s="69">
        <v>0.05</v>
      </c>
      <c r="R203" s="9">
        <v>0.05</v>
      </c>
      <c r="S203" s="70">
        <v>0.05</v>
      </c>
      <c r="T203" s="70">
        <v>0.05</v>
      </c>
      <c r="U203" s="9">
        <v>0.05</v>
      </c>
      <c r="V203" s="69">
        <v>0.05</v>
      </c>
      <c r="W203" s="9">
        <v>0.05</v>
      </c>
      <c r="X203" s="70">
        <v>0.05</v>
      </c>
      <c r="Y203" s="70">
        <v>0.05</v>
      </c>
      <c r="Z203" s="9">
        <v>0.05</v>
      </c>
      <c r="AA203" s="69">
        <v>0.05</v>
      </c>
      <c r="AB203" s="9">
        <v>0.05</v>
      </c>
      <c r="AC203" s="70">
        <v>0.05</v>
      </c>
      <c r="AD203" s="70">
        <v>0.05</v>
      </c>
      <c r="AE203" s="9">
        <v>0.05</v>
      </c>
      <c r="AF203" s="69">
        <v>0.05</v>
      </c>
      <c r="AG203" s="9">
        <v>0.05</v>
      </c>
      <c r="AH203" s="70">
        <v>0.05</v>
      </c>
      <c r="AI203" s="70">
        <v>0.05</v>
      </c>
      <c r="AJ203" s="9">
        <v>0.05</v>
      </c>
      <c r="AK203" s="69">
        <v>0.05</v>
      </c>
      <c r="AL203" s="9">
        <v>0.05</v>
      </c>
      <c r="AM203" s="70">
        <v>0.05</v>
      </c>
      <c r="AN203" s="70">
        <v>0.05</v>
      </c>
      <c r="AO203" s="9">
        <v>0.05</v>
      </c>
      <c r="AP203" s="69">
        <v>0.05</v>
      </c>
      <c r="AQ203" s="9">
        <v>0.05</v>
      </c>
      <c r="AR203" s="70">
        <v>0.05</v>
      </c>
      <c r="AS203" s="70">
        <v>0.05</v>
      </c>
      <c r="AT203" s="9">
        <v>0.05</v>
      </c>
      <c r="AU203" s="69">
        <v>0.05</v>
      </c>
      <c r="AV203" s="9">
        <v>0.05</v>
      </c>
      <c r="AW203" s="70">
        <v>0.05</v>
      </c>
      <c r="AX203" s="70">
        <v>0.05</v>
      </c>
      <c r="AY203" s="9">
        <v>0.05</v>
      </c>
      <c r="AZ203" s="69">
        <v>0.05</v>
      </c>
      <c r="BA203" s="9">
        <v>0.05</v>
      </c>
      <c r="BB203" s="70">
        <v>0.05</v>
      </c>
      <c r="BC203" s="70">
        <v>0.05</v>
      </c>
      <c r="BD203" s="9">
        <v>0.05</v>
      </c>
      <c r="BE203" s="69">
        <v>0.05</v>
      </c>
      <c r="BF203" s="9">
        <v>0.05</v>
      </c>
      <c r="BG203" s="70">
        <v>0.05</v>
      </c>
      <c r="BH203" s="70">
        <v>0.05</v>
      </c>
      <c r="BI203" s="9">
        <v>0.05</v>
      </c>
      <c r="BJ203" s="69">
        <v>0.05</v>
      </c>
      <c r="BK203" s="9">
        <v>0.05</v>
      </c>
      <c r="BL203" s="70">
        <v>0.05</v>
      </c>
      <c r="BM203" s="70">
        <v>0.05</v>
      </c>
      <c r="BN203" s="9">
        <v>0.05</v>
      </c>
      <c r="BO203" s="69">
        <v>0.05</v>
      </c>
      <c r="BP203" s="9">
        <v>0.05</v>
      </c>
      <c r="BQ203" s="70">
        <v>0.05</v>
      </c>
      <c r="BR203" s="70">
        <v>0.05</v>
      </c>
      <c r="BS203" s="9">
        <v>0.05</v>
      </c>
      <c r="BT203" s="69">
        <v>0.05</v>
      </c>
      <c r="BU203" s="9">
        <v>0.05</v>
      </c>
      <c r="BV203" s="70">
        <v>0.05</v>
      </c>
      <c r="BW203" s="70">
        <v>0.05</v>
      </c>
      <c r="BX203" s="9">
        <v>0.05</v>
      </c>
      <c r="BY203" s="69">
        <v>0.05</v>
      </c>
      <c r="BZ203" s="69">
        <v>0.05</v>
      </c>
      <c r="CA203" s="69">
        <v>0.05</v>
      </c>
      <c r="CB203" s="69">
        <v>0.05</v>
      </c>
      <c r="CC203" s="69">
        <v>0.05</v>
      </c>
      <c r="CD203" s="69">
        <v>0.05</v>
      </c>
      <c r="CE203" s="69">
        <v>0.05</v>
      </c>
      <c r="CF203" s="69">
        <v>0.05</v>
      </c>
    </row>
    <row r="204" spans="1:84" x14ac:dyDescent="0.25">
      <c r="A204" s="2">
        <v>2</v>
      </c>
      <c r="B204" s="9"/>
      <c r="C204" s="9">
        <v>0.1</v>
      </c>
      <c r="D204" s="70">
        <v>0.1</v>
      </c>
      <c r="E204" s="70">
        <v>0.1</v>
      </c>
      <c r="F204" s="9">
        <v>0.1</v>
      </c>
      <c r="G204" s="69">
        <v>0.1</v>
      </c>
      <c r="H204" s="9">
        <v>0.1</v>
      </c>
      <c r="I204" s="70">
        <v>0.1</v>
      </c>
      <c r="J204" s="70">
        <v>0.1</v>
      </c>
      <c r="K204" s="9">
        <v>0.1</v>
      </c>
      <c r="L204" s="69">
        <v>0.1</v>
      </c>
      <c r="M204" s="9">
        <v>0.1</v>
      </c>
      <c r="N204" s="70">
        <v>0.1</v>
      </c>
      <c r="O204" s="70">
        <v>0.1</v>
      </c>
      <c r="P204" s="9">
        <v>0.1</v>
      </c>
      <c r="Q204" s="69">
        <v>0.1</v>
      </c>
      <c r="R204" s="9">
        <v>0.1</v>
      </c>
      <c r="S204" s="70">
        <v>0.1</v>
      </c>
      <c r="T204" s="70">
        <v>0.1</v>
      </c>
      <c r="U204" s="9">
        <v>0.1</v>
      </c>
      <c r="V204" s="69">
        <v>0.1</v>
      </c>
      <c r="W204" s="9">
        <v>0.1</v>
      </c>
      <c r="X204" s="70">
        <v>0.1</v>
      </c>
      <c r="Y204" s="70">
        <v>0.1</v>
      </c>
      <c r="Z204" s="9">
        <v>0.1</v>
      </c>
      <c r="AA204" s="69">
        <v>0.1</v>
      </c>
      <c r="AB204" s="9">
        <v>0.1</v>
      </c>
      <c r="AC204" s="70">
        <v>0.1</v>
      </c>
      <c r="AD204" s="70">
        <v>0.1</v>
      </c>
      <c r="AE204" s="9">
        <v>0.1</v>
      </c>
      <c r="AF204" s="69">
        <v>0.1</v>
      </c>
      <c r="AG204" s="9">
        <v>0.1</v>
      </c>
      <c r="AH204" s="70">
        <v>0.1</v>
      </c>
      <c r="AI204" s="70">
        <v>0.1</v>
      </c>
      <c r="AJ204" s="9">
        <v>0.1</v>
      </c>
      <c r="AK204" s="69">
        <v>0.1</v>
      </c>
      <c r="AL204" s="9">
        <v>0.1</v>
      </c>
      <c r="AM204" s="70">
        <v>0.1</v>
      </c>
      <c r="AN204" s="70">
        <v>0.1</v>
      </c>
      <c r="AO204" s="9">
        <v>0.1</v>
      </c>
      <c r="AP204" s="69">
        <v>0.1</v>
      </c>
      <c r="AQ204" s="9">
        <v>0.1</v>
      </c>
      <c r="AR204" s="70">
        <v>0.1</v>
      </c>
      <c r="AS204" s="70">
        <v>0.1</v>
      </c>
      <c r="AT204" s="9">
        <v>0.1</v>
      </c>
      <c r="AU204" s="69">
        <v>0.1</v>
      </c>
      <c r="AV204" s="9">
        <v>0.1</v>
      </c>
      <c r="AW204" s="70">
        <v>0.1</v>
      </c>
      <c r="AX204" s="70">
        <v>0.1</v>
      </c>
      <c r="AY204" s="9">
        <v>0.1</v>
      </c>
      <c r="AZ204" s="69">
        <v>0.1</v>
      </c>
      <c r="BA204" s="9">
        <v>0.1</v>
      </c>
      <c r="BB204" s="70">
        <v>0.1</v>
      </c>
      <c r="BC204" s="70">
        <v>0.1</v>
      </c>
      <c r="BD204" s="9">
        <v>0.1</v>
      </c>
      <c r="BE204" s="69">
        <v>0.1</v>
      </c>
      <c r="BF204" s="9">
        <v>0.1</v>
      </c>
      <c r="BG204" s="70">
        <v>0.1</v>
      </c>
      <c r="BH204" s="70">
        <v>0.1</v>
      </c>
      <c r="BI204" s="9">
        <v>0.1</v>
      </c>
      <c r="BJ204" s="69">
        <v>0.1</v>
      </c>
      <c r="BK204" s="9">
        <v>0.1</v>
      </c>
      <c r="BL204" s="70">
        <v>0.1</v>
      </c>
      <c r="BM204" s="70">
        <v>0.1</v>
      </c>
      <c r="BN204" s="9">
        <v>0.1</v>
      </c>
      <c r="BO204" s="69">
        <v>0.1</v>
      </c>
      <c r="BP204" s="9">
        <v>0.1</v>
      </c>
      <c r="BQ204" s="70">
        <v>0.1</v>
      </c>
      <c r="BR204" s="70">
        <v>0.1</v>
      </c>
      <c r="BS204" s="9">
        <v>0.1</v>
      </c>
      <c r="BT204" s="69">
        <v>0.1</v>
      </c>
      <c r="BU204" s="9">
        <v>0.1</v>
      </c>
      <c r="BV204" s="70">
        <v>0.1</v>
      </c>
      <c r="BW204" s="70">
        <v>0.1</v>
      </c>
      <c r="BX204" s="9">
        <v>0.1</v>
      </c>
      <c r="BY204" s="69">
        <v>0.1</v>
      </c>
      <c r="BZ204" s="69">
        <v>0.1</v>
      </c>
      <c r="CA204" s="69">
        <v>0.1</v>
      </c>
      <c r="CB204" s="69">
        <v>0.1</v>
      </c>
      <c r="CC204" s="69">
        <v>0.1</v>
      </c>
      <c r="CD204" s="69">
        <v>0.1</v>
      </c>
      <c r="CE204" s="69">
        <v>0.1</v>
      </c>
      <c r="CF204" s="69">
        <v>0.1</v>
      </c>
    </row>
    <row r="205" spans="1:84" x14ac:dyDescent="0.25">
      <c r="A205" s="2">
        <v>3</v>
      </c>
      <c r="B205" s="9"/>
      <c r="C205" s="9">
        <v>0.2</v>
      </c>
      <c r="D205" s="70">
        <v>0.2</v>
      </c>
      <c r="E205" s="9">
        <v>0.22</v>
      </c>
      <c r="F205" s="9">
        <v>0.22</v>
      </c>
      <c r="G205" s="69">
        <v>0.22</v>
      </c>
      <c r="H205" s="9">
        <v>0.22</v>
      </c>
      <c r="I205" s="70">
        <v>0.22</v>
      </c>
      <c r="J205" s="70">
        <v>0.22</v>
      </c>
      <c r="K205" s="9">
        <v>0.22</v>
      </c>
      <c r="L205" s="69">
        <v>0.22</v>
      </c>
      <c r="M205" s="9">
        <v>0.22</v>
      </c>
      <c r="N205" s="70">
        <v>0.22</v>
      </c>
      <c r="O205" s="70">
        <v>0.22</v>
      </c>
      <c r="P205" s="9">
        <v>0.22</v>
      </c>
      <c r="Q205" s="69">
        <v>0.22</v>
      </c>
      <c r="R205" s="9">
        <v>0.22</v>
      </c>
      <c r="S205" s="70">
        <v>0.22</v>
      </c>
      <c r="T205" s="70">
        <v>0.22</v>
      </c>
      <c r="U205" s="9">
        <v>0.22</v>
      </c>
      <c r="V205" s="69">
        <v>0.22</v>
      </c>
      <c r="W205" s="9">
        <v>0.22</v>
      </c>
      <c r="X205" s="70">
        <v>0.22</v>
      </c>
      <c r="Y205" s="70">
        <v>0.22</v>
      </c>
      <c r="Z205" s="9">
        <v>0.22</v>
      </c>
      <c r="AA205" s="69">
        <v>0.22</v>
      </c>
      <c r="AB205" s="9">
        <v>0.22</v>
      </c>
      <c r="AC205" s="70">
        <v>0.22</v>
      </c>
      <c r="AD205" s="70">
        <v>0.22</v>
      </c>
      <c r="AE205" s="9">
        <v>0.22</v>
      </c>
      <c r="AF205" s="69">
        <v>0.22</v>
      </c>
      <c r="AG205" s="9">
        <v>0.22</v>
      </c>
      <c r="AH205" s="70">
        <v>0.22</v>
      </c>
      <c r="AI205" s="70">
        <v>0.22</v>
      </c>
      <c r="AJ205" s="9">
        <v>0.22</v>
      </c>
      <c r="AK205" s="69">
        <v>0.22</v>
      </c>
      <c r="AL205" s="9">
        <v>0.22</v>
      </c>
      <c r="AM205" s="70">
        <v>0.22</v>
      </c>
      <c r="AN205" s="70">
        <v>0.22</v>
      </c>
      <c r="AO205" s="9">
        <v>0.22</v>
      </c>
      <c r="AP205" s="69">
        <v>0.22</v>
      </c>
      <c r="AQ205" s="9">
        <v>0.22</v>
      </c>
      <c r="AR205" s="70">
        <v>0.22</v>
      </c>
      <c r="AS205" s="70">
        <v>0.22</v>
      </c>
      <c r="AT205" s="9">
        <v>0.22</v>
      </c>
      <c r="AU205" s="69">
        <v>0.22</v>
      </c>
      <c r="AV205" s="9">
        <v>0.22</v>
      </c>
      <c r="AW205" s="70">
        <v>0.22</v>
      </c>
      <c r="AX205" s="70">
        <v>0.22</v>
      </c>
      <c r="AY205" s="9">
        <v>0.22</v>
      </c>
      <c r="AZ205" s="69">
        <v>0.22</v>
      </c>
      <c r="BA205" s="9">
        <v>0.22</v>
      </c>
      <c r="BB205" s="70">
        <v>0.22</v>
      </c>
      <c r="BC205" s="70">
        <v>0.22</v>
      </c>
      <c r="BD205" s="9">
        <v>0.22</v>
      </c>
      <c r="BE205" s="69">
        <v>0.22</v>
      </c>
      <c r="BF205" s="9">
        <v>0.22</v>
      </c>
      <c r="BG205" s="70">
        <v>0.22</v>
      </c>
      <c r="BH205" s="70">
        <v>0.22</v>
      </c>
      <c r="BI205" s="9">
        <v>0.22</v>
      </c>
      <c r="BJ205" s="69">
        <v>0.22</v>
      </c>
      <c r="BK205" s="9">
        <v>0.22</v>
      </c>
      <c r="BL205" s="70">
        <v>0.22</v>
      </c>
      <c r="BM205" s="70">
        <v>0.22</v>
      </c>
      <c r="BN205" s="9">
        <v>0.22</v>
      </c>
      <c r="BO205" s="69">
        <v>0.22</v>
      </c>
      <c r="BP205" s="9">
        <v>0.22</v>
      </c>
      <c r="BQ205" s="70">
        <v>0.22</v>
      </c>
      <c r="BR205" s="70">
        <v>0.22</v>
      </c>
      <c r="BS205" s="9">
        <v>0.22</v>
      </c>
      <c r="BT205" s="69">
        <v>0.22</v>
      </c>
      <c r="BU205" s="9">
        <v>0.22</v>
      </c>
      <c r="BV205" s="70">
        <v>0.22</v>
      </c>
      <c r="BW205" s="70">
        <v>0.22</v>
      </c>
      <c r="BX205" s="9">
        <v>0.22</v>
      </c>
      <c r="BY205" s="69">
        <v>0.22</v>
      </c>
      <c r="BZ205" s="69">
        <v>0.22</v>
      </c>
      <c r="CA205" s="69">
        <v>0.22</v>
      </c>
      <c r="CB205" s="69">
        <v>0.22</v>
      </c>
      <c r="CC205" s="69">
        <v>0.22</v>
      </c>
      <c r="CD205" s="69">
        <v>0.22</v>
      </c>
      <c r="CE205" s="69">
        <v>0.22</v>
      </c>
      <c r="CF205" s="69">
        <v>0.22</v>
      </c>
    </row>
    <row r="206" spans="1:84" x14ac:dyDescent="0.25">
      <c r="A206" s="2"/>
      <c r="B206" s="2"/>
      <c r="C206" s="4"/>
      <c r="D206" s="4"/>
      <c r="E206" s="4"/>
      <c r="F206" s="4"/>
      <c r="G206" s="55"/>
      <c r="H206" s="4"/>
      <c r="I206" s="4"/>
      <c r="J206" s="4"/>
      <c r="K206" s="4"/>
      <c r="L206" s="55"/>
      <c r="M206" s="4"/>
      <c r="N206" s="4"/>
      <c r="O206" s="4"/>
      <c r="P206" s="4"/>
      <c r="Q206" s="55"/>
      <c r="R206" s="4"/>
      <c r="S206" s="4"/>
      <c r="T206" s="4"/>
      <c r="U206" s="4"/>
      <c r="V206" s="55"/>
      <c r="W206" s="4"/>
      <c r="X206" s="4"/>
      <c r="Y206" s="4"/>
      <c r="Z206" s="4"/>
      <c r="AA206" s="55"/>
      <c r="AB206" s="4"/>
      <c r="AC206" s="4"/>
      <c r="AD206" s="4"/>
      <c r="AE206" s="4"/>
      <c r="AF206" s="55"/>
      <c r="AG206" s="4"/>
      <c r="AH206" s="4"/>
      <c r="AI206" s="4"/>
      <c r="AJ206" s="4"/>
      <c r="AK206" s="55"/>
      <c r="AL206" s="4"/>
      <c r="AM206" s="4"/>
      <c r="AN206" s="4"/>
      <c r="AO206" s="4"/>
      <c r="AP206" s="55"/>
      <c r="AQ206" s="4"/>
      <c r="AR206" s="4"/>
      <c r="AS206" s="4"/>
      <c r="AT206" s="4"/>
      <c r="AU206" s="55"/>
      <c r="AV206" s="4"/>
      <c r="AW206" s="4"/>
      <c r="AX206" s="4"/>
      <c r="AY206" s="4"/>
      <c r="AZ206" s="55"/>
      <c r="BA206" s="4"/>
      <c r="BB206" s="4"/>
      <c r="BC206" s="4"/>
      <c r="BD206" s="4"/>
      <c r="BE206" s="55"/>
      <c r="BF206" s="4"/>
      <c r="BG206" s="4"/>
      <c r="BH206" s="4"/>
      <c r="BI206" s="4"/>
      <c r="BJ206" s="55"/>
      <c r="BK206" s="4"/>
      <c r="BL206" s="4"/>
      <c r="BM206" s="4"/>
      <c r="BN206" s="4"/>
      <c r="BO206" s="55"/>
      <c r="BP206" s="4"/>
      <c r="BQ206" s="4"/>
      <c r="BR206" s="4"/>
      <c r="BS206" s="4"/>
      <c r="BT206" s="55"/>
      <c r="BU206" s="4"/>
      <c r="BV206" s="4"/>
      <c r="BW206" s="4"/>
      <c r="BX206" s="4"/>
      <c r="BY206" s="55"/>
      <c r="BZ206" s="55"/>
      <c r="CA206" s="55"/>
      <c r="CB206" s="55"/>
      <c r="CC206" s="55"/>
      <c r="CD206" s="55"/>
      <c r="CE206" s="55"/>
      <c r="CF206" s="55"/>
    </row>
    <row r="207" spans="1:84" x14ac:dyDescent="0.25">
      <c r="A207" s="2" t="s">
        <v>622</v>
      </c>
      <c r="B207" s="2"/>
      <c r="C207" s="4"/>
      <c r="D207" s="4"/>
      <c r="E207" s="4"/>
      <c r="F207" s="4"/>
      <c r="G207" s="55"/>
      <c r="H207" s="4"/>
      <c r="I207" s="4"/>
      <c r="J207" s="4"/>
      <c r="K207" s="4"/>
      <c r="L207" s="55"/>
      <c r="M207" s="4"/>
      <c r="N207" s="4"/>
      <c r="O207" s="4"/>
      <c r="P207" s="4"/>
      <c r="Q207" s="55"/>
      <c r="R207" s="4"/>
      <c r="S207" s="4"/>
      <c r="T207" s="4"/>
      <c r="U207" s="4"/>
      <c r="V207" s="55"/>
      <c r="W207" s="4"/>
      <c r="X207" s="4"/>
      <c r="Y207" s="4"/>
      <c r="Z207" s="4"/>
      <c r="AA207" s="55"/>
      <c r="AB207" s="4"/>
      <c r="AC207" s="4"/>
      <c r="AD207" s="4"/>
      <c r="AE207" s="4"/>
      <c r="AF207" s="55"/>
      <c r="AG207" s="4"/>
      <c r="AH207" s="4"/>
      <c r="AI207" s="4"/>
      <c r="AJ207" s="4"/>
      <c r="AK207" s="55"/>
      <c r="AL207" s="4"/>
      <c r="AM207" s="4"/>
      <c r="AN207" s="4"/>
      <c r="AO207" s="4"/>
      <c r="AP207" s="55"/>
      <c r="AQ207" s="4"/>
      <c r="AR207" s="4"/>
      <c r="AS207" s="4"/>
      <c r="AT207" s="4"/>
      <c r="AU207" s="55"/>
      <c r="AV207" s="4"/>
      <c r="AW207" s="4"/>
      <c r="AX207" s="4"/>
      <c r="AY207" s="4"/>
      <c r="AZ207" s="55"/>
      <c r="BA207" s="4"/>
      <c r="BB207" s="4"/>
      <c r="BC207" s="4"/>
      <c r="BD207" s="4"/>
      <c r="BE207" s="55"/>
      <c r="BF207" s="4"/>
      <c r="BG207" s="4"/>
      <c r="BH207" s="4"/>
      <c r="BI207" s="4"/>
      <c r="BJ207" s="55"/>
      <c r="BK207" s="4"/>
      <c r="BL207" s="4"/>
      <c r="BM207" s="4"/>
      <c r="BN207" s="4"/>
      <c r="BO207" s="55"/>
      <c r="BP207" s="4"/>
      <c r="BQ207" s="4"/>
      <c r="BR207" s="4"/>
      <c r="BS207" s="4"/>
      <c r="BT207" s="55"/>
      <c r="BU207" s="4"/>
      <c r="BV207" s="4"/>
      <c r="BW207" s="4"/>
      <c r="BX207" s="4"/>
      <c r="BY207" s="55"/>
      <c r="BZ207" s="55"/>
      <c r="CA207" s="55"/>
      <c r="CB207" s="55"/>
      <c r="CC207" s="55"/>
      <c r="CD207" s="55"/>
      <c r="CE207" s="55"/>
      <c r="CF207" s="55"/>
    </row>
    <row r="208" spans="1:84" x14ac:dyDescent="0.25">
      <c r="A208" s="2">
        <v>1</v>
      </c>
      <c r="B208" s="59"/>
      <c r="C208" s="59">
        <v>300</v>
      </c>
      <c r="D208" s="63">
        <v>300</v>
      </c>
      <c r="E208" s="63">
        <v>300</v>
      </c>
      <c r="F208" s="59">
        <v>300</v>
      </c>
      <c r="G208" s="50">
        <v>300</v>
      </c>
      <c r="H208" s="59">
        <v>300</v>
      </c>
      <c r="I208" s="63">
        <v>300</v>
      </c>
      <c r="J208" s="63">
        <v>300</v>
      </c>
      <c r="K208" s="59">
        <v>300</v>
      </c>
      <c r="L208" s="50">
        <v>300</v>
      </c>
      <c r="M208" s="59">
        <v>300</v>
      </c>
      <c r="N208" s="63">
        <v>300</v>
      </c>
      <c r="O208" s="63">
        <v>300</v>
      </c>
      <c r="P208" s="59">
        <v>300</v>
      </c>
      <c r="Q208" s="50">
        <v>300</v>
      </c>
      <c r="R208" s="59">
        <v>300</v>
      </c>
      <c r="S208" s="63">
        <v>300</v>
      </c>
      <c r="T208" s="63">
        <v>300</v>
      </c>
      <c r="U208" s="59">
        <v>300</v>
      </c>
      <c r="V208" s="50">
        <v>300</v>
      </c>
      <c r="W208" s="59">
        <v>300</v>
      </c>
      <c r="X208" s="63">
        <v>300</v>
      </c>
      <c r="Y208" s="63">
        <v>300</v>
      </c>
      <c r="Z208" s="59">
        <v>300</v>
      </c>
      <c r="AA208" s="50">
        <v>300</v>
      </c>
      <c r="AB208" s="59">
        <v>300</v>
      </c>
      <c r="AC208" s="63">
        <v>300</v>
      </c>
      <c r="AD208" s="63">
        <v>300</v>
      </c>
      <c r="AE208" s="59">
        <v>300</v>
      </c>
      <c r="AF208" s="50">
        <v>300</v>
      </c>
      <c r="AG208" s="59">
        <v>300</v>
      </c>
      <c r="AH208" s="63">
        <v>300</v>
      </c>
      <c r="AI208" s="63">
        <v>300</v>
      </c>
      <c r="AJ208" s="59">
        <v>300</v>
      </c>
      <c r="AK208" s="50">
        <v>300</v>
      </c>
      <c r="AL208" s="59">
        <v>300</v>
      </c>
      <c r="AM208" s="63">
        <v>300</v>
      </c>
      <c r="AN208" s="63">
        <v>300</v>
      </c>
      <c r="AO208" s="59">
        <v>300</v>
      </c>
      <c r="AP208" s="50">
        <v>300</v>
      </c>
      <c r="AQ208" s="59">
        <v>300</v>
      </c>
      <c r="AR208" s="63">
        <v>300</v>
      </c>
      <c r="AS208" s="63">
        <v>300</v>
      </c>
      <c r="AT208" s="59">
        <v>300</v>
      </c>
      <c r="AU208" s="50">
        <v>300</v>
      </c>
      <c r="AV208" s="59">
        <v>300</v>
      </c>
      <c r="AW208" s="63">
        <v>300</v>
      </c>
      <c r="AX208" s="63">
        <v>300</v>
      </c>
      <c r="AY208" s="59">
        <v>300</v>
      </c>
      <c r="AZ208" s="50">
        <v>300</v>
      </c>
      <c r="BA208" s="59">
        <v>300</v>
      </c>
      <c r="BB208" s="63">
        <v>300</v>
      </c>
      <c r="BC208" s="63">
        <v>300</v>
      </c>
      <c r="BD208" s="59">
        <v>300</v>
      </c>
      <c r="BE208" s="50">
        <v>300</v>
      </c>
      <c r="BF208" s="59">
        <v>300</v>
      </c>
      <c r="BG208" s="63">
        <v>300</v>
      </c>
      <c r="BH208" s="63">
        <v>300</v>
      </c>
      <c r="BI208" s="59">
        <v>300</v>
      </c>
      <c r="BJ208" s="50">
        <v>300</v>
      </c>
      <c r="BK208" s="59">
        <v>300</v>
      </c>
      <c r="BL208" s="63">
        <v>300</v>
      </c>
      <c r="BM208" s="63">
        <v>300</v>
      </c>
      <c r="BN208" s="59">
        <v>300</v>
      </c>
      <c r="BO208" s="50">
        <v>300</v>
      </c>
      <c r="BP208" s="59">
        <v>300</v>
      </c>
      <c r="BQ208" s="63">
        <v>300</v>
      </c>
      <c r="BR208" s="63">
        <v>300</v>
      </c>
      <c r="BS208" s="59">
        <v>300</v>
      </c>
      <c r="BT208" s="50">
        <v>300</v>
      </c>
      <c r="BU208" s="59">
        <v>300</v>
      </c>
      <c r="BV208" s="63">
        <v>300</v>
      </c>
      <c r="BW208" s="63">
        <v>300</v>
      </c>
      <c r="BX208" s="59">
        <v>300</v>
      </c>
      <c r="BY208" s="50">
        <v>300</v>
      </c>
      <c r="BZ208" s="50">
        <v>300</v>
      </c>
      <c r="CA208" s="50">
        <v>300</v>
      </c>
      <c r="CB208" s="50">
        <v>300</v>
      </c>
      <c r="CC208" s="50">
        <v>300</v>
      </c>
      <c r="CD208" s="50">
        <v>300</v>
      </c>
      <c r="CE208" s="50">
        <v>300</v>
      </c>
      <c r="CF208" s="50">
        <v>300</v>
      </c>
    </row>
    <row r="209" spans="1:84" x14ac:dyDescent="0.25">
      <c r="A209" s="2">
        <v>2</v>
      </c>
      <c r="B209" s="59"/>
      <c r="C209" s="59">
        <v>500</v>
      </c>
      <c r="D209" s="63">
        <v>500</v>
      </c>
      <c r="E209" s="63">
        <v>500</v>
      </c>
      <c r="F209" s="59">
        <v>500</v>
      </c>
      <c r="G209" s="50">
        <v>500</v>
      </c>
      <c r="H209" s="59">
        <v>500</v>
      </c>
      <c r="I209" s="63">
        <v>500</v>
      </c>
      <c r="J209" s="63">
        <v>500</v>
      </c>
      <c r="K209" s="59">
        <v>500</v>
      </c>
      <c r="L209" s="50">
        <v>500</v>
      </c>
      <c r="M209" s="59">
        <v>500</v>
      </c>
      <c r="N209" s="63">
        <v>500</v>
      </c>
      <c r="O209" s="63">
        <v>500</v>
      </c>
      <c r="P209" s="59">
        <v>500</v>
      </c>
      <c r="Q209" s="50">
        <v>500</v>
      </c>
      <c r="R209" s="59">
        <v>500</v>
      </c>
      <c r="S209" s="63">
        <v>500</v>
      </c>
      <c r="T209" s="63">
        <v>500</v>
      </c>
      <c r="U209" s="59">
        <v>500</v>
      </c>
      <c r="V209" s="50">
        <v>500</v>
      </c>
      <c r="W209" s="59">
        <v>500</v>
      </c>
      <c r="X209" s="63">
        <v>500</v>
      </c>
      <c r="Y209" s="63">
        <v>500</v>
      </c>
      <c r="Z209" s="59">
        <v>500</v>
      </c>
      <c r="AA209" s="50">
        <v>500</v>
      </c>
      <c r="AB209" s="59">
        <v>500</v>
      </c>
      <c r="AC209" s="63">
        <v>500</v>
      </c>
      <c r="AD209" s="63">
        <v>500</v>
      </c>
      <c r="AE209" s="59">
        <v>500</v>
      </c>
      <c r="AF209" s="50">
        <v>500</v>
      </c>
      <c r="AG209" s="59">
        <v>500</v>
      </c>
      <c r="AH209" s="63">
        <v>500</v>
      </c>
      <c r="AI209" s="63">
        <v>500</v>
      </c>
      <c r="AJ209" s="59">
        <v>500</v>
      </c>
      <c r="AK209" s="50">
        <v>500</v>
      </c>
      <c r="AL209" s="59">
        <v>500</v>
      </c>
      <c r="AM209" s="63">
        <v>500</v>
      </c>
      <c r="AN209" s="63">
        <v>500</v>
      </c>
      <c r="AO209" s="59">
        <v>500</v>
      </c>
      <c r="AP209" s="50">
        <v>500</v>
      </c>
      <c r="AQ209" s="59">
        <v>500</v>
      </c>
      <c r="AR209" s="63">
        <v>500</v>
      </c>
      <c r="AS209" s="63">
        <v>500</v>
      </c>
      <c r="AT209" s="59">
        <v>500</v>
      </c>
      <c r="AU209" s="50">
        <v>500</v>
      </c>
      <c r="AV209" s="59">
        <v>500</v>
      </c>
      <c r="AW209" s="63">
        <v>500</v>
      </c>
      <c r="AX209" s="63">
        <v>500</v>
      </c>
      <c r="AY209" s="59">
        <v>500</v>
      </c>
      <c r="AZ209" s="50">
        <v>500</v>
      </c>
      <c r="BA209" s="59">
        <v>500</v>
      </c>
      <c r="BB209" s="63">
        <v>500</v>
      </c>
      <c r="BC209" s="63">
        <v>500</v>
      </c>
      <c r="BD209" s="59">
        <v>500</v>
      </c>
      <c r="BE209" s="50">
        <v>500</v>
      </c>
      <c r="BF209" s="59">
        <v>500</v>
      </c>
      <c r="BG209" s="63">
        <v>500</v>
      </c>
      <c r="BH209" s="63">
        <v>500</v>
      </c>
      <c r="BI209" s="59">
        <v>500</v>
      </c>
      <c r="BJ209" s="50">
        <v>500</v>
      </c>
      <c r="BK209" s="59">
        <v>500</v>
      </c>
      <c r="BL209" s="63">
        <v>500</v>
      </c>
      <c r="BM209" s="63">
        <v>500</v>
      </c>
      <c r="BN209" s="59">
        <v>500</v>
      </c>
      <c r="BO209" s="50">
        <v>500</v>
      </c>
      <c r="BP209" s="59">
        <v>500</v>
      </c>
      <c r="BQ209" s="63">
        <v>500</v>
      </c>
      <c r="BR209" s="63">
        <v>500</v>
      </c>
      <c r="BS209" s="59">
        <v>500</v>
      </c>
      <c r="BT209" s="50">
        <v>500</v>
      </c>
      <c r="BU209" s="59">
        <v>500</v>
      </c>
      <c r="BV209" s="63">
        <v>500</v>
      </c>
      <c r="BW209" s="63">
        <v>500</v>
      </c>
      <c r="BX209" s="59">
        <v>500</v>
      </c>
      <c r="BY209" s="50">
        <v>500</v>
      </c>
      <c r="BZ209" s="50">
        <v>500</v>
      </c>
      <c r="CA209" s="50">
        <v>500</v>
      </c>
      <c r="CB209" s="50">
        <v>500</v>
      </c>
      <c r="CC209" s="50">
        <v>500</v>
      </c>
      <c r="CD209" s="50">
        <v>500</v>
      </c>
      <c r="CE209" s="50">
        <v>500</v>
      </c>
      <c r="CF209" s="50">
        <v>500</v>
      </c>
    </row>
    <row r="210" spans="1:84" x14ac:dyDescent="0.25">
      <c r="A210" s="2">
        <v>3</v>
      </c>
      <c r="B210" s="59"/>
      <c r="C210" s="59">
        <v>501</v>
      </c>
      <c r="D210" s="63">
        <v>501</v>
      </c>
      <c r="E210" s="63">
        <v>501</v>
      </c>
      <c r="F210" s="59">
        <v>501</v>
      </c>
      <c r="G210" s="50">
        <v>501</v>
      </c>
      <c r="H210" s="59">
        <v>501</v>
      </c>
      <c r="I210" s="63">
        <v>501</v>
      </c>
      <c r="J210" s="63">
        <v>501</v>
      </c>
      <c r="K210" s="59">
        <v>501</v>
      </c>
      <c r="L210" s="50">
        <v>501</v>
      </c>
      <c r="M210" s="59">
        <v>501</v>
      </c>
      <c r="N210" s="63">
        <v>501</v>
      </c>
      <c r="O210" s="63">
        <v>501</v>
      </c>
      <c r="P210" s="59">
        <v>501</v>
      </c>
      <c r="Q210" s="50">
        <v>501</v>
      </c>
      <c r="R210" s="59">
        <v>501</v>
      </c>
      <c r="S210" s="63">
        <v>501</v>
      </c>
      <c r="T210" s="63">
        <v>501</v>
      </c>
      <c r="U210" s="59">
        <v>501</v>
      </c>
      <c r="V210" s="50">
        <v>501</v>
      </c>
      <c r="W210" s="59">
        <v>501</v>
      </c>
      <c r="X210" s="63">
        <v>501</v>
      </c>
      <c r="Y210" s="63">
        <v>501</v>
      </c>
      <c r="Z210" s="59">
        <v>501</v>
      </c>
      <c r="AA210" s="50">
        <v>501</v>
      </c>
      <c r="AB210" s="59">
        <v>501</v>
      </c>
      <c r="AC210" s="63">
        <v>501</v>
      </c>
      <c r="AD210" s="63">
        <v>501</v>
      </c>
      <c r="AE210" s="59">
        <v>501</v>
      </c>
      <c r="AF210" s="50">
        <v>501</v>
      </c>
      <c r="AG210" s="59">
        <v>501</v>
      </c>
      <c r="AH210" s="63">
        <v>501</v>
      </c>
      <c r="AI210" s="63">
        <v>501</v>
      </c>
      <c r="AJ210" s="59">
        <v>501</v>
      </c>
      <c r="AK210" s="50">
        <v>501</v>
      </c>
      <c r="AL210" s="59">
        <v>501</v>
      </c>
      <c r="AM210" s="63">
        <v>501</v>
      </c>
      <c r="AN210" s="63">
        <v>501</v>
      </c>
      <c r="AO210" s="59">
        <v>501</v>
      </c>
      <c r="AP210" s="50">
        <v>501</v>
      </c>
      <c r="AQ210" s="59">
        <v>501</v>
      </c>
      <c r="AR210" s="63">
        <v>501</v>
      </c>
      <c r="AS210" s="63">
        <v>501</v>
      </c>
      <c r="AT210" s="59">
        <v>501</v>
      </c>
      <c r="AU210" s="50">
        <v>501</v>
      </c>
      <c r="AV210" s="59">
        <v>501</v>
      </c>
      <c r="AW210" s="63">
        <v>501</v>
      </c>
      <c r="AX210" s="63">
        <v>501</v>
      </c>
      <c r="AY210" s="59">
        <v>501</v>
      </c>
      <c r="AZ210" s="50">
        <v>501</v>
      </c>
      <c r="BA210" s="59">
        <v>501</v>
      </c>
      <c r="BB210" s="63">
        <v>501</v>
      </c>
      <c r="BC210" s="63">
        <v>501</v>
      </c>
      <c r="BD210" s="59">
        <v>501</v>
      </c>
      <c r="BE210" s="50">
        <v>501</v>
      </c>
      <c r="BF210" s="59">
        <v>501</v>
      </c>
      <c r="BG210" s="63">
        <v>501</v>
      </c>
      <c r="BH210" s="63">
        <v>501</v>
      </c>
      <c r="BI210" s="59">
        <v>501</v>
      </c>
      <c r="BJ210" s="50">
        <v>501</v>
      </c>
      <c r="BK210" s="59">
        <v>501</v>
      </c>
      <c r="BL210" s="63">
        <v>501</v>
      </c>
      <c r="BM210" s="63">
        <v>501</v>
      </c>
      <c r="BN210" s="59">
        <v>501</v>
      </c>
      <c r="BO210" s="50">
        <v>501</v>
      </c>
      <c r="BP210" s="59">
        <v>501</v>
      </c>
      <c r="BQ210" s="63">
        <v>501</v>
      </c>
      <c r="BR210" s="63">
        <v>501</v>
      </c>
      <c r="BS210" s="59">
        <v>501</v>
      </c>
      <c r="BT210" s="50">
        <v>501</v>
      </c>
      <c r="BU210" s="59">
        <v>501</v>
      </c>
      <c r="BV210" s="63">
        <v>501</v>
      </c>
      <c r="BW210" s="63">
        <v>501</v>
      </c>
      <c r="BX210" s="59">
        <v>501</v>
      </c>
      <c r="BY210" s="50">
        <v>501</v>
      </c>
      <c r="BZ210" s="50">
        <v>501</v>
      </c>
      <c r="CA210" s="50">
        <v>501</v>
      </c>
      <c r="CB210" s="50">
        <v>501</v>
      </c>
      <c r="CC210" s="50">
        <v>501</v>
      </c>
      <c r="CD210" s="50">
        <v>501</v>
      </c>
      <c r="CE210" s="50">
        <v>501</v>
      </c>
      <c r="CF210" s="50">
        <v>501</v>
      </c>
    </row>
    <row r="211" spans="1:84" x14ac:dyDescent="0.25">
      <c r="A211" s="2"/>
      <c r="B211" s="2"/>
      <c r="C211" s="4"/>
      <c r="D211" s="4"/>
      <c r="E211" s="4"/>
      <c r="F211" s="4"/>
      <c r="G211" s="55"/>
      <c r="H211" s="4"/>
      <c r="I211" s="4"/>
      <c r="J211" s="4"/>
      <c r="K211" s="4"/>
      <c r="L211" s="55"/>
      <c r="M211" s="4"/>
      <c r="N211" s="4"/>
      <c r="O211" s="4"/>
      <c r="P211" s="4"/>
      <c r="Q211" s="55"/>
      <c r="R211" s="4"/>
      <c r="S211" s="4"/>
      <c r="T211" s="4"/>
      <c r="U211" s="4"/>
      <c r="V211" s="55"/>
      <c r="W211" s="4"/>
      <c r="X211" s="4"/>
      <c r="Y211" s="4"/>
      <c r="Z211" s="4"/>
      <c r="AA211" s="55"/>
      <c r="AB211" s="4"/>
      <c r="AC211" s="4"/>
      <c r="AD211" s="4"/>
      <c r="AE211" s="4"/>
      <c r="AF211" s="55"/>
      <c r="AG211" s="4"/>
      <c r="AH211" s="4"/>
      <c r="AI211" s="4"/>
      <c r="AJ211" s="4"/>
      <c r="AK211" s="55"/>
      <c r="AL211" s="4"/>
      <c r="AM211" s="4"/>
      <c r="AN211" s="4"/>
      <c r="AO211" s="4"/>
      <c r="AP211" s="55"/>
      <c r="AQ211" s="4"/>
      <c r="AR211" s="4"/>
      <c r="AS211" s="4"/>
      <c r="AT211" s="4"/>
      <c r="AU211" s="55"/>
      <c r="AV211" s="4"/>
      <c r="AW211" s="4"/>
      <c r="AX211" s="4"/>
      <c r="AY211" s="4"/>
      <c r="AZ211" s="55"/>
      <c r="BA211" s="4"/>
      <c r="BB211" s="4"/>
      <c r="BC211" s="4"/>
      <c r="BD211" s="4"/>
      <c r="BE211" s="55"/>
      <c r="BF211" s="4"/>
      <c r="BG211" s="4"/>
      <c r="BH211" s="4"/>
      <c r="BI211" s="4"/>
      <c r="BJ211" s="55"/>
      <c r="BK211" s="4"/>
      <c r="BL211" s="4"/>
      <c r="BM211" s="4"/>
      <c r="BN211" s="4"/>
      <c r="BO211" s="55"/>
      <c r="BP211" s="4"/>
      <c r="BQ211" s="4"/>
      <c r="BR211" s="4"/>
      <c r="BS211" s="4"/>
      <c r="BT211" s="55"/>
      <c r="BU211" s="4"/>
      <c r="BV211" s="4"/>
      <c r="BW211" s="4"/>
      <c r="BX211" s="4"/>
      <c r="BY211" s="55"/>
      <c r="BZ211" s="55"/>
      <c r="CA211" s="55"/>
      <c r="CB211" s="55"/>
      <c r="CC211" s="55"/>
      <c r="CD211" s="55"/>
      <c r="CE211" s="55"/>
      <c r="CF211" s="55"/>
    </row>
    <row r="212" spans="1:84" x14ac:dyDescent="0.25">
      <c r="A212" s="2" t="s">
        <v>2252</v>
      </c>
      <c r="B212" s="2"/>
      <c r="C212" s="4"/>
      <c r="D212" s="4"/>
      <c r="E212" s="4"/>
      <c r="F212" s="4"/>
      <c r="G212" s="55"/>
      <c r="H212" s="4"/>
      <c r="I212" s="4"/>
      <c r="J212" s="4"/>
      <c r="K212" s="4"/>
      <c r="L212" s="55"/>
      <c r="M212" s="4"/>
      <c r="N212" s="4"/>
      <c r="O212" s="4"/>
      <c r="P212" s="4"/>
      <c r="Q212" s="55"/>
      <c r="R212" s="4"/>
      <c r="S212" s="4"/>
      <c r="T212" s="4"/>
      <c r="U212" s="4"/>
      <c r="V212" s="55"/>
      <c r="W212" s="4"/>
      <c r="X212" s="4"/>
      <c r="Y212" s="4"/>
      <c r="Z212" s="4"/>
      <c r="AA212" s="55"/>
      <c r="AB212" s="4"/>
      <c r="AC212" s="4"/>
      <c r="AD212" s="4"/>
      <c r="AE212" s="4"/>
      <c r="AF212" s="55"/>
      <c r="AG212" s="4"/>
      <c r="AH212" s="4"/>
      <c r="AI212" s="4"/>
      <c r="AJ212" s="4"/>
      <c r="AK212" s="55"/>
      <c r="AL212" s="4"/>
      <c r="AM212" s="4"/>
      <c r="AN212" s="4"/>
      <c r="AO212" s="4"/>
      <c r="AP212" s="55"/>
      <c r="AQ212" s="4"/>
      <c r="AR212" s="4"/>
      <c r="AS212" s="4"/>
      <c r="AT212" s="4"/>
      <c r="AU212" s="55"/>
      <c r="AV212" s="4"/>
      <c r="AW212" s="4"/>
      <c r="AX212" s="4"/>
      <c r="AY212" s="4"/>
      <c r="AZ212" s="55"/>
      <c r="BA212" s="4"/>
      <c r="BB212" s="4"/>
      <c r="BC212" s="4"/>
      <c r="BD212" s="4"/>
      <c r="BE212" s="55"/>
      <c r="BF212" s="4"/>
      <c r="BG212" s="4"/>
      <c r="BH212" s="4"/>
      <c r="BI212" s="4"/>
      <c r="BJ212" s="55"/>
      <c r="BK212" s="4"/>
      <c r="BL212" s="4"/>
      <c r="BM212" s="4"/>
      <c r="BN212" s="4"/>
      <c r="BO212" s="55"/>
      <c r="BP212" s="4"/>
      <c r="BQ212" s="4"/>
      <c r="BR212" s="4"/>
      <c r="BS212" s="4"/>
      <c r="BT212" s="55"/>
      <c r="BU212" s="4"/>
      <c r="BV212" s="4"/>
      <c r="BW212" s="4"/>
      <c r="BX212" s="4"/>
      <c r="BY212" s="55"/>
      <c r="BZ212" s="55"/>
      <c r="CA212" s="55"/>
      <c r="CB212" s="55"/>
      <c r="CC212" s="55"/>
      <c r="CD212" s="55"/>
      <c r="CE212" s="55"/>
      <c r="CF212" s="55"/>
    </row>
    <row r="213" spans="1:84" x14ac:dyDescent="0.25">
      <c r="A213" s="2">
        <v>1</v>
      </c>
      <c r="B213" s="71"/>
      <c r="C213" s="71">
        <v>2.25</v>
      </c>
      <c r="D213" s="74">
        <v>2.25</v>
      </c>
      <c r="E213" s="74">
        <v>2.25</v>
      </c>
      <c r="F213" s="71">
        <v>2.25</v>
      </c>
      <c r="G213" s="72">
        <v>2.25</v>
      </c>
      <c r="H213" s="71">
        <v>2.25</v>
      </c>
      <c r="I213" s="74">
        <v>2.25</v>
      </c>
      <c r="J213" s="74">
        <v>2.25</v>
      </c>
      <c r="K213" s="71">
        <v>2.25</v>
      </c>
      <c r="L213" s="72">
        <v>2.25</v>
      </c>
      <c r="M213" s="71">
        <v>2.25</v>
      </c>
      <c r="N213" s="74">
        <v>2.25</v>
      </c>
      <c r="O213" s="74">
        <v>2.25</v>
      </c>
      <c r="P213" s="71">
        <v>2.25</v>
      </c>
      <c r="Q213" s="72">
        <v>2.25</v>
      </c>
      <c r="R213" s="71">
        <v>2.25</v>
      </c>
      <c r="S213" s="74">
        <v>2.25</v>
      </c>
      <c r="T213" s="74">
        <v>2.25</v>
      </c>
      <c r="U213" s="71">
        <v>2.25</v>
      </c>
      <c r="V213" s="72">
        <v>2.25</v>
      </c>
      <c r="W213" s="71">
        <v>2.25</v>
      </c>
      <c r="X213" s="74">
        <v>2.25</v>
      </c>
      <c r="Y213" s="74">
        <v>2.25</v>
      </c>
      <c r="Z213" s="71">
        <v>2.25</v>
      </c>
      <c r="AA213" s="72">
        <v>2.25</v>
      </c>
      <c r="AB213" s="71">
        <v>2.25</v>
      </c>
      <c r="AC213" s="74">
        <v>2.25</v>
      </c>
      <c r="AD213" s="74">
        <v>2.25</v>
      </c>
      <c r="AE213" s="71">
        <v>2.25</v>
      </c>
      <c r="AF213" s="72">
        <v>2.25</v>
      </c>
      <c r="AG213" s="71">
        <v>2.25</v>
      </c>
      <c r="AH213" s="74">
        <v>2.25</v>
      </c>
      <c r="AI213" s="74">
        <v>2.25</v>
      </c>
      <c r="AJ213" s="71">
        <v>2.25</v>
      </c>
      <c r="AK213" s="72">
        <v>2.25</v>
      </c>
      <c r="AL213" s="71">
        <v>2.25</v>
      </c>
      <c r="AM213" s="74">
        <v>2.25</v>
      </c>
      <c r="AN213" s="74">
        <v>2.25</v>
      </c>
      <c r="AO213" s="71">
        <v>2.25</v>
      </c>
      <c r="AP213" s="72">
        <v>2.25</v>
      </c>
      <c r="AQ213" s="71">
        <v>2.25</v>
      </c>
      <c r="AR213" s="74">
        <v>2.25</v>
      </c>
      <c r="AS213" s="74">
        <v>2.25</v>
      </c>
      <c r="AT213" s="71">
        <v>2.25</v>
      </c>
      <c r="AU213" s="72">
        <v>2.25</v>
      </c>
      <c r="AV213" s="71">
        <v>2.25</v>
      </c>
      <c r="AW213" s="74">
        <v>2.25</v>
      </c>
      <c r="AX213" s="74">
        <v>2.25</v>
      </c>
      <c r="AY213" s="71">
        <v>2.25</v>
      </c>
      <c r="AZ213" s="72">
        <v>2.25</v>
      </c>
      <c r="BA213" s="71">
        <v>2.25</v>
      </c>
      <c r="BB213" s="74">
        <v>2.25</v>
      </c>
      <c r="BC213" s="74">
        <v>2.25</v>
      </c>
      <c r="BD213" s="71">
        <v>2.25</v>
      </c>
      <c r="BE213" s="72">
        <v>2.25</v>
      </c>
      <c r="BF213" s="71">
        <v>2.25</v>
      </c>
      <c r="BG213" s="74">
        <v>2.25</v>
      </c>
      <c r="BH213" s="74">
        <v>2.25</v>
      </c>
      <c r="BI213" s="71">
        <v>2.25</v>
      </c>
      <c r="BJ213" s="72">
        <v>2.25</v>
      </c>
      <c r="BK213" s="71">
        <v>2.25</v>
      </c>
      <c r="BL213" s="74">
        <v>2.25</v>
      </c>
      <c r="BM213" s="74">
        <v>2.25</v>
      </c>
      <c r="BN213" s="71">
        <v>2.25</v>
      </c>
      <c r="BO213" s="72">
        <v>2.25</v>
      </c>
      <c r="BP213" s="71">
        <v>2.25</v>
      </c>
      <c r="BQ213" s="74">
        <v>2.25</v>
      </c>
      <c r="BR213" s="74">
        <v>2.25</v>
      </c>
      <c r="BS213" s="71">
        <v>2.25</v>
      </c>
      <c r="BT213" s="72">
        <v>2.25</v>
      </c>
      <c r="BU213" s="71">
        <v>2.25</v>
      </c>
      <c r="BV213" s="74">
        <v>2.25</v>
      </c>
      <c r="BW213" s="74">
        <v>2.25</v>
      </c>
      <c r="BX213" s="71">
        <v>2.25</v>
      </c>
      <c r="BY213" s="72">
        <v>2.25</v>
      </c>
      <c r="BZ213" s="72">
        <v>2.25</v>
      </c>
      <c r="CA213" s="72">
        <v>2.25</v>
      </c>
      <c r="CB213" s="72">
        <v>2.25</v>
      </c>
      <c r="CC213" s="72">
        <v>2.25</v>
      </c>
      <c r="CD213" s="72">
        <v>2.25</v>
      </c>
      <c r="CE213" s="72">
        <v>2.25</v>
      </c>
      <c r="CF213" s="72">
        <v>2.25</v>
      </c>
    </row>
    <row r="214" spans="1:84" x14ac:dyDescent="0.25">
      <c r="A214" s="2">
        <v>2</v>
      </c>
      <c r="B214" s="71"/>
      <c r="C214" s="71">
        <v>3</v>
      </c>
      <c r="D214" s="74">
        <v>3</v>
      </c>
      <c r="E214" s="74">
        <v>3</v>
      </c>
      <c r="F214" s="71">
        <v>3</v>
      </c>
      <c r="G214" s="72">
        <v>3</v>
      </c>
      <c r="H214" s="71">
        <v>3</v>
      </c>
      <c r="I214" s="74">
        <v>3</v>
      </c>
      <c r="J214" s="74">
        <v>3</v>
      </c>
      <c r="K214" s="71">
        <v>3</v>
      </c>
      <c r="L214" s="72">
        <v>3</v>
      </c>
      <c r="M214" s="71">
        <v>3</v>
      </c>
      <c r="N214" s="74">
        <v>3</v>
      </c>
      <c r="O214" s="74">
        <v>3</v>
      </c>
      <c r="P214" s="71">
        <v>3</v>
      </c>
      <c r="Q214" s="72">
        <v>3</v>
      </c>
      <c r="R214" s="71">
        <v>3</v>
      </c>
      <c r="S214" s="74">
        <v>3</v>
      </c>
      <c r="T214" s="74">
        <v>3</v>
      </c>
      <c r="U214" s="71">
        <v>3</v>
      </c>
      <c r="V214" s="72">
        <v>3</v>
      </c>
      <c r="W214" s="71">
        <v>3</v>
      </c>
      <c r="X214" s="74">
        <v>3</v>
      </c>
      <c r="Y214" s="74">
        <v>3</v>
      </c>
      <c r="Z214" s="71">
        <v>3</v>
      </c>
      <c r="AA214" s="72">
        <v>3</v>
      </c>
      <c r="AB214" s="71">
        <v>3</v>
      </c>
      <c r="AC214" s="74">
        <v>3</v>
      </c>
      <c r="AD214" s="74">
        <v>3</v>
      </c>
      <c r="AE214" s="71">
        <v>3</v>
      </c>
      <c r="AF214" s="72">
        <v>3</v>
      </c>
      <c r="AG214" s="71">
        <v>3</v>
      </c>
      <c r="AH214" s="74">
        <v>3</v>
      </c>
      <c r="AI214" s="74">
        <v>3</v>
      </c>
      <c r="AJ214" s="71">
        <v>3</v>
      </c>
      <c r="AK214" s="72">
        <v>3</v>
      </c>
      <c r="AL214" s="71">
        <v>3</v>
      </c>
      <c r="AM214" s="74">
        <v>3</v>
      </c>
      <c r="AN214" s="74">
        <v>3</v>
      </c>
      <c r="AO214" s="71">
        <v>3</v>
      </c>
      <c r="AP214" s="72">
        <v>3</v>
      </c>
      <c r="AQ214" s="71">
        <v>3</v>
      </c>
      <c r="AR214" s="74">
        <v>3</v>
      </c>
      <c r="AS214" s="74">
        <v>3</v>
      </c>
      <c r="AT214" s="71">
        <v>3</v>
      </c>
      <c r="AU214" s="72">
        <v>3</v>
      </c>
      <c r="AV214" s="71">
        <v>3</v>
      </c>
      <c r="AW214" s="74">
        <v>3</v>
      </c>
      <c r="AX214" s="74">
        <v>3</v>
      </c>
      <c r="AY214" s="71">
        <v>3</v>
      </c>
      <c r="AZ214" s="72">
        <v>3</v>
      </c>
      <c r="BA214" s="71">
        <v>3</v>
      </c>
      <c r="BB214" s="74">
        <v>3</v>
      </c>
      <c r="BC214" s="74">
        <v>3</v>
      </c>
      <c r="BD214" s="71">
        <v>3</v>
      </c>
      <c r="BE214" s="72">
        <v>3</v>
      </c>
      <c r="BF214" s="71">
        <v>3</v>
      </c>
      <c r="BG214" s="74">
        <v>3</v>
      </c>
      <c r="BH214" s="74">
        <v>3</v>
      </c>
      <c r="BI214" s="71">
        <v>3</v>
      </c>
      <c r="BJ214" s="72">
        <v>3</v>
      </c>
      <c r="BK214" s="71">
        <v>3</v>
      </c>
      <c r="BL214" s="74">
        <v>3</v>
      </c>
      <c r="BM214" s="74">
        <v>3</v>
      </c>
      <c r="BN214" s="71">
        <v>3</v>
      </c>
      <c r="BO214" s="72">
        <v>3</v>
      </c>
      <c r="BP214" s="71">
        <v>3</v>
      </c>
      <c r="BQ214" s="74">
        <v>3</v>
      </c>
      <c r="BR214" s="74">
        <v>3</v>
      </c>
      <c r="BS214" s="71">
        <v>3</v>
      </c>
      <c r="BT214" s="72">
        <v>3</v>
      </c>
      <c r="BU214" s="71">
        <v>3</v>
      </c>
      <c r="BV214" s="74">
        <v>3</v>
      </c>
      <c r="BW214" s="74">
        <v>3</v>
      </c>
      <c r="BX214" s="71">
        <v>3</v>
      </c>
      <c r="BY214" s="72">
        <v>3</v>
      </c>
      <c r="BZ214" s="72">
        <v>3</v>
      </c>
      <c r="CA214" s="72">
        <v>3</v>
      </c>
      <c r="CB214" s="72">
        <v>3</v>
      </c>
      <c r="CC214" s="72">
        <v>3</v>
      </c>
      <c r="CD214" s="72">
        <v>3</v>
      </c>
      <c r="CE214" s="72">
        <v>3</v>
      </c>
      <c r="CF214" s="72">
        <v>3</v>
      </c>
    </row>
    <row r="215" spans="1:84" x14ac:dyDescent="0.25">
      <c r="A215" s="2">
        <v>3</v>
      </c>
      <c r="B215" s="71"/>
      <c r="C215" s="71">
        <v>3.5</v>
      </c>
      <c r="D215" s="74">
        <v>3.5</v>
      </c>
      <c r="E215" s="74">
        <v>3.5</v>
      </c>
      <c r="F215" s="71">
        <v>3.5</v>
      </c>
      <c r="G215" s="72">
        <v>3.5</v>
      </c>
      <c r="H215" s="71">
        <v>3.5</v>
      </c>
      <c r="I215" s="74">
        <v>3.5</v>
      </c>
      <c r="J215" s="74">
        <v>3.5</v>
      </c>
      <c r="K215" s="71">
        <v>3.5</v>
      </c>
      <c r="L215" s="72">
        <v>3.5</v>
      </c>
      <c r="M215" s="71">
        <v>3.5</v>
      </c>
      <c r="N215" s="74">
        <v>3.5</v>
      </c>
      <c r="O215" s="74">
        <v>3.5</v>
      </c>
      <c r="P215" s="71">
        <v>3.5</v>
      </c>
      <c r="Q215" s="72">
        <v>3.5</v>
      </c>
      <c r="R215" s="71">
        <v>3.5</v>
      </c>
      <c r="S215" s="74">
        <v>3.5</v>
      </c>
      <c r="T215" s="74">
        <v>3.5</v>
      </c>
      <c r="U215" s="71">
        <v>3.5</v>
      </c>
      <c r="V215" s="72">
        <v>3.5</v>
      </c>
      <c r="W215" s="71">
        <v>3.5</v>
      </c>
      <c r="X215" s="74">
        <v>3.5</v>
      </c>
      <c r="Y215" s="74">
        <v>3.5</v>
      </c>
      <c r="Z215" s="71">
        <v>3.5</v>
      </c>
      <c r="AA215" s="72">
        <v>3.5</v>
      </c>
      <c r="AB215" s="71">
        <v>3.5</v>
      </c>
      <c r="AC215" s="74">
        <v>3.5</v>
      </c>
      <c r="AD215" s="74">
        <v>3.5</v>
      </c>
      <c r="AE215" s="71">
        <v>3.5</v>
      </c>
      <c r="AF215" s="72">
        <v>3.5</v>
      </c>
      <c r="AG215" s="71">
        <v>3.5</v>
      </c>
      <c r="AH215" s="74">
        <v>3.5</v>
      </c>
      <c r="AI215" s="74">
        <v>3.5</v>
      </c>
      <c r="AJ215" s="71">
        <v>3.5</v>
      </c>
      <c r="AK215" s="72">
        <v>3.5</v>
      </c>
      <c r="AL215" s="71">
        <v>3.5</v>
      </c>
      <c r="AM215" s="74">
        <v>3.5</v>
      </c>
      <c r="AN215" s="74">
        <v>3.5</v>
      </c>
      <c r="AO215" s="71">
        <v>3.5</v>
      </c>
      <c r="AP215" s="72">
        <v>3.5</v>
      </c>
      <c r="AQ215" s="71">
        <v>3.5</v>
      </c>
      <c r="AR215" s="74">
        <v>3.5</v>
      </c>
      <c r="AS215" s="74">
        <v>3.5</v>
      </c>
      <c r="AT215" s="71">
        <v>3.5</v>
      </c>
      <c r="AU215" s="72">
        <v>3.5</v>
      </c>
      <c r="AV215" s="71">
        <v>3.5</v>
      </c>
      <c r="AW215" s="74">
        <v>3.5</v>
      </c>
      <c r="AX215" s="74">
        <v>3.5</v>
      </c>
      <c r="AY215" s="71">
        <v>3.5</v>
      </c>
      <c r="AZ215" s="72">
        <v>3.5</v>
      </c>
      <c r="BA215" s="71">
        <v>3.5</v>
      </c>
      <c r="BB215" s="74">
        <v>3.5</v>
      </c>
      <c r="BC215" s="74">
        <v>3.5</v>
      </c>
      <c r="BD215" s="71">
        <v>3.5</v>
      </c>
      <c r="BE215" s="72">
        <v>3.5</v>
      </c>
      <c r="BF215" s="71">
        <v>3.5</v>
      </c>
      <c r="BG215" s="74">
        <v>3.5</v>
      </c>
      <c r="BH215" s="74">
        <v>3.5</v>
      </c>
      <c r="BI215" s="71">
        <v>3.5</v>
      </c>
      <c r="BJ215" s="72">
        <v>3.5</v>
      </c>
      <c r="BK215" s="71">
        <v>3.5</v>
      </c>
      <c r="BL215" s="74">
        <v>3.5</v>
      </c>
      <c r="BM215" s="74">
        <v>3.5</v>
      </c>
      <c r="BN215" s="71">
        <v>3.5</v>
      </c>
      <c r="BO215" s="72">
        <v>3.5</v>
      </c>
      <c r="BP215" s="71">
        <v>3.5</v>
      </c>
      <c r="BQ215" s="74">
        <v>3.5</v>
      </c>
      <c r="BR215" s="74">
        <v>3.5</v>
      </c>
      <c r="BS215" s="71">
        <v>3.5</v>
      </c>
      <c r="BT215" s="72">
        <v>3.5</v>
      </c>
      <c r="BU215" s="71">
        <v>3.5</v>
      </c>
      <c r="BV215" s="74">
        <v>3.5</v>
      </c>
      <c r="BW215" s="74">
        <v>3.5</v>
      </c>
      <c r="BX215" s="71">
        <v>3.5</v>
      </c>
      <c r="BY215" s="72">
        <v>3.5</v>
      </c>
      <c r="BZ215" s="72">
        <v>3.5</v>
      </c>
      <c r="CA215" s="72">
        <v>3.5</v>
      </c>
      <c r="CB215" s="72">
        <v>3.5</v>
      </c>
      <c r="CC215" s="72">
        <v>3.5</v>
      </c>
      <c r="CD215" s="72">
        <v>3.5</v>
      </c>
      <c r="CE215" s="72">
        <v>3.5</v>
      </c>
      <c r="CF215" s="72">
        <v>3.5</v>
      </c>
    </row>
    <row r="216" spans="1:84" x14ac:dyDescent="0.25">
      <c r="A216" s="2"/>
      <c r="B216" s="71"/>
      <c r="C216" s="74"/>
      <c r="D216" s="74"/>
      <c r="E216" s="74"/>
      <c r="F216" s="74"/>
      <c r="G216" s="72"/>
      <c r="H216" s="74"/>
      <c r="I216" s="74"/>
      <c r="J216" s="74"/>
      <c r="K216" s="74"/>
      <c r="L216" s="72"/>
      <c r="M216" s="74"/>
      <c r="N216" s="74"/>
      <c r="O216" s="74"/>
      <c r="P216" s="74"/>
      <c r="Q216" s="72"/>
      <c r="R216" s="74"/>
      <c r="S216" s="74"/>
      <c r="T216" s="74"/>
      <c r="U216" s="74"/>
      <c r="V216" s="72"/>
      <c r="W216" s="74"/>
      <c r="X216" s="74"/>
      <c r="Y216" s="74"/>
      <c r="Z216" s="74"/>
      <c r="AA216" s="72"/>
      <c r="AB216" s="74"/>
      <c r="AC216" s="74"/>
      <c r="AD216" s="74"/>
      <c r="AE216" s="74"/>
      <c r="AF216" s="72"/>
      <c r="AG216" s="74"/>
      <c r="AH216" s="74"/>
      <c r="AI216" s="74"/>
      <c r="AJ216" s="74"/>
      <c r="AK216" s="72"/>
      <c r="AL216" s="74"/>
      <c r="AM216" s="74"/>
      <c r="AN216" s="74"/>
      <c r="AO216" s="74"/>
      <c r="AP216" s="72"/>
      <c r="AQ216" s="74"/>
      <c r="AR216" s="74"/>
      <c r="AS216" s="74"/>
      <c r="AT216" s="74"/>
      <c r="AU216" s="72"/>
      <c r="AV216" s="74"/>
      <c r="AW216" s="74"/>
      <c r="AX216" s="74"/>
      <c r="AY216" s="74"/>
      <c r="AZ216" s="72"/>
      <c r="BA216" s="74"/>
      <c r="BB216" s="74"/>
      <c r="BC216" s="74"/>
      <c r="BD216" s="74"/>
      <c r="BE216" s="72"/>
      <c r="BF216" s="74"/>
      <c r="BG216" s="74"/>
      <c r="BH216" s="74"/>
      <c r="BI216" s="74"/>
      <c r="BJ216" s="72"/>
      <c r="BK216" s="74"/>
      <c r="BL216" s="74"/>
      <c r="BM216" s="74"/>
      <c r="BN216" s="74"/>
      <c r="BO216" s="72"/>
      <c r="BP216" s="74"/>
      <c r="BQ216" s="74"/>
      <c r="BR216" s="74"/>
      <c r="BS216" s="74"/>
      <c r="BT216" s="72"/>
      <c r="BU216" s="74"/>
      <c r="BV216" s="74"/>
      <c r="BW216" s="74"/>
      <c r="BX216" s="74"/>
      <c r="BY216" s="72"/>
      <c r="BZ216" s="72"/>
      <c r="CA216" s="72"/>
      <c r="CB216" s="72"/>
      <c r="CC216" s="72"/>
      <c r="CD216" s="72"/>
      <c r="CE216" s="72"/>
      <c r="CF216" s="72"/>
    </row>
    <row r="217" spans="1:84" x14ac:dyDescent="0.25">
      <c r="A217" s="75" t="s">
        <v>623</v>
      </c>
      <c r="B217" s="2"/>
      <c r="C217" s="4"/>
      <c r="D217" s="4"/>
      <c r="E217" s="4"/>
      <c r="F217" s="4"/>
      <c r="G217" s="55"/>
      <c r="H217" s="4"/>
      <c r="I217" s="4"/>
      <c r="J217" s="4"/>
      <c r="K217" s="4"/>
      <c r="L217" s="55"/>
      <c r="M217" s="4"/>
      <c r="N217" s="4"/>
      <c r="O217" s="4"/>
      <c r="P217" s="4"/>
      <c r="Q217" s="55"/>
      <c r="R217" s="4"/>
      <c r="S217" s="4"/>
      <c r="T217" s="4"/>
      <c r="U217" s="4"/>
      <c r="V217" s="55"/>
      <c r="W217" s="4"/>
      <c r="X217" s="4"/>
      <c r="Y217" s="4"/>
      <c r="Z217" s="4"/>
      <c r="AA217" s="55"/>
      <c r="AB217" s="4"/>
      <c r="AC217" s="4"/>
      <c r="AD217" s="4"/>
      <c r="AE217" s="4"/>
      <c r="AF217" s="55"/>
      <c r="AG217" s="4"/>
      <c r="AH217" s="4"/>
      <c r="AI217" s="4"/>
      <c r="AJ217" s="4"/>
      <c r="AK217" s="55"/>
      <c r="AL217" s="4"/>
      <c r="AM217" s="4"/>
      <c r="AN217" s="4"/>
      <c r="AO217" s="4"/>
      <c r="AP217" s="55"/>
      <c r="AQ217" s="4"/>
      <c r="AR217" s="4"/>
      <c r="AS217" s="4"/>
      <c r="AT217" s="4"/>
      <c r="AU217" s="55"/>
      <c r="AV217" s="4"/>
      <c r="AW217" s="4"/>
      <c r="AX217" s="4"/>
      <c r="AY217" s="4"/>
      <c r="AZ217" s="55"/>
      <c r="BA217" s="4"/>
      <c r="BB217" s="4"/>
      <c r="BC217" s="4"/>
      <c r="BD217" s="4"/>
      <c r="BE217" s="55"/>
      <c r="BF217" s="4"/>
      <c r="BG217" s="4"/>
      <c r="BH217" s="4"/>
      <c r="BI217" s="4"/>
      <c r="BJ217" s="55"/>
      <c r="BK217" s="4"/>
      <c r="BL217" s="4"/>
      <c r="BM217" s="4"/>
      <c r="BN217" s="4"/>
      <c r="BO217" s="55"/>
      <c r="BP217" s="4"/>
      <c r="BQ217" s="4"/>
      <c r="BR217" s="4"/>
      <c r="BS217" s="4"/>
      <c r="BT217" s="55"/>
      <c r="BU217" s="4"/>
      <c r="BV217" s="4"/>
      <c r="BW217" s="4"/>
      <c r="BX217" s="4"/>
      <c r="BY217" s="55"/>
      <c r="BZ217" s="55"/>
      <c r="CA217" s="55"/>
      <c r="CB217" s="55"/>
      <c r="CC217" s="55"/>
      <c r="CD217" s="55"/>
      <c r="CE217" s="55"/>
      <c r="CF217" s="55"/>
    </row>
    <row r="218" spans="1:84" x14ac:dyDescent="0.25">
      <c r="A218" s="2" t="s">
        <v>2254</v>
      </c>
      <c r="B218" s="34"/>
      <c r="C218" s="34">
        <v>11.686</v>
      </c>
      <c r="D218" s="34">
        <v>11.397</v>
      </c>
      <c r="E218" s="34">
        <v>12.914</v>
      </c>
      <c r="F218" s="34">
        <v>13.894</v>
      </c>
      <c r="G218" s="111">
        <v>49.890999999999998</v>
      </c>
      <c r="H218" s="34">
        <v>13.746</v>
      </c>
      <c r="I218" s="34">
        <v>14.241</v>
      </c>
      <c r="J218" s="34">
        <v>13.770267</v>
      </c>
      <c r="K218" s="34">
        <v>13.527916000000001</v>
      </c>
      <c r="L218" s="111">
        <v>55.285183000000004</v>
      </c>
      <c r="M218" s="34">
        <v>14.489084999999999</v>
      </c>
      <c r="N218" s="34">
        <v>13.9</v>
      </c>
      <c r="O218" s="34">
        <v>14.154093</v>
      </c>
      <c r="P218" s="34">
        <v>14.202297999999999</v>
      </c>
      <c r="Q218" s="111">
        <v>56.745475999999996</v>
      </c>
      <c r="R218" s="34">
        <v>14.856680000000001</v>
      </c>
      <c r="S218" s="34">
        <v>14.548337</v>
      </c>
      <c r="T218" s="34">
        <v>14.273394</v>
      </c>
      <c r="U218" s="34">
        <v>13.794276999999999</v>
      </c>
      <c r="V218" s="111">
        <v>57.472687999999998</v>
      </c>
      <c r="W218" s="34">
        <v>14.878496999999999</v>
      </c>
      <c r="X218" s="34">
        <v>14.590800000000002</v>
      </c>
      <c r="Y218" s="34">
        <v>14.471935999999999</v>
      </c>
      <c r="Z218" s="34">
        <v>13.351683000000001</v>
      </c>
      <c r="AA218" s="111">
        <v>57.292915999999998</v>
      </c>
      <c r="AB218" s="34">
        <f>PENN!AB$948</f>
        <v>14.6</v>
      </c>
      <c r="AC218" s="34">
        <f>PENN!AC$948</f>
        <v>14.2</v>
      </c>
      <c r="AD218" s="34">
        <f>PENN!AD$948</f>
        <v>14.3</v>
      </c>
      <c r="AE218" s="34">
        <f>PENN!AE$948</f>
        <v>13.7</v>
      </c>
      <c r="AF218" s="34">
        <f>PENN!AF$948</f>
        <v>56.8</v>
      </c>
      <c r="AG218" s="34">
        <f>PENN!AG$948</f>
        <v>15.4</v>
      </c>
      <c r="AH218" s="34">
        <f>PENN!AH$948</f>
        <v>14.5</v>
      </c>
      <c r="AI218" s="34">
        <f>PENN!AI$948</f>
        <v>14.523021</v>
      </c>
      <c r="AJ218" s="34">
        <f>PENN!AJ$948</f>
        <v>14.321683999999998</v>
      </c>
      <c r="AK218" s="34">
        <f>PENN!AK$948</f>
        <v>58.744704999999996</v>
      </c>
      <c r="AL218" s="34">
        <f>PENN!AL$948</f>
        <v>15.552116</v>
      </c>
      <c r="AM218" s="34">
        <f>PENN!AM$948</f>
        <v>15.422333999999999</v>
      </c>
      <c r="AN218" s="34">
        <f>PENN!AN$948</f>
        <v>15.490831999999999</v>
      </c>
      <c r="AO218" s="34">
        <f>PENN!AO$948</f>
        <v>14.682969</v>
      </c>
      <c r="AP218" s="34">
        <f>PENN!AP$948</f>
        <v>61.148250999999995</v>
      </c>
      <c r="AQ218" s="34">
        <f>PENN!AQ$948</f>
        <v>16.014023000000002</v>
      </c>
      <c r="AR218" s="34">
        <f>PENN!AR$948</f>
        <v>14.810877</v>
      </c>
      <c r="AS218" s="34">
        <f>PENN!AS$948</f>
        <v>14.170278999999999</v>
      </c>
      <c r="AT218" s="34">
        <f>PENN!AT$948</f>
        <v>14.155937</v>
      </c>
      <c r="AU218" s="34">
        <f>PENN!AU$948</f>
        <v>59.151116000000002</v>
      </c>
      <c r="AV218" s="34">
        <f>PENN!AV$948</f>
        <v>14.433881000000001</v>
      </c>
      <c r="AW218" s="34">
        <f>PENN!AW$948</f>
        <v>13.29011</v>
      </c>
      <c r="AX218" s="34">
        <f>PENN!AX$948</f>
        <v>12.173192</v>
      </c>
      <c r="AY218" s="34">
        <f>PENN!AY$948</f>
        <v>12.111996000000001</v>
      </c>
      <c r="AZ218" s="34">
        <f>PENN!AZ$948</f>
        <v>52.009179000000003</v>
      </c>
      <c r="BA218" s="34">
        <f>PENN!BA$948</f>
        <v>12.353752999999999</v>
      </c>
      <c r="BB218" s="34">
        <f>PENN!BB$948</f>
        <v>11.369023</v>
      </c>
      <c r="BC218" s="34">
        <f>PENN!BC$948</f>
        <v>3.1473609999999996</v>
      </c>
      <c r="BD218" s="34">
        <f>PENN!BD$948</f>
        <v>0</v>
      </c>
      <c r="BE218" s="111">
        <f>PENN!BE$948</f>
        <v>26.870137</v>
      </c>
      <c r="BF218" s="34">
        <f>PENN!BF$948</f>
        <v>0</v>
      </c>
      <c r="BG218" s="34">
        <f>PENN!BG$948</f>
        <v>0</v>
      </c>
      <c r="BH218" s="34">
        <f>PENN!BH$948</f>
        <v>0</v>
      </c>
      <c r="BI218" s="34">
        <f>PENN!BI$948</f>
        <v>0</v>
      </c>
      <c r="BJ218" s="111">
        <f>PENN!BJ$948</f>
        <v>0</v>
      </c>
      <c r="BK218" s="34">
        <f>PENN!BK$948</f>
        <v>0</v>
      </c>
      <c r="BL218" s="34">
        <f>PENN!BL$948</f>
        <v>0</v>
      </c>
      <c r="BM218" s="34">
        <f>PENN!BM$948</f>
        <v>0</v>
      </c>
      <c r="BN218" s="34">
        <f>PENN!BN$948</f>
        <v>0</v>
      </c>
      <c r="BO218" s="111">
        <f>PENN!BO$948</f>
        <v>0</v>
      </c>
      <c r="BP218" s="34">
        <f>PENN!BP$948</f>
        <v>0</v>
      </c>
      <c r="BQ218" s="34">
        <f>PENN!BQ$948</f>
        <v>0</v>
      </c>
      <c r="BR218" s="34">
        <f>PENN!BR$948</f>
        <v>0</v>
      </c>
      <c r="BS218" s="34">
        <f>PENN!BS$948</f>
        <v>0</v>
      </c>
      <c r="BT218" s="111">
        <f>PENN!BT$948</f>
        <v>0</v>
      </c>
      <c r="BU218" s="34">
        <f>PENN!BU$948</f>
        <v>0</v>
      </c>
      <c r="BV218" s="34">
        <f>PENN!BV$948</f>
        <v>0</v>
      </c>
      <c r="BW218" s="34">
        <f>PENN!BW$948</f>
        <v>0</v>
      </c>
      <c r="BX218" s="34">
        <f>PENN!BX$948</f>
        <v>0</v>
      </c>
      <c r="BY218" s="111">
        <f>PENN!BY$948</f>
        <v>0</v>
      </c>
      <c r="BZ218" s="111">
        <f>PENN!BZ$948</f>
        <v>0</v>
      </c>
      <c r="CA218" s="111">
        <f>PENN!CA$948</f>
        <v>0</v>
      </c>
      <c r="CB218" s="111">
        <f>PENN!CB$948</f>
        <v>0</v>
      </c>
      <c r="CC218" s="111">
        <f>PENN!CC$948</f>
        <v>0</v>
      </c>
      <c r="CD218" s="111">
        <f>PENN!CD$948</f>
        <v>0</v>
      </c>
      <c r="CE218" s="111">
        <f>PENN!CE$948</f>
        <v>0</v>
      </c>
      <c r="CF218" s="111">
        <f>PENN!CF$948</f>
        <v>0</v>
      </c>
    </row>
    <row r="219" spans="1:84" x14ac:dyDescent="0.25">
      <c r="A219" s="2" t="s">
        <v>1057</v>
      </c>
      <c r="B219" s="33"/>
      <c r="C219" s="33">
        <v>214.45500000000001</v>
      </c>
      <c r="D219" s="33">
        <v>219.13200000000001</v>
      </c>
      <c r="E219" s="33">
        <v>268.928</v>
      </c>
      <c r="F219" s="33">
        <v>268.928</v>
      </c>
      <c r="G219" s="139">
        <v>971.44299999999998</v>
      </c>
      <c r="H219" s="33">
        <v>268.928</v>
      </c>
      <c r="I219" s="33">
        <v>268.928</v>
      </c>
      <c r="J219" s="33">
        <v>302.65100000000001</v>
      </c>
      <c r="K219" s="33">
        <v>281.33699999999999</v>
      </c>
      <c r="L219" s="139">
        <v>1121.8440000000001</v>
      </c>
      <c r="M219" s="33">
        <v>284.19099999999997</v>
      </c>
      <c r="N219" s="33">
        <v>297.39999999999998</v>
      </c>
      <c r="O219" s="33">
        <v>334.88400000000001</v>
      </c>
      <c r="P219" s="33">
        <v>304.108</v>
      </c>
      <c r="Q219" s="139">
        <v>1220.5829999999999</v>
      </c>
      <c r="R219" s="33">
        <v>310.22699999999998</v>
      </c>
      <c r="S219" s="33">
        <v>297.83100000000002</v>
      </c>
      <c r="T219" s="33">
        <v>303.46300000000002</v>
      </c>
      <c r="U219" s="33">
        <v>274.37700000000001</v>
      </c>
      <c r="V219" s="139">
        <v>1185.8979999999999</v>
      </c>
      <c r="W219" s="33">
        <v>268.18599999999998</v>
      </c>
      <c r="X219" s="33">
        <v>277.23500000000001</v>
      </c>
      <c r="Y219" s="33">
        <v>279.45699999999999</v>
      </c>
      <c r="Z219" s="33">
        <v>254.10300000000001</v>
      </c>
      <c r="AA219" s="139">
        <v>1078.981</v>
      </c>
      <c r="AB219" s="120">
        <f>PENN!AB$945</f>
        <v>283.2</v>
      </c>
      <c r="AC219" s="120">
        <f>PENN!AC$945</f>
        <v>275.60000000000002</v>
      </c>
      <c r="AD219" s="120">
        <f>PENN!AD$945</f>
        <v>273.8</v>
      </c>
      <c r="AE219" s="120">
        <f>PENN!AE$945</f>
        <v>240.66200000000001</v>
      </c>
      <c r="AF219" s="120">
        <f>PENN!AF$945</f>
        <v>1073.2619999999999</v>
      </c>
      <c r="AG219" s="120">
        <f>PENN!AG$945</f>
        <v>250.26300000000001</v>
      </c>
      <c r="AH219" s="120">
        <f>PENN!AH$945</f>
        <v>256.8</v>
      </c>
      <c r="AI219" s="120">
        <f>PENN!AI$945</f>
        <v>258.35000000000002</v>
      </c>
      <c r="AJ219" s="120">
        <f>PENN!AJ$945</f>
        <v>236.51</v>
      </c>
      <c r="AK219" s="120">
        <f>PENN!AK$945</f>
        <v>1001.923</v>
      </c>
      <c r="AL219" s="120">
        <f>PENN!AL$945</f>
        <v>241.06399999999999</v>
      </c>
      <c r="AM219" s="120">
        <f>PENN!AM$945</f>
        <v>248.048</v>
      </c>
      <c r="AN219" s="120">
        <f>PENN!AN$945</f>
        <v>238.38800000000001</v>
      </c>
      <c r="AO219" s="120">
        <f>PENN!AO$945</f>
        <v>226.14599999999999</v>
      </c>
      <c r="AP219" s="120">
        <f>PENN!AP$945</f>
        <v>953.64599999999996</v>
      </c>
      <c r="AQ219" s="120">
        <f>PENN!AQ$945</f>
        <v>229.66300000000001</v>
      </c>
      <c r="AR219" s="120">
        <f>PENN!AR$945</f>
        <v>219.137</v>
      </c>
      <c r="AS219" s="120">
        <f>PENN!AS$945</f>
        <v>215.82900000000001</v>
      </c>
      <c r="AT219" s="120">
        <f>PENN!AT$945</f>
        <v>204.40799999999999</v>
      </c>
      <c r="AU219" s="120">
        <f>PENN!AU$945</f>
        <v>869.03700000000003</v>
      </c>
      <c r="AV219" s="120">
        <f>PENN!AV$945</f>
        <v>200.66399999999999</v>
      </c>
      <c r="AW219" s="120">
        <f>PENN!AW$945</f>
        <v>194.886</v>
      </c>
      <c r="AX219" s="120">
        <f>PENN!AX$945</f>
        <v>187.745</v>
      </c>
      <c r="AY219" s="120">
        <f>PENN!AY$945</f>
        <v>173.203</v>
      </c>
      <c r="AZ219" s="120">
        <f>PENN!AZ$945</f>
        <v>756.49799999999993</v>
      </c>
      <c r="BA219" s="120">
        <f>PENN!BA$945</f>
        <v>173.124</v>
      </c>
      <c r="BB219" s="120">
        <f>PENN!BB$945</f>
        <v>167.80099999999999</v>
      </c>
      <c r="BC219" s="120">
        <f>PENN!BC$945</f>
        <v>49.395000000000003</v>
      </c>
      <c r="BD219" s="120">
        <f>PENN!BD$945</f>
        <v>0</v>
      </c>
      <c r="BE219" s="121">
        <f>PENN!BE$945</f>
        <v>390.31999999999994</v>
      </c>
      <c r="BF219" s="120">
        <f>PENN!BF$945</f>
        <v>0</v>
      </c>
      <c r="BG219" s="120">
        <f>PENN!BG$945</f>
        <v>0</v>
      </c>
      <c r="BH219" s="120">
        <f>PENN!BH$945</f>
        <v>0</v>
      </c>
      <c r="BI219" s="120">
        <f>PENN!BI$945</f>
        <v>0</v>
      </c>
      <c r="BJ219" s="121">
        <f>PENN!BJ$945</f>
        <v>0</v>
      </c>
      <c r="BK219" s="120">
        <f>PENN!BK$945</f>
        <v>0</v>
      </c>
      <c r="BL219" s="120">
        <f>PENN!BL$945</f>
        <v>0</v>
      </c>
      <c r="BM219" s="120">
        <f>PENN!BM$945</f>
        <v>0</v>
      </c>
      <c r="BN219" s="120">
        <f>PENN!BN$945</f>
        <v>0</v>
      </c>
      <c r="BO219" s="121">
        <f>PENN!BO$945</f>
        <v>0</v>
      </c>
      <c r="BP219" s="120">
        <f>PENN!BP$945</f>
        <v>0</v>
      </c>
      <c r="BQ219" s="120">
        <f>PENN!BQ$945</f>
        <v>0</v>
      </c>
      <c r="BR219" s="120">
        <f>PENN!BR$945</f>
        <v>0</v>
      </c>
      <c r="BS219" s="120">
        <f>PENN!BS$945</f>
        <v>0</v>
      </c>
      <c r="BT219" s="121">
        <f>PENN!BT$945</f>
        <v>0</v>
      </c>
      <c r="BU219" s="120">
        <f>PENN!BU$945</f>
        <v>0</v>
      </c>
      <c r="BV219" s="120">
        <f>PENN!BV$945</f>
        <v>0</v>
      </c>
      <c r="BW219" s="120">
        <f>PENN!BW$945</f>
        <v>0</v>
      </c>
      <c r="BX219" s="120">
        <f>PENN!BX$945</f>
        <v>0</v>
      </c>
      <c r="BY219" s="121">
        <f>PENN!BY$945</f>
        <v>0</v>
      </c>
      <c r="BZ219" s="121">
        <f>PENN!BZ$945</f>
        <v>0</v>
      </c>
      <c r="CA219" s="121">
        <f>PENN!CA$945</f>
        <v>0</v>
      </c>
      <c r="CB219" s="121">
        <f>PENN!CB$945</f>
        <v>0</v>
      </c>
      <c r="CC219" s="121">
        <f>PENN!CC$945</f>
        <v>0</v>
      </c>
      <c r="CD219" s="121">
        <f>PENN!CD$945</f>
        <v>0</v>
      </c>
      <c r="CE219" s="121">
        <f>PENN!CE$945</f>
        <v>0</v>
      </c>
      <c r="CF219" s="121">
        <f>PENN!CF$945</f>
        <v>0</v>
      </c>
    </row>
    <row r="220" spans="1:84" x14ac:dyDescent="0.25">
      <c r="A220" s="2"/>
      <c r="B220" s="7"/>
      <c r="C220" s="129"/>
      <c r="D220" s="129"/>
      <c r="E220" s="129"/>
      <c r="F220" s="129"/>
      <c r="G220" s="128"/>
      <c r="H220" s="129"/>
      <c r="I220" s="129"/>
      <c r="J220" s="129"/>
      <c r="K220" s="129"/>
      <c r="L220" s="128"/>
      <c r="M220" s="129"/>
      <c r="N220" s="129"/>
      <c r="O220" s="129"/>
      <c r="P220" s="129"/>
      <c r="Q220" s="128"/>
      <c r="R220" s="129"/>
      <c r="S220" s="129"/>
      <c r="T220" s="129"/>
      <c r="U220" s="129"/>
      <c r="V220" s="128"/>
      <c r="W220" s="129"/>
      <c r="X220" s="129"/>
      <c r="Y220" s="129"/>
      <c r="Z220" s="129"/>
      <c r="AA220" s="128"/>
      <c r="AB220" s="129"/>
      <c r="AC220" s="129"/>
      <c r="AD220" s="129"/>
      <c r="AE220" s="129"/>
      <c r="AF220" s="128"/>
      <c r="AG220" s="129"/>
      <c r="AH220" s="129"/>
      <c r="AI220" s="129"/>
      <c r="AJ220" s="129"/>
      <c r="AK220" s="128"/>
      <c r="AL220" s="129"/>
      <c r="AM220" s="129"/>
      <c r="AN220" s="129"/>
      <c r="AO220" s="129"/>
      <c r="AP220" s="128"/>
      <c r="AQ220" s="129"/>
      <c r="AR220" s="129"/>
      <c r="AS220" s="129"/>
      <c r="AT220" s="129"/>
      <c r="AU220" s="128"/>
      <c r="AV220" s="129"/>
      <c r="AW220" s="129"/>
      <c r="AX220" s="129"/>
      <c r="AY220" s="129"/>
      <c r="AZ220" s="128"/>
      <c r="BA220" s="129"/>
      <c r="BB220" s="129"/>
      <c r="BC220" s="129"/>
      <c r="BD220" s="129"/>
      <c r="BE220" s="128"/>
      <c r="BF220" s="129"/>
      <c r="BG220" s="129"/>
      <c r="BH220" s="129"/>
      <c r="BI220" s="129"/>
      <c r="BJ220" s="128"/>
      <c r="BK220" s="129"/>
      <c r="BL220" s="129"/>
      <c r="BM220" s="129"/>
      <c r="BN220" s="129"/>
      <c r="BO220" s="128"/>
      <c r="BP220" s="129"/>
      <c r="BQ220" s="129"/>
      <c r="BR220" s="129"/>
      <c r="BS220" s="129"/>
      <c r="BT220" s="128"/>
      <c r="BU220" s="129"/>
      <c r="BV220" s="129"/>
      <c r="BW220" s="129"/>
      <c r="BX220" s="129"/>
      <c r="BY220" s="128"/>
      <c r="BZ220" s="128"/>
      <c r="CA220" s="128"/>
      <c r="CB220" s="128"/>
      <c r="CC220" s="128"/>
      <c r="CD220" s="128"/>
      <c r="CE220" s="128"/>
      <c r="CF220" s="128"/>
    </row>
    <row r="221" spans="1:84" x14ac:dyDescent="0.25">
      <c r="A221" s="2" t="s">
        <v>1058</v>
      </c>
      <c r="B221" s="2"/>
      <c r="C221" s="4"/>
      <c r="D221" s="4"/>
      <c r="E221" s="4"/>
      <c r="F221" s="4"/>
      <c r="G221" s="55"/>
      <c r="H221" s="4"/>
      <c r="I221" s="4"/>
      <c r="J221" s="4"/>
      <c r="K221" s="4"/>
      <c r="L221" s="55"/>
      <c r="M221" s="4"/>
      <c r="N221" s="4"/>
      <c r="O221" s="4"/>
      <c r="P221" s="4"/>
      <c r="Q221" s="55"/>
      <c r="R221" s="4"/>
      <c r="S221" s="4"/>
      <c r="T221" s="4"/>
      <c r="U221" s="4"/>
      <c r="V221" s="55"/>
      <c r="W221" s="4"/>
      <c r="X221" s="4"/>
      <c r="Y221" s="4"/>
      <c r="Z221" s="4"/>
      <c r="AA221" s="55"/>
      <c r="AB221" s="4"/>
      <c r="AC221" s="4"/>
      <c r="AD221" s="4"/>
      <c r="AE221" s="4"/>
      <c r="AF221" s="55"/>
      <c r="AG221" s="4"/>
      <c r="AH221" s="4"/>
      <c r="AI221" s="4"/>
      <c r="AJ221" s="4"/>
      <c r="AK221" s="55"/>
      <c r="AL221" s="4"/>
      <c r="AM221" s="4"/>
      <c r="AN221" s="4"/>
      <c r="AO221" s="4"/>
      <c r="AP221" s="55"/>
      <c r="AQ221" s="4"/>
      <c r="AR221" s="4"/>
      <c r="AS221" s="4"/>
      <c r="AT221" s="4"/>
      <c r="AU221" s="55"/>
      <c r="AV221" s="4"/>
      <c r="AW221" s="4"/>
      <c r="AX221" s="4"/>
      <c r="AY221" s="4"/>
      <c r="AZ221" s="55"/>
      <c r="BA221" s="4"/>
      <c r="BB221" s="4"/>
      <c r="BC221" s="4"/>
      <c r="BD221" s="4"/>
      <c r="BE221" s="55"/>
      <c r="BF221" s="4"/>
      <c r="BG221" s="4"/>
      <c r="BH221" s="4"/>
      <c r="BI221" s="4"/>
      <c r="BJ221" s="55"/>
      <c r="BK221" s="4"/>
      <c r="BL221" s="4"/>
      <c r="BM221" s="4"/>
      <c r="BN221" s="4"/>
      <c r="BO221" s="55"/>
      <c r="BP221" s="4"/>
      <c r="BQ221" s="4"/>
      <c r="BR221" s="4"/>
      <c r="BS221" s="4"/>
      <c r="BT221" s="55"/>
      <c r="BU221" s="4"/>
      <c r="BV221" s="4"/>
      <c r="BW221" s="4"/>
      <c r="BX221" s="4"/>
      <c r="BY221" s="55"/>
      <c r="BZ221" s="55"/>
      <c r="CA221" s="55"/>
      <c r="CB221" s="55"/>
      <c r="CC221" s="55"/>
      <c r="CD221" s="55"/>
      <c r="CE221" s="55"/>
      <c r="CF221" s="55"/>
    </row>
    <row r="222" spans="1:84" x14ac:dyDescent="0.25">
      <c r="A222" s="114" t="s">
        <v>624</v>
      </c>
      <c r="B222" s="159"/>
      <c r="C222" s="160">
        <f t="shared" ref="C222:F223" si="223">$G222/4</f>
        <v>1.2500000000000001E-2</v>
      </c>
      <c r="D222" s="161">
        <f t="shared" si="223"/>
        <v>1.2500000000000001E-2</v>
      </c>
      <c r="E222" s="161">
        <f t="shared" si="223"/>
        <v>1.2500000000000001E-2</v>
      </c>
      <c r="F222" s="161">
        <f t="shared" si="223"/>
        <v>1.2500000000000001E-2</v>
      </c>
      <c r="G222" s="128">
        <f>IF(G218&gt;0, MIN(G198,G218)*G203,0)</f>
        <v>0.05</v>
      </c>
      <c r="H222" s="160">
        <f t="shared" ref="H222:K224" si="224">$L222/4</f>
        <v>1.2500000000000001E-2</v>
      </c>
      <c r="I222" s="161">
        <f t="shared" si="224"/>
        <v>1.2500000000000001E-2</v>
      </c>
      <c r="J222" s="161">
        <f t="shared" si="224"/>
        <v>1.2500000000000001E-2</v>
      </c>
      <c r="K222" s="161">
        <f t="shared" si="224"/>
        <v>1.2500000000000001E-2</v>
      </c>
      <c r="L222" s="128">
        <f>IF(L218&gt;0, MIN(L198,L218)*L203,0)</f>
        <v>0.05</v>
      </c>
      <c r="M222" s="161">
        <f t="shared" ref="M222:P224" si="225">$Q222/4</f>
        <v>1.2500000000000001E-2</v>
      </c>
      <c r="N222" s="161">
        <f t="shared" si="225"/>
        <v>1.2500000000000001E-2</v>
      </c>
      <c r="O222" s="161">
        <f t="shared" si="225"/>
        <v>1.2500000000000001E-2</v>
      </c>
      <c r="P222" s="161">
        <f t="shared" si="225"/>
        <v>1.2500000000000001E-2</v>
      </c>
      <c r="Q222" s="128">
        <f>IF(Q218&gt;0, MIN(Q198,Q218)*Q203,0)</f>
        <v>0.05</v>
      </c>
      <c r="R222" s="161">
        <f t="shared" ref="R222:U224" si="226">$V222/4</f>
        <v>1.2500000000000001E-2</v>
      </c>
      <c r="S222" s="161">
        <f t="shared" si="226"/>
        <v>1.2500000000000001E-2</v>
      </c>
      <c r="T222" s="161">
        <f t="shared" si="226"/>
        <v>1.2500000000000001E-2</v>
      </c>
      <c r="U222" s="161">
        <f t="shared" si="226"/>
        <v>1.2500000000000001E-2</v>
      </c>
      <c r="V222" s="128">
        <f>IF(V218&gt;0, MIN(V198,V218)*V203,0)</f>
        <v>0.05</v>
      </c>
      <c r="W222" s="161">
        <f t="shared" ref="W222:Z224" si="227">$AA222/4</f>
        <v>1.2500000000000001E-2</v>
      </c>
      <c r="X222" s="161">
        <f t="shared" si="227"/>
        <v>1.2500000000000001E-2</v>
      </c>
      <c r="Y222" s="161">
        <f t="shared" si="227"/>
        <v>1.2500000000000001E-2</v>
      </c>
      <c r="Z222" s="161">
        <f t="shared" si="227"/>
        <v>1.2500000000000001E-2</v>
      </c>
      <c r="AA222" s="128">
        <f>IF(AA218&gt;0, MIN(AA198,AA218)*AA203,0)</f>
        <v>0.05</v>
      </c>
      <c r="AB222" s="161">
        <f t="shared" ref="AB222:AE224" si="228">$AF222/4</f>
        <v>1.2500000000000001E-2</v>
      </c>
      <c r="AC222" s="161">
        <f t="shared" si="228"/>
        <v>1.2500000000000001E-2</v>
      </c>
      <c r="AD222" s="161">
        <f t="shared" si="228"/>
        <v>1.2500000000000001E-2</v>
      </c>
      <c r="AE222" s="161">
        <f t="shared" si="228"/>
        <v>1.2500000000000001E-2</v>
      </c>
      <c r="AF222" s="128">
        <f>IF(AF218&gt;0, MIN(AF198,AF218)*AF203,0)</f>
        <v>0.05</v>
      </c>
      <c r="AG222" s="161">
        <f>$AK222/4</f>
        <v>1.2500000000000001E-2</v>
      </c>
      <c r="AH222" s="161">
        <f t="shared" ref="AH222:AJ224" si="229">$AK222/4</f>
        <v>1.2500000000000001E-2</v>
      </c>
      <c r="AI222" s="161">
        <f t="shared" si="229"/>
        <v>1.2500000000000001E-2</v>
      </c>
      <c r="AJ222" s="161">
        <f t="shared" si="229"/>
        <v>1.2500000000000001E-2</v>
      </c>
      <c r="AK222" s="128">
        <f>IF(AK218&gt;0, MIN(AK198,AK218)*AK203,0)</f>
        <v>0.05</v>
      </c>
      <c r="AL222" s="161">
        <f>$AP222/4</f>
        <v>1.2500000000000001E-2</v>
      </c>
      <c r="AM222" s="161">
        <f t="shared" ref="AM222:AO224" si="230">$AP222/4</f>
        <v>1.2500000000000001E-2</v>
      </c>
      <c r="AN222" s="161">
        <f t="shared" si="230"/>
        <v>1.2500000000000001E-2</v>
      </c>
      <c r="AO222" s="161">
        <f t="shared" si="230"/>
        <v>1.2500000000000001E-2</v>
      </c>
      <c r="AP222" s="128">
        <f>IF(AP218&gt;0, MIN(AP198,AP218)*AP203,0)</f>
        <v>0.05</v>
      </c>
      <c r="AQ222" s="161">
        <f>$AU222/4</f>
        <v>1.2500000000000001E-2</v>
      </c>
      <c r="AR222" s="161">
        <f t="shared" ref="AR222:AT224" si="231">$AU222/4</f>
        <v>1.2500000000000001E-2</v>
      </c>
      <c r="AS222" s="161">
        <f t="shared" si="231"/>
        <v>1.2500000000000001E-2</v>
      </c>
      <c r="AT222" s="161">
        <f t="shared" si="231"/>
        <v>1.2500000000000001E-2</v>
      </c>
      <c r="AU222" s="128">
        <f>IF(AU218&gt;0, MIN(AU198,AU218)*AU203,0)</f>
        <v>0.05</v>
      </c>
      <c r="AV222" s="161">
        <f t="shared" ref="AV222:AY224" si="232">$AZ222/4</f>
        <v>1.2500000000000001E-2</v>
      </c>
      <c r="AW222" s="161">
        <f t="shared" si="232"/>
        <v>1.2500000000000001E-2</v>
      </c>
      <c r="AX222" s="161">
        <f t="shared" si="232"/>
        <v>1.2500000000000001E-2</v>
      </c>
      <c r="AY222" s="161">
        <f t="shared" si="232"/>
        <v>1.2500000000000001E-2</v>
      </c>
      <c r="AZ222" s="128">
        <f>IF(AZ218&gt;0, MIN(AZ198,AZ218)*AZ203,0)</f>
        <v>0.05</v>
      </c>
      <c r="BA222" s="161">
        <f t="shared" ref="BA222:BD224" si="233">$BE222/4</f>
        <v>1.2500000000000001E-2</v>
      </c>
      <c r="BB222" s="161">
        <f t="shared" si="233"/>
        <v>1.2500000000000001E-2</v>
      </c>
      <c r="BC222" s="161">
        <f t="shared" si="233"/>
        <v>1.2500000000000001E-2</v>
      </c>
      <c r="BD222" s="161">
        <f t="shared" si="233"/>
        <v>1.2500000000000001E-2</v>
      </c>
      <c r="BE222" s="128">
        <f>IF(BE218&gt;0, MIN(BE198,BE218)*BE203,0)</f>
        <v>0.05</v>
      </c>
      <c r="BF222" s="161">
        <f>$BJ222/4</f>
        <v>0</v>
      </c>
      <c r="BG222" s="161">
        <f t="shared" ref="BG222:BI224" si="234">$BJ222/4</f>
        <v>0</v>
      </c>
      <c r="BH222" s="161">
        <f t="shared" si="234"/>
        <v>0</v>
      </c>
      <c r="BI222" s="161">
        <f t="shared" si="234"/>
        <v>0</v>
      </c>
      <c r="BJ222" s="128">
        <f>IF(BJ218&gt;0, MIN(BJ198,BJ218)*BJ203,0)</f>
        <v>0</v>
      </c>
      <c r="BK222" s="161">
        <f>$BO222/4</f>
        <v>0</v>
      </c>
      <c r="BL222" s="161">
        <f>$BO222/4</f>
        <v>0</v>
      </c>
      <c r="BM222" s="161">
        <f>$BO222/4</f>
        <v>0</v>
      </c>
      <c r="BN222" s="161">
        <f>$BO222/4</f>
        <v>0</v>
      </c>
      <c r="BO222" s="128">
        <f t="shared" ref="BO222:CF222" si="235">IF(BO218&gt;0, MIN(BO198,BO218)*BO203,0)</f>
        <v>0</v>
      </c>
      <c r="BP222" s="3283">
        <f>$BT222/4</f>
        <v>0</v>
      </c>
      <c r="BQ222" s="3283">
        <f>$BT222/4</f>
        <v>0</v>
      </c>
      <c r="BR222" s="3283">
        <f>$BT222/4</f>
        <v>0</v>
      </c>
      <c r="BS222" s="3283">
        <f>$BT222/4</f>
        <v>0</v>
      </c>
      <c r="BT222" s="128">
        <f>IF(BT218&gt;0, MIN(BT198,BT218)*BT203,0)</f>
        <v>0</v>
      </c>
      <c r="BU222" s="3283">
        <f t="shared" ref="BU222:BX224" si="236">$BY222/4</f>
        <v>0</v>
      </c>
      <c r="BV222" s="3283">
        <f t="shared" si="236"/>
        <v>0</v>
      </c>
      <c r="BW222" s="3283">
        <f t="shared" si="236"/>
        <v>0</v>
      </c>
      <c r="BX222" s="3283">
        <f t="shared" si="236"/>
        <v>0</v>
      </c>
      <c r="BY222" s="128">
        <f t="shared" si="235"/>
        <v>0</v>
      </c>
      <c r="BZ222" s="128">
        <f t="shared" si="235"/>
        <v>0</v>
      </c>
      <c r="CA222" s="128">
        <f t="shared" si="235"/>
        <v>0</v>
      </c>
      <c r="CB222" s="128">
        <f t="shared" si="235"/>
        <v>0</v>
      </c>
      <c r="CC222" s="128">
        <f t="shared" si="235"/>
        <v>0</v>
      </c>
      <c r="CD222" s="128">
        <f t="shared" si="235"/>
        <v>0</v>
      </c>
      <c r="CE222" s="128">
        <f t="shared" si="235"/>
        <v>0</v>
      </c>
      <c r="CF222" s="128">
        <f t="shared" si="235"/>
        <v>0</v>
      </c>
    </row>
    <row r="223" spans="1:84" x14ac:dyDescent="0.25">
      <c r="A223" s="114" t="s">
        <v>1112</v>
      </c>
      <c r="B223" s="159"/>
      <c r="C223" s="160">
        <f t="shared" si="223"/>
        <v>0.05</v>
      </c>
      <c r="D223" s="161">
        <f t="shared" si="223"/>
        <v>0.05</v>
      </c>
      <c r="E223" s="161">
        <f t="shared" si="223"/>
        <v>0.05</v>
      </c>
      <c r="F223" s="161">
        <f t="shared" si="223"/>
        <v>0.05</v>
      </c>
      <c r="G223" s="128">
        <f>IF(G218&gt;G198, MIN(G199-G198,G218-G198)*G204,0)</f>
        <v>0.2</v>
      </c>
      <c r="H223" s="160">
        <f t="shared" si="224"/>
        <v>0.05</v>
      </c>
      <c r="I223" s="161">
        <f t="shared" si="224"/>
        <v>0.05</v>
      </c>
      <c r="J223" s="161">
        <f t="shared" si="224"/>
        <v>0.05</v>
      </c>
      <c r="K223" s="161">
        <f t="shared" si="224"/>
        <v>0.05</v>
      </c>
      <c r="L223" s="128">
        <f>IF(L218&gt;L198, MIN(L199-L198,L218-L198)*L204,0)</f>
        <v>0.2</v>
      </c>
      <c r="M223" s="161">
        <f t="shared" si="225"/>
        <v>0.05</v>
      </c>
      <c r="N223" s="161">
        <f t="shared" si="225"/>
        <v>0.05</v>
      </c>
      <c r="O223" s="161">
        <f t="shared" si="225"/>
        <v>0.05</v>
      </c>
      <c r="P223" s="161">
        <f t="shared" si="225"/>
        <v>0.05</v>
      </c>
      <c r="Q223" s="128">
        <f>IF(Q218&gt;Q198, MIN(Q199-Q198,Q218-Q198)*Q204,0)</f>
        <v>0.2</v>
      </c>
      <c r="R223" s="161">
        <f t="shared" si="226"/>
        <v>0.05</v>
      </c>
      <c r="S223" s="161">
        <f t="shared" si="226"/>
        <v>0.05</v>
      </c>
      <c r="T223" s="161">
        <f t="shared" si="226"/>
        <v>0.05</v>
      </c>
      <c r="U223" s="161">
        <f t="shared" si="226"/>
        <v>0.05</v>
      </c>
      <c r="V223" s="128">
        <f>IF(V218&gt;V198, MIN(V199-V198,V218-V198)*V204,0)</f>
        <v>0.2</v>
      </c>
      <c r="W223" s="161">
        <f t="shared" si="227"/>
        <v>0.05</v>
      </c>
      <c r="X223" s="161">
        <f t="shared" si="227"/>
        <v>0.05</v>
      </c>
      <c r="Y223" s="161">
        <f t="shared" si="227"/>
        <v>0.05</v>
      </c>
      <c r="Z223" s="161">
        <f t="shared" si="227"/>
        <v>0.05</v>
      </c>
      <c r="AA223" s="128">
        <f>IF(AA218&gt;AA198, MIN(AA199-AA198,AA218-AA198)*AA204,0)</f>
        <v>0.2</v>
      </c>
      <c r="AB223" s="161">
        <f t="shared" si="228"/>
        <v>0.05</v>
      </c>
      <c r="AC223" s="161">
        <f t="shared" si="228"/>
        <v>0.05</v>
      </c>
      <c r="AD223" s="161">
        <f t="shared" si="228"/>
        <v>0.05</v>
      </c>
      <c r="AE223" s="161">
        <f t="shared" si="228"/>
        <v>0.05</v>
      </c>
      <c r="AF223" s="128">
        <f>IF(AF218&gt;AF198, MIN(AF199-AF198,AF218-AF198)*AF204,0)</f>
        <v>0.2</v>
      </c>
      <c r="AG223" s="161">
        <f>$AK223/4</f>
        <v>0.05</v>
      </c>
      <c r="AH223" s="161">
        <f t="shared" si="229"/>
        <v>0.05</v>
      </c>
      <c r="AI223" s="161">
        <f t="shared" si="229"/>
        <v>0.05</v>
      </c>
      <c r="AJ223" s="161">
        <f t="shared" si="229"/>
        <v>0.05</v>
      </c>
      <c r="AK223" s="128">
        <f>IF(AK218&gt;AK198, MIN(AK199-AK198,AK218-AK198)*AK204,0)</f>
        <v>0.2</v>
      </c>
      <c r="AL223" s="161">
        <f>$AP223/4</f>
        <v>0.05</v>
      </c>
      <c r="AM223" s="161">
        <f t="shared" si="230"/>
        <v>0.05</v>
      </c>
      <c r="AN223" s="161">
        <f t="shared" si="230"/>
        <v>0.05</v>
      </c>
      <c r="AO223" s="161">
        <f t="shared" si="230"/>
        <v>0.05</v>
      </c>
      <c r="AP223" s="128">
        <f>IF(AP218&gt;AP198, MIN(AP199-AP198,AP218-AP198)*AP204,0)</f>
        <v>0.2</v>
      </c>
      <c r="AQ223" s="161">
        <f>$AU223/4</f>
        <v>0.05</v>
      </c>
      <c r="AR223" s="161">
        <f t="shared" si="231"/>
        <v>0.05</v>
      </c>
      <c r="AS223" s="161">
        <f t="shared" si="231"/>
        <v>0.05</v>
      </c>
      <c r="AT223" s="161">
        <f t="shared" si="231"/>
        <v>0.05</v>
      </c>
      <c r="AU223" s="128">
        <f>IF(AU218&gt;AU198, MIN(AU199-AU198,AU218-AU198)*AU204,0)</f>
        <v>0.2</v>
      </c>
      <c r="AV223" s="161">
        <f t="shared" si="232"/>
        <v>0.05</v>
      </c>
      <c r="AW223" s="161">
        <f t="shared" si="232"/>
        <v>0.05</v>
      </c>
      <c r="AX223" s="161">
        <f t="shared" si="232"/>
        <v>0.05</v>
      </c>
      <c r="AY223" s="161">
        <f t="shared" si="232"/>
        <v>0.05</v>
      </c>
      <c r="AZ223" s="128">
        <f>IF(AZ218&gt;AZ198, MIN(AZ199-AZ198,AZ218-AZ198)*AZ204,0)</f>
        <v>0.2</v>
      </c>
      <c r="BA223" s="161">
        <f t="shared" si="233"/>
        <v>0.05</v>
      </c>
      <c r="BB223" s="161">
        <f t="shared" si="233"/>
        <v>0.05</v>
      </c>
      <c r="BC223" s="161">
        <f t="shared" si="233"/>
        <v>0.05</v>
      </c>
      <c r="BD223" s="161">
        <f t="shared" si="233"/>
        <v>0.05</v>
      </c>
      <c r="BE223" s="128">
        <f>IF(BE218&gt;BE198, MIN(BE199-BE198,BE218-BE198)*BE204,0)</f>
        <v>0.2</v>
      </c>
      <c r="BF223" s="161">
        <f>$BJ223/4</f>
        <v>0</v>
      </c>
      <c r="BG223" s="161">
        <f t="shared" si="234"/>
        <v>0</v>
      </c>
      <c r="BH223" s="161">
        <f t="shared" si="234"/>
        <v>0</v>
      </c>
      <c r="BI223" s="161">
        <f t="shared" si="234"/>
        <v>0</v>
      </c>
      <c r="BJ223" s="128">
        <f>IF(BJ218&gt;BJ198, MIN(BJ199-BJ198,BJ218-BJ198)*BJ204,0)</f>
        <v>0</v>
      </c>
      <c r="BK223" s="161">
        <f t="shared" ref="BK223:BN224" si="237">$BO223/4</f>
        <v>0</v>
      </c>
      <c r="BL223" s="161">
        <f t="shared" si="237"/>
        <v>0</v>
      </c>
      <c r="BM223" s="161">
        <f t="shared" si="237"/>
        <v>0</v>
      </c>
      <c r="BN223" s="161">
        <f t="shared" si="237"/>
        <v>0</v>
      </c>
      <c r="BO223" s="128">
        <f t="shared" ref="BO223:CF223" si="238">IF(BO218&gt;BO198, MIN(BO199-BO198,BO218-BO198)*BO204,0)</f>
        <v>0</v>
      </c>
      <c r="BP223" s="3283">
        <f>$BY223/4</f>
        <v>0</v>
      </c>
      <c r="BQ223" s="3283">
        <f>$BY223/4</f>
        <v>0</v>
      </c>
      <c r="BR223" s="3283">
        <f>$BY223/4</f>
        <v>0</v>
      </c>
      <c r="BS223" s="3283">
        <f>$BY223/4</f>
        <v>0</v>
      </c>
      <c r="BT223" s="128">
        <f>IF(BT218&gt;BT198, MIN(BT199-BT198,BT218-BT198)*BT204,0)</f>
        <v>0</v>
      </c>
      <c r="BU223" s="3283">
        <f t="shared" si="236"/>
        <v>0</v>
      </c>
      <c r="BV223" s="3283">
        <f t="shared" si="236"/>
        <v>0</v>
      </c>
      <c r="BW223" s="3283">
        <f t="shared" si="236"/>
        <v>0</v>
      </c>
      <c r="BX223" s="3283">
        <f t="shared" si="236"/>
        <v>0</v>
      </c>
      <c r="BY223" s="128">
        <f t="shared" si="238"/>
        <v>0</v>
      </c>
      <c r="BZ223" s="128">
        <f t="shared" si="238"/>
        <v>0</v>
      </c>
      <c r="CA223" s="128">
        <f t="shared" si="238"/>
        <v>0</v>
      </c>
      <c r="CB223" s="128">
        <f t="shared" si="238"/>
        <v>0</v>
      </c>
      <c r="CC223" s="128">
        <f t="shared" si="238"/>
        <v>0</v>
      </c>
      <c r="CD223" s="128">
        <f t="shared" si="238"/>
        <v>0</v>
      </c>
      <c r="CE223" s="128">
        <f t="shared" si="238"/>
        <v>0</v>
      </c>
      <c r="CF223" s="128">
        <f t="shared" si="238"/>
        <v>0</v>
      </c>
    </row>
    <row r="224" spans="1:84" x14ac:dyDescent="0.25">
      <c r="A224" s="114" t="s">
        <v>1113</v>
      </c>
      <c r="B224" s="159"/>
      <c r="C224" s="162">
        <v>2.1606824877819548</v>
      </c>
      <c r="D224" s="163">
        <v>2.1606824877819548</v>
      </c>
      <c r="E224" s="161">
        <f>$G224/4</f>
        <v>2.579005</v>
      </c>
      <c r="F224" s="161">
        <f>$G224/4</f>
        <v>2.579005</v>
      </c>
      <c r="G224" s="128">
        <f>IF(G218&gt;G199,(G218-G199)*G205,0)</f>
        <v>10.31602</v>
      </c>
      <c r="H224" s="160">
        <f t="shared" si="224"/>
        <v>2.8756850650000003</v>
      </c>
      <c r="I224" s="161">
        <f t="shared" si="224"/>
        <v>2.8756850650000003</v>
      </c>
      <c r="J224" s="161">
        <f t="shared" si="224"/>
        <v>2.8756850650000003</v>
      </c>
      <c r="K224" s="161">
        <f t="shared" si="224"/>
        <v>2.8756850650000003</v>
      </c>
      <c r="L224" s="128">
        <f>IF(L218&gt;L199,(L218-L199)*L205,0)</f>
        <v>11.502740260000001</v>
      </c>
      <c r="M224" s="161">
        <f t="shared" si="225"/>
        <v>2.9560011799999999</v>
      </c>
      <c r="N224" s="161">
        <f t="shared" si="225"/>
        <v>2.9560011799999999</v>
      </c>
      <c r="O224" s="161">
        <f t="shared" si="225"/>
        <v>2.9560011799999999</v>
      </c>
      <c r="P224" s="161">
        <f t="shared" si="225"/>
        <v>2.9560011799999999</v>
      </c>
      <c r="Q224" s="128">
        <f>IF(Q218&gt;Q199,(Q218-Q199)*Q205,0)</f>
        <v>11.82400472</v>
      </c>
      <c r="R224" s="161">
        <f t="shared" si="226"/>
        <v>2.9959978399999998</v>
      </c>
      <c r="S224" s="161">
        <f t="shared" si="226"/>
        <v>2.9959978399999998</v>
      </c>
      <c r="T224" s="161">
        <f t="shared" si="226"/>
        <v>2.9959978399999998</v>
      </c>
      <c r="U224" s="161">
        <f t="shared" si="226"/>
        <v>2.9959978399999998</v>
      </c>
      <c r="V224" s="128">
        <f>IF(V218&gt;V199,(V218-V199)*V205,0)</f>
        <v>11.983991359999999</v>
      </c>
      <c r="W224" s="161">
        <f t="shared" si="227"/>
        <v>2.98611038</v>
      </c>
      <c r="X224" s="161">
        <f t="shared" si="227"/>
        <v>2.98611038</v>
      </c>
      <c r="Y224" s="161">
        <f t="shared" si="227"/>
        <v>2.98611038</v>
      </c>
      <c r="Z224" s="161">
        <f t="shared" si="227"/>
        <v>2.98611038</v>
      </c>
      <c r="AA224" s="128">
        <f>IF(AA218&gt;AA199,(AA218-AA199)*AA205,0)</f>
        <v>11.94444152</v>
      </c>
      <c r="AB224" s="161">
        <f t="shared" si="228"/>
        <v>2.9590000000000001</v>
      </c>
      <c r="AC224" s="161">
        <f t="shared" si="228"/>
        <v>2.9590000000000001</v>
      </c>
      <c r="AD224" s="161">
        <f t="shared" si="228"/>
        <v>2.9590000000000001</v>
      </c>
      <c r="AE224" s="161">
        <f t="shared" si="228"/>
        <v>2.9590000000000001</v>
      </c>
      <c r="AF224" s="128">
        <f>IF(AF218&gt;AF199,(AF218-AF199)*AF205,0)</f>
        <v>11.836</v>
      </c>
      <c r="AG224" s="161">
        <f>$AK224/4</f>
        <v>3.0659587749999999</v>
      </c>
      <c r="AH224" s="161">
        <f t="shared" si="229"/>
        <v>3.0659587749999999</v>
      </c>
      <c r="AI224" s="161">
        <f t="shared" si="229"/>
        <v>3.0659587749999999</v>
      </c>
      <c r="AJ224" s="161">
        <f t="shared" si="229"/>
        <v>3.0659587749999999</v>
      </c>
      <c r="AK224" s="128">
        <f>IF(AK218&gt;AK199,(AK218-AK199)*AK205,0)</f>
        <v>12.2638351</v>
      </c>
      <c r="AL224" s="161">
        <f>$AP224/4</f>
        <v>3.1981538049999996</v>
      </c>
      <c r="AM224" s="161">
        <f t="shared" si="230"/>
        <v>3.1981538049999996</v>
      </c>
      <c r="AN224" s="161">
        <f t="shared" si="230"/>
        <v>3.1981538049999996</v>
      </c>
      <c r="AO224" s="161">
        <f t="shared" si="230"/>
        <v>3.1981538049999996</v>
      </c>
      <c r="AP224" s="128">
        <f>IF(AP218&gt;AP199,(AP218-AP199)*AP205,0)</f>
        <v>12.792615219999998</v>
      </c>
      <c r="AQ224" s="161">
        <f>$AU224/4</f>
        <v>3.0883113799999999</v>
      </c>
      <c r="AR224" s="161">
        <f t="shared" si="231"/>
        <v>3.0883113799999999</v>
      </c>
      <c r="AS224" s="161">
        <f t="shared" si="231"/>
        <v>3.0883113799999999</v>
      </c>
      <c r="AT224" s="161">
        <f t="shared" si="231"/>
        <v>3.0883113799999999</v>
      </c>
      <c r="AU224" s="128">
        <f>IF(AU218&gt;AU199,(AU218-AU199)*AU205,0)</f>
        <v>12.35324552</v>
      </c>
      <c r="AV224" s="161">
        <f t="shared" si="232"/>
        <v>2.6955048450000003</v>
      </c>
      <c r="AW224" s="161">
        <f t="shared" si="232"/>
        <v>2.6955048450000003</v>
      </c>
      <c r="AX224" s="161">
        <f t="shared" si="232"/>
        <v>2.6955048450000003</v>
      </c>
      <c r="AY224" s="161">
        <f t="shared" si="232"/>
        <v>2.6955048450000003</v>
      </c>
      <c r="AZ224" s="128">
        <f>IF(AZ218&gt;AZ199,(AZ218-AZ199)*AZ205,0)</f>
        <v>10.782019380000001</v>
      </c>
      <c r="BA224" s="161">
        <f t="shared" si="233"/>
        <v>1.312857535</v>
      </c>
      <c r="BB224" s="161">
        <f t="shared" si="233"/>
        <v>1.312857535</v>
      </c>
      <c r="BC224" s="161">
        <f t="shared" si="233"/>
        <v>1.312857535</v>
      </c>
      <c r="BD224" s="161">
        <f t="shared" si="233"/>
        <v>1.312857535</v>
      </c>
      <c r="BE224" s="128">
        <f>IF(BE218&gt;BE199,(BE218-BE199)*BE205,0)</f>
        <v>5.2514301400000001</v>
      </c>
      <c r="BF224" s="161">
        <f>$BJ224/4</f>
        <v>0</v>
      </c>
      <c r="BG224" s="161">
        <f t="shared" si="234"/>
        <v>0</v>
      </c>
      <c r="BH224" s="161">
        <f t="shared" si="234"/>
        <v>0</v>
      </c>
      <c r="BI224" s="161">
        <f t="shared" si="234"/>
        <v>0</v>
      </c>
      <c r="BJ224" s="128">
        <f>IF(BJ218&gt;BJ199,(BJ218-BJ199)*BJ205,0)</f>
        <v>0</v>
      </c>
      <c r="BK224" s="161">
        <f t="shared" si="237"/>
        <v>0</v>
      </c>
      <c r="BL224" s="161">
        <f t="shared" si="237"/>
        <v>0</v>
      </c>
      <c r="BM224" s="161">
        <f t="shared" si="237"/>
        <v>0</v>
      </c>
      <c r="BN224" s="161">
        <f t="shared" si="237"/>
        <v>0</v>
      </c>
      <c r="BO224" s="128">
        <f t="shared" ref="BO224:CF224" si="239">IF(BO218&gt;BO199,(BO218-BO199)*BO205,0)</f>
        <v>0</v>
      </c>
      <c r="BP224" s="3283">
        <f>$BT224/4</f>
        <v>0</v>
      </c>
      <c r="BQ224" s="3283">
        <f>$BT224/4</f>
        <v>0</v>
      </c>
      <c r="BR224" s="3283">
        <f>$BT224/4</f>
        <v>0</v>
      </c>
      <c r="BS224" s="3283">
        <f>$BT224/4</f>
        <v>0</v>
      </c>
      <c r="BT224" s="128">
        <f>IF(BT218&gt;BT199,(BT218-BT199)*BT205,0)</f>
        <v>0</v>
      </c>
      <c r="BU224" s="3283">
        <f t="shared" si="236"/>
        <v>0</v>
      </c>
      <c r="BV224" s="3283">
        <f t="shared" si="236"/>
        <v>0</v>
      </c>
      <c r="BW224" s="3283">
        <f t="shared" si="236"/>
        <v>0</v>
      </c>
      <c r="BX224" s="3283">
        <f t="shared" si="236"/>
        <v>0</v>
      </c>
      <c r="BY224" s="128">
        <f t="shared" si="239"/>
        <v>0</v>
      </c>
      <c r="BZ224" s="128">
        <f t="shared" si="239"/>
        <v>0</v>
      </c>
      <c r="CA224" s="128">
        <f t="shared" si="239"/>
        <v>0</v>
      </c>
      <c r="CB224" s="128">
        <f t="shared" si="239"/>
        <v>0</v>
      </c>
      <c r="CC224" s="128">
        <f t="shared" si="239"/>
        <v>0</v>
      </c>
      <c r="CD224" s="128">
        <f t="shared" si="239"/>
        <v>0</v>
      </c>
      <c r="CE224" s="128">
        <f t="shared" si="239"/>
        <v>0</v>
      </c>
      <c r="CF224" s="128">
        <f t="shared" si="239"/>
        <v>0</v>
      </c>
    </row>
    <row r="225" spans="1:84" ht="5.25" customHeight="1" x14ac:dyDescent="0.25">
      <c r="A225" s="114"/>
      <c r="B225" s="130"/>
      <c r="C225" s="130" t="s">
        <v>1059</v>
      </c>
      <c r="D225" s="130" t="s">
        <v>1059</v>
      </c>
      <c r="E225" s="130" t="s">
        <v>1059</v>
      </c>
      <c r="F225" s="130" t="s">
        <v>1059</v>
      </c>
      <c r="G225" s="131" t="s">
        <v>1059</v>
      </c>
      <c r="H225" s="130" t="s">
        <v>1059</v>
      </c>
      <c r="I225" s="130" t="s">
        <v>1059</v>
      </c>
      <c r="J225" s="130" t="s">
        <v>1059</v>
      </c>
      <c r="K225" s="130" t="s">
        <v>1059</v>
      </c>
      <c r="L225" s="131" t="s">
        <v>1059</v>
      </c>
      <c r="M225" s="130" t="s">
        <v>1059</v>
      </c>
      <c r="N225" s="130" t="s">
        <v>1059</v>
      </c>
      <c r="O225" s="130" t="s">
        <v>1059</v>
      </c>
      <c r="P225" s="130" t="s">
        <v>1059</v>
      </c>
      <c r="Q225" s="131" t="s">
        <v>1059</v>
      </c>
      <c r="R225" s="130" t="s">
        <v>1059</v>
      </c>
      <c r="S225" s="130" t="s">
        <v>1059</v>
      </c>
      <c r="T225" s="130" t="s">
        <v>1059</v>
      </c>
      <c r="U225" s="130" t="s">
        <v>1059</v>
      </c>
      <c r="V225" s="131" t="s">
        <v>1059</v>
      </c>
      <c r="W225" s="130" t="s">
        <v>1059</v>
      </c>
      <c r="X225" s="130" t="s">
        <v>1059</v>
      </c>
      <c r="Y225" s="130" t="s">
        <v>1059</v>
      </c>
      <c r="Z225" s="130" t="s">
        <v>1059</v>
      </c>
      <c r="AA225" s="131" t="s">
        <v>1059</v>
      </c>
      <c r="AB225" s="130" t="s">
        <v>1059</v>
      </c>
      <c r="AC225" s="130" t="s">
        <v>1059</v>
      </c>
      <c r="AD225" s="130" t="s">
        <v>1059</v>
      </c>
      <c r="AE225" s="130" t="s">
        <v>1059</v>
      </c>
      <c r="AF225" s="131" t="s">
        <v>1059</v>
      </c>
      <c r="AG225" s="130" t="s">
        <v>1059</v>
      </c>
      <c r="AH225" s="130" t="s">
        <v>1059</v>
      </c>
      <c r="AI225" s="130" t="s">
        <v>1059</v>
      </c>
      <c r="AJ225" s="130" t="s">
        <v>1059</v>
      </c>
      <c r="AK225" s="131" t="s">
        <v>1059</v>
      </c>
      <c r="AL225" s="130" t="s">
        <v>1059</v>
      </c>
      <c r="AM225" s="130" t="s">
        <v>1059</v>
      </c>
      <c r="AN225" s="130" t="s">
        <v>1059</v>
      </c>
      <c r="AO225" s="130" t="s">
        <v>1059</v>
      </c>
      <c r="AP225" s="131" t="s">
        <v>1059</v>
      </c>
      <c r="AQ225" s="130" t="s">
        <v>1059</v>
      </c>
      <c r="AR225" s="130" t="s">
        <v>1059</v>
      </c>
      <c r="AS225" s="130" t="s">
        <v>1059</v>
      </c>
      <c r="AT225" s="130" t="s">
        <v>1059</v>
      </c>
      <c r="AU225" s="131" t="s">
        <v>1059</v>
      </c>
      <c r="AV225" s="130" t="s">
        <v>1059</v>
      </c>
      <c r="AW225" s="130" t="s">
        <v>1059</v>
      </c>
      <c r="AX225" s="130" t="s">
        <v>1059</v>
      </c>
      <c r="AY225" s="130" t="s">
        <v>1059</v>
      </c>
      <c r="AZ225" s="131" t="s">
        <v>1059</v>
      </c>
      <c r="BA225" s="130" t="s">
        <v>1059</v>
      </c>
      <c r="BB225" s="130" t="s">
        <v>1059</v>
      </c>
      <c r="BC225" s="130" t="s">
        <v>1059</v>
      </c>
      <c r="BD225" s="130" t="s">
        <v>1059</v>
      </c>
      <c r="BE225" s="131" t="s">
        <v>1059</v>
      </c>
      <c r="BF225" s="130" t="s">
        <v>1059</v>
      </c>
      <c r="BG225" s="130" t="s">
        <v>1059</v>
      </c>
      <c r="BH225" s="130" t="s">
        <v>1059</v>
      </c>
      <c r="BI225" s="130" t="s">
        <v>1059</v>
      </c>
      <c r="BJ225" s="131" t="s">
        <v>1059</v>
      </c>
      <c r="BK225" s="130" t="s">
        <v>1059</v>
      </c>
      <c r="BL225" s="130" t="s">
        <v>1059</v>
      </c>
      <c r="BM225" s="130" t="s">
        <v>1059</v>
      </c>
      <c r="BN225" s="130" t="s">
        <v>1059</v>
      </c>
      <c r="BO225" s="131" t="s">
        <v>1059</v>
      </c>
      <c r="BP225" s="130" t="s">
        <v>1059</v>
      </c>
      <c r="BQ225" s="130" t="s">
        <v>1059</v>
      </c>
      <c r="BR225" s="130" t="s">
        <v>1059</v>
      </c>
      <c r="BS225" s="130" t="s">
        <v>1059</v>
      </c>
      <c r="BT225" s="131" t="s">
        <v>1059</v>
      </c>
      <c r="BU225" s="130" t="s">
        <v>1059</v>
      </c>
      <c r="BV225" s="130" t="s">
        <v>1059</v>
      </c>
      <c r="BW225" s="130" t="s">
        <v>1059</v>
      </c>
      <c r="BX225" s="130" t="s">
        <v>1059</v>
      </c>
      <c r="BY225" s="131" t="s">
        <v>1059</v>
      </c>
      <c r="BZ225" s="131" t="s">
        <v>1059</v>
      </c>
      <c r="CA225" s="131" t="s">
        <v>1059</v>
      </c>
      <c r="CB225" s="131" t="s">
        <v>1059</v>
      </c>
      <c r="CC225" s="131" t="s">
        <v>1059</v>
      </c>
      <c r="CD225" s="131" t="s">
        <v>1059</v>
      </c>
      <c r="CE225" s="131" t="s">
        <v>1059</v>
      </c>
      <c r="CF225" s="131" t="s">
        <v>1059</v>
      </c>
    </row>
    <row r="226" spans="1:84" x14ac:dyDescent="0.25">
      <c r="A226" s="2" t="s">
        <v>2242</v>
      </c>
      <c r="B226" s="34"/>
      <c r="C226" s="34">
        <f t="shared" ref="C226:N226" si="240">SUM(C222:C225)</f>
        <v>2.2231824877819548</v>
      </c>
      <c r="D226" s="34">
        <f t="shared" si="240"/>
        <v>2.2231824877819548</v>
      </c>
      <c r="E226" s="34">
        <f t="shared" si="240"/>
        <v>2.641505</v>
      </c>
      <c r="F226" s="34">
        <f t="shared" si="240"/>
        <v>2.641505</v>
      </c>
      <c r="G226" s="111">
        <f t="shared" si="240"/>
        <v>10.56602</v>
      </c>
      <c r="H226" s="34">
        <f t="shared" si="240"/>
        <v>2.9381850650000003</v>
      </c>
      <c r="I226" s="34">
        <f t="shared" si="240"/>
        <v>2.9381850650000003</v>
      </c>
      <c r="J226" s="34">
        <f t="shared" si="240"/>
        <v>2.9381850650000003</v>
      </c>
      <c r="K226" s="34">
        <f t="shared" si="240"/>
        <v>2.9381850650000003</v>
      </c>
      <c r="L226" s="111">
        <f t="shared" si="240"/>
        <v>11.752740260000001</v>
      </c>
      <c r="M226" s="34">
        <f t="shared" si="240"/>
        <v>3.0185011799999999</v>
      </c>
      <c r="N226" s="34">
        <f t="shared" si="240"/>
        <v>3.0185011799999999</v>
      </c>
      <c r="O226" s="34">
        <f t="shared" ref="O226:AK226" si="241">SUM(O222:O225)</f>
        <v>3.0185011799999999</v>
      </c>
      <c r="P226" s="34">
        <f t="shared" si="241"/>
        <v>3.0185011799999999</v>
      </c>
      <c r="Q226" s="111">
        <f t="shared" si="241"/>
        <v>12.07400472</v>
      </c>
      <c r="R226" s="34">
        <f t="shared" si="241"/>
        <v>3.0584978399999998</v>
      </c>
      <c r="S226" s="34">
        <f t="shared" si="241"/>
        <v>3.0584978399999998</v>
      </c>
      <c r="T226" s="34">
        <f t="shared" si="241"/>
        <v>3.0584978399999998</v>
      </c>
      <c r="U226" s="34">
        <f t="shared" si="241"/>
        <v>3.0584978399999998</v>
      </c>
      <c r="V226" s="111">
        <f t="shared" si="241"/>
        <v>12.233991359999999</v>
      </c>
      <c r="W226" s="34">
        <f t="shared" si="241"/>
        <v>3.04861038</v>
      </c>
      <c r="X226" s="34">
        <f t="shared" si="241"/>
        <v>3.04861038</v>
      </c>
      <c r="Y226" s="34">
        <f t="shared" si="241"/>
        <v>3.04861038</v>
      </c>
      <c r="Z226" s="34">
        <f t="shared" si="241"/>
        <v>3.04861038</v>
      </c>
      <c r="AA226" s="111">
        <f t="shared" si="241"/>
        <v>12.19444152</v>
      </c>
      <c r="AB226" s="34">
        <f t="shared" si="241"/>
        <v>3.0215000000000001</v>
      </c>
      <c r="AC226" s="34">
        <f t="shared" si="241"/>
        <v>3.0215000000000001</v>
      </c>
      <c r="AD226" s="34">
        <f t="shared" si="241"/>
        <v>3.0215000000000001</v>
      </c>
      <c r="AE226" s="34">
        <f t="shared" si="241"/>
        <v>3.0215000000000001</v>
      </c>
      <c r="AF226" s="111">
        <f t="shared" si="241"/>
        <v>12.086</v>
      </c>
      <c r="AG226" s="34">
        <f t="shared" si="241"/>
        <v>3.1284587749999999</v>
      </c>
      <c r="AH226" s="34">
        <f t="shared" si="241"/>
        <v>3.1284587749999999</v>
      </c>
      <c r="AI226" s="34">
        <f t="shared" si="241"/>
        <v>3.1284587749999999</v>
      </c>
      <c r="AJ226" s="34">
        <f t="shared" si="241"/>
        <v>3.1284587749999999</v>
      </c>
      <c r="AK226" s="111">
        <f t="shared" si="241"/>
        <v>12.5138351</v>
      </c>
      <c r="AL226" s="34">
        <f t="shared" ref="AL226:AU226" si="242">SUM(AL222:AL225)</f>
        <v>3.2606538049999996</v>
      </c>
      <c r="AM226" s="34">
        <f t="shared" si="242"/>
        <v>3.2606538049999996</v>
      </c>
      <c r="AN226" s="34">
        <f t="shared" si="242"/>
        <v>3.2606538049999996</v>
      </c>
      <c r="AO226" s="34">
        <f t="shared" si="242"/>
        <v>3.2606538049999996</v>
      </c>
      <c r="AP226" s="111">
        <f t="shared" si="242"/>
        <v>13.042615219999998</v>
      </c>
      <c r="AQ226" s="34">
        <f t="shared" si="242"/>
        <v>3.1508113799999999</v>
      </c>
      <c r="AR226" s="34">
        <f t="shared" si="242"/>
        <v>3.1508113799999999</v>
      </c>
      <c r="AS226" s="34">
        <f t="shared" si="242"/>
        <v>3.1508113799999999</v>
      </c>
      <c r="AT226" s="34">
        <f t="shared" si="242"/>
        <v>3.1508113799999999</v>
      </c>
      <c r="AU226" s="111">
        <f t="shared" si="242"/>
        <v>12.60324552</v>
      </c>
      <c r="AV226" s="34">
        <f t="shared" ref="AV226:BE226" si="243">SUM(AV222:AV225)</f>
        <v>2.7580048450000003</v>
      </c>
      <c r="AW226" s="34">
        <f t="shared" si="243"/>
        <v>2.7580048450000003</v>
      </c>
      <c r="AX226" s="34">
        <f t="shared" si="243"/>
        <v>2.7580048450000003</v>
      </c>
      <c r="AY226" s="34">
        <f t="shared" si="243"/>
        <v>2.7580048450000003</v>
      </c>
      <c r="AZ226" s="111">
        <f t="shared" si="243"/>
        <v>11.032019380000001</v>
      </c>
      <c r="BA226" s="34">
        <f t="shared" si="243"/>
        <v>1.375357535</v>
      </c>
      <c r="BB226" s="34">
        <f t="shared" si="243"/>
        <v>1.375357535</v>
      </c>
      <c r="BC226" s="34">
        <f t="shared" si="243"/>
        <v>1.375357535</v>
      </c>
      <c r="BD226" s="34">
        <f t="shared" si="243"/>
        <v>1.375357535</v>
      </c>
      <c r="BE226" s="111">
        <f t="shared" si="243"/>
        <v>5.5014301400000001</v>
      </c>
      <c r="BF226" s="34">
        <f t="shared" ref="BF226:BO226" si="244">SUM(BF222:BF225)</f>
        <v>0</v>
      </c>
      <c r="BG226" s="34">
        <f t="shared" si="244"/>
        <v>0</v>
      </c>
      <c r="BH226" s="34">
        <f t="shared" si="244"/>
        <v>0</v>
      </c>
      <c r="BI226" s="34">
        <f t="shared" si="244"/>
        <v>0</v>
      </c>
      <c r="BJ226" s="111">
        <f t="shared" si="244"/>
        <v>0</v>
      </c>
      <c r="BK226" s="34">
        <f t="shared" si="244"/>
        <v>0</v>
      </c>
      <c r="BL226" s="34">
        <f t="shared" si="244"/>
        <v>0</v>
      </c>
      <c r="BM226" s="34">
        <f t="shared" si="244"/>
        <v>0</v>
      </c>
      <c r="BN226" s="34">
        <f t="shared" si="244"/>
        <v>0</v>
      </c>
      <c r="BO226" s="111">
        <f t="shared" si="244"/>
        <v>0</v>
      </c>
      <c r="BP226" s="34">
        <f t="shared" ref="BP226:CF226" si="245">SUM(BP222:BP225)</f>
        <v>0</v>
      </c>
      <c r="BQ226" s="34">
        <f t="shared" si="245"/>
        <v>0</v>
      </c>
      <c r="BR226" s="34">
        <f t="shared" si="245"/>
        <v>0</v>
      </c>
      <c r="BS226" s="34">
        <f t="shared" si="245"/>
        <v>0</v>
      </c>
      <c r="BT226" s="111">
        <f t="shared" si="245"/>
        <v>0</v>
      </c>
      <c r="BU226" s="34">
        <f>SUM(BU222:BU225)</f>
        <v>0</v>
      </c>
      <c r="BV226" s="34">
        <f>SUM(BV222:BV225)</f>
        <v>0</v>
      </c>
      <c r="BW226" s="34">
        <f>SUM(BW222:BW225)</f>
        <v>0</v>
      </c>
      <c r="BX226" s="34">
        <f>SUM(BX222:BX225)</f>
        <v>0</v>
      </c>
      <c r="BY226" s="111">
        <f t="shared" si="245"/>
        <v>0</v>
      </c>
      <c r="BZ226" s="111">
        <f t="shared" si="245"/>
        <v>0</v>
      </c>
      <c r="CA226" s="111">
        <f t="shared" si="245"/>
        <v>0</v>
      </c>
      <c r="CB226" s="111">
        <f t="shared" si="245"/>
        <v>0</v>
      </c>
      <c r="CC226" s="111">
        <f t="shared" si="245"/>
        <v>0</v>
      </c>
      <c r="CD226" s="111">
        <f t="shared" si="245"/>
        <v>0</v>
      </c>
      <c r="CE226" s="111">
        <f t="shared" si="245"/>
        <v>0</v>
      </c>
      <c r="CF226" s="111">
        <f t="shared" si="245"/>
        <v>0</v>
      </c>
    </row>
    <row r="227" spans="1:84" x14ac:dyDescent="0.25">
      <c r="A227" s="2"/>
      <c r="B227" s="2"/>
      <c r="C227" s="4"/>
      <c r="D227" s="4"/>
      <c r="E227" s="4"/>
      <c r="F227" s="4"/>
      <c r="G227" s="55"/>
      <c r="H227" s="4"/>
      <c r="I227" s="4"/>
      <c r="J227" s="4"/>
      <c r="K227" s="4"/>
      <c r="L227" s="55"/>
      <c r="M227" s="4"/>
      <c r="N227" s="4"/>
      <c r="O227" s="4"/>
      <c r="P227" s="4"/>
      <c r="Q227" s="55"/>
      <c r="R227" s="4"/>
      <c r="S227" s="4"/>
      <c r="T227" s="4"/>
      <c r="U227" s="4"/>
      <c r="V227" s="55"/>
      <c r="W227" s="4"/>
      <c r="X227" s="4"/>
      <c r="Y227" s="4"/>
      <c r="Z227" s="4"/>
      <c r="AA227" s="55"/>
      <c r="AB227" s="4"/>
      <c r="AC227" s="4"/>
      <c r="AD227" s="4"/>
      <c r="AE227" s="4"/>
      <c r="AF227" s="55"/>
      <c r="AG227" s="4"/>
      <c r="AH227" s="4"/>
      <c r="AI227" s="4"/>
      <c r="AJ227" s="4"/>
      <c r="AK227" s="55"/>
      <c r="AL227" s="4"/>
      <c r="AM227" s="4"/>
      <c r="AN227" s="4"/>
      <c r="AO227" s="4"/>
      <c r="AP227" s="55"/>
      <c r="AQ227" s="4"/>
      <c r="AR227" s="4"/>
      <c r="AS227" s="4"/>
      <c r="AT227" s="4"/>
      <c r="AU227" s="55"/>
      <c r="AV227" s="4"/>
      <c r="AW227" s="4"/>
      <c r="AX227" s="4"/>
      <c r="AY227" s="4"/>
      <c r="AZ227" s="55"/>
      <c r="BA227" s="4"/>
      <c r="BB227" s="4"/>
      <c r="BC227" s="4"/>
      <c r="BD227" s="4"/>
      <c r="BE227" s="55"/>
      <c r="BF227" s="4"/>
      <c r="BG227" s="4"/>
      <c r="BH227" s="4"/>
      <c r="BI227" s="4"/>
      <c r="BJ227" s="55"/>
      <c r="BK227" s="4"/>
      <c r="BL227" s="4"/>
      <c r="BM227" s="4"/>
      <c r="BN227" s="4"/>
      <c r="BO227" s="55"/>
      <c r="BP227" s="4"/>
      <c r="BQ227" s="4"/>
      <c r="BR227" s="4"/>
      <c r="BS227" s="4"/>
      <c r="BT227" s="55"/>
      <c r="BU227" s="4"/>
      <c r="BV227" s="4"/>
      <c r="BW227" s="4"/>
      <c r="BX227" s="4"/>
      <c r="BY227" s="55"/>
      <c r="BZ227" s="55"/>
      <c r="CA227" s="55"/>
      <c r="CB227" s="55"/>
      <c r="CC227" s="55"/>
      <c r="CD227" s="55"/>
      <c r="CE227" s="55"/>
      <c r="CF227" s="55"/>
    </row>
    <row r="228" spans="1:84" x14ac:dyDescent="0.25">
      <c r="A228" s="2" t="s">
        <v>1114</v>
      </c>
      <c r="B228" s="2"/>
      <c r="C228" s="4"/>
      <c r="D228" s="4"/>
      <c r="E228" s="4"/>
      <c r="F228" s="4"/>
      <c r="G228" s="55"/>
      <c r="H228" s="4"/>
      <c r="I228" s="4"/>
      <c r="J228" s="4"/>
      <c r="K228" s="4"/>
      <c r="L228" s="55"/>
      <c r="M228" s="4"/>
      <c r="N228" s="4"/>
      <c r="O228" s="4"/>
      <c r="P228" s="4"/>
      <c r="Q228" s="55"/>
      <c r="R228" s="4"/>
      <c r="S228" s="4"/>
      <c r="T228" s="4"/>
      <c r="U228" s="4"/>
      <c r="V228" s="55"/>
      <c r="W228" s="4"/>
      <c r="X228" s="4"/>
      <c r="Y228" s="4"/>
      <c r="Z228" s="4"/>
      <c r="AA228" s="55"/>
      <c r="AB228" s="4"/>
      <c r="AC228" s="4"/>
      <c r="AD228" s="4"/>
      <c r="AE228" s="4"/>
      <c r="AF228" s="55"/>
      <c r="AG228" s="4"/>
      <c r="AH228" s="4"/>
      <c r="AI228" s="4"/>
      <c r="AJ228" s="4"/>
      <c r="AK228" s="55"/>
      <c r="AL228" s="4"/>
      <c r="AM228" s="4"/>
      <c r="AN228" s="4"/>
      <c r="AO228" s="4"/>
      <c r="AP228" s="55"/>
      <c r="AQ228" s="4"/>
      <c r="AR228" s="4"/>
      <c r="AS228" s="4"/>
      <c r="AT228" s="4"/>
      <c r="AU228" s="55"/>
      <c r="AV228" s="4"/>
      <c r="AW228" s="4"/>
      <c r="AX228" s="4"/>
      <c r="AY228" s="4"/>
      <c r="AZ228" s="55"/>
      <c r="BA228" s="4"/>
      <c r="BB228" s="4"/>
      <c r="BC228" s="4"/>
      <c r="BD228" s="4"/>
      <c r="BE228" s="55"/>
      <c r="BF228" s="4"/>
      <c r="BG228" s="4"/>
      <c r="BH228" s="4"/>
      <c r="BI228" s="4"/>
      <c r="BJ228" s="55"/>
      <c r="BK228" s="4"/>
      <c r="BL228" s="4"/>
      <c r="BM228" s="4"/>
      <c r="BN228" s="4"/>
      <c r="BO228" s="55"/>
      <c r="BP228" s="4"/>
      <c r="BQ228" s="4"/>
      <c r="BR228" s="4"/>
      <c r="BS228" s="4"/>
      <c r="BT228" s="55"/>
      <c r="BU228" s="4"/>
      <c r="BV228" s="4"/>
      <c r="BW228" s="4"/>
      <c r="BX228" s="4"/>
      <c r="BY228" s="55"/>
      <c r="BZ228" s="55"/>
      <c r="CA228" s="55"/>
      <c r="CB228" s="55"/>
      <c r="CC228" s="55"/>
      <c r="CD228" s="55"/>
      <c r="CE228" s="55"/>
      <c r="CF228" s="55"/>
    </row>
    <row r="229" spans="1:84" x14ac:dyDescent="0.25">
      <c r="A229" s="2">
        <v>1</v>
      </c>
      <c r="B229" s="7"/>
      <c r="C229" s="129">
        <f t="shared" ref="C229:F231" si="246">$G229/4</f>
        <v>0.16875000000000001</v>
      </c>
      <c r="D229" s="129">
        <f t="shared" si="246"/>
        <v>0.16875000000000001</v>
      </c>
      <c r="E229" s="129">
        <f t="shared" si="246"/>
        <v>0.16875000000000001</v>
      </c>
      <c r="F229" s="129">
        <f t="shared" si="246"/>
        <v>0.16875000000000001</v>
      </c>
      <c r="G229" s="128">
        <f>IF(G219&gt;0, (MIN(G208,G219)*G213)/1000,0)</f>
        <v>0.67500000000000004</v>
      </c>
      <c r="H229" s="129">
        <f t="shared" ref="H229:K231" si="247">$L229/4</f>
        <v>0.16875000000000001</v>
      </c>
      <c r="I229" s="129">
        <f t="shared" si="247"/>
        <v>0.16875000000000001</v>
      </c>
      <c r="J229" s="129">
        <f t="shared" si="247"/>
        <v>0.16875000000000001</v>
      </c>
      <c r="K229" s="129">
        <f t="shared" si="247"/>
        <v>0.16875000000000001</v>
      </c>
      <c r="L229" s="128">
        <f>IF(L219&gt;0, (MIN(L208,L219)*L213)/1000,0)</f>
        <v>0.67500000000000004</v>
      </c>
      <c r="M229" s="129">
        <f t="shared" ref="M229:P231" si="248">$Q229/4</f>
        <v>0.16875000000000001</v>
      </c>
      <c r="N229" s="129">
        <f t="shared" si="248"/>
        <v>0.16875000000000001</v>
      </c>
      <c r="O229" s="129">
        <f t="shared" si="248"/>
        <v>0.16875000000000001</v>
      </c>
      <c r="P229" s="129">
        <f t="shared" si="248"/>
        <v>0.16875000000000001</v>
      </c>
      <c r="Q229" s="128">
        <f>IF(Q219&gt;0, (MIN(Q208,Q219)*Q213)/1000,0)</f>
        <v>0.67500000000000004</v>
      </c>
      <c r="R229" s="129">
        <f t="shared" ref="R229:U231" si="249">$V229/4</f>
        <v>0.16875000000000001</v>
      </c>
      <c r="S229" s="129">
        <f t="shared" si="249"/>
        <v>0.16875000000000001</v>
      </c>
      <c r="T229" s="129">
        <f t="shared" si="249"/>
        <v>0.16875000000000001</v>
      </c>
      <c r="U229" s="129">
        <f t="shared" si="249"/>
        <v>0.16875000000000001</v>
      </c>
      <c r="V229" s="128">
        <f>IF(V219&gt;0, (MIN(V208,V219)*V213)/1000,0)</f>
        <v>0.67500000000000004</v>
      </c>
      <c r="W229" s="129">
        <f t="shared" ref="W229:Z231" si="250">$AA229/4</f>
        <v>0.16875000000000001</v>
      </c>
      <c r="X229" s="129">
        <f t="shared" si="250"/>
        <v>0.16875000000000001</v>
      </c>
      <c r="Y229" s="129">
        <f t="shared" si="250"/>
        <v>0.16875000000000001</v>
      </c>
      <c r="Z229" s="129">
        <f t="shared" si="250"/>
        <v>0.16875000000000001</v>
      </c>
      <c r="AA229" s="128">
        <f>IF(AA219&gt;0, (MIN(AA208,AA219)*AA213)/1000,0)</f>
        <v>0.67500000000000004</v>
      </c>
      <c r="AB229" s="129">
        <f t="shared" ref="AB229:AE231" si="251">$AF229/4</f>
        <v>0.16875000000000001</v>
      </c>
      <c r="AC229" s="129">
        <f t="shared" si="251"/>
        <v>0.16875000000000001</v>
      </c>
      <c r="AD229" s="129">
        <f t="shared" si="251"/>
        <v>0.16875000000000001</v>
      </c>
      <c r="AE229" s="129">
        <f t="shared" si="251"/>
        <v>0.16875000000000001</v>
      </c>
      <c r="AF229" s="128">
        <f>IF(AF219&gt;0, (MIN(AF208,AF219)*AF213)/1000,0)</f>
        <v>0.67500000000000004</v>
      </c>
      <c r="AG229" s="129">
        <f>$AK229/4</f>
        <v>0.16875000000000001</v>
      </c>
      <c r="AH229" s="129">
        <f t="shared" ref="AH229:AJ231" si="252">$AK229/4</f>
        <v>0.16875000000000001</v>
      </c>
      <c r="AI229" s="129">
        <f t="shared" si="252"/>
        <v>0.16875000000000001</v>
      </c>
      <c r="AJ229" s="129">
        <f t="shared" si="252"/>
        <v>0.16875000000000001</v>
      </c>
      <c r="AK229" s="128">
        <f>IF(AK219&gt;0, (MIN(AK208,AK219)*AK213)/1000,0)</f>
        <v>0.67500000000000004</v>
      </c>
      <c r="AL229" s="129">
        <f>$AP229/4</f>
        <v>0.16875000000000001</v>
      </c>
      <c r="AM229" s="129">
        <f t="shared" ref="AM229:AO231" si="253">$AP229/4</f>
        <v>0.16875000000000001</v>
      </c>
      <c r="AN229" s="129">
        <f t="shared" si="253"/>
        <v>0.16875000000000001</v>
      </c>
      <c r="AO229" s="129">
        <f t="shared" si="253"/>
        <v>0.16875000000000001</v>
      </c>
      <c r="AP229" s="128">
        <f>IF(AP219&gt;0, (MIN(AP208,AP219)*AP213)/1000,0)</f>
        <v>0.67500000000000004</v>
      </c>
      <c r="AQ229" s="129">
        <f>$AU229/4</f>
        <v>0.16875000000000001</v>
      </c>
      <c r="AR229" s="129">
        <f t="shared" ref="AR229:AT231" si="254">$AU229/4</f>
        <v>0.16875000000000001</v>
      </c>
      <c r="AS229" s="129">
        <f t="shared" si="254"/>
        <v>0.16875000000000001</v>
      </c>
      <c r="AT229" s="129">
        <f t="shared" si="254"/>
        <v>0.16875000000000001</v>
      </c>
      <c r="AU229" s="128">
        <f>IF(AU219&gt;0, (MIN(AU208,AU219)*AU213)/1000,0)</f>
        <v>0.67500000000000004</v>
      </c>
      <c r="AV229" s="129">
        <f t="shared" ref="AV229:AY231" si="255">$AZ229/4</f>
        <v>0.16875000000000001</v>
      </c>
      <c r="AW229" s="129">
        <f t="shared" si="255"/>
        <v>0.16875000000000001</v>
      </c>
      <c r="AX229" s="129">
        <f t="shared" si="255"/>
        <v>0.16875000000000001</v>
      </c>
      <c r="AY229" s="129">
        <f t="shared" si="255"/>
        <v>0.16875000000000001</v>
      </c>
      <c r="AZ229" s="128">
        <f>IF(AZ219&gt;0, (MIN(AZ208,AZ219)*AZ213)/1000,0)</f>
        <v>0.67500000000000004</v>
      </c>
      <c r="BA229" s="129">
        <f t="shared" ref="BA229:BD231" si="256">$BE229/4</f>
        <v>0.16875000000000001</v>
      </c>
      <c r="BB229" s="129">
        <f t="shared" si="256"/>
        <v>0.16875000000000001</v>
      </c>
      <c r="BC229" s="129">
        <f t="shared" si="256"/>
        <v>0.16875000000000001</v>
      </c>
      <c r="BD229" s="129">
        <f t="shared" si="256"/>
        <v>0.16875000000000001</v>
      </c>
      <c r="BE229" s="128">
        <f>IF(BE219&gt;0, (MIN(BE208,BE219)*BE213)/1000,0)</f>
        <v>0.67500000000000004</v>
      </c>
      <c r="BF229" s="129">
        <f>$BJ229/4</f>
        <v>0</v>
      </c>
      <c r="BG229" s="129">
        <f t="shared" ref="BG229:BI231" si="257">$BJ229/4</f>
        <v>0</v>
      </c>
      <c r="BH229" s="129">
        <f t="shared" si="257"/>
        <v>0</v>
      </c>
      <c r="BI229" s="129">
        <f t="shared" si="257"/>
        <v>0</v>
      </c>
      <c r="BJ229" s="128">
        <f>IF(BJ219&gt;0, (MIN(BJ208,BJ219)*BJ213)/1000,0)</f>
        <v>0</v>
      </c>
      <c r="BK229" s="129">
        <f>$BO229/4</f>
        <v>0</v>
      </c>
      <c r="BL229" s="129">
        <f>$BO229/4</f>
        <v>0</v>
      </c>
      <c r="BM229" s="129">
        <f>$BO229/4</f>
        <v>0</v>
      </c>
      <c r="BN229" s="129">
        <f>$BO229/4</f>
        <v>0</v>
      </c>
      <c r="BO229" s="128">
        <f t="shared" ref="BO229:CF229" si="258">IF(BO219&gt;0, (MIN(BO208,BO219)*BO213)/1000,0)</f>
        <v>0</v>
      </c>
      <c r="BP229" s="129">
        <f>$BT229/4</f>
        <v>0</v>
      </c>
      <c r="BQ229" s="129">
        <f t="shared" ref="BQ229:BS231" si="259">$BT229/4</f>
        <v>0</v>
      </c>
      <c r="BR229" s="129">
        <f t="shared" si="259"/>
        <v>0</v>
      </c>
      <c r="BS229" s="129">
        <f t="shared" si="259"/>
        <v>0</v>
      </c>
      <c r="BT229" s="128">
        <f>IF(BT219&gt;0, (MIN(BT208,BT219)*BT213)/1000,0)</f>
        <v>0</v>
      </c>
      <c r="BU229" s="129">
        <f t="shared" ref="BU229:BX231" si="260">$BY229/4</f>
        <v>0</v>
      </c>
      <c r="BV229" s="129">
        <f t="shared" si="260"/>
        <v>0</v>
      </c>
      <c r="BW229" s="129">
        <f t="shared" si="260"/>
        <v>0</v>
      </c>
      <c r="BX229" s="129">
        <f t="shared" si="260"/>
        <v>0</v>
      </c>
      <c r="BY229" s="128">
        <f t="shared" si="258"/>
        <v>0</v>
      </c>
      <c r="BZ229" s="128">
        <f t="shared" si="258"/>
        <v>0</v>
      </c>
      <c r="CA229" s="128">
        <f t="shared" si="258"/>
        <v>0</v>
      </c>
      <c r="CB229" s="128">
        <f t="shared" si="258"/>
        <v>0</v>
      </c>
      <c r="CC229" s="128">
        <f t="shared" si="258"/>
        <v>0</v>
      </c>
      <c r="CD229" s="128">
        <f t="shared" si="258"/>
        <v>0</v>
      </c>
      <c r="CE229" s="128">
        <f t="shared" si="258"/>
        <v>0</v>
      </c>
      <c r="CF229" s="128">
        <f t="shared" si="258"/>
        <v>0</v>
      </c>
    </row>
    <row r="230" spans="1:84" x14ac:dyDescent="0.25">
      <c r="A230" s="2">
        <v>2</v>
      </c>
      <c r="B230" s="7"/>
      <c r="C230" s="129">
        <f t="shared" si="246"/>
        <v>0.15</v>
      </c>
      <c r="D230" s="129">
        <f t="shared" si="246"/>
        <v>0.15</v>
      </c>
      <c r="E230" s="129">
        <f t="shared" si="246"/>
        <v>0.15</v>
      </c>
      <c r="F230" s="129">
        <f t="shared" si="246"/>
        <v>0.15</v>
      </c>
      <c r="G230" s="128">
        <f>IF(G219&gt;G208, (MIN(G209-G208,G219-G208)*G214)/1000,0)</f>
        <v>0.6</v>
      </c>
      <c r="H230" s="129">
        <f t="shared" si="247"/>
        <v>0.15</v>
      </c>
      <c r="I230" s="129">
        <f t="shared" si="247"/>
        <v>0.15</v>
      </c>
      <c r="J230" s="129">
        <f t="shared" si="247"/>
        <v>0.15</v>
      </c>
      <c r="K230" s="129">
        <f t="shared" si="247"/>
        <v>0.15</v>
      </c>
      <c r="L230" s="128">
        <f>IF(L219&gt;L208, (MIN(L209-L208,L219-L208)*L214)/1000,0)</f>
        <v>0.6</v>
      </c>
      <c r="M230" s="129">
        <f t="shared" si="248"/>
        <v>0.15</v>
      </c>
      <c r="N230" s="129">
        <f t="shared" si="248"/>
        <v>0.15</v>
      </c>
      <c r="O230" s="129">
        <f t="shared" si="248"/>
        <v>0.15</v>
      </c>
      <c r="P230" s="129">
        <f t="shared" si="248"/>
        <v>0.15</v>
      </c>
      <c r="Q230" s="128">
        <f>IF(Q219&gt;Q208, (MIN(Q209-Q208,Q219-Q208)*Q214)/1000,0)</f>
        <v>0.6</v>
      </c>
      <c r="R230" s="129">
        <f t="shared" si="249"/>
        <v>0.15</v>
      </c>
      <c r="S230" s="129">
        <f t="shared" si="249"/>
        <v>0.15</v>
      </c>
      <c r="T230" s="129">
        <f t="shared" si="249"/>
        <v>0.15</v>
      </c>
      <c r="U230" s="129">
        <f t="shared" si="249"/>
        <v>0.15</v>
      </c>
      <c r="V230" s="128">
        <f>IF(V219&gt;V208, (MIN(V209-V208,V219-V208)*V214)/1000,0)</f>
        <v>0.6</v>
      </c>
      <c r="W230" s="129">
        <f t="shared" si="250"/>
        <v>0.15</v>
      </c>
      <c r="X230" s="129">
        <f t="shared" si="250"/>
        <v>0.15</v>
      </c>
      <c r="Y230" s="129">
        <f t="shared" si="250"/>
        <v>0.15</v>
      </c>
      <c r="Z230" s="129">
        <f t="shared" si="250"/>
        <v>0.15</v>
      </c>
      <c r="AA230" s="128">
        <f>IF(AA219&gt;AA208, (MIN(AA209-AA208,AA219-AA208)*AA214)/1000,0)</f>
        <v>0.6</v>
      </c>
      <c r="AB230" s="129">
        <f t="shared" si="251"/>
        <v>0.15</v>
      </c>
      <c r="AC230" s="129">
        <f t="shared" si="251"/>
        <v>0.15</v>
      </c>
      <c r="AD230" s="129">
        <f t="shared" si="251"/>
        <v>0.15</v>
      </c>
      <c r="AE230" s="129">
        <f t="shared" si="251"/>
        <v>0.15</v>
      </c>
      <c r="AF230" s="128">
        <f>IF(AF219&gt;AF208, (MIN(AF209-AF208,AF219-AF208)*AF214)/1000,0)</f>
        <v>0.6</v>
      </c>
      <c r="AG230" s="129">
        <f>$AK230/4</f>
        <v>0.15</v>
      </c>
      <c r="AH230" s="129">
        <f t="shared" si="252"/>
        <v>0.15</v>
      </c>
      <c r="AI230" s="129">
        <f t="shared" si="252"/>
        <v>0.15</v>
      </c>
      <c r="AJ230" s="129">
        <f t="shared" si="252"/>
        <v>0.15</v>
      </c>
      <c r="AK230" s="128">
        <f>IF(AK219&gt;AK208, (MIN(AK209-AK208,AK219-AK208)*AK214)/1000,0)</f>
        <v>0.6</v>
      </c>
      <c r="AL230" s="129">
        <f>$AP230/4</f>
        <v>0.15</v>
      </c>
      <c r="AM230" s="129">
        <f t="shared" si="253"/>
        <v>0.15</v>
      </c>
      <c r="AN230" s="129">
        <f t="shared" si="253"/>
        <v>0.15</v>
      </c>
      <c r="AO230" s="129">
        <f t="shared" si="253"/>
        <v>0.15</v>
      </c>
      <c r="AP230" s="128">
        <f>IF(AP219&gt;AP208, (MIN(AP209-AP208,AP219-AP208)*AP214)/1000,0)</f>
        <v>0.6</v>
      </c>
      <c r="AQ230" s="129">
        <f>$AU230/4</f>
        <v>0.15</v>
      </c>
      <c r="AR230" s="129">
        <f t="shared" si="254"/>
        <v>0.15</v>
      </c>
      <c r="AS230" s="129">
        <f t="shared" si="254"/>
        <v>0.15</v>
      </c>
      <c r="AT230" s="129">
        <f t="shared" si="254"/>
        <v>0.15</v>
      </c>
      <c r="AU230" s="128">
        <f>IF(AU219&gt;AU208, (MIN(AU209-AU208,AU219-AU208)*AU214)/1000,0)</f>
        <v>0.6</v>
      </c>
      <c r="AV230" s="129">
        <f t="shared" si="255"/>
        <v>0.15</v>
      </c>
      <c r="AW230" s="129">
        <f t="shared" si="255"/>
        <v>0.15</v>
      </c>
      <c r="AX230" s="129">
        <f t="shared" si="255"/>
        <v>0.15</v>
      </c>
      <c r="AY230" s="129">
        <f t="shared" si="255"/>
        <v>0.15</v>
      </c>
      <c r="AZ230" s="128">
        <f>IF(AZ219&gt;AZ208, (MIN(AZ209-AZ208,AZ219-AZ208)*AZ214)/1000,0)</f>
        <v>0.6</v>
      </c>
      <c r="BA230" s="129">
        <f t="shared" si="256"/>
        <v>6.7739999999999953E-2</v>
      </c>
      <c r="BB230" s="129">
        <f t="shared" si="256"/>
        <v>6.7739999999999953E-2</v>
      </c>
      <c r="BC230" s="129">
        <f t="shared" si="256"/>
        <v>6.7739999999999953E-2</v>
      </c>
      <c r="BD230" s="129">
        <f t="shared" si="256"/>
        <v>6.7739999999999953E-2</v>
      </c>
      <c r="BE230" s="128">
        <f>IF(BE219&gt;BE208, (MIN(BE209-BE208,BE219-BE208)*BE214)/1000,0)</f>
        <v>0.27095999999999981</v>
      </c>
      <c r="BF230" s="129">
        <f>$BJ230/4</f>
        <v>0</v>
      </c>
      <c r="BG230" s="129">
        <f t="shared" si="257"/>
        <v>0</v>
      </c>
      <c r="BH230" s="129">
        <f t="shared" si="257"/>
        <v>0</v>
      </c>
      <c r="BI230" s="129">
        <f t="shared" si="257"/>
        <v>0</v>
      </c>
      <c r="BJ230" s="128">
        <f>IF(BJ219&gt;BJ208, (MIN(BJ209-BJ208,BJ219-BJ208)*BJ214)/1000,0)</f>
        <v>0</v>
      </c>
      <c r="BK230" s="129">
        <f t="shared" ref="BK230:BN231" si="261">$BO230/4</f>
        <v>0</v>
      </c>
      <c r="BL230" s="129">
        <f t="shared" si="261"/>
        <v>0</v>
      </c>
      <c r="BM230" s="129">
        <f t="shared" si="261"/>
        <v>0</v>
      </c>
      <c r="BN230" s="129">
        <f t="shared" si="261"/>
        <v>0</v>
      </c>
      <c r="BO230" s="128">
        <f t="shared" ref="BO230:CF230" si="262">IF(BO219&gt;BO208, (MIN(BO209-BO208,BO219-BO208)*BO214)/1000,0)</f>
        <v>0</v>
      </c>
      <c r="BP230" s="129">
        <f>$BT230/4</f>
        <v>0</v>
      </c>
      <c r="BQ230" s="129">
        <f t="shared" si="259"/>
        <v>0</v>
      </c>
      <c r="BR230" s="129">
        <f t="shared" si="259"/>
        <v>0</v>
      </c>
      <c r="BS230" s="129">
        <f t="shared" si="259"/>
        <v>0</v>
      </c>
      <c r="BT230" s="128">
        <f>IF(BT219&gt;BT208, (MIN(BT209-BT208,BT219-BT208)*BT214)/1000,0)</f>
        <v>0</v>
      </c>
      <c r="BU230" s="129">
        <f t="shared" si="260"/>
        <v>0</v>
      </c>
      <c r="BV230" s="129">
        <f t="shared" si="260"/>
        <v>0</v>
      </c>
      <c r="BW230" s="129">
        <f t="shared" si="260"/>
        <v>0</v>
      </c>
      <c r="BX230" s="129">
        <f t="shared" si="260"/>
        <v>0</v>
      </c>
      <c r="BY230" s="128">
        <f t="shared" si="262"/>
        <v>0</v>
      </c>
      <c r="BZ230" s="128">
        <f t="shared" si="262"/>
        <v>0</v>
      </c>
      <c r="CA230" s="128">
        <f t="shared" si="262"/>
        <v>0</v>
      </c>
      <c r="CB230" s="128">
        <f t="shared" si="262"/>
        <v>0</v>
      </c>
      <c r="CC230" s="128">
        <f t="shared" si="262"/>
        <v>0</v>
      </c>
      <c r="CD230" s="128">
        <f t="shared" si="262"/>
        <v>0</v>
      </c>
      <c r="CE230" s="128">
        <f t="shared" si="262"/>
        <v>0</v>
      </c>
      <c r="CF230" s="128">
        <f t="shared" si="262"/>
        <v>0</v>
      </c>
    </row>
    <row r="231" spans="1:84" x14ac:dyDescent="0.25">
      <c r="A231" s="2">
        <v>3</v>
      </c>
      <c r="B231" s="7"/>
      <c r="C231" s="129">
        <f t="shared" si="246"/>
        <v>0.41251262499999997</v>
      </c>
      <c r="D231" s="129">
        <f t="shared" si="246"/>
        <v>0.41251262499999997</v>
      </c>
      <c r="E231" s="129">
        <f t="shared" si="246"/>
        <v>0.41251262499999997</v>
      </c>
      <c r="F231" s="129">
        <f t="shared" si="246"/>
        <v>0.41251262499999997</v>
      </c>
      <c r="G231" s="128">
        <f>IF(G219&gt;G209, ((G219-G209)*G215)/1000,0)</f>
        <v>1.6500504999999999</v>
      </c>
      <c r="H231" s="129">
        <f t="shared" si="247"/>
        <v>0.54411350000000003</v>
      </c>
      <c r="I231" s="129">
        <f t="shared" si="247"/>
        <v>0.54411350000000003</v>
      </c>
      <c r="J231" s="129">
        <f t="shared" si="247"/>
        <v>0.54411350000000003</v>
      </c>
      <c r="K231" s="129">
        <f t="shared" si="247"/>
        <v>0.54411350000000003</v>
      </c>
      <c r="L231" s="128">
        <f>IF(L219&gt;L209, ((L219-L209)*L215)/1000,0)</f>
        <v>2.1764540000000001</v>
      </c>
      <c r="M231" s="129">
        <f t="shared" si="248"/>
        <v>0.63051012499999992</v>
      </c>
      <c r="N231" s="129">
        <f t="shared" si="248"/>
        <v>0.63051012499999992</v>
      </c>
      <c r="O231" s="129">
        <f t="shared" si="248"/>
        <v>0.63051012499999992</v>
      </c>
      <c r="P231" s="129">
        <f t="shared" si="248"/>
        <v>0.63051012499999992</v>
      </c>
      <c r="Q231" s="128">
        <f>IF(Q219&gt;Q209, ((Q219-Q209)*Q215)/1000,0)</f>
        <v>2.5220404999999997</v>
      </c>
      <c r="R231" s="129">
        <f t="shared" si="249"/>
        <v>0.60016074999999991</v>
      </c>
      <c r="S231" s="129">
        <f t="shared" si="249"/>
        <v>0.60016074999999991</v>
      </c>
      <c r="T231" s="129">
        <f t="shared" si="249"/>
        <v>0.60016074999999991</v>
      </c>
      <c r="U231" s="129">
        <f t="shared" si="249"/>
        <v>0.60016074999999991</v>
      </c>
      <c r="V231" s="128">
        <f>IF(V219&gt;V209, ((V219-V209)*V215)/1000,0)</f>
        <v>2.4006429999999996</v>
      </c>
      <c r="W231" s="129">
        <f t="shared" si="250"/>
        <v>0.506608375</v>
      </c>
      <c r="X231" s="129">
        <f t="shared" si="250"/>
        <v>0.506608375</v>
      </c>
      <c r="Y231" s="129">
        <f t="shared" si="250"/>
        <v>0.506608375</v>
      </c>
      <c r="Z231" s="129">
        <f t="shared" si="250"/>
        <v>0.506608375</v>
      </c>
      <c r="AA231" s="128">
        <f>IF(AA219&gt;AA209, ((AA219-AA209)*AA215)/1000,0)</f>
        <v>2.0264335</v>
      </c>
      <c r="AB231" s="129">
        <f t="shared" si="251"/>
        <v>0.50160424999999997</v>
      </c>
      <c r="AC231" s="129">
        <f t="shared" si="251"/>
        <v>0.50160424999999997</v>
      </c>
      <c r="AD231" s="129">
        <f t="shared" si="251"/>
        <v>0.50160424999999997</v>
      </c>
      <c r="AE231" s="129">
        <f t="shared" si="251"/>
        <v>0.50160424999999997</v>
      </c>
      <c r="AF231" s="128">
        <f>IF(AF219&gt;AF209, ((AF219-AF209)*AF215)/1000,0)</f>
        <v>2.0064169999999999</v>
      </c>
      <c r="AG231" s="129">
        <f>$AK231/4</f>
        <v>0.43918262500000005</v>
      </c>
      <c r="AH231" s="129">
        <f t="shared" si="252"/>
        <v>0.43918262500000005</v>
      </c>
      <c r="AI231" s="129">
        <f t="shared" si="252"/>
        <v>0.43918262500000005</v>
      </c>
      <c r="AJ231" s="129">
        <f t="shared" si="252"/>
        <v>0.43918262500000005</v>
      </c>
      <c r="AK231" s="128">
        <f>IF(AK219&gt;AK209, ((AK219-AK209)*AK215)/1000,0)</f>
        <v>1.7567305000000002</v>
      </c>
      <c r="AL231" s="129">
        <f>$AP231/4</f>
        <v>0.39694024999999999</v>
      </c>
      <c r="AM231" s="129">
        <f t="shared" si="253"/>
        <v>0.39694024999999999</v>
      </c>
      <c r="AN231" s="129">
        <f t="shared" si="253"/>
        <v>0.39694024999999999</v>
      </c>
      <c r="AO231" s="129">
        <f t="shared" si="253"/>
        <v>0.39694024999999999</v>
      </c>
      <c r="AP231" s="128">
        <f>IF(AP219&gt;AP209, ((AP219-AP209)*AP215)/1000,0)</f>
        <v>1.587761</v>
      </c>
      <c r="AQ231" s="129">
        <f>$AU231/4</f>
        <v>0.322907375</v>
      </c>
      <c r="AR231" s="129">
        <f t="shared" si="254"/>
        <v>0.322907375</v>
      </c>
      <c r="AS231" s="129">
        <f t="shared" si="254"/>
        <v>0.322907375</v>
      </c>
      <c r="AT231" s="129">
        <f t="shared" si="254"/>
        <v>0.322907375</v>
      </c>
      <c r="AU231" s="128">
        <f>IF(AU219&gt;AU209, ((AU219-AU209)*AU215)/1000,0)</f>
        <v>1.2916295</v>
      </c>
      <c r="AV231" s="129">
        <f t="shared" si="255"/>
        <v>0.22443574999999993</v>
      </c>
      <c r="AW231" s="129">
        <f t="shared" si="255"/>
        <v>0.22443574999999993</v>
      </c>
      <c r="AX231" s="129">
        <f t="shared" si="255"/>
        <v>0.22443574999999993</v>
      </c>
      <c r="AY231" s="129">
        <f t="shared" si="255"/>
        <v>0.22443574999999993</v>
      </c>
      <c r="AZ231" s="128">
        <f>IF(AZ219&gt;AZ209, ((AZ219-AZ209)*AZ215)/1000,0)</f>
        <v>0.89774299999999974</v>
      </c>
      <c r="BA231" s="129">
        <f t="shared" si="256"/>
        <v>0</v>
      </c>
      <c r="BB231" s="129">
        <f t="shared" si="256"/>
        <v>0</v>
      </c>
      <c r="BC231" s="129">
        <f t="shared" si="256"/>
        <v>0</v>
      </c>
      <c r="BD231" s="129">
        <f t="shared" si="256"/>
        <v>0</v>
      </c>
      <c r="BE231" s="128">
        <f>IF(BE219&gt;BE209, ((BE219-BE209)*BE215)/1000,0)</f>
        <v>0</v>
      </c>
      <c r="BF231" s="129">
        <f>$BJ231/4</f>
        <v>0</v>
      </c>
      <c r="BG231" s="129">
        <f t="shared" si="257"/>
        <v>0</v>
      </c>
      <c r="BH231" s="129">
        <f t="shared" si="257"/>
        <v>0</v>
      </c>
      <c r="BI231" s="129">
        <f t="shared" si="257"/>
        <v>0</v>
      </c>
      <c r="BJ231" s="128">
        <f>IF(BJ219&gt;BJ209, ((BJ219-BJ209)*BJ215)/1000,0)</f>
        <v>0</v>
      </c>
      <c r="BK231" s="129">
        <f t="shared" si="261"/>
        <v>0</v>
      </c>
      <c r="BL231" s="129">
        <f t="shared" si="261"/>
        <v>0</v>
      </c>
      <c r="BM231" s="129">
        <f t="shared" si="261"/>
        <v>0</v>
      </c>
      <c r="BN231" s="129">
        <f t="shared" si="261"/>
        <v>0</v>
      </c>
      <c r="BO231" s="128">
        <f t="shared" ref="BO231:CF231" si="263">IF(BO219&gt;BO209, ((BO219-BO209)*BO215)/1000,0)</f>
        <v>0</v>
      </c>
      <c r="BP231" s="129">
        <f>$BT231/4</f>
        <v>0</v>
      </c>
      <c r="BQ231" s="129">
        <f t="shared" si="259"/>
        <v>0</v>
      </c>
      <c r="BR231" s="129">
        <f t="shared" si="259"/>
        <v>0</v>
      </c>
      <c r="BS231" s="129">
        <f t="shared" si="259"/>
        <v>0</v>
      </c>
      <c r="BT231" s="128">
        <f>IF(BT219&gt;BT209, ((BT219-BT209)*BT215)/1000,0)</f>
        <v>0</v>
      </c>
      <c r="BU231" s="129">
        <f t="shared" si="260"/>
        <v>0</v>
      </c>
      <c r="BV231" s="129">
        <f t="shared" si="260"/>
        <v>0</v>
      </c>
      <c r="BW231" s="129">
        <f t="shared" si="260"/>
        <v>0</v>
      </c>
      <c r="BX231" s="129">
        <f t="shared" si="260"/>
        <v>0</v>
      </c>
      <c r="BY231" s="128">
        <f t="shared" si="263"/>
        <v>0</v>
      </c>
      <c r="BZ231" s="128">
        <f t="shared" si="263"/>
        <v>0</v>
      </c>
      <c r="CA231" s="128">
        <f t="shared" si="263"/>
        <v>0</v>
      </c>
      <c r="CB231" s="128">
        <f t="shared" si="263"/>
        <v>0</v>
      </c>
      <c r="CC231" s="128">
        <f t="shared" si="263"/>
        <v>0</v>
      </c>
      <c r="CD231" s="128">
        <f t="shared" si="263"/>
        <v>0</v>
      </c>
      <c r="CE231" s="128">
        <f t="shared" si="263"/>
        <v>0</v>
      </c>
      <c r="CF231" s="128">
        <f t="shared" si="263"/>
        <v>0</v>
      </c>
    </row>
    <row r="232" spans="1:84" ht="5.25" customHeight="1" x14ac:dyDescent="0.25">
      <c r="A232" s="2"/>
      <c r="B232" s="130"/>
      <c r="C232" s="130" t="s">
        <v>1059</v>
      </c>
      <c r="D232" s="130" t="s">
        <v>1059</v>
      </c>
      <c r="E232" s="130" t="s">
        <v>1059</v>
      </c>
      <c r="F232" s="130" t="s">
        <v>1059</v>
      </c>
      <c r="G232" s="131" t="s">
        <v>1059</v>
      </c>
      <c r="H232" s="130" t="s">
        <v>1059</v>
      </c>
      <c r="I232" s="130" t="s">
        <v>1059</v>
      </c>
      <c r="J232" s="130" t="s">
        <v>1059</v>
      </c>
      <c r="K232" s="130" t="s">
        <v>1059</v>
      </c>
      <c r="L232" s="131" t="s">
        <v>1059</v>
      </c>
      <c r="M232" s="130" t="s">
        <v>1059</v>
      </c>
      <c r="N232" s="130" t="s">
        <v>1059</v>
      </c>
      <c r="O232" s="130" t="s">
        <v>1059</v>
      </c>
      <c r="P232" s="130" t="s">
        <v>1059</v>
      </c>
      <c r="Q232" s="131" t="s">
        <v>1059</v>
      </c>
      <c r="R232" s="130" t="s">
        <v>1059</v>
      </c>
      <c r="S232" s="130" t="s">
        <v>1059</v>
      </c>
      <c r="T232" s="130" t="s">
        <v>1059</v>
      </c>
      <c r="U232" s="130" t="s">
        <v>1059</v>
      </c>
      <c r="V232" s="131" t="s">
        <v>1059</v>
      </c>
      <c r="W232" s="130" t="s">
        <v>1059</v>
      </c>
      <c r="X232" s="130" t="s">
        <v>1059</v>
      </c>
      <c r="Y232" s="130" t="s">
        <v>1059</v>
      </c>
      <c r="Z232" s="130" t="s">
        <v>1059</v>
      </c>
      <c r="AA232" s="131" t="s">
        <v>1059</v>
      </c>
      <c r="AB232" s="130" t="s">
        <v>1059</v>
      </c>
      <c r="AC232" s="130" t="s">
        <v>1059</v>
      </c>
      <c r="AD232" s="130" t="s">
        <v>1059</v>
      </c>
      <c r="AE232" s="130" t="s">
        <v>1059</v>
      </c>
      <c r="AF232" s="131" t="s">
        <v>1059</v>
      </c>
      <c r="AG232" s="130" t="s">
        <v>1059</v>
      </c>
      <c r="AH232" s="130" t="s">
        <v>1059</v>
      </c>
      <c r="AI232" s="130" t="s">
        <v>1059</v>
      </c>
      <c r="AJ232" s="130" t="s">
        <v>1059</v>
      </c>
      <c r="AK232" s="131" t="s">
        <v>1059</v>
      </c>
      <c r="AL232" s="130" t="s">
        <v>1059</v>
      </c>
      <c r="AM232" s="130" t="s">
        <v>1059</v>
      </c>
      <c r="AN232" s="130" t="s">
        <v>1059</v>
      </c>
      <c r="AO232" s="130" t="s">
        <v>1059</v>
      </c>
      <c r="AP232" s="131" t="s">
        <v>1059</v>
      </c>
      <c r="AQ232" s="130" t="s">
        <v>1059</v>
      </c>
      <c r="AR232" s="130" t="s">
        <v>1059</v>
      </c>
      <c r="AS232" s="130" t="s">
        <v>1059</v>
      </c>
      <c r="AT232" s="130" t="s">
        <v>1059</v>
      </c>
      <c r="AU232" s="131" t="s">
        <v>1059</v>
      </c>
      <c r="AV232" s="130" t="s">
        <v>1059</v>
      </c>
      <c r="AW232" s="130" t="s">
        <v>1059</v>
      </c>
      <c r="AX232" s="130" t="s">
        <v>1059</v>
      </c>
      <c r="AY232" s="130" t="s">
        <v>1059</v>
      </c>
      <c r="AZ232" s="131" t="s">
        <v>1059</v>
      </c>
      <c r="BA232" s="130" t="s">
        <v>1059</v>
      </c>
      <c r="BB232" s="130" t="s">
        <v>1059</v>
      </c>
      <c r="BC232" s="130" t="s">
        <v>1059</v>
      </c>
      <c r="BD232" s="130" t="s">
        <v>1059</v>
      </c>
      <c r="BE232" s="131" t="s">
        <v>1059</v>
      </c>
      <c r="BF232" s="130" t="s">
        <v>1059</v>
      </c>
      <c r="BG232" s="130" t="s">
        <v>1059</v>
      </c>
      <c r="BH232" s="130" t="s">
        <v>1059</v>
      </c>
      <c r="BI232" s="130" t="s">
        <v>1059</v>
      </c>
      <c r="BJ232" s="131" t="s">
        <v>1059</v>
      </c>
      <c r="BK232" s="130" t="s">
        <v>1059</v>
      </c>
      <c r="BL232" s="130" t="s">
        <v>1059</v>
      </c>
      <c r="BM232" s="130" t="s">
        <v>1059</v>
      </c>
      <c r="BN232" s="130" t="s">
        <v>1059</v>
      </c>
      <c r="BO232" s="131" t="s">
        <v>1059</v>
      </c>
      <c r="BP232" s="130" t="s">
        <v>1059</v>
      </c>
      <c r="BQ232" s="130" t="s">
        <v>1059</v>
      </c>
      <c r="BR232" s="130" t="s">
        <v>1059</v>
      </c>
      <c r="BS232" s="130" t="s">
        <v>1059</v>
      </c>
      <c r="BT232" s="131" t="s">
        <v>1059</v>
      </c>
      <c r="BU232" s="130" t="s">
        <v>1059</v>
      </c>
      <c r="BV232" s="130" t="s">
        <v>1059</v>
      </c>
      <c r="BW232" s="130" t="s">
        <v>1059</v>
      </c>
      <c r="BX232" s="130" t="s">
        <v>1059</v>
      </c>
      <c r="BY232" s="131" t="s">
        <v>1059</v>
      </c>
      <c r="BZ232" s="131" t="s">
        <v>1059</v>
      </c>
      <c r="CA232" s="131" t="s">
        <v>1059</v>
      </c>
      <c r="CB232" s="131" t="s">
        <v>1059</v>
      </c>
      <c r="CC232" s="131" t="s">
        <v>1059</v>
      </c>
      <c r="CD232" s="131" t="s">
        <v>1059</v>
      </c>
      <c r="CE232" s="131" t="s">
        <v>1059</v>
      </c>
      <c r="CF232" s="131" t="s">
        <v>1059</v>
      </c>
    </row>
    <row r="233" spans="1:84" x14ac:dyDescent="0.25">
      <c r="A233" s="2" t="s">
        <v>1115</v>
      </c>
      <c r="B233" s="34"/>
      <c r="C233" s="34">
        <f t="shared" ref="C233:N233" si="264">SUM(C229:C232)</f>
        <v>0.73126262499999994</v>
      </c>
      <c r="D233" s="34">
        <f t="shared" si="264"/>
        <v>0.73126262499999994</v>
      </c>
      <c r="E233" s="34">
        <f t="shared" si="264"/>
        <v>0.73126262499999994</v>
      </c>
      <c r="F233" s="34">
        <f t="shared" si="264"/>
        <v>0.73126262499999994</v>
      </c>
      <c r="G233" s="111">
        <f t="shared" si="264"/>
        <v>2.9250504999999998</v>
      </c>
      <c r="H233" s="34">
        <f t="shared" si="264"/>
        <v>0.86286350000000001</v>
      </c>
      <c r="I233" s="34">
        <f t="shared" si="264"/>
        <v>0.86286350000000001</v>
      </c>
      <c r="J233" s="34">
        <f t="shared" si="264"/>
        <v>0.86286350000000001</v>
      </c>
      <c r="K233" s="34">
        <f t="shared" si="264"/>
        <v>0.86286350000000001</v>
      </c>
      <c r="L233" s="111">
        <f t="shared" si="264"/>
        <v>3.451454</v>
      </c>
      <c r="M233" s="34">
        <f t="shared" si="264"/>
        <v>0.9492601249999999</v>
      </c>
      <c r="N233" s="34">
        <f t="shared" si="264"/>
        <v>0.9492601249999999</v>
      </c>
      <c r="O233" s="34">
        <f t="shared" ref="O233:AK233" si="265">SUM(O229:O232)</f>
        <v>0.9492601249999999</v>
      </c>
      <c r="P233" s="34">
        <f t="shared" si="265"/>
        <v>0.9492601249999999</v>
      </c>
      <c r="Q233" s="111">
        <f t="shared" si="265"/>
        <v>3.7970404999999996</v>
      </c>
      <c r="R233" s="34">
        <f t="shared" si="265"/>
        <v>0.91891074999999989</v>
      </c>
      <c r="S233" s="34">
        <f t="shared" si="265"/>
        <v>0.91891074999999989</v>
      </c>
      <c r="T233" s="34">
        <f t="shared" si="265"/>
        <v>0.91891074999999989</v>
      </c>
      <c r="U233" s="34">
        <f t="shared" si="265"/>
        <v>0.91891074999999989</v>
      </c>
      <c r="V233" s="111">
        <f t="shared" si="265"/>
        <v>3.6756429999999995</v>
      </c>
      <c r="W233" s="34">
        <f t="shared" si="265"/>
        <v>0.82535837499999998</v>
      </c>
      <c r="X233" s="34">
        <f t="shared" si="265"/>
        <v>0.82535837499999998</v>
      </c>
      <c r="Y233" s="34">
        <f t="shared" si="265"/>
        <v>0.82535837499999998</v>
      </c>
      <c r="Z233" s="34">
        <f t="shared" si="265"/>
        <v>0.82535837499999998</v>
      </c>
      <c r="AA233" s="111">
        <f t="shared" si="265"/>
        <v>3.3014334999999999</v>
      </c>
      <c r="AB233" s="34">
        <f t="shared" si="265"/>
        <v>0.82035424999999995</v>
      </c>
      <c r="AC233" s="34">
        <f t="shared" si="265"/>
        <v>0.82035424999999995</v>
      </c>
      <c r="AD233" s="34">
        <f t="shared" si="265"/>
        <v>0.82035424999999995</v>
      </c>
      <c r="AE233" s="34">
        <f t="shared" si="265"/>
        <v>0.82035424999999995</v>
      </c>
      <c r="AF233" s="111">
        <f t="shared" si="265"/>
        <v>3.2814169999999998</v>
      </c>
      <c r="AG233" s="34">
        <f t="shared" si="265"/>
        <v>0.75793262500000003</v>
      </c>
      <c r="AH233" s="34">
        <f t="shared" si="265"/>
        <v>0.75793262500000003</v>
      </c>
      <c r="AI233" s="34">
        <f t="shared" si="265"/>
        <v>0.75793262500000003</v>
      </c>
      <c r="AJ233" s="34">
        <f t="shared" si="265"/>
        <v>0.75793262500000003</v>
      </c>
      <c r="AK233" s="111">
        <f t="shared" si="265"/>
        <v>3.0317305000000001</v>
      </c>
      <c r="AL233" s="34">
        <f t="shared" ref="AL233:AU233" si="266">SUM(AL229:AL232)</f>
        <v>0.71569024999999997</v>
      </c>
      <c r="AM233" s="34">
        <f t="shared" si="266"/>
        <v>0.71569024999999997</v>
      </c>
      <c r="AN233" s="34">
        <f t="shared" si="266"/>
        <v>0.71569024999999997</v>
      </c>
      <c r="AO233" s="34">
        <f t="shared" si="266"/>
        <v>0.71569024999999997</v>
      </c>
      <c r="AP233" s="111">
        <f t="shared" si="266"/>
        <v>2.8627609999999999</v>
      </c>
      <c r="AQ233" s="34">
        <f t="shared" si="266"/>
        <v>0.64165737499999997</v>
      </c>
      <c r="AR233" s="34">
        <f t="shared" si="266"/>
        <v>0.64165737499999997</v>
      </c>
      <c r="AS233" s="34">
        <f t="shared" si="266"/>
        <v>0.64165737499999997</v>
      </c>
      <c r="AT233" s="34">
        <f t="shared" si="266"/>
        <v>0.64165737499999997</v>
      </c>
      <c r="AU233" s="111">
        <f t="shared" si="266"/>
        <v>2.5666294999999999</v>
      </c>
      <c r="AV233" s="34">
        <f t="shared" ref="AV233:BE233" si="267">SUM(AV229:AV232)</f>
        <v>0.54318574999999991</v>
      </c>
      <c r="AW233" s="34">
        <f t="shared" si="267"/>
        <v>0.54318574999999991</v>
      </c>
      <c r="AX233" s="34">
        <f t="shared" si="267"/>
        <v>0.54318574999999991</v>
      </c>
      <c r="AY233" s="34">
        <f t="shared" si="267"/>
        <v>0.54318574999999991</v>
      </c>
      <c r="AZ233" s="111">
        <f t="shared" si="267"/>
        <v>2.1727429999999996</v>
      </c>
      <c r="BA233" s="34">
        <f t="shared" si="267"/>
        <v>0.23648999999999998</v>
      </c>
      <c r="BB233" s="34">
        <f t="shared" si="267"/>
        <v>0.23648999999999998</v>
      </c>
      <c r="BC233" s="34">
        <f t="shared" si="267"/>
        <v>0.23648999999999998</v>
      </c>
      <c r="BD233" s="34">
        <f t="shared" si="267"/>
        <v>0.23648999999999998</v>
      </c>
      <c r="BE233" s="111">
        <f t="shared" si="267"/>
        <v>0.94595999999999991</v>
      </c>
      <c r="BF233" s="34">
        <f t="shared" ref="BF233:BO233" si="268">SUM(BF229:BF232)</f>
        <v>0</v>
      </c>
      <c r="BG233" s="34">
        <f t="shared" si="268"/>
        <v>0</v>
      </c>
      <c r="BH233" s="34">
        <f t="shared" si="268"/>
        <v>0</v>
      </c>
      <c r="BI233" s="34">
        <f t="shared" si="268"/>
        <v>0</v>
      </c>
      <c r="BJ233" s="111">
        <f t="shared" si="268"/>
        <v>0</v>
      </c>
      <c r="BK233" s="34">
        <f t="shared" si="268"/>
        <v>0</v>
      </c>
      <c r="BL233" s="34">
        <f t="shared" si="268"/>
        <v>0</v>
      </c>
      <c r="BM233" s="34">
        <f t="shared" si="268"/>
        <v>0</v>
      </c>
      <c r="BN233" s="34">
        <f t="shared" si="268"/>
        <v>0</v>
      </c>
      <c r="BO233" s="111">
        <f t="shared" si="268"/>
        <v>0</v>
      </c>
      <c r="BP233" s="34">
        <f t="shared" ref="BP233:CF233" si="269">SUM(BP229:BP232)</f>
        <v>0</v>
      </c>
      <c r="BQ233" s="34">
        <f t="shared" si="269"/>
        <v>0</v>
      </c>
      <c r="BR233" s="34">
        <f t="shared" si="269"/>
        <v>0</v>
      </c>
      <c r="BS233" s="34">
        <f t="shared" si="269"/>
        <v>0</v>
      </c>
      <c r="BT233" s="111">
        <f t="shared" si="269"/>
        <v>0</v>
      </c>
      <c r="BU233" s="34">
        <f>SUM(BU229:BU232)</f>
        <v>0</v>
      </c>
      <c r="BV233" s="34">
        <f>SUM(BV229:BV232)</f>
        <v>0</v>
      </c>
      <c r="BW233" s="34">
        <f>SUM(BW229:BW232)</f>
        <v>0</v>
      </c>
      <c r="BX233" s="34">
        <f>SUM(BX229:BX232)</f>
        <v>0</v>
      </c>
      <c r="BY233" s="111">
        <f t="shared" si="269"/>
        <v>0</v>
      </c>
      <c r="BZ233" s="111">
        <f t="shared" si="269"/>
        <v>0</v>
      </c>
      <c r="CA233" s="111">
        <f t="shared" si="269"/>
        <v>0</v>
      </c>
      <c r="CB233" s="111">
        <f t="shared" si="269"/>
        <v>0</v>
      </c>
      <c r="CC233" s="111">
        <f t="shared" si="269"/>
        <v>0</v>
      </c>
      <c r="CD233" s="111">
        <f t="shared" si="269"/>
        <v>0</v>
      </c>
      <c r="CE233" s="111">
        <f t="shared" si="269"/>
        <v>0</v>
      </c>
      <c r="CF233" s="111">
        <f t="shared" si="269"/>
        <v>0</v>
      </c>
    </row>
    <row r="234" spans="1:84" ht="5.25" customHeight="1" x14ac:dyDescent="0.25">
      <c r="A234" s="2"/>
      <c r="B234" s="130"/>
      <c r="C234" s="130" t="s">
        <v>1059</v>
      </c>
      <c r="D234" s="130" t="s">
        <v>1059</v>
      </c>
      <c r="E234" s="130" t="s">
        <v>1059</v>
      </c>
      <c r="F234" s="130" t="s">
        <v>1059</v>
      </c>
      <c r="G234" s="131" t="s">
        <v>1059</v>
      </c>
      <c r="H234" s="130" t="s">
        <v>1059</v>
      </c>
      <c r="I234" s="130" t="s">
        <v>1059</v>
      </c>
      <c r="J234" s="130" t="s">
        <v>1059</v>
      </c>
      <c r="K234" s="130" t="s">
        <v>1059</v>
      </c>
      <c r="L234" s="131" t="s">
        <v>1059</v>
      </c>
      <c r="M234" s="130" t="s">
        <v>1059</v>
      </c>
      <c r="N234" s="130" t="s">
        <v>1059</v>
      </c>
      <c r="O234" s="130" t="s">
        <v>1059</v>
      </c>
      <c r="P234" s="130" t="s">
        <v>1059</v>
      </c>
      <c r="Q234" s="131" t="s">
        <v>1059</v>
      </c>
      <c r="R234" s="130" t="s">
        <v>1059</v>
      </c>
      <c r="S234" s="130" t="s">
        <v>1059</v>
      </c>
      <c r="T234" s="130" t="s">
        <v>1059</v>
      </c>
      <c r="U234" s="130" t="s">
        <v>1059</v>
      </c>
      <c r="V234" s="131" t="s">
        <v>1059</v>
      </c>
      <c r="W234" s="130" t="s">
        <v>1059</v>
      </c>
      <c r="X234" s="130" t="s">
        <v>1059</v>
      </c>
      <c r="Y234" s="130" t="s">
        <v>1059</v>
      </c>
      <c r="Z234" s="130" t="s">
        <v>1059</v>
      </c>
      <c r="AA234" s="131" t="s">
        <v>1059</v>
      </c>
      <c r="AB234" s="130" t="s">
        <v>1059</v>
      </c>
      <c r="AC234" s="130" t="s">
        <v>1059</v>
      </c>
      <c r="AD234" s="130" t="s">
        <v>1059</v>
      </c>
      <c r="AE234" s="130" t="s">
        <v>1059</v>
      </c>
      <c r="AF234" s="131" t="s">
        <v>1059</v>
      </c>
      <c r="AG234" s="130" t="s">
        <v>1059</v>
      </c>
      <c r="AH234" s="130" t="s">
        <v>1059</v>
      </c>
      <c r="AI234" s="130" t="s">
        <v>1059</v>
      </c>
      <c r="AJ234" s="130" t="s">
        <v>1059</v>
      </c>
      <c r="AK234" s="131" t="s">
        <v>1059</v>
      </c>
      <c r="AL234" s="130" t="s">
        <v>1059</v>
      </c>
      <c r="AM234" s="130" t="s">
        <v>1059</v>
      </c>
      <c r="AN234" s="130" t="s">
        <v>1059</v>
      </c>
      <c r="AO234" s="130" t="s">
        <v>1059</v>
      </c>
      <c r="AP234" s="131" t="s">
        <v>1059</v>
      </c>
      <c r="AQ234" s="130" t="s">
        <v>1059</v>
      </c>
      <c r="AR234" s="130" t="s">
        <v>1059</v>
      </c>
      <c r="AS234" s="130" t="s">
        <v>1059</v>
      </c>
      <c r="AT234" s="130" t="s">
        <v>1059</v>
      </c>
      <c r="AU234" s="131" t="s">
        <v>1059</v>
      </c>
      <c r="AV234" s="130" t="s">
        <v>1059</v>
      </c>
      <c r="AW234" s="130" t="s">
        <v>1059</v>
      </c>
      <c r="AX234" s="130" t="s">
        <v>1059</v>
      </c>
      <c r="AY234" s="130" t="s">
        <v>1059</v>
      </c>
      <c r="AZ234" s="131" t="s">
        <v>1059</v>
      </c>
      <c r="BA234" s="130" t="s">
        <v>1059</v>
      </c>
      <c r="BB234" s="130" t="s">
        <v>1059</v>
      </c>
      <c r="BC234" s="130" t="s">
        <v>1059</v>
      </c>
      <c r="BD234" s="130" t="s">
        <v>1059</v>
      </c>
      <c r="BE234" s="131" t="s">
        <v>1059</v>
      </c>
      <c r="BF234" s="130" t="s">
        <v>1059</v>
      </c>
      <c r="BG234" s="130" t="s">
        <v>1059</v>
      </c>
      <c r="BH234" s="130" t="s">
        <v>1059</v>
      </c>
      <c r="BI234" s="130" t="s">
        <v>1059</v>
      </c>
      <c r="BJ234" s="131" t="s">
        <v>1059</v>
      </c>
      <c r="BK234" s="130" t="s">
        <v>1059</v>
      </c>
      <c r="BL234" s="130" t="s">
        <v>1059</v>
      </c>
      <c r="BM234" s="130" t="s">
        <v>1059</v>
      </c>
      <c r="BN234" s="130" t="s">
        <v>1059</v>
      </c>
      <c r="BO234" s="131" t="s">
        <v>1059</v>
      </c>
      <c r="BP234" s="130" t="s">
        <v>1059</v>
      </c>
      <c r="BQ234" s="130" t="s">
        <v>1059</v>
      </c>
      <c r="BR234" s="130" t="s">
        <v>1059</v>
      </c>
      <c r="BS234" s="130" t="s">
        <v>1059</v>
      </c>
      <c r="BT234" s="131" t="s">
        <v>1059</v>
      </c>
      <c r="BU234" s="130" t="s">
        <v>1059</v>
      </c>
      <c r="BV234" s="130" t="s">
        <v>1059</v>
      </c>
      <c r="BW234" s="130" t="s">
        <v>1059</v>
      </c>
      <c r="BX234" s="130" t="s">
        <v>1059</v>
      </c>
      <c r="BY234" s="131" t="s">
        <v>1059</v>
      </c>
      <c r="BZ234" s="131" t="s">
        <v>1059</v>
      </c>
      <c r="CA234" s="131" t="s">
        <v>1059</v>
      </c>
      <c r="CB234" s="131" t="s">
        <v>1059</v>
      </c>
      <c r="CC234" s="131" t="s">
        <v>1059</v>
      </c>
      <c r="CD234" s="131" t="s">
        <v>1059</v>
      </c>
      <c r="CE234" s="131" t="s">
        <v>1059</v>
      </c>
      <c r="CF234" s="131" t="s">
        <v>1059</v>
      </c>
    </row>
    <row r="235" spans="1:84" x14ac:dyDescent="0.25">
      <c r="A235" s="2" t="s">
        <v>2245</v>
      </c>
      <c r="B235" s="34"/>
      <c r="C235" s="34">
        <f t="shared" ref="C235:N235" si="270">C233+C226</f>
        <v>2.9544451127819547</v>
      </c>
      <c r="D235" s="34">
        <f t="shared" si="270"/>
        <v>2.9544451127819547</v>
      </c>
      <c r="E235" s="34">
        <f t="shared" si="270"/>
        <v>3.3727676249999998</v>
      </c>
      <c r="F235" s="34">
        <f t="shared" si="270"/>
        <v>3.3727676249999998</v>
      </c>
      <c r="G235" s="111">
        <f t="shared" si="270"/>
        <v>13.491070499999999</v>
      </c>
      <c r="H235" s="34">
        <f t="shared" si="270"/>
        <v>3.8010485650000003</v>
      </c>
      <c r="I235" s="34">
        <f t="shared" si="270"/>
        <v>3.8010485650000003</v>
      </c>
      <c r="J235" s="34">
        <f t="shared" si="270"/>
        <v>3.8010485650000003</v>
      </c>
      <c r="K235" s="34">
        <f t="shared" si="270"/>
        <v>3.8010485650000003</v>
      </c>
      <c r="L235" s="111">
        <f t="shared" si="270"/>
        <v>15.204194260000001</v>
      </c>
      <c r="M235" s="34">
        <f t="shared" si="270"/>
        <v>3.9677613049999998</v>
      </c>
      <c r="N235" s="34">
        <f t="shared" si="270"/>
        <v>3.9677613049999998</v>
      </c>
      <c r="O235" s="34">
        <f t="shared" ref="O235:AO235" si="271">O233+O226</f>
        <v>3.9677613049999998</v>
      </c>
      <c r="P235" s="34">
        <f t="shared" si="271"/>
        <v>3.9677613049999998</v>
      </c>
      <c r="Q235" s="111">
        <f t="shared" si="271"/>
        <v>15.871045219999999</v>
      </c>
      <c r="R235" s="34">
        <f t="shared" si="271"/>
        <v>3.9774085899999996</v>
      </c>
      <c r="S235" s="34">
        <f t="shared" si="271"/>
        <v>3.9774085899999996</v>
      </c>
      <c r="T235" s="34">
        <f t="shared" si="271"/>
        <v>3.9774085899999996</v>
      </c>
      <c r="U235" s="34">
        <f t="shared" si="271"/>
        <v>3.9774085899999996</v>
      </c>
      <c r="V235" s="111">
        <f t="shared" si="271"/>
        <v>15.909634359999998</v>
      </c>
      <c r="W235" s="34">
        <f t="shared" si="271"/>
        <v>3.8739687549999999</v>
      </c>
      <c r="X235" s="34">
        <f t="shared" si="271"/>
        <v>3.8739687549999999</v>
      </c>
      <c r="Y235" s="34">
        <f t="shared" si="271"/>
        <v>3.8739687549999999</v>
      </c>
      <c r="Z235" s="34">
        <f t="shared" si="271"/>
        <v>3.8739687549999999</v>
      </c>
      <c r="AA235" s="111">
        <f t="shared" si="271"/>
        <v>15.49587502</v>
      </c>
      <c r="AB235" s="34">
        <f t="shared" si="271"/>
        <v>3.8418542499999999</v>
      </c>
      <c r="AC235" s="34">
        <f t="shared" si="271"/>
        <v>3.8418542499999999</v>
      </c>
      <c r="AD235" s="34">
        <f t="shared" si="271"/>
        <v>3.8418542499999999</v>
      </c>
      <c r="AE235" s="34">
        <f t="shared" si="271"/>
        <v>3.8418542499999999</v>
      </c>
      <c r="AF235" s="111">
        <f t="shared" si="271"/>
        <v>15.367417</v>
      </c>
      <c r="AG235" s="34">
        <f>AG233+AG226</f>
        <v>3.8863913999999999</v>
      </c>
      <c r="AH235" s="34">
        <f>AH233+AH226</f>
        <v>3.8863913999999999</v>
      </c>
      <c r="AI235" s="34">
        <f>AI233+AI226</f>
        <v>3.8863913999999999</v>
      </c>
      <c r="AJ235" s="34">
        <f>AJ233+AJ226</f>
        <v>3.8863913999999999</v>
      </c>
      <c r="AK235" s="111">
        <f t="shared" si="271"/>
        <v>15.5455656</v>
      </c>
      <c r="AL235" s="34">
        <f t="shared" si="271"/>
        <v>3.9763440549999993</v>
      </c>
      <c r="AM235" s="34">
        <f t="shared" si="271"/>
        <v>3.9763440549999993</v>
      </c>
      <c r="AN235" s="34">
        <f t="shared" si="271"/>
        <v>3.9763440549999993</v>
      </c>
      <c r="AO235" s="34">
        <f t="shared" si="271"/>
        <v>3.9763440549999993</v>
      </c>
      <c r="AP235" s="111">
        <f t="shared" ref="AP235:AU235" si="272">AP233+AP226</f>
        <v>15.905376219999997</v>
      </c>
      <c r="AQ235" s="34">
        <f t="shared" si="272"/>
        <v>3.7924687549999998</v>
      </c>
      <c r="AR235" s="34">
        <f t="shared" si="272"/>
        <v>3.7924687549999998</v>
      </c>
      <c r="AS235" s="34">
        <f t="shared" si="272"/>
        <v>3.7924687549999998</v>
      </c>
      <c r="AT235" s="34">
        <f t="shared" si="272"/>
        <v>3.7924687549999998</v>
      </c>
      <c r="AU235" s="111">
        <f t="shared" si="272"/>
        <v>15.169875019999999</v>
      </c>
      <c r="AV235" s="34">
        <f t="shared" ref="AV235:BE235" si="273">AV233+AV226</f>
        <v>3.3011905950000004</v>
      </c>
      <c r="AW235" s="34">
        <f t="shared" si="273"/>
        <v>3.3011905950000004</v>
      </c>
      <c r="AX235" s="34">
        <f t="shared" si="273"/>
        <v>3.3011905950000004</v>
      </c>
      <c r="AY235" s="34">
        <f t="shared" si="273"/>
        <v>3.3011905950000004</v>
      </c>
      <c r="AZ235" s="111">
        <f t="shared" si="273"/>
        <v>13.204762380000002</v>
      </c>
      <c r="BA235" s="34">
        <f t="shared" si="273"/>
        <v>1.6118475349999999</v>
      </c>
      <c r="BB235" s="34">
        <f t="shared" si="273"/>
        <v>1.6118475349999999</v>
      </c>
      <c r="BC235" s="34">
        <f t="shared" si="273"/>
        <v>1.6118475349999999</v>
      </c>
      <c r="BD235" s="34">
        <f t="shared" si="273"/>
        <v>1.6118475349999999</v>
      </c>
      <c r="BE235" s="111">
        <f t="shared" si="273"/>
        <v>6.4473901399999995</v>
      </c>
      <c r="BF235" s="34">
        <f t="shared" ref="BF235:CF235" si="274">BF233+BF226</f>
        <v>0</v>
      </c>
      <c r="BG235" s="34">
        <f t="shared" si="274"/>
        <v>0</v>
      </c>
      <c r="BH235" s="34">
        <f t="shared" si="274"/>
        <v>0</v>
      </c>
      <c r="BI235" s="34">
        <f t="shared" si="274"/>
        <v>0</v>
      </c>
      <c r="BJ235" s="111">
        <f t="shared" si="274"/>
        <v>0</v>
      </c>
      <c r="BK235" s="34">
        <f t="shared" si="274"/>
        <v>0</v>
      </c>
      <c r="BL235" s="34">
        <f t="shared" si="274"/>
        <v>0</v>
      </c>
      <c r="BM235" s="34">
        <f t="shared" si="274"/>
        <v>0</v>
      </c>
      <c r="BN235" s="34">
        <f t="shared" si="274"/>
        <v>0</v>
      </c>
      <c r="BO235" s="111">
        <f t="shared" si="274"/>
        <v>0</v>
      </c>
      <c r="BP235" s="34">
        <f t="shared" si="274"/>
        <v>0</v>
      </c>
      <c r="BQ235" s="34">
        <f t="shared" si="274"/>
        <v>0</v>
      </c>
      <c r="BR235" s="34">
        <f t="shared" si="274"/>
        <v>0</v>
      </c>
      <c r="BS235" s="34">
        <f t="shared" si="274"/>
        <v>0</v>
      </c>
      <c r="BT235" s="111">
        <f t="shared" si="274"/>
        <v>0</v>
      </c>
      <c r="BU235" s="34">
        <f>BU233+BU226</f>
        <v>0</v>
      </c>
      <c r="BV235" s="34">
        <f>BV233+BV226</f>
        <v>0</v>
      </c>
      <c r="BW235" s="34">
        <f>BW233+BW226</f>
        <v>0</v>
      </c>
      <c r="BX235" s="34">
        <f>BX233+BX226</f>
        <v>0</v>
      </c>
      <c r="BY235" s="111">
        <f t="shared" si="274"/>
        <v>0</v>
      </c>
      <c r="BZ235" s="111">
        <f t="shared" si="274"/>
        <v>0</v>
      </c>
      <c r="CA235" s="111">
        <f t="shared" si="274"/>
        <v>0</v>
      </c>
      <c r="CB235" s="111">
        <f t="shared" si="274"/>
        <v>0</v>
      </c>
      <c r="CC235" s="111">
        <f t="shared" si="274"/>
        <v>0</v>
      </c>
      <c r="CD235" s="111">
        <f t="shared" si="274"/>
        <v>0</v>
      </c>
      <c r="CE235" s="111">
        <f t="shared" si="274"/>
        <v>0</v>
      </c>
      <c r="CF235" s="111">
        <f t="shared" si="274"/>
        <v>0</v>
      </c>
    </row>
    <row r="236" spans="1:84" x14ac:dyDescent="0.25">
      <c r="A236" s="2"/>
      <c r="B236" s="34"/>
      <c r="C236" s="112"/>
      <c r="D236" s="112"/>
      <c r="E236" s="112"/>
      <c r="F236" s="112"/>
      <c r="G236" s="111"/>
      <c r="H236" s="112"/>
      <c r="I236" s="112"/>
      <c r="J236" s="112"/>
      <c r="K236" s="112"/>
      <c r="L236" s="111"/>
      <c r="M236" s="112"/>
      <c r="N236" s="112"/>
      <c r="O236" s="112"/>
      <c r="P236" s="112"/>
      <c r="Q236" s="111"/>
      <c r="R236" s="112"/>
      <c r="S236" s="112"/>
      <c r="T236" s="112"/>
      <c r="U236" s="112"/>
      <c r="V236" s="111"/>
      <c r="W236" s="112"/>
      <c r="X236" s="112"/>
      <c r="Y236" s="112"/>
      <c r="Z236" s="112"/>
      <c r="AA236" s="111"/>
      <c r="AB236" s="112"/>
      <c r="AC236" s="112"/>
      <c r="AD236" s="112"/>
      <c r="AE236" s="112"/>
      <c r="AF236" s="111"/>
      <c r="AG236" s="112"/>
      <c r="AH236" s="112"/>
      <c r="AI236" s="112"/>
      <c r="AJ236" s="112"/>
      <c r="AK236" s="111"/>
      <c r="AL236" s="112"/>
      <c r="AM236" s="112"/>
      <c r="AN236" s="112"/>
      <c r="AO236" s="112"/>
      <c r="AP236" s="111"/>
      <c r="AQ236" s="112"/>
      <c r="AR236" s="112"/>
      <c r="AS236" s="112"/>
      <c r="AT236" s="112"/>
      <c r="AU236" s="111"/>
      <c r="AV236" s="112"/>
      <c r="AW236" s="112"/>
      <c r="AX236" s="112"/>
      <c r="AY236" s="112"/>
      <c r="AZ236" s="111"/>
      <c r="BA236" s="112"/>
      <c r="BB236" s="112"/>
      <c r="BC236" s="112"/>
      <c r="BD236" s="112"/>
      <c r="BE236" s="111"/>
      <c r="BF236" s="112"/>
      <c r="BG236" s="112"/>
      <c r="BH236" s="112"/>
      <c r="BI236" s="112"/>
      <c r="BJ236" s="111"/>
      <c r="BK236" s="112"/>
      <c r="BL236" s="112"/>
      <c r="BM236" s="112"/>
      <c r="BN236" s="112"/>
      <c r="BO236" s="111"/>
      <c r="BP236" s="112"/>
      <c r="BQ236" s="112"/>
      <c r="BR236" s="112"/>
      <c r="BS236" s="112"/>
      <c r="BT236" s="111"/>
      <c r="BU236" s="112"/>
      <c r="BV236" s="112"/>
      <c r="BW236" s="112"/>
      <c r="BX236" s="112"/>
      <c r="BY236" s="111"/>
      <c r="BZ236" s="111"/>
      <c r="CA236" s="111"/>
      <c r="CB236" s="111"/>
      <c r="CC236" s="111"/>
      <c r="CD236" s="111"/>
      <c r="CE236" s="111"/>
      <c r="CF236" s="111"/>
    </row>
    <row r="237" spans="1:84" x14ac:dyDescent="0.25">
      <c r="A237" s="2" t="s">
        <v>2246</v>
      </c>
      <c r="B237" s="164"/>
      <c r="C237" s="4"/>
      <c r="D237" s="4"/>
      <c r="E237" s="4"/>
      <c r="F237" s="4"/>
      <c r="G237" s="55"/>
      <c r="H237" s="4"/>
      <c r="I237" s="4"/>
      <c r="J237" s="4"/>
      <c r="K237" s="4"/>
      <c r="L237" s="55"/>
      <c r="M237" s="4"/>
      <c r="N237" s="4"/>
      <c r="O237" s="4"/>
      <c r="P237" s="4"/>
      <c r="Q237" s="55"/>
      <c r="R237" s="4"/>
      <c r="S237" s="4"/>
      <c r="T237" s="4"/>
      <c r="U237" s="4"/>
      <c r="V237" s="55"/>
      <c r="W237" s="4"/>
      <c r="X237" s="4"/>
      <c r="Y237" s="4"/>
      <c r="Z237" s="4"/>
      <c r="AA237" s="55"/>
      <c r="AB237" s="4"/>
      <c r="AC237" s="4"/>
      <c r="AD237" s="4"/>
      <c r="AE237" s="4"/>
      <c r="AF237" s="55"/>
      <c r="AG237" s="4"/>
      <c r="AH237" s="4"/>
      <c r="AI237" s="4"/>
      <c r="AJ237" s="4"/>
      <c r="AK237" s="55"/>
      <c r="AL237" s="4"/>
      <c r="AM237" s="4"/>
      <c r="AN237" s="4"/>
      <c r="AO237" s="4"/>
      <c r="AP237" s="55"/>
      <c r="AQ237" s="4"/>
      <c r="AR237" s="4"/>
      <c r="AS237" s="4"/>
      <c r="AT237" s="4"/>
      <c r="AU237" s="55"/>
      <c r="AV237" s="4"/>
      <c r="AW237" s="4"/>
      <c r="AX237" s="4"/>
      <c r="AY237" s="4"/>
      <c r="AZ237" s="55"/>
      <c r="BA237" s="4"/>
      <c r="BB237" s="4"/>
      <c r="BC237" s="4"/>
      <c r="BD237" s="4"/>
      <c r="BE237" s="55"/>
      <c r="BF237" s="4"/>
      <c r="BG237" s="4"/>
      <c r="BH237" s="4"/>
      <c r="BI237" s="4"/>
      <c r="BJ237" s="55"/>
      <c r="BK237" s="4"/>
      <c r="BL237" s="4"/>
      <c r="BM237" s="4"/>
      <c r="BN237" s="4"/>
      <c r="BO237" s="55"/>
      <c r="BP237" s="4"/>
      <c r="BQ237" s="4"/>
      <c r="BR237" s="4"/>
      <c r="BS237" s="4"/>
      <c r="BT237" s="55"/>
      <c r="BU237" s="4"/>
      <c r="BV237" s="4"/>
      <c r="BW237" s="4"/>
      <c r="BX237" s="4"/>
      <c r="BY237" s="55"/>
      <c r="BZ237" s="55"/>
      <c r="CA237" s="55"/>
      <c r="CB237" s="55"/>
      <c r="CC237" s="55"/>
      <c r="CD237" s="55"/>
      <c r="CE237" s="55"/>
      <c r="CF237" s="55"/>
    </row>
    <row r="238" spans="1:84" x14ac:dyDescent="0.25">
      <c r="A238" s="2"/>
      <c r="B238" s="7"/>
      <c r="C238" s="4"/>
      <c r="D238" s="4"/>
      <c r="E238" s="4"/>
      <c r="F238" s="4"/>
      <c r="G238" s="55"/>
      <c r="H238" s="4"/>
      <c r="I238" s="4"/>
      <c r="J238" s="4"/>
      <c r="K238" s="4"/>
      <c r="L238" s="55"/>
      <c r="M238" s="4"/>
      <c r="N238" s="4"/>
      <c r="O238" s="4"/>
      <c r="P238" s="4"/>
      <c r="Q238" s="55"/>
      <c r="R238" s="4"/>
      <c r="S238" s="4"/>
      <c r="T238" s="4"/>
      <c r="U238" s="4"/>
      <c r="V238" s="55"/>
      <c r="W238" s="4"/>
      <c r="X238" s="4"/>
      <c r="Y238" s="4"/>
      <c r="Z238" s="4"/>
      <c r="AA238" s="55"/>
      <c r="AB238" s="4"/>
      <c r="AC238" s="4"/>
      <c r="AD238" s="4"/>
      <c r="AE238" s="4"/>
      <c r="AF238" s="55"/>
      <c r="AG238" s="4"/>
      <c r="AH238" s="4"/>
      <c r="AI238" s="4"/>
      <c r="AJ238" s="4"/>
      <c r="AK238" s="55"/>
      <c r="AL238" s="4"/>
      <c r="AM238" s="4"/>
      <c r="AN238" s="4"/>
      <c r="AO238" s="4"/>
      <c r="AP238" s="55"/>
      <c r="AQ238" s="4"/>
      <c r="AR238" s="4"/>
      <c r="AS238" s="4"/>
      <c r="AT238" s="4"/>
      <c r="AU238" s="55"/>
      <c r="AV238" s="4"/>
      <c r="AW238" s="4"/>
      <c r="AX238" s="4"/>
      <c r="AY238" s="4"/>
      <c r="AZ238" s="55"/>
      <c r="BA238" s="4"/>
      <c r="BB238" s="4"/>
      <c r="BC238" s="4"/>
      <c r="BD238" s="4"/>
      <c r="BE238" s="55"/>
      <c r="BF238" s="4"/>
      <c r="BG238" s="4"/>
      <c r="BH238" s="4"/>
      <c r="BI238" s="4"/>
      <c r="BJ238" s="55"/>
      <c r="BK238" s="4"/>
      <c r="BL238" s="4"/>
      <c r="BM238" s="4"/>
      <c r="BN238" s="4"/>
      <c r="BO238" s="55"/>
      <c r="BP238" s="4"/>
      <c r="BQ238" s="4"/>
      <c r="BR238" s="4"/>
      <c r="BS238" s="4"/>
      <c r="BT238" s="55"/>
      <c r="BU238" s="4"/>
      <c r="BV238" s="4"/>
      <c r="BW238" s="4"/>
      <c r="BX238" s="4"/>
      <c r="BY238" s="55"/>
      <c r="BZ238" s="55"/>
      <c r="CA238" s="55"/>
      <c r="CB238" s="55"/>
      <c r="CC238" s="55"/>
      <c r="CD238" s="55"/>
      <c r="CE238" s="55"/>
      <c r="CF238" s="55"/>
    </row>
    <row r="239" spans="1:84" x14ac:dyDescent="0.25">
      <c r="A239" s="2"/>
      <c r="B239" s="7"/>
      <c r="C239" s="4"/>
      <c r="D239" s="4"/>
      <c r="E239" s="4"/>
      <c r="F239" s="4"/>
      <c r="G239" s="55"/>
      <c r="H239" s="4"/>
      <c r="I239" s="4"/>
      <c r="J239" s="4"/>
      <c r="K239" s="4"/>
      <c r="L239" s="55"/>
      <c r="M239" s="4"/>
      <c r="N239" s="4"/>
      <c r="O239" s="4"/>
      <c r="P239" s="4"/>
      <c r="Q239" s="55"/>
      <c r="R239" s="4"/>
      <c r="S239" s="4"/>
      <c r="T239" s="4"/>
      <c r="U239" s="4"/>
      <c r="V239" s="55"/>
      <c r="W239" s="4"/>
      <c r="X239" s="4"/>
      <c r="Y239" s="4"/>
      <c r="Z239" s="4"/>
      <c r="AA239" s="55"/>
      <c r="AB239" s="4"/>
      <c r="AC239" s="4"/>
      <c r="AD239" s="4"/>
      <c r="AE239" s="4"/>
      <c r="AF239" s="55"/>
      <c r="AG239" s="4"/>
      <c r="AH239" s="4"/>
      <c r="AI239" s="4"/>
      <c r="AJ239" s="4"/>
      <c r="AK239" s="55"/>
      <c r="AL239" s="4"/>
      <c r="AM239" s="4"/>
      <c r="AN239" s="4"/>
      <c r="AO239" s="4"/>
      <c r="AP239" s="55"/>
      <c r="AQ239" s="4"/>
      <c r="AR239" s="4"/>
      <c r="AS239" s="4"/>
      <c r="AT239" s="4"/>
      <c r="AU239" s="55"/>
      <c r="AV239" s="4"/>
      <c r="AW239" s="4"/>
      <c r="AX239" s="4"/>
      <c r="AY239" s="4"/>
      <c r="AZ239" s="55"/>
      <c r="BA239" s="4"/>
      <c r="BB239" s="4"/>
      <c r="BC239" s="4"/>
      <c r="BD239" s="4"/>
      <c r="BE239" s="55"/>
      <c r="BF239" s="4"/>
      <c r="BG239" s="4"/>
      <c r="BH239" s="4"/>
      <c r="BI239" s="4"/>
      <c r="BJ239" s="55"/>
      <c r="BK239" s="4"/>
      <c r="BL239" s="4"/>
      <c r="BM239" s="4"/>
      <c r="BN239" s="4"/>
      <c r="BO239" s="55"/>
      <c r="BP239" s="4"/>
      <c r="BQ239" s="4"/>
      <c r="BR239" s="4"/>
      <c r="BS239" s="4"/>
      <c r="BT239" s="55"/>
      <c r="BU239" s="4"/>
      <c r="BV239" s="4"/>
      <c r="BW239" s="4"/>
      <c r="BX239" s="4"/>
      <c r="BY239" s="55"/>
      <c r="BZ239" s="55"/>
      <c r="CA239" s="55"/>
      <c r="CB239" s="55"/>
      <c r="CC239" s="55"/>
      <c r="CD239" s="55"/>
      <c r="CE239" s="55"/>
      <c r="CF239" s="55"/>
    </row>
    <row r="240" spans="1:84" x14ac:dyDescent="0.25">
      <c r="A240" s="51" t="s">
        <v>1116</v>
      </c>
      <c r="B240" s="2"/>
      <c r="C240" s="4"/>
      <c r="D240" s="4"/>
      <c r="E240" s="4"/>
      <c r="F240" s="4"/>
      <c r="G240" s="55"/>
      <c r="H240" s="4"/>
      <c r="I240" s="4"/>
      <c r="J240" s="4"/>
      <c r="K240" s="4"/>
      <c r="L240" s="55"/>
      <c r="M240" s="4"/>
      <c r="N240" s="4"/>
      <c r="O240" s="4"/>
      <c r="P240" s="4"/>
      <c r="Q240" s="55"/>
      <c r="R240" s="4"/>
      <c r="S240" s="4"/>
      <c r="T240" s="4"/>
      <c r="U240" s="4"/>
      <c r="V240" s="55"/>
      <c r="W240" s="4"/>
      <c r="X240" s="4"/>
      <c r="Y240" s="4"/>
      <c r="Z240" s="4"/>
      <c r="AA240" s="55"/>
      <c r="AB240" s="4"/>
      <c r="AC240" s="4"/>
      <c r="AD240" s="4"/>
      <c r="AE240" s="4"/>
      <c r="AF240" s="55"/>
      <c r="AG240" s="4"/>
      <c r="AH240" s="4"/>
      <c r="AI240" s="4"/>
      <c r="AJ240" s="4"/>
      <c r="AK240" s="55"/>
      <c r="AL240" s="4"/>
      <c r="AM240" s="4"/>
      <c r="AN240" s="4"/>
      <c r="AO240" s="4"/>
      <c r="AP240" s="55"/>
      <c r="AQ240" s="4"/>
      <c r="AR240" s="4"/>
      <c r="AS240" s="4"/>
      <c r="AT240" s="4"/>
      <c r="AU240" s="55"/>
      <c r="AV240" s="4"/>
      <c r="AW240" s="4"/>
      <c r="AX240" s="4"/>
      <c r="AY240" s="4"/>
      <c r="AZ240" s="55"/>
      <c r="BA240" s="4"/>
      <c r="BB240" s="4"/>
      <c r="BC240" s="4"/>
      <c r="BD240" s="4"/>
      <c r="BE240" s="55"/>
      <c r="BF240" s="4"/>
      <c r="BG240" s="4"/>
      <c r="BH240" s="4"/>
      <c r="BI240" s="4"/>
      <c r="BJ240" s="55"/>
      <c r="BK240" s="4"/>
      <c r="BL240" s="4"/>
      <c r="BM240" s="4"/>
      <c r="BN240" s="4"/>
      <c r="BO240" s="55"/>
      <c r="BP240" s="4"/>
      <c r="BQ240" s="4"/>
      <c r="BR240" s="4"/>
      <c r="BS240" s="4"/>
      <c r="BT240" s="55"/>
      <c r="BU240" s="4"/>
      <c r="BV240" s="4"/>
      <c r="BW240" s="4"/>
      <c r="BX240" s="4"/>
      <c r="BY240" s="55"/>
      <c r="BZ240" s="55"/>
      <c r="CA240" s="55"/>
      <c r="CB240" s="55"/>
      <c r="CC240" s="55"/>
      <c r="CD240" s="55"/>
      <c r="CE240" s="55"/>
      <c r="CF240" s="55"/>
    </row>
    <row r="241" spans="1:84" x14ac:dyDescent="0.25">
      <c r="A241" s="165" t="s">
        <v>1766</v>
      </c>
      <c r="B241" s="2"/>
      <c r="C241" s="4"/>
      <c r="D241" s="4"/>
      <c r="E241" s="4"/>
      <c r="F241" s="4"/>
      <c r="G241" s="55"/>
      <c r="H241" s="4"/>
      <c r="I241" s="4"/>
      <c r="J241" s="4"/>
      <c r="K241" s="4"/>
      <c r="L241" s="55"/>
      <c r="M241" s="4"/>
      <c r="N241" s="4"/>
      <c r="O241" s="4"/>
      <c r="P241" s="4"/>
      <c r="Q241" s="55"/>
      <c r="R241" s="4"/>
      <c r="S241" s="4"/>
      <c r="T241" s="4"/>
      <c r="U241" s="4"/>
      <c r="V241" s="55"/>
      <c r="W241" s="4"/>
      <c r="X241" s="4"/>
      <c r="Y241" s="4"/>
      <c r="Z241" s="4"/>
      <c r="AA241" s="55"/>
      <c r="AB241" s="4"/>
      <c r="AC241" s="4"/>
      <c r="AD241" s="4"/>
      <c r="AE241" s="4"/>
      <c r="AF241" s="55"/>
      <c r="AG241" s="4"/>
      <c r="AH241" s="4"/>
      <c r="AI241" s="4"/>
      <c r="AJ241" s="4"/>
      <c r="AK241" s="55"/>
      <c r="AL241" s="4"/>
      <c r="AM241" s="4"/>
      <c r="AN241" s="4"/>
      <c r="AO241" s="4"/>
      <c r="AP241" s="55"/>
      <c r="AQ241" s="4"/>
      <c r="AR241" s="4"/>
      <c r="AS241" s="4"/>
      <c r="AT241" s="4"/>
      <c r="AU241" s="55"/>
      <c r="AV241" s="4"/>
      <c r="AW241" s="4"/>
      <c r="AX241" s="4"/>
      <c r="AY241" s="4"/>
      <c r="AZ241" s="55"/>
      <c r="BA241" s="4"/>
      <c r="BB241" s="4"/>
      <c r="BC241" s="4"/>
      <c r="BD241" s="4"/>
      <c r="BE241" s="55"/>
      <c r="BF241" s="4"/>
      <c r="BG241" s="4"/>
      <c r="BH241" s="4"/>
      <c r="BI241" s="4"/>
      <c r="BJ241" s="55"/>
      <c r="BK241" s="4"/>
      <c r="BL241" s="4"/>
      <c r="BM241" s="4"/>
      <c r="BN241" s="4"/>
      <c r="BO241" s="55"/>
      <c r="BP241" s="4"/>
      <c r="BQ241" s="4"/>
      <c r="BR241" s="4"/>
      <c r="BS241" s="4"/>
      <c r="BT241" s="55"/>
      <c r="BU241" s="4"/>
      <c r="BV241" s="4"/>
      <c r="BW241" s="4"/>
      <c r="BX241" s="4"/>
      <c r="BY241" s="55"/>
      <c r="BZ241" s="55"/>
      <c r="CA241" s="55"/>
      <c r="CB241" s="55"/>
      <c r="CC241" s="55"/>
      <c r="CD241" s="55"/>
      <c r="CE241" s="55"/>
      <c r="CF241" s="55"/>
    </row>
    <row r="242" spans="1:84" x14ac:dyDescent="0.25">
      <c r="A242" s="6" t="s">
        <v>1771</v>
      </c>
      <c r="B242" s="2"/>
      <c r="C242" s="4"/>
      <c r="D242" s="4"/>
      <c r="E242" s="4"/>
      <c r="F242" s="4"/>
      <c r="G242" s="55"/>
      <c r="H242" s="4"/>
      <c r="I242" s="4"/>
      <c r="J242" s="4"/>
      <c r="K242" s="4"/>
      <c r="L242" s="55"/>
      <c r="M242" s="4"/>
      <c r="N242" s="4"/>
      <c r="O242" s="4"/>
      <c r="P242" s="4"/>
      <c r="Q242" s="55"/>
      <c r="R242" s="4"/>
      <c r="S242" s="4"/>
      <c r="T242" s="4"/>
      <c r="U242" s="4"/>
      <c r="V242" s="55"/>
      <c r="W242" s="4"/>
      <c r="X242" s="4"/>
      <c r="Y242" s="4"/>
      <c r="Z242" s="4"/>
      <c r="AA242" s="55"/>
      <c r="AB242" s="4"/>
      <c r="AC242" s="4"/>
      <c r="AD242" s="4"/>
      <c r="AE242" s="4"/>
      <c r="AF242" s="55"/>
      <c r="AG242" s="4"/>
      <c r="AH242" s="4"/>
      <c r="AI242" s="4"/>
      <c r="AJ242" s="4"/>
      <c r="AK242" s="55"/>
      <c r="AL242" s="4"/>
      <c r="AM242" s="4"/>
      <c r="AN242" s="4"/>
      <c r="AO242" s="4"/>
      <c r="AP242" s="55"/>
      <c r="AQ242" s="4"/>
      <c r="AR242" s="4"/>
      <c r="AS242" s="4"/>
      <c r="AT242" s="4"/>
      <c r="AU242" s="55"/>
      <c r="AV242" s="4"/>
      <c r="AW242" s="4"/>
      <c r="AX242" s="4"/>
      <c r="AY242" s="4"/>
      <c r="AZ242" s="55"/>
      <c r="BA242" s="4"/>
      <c r="BB242" s="4"/>
      <c r="BC242" s="4"/>
      <c r="BD242" s="4"/>
      <c r="BE242" s="55"/>
      <c r="BF242" s="4"/>
      <c r="BG242" s="4"/>
      <c r="BH242" s="4"/>
      <c r="BI242" s="4"/>
      <c r="BJ242" s="55"/>
      <c r="BK242" s="4"/>
      <c r="BL242" s="4"/>
      <c r="BM242" s="4"/>
      <c r="BN242" s="4"/>
      <c r="BO242" s="55"/>
      <c r="BP242" s="4"/>
      <c r="BQ242" s="4"/>
      <c r="BR242" s="4"/>
      <c r="BS242" s="4"/>
      <c r="BT242" s="55"/>
      <c r="BU242" s="4"/>
      <c r="BV242" s="4"/>
      <c r="BW242" s="4"/>
      <c r="BX242" s="4"/>
      <c r="BY242" s="55"/>
      <c r="BZ242" s="55"/>
      <c r="CA242" s="55"/>
      <c r="CB242" s="55"/>
      <c r="CC242" s="55"/>
      <c r="CD242" s="55"/>
      <c r="CE242" s="55"/>
      <c r="CF242" s="55"/>
    </row>
    <row r="243" spans="1:84" x14ac:dyDescent="0.25">
      <c r="A243" s="166">
        <v>1</v>
      </c>
      <c r="B243" s="2"/>
      <c r="C243" s="57">
        <v>25</v>
      </c>
      <c r="D243" s="57">
        <v>25</v>
      </c>
      <c r="E243" s="57">
        <v>25</v>
      </c>
      <c r="F243" s="57">
        <v>25</v>
      </c>
      <c r="G243" s="49">
        <v>25</v>
      </c>
      <c r="H243" s="57">
        <v>25</v>
      </c>
      <c r="I243" s="57">
        <v>25</v>
      </c>
      <c r="J243" s="57">
        <v>25</v>
      </c>
      <c r="K243" s="57">
        <v>25</v>
      </c>
      <c r="L243" s="49">
        <v>25</v>
      </c>
      <c r="M243" s="57">
        <v>25</v>
      </c>
      <c r="N243" s="57">
        <v>25</v>
      </c>
      <c r="O243" s="57">
        <v>25</v>
      </c>
      <c r="P243" s="57">
        <v>25</v>
      </c>
      <c r="Q243" s="49">
        <v>25</v>
      </c>
      <c r="R243" s="57">
        <v>25</v>
      </c>
      <c r="S243" s="57">
        <v>25</v>
      </c>
      <c r="T243" s="57">
        <v>25</v>
      </c>
      <c r="U243" s="57">
        <v>25</v>
      </c>
      <c r="V243" s="49">
        <v>25</v>
      </c>
      <c r="W243" s="57">
        <v>25</v>
      </c>
      <c r="X243" s="57">
        <v>25</v>
      </c>
      <c r="Y243" s="57">
        <v>25</v>
      </c>
      <c r="Z243" s="57">
        <v>25</v>
      </c>
      <c r="AA243" s="49">
        <v>25</v>
      </c>
      <c r="AB243" s="57">
        <v>25</v>
      </c>
      <c r="AC243" s="57">
        <v>25</v>
      </c>
      <c r="AD243" s="57">
        <v>25</v>
      </c>
      <c r="AE243" s="57">
        <v>25</v>
      </c>
      <c r="AF243" s="49">
        <v>25</v>
      </c>
      <c r="AG243" s="57">
        <v>25</v>
      </c>
      <c r="AH243" s="57">
        <v>25</v>
      </c>
      <c r="AI243" s="57">
        <v>25</v>
      </c>
      <c r="AJ243" s="57">
        <v>25</v>
      </c>
      <c r="AK243" s="49">
        <v>25</v>
      </c>
      <c r="AL243" s="57">
        <v>25</v>
      </c>
      <c r="AM243" s="57">
        <v>25</v>
      </c>
      <c r="AN243" s="57">
        <v>25</v>
      </c>
      <c r="AO243" s="57">
        <v>25</v>
      </c>
      <c r="AP243" s="49">
        <v>25</v>
      </c>
      <c r="AQ243" s="57">
        <v>25</v>
      </c>
      <c r="AR243" s="57">
        <v>25</v>
      </c>
      <c r="AS243" s="57">
        <v>25</v>
      </c>
      <c r="AT243" s="57">
        <v>25</v>
      </c>
      <c r="AU243" s="49">
        <v>25</v>
      </c>
      <c r="AV243" s="57">
        <v>25</v>
      </c>
      <c r="AW243" s="57">
        <v>25</v>
      </c>
      <c r="AX243" s="57">
        <v>25</v>
      </c>
      <c r="AY243" s="57">
        <v>25</v>
      </c>
      <c r="AZ243" s="49">
        <v>25</v>
      </c>
      <c r="BA243" s="57">
        <v>25</v>
      </c>
      <c r="BB243" s="57">
        <v>25</v>
      </c>
      <c r="BC243" s="57">
        <v>25</v>
      </c>
      <c r="BD243" s="57">
        <v>25</v>
      </c>
      <c r="BE243" s="49">
        <v>25</v>
      </c>
      <c r="BF243" s="57">
        <v>25</v>
      </c>
      <c r="BG243" s="57">
        <v>25</v>
      </c>
      <c r="BH243" s="57">
        <v>25</v>
      </c>
      <c r="BI243" s="57">
        <v>25</v>
      </c>
      <c r="BJ243" s="49">
        <v>25</v>
      </c>
      <c r="BK243" s="57">
        <v>25</v>
      </c>
      <c r="BL243" s="57">
        <v>25</v>
      </c>
      <c r="BM243" s="57">
        <v>25</v>
      </c>
      <c r="BN243" s="57">
        <v>25</v>
      </c>
      <c r="BO243" s="49">
        <v>25</v>
      </c>
      <c r="BP243" s="57">
        <v>25</v>
      </c>
      <c r="BQ243" s="57">
        <v>25</v>
      </c>
      <c r="BR243" s="57">
        <v>25</v>
      </c>
      <c r="BS243" s="57">
        <v>25</v>
      </c>
      <c r="BT243" s="49">
        <v>25</v>
      </c>
      <c r="BU243" s="57">
        <v>25</v>
      </c>
      <c r="BV243" s="57">
        <v>25</v>
      </c>
      <c r="BW243" s="57">
        <v>25</v>
      </c>
      <c r="BX243" s="57">
        <v>25</v>
      </c>
      <c r="BY243" s="49">
        <v>25</v>
      </c>
      <c r="BZ243" s="49">
        <v>25</v>
      </c>
      <c r="CA243" s="49">
        <v>25</v>
      </c>
      <c r="CB243" s="49">
        <v>25</v>
      </c>
      <c r="CC243" s="49">
        <v>25</v>
      </c>
      <c r="CD243" s="49">
        <v>25</v>
      </c>
      <c r="CE243" s="49">
        <v>25</v>
      </c>
      <c r="CF243" s="49">
        <v>25</v>
      </c>
    </row>
    <row r="244" spans="1:84" x14ac:dyDescent="0.25">
      <c r="A244" s="166">
        <v>2</v>
      </c>
      <c r="B244" s="2"/>
      <c r="C244" s="59">
        <v>50</v>
      </c>
      <c r="D244" s="59">
        <v>50</v>
      </c>
      <c r="E244" s="59">
        <v>50</v>
      </c>
      <c r="F244" s="59">
        <v>50</v>
      </c>
      <c r="G244" s="50">
        <v>50</v>
      </c>
      <c r="H244" s="59">
        <v>50</v>
      </c>
      <c r="I244" s="59">
        <v>50</v>
      </c>
      <c r="J244" s="59">
        <v>50</v>
      </c>
      <c r="K244" s="59">
        <v>50</v>
      </c>
      <c r="L244" s="50">
        <v>50</v>
      </c>
      <c r="M244" s="59">
        <v>50</v>
      </c>
      <c r="N244" s="59">
        <v>50</v>
      </c>
      <c r="O244" s="59">
        <v>50</v>
      </c>
      <c r="P244" s="59">
        <v>50</v>
      </c>
      <c r="Q244" s="50">
        <v>50</v>
      </c>
      <c r="R244" s="59">
        <v>50</v>
      </c>
      <c r="S244" s="59">
        <v>50</v>
      </c>
      <c r="T244" s="59">
        <v>50</v>
      </c>
      <c r="U244" s="59">
        <v>50</v>
      </c>
      <c r="V244" s="50">
        <v>50</v>
      </c>
      <c r="W244" s="59">
        <v>50</v>
      </c>
      <c r="X244" s="59">
        <v>50</v>
      </c>
      <c r="Y244" s="59">
        <v>50</v>
      </c>
      <c r="Z244" s="59">
        <v>50</v>
      </c>
      <c r="AA244" s="50">
        <v>50</v>
      </c>
      <c r="AB244" s="59">
        <v>50</v>
      </c>
      <c r="AC244" s="59">
        <v>50</v>
      </c>
      <c r="AD244" s="59">
        <v>50</v>
      </c>
      <c r="AE244" s="59">
        <v>50</v>
      </c>
      <c r="AF244" s="50">
        <v>50</v>
      </c>
      <c r="AG244" s="59">
        <v>50</v>
      </c>
      <c r="AH244" s="59">
        <v>50</v>
      </c>
      <c r="AI244" s="59">
        <v>50</v>
      </c>
      <c r="AJ244" s="59">
        <v>50</v>
      </c>
      <c r="AK244" s="50">
        <v>50</v>
      </c>
      <c r="AL244" s="59">
        <v>50</v>
      </c>
      <c r="AM244" s="59">
        <v>50</v>
      </c>
      <c r="AN244" s="59">
        <v>50</v>
      </c>
      <c r="AO244" s="59">
        <v>50</v>
      </c>
      <c r="AP244" s="50">
        <v>50</v>
      </c>
      <c r="AQ244" s="59">
        <v>50</v>
      </c>
      <c r="AR244" s="59">
        <v>50</v>
      </c>
      <c r="AS244" s="59">
        <v>50</v>
      </c>
      <c r="AT244" s="59">
        <v>50</v>
      </c>
      <c r="AU244" s="50">
        <v>50</v>
      </c>
      <c r="AV244" s="59">
        <v>50</v>
      </c>
      <c r="AW244" s="59">
        <v>50</v>
      </c>
      <c r="AX244" s="59">
        <v>50</v>
      </c>
      <c r="AY244" s="59">
        <v>50</v>
      </c>
      <c r="AZ244" s="50">
        <v>50</v>
      </c>
      <c r="BA244" s="59">
        <v>50</v>
      </c>
      <c r="BB244" s="59">
        <v>50</v>
      </c>
      <c r="BC244" s="59">
        <v>50</v>
      </c>
      <c r="BD244" s="59">
        <v>50</v>
      </c>
      <c r="BE244" s="50">
        <v>50</v>
      </c>
      <c r="BF244" s="59">
        <v>50</v>
      </c>
      <c r="BG244" s="59">
        <v>50</v>
      </c>
      <c r="BH244" s="59">
        <v>50</v>
      </c>
      <c r="BI244" s="59">
        <v>50</v>
      </c>
      <c r="BJ244" s="50">
        <v>50</v>
      </c>
      <c r="BK244" s="59">
        <v>50</v>
      </c>
      <c r="BL244" s="59">
        <v>50</v>
      </c>
      <c r="BM244" s="59">
        <v>50</v>
      </c>
      <c r="BN244" s="59">
        <v>50</v>
      </c>
      <c r="BO244" s="50">
        <v>50</v>
      </c>
      <c r="BP244" s="59">
        <v>50</v>
      </c>
      <c r="BQ244" s="59">
        <v>50</v>
      </c>
      <c r="BR244" s="59">
        <v>50</v>
      </c>
      <c r="BS244" s="59">
        <v>50</v>
      </c>
      <c r="BT244" s="50">
        <v>50</v>
      </c>
      <c r="BU244" s="59">
        <v>50</v>
      </c>
      <c r="BV244" s="59">
        <v>50</v>
      </c>
      <c r="BW244" s="59">
        <v>50</v>
      </c>
      <c r="BX244" s="59">
        <v>50</v>
      </c>
      <c r="BY244" s="50">
        <v>50</v>
      </c>
      <c r="BZ244" s="50">
        <v>50</v>
      </c>
      <c r="CA244" s="50">
        <v>50</v>
      </c>
      <c r="CB244" s="50">
        <v>50</v>
      </c>
      <c r="CC244" s="50">
        <v>50</v>
      </c>
      <c r="CD244" s="50">
        <v>50</v>
      </c>
      <c r="CE244" s="50">
        <v>50</v>
      </c>
      <c r="CF244" s="50">
        <v>50</v>
      </c>
    </row>
    <row r="245" spans="1:84" x14ac:dyDescent="0.25">
      <c r="A245" s="166">
        <v>3</v>
      </c>
      <c r="B245" s="2"/>
      <c r="C245" s="59">
        <v>75</v>
      </c>
      <c r="D245" s="59">
        <v>75</v>
      </c>
      <c r="E245" s="59">
        <v>75</v>
      </c>
      <c r="F245" s="59">
        <v>75</v>
      </c>
      <c r="G245" s="50">
        <v>75</v>
      </c>
      <c r="H245" s="59">
        <v>75</v>
      </c>
      <c r="I245" s="59">
        <v>75</v>
      </c>
      <c r="J245" s="59">
        <v>75</v>
      </c>
      <c r="K245" s="59">
        <v>75</v>
      </c>
      <c r="L245" s="50">
        <v>75</v>
      </c>
      <c r="M245" s="59">
        <v>75</v>
      </c>
      <c r="N245" s="59">
        <v>75</v>
      </c>
      <c r="O245" s="59">
        <v>75</v>
      </c>
      <c r="P245" s="59">
        <v>75</v>
      </c>
      <c r="Q245" s="50">
        <v>75</v>
      </c>
      <c r="R245" s="59">
        <v>75</v>
      </c>
      <c r="S245" s="59">
        <v>75</v>
      </c>
      <c r="T245" s="59">
        <v>75</v>
      </c>
      <c r="U245" s="59">
        <v>75</v>
      </c>
      <c r="V245" s="50">
        <v>75</v>
      </c>
      <c r="W245" s="59">
        <v>75</v>
      </c>
      <c r="X245" s="59">
        <v>75</v>
      </c>
      <c r="Y245" s="59">
        <v>75</v>
      </c>
      <c r="Z245" s="59">
        <v>75</v>
      </c>
      <c r="AA245" s="50">
        <v>75</v>
      </c>
      <c r="AB245" s="59">
        <v>75</v>
      </c>
      <c r="AC245" s="59">
        <v>75</v>
      </c>
      <c r="AD245" s="59">
        <v>75</v>
      </c>
      <c r="AE245" s="59">
        <v>75</v>
      </c>
      <c r="AF245" s="50">
        <v>75</v>
      </c>
      <c r="AG245" s="59">
        <v>75</v>
      </c>
      <c r="AH245" s="59">
        <v>75</v>
      </c>
      <c r="AI245" s="59">
        <v>75</v>
      </c>
      <c r="AJ245" s="59">
        <v>75</v>
      </c>
      <c r="AK245" s="50">
        <v>75</v>
      </c>
      <c r="AL245" s="59">
        <v>75</v>
      </c>
      <c r="AM245" s="59">
        <v>75</v>
      </c>
      <c r="AN245" s="59">
        <v>75</v>
      </c>
      <c r="AO245" s="59">
        <v>75</v>
      </c>
      <c r="AP245" s="50">
        <v>75</v>
      </c>
      <c r="AQ245" s="59">
        <v>75</v>
      </c>
      <c r="AR245" s="59">
        <v>75</v>
      </c>
      <c r="AS245" s="59">
        <v>75</v>
      </c>
      <c r="AT245" s="59">
        <v>75</v>
      </c>
      <c r="AU245" s="50">
        <v>75</v>
      </c>
      <c r="AV245" s="59">
        <v>75</v>
      </c>
      <c r="AW245" s="59">
        <v>75</v>
      </c>
      <c r="AX245" s="59">
        <v>75</v>
      </c>
      <c r="AY245" s="59">
        <v>75</v>
      </c>
      <c r="AZ245" s="50">
        <v>75</v>
      </c>
      <c r="BA245" s="59">
        <v>75</v>
      </c>
      <c r="BB245" s="59">
        <v>75</v>
      </c>
      <c r="BC245" s="59">
        <v>75</v>
      </c>
      <c r="BD245" s="59">
        <v>75</v>
      </c>
      <c r="BE245" s="50">
        <v>75</v>
      </c>
      <c r="BF245" s="59">
        <v>75</v>
      </c>
      <c r="BG245" s="59">
        <v>75</v>
      </c>
      <c r="BH245" s="59">
        <v>75</v>
      </c>
      <c r="BI245" s="59">
        <v>75</v>
      </c>
      <c r="BJ245" s="50">
        <v>75</v>
      </c>
      <c r="BK245" s="59">
        <v>75</v>
      </c>
      <c r="BL245" s="59">
        <v>75</v>
      </c>
      <c r="BM245" s="59">
        <v>75</v>
      </c>
      <c r="BN245" s="59">
        <v>75</v>
      </c>
      <c r="BO245" s="50">
        <v>75</v>
      </c>
      <c r="BP245" s="59">
        <v>75</v>
      </c>
      <c r="BQ245" s="59">
        <v>75</v>
      </c>
      <c r="BR245" s="59">
        <v>75</v>
      </c>
      <c r="BS245" s="59">
        <v>75</v>
      </c>
      <c r="BT245" s="50">
        <v>75</v>
      </c>
      <c r="BU245" s="59">
        <v>75</v>
      </c>
      <c r="BV245" s="59">
        <v>75</v>
      </c>
      <c r="BW245" s="59">
        <v>75</v>
      </c>
      <c r="BX245" s="59">
        <v>75</v>
      </c>
      <c r="BY245" s="50">
        <v>75</v>
      </c>
      <c r="BZ245" s="50">
        <v>75</v>
      </c>
      <c r="CA245" s="50">
        <v>75</v>
      </c>
      <c r="CB245" s="50">
        <v>75</v>
      </c>
      <c r="CC245" s="50">
        <v>75</v>
      </c>
      <c r="CD245" s="50">
        <v>75</v>
      </c>
      <c r="CE245" s="50">
        <v>75</v>
      </c>
      <c r="CF245" s="50">
        <v>75</v>
      </c>
    </row>
    <row r="246" spans="1:84" x14ac:dyDescent="0.25">
      <c r="A246" s="166">
        <v>4</v>
      </c>
      <c r="B246" s="2"/>
      <c r="C246" s="59">
        <v>150</v>
      </c>
      <c r="D246" s="59">
        <v>150</v>
      </c>
      <c r="E246" s="59">
        <v>150</v>
      </c>
      <c r="F246" s="59">
        <v>150</v>
      </c>
      <c r="G246" s="50">
        <v>150</v>
      </c>
      <c r="H246" s="59">
        <v>150</v>
      </c>
      <c r="I246" s="59">
        <v>150</v>
      </c>
      <c r="J246" s="59">
        <v>150</v>
      </c>
      <c r="K246" s="59">
        <v>150</v>
      </c>
      <c r="L246" s="50">
        <v>150</v>
      </c>
      <c r="M246" s="59">
        <v>150</v>
      </c>
      <c r="N246" s="59">
        <v>150</v>
      </c>
      <c r="O246" s="59">
        <v>150</v>
      </c>
      <c r="P246" s="59">
        <v>150</v>
      </c>
      <c r="Q246" s="50">
        <v>150</v>
      </c>
      <c r="R246" s="59">
        <v>150</v>
      </c>
      <c r="S246" s="59">
        <v>150</v>
      </c>
      <c r="T246" s="59">
        <v>150</v>
      </c>
      <c r="U246" s="59">
        <v>150</v>
      </c>
      <c r="V246" s="50">
        <v>150</v>
      </c>
      <c r="W246" s="59">
        <v>150</v>
      </c>
      <c r="X246" s="59">
        <v>150</v>
      </c>
      <c r="Y246" s="59">
        <v>150</v>
      </c>
      <c r="Z246" s="59">
        <v>150</v>
      </c>
      <c r="AA246" s="50">
        <v>150</v>
      </c>
      <c r="AB246" s="59">
        <v>150</v>
      </c>
      <c r="AC246" s="59">
        <v>150</v>
      </c>
      <c r="AD246" s="59">
        <v>150</v>
      </c>
      <c r="AE246" s="59">
        <v>150</v>
      </c>
      <c r="AF246" s="50">
        <v>150</v>
      </c>
      <c r="AG246" s="59">
        <v>150</v>
      </c>
      <c r="AH246" s="59">
        <v>150</v>
      </c>
      <c r="AI246" s="59">
        <v>150</v>
      </c>
      <c r="AJ246" s="59">
        <v>150</v>
      </c>
      <c r="AK246" s="50">
        <v>150</v>
      </c>
      <c r="AL246" s="59">
        <v>150</v>
      </c>
      <c r="AM246" s="59">
        <v>150</v>
      </c>
      <c r="AN246" s="59">
        <v>150</v>
      </c>
      <c r="AO246" s="59">
        <v>150</v>
      </c>
      <c r="AP246" s="50">
        <v>150</v>
      </c>
      <c r="AQ246" s="59">
        <v>150</v>
      </c>
      <c r="AR246" s="59">
        <v>150</v>
      </c>
      <c r="AS246" s="59">
        <v>150</v>
      </c>
      <c r="AT246" s="59">
        <v>150</v>
      </c>
      <c r="AU246" s="50">
        <v>150</v>
      </c>
      <c r="AV246" s="59">
        <v>150</v>
      </c>
      <c r="AW246" s="59">
        <v>150</v>
      </c>
      <c r="AX246" s="59">
        <v>150</v>
      </c>
      <c r="AY246" s="59">
        <v>150</v>
      </c>
      <c r="AZ246" s="50">
        <v>150</v>
      </c>
      <c r="BA246" s="59">
        <v>150</v>
      </c>
      <c r="BB246" s="59">
        <v>150</v>
      </c>
      <c r="BC246" s="59">
        <v>150</v>
      </c>
      <c r="BD246" s="59">
        <v>150</v>
      </c>
      <c r="BE246" s="50">
        <v>150</v>
      </c>
      <c r="BF246" s="59">
        <v>150</v>
      </c>
      <c r="BG246" s="59">
        <v>150</v>
      </c>
      <c r="BH246" s="59">
        <v>150</v>
      </c>
      <c r="BI246" s="59">
        <v>150</v>
      </c>
      <c r="BJ246" s="50">
        <v>150</v>
      </c>
      <c r="BK246" s="59">
        <v>150</v>
      </c>
      <c r="BL246" s="59">
        <v>150</v>
      </c>
      <c r="BM246" s="59">
        <v>150</v>
      </c>
      <c r="BN246" s="59">
        <v>150</v>
      </c>
      <c r="BO246" s="50">
        <v>150</v>
      </c>
      <c r="BP246" s="59">
        <v>150</v>
      </c>
      <c r="BQ246" s="59">
        <v>150</v>
      </c>
      <c r="BR246" s="59">
        <v>150</v>
      </c>
      <c r="BS246" s="59">
        <v>150</v>
      </c>
      <c r="BT246" s="50">
        <v>150</v>
      </c>
      <c r="BU246" s="59">
        <v>150</v>
      </c>
      <c r="BV246" s="59">
        <v>150</v>
      </c>
      <c r="BW246" s="59">
        <v>150</v>
      </c>
      <c r="BX246" s="59">
        <v>150</v>
      </c>
      <c r="BY246" s="50">
        <v>150</v>
      </c>
      <c r="BZ246" s="50">
        <v>150</v>
      </c>
      <c r="CA246" s="50">
        <v>150</v>
      </c>
      <c r="CB246" s="50">
        <v>150</v>
      </c>
      <c r="CC246" s="50">
        <v>150</v>
      </c>
      <c r="CD246" s="50">
        <v>150</v>
      </c>
      <c r="CE246" s="50">
        <v>150</v>
      </c>
      <c r="CF246" s="50">
        <v>150</v>
      </c>
    </row>
    <row r="247" spans="1:84" x14ac:dyDescent="0.25">
      <c r="A247" s="166">
        <v>5</v>
      </c>
      <c r="B247" s="2"/>
      <c r="C247" s="59">
        <v>151</v>
      </c>
      <c r="D247" s="59">
        <v>151</v>
      </c>
      <c r="E247" s="59">
        <v>151</v>
      </c>
      <c r="F247" s="59">
        <v>151</v>
      </c>
      <c r="G247" s="50">
        <v>151</v>
      </c>
      <c r="H247" s="59">
        <v>151</v>
      </c>
      <c r="I247" s="59">
        <v>151</v>
      </c>
      <c r="J247" s="59">
        <v>151</v>
      </c>
      <c r="K247" s="59">
        <v>151</v>
      </c>
      <c r="L247" s="50">
        <v>151</v>
      </c>
      <c r="M247" s="59">
        <v>151</v>
      </c>
      <c r="N247" s="59">
        <v>151</v>
      </c>
      <c r="O247" s="59">
        <v>151</v>
      </c>
      <c r="P247" s="59">
        <v>151</v>
      </c>
      <c r="Q247" s="50">
        <v>151</v>
      </c>
      <c r="R247" s="59">
        <v>151</v>
      </c>
      <c r="S247" s="59">
        <v>151</v>
      </c>
      <c r="T247" s="59">
        <v>151</v>
      </c>
      <c r="U247" s="59">
        <v>151</v>
      </c>
      <c r="V247" s="50">
        <v>151</v>
      </c>
      <c r="W247" s="59">
        <v>151</v>
      </c>
      <c r="X247" s="59">
        <v>151</v>
      </c>
      <c r="Y247" s="59">
        <v>151</v>
      </c>
      <c r="Z247" s="59">
        <v>151</v>
      </c>
      <c r="AA247" s="50">
        <v>151</v>
      </c>
      <c r="AB247" s="59">
        <v>151</v>
      </c>
      <c r="AC247" s="59">
        <v>151</v>
      </c>
      <c r="AD247" s="59">
        <v>151</v>
      </c>
      <c r="AE247" s="59">
        <v>151</v>
      </c>
      <c r="AF247" s="50">
        <v>151</v>
      </c>
      <c r="AG247" s="59">
        <v>151</v>
      </c>
      <c r="AH247" s="59">
        <v>151</v>
      </c>
      <c r="AI247" s="59">
        <v>151</v>
      </c>
      <c r="AJ247" s="59">
        <v>151</v>
      </c>
      <c r="AK247" s="50">
        <v>151</v>
      </c>
      <c r="AL247" s="59">
        <v>151</v>
      </c>
      <c r="AM247" s="59">
        <v>151</v>
      </c>
      <c r="AN247" s="59">
        <v>151</v>
      </c>
      <c r="AO247" s="59">
        <v>151</v>
      </c>
      <c r="AP247" s="50">
        <v>151</v>
      </c>
      <c r="AQ247" s="59">
        <v>151</v>
      </c>
      <c r="AR247" s="59">
        <v>151</v>
      </c>
      <c r="AS247" s="59">
        <v>151</v>
      </c>
      <c r="AT247" s="59">
        <v>151</v>
      </c>
      <c r="AU247" s="50">
        <v>151</v>
      </c>
      <c r="AV247" s="59">
        <v>151</v>
      </c>
      <c r="AW247" s="59">
        <v>151</v>
      </c>
      <c r="AX247" s="59">
        <v>151</v>
      </c>
      <c r="AY247" s="59">
        <v>151</v>
      </c>
      <c r="AZ247" s="50">
        <v>151</v>
      </c>
      <c r="BA247" s="59">
        <v>151</v>
      </c>
      <c r="BB247" s="59">
        <v>151</v>
      </c>
      <c r="BC247" s="59">
        <v>151</v>
      </c>
      <c r="BD247" s="59">
        <v>151</v>
      </c>
      <c r="BE247" s="50">
        <v>151</v>
      </c>
      <c r="BF247" s="59">
        <v>151</v>
      </c>
      <c r="BG247" s="59">
        <v>151</v>
      </c>
      <c r="BH247" s="59">
        <v>151</v>
      </c>
      <c r="BI247" s="59">
        <v>151</v>
      </c>
      <c r="BJ247" s="50">
        <v>151</v>
      </c>
      <c r="BK247" s="59">
        <v>151</v>
      </c>
      <c r="BL247" s="59">
        <v>151</v>
      </c>
      <c r="BM247" s="59">
        <v>151</v>
      </c>
      <c r="BN247" s="59">
        <v>151</v>
      </c>
      <c r="BO247" s="50">
        <v>151</v>
      </c>
      <c r="BP247" s="59">
        <v>151</v>
      </c>
      <c r="BQ247" s="59">
        <v>151</v>
      </c>
      <c r="BR247" s="59">
        <v>151</v>
      </c>
      <c r="BS247" s="59">
        <v>151</v>
      </c>
      <c r="BT247" s="50">
        <v>151</v>
      </c>
      <c r="BU247" s="59">
        <v>151</v>
      </c>
      <c r="BV247" s="59">
        <v>151</v>
      </c>
      <c r="BW247" s="59">
        <v>151</v>
      </c>
      <c r="BX247" s="59">
        <v>151</v>
      </c>
      <c r="BY247" s="50">
        <v>151</v>
      </c>
      <c r="BZ247" s="50">
        <v>151</v>
      </c>
      <c r="CA247" s="50">
        <v>151</v>
      </c>
      <c r="CB247" s="50">
        <v>151</v>
      </c>
      <c r="CC247" s="50">
        <v>151</v>
      </c>
      <c r="CD247" s="50">
        <v>151</v>
      </c>
      <c r="CE247" s="50">
        <v>151</v>
      </c>
      <c r="CF247" s="50">
        <v>151</v>
      </c>
    </row>
    <row r="248" spans="1:84" x14ac:dyDescent="0.25">
      <c r="A248" s="6"/>
      <c r="B248" s="2"/>
      <c r="C248" s="4"/>
      <c r="D248" s="4"/>
      <c r="E248" s="4"/>
      <c r="F248" s="4"/>
      <c r="G248" s="55"/>
      <c r="H248" s="4"/>
      <c r="I248" s="4"/>
      <c r="J248" s="4"/>
      <c r="K248" s="4"/>
      <c r="L248" s="55"/>
      <c r="M248" s="4"/>
      <c r="N248" s="4"/>
      <c r="O248" s="4"/>
      <c r="P248" s="4"/>
      <c r="Q248" s="55"/>
      <c r="R248" s="4"/>
      <c r="S248" s="4"/>
      <c r="T248" s="4"/>
      <c r="U248" s="4"/>
      <c r="V248" s="55"/>
      <c r="W248" s="4"/>
      <c r="X248" s="4"/>
      <c r="Y248" s="4"/>
      <c r="Z248" s="4"/>
      <c r="AA248" s="55"/>
      <c r="AB248" s="4"/>
      <c r="AC248" s="4"/>
      <c r="AD248" s="4"/>
      <c r="AE248" s="4"/>
      <c r="AF248" s="55"/>
      <c r="AG248" s="4"/>
      <c r="AH248" s="4"/>
      <c r="AI248" s="4"/>
      <c r="AJ248" s="4"/>
      <c r="AK248" s="55"/>
      <c r="AL248" s="4"/>
      <c r="AM248" s="4"/>
      <c r="AN248" s="4"/>
      <c r="AO248" s="4"/>
      <c r="AP248" s="55"/>
      <c r="AQ248" s="4"/>
      <c r="AR248" s="4"/>
      <c r="AS248" s="4"/>
      <c r="AT248" s="4"/>
      <c r="AU248" s="55"/>
      <c r="AV248" s="4"/>
      <c r="AW248" s="4"/>
      <c r="AX248" s="4"/>
      <c r="AY248" s="4"/>
      <c r="AZ248" s="55"/>
      <c r="BA248" s="4"/>
      <c r="BB248" s="4"/>
      <c r="BC248" s="4"/>
      <c r="BD248" s="4"/>
      <c r="BE248" s="55"/>
      <c r="BF248" s="4"/>
      <c r="BG248" s="4"/>
      <c r="BH248" s="4"/>
      <c r="BI248" s="4"/>
      <c r="BJ248" s="55"/>
      <c r="BK248" s="4"/>
      <c r="BL248" s="4"/>
      <c r="BM248" s="4"/>
      <c r="BN248" s="4"/>
      <c r="BO248" s="55"/>
      <c r="BP248" s="4"/>
      <c r="BQ248" s="4"/>
      <c r="BR248" s="4"/>
      <c r="BS248" s="4"/>
      <c r="BT248" s="55"/>
      <c r="BU248" s="4"/>
      <c r="BV248" s="4"/>
      <c r="BW248" s="4"/>
      <c r="BX248" s="4"/>
      <c r="BY248" s="55"/>
      <c r="BZ248" s="55"/>
      <c r="CA248" s="55"/>
      <c r="CB248" s="55"/>
      <c r="CC248" s="55"/>
      <c r="CD248" s="55"/>
      <c r="CE248" s="55"/>
      <c r="CF248" s="55"/>
    </row>
    <row r="249" spans="1:84" x14ac:dyDescent="0.25">
      <c r="A249" s="6" t="s">
        <v>2252</v>
      </c>
      <c r="B249" s="6"/>
      <c r="C249" s="4"/>
      <c r="D249" s="4"/>
      <c r="E249" s="4"/>
      <c r="F249" s="4"/>
      <c r="G249" s="55"/>
      <c r="H249" s="4"/>
      <c r="I249" s="4"/>
      <c r="J249" s="4"/>
      <c r="K249" s="4"/>
      <c r="L249" s="55"/>
      <c r="M249" s="4"/>
      <c r="N249" s="4"/>
      <c r="O249" s="4"/>
      <c r="P249" s="4"/>
      <c r="Q249" s="55"/>
      <c r="R249" s="4"/>
      <c r="S249" s="4"/>
      <c r="T249" s="4"/>
      <c r="U249" s="4"/>
      <c r="V249" s="55"/>
      <c r="W249" s="4"/>
      <c r="X249" s="4"/>
      <c r="Y249" s="4"/>
      <c r="Z249" s="4"/>
      <c r="AA249" s="55"/>
      <c r="AB249" s="4"/>
      <c r="AC249" s="4"/>
      <c r="AD249" s="4"/>
      <c r="AE249" s="4"/>
      <c r="AF249" s="55"/>
      <c r="AG249" s="4"/>
      <c r="AH249" s="4"/>
      <c r="AI249" s="4"/>
      <c r="AJ249" s="4"/>
      <c r="AK249" s="55"/>
      <c r="AL249" s="4"/>
      <c r="AM249" s="4"/>
      <c r="AN249" s="4"/>
      <c r="AO249" s="4"/>
      <c r="AP249" s="55"/>
      <c r="AQ249" s="4"/>
      <c r="AR249" s="4"/>
      <c r="AS249" s="4"/>
      <c r="AT249" s="4"/>
      <c r="AU249" s="55"/>
      <c r="AV249" s="4"/>
      <c r="AW249" s="4"/>
      <c r="AX249" s="4"/>
      <c r="AY249" s="4"/>
      <c r="AZ249" s="55"/>
      <c r="BA249" s="4"/>
      <c r="BB249" s="4"/>
      <c r="BC249" s="4"/>
      <c r="BD249" s="4"/>
      <c r="BE249" s="55"/>
      <c r="BF249" s="4"/>
      <c r="BG249" s="4"/>
      <c r="BH249" s="4"/>
      <c r="BI249" s="4"/>
      <c r="BJ249" s="55"/>
      <c r="BK249" s="4"/>
      <c r="BL249" s="4"/>
      <c r="BM249" s="4"/>
      <c r="BN249" s="4"/>
      <c r="BO249" s="55"/>
      <c r="BP249" s="4"/>
      <c r="BQ249" s="4"/>
      <c r="BR249" s="4"/>
      <c r="BS249" s="4"/>
      <c r="BT249" s="55"/>
      <c r="BU249" s="4"/>
      <c r="BV249" s="4"/>
      <c r="BW249" s="4"/>
      <c r="BX249" s="4"/>
      <c r="BY249" s="55"/>
      <c r="BZ249" s="55"/>
      <c r="CA249" s="55"/>
      <c r="CB249" s="55"/>
      <c r="CC249" s="55"/>
      <c r="CD249" s="55"/>
      <c r="CE249" s="55"/>
      <c r="CF249" s="55"/>
    </row>
    <row r="250" spans="1:84" x14ac:dyDescent="0.25">
      <c r="A250" s="166">
        <v>1</v>
      </c>
      <c r="B250" s="167"/>
      <c r="C250" s="9">
        <v>0.15</v>
      </c>
      <c r="D250" s="9">
        <v>0.15</v>
      </c>
      <c r="E250" s="9">
        <v>0.15</v>
      </c>
      <c r="F250" s="9">
        <v>0.15</v>
      </c>
      <c r="G250" s="69">
        <v>0.15</v>
      </c>
      <c r="H250" s="9">
        <v>0.15</v>
      </c>
      <c r="I250" s="9">
        <v>0.15</v>
      </c>
      <c r="J250" s="9">
        <v>0.15</v>
      </c>
      <c r="K250" s="9">
        <v>0.15</v>
      </c>
      <c r="L250" s="69">
        <v>0.15</v>
      </c>
      <c r="M250" s="9">
        <v>0.15</v>
      </c>
      <c r="N250" s="9">
        <v>0.15</v>
      </c>
      <c r="O250" s="9">
        <v>0.15</v>
      </c>
      <c r="P250" s="9">
        <v>0.15</v>
      </c>
      <c r="Q250" s="69">
        <v>0.15</v>
      </c>
      <c r="R250" s="9">
        <v>0.15</v>
      </c>
      <c r="S250" s="9">
        <v>0.15</v>
      </c>
      <c r="T250" s="9">
        <v>0.15</v>
      </c>
      <c r="U250" s="9">
        <v>0.15</v>
      </c>
      <c r="V250" s="69">
        <v>0.15</v>
      </c>
      <c r="W250" s="9">
        <v>0.15</v>
      </c>
      <c r="X250" s="9">
        <v>0.15</v>
      </c>
      <c r="Y250" s="9">
        <v>0.15</v>
      </c>
      <c r="Z250" s="9">
        <v>0.15</v>
      </c>
      <c r="AA250" s="69">
        <v>0.15</v>
      </c>
      <c r="AB250" s="9">
        <v>0.15</v>
      </c>
      <c r="AC250" s="9">
        <v>0.15</v>
      </c>
      <c r="AD250" s="9">
        <v>0.15</v>
      </c>
      <c r="AE250" s="9">
        <v>0.15</v>
      </c>
      <c r="AF250" s="69">
        <v>0.15</v>
      </c>
      <c r="AG250" s="9">
        <v>0.15</v>
      </c>
      <c r="AH250" s="9">
        <v>0.15</v>
      </c>
      <c r="AI250" s="9">
        <v>0.15</v>
      </c>
      <c r="AJ250" s="9">
        <v>0.15</v>
      </c>
      <c r="AK250" s="69">
        <v>0.15</v>
      </c>
      <c r="AL250" s="9">
        <v>0.15</v>
      </c>
      <c r="AM250" s="9">
        <v>0.15</v>
      </c>
      <c r="AN250" s="9">
        <v>0.15</v>
      </c>
      <c r="AO250" s="9">
        <v>0.15</v>
      </c>
      <c r="AP250" s="69">
        <v>0.15</v>
      </c>
      <c r="AQ250" s="9">
        <v>0.15</v>
      </c>
      <c r="AR250" s="9">
        <v>0.15</v>
      </c>
      <c r="AS250" s="9">
        <v>0.15</v>
      </c>
      <c r="AT250" s="9">
        <v>0.15</v>
      </c>
      <c r="AU250" s="69">
        <v>0.15</v>
      </c>
      <c r="AV250" s="9">
        <v>0.15</v>
      </c>
      <c r="AW250" s="9">
        <v>0.15</v>
      </c>
      <c r="AX250" s="9">
        <v>0.15</v>
      </c>
      <c r="AY250" s="9">
        <v>0.15</v>
      </c>
      <c r="AZ250" s="69">
        <v>0.15</v>
      </c>
      <c r="BA250" s="9">
        <v>0.15</v>
      </c>
      <c r="BB250" s="9">
        <v>0.15</v>
      </c>
      <c r="BC250" s="9">
        <v>0.15</v>
      </c>
      <c r="BD250" s="9">
        <v>0.15</v>
      </c>
      <c r="BE250" s="69">
        <v>0.15</v>
      </c>
      <c r="BF250" s="9">
        <v>0.15</v>
      </c>
      <c r="BG250" s="9">
        <v>0.15</v>
      </c>
      <c r="BH250" s="9">
        <v>0.15</v>
      </c>
      <c r="BI250" s="9">
        <v>0.15</v>
      </c>
      <c r="BJ250" s="69">
        <v>0.15</v>
      </c>
      <c r="BK250" s="9">
        <v>0.15</v>
      </c>
      <c r="BL250" s="9">
        <v>0.15</v>
      </c>
      <c r="BM250" s="9">
        <v>0.15</v>
      </c>
      <c r="BN250" s="9">
        <v>0.15</v>
      </c>
      <c r="BO250" s="69">
        <v>0.15</v>
      </c>
      <c r="BP250" s="9">
        <v>0.15</v>
      </c>
      <c r="BQ250" s="9">
        <v>0.15</v>
      </c>
      <c r="BR250" s="9">
        <v>0.15</v>
      </c>
      <c r="BS250" s="9">
        <v>0.15</v>
      </c>
      <c r="BT250" s="69">
        <v>0.15</v>
      </c>
      <c r="BU250" s="9">
        <v>0.15</v>
      </c>
      <c r="BV250" s="9">
        <v>0.15</v>
      </c>
      <c r="BW250" s="9">
        <v>0.15</v>
      </c>
      <c r="BX250" s="9">
        <v>0.15</v>
      </c>
      <c r="BY250" s="69">
        <v>0.15</v>
      </c>
      <c r="BZ250" s="69">
        <v>0.15</v>
      </c>
      <c r="CA250" s="69">
        <v>0.15</v>
      </c>
      <c r="CB250" s="69">
        <v>0.15</v>
      </c>
      <c r="CC250" s="69">
        <v>0.15</v>
      </c>
      <c r="CD250" s="69">
        <v>0.15</v>
      </c>
      <c r="CE250" s="69">
        <v>0.15</v>
      </c>
      <c r="CF250" s="69">
        <v>0.15</v>
      </c>
    </row>
    <row r="251" spans="1:84" x14ac:dyDescent="0.25">
      <c r="A251" s="166">
        <v>2</v>
      </c>
      <c r="B251" s="167"/>
      <c r="C251" s="9">
        <v>0.2</v>
      </c>
      <c r="D251" s="9">
        <v>0.2</v>
      </c>
      <c r="E251" s="9">
        <v>0.2</v>
      </c>
      <c r="F251" s="9">
        <v>0.2</v>
      </c>
      <c r="G251" s="69">
        <v>0.2</v>
      </c>
      <c r="H251" s="9">
        <v>0.2</v>
      </c>
      <c r="I251" s="9">
        <v>0.2</v>
      </c>
      <c r="J251" s="9">
        <v>0.2</v>
      </c>
      <c r="K251" s="9">
        <v>0.2</v>
      </c>
      <c r="L251" s="69">
        <v>0.2</v>
      </c>
      <c r="M251" s="9">
        <v>0.2</v>
      </c>
      <c r="N251" s="9">
        <v>0.2</v>
      </c>
      <c r="O251" s="9">
        <v>0.2</v>
      </c>
      <c r="P251" s="9">
        <v>0.2</v>
      </c>
      <c r="Q251" s="69">
        <v>0.2</v>
      </c>
      <c r="R251" s="9">
        <v>0.2</v>
      </c>
      <c r="S251" s="9">
        <v>0.2</v>
      </c>
      <c r="T251" s="9">
        <v>0.2</v>
      </c>
      <c r="U251" s="9">
        <v>0.2</v>
      </c>
      <c r="V251" s="69">
        <v>0.2</v>
      </c>
      <c r="W251" s="9">
        <v>0.2</v>
      </c>
      <c r="X251" s="9">
        <v>0.2</v>
      </c>
      <c r="Y251" s="9">
        <v>0.2</v>
      </c>
      <c r="Z251" s="9">
        <v>0.2</v>
      </c>
      <c r="AA251" s="69">
        <v>0.2</v>
      </c>
      <c r="AB251" s="9">
        <v>0.2</v>
      </c>
      <c r="AC251" s="9">
        <v>0.2</v>
      </c>
      <c r="AD251" s="9">
        <v>0.2</v>
      </c>
      <c r="AE251" s="9">
        <v>0.2</v>
      </c>
      <c r="AF251" s="69">
        <v>0.2</v>
      </c>
      <c r="AG251" s="9">
        <v>0.2</v>
      </c>
      <c r="AH251" s="9">
        <v>0.2</v>
      </c>
      <c r="AI251" s="9">
        <v>0.2</v>
      </c>
      <c r="AJ251" s="9">
        <v>0.2</v>
      </c>
      <c r="AK251" s="69">
        <v>0.2</v>
      </c>
      <c r="AL251" s="9">
        <v>0.2</v>
      </c>
      <c r="AM251" s="9">
        <v>0.2</v>
      </c>
      <c r="AN251" s="9">
        <v>0.2</v>
      </c>
      <c r="AO251" s="9">
        <v>0.2</v>
      </c>
      <c r="AP251" s="69">
        <v>0.2</v>
      </c>
      <c r="AQ251" s="9">
        <v>0.2</v>
      </c>
      <c r="AR251" s="9">
        <v>0.2</v>
      </c>
      <c r="AS251" s="9">
        <v>0.2</v>
      </c>
      <c r="AT251" s="9">
        <v>0.2</v>
      </c>
      <c r="AU251" s="69">
        <v>0.2</v>
      </c>
      <c r="AV251" s="9">
        <v>0.2</v>
      </c>
      <c r="AW251" s="9">
        <v>0.2</v>
      </c>
      <c r="AX251" s="9">
        <v>0.2</v>
      </c>
      <c r="AY251" s="9">
        <v>0.2</v>
      </c>
      <c r="AZ251" s="69">
        <v>0.2</v>
      </c>
      <c r="BA251" s="9">
        <v>0.2</v>
      </c>
      <c r="BB251" s="9">
        <v>0.2</v>
      </c>
      <c r="BC251" s="9">
        <v>0.2</v>
      </c>
      <c r="BD251" s="9">
        <v>0.2</v>
      </c>
      <c r="BE251" s="69">
        <v>0.2</v>
      </c>
      <c r="BF251" s="9">
        <v>0.2</v>
      </c>
      <c r="BG251" s="9">
        <v>0.2</v>
      </c>
      <c r="BH251" s="9">
        <v>0.2</v>
      </c>
      <c r="BI251" s="9">
        <v>0.2</v>
      </c>
      <c r="BJ251" s="69">
        <v>0.2</v>
      </c>
      <c r="BK251" s="9">
        <v>0.2</v>
      </c>
      <c r="BL251" s="9">
        <v>0.2</v>
      </c>
      <c r="BM251" s="9">
        <v>0.2</v>
      </c>
      <c r="BN251" s="9">
        <v>0.2</v>
      </c>
      <c r="BO251" s="69">
        <v>0.2</v>
      </c>
      <c r="BP251" s="9">
        <v>0.2</v>
      </c>
      <c r="BQ251" s="9">
        <v>0.2</v>
      </c>
      <c r="BR251" s="9">
        <v>0.2</v>
      </c>
      <c r="BS251" s="9">
        <v>0.2</v>
      </c>
      <c r="BT251" s="69">
        <v>0.2</v>
      </c>
      <c r="BU251" s="9">
        <v>0.2</v>
      </c>
      <c r="BV251" s="9">
        <v>0.2</v>
      </c>
      <c r="BW251" s="9">
        <v>0.2</v>
      </c>
      <c r="BX251" s="9">
        <v>0.2</v>
      </c>
      <c r="BY251" s="69">
        <v>0.2</v>
      </c>
      <c r="BZ251" s="69">
        <v>0.2</v>
      </c>
      <c r="CA251" s="69">
        <v>0.2</v>
      </c>
      <c r="CB251" s="69">
        <v>0.2</v>
      </c>
      <c r="CC251" s="69">
        <v>0.2</v>
      </c>
      <c r="CD251" s="69">
        <v>0.2</v>
      </c>
      <c r="CE251" s="69">
        <v>0.2</v>
      </c>
      <c r="CF251" s="69">
        <v>0.2</v>
      </c>
    </row>
    <row r="252" spans="1:84" x14ac:dyDescent="0.25">
      <c r="A252" s="166">
        <v>3</v>
      </c>
      <c r="B252" s="167"/>
      <c r="C252" s="9">
        <v>0.25</v>
      </c>
      <c r="D252" s="9">
        <v>0.25</v>
      </c>
      <c r="E252" s="9">
        <v>0.25</v>
      </c>
      <c r="F252" s="9">
        <v>0.25</v>
      </c>
      <c r="G252" s="69">
        <v>0.25</v>
      </c>
      <c r="H252" s="9">
        <v>0.25</v>
      </c>
      <c r="I252" s="9">
        <v>0.25</v>
      </c>
      <c r="J252" s="9">
        <v>0.25</v>
      </c>
      <c r="K252" s="9">
        <v>0.25</v>
      </c>
      <c r="L252" s="69">
        <v>0.25</v>
      </c>
      <c r="M252" s="9">
        <v>0.25</v>
      </c>
      <c r="N252" s="9">
        <v>0.25</v>
      </c>
      <c r="O252" s="9">
        <v>0.25</v>
      </c>
      <c r="P252" s="9">
        <v>0.25</v>
      </c>
      <c r="Q252" s="69">
        <v>0.25</v>
      </c>
      <c r="R252" s="9">
        <v>0.25</v>
      </c>
      <c r="S252" s="9">
        <v>0.25</v>
      </c>
      <c r="T252" s="9">
        <v>0.25</v>
      </c>
      <c r="U252" s="9">
        <v>0.25</v>
      </c>
      <c r="V252" s="69">
        <v>0.25</v>
      </c>
      <c r="W252" s="9">
        <v>0.25</v>
      </c>
      <c r="X252" s="9">
        <v>0.25</v>
      </c>
      <c r="Y252" s="9">
        <v>0.25</v>
      </c>
      <c r="Z252" s="9">
        <v>0.25</v>
      </c>
      <c r="AA252" s="69">
        <v>0.25</v>
      </c>
      <c r="AB252" s="9">
        <v>0.25</v>
      </c>
      <c r="AC252" s="9">
        <v>0.25</v>
      </c>
      <c r="AD252" s="9">
        <v>0.25</v>
      </c>
      <c r="AE252" s="9">
        <v>0.25</v>
      </c>
      <c r="AF252" s="69">
        <v>0.25</v>
      </c>
      <c r="AG252" s="9">
        <v>0.25</v>
      </c>
      <c r="AH252" s="9">
        <v>0.25</v>
      </c>
      <c r="AI252" s="9">
        <v>0.25</v>
      </c>
      <c r="AJ252" s="9">
        <v>0.25</v>
      </c>
      <c r="AK252" s="69">
        <v>0.25</v>
      </c>
      <c r="AL252" s="9">
        <v>0.25</v>
      </c>
      <c r="AM252" s="9">
        <v>0.25</v>
      </c>
      <c r="AN252" s="9">
        <v>0.25</v>
      </c>
      <c r="AO252" s="9">
        <v>0.25</v>
      </c>
      <c r="AP252" s="69">
        <v>0.25</v>
      </c>
      <c r="AQ252" s="9">
        <v>0.25</v>
      </c>
      <c r="AR252" s="9">
        <v>0.25</v>
      </c>
      <c r="AS252" s="9">
        <v>0.25</v>
      </c>
      <c r="AT252" s="9">
        <v>0.25</v>
      </c>
      <c r="AU252" s="69">
        <v>0.25</v>
      </c>
      <c r="AV252" s="9">
        <v>0.25</v>
      </c>
      <c r="AW252" s="9">
        <v>0.25</v>
      </c>
      <c r="AX252" s="9">
        <v>0.25</v>
      </c>
      <c r="AY252" s="9">
        <v>0.25</v>
      </c>
      <c r="AZ252" s="69">
        <v>0.25</v>
      </c>
      <c r="BA252" s="9">
        <v>0.25</v>
      </c>
      <c r="BB252" s="9">
        <v>0.25</v>
      </c>
      <c r="BC252" s="9">
        <v>0.25</v>
      </c>
      <c r="BD252" s="9">
        <v>0.25</v>
      </c>
      <c r="BE252" s="69">
        <v>0.25</v>
      </c>
      <c r="BF252" s="9">
        <v>0.25</v>
      </c>
      <c r="BG252" s="9">
        <v>0.25</v>
      </c>
      <c r="BH252" s="9">
        <v>0.25</v>
      </c>
      <c r="BI252" s="9">
        <v>0.25</v>
      </c>
      <c r="BJ252" s="69">
        <v>0.25</v>
      </c>
      <c r="BK252" s="9">
        <v>0.25</v>
      </c>
      <c r="BL252" s="9">
        <v>0.25</v>
      </c>
      <c r="BM252" s="9">
        <v>0.25</v>
      </c>
      <c r="BN252" s="9">
        <v>0.25</v>
      </c>
      <c r="BO252" s="69">
        <v>0.25</v>
      </c>
      <c r="BP252" s="9">
        <v>0.25</v>
      </c>
      <c r="BQ252" s="9">
        <v>0.25</v>
      </c>
      <c r="BR252" s="9">
        <v>0.25</v>
      </c>
      <c r="BS252" s="9">
        <v>0.25</v>
      </c>
      <c r="BT252" s="69">
        <v>0.25</v>
      </c>
      <c r="BU252" s="9">
        <v>0.25</v>
      </c>
      <c r="BV252" s="9">
        <v>0.25</v>
      </c>
      <c r="BW252" s="9">
        <v>0.25</v>
      </c>
      <c r="BX252" s="9">
        <v>0.25</v>
      </c>
      <c r="BY252" s="69">
        <v>0.25</v>
      </c>
      <c r="BZ252" s="69">
        <v>0.25</v>
      </c>
      <c r="CA252" s="69">
        <v>0.25</v>
      </c>
      <c r="CB252" s="69">
        <v>0.25</v>
      </c>
      <c r="CC252" s="69">
        <v>0.25</v>
      </c>
      <c r="CD252" s="69">
        <v>0.25</v>
      </c>
      <c r="CE252" s="69">
        <v>0.25</v>
      </c>
      <c r="CF252" s="69">
        <v>0.25</v>
      </c>
    </row>
    <row r="253" spans="1:84" x14ac:dyDescent="0.25">
      <c r="A253" s="166">
        <v>4</v>
      </c>
      <c r="B253" s="167"/>
      <c r="C253" s="9">
        <v>0.3</v>
      </c>
      <c r="D253" s="9">
        <v>0.3</v>
      </c>
      <c r="E253" s="9">
        <v>0.3</v>
      </c>
      <c r="F253" s="9">
        <v>0.3</v>
      </c>
      <c r="G253" s="69">
        <v>0.3</v>
      </c>
      <c r="H253" s="9">
        <v>0.3</v>
      </c>
      <c r="I253" s="9">
        <v>0.3</v>
      </c>
      <c r="J253" s="9">
        <v>0.3</v>
      </c>
      <c r="K253" s="9">
        <v>0.3</v>
      </c>
      <c r="L253" s="69">
        <v>0.3</v>
      </c>
      <c r="M253" s="9">
        <v>0.3</v>
      </c>
      <c r="N253" s="9">
        <v>0.3</v>
      </c>
      <c r="O253" s="9">
        <v>0.3</v>
      </c>
      <c r="P253" s="9">
        <v>0.3</v>
      </c>
      <c r="Q253" s="69">
        <v>0.3</v>
      </c>
      <c r="R253" s="9">
        <v>0.3</v>
      </c>
      <c r="S253" s="9">
        <v>0.3</v>
      </c>
      <c r="T253" s="9">
        <v>0.3</v>
      </c>
      <c r="U253" s="9">
        <v>0.3</v>
      </c>
      <c r="V253" s="69">
        <v>0.3</v>
      </c>
      <c r="W253" s="9">
        <v>0.3</v>
      </c>
      <c r="X253" s="9">
        <v>0.3</v>
      </c>
      <c r="Y253" s="9">
        <v>0.3</v>
      </c>
      <c r="Z253" s="9">
        <v>0.3</v>
      </c>
      <c r="AA253" s="69">
        <v>0.3</v>
      </c>
      <c r="AB253" s="9">
        <v>0.3</v>
      </c>
      <c r="AC253" s="9">
        <v>0.3</v>
      </c>
      <c r="AD253" s="9">
        <v>0.3</v>
      </c>
      <c r="AE253" s="9">
        <v>0.3</v>
      </c>
      <c r="AF253" s="69">
        <v>0.3</v>
      </c>
      <c r="AG253" s="9">
        <v>0.3</v>
      </c>
      <c r="AH253" s="9">
        <v>0.3</v>
      </c>
      <c r="AI253" s="9">
        <v>0.3</v>
      </c>
      <c r="AJ253" s="9">
        <v>0.3</v>
      </c>
      <c r="AK253" s="69">
        <v>0.3</v>
      </c>
      <c r="AL253" s="9">
        <v>0.3</v>
      </c>
      <c r="AM253" s="9">
        <v>0.3</v>
      </c>
      <c r="AN253" s="9">
        <v>0.3</v>
      </c>
      <c r="AO253" s="9">
        <v>0.3</v>
      </c>
      <c r="AP253" s="69">
        <v>0.3</v>
      </c>
      <c r="AQ253" s="9">
        <v>0.3</v>
      </c>
      <c r="AR253" s="9">
        <v>0.3</v>
      </c>
      <c r="AS253" s="9">
        <v>0.3</v>
      </c>
      <c r="AT253" s="9">
        <v>0.3</v>
      </c>
      <c r="AU253" s="69">
        <v>0.3</v>
      </c>
      <c r="AV253" s="9">
        <v>0.3</v>
      </c>
      <c r="AW253" s="9">
        <v>0.3</v>
      </c>
      <c r="AX253" s="9">
        <v>0.3</v>
      </c>
      <c r="AY253" s="9">
        <v>0.3</v>
      </c>
      <c r="AZ253" s="69">
        <v>0.3</v>
      </c>
      <c r="BA253" s="9">
        <v>0.3</v>
      </c>
      <c r="BB253" s="9">
        <v>0.3</v>
      </c>
      <c r="BC253" s="9">
        <v>0.3</v>
      </c>
      <c r="BD253" s="9">
        <v>0.3</v>
      </c>
      <c r="BE253" s="69">
        <v>0.3</v>
      </c>
      <c r="BF253" s="9">
        <v>0.3</v>
      </c>
      <c r="BG253" s="9">
        <v>0.3</v>
      </c>
      <c r="BH253" s="9">
        <v>0.3</v>
      </c>
      <c r="BI253" s="9">
        <v>0.3</v>
      </c>
      <c r="BJ253" s="69">
        <v>0.3</v>
      </c>
      <c r="BK253" s="9">
        <v>0.3</v>
      </c>
      <c r="BL253" s="9">
        <v>0.3</v>
      </c>
      <c r="BM253" s="9">
        <v>0.3</v>
      </c>
      <c r="BN253" s="9">
        <v>0.3</v>
      </c>
      <c r="BO253" s="69">
        <v>0.3</v>
      </c>
      <c r="BP253" s="9">
        <v>0.3</v>
      </c>
      <c r="BQ253" s="9">
        <v>0.3</v>
      </c>
      <c r="BR253" s="9">
        <v>0.3</v>
      </c>
      <c r="BS253" s="9">
        <v>0.3</v>
      </c>
      <c r="BT253" s="69">
        <v>0.3</v>
      </c>
      <c r="BU253" s="9">
        <v>0.3</v>
      </c>
      <c r="BV253" s="9">
        <v>0.3</v>
      </c>
      <c r="BW253" s="9">
        <v>0.3</v>
      </c>
      <c r="BX253" s="9">
        <v>0.3</v>
      </c>
      <c r="BY253" s="69">
        <v>0.3</v>
      </c>
      <c r="BZ253" s="69">
        <v>0.3</v>
      </c>
      <c r="CA253" s="69">
        <v>0.3</v>
      </c>
      <c r="CB253" s="69">
        <v>0.3</v>
      </c>
      <c r="CC253" s="69">
        <v>0.3</v>
      </c>
      <c r="CD253" s="69">
        <v>0.3</v>
      </c>
      <c r="CE253" s="69">
        <v>0.3</v>
      </c>
      <c r="CF253" s="69">
        <v>0.3</v>
      </c>
    </row>
    <row r="254" spans="1:84" x14ac:dyDescent="0.25">
      <c r="A254" s="166">
        <v>5</v>
      </c>
      <c r="B254" s="167"/>
      <c r="C254" s="9">
        <v>0.35</v>
      </c>
      <c r="D254" s="9">
        <v>0.35</v>
      </c>
      <c r="E254" s="9">
        <v>0.35</v>
      </c>
      <c r="F254" s="9">
        <v>0.35</v>
      </c>
      <c r="G254" s="69">
        <v>0.35</v>
      </c>
      <c r="H254" s="9">
        <v>0.35</v>
      </c>
      <c r="I254" s="9">
        <v>0.35</v>
      </c>
      <c r="J254" s="9">
        <v>0.35</v>
      </c>
      <c r="K254" s="9">
        <v>0.35</v>
      </c>
      <c r="L254" s="69">
        <v>0.35</v>
      </c>
      <c r="M254" s="9">
        <v>0.35</v>
      </c>
      <c r="N254" s="9">
        <v>0.35</v>
      </c>
      <c r="O254" s="9">
        <v>0.35</v>
      </c>
      <c r="P254" s="9">
        <v>0.35</v>
      </c>
      <c r="Q254" s="69">
        <v>0.35</v>
      </c>
      <c r="R254" s="9">
        <v>0.35</v>
      </c>
      <c r="S254" s="9">
        <v>0.35</v>
      </c>
      <c r="T254" s="9">
        <v>0.35</v>
      </c>
      <c r="U254" s="9">
        <v>0.35</v>
      </c>
      <c r="V254" s="69">
        <v>0.35</v>
      </c>
      <c r="W254" s="9">
        <v>0.35</v>
      </c>
      <c r="X254" s="9">
        <v>0.35</v>
      </c>
      <c r="Y254" s="9">
        <v>0.35</v>
      </c>
      <c r="Z254" s="9">
        <v>0.35</v>
      </c>
      <c r="AA254" s="69">
        <v>0.35</v>
      </c>
      <c r="AB254" s="9">
        <v>0.35</v>
      </c>
      <c r="AC254" s="9">
        <v>0.35</v>
      </c>
      <c r="AD254" s="9">
        <v>0.35</v>
      </c>
      <c r="AE254" s="9">
        <v>0.35</v>
      </c>
      <c r="AF254" s="69">
        <v>0.35</v>
      </c>
      <c r="AG254" s="9">
        <v>0.35</v>
      </c>
      <c r="AH254" s="9">
        <v>0.35</v>
      </c>
      <c r="AI254" s="9">
        <v>0.35</v>
      </c>
      <c r="AJ254" s="9">
        <v>0.35</v>
      </c>
      <c r="AK254" s="69">
        <v>0.35</v>
      </c>
      <c r="AL254" s="9">
        <v>0.35</v>
      </c>
      <c r="AM254" s="9">
        <v>0.35</v>
      </c>
      <c r="AN254" s="9">
        <v>0.35</v>
      </c>
      <c r="AO254" s="9">
        <v>0.35</v>
      </c>
      <c r="AP254" s="69">
        <v>0.35</v>
      </c>
      <c r="AQ254" s="9">
        <v>0.35</v>
      </c>
      <c r="AR254" s="9">
        <v>0.35</v>
      </c>
      <c r="AS254" s="9">
        <v>0.35</v>
      </c>
      <c r="AT254" s="9">
        <v>0.35</v>
      </c>
      <c r="AU254" s="69">
        <v>0.35</v>
      </c>
      <c r="AV254" s="9">
        <v>0.35</v>
      </c>
      <c r="AW254" s="9">
        <v>0.35</v>
      </c>
      <c r="AX254" s="9">
        <v>0.35</v>
      </c>
      <c r="AY254" s="9">
        <v>0.35</v>
      </c>
      <c r="AZ254" s="69">
        <v>0.35</v>
      </c>
      <c r="BA254" s="9">
        <v>0.35</v>
      </c>
      <c r="BB254" s="9">
        <v>0.35</v>
      </c>
      <c r="BC254" s="9">
        <v>0.35</v>
      </c>
      <c r="BD254" s="9">
        <v>0.35</v>
      </c>
      <c r="BE254" s="69">
        <v>0.35</v>
      </c>
      <c r="BF254" s="9">
        <v>0.35</v>
      </c>
      <c r="BG254" s="9">
        <v>0.35</v>
      </c>
      <c r="BH254" s="9">
        <v>0.35</v>
      </c>
      <c r="BI254" s="9">
        <v>0.35</v>
      </c>
      <c r="BJ254" s="69">
        <v>0.35</v>
      </c>
      <c r="BK254" s="9">
        <v>0.35</v>
      </c>
      <c r="BL254" s="9">
        <v>0.35</v>
      </c>
      <c r="BM254" s="9">
        <v>0.35</v>
      </c>
      <c r="BN254" s="9">
        <v>0.35</v>
      </c>
      <c r="BO254" s="69">
        <v>0.35</v>
      </c>
      <c r="BP254" s="9">
        <v>0.35</v>
      </c>
      <c r="BQ254" s="9">
        <v>0.35</v>
      </c>
      <c r="BR254" s="9">
        <v>0.35</v>
      </c>
      <c r="BS254" s="9">
        <v>0.35</v>
      </c>
      <c r="BT254" s="69">
        <v>0.35</v>
      </c>
      <c r="BU254" s="9">
        <v>0.35</v>
      </c>
      <c r="BV254" s="9">
        <v>0.35</v>
      </c>
      <c r="BW254" s="9">
        <v>0.35</v>
      </c>
      <c r="BX254" s="9">
        <v>0.35</v>
      </c>
      <c r="BY254" s="69">
        <v>0.35</v>
      </c>
      <c r="BZ254" s="69">
        <v>0.35</v>
      </c>
      <c r="CA254" s="69">
        <v>0.35</v>
      </c>
      <c r="CB254" s="69">
        <v>0.35</v>
      </c>
      <c r="CC254" s="69">
        <v>0.35</v>
      </c>
      <c r="CD254" s="69">
        <v>0.35</v>
      </c>
      <c r="CE254" s="69">
        <v>0.35</v>
      </c>
      <c r="CF254" s="69">
        <v>0.35</v>
      </c>
    </row>
    <row r="255" spans="1:84" x14ac:dyDescent="0.25">
      <c r="A255" s="166"/>
      <c r="B255" s="167"/>
      <c r="C255" s="70"/>
      <c r="D255" s="70"/>
      <c r="E255" s="70"/>
      <c r="F255" s="70"/>
      <c r="G255" s="69"/>
      <c r="H255" s="70"/>
      <c r="I255" s="70"/>
      <c r="J255" s="70"/>
      <c r="K255" s="70"/>
      <c r="L255" s="69"/>
      <c r="M255" s="70"/>
      <c r="N255" s="70"/>
      <c r="O255" s="70"/>
      <c r="P255" s="70"/>
      <c r="Q255" s="69"/>
      <c r="R255" s="70"/>
      <c r="S255" s="70"/>
      <c r="T255" s="70"/>
      <c r="U255" s="70"/>
      <c r="V255" s="69"/>
      <c r="W255" s="70"/>
      <c r="X255" s="70"/>
      <c r="Y255" s="70"/>
      <c r="Z255" s="70"/>
      <c r="AA255" s="69"/>
      <c r="AB255" s="70"/>
      <c r="AC255" s="70"/>
      <c r="AD255" s="70"/>
      <c r="AE255" s="70"/>
      <c r="AF255" s="69"/>
      <c r="AG255" s="70"/>
      <c r="AH255" s="70"/>
      <c r="AI255" s="70"/>
      <c r="AJ255" s="70"/>
      <c r="AK255" s="69"/>
      <c r="AL255" s="70"/>
      <c r="AM255" s="70"/>
      <c r="AN255" s="70"/>
      <c r="AO255" s="70"/>
      <c r="AP255" s="69"/>
      <c r="AQ255" s="70"/>
      <c r="AR255" s="70"/>
      <c r="AS255" s="70"/>
      <c r="AT255" s="70"/>
      <c r="AU255" s="69"/>
      <c r="AV255" s="70"/>
      <c r="AW255" s="70"/>
      <c r="AX255" s="70"/>
      <c r="AY255" s="70"/>
      <c r="AZ255" s="69"/>
      <c r="BA255" s="70"/>
      <c r="BB255" s="70"/>
      <c r="BC255" s="70"/>
      <c r="BD255" s="70"/>
      <c r="BE255" s="69"/>
      <c r="BF255" s="70"/>
      <c r="BG255" s="70"/>
      <c r="BH255" s="70"/>
      <c r="BI255" s="70"/>
      <c r="BJ255" s="69"/>
      <c r="BK255" s="70"/>
      <c r="BL255" s="70"/>
      <c r="BM255" s="70"/>
      <c r="BN255" s="70"/>
      <c r="BO255" s="69"/>
      <c r="BP255" s="70"/>
      <c r="BQ255" s="70"/>
      <c r="BR255" s="70"/>
      <c r="BS255" s="70"/>
      <c r="BT255" s="69"/>
      <c r="BU255" s="70"/>
      <c r="BV255" s="70"/>
      <c r="BW255" s="70"/>
      <c r="BX255" s="70"/>
      <c r="BY255" s="69"/>
      <c r="BZ255" s="69"/>
      <c r="CA255" s="69"/>
      <c r="CB255" s="69"/>
      <c r="CC255" s="69"/>
      <c r="CD255" s="69"/>
      <c r="CE255" s="69"/>
      <c r="CF255" s="69"/>
    </row>
    <row r="256" spans="1:84" x14ac:dyDescent="0.25">
      <c r="A256" s="168" t="s">
        <v>1407</v>
      </c>
      <c r="B256" s="167"/>
      <c r="C256" s="70"/>
      <c r="D256" s="70"/>
      <c r="E256" s="70"/>
      <c r="F256" s="70"/>
      <c r="G256" s="69"/>
      <c r="H256" s="70"/>
      <c r="I256" s="70"/>
      <c r="J256" s="70"/>
      <c r="K256" s="70"/>
      <c r="L256" s="69"/>
      <c r="M256" s="70"/>
      <c r="N256" s="70"/>
      <c r="O256" s="70"/>
      <c r="P256" s="70"/>
      <c r="Q256" s="69"/>
      <c r="R256" s="70"/>
      <c r="S256" s="70"/>
      <c r="T256" s="70"/>
      <c r="U256" s="70"/>
      <c r="V256" s="69"/>
      <c r="W256" s="70"/>
      <c r="X256" s="70"/>
      <c r="Y256" s="70"/>
      <c r="Z256" s="70"/>
      <c r="AA256" s="69"/>
      <c r="AB256" s="70"/>
      <c r="AC256" s="70"/>
      <c r="AD256" s="70"/>
      <c r="AE256" s="70"/>
      <c r="AF256" s="69"/>
      <c r="AG256" s="70"/>
      <c r="AH256" s="70"/>
      <c r="AI256" s="70"/>
      <c r="AJ256" s="70"/>
      <c r="AK256" s="69"/>
      <c r="AL256" s="70"/>
      <c r="AM256" s="70"/>
      <c r="AN256" s="70"/>
      <c r="AO256" s="70"/>
      <c r="AP256" s="69"/>
      <c r="AQ256" s="70"/>
      <c r="AR256" s="70"/>
      <c r="AS256" s="70"/>
      <c r="AT256" s="70"/>
      <c r="AU256" s="69"/>
      <c r="AV256" s="70"/>
      <c r="AW256" s="70"/>
      <c r="AX256" s="70"/>
      <c r="AY256" s="70"/>
      <c r="AZ256" s="69"/>
      <c r="BA256" s="70"/>
      <c r="BB256" s="70"/>
      <c r="BC256" s="70"/>
      <c r="BD256" s="70"/>
      <c r="BE256" s="69"/>
      <c r="BF256" s="70"/>
      <c r="BG256" s="70"/>
      <c r="BH256" s="70"/>
      <c r="BI256" s="70"/>
      <c r="BJ256" s="69"/>
      <c r="BK256" s="70"/>
      <c r="BL256" s="70"/>
      <c r="BM256" s="70"/>
      <c r="BN256" s="70"/>
      <c r="BO256" s="69"/>
      <c r="BP256" s="70"/>
      <c r="BQ256" s="70"/>
      <c r="BR256" s="70"/>
      <c r="BS256" s="70"/>
      <c r="BT256" s="69"/>
      <c r="BU256" s="70"/>
      <c r="BV256" s="70"/>
      <c r="BW256" s="70"/>
      <c r="BX256" s="70"/>
      <c r="BY256" s="69"/>
      <c r="BZ256" s="69"/>
      <c r="CA256" s="69"/>
      <c r="CB256" s="69"/>
      <c r="CC256" s="69"/>
      <c r="CD256" s="69"/>
      <c r="CE256" s="69"/>
      <c r="CF256" s="69"/>
    </row>
    <row r="257" spans="1:84" x14ac:dyDescent="0.25">
      <c r="A257" s="166" t="s">
        <v>1408</v>
      </c>
      <c r="B257" s="167"/>
      <c r="C257" s="70"/>
      <c r="D257" s="70"/>
      <c r="E257" s="70"/>
      <c r="F257" s="70"/>
      <c r="G257" s="69"/>
      <c r="H257" s="70"/>
      <c r="I257" s="70"/>
      <c r="J257" s="70"/>
      <c r="K257" s="70"/>
      <c r="L257" s="69"/>
      <c r="M257" s="70"/>
      <c r="N257" s="70"/>
      <c r="O257" s="70"/>
      <c r="P257" s="70"/>
      <c r="Q257" s="69"/>
      <c r="R257" s="70"/>
      <c r="S257" s="70"/>
      <c r="T257" s="70"/>
      <c r="U257" s="70"/>
      <c r="V257" s="69"/>
      <c r="W257" s="70"/>
      <c r="X257" s="70"/>
      <c r="Y257" s="70"/>
      <c r="Z257" s="70"/>
      <c r="AA257" s="69"/>
      <c r="AB257" s="70"/>
      <c r="AC257" s="70"/>
      <c r="AD257" s="70"/>
      <c r="AE257" s="70"/>
      <c r="AF257" s="69"/>
      <c r="AG257" s="70"/>
      <c r="AH257" s="70"/>
      <c r="AI257" s="70"/>
      <c r="AJ257" s="70"/>
      <c r="AK257" s="69"/>
      <c r="AL257" s="70"/>
      <c r="AM257" s="70"/>
      <c r="AN257" s="70"/>
      <c r="AO257" s="70"/>
      <c r="AP257" s="69"/>
      <c r="AQ257" s="70"/>
      <c r="AR257" s="70"/>
      <c r="AS257" s="70"/>
      <c r="AT257" s="70"/>
      <c r="AU257" s="69"/>
      <c r="AV257" s="70"/>
      <c r="AW257" s="70"/>
      <c r="AX257" s="70"/>
      <c r="AY257" s="70"/>
      <c r="AZ257" s="69"/>
      <c r="BA257" s="70"/>
      <c r="BB257" s="70"/>
      <c r="BC257" s="70"/>
      <c r="BD257" s="70"/>
      <c r="BE257" s="69"/>
      <c r="BF257" s="70"/>
      <c r="BG257" s="70"/>
      <c r="BH257" s="70"/>
      <c r="BI257" s="70"/>
      <c r="BJ257" s="69"/>
      <c r="BK257" s="70"/>
      <c r="BL257" s="70"/>
      <c r="BM257" s="70"/>
      <c r="BN257" s="70"/>
      <c r="BO257" s="69"/>
      <c r="BP257" s="70"/>
      <c r="BQ257" s="70"/>
      <c r="BR257" s="70"/>
      <c r="BS257" s="70"/>
      <c r="BT257" s="69"/>
      <c r="BU257" s="70"/>
      <c r="BV257" s="70"/>
      <c r="BW257" s="70"/>
      <c r="BX257" s="70"/>
      <c r="BY257" s="69"/>
      <c r="BZ257" s="69"/>
      <c r="CA257" s="69"/>
      <c r="CB257" s="69"/>
      <c r="CC257" s="69"/>
      <c r="CD257" s="69"/>
      <c r="CE257" s="69"/>
      <c r="CF257" s="69"/>
    </row>
    <row r="258" spans="1:84" x14ac:dyDescent="0.25">
      <c r="A258" s="166">
        <v>1</v>
      </c>
      <c r="B258" s="169"/>
      <c r="C258" s="148">
        <v>150</v>
      </c>
      <c r="D258" s="148">
        <v>150</v>
      </c>
      <c r="E258" s="148">
        <v>150</v>
      </c>
      <c r="F258" s="148">
        <v>150</v>
      </c>
      <c r="G258" s="149">
        <v>150</v>
      </c>
      <c r="H258" s="148">
        <v>150</v>
      </c>
      <c r="I258" s="148">
        <v>150</v>
      </c>
      <c r="J258" s="148">
        <v>150</v>
      </c>
      <c r="K258" s="148">
        <v>150</v>
      </c>
      <c r="L258" s="149">
        <v>150</v>
      </c>
      <c r="M258" s="148">
        <v>150</v>
      </c>
      <c r="N258" s="148">
        <v>150</v>
      </c>
      <c r="O258" s="148">
        <v>150</v>
      </c>
      <c r="P258" s="148">
        <v>150</v>
      </c>
      <c r="Q258" s="149">
        <v>150</v>
      </c>
      <c r="R258" s="148">
        <v>150</v>
      </c>
      <c r="S258" s="148">
        <v>150</v>
      </c>
      <c r="T258" s="148">
        <v>150</v>
      </c>
      <c r="U258" s="148">
        <v>150</v>
      </c>
      <c r="V258" s="149">
        <v>150</v>
      </c>
      <c r="W258" s="148">
        <v>150</v>
      </c>
      <c r="X258" s="148">
        <v>150</v>
      </c>
      <c r="Y258" s="148">
        <v>150</v>
      </c>
      <c r="Z258" s="148">
        <v>150</v>
      </c>
      <c r="AA258" s="149">
        <v>150</v>
      </c>
      <c r="AB258" s="148">
        <v>150</v>
      </c>
      <c r="AC258" s="148">
        <v>150</v>
      </c>
      <c r="AD258" s="148">
        <v>150</v>
      </c>
      <c r="AE258" s="148">
        <v>150</v>
      </c>
      <c r="AF258" s="149">
        <v>150</v>
      </c>
      <c r="AG258" s="148">
        <v>150</v>
      </c>
      <c r="AH258" s="148">
        <v>150</v>
      </c>
      <c r="AI258" s="148">
        <v>150</v>
      </c>
      <c r="AJ258" s="148">
        <v>150</v>
      </c>
      <c r="AK258" s="149">
        <v>150</v>
      </c>
      <c r="AL258" s="148">
        <v>150</v>
      </c>
      <c r="AM258" s="148">
        <v>150</v>
      </c>
      <c r="AN258" s="148">
        <v>150</v>
      </c>
      <c r="AO258" s="148">
        <v>150</v>
      </c>
      <c r="AP258" s="149">
        <v>150</v>
      </c>
      <c r="AQ258" s="148">
        <v>150</v>
      </c>
      <c r="AR258" s="148">
        <v>150</v>
      </c>
      <c r="AS258" s="148">
        <v>150</v>
      </c>
      <c r="AT258" s="148">
        <v>150</v>
      </c>
      <c r="AU258" s="149">
        <v>150</v>
      </c>
      <c r="AV258" s="148">
        <v>150</v>
      </c>
      <c r="AW258" s="148">
        <v>150</v>
      </c>
      <c r="AX258" s="148">
        <v>150</v>
      </c>
      <c r="AY258" s="148">
        <v>150</v>
      </c>
      <c r="AZ258" s="149">
        <v>150</v>
      </c>
      <c r="BA258" s="148">
        <v>150</v>
      </c>
      <c r="BB258" s="148">
        <v>150</v>
      </c>
      <c r="BC258" s="148">
        <v>150</v>
      </c>
      <c r="BD258" s="148">
        <v>150</v>
      </c>
      <c r="BE258" s="149">
        <v>150</v>
      </c>
      <c r="BF258" s="148">
        <v>150</v>
      </c>
      <c r="BG258" s="148">
        <v>150</v>
      </c>
      <c r="BH258" s="148">
        <v>150</v>
      </c>
      <c r="BI258" s="148">
        <v>150</v>
      </c>
      <c r="BJ258" s="149">
        <v>150</v>
      </c>
      <c r="BK258" s="148">
        <v>150</v>
      </c>
      <c r="BL258" s="148">
        <v>150</v>
      </c>
      <c r="BM258" s="148">
        <v>150</v>
      </c>
      <c r="BN258" s="148">
        <v>150</v>
      </c>
      <c r="BO258" s="149">
        <v>150</v>
      </c>
      <c r="BP258" s="148">
        <v>150</v>
      </c>
      <c r="BQ258" s="148">
        <v>150</v>
      </c>
      <c r="BR258" s="148">
        <v>150</v>
      </c>
      <c r="BS258" s="148">
        <v>150</v>
      </c>
      <c r="BT258" s="149">
        <v>150</v>
      </c>
      <c r="BU258" s="148">
        <v>150</v>
      </c>
      <c r="BV258" s="148">
        <v>150</v>
      </c>
      <c r="BW258" s="148">
        <v>150</v>
      </c>
      <c r="BX258" s="148">
        <v>150</v>
      </c>
      <c r="BY258" s="149">
        <v>150</v>
      </c>
      <c r="BZ258" s="149">
        <v>150</v>
      </c>
      <c r="CA258" s="149">
        <v>150</v>
      </c>
      <c r="CB258" s="149">
        <v>150</v>
      </c>
      <c r="CC258" s="149">
        <v>150</v>
      </c>
      <c r="CD258" s="149">
        <v>150</v>
      </c>
      <c r="CE258" s="149">
        <v>150</v>
      </c>
      <c r="CF258" s="149">
        <v>150</v>
      </c>
    </row>
    <row r="259" spans="1:84" x14ac:dyDescent="0.25">
      <c r="A259" s="166">
        <v>2</v>
      </c>
      <c r="B259" s="169"/>
      <c r="C259" s="148">
        <v>200</v>
      </c>
      <c r="D259" s="148">
        <v>200</v>
      </c>
      <c r="E259" s="148">
        <v>200</v>
      </c>
      <c r="F259" s="148">
        <v>200</v>
      </c>
      <c r="G259" s="149">
        <v>200</v>
      </c>
      <c r="H259" s="148">
        <v>200</v>
      </c>
      <c r="I259" s="148">
        <v>200</v>
      </c>
      <c r="J259" s="148">
        <v>200</v>
      </c>
      <c r="K259" s="148">
        <v>200</v>
      </c>
      <c r="L259" s="149">
        <v>200</v>
      </c>
      <c r="M259" s="148">
        <v>200</v>
      </c>
      <c r="N259" s="148">
        <v>200</v>
      </c>
      <c r="O259" s="148">
        <v>200</v>
      </c>
      <c r="P259" s="148">
        <v>200</v>
      </c>
      <c r="Q259" s="149">
        <v>200</v>
      </c>
      <c r="R259" s="148">
        <v>200</v>
      </c>
      <c r="S259" s="148">
        <v>200</v>
      </c>
      <c r="T259" s="148">
        <v>200</v>
      </c>
      <c r="U259" s="148">
        <v>200</v>
      </c>
      <c r="V259" s="149">
        <v>200</v>
      </c>
      <c r="W259" s="148">
        <v>200</v>
      </c>
      <c r="X259" s="148">
        <v>200</v>
      </c>
      <c r="Y259" s="148">
        <v>200</v>
      </c>
      <c r="Z259" s="148">
        <v>200</v>
      </c>
      <c r="AA259" s="149">
        <v>200</v>
      </c>
      <c r="AB259" s="148">
        <v>200</v>
      </c>
      <c r="AC259" s="148">
        <v>200</v>
      </c>
      <c r="AD259" s="148">
        <v>200</v>
      </c>
      <c r="AE259" s="148">
        <v>200</v>
      </c>
      <c r="AF259" s="149">
        <v>200</v>
      </c>
      <c r="AG259" s="148">
        <v>200</v>
      </c>
      <c r="AH259" s="148">
        <v>200</v>
      </c>
      <c r="AI259" s="148">
        <v>200</v>
      </c>
      <c r="AJ259" s="148">
        <v>200</v>
      </c>
      <c r="AK259" s="149">
        <v>200</v>
      </c>
      <c r="AL259" s="148">
        <v>200</v>
      </c>
      <c r="AM259" s="148">
        <v>200</v>
      </c>
      <c r="AN259" s="148">
        <v>200</v>
      </c>
      <c r="AO259" s="148">
        <v>200</v>
      </c>
      <c r="AP259" s="149">
        <v>200</v>
      </c>
      <c r="AQ259" s="148">
        <v>200</v>
      </c>
      <c r="AR259" s="148">
        <v>200</v>
      </c>
      <c r="AS259" s="148">
        <v>200</v>
      </c>
      <c r="AT259" s="148">
        <v>200</v>
      </c>
      <c r="AU259" s="149">
        <v>200</v>
      </c>
      <c r="AV259" s="148">
        <v>200</v>
      </c>
      <c r="AW259" s="148">
        <v>200</v>
      </c>
      <c r="AX259" s="148">
        <v>200</v>
      </c>
      <c r="AY259" s="148">
        <v>200</v>
      </c>
      <c r="AZ259" s="149">
        <v>200</v>
      </c>
      <c r="BA259" s="148">
        <v>200</v>
      </c>
      <c r="BB259" s="148">
        <v>200</v>
      </c>
      <c r="BC259" s="148">
        <v>200</v>
      </c>
      <c r="BD259" s="148">
        <v>200</v>
      </c>
      <c r="BE259" s="149">
        <v>200</v>
      </c>
      <c r="BF259" s="148">
        <v>200</v>
      </c>
      <c r="BG259" s="148">
        <v>200</v>
      </c>
      <c r="BH259" s="148">
        <v>200</v>
      </c>
      <c r="BI259" s="148">
        <v>200</v>
      </c>
      <c r="BJ259" s="149">
        <v>200</v>
      </c>
      <c r="BK259" s="148">
        <v>200</v>
      </c>
      <c r="BL259" s="148">
        <v>200</v>
      </c>
      <c r="BM259" s="148">
        <v>200</v>
      </c>
      <c r="BN259" s="148">
        <v>200</v>
      </c>
      <c r="BO259" s="149">
        <v>200</v>
      </c>
      <c r="BP259" s="148">
        <v>200</v>
      </c>
      <c r="BQ259" s="148">
        <v>200</v>
      </c>
      <c r="BR259" s="148">
        <v>200</v>
      </c>
      <c r="BS259" s="148">
        <v>200</v>
      </c>
      <c r="BT259" s="149">
        <v>200</v>
      </c>
      <c r="BU259" s="148">
        <v>200</v>
      </c>
      <c r="BV259" s="148">
        <v>200</v>
      </c>
      <c r="BW259" s="148">
        <v>200</v>
      </c>
      <c r="BX259" s="148">
        <v>200</v>
      </c>
      <c r="BY259" s="149">
        <v>200</v>
      </c>
      <c r="BZ259" s="149">
        <v>200</v>
      </c>
      <c r="CA259" s="149">
        <v>200</v>
      </c>
      <c r="CB259" s="149">
        <v>200</v>
      </c>
      <c r="CC259" s="149">
        <v>200</v>
      </c>
      <c r="CD259" s="149">
        <v>200</v>
      </c>
      <c r="CE259" s="149">
        <v>200</v>
      </c>
      <c r="CF259" s="149">
        <v>200</v>
      </c>
    </row>
    <row r="260" spans="1:84" x14ac:dyDescent="0.25">
      <c r="A260" s="166">
        <v>3</v>
      </c>
      <c r="B260" s="169"/>
      <c r="C260" s="148">
        <v>250</v>
      </c>
      <c r="D260" s="148">
        <v>250</v>
      </c>
      <c r="E260" s="148">
        <v>250</v>
      </c>
      <c r="F260" s="148">
        <v>250</v>
      </c>
      <c r="G260" s="149">
        <v>250</v>
      </c>
      <c r="H260" s="148">
        <v>250</v>
      </c>
      <c r="I260" s="148">
        <v>250</v>
      </c>
      <c r="J260" s="148">
        <v>250</v>
      </c>
      <c r="K260" s="148">
        <v>250</v>
      </c>
      <c r="L260" s="149">
        <v>250</v>
      </c>
      <c r="M260" s="148">
        <v>250</v>
      </c>
      <c r="N260" s="148">
        <v>250</v>
      </c>
      <c r="O260" s="148">
        <v>250</v>
      </c>
      <c r="P260" s="148">
        <v>250</v>
      </c>
      <c r="Q260" s="149">
        <v>250</v>
      </c>
      <c r="R260" s="148">
        <v>250</v>
      </c>
      <c r="S260" s="148">
        <v>250</v>
      </c>
      <c r="T260" s="148">
        <v>250</v>
      </c>
      <c r="U260" s="148">
        <v>250</v>
      </c>
      <c r="V260" s="149">
        <v>250</v>
      </c>
      <c r="W260" s="148">
        <v>250</v>
      </c>
      <c r="X260" s="148">
        <v>250</v>
      </c>
      <c r="Y260" s="148">
        <v>250</v>
      </c>
      <c r="Z260" s="148">
        <v>250</v>
      </c>
      <c r="AA260" s="149">
        <v>250</v>
      </c>
      <c r="AB260" s="148">
        <v>250</v>
      </c>
      <c r="AC260" s="148">
        <v>250</v>
      </c>
      <c r="AD260" s="148">
        <v>250</v>
      </c>
      <c r="AE260" s="148">
        <v>250</v>
      </c>
      <c r="AF260" s="149">
        <v>250</v>
      </c>
      <c r="AG260" s="148">
        <v>250</v>
      </c>
      <c r="AH260" s="148">
        <v>250</v>
      </c>
      <c r="AI260" s="148">
        <v>250</v>
      </c>
      <c r="AJ260" s="148">
        <v>250</v>
      </c>
      <c r="AK260" s="149">
        <v>250</v>
      </c>
      <c r="AL260" s="148">
        <v>250</v>
      </c>
      <c r="AM260" s="148">
        <v>250</v>
      </c>
      <c r="AN260" s="148">
        <v>250</v>
      </c>
      <c r="AO260" s="148">
        <v>250</v>
      </c>
      <c r="AP260" s="149">
        <v>250</v>
      </c>
      <c r="AQ260" s="148">
        <v>250</v>
      </c>
      <c r="AR260" s="148">
        <v>250</v>
      </c>
      <c r="AS260" s="148">
        <v>250</v>
      </c>
      <c r="AT260" s="148">
        <v>250</v>
      </c>
      <c r="AU260" s="149">
        <v>250</v>
      </c>
      <c r="AV260" s="148">
        <v>250</v>
      </c>
      <c r="AW260" s="148">
        <v>250</v>
      </c>
      <c r="AX260" s="148">
        <v>250</v>
      </c>
      <c r="AY260" s="148">
        <v>250</v>
      </c>
      <c r="AZ260" s="149">
        <v>250</v>
      </c>
      <c r="BA260" s="148">
        <v>250</v>
      </c>
      <c r="BB260" s="148">
        <v>250</v>
      </c>
      <c r="BC260" s="148">
        <v>250</v>
      </c>
      <c r="BD260" s="148">
        <v>250</v>
      </c>
      <c r="BE260" s="149">
        <v>250</v>
      </c>
      <c r="BF260" s="148">
        <v>250</v>
      </c>
      <c r="BG260" s="148">
        <v>250</v>
      </c>
      <c r="BH260" s="148">
        <v>250</v>
      </c>
      <c r="BI260" s="148">
        <v>250</v>
      </c>
      <c r="BJ260" s="149">
        <v>250</v>
      </c>
      <c r="BK260" s="148">
        <v>250</v>
      </c>
      <c r="BL260" s="148">
        <v>250</v>
      </c>
      <c r="BM260" s="148">
        <v>250</v>
      </c>
      <c r="BN260" s="148">
        <v>250</v>
      </c>
      <c r="BO260" s="149">
        <v>250</v>
      </c>
      <c r="BP260" s="148">
        <v>250</v>
      </c>
      <c r="BQ260" s="148">
        <v>250</v>
      </c>
      <c r="BR260" s="148">
        <v>250</v>
      </c>
      <c r="BS260" s="148">
        <v>250</v>
      </c>
      <c r="BT260" s="149">
        <v>250</v>
      </c>
      <c r="BU260" s="148">
        <v>250</v>
      </c>
      <c r="BV260" s="148">
        <v>250</v>
      </c>
      <c r="BW260" s="148">
        <v>250</v>
      </c>
      <c r="BX260" s="148">
        <v>250</v>
      </c>
      <c r="BY260" s="149">
        <v>250</v>
      </c>
      <c r="BZ260" s="149">
        <v>250</v>
      </c>
      <c r="CA260" s="149">
        <v>250</v>
      </c>
      <c r="CB260" s="149">
        <v>250</v>
      </c>
      <c r="CC260" s="149">
        <v>250</v>
      </c>
      <c r="CD260" s="149">
        <v>250</v>
      </c>
      <c r="CE260" s="149">
        <v>250</v>
      </c>
      <c r="CF260" s="149">
        <v>250</v>
      </c>
    </row>
    <row r="261" spans="1:84" x14ac:dyDescent="0.25">
      <c r="A261" s="166">
        <v>4</v>
      </c>
      <c r="B261" s="169"/>
      <c r="C261" s="148">
        <v>300</v>
      </c>
      <c r="D261" s="148">
        <v>300</v>
      </c>
      <c r="E261" s="148">
        <v>300</v>
      </c>
      <c r="F261" s="148">
        <v>300</v>
      </c>
      <c r="G261" s="149">
        <v>300</v>
      </c>
      <c r="H261" s="148">
        <v>300</v>
      </c>
      <c r="I261" s="148">
        <v>300</v>
      </c>
      <c r="J261" s="148">
        <v>300</v>
      </c>
      <c r="K261" s="148">
        <v>300</v>
      </c>
      <c r="L261" s="149">
        <v>300</v>
      </c>
      <c r="M261" s="148">
        <v>300</v>
      </c>
      <c r="N261" s="148">
        <v>300</v>
      </c>
      <c r="O261" s="148">
        <v>300</v>
      </c>
      <c r="P261" s="148">
        <v>300</v>
      </c>
      <c r="Q261" s="149">
        <v>300</v>
      </c>
      <c r="R261" s="148">
        <v>300</v>
      </c>
      <c r="S261" s="148">
        <v>300</v>
      </c>
      <c r="T261" s="148">
        <v>300</v>
      </c>
      <c r="U261" s="148">
        <v>300</v>
      </c>
      <c r="V261" s="149">
        <v>300</v>
      </c>
      <c r="W261" s="148">
        <v>300</v>
      </c>
      <c r="X261" s="148">
        <v>300</v>
      </c>
      <c r="Y261" s="148">
        <v>300</v>
      </c>
      <c r="Z261" s="148">
        <v>300</v>
      </c>
      <c r="AA261" s="149">
        <v>300</v>
      </c>
      <c r="AB261" s="148">
        <v>300</v>
      </c>
      <c r="AC261" s="148">
        <v>300</v>
      </c>
      <c r="AD261" s="148">
        <v>300</v>
      </c>
      <c r="AE261" s="148">
        <v>300</v>
      </c>
      <c r="AF261" s="149">
        <v>300</v>
      </c>
      <c r="AG261" s="148">
        <v>300</v>
      </c>
      <c r="AH261" s="148">
        <v>300</v>
      </c>
      <c r="AI261" s="148">
        <v>300</v>
      </c>
      <c r="AJ261" s="148">
        <v>300</v>
      </c>
      <c r="AK261" s="149">
        <v>300</v>
      </c>
      <c r="AL261" s="148">
        <v>300</v>
      </c>
      <c r="AM261" s="148">
        <v>300</v>
      </c>
      <c r="AN261" s="148">
        <v>300</v>
      </c>
      <c r="AO261" s="148">
        <v>300</v>
      </c>
      <c r="AP261" s="149">
        <v>300</v>
      </c>
      <c r="AQ261" s="148">
        <v>300</v>
      </c>
      <c r="AR261" s="148">
        <v>300</v>
      </c>
      <c r="AS261" s="148">
        <v>300</v>
      </c>
      <c r="AT261" s="148">
        <v>300</v>
      </c>
      <c r="AU261" s="149">
        <v>300</v>
      </c>
      <c r="AV261" s="148">
        <v>300</v>
      </c>
      <c r="AW261" s="148">
        <v>300</v>
      </c>
      <c r="AX261" s="148">
        <v>300</v>
      </c>
      <c r="AY261" s="148">
        <v>300</v>
      </c>
      <c r="AZ261" s="149">
        <v>300</v>
      </c>
      <c r="BA261" s="148">
        <v>300</v>
      </c>
      <c r="BB261" s="148">
        <v>300</v>
      </c>
      <c r="BC261" s="148">
        <v>300</v>
      </c>
      <c r="BD261" s="148">
        <v>300</v>
      </c>
      <c r="BE261" s="149">
        <v>300</v>
      </c>
      <c r="BF261" s="148">
        <v>300</v>
      </c>
      <c r="BG261" s="148">
        <v>300</v>
      </c>
      <c r="BH261" s="148">
        <v>300</v>
      </c>
      <c r="BI261" s="148">
        <v>300</v>
      </c>
      <c r="BJ261" s="149">
        <v>300</v>
      </c>
      <c r="BK261" s="148">
        <v>300</v>
      </c>
      <c r="BL261" s="148">
        <v>300</v>
      </c>
      <c r="BM261" s="148">
        <v>300</v>
      </c>
      <c r="BN261" s="148">
        <v>300</v>
      </c>
      <c r="BO261" s="149">
        <v>300</v>
      </c>
      <c r="BP261" s="148">
        <v>300</v>
      </c>
      <c r="BQ261" s="148">
        <v>300</v>
      </c>
      <c r="BR261" s="148">
        <v>300</v>
      </c>
      <c r="BS261" s="148">
        <v>300</v>
      </c>
      <c r="BT261" s="149">
        <v>300</v>
      </c>
      <c r="BU261" s="148">
        <v>300</v>
      </c>
      <c r="BV261" s="148">
        <v>300</v>
      </c>
      <c r="BW261" s="148">
        <v>300</v>
      </c>
      <c r="BX261" s="148">
        <v>300</v>
      </c>
      <c r="BY261" s="149">
        <v>300</v>
      </c>
      <c r="BZ261" s="149">
        <v>300</v>
      </c>
      <c r="CA261" s="149">
        <v>300</v>
      </c>
      <c r="CB261" s="149">
        <v>300</v>
      </c>
      <c r="CC261" s="149">
        <v>300</v>
      </c>
      <c r="CD261" s="149">
        <v>300</v>
      </c>
      <c r="CE261" s="149">
        <v>300</v>
      </c>
      <c r="CF261" s="149">
        <v>300</v>
      </c>
    </row>
    <row r="262" spans="1:84" x14ac:dyDescent="0.25">
      <c r="A262" s="166">
        <v>5</v>
      </c>
      <c r="B262" s="169"/>
      <c r="C262" s="148">
        <v>301</v>
      </c>
      <c r="D262" s="148">
        <v>301</v>
      </c>
      <c r="E262" s="148">
        <v>301</v>
      </c>
      <c r="F262" s="148">
        <v>301</v>
      </c>
      <c r="G262" s="149">
        <v>301</v>
      </c>
      <c r="H262" s="148">
        <v>301</v>
      </c>
      <c r="I262" s="148">
        <v>301</v>
      </c>
      <c r="J262" s="148">
        <v>301</v>
      </c>
      <c r="K262" s="148">
        <v>301</v>
      </c>
      <c r="L262" s="149">
        <v>301</v>
      </c>
      <c r="M262" s="148">
        <v>301</v>
      </c>
      <c r="N262" s="148">
        <v>301</v>
      </c>
      <c r="O262" s="148">
        <v>301</v>
      </c>
      <c r="P262" s="148">
        <v>301</v>
      </c>
      <c r="Q262" s="149">
        <v>301</v>
      </c>
      <c r="R262" s="148">
        <v>301</v>
      </c>
      <c r="S262" s="148">
        <v>301</v>
      </c>
      <c r="T262" s="148">
        <v>301</v>
      </c>
      <c r="U262" s="148">
        <v>301</v>
      </c>
      <c r="V262" s="149">
        <v>301</v>
      </c>
      <c r="W262" s="148">
        <v>301</v>
      </c>
      <c r="X262" s="148">
        <v>301</v>
      </c>
      <c r="Y262" s="148">
        <v>301</v>
      </c>
      <c r="Z262" s="148">
        <v>301</v>
      </c>
      <c r="AA262" s="149">
        <v>301</v>
      </c>
      <c r="AB262" s="148">
        <v>301</v>
      </c>
      <c r="AC262" s="148">
        <v>301</v>
      </c>
      <c r="AD262" s="148">
        <v>301</v>
      </c>
      <c r="AE262" s="148">
        <v>301</v>
      </c>
      <c r="AF262" s="149">
        <v>301</v>
      </c>
      <c r="AG262" s="148">
        <v>301</v>
      </c>
      <c r="AH262" s="148">
        <v>301</v>
      </c>
      <c r="AI262" s="148">
        <v>301</v>
      </c>
      <c r="AJ262" s="148">
        <v>301</v>
      </c>
      <c r="AK262" s="149">
        <v>301</v>
      </c>
      <c r="AL262" s="148">
        <v>301</v>
      </c>
      <c r="AM262" s="148">
        <v>301</v>
      </c>
      <c r="AN262" s="148">
        <v>301</v>
      </c>
      <c r="AO262" s="148">
        <v>301</v>
      </c>
      <c r="AP262" s="149">
        <v>301</v>
      </c>
      <c r="AQ262" s="148">
        <v>301</v>
      </c>
      <c r="AR262" s="148">
        <v>301</v>
      </c>
      <c r="AS262" s="148">
        <v>301</v>
      </c>
      <c r="AT262" s="148">
        <v>301</v>
      </c>
      <c r="AU262" s="149">
        <v>301</v>
      </c>
      <c r="AV262" s="148">
        <v>301</v>
      </c>
      <c r="AW262" s="148">
        <v>301</v>
      </c>
      <c r="AX262" s="148">
        <v>301</v>
      </c>
      <c r="AY262" s="148">
        <v>301</v>
      </c>
      <c r="AZ262" s="149">
        <v>301</v>
      </c>
      <c r="BA262" s="148">
        <v>301</v>
      </c>
      <c r="BB262" s="148">
        <v>301</v>
      </c>
      <c r="BC262" s="148">
        <v>301</v>
      </c>
      <c r="BD262" s="148">
        <v>301</v>
      </c>
      <c r="BE262" s="149">
        <v>301</v>
      </c>
      <c r="BF262" s="148">
        <v>301</v>
      </c>
      <c r="BG262" s="148">
        <v>301</v>
      </c>
      <c r="BH262" s="148">
        <v>301</v>
      </c>
      <c r="BI262" s="148">
        <v>301</v>
      </c>
      <c r="BJ262" s="149">
        <v>301</v>
      </c>
      <c r="BK262" s="148">
        <v>301</v>
      </c>
      <c r="BL262" s="148">
        <v>301</v>
      </c>
      <c r="BM262" s="148">
        <v>301</v>
      </c>
      <c r="BN262" s="148">
        <v>301</v>
      </c>
      <c r="BO262" s="149">
        <v>301</v>
      </c>
      <c r="BP262" s="148">
        <v>301</v>
      </c>
      <c r="BQ262" s="148">
        <v>301</v>
      </c>
      <c r="BR262" s="148">
        <v>301</v>
      </c>
      <c r="BS262" s="148">
        <v>301</v>
      </c>
      <c r="BT262" s="149">
        <v>301</v>
      </c>
      <c r="BU262" s="148">
        <v>301</v>
      </c>
      <c r="BV262" s="148">
        <v>301</v>
      </c>
      <c r="BW262" s="148">
        <v>301</v>
      </c>
      <c r="BX262" s="148">
        <v>301</v>
      </c>
      <c r="BY262" s="149">
        <v>301</v>
      </c>
      <c r="BZ262" s="149">
        <v>301</v>
      </c>
      <c r="CA262" s="149">
        <v>301</v>
      </c>
      <c r="CB262" s="149">
        <v>301</v>
      </c>
      <c r="CC262" s="149">
        <v>301</v>
      </c>
      <c r="CD262" s="149">
        <v>301</v>
      </c>
      <c r="CE262" s="149">
        <v>301</v>
      </c>
      <c r="CF262" s="149">
        <v>301</v>
      </c>
    </row>
    <row r="263" spans="1:84" x14ac:dyDescent="0.25">
      <c r="A263" s="166"/>
      <c r="B263" s="167"/>
      <c r="C263" s="70"/>
      <c r="D263" s="70"/>
      <c r="E263" s="70"/>
      <c r="F263" s="70"/>
      <c r="G263" s="69"/>
      <c r="H263" s="70"/>
      <c r="I263" s="70"/>
      <c r="J263" s="70"/>
      <c r="K263" s="70"/>
      <c r="L263" s="69"/>
      <c r="M263" s="70"/>
      <c r="N263" s="70"/>
      <c r="O263" s="70"/>
      <c r="P263" s="70"/>
      <c r="Q263" s="69"/>
      <c r="R263" s="70"/>
      <c r="S263" s="70"/>
      <c r="T263" s="70"/>
      <c r="U263" s="70"/>
      <c r="V263" s="69"/>
      <c r="W263" s="70"/>
      <c r="X263" s="70"/>
      <c r="Y263" s="70"/>
      <c r="Z263" s="70"/>
      <c r="AA263" s="69"/>
      <c r="AB263" s="70"/>
      <c r="AC263" s="70"/>
      <c r="AD263" s="70"/>
      <c r="AE263" s="70"/>
      <c r="AF263" s="69"/>
      <c r="AG263" s="70"/>
      <c r="AH263" s="70"/>
      <c r="AI263" s="70"/>
      <c r="AJ263" s="70"/>
      <c r="AK263" s="69"/>
      <c r="AL263" s="70"/>
      <c r="AM263" s="70"/>
      <c r="AN263" s="70"/>
      <c r="AO263" s="70"/>
      <c r="AP263" s="69"/>
      <c r="AQ263" s="70"/>
      <c r="AR263" s="70"/>
      <c r="AS263" s="70"/>
      <c r="AT263" s="70"/>
      <c r="AU263" s="69"/>
      <c r="AV263" s="70"/>
      <c r="AW263" s="70"/>
      <c r="AX263" s="70"/>
      <c r="AY263" s="70"/>
      <c r="AZ263" s="69"/>
      <c r="BA263" s="70"/>
      <c r="BB263" s="70"/>
      <c r="BC263" s="70"/>
      <c r="BD263" s="70"/>
      <c r="BE263" s="69"/>
      <c r="BF263" s="70"/>
      <c r="BG263" s="70"/>
      <c r="BH263" s="70"/>
      <c r="BI263" s="70"/>
      <c r="BJ263" s="69"/>
      <c r="BK263" s="70"/>
      <c r="BL263" s="70"/>
      <c r="BM263" s="70"/>
      <c r="BN263" s="70"/>
      <c r="BO263" s="69"/>
      <c r="BP263" s="70"/>
      <c r="BQ263" s="70"/>
      <c r="BR263" s="70"/>
      <c r="BS263" s="70"/>
      <c r="BT263" s="69"/>
      <c r="BU263" s="70"/>
      <c r="BV263" s="70"/>
      <c r="BW263" s="70"/>
      <c r="BX263" s="70"/>
      <c r="BY263" s="69"/>
      <c r="BZ263" s="69"/>
      <c r="CA263" s="69"/>
      <c r="CB263" s="69"/>
      <c r="CC263" s="69"/>
      <c r="CD263" s="69"/>
      <c r="CE263" s="69"/>
      <c r="CF263" s="69"/>
    </row>
    <row r="264" spans="1:84" x14ac:dyDescent="0.25">
      <c r="A264" s="166" t="s">
        <v>2252</v>
      </c>
      <c r="B264" s="167"/>
      <c r="C264" s="70"/>
      <c r="D264" s="70"/>
      <c r="E264" s="70"/>
      <c r="F264" s="70"/>
      <c r="G264" s="69"/>
      <c r="H264" s="70"/>
      <c r="I264" s="70"/>
      <c r="J264" s="70"/>
      <c r="K264" s="70"/>
      <c r="L264" s="69"/>
      <c r="M264" s="70"/>
      <c r="N264" s="70"/>
      <c r="O264" s="70"/>
      <c r="P264" s="70"/>
      <c r="Q264" s="69"/>
      <c r="R264" s="70"/>
      <c r="S264" s="70"/>
      <c r="T264" s="70"/>
      <c r="U264" s="70"/>
      <c r="V264" s="69"/>
      <c r="W264" s="70"/>
      <c r="X264" s="70"/>
      <c r="Y264" s="70"/>
      <c r="Z264" s="70"/>
      <c r="AA264" s="69"/>
      <c r="AB264" s="70"/>
      <c r="AC264" s="70"/>
      <c r="AD264" s="70"/>
      <c r="AE264" s="70"/>
      <c r="AF264" s="69"/>
      <c r="AG264" s="70"/>
      <c r="AH264" s="70"/>
      <c r="AI264" s="70"/>
      <c r="AJ264" s="70"/>
      <c r="AK264" s="69"/>
      <c r="AL264" s="70"/>
      <c r="AM264" s="70"/>
      <c r="AN264" s="70"/>
      <c r="AO264" s="70"/>
      <c r="AP264" s="69"/>
      <c r="AQ264" s="70"/>
      <c r="AR264" s="70"/>
      <c r="AS264" s="70"/>
      <c r="AT264" s="70"/>
      <c r="AU264" s="69"/>
      <c r="AV264" s="70"/>
      <c r="AW264" s="70"/>
      <c r="AX264" s="70"/>
      <c r="AY264" s="70"/>
      <c r="AZ264" s="69"/>
      <c r="BA264" s="70"/>
      <c r="BB264" s="70"/>
      <c r="BC264" s="70"/>
      <c r="BD264" s="70"/>
      <c r="BE264" s="69"/>
      <c r="BF264" s="70"/>
      <c r="BG264" s="70"/>
      <c r="BH264" s="70"/>
      <c r="BI264" s="70"/>
      <c r="BJ264" s="69"/>
      <c r="BK264" s="70"/>
      <c r="BL264" s="70"/>
      <c r="BM264" s="70"/>
      <c r="BN264" s="70"/>
      <c r="BO264" s="69"/>
      <c r="BP264" s="70"/>
      <c r="BQ264" s="70"/>
      <c r="BR264" s="70"/>
      <c r="BS264" s="70"/>
      <c r="BT264" s="69"/>
      <c r="BU264" s="70"/>
      <c r="BV264" s="70"/>
      <c r="BW264" s="70"/>
      <c r="BX264" s="70"/>
      <c r="BY264" s="69"/>
      <c r="BZ264" s="69"/>
      <c r="CA264" s="69"/>
      <c r="CB264" s="69"/>
      <c r="CC264" s="69"/>
      <c r="CD264" s="69"/>
      <c r="CE264" s="69"/>
      <c r="CF264" s="69"/>
    </row>
    <row r="265" spans="1:84" x14ac:dyDescent="0.25">
      <c r="A265" s="166">
        <v>1</v>
      </c>
      <c r="B265" s="167"/>
      <c r="C265" s="9">
        <v>0.05</v>
      </c>
      <c r="D265" s="9">
        <v>0.05</v>
      </c>
      <c r="E265" s="9">
        <v>0.05</v>
      </c>
      <c r="F265" s="9">
        <v>0.05</v>
      </c>
      <c r="G265" s="69">
        <v>0.05</v>
      </c>
      <c r="H265" s="9">
        <v>0.05</v>
      </c>
      <c r="I265" s="9">
        <v>0.05</v>
      </c>
      <c r="J265" s="9">
        <v>0.05</v>
      </c>
      <c r="K265" s="9">
        <v>0.05</v>
      </c>
      <c r="L265" s="69">
        <v>0.05</v>
      </c>
      <c r="M265" s="9">
        <v>0.05</v>
      </c>
      <c r="N265" s="9">
        <v>0.05</v>
      </c>
      <c r="O265" s="9">
        <v>0.05</v>
      </c>
      <c r="P265" s="9">
        <v>0.05</v>
      </c>
      <c r="Q265" s="69">
        <v>0.05</v>
      </c>
      <c r="R265" s="9">
        <v>0.05</v>
      </c>
      <c r="S265" s="9">
        <v>0.05</v>
      </c>
      <c r="T265" s="9">
        <v>0.05</v>
      </c>
      <c r="U265" s="9">
        <v>0.05</v>
      </c>
      <c r="V265" s="69">
        <v>0.05</v>
      </c>
      <c r="W265" s="9">
        <v>0.05</v>
      </c>
      <c r="X265" s="9">
        <v>0.05</v>
      </c>
      <c r="Y265" s="9">
        <v>0.05</v>
      </c>
      <c r="Z265" s="9">
        <v>0.05</v>
      </c>
      <c r="AA265" s="69">
        <v>0.05</v>
      </c>
      <c r="AB265" s="9">
        <v>0.05</v>
      </c>
      <c r="AC265" s="9">
        <v>0.05</v>
      </c>
      <c r="AD265" s="9">
        <v>0.05</v>
      </c>
      <c r="AE265" s="9">
        <v>0.05</v>
      </c>
      <c r="AF265" s="69">
        <v>0.05</v>
      </c>
      <c r="AG265" s="9">
        <v>0.05</v>
      </c>
      <c r="AH265" s="9">
        <v>0.05</v>
      </c>
      <c r="AI265" s="9">
        <v>0.05</v>
      </c>
      <c r="AJ265" s="9">
        <v>0.05</v>
      </c>
      <c r="AK265" s="69">
        <v>0.05</v>
      </c>
      <c r="AL265" s="9">
        <v>0.05</v>
      </c>
      <c r="AM265" s="9">
        <v>0.05</v>
      </c>
      <c r="AN265" s="9">
        <v>0.05</v>
      </c>
      <c r="AO265" s="9">
        <v>0.05</v>
      </c>
      <c r="AP265" s="69">
        <v>0.05</v>
      </c>
      <c r="AQ265" s="9">
        <v>0.05</v>
      </c>
      <c r="AR265" s="9">
        <v>0.05</v>
      </c>
      <c r="AS265" s="9">
        <v>0.05</v>
      </c>
      <c r="AT265" s="9">
        <v>0.05</v>
      </c>
      <c r="AU265" s="69">
        <v>0.05</v>
      </c>
      <c r="AV265" s="9">
        <v>0.05</v>
      </c>
      <c r="AW265" s="9">
        <v>0.05</v>
      </c>
      <c r="AX265" s="9">
        <v>0.05</v>
      </c>
      <c r="AY265" s="9">
        <v>0.05</v>
      </c>
      <c r="AZ265" s="69">
        <v>0.05</v>
      </c>
      <c r="BA265" s="9">
        <v>0.05</v>
      </c>
      <c r="BB265" s="9">
        <v>0.05</v>
      </c>
      <c r="BC265" s="9">
        <v>0.05</v>
      </c>
      <c r="BD265" s="9">
        <v>0.05</v>
      </c>
      <c r="BE265" s="69">
        <v>0.05</v>
      </c>
      <c r="BF265" s="9">
        <v>0.05</v>
      </c>
      <c r="BG265" s="9">
        <v>0.05</v>
      </c>
      <c r="BH265" s="9">
        <v>0.05</v>
      </c>
      <c r="BI265" s="9">
        <v>0.05</v>
      </c>
      <c r="BJ265" s="69">
        <v>0.05</v>
      </c>
      <c r="BK265" s="9">
        <v>0.05</v>
      </c>
      <c r="BL265" s="9">
        <v>0.05</v>
      </c>
      <c r="BM265" s="9">
        <v>0.05</v>
      </c>
      <c r="BN265" s="9">
        <v>0.05</v>
      </c>
      <c r="BO265" s="69">
        <v>0.05</v>
      </c>
      <c r="BP265" s="9">
        <v>0.05</v>
      </c>
      <c r="BQ265" s="9">
        <v>0.05</v>
      </c>
      <c r="BR265" s="9">
        <v>0.05</v>
      </c>
      <c r="BS265" s="9">
        <v>0.05</v>
      </c>
      <c r="BT265" s="69">
        <v>0.05</v>
      </c>
      <c r="BU265" s="9">
        <v>0.05</v>
      </c>
      <c r="BV265" s="9">
        <v>0.05</v>
      </c>
      <c r="BW265" s="9">
        <v>0.05</v>
      </c>
      <c r="BX265" s="9">
        <v>0.05</v>
      </c>
      <c r="BY265" s="69">
        <v>0.05</v>
      </c>
      <c r="BZ265" s="69">
        <v>0.05</v>
      </c>
      <c r="CA265" s="69">
        <v>0.05</v>
      </c>
      <c r="CB265" s="69">
        <v>0.05</v>
      </c>
      <c r="CC265" s="69">
        <v>0.05</v>
      </c>
      <c r="CD265" s="69">
        <v>0.05</v>
      </c>
      <c r="CE265" s="69">
        <v>0.05</v>
      </c>
      <c r="CF265" s="69">
        <v>0.05</v>
      </c>
    </row>
    <row r="266" spans="1:84" x14ac:dyDescent="0.25">
      <c r="A266" s="166">
        <v>2</v>
      </c>
      <c r="B266" s="167"/>
      <c r="C266" s="9">
        <v>0.06</v>
      </c>
      <c r="D266" s="9">
        <v>0.06</v>
      </c>
      <c r="E266" s="9">
        <v>0.06</v>
      </c>
      <c r="F266" s="9">
        <v>0.06</v>
      </c>
      <c r="G266" s="69">
        <v>0.06</v>
      </c>
      <c r="H266" s="9">
        <v>0.06</v>
      </c>
      <c r="I266" s="9">
        <v>0.06</v>
      </c>
      <c r="J266" s="9">
        <v>0.06</v>
      </c>
      <c r="K266" s="9">
        <v>0.06</v>
      </c>
      <c r="L266" s="69">
        <v>0.06</v>
      </c>
      <c r="M266" s="9">
        <v>0.06</v>
      </c>
      <c r="N266" s="9">
        <v>0.06</v>
      </c>
      <c r="O266" s="9">
        <v>0.06</v>
      </c>
      <c r="P266" s="9">
        <v>0.06</v>
      </c>
      <c r="Q266" s="69">
        <v>0.06</v>
      </c>
      <c r="R266" s="9">
        <v>0.06</v>
      </c>
      <c r="S266" s="9">
        <v>0.06</v>
      </c>
      <c r="T266" s="9">
        <v>0.06</v>
      </c>
      <c r="U266" s="9">
        <v>0.06</v>
      </c>
      <c r="V266" s="69">
        <v>0.06</v>
      </c>
      <c r="W266" s="9">
        <v>0.06</v>
      </c>
      <c r="X266" s="9">
        <v>0.06</v>
      </c>
      <c r="Y266" s="9">
        <v>0.06</v>
      </c>
      <c r="Z266" s="9">
        <v>0.06</v>
      </c>
      <c r="AA266" s="69">
        <v>0.06</v>
      </c>
      <c r="AB266" s="9">
        <v>0.06</v>
      </c>
      <c r="AC266" s="9">
        <v>0.06</v>
      </c>
      <c r="AD266" s="9">
        <v>0.06</v>
      </c>
      <c r="AE266" s="9">
        <v>0.06</v>
      </c>
      <c r="AF266" s="69">
        <v>0.06</v>
      </c>
      <c r="AG266" s="9">
        <v>0.06</v>
      </c>
      <c r="AH266" s="9">
        <v>0.06</v>
      </c>
      <c r="AI266" s="9">
        <v>0.06</v>
      </c>
      <c r="AJ266" s="9">
        <v>0.06</v>
      </c>
      <c r="AK266" s="69">
        <v>0.06</v>
      </c>
      <c r="AL266" s="9">
        <v>0.06</v>
      </c>
      <c r="AM266" s="9">
        <v>0.06</v>
      </c>
      <c r="AN266" s="9">
        <v>0.06</v>
      </c>
      <c r="AO266" s="9">
        <v>0.06</v>
      </c>
      <c r="AP266" s="69">
        <v>0.06</v>
      </c>
      <c r="AQ266" s="9">
        <v>0.06</v>
      </c>
      <c r="AR266" s="9">
        <v>0.06</v>
      </c>
      <c r="AS266" s="9">
        <v>0.06</v>
      </c>
      <c r="AT266" s="9">
        <v>0.06</v>
      </c>
      <c r="AU266" s="69">
        <v>0.06</v>
      </c>
      <c r="AV266" s="9">
        <v>0.06</v>
      </c>
      <c r="AW266" s="9">
        <v>0.06</v>
      </c>
      <c r="AX266" s="9">
        <v>0.06</v>
      </c>
      <c r="AY266" s="9">
        <v>0.06</v>
      </c>
      <c r="AZ266" s="69">
        <v>0.06</v>
      </c>
      <c r="BA266" s="9">
        <v>0.06</v>
      </c>
      <c r="BB266" s="9">
        <v>0.06</v>
      </c>
      <c r="BC266" s="9">
        <v>0.06</v>
      </c>
      <c r="BD266" s="9">
        <v>0.06</v>
      </c>
      <c r="BE266" s="69">
        <v>0.06</v>
      </c>
      <c r="BF266" s="9">
        <v>0.06</v>
      </c>
      <c r="BG266" s="9">
        <v>0.06</v>
      </c>
      <c r="BH266" s="9">
        <v>0.06</v>
      </c>
      <c r="BI266" s="9">
        <v>0.06</v>
      </c>
      <c r="BJ266" s="69">
        <v>0.06</v>
      </c>
      <c r="BK266" s="9">
        <v>0.06</v>
      </c>
      <c r="BL266" s="9">
        <v>0.06</v>
      </c>
      <c r="BM266" s="9">
        <v>0.06</v>
      </c>
      <c r="BN266" s="9">
        <v>0.06</v>
      </c>
      <c r="BO266" s="69">
        <v>0.06</v>
      </c>
      <c r="BP266" s="9">
        <v>0.06</v>
      </c>
      <c r="BQ266" s="9">
        <v>0.06</v>
      </c>
      <c r="BR266" s="9">
        <v>0.06</v>
      </c>
      <c r="BS266" s="9">
        <v>0.06</v>
      </c>
      <c r="BT266" s="69">
        <v>0.06</v>
      </c>
      <c r="BU266" s="9">
        <v>0.06</v>
      </c>
      <c r="BV266" s="9">
        <v>0.06</v>
      </c>
      <c r="BW266" s="9">
        <v>0.06</v>
      </c>
      <c r="BX266" s="9">
        <v>0.06</v>
      </c>
      <c r="BY266" s="69">
        <v>0.06</v>
      </c>
      <c r="BZ266" s="69">
        <v>0.06</v>
      </c>
      <c r="CA266" s="69">
        <v>0.06</v>
      </c>
      <c r="CB266" s="69">
        <v>0.06</v>
      </c>
      <c r="CC266" s="69">
        <v>0.06</v>
      </c>
      <c r="CD266" s="69">
        <v>0.06</v>
      </c>
      <c r="CE266" s="69">
        <v>0.06</v>
      </c>
      <c r="CF266" s="69">
        <v>0.06</v>
      </c>
    </row>
    <row r="267" spans="1:84" x14ac:dyDescent="0.25">
      <c r="A267" s="166">
        <v>3</v>
      </c>
      <c r="B267" s="167"/>
      <c r="C267" s="9">
        <v>0.09</v>
      </c>
      <c r="D267" s="9">
        <v>0.09</v>
      </c>
      <c r="E267" s="9">
        <v>0.09</v>
      </c>
      <c r="F267" s="9">
        <v>0.09</v>
      </c>
      <c r="G267" s="69">
        <v>0.09</v>
      </c>
      <c r="H267" s="9">
        <v>0.09</v>
      </c>
      <c r="I267" s="9">
        <v>0.09</v>
      </c>
      <c r="J267" s="9">
        <v>0.09</v>
      </c>
      <c r="K267" s="9">
        <v>0.09</v>
      </c>
      <c r="L267" s="69">
        <v>0.09</v>
      </c>
      <c r="M267" s="9">
        <v>0.09</v>
      </c>
      <c r="N267" s="9">
        <v>0.09</v>
      </c>
      <c r="O267" s="9">
        <v>0.09</v>
      </c>
      <c r="P267" s="9">
        <v>0.09</v>
      </c>
      <c r="Q267" s="69">
        <v>0.09</v>
      </c>
      <c r="R267" s="9">
        <v>0.09</v>
      </c>
      <c r="S267" s="9">
        <v>0.09</v>
      </c>
      <c r="T267" s="9">
        <v>0.09</v>
      </c>
      <c r="U267" s="9">
        <v>0.09</v>
      </c>
      <c r="V267" s="69">
        <v>0.09</v>
      </c>
      <c r="W267" s="9">
        <v>0.09</v>
      </c>
      <c r="X267" s="9">
        <v>0.09</v>
      </c>
      <c r="Y267" s="9">
        <v>0.09</v>
      </c>
      <c r="Z267" s="9">
        <v>0.09</v>
      </c>
      <c r="AA267" s="69">
        <v>0.09</v>
      </c>
      <c r="AB267" s="9">
        <v>0.09</v>
      </c>
      <c r="AC267" s="9">
        <v>0.09</v>
      </c>
      <c r="AD267" s="9">
        <v>0.09</v>
      </c>
      <c r="AE267" s="9">
        <v>0.09</v>
      </c>
      <c r="AF267" s="69">
        <v>0.09</v>
      </c>
      <c r="AG267" s="9">
        <v>0.09</v>
      </c>
      <c r="AH267" s="9">
        <v>0.09</v>
      </c>
      <c r="AI267" s="9">
        <v>0.09</v>
      </c>
      <c r="AJ267" s="9">
        <v>0.09</v>
      </c>
      <c r="AK267" s="69">
        <v>0.09</v>
      </c>
      <c r="AL267" s="9">
        <v>0.09</v>
      </c>
      <c r="AM267" s="9">
        <v>0.09</v>
      </c>
      <c r="AN267" s="9">
        <v>0.09</v>
      </c>
      <c r="AO267" s="9">
        <v>0.09</v>
      </c>
      <c r="AP267" s="69">
        <v>0.09</v>
      </c>
      <c r="AQ267" s="9">
        <v>0.09</v>
      </c>
      <c r="AR267" s="9">
        <v>0.09</v>
      </c>
      <c r="AS267" s="9">
        <v>0.09</v>
      </c>
      <c r="AT267" s="9">
        <v>0.09</v>
      </c>
      <c r="AU267" s="69">
        <v>0.09</v>
      </c>
      <c r="AV267" s="9">
        <v>0.09</v>
      </c>
      <c r="AW267" s="9">
        <v>0.09</v>
      </c>
      <c r="AX267" s="9">
        <v>0.09</v>
      </c>
      <c r="AY267" s="9">
        <v>0.09</v>
      </c>
      <c r="AZ267" s="69">
        <v>0.09</v>
      </c>
      <c r="BA267" s="9">
        <v>0.09</v>
      </c>
      <c r="BB267" s="9">
        <v>0.09</v>
      </c>
      <c r="BC267" s="9">
        <v>0.09</v>
      </c>
      <c r="BD267" s="9">
        <v>0.09</v>
      </c>
      <c r="BE267" s="69">
        <v>0.09</v>
      </c>
      <c r="BF267" s="9">
        <v>0.09</v>
      </c>
      <c r="BG267" s="9">
        <v>0.09</v>
      </c>
      <c r="BH267" s="9">
        <v>0.09</v>
      </c>
      <c r="BI267" s="9">
        <v>0.09</v>
      </c>
      <c r="BJ267" s="69">
        <v>0.09</v>
      </c>
      <c r="BK267" s="9">
        <v>0.09</v>
      </c>
      <c r="BL267" s="9">
        <v>0.09</v>
      </c>
      <c r="BM267" s="9">
        <v>0.09</v>
      </c>
      <c r="BN267" s="9">
        <v>0.09</v>
      </c>
      <c r="BO267" s="69">
        <v>0.09</v>
      </c>
      <c r="BP267" s="9">
        <v>0.09</v>
      </c>
      <c r="BQ267" s="9">
        <v>0.09</v>
      </c>
      <c r="BR267" s="9">
        <v>0.09</v>
      </c>
      <c r="BS267" s="9">
        <v>0.09</v>
      </c>
      <c r="BT267" s="69">
        <v>0.09</v>
      </c>
      <c r="BU267" s="9">
        <v>0.09</v>
      </c>
      <c r="BV267" s="9">
        <v>0.09</v>
      </c>
      <c r="BW267" s="9">
        <v>0.09</v>
      </c>
      <c r="BX267" s="9">
        <v>0.09</v>
      </c>
      <c r="BY267" s="69">
        <v>0.09</v>
      </c>
      <c r="BZ267" s="69">
        <v>0.09</v>
      </c>
      <c r="CA267" s="69">
        <v>0.09</v>
      </c>
      <c r="CB267" s="69">
        <v>0.09</v>
      </c>
      <c r="CC267" s="69">
        <v>0.09</v>
      </c>
      <c r="CD267" s="69">
        <v>0.09</v>
      </c>
      <c r="CE267" s="69">
        <v>0.09</v>
      </c>
      <c r="CF267" s="69">
        <v>0.09</v>
      </c>
    </row>
    <row r="268" spans="1:84" x14ac:dyDescent="0.25">
      <c r="A268" s="166">
        <v>4</v>
      </c>
      <c r="B268" s="167"/>
      <c r="C268" s="9">
        <v>0.12</v>
      </c>
      <c r="D268" s="9">
        <v>0.12</v>
      </c>
      <c r="E268" s="9">
        <v>0.12</v>
      </c>
      <c r="F268" s="9">
        <v>0.12</v>
      </c>
      <c r="G268" s="69">
        <v>0.12</v>
      </c>
      <c r="H268" s="9">
        <v>0.12</v>
      </c>
      <c r="I268" s="9">
        <v>0.12</v>
      </c>
      <c r="J268" s="9">
        <v>0.12</v>
      </c>
      <c r="K268" s="9">
        <v>0.12</v>
      </c>
      <c r="L268" s="69">
        <v>0.12</v>
      </c>
      <c r="M268" s="9">
        <v>0.12</v>
      </c>
      <c r="N268" s="9">
        <v>0.12</v>
      </c>
      <c r="O268" s="9">
        <v>0.12</v>
      </c>
      <c r="P268" s="9">
        <v>0.12</v>
      </c>
      <c r="Q268" s="69">
        <v>0.12</v>
      </c>
      <c r="R268" s="9">
        <v>0.12</v>
      </c>
      <c r="S268" s="9">
        <v>0.12</v>
      </c>
      <c r="T268" s="9">
        <v>0.12</v>
      </c>
      <c r="U268" s="9">
        <v>0.12</v>
      </c>
      <c r="V268" s="69">
        <v>0.12</v>
      </c>
      <c r="W268" s="9">
        <v>0.12</v>
      </c>
      <c r="X268" s="9">
        <v>0.12</v>
      </c>
      <c r="Y268" s="9">
        <v>0.12</v>
      </c>
      <c r="Z268" s="9">
        <v>0.12</v>
      </c>
      <c r="AA268" s="69">
        <v>0.12</v>
      </c>
      <c r="AB268" s="9">
        <v>0.12</v>
      </c>
      <c r="AC268" s="9">
        <v>0.12</v>
      </c>
      <c r="AD268" s="9">
        <v>0.12</v>
      </c>
      <c r="AE268" s="9">
        <v>0.12</v>
      </c>
      <c r="AF268" s="69">
        <v>0.12</v>
      </c>
      <c r="AG268" s="9">
        <v>0.12</v>
      </c>
      <c r="AH268" s="9">
        <v>0.12</v>
      </c>
      <c r="AI268" s="9">
        <v>0.12</v>
      </c>
      <c r="AJ268" s="9">
        <v>0.12</v>
      </c>
      <c r="AK268" s="69">
        <v>0.12</v>
      </c>
      <c r="AL268" s="9">
        <v>0.12</v>
      </c>
      <c r="AM268" s="9">
        <v>0.12</v>
      </c>
      <c r="AN268" s="9">
        <v>0.12</v>
      </c>
      <c r="AO268" s="9">
        <v>0.12</v>
      </c>
      <c r="AP268" s="69">
        <v>0.12</v>
      </c>
      <c r="AQ268" s="9">
        <v>0.12</v>
      </c>
      <c r="AR268" s="9">
        <v>0.12</v>
      </c>
      <c r="AS268" s="9">
        <v>0.12</v>
      </c>
      <c r="AT268" s="9">
        <v>0.12</v>
      </c>
      <c r="AU268" s="69">
        <v>0.12</v>
      </c>
      <c r="AV268" s="9">
        <v>0.12</v>
      </c>
      <c r="AW268" s="9">
        <v>0.12</v>
      </c>
      <c r="AX268" s="9">
        <v>0.12</v>
      </c>
      <c r="AY268" s="9">
        <v>0.12</v>
      </c>
      <c r="AZ268" s="69">
        <v>0.12</v>
      </c>
      <c r="BA268" s="9">
        <v>0.12</v>
      </c>
      <c r="BB268" s="9">
        <v>0.12</v>
      </c>
      <c r="BC268" s="9">
        <v>0.12</v>
      </c>
      <c r="BD268" s="9">
        <v>0.12</v>
      </c>
      <c r="BE268" s="69">
        <v>0.12</v>
      </c>
      <c r="BF268" s="9">
        <v>0.12</v>
      </c>
      <c r="BG268" s="9">
        <v>0.12</v>
      </c>
      <c r="BH268" s="9">
        <v>0.12</v>
      </c>
      <c r="BI268" s="9">
        <v>0.12</v>
      </c>
      <c r="BJ268" s="69">
        <v>0.12</v>
      </c>
      <c r="BK268" s="9">
        <v>0.12</v>
      </c>
      <c r="BL268" s="9">
        <v>0.12</v>
      </c>
      <c r="BM268" s="9">
        <v>0.12</v>
      </c>
      <c r="BN268" s="9">
        <v>0.12</v>
      </c>
      <c r="BO268" s="69">
        <v>0.12</v>
      </c>
      <c r="BP268" s="9">
        <v>0.12</v>
      </c>
      <c r="BQ268" s="9">
        <v>0.12</v>
      </c>
      <c r="BR268" s="9">
        <v>0.12</v>
      </c>
      <c r="BS268" s="9">
        <v>0.12</v>
      </c>
      <c r="BT268" s="69">
        <v>0.12</v>
      </c>
      <c r="BU268" s="9">
        <v>0.12</v>
      </c>
      <c r="BV268" s="9">
        <v>0.12</v>
      </c>
      <c r="BW268" s="9">
        <v>0.12</v>
      </c>
      <c r="BX268" s="9">
        <v>0.12</v>
      </c>
      <c r="BY268" s="69">
        <v>0.12</v>
      </c>
      <c r="BZ268" s="69">
        <v>0.12</v>
      </c>
      <c r="CA268" s="69">
        <v>0.12</v>
      </c>
      <c r="CB268" s="69">
        <v>0.12</v>
      </c>
      <c r="CC268" s="69">
        <v>0.12</v>
      </c>
      <c r="CD268" s="69">
        <v>0.12</v>
      </c>
      <c r="CE268" s="69">
        <v>0.12</v>
      </c>
      <c r="CF268" s="69">
        <v>0.12</v>
      </c>
    </row>
    <row r="269" spans="1:84" x14ac:dyDescent="0.25">
      <c r="A269" s="166">
        <v>5</v>
      </c>
      <c r="B269" s="167"/>
      <c r="C269" s="9">
        <v>0.14000000000000001</v>
      </c>
      <c r="D269" s="9">
        <v>0.14000000000000001</v>
      </c>
      <c r="E269" s="9">
        <v>0.14000000000000001</v>
      </c>
      <c r="F269" s="9">
        <v>0.14000000000000001</v>
      </c>
      <c r="G269" s="69">
        <v>0.14000000000000001</v>
      </c>
      <c r="H269" s="9">
        <v>0.14000000000000001</v>
      </c>
      <c r="I269" s="9">
        <v>0.14000000000000001</v>
      </c>
      <c r="J269" s="9">
        <v>0.14000000000000001</v>
      </c>
      <c r="K269" s="9">
        <v>0.14000000000000001</v>
      </c>
      <c r="L269" s="69">
        <v>0.14000000000000001</v>
      </c>
      <c r="M269" s="9">
        <v>0.14000000000000001</v>
      </c>
      <c r="N269" s="9">
        <v>0.14000000000000001</v>
      </c>
      <c r="O269" s="9">
        <v>0.14000000000000001</v>
      </c>
      <c r="P269" s="9">
        <v>0.14000000000000001</v>
      </c>
      <c r="Q269" s="69">
        <v>0.14000000000000001</v>
      </c>
      <c r="R269" s="9">
        <v>0.14000000000000001</v>
      </c>
      <c r="S269" s="9">
        <v>0.14000000000000001</v>
      </c>
      <c r="T269" s="9">
        <v>0.14000000000000001</v>
      </c>
      <c r="U269" s="9">
        <v>0.14000000000000001</v>
      </c>
      <c r="V269" s="69">
        <v>0.14000000000000001</v>
      </c>
      <c r="W269" s="9">
        <v>0.14000000000000001</v>
      </c>
      <c r="X269" s="9">
        <v>0.14000000000000001</v>
      </c>
      <c r="Y269" s="9">
        <v>0.14000000000000001</v>
      </c>
      <c r="Z269" s="9">
        <v>0.14000000000000001</v>
      </c>
      <c r="AA269" s="69">
        <v>0.14000000000000001</v>
      </c>
      <c r="AB269" s="9">
        <v>0.14000000000000001</v>
      </c>
      <c r="AC269" s="9">
        <v>0.14000000000000001</v>
      </c>
      <c r="AD269" s="9">
        <v>0.14000000000000001</v>
      </c>
      <c r="AE269" s="9">
        <v>0.14000000000000001</v>
      </c>
      <c r="AF269" s="69">
        <v>0.14000000000000001</v>
      </c>
      <c r="AG269" s="9">
        <v>0.14000000000000001</v>
      </c>
      <c r="AH269" s="9">
        <v>0.14000000000000001</v>
      </c>
      <c r="AI269" s="9">
        <v>0.14000000000000001</v>
      </c>
      <c r="AJ269" s="9">
        <v>0.14000000000000001</v>
      </c>
      <c r="AK269" s="69">
        <v>0.14000000000000001</v>
      </c>
      <c r="AL269" s="9">
        <v>0.14000000000000001</v>
      </c>
      <c r="AM269" s="9">
        <v>0.14000000000000001</v>
      </c>
      <c r="AN269" s="9">
        <v>0.14000000000000001</v>
      </c>
      <c r="AO269" s="9">
        <v>0.14000000000000001</v>
      </c>
      <c r="AP269" s="69">
        <v>0.14000000000000001</v>
      </c>
      <c r="AQ269" s="9">
        <v>0.14000000000000001</v>
      </c>
      <c r="AR269" s="9">
        <v>0.14000000000000001</v>
      </c>
      <c r="AS269" s="9">
        <v>0.14000000000000001</v>
      </c>
      <c r="AT269" s="9">
        <v>0.14000000000000001</v>
      </c>
      <c r="AU269" s="69">
        <v>0.14000000000000001</v>
      </c>
      <c r="AV269" s="9">
        <v>0.14000000000000001</v>
      </c>
      <c r="AW269" s="9">
        <v>0.14000000000000001</v>
      </c>
      <c r="AX269" s="9">
        <v>0.14000000000000001</v>
      </c>
      <c r="AY269" s="9">
        <v>0.14000000000000001</v>
      </c>
      <c r="AZ269" s="69">
        <v>0.14000000000000001</v>
      </c>
      <c r="BA269" s="9">
        <v>0.14000000000000001</v>
      </c>
      <c r="BB269" s="9">
        <v>0.14000000000000001</v>
      </c>
      <c r="BC269" s="9">
        <v>0.14000000000000001</v>
      </c>
      <c r="BD269" s="9">
        <v>0.14000000000000001</v>
      </c>
      <c r="BE269" s="69">
        <v>0.14000000000000001</v>
      </c>
      <c r="BF269" s="9">
        <v>0.14000000000000001</v>
      </c>
      <c r="BG269" s="9">
        <v>0.14000000000000001</v>
      </c>
      <c r="BH269" s="9">
        <v>0.14000000000000001</v>
      </c>
      <c r="BI269" s="9">
        <v>0.14000000000000001</v>
      </c>
      <c r="BJ269" s="69">
        <v>0.14000000000000001</v>
      </c>
      <c r="BK269" s="9">
        <v>0.14000000000000001</v>
      </c>
      <c r="BL269" s="9">
        <v>0.14000000000000001</v>
      </c>
      <c r="BM269" s="9">
        <v>0.14000000000000001</v>
      </c>
      <c r="BN269" s="9">
        <v>0.14000000000000001</v>
      </c>
      <c r="BO269" s="69">
        <v>0.14000000000000001</v>
      </c>
      <c r="BP269" s="9">
        <v>0.14000000000000001</v>
      </c>
      <c r="BQ269" s="9">
        <v>0.14000000000000001</v>
      </c>
      <c r="BR269" s="9">
        <v>0.14000000000000001</v>
      </c>
      <c r="BS269" s="9">
        <v>0.14000000000000001</v>
      </c>
      <c r="BT269" s="69">
        <v>0.14000000000000001</v>
      </c>
      <c r="BU269" s="9">
        <v>0.14000000000000001</v>
      </c>
      <c r="BV269" s="9">
        <v>0.14000000000000001</v>
      </c>
      <c r="BW269" s="9">
        <v>0.14000000000000001</v>
      </c>
      <c r="BX269" s="9">
        <v>0.14000000000000001</v>
      </c>
      <c r="BY269" s="69">
        <v>0.14000000000000001</v>
      </c>
      <c r="BZ269" s="69">
        <v>0.14000000000000001</v>
      </c>
      <c r="CA269" s="69">
        <v>0.14000000000000001</v>
      </c>
      <c r="CB269" s="69">
        <v>0.14000000000000001</v>
      </c>
      <c r="CC269" s="69">
        <v>0.14000000000000001</v>
      </c>
      <c r="CD269" s="69">
        <v>0.14000000000000001</v>
      </c>
      <c r="CE269" s="69">
        <v>0.14000000000000001</v>
      </c>
      <c r="CF269" s="69">
        <v>0.14000000000000001</v>
      </c>
    </row>
    <row r="270" spans="1:84" x14ac:dyDescent="0.25">
      <c r="A270" s="166"/>
      <c r="B270" s="167"/>
      <c r="C270" s="70"/>
      <c r="D270" s="70"/>
      <c r="E270" s="70"/>
      <c r="F270" s="70"/>
      <c r="G270" s="69"/>
      <c r="H270" s="70"/>
      <c r="I270" s="70"/>
      <c r="J270" s="70"/>
      <c r="K270" s="70"/>
      <c r="L270" s="69"/>
      <c r="M270" s="70"/>
      <c r="N270" s="70"/>
      <c r="O270" s="70"/>
      <c r="P270" s="70"/>
      <c r="Q270" s="69"/>
      <c r="R270" s="70"/>
      <c r="S270" s="70"/>
      <c r="T270" s="70"/>
      <c r="U270" s="70"/>
      <c r="V270" s="69"/>
      <c r="W270" s="70"/>
      <c r="X270" s="70"/>
      <c r="Y270" s="70"/>
      <c r="Z270" s="70"/>
      <c r="AA270" s="69"/>
      <c r="AB270" s="70"/>
      <c r="AC270" s="70"/>
      <c r="AD270" s="70"/>
      <c r="AE270" s="70"/>
      <c r="AF270" s="69"/>
      <c r="AG270" s="70"/>
      <c r="AH270" s="70"/>
      <c r="AI270" s="70"/>
      <c r="AJ270" s="70"/>
      <c r="AK270" s="69"/>
      <c r="AL270" s="70"/>
      <c r="AM270" s="70"/>
      <c r="AN270" s="70"/>
      <c r="AO270" s="70"/>
      <c r="AP270" s="69"/>
      <c r="AQ270" s="70"/>
      <c r="AR270" s="70"/>
      <c r="AS270" s="70"/>
      <c r="AT270" s="70"/>
      <c r="AU270" s="69"/>
      <c r="AV270" s="70"/>
      <c r="AW270" s="70"/>
      <c r="AX270" s="70"/>
      <c r="AY270" s="70"/>
      <c r="AZ270" s="69"/>
      <c r="BA270" s="70"/>
      <c r="BB270" s="70"/>
      <c r="BC270" s="70"/>
      <c r="BD270" s="70"/>
      <c r="BE270" s="69"/>
      <c r="BF270" s="70"/>
      <c r="BG270" s="70"/>
      <c r="BH270" s="70"/>
      <c r="BI270" s="70"/>
      <c r="BJ270" s="69"/>
      <c r="BK270" s="70"/>
      <c r="BL270" s="70"/>
      <c r="BM270" s="70"/>
      <c r="BN270" s="70"/>
      <c r="BO270" s="69"/>
      <c r="BP270" s="70"/>
      <c r="BQ270" s="70"/>
      <c r="BR270" s="70"/>
      <c r="BS270" s="70"/>
      <c r="BT270" s="69"/>
      <c r="BU270" s="70"/>
      <c r="BV270" s="70"/>
      <c r="BW270" s="70"/>
      <c r="BX270" s="70"/>
      <c r="BY270" s="69"/>
      <c r="BZ270" s="69"/>
      <c r="CA270" s="69"/>
      <c r="CB270" s="69"/>
      <c r="CC270" s="69"/>
      <c r="CD270" s="69"/>
      <c r="CE270" s="69"/>
      <c r="CF270" s="69"/>
    </row>
    <row r="271" spans="1:84" x14ac:dyDescent="0.25">
      <c r="A271" s="2"/>
      <c r="B271" s="2"/>
      <c r="C271" s="4"/>
      <c r="D271" s="4"/>
      <c r="E271" s="4"/>
      <c r="F271" s="4"/>
      <c r="G271" s="55"/>
      <c r="H271" s="4"/>
      <c r="I271" s="4"/>
      <c r="J271" s="4"/>
      <c r="K271" s="4"/>
      <c r="L271" s="55"/>
      <c r="M271" s="4"/>
      <c r="N271" s="4"/>
      <c r="O271" s="4"/>
      <c r="P271" s="4"/>
      <c r="Q271" s="55"/>
      <c r="R271" s="4"/>
      <c r="S271" s="4"/>
      <c r="T271" s="4"/>
      <c r="U271" s="4"/>
      <c r="V271" s="55"/>
      <c r="W271" s="4"/>
      <c r="X271" s="4"/>
      <c r="Y271" s="4"/>
      <c r="Z271" s="4"/>
      <c r="AA271" s="55"/>
      <c r="AB271" s="4"/>
      <c r="AC271" s="4"/>
      <c r="AD271" s="4"/>
      <c r="AE271" s="4"/>
      <c r="AF271" s="55"/>
      <c r="AG271" s="4"/>
      <c r="AH271" s="4"/>
      <c r="AI271" s="4"/>
      <c r="AJ271" s="4"/>
      <c r="AK271" s="55"/>
      <c r="AL271" s="4"/>
      <c r="AM271" s="4"/>
      <c r="AN271" s="4"/>
      <c r="AO271" s="4"/>
      <c r="AP271" s="55"/>
      <c r="AQ271" s="4"/>
      <c r="AR271" s="4"/>
      <c r="AS271" s="4"/>
      <c r="AT271" s="4"/>
      <c r="AU271" s="55"/>
      <c r="AV271" s="4"/>
      <c r="AW271" s="4"/>
      <c r="AX271" s="4"/>
      <c r="AY271" s="4"/>
      <c r="AZ271" s="55"/>
      <c r="BA271" s="4"/>
      <c r="BB271" s="4"/>
      <c r="BC271" s="4"/>
      <c r="BD271" s="4"/>
      <c r="BE271" s="55"/>
      <c r="BF271" s="4"/>
      <c r="BG271" s="4"/>
      <c r="BH271" s="4"/>
      <c r="BI271" s="4"/>
      <c r="BJ271" s="55"/>
      <c r="BK271" s="4"/>
      <c r="BL271" s="4"/>
      <c r="BM271" s="4"/>
      <c r="BN271" s="4"/>
      <c r="BO271" s="55"/>
      <c r="BP271" s="4"/>
      <c r="BQ271" s="4"/>
      <c r="BR271" s="4"/>
      <c r="BS271" s="4"/>
      <c r="BT271" s="55"/>
      <c r="BU271" s="4"/>
      <c r="BV271" s="4"/>
      <c r="BW271" s="4"/>
      <c r="BX271" s="4"/>
      <c r="BY271" s="55"/>
      <c r="BZ271" s="55"/>
      <c r="CA271" s="55"/>
      <c r="CB271" s="55"/>
      <c r="CC271" s="55"/>
      <c r="CD271" s="55"/>
      <c r="CE271" s="55"/>
      <c r="CF271" s="55"/>
    </row>
    <row r="272" spans="1:84" x14ac:dyDescent="0.25">
      <c r="A272" s="2" t="s">
        <v>2247</v>
      </c>
      <c r="B272" s="71"/>
      <c r="C272" s="71">
        <v>3</v>
      </c>
      <c r="D272" s="71">
        <v>3</v>
      </c>
      <c r="E272" s="71">
        <v>3</v>
      </c>
      <c r="F272" s="71">
        <v>3</v>
      </c>
      <c r="G272" s="72">
        <v>3</v>
      </c>
      <c r="H272" s="71">
        <v>3</v>
      </c>
      <c r="I272" s="71">
        <v>3</v>
      </c>
      <c r="J272" s="71">
        <v>3</v>
      </c>
      <c r="K272" s="71">
        <v>3</v>
      </c>
      <c r="L272" s="72">
        <v>3</v>
      </c>
      <c r="M272" s="71">
        <v>3</v>
      </c>
      <c r="N272" s="71">
        <v>3</v>
      </c>
      <c r="O272" s="71">
        <v>3</v>
      </c>
      <c r="P272" s="71">
        <v>3</v>
      </c>
      <c r="Q272" s="72">
        <v>3</v>
      </c>
      <c r="R272" s="71">
        <v>3</v>
      </c>
      <c r="S272" s="71">
        <v>3</v>
      </c>
      <c r="T272" s="71">
        <v>3</v>
      </c>
      <c r="U272" s="71">
        <v>3</v>
      </c>
      <c r="V272" s="72">
        <v>3</v>
      </c>
      <c r="W272" s="71">
        <v>3</v>
      </c>
      <c r="X272" s="71">
        <v>3</v>
      </c>
      <c r="Y272" s="71">
        <v>3</v>
      </c>
      <c r="Z272" s="71">
        <v>3</v>
      </c>
      <c r="AA272" s="72">
        <v>3</v>
      </c>
      <c r="AB272" s="71">
        <v>3</v>
      </c>
      <c r="AC272" s="71">
        <v>3</v>
      </c>
      <c r="AD272" s="71">
        <v>3</v>
      </c>
      <c r="AE272" s="71">
        <v>3</v>
      </c>
      <c r="AF272" s="72">
        <v>3</v>
      </c>
      <c r="AG272" s="71">
        <v>3</v>
      </c>
      <c r="AH272" s="71">
        <v>3</v>
      </c>
      <c r="AI272" s="71">
        <v>3</v>
      </c>
      <c r="AJ272" s="71">
        <v>3</v>
      </c>
      <c r="AK272" s="72">
        <v>3</v>
      </c>
      <c r="AL272" s="71">
        <v>3</v>
      </c>
      <c r="AM272" s="71">
        <v>3</v>
      </c>
      <c r="AN272" s="71">
        <v>3</v>
      </c>
      <c r="AO272" s="71">
        <v>3</v>
      </c>
      <c r="AP272" s="72">
        <v>3</v>
      </c>
      <c r="AQ272" s="71">
        <v>3</v>
      </c>
      <c r="AR272" s="71">
        <v>3</v>
      </c>
      <c r="AS272" s="71">
        <v>3</v>
      </c>
      <c r="AT272" s="71">
        <v>3</v>
      </c>
      <c r="AU272" s="72">
        <v>3</v>
      </c>
      <c r="AV272" s="71">
        <v>3</v>
      </c>
      <c r="AW272" s="71">
        <v>3</v>
      </c>
      <c r="AX272" s="71">
        <v>3</v>
      </c>
      <c r="AY272" s="71">
        <v>3</v>
      </c>
      <c r="AZ272" s="72">
        <v>3</v>
      </c>
      <c r="BA272" s="71">
        <v>3</v>
      </c>
      <c r="BB272" s="71">
        <v>3</v>
      </c>
      <c r="BC272" s="71">
        <v>3</v>
      </c>
      <c r="BD272" s="71">
        <v>3</v>
      </c>
      <c r="BE272" s="72">
        <v>3</v>
      </c>
      <c r="BF272" s="71">
        <v>3</v>
      </c>
      <c r="BG272" s="71">
        <v>3</v>
      </c>
      <c r="BH272" s="71">
        <v>3</v>
      </c>
      <c r="BI272" s="71">
        <v>3</v>
      </c>
      <c r="BJ272" s="72">
        <v>3</v>
      </c>
      <c r="BK272" s="71">
        <v>3</v>
      </c>
      <c r="BL272" s="71">
        <v>3</v>
      </c>
      <c r="BM272" s="71">
        <v>3</v>
      </c>
      <c r="BN272" s="71">
        <v>3</v>
      </c>
      <c r="BO272" s="72">
        <v>3</v>
      </c>
      <c r="BP272" s="71">
        <v>3</v>
      </c>
      <c r="BQ272" s="71">
        <v>3</v>
      </c>
      <c r="BR272" s="71">
        <v>3</v>
      </c>
      <c r="BS272" s="71">
        <v>3</v>
      </c>
      <c r="BT272" s="72">
        <v>3</v>
      </c>
      <c r="BU272" s="71">
        <v>3</v>
      </c>
      <c r="BV272" s="71">
        <v>3</v>
      </c>
      <c r="BW272" s="71">
        <v>3</v>
      </c>
      <c r="BX272" s="71">
        <v>3</v>
      </c>
      <c r="BY272" s="72">
        <v>3</v>
      </c>
      <c r="BZ272" s="72">
        <v>3</v>
      </c>
      <c r="CA272" s="72">
        <v>3</v>
      </c>
      <c r="CB272" s="72">
        <v>3</v>
      </c>
      <c r="CC272" s="72">
        <v>3</v>
      </c>
      <c r="CD272" s="72">
        <v>3</v>
      </c>
      <c r="CE272" s="72">
        <v>3</v>
      </c>
      <c r="CF272" s="72">
        <v>3</v>
      </c>
    </row>
    <row r="273" spans="1:84" x14ac:dyDescent="0.25">
      <c r="A273" s="2"/>
      <c r="B273" s="2"/>
      <c r="C273" s="4"/>
      <c r="D273" s="4"/>
      <c r="E273" s="4"/>
      <c r="F273" s="4"/>
      <c r="G273" s="55"/>
      <c r="H273" s="4"/>
      <c r="I273" s="4"/>
      <c r="J273" s="4"/>
      <c r="K273" s="4"/>
      <c r="L273" s="55"/>
      <c r="M273" s="4"/>
      <c r="N273" s="4"/>
      <c r="O273" s="4"/>
      <c r="P273" s="4"/>
      <c r="Q273" s="55"/>
      <c r="R273" s="4"/>
      <c r="S273" s="4"/>
      <c r="T273" s="4"/>
      <c r="U273" s="4"/>
      <c r="V273" s="55"/>
      <c r="W273" s="4"/>
      <c r="X273" s="4"/>
      <c r="Y273" s="4"/>
      <c r="Z273" s="4"/>
      <c r="AA273" s="55"/>
      <c r="AB273" s="4"/>
      <c r="AC273" s="4"/>
      <c r="AD273" s="4"/>
      <c r="AE273" s="4"/>
      <c r="AF273" s="55"/>
      <c r="AG273" s="4"/>
      <c r="AH273" s="4"/>
      <c r="AI273" s="4"/>
      <c r="AJ273" s="4"/>
      <c r="AK273" s="55"/>
      <c r="AL273" s="4"/>
      <c r="AM273" s="4"/>
      <c r="AN273" s="4"/>
      <c r="AO273" s="4"/>
      <c r="AP273" s="55"/>
      <c r="AQ273" s="4"/>
      <c r="AR273" s="4"/>
      <c r="AS273" s="4"/>
      <c r="AT273" s="4"/>
      <c r="AU273" s="55"/>
      <c r="AV273" s="4"/>
      <c r="AW273" s="4"/>
      <c r="AX273" s="4"/>
      <c r="AY273" s="4"/>
      <c r="AZ273" s="55"/>
      <c r="BA273" s="4"/>
      <c r="BB273" s="4"/>
      <c r="BC273" s="4"/>
      <c r="BD273" s="4"/>
      <c r="BE273" s="55"/>
      <c r="BF273" s="4"/>
      <c r="BG273" s="4"/>
      <c r="BH273" s="4"/>
      <c r="BI273" s="4"/>
      <c r="BJ273" s="55"/>
      <c r="BK273" s="4"/>
      <c r="BL273" s="4"/>
      <c r="BM273" s="4"/>
      <c r="BN273" s="4"/>
      <c r="BO273" s="55"/>
      <c r="BP273" s="4"/>
      <c r="BQ273" s="4"/>
      <c r="BR273" s="4"/>
      <c r="BS273" s="4"/>
      <c r="BT273" s="55"/>
      <c r="BU273" s="4"/>
      <c r="BV273" s="4"/>
      <c r="BW273" s="4"/>
      <c r="BX273" s="4"/>
      <c r="BY273" s="55"/>
      <c r="BZ273" s="55"/>
      <c r="CA273" s="55"/>
      <c r="CB273" s="55"/>
      <c r="CC273" s="55"/>
      <c r="CD273" s="55"/>
      <c r="CE273" s="55"/>
      <c r="CF273" s="55"/>
    </row>
    <row r="274" spans="1:84" x14ac:dyDescent="0.25">
      <c r="A274" s="3" t="s">
        <v>1409</v>
      </c>
      <c r="B274" s="2"/>
      <c r="C274" s="4"/>
      <c r="D274" s="4"/>
      <c r="E274" s="4"/>
      <c r="F274" s="4"/>
      <c r="G274" s="55"/>
      <c r="H274" s="4"/>
      <c r="I274" s="4"/>
      <c r="J274" s="4"/>
      <c r="K274" s="4"/>
      <c r="L274" s="55"/>
      <c r="M274" s="4"/>
      <c r="N274" s="4"/>
      <c r="O274" s="4"/>
      <c r="P274" s="4"/>
      <c r="Q274" s="55"/>
      <c r="R274" s="4"/>
      <c r="S274" s="4"/>
      <c r="T274" s="4"/>
      <c r="U274" s="4"/>
      <c r="V274" s="55"/>
      <c r="W274" s="4"/>
      <c r="X274" s="4"/>
      <c r="Y274" s="4"/>
      <c r="Z274" s="4"/>
      <c r="AA274" s="55"/>
      <c r="AB274" s="4"/>
      <c r="AC274" s="4"/>
      <c r="AD274" s="4"/>
      <c r="AE274" s="4"/>
      <c r="AF274" s="55"/>
      <c r="AG274" s="4"/>
      <c r="AH274" s="4"/>
      <c r="AI274" s="4"/>
      <c r="AJ274" s="4"/>
      <c r="AK274" s="55"/>
      <c r="AL274" s="4"/>
      <c r="AM274" s="4"/>
      <c r="AN274" s="4"/>
      <c r="AO274" s="4"/>
      <c r="AP274" s="55"/>
      <c r="AQ274" s="4"/>
      <c r="AR274" s="4"/>
      <c r="AS274" s="4"/>
      <c r="AT274" s="4"/>
      <c r="AU274" s="55"/>
      <c r="AV274" s="4"/>
      <c r="AW274" s="4"/>
      <c r="AX274" s="4"/>
      <c r="AY274" s="4"/>
      <c r="AZ274" s="55"/>
      <c r="BA274" s="4"/>
      <c r="BB274" s="4"/>
      <c r="BC274" s="4"/>
      <c r="BD274" s="4"/>
      <c r="BE274" s="55"/>
      <c r="BF274" s="4"/>
      <c r="BG274" s="4"/>
      <c r="BH274" s="4"/>
      <c r="BI274" s="4"/>
      <c r="BJ274" s="55"/>
      <c r="BK274" s="4"/>
      <c r="BL274" s="4"/>
      <c r="BM274" s="4"/>
      <c r="BN274" s="4"/>
      <c r="BO274" s="55"/>
      <c r="BP274" s="4"/>
      <c r="BQ274" s="4"/>
      <c r="BR274" s="4"/>
      <c r="BS274" s="4"/>
      <c r="BT274" s="55"/>
      <c r="BU274" s="4"/>
      <c r="BV274" s="4"/>
      <c r="BW274" s="4"/>
      <c r="BX274" s="4"/>
      <c r="BY274" s="55"/>
      <c r="BZ274" s="55"/>
      <c r="CA274" s="55"/>
      <c r="CB274" s="55"/>
      <c r="CC274" s="55"/>
      <c r="CD274" s="55"/>
      <c r="CE274" s="55"/>
      <c r="CF274" s="55"/>
    </row>
    <row r="275" spans="1:84" x14ac:dyDescent="0.25">
      <c r="A275" s="2" t="s">
        <v>2254</v>
      </c>
      <c r="B275" s="34"/>
      <c r="C275" s="34">
        <f>PENN!C886</f>
        <v>112.002</v>
      </c>
      <c r="D275" s="34">
        <f>PENN!D886</f>
        <v>107.67100000000001</v>
      </c>
      <c r="E275" s="34">
        <f>PENN!E886</f>
        <v>115.358</v>
      </c>
      <c r="F275" s="34">
        <f>PENN!F886</f>
        <v>104.346</v>
      </c>
      <c r="G275" s="34">
        <f>PENN!G886</f>
        <v>439.37700000000001</v>
      </c>
      <c r="H275" s="34">
        <f>PENN!H886</f>
        <v>112.69499999999999</v>
      </c>
      <c r="I275" s="34">
        <f>PENN!I886</f>
        <v>112</v>
      </c>
      <c r="J275" s="34">
        <f>PENN!J886</f>
        <v>114.90779900000001</v>
      </c>
      <c r="K275" s="34">
        <f>PENN!K886</f>
        <v>107.45116099999998</v>
      </c>
      <c r="L275" s="34">
        <f>PENN!L886</f>
        <v>447.05395999999996</v>
      </c>
      <c r="M275" s="34">
        <f>PENN!M886</f>
        <v>121.06725299999999</v>
      </c>
      <c r="N275" s="34">
        <f>PENN!N886</f>
        <v>116.8</v>
      </c>
      <c r="O275" s="34">
        <f>PENN!O886</f>
        <v>120.431673</v>
      </c>
      <c r="P275" s="34">
        <f>PENN!P886</f>
        <v>118.58144300000001</v>
      </c>
      <c r="Q275" s="34">
        <f>PENN!Q886</f>
        <v>476.88036899999997</v>
      </c>
      <c r="R275" s="118">
        <f>PENN!R886</f>
        <v>120.82797099999999</v>
      </c>
      <c r="S275" s="34">
        <f>PENN!S886</f>
        <v>120.63761700000001</v>
      </c>
      <c r="T275" s="34">
        <f>PENN!T886</f>
        <v>121.485567</v>
      </c>
      <c r="U275" s="34">
        <f>PENN!U886</f>
        <v>113.101962</v>
      </c>
      <c r="V275" s="111">
        <f>PENN!V886</f>
        <v>476.05311699999999</v>
      </c>
      <c r="W275" s="34">
        <f>PENN!W886</f>
        <v>118.286592</v>
      </c>
      <c r="X275" s="34">
        <f>PENN!X886</f>
        <v>112.116587</v>
      </c>
      <c r="Y275" s="34">
        <f>PENN!Y886</f>
        <v>105.83780099999998</v>
      </c>
      <c r="Z275" s="34">
        <f>PENN!Z886</f>
        <v>99.926992299999995</v>
      </c>
      <c r="AA275" s="111">
        <f>PENN!AA886</f>
        <v>436.16797229999997</v>
      </c>
      <c r="AB275" s="34">
        <f>PENN!AB$886</f>
        <v>102.7</v>
      </c>
      <c r="AC275" s="34">
        <f>PENN!AC$886</f>
        <v>96.5</v>
      </c>
      <c r="AD275" s="34">
        <f>PENN!AD$886</f>
        <v>118.7</v>
      </c>
      <c r="AE275" s="34">
        <f>PENN!AE$886</f>
        <v>108.2</v>
      </c>
      <c r="AF275" s="111">
        <f>PENN!AF$886</f>
        <v>426.09999999999997</v>
      </c>
      <c r="AG275" s="34">
        <f>PENN!AG$886</f>
        <v>112.9</v>
      </c>
      <c r="AH275" s="34">
        <f>PENN!AH$886</f>
        <v>110.8</v>
      </c>
      <c r="AI275" s="34">
        <f>PENN!AI$886</f>
        <v>110.685869</v>
      </c>
      <c r="AJ275" s="34">
        <f>PENN!AJ$886</f>
        <v>103.98164300000001</v>
      </c>
      <c r="AK275" s="111">
        <f>PENN!AK$886</f>
        <v>438.36751199999998</v>
      </c>
      <c r="AL275" s="34">
        <f>PENN!AL$886</f>
        <v>110.21742</v>
      </c>
      <c r="AM275" s="34">
        <f>PENN!AM$886</f>
        <v>110.006443</v>
      </c>
      <c r="AN275" s="34">
        <f>PENN!AN$886</f>
        <v>110.24422800000001</v>
      </c>
      <c r="AO275" s="34">
        <f>PENN!AO$886</f>
        <v>105.988687</v>
      </c>
      <c r="AP275" s="111">
        <f>PENN!AP$886</f>
        <v>436.45677799999999</v>
      </c>
      <c r="AQ275" s="34">
        <f>PENN!AQ$886</f>
        <v>110.94139399999999</v>
      </c>
      <c r="AR275" s="34">
        <f>PENN!AR$886</f>
        <v>101.95644999999999</v>
      </c>
      <c r="AS275" s="34">
        <f>PENN!AS$886</f>
        <v>96.662717999999984</v>
      </c>
      <c r="AT275" s="34">
        <f>PENN!AT$886</f>
        <v>85.801248000000001</v>
      </c>
      <c r="AU275" s="111">
        <f>PENN!AU$886</f>
        <v>395.36180999999993</v>
      </c>
      <c r="AV275" s="34">
        <f>PENN!AV$886</f>
        <v>86.607592999999994</v>
      </c>
      <c r="AW275" s="34">
        <f>PENN!AW$886</f>
        <v>67.269856000000004</v>
      </c>
      <c r="AX275" s="34">
        <f>PENN!AX$886</f>
        <v>62.625641999999999</v>
      </c>
      <c r="AY275" s="34">
        <f>PENN!AY$886</f>
        <v>55.290795000000003</v>
      </c>
      <c r="AZ275" s="111">
        <f>PENN!AZ$886</f>
        <v>271.79388600000004</v>
      </c>
      <c r="BA275" s="34">
        <f>PENN!BA$886</f>
        <v>51.681356000000008</v>
      </c>
      <c r="BB275" s="34">
        <f>PENN!BB$886</f>
        <v>49.092036</v>
      </c>
      <c r="BC275" s="34">
        <f>PENN!BC$886</f>
        <v>47.885720000000006</v>
      </c>
      <c r="BD275" s="34">
        <f>PENN!BD$886</f>
        <v>46.342970000000001</v>
      </c>
      <c r="BE275" s="111">
        <f>PENN!BE$886</f>
        <v>195.002082</v>
      </c>
      <c r="BF275" s="34">
        <f>PENN!BF$886</f>
        <v>45.152985999999999</v>
      </c>
      <c r="BG275" s="34">
        <f>PENN!BG$886</f>
        <v>44.784217000000005</v>
      </c>
      <c r="BH275" s="34">
        <f>PENN!BH$886</f>
        <v>43.057439000000002</v>
      </c>
      <c r="BI275" s="34">
        <f>PENN!BI$886</f>
        <v>42.821453000000005</v>
      </c>
      <c r="BJ275" s="111">
        <f>PENN!BJ$886</f>
        <v>175.81609500000002</v>
      </c>
      <c r="BK275" s="34">
        <f>PENN!BK$886</f>
        <v>44.542905000000005</v>
      </c>
      <c r="BL275" s="34">
        <f>PENN!BL$886</f>
        <v>43.3</v>
      </c>
      <c r="BM275" s="34">
        <f>PENN!BM$886</f>
        <v>42.9</v>
      </c>
      <c r="BN275" s="34">
        <f>PENN!BN$886</f>
        <v>41.534050000000001</v>
      </c>
      <c r="BO275" s="111">
        <f>PENN!BO$886</f>
        <v>172.27695500000002</v>
      </c>
      <c r="BP275" s="34">
        <f>PENN!BP$886</f>
        <v>42.583421000000001</v>
      </c>
      <c r="BQ275" s="34">
        <f>PENN!BQ$886</f>
        <v>42.791956999999996</v>
      </c>
      <c r="BR275" s="34">
        <f>PENN!BR$886</f>
        <v>45.720227000000001</v>
      </c>
      <c r="BS275" s="34">
        <f>PENN!BS$886</f>
        <v>42.809578999999999</v>
      </c>
      <c r="BT275" s="111">
        <f>PENN!BT$886</f>
        <v>173.90518400000002</v>
      </c>
      <c r="BU275" s="34">
        <f>PENN!BU$886</f>
        <v>43.605091999999999</v>
      </c>
      <c r="BV275" s="34">
        <f>PENN!BV$886</f>
        <v>43.647796139999997</v>
      </c>
      <c r="BW275" s="34">
        <f>PENN!BW$886</f>
        <v>46.406030404999996</v>
      </c>
      <c r="BX275" s="34">
        <f>PENN!BX$886</f>
        <v>43.451722684999993</v>
      </c>
      <c r="BY275" s="111">
        <f>PENN!BY$886</f>
        <v>177.11064123</v>
      </c>
      <c r="BZ275" s="111">
        <f>PENN!BZ$886</f>
        <v>177.99619443614998</v>
      </c>
      <c r="CA275" s="111">
        <f>PENN!CA$886</f>
        <v>177.99619443614998</v>
      </c>
      <c r="CB275" s="111">
        <f>PENN!CB$886</f>
        <v>169.09638471434246</v>
      </c>
      <c r="CC275" s="111">
        <f>PENN!CC$886</f>
        <v>160.64156547862532</v>
      </c>
      <c r="CD275" s="111">
        <f>PENN!CD$886</f>
        <v>163.85439678819785</v>
      </c>
      <c r="CE275" s="111">
        <f>PENN!CE$886</f>
        <v>167.13148472396182</v>
      </c>
      <c r="CF275" s="111">
        <f>PENN!CF$886</f>
        <v>170.47411441844105</v>
      </c>
    </row>
    <row r="276" spans="1:84" x14ac:dyDescent="0.25">
      <c r="A276" s="2" t="s">
        <v>1057</v>
      </c>
      <c r="B276" s="33"/>
      <c r="C276" s="33">
        <f>PENN!C883</f>
        <v>964.19899999999996</v>
      </c>
      <c r="D276" s="33">
        <f>PENN!D883</f>
        <v>939.34299999999996</v>
      </c>
      <c r="E276" s="33">
        <f>PENN!E883</f>
        <v>1006.177</v>
      </c>
      <c r="F276" s="33">
        <f>PENN!F883</f>
        <v>882.03499999999997</v>
      </c>
      <c r="G276" s="33">
        <f>PENN!G883</f>
        <v>3791.7539999999999</v>
      </c>
      <c r="H276" s="33">
        <f>PENN!H883</f>
        <v>952.577</v>
      </c>
      <c r="I276" s="33">
        <f>PENN!I883</f>
        <v>952.96699999999998</v>
      </c>
      <c r="J276" s="33">
        <f>PENN!J883</f>
        <v>988.50599999999997</v>
      </c>
      <c r="K276" s="33">
        <f>PENN!K883</f>
        <v>883.84</v>
      </c>
      <c r="L276" s="33">
        <f>PENN!L883</f>
        <v>3777.89</v>
      </c>
      <c r="M276" s="33">
        <f>PENN!M883</f>
        <v>1016.69</v>
      </c>
      <c r="N276" s="33">
        <f>PENN!N883</f>
        <v>989.5</v>
      </c>
      <c r="O276" s="33">
        <f>PENN!O883</f>
        <v>1031.655</v>
      </c>
      <c r="P276" s="33">
        <f>PENN!P883</f>
        <v>960.21799999999996</v>
      </c>
      <c r="Q276" s="33">
        <f>PENN!Q883</f>
        <v>3998.0630000000001</v>
      </c>
      <c r="R276" s="1829">
        <f>PENN!R883</f>
        <v>957.23800000000006</v>
      </c>
      <c r="S276" s="33">
        <f>PENN!S883</f>
        <v>954.48800000000006</v>
      </c>
      <c r="T276" s="33">
        <f>PENN!T883</f>
        <v>986.22199999999998</v>
      </c>
      <c r="U276" s="33">
        <f>PENN!U883</f>
        <v>868.35599999999999</v>
      </c>
      <c r="V276" s="139">
        <f>PENN!V883</f>
        <v>3766.3040000000001</v>
      </c>
      <c r="W276" s="33">
        <f>PENN!W883</f>
        <v>903.64599999999996</v>
      </c>
      <c r="X276" s="33">
        <f>PENN!X883</f>
        <v>912.82299999999998</v>
      </c>
      <c r="Y276" s="33">
        <f>PENN!Y883</f>
        <v>891.79700000000003</v>
      </c>
      <c r="Z276" s="33">
        <f>PENN!Z883</f>
        <v>827.58100000000002</v>
      </c>
      <c r="AA276" s="139">
        <f>PENN!AA883</f>
        <v>3535.8470000000002</v>
      </c>
      <c r="AB276" s="120">
        <f>PENN!AB$883</f>
        <v>865.5</v>
      </c>
      <c r="AC276" s="120">
        <f>PENN!AC$883</f>
        <v>857.7</v>
      </c>
      <c r="AD276" s="120">
        <f>PENN!AD$883</f>
        <v>1160.4000000000001</v>
      </c>
      <c r="AE276" s="120">
        <f>PENN!AE$883</f>
        <v>964.7</v>
      </c>
      <c r="AF276" s="121">
        <f>PENN!AF$883</f>
        <v>3848.3</v>
      </c>
      <c r="AG276" s="120">
        <f>PENN!AG$883</f>
        <v>997.91</v>
      </c>
      <c r="AH276" s="120">
        <f>PENN!AH$883</f>
        <v>972.60699999999997</v>
      </c>
      <c r="AI276" s="120">
        <f>PENN!AI$883</f>
        <v>1018.174</v>
      </c>
      <c r="AJ276" s="120">
        <f>PENN!AJ$883</f>
        <v>909.18700000000001</v>
      </c>
      <c r="AK276" s="121">
        <f>PENN!AK$883</f>
        <v>3897.8779999999997</v>
      </c>
      <c r="AL276" s="120">
        <f>PENN!AL$883</f>
        <v>985.11199999999997</v>
      </c>
      <c r="AM276" s="120">
        <f>PENN!AM$883</f>
        <v>934.53899999999999</v>
      </c>
      <c r="AN276" s="120">
        <f>PENN!AN$883</f>
        <v>964.52499999999998</v>
      </c>
      <c r="AO276" s="120">
        <f>PENN!AO$883</f>
        <v>894.00400000000002</v>
      </c>
      <c r="AP276" s="121">
        <f>PENN!AP$883</f>
        <v>3778.18</v>
      </c>
      <c r="AQ276" s="120">
        <f>PENN!AQ$883</f>
        <v>919.97199999999998</v>
      </c>
      <c r="AR276" s="120">
        <f>PENN!AR$883</f>
        <v>832.13599999999997</v>
      </c>
      <c r="AS276" s="120">
        <f>PENN!AS$883</f>
        <v>804.07299999999998</v>
      </c>
      <c r="AT276" s="120">
        <f>PENN!AT$883</f>
        <v>697.17399999999998</v>
      </c>
      <c r="AU276" s="121">
        <f>PENN!AU$883</f>
        <v>3253.355</v>
      </c>
      <c r="AV276" s="120">
        <f>PENN!AV$883</f>
        <v>723.23900000000003</v>
      </c>
      <c r="AW276" s="120">
        <f>PENN!AW$883</f>
        <v>557.02700000000004</v>
      </c>
      <c r="AX276" s="120">
        <f>PENN!AX$883</f>
        <v>535.46100000000001</v>
      </c>
      <c r="AY276" s="120">
        <f>PENN!AY$883</f>
        <v>466.80099999999999</v>
      </c>
      <c r="AZ276" s="121">
        <f>PENN!AZ$883</f>
        <v>2282.5280000000002</v>
      </c>
      <c r="BA276" s="120">
        <f>PENN!BA$883</f>
        <v>444.87400000000002</v>
      </c>
      <c r="BB276" s="120">
        <f>PENN!BB$883</f>
        <v>415.43099999999998</v>
      </c>
      <c r="BC276" s="120">
        <f>PENN!BC$883</f>
        <v>408.74700000000001</v>
      </c>
      <c r="BD276" s="120">
        <f>PENN!BD$883</f>
        <v>381.76600000000002</v>
      </c>
      <c r="BE276" s="121">
        <f>PENN!BE$883</f>
        <v>1650.8180000000002</v>
      </c>
      <c r="BF276" s="120">
        <f>PENN!BF$883</f>
        <v>394.17700000000002</v>
      </c>
      <c r="BG276" s="120">
        <f>PENN!BG$883</f>
        <v>377.85500000000002</v>
      </c>
      <c r="BH276" s="120">
        <f>PENN!BH$883</f>
        <v>374.12599999999998</v>
      </c>
      <c r="BI276" s="120">
        <f>PENN!BI$883</f>
        <v>375.06400000000002</v>
      </c>
      <c r="BJ276" s="121">
        <f>PENN!BJ$883</f>
        <v>1521.222</v>
      </c>
      <c r="BK276" s="120">
        <f>PENN!BK$883</f>
        <v>402.233</v>
      </c>
      <c r="BL276" s="120">
        <f>PENN!BL$883</f>
        <v>382.25200000000001</v>
      </c>
      <c r="BM276" s="120">
        <f>PENN!BM$883</f>
        <v>373.09699999999998</v>
      </c>
      <c r="BN276" s="120">
        <f>PENN!BN$883</f>
        <v>345.464</v>
      </c>
      <c r="BO276" s="121">
        <f>PENN!BO$883</f>
        <v>1503.0459999999998</v>
      </c>
      <c r="BP276" s="120">
        <f>PENN!BP$883</f>
        <v>359.48</v>
      </c>
      <c r="BQ276" s="120">
        <f>PENN!BQ$883</f>
        <v>351.62700000000001</v>
      </c>
      <c r="BR276" s="120">
        <f>PENN!BR$883</f>
        <v>373.86399999999998</v>
      </c>
      <c r="BS276" s="120">
        <f>PENN!BS$883</f>
        <v>342.54199999999997</v>
      </c>
      <c r="BT276" s="121">
        <f>PENN!BT$883</f>
        <v>1427.5129999999999</v>
      </c>
      <c r="BU276" s="120">
        <f>PENN!BU$883</f>
        <v>368.10472489187754</v>
      </c>
      <c r="BV276" s="120">
        <f>PENN!BV$883</f>
        <v>358.65953999999999</v>
      </c>
      <c r="BW276" s="120">
        <f>PENN!BW$883</f>
        <v>379.47195999999997</v>
      </c>
      <c r="BX276" s="120">
        <f>PENN!BX$883</f>
        <v>347.68012999999996</v>
      </c>
      <c r="BY276" s="121">
        <f>PENN!BY$883</f>
        <v>1453.9163548918775</v>
      </c>
      <c r="BZ276" s="121">
        <f>PENN!BZ$883</f>
        <v>1461.1859366663368</v>
      </c>
      <c r="CA276" s="121">
        <f>PENN!CA$883</f>
        <v>1461.1859366663368</v>
      </c>
      <c r="CB276" s="121">
        <f>PENN!CB$883</f>
        <v>1388.1266398330199</v>
      </c>
      <c r="CC276" s="121">
        <f>PENN!CC$883</f>
        <v>1318.7203078413688</v>
      </c>
      <c r="CD276" s="121">
        <f>PENN!CD$883</f>
        <v>1345.0947139981963</v>
      </c>
      <c r="CE276" s="121">
        <f>PENN!CE$883</f>
        <v>1371.9966082781602</v>
      </c>
      <c r="CF276" s="121">
        <f>PENN!CF$883</f>
        <v>1399.4365404437235</v>
      </c>
    </row>
    <row r="277" spans="1:84" x14ac:dyDescent="0.25">
      <c r="A277" s="2"/>
      <c r="B277" s="2"/>
      <c r="C277" s="4"/>
      <c r="D277" s="4"/>
      <c r="E277" s="4"/>
      <c r="F277" s="4"/>
      <c r="G277" s="55"/>
      <c r="H277" s="4"/>
      <c r="I277" s="4"/>
      <c r="J277" s="4"/>
      <c r="K277" s="4"/>
      <c r="L277" s="55"/>
      <c r="M277" s="4"/>
      <c r="N277" s="4"/>
      <c r="O277" s="4"/>
      <c r="P277" s="4"/>
      <c r="Q277" s="55"/>
      <c r="R277" s="4"/>
      <c r="S277" s="4"/>
      <c r="T277" s="4"/>
      <c r="U277" s="4"/>
      <c r="V277" s="55"/>
      <c r="W277" s="4"/>
      <c r="X277" s="4"/>
      <c r="Y277" s="4"/>
      <c r="Z277" s="4"/>
      <c r="AA277" s="55"/>
      <c r="AB277" s="4"/>
      <c r="AC277" s="4"/>
      <c r="AD277" s="4"/>
      <c r="AE277" s="4"/>
      <c r="AF277" s="55"/>
      <c r="AG277" s="4"/>
      <c r="AH277" s="4"/>
      <c r="AI277" s="4"/>
      <c r="AJ277" s="4"/>
      <c r="AK277" s="55"/>
      <c r="AL277" s="4"/>
      <c r="AM277" s="4"/>
      <c r="AN277" s="4"/>
      <c r="AO277" s="4"/>
      <c r="AP277" s="55"/>
      <c r="AQ277" s="4"/>
      <c r="AR277" s="4">
        <f>+AR275*4</f>
        <v>407.82579999999996</v>
      </c>
      <c r="AS277" s="4"/>
      <c r="AT277" s="4"/>
      <c r="AU277" s="55"/>
      <c r="AV277" s="4"/>
      <c r="AW277" s="4"/>
      <c r="AX277" s="4"/>
      <c r="AY277" s="4"/>
      <c r="AZ277" s="55"/>
      <c r="BA277" s="4"/>
      <c r="BB277" s="4"/>
      <c r="BC277" s="4"/>
      <c r="BD277" s="4"/>
      <c r="BE277" s="55"/>
      <c r="BF277" s="4"/>
      <c r="BG277" s="4"/>
      <c r="BH277" s="4"/>
      <c r="BI277" s="4"/>
      <c r="BJ277" s="55"/>
      <c r="BK277" s="4"/>
      <c r="BL277" s="4"/>
      <c r="BM277" s="4"/>
      <c r="BN277" s="4"/>
      <c r="BO277" s="55"/>
      <c r="BP277" s="4"/>
      <c r="BQ277" s="4"/>
      <c r="BR277" s="4"/>
      <c r="BS277" s="4"/>
      <c r="BT277" s="55"/>
      <c r="BU277" s="4"/>
      <c r="BV277" s="4"/>
      <c r="BW277" s="4"/>
      <c r="BX277" s="4"/>
      <c r="BY277" s="55"/>
      <c r="BZ277" s="55"/>
      <c r="CA277" s="55"/>
      <c r="CB277" s="55"/>
      <c r="CC277" s="55"/>
      <c r="CD277" s="55"/>
      <c r="CE277" s="55"/>
      <c r="CF277" s="55"/>
    </row>
    <row r="278" spans="1:84" x14ac:dyDescent="0.25">
      <c r="A278" s="2" t="s">
        <v>1410</v>
      </c>
      <c r="B278" s="2"/>
      <c r="C278" s="4"/>
      <c r="D278" s="4"/>
      <c r="E278" s="4"/>
      <c r="F278" s="4"/>
      <c r="G278" s="55"/>
      <c r="H278" s="4"/>
      <c r="I278" s="4"/>
      <c r="J278" s="4"/>
      <c r="K278" s="4"/>
      <c r="L278" s="55"/>
      <c r="M278" s="4"/>
      <c r="N278" s="4"/>
      <c r="O278" s="4"/>
      <c r="P278" s="4"/>
      <c r="Q278" s="55"/>
      <c r="R278" s="4"/>
      <c r="S278" s="4"/>
      <c r="T278" s="4"/>
      <c r="U278" s="4"/>
      <c r="V278" s="55"/>
      <c r="W278" s="4"/>
      <c r="X278" s="4"/>
      <c r="Y278" s="4"/>
      <c r="Z278" s="4"/>
      <c r="AA278" s="55"/>
      <c r="AB278" s="4"/>
      <c r="AC278" s="4"/>
      <c r="AD278" s="4"/>
      <c r="AE278" s="4"/>
      <c r="AF278" s="55"/>
      <c r="AG278" s="4"/>
      <c r="AH278" s="4"/>
      <c r="AI278" s="4"/>
      <c r="AJ278" s="4"/>
      <c r="AK278" s="55"/>
      <c r="AL278" s="4"/>
      <c r="AM278" s="4"/>
      <c r="AN278" s="4"/>
      <c r="AO278" s="4"/>
      <c r="AP278" s="55"/>
      <c r="AQ278" s="4"/>
      <c r="AR278" s="4"/>
      <c r="AS278" s="4"/>
      <c r="AT278" s="4"/>
      <c r="AU278" s="55"/>
      <c r="AV278" s="4"/>
      <c r="AW278" s="4"/>
      <c r="AX278" s="4"/>
      <c r="AY278" s="4"/>
      <c r="AZ278" s="55"/>
      <c r="BA278" s="4"/>
      <c r="BB278" s="4"/>
      <c r="BC278" s="4"/>
      <c r="BD278" s="4"/>
      <c r="BE278" s="55"/>
      <c r="BF278" s="4"/>
      <c r="BG278" s="4"/>
      <c r="BH278" s="4"/>
      <c r="BI278" s="4"/>
      <c r="BJ278" s="55"/>
      <c r="BK278" s="4"/>
      <c r="BL278" s="4"/>
      <c r="BM278" s="4"/>
      <c r="BN278" s="4"/>
      <c r="BO278" s="55"/>
      <c r="BP278" s="4"/>
      <c r="BQ278" s="4"/>
      <c r="BR278" s="4"/>
      <c r="BS278" s="4"/>
      <c r="BT278" s="55"/>
      <c r="BU278" s="4"/>
      <c r="BV278" s="4"/>
      <c r="BW278" s="4"/>
      <c r="BX278" s="4"/>
      <c r="BY278" s="55"/>
      <c r="BZ278" s="55"/>
      <c r="CA278" s="55"/>
      <c r="CB278" s="55"/>
      <c r="CC278" s="55"/>
      <c r="CD278" s="55"/>
      <c r="CE278" s="55"/>
      <c r="CF278" s="55"/>
    </row>
    <row r="279" spans="1:84" x14ac:dyDescent="0.25">
      <c r="A279" s="56" t="s">
        <v>1411</v>
      </c>
      <c r="B279" s="34"/>
      <c r="C279" s="7">
        <f t="shared" ref="C279:F283" si="275">$G279/4</f>
        <v>0.9375</v>
      </c>
      <c r="D279" s="7">
        <f t="shared" si="275"/>
        <v>0.9375</v>
      </c>
      <c r="E279" s="7">
        <f t="shared" si="275"/>
        <v>0.9375</v>
      </c>
      <c r="F279" s="7">
        <f t="shared" si="275"/>
        <v>0.9375</v>
      </c>
      <c r="G279" s="48">
        <f>IF(G$275&gt;0, MIN(G$243,G275)*G$250,0)</f>
        <v>3.75</v>
      </c>
      <c r="H279" s="7">
        <f t="shared" ref="H279:K283" si="276">$L279/4</f>
        <v>0.9375</v>
      </c>
      <c r="I279" s="7">
        <f t="shared" si="276"/>
        <v>0.9375</v>
      </c>
      <c r="J279" s="7">
        <f t="shared" si="276"/>
        <v>0.9375</v>
      </c>
      <c r="K279" s="7">
        <f t="shared" si="276"/>
        <v>0.9375</v>
      </c>
      <c r="L279" s="48">
        <f>IF(L$275&gt;0, MIN(L$243,L275)*L$250,0)</f>
        <v>3.75</v>
      </c>
      <c r="M279" s="7">
        <f t="shared" ref="M279:P283" si="277">$Q279/4</f>
        <v>0.9375</v>
      </c>
      <c r="N279" s="7">
        <f t="shared" si="277"/>
        <v>0.9375</v>
      </c>
      <c r="O279" s="7">
        <f t="shared" si="277"/>
        <v>0.9375</v>
      </c>
      <c r="P279" s="7">
        <f t="shared" si="277"/>
        <v>0.9375</v>
      </c>
      <c r="Q279" s="48">
        <f>IF(Q$275&gt;0, MIN(Q$243,Q275)*Q$250,0)</f>
        <v>3.75</v>
      </c>
      <c r="R279" s="7">
        <f t="shared" ref="R279:U283" si="278">$V279/4</f>
        <v>0.9375</v>
      </c>
      <c r="S279" s="7">
        <f t="shared" si="278"/>
        <v>0.9375</v>
      </c>
      <c r="T279" s="7">
        <f t="shared" si="278"/>
        <v>0.9375</v>
      </c>
      <c r="U279" s="7">
        <f t="shared" si="278"/>
        <v>0.9375</v>
      </c>
      <c r="V279" s="48">
        <f>IF(V$275&gt;0, MIN(V$243,V275)*V$250,0)</f>
        <v>3.75</v>
      </c>
      <c r="W279" s="7">
        <f t="shared" ref="W279:Z283" si="279">$AA279/4</f>
        <v>0.9375</v>
      </c>
      <c r="X279" s="7">
        <f t="shared" si="279"/>
        <v>0.9375</v>
      </c>
      <c r="Y279" s="7">
        <f t="shared" si="279"/>
        <v>0.9375</v>
      </c>
      <c r="Z279" s="7">
        <f t="shared" si="279"/>
        <v>0.9375</v>
      </c>
      <c r="AA279" s="48">
        <f>IF(AA$275&gt;0, MIN(AA$243,AA275)*AA$250,0)</f>
        <v>3.75</v>
      </c>
      <c r="AB279" s="7">
        <f t="shared" ref="AB279:AE283" si="280">$AF279/4</f>
        <v>0.9375</v>
      </c>
      <c r="AC279" s="7">
        <f t="shared" si="280"/>
        <v>0.9375</v>
      </c>
      <c r="AD279" s="7">
        <f t="shared" si="280"/>
        <v>0.9375</v>
      </c>
      <c r="AE279" s="7">
        <f t="shared" si="280"/>
        <v>0.9375</v>
      </c>
      <c r="AF279" s="48">
        <f>IF(AF$275&gt;0, MIN(AF$243,AF275)*AF$250,0)</f>
        <v>3.75</v>
      </c>
      <c r="AG279" s="7">
        <f>$AK279/4</f>
        <v>0.9375</v>
      </c>
      <c r="AH279" s="7">
        <f t="shared" ref="AH279:AJ283" si="281">$AK279/4</f>
        <v>0.9375</v>
      </c>
      <c r="AI279" s="7">
        <f t="shared" si="281"/>
        <v>0.9375</v>
      </c>
      <c r="AJ279" s="7">
        <f t="shared" si="281"/>
        <v>0.9375</v>
      </c>
      <c r="AK279" s="48">
        <f>IF(AK$275&gt;0, MIN(AK$243,AK275)*AK$250,0)</f>
        <v>3.75</v>
      </c>
      <c r="AL279" s="7">
        <f>$AP279/4</f>
        <v>0.9375</v>
      </c>
      <c r="AM279" s="7">
        <f t="shared" ref="AM279:AO283" si="282">$AP279/4</f>
        <v>0.9375</v>
      </c>
      <c r="AN279" s="7">
        <f t="shared" si="282"/>
        <v>0.9375</v>
      </c>
      <c r="AO279" s="7">
        <f t="shared" si="282"/>
        <v>0.9375</v>
      </c>
      <c r="AP279" s="48">
        <f>IF(AP$275&gt;0, MIN(AP$243,AP275)*AP$250,0)</f>
        <v>3.75</v>
      </c>
      <c r="AQ279" s="7">
        <f>$AU279/4</f>
        <v>0.9375</v>
      </c>
      <c r="AR279" s="7">
        <f t="shared" ref="AR279:AT283" si="283">$AU279/4</f>
        <v>0.9375</v>
      </c>
      <c r="AS279" s="7">
        <f t="shared" si="283"/>
        <v>0.9375</v>
      </c>
      <c r="AT279" s="7">
        <f t="shared" si="283"/>
        <v>0.9375</v>
      </c>
      <c r="AU279" s="48">
        <f>IF(AU$275&gt;0, MIN(AU$243,AU275)*AU$250,0)</f>
        <v>3.75</v>
      </c>
      <c r="AV279" s="7">
        <f t="shared" ref="AV279:AY283" si="284">$AZ279/4</f>
        <v>0.9375</v>
      </c>
      <c r="AW279" s="7">
        <f t="shared" si="284"/>
        <v>0.9375</v>
      </c>
      <c r="AX279" s="7">
        <f t="shared" si="284"/>
        <v>0.9375</v>
      </c>
      <c r="AY279" s="7">
        <f t="shared" si="284"/>
        <v>0.9375</v>
      </c>
      <c r="AZ279" s="48">
        <f>IF(AZ$275&gt;0, MIN(AZ$243,AZ275)*AZ$250,0)</f>
        <v>3.75</v>
      </c>
      <c r="BA279" s="7">
        <f t="shared" ref="BA279:BD283" si="285">$BE279/4</f>
        <v>0.9375</v>
      </c>
      <c r="BB279" s="7">
        <f t="shared" si="285"/>
        <v>0.9375</v>
      </c>
      <c r="BC279" s="7">
        <f t="shared" si="285"/>
        <v>0.9375</v>
      </c>
      <c r="BD279" s="7">
        <f t="shared" si="285"/>
        <v>0.9375</v>
      </c>
      <c r="BE279" s="48">
        <f>IF(BE$275&gt;0, MIN(BE$243,BE275)*BE$250,0)</f>
        <v>3.75</v>
      </c>
      <c r="BF279" s="7">
        <f>$BJ279/4</f>
        <v>0.9375</v>
      </c>
      <c r="BG279" s="7">
        <f t="shared" ref="BG279:BI283" si="286">$BJ279/4</f>
        <v>0.9375</v>
      </c>
      <c r="BH279" s="7">
        <f t="shared" si="286"/>
        <v>0.9375</v>
      </c>
      <c r="BI279" s="7">
        <f t="shared" si="286"/>
        <v>0.9375</v>
      </c>
      <c r="BJ279" s="48">
        <f>IF(BJ$275&gt;0, MIN(BJ$243,BJ275)*BJ$250,0)</f>
        <v>3.75</v>
      </c>
      <c r="BK279" s="7">
        <f>$BJ279/4</f>
        <v>0.9375</v>
      </c>
      <c r="BL279" s="7">
        <f t="shared" ref="BL279:BN282" si="287">$BJ279/4</f>
        <v>0.9375</v>
      </c>
      <c r="BM279" s="7">
        <f t="shared" si="287"/>
        <v>0.9375</v>
      </c>
      <c r="BN279" s="7">
        <f t="shared" si="287"/>
        <v>0.9375</v>
      </c>
      <c r="BO279" s="48">
        <f t="shared" ref="BO279:CF279" si="288">IF(BO$275&gt;0, MIN(BO$243,BO275)*BO$250,0)</f>
        <v>3.75</v>
      </c>
      <c r="BP279" s="7">
        <f>$BJ279/4</f>
        <v>0.9375</v>
      </c>
      <c r="BQ279" s="7">
        <f t="shared" ref="BQ279:BS282" si="289">$BJ279/4</f>
        <v>0.9375</v>
      </c>
      <c r="BR279" s="7">
        <f t="shared" si="289"/>
        <v>0.9375</v>
      </c>
      <c r="BS279" s="7">
        <f t="shared" si="289"/>
        <v>0.9375</v>
      </c>
      <c r="BT279" s="48">
        <f>IF(BT$275&gt;0, MIN(BT$243,BT275)*BT$250,0)</f>
        <v>3.75</v>
      </c>
      <c r="BU279" s="7">
        <f t="shared" ref="BU279:BX283" si="290">$BY279/4</f>
        <v>0.9375</v>
      </c>
      <c r="BV279" s="7">
        <f t="shared" si="290"/>
        <v>0.9375</v>
      </c>
      <c r="BW279" s="7">
        <f t="shared" si="290"/>
        <v>0.9375</v>
      </c>
      <c r="BX279" s="7">
        <f t="shared" si="290"/>
        <v>0.9375</v>
      </c>
      <c r="BY279" s="48">
        <f t="shared" si="288"/>
        <v>3.75</v>
      </c>
      <c r="BZ279" s="48">
        <f t="shared" si="288"/>
        <v>3.75</v>
      </c>
      <c r="CA279" s="48">
        <f t="shared" si="288"/>
        <v>3.75</v>
      </c>
      <c r="CB279" s="48">
        <f t="shared" si="288"/>
        <v>3.75</v>
      </c>
      <c r="CC279" s="48">
        <f t="shared" si="288"/>
        <v>3.75</v>
      </c>
      <c r="CD279" s="48">
        <f t="shared" si="288"/>
        <v>3.75</v>
      </c>
      <c r="CE279" s="48">
        <f t="shared" si="288"/>
        <v>3.75</v>
      </c>
      <c r="CF279" s="48">
        <f t="shared" si="288"/>
        <v>3.75</v>
      </c>
    </row>
    <row r="280" spans="1:84" x14ac:dyDescent="0.25">
      <c r="A280" s="56" t="s">
        <v>1412</v>
      </c>
      <c r="B280" s="2"/>
      <c r="C280" s="7">
        <f t="shared" si="275"/>
        <v>1.25</v>
      </c>
      <c r="D280" s="7">
        <f t="shared" si="275"/>
        <v>1.25</v>
      </c>
      <c r="E280" s="7">
        <f t="shared" si="275"/>
        <v>1.25</v>
      </c>
      <c r="F280" s="7">
        <f t="shared" si="275"/>
        <v>1.25</v>
      </c>
      <c r="G280" s="96">
        <f>IF(G275&gt;G243,MIN(G244-G243,G275-G243)*G251,0)</f>
        <v>5</v>
      </c>
      <c r="H280" s="7">
        <f t="shared" si="276"/>
        <v>1.25</v>
      </c>
      <c r="I280" s="7">
        <f t="shared" si="276"/>
        <v>1.25</v>
      </c>
      <c r="J280" s="7">
        <f t="shared" si="276"/>
        <v>1.25</v>
      </c>
      <c r="K280" s="7">
        <f t="shared" si="276"/>
        <v>1.25</v>
      </c>
      <c r="L280" s="96">
        <f>IF(L275&gt;L243,MIN(L244-L243,L275-L243)*L251,0)</f>
        <v>5</v>
      </c>
      <c r="M280" s="7">
        <f t="shared" si="277"/>
        <v>1.25</v>
      </c>
      <c r="N280" s="7">
        <f t="shared" si="277"/>
        <v>1.25</v>
      </c>
      <c r="O280" s="7">
        <f t="shared" si="277"/>
        <v>1.25</v>
      </c>
      <c r="P280" s="7">
        <f t="shared" si="277"/>
        <v>1.25</v>
      </c>
      <c r="Q280" s="96">
        <f>IF(Q275&gt;Q243,MIN(Q244-Q243,Q275-Q243)*Q251,0)</f>
        <v>5</v>
      </c>
      <c r="R280" s="7">
        <f t="shared" si="278"/>
        <v>1.25</v>
      </c>
      <c r="S280" s="7">
        <f t="shared" si="278"/>
        <v>1.25</v>
      </c>
      <c r="T280" s="7">
        <f t="shared" si="278"/>
        <v>1.25</v>
      </c>
      <c r="U280" s="7">
        <f t="shared" si="278"/>
        <v>1.25</v>
      </c>
      <c r="V280" s="96">
        <f>IF(V275&gt;V243,MIN(V244-V243,V275-V243)*V251,0)</f>
        <v>5</v>
      </c>
      <c r="W280" s="7">
        <f t="shared" si="279"/>
        <v>1.25</v>
      </c>
      <c r="X280" s="7">
        <f t="shared" si="279"/>
        <v>1.25</v>
      </c>
      <c r="Y280" s="7">
        <f t="shared" si="279"/>
        <v>1.25</v>
      </c>
      <c r="Z280" s="7">
        <f t="shared" si="279"/>
        <v>1.25</v>
      </c>
      <c r="AA280" s="96">
        <f>IF(AA275&gt;AA243,MIN(AA244-AA243,AA275-AA243)*AA251,0)</f>
        <v>5</v>
      </c>
      <c r="AB280" s="7">
        <f t="shared" si="280"/>
        <v>1.25</v>
      </c>
      <c r="AC280" s="7">
        <f t="shared" si="280"/>
        <v>1.25</v>
      </c>
      <c r="AD280" s="7">
        <f t="shared" si="280"/>
        <v>1.25</v>
      </c>
      <c r="AE280" s="7">
        <f t="shared" si="280"/>
        <v>1.25</v>
      </c>
      <c r="AF280" s="96">
        <f>IF(AF275&gt;AF243,MIN(AF244-AF243,AF275-AF243)*AF251,0)</f>
        <v>5</v>
      </c>
      <c r="AG280" s="7">
        <f>$AK280/4</f>
        <v>1.25</v>
      </c>
      <c r="AH280" s="7">
        <f t="shared" si="281"/>
        <v>1.25</v>
      </c>
      <c r="AI280" s="7">
        <f t="shared" si="281"/>
        <v>1.25</v>
      </c>
      <c r="AJ280" s="7">
        <f t="shared" si="281"/>
        <v>1.25</v>
      </c>
      <c r="AK280" s="96">
        <f>IF(AK275&gt;AK243,MIN(AK244-AK243,AK275-AK243)*AK251,0)</f>
        <v>5</v>
      </c>
      <c r="AL280" s="7">
        <f>$AP280/4</f>
        <v>1.25</v>
      </c>
      <c r="AM280" s="7">
        <f t="shared" si="282"/>
        <v>1.25</v>
      </c>
      <c r="AN280" s="7">
        <f t="shared" si="282"/>
        <v>1.25</v>
      </c>
      <c r="AO280" s="7">
        <f t="shared" si="282"/>
        <v>1.25</v>
      </c>
      <c r="AP280" s="96">
        <f>IF(AP275&gt;AP243,MIN(AP244-AP243,AP275-AP243)*AP251,0)</f>
        <v>5</v>
      </c>
      <c r="AQ280" s="7">
        <f>$AU280/4</f>
        <v>1.25</v>
      </c>
      <c r="AR280" s="7">
        <f t="shared" si="283"/>
        <v>1.25</v>
      </c>
      <c r="AS280" s="7">
        <f t="shared" si="283"/>
        <v>1.25</v>
      </c>
      <c r="AT280" s="7">
        <f t="shared" si="283"/>
        <v>1.25</v>
      </c>
      <c r="AU280" s="96">
        <f>IF(AU275&gt;AU243,MIN(AU244-AU243,AU275-AU243)*AU251,0)</f>
        <v>5</v>
      </c>
      <c r="AV280" s="7">
        <f t="shared" si="284"/>
        <v>1.25</v>
      </c>
      <c r="AW280" s="7">
        <f t="shared" si="284"/>
        <v>1.25</v>
      </c>
      <c r="AX280" s="7">
        <f t="shared" si="284"/>
        <v>1.25</v>
      </c>
      <c r="AY280" s="7">
        <f t="shared" si="284"/>
        <v>1.25</v>
      </c>
      <c r="AZ280" s="96">
        <f>IF(AZ275&gt;AZ243,MIN(AZ244-AZ243,AZ275-AZ243)*AZ251,0)</f>
        <v>5</v>
      </c>
      <c r="BA280" s="7">
        <f t="shared" si="285"/>
        <v>1.25</v>
      </c>
      <c r="BB280" s="7">
        <f t="shared" si="285"/>
        <v>1.25</v>
      </c>
      <c r="BC280" s="7">
        <f t="shared" si="285"/>
        <v>1.25</v>
      </c>
      <c r="BD280" s="7">
        <f t="shared" si="285"/>
        <v>1.25</v>
      </c>
      <c r="BE280" s="96">
        <f>IF(BE275&gt;BE243,MIN(BE244-BE243,BE275-BE243)*BE251,0)</f>
        <v>5</v>
      </c>
      <c r="BF280" s="7">
        <f>$BJ280/4</f>
        <v>1.25</v>
      </c>
      <c r="BG280" s="7">
        <f t="shared" si="286"/>
        <v>1.25</v>
      </c>
      <c r="BH280" s="7">
        <f t="shared" si="286"/>
        <v>1.25</v>
      </c>
      <c r="BI280" s="7">
        <f t="shared" si="286"/>
        <v>1.25</v>
      </c>
      <c r="BJ280" s="96">
        <f>IF(BJ275&gt;BJ243,MIN(BJ244-BJ243,BJ275-BJ243)*BJ251,0)</f>
        <v>5</v>
      </c>
      <c r="BK280" s="7">
        <f>$BJ280/4</f>
        <v>1.25</v>
      </c>
      <c r="BL280" s="7">
        <f t="shared" si="287"/>
        <v>1.25</v>
      </c>
      <c r="BM280" s="7">
        <f t="shared" si="287"/>
        <v>1.25</v>
      </c>
      <c r="BN280" s="7">
        <f t="shared" si="287"/>
        <v>1.25</v>
      </c>
      <c r="BO280" s="96">
        <f t="shared" ref="BO280:CF280" si="291">IF(BO275&gt;BO243,MIN(BO244-BO243,BO275-BO243)*BO251,0)</f>
        <v>5</v>
      </c>
      <c r="BP280" s="7">
        <f>$BJ280/4</f>
        <v>1.25</v>
      </c>
      <c r="BQ280" s="7">
        <f t="shared" si="289"/>
        <v>1.25</v>
      </c>
      <c r="BR280" s="7">
        <f t="shared" si="289"/>
        <v>1.25</v>
      </c>
      <c r="BS280" s="7">
        <f t="shared" si="289"/>
        <v>1.25</v>
      </c>
      <c r="BT280" s="96">
        <f>IF(BT275&gt;BT243,MIN(BT244-BT243,BT275-BT243)*BT251,0)</f>
        <v>5</v>
      </c>
      <c r="BU280" s="7">
        <f t="shared" si="290"/>
        <v>1.25</v>
      </c>
      <c r="BV280" s="7">
        <f t="shared" si="290"/>
        <v>1.25</v>
      </c>
      <c r="BW280" s="7">
        <f t="shared" si="290"/>
        <v>1.25</v>
      </c>
      <c r="BX280" s="7">
        <f t="shared" si="290"/>
        <v>1.25</v>
      </c>
      <c r="BY280" s="96">
        <f t="shared" si="291"/>
        <v>5</v>
      </c>
      <c r="BZ280" s="96">
        <f t="shared" si="291"/>
        <v>5</v>
      </c>
      <c r="CA280" s="96">
        <f t="shared" si="291"/>
        <v>5</v>
      </c>
      <c r="CB280" s="96">
        <f t="shared" si="291"/>
        <v>5</v>
      </c>
      <c r="CC280" s="96">
        <f t="shared" si="291"/>
        <v>5</v>
      </c>
      <c r="CD280" s="96">
        <f t="shared" si="291"/>
        <v>5</v>
      </c>
      <c r="CE280" s="96">
        <f t="shared" si="291"/>
        <v>5</v>
      </c>
      <c r="CF280" s="96">
        <f t="shared" si="291"/>
        <v>5</v>
      </c>
    </row>
    <row r="281" spans="1:84" x14ac:dyDescent="0.25">
      <c r="A281" s="56" t="s">
        <v>1413</v>
      </c>
      <c r="B281" s="2"/>
      <c r="C281" s="7">
        <f t="shared" si="275"/>
        <v>1.5625</v>
      </c>
      <c r="D281" s="7">
        <f t="shared" si="275"/>
        <v>1.5625</v>
      </c>
      <c r="E281" s="7">
        <f t="shared" si="275"/>
        <v>1.5625</v>
      </c>
      <c r="F281" s="7">
        <f t="shared" si="275"/>
        <v>1.5625</v>
      </c>
      <c r="G281" s="96">
        <f>IF(G275&gt;G244,MIN(G245-G244,G275-G244)*G252,0)</f>
        <v>6.25</v>
      </c>
      <c r="H281" s="7">
        <f t="shared" si="276"/>
        <v>1.5625</v>
      </c>
      <c r="I281" s="7">
        <f t="shared" si="276"/>
        <v>1.5625</v>
      </c>
      <c r="J281" s="7">
        <f t="shared" si="276"/>
        <v>1.5625</v>
      </c>
      <c r="K281" s="7">
        <f t="shared" si="276"/>
        <v>1.5625</v>
      </c>
      <c r="L281" s="96">
        <f>IF(L275&gt;L244,MIN(L245-L244,L275-L244)*L252,0)</f>
        <v>6.25</v>
      </c>
      <c r="M281" s="7">
        <f t="shared" si="277"/>
        <v>1.5625</v>
      </c>
      <c r="N281" s="7">
        <f t="shared" si="277"/>
        <v>1.5625</v>
      </c>
      <c r="O281" s="7">
        <f t="shared" si="277"/>
        <v>1.5625</v>
      </c>
      <c r="P281" s="7">
        <f t="shared" si="277"/>
        <v>1.5625</v>
      </c>
      <c r="Q281" s="96">
        <f>IF(Q275&gt;Q244,MIN(Q245-Q244,Q275-Q244)*Q252,0)</f>
        <v>6.25</v>
      </c>
      <c r="R281" s="7">
        <f t="shared" si="278"/>
        <v>1.5625</v>
      </c>
      <c r="S281" s="7">
        <f t="shared" si="278"/>
        <v>1.5625</v>
      </c>
      <c r="T281" s="7">
        <f t="shared" si="278"/>
        <v>1.5625</v>
      </c>
      <c r="U281" s="7">
        <f t="shared" si="278"/>
        <v>1.5625</v>
      </c>
      <c r="V281" s="96">
        <f>IF(V275&gt;V244,MIN(V245-V244,V275-V244)*V252,0)</f>
        <v>6.25</v>
      </c>
      <c r="W281" s="7">
        <f t="shared" si="279"/>
        <v>1.5625</v>
      </c>
      <c r="X281" s="7">
        <f t="shared" si="279"/>
        <v>1.5625</v>
      </c>
      <c r="Y281" s="7">
        <f t="shared" si="279"/>
        <v>1.5625</v>
      </c>
      <c r="Z281" s="7">
        <f t="shared" si="279"/>
        <v>1.5625</v>
      </c>
      <c r="AA281" s="96">
        <f>IF(AA275&gt;AA244,MIN(AA245-AA244,AA275-AA244)*AA252,0)</f>
        <v>6.25</v>
      </c>
      <c r="AB281" s="7">
        <f t="shared" si="280"/>
        <v>1.5625</v>
      </c>
      <c r="AC281" s="7">
        <f t="shared" si="280"/>
        <v>1.5625</v>
      </c>
      <c r="AD281" s="7">
        <f t="shared" si="280"/>
        <v>1.5625</v>
      </c>
      <c r="AE281" s="7">
        <f t="shared" si="280"/>
        <v>1.5625</v>
      </c>
      <c r="AF281" s="96">
        <f>IF(AF275&gt;AF244,MIN(AF245-AF244,AF275-AF244)*AF252,0)</f>
        <v>6.25</v>
      </c>
      <c r="AG281" s="7">
        <f>$AK281/4</f>
        <v>1.5625</v>
      </c>
      <c r="AH281" s="7">
        <f t="shared" si="281"/>
        <v>1.5625</v>
      </c>
      <c r="AI281" s="7">
        <f t="shared" si="281"/>
        <v>1.5625</v>
      </c>
      <c r="AJ281" s="7">
        <f t="shared" si="281"/>
        <v>1.5625</v>
      </c>
      <c r="AK281" s="96">
        <f>IF(AK275&gt;AK244,MIN(AK245-AK244,AK275-AK244)*AK252,0)</f>
        <v>6.25</v>
      </c>
      <c r="AL281" s="7">
        <f>$AP281/4</f>
        <v>1.5625</v>
      </c>
      <c r="AM281" s="7">
        <f t="shared" si="282"/>
        <v>1.5625</v>
      </c>
      <c r="AN281" s="7">
        <f t="shared" si="282"/>
        <v>1.5625</v>
      </c>
      <c r="AO281" s="7">
        <f t="shared" si="282"/>
        <v>1.5625</v>
      </c>
      <c r="AP281" s="96">
        <f>IF(AP275&gt;AP244,MIN(AP245-AP244,AP275-AP244)*AP252,0)</f>
        <v>6.25</v>
      </c>
      <c r="AQ281" s="7">
        <f>$AU281/4</f>
        <v>1.5625</v>
      </c>
      <c r="AR281" s="7">
        <f t="shared" si="283"/>
        <v>1.5625</v>
      </c>
      <c r="AS281" s="7">
        <f t="shared" si="283"/>
        <v>1.5625</v>
      </c>
      <c r="AT281" s="7">
        <f t="shared" si="283"/>
        <v>1.5625</v>
      </c>
      <c r="AU281" s="96">
        <f>IF(AU275&gt;AU244,MIN(AU245-AU244,AU275-AU244)*AU252,0)</f>
        <v>6.25</v>
      </c>
      <c r="AV281" s="7">
        <f t="shared" si="284"/>
        <v>1.5625</v>
      </c>
      <c r="AW281" s="7">
        <f t="shared" si="284"/>
        <v>1.5625</v>
      </c>
      <c r="AX281" s="7">
        <f t="shared" si="284"/>
        <v>1.5625</v>
      </c>
      <c r="AY281" s="7">
        <f t="shared" si="284"/>
        <v>1.5625</v>
      </c>
      <c r="AZ281" s="96">
        <f>IF(AZ275&gt;AZ244,MIN(AZ245-AZ244,AZ275-AZ244)*AZ252,0)</f>
        <v>6.25</v>
      </c>
      <c r="BA281" s="7">
        <f t="shared" si="285"/>
        <v>1.5625</v>
      </c>
      <c r="BB281" s="7">
        <f t="shared" si="285"/>
        <v>1.5625</v>
      </c>
      <c r="BC281" s="7">
        <f t="shared" si="285"/>
        <v>1.5625</v>
      </c>
      <c r="BD281" s="7">
        <f t="shared" si="285"/>
        <v>1.5625</v>
      </c>
      <c r="BE281" s="96">
        <f>IF(BE275&gt;BE244,MIN(BE245-BE244,BE275-BE244)*BE252,0)</f>
        <v>6.25</v>
      </c>
      <c r="BF281" s="7">
        <f>$BJ281/4</f>
        <v>1.5625</v>
      </c>
      <c r="BG281" s="7">
        <f t="shared" si="286"/>
        <v>1.5625</v>
      </c>
      <c r="BH281" s="7">
        <f t="shared" si="286"/>
        <v>1.5625</v>
      </c>
      <c r="BI281" s="7">
        <f t="shared" si="286"/>
        <v>1.5625</v>
      </c>
      <c r="BJ281" s="96">
        <f>IF(BJ275&gt;BJ244,MIN(BJ245-BJ244,BJ275-BJ244)*BJ252,0)</f>
        <v>6.25</v>
      </c>
      <c r="BK281" s="7">
        <f>$BJ281/4</f>
        <v>1.5625</v>
      </c>
      <c r="BL281" s="7">
        <f t="shared" si="287"/>
        <v>1.5625</v>
      </c>
      <c r="BM281" s="7">
        <f t="shared" si="287"/>
        <v>1.5625</v>
      </c>
      <c r="BN281" s="7">
        <f t="shared" si="287"/>
        <v>1.5625</v>
      </c>
      <c r="BO281" s="96">
        <f t="shared" ref="BO281:CF281" si="292">IF(BO275&gt;BO244,MIN(BO245-BO244,BO275-BO244)*BO252,0)</f>
        <v>6.25</v>
      </c>
      <c r="BP281" s="7">
        <f>$BJ281/4</f>
        <v>1.5625</v>
      </c>
      <c r="BQ281" s="7">
        <f t="shared" si="289"/>
        <v>1.5625</v>
      </c>
      <c r="BR281" s="7">
        <f t="shared" si="289"/>
        <v>1.5625</v>
      </c>
      <c r="BS281" s="7">
        <f t="shared" si="289"/>
        <v>1.5625</v>
      </c>
      <c r="BT281" s="96">
        <f>IF(BT275&gt;BT244,MIN(BT245-BT244,BT275-BT244)*BT252,0)</f>
        <v>6.25</v>
      </c>
      <c r="BU281" s="7">
        <f t="shared" si="290"/>
        <v>1.5625</v>
      </c>
      <c r="BV281" s="7">
        <f t="shared" si="290"/>
        <v>1.5625</v>
      </c>
      <c r="BW281" s="7">
        <f t="shared" si="290"/>
        <v>1.5625</v>
      </c>
      <c r="BX281" s="7">
        <f t="shared" si="290"/>
        <v>1.5625</v>
      </c>
      <c r="BY281" s="96">
        <f t="shared" si="292"/>
        <v>6.25</v>
      </c>
      <c r="BZ281" s="96">
        <f t="shared" si="292"/>
        <v>6.25</v>
      </c>
      <c r="CA281" s="96">
        <f t="shared" si="292"/>
        <v>6.25</v>
      </c>
      <c r="CB281" s="96">
        <f t="shared" si="292"/>
        <v>6.25</v>
      </c>
      <c r="CC281" s="96">
        <f t="shared" si="292"/>
        <v>6.25</v>
      </c>
      <c r="CD281" s="96">
        <f t="shared" si="292"/>
        <v>6.25</v>
      </c>
      <c r="CE281" s="96">
        <f t="shared" si="292"/>
        <v>6.25</v>
      </c>
      <c r="CF281" s="96">
        <f t="shared" si="292"/>
        <v>6.25</v>
      </c>
    </row>
    <row r="282" spans="1:84" x14ac:dyDescent="0.25">
      <c r="A282" s="56" t="s">
        <v>1414</v>
      </c>
      <c r="B282" s="2"/>
      <c r="C282" s="7">
        <f t="shared" si="275"/>
        <v>5.625</v>
      </c>
      <c r="D282" s="7">
        <f t="shared" si="275"/>
        <v>5.625</v>
      </c>
      <c r="E282" s="7">
        <f t="shared" si="275"/>
        <v>5.625</v>
      </c>
      <c r="F282" s="7">
        <f t="shared" si="275"/>
        <v>5.625</v>
      </c>
      <c r="G282" s="96">
        <f>IF(G275&gt;G245, MIN(G246-G245,G275-G245)*G253,0)</f>
        <v>22.5</v>
      </c>
      <c r="H282" s="7">
        <f t="shared" si="276"/>
        <v>5.625</v>
      </c>
      <c r="I282" s="7">
        <f t="shared" si="276"/>
        <v>5.625</v>
      </c>
      <c r="J282" s="7">
        <f t="shared" si="276"/>
        <v>5.625</v>
      </c>
      <c r="K282" s="7">
        <f t="shared" si="276"/>
        <v>5.625</v>
      </c>
      <c r="L282" s="96">
        <f>IF(L275&gt;L245, MIN(L246-L245,L275-L245)*L253,0)</f>
        <v>22.5</v>
      </c>
      <c r="M282" s="7">
        <f t="shared" si="277"/>
        <v>5.625</v>
      </c>
      <c r="N282" s="7">
        <f t="shared" si="277"/>
        <v>5.625</v>
      </c>
      <c r="O282" s="7">
        <f t="shared" si="277"/>
        <v>5.625</v>
      </c>
      <c r="P282" s="7">
        <f t="shared" si="277"/>
        <v>5.625</v>
      </c>
      <c r="Q282" s="96">
        <f>IF(Q275&gt;Q245, MIN(Q246-Q245,Q275-Q245)*Q253,0)</f>
        <v>22.5</v>
      </c>
      <c r="R282" s="7">
        <f t="shared" si="278"/>
        <v>5.625</v>
      </c>
      <c r="S282" s="7">
        <f t="shared" si="278"/>
        <v>5.625</v>
      </c>
      <c r="T282" s="7">
        <f t="shared" si="278"/>
        <v>5.625</v>
      </c>
      <c r="U282" s="7">
        <f t="shared" si="278"/>
        <v>5.625</v>
      </c>
      <c r="V282" s="96">
        <f>IF(V275&gt;V245, MIN(V246-V245,V275-V245)*V253,0)</f>
        <v>22.5</v>
      </c>
      <c r="W282" s="7">
        <f t="shared" si="279"/>
        <v>5.625</v>
      </c>
      <c r="X282" s="7">
        <f t="shared" si="279"/>
        <v>5.625</v>
      </c>
      <c r="Y282" s="7">
        <f t="shared" si="279"/>
        <v>5.625</v>
      </c>
      <c r="Z282" s="7">
        <f t="shared" si="279"/>
        <v>5.625</v>
      </c>
      <c r="AA282" s="96">
        <f>IF(AA275&gt;AA245, MIN(AA246-AA245,AA275-AA245)*AA253,0)</f>
        <v>22.5</v>
      </c>
      <c r="AB282" s="7">
        <f t="shared" si="280"/>
        <v>5.625</v>
      </c>
      <c r="AC282" s="7">
        <f t="shared" si="280"/>
        <v>5.625</v>
      </c>
      <c r="AD282" s="7">
        <f t="shared" si="280"/>
        <v>5.625</v>
      </c>
      <c r="AE282" s="7">
        <f t="shared" si="280"/>
        <v>5.625</v>
      </c>
      <c r="AF282" s="96">
        <f>IF(AF275&gt;AF245, MIN(AF246-AF245,AF275-AF245)*AF253,0)</f>
        <v>22.5</v>
      </c>
      <c r="AG282" s="7">
        <f>$AK282/4</f>
        <v>5.625</v>
      </c>
      <c r="AH282" s="7">
        <f t="shared" si="281"/>
        <v>5.625</v>
      </c>
      <c r="AI282" s="7">
        <f t="shared" si="281"/>
        <v>5.625</v>
      </c>
      <c r="AJ282" s="7">
        <f t="shared" si="281"/>
        <v>5.625</v>
      </c>
      <c r="AK282" s="96">
        <f>IF(AK275&gt;AK245, MIN(AK246-AK245,AK275-AK245)*AK253,0)</f>
        <v>22.5</v>
      </c>
      <c r="AL282" s="7">
        <f>$AP282/4</f>
        <v>5.625</v>
      </c>
      <c r="AM282" s="7">
        <f t="shared" si="282"/>
        <v>5.625</v>
      </c>
      <c r="AN282" s="7">
        <f t="shared" si="282"/>
        <v>5.625</v>
      </c>
      <c r="AO282" s="7">
        <f t="shared" si="282"/>
        <v>5.625</v>
      </c>
      <c r="AP282" s="96">
        <f>IF(AP275&gt;AP245, MIN(AP246-AP245,AP275-AP245)*AP253,0)</f>
        <v>22.5</v>
      </c>
      <c r="AQ282" s="7">
        <f>$AU282/4</f>
        <v>5.625</v>
      </c>
      <c r="AR282" s="7">
        <f t="shared" si="283"/>
        <v>5.625</v>
      </c>
      <c r="AS282" s="7">
        <f t="shared" si="283"/>
        <v>5.625</v>
      </c>
      <c r="AT282" s="7">
        <f t="shared" si="283"/>
        <v>5.625</v>
      </c>
      <c r="AU282" s="96">
        <f>IF(AU275&gt;AU245, MIN(AU246-AU245,AU275-AU245)*AU253,0)</f>
        <v>22.5</v>
      </c>
      <c r="AV282" s="7">
        <f t="shared" si="284"/>
        <v>5.625</v>
      </c>
      <c r="AW282" s="7">
        <f t="shared" si="284"/>
        <v>5.625</v>
      </c>
      <c r="AX282" s="7">
        <f t="shared" si="284"/>
        <v>5.625</v>
      </c>
      <c r="AY282" s="7">
        <f t="shared" si="284"/>
        <v>5.625</v>
      </c>
      <c r="AZ282" s="96">
        <f>IF(AZ275&gt;AZ245, MIN(AZ246-AZ245,AZ275-AZ245)*AZ253,0)</f>
        <v>22.5</v>
      </c>
      <c r="BA282" s="7">
        <f t="shared" si="285"/>
        <v>5.625</v>
      </c>
      <c r="BB282" s="7">
        <f t="shared" si="285"/>
        <v>5.625</v>
      </c>
      <c r="BC282" s="7">
        <f t="shared" si="285"/>
        <v>5.625</v>
      </c>
      <c r="BD282" s="7">
        <f t="shared" si="285"/>
        <v>5.625</v>
      </c>
      <c r="BE282" s="96">
        <f>IF(BE275&gt;BE245, MIN(BE246-BE245,BE275-BE245)*BE253,0)</f>
        <v>22.5</v>
      </c>
      <c r="BF282" s="7">
        <f>$BJ282/4</f>
        <v>5.625</v>
      </c>
      <c r="BG282" s="7">
        <f t="shared" si="286"/>
        <v>5.625</v>
      </c>
      <c r="BH282" s="7">
        <f t="shared" si="286"/>
        <v>5.625</v>
      </c>
      <c r="BI282" s="7">
        <f t="shared" si="286"/>
        <v>5.625</v>
      </c>
      <c r="BJ282" s="96">
        <f>IF(BJ275&gt;BJ245, MIN(BJ246-BJ245,BJ275-BJ245)*BJ253,0)</f>
        <v>22.5</v>
      </c>
      <c r="BK282" s="7">
        <f>$BJ282/4</f>
        <v>5.625</v>
      </c>
      <c r="BL282" s="7">
        <f t="shared" si="287"/>
        <v>5.625</v>
      </c>
      <c r="BM282" s="7">
        <f t="shared" si="287"/>
        <v>5.625</v>
      </c>
      <c r="BN282" s="7">
        <f t="shared" si="287"/>
        <v>5.625</v>
      </c>
      <c r="BO282" s="96">
        <f t="shared" ref="BO282:CF282" si="293">IF(BO275&gt;BO245, MIN(BO246-BO245,BO275-BO245)*BO253,0)</f>
        <v>22.5</v>
      </c>
      <c r="BP282" s="7">
        <f>$BJ282/4</f>
        <v>5.625</v>
      </c>
      <c r="BQ282" s="7">
        <f t="shared" si="289"/>
        <v>5.625</v>
      </c>
      <c r="BR282" s="7">
        <f t="shared" si="289"/>
        <v>5.625</v>
      </c>
      <c r="BS282" s="7">
        <f t="shared" si="289"/>
        <v>5.625</v>
      </c>
      <c r="BT282" s="96">
        <f>IF(BT275&gt;BT245, MIN(BT246-BT245,BT275-BT245)*BT253,0)</f>
        <v>22.5</v>
      </c>
      <c r="BU282" s="7">
        <f t="shared" si="290"/>
        <v>5.625</v>
      </c>
      <c r="BV282" s="7">
        <f t="shared" si="290"/>
        <v>5.625</v>
      </c>
      <c r="BW282" s="7">
        <f t="shared" si="290"/>
        <v>5.625</v>
      </c>
      <c r="BX282" s="7">
        <f t="shared" si="290"/>
        <v>5.625</v>
      </c>
      <c r="BY282" s="96">
        <f t="shared" si="293"/>
        <v>22.5</v>
      </c>
      <c r="BZ282" s="96">
        <f t="shared" si="293"/>
        <v>22.5</v>
      </c>
      <c r="CA282" s="96">
        <f t="shared" si="293"/>
        <v>22.5</v>
      </c>
      <c r="CB282" s="96">
        <f t="shared" si="293"/>
        <v>22.5</v>
      </c>
      <c r="CC282" s="96">
        <f t="shared" si="293"/>
        <v>22.5</v>
      </c>
      <c r="CD282" s="96">
        <f t="shared" si="293"/>
        <v>22.5</v>
      </c>
      <c r="CE282" s="96">
        <f t="shared" si="293"/>
        <v>22.5</v>
      </c>
      <c r="CF282" s="96">
        <f t="shared" si="293"/>
        <v>22.5</v>
      </c>
    </row>
    <row r="283" spans="1:84" x14ac:dyDescent="0.25">
      <c r="A283" s="56" t="s">
        <v>1415</v>
      </c>
      <c r="B283" s="2"/>
      <c r="C283" s="7">
        <f t="shared" si="275"/>
        <v>25.320487499999999</v>
      </c>
      <c r="D283" s="7">
        <f t="shared" si="275"/>
        <v>25.320487499999999</v>
      </c>
      <c r="E283" s="7">
        <f t="shared" si="275"/>
        <v>25.320487499999999</v>
      </c>
      <c r="F283" s="7">
        <f t="shared" si="275"/>
        <v>25.320487499999999</v>
      </c>
      <c r="G283" s="96">
        <f>IF(G275&gt;G246,(G275-G246)*G254,0)</f>
        <v>101.28194999999999</v>
      </c>
      <c r="H283" s="7">
        <f t="shared" si="276"/>
        <v>25.992221499999996</v>
      </c>
      <c r="I283" s="7">
        <f t="shared" si="276"/>
        <v>25.992221499999996</v>
      </c>
      <c r="J283" s="7">
        <f t="shared" si="276"/>
        <v>25.992221499999996</v>
      </c>
      <c r="K283" s="7">
        <f t="shared" si="276"/>
        <v>25.992221499999996</v>
      </c>
      <c r="L283" s="96">
        <f>IF(L275&gt;L246,(L275-L246)*L254,0)</f>
        <v>103.96888599999998</v>
      </c>
      <c r="M283" s="7">
        <f t="shared" si="277"/>
        <v>28.602032287499995</v>
      </c>
      <c r="N283" s="7">
        <f t="shared" si="277"/>
        <v>28.602032287499995</v>
      </c>
      <c r="O283" s="7">
        <f t="shared" si="277"/>
        <v>28.602032287499995</v>
      </c>
      <c r="P283" s="7">
        <f t="shared" si="277"/>
        <v>28.602032287499995</v>
      </c>
      <c r="Q283" s="96">
        <f>IF(Q275&gt;Q246,(Q275-Q246)*Q254,0)</f>
        <v>114.40812914999998</v>
      </c>
      <c r="R283" s="7">
        <f t="shared" si="278"/>
        <v>28.529647737499996</v>
      </c>
      <c r="S283" s="7">
        <f t="shared" si="278"/>
        <v>28.529647737499996</v>
      </c>
      <c r="T283" s="7">
        <f t="shared" si="278"/>
        <v>28.529647737499996</v>
      </c>
      <c r="U283" s="7">
        <f t="shared" si="278"/>
        <v>28.529647737499996</v>
      </c>
      <c r="V283" s="96">
        <f>IF(V275&gt;V246,(V275-V246)*V254,0)</f>
        <v>114.11859094999998</v>
      </c>
      <c r="W283" s="7">
        <f t="shared" si="279"/>
        <v>25.039697576249996</v>
      </c>
      <c r="X283" s="7">
        <f t="shared" si="279"/>
        <v>25.039697576249996</v>
      </c>
      <c r="Y283" s="7">
        <f t="shared" si="279"/>
        <v>25.039697576249996</v>
      </c>
      <c r="Z283" s="7">
        <f t="shared" si="279"/>
        <v>25.039697576249996</v>
      </c>
      <c r="AA283" s="96">
        <f>IF(AA275&gt;AA246,(AA275-AA246)*AA254,0)</f>
        <v>100.15879030499998</v>
      </c>
      <c r="AB283" s="7">
        <f t="shared" si="280"/>
        <v>24.158749999999994</v>
      </c>
      <c r="AC283" s="7">
        <f t="shared" si="280"/>
        <v>24.158749999999994</v>
      </c>
      <c r="AD283" s="7">
        <f t="shared" si="280"/>
        <v>24.158749999999994</v>
      </c>
      <c r="AE283" s="7">
        <f t="shared" si="280"/>
        <v>24.158749999999994</v>
      </c>
      <c r="AF283" s="96">
        <f>IF(AF275&gt;AF246,(AF275-AF246)*AF254,0)</f>
        <v>96.634999999999977</v>
      </c>
      <c r="AG283" s="7">
        <f>$AK283/4</f>
        <v>25.232157299999997</v>
      </c>
      <c r="AH283" s="7">
        <f t="shared" si="281"/>
        <v>25.232157299999997</v>
      </c>
      <c r="AI283" s="7">
        <f t="shared" si="281"/>
        <v>25.232157299999997</v>
      </c>
      <c r="AJ283" s="7">
        <f t="shared" si="281"/>
        <v>25.232157299999997</v>
      </c>
      <c r="AK283" s="96">
        <f>IF(AK275&gt;AK246,(AK275-AK246)*AK254,0)</f>
        <v>100.92862919999999</v>
      </c>
      <c r="AL283" s="7">
        <f>$AP283/4</f>
        <v>25.064968074999996</v>
      </c>
      <c r="AM283" s="7">
        <f t="shared" si="282"/>
        <v>25.064968074999996</v>
      </c>
      <c r="AN283" s="7">
        <f t="shared" si="282"/>
        <v>25.064968074999996</v>
      </c>
      <c r="AO283" s="7">
        <f t="shared" si="282"/>
        <v>25.064968074999996</v>
      </c>
      <c r="AP283" s="96">
        <f>IF(AP275&gt;AP246,(AP275-AP246)*AP254,0)</f>
        <v>100.25987229999998</v>
      </c>
      <c r="AQ283" s="7">
        <f>$AU283/4</f>
        <v>21.469158374999992</v>
      </c>
      <c r="AR283" s="7">
        <f t="shared" si="283"/>
        <v>21.469158374999992</v>
      </c>
      <c r="AS283" s="7">
        <f t="shared" si="283"/>
        <v>21.469158374999992</v>
      </c>
      <c r="AT283" s="7">
        <f t="shared" si="283"/>
        <v>21.469158374999992</v>
      </c>
      <c r="AU283" s="96">
        <f>IF(AU275&gt;AU246,(AU275-AU246)*AU254,0)</f>
        <v>85.876633499999969</v>
      </c>
      <c r="AV283" s="7">
        <f t="shared" si="284"/>
        <v>10.656965025000003</v>
      </c>
      <c r="AW283" s="7">
        <f t="shared" si="284"/>
        <v>10.656965025000003</v>
      </c>
      <c r="AX283" s="7">
        <f t="shared" si="284"/>
        <v>10.656965025000003</v>
      </c>
      <c r="AY283" s="7">
        <f t="shared" si="284"/>
        <v>10.656965025000003</v>
      </c>
      <c r="AZ283" s="96">
        <f>IF(AZ275&gt;AZ246,(AZ275-AZ246)*AZ254,0)</f>
        <v>42.627860100000014</v>
      </c>
      <c r="BA283" s="7">
        <f t="shared" si="285"/>
        <v>3.937682175</v>
      </c>
      <c r="BB283" s="7">
        <f t="shared" si="285"/>
        <v>3.937682175</v>
      </c>
      <c r="BC283" s="7">
        <f t="shared" si="285"/>
        <v>3.937682175</v>
      </c>
      <c r="BD283" s="7">
        <f t="shared" si="285"/>
        <v>3.937682175</v>
      </c>
      <c r="BE283" s="96">
        <f>IF(BE275&gt;BE246,(BE275-BE246)*BE254,0)</f>
        <v>15.7507287</v>
      </c>
      <c r="BF283" s="7">
        <f>$BJ283/4</f>
        <v>2.2589083125000013</v>
      </c>
      <c r="BG283" s="7">
        <f t="shared" si="286"/>
        <v>2.2589083125000013</v>
      </c>
      <c r="BH283" s="7">
        <f t="shared" si="286"/>
        <v>2.2589083125000013</v>
      </c>
      <c r="BI283" s="7">
        <f t="shared" si="286"/>
        <v>2.2589083125000013</v>
      </c>
      <c r="BJ283" s="96">
        <f>IF(BJ275&gt;BJ246,(BJ275-BJ246)*BJ254,0)</f>
        <v>9.0356332500000054</v>
      </c>
      <c r="BK283" s="7">
        <f>$BO283/4</f>
        <v>1.9492335625000012</v>
      </c>
      <c r="BL283" s="7">
        <f>$BO283/4</f>
        <v>1.9492335625000012</v>
      </c>
      <c r="BM283" s="7">
        <f>$BO283/4</f>
        <v>1.9492335625000012</v>
      </c>
      <c r="BN283" s="7">
        <f>$BO283/4</f>
        <v>1.9492335625000012</v>
      </c>
      <c r="BO283" s="96">
        <f t="shared" ref="BO283:CF283" si="294">IF(BO275&gt;BO246,(BO275-BO246)*BO254,0)</f>
        <v>7.796934250000005</v>
      </c>
      <c r="BP283" s="7">
        <f>$BT283/4</f>
        <v>2.0917036000000016</v>
      </c>
      <c r="BQ283" s="7">
        <f>$BT283/4</f>
        <v>2.0917036000000016</v>
      </c>
      <c r="BR283" s="7">
        <f>$BT283/4</f>
        <v>2.0917036000000016</v>
      </c>
      <c r="BS283" s="7">
        <f>$BT283/4</f>
        <v>2.0917036000000016</v>
      </c>
      <c r="BT283" s="96">
        <f>IF(BT275&gt;BT246,(BT275-BT246)*BT254,0)</f>
        <v>8.3668144000000062</v>
      </c>
      <c r="BU283" s="7">
        <f t="shared" si="290"/>
        <v>2.3721811076249999</v>
      </c>
      <c r="BV283" s="7">
        <f t="shared" si="290"/>
        <v>2.3721811076249999</v>
      </c>
      <c r="BW283" s="7">
        <f t="shared" si="290"/>
        <v>2.3721811076249999</v>
      </c>
      <c r="BX283" s="7">
        <f t="shared" si="290"/>
        <v>2.3721811076249999</v>
      </c>
      <c r="BY283" s="96">
        <f t="shared" si="294"/>
        <v>9.4887244304999996</v>
      </c>
      <c r="BZ283" s="96">
        <f t="shared" si="294"/>
        <v>9.7986680526524914</v>
      </c>
      <c r="CA283" s="96">
        <f t="shared" si="294"/>
        <v>9.7986680526524914</v>
      </c>
      <c r="CB283" s="96">
        <f t="shared" si="294"/>
        <v>6.6837346500198613</v>
      </c>
      <c r="CC283" s="96">
        <f t="shared" si="294"/>
        <v>3.7245479175188634</v>
      </c>
      <c r="CD283" s="96">
        <f t="shared" si="294"/>
        <v>4.8490388758692458</v>
      </c>
      <c r="CE283" s="96">
        <f t="shared" si="294"/>
        <v>5.9960196533866359</v>
      </c>
      <c r="CF283" s="96">
        <f t="shared" si="294"/>
        <v>7.1659400464543657</v>
      </c>
    </row>
    <row r="284" spans="1:84" ht="5.25" customHeight="1" x14ac:dyDescent="0.25">
      <c r="A284" s="56"/>
      <c r="B284" s="130"/>
      <c r="C284" s="130" t="s">
        <v>1059</v>
      </c>
      <c r="D284" s="130" t="s">
        <v>1059</v>
      </c>
      <c r="E284" s="130" t="s">
        <v>1059</v>
      </c>
      <c r="F284" s="130" t="s">
        <v>1059</v>
      </c>
      <c r="G284" s="131" t="s">
        <v>1059</v>
      </c>
      <c r="H284" s="130" t="s">
        <v>1059</v>
      </c>
      <c r="I284" s="130" t="s">
        <v>1059</v>
      </c>
      <c r="J284" s="130" t="s">
        <v>1059</v>
      </c>
      <c r="K284" s="130" t="s">
        <v>1059</v>
      </c>
      <c r="L284" s="131" t="s">
        <v>1059</v>
      </c>
      <c r="M284" s="130" t="s">
        <v>1059</v>
      </c>
      <c r="N284" s="130" t="s">
        <v>1059</v>
      </c>
      <c r="O284" s="130" t="s">
        <v>1059</v>
      </c>
      <c r="P284" s="130" t="s">
        <v>1059</v>
      </c>
      <c r="Q284" s="131" t="s">
        <v>1059</v>
      </c>
      <c r="R284" s="130" t="s">
        <v>1059</v>
      </c>
      <c r="S284" s="130" t="s">
        <v>1059</v>
      </c>
      <c r="T284" s="130" t="s">
        <v>1059</v>
      </c>
      <c r="U284" s="130" t="s">
        <v>1059</v>
      </c>
      <c r="V284" s="131" t="s">
        <v>1059</v>
      </c>
      <c r="W284" s="130" t="s">
        <v>1059</v>
      </c>
      <c r="X284" s="130" t="s">
        <v>1059</v>
      </c>
      <c r="Y284" s="130" t="s">
        <v>1059</v>
      </c>
      <c r="Z284" s="130" t="s">
        <v>1059</v>
      </c>
      <c r="AA284" s="131" t="s">
        <v>1059</v>
      </c>
      <c r="AB284" s="130" t="s">
        <v>1059</v>
      </c>
      <c r="AC284" s="130" t="s">
        <v>1059</v>
      </c>
      <c r="AD284" s="130" t="s">
        <v>1059</v>
      </c>
      <c r="AE284" s="130" t="s">
        <v>1059</v>
      </c>
      <c r="AF284" s="131" t="s">
        <v>1059</v>
      </c>
      <c r="AG284" s="130" t="s">
        <v>1059</v>
      </c>
      <c r="AH284" s="130" t="s">
        <v>1059</v>
      </c>
      <c r="AI284" s="130" t="s">
        <v>1059</v>
      </c>
      <c r="AJ284" s="130" t="s">
        <v>1059</v>
      </c>
      <c r="AK284" s="131" t="s">
        <v>1059</v>
      </c>
      <c r="AL284" s="130" t="s">
        <v>1059</v>
      </c>
      <c r="AM284" s="130" t="s">
        <v>1059</v>
      </c>
      <c r="AN284" s="130" t="s">
        <v>1059</v>
      </c>
      <c r="AO284" s="130" t="s">
        <v>1059</v>
      </c>
      <c r="AP284" s="131" t="s">
        <v>1059</v>
      </c>
      <c r="AQ284" s="130" t="s">
        <v>1059</v>
      </c>
      <c r="AR284" s="130" t="s">
        <v>1059</v>
      </c>
      <c r="AS284" s="130" t="s">
        <v>1059</v>
      </c>
      <c r="AT284" s="130" t="s">
        <v>1059</v>
      </c>
      <c r="AU284" s="131" t="s">
        <v>1059</v>
      </c>
      <c r="AV284" s="130" t="s">
        <v>1059</v>
      </c>
      <c r="AW284" s="130" t="s">
        <v>1059</v>
      </c>
      <c r="AX284" s="130" t="s">
        <v>1059</v>
      </c>
      <c r="AY284" s="130" t="s">
        <v>1059</v>
      </c>
      <c r="AZ284" s="131" t="s">
        <v>1059</v>
      </c>
      <c r="BA284" s="130" t="s">
        <v>1059</v>
      </c>
      <c r="BB284" s="130" t="s">
        <v>1059</v>
      </c>
      <c r="BC284" s="130" t="s">
        <v>1059</v>
      </c>
      <c r="BD284" s="130" t="s">
        <v>1059</v>
      </c>
      <c r="BE284" s="131" t="s">
        <v>1059</v>
      </c>
      <c r="BF284" s="130" t="s">
        <v>1059</v>
      </c>
      <c r="BG284" s="130" t="s">
        <v>1059</v>
      </c>
      <c r="BH284" s="130" t="s">
        <v>1059</v>
      </c>
      <c r="BI284" s="130" t="s">
        <v>1059</v>
      </c>
      <c r="BJ284" s="131" t="s">
        <v>1059</v>
      </c>
      <c r="BK284" s="130" t="s">
        <v>1059</v>
      </c>
      <c r="BL284" s="130" t="s">
        <v>1059</v>
      </c>
      <c r="BM284" s="130" t="s">
        <v>1059</v>
      </c>
      <c r="BN284" s="130" t="s">
        <v>1059</v>
      </c>
      <c r="BO284" s="131" t="s">
        <v>1059</v>
      </c>
      <c r="BP284" s="130" t="s">
        <v>1059</v>
      </c>
      <c r="BQ284" s="130" t="s">
        <v>1059</v>
      </c>
      <c r="BR284" s="130" t="s">
        <v>1059</v>
      </c>
      <c r="BS284" s="130" t="s">
        <v>1059</v>
      </c>
      <c r="BT284" s="131" t="s">
        <v>1059</v>
      </c>
      <c r="BU284" s="130" t="s">
        <v>1059</v>
      </c>
      <c r="BV284" s="130" t="s">
        <v>1059</v>
      </c>
      <c r="BW284" s="130" t="s">
        <v>1059</v>
      </c>
      <c r="BX284" s="130" t="s">
        <v>1059</v>
      </c>
      <c r="BY284" s="131" t="s">
        <v>1059</v>
      </c>
      <c r="BZ284" s="131" t="s">
        <v>1059</v>
      </c>
      <c r="CA284" s="131" t="s">
        <v>1059</v>
      </c>
      <c r="CB284" s="131" t="s">
        <v>1059</v>
      </c>
      <c r="CC284" s="131" t="s">
        <v>1059</v>
      </c>
      <c r="CD284" s="131" t="s">
        <v>1059</v>
      </c>
      <c r="CE284" s="131" t="s">
        <v>1059</v>
      </c>
      <c r="CF284" s="131" t="s">
        <v>1059</v>
      </c>
    </row>
    <row r="285" spans="1:84" x14ac:dyDescent="0.25">
      <c r="A285" s="56" t="s">
        <v>1416</v>
      </c>
      <c r="B285" s="34"/>
      <c r="C285" s="34">
        <f t="shared" ref="C285:AC285" si="295">SUM(C279:C284)</f>
        <v>34.695487499999999</v>
      </c>
      <c r="D285" s="34">
        <f t="shared" si="295"/>
        <v>34.695487499999999</v>
      </c>
      <c r="E285" s="34">
        <f t="shared" si="295"/>
        <v>34.695487499999999</v>
      </c>
      <c r="F285" s="34">
        <f t="shared" si="295"/>
        <v>34.695487499999999</v>
      </c>
      <c r="G285" s="111">
        <f t="shared" si="295"/>
        <v>138.78194999999999</v>
      </c>
      <c r="H285" s="34">
        <f t="shared" si="295"/>
        <v>35.367221499999999</v>
      </c>
      <c r="I285" s="34">
        <f t="shared" si="295"/>
        <v>35.367221499999999</v>
      </c>
      <c r="J285" s="34">
        <f t="shared" si="295"/>
        <v>35.367221499999999</v>
      </c>
      <c r="K285" s="34">
        <f t="shared" si="295"/>
        <v>35.367221499999999</v>
      </c>
      <c r="L285" s="111">
        <f t="shared" si="295"/>
        <v>141.468886</v>
      </c>
      <c r="M285" s="34">
        <f t="shared" si="295"/>
        <v>37.977032287499995</v>
      </c>
      <c r="N285" s="34">
        <f t="shared" si="295"/>
        <v>37.977032287499995</v>
      </c>
      <c r="O285" s="34">
        <f t="shared" si="295"/>
        <v>37.977032287499995</v>
      </c>
      <c r="P285" s="34">
        <f t="shared" si="295"/>
        <v>37.977032287499995</v>
      </c>
      <c r="Q285" s="111">
        <f t="shared" si="295"/>
        <v>151.90812914999998</v>
      </c>
      <c r="R285" s="34">
        <f t="shared" si="295"/>
        <v>37.904647737499999</v>
      </c>
      <c r="S285" s="34">
        <f t="shared" si="295"/>
        <v>37.904647737499999</v>
      </c>
      <c r="T285" s="34">
        <f t="shared" si="295"/>
        <v>37.904647737499999</v>
      </c>
      <c r="U285" s="34">
        <f t="shared" si="295"/>
        <v>37.904647737499999</v>
      </c>
      <c r="V285" s="111">
        <f t="shared" si="295"/>
        <v>151.61859095</v>
      </c>
      <c r="W285" s="34">
        <f t="shared" si="295"/>
        <v>34.414697576249992</v>
      </c>
      <c r="X285" s="34">
        <f t="shared" si="295"/>
        <v>34.414697576249992</v>
      </c>
      <c r="Y285" s="34">
        <f t="shared" si="295"/>
        <v>34.414697576249992</v>
      </c>
      <c r="Z285" s="34">
        <f t="shared" si="295"/>
        <v>34.414697576249992</v>
      </c>
      <c r="AA285" s="111">
        <f t="shared" si="295"/>
        <v>137.65879030499997</v>
      </c>
      <c r="AB285" s="34">
        <f t="shared" si="295"/>
        <v>33.533749999999998</v>
      </c>
      <c r="AC285" s="34">
        <f t="shared" si="295"/>
        <v>33.533749999999998</v>
      </c>
      <c r="AD285" s="34">
        <f t="shared" ref="AD285:AU285" si="296">SUM(AD279:AD284)</f>
        <v>33.533749999999998</v>
      </c>
      <c r="AE285" s="34">
        <f t="shared" si="296"/>
        <v>33.533749999999998</v>
      </c>
      <c r="AF285" s="111">
        <f t="shared" si="296"/>
        <v>134.13499999999999</v>
      </c>
      <c r="AG285" s="34">
        <f t="shared" si="296"/>
        <v>34.607157299999997</v>
      </c>
      <c r="AH285" s="34">
        <f t="shared" si="296"/>
        <v>34.607157299999997</v>
      </c>
      <c r="AI285" s="34">
        <f t="shared" si="296"/>
        <v>34.607157299999997</v>
      </c>
      <c r="AJ285" s="34">
        <f t="shared" si="296"/>
        <v>34.607157299999997</v>
      </c>
      <c r="AK285" s="111">
        <f t="shared" si="296"/>
        <v>138.42862919999999</v>
      </c>
      <c r="AL285" s="34">
        <f t="shared" si="296"/>
        <v>34.439968074999996</v>
      </c>
      <c r="AM285" s="34">
        <f t="shared" si="296"/>
        <v>34.439968074999996</v>
      </c>
      <c r="AN285" s="34">
        <f t="shared" si="296"/>
        <v>34.439968074999996</v>
      </c>
      <c r="AO285" s="34">
        <f t="shared" si="296"/>
        <v>34.439968074999996</v>
      </c>
      <c r="AP285" s="111">
        <f t="shared" si="296"/>
        <v>137.75987229999998</v>
      </c>
      <c r="AQ285" s="34">
        <f t="shared" si="296"/>
        <v>30.844158374999992</v>
      </c>
      <c r="AR285" s="34">
        <f t="shared" si="296"/>
        <v>30.844158374999992</v>
      </c>
      <c r="AS285" s="34">
        <f t="shared" si="296"/>
        <v>30.844158374999992</v>
      </c>
      <c r="AT285" s="34">
        <f t="shared" si="296"/>
        <v>30.844158374999992</v>
      </c>
      <c r="AU285" s="111">
        <f t="shared" si="296"/>
        <v>123.37663349999997</v>
      </c>
      <c r="AV285" s="34">
        <f t="shared" ref="AV285:BE285" si="297">SUM(AV279:AV284)</f>
        <v>20.031965025000005</v>
      </c>
      <c r="AW285" s="34">
        <f t="shared" si="297"/>
        <v>20.031965025000005</v>
      </c>
      <c r="AX285" s="34">
        <f t="shared" si="297"/>
        <v>20.031965025000005</v>
      </c>
      <c r="AY285" s="34">
        <f t="shared" si="297"/>
        <v>20.031965025000005</v>
      </c>
      <c r="AZ285" s="111">
        <f t="shared" si="297"/>
        <v>80.127860100000021</v>
      </c>
      <c r="BA285" s="34">
        <f t="shared" si="297"/>
        <v>13.312682174999999</v>
      </c>
      <c r="BB285" s="34">
        <f t="shared" si="297"/>
        <v>13.312682174999999</v>
      </c>
      <c r="BC285" s="34">
        <f t="shared" si="297"/>
        <v>13.312682174999999</v>
      </c>
      <c r="BD285" s="34">
        <f t="shared" si="297"/>
        <v>13.312682174999999</v>
      </c>
      <c r="BE285" s="111">
        <f t="shared" si="297"/>
        <v>53.250728699999996</v>
      </c>
      <c r="BF285" s="34">
        <f t="shared" ref="BF285:CF285" si="298">SUM(BF279:BF284)</f>
        <v>11.633908312500001</v>
      </c>
      <c r="BG285" s="34">
        <f t="shared" si="298"/>
        <v>11.633908312500001</v>
      </c>
      <c r="BH285" s="34">
        <f t="shared" si="298"/>
        <v>11.633908312500001</v>
      </c>
      <c r="BI285" s="34">
        <f t="shared" si="298"/>
        <v>11.633908312500001</v>
      </c>
      <c r="BJ285" s="111">
        <f t="shared" si="298"/>
        <v>46.535633250000004</v>
      </c>
      <c r="BK285" s="34">
        <f t="shared" si="298"/>
        <v>11.324233562500002</v>
      </c>
      <c r="BL285" s="34">
        <f t="shared" si="298"/>
        <v>11.324233562500002</v>
      </c>
      <c r="BM285" s="34">
        <f t="shared" si="298"/>
        <v>11.324233562500002</v>
      </c>
      <c r="BN285" s="34">
        <f t="shared" si="298"/>
        <v>11.324233562500002</v>
      </c>
      <c r="BO285" s="111">
        <f t="shared" si="298"/>
        <v>45.296934250000007</v>
      </c>
      <c r="BP285" s="34">
        <f t="shared" si="298"/>
        <v>11.466703600000002</v>
      </c>
      <c r="BQ285" s="34">
        <f t="shared" si="298"/>
        <v>11.466703600000002</v>
      </c>
      <c r="BR285" s="34">
        <f t="shared" si="298"/>
        <v>11.466703600000002</v>
      </c>
      <c r="BS285" s="34">
        <f t="shared" si="298"/>
        <v>11.466703600000002</v>
      </c>
      <c r="BT285" s="111">
        <f t="shared" si="298"/>
        <v>45.86681440000001</v>
      </c>
      <c r="BU285" s="34">
        <f>SUM(BU279:BU284)</f>
        <v>11.747181107625</v>
      </c>
      <c r="BV285" s="34">
        <f>SUM(BV279:BV284)</f>
        <v>11.747181107625</v>
      </c>
      <c r="BW285" s="34">
        <f>SUM(BW279:BW284)</f>
        <v>11.747181107625</v>
      </c>
      <c r="BX285" s="34">
        <f>SUM(BX279:BX284)</f>
        <v>11.747181107625</v>
      </c>
      <c r="BY285" s="111">
        <f t="shared" si="298"/>
        <v>46.9887244305</v>
      </c>
      <c r="BZ285" s="111">
        <f t="shared" si="298"/>
        <v>47.298668052652488</v>
      </c>
      <c r="CA285" s="111">
        <f t="shared" si="298"/>
        <v>47.298668052652488</v>
      </c>
      <c r="CB285" s="111">
        <f t="shared" si="298"/>
        <v>44.183734650019858</v>
      </c>
      <c r="CC285" s="111">
        <f t="shared" si="298"/>
        <v>41.224547917518862</v>
      </c>
      <c r="CD285" s="111">
        <f t="shared" si="298"/>
        <v>42.349038875869248</v>
      </c>
      <c r="CE285" s="111">
        <f t="shared" si="298"/>
        <v>43.496019653386639</v>
      </c>
      <c r="CF285" s="111">
        <f t="shared" si="298"/>
        <v>44.665940046454367</v>
      </c>
    </row>
    <row r="286" spans="1:84" x14ac:dyDescent="0.25">
      <c r="A286" s="56"/>
      <c r="B286" s="34"/>
      <c r="C286" s="112"/>
      <c r="D286" s="112"/>
      <c r="E286" s="112"/>
      <c r="F286" s="112"/>
      <c r="G286" s="111"/>
      <c r="H286" s="112"/>
      <c r="I286" s="112"/>
      <c r="J286" s="112"/>
      <c r="K286" s="112"/>
      <c r="L286" s="111"/>
      <c r="M286" s="112"/>
      <c r="N286" s="112"/>
      <c r="O286" s="112"/>
      <c r="P286" s="112"/>
      <c r="Q286" s="111"/>
      <c r="R286" s="112"/>
      <c r="S286" s="112"/>
      <c r="T286" s="112"/>
      <c r="U286" s="112"/>
      <c r="V286" s="111"/>
      <c r="W286" s="112"/>
      <c r="X286" s="112"/>
      <c r="Y286" s="112"/>
      <c r="Z286" s="112"/>
      <c r="AA286" s="111"/>
      <c r="AB286" s="112"/>
      <c r="AC286" s="112"/>
      <c r="AD286" s="112"/>
      <c r="AE286" s="112"/>
      <c r="AF286" s="111"/>
      <c r="AG286" s="112"/>
      <c r="AH286" s="112"/>
      <c r="AI286" s="112"/>
      <c r="AJ286" s="112"/>
      <c r="AK286" s="111"/>
      <c r="AL286" s="112"/>
      <c r="AM286" s="112"/>
      <c r="AN286" s="112"/>
      <c r="AO286" s="112"/>
      <c r="AP286" s="111"/>
      <c r="AQ286" s="112"/>
      <c r="AR286" s="112"/>
      <c r="AS286" s="112"/>
      <c r="AT286" s="112"/>
      <c r="AU286" s="111"/>
      <c r="AV286" s="112"/>
      <c r="AW286" s="112"/>
      <c r="AX286" s="112"/>
      <c r="AY286" s="112"/>
      <c r="AZ286" s="111"/>
      <c r="BA286" s="112"/>
      <c r="BB286" s="112"/>
      <c r="BC286" s="112"/>
      <c r="BD286" s="112"/>
      <c r="BE286" s="111"/>
      <c r="BF286" s="112"/>
      <c r="BG286" s="112"/>
      <c r="BH286" s="112"/>
      <c r="BI286" s="112"/>
      <c r="BJ286" s="111"/>
      <c r="BK286" s="112"/>
      <c r="BL286" s="112"/>
      <c r="BM286" s="112"/>
      <c r="BN286" s="112"/>
      <c r="BO286" s="111"/>
      <c r="BP286" s="112"/>
      <c r="BQ286" s="112"/>
      <c r="BR286" s="112"/>
      <c r="BS286" s="112"/>
      <c r="BT286" s="111"/>
      <c r="BU286" s="112"/>
      <c r="BV286" s="112"/>
      <c r="BW286" s="112"/>
      <c r="BX286" s="112"/>
      <c r="BY286" s="111"/>
      <c r="BZ286" s="111"/>
      <c r="CA286" s="111"/>
      <c r="CB286" s="111"/>
      <c r="CC286" s="111"/>
      <c r="CD286" s="111"/>
      <c r="CE286" s="111"/>
      <c r="CF286" s="111"/>
    </row>
    <row r="287" spans="1:84" x14ac:dyDescent="0.25">
      <c r="A287" s="56" t="s">
        <v>1407</v>
      </c>
      <c r="B287" s="34"/>
      <c r="C287" s="112"/>
      <c r="D287" s="112"/>
      <c r="E287" s="112"/>
      <c r="F287" s="112"/>
      <c r="G287" s="111"/>
      <c r="H287" s="112"/>
      <c r="I287" s="112"/>
      <c r="J287" s="112"/>
      <c r="K287" s="112"/>
      <c r="L287" s="111"/>
      <c r="M287" s="112"/>
      <c r="N287" s="112"/>
      <c r="O287" s="112"/>
      <c r="P287" s="112"/>
      <c r="Q287" s="111"/>
      <c r="R287" s="112"/>
      <c r="S287" s="112"/>
      <c r="T287" s="112"/>
      <c r="U287" s="112"/>
      <c r="V287" s="111"/>
      <c r="W287" s="112"/>
      <c r="X287" s="112"/>
      <c r="Y287" s="112"/>
      <c r="Z287" s="112"/>
      <c r="AA287" s="111"/>
      <c r="AB287" s="112"/>
      <c r="AC287" s="112"/>
      <c r="AD287" s="112"/>
      <c r="AE287" s="112"/>
      <c r="AF287" s="111"/>
      <c r="AG287" s="112"/>
      <c r="AH287" s="112"/>
      <c r="AI287" s="112"/>
      <c r="AJ287" s="112"/>
      <c r="AK287" s="111"/>
      <c r="AL287" s="112"/>
      <c r="AM287" s="112"/>
      <c r="AN287" s="112"/>
      <c r="AO287" s="112"/>
      <c r="AP287" s="111"/>
      <c r="AQ287" s="112"/>
      <c r="AR287" s="112"/>
      <c r="AS287" s="112"/>
      <c r="AT287" s="112"/>
      <c r="AU287" s="111"/>
      <c r="AV287" s="112"/>
      <c r="AW287" s="112"/>
      <c r="AX287" s="112"/>
      <c r="AY287" s="112"/>
      <c r="AZ287" s="111"/>
      <c r="BA287" s="112"/>
      <c r="BB287" s="112"/>
      <c r="BC287" s="112"/>
      <c r="BD287" s="112"/>
      <c r="BE287" s="111"/>
      <c r="BF287" s="112"/>
      <c r="BG287" s="112"/>
      <c r="BH287" s="112"/>
      <c r="BI287" s="112"/>
      <c r="BJ287" s="111"/>
      <c r="BK287" s="112"/>
      <c r="BL287" s="112"/>
      <c r="BM287" s="112"/>
      <c r="BN287" s="112"/>
      <c r="BO287" s="111"/>
      <c r="BP287" s="112"/>
      <c r="BQ287" s="112"/>
      <c r="BR287" s="112"/>
      <c r="BS287" s="112"/>
      <c r="BT287" s="111"/>
      <c r="BU287" s="112"/>
      <c r="BV287" s="112"/>
      <c r="BW287" s="112"/>
      <c r="BX287" s="112"/>
      <c r="BY287" s="111"/>
      <c r="BZ287" s="111"/>
      <c r="CA287" s="111"/>
      <c r="CB287" s="111"/>
      <c r="CC287" s="111"/>
      <c r="CD287" s="111"/>
      <c r="CE287" s="111"/>
      <c r="CF287" s="111"/>
    </row>
    <row r="288" spans="1:84" x14ac:dyDescent="0.25">
      <c r="A288" s="56" t="s">
        <v>1772</v>
      </c>
      <c r="B288" s="34"/>
      <c r="C288" s="112">
        <f t="shared" ref="C288:F292" si="299">$G288/4</f>
        <v>1.875</v>
      </c>
      <c r="D288" s="112">
        <f t="shared" si="299"/>
        <v>1.875</v>
      </c>
      <c r="E288" s="112">
        <f t="shared" si="299"/>
        <v>1.875</v>
      </c>
      <c r="F288" s="112">
        <f t="shared" si="299"/>
        <v>1.875</v>
      </c>
      <c r="G288" s="111">
        <f>IF(G275&gt;0, MIN(G258,G275)*G265,0)</f>
        <v>7.5</v>
      </c>
      <c r="H288" s="112">
        <f t="shared" ref="H288:K292" si="300">$L288/4</f>
        <v>1.875</v>
      </c>
      <c r="I288" s="112">
        <f t="shared" si="300"/>
        <v>1.875</v>
      </c>
      <c r="J288" s="112">
        <f t="shared" si="300"/>
        <v>1.875</v>
      </c>
      <c r="K288" s="112">
        <f t="shared" si="300"/>
        <v>1.875</v>
      </c>
      <c r="L288" s="111">
        <f>IF(L275&gt;0, MIN(L258,L275)*L265,0)</f>
        <v>7.5</v>
      </c>
      <c r="M288" s="112">
        <f t="shared" ref="M288:P292" si="301">$Q288/4</f>
        <v>1.875</v>
      </c>
      <c r="N288" s="112">
        <f t="shared" si="301"/>
        <v>1.875</v>
      </c>
      <c r="O288" s="112">
        <f t="shared" si="301"/>
        <v>1.875</v>
      </c>
      <c r="P288" s="112">
        <f t="shared" si="301"/>
        <v>1.875</v>
      </c>
      <c r="Q288" s="111">
        <f>IF(Q275&gt;0, MIN(Q258,Q275)*Q265,0)</f>
        <v>7.5</v>
      </c>
      <c r="R288" s="112">
        <f t="shared" ref="R288:U292" si="302">$V288/4</f>
        <v>1.875</v>
      </c>
      <c r="S288" s="112">
        <f t="shared" si="302"/>
        <v>1.875</v>
      </c>
      <c r="T288" s="112">
        <f t="shared" si="302"/>
        <v>1.875</v>
      </c>
      <c r="U288" s="112">
        <f t="shared" si="302"/>
        <v>1.875</v>
      </c>
      <c r="V288" s="111">
        <f>IF(V275&gt;0, MIN(V258,V275)*V265,0)</f>
        <v>7.5</v>
      </c>
      <c r="W288" s="112">
        <f t="shared" ref="W288:Z292" si="303">$AA288/4</f>
        <v>1.875</v>
      </c>
      <c r="X288" s="112">
        <f t="shared" si="303"/>
        <v>1.875</v>
      </c>
      <c r="Y288" s="112">
        <f t="shared" si="303"/>
        <v>1.875</v>
      </c>
      <c r="Z288" s="112">
        <f t="shared" si="303"/>
        <v>1.875</v>
      </c>
      <c r="AA288" s="111">
        <f>IF(AA275&gt;0, MIN(AA258,AA275)*AA265,0)</f>
        <v>7.5</v>
      </c>
      <c r="AB288" s="112">
        <f t="shared" ref="AB288:AE292" si="304">$AF288/4</f>
        <v>1.875</v>
      </c>
      <c r="AC288" s="112">
        <f t="shared" si="304"/>
        <v>1.875</v>
      </c>
      <c r="AD288" s="112">
        <f t="shared" si="304"/>
        <v>1.875</v>
      </c>
      <c r="AE288" s="112">
        <f t="shared" si="304"/>
        <v>1.875</v>
      </c>
      <c r="AF288" s="111">
        <f>IF(AF275&gt;0, MIN(AF258,AF275)*AF265,0)</f>
        <v>7.5</v>
      </c>
      <c r="AG288" s="112">
        <f>$AK288/4</f>
        <v>1.875</v>
      </c>
      <c r="AH288" s="112">
        <f t="shared" ref="AH288:AJ292" si="305">$AK288/4</f>
        <v>1.875</v>
      </c>
      <c r="AI288" s="112">
        <f t="shared" si="305"/>
        <v>1.875</v>
      </c>
      <c r="AJ288" s="112">
        <f t="shared" si="305"/>
        <v>1.875</v>
      </c>
      <c r="AK288" s="111">
        <f>IF(AK275&gt;0, MIN(AK258,AK275)*AK265,0)</f>
        <v>7.5</v>
      </c>
      <c r="AL288" s="112">
        <f>$AP288/4</f>
        <v>1.875</v>
      </c>
      <c r="AM288" s="112">
        <f t="shared" ref="AM288:AO292" si="306">$AP288/4</f>
        <v>1.875</v>
      </c>
      <c r="AN288" s="112">
        <f t="shared" si="306"/>
        <v>1.875</v>
      </c>
      <c r="AO288" s="112">
        <f t="shared" si="306"/>
        <v>1.875</v>
      </c>
      <c r="AP288" s="111">
        <f>IF(AP275&gt;0, MIN(AP258,AP275)*AP265,0)</f>
        <v>7.5</v>
      </c>
      <c r="AQ288" s="112">
        <f>$AU288/4</f>
        <v>1.875</v>
      </c>
      <c r="AR288" s="112">
        <f t="shared" ref="AR288:AT292" si="307">$AU288/4</f>
        <v>1.875</v>
      </c>
      <c r="AS288" s="112">
        <f t="shared" si="307"/>
        <v>1.875</v>
      </c>
      <c r="AT288" s="112">
        <f t="shared" si="307"/>
        <v>1.875</v>
      </c>
      <c r="AU288" s="111">
        <f>IF(AU275&gt;0, MIN(AU258,AU275)*AU265,0)</f>
        <v>7.5</v>
      </c>
      <c r="AV288" s="112">
        <f t="shared" ref="AV288:AY292" si="308">$AZ288/4</f>
        <v>1.875</v>
      </c>
      <c r="AW288" s="112">
        <f t="shared" si="308"/>
        <v>1.875</v>
      </c>
      <c r="AX288" s="112">
        <f t="shared" si="308"/>
        <v>1.875</v>
      </c>
      <c r="AY288" s="112">
        <f t="shared" si="308"/>
        <v>1.875</v>
      </c>
      <c r="AZ288" s="111">
        <f>IF(AZ275&gt;0, MIN(AZ258,AZ275)*AZ265,0)</f>
        <v>7.5</v>
      </c>
      <c r="BA288" s="112">
        <f t="shared" ref="BA288:BD292" si="309">$BE288/4</f>
        <v>1.875</v>
      </c>
      <c r="BB288" s="112">
        <f t="shared" si="309"/>
        <v>1.875</v>
      </c>
      <c r="BC288" s="112">
        <f t="shared" si="309"/>
        <v>1.875</v>
      </c>
      <c r="BD288" s="112">
        <f t="shared" si="309"/>
        <v>1.875</v>
      </c>
      <c r="BE288" s="111">
        <f>IF(BE275&gt;0, MIN(BE258,BE275)*BE265,0)</f>
        <v>7.5</v>
      </c>
      <c r="BF288" s="112">
        <f>$BJ288/4</f>
        <v>1.875</v>
      </c>
      <c r="BG288" s="112">
        <f t="shared" ref="BG288:BI292" si="310">$BJ288/4</f>
        <v>1.875</v>
      </c>
      <c r="BH288" s="112">
        <f t="shared" si="310"/>
        <v>1.875</v>
      </c>
      <c r="BI288" s="112">
        <f t="shared" si="310"/>
        <v>1.875</v>
      </c>
      <c r="BJ288" s="111">
        <f>IF(BJ275&gt;0, MIN(BJ258,BJ275)*BJ265,0)</f>
        <v>7.5</v>
      </c>
      <c r="BK288" s="112">
        <f>$BO288/4</f>
        <v>1.875</v>
      </c>
      <c r="BL288" s="112">
        <f>$BO288/4</f>
        <v>1.875</v>
      </c>
      <c r="BM288" s="112">
        <f>$BO288/4</f>
        <v>1.875</v>
      </c>
      <c r="BN288" s="112">
        <f>$BO288/4</f>
        <v>1.875</v>
      </c>
      <c r="BO288" s="111">
        <f t="shared" ref="BO288:CF288" si="311">IF(BO275&gt;0, MIN(BO258,BO275)*BO265,0)</f>
        <v>7.5</v>
      </c>
      <c r="BP288" s="112">
        <f t="shared" ref="BP288:BS292" si="312">$BT288/4</f>
        <v>1.875</v>
      </c>
      <c r="BQ288" s="112">
        <f t="shared" si="312"/>
        <v>1.875</v>
      </c>
      <c r="BR288" s="112">
        <f t="shared" si="312"/>
        <v>1.875</v>
      </c>
      <c r="BS288" s="112">
        <f t="shared" si="312"/>
        <v>1.875</v>
      </c>
      <c r="BT288" s="111">
        <f>IF(BT275&gt;0, MIN(BT258,BT275)*BT265,0)</f>
        <v>7.5</v>
      </c>
      <c r="BU288" s="112">
        <f t="shared" ref="BU288:BX292" si="313">$BY288/4</f>
        <v>1.875</v>
      </c>
      <c r="BV288" s="112">
        <f t="shared" si="313"/>
        <v>1.875</v>
      </c>
      <c r="BW288" s="112">
        <f t="shared" si="313"/>
        <v>1.875</v>
      </c>
      <c r="BX288" s="112">
        <f t="shared" si="313"/>
        <v>1.875</v>
      </c>
      <c r="BY288" s="111">
        <f t="shared" si="311"/>
        <v>7.5</v>
      </c>
      <c r="BZ288" s="111">
        <f t="shared" si="311"/>
        <v>7.5</v>
      </c>
      <c r="CA288" s="111">
        <f t="shared" si="311"/>
        <v>7.5</v>
      </c>
      <c r="CB288" s="111">
        <f t="shared" si="311"/>
        <v>7.5</v>
      </c>
      <c r="CC288" s="111">
        <f t="shared" si="311"/>
        <v>7.5</v>
      </c>
      <c r="CD288" s="111">
        <f t="shared" si="311"/>
        <v>7.5</v>
      </c>
      <c r="CE288" s="111">
        <f t="shared" si="311"/>
        <v>7.5</v>
      </c>
      <c r="CF288" s="111">
        <f t="shared" si="311"/>
        <v>7.5</v>
      </c>
    </row>
    <row r="289" spans="1:84" x14ac:dyDescent="0.25">
      <c r="A289" s="56" t="s">
        <v>1773</v>
      </c>
      <c r="B289" s="35"/>
      <c r="C289" s="124">
        <f t="shared" si="299"/>
        <v>0.75</v>
      </c>
      <c r="D289" s="125">
        <f t="shared" si="299"/>
        <v>0.75</v>
      </c>
      <c r="E289" s="125">
        <f t="shared" si="299"/>
        <v>0.75</v>
      </c>
      <c r="F289" s="125">
        <f t="shared" si="299"/>
        <v>0.75</v>
      </c>
      <c r="G289" s="123">
        <f>IF(G275&gt;G258, MIN(G259-G258,G275-G258)*G266,0)</f>
        <v>3</v>
      </c>
      <c r="H289" s="98">
        <f t="shared" si="300"/>
        <v>0.75</v>
      </c>
      <c r="I289" s="99">
        <f t="shared" si="300"/>
        <v>0.75</v>
      </c>
      <c r="J289" s="99">
        <f t="shared" si="300"/>
        <v>0.75</v>
      </c>
      <c r="K289" s="99">
        <f t="shared" si="300"/>
        <v>0.75</v>
      </c>
      <c r="L289" s="123">
        <f>IF(L275&gt;L258, MIN(L259-L258,L275-L258)*L266,0)</f>
        <v>3</v>
      </c>
      <c r="M289" s="99">
        <f t="shared" si="301"/>
        <v>0.75</v>
      </c>
      <c r="N289" s="99">
        <f t="shared" si="301"/>
        <v>0.75</v>
      </c>
      <c r="O289" s="99">
        <f t="shared" si="301"/>
        <v>0.75</v>
      </c>
      <c r="P289" s="99">
        <f t="shared" si="301"/>
        <v>0.75</v>
      </c>
      <c r="Q289" s="123">
        <f>IF(Q275&gt;Q258, MIN(Q259-Q258,Q275-Q258)*Q266,0)</f>
        <v>3</v>
      </c>
      <c r="R289" s="99">
        <f t="shared" si="302"/>
        <v>0.75</v>
      </c>
      <c r="S289" s="99">
        <f t="shared" si="302"/>
        <v>0.75</v>
      </c>
      <c r="T289" s="99">
        <f t="shared" si="302"/>
        <v>0.75</v>
      </c>
      <c r="U289" s="99">
        <f t="shared" si="302"/>
        <v>0.75</v>
      </c>
      <c r="V289" s="123">
        <f>IF(V275&gt;V258, MIN(V259-V258,V275-V258)*V266,0)</f>
        <v>3</v>
      </c>
      <c r="W289" s="99">
        <f t="shared" si="303"/>
        <v>0.75</v>
      </c>
      <c r="X289" s="99">
        <f t="shared" si="303"/>
        <v>0.75</v>
      </c>
      <c r="Y289" s="99">
        <f t="shared" si="303"/>
        <v>0.75</v>
      </c>
      <c r="Z289" s="99">
        <f t="shared" si="303"/>
        <v>0.75</v>
      </c>
      <c r="AA289" s="123">
        <f>IF(AA275&gt;AA258, MIN(AA259-AA258,AA275-AA258)*AA266,0)</f>
        <v>3</v>
      </c>
      <c r="AB289" s="99">
        <f t="shared" si="304"/>
        <v>0.75</v>
      </c>
      <c r="AC289" s="99">
        <f t="shared" si="304"/>
        <v>0.75</v>
      </c>
      <c r="AD289" s="99">
        <f t="shared" si="304"/>
        <v>0.75</v>
      </c>
      <c r="AE289" s="99">
        <f t="shared" si="304"/>
        <v>0.75</v>
      </c>
      <c r="AF289" s="123">
        <f>IF(AF275&gt;AF258, MIN(AF259-AF258,AF275-AF258)*AF266,0)</f>
        <v>3</v>
      </c>
      <c r="AG289" s="99">
        <f>$AK289/4</f>
        <v>0.75</v>
      </c>
      <c r="AH289" s="99">
        <f t="shared" si="305"/>
        <v>0.75</v>
      </c>
      <c r="AI289" s="99">
        <f t="shared" si="305"/>
        <v>0.75</v>
      </c>
      <c r="AJ289" s="99">
        <f t="shared" si="305"/>
        <v>0.75</v>
      </c>
      <c r="AK289" s="123">
        <f>IF(AK275&gt;AK258, MIN(AK259-AK258,AK275-AK258)*AK266,0)</f>
        <v>3</v>
      </c>
      <c r="AL289" s="99">
        <f>$AP289/4</f>
        <v>0.75</v>
      </c>
      <c r="AM289" s="99">
        <f t="shared" si="306"/>
        <v>0.75</v>
      </c>
      <c r="AN289" s="99">
        <f t="shared" si="306"/>
        <v>0.75</v>
      </c>
      <c r="AO289" s="99">
        <f t="shared" si="306"/>
        <v>0.75</v>
      </c>
      <c r="AP289" s="123">
        <f>IF(AP275&gt;AP258, MIN(AP259-AP258,AP275-AP258)*AP266,0)</f>
        <v>3</v>
      </c>
      <c r="AQ289" s="99">
        <f>$AU289/4</f>
        <v>0.75</v>
      </c>
      <c r="AR289" s="99">
        <f t="shared" si="307"/>
        <v>0.75</v>
      </c>
      <c r="AS289" s="99">
        <f t="shared" si="307"/>
        <v>0.75</v>
      </c>
      <c r="AT289" s="99">
        <f t="shared" si="307"/>
        <v>0.75</v>
      </c>
      <c r="AU289" s="123">
        <f>IF(AU275&gt;AU258, MIN(AU259-AU258,AU275-AU258)*AU266,0)</f>
        <v>3</v>
      </c>
      <c r="AV289" s="99">
        <f t="shared" si="308"/>
        <v>0.75</v>
      </c>
      <c r="AW289" s="99">
        <f t="shared" si="308"/>
        <v>0.75</v>
      </c>
      <c r="AX289" s="99">
        <f t="shared" si="308"/>
        <v>0.75</v>
      </c>
      <c r="AY289" s="99">
        <f t="shared" si="308"/>
        <v>0.75</v>
      </c>
      <c r="AZ289" s="123">
        <f>IF(AZ275&gt;AZ258, MIN(AZ259-AZ258,AZ275-AZ258)*AZ266,0)</f>
        <v>3</v>
      </c>
      <c r="BA289" s="99">
        <f t="shared" si="309"/>
        <v>0.67503122999999998</v>
      </c>
      <c r="BB289" s="99">
        <f t="shared" si="309"/>
        <v>0.67503122999999998</v>
      </c>
      <c r="BC289" s="99">
        <f t="shared" si="309"/>
        <v>0.67503122999999998</v>
      </c>
      <c r="BD289" s="99">
        <f t="shared" si="309"/>
        <v>0.67503122999999998</v>
      </c>
      <c r="BE289" s="123">
        <f>IF(BE275&gt;BE258, MIN(BE259-BE258,BE275-BE258)*BE266,0)</f>
        <v>2.7001249199999999</v>
      </c>
      <c r="BF289" s="99">
        <f>$BJ289/4</f>
        <v>0.38724142500000025</v>
      </c>
      <c r="BG289" s="99">
        <f t="shared" si="310"/>
        <v>0.38724142500000025</v>
      </c>
      <c r="BH289" s="99">
        <f t="shared" si="310"/>
        <v>0.38724142500000025</v>
      </c>
      <c r="BI289" s="99">
        <f t="shared" si="310"/>
        <v>0.38724142500000025</v>
      </c>
      <c r="BJ289" s="123">
        <f>IF(BJ275&gt;BJ258, MIN(BJ259-BJ258,BJ275-BJ258)*BJ266,0)</f>
        <v>1.548965700000001</v>
      </c>
      <c r="BK289" s="99">
        <f>$BO289/4</f>
        <v>0.3341543250000002</v>
      </c>
      <c r="BL289" s="99">
        <f t="shared" ref="BL289:BN292" si="314">$BO289/4</f>
        <v>0.3341543250000002</v>
      </c>
      <c r="BM289" s="99">
        <f t="shared" si="314"/>
        <v>0.3341543250000002</v>
      </c>
      <c r="BN289" s="99">
        <f t="shared" si="314"/>
        <v>0.3341543250000002</v>
      </c>
      <c r="BO289" s="123">
        <f t="shared" ref="BO289:CF289" si="315">IF(BO275&gt;BO258, MIN(BO259-BO258,BO275-BO258)*BO266,0)</f>
        <v>1.3366173000000008</v>
      </c>
      <c r="BP289" s="99">
        <f t="shared" si="312"/>
        <v>0.3585777600000003</v>
      </c>
      <c r="BQ289" s="99">
        <f t="shared" si="312"/>
        <v>0.3585777600000003</v>
      </c>
      <c r="BR289" s="99">
        <f t="shared" si="312"/>
        <v>0.3585777600000003</v>
      </c>
      <c r="BS289" s="99">
        <f t="shared" si="312"/>
        <v>0.3585777600000003</v>
      </c>
      <c r="BT289" s="123">
        <f>IF(BT275&gt;BT258, MIN(BT259-BT258,BT275-BT258)*BT266,0)</f>
        <v>1.4343110400000012</v>
      </c>
      <c r="BU289" s="99">
        <f t="shared" si="313"/>
        <v>0.40665961844999998</v>
      </c>
      <c r="BV289" s="99">
        <f t="shared" si="313"/>
        <v>0.40665961844999998</v>
      </c>
      <c r="BW289" s="99">
        <f t="shared" si="313"/>
        <v>0.40665961844999998</v>
      </c>
      <c r="BX289" s="99">
        <f t="shared" si="313"/>
        <v>0.40665961844999998</v>
      </c>
      <c r="BY289" s="123">
        <f t="shared" si="315"/>
        <v>1.6266384737999999</v>
      </c>
      <c r="BZ289" s="123">
        <f t="shared" si="315"/>
        <v>1.6797716661689985</v>
      </c>
      <c r="CA289" s="123">
        <f t="shared" si="315"/>
        <v>1.6797716661689985</v>
      </c>
      <c r="CB289" s="123">
        <f t="shared" si="315"/>
        <v>1.1457830828605478</v>
      </c>
      <c r="CC289" s="123">
        <f t="shared" si="315"/>
        <v>0.63849392871751942</v>
      </c>
      <c r="CD289" s="123">
        <f t="shared" si="315"/>
        <v>0.83126380729187077</v>
      </c>
      <c r="CE289" s="123">
        <f t="shared" si="315"/>
        <v>1.027889083437709</v>
      </c>
      <c r="CF289" s="123">
        <f t="shared" si="315"/>
        <v>1.2284468651064628</v>
      </c>
    </row>
    <row r="290" spans="1:84" x14ac:dyDescent="0.25">
      <c r="A290" s="56" t="s">
        <v>1774</v>
      </c>
      <c r="B290" s="35"/>
      <c r="C290" s="124">
        <f t="shared" si="299"/>
        <v>1.125</v>
      </c>
      <c r="D290" s="125">
        <f t="shared" si="299"/>
        <v>1.125</v>
      </c>
      <c r="E290" s="125">
        <f t="shared" si="299"/>
        <v>1.125</v>
      </c>
      <c r="F290" s="125">
        <f t="shared" si="299"/>
        <v>1.125</v>
      </c>
      <c r="G290" s="123">
        <f>IF(G275&gt;G259, MIN(G260-G259,G275-G259)*G267,0)</f>
        <v>4.5</v>
      </c>
      <c r="H290" s="98">
        <f t="shared" si="300"/>
        <v>1.125</v>
      </c>
      <c r="I290" s="99">
        <f t="shared" si="300"/>
        <v>1.125</v>
      </c>
      <c r="J290" s="99">
        <f t="shared" si="300"/>
        <v>1.125</v>
      </c>
      <c r="K290" s="99">
        <f t="shared" si="300"/>
        <v>1.125</v>
      </c>
      <c r="L290" s="123">
        <f>IF(L275&gt;L259, MIN(L260-L259,L275-L259)*L267,0)</f>
        <v>4.5</v>
      </c>
      <c r="M290" s="99">
        <f t="shared" si="301"/>
        <v>1.125</v>
      </c>
      <c r="N290" s="99">
        <f t="shared" si="301"/>
        <v>1.125</v>
      </c>
      <c r="O290" s="99">
        <f t="shared" si="301"/>
        <v>1.125</v>
      </c>
      <c r="P290" s="99">
        <f t="shared" si="301"/>
        <v>1.125</v>
      </c>
      <c r="Q290" s="123">
        <f>IF(Q275&gt;Q259, MIN(Q260-Q259,Q275-Q259)*Q267,0)</f>
        <v>4.5</v>
      </c>
      <c r="R290" s="99">
        <f t="shared" si="302"/>
        <v>1.125</v>
      </c>
      <c r="S290" s="99">
        <f t="shared" si="302"/>
        <v>1.125</v>
      </c>
      <c r="T290" s="99">
        <f t="shared" si="302"/>
        <v>1.125</v>
      </c>
      <c r="U290" s="99">
        <f t="shared" si="302"/>
        <v>1.125</v>
      </c>
      <c r="V290" s="123">
        <f>IF(V275&gt;V259, MIN(V260-V259,V275-V259)*V267,0)</f>
        <v>4.5</v>
      </c>
      <c r="W290" s="99">
        <f t="shared" si="303"/>
        <v>1.125</v>
      </c>
      <c r="X290" s="99">
        <f t="shared" si="303"/>
        <v>1.125</v>
      </c>
      <c r="Y290" s="99">
        <f t="shared" si="303"/>
        <v>1.125</v>
      </c>
      <c r="Z290" s="99">
        <f t="shared" si="303"/>
        <v>1.125</v>
      </c>
      <c r="AA290" s="123">
        <f>IF(AA275&gt;AA259, MIN(AA260-AA259,AA275-AA259)*AA267,0)</f>
        <v>4.5</v>
      </c>
      <c r="AB290" s="99">
        <f t="shared" si="304"/>
        <v>1.125</v>
      </c>
      <c r="AC290" s="99">
        <f t="shared" si="304"/>
        <v>1.125</v>
      </c>
      <c r="AD290" s="99">
        <f t="shared" si="304"/>
        <v>1.125</v>
      </c>
      <c r="AE290" s="99">
        <f t="shared" si="304"/>
        <v>1.125</v>
      </c>
      <c r="AF290" s="123">
        <f>IF(AF275&gt;AF259, MIN(AF260-AF259,AF275-AF259)*AF267,0)</f>
        <v>4.5</v>
      </c>
      <c r="AG290" s="99">
        <f>$AK290/4</f>
        <v>1.125</v>
      </c>
      <c r="AH290" s="99">
        <f t="shared" si="305"/>
        <v>1.125</v>
      </c>
      <c r="AI290" s="99">
        <f t="shared" si="305"/>
        <v>1.125</v>
      </c>
      <c r="AJ290" s="99">
        <f t="shared" si="305"/>
        <v>1.125</v>
      </c>
      <c r="AK290" s="123">
        <f>IF(AK275&gt;AK259, MIN(AK260-AK259,AK275-AK259)*AK267,0)</f>
        <v>4.5</v>
      </c>
      <c r="AL290" s="99">
        <f>$AP290/4</f>
        <v>1.125</v>
      </c>
      <c r="AM290" s="99">
        <f t="shared" si="306"/>
        <v>1.125</v>
      </c>
      <c r="AN290" s="99">
        <f t="shared" si="306"/>
        <v>1.125</v>
      </c>
      <c r="AO290" s="99">
        <f t="shared" si="306"/>
        <v>1.125</v>
      </c>
      <c r="AP290" s="123">
        <f>IF(AP275&gt;AP259, MIN(AP260-AP259,AP275-AP259)*AP267,0)</f>
        <v>4.5</v>
      </c>
      <c r="AQ290" s="99">
        <f>$AU290/4</f>
        <v>1.125</v>
      </c>
      <c r="AR290" s="99">
        <f t="shared" si="307"/>
        <v>1.125</v>
      </c>
      <c r="AS290" s="99">
        <f t="shared" si="307"/>
        <v>1.125</v>
      </c>
      <c r="AT290" s="99">
        <f t="shared" si="307"/>
        <v>1.125</v>
      </c>
      <c r="AU290" s="123">
        <f>IF(AU275&gt;AU259, MIN(AU260-AU259,AU275-AU259)*AU267,0)</f>
        <v>4.5</v>
      </c>
      <c r="AV290" s="99">
        <f t="shared" si="308"/>
        <v>1.125</v>
      </c>
      <c r="AW290" s="99">
        <f t="shared" si="308"/>
        <v>1.125</v>
      </c>
      <c r="AX290" s="99">
        <f t="shared" si="308"/>
        <v>1.125</v>
      </c>
      <c r="AY290" s="99">
        <f t="shared" si="308"/>
        <v>1.125</v>
      </c>
      <c r="AZ290" s="123">
        <f>IF(AZ275&gt;AZ259, MIN(AZ260-AZ259,AZ275-AZ259)*AZ267,0)</f>
        <v>4.5</v>
      </c>
      <c r="BA290" s="99">
        <f t="shared" si="309"/>
        <v>0</v>
      </c>
      <c r="BB290" s="99">
        <f t="shared" si="309"/>
        <v>0</v>
      </c>
      <c r="BC290" s="99">
        <f t="shared" si="309"/>
        <v>0</v>
      </c>
      <c r="BD290" s="99">
        <f t="shared" si="309"/>
        <v>0</v>
      </c>
      <c r="BE290" s="123">
        <f>IF(BE275&gt;BE259, MIN(BE260-BE259,BE275-BE259)*BE267,0)</f>
        <v>0</v>
      </c>
      <c r="BF290" s="99">
        <f>$BJ290/4</f>
        <v>0</v>
      </c>
      <c r="BG290" s="99">
        <f t="shared" si="310"/>
        <v>0</v>
      </c>
      <c r="BH290" s="99">
        <f t="shared" si="310"/>
        <v>0</v>
      </c>
      <c r="BI290" s="99">
        <f t="shared" si="310"/>
        <v>0</v>
      </c>
      <c r="BJ290" s="123">
        <f>IF(BJ275&gt;BJ259, MIN(BJ260-BJ259,BJ275-BJ259)*BJ267,0)</f>
        <v>0</v>
      </c>
      <c r="BK290" s="99">
        <f>$BO290/4</f>
        <v>0</v>
      </c>
      <c r="BL290" s="99">
        <f t="shared" si="314"/>
        <v>0</v>
      </c>
      <c r="BM290" s="99">
        <f t="shared" si="314"/>
        <v>0</v>
      </c>
      <c r="BN290" s="99">
        <f t="shared" si="314"/>
        <v>0</v>
      </c>
      <c r="BO290" s="123">
        <f t="shared" ref="BO290:CF290" si="316">IF(BO275&gt;BO259, MIN(BO260-BO259,BO275-BO259)*BO267,0)</f>
        <v>0</v>
      </c>
      <c r="BP290" s="99">
        <f t="shared" si="312"/>
        <v>0</v>
      </c>
      <c r="BQ290" s="99">
        <f t="shared" si="312"/>
        <v>0</v>
      </c>
      <c r="BR290" s="99">
        <f t="shared" si="312"/>
        <v>0</v>
      </c>
      <c r="BS290" s="99">
        <f t="shared" si="312"/>
        <v>0</v>
      </c>
      <c r="BT290" s="123">
        <f>IF(BT275&gt;BT259, MIN(BT260-BT259,BT275-BT259)*BT267,0)</f>
        <v>0</v>
      </c>
      <c r="BU290" s="99">
        <f t="shared" si="313"/>
        <v>0</v>
      </c>
      <c r="BV290" s="99">
        <f t="shared" si="313"/>
        <v>0</v>
      </c>
      <c r="BW290" s="99">
        <f t="shared" si="313"/>
        <v>0</v>
      </c>
      <c r="BX290" s="99">
        <f t="shared" si="313"/>
        <v>0</v>
      </c>
      <c r="BY290" s="123">
        <f t="shared" si="316"/>
        <v>0</v>
      </c>
      <c r="BZ290" s="123">
        <f t="shared" si="316"/>
        <v>0</v>
      </c>
      <c r="CA290" s="123">
        <f t="shared" si="316"/>
        <v>0</v>
      </c>
      <c r="CB290" s="123">
        <f t="shared" si="316"/>
        <v>0</v>
      </c>
      <c r="CC290" s="123">
        <f t="shared" si="316"/>
        <v>0</v>
      </c>
      <c r="CD290" s="123">
        <f t="shared" si="316"/>
        <v>0</v>
      </c>
      <c r="CE290" s="123">
        <f t="shared" si="316"/>
        <v>0</v>
      </c>
      <c r="CF290" s="123">
        <f t="shared" si="316"/>
        <v>0</v>
      </c>
    </row>
    <row r="291" spans="1:84" x14ac:dyDescent="0.25">
      <c r="A291" s="56" t="s">
        <v>1775</v>
      </c>
      <c r="B291" s="35"/>
      <c r="C291" s="124">
        <f t="shared" si="299"/>
        <v>1.5</v>
      </c>
      <c r="D291" s="125">
        <f t="shared" si="299"/>
        <v>1.5</v>
      </c>
      <c r="E291" s="125">
        <f t="shared" si="299"/>
        <v>1.5</v>
      </c>
      <c r="F291" s="125">
        <f t="shared" si="299"/>
        <v>1.5</v>
      </c>
      <c r="G291" s="123">
        <f>IF(G275&gt;G260, MIN(G261-G260,G275-G260)*G268,0)</f>
        <v>6</v>
      </c>
      <c r="H291" s="98">
        <f t="shared" si="300"/>
        <v>1.5</v>
      </c>
      <c r="I291" s="99">
        <f t="shared" si="300"/>
        <v>1.5</v>
      </c>
      <c r="J291" s="99">
        <f t="shared" si="300"/>
        <v>1.5</v>
      </c>
      <c r="K291" s="99">
        <f t="shared" si="300"/>
        <v>1.5</v>
      </c>
      <c r="L291" s="123">
        <f>IF(L275&gt;L260, MIN(L261-L260,L275-L260)*L268,0)</f>
        <v>6</v>
      </c>
      <c r="M291" s="99">
        <f t="shared" si="301"/>
        <v>1.5</v>
      </c>
      <c r="N291" s="99">
        <f t="shared" si="301"/>
        <v>1.5</v>
      </c>
      <c r="O291" s="99">
        <f t="shared" si="301"/>
        <v>1.5</v>
      </c>
      <c r="P291" s="99">
        <f t="shared" si="301"/>
        <v>1.5</v>
      </c>
      <c r="Q291" s="123">
        <f>IF(Q275&gt;Q260, MIN(Q261-Q260,Q275-Q260)*Q268,0)</f>
        <v>6</v>
      </c>
      <c r="R291" s="99">
        <f t="shared" si="302"/>
        <v>1.5</v>
      </c>
      <c r="S291" s="99">
        <f t="shared" si="302"/>
        <v>1.5</v>
      </c>
      <c r="T291" s="99">
        <f t="shared" si="302"/>
        <v>1.5</v>
      </c>
      <c r="U291" s="99">
        <f t="shared" si="302"/>
        <v>1.5</v>
      </c>
      <c r="V291" s="123">
        <f>IF(V275&gt;V260, MIN(V261-V260,V275-V260)*V268,0)</f>
        <v>6</v>
      </c>
      <c r="W291" s="99">
        <f t="shared" si="303"/>
        <v>1.5</v>
      </c>
      <c r="X291" s="99">
        <f t="shared" si="303"/>
        <v>1.5</v>
      </c>
      <c r="Y291" s="99">
        <f t="shared" si="303"/>
        <v>1.5</v>
      </c>
      <c r="Z291" s="99">
        <f t="shared" si="303"/>
        <v>1.5</v>
      </c>
      <c r="AA291" s="123">
        <f>IF(AA275&gt;AA260, MIN(AA261-AA260,AA275-AA260)*AA268,0)</f>
        <v>6</v>
      </c>
      <c r="AB291" s="99">
        <f t="shared" si="304"/>
        <v>1.5</v>
      </c>
      <c r="AC291" s="99">
        <f t="shared" si="304"/>
        <v>1.5</v>
      </c>
      <c r="AD291" s="99">
        <f t="shared" si="304"/>
        <v>1.5</v>
      </c>
      <c r="AE291" s="99">
        <f t="shared" si="304"/>
        <v>1.5</v>
      </c>
      <c r="AF291" s="123">
        <f>IF(AF275&gt;AF260, MIN(AF261-AF260,AF275-AF260)*AF268,0)</f>
        <v>6</v>
      </c>
      <c r="AG291" s="99">
        <f>$AK291/4</f>
        <v>1.5</v>
      </c>
      <c r="AH291" s="99">
        <f t="shared" si="305"/>
        <v>1.5</v>
      </c>
      <c r="AI291" s="99">
        <f t="shared" si="305"/>
        <v>1.5</v>
      </c>
      <c r="AJ291" s="99">
        <f t="shared" si="305"/>
        <v>1.5</v>
      </c>
      <c r="AK291" s="123">
        <f>IF(AK275&gt;AK260, MIN(AK261-AK260,AK275-AK260)*AK268,0)</f>
        <v>6</v>
      </c>
      <c r="AL291" s="99">
        <f>$AP291/4</f>
        <v>1.5</v>
      </c>
      <c r="AM291" s="99">
        <f t="shared" si="306"/>
        <v>1.5</v>
      </c>
      <c r="AN291" s="99">
        <f t="shared" si="306"/>
        <v>1.5</v>
      </c>
      <c r="AO291" s="99">
        <f t="shared" si="306"/>
        <v>1.5</v>
      </c>
      <c r="AP291" s="123">
        <f>IF(AP275&gt;AP260, MIN(AP261-AP260,AP275-AP260)*AP268,0)</f>
        <v>6</v>
      </c>
      <c r="AQ291" s="99">
        <f>$AU291/4</f>
        <v>1.5</v>
      </c>
      <c r="AR291" s="99">
        <f t="shared" si="307"/>
        <v>1.5</v>
      </c>
      <c r="AS291" s="99">
        <f t="shared" si="307"/>
        <v>1.5</v>
      </c>
      <c r="AT291" s="99">
        <f t="shared" si="307"/>
        <v>1.5</v>
      </c>
      <c r="AU291" s="123">
        <f>IF(AU275&gt;AU260, MIN(AU261-AU260,AU275-AU260)*AU268,0)</f>
        <v>6</v>
      </c>
      <c r="AV291" s="99">
        <f t="shared" si="308"/>
        <v>0.65381658000000131</v>
      </c>
      <c r="AW291" s="99">
        <f t="shared" si="308"/>
        <v>0.65381658000000131</v>
      </c>
      <c r="AX291" s="99">
        <f t="shared" si="308"/>
        <v>0.65381658000000131</v>
      </c>
      <c r="AY291" s="99">
        <f t="shared" si="308"/>
        <v>0.65381658000000131</v>
      </c>
      <c r="AZ291" s="123">
        <f>IF(AZ275&gt;AZ260, MIN(AZ261-AZ260,AZ275-AZ260)*AZ268,0)</f>
        <v>2.6152663200000053</v>
      </c>
      <c r="BA291" s="99">
        <f t="shared" si="309"/>
        <v>0</v>
      </c>
      <c r="BB291" s="99">
        <f t="shared" si="309"/>
        <v>0</v>
      </c>
      <c r="BC291" s="99">
        <f t="shared" si="309"/>
        <v>0</v>
      </c>
      <c r="BD291" s="99">
        <f t="shared" si="309"/>
        <v>0</v>
      </c>
      <c r="BE291" s="123">
        <f>IF(BE275&gt;BE260, MIN(BE261-BE260,BE275-BE260)*BE268,0)</f>
        <v>0</v>
      </c>
      <c r="BF291" s="99">
        <f>$BJ291/4</f>
        <v>0</v>
      </c>
      <c r="BG291" s="99">
        <f t="shared" si="310"/>
        <v>0</v>
      </c>
      <c r="BH291" s="99">
        <f t="shared" si="310"/>
        <v>0</v>
      </c>
      <c r="BI291" s="99">
        <f t="shared" si="310"/>
        <v>0</v>
      </c>
      <c r="BJ291" s="123">
        <f>IF(BJ275&gt;BJ260, MIN(BJ261-BJ260,BJ275-BJ260)*BJ268,0)</f>
        <v>0</v>
      </c>
      <c r="BK291" s="99">
        <f>$BO291/4</f>
        <v>0</v>
      </c>
      <c r="BL291" s="99">
        <f t="shared" si="314"/>
        <v>0</v>
      </c>
      <c r="BM291" s="99">
        <f t="shared" si="314"/>
        <v>0</v>
      </c>
      <c r="BN291" s="99">
        <f t="shared" si="314"/>
        <v>0</v>
      </c>
      <c r="BO291" s="123">
        <f t="shared" ref="BO291:CF291" si="317">IF(BO275&gt;BO260, MIN(BO261-BO260,BO275-BO260)*BO268,0)</f>
        <v>0</v>
      </c>
      <c r="BP291" s="99">
        <f t="shared" si="312"/>
        <v>0</v>
      </c>
      <c r="BQ291" s="99">
        <f t="shared" si="312"/>
        <v>0</v>
      </c>
      <c r="BR291" s="99">
        <f t="shared" si="312"/>
        <v>0</v>
      </c>
      <c r="BS291" s="99">
        <f t="shared" si="312"/>
        <v>0</v>
      </c>
      <c r="BT291" s="123">
        <f>IF(BT275&gt;BT260, MIN(BT261-BT260,BT275-BT260)*BT268,0)</f>
        <v>0</v>
      </c>
      <c r="BU291" s="99">
        <f t="shared" si="313"/>
        <v>0</v>
      </c>
      <c r="BV291" s="99">
        <f t="shared" si="313"/>
        <v>0</v>
      </c>
      <c r="BW291" s="99">
        <f t="shared" si="313"/>
        <v>0</v>
      </c>
      <c r="BX291" s="99">
        <f t="shared" si="313"/>
        <v>0</v>
      </c>
      <c r="BY291" s="123">
        <f t="shared" si="317"/>
        <v>0</v>
      </c>
      <c r="BZ291" s="123">
        <f t="shared" si="317"/>
        <v>0</v>
      </c>
      <c r="CA291" s="123">
        <f t="shared" si="317"/>
        <v>0</v>
      </c>
      <c r="CB291" s="123">
        <f t="shared" si="317"/>
        <v>0</v>
      </c>
      <c r="CC291" s="123">
        <f t="shared" si="317"/>
        <v>0</v>
      </c>
      <c r="CD291" s="123">
        <f t="shared" si="317"/>
        <v>0</v>
      </c>
      <c r="CE291" s="123">
        <f t="shared" si="317"/>
        <v>0</v>
      </c>
      <c r="CF291" s="123">
        <f t="shared" si="317"/>
        <v>0</v>
      </c>
    </row>
    <row r="292" spans="1:84" x14ac:dyDescent="0.25">
      <c r="A292" s="56" t="s">
        <v>1776</v>
      </c>
      <c r="B292" s="35"/>
      <c r="C292" s="124">
        <f t="shared" si="299"/>
        <v>4.8781950000000007</v>
      </c>
      <c r="D292" s="125">
        <f t="shared" si="299"/>
        <v>4.8781950000000007</v>
      </c>
      <c r="E292" s="125">
        <f t="shared" si="299"/>
        <v>4.8781950000000007</v>
      </c>
      <c r="F292" s="125">
        <f t="shared" si="299"/>
        <v>4.8781950000000007</v>
      </c>
      <c r="G292" s="123">
        <f>IF(G275&gt;G261,(G275-G261)*G269,0)</f>
        <v>19.512780000000003</v>
      </c>
      <c r="H292" s="98">
        <f t="shared" si="300"/>
        <v>5.1468885999999987</v>
      </c>
      <c r="I292" s="99">
        <f t="shared" si="300"/>
        <v>5.1468885999999987</v>
      </c>
      <c r="J292" s="99">
        <f t="shared" si="300"/>
        <v>5.1468885999999987</v>
      </c>
      <c r="K292" s="99">
        <f t="shared" si="300"/>
        <v>5.1468885999999987</v>
      </c>
      <c r="L292" s="123">
        <f>IF(L275&gt;L261,(L275-L261)*L269,0)</f>
        <v>20.587554399999995</v>
      </c>
      <c r="M292" s="99">
        <f t="shared" si="301"/>
        <v>6.1908129149999995</v>
      </c>
      <c r="N292" s="99">
        <f t="shared" si="301"/>
        <v>6.1908129149999995</v>
      </c>
      <c r="O292" s="99">
        <f t="shared" si="301"/>
        <v>6.1908129149999995</v>
      </c>
      <c r="P292" s="99">
        <f t="shared" si="301"/>
        <v>6.1908129149999995</v>
      </c>
      <c r="Q292" s="123">
        <f>IF(Q275&gt;Q261,(Q275-Q261)*Q269,0)</f>
        <v>24.763251659999998</v>
      </c>
      <c r="R292" s="99">
        <f t="shared" si="302"/>
        <v>6.1618590950000005</v>
      </c>
      <c r="S292" s="99">
        <f t="shared" si="302"/>
        <v>6.1618590950000005</v>
      </c>
      <c r="T292" s="99">
        <f t="shared" si="302"/>
        <v>6.1618590950000005</v>
      </c>
      <c r="U292" s="99">
        <f t="shared" si="302"/>
        <v>6.1618590950000005</v>
      </c>
      <c r="V292" s="123">
        <f>IF(V275&gt;V261,(V275-V261)*V269,0)</f>
        <v>24.647436380000002</v>
      </c>
      <c r="W292" s="99">
        <f t="shared" si="303"/>
        <v>4.7658790304999998</v>
      </c>
      <c r="X292" s="99">
        <f t="shared" si="303"/>
        <v>4.7658790304999998</v>
      </c>
      <c r="Y292" s="99">
        <f t="shared" si="303"/>
        <v>4.7658790304999998</v>
      </c>
      <c r="Z292" s="99">
        <f t="shared" si="303"/>
        <v>4.7658790304999998</v>
      </c>
      <c r="AA292" s="123">
        <f>IF(AA275&gt;AA261,(AA275-AA261)*AA269,0)</f>
        <v>19.063516121999999</v>
      </c>
      <c r="AB292" s="99">
        <f t="shared" si="304"/>
        <v>4.4134999999999991</v>
      </c>
      <c r="AC292" s="99">
        <f t="shared" si="304"/>
        <v>4.4134999999999991</v>
      </c>
      <c r="AD292" s="99">
        <f t="shared" si="304"/>
        <v>4.4134999999999991</v>
      </c>
      <c r="AE292" s="99">
        <f t="shared" si="304"/>
        <v>4.4134999999999991</v>
      </c>
      <c r="AF292" s="123">
        <f>IF(AF275&gt;AF261,(AF275-AF261)*AF269,0)</f>
        <v>17.653999999999996</v>
      </c>
      <c r="AG292" s="99">
        <f>$AK292/4</f>
        <v>4.84286292</v>
      </c>
      <c r="AH292" s="99">
        <f t="shared" si="305"/>
        <v>4.84286292</v>
      </c>
      <c r="AI292" s="99">
        <f t="shared" si="305"/>
        <v>4.84286292</v>
      </c>
      <c r="AJ292" s="99">
        <f t="shared" si="305"/>
        <v>4.84286292</v>
      </c>
      <c r="AK292" s="123">
        <f>IF(AK275&gt;AK261,(AK275-AK261)*AK269,0)</f>
        <v>19.37145168</v>
      </c>
      <c r="AL292" s="99">
        <f>$AP292/4</f>
        <v>4.7759872300000001</v>
      </c>
      <c r="AM292" s="99">
        <f t="shared" si="306"/>
        <v>4.7759872300000001</v>
      </c>
      <c r="AN292" s="99">
        <f t="shared" si="306"/>
        <v>4.7759872300000001</v>
      </c>
      <c r="AO292" s="99">
        <f t="shared" si="306"/>
        <v>4.7759872300000001</v>
      </c>
      <c r="AP292" s="123">
        <f>IF(AP275&gt;AP261,(AP275-AP261)*AP269,0)</f>
        <v>19.103948920000001</v>
      </c>
      <c r="AQ292" s="99">
        <f>$AU292/4</f>
        <v>3.3376633499999979</v>
      </c>
      <c r="AR292" s="99">
        <f t="shared" si="307"/>
        <v>3.3376633499999979</v>
      </c>
      <c r="AS292" s="99">
        <f t="shared" si="307"/>
        <v>3.3376633499999979</v>
      </c>
      <c r="AT292" s="99">
        <f t="shared" si="307"/>
        <v>3.3376633499999979</v>
      </c>
      <c r="AU292" s="123">
        <f>IF(AU275&gt;AU261,(AU275-AU261)*AU269,0)</f>
        <v>13.350653399999992</v>
      </c>
      <c r="AV292" s="99">
        <f t="shared" si="308"/>
        <v>0</v>
      </c>
      <c r="AW292" s="99">
        <f t="shared" si="308"/>
        <v>0</v>
      </c>
      <c r="AX292" s="99">
        <f t="shared" si="308"/>
        <v>0</v>
      </c>
      <c r="AY292" s="99">
        <f t="shared" si="308"/>
        <v>0</v>
      </c>
      <c r="AZ292" s="123">
        <f>IF(AZ275&gt;AZ261,(AZ275-AZ261)*AZ269,0)</f>
        <v>0</v>
      </c>
      <c r="BA292" s="99">
        <f t="shared" si="309"/>
        <v>0</v>
      </c>
      <c r="BB292" s="99">
        <f t="shared" si="309"/>
        <v>0</v>
      </c>
      <c r="BC292" s="99">
        <f t="shared" si="309"/>
        <v>0</v>
      </c>
      <c r="BD292" s="99">
        <f t="shared" si="309"/>
        <v>0</v>
      </c>
      <c r="BE292" s="123">
        <f>IF(BE275&gt;BE261,(BE275-BE261)*BE269,0)</f>
        <v>0</v>
      </c>
      <c r="BF292" s="99">
        <f>$BJ292/4</f>
        <v>0</v>
      </c>
      <c r="BG292" s="99">
        <f t="shared" si="310"/>
        <v>0</v>
      </c>
      <c r="BH292" s="99">
        <f t="shared" si="310"/>
        <v>0</v>
      </c>
      <c r="BI292" s="99">
        <f t="shared" si="310"/>
        <v>0</v>
      </c>
      <c r="BJ292" s="123">
        <f>IF(BJ275&gt;BJ261,(BJ275-BJ261)*BJ269,0)</f>
        <v>0</v>
      </c>
      <c r="BK292" s="99">
        <f>$BO292/4</f>
        <v>0</v>
      </c>
      <c r="BL292" s="99">
        <f t="shared" si="314"/>
        <v>0</v>
      </c>
      <c r="BM292" s="99">
        <f t="shared" si="314"/>
        <v>0</v>
      </c>
      <c r="BN292" s="99">
        <f t="shared" si="314"/>
        <v>0</v>
      </c>
      <c r="BO292" s="123">
        <f t="shared" ref="BO292:CF292" si="318">IF(BO275&gt;BO261,(BO275-BO261)*BO269,0)</f>
        <v>0</v>
      </c>
      <c r="BP292" s="99">
        <f t="shared" si="312"/>
        <v>0</v>
      </c>
      <c r="BQ292" s="99">
        <f t="shared" si="312"/>
        <v>0</v>
      </c>
      <c r="BR292" s="99">
        <f t="shared" si="312"/>
        <v>0</v>
      </c>
      <c r="BS292" s="99">
        <f t="shared" si="312"/>
        <v>0</v>
      </c>
      <c r="BT292" s="123">
        <f>IF(BT275&gt;BT261,(BT275-BT261)*BT269,0)</f>
        <v>0</v>
      </c>
      <c r="BU292" s="99">
        <f t="shared" si="313"/>
        <v>0</v>
      </c>
      <c r="BV292" s="99">
        <f t="shared" si="313"/>
        <v>0</v>
      </c>
      <c r="BW292" s="99">
        <f t="shared" si="313"/>
        <v>0</v>
      </c>
      <c r="BX292" s="99">
        <f t="shared" si="313"/>
        <v>0</v>
      </c>
      <c r="BY292" s="123">
        <f t="shared" si="318"/>
        <v>0</v>
      </c>
      <c r="BZ292" s="123">
        <f t="shared" si="318"/>
        <v>0</v>
      </c>
      <c r="CA292" s="123">
        <f t="shared" si="318"/>
        <v>0</v>
      </c>
      <c r="CB292" s="123">
        <f t="shared" si="318"/>
        <v>0</v>
      </c>
      <c r="CC292" s="123">
        <f t="shared" si="318"/>
        <v>0</v>
      </c>
      <c r="CD292" s="123">
        <f t="shared" si="318"/>
        <v>0</v>
      </c>
      <c r="CE292" s="123">
        <f t="shared" si="318"/>
        <v>0</v>
      </c>
      <c r="CF292" s="123">
        <f t="shared" si="318"/>
        <v>0</v>
      </c>
    </row>
    <row r="293" spans="1:84" ht="5.25" customHeight="1" x14ac:dyDescent="0.25">
      <c r="A293" s="56"/>
      <c r="B293" s="130"/>
      <c r="C293" s="130" t="s">
        <v>1059</v>
      </c>
      <c r="D293" s="130" t="s">
        <v>1059</v>
      </c>
      <c r="E293" s="130" t="s">
        <v>1059</v>
      </c>
      <c r="F293" s="130" t="s">
        <v>1059</v>
      </c>
      <c r="G293" s="131" t="s">
        <v>1059</v>
      </c>
      <c r="H293" s="130" t="s">
        <v>1059</v>
      </c>
      <c r="I293" s="130" t="s">
        <v>1059</v>
      </c>
      <c r="J293" s="130" t="s">
        <v>1059</v>
      </c>
      <c r="K293" s="130" t="s">
        <v>1059</v>
      </c>
      <c r="L293" s="131" t="s">
        <v>1059</v>
      </c>
      <c r="M293" s="130" t="s">
        <v>1059</v>
      </c>
      <c r="N293" s="130" t="s">
        <v>1059</v>
      </c>
      <c r="O293" s="130" t="s">
        <v>1059</v>
      </c>
      <c r="P293" s="130" t="s">
        <v>1059</v>
      </c>
      <c r="Q293" s="131" t="s">
        <v>1059</v>
      </c>
      <c r="R293" s="130" t="s">
        <v>1059</v>
      </c>
      <c r="S293" s="130" t="s">
        <v>1059</v>
      </c>
      <c r="T293" s="130" t="s">
        <v>1059</v>
      </c>
      <c r="U293" s="130" t="s">
        <v>1059</v>
      </c>
      <c r="V293" s="131" t="s">
        <v>1059</v>
      </c>
      <c r="W293" s="130" t="s">
        <v>1059</v>
      </c>
      <c r="X293" s="130" t="s">
        <v>1059</v>
      </c>
      <c r="Y293" s="130" t="s">
        <v>1059</v>
      </c>
      <c r="Z293" s="130" t="s">
        <v>1059</v>
      </c>
      <c r="AA293" s="131" t="s">
        <v>1059</v>
      </c>
      <c r="AB293" s="130" t="s">
        <v>1059</v>
      </c>
      <c r="AC293" s="130" t="s">
        <v>1059</v>
      </c>
      <c r="AD293" s="130" t="s">
        <v>1059</v>
      </c>
      <c r="AE293" s="130" t="s">
        <v>1059</v>
      </c>
      <c r="AF293" s="131" t="s">
        <v>1059</v>
      </c>
      <c r="AG293" s="130" t="s">
        <v>1059</v>
      </c>
      <c r="AH293" s="130" t="s">
        <v>1059</v>
      </c>
      <c r="AI293" s="130" t="s">
        <v>1059</v>
      </c>
      <c r="AJ293" s="130" t="s">
        <v>1059</v>
      </c>
      <c r="AK293" s="131" t="s">
        <v>1059</v>
      </c>
      <c r="AL293" s="130" t="s">
        <v>1059</v>
      </c>
      <c r="AM293" s="130" t="s">
        <v>1059</v>
      </c>
      <c r="AN293" s="130" t="s">
        <v>1059</v>
      </c>
      <c r="AO293" s="130" t="s">
        <v>1059</v>
      </c>
      <c r="AP293" s="131" t="s">
        <v>1059</v>
      </c>
      <c r="AQ293" s="130" t="s">
        <v>1059</v>
      </c>
      <c r="AR293" s="130" t="s">
        <v>1059</v>
      </c>
      <c r="AS293" s="130" t="s">
        <v>1059</v>
      </c>
      <c r="AT293" s="130" t="s">
        <v>1059</v>
      </c>
      <c r="AU293" s="131" t="s">
        <v>1059</v>
      </c>
      <c r="AV293" s="130" t="s">
        <v>1059</v>
      </c>
      <c r="AW293" s="130" t="s">
        <v>1059</v>
      </c>
      <c r="AX293" s="130" t="s">
        <v>1059</v>
      </c>
      <c r="AY293" s="130" t="s">
        <v>1059</v>
      </c>
      <c r="AZ293" s="131" t="s">
        <v>1059</v>
      </c>
      <c r="BA293" s="130" t="s">
        <v>1059</v>
      </c>
      <c r="BB293" s="130" t="s">
        <v>1059</v>
      </c>
      <c r="BC293" s="130" t="s">
        <v>1059</v>
      </c>
      <c r="BD293" s="130" t="s">
        <v>1059</v>
      </c>
      <c r="BE293" s="131" t="s">
        <v>1059</v>
      </c>
      <c r="BF293" s="130" t="s">
        <v>1059</v>
      </c>
      <c r="BG293" s="130" t="s">
        <v>1059</v>
      </c>
      <c r="BH293" s="130" t="s">
        <v>1059</v>
      </c>
      <c r="BI293" s="130" t="s">
        <v>1059</v>
      </c>
      <c r="BJ293" s="131" t="s">
        <v>1059</v>
      </c>
      <c r="BK293" s="130" t="s">
        <v>1059</v>
      </c>
      <c r="BL293" s="130" t="s">
        <v>1059</v>
      </c>
      <c r="BM293" s="130" t="s">
        <v>1059</v>
      </c>
      <c r="BN293" s="130" t="s">
        <v>1059</v>
      </c>
      <c r="BO293" s="131" t="s">
        <v>1059</v>
      </c>
      <c r="BP293" s="130" t="s">
        <v>1059</v>
      </c>
      <c r="BQ293" s="130" t="s">
        <v>1059</v>
      </c>
      <c r="BR293" s="130" t="s">
        <v>1059</v>
      </c>
      <c r="BS293" s="130" t="s">
        <v>1059</v>
      </c>
      <c r="BT293" s="131" t="s">
        <v>1059</v>
      </c>
      <c r="BU293" s="130" t="s">
        <v>1059</v>
      </c>
      <c r="BV293" s="130" t="s">
        <v>1059</v>
      </c>
      <c r="BW293" s="130" t="s">
        <v>1059</v>
      </c>
      <c r="BX293" s="130" t="s">
        <v>1059</v>
      </c>
      <c r="BY293" s="131" t="s">
        <v>1059</v>
      </c>
      <c r="BZ293" s="131" t="s">
        <v>1059</v>
      </c>
      <c r="CA293" s="131" t="s">
        <v>1059</v>
      </c>
      <c r="CB293" s="131" t="s">
        <v>1059</v>
      </c>
      <c r="CC293" s="131" t="s">
        <v>1059</v>
      </c>
      <c r="CD293" s="131" t="s">
        <v>1059</v>
      </c>
      <c r="CE293" s="131" t="s">
        <v>1059</v>
      </c>
      <c r="CF293" s="131" t="s">
        <v>1059</v>
      </c>
    </row>
    <row r="294" spans="1:84" x14ac:dyDescent="0.25">
      <c r="A294" s="56" t="s">
        <v>1777</v>
      </c>
      <c r="B294" s="34"/>
      <c r="C294" s="34">
        <f t="shared" ref="C294:N294" si="319">SUM(C288:C293)</f>
        <v>10.128195000000002</v>
      </c>
      <c r="D294" s="34">
        <f t="shared" si="319"/>
        <v>10.128195000000002</v>
      </c>
      <c r="E294" s="34">
        <f t="shared" si="319"/>
        <v>10.128195000000002</v>
      </c>
      <c r="F294" s="34">
        <f t="shared" si="319"/>
        <v>10.128195000000002</v>
      </c>
      <c r="G294" s="111">
        <f t="shared" si="319"/>
        <v>40.512780000000006</v>
      </c>
      <c r="H294" s="34">
        <f t="shared" si="319"/>
        <v>10.396888599999999</v>
      </c>
      <c r="I294" s="34">
        <f t="shared" si="319"/>
        <v>10.396888599999999</v>
      </c>
      <c r="J294" s="34">
        <f t="shared" si="319"/>
        <v>10.396888599999999</v>
      </c>
      <c r="K294" s="34">
        <f t="shared" si="319"/>
        <v>10.396888599999999</v>
      </c>
      <c r="L294" s="111">
        <f t="shared" si="319"/>
        <v>41.587554399999995</v>
      </c>
      <c r="M294" s="34">
        <f t="shared" si="319"/>
        <v>11.440812914999999</v>
      </c>
      <c r="N294" s="34">
        <f t="shared" si="319"/>
        <v>11.440812914999999</v>
      </c>
      <c r="O294" s="34">
        <f t="shared" ref="O294:AK294" si="320">SUM(O288:O293)</f>
        <v>11.440812914999999</v>
      </c>
      <c r="P294" s="34">
        <f t="shared" si="320"/>
        <v>11.440812914999999</v>
      </c>
      <c r="Q294" s="111">
        <f t="shared" si="320"/>
        <v>45.763251659999995</v>
      </c>
      <c r="R294" s="34">
        <f t="shared" si="320"/>
        <v>11.411859095000001</v>
      </c>
      <c r="S294" s="34">
        <f t="shared" si="320"/>
        <v>11.411859095000001</v>
      </c>
      <c r="T294" s="34">
        <f t="shared" si="320"/>
        <v>11.411859095000001</v>
      </c>
      <c r="U294" s="34">
        <f t="shared" si="320"/>
        <v>11.411859095000001</v>
      </c>
      <c r="V294" s="111">
        <f t="shared" si="320"/>
        <v>45.647436380000002</v>
      </c>
      <c r="W294" s="34">
        <f t="shared" si="320"/>
        <v>10.015879030499999</v>
      </c>
      <c r="X294" s="34">
        <f t="shared" si="320"/>
        <v>10.015879030499999</v>
      </c>
      <c r="Y294" s="34">
        <f t="shared" si="320"/>
        <v>10.015879030499999</v>
      </c>
      <c r="Z294" s="34">
        <f t="shared" si="320"/>
        <v>10.015879030499999</v>
      </c>
      <c r="AA294" s="111">
        <f t="shared" si="320"/>
        <v>40.063516121999996</v>
      </c>
      <c r="AB294" s="34">
        <f t="shared" si="320"/>
        <v>9.6634999999999991</v>
      </c>
      <c r="AC294" s="34">
        <f t="shared" si="320"/>
        <v>9.6634999999999991</v>
      </c>
      <c r="AD294" s="34">
        <f t="shared" si="320"/>
        <v>9.6634999999999991</v>
      </c>
      <c r="AE294" s="34">
        <f t="shared" si="320"/>
        <v>9.6634999999999991</v>
      </c>
      <c r="AF294" s="111">
        <f t="shared" si="320"/>
        <v>38.653999999999996</v>
      </c>
      <c r="AG294" s="34">
        <f t="shared" si="320"/>
        <v>10.09286292</v>
      </c>
      <c r="AH294" s="34">
        <f t="shared" si="320"/>
        <v>10.09286292</v>
      </c>
      <c r="AI294" s="34">
        <f t="shared" si="320"/>
        <v>10.09286292</v>
      </c>
      <c r="AJ294" s="34">
        <f t="shared" si="320"/>
        <v>10.09286292</v>
      </c>
      <c r="AK294" s="111">
        <f t="shared" si="320"/>
        <v>40.37145168</v>
      </c>
      <c r="AL294" s="34">
        <f t="shared" ref="AL294:AU294" si="321">SUM(AL288:AL293)</f>
        <v>10.02598723</v>
      </c>
      <c r="AM294" s="34">
        <f t="shared" si="321"/>
        <v>10.02598723</v>
      </c>
      <c r="AN294" s="34">
        <f t="shared" si="321"/>
        <v>10.02598723</v>
      </c>
      <c r="AO294" s="34">
        <f t="shared" si="321"/>
        <v>10.02598723</v>
      </c>
      <c r="AP294" s="111">
        <f t="shared" si="321"/>
        <v>40.103948920000001</v>
      </c>
      <c r="AQ294" s="34">
        <f t="shared" si="321"/>
        <v>8.5876633499999979</v>
      </c>
      <c r="AR294" s="34">
        <f t="shared" si="321"/>
        <v>8.5876633499999979</v>
      </c>
      <c r="AS294" s="34">
        <f t="shared" si="321"/>
        <v>8.5876633499999979</v>
      </c>
      <c r="AT294" s="34">
        <f t="shared" si="321"/>
        <v>8.5876633499999979</v>
      </c>
      <c r="AU294" s="111">
        <f t="shared" si="321"/>
        <v>34.350653399999992</v>
      </c>
      <c r="AV294" s="34">
        <f t="shared" ref="AV294:BE294" si="322">SUM(AV288:AV293)</f>
        <v>4.4038165800000009</v>
      </c>
      <c r="AW294" s="34">
        <f t="shared" si="322"/>
        <v>4.4038165800000009</v>
      </c>
      <c r="AX294" s="34">
        <f t="shared" si="322"/>
        <v>4.4038165800000009</v>
      </c>
      <c r="AY294" s="34">
        <f t="shared" si="322"/>
        <v>4.4038165800000009</v>
      </c>
      <c r="AZ294" s="111">
        <f t="shared" si="322"/>
        <v>17.615266320000003</v>
      </c>
      <c r="BA294" s="34">
        <f t="shared" si="322"/>
        <v>2.5500312300000001</v>
      </c>
      <c r="BB294" s="34">
        <f t="shared" si="322"/>
        <v>2.5500312300000001</v>
      </c>
      <c r="BC294" s="34">
        <f t="shared" si="322"/>
        <v>2.5500312300000001</v>
      </c>
      <c r="BD294" s="34">
        <f t="shared" si="322"/>
        <v>2.5500312300000001</v>
      </c>
      <c r="BE294" s="111">
        <f t="shared" si="322"/>
        <v>10.20012492</v>
      </c>
      <c r="BF294" s="34">
        <f t="shared" ref="BF294:BO294" si="323">SUM(BF288:BF293)</f>
        <v>2.262241425</v>
      </c>
      <c r="BG294" s="34">
        <f t="shared" si="323"/>
        <v>2.262241425</v>
      </c>
      <c r="BH294" s="34">
        <f t="shared" si="323"/>
        <v>2.262241425</v>
      </c>
      <c r="BI294" s="34">
        <f t="shared" si="323"/>
        <v>2.262241425</v>
      </c>
      <c r="BJ294" s="111">
        <f t="shared" si="323"/>
        <v>9.0489657000000001</v>
      </c>
      <c r="BK294" s="34">
        <f t="shared" si="323"/>
        <v>2.2091543250000001</v>
      </c>
      <c r="BL294" s="34">
        <f t="shared" si="323"/>
        <v>2.2091543250000001</v>
      </c>
      <c r="BM294" s="34">
        <f t="shared" si="323"/>
        <v>2.2091543250000001</v>
      </c>
      <c r="BN294" s="34">
        <f t="shared" si="323"/>
        <v>2.2091543250000001</v>
      </c>
      <c r="BO294" s="111">
        <f t="shared" si="323"/>
        <v>8.8366173000000003</v>
      </c>
      <c r="BP294" s="34">
        <f t="shared" ref="BP294:CF294" si="324">SUM(BP288:BP293)</f>
        <v>2.2335777600000002</v>
      </c>
      <c r="BQ294" s="34">
        <f t="shared" si="324"/>
        <v>2.2335777600000002</v>
      </c>
      <c r="BR294" s="34">
        <f t="shared" si="324"/>
        <v>2.2335777600000002</v>
      </c>
      <c r="BS294" s="34">
        <f t="shared" si="324"/>
        <v>2.2335777600000002</v>
      </c>
      <c r="BT294" s="111">
        <f t="shared" si="324"/>
        <v>8.9343110400000008</v>
      </c>
      <c r="BU294" s="34">
        <f>SUM(BU288:BU293)</f>
        <v>2.28165961845</v>
      </c>
      <c r="BV294" s="34">
        <f>SUM(BV288:BV293)</f>
        <v>2.28165961845</v>
      </c>
      <c r="BW294" s="34">
        <f>SUM(BW288:BW293)</f>
        <v>2.28165961845</v>
      </c>
      <c r="BX294" s="34">
        <f>SUM(BX288:BX293)</f>
        <v>2.28165961845</v>
      </c>
      <c r="BY294" s="111">
        <f t="shared" si="324"/>
        <v>9.1266384737999999</v>
      </c>
      <c r="BZ294" s="111">
        <f t="shared" si="324"/>
        <v>9.1797716661689979</v>
      </c>
      <c r="CA294" s="111">
        <f t="shared" si="324"/>
        <v>9.1797716661689979</v>
      </c>
      <c r="CB294" s="111">
        <f t="shared" si="324"/>
        <v>8.6457830828605484</v>
      </c>
      <c r="CC294" s="111">
        <f t="shared" si="324"/>
        <v>8.1384939287175193</v>
      </c>
      <c r="CD294" s="111">
        <f t="shared" si="324"/>
        <v>8.3312638072918705</v>
      </c>
      <c r="CE294" s="111">
        <f t="shared" si="324"/>
        <v>8.5278890834377084</v>
      </c>
      <c r="CF294" s="111">
        <f t="shared" si="324"/>
        <v>8.7284468651064628</v>
      </c>
    </row>
    <row r="295" spans="1:84" x14ac:dyDescent="0.25">
      <c r="A295" s="56" t="s">
        <v>60</v>
      </c>
      <c r="B295" s="34"/>
      <c r="C295" s="119">
        <f>-1.25</f>
        <v>-1.25</v>
      </c>
      <c r="D295" s="119">
        <f>-1.25</f>
        <v>-1.25</v>
      </c>
      <c r="E295" s="119">
        <f>-1.25</f>
        <v>-1.25</v>
      </c>
      <c r="F295" s="119">
        <f>-1.25</f>
        <v>-1.25</v>
      </c>
      <c r="G295" s="111">
        <f>SUM(C295:F295)</f>
        <v>-5</v>
      </c>
      <c r="H295" s="119">
        <f>-1.25</f>
        <v>-1.25</v>
      </c>
      <c r="I295" s="119">
        <f>-1.25</f>
        <v>-1.25</v>
      </c>
      <c r="J295" s="119">
        <f>-1.25</f>
        <v>-1.25</v>
      </c>
      <c r="K295" s="119">
        <f>-1.25</f>
        <v>-1.25</v>
      </c>
      <c r="L295" s="111">
        <f>SUM(H295:K295)</f>
        <v>-5</v>
      </c>
      <c r="M295" s="119">
        <f>-1.25</f>
        <v>-1.25</v>
      </c>
      <c r="N295" s="119">
        <f>-1.25</f>
        <v>-1.25</v>
      </c>
      <c r="O295" s="119">
        <f>-1.25</f>
        <v>-1.25</v>
      </c>
      <c r="P295" s="119">
        <f>-1.25</f>
        <v>-1.25</v>
      </c>
      <c r="Q295" s="111">
        <f>SUM(M295:P295)</f>
        <v>-5</v>
      </c>
      <c r="R295" s="119">
        <f>-1.25</f>
        <v>-1.25</v>
      </c>
      <c r="S295" s="119">
        <f>-1.25</f>
        <v>-1.25</v>
      </c>
      <c r="T295" s="119">
        <f>-1.25</f>
        <v>-1.25</v>
      </c>
      <c r="U295" s="119">
        <f>-1.25</f>
        <v>-1.25</v>
      </c>
      <c r="V295" s="111">
        <f>SUM(R295:U295)</f>
        <v>-5</v>
      </c>
      <c r="W295" s="119">
        <f>-1.25</f>
        <v>-1.25</v>
      </c>
      <c r="X295" s="119">
        <f>-1.25</f>
        <v>-1.25</v>
      </c>
      <c r="Y295" s="119">
        <f>-1.25</f>
        <v>-1.25</v>
      </c>
      <c r="Z295" s="119">
        <f>-1.25</f>
        <v>-1.25</v>
      </c>
      <c r="AA295" s="111">
        <f>SUM(W295:Z295)</f>
        <v>-5</v>
      </c>
      <c r="AB295" s="119">
        <f>-1.25</f>
        <v>-1.25</v>
      </c>
      <c r="AC295" s="119">
        <f>-1.25</f>
        <v>-1.25</v>
      </c>
      <c r="AD295" s="119">
        <f>-1.25</f>
        <v>-1.25</v>
      </c>
      <c r="AE295" s="119">
        <f>-1.25</f>
        <v>-1.25</v>
      </c>
      <c r="AF295" s="111">
        <f>SUM(AB295:AE295)</f>
        <v>-5</v>
      </c>
      <c r="AG295" s="119">
        <f>-1.25</f>
        <v>-1.25</v>
      </c>
      <c r="AH295" s="119">
        <f>-1.25</f>
        <v>-1.25</v>
      </c>
      <c r="AI295" s="119">
        <f>-1.25</f>
        <v>-1.25</v>
      </c>
      <c r="AJ295" s="119">
        <f>-1.25</f>
        <v>-1.25</v>
      </c>
      <c r="AK295" s="111">
        <f>SUM(AG295:AJ295)</f>
        <v>-5</v>
      </c>
      <c r="AL295" s="119">
        <f>-1.25</f>
        <v>-1.25</v>
      </c>
      <c r="AM295" s="119">
        <f>-1.25</f>
        <v>-1.25</v>
      </c>
      <c r="AN295" s="119">
        <f>-1.25</f>
        <v>-1.25</v>
      </c>
      <c r="AO295" s="119">
        <f>-1.25</f>
        <v>-1.25</v>
      </c>
      <c r="AP295" s="111">
        <f>SUM(AL295:AO295)</f>
        <v>-5</v>
      </c>
      <c r="AQ295" s="119">
        <f>-1.25</f>
        <v>-1.25</v>
      </c>
      <c r="AR295" s="119">
        <f>-1.25</f>
        <v>-1.25</v>
      </c>
      <c r="AS295" s="119">
        <f>-1.25</f>
        <v>-1.25</v>
      </c>
      <c r="AT295" s="119">
        <f>-1.25</f>
        <v>-1.25</v>
      </c>
      <c r="AU295" s="111">
        <f>SUM(AQ295:AT295)</f>
        <v>-5</v>
      </c>
      <c r="AV295" s="119">
        <f>-1.25</f>
        <v>-1.25</v>
      </c>
      <c r="AW295" s="119">
        <f>-1.25</f>
        <v>-1.25</v>
      </c>
      <c r="AX295" s="119">
        <f>-1.25</f>
        <v>-1.25</v>
      </c>
      <c r="AY295" s="119">
        <f>-1.25</f>
        <v>-1.25</v>
      </c>
      <c r="AZ295" s="111">
        <f>SUM(AV295:AY295)</f>
        <v>-5</v>
      </c>
      <c r="BA295" s="119">
        <f>-1.25</f>
        <v>-1.25</v>
      </c>
      <c r="BB295" s="119">
        <f>-1.25</f>
        <v>-1.25</v>
      </c>
      <c r="BC295" s="119">
        <f>-1.25</f>
        <v>-1.25</v>
      </c>
      <c r="BD295" s="119">
        <f>-1.25</f>
        <v>-1.25</v>
      </c>
      <c r="BE295" s="111">
        <f>SUM(BA295:BD295)</f>
        <v>-5</v>
      </c>
      <c r="BF295" s="119">
        <f>-1.25</f>
        <v>-1.25</v>
      </c>
      <c r="BG295" s="119">
        <f>-1.25</f>
        <v>-1.25</v>
      </c>
      <c r="BH295" s="119">
        <f>-1.25</f>
        <v>-1.25</v>
      </c>
      <c r="BI295" s="119">
        <f>-1.25</f>
        <v>-1.25</v>
      </c>
      <c r="BJ295" s="111">
        <f>SUM(BF295:BI295)</f>
        <v>-5</v>
      </c>
      <c r="BK295" s="119">
        <f>-1.25</f>
        <v>-1.25</v>
      </c>
      <c r="BL295" s="119">
        <f>-1.25</f>
        <v>-1.25</v>
      </c>
      <c r="BM295" s="119">
        <f>-1.25</f>
        <v>-1.25</v>
      </c>
      <c r="BN295" s="119">
        <f>-1.25</f>
        <v>-1.25</v>
      </c>
      <c r="BO295" s="111">
        <f>SUM(BK295:BN295)</f>
        <v>-5</v>
      </c>
      <c r="BP295" s="119">
        <f>-1.25</f>
        <v>-1.25</v>
      </c>
      <c r="BQ295" s="119">
        <f>-1.25</f>
        <v>-1.25</v>
      </c>
      <c r="BR295" s="119">
        <f>-1.25</f>
        <v>-1.25</v>
      </c>
      <c r="BS295" s="119">
        <f>-1.25</f>
        <v>-1.25</v>
      </c>
      <c r="BT295" s="248">
        <f>SUM(BP295:BS295)</f>
        <v>-5</v>
      </c>
      <c r="BU295" s="119">
        <f>-1.25</f>
        <v>-1.25</v>
      </c>
      <c r="BV295" s="119">
        <f>-1.25</f>
        <v>-1.25</v>
      </c>
      <c r="BW295" s="119">
        <f>-1.25</f>
        <v>-1.25</v>
      </c>
      <c r="BX295" s="119">
        <f>-1.25</f>
        <v>-1.25</v>
      </c>
      <c r="BY295" s="248">
        <f>SUM(BU295:BX295)</f>
        <v>-5</v>
      </c>
      <c r="BZ295" s="248">
        <v>-5</v>
      </c>
      <c r="CA295" s="248">
        <v>-5</v>
      </c>
      <c r="CB295" s="248">
        <v>-5</v>
      </c>
      <c r="CC295" s="248">
        <v>-5</v>
      </c>
      <c r="CD295" s="248">
        <v>-5</v>
      </c>
      <c r="CE295" s="248">
        <v>-5</v>
      </c>
      <c r="CF295" s="248">
        <v>-5</v>
      </c>
    </row>
    <row r="296" spans="1:84" x14ac:dyDescent="0.25">
      <c r="A296" s="2" t="s">
        <v>2244</v>
      </c>
      <c r="B296" s="34"/>
      <c r="C296" s="34">
        <f>(C276*C272)/1000</f>
        <v>2.8925969999999999</v>
      </c>
      <c r="D296" s="34">
        <f>(D276*D272)/1000</f>
        <v>2.8180290000000001</v>
      </c>
      <c r="E296" s="34">
        <f>(E276*E272)/1000</f>
        <v>3.0185309999999999</v>
      </c>
      <c r="F296" s="34">
        <f>(F276*F272)/1000</f>
        <v>2.6461049999999999</v>
      </c>
      <c r="G296" s="111">
        <f>(G276*G272)/1000</f>
        <v>11.375261999999999</v>
      </c>
      <c r="H296" s="34">
        <f t="shared" ref="H296:N296" si="325">(H276*H272)/1000</f>
        <v>2.8577309999999998</v>
      </c>
      <c r="I296" s="34">
        <f t="shared" si="325"/>
        <v>2.8589009999999999</v>
      </c>
      <c r="J296" s="34">
        <f t="shared" si="325"/>
        <v>2.9655179999999999</v>
      </c>
      <c r="K296" s="34">
        <f t="shared" si="325"/>
        <v>2.6515200000000001</v>
      </c>
      <c r="L296" s="111">
        <f t="shared" si="325"/>
        <v>11.33367</v>
      </c>
      <c r="M296" s="34">
        <f t="shared" si="325"/>
        <v>3.0500700000000003</v>
      </c>
      <c r="N296" s="34">
        <f t="shared" si="325"/>
        <v>2.9685000000000001</v>
      </c>
      <c r="O296" s="34">
        <f t="shared" ref="O296:AO296" si="326">(O276*O272)/1000</f>
        <v>3.0949650000000002</v>
      </c>
      <c r="P296" s="34">
        <f t="shared" si="326"/>
        <v>2.8806539999999998</v>
      </c>
      <c r="Q296" s="111">
        <f t="shared" si="326"/>
        <v>11.994189</v>
      </c>
      <c r="R296" s="34">
        <f t="shared" si="326"/>
        <v>2.8717139999999999</v>
      </c>
      <c r="S296" s="34">
        <f t="shared" si="326"/>
        <v>2.863464</v>
      </c>
      <c r="T296" s="34">
        <f t="shared" si="326"/>
        <v>2.958666</v>
      </c>
      <c r="U296" s="34">
        <f t="shared" si="326"/>
        <v>2.6050680000000002</v>
      </c>
      <c r="V296" s="111">
        <f t="shared" si="326"/>
        <v>11.298912</v>
      </c>
      <c r="W296" s="34">
        <f t="shared" si="326"/>
        <v>2.7109380000000001</v>
      </c>
      <c r="X296" s="34">
        <f t="shared" si="326"/>
        <v>2.7384690000000003</v>
      </c>
      <c r="Y296" s="34">
        <f t="shared" si="326"/>
        <v>2.6753910000000003</v>
      </c>
      <c r="Z296" s="34">
        <f t="shared" si="326"/>
        <v>2.4827430000000001</v>
      </c>
      <c r="AA296" s="111">
        <f t="shared" si="326"/>
        <v>10.607541000000001</v>
      </c>
      <c r="AB296" s="34">
        <f t="shared" si="326"/>
        <v>2.5964999999999998</v>
      </c>
      <c r="AC296" s="34">
        <f t="shared" si="326"/>
        <v>2.5731000000000002</v>
      </c>
      <c r="AD296" s="34">
        <f t="shared" si="326"/>
        <v>3.4812000000000003</v>
      </c>
      <c r="AE296" s="34">
        <f t="shared" si="326"/>
        <v>2.8941000000000003</v>
      </c>
      <c r="AF296" s="111">
        <f t="shared" si="326"/>
        <v>11.544900000000002</v>
      </c>
      <c r="AG296" s="34">
        <f>(AG276*AG272)/1000</f>
        <v>2.9937300000000002</v>
      </c>
      <c r="AH296" s="34">
        <f>(AH276*AH272)/1000</f>
        <v>2.917821</v>
      </c>
      <c r="AI296" s="34">
        <f>(AI276*AI272)/1000</f>
        <v>3.054522</v>
      </c>
      <c r="AJ296" s="34">
        <f>(AJ276*AJ272)/1000</f>
        <v>2.7275610000000001</v>
      </c>
      <c r="AK296" s="111">
        <f t="shared" si="326"/>
        <v>11.693633999999998</v>
      </c>
      <c r="AL296" s="34">
        <f t="shared" si="326"/>
        <v>2.955336</v>
      </c>
      <c r="AM296" s="34">
        <f t="shared" si="326"/>
        <v>2.803617</v>
      </c>
      <c r="AN296" s="34">
        <f t="shared" si="326"/>
        <v>2.8935749999999998</v>
      </c>
      <c r="AO296" s="34">
        <f t="shared" si="326"/>
        <v>2.6820120000000003</v>
      </c>
      <c r="AP296" s="111">
        <f t="shared" ref="AP296:AU296" si="327">(AP276*AP272)/1000</f>
        <v>11.334539999999999</v>
      </c>
      <c r="AQ296" s="34">
        <f t="shared" si="327"/>
        <v>2.759916</v>
      </c>
      <c r="AR296" s="34">
        <f t="shared" si="327"/>
        <v>2.4964079999999997</v>
      </c>
      <c r="AS296" s="34">
        <f t="shared" si="327"/>
        <v>2.4122189999999999</v>
      </c>
      <c r="AT296" s="34">
        <f t="shared" si="327"/>
        <v>2.0915219999999999</v>
      </c>
      <c r="AU296" s="111">
        <f t="shared" si="327"/>
        <v>9.7600650000000009</v>
      </c>
      <c r="AV296" s="34">
        <f t="shared" ref="AV296:BE296" si="328">(AV276*AV272)/1000</f>
        <v>2.1697169999999999</v>
      </c>
      <c r="AW296" s="34">
        <f t="shared" si="328"/>
        <v>1.671081</v>
      </c>
      <c r="AX296" s="34">
        <f t="shared" si="328"/>
        <v>1.6063830000000001</v>
      </c>
      <c r="AY296" s="34">
        <f t="shared" si="328"/>
        <v>1.4004030000000001</v>
      </c>
      <c r="AZ296" s="111">
        <f t="shared" si="328"/>
        <v>6.8475840000000003</v>
      </c>
      <c r="BA296" s="34">
        <f t="shared" si="328"/>
        <v>1.334622</v>
      </c>
      <c r="BB296" s="34">
        <f t="shared" si="328"/>
        <v>1.2462929999999999</v>
      </c>
      <c r="BC296" s="34">
        <f t="shared" si="328"/>
        <v>1.2262409999999999</v>
      </c>
      <c r="BD296" s="34">
        <f t="shared" si="328"/>
        <v>1.1452979999999999</v>
      </c>
      <c r="BE296" s="111">
        <f t="shared" si="328"/>
        <v>4.9524540000000004</v>
      </c>
      <c r="BF296" s="34">
        <f t="shared" ref="BF296:CF296" si="329">(BF276*BF272)/1000</f>
        <v>1.182531</v>
      </c>
      <c r="BG296" s="34">
        <f t="shared" si="329"/>
        <v>1.1335650000000002</v>
      </c>
      <c r="BH296" s="34">
        <f t="shared" si="329"/>
        <v>1.1223779999999999</v>
      </c>
      <c r="BI296" s="34">
        <f t="shared" si="329"/>
        <v>1.125192</v>
      </c>
      <c r="BJ296" s="111">
        <f t="shared" si="329"/>
        <v>4.5636660000000004</v>
      </c>
      <c r="BK296" s="34">
        <f t="shared" si="329"/>
        <v>1.206699</v>
      </c>
      <c r="BL296" s="34">
        <f t="shared" si="329"/>
        <v>1.1467560000000001</v>
      </c>
      <c r="BM296" s="34">
        <f t="shared" si="329"/>
        <v>1.119291</v>
      </c>
      <c r="BN296" s="34">
        <f t="shared" si="329"/>
        <v>1.036392</v>
      </c>
      <c r="BO296" s="111">
        <f t="shared" si="329"/>
        <v>4.5091379999999992</v>
      </c>
      <c r="BP296" s="34">
        <f t="shared" si="329"/>
        <v>1.0784400000000001</v>
      </c>
      <c r="BQ296" s="34">
        <f t="shared" si="329"/>
        <v>1.0548810000000002</v>
      </c>
      <c r="BR296" s="34">
        <f t="shared" si="329"/>
        <v>1.1215919999999999</v>
      </c>
      <c r="BS296" s="34">
        <f t="shared" si="329"/>
        <v>1.0276259999999999</v>
      </c>
      <c r="BT296" s="111">
        <f t="shared" si="329"/>
        <v>4.2825389999999999</v>
      </c>
      <c r="BU296" s="34">
        <f>(BU276*BU272)/1000</f>
        <v>1.1043141746756326</v>
      </c>
      <c r="BV296" s="34">
        <f>(BV276*BV272)/1000</f>
        <v>1.0759786199999999</v>
      </c>
      <c r="BW296" s="34">
        <f>(BW276*BW272)/1000</f>
        <v>1.1384158799999999</v>
      </c>
      <c r="BX296" s="34">
        <f>(BX276*BX272)/1000</f>
        <v>1.0430403899999998</v>
      </c>
      <c r="BY296" s="111">
        <f t="shared" si="329"/>
        <v>4.3617490646756325</v>
      </c>
      <c r="BZ296" s="111">
        <f t="shared" si="329"/>
        <v>4.3835578099990107</v>
      </c>
      <c r="CA296" s="111">
        <f t="shared" si="329"/>
        <v>4.3835578099990107</v>
      </c>
      <c r="CB296" s="111">
        <f t="shared" si="329"/>
        <v>4.1643799194990594</v>
      </c>
      <c r="CC296" s="111">
        <f t="shared" si="329"/>
        <v>3.9561609235241066</v>
      </c>
      <c r="CD296" s="111">
        <f t="shared" si="329"/>
        <v>4.0352841419945893</v>
      </c>
      <c r="CE296" s="111">
        <f t="shared" si="329"/>
        <v>4.1159898248344806</v>
      </c>
      <c r="CF296" s="111">
        <f t="shared" si="329"/>
        <v>4.1983096213311706</v>
      </c>
    </row>
    <row r="297" spans="1:84" ht="5.25" customHeight="1" x14ac:dyDescent="0.25">
      <c r="A297" s="2"/>
      <c r="B297" s="130"/>
      <c r="C297" s="130" t="s">
        <v>1059</v>
      </c>
      <c r="D297" s="130" t="s">
        <v>1059</v>
      </c>
      <c r="E297" s="130" t="s">
        <v>1059</v>
      </c>
      <c r="F297" s="130" t="s">
        <v>1059</v>
      </c>
      <c r="G297" s="131" t="s">
        <v>1059</v>
      </c>
      <c r="H297" s="130" t="s">
        <v>1059</v>
      </c>
      <c r="I297" s="130" t="s">
        <v>1059</v>
      </c>
      <c r="J297" s="130" t="s">
        <v>1059</v>
      </c>
      <c r="K297" s="130" t="s">
        <v>1059</v>
      </c>
      <c r="L297" s="131" t="s">
        <v>1059</v>
      </c>
      <c r="M297" s="130" t="s">
        <v>1059</v>
      </c>
      <c r="N297" s="130" t="s">
        <v>1059</v>
      </c>
      <c r="O297" s="130" t="s">
        <v>1059</v>
      </c>
      <c r="P297" s="130" t="s">
        <v>1059</v>
      </c>
      <c r="Q297" s="131" t="s">
        <v>1059</v>
      </c>
      <c r="R297" s="130" t="s">
        <v>1059</v>
      </c>
      <c r="S297" s="130" t="s">
        <v>1059</v>
      </c>
      <c r="T297" s="130" t="s">
        <v>1059</v>
      </c>
      <c r="U297" s="130" t="s">
        <v>1059</v>
      </c>
      <c r="V297" s="131" t="s">
        <v>1059</v>
      </c>
      <c r="W297" s="130" t="s">
        <v>1059</v>
      </c>
      <c r="X297" s="130" t="s">
        <v>1059</v>
      </c>
      <c r="Y297" s="130" t="s">
        <v>1059</v>
      </c>
      <c r="Z297" s="130" t="s">
        <v>1059</v>
      </c>
      <c r="AA297" s="131" t="s">
        <v>1059</v>
      </c>
      <c r="AB297" s="130" t="s">
        <v>1059</v>
      </c>
      <c r="AC297" s="130" t="s">
        <v>1059</v>
      </c>
      <c r="AD297" s="130" t="s">
        <v>1059</v>
      </c>
      <c r="AE297" s="130" t="s">
        <v>1059</v>
      </c>
      <c r="AF297" s="131" t="s">
        <v>1059</v>
      </c>
      <c r="AG297" s="130" t="s">
        <v>1059</v>
      </c>
      <c r="AH297" s="130" t="s">
        <v>1059</v>
      </c>
      <c r="AI297" s="130" t="s">
        <v>1059</v>
      </c>
      <c r="AJ297" s="130" t="s">
        <v>1059</v>
      </c>
      <c r="AK297" s="131" t="s">
        <v>1059</v>
      </c>
      <c r="AL297" s="130" t="s">
        <v>1059</v>
      </c>
      <c r="AM297" s="130" t="s">
        <v>1059</v>
      </c>
      <c r="AN297" s="130" t="s">
        <v>1059</v>
      </c>
      <c r="AO297" s="130" t="s">
        <v>1059</v>
      </c>
      <c r="AP297" s="131" t="s">
        <v>1059</v>
      </c>
      <c r="AQ297" s="130" t="s">
        <v>1059</v>
      </c>
      <c r="AR297" s="130" t="s">
        <v>1059</v>
      </c>
      <c r="AS297" s="130" t="s">
        <v>1059</v>
      </c>
      <c r="AT297" s="130" t="s">
        <v>1059</v>
      </c>
      <c r="AU297" s="131" t="s">
        <v>1059</v>
      </c>
      <c r="AV297" s="130" t="s">
        <v>1059</v>
      </c>
      <c r="AW297" s="130" t="s">
        <v>1059</v>
      </c>
      <c r="AX297" s="130" t="s">
        <v>1059</v>
      </c>
      <c r="AY297" s="130" t="s">
        <v>1059</v>
      </c>
      <c r="AZ297" s="131" t="s">
        <v>1059</v>
      </c>
      <c r="BA297" s="130" t="s">
        <v>1059</v>
      </c>
      <c r="BB297" s="130" t="s">
        <v>1059</v>
      </c>
      <c r="BC297" s="130" t="s">
        <v>1059</v>
      </c>
      <c r="BD297" s="130" t="s">
        <v>1059</v>
      </c>
      <c r="BE297" s="131" t="s">
        <v>1059</v>
      </c>
      <c r="BF297" s="130" t="s">
        <v>1059</v>
      </c>
      <c r="BG297" s="130" t="s">
        <v>1059</v>
      </c>
      <c r="BH297" s="130" t="s">
        <v>1059</v>
      </c>
      <c r="BI297" s="130" t="s">
        <v>1059</v>
      </c>
      <c r="BJ297" s="131" t="s">
        <v>1059</v>
      </c>
      <c r="BK297" s="130" t="s">
        <v>1059</v>
      </c>
      <c r="BL297" s="130" t="s">
        <v>1059</v>
      </c>
      <c r="BM297" s="130" t="s">
        <v>1059</v>
      </c>
      <c r="BN297" s="130" t="s">
        <v>1059</v>
      </c>
      <c r="BO297" s="131" t="s">
        <v>1059</v>
      </c>
      <c r="BP297" s="130" t="s">
        <v>1059</v>
      </c>
      <c r="BQ297" s="130" t="s">
        <v>1059</v>
      </c>
      <c r="BR297" s="130" t="s">
        <v>1059</v>
      </c>
      <c r="BS297" s="130" t="s">
        <v>1059</v>
      </c>
      <c r="BT297" s="131" t="s">
        <v>1059</v>
      </c>
      <c r="BU297" s="130" t="s">
        <v>1059</v>
      </c>
      <c r="BV297" s="130" t="s">
        <v>1059</v>
      </c>
      <c r="BW297" s="130" t="s">
        <v>1059</v>
      </c>
      <c r="BX297" s="130" t="s">
        <v>1059</v>
      </c>
      <c r="BY297" s="131" t="s">
        <v>1059</v>
      </c>
      <c r="BZ297" s="131" t="s">
        <v>1059</v>
      </c>
      <c r="CA297" s="131" t="s">
        <v>1059</v>
      </c>
      <c r="CB297" s="131" t="s">
        <v>1059</v>
      </c>
      <c r="CC297" s="131" t="s">
        <v>1059</v>
      </c>
      <c r="CD297" s="131" t="s">
        <v>1059</v>
      </c>
      <c r="CE297" s="131" t="s">
        <v>1059</v>
      </c>
      <c r="CF297" s="131" t="s">
        <v>1059</v>
      </c>
    </row>
    <row r="298" spans="1:84" x14ac:dyDescent="0.25">
      <c r="A298" s="1830" t="s">
        <v>2245</v>
      </c>
      <c r="B298" s="1831"/>
      <c r="C298" s="1831">
        <f t="shared" ref="C298:AP298" si="330">C285+C294+C296+C295</f>
        <v>46.466279500000006</v>
      </c>
      <c r="D298" s="1831">
        <f t="shared" si="330"/>
        <v>46.391711500000007</v>
      </c>
      <c r="E298" s="1831">
        <f t="shared" si="330"/>
        <v>46.592213500000007</v>
      </c>
      <c r="F298" s="1831">
        <f t="shared" si="330"/>
        <v>46.219787500000002</v>
      </c>
      <c r="G298" s="1968">
        <f t="shared" si="330"/>
        <v>185.66999200000001</v>
      </c>
      <c r="H298" s="1831">
        <f t="shared" si="330"/>
        <v>47.371841099999997</v>
      </c>
      <c r="I298" s="1831">
        <f t="shared" si="330"/>
        <v>47.373011099999999</v>
      </c>
      <c r="J298" s="1831">
        <f t="shared" si="330"/>
        <v>47.479628099999999</v>
      </c>
      <c r="K298" s="1831">
        <f t="shared" si="330"/>
        <v>47.165630099999994</v>
      </c>
      <c r="L298" s="1968">
        <f t="shared" si="330"/>
        <v>189.3901104</v>
      </c>
      <c r="M298" s="1831">
        <f t="shared" si="330"/>
        <v>51.217915202499988</v>
      </c>
      <c r="N298" s="1831">
        <f t="shared" si="330"/>
        <v>51.136345202499989</v>
      </c>
      <c r="O298" s="1831">
        <f t="shared" si="330"/>
        <v>51.262810202499992</v>
      </c>
      <c r="P298" s="1831">
        <f t="shared" si="330"/>
        <v>51.04849920249999</v>
      </c>
      <c r="Q298" s="1968">
        <f t="shared" si="330"/>
        <v>204.66556980999997</v>
      </c>
      <c r="R298" s="1831">
        <f t="shared" si="330"/>
        <v>50.938220832499994</v>
      </c>
      <c r="S298" s="1831">
        <f t="shared" si="330"/>
        <v>50.929970832499997</v>
      </c>
      <c r="T298" s="1831">
        <f t="shared" si="330"/>
        <v>51.025172832499997</v>
      </c>
      <c r="U298" s="1831">
        <f t="shared" si="330"/>
        <v>50.671574832499999</v>
      </c>
      <c r="V298" s="1968">
        <f t="shared" si="330"/>
        <v>203.56493932999999</v>
      </c>
      <c r="W298" s="1831">
        <f t="shared" si="330"/>
        <v>45.891514606749993</v>
      </c>
      <c r="X298" s="1831">
        <f t="shared" si="330"/>
        <v>45.919045606749997</v>
      </c>
      <c r="Y298" s="1831">
        <f t="shared" si="330"/>
        <v>45.855967606749992</v>
      </c>
      <c r="Z298" s="1831">
        <f t="shared" si="330"/>
        <v>45.663319606749994</v>
      </c>
      <c r="AA298" s="1968">
        <f t="shared" si="330"/>
        <v>183.32984742699998</v>
      </c>
      <c r="AB298" s="1831">
        <f t="shared" si="330"/>
        <v>44.543749999999996</v>
      </c>
      <c r="AC298" s="1831">
        <f t="shared" si="330"/>
        <v>44.520349999999993</v>
      </c>
      <c r="AD298" s="1831">
        <f t="shared" si="330"/>
        <v>45.428449999999998</v>
      </c>
      <c r="AE298" s="1831">
        <f t="shared" si="330"/>
        <v>44.841349999999998</v>
      </c>
      <c r="AF298" s="1968">
        <f t="shared" si="330"/>
        <v>179.3339</v>
      </c>
      <c r="AG298" s="1831">
        <f t="shared" si="330"/>
        <v>46.443750219999998</v>
      </c>
      <c r="AH298" s="1831">
        <f t="shared" si="330"/>
        <v>46.367841220000003</v>
      </c>
      <c r="AI298" s="1831">
        <f t="shared" si="330"/>
        <v>46.504542219999998</v>
      </c>
      <c r="AJ298" s="1831">
        <f t="shared" si="330"/>
        <v>46.17758122</v>
      </c>
      <c r="AK298" s="1968">
        <f t="shared" si="330"/>
        <v>185.49371488</v>
      </c>
      <c r="AL298" s="1831">
        <f t="shared" si="330"/>
        <v>46.171291304999997</v>
      </c>
      <c r="AM298" s="1831">
        <f t="shared" si="330"/>
        <v>46.019572304999997</v>
      </c>
      <c r="AN298" s="1831">
        <f t="shared" si="330"/>
        <v>46.109530304999993</v>
      </c>
      <c r="AO298" s="1831">
        <f t="shared" si="330"/>
        <v>45.897967304999995</v>
      </c>
      <c r="AP298" s="1968">
        <f t="shared" si="330"/>
        <v>184.19836121999998</v>
      </c>
      <c r="AQ298" s="1831">
        <f t="shared" ref="AQ298:BE298" si="331">AQ285+AQ294+AQ296+AQ295</f>
        <v>40.941737724999989</v>
      </c>
      <c r="AR298" s="1831">
        <f t="shared" si="331"/>
        <v>40.678229724999994</v>
      </c>
      <c r="AS298" s="1831">
        <f t="shared" si="331"/>
        <v>40.594040724999992</v>
      </c>
      <c r="AT298" s="1831">
        <f t="shared" si="331"/>
        <v>40.273343724999989</v>
      </c>
      <c r="AU298" s="1968">
        <f t="shared" si="331"/>
        <v>162.48735189999996</v>
      </c>
      <c r="AV298" s="1831">
        <f t="shared" si="331"/>
        <v>25.355498605000005</v>
      </c>
      <c r="AW298" s="1831">
        <f t="shared" si="331"/>
        <v>24.856862605000007</v>
      </c>
      <c r="AX298" s="1831">
        <f t="shared" si="331"/>
        <v>24.792164605000007</v>
      </c>
      <c r="AY298" s="1831">
        <f t="shared" si="331"/>
        <v>24.586184605000007</v>
      </c>
      <c r="AZ298" s="1968">
        <f t="shared" si="331"/>
        <v>99.590710420000022</v>
      </c>
      <c r="BA298" s="1831">
        <f t="shared" si="331"/>
        <v>15.947335405</v>
      </c>
      <c r="BB298" s="1831">
        <f t="shared" si="331"/>
        <v>15.859006404999999</v>
      </c>
      <c r="BC298" s="1831">
        <f t="shared" si="331"/>
        <v>15.838954404999999</v>
      </c>
      <c r="BD298" s="1831">
        <f t="shared" si="331"/>
        <v>15.758011404999998</v>
      </c>
      <c r="BE298" s="1968">
        <f t="shared" si="331"/>
        <v>63.403307619999993</v>
      </c>
      <c r="BF298" s="1831">
        <f t="shared" ref="BF298:CF298" si="332">BF285+BF294+BF296+BF295</f>
        <v>13.828680737500001</v>
      </c>
      <c r="BG298" s="1831">
        <f t="shared" si="332"/>
        <v>13.779714737500001</v>
      </c>
      <c r="BH298" s="1831">
        <f t="shared" si="332"/>
        <v>13.768527737499999</v>
      </c>
      <c r="BI298" s="1831">
        <f t="shared" si="332"/>
        <v>13.7713417375</v>
      </c>
      <c r="BJ298" s="1968">
        <f t="shared" si="332"/>
        <v>55.148264949999998</v>
      </c>
      <c r="BK298" s="1831">
        <f t="shared" si="332"/>
        <v>13.490086887500002</v>
      </c>
      <c r="BL298" s="1831">
        <f t="shared" si="332"/>
        <v>13.430143887500002</v>
      </c>
      <c r="BM298" s="1831">
        <f t="shared" si="332"/>
        <v>13.402678887500002</v>
      </c>
      <c r="BN298" s="1831">
        <f t="shared" si="332"/>
        <v>13.319779887500001</v>
      </c>
      <c r="BO298" s="1968">
        <f t="shared" si="332"/>
        <v>53.642689550000007</v>
      </c>
      <c r="BP298" s="1831">
        <f t="shared" si="332"/>
        <v>13.528721360000002</v>
      </c>
      <c r="BQ298" s="1831">
        <f t="shared" si="332"/>
        <v>13.505162360000002</v>
      </c>
      <c r="BR298" s="1831">
        <f t="shared" si="332"/>
        <v>13.571873360000001</v>
      </c>
      <c r="BS298" s="1831">
        <f t="shared" si="332"/>
        <v>13.477907360000001</v>
      </c>
      <c r="BT298" s="1968">
        <f t="shared" si="332"/>
        <v>54.083664440000007</v>
      </c>
      <c r="BU298" s="1831">
        <f>BU285+BU294+BU296+BU295</f>
        <v>13.883154900750633</v>
      </c>
      <c r="BV298" s="1831">
        <f>BV285+BV294+BV296+BV295</f>
        <v>13.854819346075001</v>
      </c>
      <c r="BW298" s="1831">
        <f>BW285+BW294+BW296+BW295</f>
        <v>13.917256606075</v>
      </c>
      <c r="BX298" s="1831">
        <f>BX285+BX294+BX296+BX295</f>
        <v>13.821881116075</v>
      </c>
      <c r="BY298" s="1968">
        <f t="shared" si="332"/>
        <v>55.477111968975635</v>
      </c>
      <c r="BZ298" s="1968">
        <f t="shared" si="332"/>
        <v>55.861997528820496</v>
      </c>
      <c r="CA298" s="1968">
        <f t="shared" si="332"/>
        <v>55.861997528820496</v>
      </c>
      <c r="CB298" s="1968">
        <f t="shared" si="332"/>
        <v>51.993897652379466</v>
      </c>
      <c r="CC298" s="1968">
        <f t="shared" si="332"/>
        <v>48.319202769760494</v>
      </c>
      <c r="CD298" s="1968">
        <f t="shared" si="332"/>
        <v>49.715586825155704</v>
      </c>
      <c r="CE298" s="1968">
        <f t="shared" si="332"/>
        <v>51.139898561658825</v>
      </c>
      <c r="CF298" s="1968">
        <f t="shared" si="332"/>
        <v>52.592696532891999</v>
      </c>
    </row>
  </sheetData>
  <phoneticPr fontId="13" type="noConversion"/>
  <pageMargins left="0.75" right="0.75" top="1" bottom="1" header="0.5" footer="0.5"/>
  <pageSetup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76"/>
  <sheetViews>
    <sheetView zoomScale="90" workbookViewId="0"/>
  </sheetViews>
  <sheetFormatPr defaultRowHeight="15.75" x14ac:dyDescent="0.25"/>
  <cols>
    <col min="4" max="4" width="11.375" bestFit="1" customWidth="1"/>
  </cols>
  <sheetData>
    <row r="1" spans="1:5" x14ac:dyDescent="0.25">
      <c r="A1" s="12" t="s">
        <v>892</v>
      </c>
      <c r="B1" s="12"/>
      <c r="C1" s="12"/>
      <c r="D1" s="8"/>
      <c r="E1" s="8"/>
    </row>
    <row r="2" spans="1:5" x14ac:dyDescent="0.25">
      <c r="A2" s="12" t="s">
        <v>1978</v>
      </c>
      <c r="B2" s="12"/>
      <c r="C2" s="12"/>
      <c r="D2" s="8"/>
      <c r="E2" s="8"/>
    </row>
    <row r="3" spans="1:5" x14ac:dyDescent="0.25">
      <c r="A3" s="13" t="s">
        <v>1979</v>
      </c>
      <c r="B3" s="13"/>
      <c r="C3" s="13"/>
      <c r="D3" s="8"/>
      <c r="E3" s="8"/>
    </row>
    <row r="4" spans="1:5" x14ac:dyDescent="0.25">
      <c r="A4" s="13"/>
      <c r="B4" s="13"/>
      <c r="C4" s="13"/>
      <c r="D4" s="8"/>
      <c r="E4" s="8"/>
    </row>
    <row r="5" spans="1:5" x14ac:dyDescent="0.25">
      <c r="A5" s="14" t="s">
        <v>1720</v>
      </c>
      <c r="B5" s="14"/>
      <c r="C5" s="14"/>
      <c r="D5" s="18"/>
      <c r="E5" s="18"/>
    </row>
    <row r="6" spans="1:5" ht="5.0999999999999996" customHeight="1" x14ac:dyDescent="0.25">
      <c r="A6" s="13"/>
      <c r="B6" s="13"/>
      <c r="C6" s="13"/>
      <c r="D6" s="8"/>
      <c r="E6" s="8"/>
    </row>
    <row r="7" spans="1:5" x14ac:dyDescent="0.25">
      <c r="A7" s="175" t="s">
        <v>1721</v>
      </c>
      <c r="B7" s="175" t="s">
        <v>1722</v>
      </c>
      <c r="C7" s="13"/>
      <c r="D7" s="8"/>
      <c r="E7" s="8"/>
    </row>
    <row r="8" spans="1:5" x14ac:dyDescent="0.25">
      <c r="A8" s="174">
        <v>40086</v>
      </c>
      <c r="B8" s="170" t="s">
        <v>1723</v>
      </c>
      <c r="C8" s="13"/>
      <c r="D8" s="8"/>
      <c r="E8" s="8"/>
    </row>
    <row r="9" spans="1:5" x14ac:dyDescent="0.25">
      <c r="A9" s="174">
        <v>40178</v>
      </c>
      <c r="B9" s="170" t="s">
        <v>1724</v>
      </c>
      <c r="C9" s="13"/>
      <c r="D9" s="8"/>
      <c r="E9" s="8"/>
    </row>
    <row r="10" spans="1:5" x14ac:dyDescent="0.25">
      <c r="A10" s="174"/>
      <c r="B10" s="170"/>
      <c r="C10" s="13"/>
      <c r="D10" s="8"/>
      <c r="E10" s="8"/>
    </row>
    <row r="11" spans="1:5" x14ac:dyDescent="0.25">
      <c r="A11" s="14" t="s">
        <v>1725</v>
      </c>
      <c r="B11" s="14"/>
      <c r="C11" s="14"/>
      <c r="D11" s="14"/>
      <c r="E11" s="14"/>
    </row>
    <row r="12" spans="1:5" ht="5.0999999999999996" customHeight="1" x14ac:dyDescent="0.25">
      <c r="A12" s="13"/>
      <c r="B12" s="13"/>
      <c r="C12" s="13"/>
      <c r="D12" s="8"/>
      <c r="E12" s="8"/>
    </row>
    <row r="13" spans="1:5" x14ac:dyDescent="0.25">
      <c r="A13" s="175" t="s">
        <v>1721</v>
      </c>
      <c r="B13" s="175" t="s">
        <v>1722</v>
      </c>
      <c r="C13" s="13"/>
      <c r="D13" s="8"/>
      <c r="E13" s="8"/>
    </row>
    <row r="14" spans="1:5" x14ac:dyDescent="0.25">
      <c r="A14" s="174">
        <v>40086</v>
      </c>
      <c r="B14" s="170" t="s">
        <v>192</v>
      </c>
      <c r="C14" s="13"/>
      <c r="D14" s="8"/>
      <c r="E14" s="8"/>
    </row>
    <row r="15" spans="1:5" x14ac:dyDescent="0.25">
      <c r="A15" s="174">
        <v>40633</v>
      </c>
      <c r="B15" s="170" t="s">
        <v>193</v>
      </c>
      <c r="C15" s="13"/>
      <c r="D15" s="8"/>
      <c r="E15" s="8"/>
    </row>
    <row r="16" spans="1:5" x14ac:dyDescent="0.25">
      <c r="A16" s="174"/>
      <c r="B16" s="170"/>
      <c r="C16" s="13"/>
      <c r="D16" s="8"/>
      <c r="E16" s="8"/>
    </row>
    <row r="17" spans="1:5" x14ac:dyDescent="0.25">
      <c r="A17" s="14" t="s">
        <v>1499</v>
      </c>
      <c r="B17" s="14"/>
      <c r="C17" s="14"/>
      <c r="D17" s="18"/>
      <c r="E17" s="18"/>
    </row>
    <row r="18" spans="1:5" x14ac:dyDescent="0.25">
      <c r="A18" s="13"/>
      <c r="B18" s="13"/>
      <c r="C18" s="13"/>
      <c r="D18" s="8"/>
      <c r="E18" s="8"/>
    </row>
    <row r="19" spans="1:5" x14ac:dyDescent="0.25">
      <c r="A19" s="175" t="s">
        <v>1721</v>
      </c>
      <c r="B19" s="175" t="s">
        <v>1722</v>
      </c>
      <c r="C19" s="13"/>
      <c r="D19" s="8"/>
      <c r="E19" s="8"/>
    </row>
    <row r="20" spans="1:5" x14ac:dyDescent="0.25">
      <c r="A20" s="174">
        <v>40178</v>
      </c>
      <c r="B20" s="170" t="s">
        <v>1500</v>
      </c>
      <c r="C20" s="13"/>
      <c r="D20" s="8"/>
      <c r="E20" s="8"/>
    </row>
    <row r="21" spans="1:5" x14ac:dyDescent="0.25">
      <c r="A21" s="174"/>
      <c r="B21" s="13"/>
      <c r="C21" s="13"/>
      <c r="D21" s="8"/>
      <c r="E21" s="8"/>
    </row>
    <row r="22" spans="1:5" x14ac:dyDescent="0.25">
      <c r="A22" s="14" t="s">
        <v>1726</v>
      </c>
      <c r="B22" s="14"/>
      <c r="C22" s="14"/>
      <c r="D22" s="18"/>
      <c r="E22" s="18"/>
    </row>
    <row r="23" spans="1:5" ht="5.0999999999999996" customHeight="1" x14ac:dyDescent="0.25">
      <c r="A23" s="13"/>
      <c r="B23" s="13"/>
      <c r="C23" s="13"/>
      <c r="D23" s="8"/>
      <c r="E23" s="8"/>
    </row>
    <row r="24" spans="1:5" x14ac:dyDescent="0.25">
      <c r="A24" s="13" t="s">
        <v>1781</v>
      </c>
      <c r="B24" s="13"/>
      <c r="C24" s="13"/>
      <c r="D24" s="8"/>
      <c r="E24" s="8"/>
    </row>
    <row r="25" spans="1:5" x14ac:dyDescent="0.25">
      <c r="A25" s="13" t="s">
        <v>1218</v>
      </c>
      <c r="B25" s="13"/>
      <c r="C25" s="13"/>
      <c r="D25" s="8"/>
      <c r="E25" s="8"/>
    </row>
    <row r="26" spans="1:5" x14ac:dyDescent="0.25">
      <c r="A26" s="13" t="s">
        <v>89</v>
      </c>
      <c r="B26" s="13"/>
      <c r="C26" s="13"/>
      <c r="D26" s="8"/>
      <c r="E26" s="8"/>
    </row>
    <row r="27" spans="1:5" x14ac:dyDescent="0.25">
      <c r="A27" s="13" t="s">
        <v>1216</v>
      </c>
      <c r="B27" s="13"/>
      <c r="C27" s="13"/>
      <c r="D27" s="8"/>
      <c r="E27" s="8"/>
    </row>
    <row r="28" spans="1:5" x14ac:dyDescent="0.25">
      <c r="A28" s="13" t="s">
        <v>1858</v>
      </c>
      <c r="B28" s="13"/>
      <c r="C28" s="13"/>
      <c r="D28" s="8"/>
      <c r="E28" s="8"/>
    </row>
    <row r="29" spans="1:5" x14ac:dyDescent="0.25">
      <c r="A29" s="13" t="s">
        <v>1545</v>
      </c>
      <c r="B29" s="13"/>
      <c r="C29" s="13"/>
      <c r="D29" s="8"/>
      <c r="E29" s="8"/>
    </row>
    <row r="30" spans="1:5" x14ac:dyDescent="0.25">
      <c r="A30" s="13" t="s">
        <v>838</v>
      </c>
      <c r="B30" s="13"/>
      <c r="C30" s="13"/>
      <c r="D30" s="8"/>
      <c r="E30" s="8"/>
    </row>
    <row r="31" spans="1:5" x14ac:dyDescent="0.25">
      <c r="A31" s="13" t="s">
        <v>13</v>
      </c>
      <c r="B31" s="13"/>
      <c r="C31" s="13"/>
      <c r="D31" s="8"/>
      <c r="E31" s="8"/>
    </row>
    <row r="32" spans="1:5" x14ac:dyDescent="0.25">
      <c r="A32" s="13" t="s">
        <v>14</v>
      </c>
      <c r="B32" s="13"/>
      <c r="C32" s="13"/>
      <c r="D32" s="8"/>
      <c r="E32" s="8"/>
    </row>
    <row r="33" spans="1:5" x14ac:dyDescent="0.25">
      <c r="A33" s="13" t="s">
        <v>15</v>
      </c>
      <c r="B33" s="13"/>
      <c r="C33" s="13"/>
      <c r="D33" s="8"/>
      <c r="E33" s="8"/>
    </row>
    <row r="34" spans="1:5" x14ac:dyDescent="0.25">
      <c r="A34" s="13" t="s">
        <v>1580</v>
      </c>
      <c r="B34" s="13"/>
      <c r="C34" s="13"/>
      <c r="D34" s="8"/>
      <c r="E34" s="8"/>
    </row>
    <row r="35" spans="1:5" x14ac:dyDescent="0.25">
      <c r="A35" s="13" t="s">
        <v>1008</v>
      </c>
      <c r="B35" s="13"/>
      <c r="C35" s="13"/>
      <c r="D35" s="8"/>
      <c r="E35" s="8"/>
    </row>
    <row r="36" spans="1:5" x14ac:dyDescent="0.25">
      <c r="A36" s="13"/>
      <c r="B36" s="13"/>
      <c r="C36" s="13"/>
      <c r="D36" s="8"/>
      <c r="E36" s="8"/>
    </row>
    <row r="37" spans="1:5" x14ac:dyDescent="0.25">
      <c r="A37" s="14" t="s">
        <v>1359</v>
      </c>
      <c r="B37" s="14"/>
      <c r="C37" s="14"/>
      <c r="D37" s="18"/>
      <c r="E37" s="18"/>
    </row>
    <row r="38" spans="1:5" x14ac:dyDescent="0.25">
      <c r="A38" s="13" t="s">
        <v>1159</v>
      </c>
      <c r="B38" s="13"/>
      <c r="C38" s="13"/>
      <c r="D38" s="8"/>
      <c r="E38" s="8"/>
    </row>
    <row r="39" spans="1:5" x14ac:dyDescent="0.25">
      <c r="A39" s="13" t="s">
        <v>81</v>
      </c>
      <c r="B39" s="13"/>
      <c r="C39" s="13"/>
      <c r="D39" s="8"/>
      <c r="E39" s="8"/>
    </row>
    <row r="40" spans="1:5" x14ac:dyDescent="0.25">
      <c r="A40" s="13"/>
      <c r="B40" s="13"/>
      <c r="C40" s="13"/>
      <c r="D40" s="8"/>
      <c r="E40" s="8"/>
    </row>
    <row r="41" spans="1:5" x14ac:dyDescent="0.25">
      <c r="A41" s="14" t="s">
        <v>572</v>
      </c>
      <c r="B41" s="14"/>
      <c r="C41" s="14"/>
      <c r="D41" s="18"/>
      <c r="E41" s="18"/>
    </row>
    <row r="42" spans="1:5" x14ac:dyDescent="0.25">
      <c r="A42" s="13" t="s">
        <v>542</v>
      </c>
      <c r="B42" s="13"/>
      <c r="C42" s="13"/>
      <c r="D42" s="8"/>
      <c r="E42" s="8"/>
    </row>
    <row r="43" spans="1:5" x14ac:dyDescent="0.25">
      <c r="A43" s="13" t="s">
        <v>1909</v>
      </c>
      <c r="B43" s="13"/>
      <c r="C43" s="13"/>
      <c r="D43" s="8"/>
      <c r="E43" s="8"/>
    </row>
    <row r="44" spans="1:5" x14ac:dyDescent="0.25">
      <c r="A44" s="13" t="s">
        <v>1913</v>
      </c>
      <c r="B44" s="13"/>
      <c r="C44" s="13"/>
      <c r="D44" s="8"/>
      <c r="E44" s="8"/>
    </row>
    <row r="45" spans="1:5" x14ac:dyDescent="0.25">
      <c r="A45" s="13" t="s">
        <v>1616</v>
      </c>
      <c r="B45" s="13"/>
      <c r="C45" s="13"/>
      <c r="D45" s="8"/>
      <c r="E45" s="8"/>
    </row>
    <row r="46" spans="1:5" x14ac:dyDescent="0.25">
      <c r="A46" s="13" t="s">
        <v>571</v>
      </c>
      <c r="B46" s="13"/>
      <c r="C46" s="13"/>
      <c r="D46" s="8"/>
      <c r="E46" s="8"/>
    </row>
    <row r="47" spans="1:5" x14ac:dyDescent="0.25">
      <c r="A47" s="13" t="s">
        <v>573</v>
      </c>
      <c r="B47" s="13"/>
      <c r="C47" s="13"/>
      <c r="D47" s="8"/>
      <c r="E47" s="8"/>
    </row>
    <row r="48" spans="1:5" x14ac:dyDescent="0.25">
      <c r="A48" s="13"/>
      <c r="B48" s="13"/>
      <c r="C48" s="13"/>
      <c r="D48" s="8"/>
      <c r="E48" s="8"/>
    </row>
    <row r="49" spans="1:5" x14ac:dyDescent="0.25">
      <c r="A49" s="14" t="s">
        <v>2169</v>
      </c>
      <c r="B49" s="14"/>
      <c r="C49" s="14"/>
      <c r="D49" s="18"/>
      <c r="E49" s="18"/>
    </row>
    <row r="50" spans="1:5" ht="5.0999999999999996" customHeight="1" x14ac:dyDescent="0.25">
      <c r="A50" s="13"/>
      <c r="B50" s="13"/>
      <c r="C50" s="13"/>
      <c r="D50" s="8"/>
      <c r="E50" s="8"/>
    </row>
    <row r="51" spans="1:5" x14ac:dyDescent="0.25">
      <c r="A51" s="170" t="s">
        <v>2170</v>
      </c>
      <c r="B51" s="3582" t="s">
        <v>2171</v>
      </c>
      <c r="C51" s="3582"/>
      <c r="D51" s="171" t="s">
        <v>1892</v>
      </c>
      <c r="E51" s="171" t="s">
        <v>2172</v>
      </c>
    </row>
    <row r="52" spans="1:5" x14ac:dyDescent="0.25">
      <c r="A52" s="170">
        <v>1</v>
      </c>
      <c r="B52" s="3582" t="s">
        <v>2173</v>
      </c>
      <c r="C52" s="3582"/>
      <c r="D52" s="172">
        <v>2.2499999999999999E-2</v>
      </c>
      <c r="E52" s="173">
        <v>5.0000000000000001E-3</v>
      </c>
    </row>
    <row r="53" spans="1:5" x14ac:dyDescent="0.25">
      <c r="A53" s="170">
        <v>2</v>
      </c>
      <c r="B53" s="3582" t="s">
        <v>2174</v>
      </c>
      <c r="C53" s="3582"/>
      <c r="D53" s="172">
        <v>0.02</v>
      </c>
      <c r="E53" s="173">
        <v>5.0000000000000001E-3</v>
      </c>
    </row>
    <row r="54" spans="1:5" x14ac:dyDescent="0.25">
      <c r="A54" s="170">
        <v>3</v>
      </c>
      <c r="B54" s="3582" t="s">
        <v>2175</v>
      </c>
      <c r="C54" s="3582"/>
      <c r="D54" s="172">
        <v>1.7500000000000002E-2</v>
      </c>
      <c r="E54" s="173">
        <v>3.7499999999999999E-3</v>
      </c>
    </row>
    <row r="55" spans="1:5" x14ac:dyDescent="0.25">
      <c r="A55" s="170">
        <v>4</v>
      </c>
      <c r="B55" s="3582" t="s">
        <v>2176</v>
      </c>
      <c r="C55" s="3582"/>
      <c r="D55" s="172">
        <v>1.4999999999999999E-2</v>
      </c>
      <c r="E55" s="173">
        <v>3.0000000000000001E-3</v>
      </c>
    </row>
    <row r="56" spans="1:5" x14ac:dyDescent="0.25">
      <c r="A56" s="170">
        <v>5</v>
      </c>
      <c r="B56" s="3582" t="s">
        <v>2177</v>
      </c>
      <c r="C56" s="3582"/>
      <c r="D56" s="172">
        <v>1.2500000000000001E-2</v>
      </c>
      <c r="E56" s="173">
        <v>2.5000000000000001E-3</v>
      </c>
    </row>
    <row r="57" spans="1:5" x14ac:dyDescent="0.25">
      <c r="A57" s="170">
        <v>9</v>
      </c>
      <c r="B57" s="3582" t="s">
        <v>2178</v>
      </c>
      <c r="C57" s="3582"/>
      <c r="D57" s="172">
        <v>0.01</v>
      </c>
      <c r="E57" s="173">
        <v>2.5000000000000001E-3</v>
      </c>
    </row>
    <row r="58" spans="1:5" x14ac:dyDescent="0.25">
      <c r="A58" s="13"/>
      <c r="B58" s="13"/>
      <c r="C58" s="13"/>
      <c r="D58" s="8"/>
      <c r="E58" s="8"/>
    </row>
    <row r="59" spans="1:5" x14ac:dyDescent="0.25">
      <c r="A59" s="14" t="s">
        <v>1336</v>
      </c>
      <c r="B59" s="14"/>
      <c r="C59" s="14"/>
      <c r="D59" s="18"/>
      <c r="E59" s="18"/>
    </row>
    <row r="60" spans="1:5" ht="5.0999999999999996" customHeight="1" x14ac:dyDescent="0.25">
      <c r="A60" s="13"/>
      <c r="B60" s="13"/>
      <c r="C60" s="13"/>
      <c r="D60" s="8"/>
      <c r="E60" s="8"/>
    </row>
    <row r="61" spans="1:5" x14ac:dyDescent="0.25">
      <c r="A61" s="170" t="s">
        <v>2170</v>
      </c>
      <c r="B61" s="3582" t="s">
        <v>2171</v>
      </c>
      <c r="C61" s="3582"/>
      <c r="D61" s="171" t="s">
        <v>1892</v>
      </c>
      <c r="E61" s="171" t="s">
        <v>2172</v>
      </c>
    </row>
    <row r="62" spans="1:5" x14ac:dyDescent="0.25">
      <c r="A62" s="170">
        <v>1</v>
      </c>
      <c r="B62" s="3582" t="s">
        <v>2173</v>
      </c>
      <c r="C62" s="3582"/>
      <c r="D62" s="172">
        <v>3.7499999999999999E-2</v>
      </c>
      <c r="E62" s="173">
        <v>5.0000000000000001E-3</v>
      </c>
    </row>
    <row r="63" spans="1:5" x14ac:dyDescent="0.25">
      <c r="A63" s="170">
        <v>2</v>
      </c>
      <c r="B63" s="3582" t="s">
        <v>2174</v>
      </c>
      <c r="C63" s="3582"/>
      <c r="D63" s="172">
        <v>3.5000000000000003E-2</v>
      </c>
      <c r="E63" s="173">
        <v>5.0000000000000001E-3</v>
      </c>
    </row>
    <row r="64" spans="1:5" x14ac:dyDescent="0.25">
      <c r="A64" s="170">
        <v>3</v>
      </c>
      <c r="B64" s="3582" t="s">
        <v>2175</v>
      </c>
      <c r="C64" s="3582"/>
      <c r="D64" s="172">
        <v>3.2500000000000001E-2</v>
      </c>
      <c r="E64" s="173">
        <v>3.7499999999999999E-3</v>
      </c>
    </row>
    <row r="65" spans="1:5" x14ac:dyDescent="0.25">
      <c r="A65" s="170">
        <v>4</v>
      </c>
      <c r="B65" s="3582" t="s">
        <v>2176</v>
      </c>
      <c r="C65" s="3582"/>
      <c r="D65" s="172">
        <v>0.03</v>
      </c>
      <c r="E65" s="173">
        <v>3.0000000000000001E-3</v>
      </c>
    </row>
    <row r="66" spans="1:5" x14ac:dyDescent="0.25">
      <c r="A66" s="170">
        <v>5</v>
      </c>
      <c r="B66" s="3582" t="s">
        <v>2177</v>
      </c>
      <c r="C66" s="3582"/>
      <c r="D66" s="172">
        <v>2.75E-2</v>
      </c>
      <c r="E66" s="173">
        <v>2.5000000000000001E-3</v>
      </c>
    </row>
    <row r="67" spans="1:5" x14ac:dyDescent="0.25">
      <c r="A67" s="170">
        <v>6</v>
      </c>
      <c r="B67" s="3582" t="s">
        <v>1337</v>
      </c>
      <c r="C67" s="3582"/>
      <c r="D67" s="172">
        <v>2.5000000000000001E-2</v>
      </c>
      <c r="E67" s="173">
        <v>2.5000000000000001E-3</v>
      </c>
    </row>
    <row r="68" spans="1:5" x14ac:dyDescent="0.25">
      <c r="A68" s="170">
        <v>7</v>
      </c>
      <c r="B68" s="3582" t="s">
        <v>510</v>
      </c>
      <c r="C68" s="3582"/>
      <c r="D68" s="172">
        <v>2.2499999999999999E-2</v>
      </c>
      <c r="E68" s="173">
        <v>2.5000000000000001E-3</v>
      </c>
    </row>
    <row r="69" spans="1:5" x14ac:dyDescent="0.25">
      <c r="A69" s="170">
        <v>8</v>
      </c>
      <c r="B69" s="3582" t="s">
        <v>2223</v>
      </c>
      <c r="C69" s="3582"/>
      <c r="D69" s="172">
        <v>0.02</v>
      </c>
      <c r="E69" s="173">
        <v>2.5000000000000001E-3</v>
      </c>
    </row>
    <row r="70" spans="1:5" x14ac:dyDescent="0.25">
      <c r="A70" s="170">
        <v>9</v>
      </c>
      <c r="B70" s="3582" t="s">
        <v>2224</v>
      </c>
      <c r="C70" s="3582"/>
      <c r="D70" s="172">
        <v>1.7500000000000002E-2</v>
      </c>
      <c r="E70" s="173">
        <v>2.5000000000000001E-3</v>
      </c>
    </row>
    <row r="71" spans="1:5" x14ac:dyDescent="0.25">
      <c r="A71" s="13"/>
      <c r="B71" s="13"/>
      <c r="C71" s="13"/>
      <c r="D71" s="8"/>
      <c r="E71" s="8"/>
    </row>
    <row r="72" spans="1:5" x14ac:dyDescent="0.25">
      <c r="A72" s="14" t="s">
        <v>1513</v>
      </c>
      <c r="B72" s="14"/>
      <c r="C72" s="14"/>
      <c r="D72" s="18"/>
      <c r="E72" s="18"/>
    </row>
    <row r="73" spans="1:5" ht="5.0999999999999996" customHeight="1" x14ac:dyDescent="0.25">
      <c r="A73" s="13"/>
      <c r="B73" s="13"/>
      <c r="C73" s="13"/>
      <c r="D73" s="8"/>
      <c r="E73" s="8"/>
    </row>
    <row r="74" spans="1:5" x14ac:dyDescent="0.25">
      <c r="A74" s="170" t="s">
        <v>2170</v>
      </c>
      <c r="B74" s="3582" t="s">
        <v>2171</v>
      </c>
      <c r="C74" s="3582"/>
      <c r="D74" s="171" t="s">
        <v>1892</v>
      </c>
      <c r="E74" s="171"/>
    </row>
    <row r="75" spans="1:5" x14ac:dyDescent="0.25">
      <c r="A75" s="170">
        <v>1</v>
      </c>
      <c r="B75" s="3582" t="s">
        <v>1514</v>
      </c>
      <c r="C75" s="3582"/>
      <c r="D75" s="172">
        <v>0.02</v>
      </c>
      <c r="E75" s="173"/>
    </row>
    <row r="76" spans="1:5" x14ac:dyDescent="0.25">
      <c r="A76" s="170">
        <v>2</v>
      </c>
      <c r="B76" s="3582" t="s">
        <v>1515</v>
      </c>
      <c r="C76" s="3582"/>
      <c r="D76" s="172">
        <v>1.7500000000000002E-2</v>
      </c>
      <c r="E76" s="173"/>
    </row>
  </sheetData>
  <mergeCells count="20">
    <mergeCell ref="B64:C64"/>
    <mergeCell ref="B74:C74"/>
    <mergeCell ref="B75:C75"/>
    <mergeCell ref="B65:C65"/>
    <mergeCell ref="B66:C66"/>
    <mergeCell ref="B51:C51"/>
    <mergeCell ref="B61:C61"/>
    <mergeCell ref="B62:C62"/>
    <mergeCell ref="B63:C63"/>
    <mergeCell ref="B52:C52"/>
    <mergeCell ref="B53:C53"/>
    <mergeCell ref="B54:C54"/>
    <mergeCell ref="B55:C55"/>
    <mergeCell ref="B56:C56"/>
    <mergeCell ref="B57:C57"/>
    <mergeCell ref="B70:C70"/>
    <mergeCell ref="B67:C67"/>
    <mergeCell ref="B68:C68"/>
    <mergeCell ref="B69:C69"/>
    <mergeCell ref="B76:C76"/>
  </mergeCells>
  <phoneticPr fontId="13" type="noConversion"/>
  <pageMargins left="0.75" right="0.75" top="1" bottom="1" header="0.5" footer="0.5"/>
  <pageSetup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31"/>
  <sheetViews>
    <sheetView zoomScale="75" workbookViewId="0">
      <pane xSplit="3" ySplit="2" topLeftCell="D3" activePane="bottomRight" state="frozen"/>
      <selection pane="topRight" activeCell="C1" sqref="C1"/>
      <selection pane="bottomLeft" activeCell="A2" sqref="A2"/>
      <selection pane="bottomRight" activeCell="D3" sqref="D3"/>
    </sheetView>
  </sheetViews>
  <sheetFormatPr defaultRowHeight="15" customHeight="1" x14ac:dyDescent="0.25"/>
  <cols>
    <col min="1" max="1" width="29" bestFit="1" customWidth="1"/>
    <col min="2" max="2" width="12.625" customWidth="1"/>
    <col min="3" max="3" width="49.125" bestFit="1" customWidth="1"/>
    <col min="4" max="4" width="15.75" bestFit="1" customWidth="1"/>
    <col min="5" max="5" width="11.625" customWidth="1"/>
    <col min="6" max="6" width="14.625" bestFit="1" customWidth="1"/>
    <col min="7" max="7" width="15.125" customWidth="1"/>
    <col min="8" max="8" width="47" bestFit="1" customWidth="1"/>
  </cols>
  <sheetData>
    <row r="1" spans="1:8" ht="15" customHeight="1" x14ac:dyDescent="0.25">
      <c r="A1" s="321"/>
      <c r="B1" s="785" t="s">
        <v>2201</v>
      </c>
      <c r="C1" s="283"/>
      <c r="D1" s="786" t="s">
        <v>1210</v>
      </c>
      <c r="E1" s="786" t="s">
        <v>1210</v>
      </c>
      <c r="F1" s="787" t="s">
        <v>1210</v>
      </c>
      <c r="G1" s="788"/>
      <c r="H1" s="284"/>
    </row>
    <row r="2" spans="1:8" ht="15" customHeight="1" x14ac:dyDescent="0.25">
      <c r="A2" s="789" t="s">
        <v>688</v>
      </c>
      <c r="B2" s="790" t="s">
        <v>441</v>
      </c>
      <c r="C2" s="790" t="s">
        <v>724</v>
      </c>
      <c r="D2" s="791" t="s">
        <v>1096</v>
      </c>
      <c r="E2" s="791" t="s">
        <v>1097</v>
      </c>
      <c r="F2" s="792" t="s">
        <v>9</v>
      </c>
      <c r="G2" s="793" t="s">
        <v>692</v>
      </c>
      <c r="H2" s="794" t="s">
        <v>693</v>
      </c>
    </row>
    <row r="3" spans="1:8" ht="15" customHeight="1" x14ac:dyDescent="0.25">
      <c r="A3" s="795" t="s">
        <v>1788</v>
      </c>
      <c r="B3" s="796">
        <f>PENN!AF265/PENN!AF314</f>
        <v>0.19637326029589391</v>
      </c>
      <c r="C3" s="797" t="s">
        <v>689</v>
      </c>
      <c r="D3" s="798" t="s">
        <v>690</v>
      </c>
      <c r="E3" s="798" t="s">
        <v>1180</v>
      </c>
      <c r="F3" s="799" t="s">
        <v>62</v>
      </c>
      <c r="G3" s="800" t="s">
        <v>1010</v>
      </c>
      <c r="H3" s="801" t="s">
        <v>1647</v>
      </c>
    </row>
    <row r="4" spans="1:8" ht="15" customHeight="1" x14ac:dyDescent="0.25">
      <c r="A4" s="802"/>
      <c r="B4" s="803"/>
      <c r="C4" s="804" t="s">
        <v>1648</v>
      </c>
      <c r="D4" s="805" t="s">
        <v>691</v>
      </c>
      <c r="E4" s="805" t="s">
        <v>1181</v>
      </c>
      <c r="F4" s="806" t="s">
        <v>931</v>
      </c>
      <c r="G4" s="807" t="s">
        <v>631</v>
      </c>
      <c r="H4" s="808" t="s">
        <v>659</v>
      </c>
    </row>
    <row r="5" spans="1:8" ht="15" customHeight="1" x14ac:dyDescent="0.25">
      <c r="A5" s="809"/>
      <c r="B5" s="810"/>
      <c r="C5" s="811" t="s">
        <v>1649</v>
      </c>
      <c r="D5" s="812" t="s">
        <v>691</v>
      </c>
      <c r="E5" s="812" t="s">
        <v>1180</v>
      </c>
      <c r="F5" s="813" t="s">
        <v>931</v>
      </c>
      <c r="G5" s="814" t="s">
        <v>1650</v>
      </c>
      <c r="H5" s="815" t="s">
        <v>1828</v>
      </c>
    </row>
    <row r="6" spans="1:8" ht="15" customHeight="1" x14ac:dyDescent="0.25">
      <c r="A6" s="816" t="s">
        <v>1092</v>
      </c>
      <c r="B6" s="817">
        <f>PENN!AF296/PENN!AF314</f>
        <v>0.19768578001061707</v>
      </c>
      <c r="C6" s="283" t="s">
        <v>2059</v>
      </c>
      <c r="D6" s="761" t="s">
        <v>690</v>
      </c>
      <c r="E6" s="761" t="s">
        <v>1180</v>
      </c>
      <c r="F6" s="818" t="s">
        <v>63</v>
      </c>
      <c r="G6" s="788" t="s">
        <v>1320</v>
      </c>
      <c r="H6" s="284" t="s">
        <v>2060</v>
      </c>
    </row>
    <row r="7" spans="1:8" ht="15" customHeight="1" x14ac:dyDescent="0.25">
      <c r="A7" s="393"/>
      <c r="B7" s="819"/>
      <c r="C7" s="294" t="s">
        <v>655</v>
      </c>
      <c r="D7" s="298" t="s">
        <v>691</v>
      </c>
      <c r="E7" s="298" t="s">
        <v>1181</v>
      </c>
      <c r="F7" s="820" t="s">
        <v>62</v>
      </c>
      <c r="G7" s="821" t="s">
        <v>2061</v>
      </c>
      <c r="H7" s="295" t="s">
        <v>880</v>
      </c>
    </row>
    <row r="8" spans="1:8" ht="15" customHeight="1" x14ac:dyDescent="0.25">
      <c r="A8" s="822" t="s">
        <v>1549</v>
      </c>
      <c r="B8" s="796">
        <f>PENN!AF267/PENN!AF314</f>
        <v>7.820955692842689E-2</v>
      </c>
      <c r="C8" s="797" t="s">
        <v>689</v>
      </c>
      <c r="D8" s="798" t="s">
        <v>690</v>
      </c>
      <c r="E8" s="798" t="s">
        <v>1180</v>
      </c>
      <c r="F8" s="799" t="s">
        <v>62</v>
      </c>
      <c r="G8" s="800" t="s">
        <v>1010</v>
      </c>
      <c r="H8" s="801" t="s">
        <v>1646</v>
      </c>
    </row>
    <row r="9" spans="1:8" ht="15" customHeight="1" x14ac:dyDescent="0.25">
      <c r="A9" s="823"/>
      <c r="B9" s="824"/>
      <c r="C9" s="804" t="s">
        <v>1689</v>
      </c>
      <c r="D9" s="805" t="s">
        <v>691</v>
      </c>
      <c r="E9" s="805" t="s">
        <v>1182</v>
      </c>
      <c r="F9" s="806" t="s">
        <v>62</v>
      </c>
      <c r="G9" s="825" t="s">
        <v>1010</v>
      </c>
      <c r="H9" s="808" t="s">
        <v>1690</v>
      </c>
    </row>
    <row r="10" spans="1:8" ht="15" customHeight="1" x14ac:dyDescent="0.25">
      <c r="A10" s="826"/>
      <c r="B10" s="827"/>
      <c r="C10" s="811" t="s">
        <v>805</v>
      </c>
      <c r="D10" s="812" t="s">
        <v>691</v>
      </c>
      <c r="E10" s="812" t="s">
        <v>1182</v>
      </c>
      <c r="F10" s="813" t="s">
        <v>881</v>
      </c>
      <c r="G10" s="828" t="s">
        <v>458</v>
      </c>
      <c r="H10" s="815" t="s">
        <v>694</v>
      </c>
    </row>
    <row r="11" spans="1:8" ht="15" customHeight="1" x14ac:dyDescent="0.25">
      <c r="A11" s="816" t="s">
        <v>1094</v>
      </c>
      <c r="B11" s="817">
        <f>PENN!AF293/PENN!AF314</f>
        <v>8.7544911101023998E-2</v>
      </c>
      <c r="C11" s="283" t="s">
        <v>1179</v>
      </c>
      <c r="D11" s="761" t="s">
        <v>691</v>
      </c>
      <c r="E11" s="761" t="s">
        <v>1182</v>
      </c>
      <c r="F11" s="818" t="s">
        <v>62</v>
      </c>
      <c r="G11" s="788" t="s">
        <v>1321</v>
      </c>
      <c r="H11" s="829" t="s">
        <v>514</v>
      </c>
    </row>
    <row r="12" spans="1:8" ht="15" customHeight="1" x14ac:dyDescent="0.25">
      <c r="A12" s="393"/>
      <c r="B12" s="819"/>
      <c r="C12" s="294" t="s">
        <v>1183</v>
      </c>
      <c r="D12" s="298" t="s">
        <v>691</v>
      </c>
      <c r="E12" s="298" t="s">
        <v>1182</v>
      </c>
      <c r="F12" s="820" t="s">
        <v>931</v>
      </c>
      <c r="G12" s="830" t="s">
        <v>634</v>
      </c>
      <c r="H12" s="295" t="s">
        <v>612</v>
      </c>
    </row>
    <row r="13" spans="1:8" ht="15" customHeight="1" x14ac:dyDescent="0.25">
      <c r="A13" s="795" t="s">
        <v>1786</v>
      </c>
      <c r="B13" s="796">
        <f>PENN!AF294/PENN!AF314</f>
        <v>3.649358742566107E-2</v>
      </c>
      <c r="C13" s="797" t="s">
        <v>1830</v>
      </c>
      <c r="D13" s="798" t="s">
        <v>690</v>
      </c>
      <c r="E13" s="798" t="s">
        <v>1182</v>
      </c>
      <c r="F13" s="799" t="s">
        <v>62</v>
      </c>
      <c r="G13" s="800" t="s">
        <v>1321</v>
      </c>
      <c r="H13" s="801" t="s">
        <v>1245</v>
      </c>
    </row>
    <row r="14" spans="1:8" ht="15" customHeight="1" x14ac:dyDescent="0.25">
      <c r="A14" s="802"/>
      <c r="B14" s="803"/>
      <c r="C14" s="804" t="s">
        <v>755</v>
      </c>
      <c r="D14" s="805" t="s">
        <v>513</v>
      </c>
      <c r="E14" s="805" t="s">
        <v>1182</v>
      </c>
      <c r="F14" s="806" t="s">
        <v>62</v>
      </c>
      <c r="G14" s="825" t="s">
        <v>1011</v>
      </c>
      <c r="H14" s="808" t="s">
        <v>514</v>
      </c>
    </row>
    <row r="15" spans="1:8" ht="15" customHeight="1" x14ac:dyDescent="0.25">
      <c r="A15" s="809"/>
      <c r="B15" s="810"/>
      <c r="C15" s="811" t="s">
        <v>1829</v>
      </c>
      <c r="D15" s="812" t="s">
        <v>691</v>
      </c>
      <c r="E15" s="812" t="s">
        <v>1182</v>
      </c>
      <c r="F15" s="813" t="s">
        <v>881</v>
      </c>
      <c r="G15" s="828" t="s">
        <v>634</v>
      </c>
      <c r="H15" s="815" t="s">
        <v>612</v>
      </c>
    </row>
    <row r="16" spans="1:8" ht="15" customHeight="1" x14ac:dyDescent="0.25">
      <c r="A16" s="831" t="s">
        <v>1093</v>
      </c>
      <c r="B16" s="817">
        <f>PENN!AF297/PENN!AF314</f>
        <v>0.10156409881596257</v>
      </c>
      <c r="C16" s="283" t="s">
        <v>597</v>
      </c>
      <c r="D16" s="761" t="s">
        <v>691</v>
      </c>
      <c r="E16" s="761" t="s">
        <v>1180</v>
      </c>
      <c r="F16" s="818" t="s">
        <v>62</v>
      </c>
      <c r="G16" s="788" t="s">
        <v>2061</v>
      </c>
      <c r="H16" s="829" t="s">
        <v>1247</v>
      </c>
    </row>
    <row r="17" spans="1:8" ht="15" customHeight="1" x14ac:dyDescent="0.25">
      <c r="A17" s="832"/>
      <c r="B17" s="698"/>
      <c r="C17" s="294" t="s">
        <v>1246</v>
      </c>
      <c r="D17" s="298" t="s">
        <v>691</v>
      </c>
      <c r="E17" s="298" t="s">
        <v>1180</v>
      </c>
      <c r="F17" s="820" t="s">
        <v>881</v>
      </c>
      <c r="G17" s="821" t="s">
        <v>1650</v>
      </c>
      <c r="H17" s="833" t="s">
        <v>1828</v>
      </c>
    </row>
    <row r="18" spans="1:8" ht="15" customHeight="1" x14ac:dyDescent="0.25">
      <c r="A18" s="834" t="s">
        <v>1548</v>
      </c>
      <c r="B18" s="835">
        <f>PENN!AF301/PENN!AF314</f>
        <v>7.3802691203963711E-2</v>
      </c>
      <c r="C18" s="409" t="s">
        <v>61</v>
      </c>
      <c r="D18" s="836" t="s">
        <v>691</v>
      </c>
      <c r="E18" s="836" t="s">
        <v>1181</v>
      </c>
      <c r="F18" s="837" t="s">
        <v>931</v>
      </c>
      <c r="G18" s="838" t="s">
        <v>634</v>
      </c>
      <c r="H18" s="839" t="s">
        <v>1248</v>
      </c>
    </row>
    <row r="19" spans="1:8" ht="15" customHeight="1" x14ac:dyDescent="0.25">
      <c r="A19" s="816" t="s">
        <v>1020</v>
      </c>
      <c r="B19" s="817">
        <f>PENN!AF295/PENN!AF314</f>
        <v>2.8869278883511949E-2</v>
      </c>
      <c r="C19" s="283" t="s">
        <v>1009</v>
      </c>
      <c r="D19" s="761" t="s">
        <v>691</v>
      </c>
      <c r="E19" s="761" t="s">
        <v>1182</v>
      </c>
      <c r="F19" s="818" t="s">
        <v>63</v>
      </c>
      <c r="G19" s="788" t="s">
        <v>1322</v>
      </c>
      <c r="H19" s="284" t="s">
        <v>629</v>
      </c>
    </row>
    <row r="20" spans="1:8" ht="15" customHeight="1" x14ac:dyDescent="0.25">
      <c r="A20" s="393"/>
      <c r="B20" s="819"/>
      <c r="C20" s="294" t="s">
        <v>755</v>
      </c>
      <c r="D20" s="298" t="s">
        <v>691</v>
      </c>
      <c r="E20" s="298" t="s">
        <v>1182</v>
      </c>
      <c r="F20" s="820" t="s">
        <v>62</v>
      </c>
      <c r="G20" s="821" t="s">
        <v>1321</v>
      </c>
      <c r="H20" s="840" t="s">
        <v>514</v>
      </c>
    </row>
    <row r="21" spans="1:8" ht="15" customHeight="1" x14ac:dyDescent="0.25">
      <c r="A21" s="795" t="s">
        <v>616</v>
      </c>
      <c r="B21" s="796">
        <f>PENN!AF284/PENN!AF314</f>
        <v>3.2720670262119264E-2</v>
      </c>
      <c r="C21" s="797" t="s">
        <v>1155</v>
      </c>
      <c r="D21" s="798" t="s">
        <v>691</v>
      </c>
      <c r="E21" s="798" t="s">
        <v>1182</v>
      </c>
      <c r="F21" s="799" t="s">
        <v>881</v>
      </c>
      <c r="G21" s="841" t="s">
        <v>458</v>
      </c>
      <c r="H21" s="801" t="s">
        <v>457</v>
      </c>
    </row>
    <row r="22" spans="1:8" ht="15" customHeight="1" x14ac:dyDescent="0.25">
      <c r="A22" s="842"/>
      <c r="B22" s="803"/>
      <c r="C22" s="804" t="s">
        <v>1267</v>
      </c>
      <c r="D22" s="805" t="s">
        <v>691</v>
      </c>
      <c r="E22" s="805" t="s">
        <v>1182</v>
      </c>
      <c r="F22" s="806" t="s">
        <v>881</v>
      </c>
      <c r="G22" s="825" t="s">
        <v>458</v>
      </c>
      <c r="H22" s="808" t="s">
        <v>635</v>
      </c>
    </row>
    <row r="23" spans="1:8" ht="15" customHeight="1" x14ac:dyDescent="0.25">
      <c r="A23" s="831" t="s">
        <v>615</v>
      </c>
      <c r="B23" s="817">
        <f>PENN!AF286/PENN!AF314</f>
        <v>3.0146408265950653E-2</v>
      </c>
      <c r="C23" s="283" t="s">
        <v>630</v>
      </c>
      <c r="D23" s="761" t="s">
        <v>691</v>
      </c>
      <c r="E23" s="761" t="s">
        <v>1182</v>
      </c>
      <c r="F23" s="818" t="s">
        <v>881</v>
      </c>
      <c r="G23" s="843" t="s">
        <v>458</v>
      </c>
      <c r="H23" s="284" t="s">
        <v>457</v>
      </c>
    </row>
    <row r="24" spans="1:8" ht="15" customHeight="1" x14ac:dyDescent="0.25">
      <c r="A24" s="832"/>
      <c r="B24" s="698"/>
      <c r="C24" s="294" t="s">
        <v>633</v>
      </c>
      <c r="D24" s="298" t="s">
        <v>691</v>
      </c>
      <c r="E24" s="298" t="s">
        <v>1182</v>
      </c>
      <c r="F24" s="820" t="s">
        <v>881</v>
      </c>
      <c r="G24" s="821" t="s">
        <v>634</v>
      </c>
      <c r="H24" s="295" t="s">
        <v>1828</v>
      </c>
    </row>
    <row r="25" spans="1:8" ht="15" customHeight="1" x14ac:dyDescent="0.25">
      <c r="A25" s="844" t="s">
        <v>1019</v>
      </c>
      <c r="B25" s="835">
        <f>PENN!AF298/PENN!AF314</f>
        <v>2.9918679171250739E-2</v>
      </c>
      <c r="C25" s="409" t="s">
        <v>459</v>
      </c>
      <c r="D25" s="836" t="s">
        <v>691</v>
      </c>
      <c r="E25" s="836" t="s">
        <v>1650</v>
      </c>
      <c r="F25" s="837" t="s">
        <v>931</v>
      </c>
      <c r="G25" s="838" t="s">
        <v>634</v>
      </c>
      <c r="H25" s="839" t="s">
        <v>2239</v>
      </c>
    </row>
    <row r="26" spans="1:8" ht="15" customHeight="1" x14ac:dyDescent="0.25">
      <c r="A26" s="816" t="s">
        <v>1453</v>
      </c>
      <c r="B26" s="817">
        <f>PENN!AF287/PENN!AF314</f>
        <v>3.05064664291924E-2</v>
      </c>
      <c r="C26" s="283" t="s">
        <v>630</v>
      </c>
      <c r="D26" s="761" t="s">
        <v>691</v>
      </c>
      <c r="E26" s="761" t="s">
        <v>1182</v>
      </c>
      <c r="F26" s="818" t="s">
        <v>881</v>
      </c>
      <c r="G26" s="843" t="s">
        <v>458</v>
      </c>
      <c r="H26" s="284" t="s">
        <v>457</v>
      </c>
    </row>
    <row r="27" spans="1:8" ht="15" customHeight="1" x14ac:dyDescent="0.25">
      <c r="A27" s="845"/>
      <c r="B27" s="819"/>
      <c r="C27" s="294" t="s">
        <v>633</v>
      </c>
      <c r="D27" s="298" t="s">
        <v>691</v>
      </c>
      <c r="E27" s="298" t="s">
        <v>1182</v>
      </c>
      <c r="F27" s="820" t="s">
        <v>881</v>
      </c>
      <c r="G27" s="821" t="s">
        <v>634</v>
      </c>
      <c r="H27" s="295" t="s">
        <v>1828</v>
      </c>
    </row>
    <row r="28" spans="1:8" ht="15" customHeight="1" x14ac:dyDescent="0.25">
      <c r="A28" s="834" t="s">
        <v>1090</v>
      </c>
      <c r="B28" s="835">
        <f>PENN!AF266/PENN!AF314</f>
        <v>1.8167550142715358E-2</v>
      </c>
      <c r="C28" s="409" t="s">
        <v>656</v>
      </c>
      <c r="D28" s="836" t="s">
        <v>691</v>
      </c>
      <c r="E28" s="836" t="s">
        <v>1180</v>
      </c>
      <c r="F28" s="837" t="s">
        <v>881</v>
      </c>
      <c r="G28" s="838" t="s">
        <v>458</v>
      </c>
      <c r="H28" s="839" t="s">
        <v>632</v>
      </c>
    </row>
    <row r="29" spans="1:8" ht="15" customHeight="1" x14ac:dyDescent="0.25">
      <c r="A29" s="831" t="s">
        <v>1089</v>
      </c>
      <c r="B29" s="817">
        <f>PENN!AF310/PENN!AF314</f>
        <v>3.5390332284445976E-5</v>
      </c>
      <c r="C29" s="283" t="s">
        <v>654</v>
      </c>
      <c r="D29" s="761"/>
      <c r="E29" s="761"/>
      <c r="F29" s="818"/>
      <c r="G29" s="788"/>
      <c r="H29" s="284"/>
    </row>
    <row r="30" spans="1:8" ht="15" customHeight="1" x14ac:dyDescent="0.25">
      <c r="A30" s="834" t="s">
        <v>1479</v>
      </c>
      <c r="B30" s="835">
        <f>PENN!AF280/PENN!AF314</f>
        <v>4.0494233683902779E-2</v>
      </c>
      <c r="C30" s="409" t="s">
        <v>804</v>
      </c>
      <c r="D30" s="836" t="s">
        <v>691</v>
      </c>
      <c r="E30" s="836" t="s">
        <v>1181</v>
      </c>
      <c r="F30" s="837" t="s">
        <v>881</v>
      </c>
      <c r="G30" s="838" t="s">
        <v>458</v>
      </c>
      <c r="H30" s="839" t="s">
        <v>1828</v>
      </c>
    </row>
    <row r="31" spans="1:8" ht="15" customHeight="1" x14ac:dyDescent="0.25">
      <c r="A31" s="846" t="s">
        <v>442</v>
      </c>
      <c r="B31" s="847">
        <f>PENN!AF270/PENN!AF314</f>
        <v>2.0611021780441455E-2</v>
      </c>
      <c r="C31" s="385" t="s">
        <v>654</v>
      </c>
      <c r="D31" s="848"/>
      <c r="E31" s="848"/>
      <c r="F31" s="849"/>
      <c r="G31" s="850"/>
      <c r="H31" s="851"/>
    </row>
  </sheetData>
  <phoneticPr fontId="13" type="noConversion"/>
  <pageMargins left="0.4" right="0.4" top="0.75" bottom="0.75" header="0.5" footer="0.5"/>
  <pageSetup scale="62"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B49"/>
  <sheetViews>
    <sheetView zoomScale="85" workbookViewId="0"/>
  </sheetViews>
  <sheetFormatPr defaultColWidth="10.625" defaultRowHeight="15.75" x14ac:dyDescent="0.25"/>
  <cols>
    <col min="1" max="1" width="18.625" customWidth="1"/>
    <col min="2" max="4" width="10.625" customWidth="1"/>
    <col min="5" max="5" width="3.625" customWidth="1"/>
    <col min="6" max="6" width="20.125" customWidth="1"/>
    <col min="7" max="9" width="10.625" customWidth="1"/>
    <col min="10" max="10" width="3.625" customWidth="1"/>
    <col min="11" max="16" width="11.625" customWidth="1"/>
  </cols>
  <sheetData>
    <row r="1" spans="1:28" x14ac:dyDescent="0.25">
      <c r="A1" s="10" t="s">
        <v>1633</v>
      </c>
      <c r="B1" s="11"/>
      <c r="C1" s="11"/>
      <c r="D1" s="11"/>
      <c r="E1" s="11"/>
      <c r="F1" s="11"/>
      <c r="G1" s="11"/>
      <c r="H1" s="11"/>
      <c r="I1" s="11"/>
      <c r="J1" s="11"/>
      <c r="K1" s="11"/>
      <c r="L1" s="11"/>
      <c r="M1" s="11"/>
      <c r="N1" s="11"/>
      <c r="O1" s="11"/>
      <c r="P1" s="11"/>
      <c r="Q1" s="11"/>
      <c r="R1" s="11"/>
      <c r="S1" s="11"/>
      <c r="T1" s="11"/>
      <c r="U1" s="11"/>
      <c r="V1" s="11"/>
      <c r="W1" s="11"/>
      <c r="X1" s="11"/>
      <c r="Y1" s="11"/>
      <c r="Z1" s="11"/>
      <c r="AA1" s="11"/>
      <c r="AB1" s="11"/>
    </row>
    <row r="2" spans="1:28" x14ac:dyDescent="0.25">
      <c r="A2" s="10" t="s">
        <v>884</v>
      </c>
      <c r="B2" s="11"/>
      <c r="C2" s="11"/>
      <c r="D2" s="11"/>
      <c r="E2" s="11"/>
      <c r="F2" s="11"/>
      <c r="G2" s="11"/>
      <c r="H2" s="11"/>
      <c r="I2" s="11"/>
      <c r="J2" s="11"/>
      <c r="K2" s="11"/>
      <c r="L2" s="11"/>
      <c r="M2" s="11"/>
      <c r="N2" s="11"/>
      <c r="O2" s="11"/>
      <c r="P2" s="11"/>
      <c r="Q2" s="11"/>
      <c r="R2" s="11"/>
      <c r="S2" s="11"/>
      <c r="T2" s="11"/>
      <c r="U2" s="11"/>
      <c r="V2" s="11"/>
      <c r="W2" s="11"/>
      <c r="X2" s="11"/>
      <c r="Y2" s="11"/>
      <c r="Z2" s="11"/>
      <c r="AA2" s="11"/>
      <c r="AB2" s="11"/>
    </row>
    <row r="3" spans="1:28" x14ac:dyDescent="0.25">
      <c r="A3" s="11" t="s">
        <v>1508</v>
      </c>
      <c r="B3" s="11"/>
      <c r="C3" s="11"/>
      <c r="D3" s="11"/>
      <c r="E3" s="11"/>
      <c r="F3" s="11"/>
      <c r="G3" s="11"/>
      <c r="H3" s="11"/>
      <c r="I3" s="11"/>
      <c r="J3" s="11"/>
      <c r="K3" s="11"/>
      <c r="L3" s="11"/>
      <c r="M3" s="11"/>
      <c r="N3" s="11"/>
      <c r="O3" s="11"/>
      <c r="P3" s="11"/>
      <c r="Q3" s="11"/>
      <c r="R3" s="11"/>
      <c r="S3" s="11"/>
      <c r="T3" s="11"/>
      <c r="U3" s="11"/>
      <c r="V3" s="11"/>
      <c r="W3" s="11"/>
      <c r="X3" s="11"/>
      <c r="Y3" s="11"/>
      <c r="Z3" s="11"/>
      <c r="AA3" s="11"/>
      <c r="AB3" s="11"/>
    </row>
    <row r="4" spans="1:28" x14ac:dyDescent="0.25">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row>
    <row r="5" spans="1:28" x14ac:dyDescent="0.25">
      <c r="A5" s="1360" t="s">
        <v>810</v>
      </c>
      <c r="B5" s="1361" t="s">
        <v>2055</v>
      </c>
      <c r="C5" s="1361" t="s">
        <v>1635</v>
      </c>
      <c r="D5" s="1362" t="s">
        <v>841</v>
      </c>
      <c r="E5" s="11"/>
      <c r="F5" s="1360" t="s">
        <v>1730</v>
      </c>
      <c r="G5" s="1363" t="s">
        <v>2055</v>
      </c>
      <c r="H5" s="1361" t="s">
        <v>1635</v>
      </c>
      <c r="I5" s="1362" t="s">
        <v>841</v>
      </c>
      <c r="J5" s="11"/>
      <c r="K5" s="1360" t="s">
        <v>1270</v>
      </c>
      <c r="L5" s="1364" t="s">
        <v>2221</v>
      </c>
      <c r="M5" s="1365" t="s">
        <v>1586</v>
      </c>
      <c r="N5" s="1366" t="s">
        <v>107</v>
      </c>
      <c r="O5" s="1366" t="s">
        <v>108</v>
      </c>
      <c r="P5" s="1366" t="s">
        <v>109</v>
      </c>
      <c r="Q5" s="1366" t="s">
        <v>106</v>
      </c>
      <c r="R5" s="1365" t="s">
        <v>1587</v>
      </c>
      <c r="S5" s="1367" t="s">
        <v>665</v>
      </c>
      <c r="T5" s="1367" t="s">
        <v>2092</v>
      </c>
      <c r="U5" s="1367" t="s">
        <v>2093</v>
      </c>
      <c r="V5" s="1367" t="s">
        <v>2014</v>
      </c>
      <c r="W5" s="1368" t="s">
        <v>1544</v>
      </c>
      <c r="X5" s="1368" t="s">
        <v>1136</v>
      </c>
      <c r="Y5" s="1368" t="s">
        <v>1137</v>
      </c>
      <c r="Z5" s="1368" t="s">
        <v>1138</v>
      </c>
      <c r="AA5" s="1368" t="s">
        <v>1139</v>
      </c>
      <c r="AB5" s="1369" t="s">
        <v>841</v>
      </c>
    </row>
    <row r="6" spans="1:28" x14ac:dyDescent="0.25">
      <c r="A6" s="285" t="s">
        <v>1171</v>
      </c>
      <c r="B6" s="903">
        <v>0.9</v>
      </c>
      <c r="C6" s="903">
        <v>0.9</v>
      </c>
      <c r="D6" s="371">
        <f>(C6+B6)/2</f>
        <v>0.9</v>
      </c>
      <c r="E6" s="11"/>
      <c r="F6" s="321" t="s">
        <v>1729</v>
      </c>
      <c r="G6" s="1370">
        <f>571.6</f>
        <v>571.6</v>
      </c>
      <c r="H6" s="1370">
        <v>249.9</v>
      </c>
      <c r="I6" s="1371">
        <f>H6+G6</f>
        <v>821.5</v>
      </c>
      <c r="J6" s="11"/>
      <c r="K6" s="285" t="s">
        <v>2055</v>
      </c>
      <c r="L6" s="311">
        <v>0</v>
      </c>
      <c r="M6" s="518">
        <f>SUM(L6)</f>
        <v>0</v>
      </c>
      <c r="N6" s="311">
        <v>5</v>
      </c>
      <c r="O6" s="311">
        <v>0</v>
      </c>
      <c r="P6" s="311">
        <f>($B$17-$N$6)/11</f>
        <v>38.454545454545453</v>
      </c>
      <c r="Q6" s="311">
        <f>($B$17-$N$6)/11</f>
        <v>38.454545454545453</v>
      </c>
      <c r="R6" s="518">
        <f>SUM(N6:Q6)</f>
        <v>81.909090909090907</v>
      </c>
      <c r="S6" s="311">
        <f>($B$17-$N$6)/11</f>
        <v>38.454545454545453</v>
      </c>
      <c r="T6" s="311">
        <f>($B$17-$N$6)/11</f>
        <v>38.454545454545453</v>
      </c>
      <c r="U6" s="311">
        <f>($B$17-$N$6)/11</f>
        <v>38.454545454545453</v>
      </c>
      <c r="V6" s="311">
        <f>($B$17-$N$6)/11</f>
        <v>38.454545454545453</v>
      </c>
      <c r="W6" s="518">
        <f>SUM(S6:V6)</f>
        <v>153.81818181818181</v>
      </c>
      <c r="X6" s="311">
        <f>(($B$17-$N$6)/11)*4</f>
        <v>153.81818181818181</v>
      </c>
      <c r="Y6" s="311">
        <f>($B$17-$N$6)/11</f>
        <v>38.454545454545453</v>
      </c>
      <c r="Z6" s="518">
        <v>0</v>
      </c>
      <c r="AA6" s="518">
        <v>0</v>
      </c>
      <c r="AB6" s="858">
        <f>Y6+X6+W6+R6+M6</f>
        <v>428</v>
      </c>
    </row>
    <row r="7" spans="1:28" x14ac:dyDescent="0.25">
      <c r="A7" s="285" t="s">
        <v>811</v>
      </c>
      <c r="B7" s="1372">
        <v>180000</v>
      </c>
      <c r="C7" s="1372">
        <v>125000</v>
      </c>
      <c r="D7" s="1373">
        <f>C7+B7</f>
        <v>305000</v>
      </c>
      <c r="E7" s="423"/>
      <c r="F7" s="285" t="s">
        <v>578</v>
      </c>
      <c r="G7" s="311">
        <f>(B22*B10*365)/1000000</f>
        <v>312.07499999999999</v>
      </c>
      <c r="H7" s="311">
        <f>(C22*C10*365)/1000000</f>
        <v>271.56</v>
      </c>
      <c r="I7" s="858">
        <f>H7+G7</f>
        <v>583.63499999999999</v>
      </c>
      <c r="J7" s="11"/>
      <c r="K7" s="868" t="s">
        <v>1272</v>
      </c>
      <c r="L7" s="311">
        <f>L6*0.9</f>
        <v>0</v>
      </c>
      <c r="M7" s="518">
        <f t="shared" ref="M7:Y7" si="0">M6*0.9</f>
        <v>0</v>
      </c>
      <c r="N7" s="311">
        <f t="shared" si="0"/>
        <v>4.5</v>
      </c>
      <c r="O7" s="311">
        <f t="shared" si="0"/>
        <v>0</v>
      </c>
      <c r="P7" s="311">
        <f t="shared" si="0"/>
        <v>34.609090909090909</v>
      </c>
      <c r="Q7" s="311">
        <f t="shared" si="0"/>
        <v>34.609090909090909</v>
      </c>
      <c r="R7" s="518">
        <f>SUM(N7:Q7)</f>
        <v>73.718181818181819</v>
      </c>
      <c r="S7" s="311">
        <f t="shared" si="0"/>
        <v>34.609090909090909</v>
      </c>
      <c r="T7" s="311">
        <f t="shared" si="0"/>
        <v>34.609090909090909</v>
      </c>
      <c r="U7" s="311">
        <f t="shared" si="0"/>
        <v>34.609090909090909</v>
      </c>
      <c r="V7" s="311">
        <f t="shared" si="0"/>
        <v>34.609090909090909</v>
      </c>
      <c r="W7" s="518">
        <f t="shared" ref="W7:W12" si="1">SUM(S7:V7)</f>
        <v>138.43636363636364</v>
      </c>
      <c r="X7" s="518">
        <f t="shared" si="0"/>
        <v>138.43636363636364</v>
      </c>
      <c r="Y7" s="518">
        <f t="shared" si="0"/>
        <v>34.609090909090909</v>
      </c>
      <c r="Z7" s="518">
        <v>0</v>
      </c>
      <c r="AA7" s="518">
        <v>0</v>
      </c>
      <c r="AB7" s="286"/>
    </row>
    <row r="8" spans="1:28" x14ac:dyDescent="0.25">
      <c r="A8" s="285" t="s">
        <v>585</v>
      </c>
      <c r="B8" s="1374">
        <v>3200</v>
      </c>
      <c r="C8" s="1374">
        <v>2000</v>
      </c>
      <c r="D8" s="1373">
        <f>C8+B8</f>
        <v>5200</v>
      </c>
      <c r="E8" s="423"/>
      <c r="F8" s="293" t="s">
        <v>1052</v>
      </c>
      <c r="G8" s="1375" t="s">
        <v>1731</v>
      </c>
      <c r="H8" s="1375" t="s">
        <v>1053</v>
      </c>
      <c r="I8" s="1376" t="s">
        <v>1732</v>
      </c>
      <c r="J8" s="11"/>
      <c r="K8" s="868" t="s">
        <v>1271</v>
      </c>
      <c r="L8" s="311">
        <f>L6*0.1</f>
        <v>0</v>
      </c>
      <c r="M8" s="518">
        <f t="shared" ref="M8:AA8" si="2">M6*0.1</f>
        <v>0</v>
      </c>
      <c r="N8" s="311">
        <f t="shared" si="2"/>
        <v>0.5</v>
      </c>
      <c r="O8" s="311">
        <f t="shared" si="2"/>
        <v>0</v>
      </c>
      <c r="P8" s="311">
        <f t="shared" si="2"/>
        <v>3.8454545454545457</v>
      </c>
      <c r="Q8" s="311">
        <f t="shared" si="2"/>
        <v>3.8454545454545457</v>
      </c>
      <c r="R8" s="518">
        <f>SUM(N8:Q8)</f>
        <v>8.1909090909090914</v>
      </c>
      <c r="S8" s="311">
        <f t="shared" si="2"/>
        <v>3.8454545454545457</v>
      </c>
      <c r="T8" s="311">
        <f t="shared" si="2"/>
        <v>3.8454545454545457</v>
      </c>
      <c r="U8" s="311">
        <f t="shared" si="2"/>
        <v>3.8454545454545457</v>
      </c>
      <c r="V8" s="311">
        <f t="shared" si="2"/>
        <v>3.8454545454545457</v>
      </c>
      <c r="W8" s="518">
        <f t="shared" si="1"/>
        <v>15.381818181818183</v>
      </c>
      <c r="X8" s="518">
        <f t="shared" si="2"/>
        <v>15.381818181818183</v>
      </c>
      <c r="Y8" s="518">
        <f>Y6*0.1</f>
        <v>3.8454545454545457</v>
      </c>
      <c r="Z8" s="518">
        <f t="shared" si="2"/>
        <v>0</v>
      </c>
      <c r="AA8" s="518">
        <f t="shared" si="2"/>
        <v>0</v>
      </c>
      <c r="AB8" s="286"/>
    </row>
    <row r="9" spans="1:28" x14ac:dyDescent="0.25">
      <c r="A9" s="285" t="s">
        <v>584</v>
      </c>
      <c r="B9" s="902">
        <v>100</v>
      </c>
      <c r="C9" s="902">
        <v>80</v>
      </c>
      <c r="D9" s="1232">
        <f>C9+B9</f>
        <v>180</v>
      </c>
      <c r="E9" s="423"/>
      <c r="F9" s="11"/>
      <c r="G9" s="11"/>
      <c r="H9" s="11"/>
      <c r="I9" s="11"/>
      <c r="J9" s="11"/>
      <c r="K9" s="285"/>
      <c r="L9" s="311"/>
      <c r="M9" s="518"/>
      <c r="N9" s="311"/>
      <c r="O9" s="311"/>
      <c r="P9" s="311"/>
      <c r="Q9" s="311"/>
      <c r="R9" s="518"/>
      <c r="S9" s="311"/>
      <c r="T9" s="311"/>
      <c r="U9" s="311"/>
      <c r="V9" s="311"/>
      <c r="W9" s="518"/>
      <c r="X9" s="518"/>
      <c r="Y9" s="518"/>
      <c r="Z9" s="518"/>
      <c r="AA9" s="518"/>
      <c r="AB9" s="286"/>
    </row>
    <row r="10" spans="1:28" x14ac:dyDescent="0.25">
      <c r="A10" s="1097" t="s">
        <v>809</v>
      </c>
      <c r="B10" s="708">
        <f>B8+(B9*6)</f>
        <v>3800</v>
      </c>
      <c r="C10" s="708">
        <f>C8+(C9*6)</f>
        <v>2480</v>
      </c>
      <c r="D10" s="1377">
        <f>C10+B10</f>
        <v>6280</v>
      </c>
      <c r="E10" s="423"/>
      <c r="F10" s="11"/>
      <c r="G10" s="11"/>
      <c r="H10" s="11"/>
      <c r="I10" s="11"/>
      <c r="J10" s="11"/>
      <c r="K10" s="285" t="s">
        <v>1635</v>
      </c>
      <c r="L10" s="311">
        <f>2.5</f>
        <v>2.5</v>
      </c>
      <c r="M10" s="518">
        <f>L10</f>
        <v>2.5</v>
      </c>
      <c r="N10" s="311">
        <v>0</v>
      </c>
      <c r="O10" s="311">
        <v>0</v>
      </c>
      <c r="P10" s="311">
        <f>($C$17-$M$10)/11</f>
        <v>36.25</v>
      </c>
      <c r="Q10" s="311">
        <f>($C$17-$M$10)/11</f>
        <v>36.25</v>
      </c>
      <c r="R10" s="518">
        <f>SUM(N10:Q10)</f>
        <v>72.5</v>
      </c>
      <c r="S10" s="311">
        <f t="shared" ref="S10:Y10" si="3">($C$17-$M$10)/11</f>
        <v>36.25</v>
      </c>
      <c r="T10" s="311">
        <f t="shared" si="3"/>
        <v>36.25</v>
      </c>
      <c r="U10" s="311">
        <f t="shared" si="3"/>
        <v>36.25</v>
      </c>
      <c r="V10" s="311">
        <f t="shared" si="3"/>
        <v>36.25</v>
      </c>
      <c r="W10" s="518">
        <f t="shared" si="1"/>
        <v>145</v>
      </c>
      <c r="X10" s="518">
        <f>(($C$17-$M$10)/11)*4</f>
        <v>145</v>
      </c>
      <c r="Y10" s="311">
        <f t="shared" si="3"/>
        <v>36.25</v>
      </c>
      <c r="Z10" s="518">
        <v>0</v>
      </c>
      <c r="AA10" s="518">
        <v>0</v>
      </c>
      <c r="AB10" s="858">
        <f>Y10+X10+W10+R10+M10</f>
        <v>401.25</v>
      </c>
    </row>
    <row r="11" spans="1:28" x14ac:dyDescent="0.25">
      <c r="A11" s="1378"/>
      <c r="B11" s="426"/>
      <c r="C11" s="426"/>
      <c r="D11" s="426"/>
      <c r="E11" s="423"/>
      <c r="F11" s="11"/>
      <c r="G11" s="11"/>
      <c r="H11" s="11"/>
      <c r="I11" s="11"/>
      <c r="J11" s="11"/>
      <c r="K11" s="868" t="s">
        <v>1272</v>
      </c>
      <c r="L11" s="311">
        <f>L10*0.9</f>
        <v>2.25</v>
      </c>
      <c r="M11" s="518">
        <f>L11</f>
        <v>2.25</v>
      </c>
      <c r="N11" s="311">
        <f>N10*0.9</f>
        <v>0</v>
      </c>
      <c r="O11" s="311">
        <f>O10*0.9</f>
        <v>0</v>
      </c>
      <c r="P11" s="311">
        <f>P10*0.9</f>
        <v>32.625</v>
      </c>
      <c r="Q11" s="311">
        <f>Q10*0.9</f>
        <v>32.625</v>
      </c>
      <c r="R11" s="518">
        <f>SUM(N11:Q11)</f>
        <v>65.25</v>
      </c>
      <c r="S11" s="311">
        <f>S10*0.9</f>
        <v>32.625</v>
      </c>
      <c r="T11" s="311">
        <f>T10*0.9</f>
        <v>32.625</v>
      </c>
      <c r="U11" s="311">
        <f>U10*0.9</f>
        <v>32.625</v>
      </c>
      <c r="V11" s="311">
        <f>V10*0.9</f>
        <v>32.625</v>
      </c>
      <c r="W11" s="518">
        <f t="shared" si="1"/>
        <v>130.5</v>
      </c>
      <c r="X11" s="518">
        <f>X10*0.9</f>
        <v>130.5</v>
      </c>
      <c r="Y11" s="518">
        <f>Y10*0.9</f>
        <v>32.625</v>
      </c>
      <c r="Z11" s="518">
        <f>Z10*0.9</f>
        <v>0</v>
      </c>
      <c r="AA11" s="518">
        <f>AA10*0.9</f>
        <v>0</v>
      </c>
      <c r="AB11" s="286"/>
    </row>
    <row r="12" spans="1:28" x14ac:dyDescent="0.25">
      <c r="A12" s="1379" t="s">
        <v>593</v>
      </c>
      <c r="B12" s="1361" t="s">
        <v>2055</v>
      </c>
      <c r="C12" s="1361" t="s">
        <v>1635</v>
      </c>
      <c r="D12" s="1362" t="s">
        <v>841</v>
      </c>
      <c r="E12" s="423"/>
      <c r="F12" s="1360" t="s">
        <v>1960</v>
      </c>
      <c r="G12" s="1361" t="s">
        <v>2055</v>
      </c>
      <c r="H12" s="1361" t="s">
        <v>1635</v>
      </c>
      <c r="I12" s="1362" t="s">
        <v>841</v>
      </c>
      <c r="J12" s="11"/>
      <c r="K12" s="1097" t="s">
        <v>1271</v>
      </c>
      <c r="L12" s="398">
        <f>L10*0.1</f>
        <v>0.25</v>
      </c>
      <c r="M12" s="529">
        <f>L12</f>
        <v>0.25</v>
      </c>
      <c r="N12" s="398">
        <f>N10*0.1</f>
        <v>0</v>
      </c>
      <c r="O12" s="398">
        <f>O10*0.1</f>
        <v>0</v>
      </c>
      <c r="P12" s="398">
        <f>P10*0.1</f>
        <v>3.625</v>
      </c>
      <c r="Q12" s="398">
        <f>Q10*0.1</f>
        <v>3.625</v>
      </c>
      <c r="R12" s="529">
        <f>SUM(N12:Q12)</f>
        <v>7.25</v>
      </c>
      <c r="S12" s="398">
        <f>S10*0.1</f>
        <v>3.625</v>
      </c>
      <c r="T12" s="398">
        <f>T10*0.1</f>
        <v>3.625</v>
      </c>
      <c r="U12" s="398">
        <f>U10*0.1</f>
        <v>3.625</v>
      </c>
      <c r="V12" s="398">
        <f>V10*0.1</f>
        <v>3.625</v>
      </c>
      <c r="W12" s="529">
        <f t="shared" si="1"/>
        <v>14.5</v>
      </c>
      <c r="X12" s="529">
        <f>X10*0.1</f>
        <v>14.5</v>
      </c>
      <c r="Y12" s="529">
        <f>Y10*0.1</f>
        <v>3.625</v>
      </c>
      <c r="Z12" s="529">
        <f>Z10*0.1</f>
        <v>0</v>
      </c>
      <c r="AA12" s="529">
        <f>AA10*0.1</f>
        <v>0</v>
      </c>
      <c r="AB12" s="295"/>
    </row>
    <row r="13" spans="1:28" x14ac:dyDescent="0.25">
      <c r="A13" s="285" t="s">
        <v>595</v>
      </c>
      <c r="B13" s="311">
        <f>50+55</f>
        <v>105</v>
      </c>
      <c r="C13" s="311">
        <f>50+55</f>
        <v>105</v>
      </c>
      <c r="D13" s="858">
        <f t="shared" ref="D13:D18" si="4">C13+B13</f>
        <v>210</v>
      </c>
      <c r="E13" s="423"/>
      <c r="F13" s="285" t="s">
        <v>954</v>
      </c>
      <c r="G13" s="311">
        <f>B35</f>
        <v>35.424628977272718</v>
      </c>
      <c r="H13" s="311">
        <f>C35</f>
        <v>23.409638181818181</v>
      </c>
      <c r="I13" s="858">
        <f>H13+G13</f>
        <v>58.834267159090899</v>
      </c>
      <c r="J13" s="11"/>
      <c r="K13" s="11"/>
      <c r="L13" s="11"/>
      <c r="M13" s="11"/>
      <c r="N13" s="11"/>
      <c r="O13" s="11"/>
      <c r="P13" s="11"/>
      <c r="Q13" s="11"/>
      <c r="R13" s="11"/>
      <c r="S13" s="11"/>
      <c r="T13" s="11"/>
      <c r="U13" s="11"/>
      <c r="V13" s="11"/>
      <c r="W13" s="11"/>
      <c r="X13" s="11"/>
      <c r="Y13" s="11"/>
      <c r="Z13" s="11"/>
      <c r="AA13" s="11"/>
      <c r="AB13" s="11"/>
    </row>
    <row r="14" spans="1:28" x14ac:dyDescent="0.25">
      <c r="A14" s="285" t="s">
        <v>594</v>
      </c>
      <c r="B14" s="1051">
        <v>295</v>
      </c>
      <c r="C14" s="859">
        <v>270</v>
      </c>
      <c r="D14" s="858">
        <f t="shared" si="4"/>
        <v>565</v>
      </c>
      <c r="E14" s="423"/>
      <c r="F14" s="285" t="s">
        <v>582</v>
      </c>
      <c r="G14" s="311">
        <f>G13*1</f>
        <v>35.424628977272718</v>
      </c>
      <c r="H14" s="311">
        <f>H13*1</f>
        <v>23.409638181818181</v>
      </c>
      <c r="I14" s="858">
        <f>H14+G14</f>
        <v>58.834267159090899</v>
      </c>
      <c r="J14" s="11"/>
      <c r="K14" s="1360" t="s">
        <v>1266</v>
      </c>
      <c r="L14" s="283"/>
      <c r="M14" s="283"/>
      <c r="N14" s="283"/>
      <c r="O14" s="283"/>
      <c r="P14" s="283"/>
      <c r="Q14" s="284"/>
      <c r="R14" s="423"/>
      <c r="S14" s="11"/>
      <c r="T14" s="11"/>
      <c r="U14" s="11"/>
      <c r="V14" s="11"/>
      <c r="W14" s="423"/>
      <c r="X14" s="423"/>
      <c r="Y14" s="423"/>
      <c r="Z14" s="423"/>
      <c r="AA14" s="423"/>
      <c r="AB14" s="11"/>
    </row>
    <row r="15" spans="1:28" x14ac:dyDescent="0.25">
      <c r="A15" s="285" t="s">
        <v>570</v>
      </c>
      <c r="B15" s="859">
        <v>0</v>
      </c>
      <c r="C15" s="859">
        <v>0</v>
      </c>
      <c r="D15" s="858">
        <f t="shared" si="4"/>
        <v>0</v>
      </c>
      <c r="E15" s="423"/>
      <c r="F15" s="285" t="s">
        <v>1170</v>
      </c>
      <c r="G15" s="311">
        <f>PENN!$AE$101</f>
        <v>107.22499999999999</v>
      </c>
      <c r="H15" s="311">
        <f>PENN!$AE$101</f>
        <v>107.22499999999999</v>
      </c>
      <c r="I15" s="858">
        <f>H15+G15</f>
        <v>214.45</v>
      </c>
      <c r="J15" s="11"/>
      <c r="K15" s="1347" t="s">
        <v>1054</v>
      </c>
      <c r="L15" s="281"/>
      <c r="M15" s="281"/>
      <c r="N15" s="281"/>
      <c r="O15" s="281"/>
      <c r="P15" s="281"/>
      <c r="Q15" s="286"/>
      <c r="R15" s="11"/>
      <c r="S15" s="11"/>
      <c r="T15" s="11"/>
      <c r="U15" s="11"/>
      <c r="V15" s="11"/>
      <c r="W15" s="11"/>
      <c r="X15" s="11"/>
      <c r="Y15" s="11"/>
      <c r="Z15" s="11"/>
      <c r="AA15" s="11"/>
      <c r="AB15" s="11"/>
    </row>
    <row r="16" spans="1:28" x14ac:dyDescent="0.25">
      <c r="A16" s="285" t="s">
        <v>535</v>
      </c>
      <c r="B16" s="311">
        <f>(B15+B14+B13)*0.07</f>
        <v>28.000000000000004</v>
      </c>
      <c r="C16" s="311">
        <f>(C15+C14+C13)*0.07</f>
        <v>26.250000000000004</v>
      </c>
      <c r="D16" s="858">
        <f t="shared" si="4"/>
        <v>54.250000000000007</v>
      </c>
      <c r="E16" s="423"/>
      <c r="F16" s="1081" t="s">
        <v>1447</v>
      </c>
      <c r="G16" s="1380">
        <f>G14/G15</f>
        <v>0.33037658174187662</v>
      </c>
      <c r="H16" s="1380">
        <f>H14/H15</f>
        <v>0.21832257572224931</v>
      </c>
      <c r="I16" s="1099">
        <f>H16+G16</f>
        <v>0.5486991574641259</v>
      </c>
      <c r="J16" s="11"/>
      <c r="K16" s="1381" t="s">
        <v>173</v>
      </c>
      <c r="L16" s="428"/>
      <c r="M16" s="428"/>
      <c r="N16" s="428"/>
      <c r="O16" s="428"/>
      <c r="P16" s="428"/>
      <c r="Q16" s="840"/>
      <c r="R16" s="11"/>
      <c r="S16" s="11"/>
      <c r="T16" s="11"/>
      <c r="U16" s="11"/>
      <c r="V16" s="11"/>
      <c r="W16" s="11"/>
      <c r="X16" s="11"/>
      <c r="Y16" s="11"/>
      <c r="Z16" s="11"/>
      <c r="AA16" s="11"/>
      <c r="AB16" s="11"/>
    </row>
    <row r="17" spans="1:28" x14ac:dyDescent="0.25">
      <c r="A17" s="868" t="s">
        <v>596</v>
      </c>
      <c r="B17" s="311">
        <f>SUM(B13:B16)</f>
        <v>428</v>
      </c>
      <c r="C17" s="311">
        <f>SUM(C13:C16)</f>
        <v>401.25</v>
      </c>
      <c r="D17" s="858">
        <f t="shared" si="4"/>
        <v>829.25</v>
      </c>
      <c r="E17" s="423"/>
      <c r="F17" s="11"/>
      <c r="G17" s="11"/>
      <c r="H17" s="11"/>
      <c r="I17" s="11"/>
      <c r="J17" s="11"/>
      <c r="K17" s="1347" t="s">
        <v>1265</v>
      </c>
      <c r="L17" s="281"/>
      <c r="M17" s="281"/>
      <c r="N17" s="281"/>
      <c r="O17" s="281"/>
      <c r="P17" s="281"/>
      <c r="Q17" s="286"/>
      <c r="R17" s="11"/>
      <c r="S17" s="11"/>
      <c r="T17" s="11"/>
      <c r="U17" s="11"/>
      <c r="V17" s="11"/>
      <c r="W17" s="11"/>
      <c r="X17" s="11"/>
      <c r="Y17" s="11"/>
      <c r="Z17" s="11"/>
      <c r="AA17" s="11"/>
      <c r="AB17" s="11"/>
    </row>
    <row r="18" spans="1:28" x14ac:dyDescent="0.25">
      <c r="A18" s="1097" t="s">
        <v>808</v>
      </c>
      <c r="B18" s="398">
        <f>B17*1-B16</f>
        <v>400</v>
      </c>
      <c r="C18" s="398">
        <f>C17*1-C16</f>
        <v>375</v>
      </c>
      <c r="D18" s="1382">
        <f t="shared" si="4"/>
        <v>775</v>
      </c>
      <c r="E18" s="423"/>
      <c r="F18" s="11"/>
      <c r="G18" s="11"/>
      <c r="H18" s="11"/>
      <c r="I18" s="11"/>
      <c r="J18" s="11"/>
      <c r="K18" s="1347"/>
      <c r="L18" s="281"/>
      <c r="M18" s="281"/>
      <c r="N18" s="281"/>
      <c r="O18" s="281"/>
      <c r="P18" s="281"/>
      <c r="Q18" s="286"/>
      <c r="R18" s="11"/>
      <c r="S18" s="11"/>
      <c r="T18" s="11"/>
      <c r="U18" s="11"/>
      <c r="V18" s="11"/>
      <c r="W18" s="11"/>
      <c r="X18" s="11"/>
      <c r="Y18" s="11"/>
      <c r="Z18" s="11"/>
      <c r="AA18" s="11"/>
      <c r="AB18" s="11"/>
    </row>
    <row r="19" spans="1:28" x14ac:dyDescent="0.25">
      <c r="A19" s="11"/>
      <c r="B19" s="423"/>
      <c r="C19" s="423"/>
      <c r="D19" s="423"/>
      <c r="E19" s="423"/>
      <c r="F19" s="1360" t="s">
        <v>1966</v>
      </c>
      <c r="G19" s="1361" t="s">
        <v>2055</v>
      </c>
      <c r="H19" s="1361" t="s">
        <v>1635</v>
      </c>
      <c r="I19" s="1362" t="s">
        <v>841</v>
      </c>
      <c r="J19" s="11"/>
      <c r="K19" s="287" t="s">
        <v>1733</v>
      </c>
      <c r="L19" s="306" t="s">
        <v>1734</v>
      </c>
      <c r="M19" s="306" t="s">
        <v>1735</v>
      </c>
      <c r="N19" s="306" t="s">
        <v>1264</v>
      </c>
      <c r="O19" s="281"/>
      <c r="P19" s="281"/>
      <c r="Q19" s="286"/>
      <c r="R19" s="11"/>
      <c r="S19" s="11"/>
      <c r="T19" s="11"/>
      <c r="U19" s="11"/>
      <c r="V19" s="11"/>
      <c r="W19" s="11"/>
      <c r="X19" s="11"/>
      <c r="Y19" s="11"/>
      <c r="Z19" s="11"/>
      <c r="AA19" s="11"/>
      <c r="AB19" s="11"/>
    </row>
    <row r="20" spans="1:28" x14ac:dyDescent="0.25">
      <c r="A20" s="1360" t="s">
        <v>1169</v>
      </c>
      <c r="B20" s="1361" t="s">
        <v>2055</v>
      </c>
      <c r="C20" s="1361" t="s">
        <v>1635</v>
      </c>
      <c r="D20" s="1362" t="s">
        <v>841</v>
      </c>
      <c r="E20" s="1383"/>
      <c r="F20" s="285" t="s">
        <v>1624</v>
      </c>
      <c r="G20" s="311">
        <f>B30</f>
        <v>106.49559375</v>
      </c>
      <c r="H20" s="311">
        <f>C30</f>
        <v>83.5047</v>
      </c>
      <c r="I20" s="858">
        <f>H20+G20</f>
        <v>190.00029375</v>
      </c>
      <c r="J20" s="11"/>
      <c r="K20" s="285" t="s">
        <v>1612</v>
      </c>
      <c r="L20" s="311">
        <f>PENN!AU889</f>
        <v>396.50843499999996</v>
      </c>
      <c r="M20" s="311">
        <f>PENN!AZ889</f>
        <v>273.15285542999999</v>
      </c>
      <c r="N20" s="311">
        <f>M20-L20</f>
        <v>-123.35557956999997</v>
      </c>
      <c r="O20" s="281"/>
      <c r="P20" s="281"/>
      <c r="Q20" s="286"/>
      <c r="R20" s="11"/>
      <c r="S20" s="11"/>
      <c r="T20" s="11"/>
      <c r="U20" s="11"/>
      <c r="V20" s="11"/>
      <c r="W20" s="11"/>
      <c r="X20" s="11"/>
      <c r="Y20" s="11"/>
      <c r="Z20" s="11"/>
      <c r="AA20" s="11"/>
      <c r="AB20" s="11"/>
    </row>
    <row r="21" spans="1:28" x14ac:dyDescent="0.25">
      <c r="A21" s="287"/>
      <c r="B21" s="288"/>
      <c r="C21" s="288"/>
      <c r="D21" s="289"/>
      <c r="E21" s="1383"/>
      <c r="F21" s="285"/>
      <c r="G21" s="311"/>
      <c r="H21" s="311"/>
      <c r="I21" s="858"/>
      <c r="J21" s="11"/>
      <c r="K21" s="865" t="s">
        <v>1055</v>
      </c>
      <c r="L21" s="382">
        <f>PENN!AU890</f>
        <v>-9.3909160025430607E-2</v>
      </c>
      <c r="M21" s="382">
        <f>PENN!AZ890</f>
        <v>-0.31110455334953968</v>
      </c>
      <c r="N21" s="305" t="s">
        <v>553</v>
      </c>
      <c r="O21" s="281"/>
      <c r="P21" s="281"/>
      <c r="Q21" s="286"/>
      <c r="R21" s="11"/>
      <c r="S21" s="11"/>
      <c r="T21" s="11"/>
      <c r="U21" s="11"/>
      <c r="V21" s="11"/>
      <c r="W21" s="11"/>
      <c r="X21" s="11"/>
      <c r="Y21" s="11"/>
      <c r="Z21" s="11"/>
      <c r="AA21" s="11"/>
      <c r="AB21" s="11"/>
    </row>
    <row r="22" spans="1:28" x14ac:dyDescent="0.25">
      <c r="A22" s="1384" t="s">
        <v>685</v>
      </c>
      <c r="B22" s="2084">
        <v>225</v>
      </c>
      <c r="C22" s="1385">
        <v>300</v>
      </c>
      <c r="D22" s="1386">
        <f>D23*1000000/365/D10</f>
        <v>254.61783439490446</v>
      </c>
      <c r="E22" s="1383"/>
      <c r="F22" s="285" t="s">
        <v>90</v>
      </c>
      <c r="G22" s="311">
        <f>G20*1</f>
        <v>106.49559375</v>
      </c>
      <c r="H22" s="311">
        <f>H20*1</f>
        <v>83.5047</v>
      </c>
      <c r="I22" s="858">
        <f t="shared" ref="I22:I28" si="5">H22+G22</f>
        <v>190.00029375</v>
      </c>
      <c r="J22" s="11"/>
      <c r="K22" s="285" t="s">
        <v>1624</v>
      </c>
      <c r="L22" s="281">
        <f>PENN!AU899</f>
        <v>136.72670961208999</v>
      </c>
      <c r="M22" s="311">
        <f>PENN!AZ899</f>
        <v>96.87660598968597</v>
      </c>
      <c r="N22" s="311">
        <f>M22-L22</f>
        <v>-39.850103622404021</v>
      </c>
      <c r="O22" s="281"/>
      <c r="P22" s="281"/>
      <c r="Q22" s="286"/>
      <c r="R22" s="11"/>
      <c r="S22" s="11"/>
      <c r="T22" s="11"/>
      <c r="U22" s="11"/>
      <c r="V22" s="11"/>
      <c r="W22" s="11"/>
      <c r="X22" s="11"/>
      <c r="Y22" s="11"/>
      <c r="Z22" s="11"/>
      <c r="AA22" s="11"/>
      <c r="AB22" s="11"/>
    </row>
    <row r="23" spans="1:28" x14ac:dyDescent="0.25">
      <c r="A23" s="285" t="s">
        <v>812</v>
      </c>
      <c r="B23" s="311">
        <f>G7</f>
        <v>312.07499999999999</v>
      </c>
      <c r="C23" s="311">
        <f>H7</f>
        <v>271.56</v>
      </c>
      <c r="D23" s="858">
        <f t="shared" ref="D23:D30" si="6">C23+B23</f>
        <v>583.63499999999999</v>
      </c>
      <c r="E23" s="423"/>
      <c r="F23" s="285" t="s">
        <v>1464</v>
      </c>
      <c r="G23" s="1387">
        <v>9</v>
      </c>
      <c r="H23" s="1387">
        <v>9</v>
      </c>
      <c r="I23" s="1388">
        <f>I24/I22</f>
        <v>9</v>
      </c>
      <c r="J23" s="11"/>
      <c r="K23" s="1187" t="s">
        <v>1056</v>
      </c>
      <c r="L23" s="1067">
        <f>PENN!AU902</f>
        <v>-4.5769288647538139E-2</v>
      </c>
      <c r="M23" s="1067">
        <f>PENN!AZ902</f>
        <v>-0.29145807527631962</v>
      </c>
      <c r="N23" s="315" t="s">
        <v>553</v>
      </c>
      <c r="O23" s="294"/>
      <c r="P23" s="294"/>
      <c r="Q23" s="295"/>
      <c r="R23" s="11"/>
      <c r="S23" s="11"/>
      <c r="T23" s="11"/>
      <c r="U23" s="11"/>
      <c r="V23" s="11"/>
      <c r="W23" s="11"/>
      <c r="X23" s="11"/>
      <c r="Y23" s="11"/>
      <c r="Z23" s="11"/>
      <c r="AA23" s="11"/>
      <c r="AB23" s="11"/>
    </row>
    <row r="24" spans="1:28" x14ac:dyDescent="0.25">
      <c r="A24" s="285" t="s">
        <v>981</v>
      </c>
      <c r="B24" s="859">
        <f>B23*0.125</f>
        <v>39.009374999999999</v>
      </c>
      <c r="C24" s="859">
        <f>C23*0.125</f>
        <v>33.945</v>
      </c>
      <c r="D24" s="858">
        <f t="shared" si="6"/>
        <v>72.954374999999999</v>
      </c>
      <c r="E24" s="423"/>
      <c r="F24" s="285" t="s">
        <v>1403</v>
      </c>
      <c r="G24" s="311">
        <f>G23*G22</f>
        <v>958.46034374999999</v>
      </c>
      <c r="H24" s="311">
        <f>H23*H22</f>
        <v>751.54229999999995</v>
      </c>
      <c r="I24" s="858">
        <f t="shared" si="5"/>
        <v>1710.0026437500001</v>
      </c>
      <c r="J24" s="11"/>
      <c r="K24" s="11"/>
      <c r="L24" s="11"/>
      <c r="M24" s="11"/>
      <c r="N24" s="11"/>
      <c r="O24" s="11"/>
      <c r="P24" s="11"/>
      <c r="Q24" s="11"/>
      <c r="R24" s="11"/>
      <c r="S24" s="11"/>
      <c r="T24" s="11"/>
      <c r="U24" s="11"/>
      <c r="V24" s="11"/>
      <c r="W24" s="11"/>
      <c r="X24" s="11"/>
      <c r="Y24" s="11"/>
      <c r="Z24" s="11"/>
      <c r="AA24" s="11"/>
      <c r="AB24" s="11"/>
    </row>
    <row r="25" spans="1:28" x14ac:dyDescent="0.25">
      <c r="A25" s="285" t="s">
        <v>1611</v>
      </c>
      <c r="B25" s="311">
        <f>B24+B23</f>
        <v>351.08437499999997</v>
      </c>
      <c r="C25" s="311">
        <f>C24+C23</f>
        <v>305.505</v>
      </c>
      <c r="D25" s="858">
        <f t="shared" si="6"/>
        <v>656.58937500000002</v>
      </c>
      <c r="E25" s="423"/>
      <c r="F25" s="285" t="s">
        <v>1619</v>
      </c>
      <c r="G25" s="311">
        <f>-B17</f>
        <v>-428</v>
      </c>
      <c r="H25" s="311">
        <f>-C17</f>
        <v>-401.25</v>
      </c>
      <c r="I25" s="858">
        <f t="shared" si="5"/>
        <v>-829.25</v>
      </c>
      <c r="J25" s="11"/>
      <c r="K25" s="11"/>
      <c r="L25" s="11"/>
      <c r="M25" s="11"/>
      <c r="N25" s="11"/>
      <c r="O25" s="10"/>
      <c r="P25" s="11"/>
      <c r="Q25" s="11"/>
      <c r="R25" s="11"/>
      <c r="S25" s="11"/>
      <c r="T25" s="11"/>
      <c r="U25" s="11"/>
      <c r="V25" s="11"/>
      <c r="W25" s="11"/>
      <c r="X25" s="11"/>
      <c r="Y25" s="11"/>
      <c r="Z25" s="11"/>
      <c r="AA25" s="11"/>
      <c r="AB25" s="11"/>
    </row>
    <row r="26" spans="1:28" x14ac:dyDescent="0.25">
      <c r="A26" s="868" t="s">
        <v>93</v>
      </c>
      <c r="B26" s="859">
        <f>-0.075*B23</f>
        <v>-23.405624999999997</v>
      </c>
      <c r="C26" s="859">
        <f>-0.1*C23</f>
        <v>-27.156000000000002</v>
      </c>
      <c r="D26" s="858">
        <f t="shared" si="6"/>
        <v>-50.561624999999999</v>
      </c>
      <c r="E26" s="423"/>
      <c r="F26" s="285" t="s">
        <v>8</v>
      </c>
      <c r="G26" s="311">
        <f>G25+G24</f>
        <v>530.46034374999999</v>
      </c>
      <c r="H26" s="311">
        <f>H25+H24</f>
        <v>350.29229999999995</v>
      </c>
      <c r="I26" s="858">
        <f t="shared" si="5"/>
        <v>880.75264374999995</v>
      </c>
      <c r="J26" s="11"/>
      <c r="K26" s="11"/>
      <c r="L26" s="11"/>
      <c r="M26" s="11"/>
      <c r="N26" s="11"/>
      <c r="O26" s="11"/>
      <c r="P26" s="11"/>
      <c r="Q26" s="11"/>
      <c r="R26" s="11"/>
      <c r="S26" s="11"/>
      <c r="T26" s="11"/>
      <c r="U26" s="11"/>
      <c r="V26" s="11"/>
      <c r="W26" s="11"/>
      <c r="X26" s="11"/>
      <c r="Y26" s="11"/>
      <c r="Z26" s="11"/>
      <c r="AA26" s="11"/>
      <c r="AB26" s="11"/>
    </row>
    <row r="27" spans="1:28" x14ac:dyDescent="0.25">
      <c r="A27" s="285" t="s">
        <v>1612</v>
      </c>
      <c r="B27" s="311">
        <f>B26+B25</f>
        <v>327.67874999999998</v>
      </c>
      <c r="C27" s="311">
        <f>C26+C25</f>
        <v>278.34899999999999</v>
      </c>
      <c r="D27" s="858">
        <f t="shared" si="6"/>
        <v>606.02774999999997</v>
      </c>
      <c r="E27" s="423"/>
      <c r="F27" s="285" t="s">
        <v>801</v>
      </c>
      <c r="G27" s="311">
        <f>+G26</f>
        <v>530.46034374999999</v>
      </c>
      <c r="H27" s="311">
        <f>+H26</f>
        <v>350.29229999999995</v>
      </c>
      <c r="I27" s="858">
        <f>SUM(G27:H27)</f>
        <v>880.75264374999995</v>
      </c>
      <c r="J27" s="11"/>
      <c r="K27" s="11"/>
      <c r="L27" s="11"/>
      <c r="M27" s="11"/>
      <c r="N27" s="11"/>
      <c r="O27" s="11"/>
      <c r="P27" s="11"/>
      <c r="Q27" s="11"/>
      <c r="R27" s="363"/>
      <c r="S27" s="11"/>
      <c r="T27" s="11"/>
      <c r="U27" s="11"/>
      <c r="V27" s="11"/>
      <c r="W27" s="11"/>
      <c r="X27" s="11"/>
      <c r="Y27" s="11"/>
      <c r="Z27" s="11"/>
      <c r="AA27" s="11"/>
      <c r="AB27" s="11"/>
    </row>
    <row r="28" spans="1:28" x14ac:dyDescent="0.25">
      <c r="A28" s="868" t="s">
        <v>978</v>
      </c>
      <c r="B28" s="311">
        <f>-0.33*B23</f>
        <v>-102.98475000000001</v>
      </c>
      <c r="C28" s="311">
        <f>-0.33*C23</f>
        <v>-89.614800000000002</v>
      </c>
      <c r="D28" s="858">
        <f t="shared" si="6"/>
        <v>-192.59955000000002</v>
      </c>
      <c r="E28" s="423"/>
      <c r="F28" s="285" t="s">
        <v>91</v>
      </c>
      <c r="G28" s="311">
        <f>G15</f>
        <v>107.22499999999999</v>
      </c>
      <c r="H28" s="311">
        <f>H15</f>
        <v>107.22499999999999</v>
      </c>
      <c r="I28" s="858">
        <f t="shared" si="5"/>
        <v>214.45</v>
      </c>
      <c r="J28" s="11"/>
      <c r="K28" s="11"/>
      <c r="L28" s="11"/>
      <c r="M28" s="11"/>
      <c r="N28" s="11"/>
      <c r="O28" s="11"/>
      <c r="P28" s="11"/>
      <c r="Q28" s="281"/>
      <c r="R28" s="1389"/>
      <c r="S28" s="281"/>
      <c r="T28" s="11"/>
      <c r="U28" s="11"/>
      <c r="V28" s="11"/>
      <c r="W28" s="11"/>
      <c r="X28" s="11"/>
      <c r="Y28" s="11"/>
      <c r="Z28" s="11"/>
      <c r="AA28" s="11"/>
      <c r="AB28" s="11"/>
    </row>
    <row r="29" spans="1:28" x14ac:dyDescent="0.25">
      <c r="A29" s="868" t="s">
        <v>92</v>
      </c>
      <c r="B29" s="526">
        <f>-(B27+B28-B30)</f>
        <v>-118.19840624999996</v>
      </c>
      <c r="C29" s="526">
        <f>-(C27+C28-C30)</f>
        <v>-105.22949999999999</v>
      </c>
      <c r="D29" s="858">
        <f t="shared" si="6"/>
        <v>-223.42790624999995</v>
      </c>
      <c r="E29" s="423"/>
      <c r="F29" s="1081" t="s">
        <v>1445</v>
      </c>
      <c r="G29" s="1380">
        <f>G27/G28</f>
        <v>4.9471703777104219</v>
      </c>
      <c r="H29" s="1380">
        <f>H27/H28</f>
        <v>3.266890184192119</v>
      </c>
      <c r="I29" s="1099">
        <f>H29+G29</f>
        <v>8.2140605619025404</v>
      </c>
      <c r="J29" s="11"/>
      <c r="K29" s="11"/>
      <c r="L29" s="423"/>
      <c r="M29" s="11"/>
      <c r="N29" s="11"/>
      <c r="O29" s="11"/>
      <c r="P29" s="11"/>
      <c r="Q29" s="11"/>
      <c r="R29" s="11"/>
      <c r="S29" s="11"/>
      <c r="T29" s="11"/>
      <c r="U29" s="11"/>
      <c r="V29" s="11"/>
      <c r="W29" s="11"/>
      <c r="X29" s="11"/>
      <c r="Y29" s="11"/>
      <c r="Z29" s="11"/>
      <c r="AA29" s="11"/>
      <c r="AB29" s="11"/>
    </row>
    <row r="30" spans="1:28" x14ac:dyDescent="0.25">
      <c r="A30" s="285" t="s">
        <v>1624</v>
      </c>
      <c r="B30" s="311">
        <f>B27*B31</f>
        <v>106.49559375</v>
      </c>
      <c r="C30" s="311">
        <f>C27*C31</f>
        <v>83.5047</v>
      </c>
      <c r="D30" s="858">
        <f t="shared" si="6"/>
        <v>190.00029375</v>
      </c>
      <c r="E30" s="423"/>
      <c r="F30" s="11"/>
      <c r="G30" s="11"/>
      <c r="H30" s="281"/>
      <c r="I30" s="281"/>
      <c r="J30" s="11"/>
      <c r="K30" s="11"/>
      <c r="L30" s="11"/>
      <c r="M30" s="11"/>
      <c r="N30" s="11"/>
      <c r="O30" s="11"/>
      <c r="P30" s="11"/>
      <c r="Q30" s="11"/>
      <c r="R30" s="11"/>
      <c r="S30" s="11"/>
      <c r="T30" s="11"/>
      <c r="U30" s="11"/>
      <c r="V30" s="11"/>
      <c r="W30" s="11"/>
      <c r="X30" s="11"/>
      <c r="Y30" s="11"/>
      <c r="Z30" s="11"/>
      <c r="AA30" s="11"/>
      <c r="AB30" s="11"/>
    </row>
    <row r="31" spans="1:28" x14ac:dyDescent="0.25">
      <c r="A31" s="1384" t="s">
        <v>1101</v>
      </c>
      <c r="B31" s="900">
        <v>0.32500000000000001</v>
      </c>
      <c r="C31" s="900">
        <v>0.3</v>
      </c>
      <c r="D31" s="1251">
        <f>D30/D27</f>
        <v>0.31351748125395251</v>
      </c>
      <c r="E31" s="423"/>
      <c r="F31" s="11"/>
      <c r="G31" s="423"/>
      <c r="H31" s="423"/>
      <c r="I31" s="11"/>
      <c r="J31" s="11"/>
      <c r="K31" s="11"/>
      <c r="L31" s="11"/>
      <c r="M31" s="11"/>
      <c r="N31" s="11"/>
      <c r="O31" s="11"/>
      <c r="P31" s="11"/>
      <c r="Q31" s="11"/>
      <c r="R31" s="11"/>
      <c r="S31" s="11"/>
      <c r="T31" s="11"/>
      <c r="U31" s="11"/>
      <c r="V31" s="11"/>
      <c r="W31" s="11"/>
      <c r="X31" s="11"/>
      <c r="Y31" s="11"/>
      <c r="Z31" s="11"/>
      <c r="AA31" s="11"/>
      <c r="AB31" s="11"/>
    </row>
    <row r="32" spans="1:28" x14ac:dyDescent="0.25">
      <c r="A32" s="868" t="s">
        <v>94</v>
      </c>
      <c r="B32" s="311">
        <f>-(B17/22)</f>
        <v>-19.454545454545453</v>
      </c>
      <c r="C32" s="311">
        <f>-(C17/22)</f>
        <v>-18.238636363636363</v>
      </c>
      <c r="D32" s="858">
        <f>C32+B32</f>
        <v>-37.693181818181813</v>
      </c>
      <c r="E32" s="423"/>
      <c r="F32" s="1360" t="s">
        <v>686</v>
      </c>
      <c r="G32" s="1361" t="s">
        <v>2055</v>
      </c>
      <c r="H32" s="1362" t="s">
        <v>1635</v>
      </c>
      <c r="I32" s="11"/>
      <c r="J32" s="11"/>
      <c r="K32" s="11"/>
      <c r="L32" s="11"/>
      <c r="M32" s="11"/>
      <c r="N32" s="11"/>
      <c r="O32" s="11"/>
      <c r="P32" s="11"/>
      <c r="Q32" s="11"/>
      <c r="R32" s="11"/>
      <c r="S32" s="11"/>
      <c r="T32" s="11"/>
      <c r="U32" s="11"/>
      <c r="V32" s="11"/>
      <c r="W32" s="11"/>
      <c r="X32" s="11"/>
      <c r="Y32" s="11"/>
      <c r="Z32" s="11"/>
      <c r="AA32" s="11"/>
      <c r="AB32" s="11"/>
    </row>
    <row r="33" spans="1:28" x14ac:dyDescent="0.25">
      <c r="A33" s="1118" t="s">
        <v>1727</v>
      </c>
      <c r="B33" s="526">
        <f>-B16</f>
        <v>-28.000000000000004</v>
      </c>
      <c r="C33" s="526">
        <f>-C16</f>
        <v>-26.250000000000004</v>
      </c>
      <c r="D33" s="684">
        <f>C33+B33</f>
        <v>-54.250000000000007</v>
      </c>
      <c r="E33" s="423"/>
      <c r="F33" s="285" t="s">
        <v>687</v>
      </c>
      <c r="G33" s="311">
        <v>466.827</v>
      </c>
      <c r="H33" s="858">
        <v>209.77600000000001</v>
      </c>
      <c r="I33" s="11"/>
      <c r="J33" s="11"/>
      <c r="K33" s="11"/>
      <c r="L33" s="11"/>
      <c r="M33" s="11"/>
      <c r="N33" s="11"/>
      <c r="O33" s="11"/>
      <c r="P33" s="11"/>
      <c r="Q33" s="11"/>
      <c r="R33" s="11"/>
      <c r="S33" s="11"/>
      <c r="T33" s="11"/>
      <c r="U33" s="11"/>
      <c r="V33" s="11"/>
      <c r="W33" s="11"/>
      <c r="X33" s="11"/>
      <c r="Y33" s="11"/>
      <c r="Z33" s="11"/>
      <c r="AA33" s="11"/>
      <c r="AB33" s="11"/>
    </row>
    <row r="34" spans="1:28" x14ac:dyDescent="0.25">
      <c r="A34" s="868" t="s">
        <v>1728</v>
      </c>
      <c r="B34" s="311">
        <f>-(B30+B32+B33)*0.4</f>
        <v>-23.616419318181819</v>
      </c>
      <c r="C34" s="311">
        <f>-(C30+C32+C33)*0.4</f>
        <v>-15.606425454545457</v>
      </c>
      <c r="D34" s="858">
        <f>C34+B34</f>
        <v>-39.222844772727278</v>
      </c>
      <c r="E34" s="423"/>
      <c r="F34" s="285" t="s">
        <v>591</v>
      </c>
      <c r="G34" s="311">
        <v>393.24400000000003</v>
      </c>
      <c r="H34" s="858">
        <v>217.64599999999999</v>
      </c>
      <c r="I34" s="11"/>
      <c r="J34" s="11"/>
      <c r="K34" s="11"/>
      <c r="L34" s="11"/>
      <c r="M34" s="11"/>
      <c r="N34" s="11"/>
      <c r="O34" s="11"/>
      <c r="P34" s="11"/>
      <c r="Q34" s="11"/>
      <c r="R34" s="11"/>
      <c r="S34" s="11"/>
      <c r="T34" s="11"/>
      <c r="U34" s="11"/>
      <c r="V34" s="11"/>
      <c r="W34" s="11"/>
      <c r="X34" s="11"/>
      <c r="Y34" s="11"/>
      <c r="Z34" s="11"/>
      <c r="AA34" s="11"/>
      <c r="AB34" s="11"/>
    </row>
    <row r="35" spans="1:28" x14ac:dyDescent="0.25">
      <c r="A35" s="293" t="s">
        <v>954</v>
      </c>
      <c r="B35" s="398">
        <f>B34+B33+B32+B30</f>
        <v>35.424628977272718</v>
      </c>
      <c r="C35" s="398">
        <f>C34+C33+C32+C30</f>
        <v>23.409638181818181</v>
      </c>
      <c r="D35" s="1382">
        <f>C35+B35</f>
        <v>58.834267159090899</v>
      </c>
      <c r="E35" s="423"/>
      <c r="F35" s="1097" t="s">
        <v>592</v>
      </c>
      <c r="G35" s="398">
        <f>G34+G33</f>
        <v>860.07100000000003</v>
      </c>
      <c r="H35" s="1382">
        <f>H34+H33</f>
        <v>427.42200000000003</v>
      </c>
      <c r="I35" s="11"/>
      <c r="J35" s="11"/>
      <c r="K35" s="11"/>
      <c r="L35" s="11"/>
      <c r="M35" s="11"/>
      <c r="N35" s="11"/>
      <c r="O35" s="11"/>
      <c r="P35" s="11"/>
      <c r="Q35" s="11"/>
      <c r="R35" s="11"/>
      <c r="S35" s="11"/>
      <c r="T35" s="11"/>
      <c r="U35" s="11"/>
      <c r="V35" s="11"/>
      <c r="W35" s="11"/>
      <c r="X35" s="11"/>
      <c r="Y35" s="11"/>
      <c r="Z35" s="11"/>
      <c r="AA35" s="11"/>
      <c r="AB35" s="11"/>
    </row>
    <row r="36" spans="1:28" x14ac:dyDescent="0.25">
      <c r="A36" s="1378"/>
      <c r="B36" s="423"/>
      <c r="C36" s="423"/>
      <c r="D36" s="423"/>
      <c r="E36" s="423"/>
      <c r="F36" s="1390" t="s">
        <v>1922</v>
      </c>
      <c r="G36" s="1390"/>
      <c r="H36" s="1390"/>
      <c r="I36" s="11"/>
      <c r="J36" s="11"/>
      <c r="K36" s="11"/>
      <c r="L36" s="11"/>
      <c r="M36" s="11"/>
      <c r="N36" s="11"/>
      <c r="O36" s="11"/>
      <c r="P36" s="11"/>
      <c r="Q36" s="11"/>
      <c r="R36" s="11"/>
      <c r="S36" s="11"/>
      <c r="T36" s="11"/>
      <c r="U36" s="11"/>
      <c r="V36" s="11"/>
      <c r="W36" s="11"/>
      <c r="X36" s="11"/>
      <c r="Y36" s="11"/>
      <c r="Z36" s="11"/>
      <c r="AA36" s="11"/>
      <c r="AB36" s="11"/>
    </row>
    <row r="37" spans="1:28" x14ac:dyDescent="0.25">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row>
    <row r="38" spans="1:28" x14ac:dyDescent="0.25">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row>
    <row r="39" spans="1:28" x14ac:dyDescent="0.25">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row>
    <row r="40" spans="1:28" x14ac:dyDescent="0.25">
      <c r="A40" s="11"/>
      <c r="B40" s="11"/>
      <c r="C40" s="11"/>
      <c r="D40" s="11"/>
      <c r="E40" s="11"/>
      <c r="F40" s="11"/>
      <c r="G40" s="687">
        <f>G22/B17</f>
        <v>0.24882148072429905</v>
      </c>
      <c r="H40" s="11"/>
      <c r="I40" s="11"/>
      <c r="J40" s="11"/>
      <c r="K40" s="11"/>
      <c r="L40" s="11"/>
      <c r="M40" s="11"/>
      <c r="N40" s="11" t="s">
        <v>1211</v>
      </c>
      <c r="O40" s="11"/>
      <c r="P40" s="11"/>
      <c r="Q40" s="11"/>
      <c r="R40" s="11"/>
      <c r="S40" s="11"/>
      <c r="T40" s="11"/>
      <c r="U40" s="11"/>
      <c r="V40" s="11"/>
      <c r="W40" s="11"/>
      <c r="X40" s="11"/>
      <c r="Y40" s="11"/>
      <c r="Z40" s="11"/>
      <c r="AA40" s="11"/>
      <c r="AB40" s="11"/>
    </row>
    <row r="41" spans="1:28" x14ac:dyDescent="0.25">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row>
    <row r="42" spans="1:28" x14ac:dyDescent="0.25">
      <c r="A42" s="11"/>
      <c r="B42" s="11"/>
      <c r="C42" s="11"/>
      <c r="D42" s="11"/>
      <c r="E42" s="11"/>
      <c r="F42" s="11"/>
      <c r="G42" s="10" t="s">
        <v>2055</v>
      </c>
      <c r="H42" s="11"/>
      <c r="I42" s="11"/>
      <c r="J42" s="11"/>
      <c r="K42" s="11"/>
      <c r="L42" s="11"/>
      <c r="M42" s="11"/>
      <c r="N42" s="747" t="s">
        <v>2055</v>
      </c>
      <c r="O42" s="747" t="s">
        <v>1635</v>
      </c>
      <c r="P42" s="11"/>
      <c r="Q42" s="11"/>
      <c r="R42" s="11"/>
      <c r="S42" s="11"/>
      <c r="T42" s="11"/>
      <c r="U42" s="11"/>
      <c r="V42" s="11"/>
      <c r="W42" s="11"/>
      <c r="X42" s="11"/>
      <c r="Y42" s="11"/>
      <c r="Z42" s="11"/>
      <c r="AA42" s="11"/>
      <c r="AB42" s="11"/>
    </row>
    <row r="43" spans="1:28" x14ac:dyDescent="0.25">
      <c r="A43" s="11"/>
      <c r="B43" s="11"/>
      <c r="C43" s="11"/>
      <c r="D43" s="11"/>
      <c r="E43" s="11"/>
      <c r="F43" s="11"/>
      <c r="G43" s="11">
        <f>$G$7*0.8</f>
        <v>249.66</v>
      </c>
      <c r="H43" s="11" t="s">
        <v>585</v>
      </c>
      <c r="I43" s="11">
        <f>G43/0.06</f>
        <v>4161</v>
      </c>
      <c r="J43" s="11"/>
      <c r="K43" s="11"/>
      <c r="L43" s="1035">
        <f>0.26/100</f>
        <v>2.5999999999999999E-3</v>
      </c>
      <c r="M43" s="11" t="s">
        <v>585</v>
      </c>
      <c r="N43" s="423">
        <f>$L$43*I43</f>
        <v>10.8186</v>
      </c>
      <c r="O43" s="423">
        <f>$L$43*I47</f>
        <v>9.414080000000002</v>
      </c>
      <c r="P43" s="11"/>
      <c r="Q43" s="11"/>
      <c r="R43" s="11"/>
      <c r="S43" s="11"/>
      <c r="T43" s="11"/>
      <c r="U43" s="11"/>
      <c r="V43" s="11"/>
      <c r="W43" s="11"/>
      <c r="X43" s="11"/>
      <c r="Y43" s="11"/>
      <c r="Z43" s="11"/>
      <c r="AA43" s="11"/>
      <c r="AB43" s="11"/>
    </row>
    <row r="44" spans="1:28" x14ac:dyDescent="0.25">
      <c r="A44" s="11"/>
      <c r="B44" s="11"/>
      <c r="C44" s="11"/>
      <c r="D44" s="11"/>
      <c r="E44" s="11"/>
      <c r="F44" s="11"/>
      <c r="G44" s="11">
        <f>G7-G43</f>
        <v>62.414999999999992</v>
      </c>
      <c r="H44" s="11" t="s">
        <v>584</v>
      </c>
      <c r="I44" s="11">
        <f>G44/0.15</f>
        <v>416.09999999999997</v>
      </c>
      <c r="J44" s="11"/>
      <c r="K44" s="11"/>
      <c r="L44" s="11"/>
      <c r="M44" s="11" t="s">
        <v>584</v>
      </c>
      <c r="N44" s="423">
        <f>$L$43*I44</f>
        <v>1.0818599999999998</v>
      </c>
      <c r="O44" s="423">
        <f>$L$43*I48</f>
        <v>0.94140800000000002</v>
      </c>
      <c r="P44" s="11"/>
      <c r="Q44" s="11"/>
      <c r="R44" s="11"/>
      <c r="S44" s="11"/>
      <c r="T44" s="11"/>
      <c r="U44" s="11"/>
      <c r="V44" s="11"/>
      <c r="W44" s="11"/>
      <c r="X44" s="11"/>
      <c r="Y44" s="11"/>
      <c r="Z44" s="11"/>
      <c r="AA44" s="11"/>
      <c r="AB44" s="11"/>
    </row>
    <row r="45" spans="1:28" x14ac:dyDescent="0.25">
      <c r="A45" s="11"/>
      <c r="B45" s="11"/>
      <c r="C45" s="11"/>
      <c r="D45" s="11"/>
      <c r="E45" s="11"/>
      <c r="F45" s="423"/>
      <c r="G45" s="423"/>
      <c r="H45" s="11"/>
      <c r="I45" s="11"/>
      <c r="J45" s="11"/>
      <c r="K45" s="423"/>
      <c r="L45" s="426"/>
      <c r="M45" s="11" t="s">
        <v>841</v>
      </c>
      <c r="N45" s="653">
        <f>SUM(N43:N44)</f>
        <v>11.900459999999999</v>
      </c>
      <c r="O45" s="653">
        <f>SUM(O43:O44)</f>
        <v>10.355488000000001</v>
      </c>
      <c r="P45" s="10">
        <f>SUM(N45:O45)</f>
        <v>22.255948</v>
      </c>
      <c r="Q45" s="11"/>
      <c r="R45" s="11"/>
      <c r="S45" s="11"/>
      <c r="T45" s="11"/>
      <c r="U45" s="11"/>
      <c r="V45" s="11"/>
      <c r="W45" s="11"/>
      <c r="X45" s="11"/>
      <c r="Y45" s="11"/>
      <c r="Z45" s="11"/>
      <c r="AA45" s="11"/>
      <c r="AB45" s="11"/>
    </row>
    <row r="46" spans="1:28" x14ac:dyDescent="0.25">
      <c r="A46" s="11"/>
      <c r="B46" s="11"/>
      <c r="C46" s="11"/>
      <c r="D46" s="11"/>
      <c r="E46" s="11"/>
      <c r="F46" s="423"/>
      <c r="G46" s="653" t="s">
        <v>1635</v>
      </c>
      <c r="H46" s="11"/>
      <c r="I46" s="11"/>
      <c r="J46" s="11"/>
      <c r="K46" s="11"/>
      <c r="L46" s="426"/>
      <c r="M46" s="11"/>
      <c r="N46" s="11"/>
      <c r="O46" s="11"/>
      <c r="P46" s="11"/>
      <c r="Q46" s="11"/>
      <c r="R46" s="11"/>
      <c r="S46" s="11"/>
      <c r="T46" s="11"/>
      <c r="U46" s="11"/>
      <c r="V46" s="11"/>
      <c r="W46" s="11"/>
      <c r="X46" s="11"/>
      <c r="Y46" s="11"/>
      <c r="Z46" s="11"/>
      <c r="AA46" s="11"/>
      <c r="AB46" s="11"/>
    </row>
    <row r="47" spans="1:28" x14ac:dyDescent="0.25">
      <c r="A47" s="11"/>
      <c r="B47" s="11"/>
      <c r="C47" s="11"/>
      <c r="D47" s="11"/>
      <c r="E47" s="11"/>
      <c r="F47" s="423"/>
      <c r="G47" s="11">
        <f>$H$7*0.8</f>
        <v>217.24800000000002</v>
      </c>
      <c r="H47" s="11" t="s">
        <v>585</v>
      </c>
      <c r="I47" s="11">
        <f>G47/0.06</f>
        <v>3620.8000000000006</v>
      </c>
      <c r="J47" s="11"/>
      <c r="K47" s="11"/>
      <c r="L47" s="426"/>
      <c r="M47" s="11"/>
      <c r="N47" s="11">
        <f>N45-B28</f>
        <v>114.88521</v>
      </c>
      <c r="O47" s="11">
        <f>O45-C28</f>
        <v>99.970288000000011</v>
      </c>
      <c r="P47" s="11"/>
      <c r="Q47" s="11"/>
      <c r="R47" s="11"/>
      <c r="S47" s="11"/>
      <c r="T47" s="11"/>
      <c r="U47" s="11"/>
      <c r="V47" s="11"/>
      <c r="W47" s="11"/>
      <c r="X47" s="11"/>
      <c r="Y47" s="11"/>
      <c r="Z47" s="11"/>
      <c r="AA47" s="11"/>
      <c r="AB47" s="11"/>
    </row>
    <row r="48" spans="1:28" x14ac:dyDescent="0.25">
      <c r="A48" s="11"/>
      <c r="B48" s="11"/>
      <c r="C48" s="11"/>
      <c r="D48" s="11"/>
      <c r="E48" s="11"/>
      <c r="F48" s="423"/>
      <c r="G48" s="11">
        <f>$H$7*0.2</f>
        <v>54.312000000000005</v>
      </c>
      <c r="H48" s="11" t="s">
        <v>584</v>
      </c>
      <c r="I48" s="11">
        <f>G48/0.15</f>
        <v>362.08000000000004</v>
      </c>
      <c r="J48" s="11"/>
      <c r="K48" s="11"/>
      <c r="L48" s="426"/>
      <c r="M48" s="11"/>
      <c r="N48" s="280">
        <f>N47/G7</f>
        <v>0.36813333333333337</v>
      </c>
      <c r="O48" s="280">
        <f>O47/H7</f>
        <v>0.36813333333333337</v>
      </c>
      <c r="P48" s="280"/>
      <c r="Q48" s="280"/>
      <c r="R48" s="11"/>
      <c r="S48" s="11"/>
      <c r="T48" s="11"/>
      <c r="U48" s="11"/>
      <c r="V48" s="11"/>
      <c r="W48" s="11"/>
      <c r="X48" s="11"/>
      <c r="Y48" s="11"/>
      <c r="Z48" s="11"/>
      <c r="AA48" s="11"/>
      <c r="AB48" s="11"/>
    </row>
    <row r="49" spans="1:28" x14ac:dyDescent="0.25">
      <c r="A49" s="11"/>
      <c r="B49" s="11"/>
      <c r="C49" s="11"/>
      <c r="D49" s="11"/>
      <c r="E49" s="11"/>
      <c r="F49" s="423"/>
      <c r="G49" s="11"/>
      <c r="H49" s="11"/>
      <c r="I49" s="11"/>
      <c r="J49" s="11"/>
      <c r="K49" s="11"/>
      <c r="L49" s="426"/>
      <c r="M49" s="11" t="s">
        <v>141</v>
      </c>
      <c r="N49" s="687">
        <f>-N45*G23/G28</f>
        <v>-0.99887283749125666</v>
      </c>
      <c r="O49" s="687">
        <f>-O45*H23/H28</f>
        <v>-0.86919460946607618</v>
      </c>
      <c r="P49" s="1469">
        <f>SUM(N49:O49)</f>
        <v>-1.8680674469573328</v>
      </c>
      <c r="Q49" s="280"/>
      <c r="R49" s="11"/>
      <c r="S49" s="11"/>
      <c r="T49" s="11"/>
      <c r="U49" s="11"/>
      <c r="V49" s="11"/>
      <c r="W49" s="11"/>
      <c r="X49" s="11"/>
      <c r="Y49" s="11"/>
      <c r="Z49" s="11"/>
      <c r="AA49" s="11"/>
      <c r="AB49" s="11"/>
    </row>
  </sheetData>
  <phoneticPr fontId="13" type="noConversion"/>
  <pageMargins left="0.5" right="0.5" top="0.5" bottom="0.5" header="0.5" footer="0.5"/>
  <pageSetup scale="2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autoPageBreaks="0"/>
  </sheetPr>
  <dimension ref="A1:AB102"/>
  <sheetViews>
    <sheetView zoomScale="85" zoomScaleNormal="85" workbookViewId="0">
      <selection activeCell="D22" sqref="D22"/>
    </sheetView>
  </sheetViews>
  <sheetFormatPr defaultRowHeight="15.75" x14ac:dyDescent="0.25"/>
  <cols>
    <col min="1" max="1" width="23.75" customWidth="1"/>
    <col min="4" max="4" width="22.625" customWidth="1"/>
    <col min="5" max="5" width="9.875" bestFit="1" customWidth="1"/>
    <col min="7" max="7" width="16" customWidth="1"/>
    <col min="8" max="8" width="9.875" bestFit="1" customWidth="1"/>
    <col min="10" max="10" width="13.75" customWidth="1"/>
  </cols>
  <sheetData>
    <row r="1" spans="1:28" x14ac:dyDescent="0.25">
      <c r="A1" s="12" t="s">
        <v>1633</v>
      </c>
      <c r="B1" s="21"/>
      <c r="C1" s="21"/>
      <c r="D1" s="21"/>
      <c r="E1" s="21"/>
      <c r="F1" s="21"/>
      <c r="G1" s="21"/>
      <c r="H1" s="21"/>
      <c r="I1" s="21"/>
      <c r="J1" s="21"/>
      <c r="K1" s="21"/>
      <c r="L1" s="21"/>
      <c r="M1" s="21"/>
      <c r="N1" s="21"/>
      <c r="O1" s="21"/>
      <c r="P1" s="21"/>
      <c r="Q1" s="21"/>
      <c r="R1" s="21"/>
      <c r="S1" s="21"/>
      <c r="T1" s="21"/>
      <c r="U1" s="21"/>
      <c r="V1" s="21"/>
      <c r="W1" s="21"/>
      <c r="X1" s="21"/>
      <c r="Y1" s="21"/>
      <c r="Z1" s="21"/>
      <c r="AA1" s="21"/>
      <c r="AB1" s="21"/>
    </row>
    <row r="2" spans="1:28" x14ac:dyDescent="0.25">
      <c r="A2" s="921" t="s">
        <v>883</v>
      </c>
      <c r="B2" s="21"/>
      <c r="C2" s="21"/>
      <c r="D2" s="21"/>
      <c r="E2" s="21"/>
      <c r="F2" s="21"/>
      <c r="G2" s="21"/>
      <c r="H2" s="21"/>
      <c r="I2" s="21"/>
      <c r="J2" s="21"/>
      <c r="K2" s="21"/>
      <c r="L2" s="21"/>
      <c r="M2" s="21"/>
      <c r="N2" s="21"/>
      <c r="O2" s="21"/>
      <c r="P2" s="21"/>
      <c r="Q2" s="21"/>
      <c r="R2" s="21"/>
      <c r="S2" s="21"/>
      <c r="T2" s="21"/>
      <c r="U2" s="21"/>
      <c r="V2" s="21"/>
      <c r="W2" s="21"/>
      <c r="X2" s="21"/>
      <c r="Y2" s="21"/>
      <c r="Z2" s="21"/>
      <c r="AA2" s="21"/>
      <c r="AB2" s="21"/>
    </row>
    <row r="3" spans="1:28" x14ac:dyDescent="0.25">
      <c r="A3" s="8" t="s">
        <v>1508</v>
      </c>
      <c r="B3" s="21"/>
      <c r="C3" s="21"/>
      <c r="D3" s="21"/>
      <c r="E3" s="21"/>
      <c r="F3" s="21"/>
      <c r="G3" s="21"/>
      <c r="H3" s="21"/>
      <c r="I3" s="21"/>
      <c r="J3" s="21"/>
      <c r="K3" s="21"/>
      <c r="L3" s="21"/>
      <c r="M3" s="21"/>
      <c r="N3" s="21"/>
      <c r="O3" s="21"/>
      <c r="P3" s="21"/>
      <c r="Q3" s="21"/>
      <c r="R3" s="21"/>
      <c r="S3" s="21"/>
      <c r="T3" s="21"/>
      <c r="U3" s="21"/>
      <c r="V3" s="21"/>
      <c r="W3" s="21"/>
      <c r="X3" s="21"/>
      <c r="Y3" s="21"/>
      <c r="Z3" s="21"/>
      <c r="AA3" s="21"/>
      <c r="AB3" s="21"/>
    </row>
    <row r="4" spans="1:28" x14ac:dyDescent="0.25">
      <c r="A4" s="21"/>
      <c r="B4" s="21"/>
      <c r="C4" s="21"/>
      <c r="D4" s="21"/>
      <c r="E4" s="21"/>
      <c r="F4" s="21"/>
      <c r="G4" s="21"/>
      <c r="H4" s="21"/>
      <c r="I4" s="21"/>
      <c r="J4" s="21"/>
      <c r="K4" s="21"/>
      <c r="L4" s="21"/>
      <c r="M4" s="21"/>
      <c r="N4" s="21"/>
      <c r="O4" s="21"/>
      <c r="P4" s="21"/>
      <c r="Q4" s="21"/>
      <c r="R4" s="21"/>
      <c r="S4" s="21"/>
      <c r="T4" s="21"/>
      <c r="U4" s="21"/>
      <c r="V4" s="21"/>
      <c r="W4" s="21"/>
      <c r="X4" s="21"/>
      <c r="Y4" s="21"/>
      <c r="Z4" s="21"/>
      <c r="AA4" s="21"/>
      <c r="AB4" s="21"/>
    </row>
    <row r="5" spans="1:28" x14ac:dyDescent="0.25">
      <c r="A5" s="16" t="s">
        <v>2055</v>
      </c>
      <c r="B5" s="21"/>
      <c r="C5" s="21"/>
      <c r="D5" s="16" t="s">
        <v>1635</v>
      </c>
      <c r="E5" s="21"/>
      <c r="F5" s="31"/>
      <c r="G5" s="176" t="s">
        <v>1277</v>
      </c>
      <c r="H5" s="177"/>
      <c r="I5" s="21"/>
      <c r="J5" s="15" t="s">
        <v>1278</v>
      </c>
      <c r="K5" s="21"/>
      <c r="L5" s="21"/>
      <c r="M5" s="21"/>
      <c r="N5" s="21"/>
      <c r="O5" s="21"/>
      <c r="P5" s="178" t="s">
        <v>1279</v>
      </c>
      <c r="Q5" s="21"/>
      <c r="R5" s="21"/>
      <c r="S5" s="21"/>
      <c r="T5" s="21"/>
      <c r="U5" s="21"/>
      <c r="V5" s="21"/>
      <c r="W5" s="21"/>
      <c r="X5" s="21"/>
      <c r="Y5" s="21"/>
      <c r="Z5" s="21"/>
      <c r="AA5" s="21"/>
      <c r="AB5" s="21"/>
    </row>
    <row r="6" spans="1:28" x14ac:dyDescent="0.25">
      <c r="A6" s="17" t="s">
        <v>1280</v>
      </c>
      <c r="B6" s="27">
        <f>H9*0.75</f>
        <v>428.70000000000005</v>
      </c>
      <c r="C6" s="21"/>
      <c r="D6" s="17" t="s">
        <v>1280</v>
      </c>
      <c r="E6" s="27">
        <f>H7*0.75</f>
        <v>187.42500000000001</v>
      </c>
      <c r="F6" s="21"/>
      <c r="G6" s="19" t="s">
        <v>1634</v>
      </c>
      <c r="H6" s="245">
        <v>430.3</v>
      </c>
      <c r="I6" s="21"/>
      <c r="J6" s="231" t="s">
        <v>37</v>
      </c>
      <c r="K6" s="230" t="s">
        <v>1281</v>
      </c>
      <c r="L6" s="230" t="s">
        <v>1282</v>
      </c>
      <c r="M6" s="230" t="s">
        <v>1283</v>
      </c>
      <c r="N6" s="228" t="s">
        <v>841</v>
      </c>
      <c r="O6" s="21"/>
      <c r="P6" s="21"/>
      <c r="Q6" s="21"/>
      <c r="R6" s="21"/>
      <c r="S6" s="21"/>
      <c r="T6" s="21"/>
      <c r="U6" s="21"/>
      <c r="V6" s="21"/>
      <c r="W6" s="21"/>
      <c r="X6" s="21"/>
      <c r="Y6" s="21"/>
      <c r="Z6" s="21"/>
      <c r="AA6" s="21"/>
      <c r="AB6" s="21"/>
    </row>
    <row r="7" spans="1:28" x14ac:dyDescent="0.25">
      <c r="A7" s="17" t="s">
        <v>1284</v>
      </c>
      <c r="B7" s="26">
        <f>B6*0.1</f>
        <v>42.870000000000005</v>
      </c>
      <c r="C7" s="21"/>
      <c r="D7" s="17" t="s">
        <v>1284</v>
      </c>
      <c r="E7" s="26">
        <f>E6*0.1</f>
        <v>18.742500000000003</v>
      </c>
      <c r="F7" s="179"/>
      <c r="G7" s="180" t="s">
        <v>1635</v>
      </c>
      <c r="H7" s="245">
        <v>249.9</v>
      </c>
      <c r="I7" s="21"/>
      <c r="J7" s="23" t="s">
        <v>1226</v>
      </c>
      <c r="K7" s="181">
        <f>PENN!AF883</f>
        <v>3848.3</v>
      </c>
      <c r="L7" s="181">
        <v>1502</v>
      </c>
      <c r="M7" s="181">
        <v>1866</v>
      </c>
      <c r="N7" s="181">
        <f>SUM(K7:M7)</f>
        <v>7216.3</v>
      </c>
      <c r="O7" s="21"/>
      <c r="P7" s="182" t="s">
        <v>1671</v>
      </c>
      <c r="Q7" s="182" t="s">
        <v>1671</v>
      </c>
      <c r="R7" s="182" t="s">
        <v>1672</v>
      </c>
      <c r="S7" s="182" t="s">
        <v>2112</v>
      </c>
      <c r="T7" s="182" t="s">
        <v>2113</v>
      </c>
      <c r="U7" s="182" t="s">
        <v>2115</v>
      </c>
      <c r="V7" s="182" t="s">
        <v>2116</v>
      </c>
      <c r="W7" s="182" t="s">
        <v>2117</v>
      </c>
      <c r="X7" s="182" t="s">
        <v>2118</v>
      </c>
      <c r="Y7" s="182" t="s">
        <v>1309</v>
      </c>
      <c r="Z7" s="182" t="s">
        <v>1310</v>
      </c>
      <c r="AA7" s="182" t="s">
        <v>1311</v>
      </c>
      <c r="AB7" s="182" t="s">
        <v>1312</v>
      </c>
    </row>
    <row r="8" spans="1:28" x14ac:dyDescent="0.25">
      <c r="A8" s="15" t="s">
        <v>2053</v>
      </c>
      <c r="B8" s="25">
        <f>SUM(B6:B7)</f>
        <v>471.57000000000005</v>
      </c>
      <c r="C8" s="21"/>
      <c r="D8" s="15" t="s">
        <v>2053</v>
      </c>
      <c r="E8" s="25">
        <f>SUM(E6:E7)</f>
        <v>206.16750000000002</v>
      </c>
      <c r="F8" s="21"/>
      <c r="G8" s="180" t="s">
        <v>1511</v>
      </c>
      <c r="H8" s="245">
        <v>697.9</v>
      </c>
      <c r="I8" s="21"/>
      <c r="J8" s="23" t="s">
        <v>584</v>
      </c>
      <c r="K8" s="181">
        <f>PENN!AE878</f>
        <v>129</v>
      </c>
      <c r="L8" s="233">
        <v>42</v>
      </c>
      <c r="M8" s="233">
        <v>55</v>
      </c>
      <c r="N8" s="233">
        <f>SUM(K8:M8)</f>
        <v>226</v>
      </c>
      <c r="O8" s="21"/>
      <c r="P8" s="21">
        <v>100</v>
      </c>
      <c r="Q8" s="21">
        <v>5</v>
      </c>
      <c r="R8" s="21">
        <v>10</v>
      </c>
      <c r="S8" s="21">
        <v>25</v>
      </c>
      <c r="T8" s="21">
        <v>45</v>
      </c>
      <c r="U8" s="21">
        <v>65</v>
      </c>
      <c r="V8" s="21">
        <v>75</v>
      </c>
      <c r="W8" s="21">
        <v>75</v>
      </c>
      <c r="X8" s="21">
        <v>100</v>
      </c>
      <c r="Y8" s="21">
        <v>125</v>
      </c>
      <c r="Z8" s="21">
        <v>150</v>
      </c>
      <c r="AA8" s="21">
        <v>50</v>
      </c>
      <c r="AB8" s="21">
        <v>20</v>
      </c>
    </row>
    <row r="9" spans="1:28" x14ac:dyDescent="0.25">
      <c r="A9" s="21" t="s">
        <v>2054</v>
      </c>
      <c r="B9" s="26">
        <f>-B6*0.125</f>
        <v>-53.587500000000006</v>
      </c>
      <c r="C9" s="21"/>
      <c r="D9" s="21" t="s">
        <v>2054</v>
      </c>
      <c r="E9" s="26">
        <f>-E6*0.125</f>
        <v>-23.428125000000001</v>
      </c>
      <c r="F9" s="22"/>
      <c r="G9" s="183" t="s">
        <v>2055</v>
      </c>
      <c r="H9" s="246">
        <v>571.6</v>
      </c>
      <c r="I9" s="21"/>
      <c r="J9" s="23" t="s">
        <v>585</v>
      </c>
      <c r="K9" s="181">
        <f>PENN!AE877</f>
        <v>3229</v>
      </c>
      <c r="L9" s="233">
        <v>1388</v>
      </c>
      <c r="M9" s="233">
        <v>1514</v>
      </c>
      <c r="N9" s="233">
        <f>SUM(K9:M9)</f>
        <v>6131</v>
      </c>
      <c r="O9" s="21"/>
      <c r="P9" s="21">
        <f t="shared" ref="P9:AB9" si="0">(P8*$B$49)</f>
        <v>75</v>
      </c>
      <c r="Q9" s="21">
        <f t="shared" si="0"/>
        <v>3.75</v>
      </c>
      <c r="R9" s="21">
        <f t="shared" si="0"/>
        <v>7.5</v>
      </c>
      <c r="S9" s="21">
        <f t="shared" si="0"/>
        <v>18.75</v>
      </c>
      <c r="T9" s="21">
        <f t="shared" si="0"/>
        <v>33.75</v>
      </c>
      <c r="U9" s="21">
        <f t="shared" si="0"/>
        <v>48.75</v>
      </c>
      <c r="V9" s="21">
        <f t="shared" si="0"/>
        <v>56.25</v>
      </c>
      <c r="W9" s="21">
        <f t="shared" si="0"/>
        <v>56.25</v>
      </c>
      <c r="X9" s="21">
        <f t="shared" si="0"/>
        <v>75</v>
      </c>
      <c r="Y9" s="21">
        <f t="shared" si="0"/>
        <v>93.75</v>
      </c>
      <c r="Z9" s="21">
        <f t="shared" si="0"/>
        <v>112.5</v>
      </c>
      <c r="AA9" s="21">
        <f t="shared" si="0"/>
        <v>37.5</v>
      </c>
      <c r="AB9" s="21">
        <f t="shared" si="0"/>
        <v>15</v>
      </c>
    </row>
    <row r="10" spans="1:28" x14ac:dyDescent="0.25">
      <c r="A10" s="15" t="s">
        <v>2056</v>
      </c>
      <c r="B10" s="25">
        <f>SUM(B8:B9)</f>
        <v>417.98250000000007</v>
      </c>
      <c r="C10" s="21"/>
      <c r="D10" s="15" t="s">
        <v>2056</v>
      </c>
      <c r="E10" s="25">
        <f>SUM(E8:E9)</f>
        <v>182.73937500000002</v>
      </c>
      <c r="F10" s="23"/>
      <c r="G10" s="184" t="s">
        <v>841</v>
      </c>
      <c r="H10" s="185">
        <f>SUM(H6:H9)</f>
        <v>1949.6999999999998</v>
      </c>
      <c r="I10" s="21"/>
      <c r="J10" s="23" t="s">
        <v>38</v>
      </c>
      <c r="K10" s="26">
        <f>PENN!AF886</f>
        <v>426.09999999999997</v>
      </c>
      <c r="L10" s="234">
        <v>110.3</v>
      </c>
      <c r="M10" s="234">
        <v>154.80000000000001</v>
      </c>
      <c r="N10" s="234">
        <f>SUM(K10:M10)</f>
        <v>691.2</v>
      </c>
      <c r="O10" s="21"/>
      <c r="P10" s="21">
        <f>P9</f>
        <v>75</v>
      </c>
      <c r="Q10" s="21">
        <f t="shared" ref="Q10:Y10" si="1">P10+Q9</f>
        <v>78.75</v>
      </c>
      <c r="R10" s="21">
        <f t="shared" si="1"/>
        <v>86.25</v>
      </c>
      <c r="S10" s="21">
        <f t="shared" si="1"/>
        <v>105</v>
      </c>
      <c r="T10" s="21">
        <f t="shared" si="1"/>
        <v>138.75</v>
      </c>
      <c r="U10" s="21">
        <f t="shared" si="1"/>
        <v>187.5</v>
      </c>
      <c r="V10" s="21">
        <f t="shared" si="1"/>
        <v>243.75</v>
      </c>
      <c r="W10" s="21">
        <f t="shared" si="1"/>
        <v>300</v>
      </c>
      <c r="X10" s="21">
        <f t="shared" si="1"/>
        <v>375</v>
      </c>
      <c r="Y10" s="21">
        <f t="shared" si="1"/>
        <v>468.75</v>
      </c>
      <c r="Z10" s="21">
        <f>X10+Z9</f>
        <v>487.5</v>
      </c>
      <c r="AA10" s="21">
        <f>Z10+AA9</f>
        <v>525</v>
      </c>
      <c r="AB10" s="21">
        <f>AA10+AB9</f>
        <v>540</v>
      </c>
    </row>
    <row r="11" spans="1:28" x14ac:dyDescent="0.25">
      <c r="A11" s="17" t="s">
        <v>1892</v>
      </c>
      <c r="B11" s="186">
        <v>0.27500000000000002</v>
      </c>
      <c r="C11" s="21"/>
      <c r="D11" s="17" t="s">
        <v>1892</v>
      </c>
      <c r="E11" s="186">
        <v>0.25</v>
      </c>
      <c r="F11" s="23"/>
      <c r="G11" s="187" t="s">
        <v>1314</v>
      </c>
      <c r="H11" s="188">
        <v>0.33</v>
      </c>
      <c r="I11" s="21"/>
      <c r="J11" s="189" t="s">
        <v>1315</v>
      </c>
      <c r="K11" s="190">
        <f>364.2/K10</f>
        <v>0.85472893686927953</v>
      </c>
      <c r="L11" s="235">
        <f>99.8/L10</f>
        <v>0.90480507706255664</v>
      </c>
      <c r="M11" s="235">
        <f>134.3/M10</f>
        <v>0.86757105943152457</v>
      </c>
      <c r="N11" s="235">
        <f>(364.2+99.8+134.3)/N10</f>
        <v>0.86559606481481466</v>
      </c>
      <c r="O11" s="21"/>
      <c r="P11" s="23">
        <f t="shared" ref="P11:AB11" si="2">P10*0.065/4</f>
        <v>1.21875</v>
      </c>
      <c r="Q11" s="23">
        <f t="shared" si="2"/>
        <v>1.2796875000000001</v>
      </c>
      <c r="R11" s="23">
        <f t="shared" si="2"/>
        <v>1.4015625</v>
      </c>
      <c r="S11" s="23">
        <f t="shared" si="2"/>
        <v>1.70625</v>
      </c>
      <c r="T11" s="23">
        <f t="shared" si="2"/>
        <v>2.2546875000000002</v>
      </c>
      <c r="U11" s="23">
        <f t="shared" si="2"/>
        <v>3.046875</v>
      </c>
      <c r="V11" s="23">
        <f t="shared" si="2"/>
        <v>3.9609375</v>
      </c>
      <c r="W11" s="23">
        <f t="shared" si="2"/>
        <v>4.875</v>
      </c>
      <c r="X11" s="23">
        <f t="shared" si="2"/>
        <v>6.09375</v>
      </c>
      <c r="Y11" s="23">
        <f t="shared" si="2"/>
        <v>7.6171875</v>
      </c>
      <c r="Z11" s="23">
        <f t="shared" si="2"/>
        <v>7.921875</v>
      </c>
      <c r="AA11" s="23">
        <f t="shared" si="2"/>
        <v>8.53125</v>
      </c>
      <c r="AB11" s="23">
        <f t="shared" si="2"/>
        <v>8.7750000000000004</v>
      </c>
    </row>
    <row r="12" spans="1:28" x14ac:dyDescent="0.25">
      <c r="A12" s="191" t="s">
        <v>1624</v>
      </c>
      <c r="B12" s="192">
        <f>B10*B11</f>
        <v>114.94518750000003</v>
      </c>
      <c r="C12" s="21"/>
      <c r="D12" s="191" t="s">
        <v>1624</v>
      </c>
      <c r="E12" s="192">
        <f>E10*E11</f>
        <v>45.684843750000006</v>
      </c>
      <c r="F12" s="23"/>
      <c r="G12" s="193" t="s">
        <v>1316</v>
      </c>
      <c r="H12" s="194">
        <f>H10*H11</f>
        <v>643.40099999999995</v>
      </c>
      <c r="I12" s="21"/>
      <c r="J12" s="23" t="s">
        <v>1509</v>
      </c>
      <c r="K12" s="234">
        <v>145.69999999999999</v>
      </c>
      <c r="L12" s="236">
        <v>30.5</v>
      </c>
      <c r="M12" s="234">
        <v>44.9</v>
      </c>
      <c r="N12" s="234">
        <f>SUM(K12:M12)</f>
        <v>221.1</v>
      </c>
      <c r="O12" s="21"/>
      <c r="P12" s="29"/>
      <c r="Q12" s="21"/>
      <c r="R12" s="21"/>
      <c r="S12" s="21"/>
      <c r="T12" s="21"/>
      <c r="U12" s="21"/>
      <c r="V12" s="21"/>
      <c r="W12" s="21"/>
      <c r="X12" s="21"/>
      <c r="Y12" s="21"/>
      <c r="Z12" s="21"/>
      <c r="AA12" s="21"/>
      <c r="AB12" s="21"/>
    </row>
    <row r="13" spans="1:28" x14ac:dyDescent="0.25">
      <c r="A13" s="21"/>
      <c r="B13" s="23"/>
      <c r="C13" s="21"/>
      <c r="D13" s="21"/>
      <c r="E13" s="23"/>
      <c r="F13" s="23"/>
      <c r="G13" s="23"/>
      <c r="H13" s="29"/>
      <c r="I13" s="21"/>
      <c r="J13" s="189" t="s">
        <v>1317</v>
      </c>
      <c r="K13" s="190">
        <f>K12/K10</f>
        <v>0.34193851208636472</v>
      </c>
      <c r="L13" s="235">
        <f>L12/L10</f>
        <v>0.27651858567543064</v>
      </c>
      <c r="M13" s="235">
        <f>M12/M10</f>
        <v>0.2900516795865633</v>
      </c>
      <c r="N13" s="235">
        <f>N12/N10</f>
        <v>0.31987847222222221</v>
      </c>
      <c r="O13" s="21"/>
      <c r="P13" s="23">
        <f>SUM(P11:Z11)</f>
        <v>41.376562499999999</v>
      </c>
      <c r="Q13" s="21"/>
      <c r="R13" s="21"/>
      <c r="S13" s="21"/>
      <c r="T13" s="21"/>
      <c r="U13" s="21"/>
      <c r="V13" s="21"/>
      <c r="W13" s="21"/>
      <c r="X13" s="21"/>
      <c r="Y13" s="21"/>
      <c r="Z13" s="21"/>
      <c r="AA13" s="21"/>
      <c r="AB13" s="21"/>
    </row>
    <row r="14" spans="1:28" x14ac:dyDescent="0.25">
      <c r="A14" s="191" t="s">
        <v>2023</v>
      </c>
      <c r="B14" s="192">
        <f>E12+B12</f>
        <v>160.63003125000003</v>
      </c>
      <c r="C14" s="21"/>
      <c r="D14" s="21"/>
      <c r="E14" s="21"/>
      <c r="F14" s="23"/>
      <c r="G14" s="176" t="s">
        <v>1318</v>
      </c>
      <c r="H14" s="196"/>
      <c r="I14" s="21"/>
      <c r="J14" s="23"/>
      <c r="K14" s="195"/>
      <c r="L14" s="195"/>
      <c r="M14" s="195"/>
      <c r="N14" s="21"/>
      <c r="O14" s="21"/>
      <c r="P14" s="23">
        <f>B20*0.065*B49</f>
        <v>41.017107421874996</v>
      </c>
      <c r="Q14" s="21"/>
      <c r="R14" s="21"/>
      <c r="S14" s="21"/>
      <c r="T14" s="21"/>
      <c r="U14" s="21"/>
      <c r="V14" s="21"/>
      <c r="W14" s="21"/>
      <c r="X14" s="21"/>
      <c r="Y14" s="21"/>
      <c r="Z14" s="21"/>
      <c r="AA14" s="21"/>
      <c r="AB14" s="21"/>
    </row>
    <row r="15" spans="1:28" x14ac:dyDescent="0.25">
      <c r="A15" s="21"/>
      <c r="B15" s="23"/>
      <c r="C15" s="21"/>
      <c r="D15" s="21"/>
      <c r="E15" s="21">
        <f>E10+B10</f>
        <v>600.72187500000007</v>
      </c>
      <c r="F15" s="23"/>
      <c r="G15" s="180" t="s">
        <v>1939</v>
      </c>
      <c r="H15" s="197"/>
      <c r="I15" s="21"/>
      <c r="J15" s="237" t="s">
        <v>1940</v>
      </c>
      <c r="K15" s="232">
        <f>IF(K10&gt;25,K23*25,K10*K23)</f>
        <v>3.75</v>
      </c>
      <c r="L15" s="232">
        <f>IF(L10&gt;25,L23*25,L10*L23)</f>
        <v>3.75</v>
      </c>
      <c r="M15" s="232">
        <f>IF(M10&gt;25,M23*25,M10*M23)</f>
        <v>3.75</v>
      </c>
      <c r="N15" s="21"/>
      <c r="O15" s="21"/>
      <c r="P15" s="21"/>
      <c r="Q15" s="21"/>
      <c r="R15" s="21"/>
      <c r="S15" s="21"/>
      <c r="T15" s="21"/>
      <c r="U15" s="21"/>
      <c r="V15" s="21"/>
      <c r="W15" s="21"/>
      <c r="X15" s="21"/>
      <c r="Y15" s="21"/>
      <c r="Z15" s="21"/>
      <c r="AA15" s="21"/>
      <c r="AB15" s="21"/>
    </row>
    <row r="16" spans="1:28" x14ac:dyDescent="0.25">
      <c r="A16" s="21"/>
      <c r="B16" s="26"/>
      <c r="C16" s="21"/>
      <c r="D16" s="21"/>
      <c r="E16" s="23"/>
      <c r="F16" s="23"/>
      <c r="G16" s="198" t="s">
        <v>1941</v>
      </c>
      <c r="H16" s="199">
        <v>0.38</v>
      </c>
      <c r="I16" s="21"/>
      <c r="J16" s="237" t="s">
        <v>1747</v>
      </c>
      <c r="K16" s="232">
        <f>IF(K10&gt;50,25*K24,IF(K10&lt;25,0,(K10-25)*K24))</f>
        <v>5</v>
      </c>
      <c r="L16" s="232">
        <f>IF(L10&gt;50,25*L24,IF(L10&lt;25,0,(L10-25)*L24))</f>
        <v>5</v>
      </c>
      <c r="M16" s="232">
        <f>IF(M10&gt;50,25*M24,IF(M10&lt;25,0,(M10-25)*M24))</f>
        <v>5</v>
      </c>
      <c r="N16" s="21"/>
      <c r="O16" s="21"/>
      <c r="P16" s="21"/>
      <c r="Q16" s="21"/>
      <c r="R16" s="21"/>
      <c r="S16" s="21"/>
      <c r="T16" s="21"/>
      <c r="U16" s="21"/>
      <c r="V16" s="21"/>
      <c r="W16" s="21"/>
      <c r="X16" s="21"/>
      <c r="Y16" s="21"/>
      <c r="Z16" s="21"/>
      <c r="AA16" s="21"/>
      <c r="AB16" s="21"/>
    </row>
    <row r="17" spans="1:28" x14ac:dyDescent="0.25">
      <c r="A17" s="21"/>
      <c r="B17" s="23"/>
      <c r="C17" s="21"/>
      <c r="D17" s="21"/>
      <c r="E17" s="21"/>
      <c r="F17" s="21"/>
      <c r="G17" s="21"/>
      <c r="H17" s="21"/>
      <c r="I17" s="21"/>
      <c r="J17" s="237" t="s">
        <v>1891</v>
      </c>
      <c r="K17" s="232">
        <f>IF(K10&gt;75,25*K25,IF(K10&lt;25,0,(K10-50)*K25))</f>
        <v>6.25</v>
      </c>
      <c r="L17" s="232">
        <f>IF(L10&gt;75,25*L25,IF(L10&lt;25,0,(L10-50)*L25))</f>
        <v>6.25</v>
      </c>
      <c r="M17" s="232">
        <f>IF(M10&gt;75,25*M25,IF(M10&lt;25,0,(M10-50)*M25))</f>
        <v>6.25</v>
      </c>
      <c r="N17" s="21"/>
      <c r="O17" s="21"/>
      <c r="P17" s="21"/>
      <c r="Q17" s="21"/>
      <c r="R17" s="21"/>
      <c r="S17" s="21"/>
      <c r="T17" s="21"/>
      <c r="U17" s="21"/>
      <c r="V17" s="21"/>
      <c r="W17" s="21"/>
      <c r="X17" s="21"/>
      <c r="Y17" s="21"/>
      <c r="Z17" s="21"/>
      <c r="AA17" s="21"/>
      <c r="AB17" s="21"/>
    </row>
    <row r="18" spans="1:28" x14ac:dyDescent="0.25">
      <c r="A18" s="191" t="s">
        <v>2023</v>
      </c>
      <c r="B18" s="192">
        <f>SUM(B14:B16)</f>
        <v>160.63003125000003</v>
      </c>
      <c r="C18" s="21"/>
      <c r="D18" s="21"/>
      <c r="E18" s="21"/>
      <c r="F18" s="21"/>
      <c r="G18" s="21"/>
      <c r="H18" s="21"/>
      <c r="I18" s="21"/>
      <c r="J18" s="237" t="s">
        <v>2024</v>
      </c>
      <c r="K18" s="232">
        <f>IF(K10&gt;150,75*K26,IF(K10&lt;25,0,(K10-75)*K26))</f>
        <v>22.5</v>
      </c>
      <c r="L18" s="232">
        <f>IF(L10&gt;150,75*L26,IF(L10&lt;25,0,(L10-75)*L26))</f>
        <v>10.589999999999998</v>
      </c>
      <c r="M18" s="232">
        <f>IF(M10&gt;150,75*M26,IF(M10&lt;25,0,(M10-75)*M26))</f>
        <v>22.5</v>
      </c>
      <c r="N18" s="21"/>
      <c r="O18" s="21"/>
      <c r="P18" s="21"/>
      <c r="Q18" s="21"/>
      <c r="R18" s="21"/>
      <c r="S18" s="21"/>
      <c r="T18" s="21"/>
      <c r="U18" s="21"/>
      <c r="V18" s="21"/>
      <c r="W18" s="21"/>
      <c r="X18" s="21"/>
      <c r="Y18" s="21"/>
      <c r="Z18" s="21"/>
      <c r="AA18" s="21"/>
      <c r="AB18" s="21"/>
    </row>
    <row r="19" spans="1:28" x14ac:dyDescent="0.25">
      <c r="A19" s="23"/>
      <c r="B19" s="29"/>
      <c r="C19" s="21"/>
      <c r="D19" s="21"/>
      <c r="E19" s="21"/>
      <c r="F19" s="21"/>
      <c r="G19" s="21"/>
      <c r="H19" s="21"/>
      <c r="I19" s="21"/>
      <c r="J19" s="237" t="s">
        <v>2025</v>
      </c>
      <c r="K19" s="232">
        <f>MAX(IF(K10&gt;600,450*K27,IF(K10&lt;25,0,(K10-150)*K27)),0)</f>
        <v>96.634999999999977</v>
      </c>
      <c r="L19" s="232">
        <f>MAX(IF(L10&gt;600,450*L27,IF(L10&lt;25,0,(L10-150)*L27)),0)</f>
        <v>0</v>
      </c>
      <c r="M19" s="232">
        <f>MAX(IF(M10&gt;600,450*M27,IF(M10&lt;25,0,(M10-150)*M27)),0)</f>
        <v>1.6800000000000039</v>
      </c>
      <c r="N19" s="21"/>
      <c r="O19" s="21"/>
      <c r="P19" s="21"/>
      <c r="Q19" s="21"/>
      <c r="R19" s="21"/>
      <c r="S19" s="21"/>
      <c r="T19" s="21"/>
      <c r="U19" s="21"/>
      <c r="V19" s="21"/>
      <c r="W19" s="21"/>
      <c r="X19" s="21"/>
      <c r="Y19" s="21"/>
      <c r="Z19" s="21"/>
      <c r="AA19" s="21"/>
      <c r="AB19" s="21"/>
    </row>
    <row r="20" spans="1:28" x14ac:dyDescent="0.25">
      <c r="A20" s="23" t="s">
        <v>2026</v>
      </c>
      <c r="B20" s="26">
        <f>400+300+50+50+P13</f>
        <v>841.37656249999998</v>
      </c>
      <c r="C20" s="21"/>
      <c r="D20" s="21"/>
      <c r="E20" s="21"/>
      <c r="F20" s="21"/>
      <c r="G20" s="21"/>
      <c r="H20" s="21"/>
      <c r="I20" s="21"/>
      <c r="J20" s="237" t="s">
        <v>2027</v>
      </c>
      <c r="K20" s="232">
        <f>IF(K11&gt;600,(K11-600)*K28,0)</f>
        <v>0</v>
      </c>
      <c r="L20" s="232">
        <f>IF(L11&gt;600,(L11-600)*L28,0)</f>
        <v>0</v>
      </c>
      <c r="M20" s="232">
        <f>IF(M11&gt;600,(M11-600)*M28,0)</f>
        <v>0</v>
      </c>
      <c r="N20" s="21"/>
      <c r="O20" s="21"/>
      <c r="P20" s="21"/>
      <c r="Q20" s="21"/>
      <c r="R20" s="21"/>
      <c r="S20" s="21"/>
      <c r="T20" s="21"/>
      <c r="U20" s="21"/>
      <c r="V20" s="21"/>
      <c r="W20" s="21"/>
      <c r="X20" s="21"/>
      <c r="Y20" s="21"/>
      <c r="Z20" s="21"/>
      <c r="AA20" s="21"/>
      <c r="AB20" s="21"/>
    </row>
    <row r="21" spans="1:28" x14ac:dyDescent="0.25">
      <c r="A21" s="23" t="s">
        <v>2028</v>
      </c>
      <c r="B21" s="26">
        <f>P14</f>
        <v>41.017107421874996</v>
      </c>
      <c r="C21" s="21"/>
      <c r="D21" s="21"/>
      <c r="E21" s="21"/>
      <c r="F21" s="21"/>
      <c r="G21" s="21"/>
      <c r="H21" s="21"/>
      <c r="I21" s="21"/>
      <c r="J21" s="238"/>
      <c r="K21" s="239"/>
      <c r="L21" s="238"/>
      <c r="M21" s="238"/>
      <c r="N21" s="21"/>
      <c r="O21" s="21"/>
      <c r="P21" s="21"/>
      <c r="Q21" s="21"/>
      <c r="R21" s="21"/>
      <c r="S21" s="21"/>
      <c r="T21" s="21"/>
      <c r="U21" s="21"/>
      <c r="V21" s="21"/>
      <c r="W21" s="21"/>
      <c r="X21" s="21"/>
      <c r="Y21" s="21"/>
      <c r="Z21" s="21"/>
      <c r="AA21" s="21"/>
      <c r="AB21" s="21"/>
    </row>
    <row r="22" spans="1:28" x14ac:dyDescent="0.25">
      <c r="A22" s="23" t="s">
        <v>2029</v>
      </c>
      <c r="B22" s="26">
        <f>B20/30</f>
        <v>28.045885416666668</v>
      </c>
      <c r="C22" s="23"/>
      <c r="D22" s="21"/>
      <c r="E22" s="21"/>
      <c r="F22" s="21"/>
      <c r="G22" s="21"/>
      <c r="H22" s="21"/>
      <c r="I22" s="21"/>
      <c r="J22" s="240" t="s">
        <v>607</v>
      </c>
      <c r="K22" s="239"/>
      <c r="L22" s="238"/>
      <c r="M22" s="238"/>
      <c r="N22" s="21"/>
      <c r="O22" s="21"/>
      <c r="P22" s="21"/>
      <c r="Q22" s="21"/>
      <c r="R22" s="21"/>
      <c r="S22" s="21"/>
      <c r="T22" s="21"/>
      <c r="U22" s="21"/>
      <c r="V22" s="21"/>
      <c r="W22" s="21"/>
      <c r="X22" s="21"/>
      <c r="Y22" s="21"/>
      <c r="Z22" s="21"/>
      <c r="AA22" s="21"/>
      <c r="AB22" s="21"/>
    </row>
    <row r="23" spans="1:28" x14ac:dyDescent="0.25">
      <c r="A23" s="23"/>
      <c r="B23" s="29"/>
      <c r="C23" s="23"/>
      <c r="D23" s="21"/>
      <c r="E23" s="21"/>
      <c r="F23" s="21"/>
      <c r="G23" s="21"/>
      <c r="H23" s="21"/>
      <c r="I23" s="21"/>
      <c r="J23" s="238" t="s">
        <v>608</v>
      </c>
      <c r="K23" s="241">
        <v>0.15</v>
      </c>
      <c r="L23" s="241">
        <v>0.15</v>
      </c>
      <c r="M23" s="241">
        <v>0.15</v>
      </c>
      <c r="N23" s="21"/>
      <c r="O23" s="21"/>
      <c r="P23" s="21"/>
      <c r="Q23" s="21"/>
      <c r="R23" s="21"/>
      <c r="S23" s="21"/>
      <c r="T23" s="21"/>
      <c r="U23" s="21"/>
      <c r="V23" s="21"/>
      <c r="W23" s="21"/>
      <c r="X23" s="21"/>
      <c r="Y23" s="21"/>
      <c r="Z23" s="21"/>
      <c r="AA23" s="21"/>
      <c r="AB23" s="21"/>
    </row>
    <row r="24" spans="1:28" x14ac:dyDescent="0.25">
      <c r="A24" s="25" t="s">
        <v>609</v>
      </c>
      <c r="B24" s="21"/>
      <c r="C24" s="23"/>
      <c r="D24" s="25" t="s">
        <v>610</v>
      </c>
      <c r="E24" s="21"/>
      <c r="F24" s="21"/>
      <c r="G24" s="21"/>
      <c r="H24" s="21"/>
      <c r="I24" s="21"/>
      <c r="J24" s="238" t="s">
        <v>1365</v>
      </c>
      <c r="K24" s="241">
        <f t="shared" ref="K24:M28" si="3">K23+0.05</f>
        <v>0.2</v>
      </c>
      <c r="L24" s="241">
        <f t="shared" si="3"/>
        <v>0.2</v>
      </c>
      <c r="M24" s="241">
        <f t="shared" si="3"/>
        <v>0.2</v>
      </c>
      <c r="N24" s="21"/>
      <c r="O24" s="21"/>
      <c r="P24" s="21"/>
      <c r="Q24" s="21"/>
      <c r="R24" s="21"/>
      <c r="S24" s="21"/>
      <c r="T24" s="21"/>
      <c r="U24" s="21"/>
      <c r="V24" s="21"/>
      <c r="W24" s="21"/>
      <c r="X24" s="21"/>
      <c r="Y24" s="21"/>
      <c r="Z24" s="21"/>
      <c r="AA24" s="21"/>
      <c r="AB24" s="21"/>
    </row>
    <row r="25" spans="1:28" x14ac:dyDescent="0.25">
      <c r="A25" s="23" t="s">
        <v>1624</v>
      </c>
      <c r="B25" s="23">
        <f>B18</f>
        <v>160.63003125000003</v>
      </c>
      <c r="C25" s="23"/>
      <c r="D25" s="23" t="s">
        <v>1624</v>
      </c>
      <c r="E25" s="23">
        <f>(B12+((H6-B6)+0.1*(H6-B6)-0.15*(H6-B6))*B11)+(E12+((H7-E6)+0.1*(H7-E6)-0.125*(H7-E6))*E11)+B16</f>
        <v>176.27631250000002</v>
      </c>
      <c r="F25" s="21"/>
      <c r="G25" s="21"/>
      <c r="H25" s="21"/>
      <c r="I25" s="21"/>
      <c r="J25" s="242" t="s">
        <v>1463</v>
      </c>
      <c r="K25" s="241">
        <f t="shared" si="3"/>
        <v>0.25</v>
      </c>
      <c r="L25" s="241">
        <f t="shared" si="3"/>
        <v>0.25</v>
      </c>
      <c r="M25" s="241">
        <f t="shared" si="3"/>
        <v>0.25</v>
      </c>
      <c r="N25" s="21"/>
      <c r="O25" s="21"/>
      <c r="P25" s="21"/>
      <c r="Q25" s="21"/>
      <c r="R25" s="21"/>
      <c r="S25" s="21"/>
      <c r="T25" s="21"/>
      <c r="U25" s="21"/>
      <c r="V25" s="21"/>
      <c r="W25" s="21"/>
      <c r="X25" s="21"/>
      <c r="Y25" s="21"/>
      <c r="Z25" s="21"/>
      <c r="AA25" s="21"/>
      <c r="AB25" s="21"/>
    </row>
    <row r="26" spans="1:28" x14ac:dyDescent="0.25">
      <c r="A26" s="200" t="s">
        <v>1464</v>
      </c>
      <c r="B26" s="201">
        <v>7.5</v>
      </c>
      <c r="C26" s="23"/>
      <c r="D26" s="200" t="s">
        <v>1464</v>
      </c>
      <c r="E26" s="201">
        <f>B26</f>
        <v>7.5</v>
      </c>
      <c r="F26" s="21"/>
      <c r="G26" s="21"/>
      <c r="H26" s="21"/>
      <c r="I26" s="21"/>
      <c r="J26" s="229" t="s">
        <v>1465</v>
      </c>
      <c r="K26" s="241">
        <f t="shared" si="3"/>
        <v>0.3</v>
      </c>
      <c r="L26" s="241">
        <f t="shared" si="3"/>
        <v>0.3</v>
      </c>
      <c r="M26" s="241">
        <f t="shared" si="3"/>
        <v>0.3</v>
      </c>
      <c r="N26" s="21"/>
      <c r="O26" s="21"/>
      <c r="P26" s="21"/>
      <c r="Q26" s="21"/>
      <c r="R26" s="21"/>
      <c r="S26" s="21"/>
      <c r="T26" s="21"/>
      <c r="U26" s="21"/>
      <c r="V26" s="21"/>
      <c r="W26" s="21"/>
      <c r="X26" s="21"/>
      <c r="Y26" s="21"/>
      <c r="Z26" s="21"/>
      <c r="AA26" s="21"/>
      <c r="AB26" s="21"/>
    </row>
    <row r="27" spans="1:28" x14ac:dyDescent="0.25">
      <c r="A27" s="25" t="s">
        <v>1466</v>
      </c>
      <c r="B27" s="25">
        <f>B25*B26</f>
        <v>1204.7252343750001</v>
      </c>
      <c r="C27" s="23"/>
      <c r="D27" s="25" t="s">
        <v>1466</v>
      </c>
      <c r="E27" s="25">
        <f>E25*E26</f>
        <v>1322.0723437500001</v>
      </c>
      <c r="F27" s="21"/>
      <c r="G27" s="21"/>
      <c r="H27" s="21"/>
      <c r="I27" s="21"/>
      <c r="J27" s="229" t="s">
        <v>1467</v>
      </c>
      <c r="K27" s="241">
        <f t="shared" si="3"/>
        <v>0.35</v>
      </c>
      <c r="L27" s="241">
        <f t="shared" si="3"/>
        <v>0.35</v>
      </c>
      <c r="M27" s="241">
        <f t="shared" si="3"/>
        <v>0.35</v>
      </c>
      <c r="N27" s="21"/>
      <c r="O27" s="21"/>
      <c r="P27" s="21"/>
      <c r="Q27" s="21"/>
      <c r="R27" s="21"/>
      <c r="S27" s="21"/>
      <c r="T27" s="21"/>
      <c r="U27" s="21"/>
      <c r="V27" s="21"/>
      <c r="W27" s="21"/>
      <c r="X27" s="21"/>
      <c r="Y27" s="21"/>
      <c r="Z27" s="21"/>
      <c r="AA27" s="21"/>
      <c r="AB27" s="21"/>
    </row>
    <row r="28" spans="1:28" x14ac:dyDescent="0.25">
      <c r="A28" s="200" t="s">
        <v>1468</v>
      </c>
      <c r="B28" s="200">
        <f>-B20*B49</f>
        <v>-631.03242187499995</v>
      </c>
      <c r="C28" s="23"/>
      <c r="D28" s="200" t="s">
        <v>1468</v>
      </c>
      <c r="E28" s="202">
        <f>B28</f>
        <v>-631.03242187499995</v>
      </c>
      <c r="F28" s="21"/>
      <c r="G28" s="21"/>
      <c r="H28" s="21"/>
      <c r="I28" s="21"/>
      <c r="J28" s="243" t="s">
        <v>1469</v>
      </c>
      <c r="K28" s="241">
        <f t="shared" si="3"/>
        <v>0.39999999999999997</v>
      </c>
      <c r="L28" s="241">
        <f t="shared" si="3"/>
        <v>0.39999999999999997</v>
      </c>
      <c r="M28" s="241">
        <f t="shared" si="3"/>
        <v>0.39999999999999997</v>
      </c>
      <c r="N28" s="21"/>
      <c r="O28" s="21"/>
      <c r="P28" s="21"/>
      <c r="Q28" s="21"/>
      <c r="R28" s="21"/>
      <c r="S28" s="21"/>
      <c r="T28" s="21"/>
      <c r="U28" s="21"/>
      <c r="V28" s="21"/>
      <c r="W28" s="21"/>
      <c r="X28" s="21"/>
      <c r="Y28" s="21"/>
      <c r="Z28" s="21"/>
      <c r="AA28" s="21"/>
      <c r="AB28" s="21"/>
    </row>
    <row r="29" spans="1:28" x14ac:dyDescent="0.25">
      <c r="A29" s="25" t="s">
        <v>1470</v>
      </c>
      <c r="B29" s="25">
        <f>B27+B28</f>
        <v>573.69281250000017</v>
      </c>
      <c r="C29" s="23"/>
      <c r="D29" s="25" t="s">
        <v>1470</v>
      </c>
      <c r="E29" s="25">
        <f>E27+E28</f>
        <v>691.03992187500012</v>
      </c>
      <c r="F29" s="21"/>
      <c r="G29" s="21"/>
      <c r="H29" s="21"/>
      <c r="I29" s="21"/>
      <c r="J29" s="229"/>
      <c r="K29" s="229"/>
      <c r="L29" s="229"/>
      <c r="M29" s="229"/>
      <c r="N29" s="21"/>
      <c r="O29" s="21"/>
      <c r="P29" s="21"/>
      <c r="Q29" s="21"/>
      <c r="R29" s="21"/>
      <c r="S29" s="21"/>
      <c r="T29" s="21"/>
      <c r="U29" s="21"/>
      <c r="V29" s="21"/>
      <c r="W29" s="21"/>
      <c r="X29" s="21"/>
      <c r="Y29" s="21"/>
      <c r="Z29" s="21"/>
      <c r="AA29" s="21"/>
      <c r="AB29" s="21"/>
    </row>
    <row r="30" spans="1:28" x14ac:dyDescent="0.25">
      <c r="A30" s="32" t="s">
        <v>1444</v>
      </c>
      <c r="B30" s="25">
        <f>B29/((1.075)^2)</f>
        <v>496.43510005408348</v>
      </c>
      <c r="C30" s="23"/>
      <c r="D30" s="32" t="s">
        <v>1444</v>
      </c>
      <c r="E30" s="25">
        <f>E29/((1.075)^2)</f>
        <v>597.97938074634953</v>
      </c>
      <c r="F30" s="21"/>
      <c r="G30" s="21"/>
      <c r="H30" s="21"/>
      <c r="I30" s="21"/>
      <c r="J30" s="229" t="s">
        <v>1510</v>
      </c>
      <c r="K30" s="244">
        <v>134.13999999999999</v>
      </c>
      <c r="L30" s="244">
        <v>25.59</v>
      </c>
      <c r="M30" s="244">
        <v>39.18</v>
      </c>
      <c r="N30" s="21"/>
      <c r="O30" s="21"/>
      <c r="P30" s="21"/>
      <c r="Q30" s="21"/>
      <c r="R30" s="21"/>
      <c r="S30" s="21"/>
      <c r="T30" s="21"/>
      <c r="U30" s="21"/>
      <c r="V30" s="21"/>
      <c r="W30" s="21"/>
      <c r="X30" s="21"/>
      <c r="Y30" s="21"/>
      <c r="Z30" s="21"/>
      <c r="AA30" s="21"/>
      <c r="AB30" s="21"/>
    </row>
    <row r="31" spans="1:28" x14ac:dyDescent="0.25">
      <c r="A31" s="203" t="s">
        <v>1445</v>
      </c>
      <c r="B31" s="204">
        <f>B30/107.2</f>
        <v>4.6309244408030175</v>
      </c>
      <c r="C31" s="23"/>
      <c r="D31" s="203" t="s">
        <v>1445</v>
      </c>
      <c r="E31" s="204">
        <f>E30/107.2</f>
        <v>5.5781658651711705</v>
      </c>
      <c r="F31" s="21"/>
      <c r="G31" s="21"/>
      <c r="H31" s="21"/>
      <c r="I31" s="21"/>
      <c r="J31" s="21"/>
      <c r="K31" s="21"/>
      <c r="L31" s="21"/>
      <c r="M31" s="21"/>
      <c r="N31" s="21"/>
      <c r="O31" s="21"/>
      <c r="P31" s="21"/>
      <c r="Q31" s="21"/>
      <c r="R31" s="21"/>
      <c r="S31" s="21"/>
      <c r="T31" s="21"/>
      <c r="U31" s="21"/>
      <c r="V31" s="21"/>
      <c r="W31" s="21"/>
      <c r="X31" s="21"/>
      <c r="Y31" s="21"/>
      <c r="Z31" s="21"/>
      <c r="AA31" s="21"/>
      <c r="AB31" s="21"/>
    </row>
    <row r="32" spans="1:28" x14ac:dyDescent="0.25">
      <c r="A32" s="21"/>
      <c r="B32" s="21"/>
      <c r="C32" s="26"/>
      <c r="D32" s="21"/>
      <c r="E32" s="21"/>
      <c r="F32" s="21"/>
      <c r="G32" s="21"/>
      <c r="H32" s="21"/>
      <c r="I32" s="21"/>
      <c r="J32" s="21"/>
      <c r="K32" s="21"/>
      <c r="L32" s="21"/>
      <c r="M32" s="21"/>
      <c r="N32" s="21"/>
      <c r="O32" s="21"/>
      <c r="P32" s="21"/>
      <c r="Q32" s="21"/>
      <c r="R32" s="21"/>
      <c r="S32" s="21"/>
      <c r="T32" s="21"/>
      <c r="U32" s="21"/>
      <c r="V32" s="21"/>
      <c r="W32" s="21"/>
      <c r="X32" s="21"/>
      <c r="Y32" s="21"/>
      <c r="Z32" s="21"/>
      <c r="AA32" s="21"/>
      <c r="AB32" s="21"/>
    </row>
    <row r="33" spans="1:28" x14ac:dyDescent="0.25">
      <c r="A33" s="21"/>
      <c r="B33" s="21"/>
      <c r="C33" s="26"/>
      <c r="D33" s="21"/>
      <c r="E33" s="21"/>
      <c r="F33" s="21"/>
      <c r="G33" s="21"/>
      <c r="H33" s="21"/>
      <c r="I33" s="21"/>
      <c r="J33" s="15" t="s">
        <v>1907</v>
      </c>
      <c r="K33" s="21"/>
      <c r="L33" s="21"/>
      <c r="M33" s="21"/>
      <c r="N33" s="21"/>
      <c r="O33" s="21"/>
      <c r="P33" s="21"/>
      <c r="Q33" s="21"/>
      <c r="R33" s="21"/>
      <c r="S33" s="21"/>
      <c r="T33" s="21"/>
      <c r="U33" s="21"/>
      <c r="V33" s="21"/>
      <c r="W33" s="21"/>
      <c r="X33" s="21"/>
      <c r="Y33" s="21"/>
      <c r="Z33" s="21"/>
      <c r="AA33" s="21"/>
      <c r="AB33" s="21"/>
    </row>
    <row r="34" spans="1:28" x14ac:dyDescent="0.25">
      <c r="A34" s="205" t="s">
        <v>1446</v>
      </c>
      <c r="B34" s="192">
        <f>B18-B21-B22</f>
        <v>91.56703841145837</v>
      </c>
      <c r="C34" s="26"/>
      <c r="D34" s="205" t="s">
        <v>1446</v>
      </c>
      <c r="E34" s="192">
        <f>B34+(E25-B25)</f>
        <v>107.21331966145836</v>
      </c>
      <c r="F34" s="21"/>
      <c r="G34" s="21"/>
      <c r="H34" s="21"/>
      <c r="I34" s="21"/>
      <c r="J34" s="21" t="s">
        <v>1363</v>
      </c>
      <c r="K34" s="21" t="s">
        <v>1364</v>
      </c>
      <c r="L34" s="21" t="s">
        <v>894</v>
      </c>
      <c r="M34" s="21" t="s">
        <v>740</v>
      </c>
      <c r="N34" s="21" t="s">
        <v>742</v>
      </c>
      <c r="O34" s="21"/>
      <c r="P34" s="21"/>
      <c r="Q34" s="21"/>
      <c r="R34" s="21"/>
      <c r="S34" s="21"/>
      <c r="T34" s="21"/>
      <c r="U34" s="21"/>
      <c r="V34" s="21"/>
      <c r="W34" s="21"/>
      <c r="X34" s="21"/>
      <c r="Y34" s="21"/>
      <c r="Z34" s="21"/>
      <c r="AA34" s="21"/>
      <c r="AB34" s="21"/>
    </row>
    <row r="35" spans="1:28" x14ac:dyDescent="0.25">
      <c r="A35" s="23" t="s">
        <v>1447</v>
      </c>
      <c r="B35" s="195">
        <f>B34/107.2</f>
        <v>0.85417013443524592</v>
      </c>
      <c r="C35" s="26"/>
      <c r="D35" s="23" t="s">
        <v>1447</v>
      </c>
      <c r="E35" s="195">
        <f>E34/107.2</f>
        <v>1.0001242505733055</v>
      </c>
      <c r="F35" s="21"/>
      <c r="G35" s="21"/>
      <c r="H35" s="21"/>
      <c r="I35" s="21"/>
      <c r="J35" s="21"/>
      <c r="K35" s="21"/>
      <c r="L35" s="21"/>
      <c r="M35" s="21"/>
      <c r="N35" s="21"/>
      <c r="O35" s="21"/>
      <c r="P35" s="21"/>
      <c r="Q35" s="21"/>
      <c r="R35" s="21"/>
      <c r="S35" s="21"/>
      <c r="T35" s="21"/>
      <c r="U35" s="21"/>
      <c r="V35" s="21"/>
      <c r="W35" s="21"/>
      <c r="X35" s="21"/>
      <c r="Y35" s="21"/>
      <c r="Z35" s="21"/>
      <c r="AA35" s="21"/>
      <c r="AB35" s="21"/>
    </row>
    <row r="36" spans="1:28" x14ac:dyDescent="0.25">
      <c r="A36" s="23"/>
      <c r="B36" s="29"/>
      <c r="C36" s="26"/>
      <c r="D36" s="21"/>
      <c r="E36" s="21"/>
      <c r="F36" s="21"/>
      <c r="G36" s="21"/>
      <c r="H36" s="21"/>
      <c r="I36" s="21"/>
      <c r="J36" s="21"/>
      <c r="K36" s="21"/>
      <c r="L36" s="21"/>
      <c r="M36" s="21"/>
      <c r="N36" s="21"/>
      <c r="O36" s="21"/>
      <c r="P36" s="21"/>
      <c r="Q36" s="21"/>
      <c r="R36" s="21"/>
      <c r="S36" s="21"/>
      <c r="T36" s="21"/>
      <c r="U36" s="21"/>
      <c r="V36" s="21"/>
      <c r="W36" s="21"/>
      <c r="X36" s="21"/>
      <c r="Y36" s="21"/>
      <c r="Z36" s="21"/>
      <c r="AA36" s="21"/>
      <c r="AB36" s="21"/>
    </row>
    <row r="37" spans="1:28" x14ac:dyDescent="0.25">
      <c r="A37" s="23"/>
      <c r="B37" s="29"/>
      <c r="C37" s="26"/>
      <c r="D37" s="21"/>
      <c r="E37" s="21"/>
      <c r="F37" s="21"/>
      <c r="G37" s="21"/>
      <c r="H37" s="21"/>
      <c r="I37" s="21"/>
      <c r="J37" s="21"/>
      <c r="K37" s="21"/>
      <c r="L37" s="21"/>
      <c r="M37" s="21"/>
      <c r="N37" s="21"/>
      <c r="O37" s="21"/>
      <c r="P37" s="21"/>
      <c r="Q37" s="21"/>
      <c r="R37" s="21"/>
      <c r="S37" s="21"/>
      <c r="T37" s="21"/>
      <c r="U37" s="21"/>
      <c r="V37" s="21"/>
      <c r="W37" s="21"/>
      <c r="X37" s="21"/>
      <c r="Y37" s="21"/>
      <c r="Z37" s="21"/>
      <c r="AA37" s="21"/>
      <c r="AB37" s="21"/>
    </row>
    <row r="38" spans="1:28" x14ac:dyDescent="0.25">
      <c r="A38" s="206" t="s">
        <v>1232</v>
      </c>
      <c r="B38" s="29"/>
      <c r="C38" s="26"/>
      <c r="D38" s="16" t="s">
        <v>1471</v>
      </c>
      <c r="E38" s="21"/>
      <c r="F38" s="21"/>
      <c r="G38" s="21"/>
      <c r="H38" s="21"/>
      <c r="I38" s="21"/>
      <c r="J38" s="21"/>
      <c r="K38" s="21"/>
      <c r="L38" s="21"/>
      <c r="M38" s="21"/>
      <c r="N38" s="21"/>
      <c r="O38" s="21"/>
      <c r="P38" s="21"/>
      <c r="Q38" s="21"/>
      <c r="R38" s="21"/>
      <c r="S38" s="21"/>
      <c r="T38" s="21"/>
      <c r="U38" s="21"/>
      <c r="V38" s="21"/>
      <c r="W38" s="21"/>
      <c r="X38" s="21"/>
      <c r="Y38" s="21"/>
      <c r="Z38" s="21"/>
      <c r="AA38" s="21"/>
      <c r="AB38" s="21"/>
    </row>
    <row r="39" spans="1:28" x14ac:dyDescent="0.25">
      <c r="A39" s="207" t="s">
        <v>1448</v>
      </c>
      <c r="B39" s="181">
        <v>100</v>
      </c>
      <c r="C39" s="21"/>
      <c r="D39" s="207" t="s">
        <v>1448</v>
      </c>
      <c r="E39" s="181">
        <v>80</v>
      </c>
      <c r="F39" s="21"/>
      <c r="G39" s="21"/>
      <c r="H39" s="21"/>
      <c r="I39" s="21"/>
      <c r="J39" s="21"/>
      <c r="K39" s="21"/>
      <c r="L39" s="21"/>
      <c r="M39" s="21"/>
      <c r="N39" s="21"/>
      <c r="O39" s="21"/>
      <c r="P39" s="21"/>
      <c r="Q39" s="21"/>
      <c r="R39" s="21"/>
      <c r="S39" s="21"/>
      <c r="T39" s="21"/>
      <c r="U39" s="21"/>
      <c r="V39" s="21"/>
      <c r="W39" s="21"/>
      <c r="X39" s="21"/>
      <c r="Y39" s="21"/>
      <c r="Z39" s="21"/>
      <c r="AA39" s="21"/>
      <c r="AB39" s="21"/>
    </row>
    <row r="40" spans="1:28" x14ac:dyDescent="0.25">
      <c r="A40" s="208" t="s">
        <v>1449</v>
      </c>
      <c r="B40" s="209">
        <v>2500</v>
      </c>
      <c r="C40" s="21"/>
      <c r="D40" s="208" t="s">
        <v>1449</v>
      </c>
      <c r="E40" s="209">
        <v>2000</v>
      </c>
      <c r="F40" s="21"/>
      <c r="G40" s="21"/>
      <c r="H40" s="21"/>
      <c r="I40" s="21"/>
      <c r="J40" s="21"/>
      <c r="K40" s="21"/>
      <c r="L40" s="21"/>
      <c r="M40" s="21"/>
      <c r="N40" s="21"/>
      <c r="O40" s="21"/>
      <c r="P40" s="21"/>
      <c r="Q40" s="21"/>
      <c r="R40" s="21"/>
      <c r="S40" s="21"/>
      <c r="T40" s="21"/>
      <c r="U40" s="21"/>
      <c r="V40" s="21"/>
      <c r="W40" s="21"/>
      <c r="X40" s="21"/>
      <c r="Y40" s="21"/>
      <c r="Z40" s="21"/>
      <c r="AA40" s="21"/>
      <c r="AB40" s="21"/>
    </row>
    <row r="41" spans="1:28" x14ac:dyDescent="0.25">
      <c r="A41" s="208" t="s">
        <v>1450</v>
      </c>
      <c r="B41" s="210">
        <v>0.85</v>
      </c>
      <c r="C41" s="21"/>
      <c r="D41" s="208" t="s">
        <v>1450</v>
      </c>
      <c r="E41" s="210">
        <v>0.875</v>
      </c>
      <c r="F41" s="21"/>
      <c r="G41" s="21"/>
      <c r="H41" s="21"/>
      <c r="I41" s="21"/>
      <c r="J41" s="21"/>
      <c r="K41" s="21"/>
      <c r="L41" s="21"/>
      <c r="M41" s="21"/>
      <c r="N41" s="21"/>
      <c r="O41" s="21"/>
      <c r="P41" s="21"/>
      <c r="Q41" s="21"/>
      <c r="R41" s="21"/>
      <c r="S41" s="21"/>
      <c r="T41" s="21"/>
      <c r="U41" s="21"/>
      <c r="V41" s="21"/>
      <c r="W41" s="21"/>
      <c r="X41" s="21"/>
      <c r="Y41" s="21"/>
      <c r="Z41" s="21"/>
      <c r="AA41" s="21"/>
      <c r="AB41" s="21"/>
    </row>
    <row r="42" spans="1:28" x14ac:dyDescent="0.25">
      <c r="A42" s="21"/>
      <c r="B42" s="21"/>
      <c r="C42" s="21"/>
      <c r="D42" s="15"/>
      <c r="E42" s="21"/>
      <c r="F42" s="21"/>
      <c r="G42" s="21"/>
      <c r="H42" s="21"/>
      <c r="I42" s="21"/>
      <c r="J42" s="21"/>
      <c r="K42" s="21"/>
      <c r="L42" s="21"/>
      <c r="M42" s="21"/>
      <c r="N42" s="21"/>
      <c r="O42" s="21"/>
      <c r="P42" s="21"/>
      <c r="Q42" s="21"/>
      <c r="R42" s="21"/>
      <c r="S42" s="21"/>
      <c r="T42" s="21"/>
      <c r="U42" s="21"/>
      <c r="V42" s="21"/>
      <c r="W42" s="21"/>
      <c r="X42" s="21"/>
      <c r="Y42" s="21"/>
      <c r="Z42" s="21"/>
      <c r="AA42" s="21"/>
      <c r="AB42" s="21"/>
    </row>
    <row r="43" spans="1:28" x14ac:dyDescent="0.25">
      <c r="A43" s="15" t="s">
        <v>2055</v>
      </c>
      <c r="B43" s="21"/>
      <c r="C43" s="21"/>
      <c r="D43" s="15" t="s">
        <v>1635</v>
      </c>
      <c r="E43" s="21"/>
      <c r="F43" s="21"/>
      <c r="G43" s="21"/>
      <c r="H43" s="21"/>
      <c r="I43" s="21"/>
      <c r="J43" s="21"/>
      <c r="K43" s="21"/>
      <c r="L43" s="21"/>
      <c r="M43" s="21"/>
      <c r="N43" s="21"/>
      <c r="O43" s="21"/>
      <c r="P43" s="21"/>
      <c r="Q43" s="21"/>
      <c r="R43" s="21"/>
      <c r="S43" s="21"/>
      <c r="T43" s="21"/>
      <c r="U43" s="21"/>
      <c r="V43" s="21"/>
      <c r="W43" s="21"/>
      <c r="X43" s="21"/>
      <c r="Y43" s="21"/>
      <c r="Z43" s="21"/>
      <c r="AA43" s="21"/>
      <c r="AB43" s="21"/>
    </row>
    <row r="44" spans="1:28" x14ac:dyDescent="0.25">
      <c r="A44" s="211" t="s">
        <v>1451</v>
      </c>
      <c r="B44" s="212">
        <f>B6*(1-B41)*1000000/B39/365</f>
        <v>1761.7808219178089</v>
      </c>
      <c r="C44" s="28"/>
      <c r="D44" s="213" t="s">
        <v>1451</v>
      </c>
      <c r="E44" s="214">
        <f>E6*(1-E41)*1000000/E39/365</f>
        <v>802.33304794520552</v>
      </c>
      <c r="F44" s="21"/>
      <c r="G44" s="21"/>
      <c r="H44" s="21"/>
      <c r="I44" s="21"/>
      <c r="J44" s="21"/>
      <c r="K44" s="21"/>
      <c r="L44" s="21"/>
      <c r="M44" s="21"/>
      <c r="N44" s="21"/>
      <c r="O44" s="21"/>
      <c r="P44" s="21"/>
      <c r="Q44" s="21"/>
      <c r="R44" s="21"/>
      <c r="S44" s="21"/>
      <c r="T44" s="21"/>
      <c r="U44" s="21"/>
      <c r="V44" s="21"/>
      <c r="W44" s="21"/>
      <c r="X44" s="21"/>
      <c r="Y44" s="21"/>
      <c r="Z44" s="21"/>
      <c r="AA44" s="21"/>
      <c r="AB44" s="21"/>
    </row>
    <row r="45" spans="1:28" x14ac:dyDescent="0.25">
      <c r="A45" s="215" t="s">
        <v>1452</v>
      </c>
      <c r="B45" s="216">
        <f>B6*B41*1000000/B40/365</f>
        <v>399.33698630136996</v>
      </c>
      <c r="C45" s="18"/>
      <c r="D45" s="217" t="s">
        <v>1452</v>
      </c>
      <c r="E45" s="218">
        <f>E6*B41*1000000/B40/365</f>
        <v>174.58767123287672</v>
      </c>
      <c r="F45" s="21"/>
      <c r="G45" s="21"/>
      <c r="H45" s="21"/>
      <c r="I45" s="21"/>
      <c r="J45" s="21"/>
      <c r="K45" s="21"/>
      <c r="L45" s="21"/>
      <c r="M45" s="21"/>
      <c r="N45" s="21"/>
      <c r="O45" s="21"/>
      <c r="P45" s="21"/>
      <c r="Q45" s="21"/>
      <c r="R45" s="21"/>
      <c r="S45" s="21"/>
      <c r="T45" s="21"/>
      <c r="U45" s="21"/>
      <c r="V45" s="21"/>
      <c r="W45" s="21"/>
      <c r="X45" s="21"/>
      <c r="Y45" s="21"/>
      <c r="Z45" s="21"/>
      <c r="AA45" s="21"/>
      <c r="AB45" s="21"/>
    </row>
    <row r="46" spans="1:28" x14ac:dyDescent="0.25">
      <c r="A46" s="23"/>
      <c r="B46" s="29"/>
      <c r="C46" s="26"/>
      <c r="D46" s="21"/>
      <c r="E46" s="21"/>
      <c r="F46" s="21"/>
      <c r="G46" s="21"/>
      <c r="H46" s="21"/>
      <c r="I46" s="21"/>
      <c r="J46" s="21"/>
      <c r="K46" s="21"/>
      <c r="L46" s="21"/>
      <c r="M46" s="21"/>
      <c r="N46" s="21"/>
      <c r="O46" s="21"/>
      <c r="P46" s="21"/>
      <c r="Q46" s="21"/>
      <c r="R46" s="21"/>
      <c r="S46" s="21"/>
      <c r="T46" s="21"/>
      <c r="U46" s="21"/>
      <c r="V46" s="21"/>
      <c r="W46" s="21"/>
      <c r="X46" s="21"/>
      <c r="Y46" s="21"/>
      <c r="Z46" s="21"/>
      <c r="AA46" s="21"/>
      <c r="AB46" s="21"/>
    </row>
    <row r="47" spans="1:28" x14ac:dyDescent="0.25">
      <c r="A47" s="23" t="s">
        <v>2098</v>
      </c>
      <c r="B47" s="26">
        <f>800-75-100</f>
        <v>625</v>
      </c>
      <c r="C47" s="26"/>
      <c r="D47" s="21"/>
      <c r="E47" s="21"/>
      <c r="F47" s="21"/>
      <c r="G47" s="21"/>
      <c r="H47" s="21"/>
      <c r="I47" s="21"/>
      <c r="J47" s="21"/>
      <c r="K47" s="21"/>
      <c r="L47" s="21"/>
      <c r="M47" s="21"/>
      <c r="N47" s="21"/>
      <c r="O47" s="21"/>
      <c r="P47" s="21"/>
      <c r="Q47" s="21"/>
      <c r="R47" s="21"/>
      <c r="S47" s="21"/>
      <c r="T47" s="21"/>
      <c r="U47" s="21"/>
      <c r="V47" s="21"/>
      <c r="W47" s="21"/>
      <c r="X47" s="21"/>
      <c r="Y47" s="21"/>
      <c r="Z47" s="21"/>
      <c r="AA47" s="21"/>
      <c r="AB47" s="21"/>
    </row>
    <row r="48" spans="1:28" x14ac:dyDescent="0.25">
      <c r="A48" s="23" t="s">
        <v>2099</v>
      </c>
      <c r="B48" s="26">
        <v>750</v>
      </c>
      <c r="C48" s="26"/>
      <c r="D48" s="21"/>
      <c r="E48" s="21"/>
      <c r="F48" s="21"/>
      <c r="G48" s="21"/>
      <c r="H48" s="21"/>
      <c r="I48" s="21"/>
      <c r="J48" s="21"/>
      <c r="K48" s="21"/>
      <c r="L48" s="21"/>
      <c r="M48" s="21"/>
      <c r="N48" s="21"/>
      <c r="O48" s="21"/>
      <c r="P48" s="21"/>
      <c r="Q48" s="21"/>
      <c r="R48" s="21"/>
      <c r="S48" s="21"/>
      <c r="T48" s="21"/>
      <c r="U48" s="21"/>
      <c r="V48" s="21"/>
      <c r="W48" s="21"/>
      <c r="X48" s="21"/>
      <c r="Y48" s="21"/>
      <c r="Z48" s="21"/>
      <c r="AA48" s="21"/>
      <c r="AB48" s="21"/>
    </row>
    <row r="49" spans="1:28" x14ac:dyDescent="0.25">
      <c r="A49" s="23" t="s">
        <v>2100</v>
      </c>
      <c r="B49" s="186">
        <v>0.75</v>
      </c>
      <c r="C49" s="26"/>
      <c r="D49" s="21"/>
      <c r="E49" s="21"/>
      <c r="F49" s="21"/>
      <c r="G49" s="21"/>
      <c r="H49" s="21"/>
      <c r="I49" s="21"/>
      <c r="J49" s="21"/>
      <c r="K49" s="21"/>
      <c r="L49" s="21"/>
      <c r="M49" s="21"/>
      <c r="N49" s="21"/>
      <c r="O49" s="21"/>
      <c r="P49" s="21"/>
      <c r="Q49" s="21"/>
      <c r="R49" s="21"/>
      <c r="S49" s="21"/>
      <c r="T49" s="21"/>
      <c r="U49" s="21"/>
      <c r="V49" s="21"/>
      <c r="W49" s="21"/>
      <c r="X49" s="21"/>
      <c r="Y49" s="21"/>
      <c r="Z49" s="21"/>
      <c r="AA49" s="21"/>
      <c r="AB49" s="21"/>
    </row>
    <row r="50" spans="1:28" x14ac:dyDescent="0.25">
      <c r="A50" s="21"/>
      <c r="B50" s="21"/>
      <c r="C50" s="26"/>
      <c r="D50" s="21"/>
      <c r="E50" s="21"/>
      <c r="F50" s="21"/>
      <c r="G50" s="21"/>
      <c r="H50" s="21"/>
      <c r="I50" s="21"/>
      <c r="J50" s="21"/>
      <c r="K50" s="21"/>
      <c r="L50" s="21"/>
      <c r="M50" s="21"/>
      <c r="N50" s="21"/>
      <c r="O50" s="21"/>
      <c r="P50" s="21"/>
      <c r="Q50" s="21"/>
      <c r="R50" s="21"/>
      <c r="S50" s="21"/>
      <c r="T50" s="21"/>
      <c r="U50" s="21"/>
      <c r="V50" s="21"/>
      <c r="W50" s="21"/>
      <c r="X50" s="21"/>
      <c r="Y50" s="21"/>
      <c r="Z50" s="21"/>
      <c r="AA50" s="21"/>
      <c r="AB50" s="21"/>
    </row>
    <row r="51" spans="1:28" x14ac:dyDescent="0.25">
      <c r="A51" s="21"/>
      <c r="B51" s="21"/>
      <c r="C51" s="26"/>
      <c r="D51" s="21"/>
      <c r="E51" s="21"/>
      <c r="F51" s="21"/>
      <c r="G51" s="21"/>
      <c r="H51" s="21"/>
      <c r="I51" s="21"/>
      <c r="J51" s="21"/>
      <c r="K51" s="21"/>
      <c r="L51" s="21"/>
      <c r="M51" s="21"/>
      <c r="N51" s="21"/>
      <c r="O51" s="21"/>
      <c r="P51" s="21"/>
      <c r="Q51" s="21"/>
      <c r="R51" s="21"/>
      <c r="S51" s="21"/>
      <c r="T51" s="21"/>
      <c r="U51" s="21"/>
      <c r="V51" s="21"/>
      <c r="W51" s="21"/>
      <c r="X51" s="21"/>
      <c r="Y51" s="21"/>
      <c r="Z51" s="21"/>
      <c r="AA51" s="21"/>
      <c r="AB51" s="21"/>
    </row>
    <row r="52" spans="1:28" x14ac:dyDescent="0.25">
      <c r="A52" s="16" t="s">
        <v>2101</v>
      </c>
      <c r="B52" s="24"/>
      <c r="C52" s="24"/>
      <c r="D52" s="21"/>
      <c r="E52" s="21"/>
      <c r="F52" s="21"/>
      <c r="G52" s="21"/>
      <c r="H52" s="21"/>
      <c r="I52" s="21"/>
      <c r="J52" s="21"/>
      <c r="K52" s="21"/>
      <c r="L52" s="21"/>
      <c r="M52" s="21"/>
      <c r="N52" s="21"/>
      <c r="O52" s="21"/>
      <c r="P52" s="21"/>
      <c r="Q52" s="21"/>
      <c r="R52" s="21"/>
      <c r="S52" s="21"/>
      <c r="T52" s="21"/>
      <c r="U52" s="21"/>
      <c r="V52" s="21"/>
      <c r="W52" s="21"/>
      <c r="X52" s="21"/>
      <c r="Y52" s="21"/>
      <c r="Z52" s="21"/>
      <c r="AA52" s="21"/>
      <c r="AB52" s="21"/>
    </row>
    <row r="53" spans="1:28" x14ac:dyDescent="0.25">
      <c r="A53" s="21" t="s">
        <v>2102</v>
      </c>
      <c r="B53" s="21"/>
      <c r="C53" s="21"/>
      <c r="D53" s="208"/>
      <c r="E53" s="219"/>
      <c r="F53" s="21"/>
      <c r="G53" s="21"/>
      <c r="H53" s="21"/>
      <c r="I53" s="21"/>
      <c r="J53" s="21"/>
      <c r="K53" s="21"/>
      <c r="L53" s="21"/>
      <c r="M53" s="21"/>
      <c r="N53" s="21"/>
      <c r="O53" s="21"/>
      <c r="P53" s="21"/>
      <c r="Q53" s="21"/>
      <c r="R53" s="21"/>
      <c r="S53" s="21"/>
      <c r="T53" s="21"/>
      <c r="U53" s="21"/>
      <c r="V53" s="21"/>
      <c r="W53" s="21"/>
      <c r="X53" s="21"/>
      <c r="Y53" s="21"/>
      <c r="Z53" s="21"/>
      <c r="AA53" s="21"/>
      <c r="AB53" s="21"/>
    </row>
    <row r="54" spans="1:28" x14ac:dyDescent="0.25">
      <c r="A54" s="21" t="s">
        <v>1512</v>
      </c>
      <c r="B54" s="23"/>
      <c r="C54" s="26"/>
      <c r="D54" s="21"/>
      <c r="E54" s="21"/>
      <c r="F54" s="21"/>
      <c r="G54" s="21"/>
      <c r="H54" s="21"/>
      <c r="I54" s="21"/>
      <c r="J54" s="21"/>
      <c r="K54" s="21"/>
      <c r="L54" s="21"/>
      <c r="M54" s="21"/>
      <c r="N54" s="21"/>
      <c r="O54" s="21"/>
      <c r="P54" s="21"/>
      <c r="Q54" s="21"/>
      <c r="R54" s="21"/>
      <c r="S54" s="21"/>
      <c r="T54" s="21"/>
      <c r="U54" s="21"/>
      <c r="V54" s="21"/>
      <c r="W54" s="21"/>
      <c r="X54" s="21"/>
      <c r="Y54" s="21"/>
      <c r="Z54" s="21"/>
      <c r="AA54" s="21"/>
      <c r="AB54" s="21"/>
    </row>
    <row r="55" spans="1:28" x14ac:dyDescent="0.25">
      <c r="A55" s="21" t="s">
        <v>2103</v>
      </c>
      <c r="B55" s="24"/>
      <c r="C55" s="24"/>
      <c r="D55" s="21"/>
      <c r="E55" s="21"/>
      <c r="F55" s="21"/>
      <c r="G55" s="21"/>
      <c r="H55" s="21"/>
      <c r="I55" s="21"/>
      <c r="J55" s="21"/>
      <c r="K55" s="21"/>
      <c r="L55" s="21"/>
      <c r="M55" s="21"/>
      <c r="N55" s="21"/>
      <c r="O55" s="21"/>
      <c r="P55" s="21"/>
      <c r="Q55" s="21"/>
      <c r="R55" s="21"/>
      <c r="S55" s="21"/>
      <c r="T55" s="21"/>
      <c r="U55" s="21"/>
      <c r="V55" s="21"/>
      <c r="W55" s="21"/>
      <c r="X55" s="21"/>
      <c r="Y55" s="21"/>
      <c r="Z55" s="21"/>
      <c r="AA55" s="21"/>
      <c r="AB55" s="21"/>
    </row>
    <row r="56" spans="1:28" x14ac:dyDescent="0.25">
      <c r="A56" s="21" t="s">
        <v>1617</v>
      </c>
      <c r="B56" s="23"/>
      <c r="C56" s="26"/>
      <c r="D56" s="208"/>
      <c r="E56" s="219"/>
      <c r="F56" s="21"/>
      <c r="G56" s="21"/>
      <c r="H56" s="21"/>
      <c r="I56" s="21"/>
      <c r="J56" s="21"/>
      <c r="K56" s="21"/>
      <c r="L56" s="21"/>
      <c r="M56" s="21"/>
      <c r="N56" s="21"/>
      <c r="O56" s="21"/>
      <c r="P56" s="21"/>
      <c r="Q56" s="21"/>
      <c r="R56" s="21"/>
      <c r="S56" s="21"/>
      <c r="T56" s="21"/>
      <c r="U56" s="21"/>
      <c r="V56" s="21"/>
      <c r="W56" s="21"/>
      <c r="X56" s="21"/>
      <c r="Y56" s="21"/>
      <c r="Z56" s="21"/>
      <c r="AA56" s="21"/>
      <c r="AB56" s="21"/>
    </row>
    <row r="57" spans="1:28" x14ac:dyDescent="0.25">
      <c r="A57" s="21" t="s">
        <v>1618</v>
      </c>
      <c r="B57" s="23"/>
      <c r="C57" s="26"/>
      <c r="D57" s="21"/>
      <c r="E57" s="21"/>
      <c r="F57" s="21"/>
      <c r="G57" s="21"/>
      <c r="H57" s="21"/>
      <c r="I57" s="21"/>
      <c r="J57" s="21"/>
      <c r="K57" s="21"/>
      <c r="L57" s="21"/>
      <c r="M57" s="21"/>
      <c r="N57" s="21"/>
      <c r="O57" s="21"/>
      <c r="P57" s="21"/>
      <c r="Q57" s="21"/>
      <c r="R57" s="21"/>
      <c r="S57" s="21"/>
      <c r="T57" s="21"/>
      <c r="U57" s="21"/>
      <c r="V57" s="21"/>
      <c r="W57" s="21"/>
      <c r="X57" s="21"/>
      <c r="Y57" s="21"/>
      <c r="Z57" s="21"/>
      <c r="AA57" s="21"/>
      <c r="AB57" s="21"/>
    </row>
    <row r="58" spans="1:28" x14ac:dyDescent="0.25">
      <c r="A58" s="21" t="s">
        <v>2204</v>
      </c>
      <c r="B58" s="24"/>
      <c r="C58" s="24"/>
      <c r="D58" s="21"/>
      <c r="E58" s="21"/>
      <c r="F58" s="21"/>
      <c r="G58" s="21"/>
      <c r="H58" s="21"/>
      <c r="I58" s="21"/>
      <c r="J58" s="29"/>
      <c r="K58" s="21"/>
      <c r="L58" s="21"/>
      <c r="M58" s="21"/>
      <c r="N58" s="21"/>
      <c r="O58" s="21"/>
      <c r="P58" s="21"/>
      <c r="Q58" s="21"/>
      <c r="R58" s="21"/>
      <c r="S58" s="21"/>
      <c r="T58" s="21"/>
      <c r="U58" s="21"/>
      <c r="V58" s="21"/>
      <c r="W58" s="21"/>
      <c r="X58" s="21"/>
      <c r="Y58" s="21"/>
      <c r="Z58" s="21"/>
      <c r="AA58" s="21"/>
      <c r="AB58" s="21"/>
    </row>
    <row r="59" spans="1:28" x14ac:dyDescent="0.25">
      <c r="A59" s="21" t="s">
        <v>2205</v>
      </c>
      <c r="B59" s="23"/>
      <c r="C59" s="26"/>
      <c r="D59" s="21"/>
      <c r="E59" s="21"/>
      <c r="F59" s="25"/>
      <c r="G59" s="25"/>
      <c r="H59" s="220"/>
      <c r="I59" s="23"/>
      <c r="J59" s="23"/>
      <c r="K59" s="23"/>
      <c r="L59" s="23"/>
      <c r="M59" s="23"/>
      <c r="N59" s="23"/>
      <c r="O59" s="23"/>
      <c r="P59" s="23"/>
      <c r="Q59" s="23"/>
      <c r="R59" s="23"/>
      <c r="S59" s="23"/>
      <c r="T59" s="23"/>
      <c r="U59" s="23"/>
      <c r="V59" s="23"/>
      <c r="W59" s="23"/>
      <c r="X59" s="23"/>
      <c r="Y59" s="23"/>
      <c r="Z59" s="23"/>
      <c r="AA59" s="23"/>
      <c r="AB59" s="23"/>
    </row>
    <row r="60" spans="1:28" x14ac:dyDescent="0.25">
      <c r="A60" s="21" t="s">
        <v>1231</v>
      </c>
      <c r="B60" s="23"/>
      <c r="C60" s="26"/>
      <c r="D60" s="21"/>
      <c r="E60" s="21"/>
      <c r="F60" s="23"/>
      <c r="G60" s="207"/>
      <c r="H60" s="181"/>
      <c r="I60" s="23"/>
      <c r="J60" s="23"/>
      <c r="K60" s="23"/>
      <c r="L60" s="23"/>
      <c r="M60" s="23"/>
      <c r="N60" s="23"/>
      <c r="O60" s="23"/>
      <c r="P60" s="23"/>
      <c r="Q60" s="23"/>
      <c r="R60" s="23"/>
      <c r="S60" s="23"/>
      <c r="T60" s="23"/>
      <c r="U60" s="23"/>
      <c r="V60" s="23"/>
      <c r="W60" s="23"/>
      <c r="X60" s="23"/>
      <c r="Y60" s="23"/>
      <c r="Z60" s="23"/>
      <c r="AA60" s="23"/>
      <c r="AB60" s="23"/>
    </row>
    <row r="61" spans="1:28" x14ac:dyDescent="0.25">
      <c r="A61" s="21" t="s">
        <v>2208</v>
      </c>
      <c r="B61" s="24"/>
      <c r="C61" s="24"/>
      <c r="D61" s="21"/>
      <c r="E61" s="21"/>
      <c r="F61" s="32"/>
      <c r="G61" s="208"/>
      <c r="H61" s="209"/>
      <c r="I61" s="23"/>
      <c r="J61" s="23"/>
      <c r="K61" s="23"/>
      <c r="L61" s="23"/>
      <c r="M61" s="23"/>
      <c r="N61" s="23"/>
      <c r="O61" s="23"/>
      <c r="P61" s="23"/>
      <c r="Q61" s="23"/>
      <c r="R61" s="23"/>
      <c r="S61" s="23"/>
      <c r="T61" s="23"/>
      <c r="U61" s="23"/>
      <c r="V61" s="23"/>
      <c r="W61" s="23"/>
      <c r="X61" s="23"/>
      <c r="Y61" s="23"/>
      <c r="Z61" s="23"/>
      <c r="AA61" s="23"/>
      <c r="AB61" s="23"/>
    </row>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sheetData>
  <phoneticPr fontId="13" type="noConversion"/>
  <pageMargins left="0.75" right="0.75" top="1" bottom="1" header="0.5" footer="0.5"/>
  <pageSetup orientation="portrait" horizontalDpi="1200" verticalDpi="12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L57"/>
  <sheetViews>
    <sheetView zoomScale="85" workbookViewId="0"/>
  </sheetViews>
  <sheetFormatPr defaultRowHeight="15" customHeight="1" x14ac:dyDescent="0.25"/>
  <cols>
    <col min="1" max="1" width="20.625" customWidth="1"/>
    <col min="2" max="2" width="12.625" customWidth="1"/>
    <col min="3" max="3" width="12.75" customWidth="1"/>
    <col min="4" max="4" width="13.625" customWidth="1"/>
    <col min="5" max="6" width="12.625" customWidth="1"/>
    <col min="7" max="7" width="8.625" customWidth="1"/>
  </cols>
  <sheetData>
    <row r="1" spans="1:12" ht="15" customHeight="1" x14ac:dyDescent="0.25">
      <c r="A1" s="10" t="s">
        <v>1633</v>
      </c>
      <c r="B1" s="428"/>
      <c r="C1" s="693"/>
      <c r="D1" s="693"/>
      <c r="E1" s="1107"/>
      <c r="F1" s="1108"/>
      <c r="G1" s="428"/>
      <c r="H1" s="428"/>
      <c r="I1" s="428"/>
      <c r="J1" s="428"/>
      <c r="K1" s="428"/>
      <c r="L1" s="428"/>
    </row>
    <row r="2" spans="1:12" ht="15" customHeight="1" x14ac:dyDescent="0.25">
      <c r="A2" s="10" t="s">
        <v>1906</v>
      </c>
      <c r="B2" s="428"/>
      <c r="C2" s="693"/>
      <c r="D2" s="693"/>
      <c r="E2" s="1107"/>
      <c r="F2" s="1108"/>
      <c r="G2" s="428"/>
      <c r="H2" s="428"/>
      <c r="I2" s="428"/>
      <c r="J2" s="428"/>
      <c r="K2" s="428"/>
      <c r="L2" s="428"/>
    </row>
    <row r="3" spans="1:12" ht="15" customHeight="1" x14ac:dyDescent="0.25">
      <c r="A3" s="11" t="s">
        <v>1508</v>
      </c>
      <c r="B3" s="428"/>
      <c r="C3" s="693"/>
      <c r="D3" s="693"/>
      <c r="E3" s="1107"/>
      <c r="F3" s="1108"/>
      <c r="G3" s="428"/>
      <c r="H3" s="428"/>
      <c r="I3" s="428"/>
      <c r="J3" s="428"/>
      <c r="K3" s="428"/>
      <c r="L3" s="428"/>
    </row>
    <row r="4" spans="1:12" ht="15" customHeight="1" thickBot="1" x14ac:dyDescent="0.3">
      <c r="A4" s="1191"/>
      <c r="B4" s="428"/>
      <c r="C4" s="693"/>
      <c r="D4" s="693"/>
      <c r="E4" s="1107"/>
      <c r="F4" s="1108"/>
      <c r="G4" s="428"/>
      <c r="H4" s="428"/>
      <c r="I4" s="428"/>
      <c r="J4" s="428"/>
      <c r="K4" s="428"/>
      <c r="L4" s="428"/>
    </row>
    <row r="5" spans="1:12" ht="15" customHeight="1" thickTop="1" x14ac:dyDescent="0.25">
      <c r="A5" s="1316" t="s">
        <v>1907</v>
      </c>
      <c r="B5" s="1317" t="s">
        <v>581</v>
      </c>
      <c r="C5" s="1318" t="s">
        <v>1519</v>
      </c>
      <c r="D5" s="1319" t="s">
        <v>1908</v>
      </c>
      <c r="E5" s="1319" t="s">
        <v>1219</v>
      </c>
      <c r="F5" s="1320" t="s">
        <v>935</v>
      </c>
      <c r="G5" s="428"/>
      <c r="H5" s="428"/>
      <c r="I5" s="428"/>
      <c r="J5" s="428"/>
      <c r="K5" s="428"/>
      <c r="L5" s="428"/>
    </row>
    <row r="6" spans="1:12" ht="15" customHeight="1" x14ac:dyDescent="0.25">
      <c r="A6" s="1277" t="s">
        <v>1905</v>
      </c>
      <c r="B6" s="1321">
        <v>98</v>
      </c>
      <c r="C6" s="1322" t="s">
        <v>553</v>
      </c>
      <c r="D6" s="572" t="s">
        <v>553</v>
      </c>
      <c r="E6" s="572" t="s">
        <v>553</v>
      </c>
      <c r="F6" s="1323" t="s">
        <v>553</v>
      </c>
      <c r="G6" s="428"/>
      <c r="H6" s="428"/>
      <c r="I6" s="428"/>
      <c r="J6" s="428"/>
      <c r="K6" s="428"/>
      <c r="L6" s="428"/>
    </row>
    <row r="7" spans="1:12" ht="15" customHeight="1" x14ac:dyDescent="0.25">
      <c r="A7" s="995" t="s">
        <v>585</v>
      </c>
      <c r="B7" s="1324">
        <v>1500</v>
      </c>
      <c r="C7" s="1325">
        <v>2916</v>
      </c>
      <c r="D7" s="1165">
        <v>3027</v>
      </c>
      <c r="E7" s="1165">
        <v>2048</v>
      </c>
      <c r="F7" s="1166">
        <f>SUM(C7:E7)</f>
        <v>7991</v>
      </c>
      <c r="G7" s="428"/>
      <c r="H7" s="428"/>
      <c r="I7" s="428"/>
      <c r="J7" s="428"/>
      <c r="K7" s="428"/>
      <c r="L7" s="428"/>
    </row>
    <row r="8" spans="1:12" ht="15" customHeight="1" x14ac:dyDescent="0.25">
      <c r="A8" s="995" t="s">
        <v>1609</v>
      </c>
      <c r="B8" s="1326">
        <v>200</v>
      </c>
      <c r="C8" s="1327">
        <f>(C9*1000000)/C7/365</f>
        <v>222.67320593043576</v>
      </c>
      <c r="D8" s="1170">
        <f>(D9*1000000)/D7/365</f>
        <v>189.16509406211676</v>
      </c>
      <c r="E8" s="1170">
        <f>(E9*1000000)/E7/365</f>
        <v>163.20633561643837</v>
      </c>
      <c r="F8" s="1171">
        <f>(F9*1000000)/F7/365</f>
        <v>194.73963002898807</v>
      </c>
      <c r="G8" s="428"/>
      <c r="H8" s="428"/>
      <c r="I8" s="428"/>
      <c r="J8" s="428"/>
      <c r="K8" s="428"/>
      <c r="L8" s="428"/>
    </row>
    <row r="9" spans="1:12" ht="15" customHeight="1" x14ac:dyDescent="0.25">
      <c r="A9" s="1328" t="s">
        <v>1520</v>
      </c>
      <c r="B9" s="1329">
        <f>B8*B7*365/1000000</f>
        <v>109.5</v>
      </c>
      <c r="C9" s="1330">
        <v>237</v>
      </c>
      <c r="D9" s="1331">
        <v>209</v>
      </c>
      <c r="E9" s="1331">
        <v>122</v>
      </c>
      <c r="F9" s="1332">
        <f>SUM(C9:E9)</f>
        <v>568</v>
      </c>
      <c r="G9" s="697"/>
      <c r="H9" s="697"/>
      <c r="I9" s="697"/>
      <c r="J9" s="697"/>
      <c r="K9" s="697"/>
      <c r="L9" s="697"/>
    </row>
    <row r="10" spans="1:12" ht="15" customHeight="1" x14ac:dyDescent="0.25">
      <c r="A10" s="1328" t="s">
        <v>1220</v>
      </c>
      <c r="B10" s="1333">
        <v>0.67</v>
      </c>
      <c r="C10" s="1334">
        <v>0.52</v>
      </c>
      <c r="D10" s="1335">
        <v>0.52</v>
      </c>
      <c r="E10" s="1335">
        <v>0.52</v>
      </c>
      <c r="F10" s="1336">
        <f>E10</f>
        <v>0.52</v>
      </c>
      <c r="G10" s="697"/>
      <c r="H10" s="697"/>
      <c r="I10" s="697"/>
      <c r="J10" s="697"/>
      <c r="K10" s="697"/>
      <c r="L10" s="697"/>
    </row>
    <row r="11" spans="1:12" ht="15" customHeight="1" thickBot="1" x14ac:dyDescent="0.3">
      <c r="A11" s="1337" t="s">
        <v>1222</v>
      </c>
      <c r="B11" s="1338">
        <f>J55</f>
        <v>0.11</v>
      </c>
      <c r="C11" s="1339" t="s">
        <v>553</v>
      </c>
      <c r="D11" s="1340">
        <v>0.1671</v>
      </c>
      <c r="E11" s="1341" t="s">
        <v>553</v>
      </c>
      <c r="F11" s="1342" t="s">
        <v>553</v>
      </c>
      <c r="G11" s="697"/>
      <c r="H11" s="697"/>
      <c r="I11" s="697"/>
      <c r="J11" s="697"/>
      <c r="K11" s="697"/>
      <c r="L11" s="697"/>
    </row>
    <row r="12" spans="1:12" ht="5.0999999999999996" customHeight="1" thickTop="1" x14ac:dyDescent="0.25">
      <c r="A12" s="1343"/>
      <c r="B12" s="1301"/>
      <c r="C12" s="1301"/>
      <c r="D12" s="1301"/>
      <c r="E12" s="1301"/>
      <c r="F12" s="1331"/>
      <c r="G12" s="697"/>
      <c r="H12" s="697"/>
      <c r="I12" s="697"/>
      <c r="J12" s="697"/>
      <c r="K12" s="697"/>
      <c r="L12" s="697"/>
    </row>
    <row r="13" spans="1:12" ht="15" customHeight="1" x14ac:dyDescent="0.25">
      <c r="A13" s="1344" t="s">
        <v>2</v>
      </c>
      <c r="B13" s="331"/>
      <c r="C13" s="693"/>
      <c r="D13" s="693"/>
      <c r="E13" s="1107"/>
      <c r="F13" s="1108"/>
      <c r="G13" s="428"/>
      <c r="H13" s="428"/>
      <c r="I13" s="428"/>
      <c r="J13" s="428"/>
      <c r="K13" s="428"/>
      <c r="L13" s="428"/>
    </row>
    <row r="14" spans="1:12" ht="15" customHeight="1" x14ac:dyDescent="0.25">
      <c r="A14" s="281"/>
      <c r="B14" s="281"/>
      <c r="C14" s="281"/>
      <c r="D14" s="281"/>
      <c r="E14" s="281"/>
      <c r="F14" s="281"/>
      <c r="G14" s="281"/>
      <c r="H14" s="428"/>
      <c r="I14" s="428"/>
      <c r="J14" s="428"/>
      <c r="K14" s="428"/>
      <c r="L14" s="428"/>
    </row>
    <row r="15" spans="1:12" ht="15" customHeight="1" x14ac:dyDescent="0.25">
      <c r="A15" s="1269" t="s">
        <v>1313</v>
      </c>
      <c r="B15" s="1270">
        <v>2013</v>
      </c>
      <c r="C15" s="1345"/>
      <c r="D15" s="762" t="s">
        <v>932</v>
      </c>
      <c r="E15" s="1346"/>
      <c r="F15" s="284"/>
      <c r="G15" s="281"/>
      <c r="H15" s="428"/>
      <c r="I15" s="428"/>
      <c r="J15" s="428"/>
      <c r="K15" s="428"/>
      <c r="L15" s="428"/>
    </row>
    <row r="16" spans="1:12" ht="15" customHeight="1" x14ac:dyDescent="0.25">
      <c r="A16" s="1274" t="s">
        <v>2254</v>
      </c>
      <c r="B16" s="759">
        <f>B8*365*B7/1000000</f>
        <v>109.5</v>
      </c>
      <c r="C16" s="859"/>
      <c r="D16" s="1347" t="s">
        <v>677</v>
      </c>
      <c r="E16" s="281"/>
      <c r="F16" s="286"/>
      <c r="G16" s="281"/>
      <c r="H16" s="428"/>
      <c r="I16" s="428"/>
      <c r="J16" s="428"/>
      <c r="K16" s="428"/>
      <c r="L16" s="428"/>
    </row>
    <row r="17" spans="1:12" ht="15" customHeight="1" x14ac:dyDescent="0.25">
      <c r="A17" s="1276" t="s">
        <v>1223</v>
      </c>
      <c r="B17" s="759">
        <f>B16*0.075</f>
        <v>8.2125000000000004</v>
      </c>
      <c r="C17" s="311"/>
      <c r="D17" s="1348" t="s">
        <v>1319</v>
      </c>
      <c r="E17" s="311"/>
      <c r="F17" s="858"/>
      <c r="G17" s="311"/>
      <c r="H17" s="428"/>
      <c r="I17" s="428"/>
      <c r="J17" s="428"/>
      <c r="K17" s="428"/>
      <c r="L17" s="428"/>
    </row>
    <row r="18" spans="1:12" ht="15" customHeight="1" x14ac:dyDescent="0.25">
      <c r="A18" s="1277" t="s">
        <v>1</v>
      </c>
      <c r="B18" s="1278">
        <f>-0.1*B16</f>
        <v>-10.950000000000001</v>
      </c>
      <c r="C18" s="693"/>
      <c r="D18" s="1349" t="s">
        <v>942</v>
      </c>
      <c r="E18" s="1107"/>
      <c r="F18" s="1350"/>
      <c r="G18" s="428"/>
      <c r="H18" s="428"/>
      <c r="I18" s="428"/>
      <c r="J18" s="428"/>
      <c r="K18" s="428"/>
      <c r="L18" s="428"/>
    </row>
    <row r="19" spans="1:12" ht="15" customHeight="1" x14ac:dyDescent="0.25">
      <c r="A19" s="1282" t="s">
        <v>3</v>
      </c>
      <c r="B19" s="1283">
        <f>SUM(B16:B18)</f>
        <v>106.7625</v>
      </c>
      <c r="C19" s="693"/>
      <c r="D19" s="1349" t="s">
        <v>934</v>
      </c>
      <c r="E19" s="1107"/>
      <c r="F19" s="1350"/>
      <c r="G19" s="428"/>
      <c r="H19" s="428"/>
      <c r="I19" s="428"/>
      <c r="J19" s="428"/>
      <c r="K19" s="428"/>
      <c r="L19" s="428"/>
    </row>
    <row r="20" spans="1:12" ht="15" customHeight="1" x14ac:dyDescent="0.25">
      <c r="A20" s="1277" t="s">
        <v>4</v>
      </c>
      <c r="B20" s="1286">
        <f>-(B16+B18)*B10</f>
        <v>-66.028500000000008</v>
      </c>
      <c r="C20" s="693"/>
      <c r="D20" s="1349" t="s">
        <v>933</v>
      </c>
      <c r="E20" s="1107"/>
      <c r="F20" s="1350"/>
      <c r="G20" s="428"/>
      <c r="H20" s="428"/>
      <c r="I20" s="428"/>
      <c r="J20" s="428"/>
      <c r="K20" s="428"/>
      <c r="L20" s="428"/>
    </row>
    <row r="21" spans="1:12" ht="15" customHeight="1" x14ac:dyDescent="0.25">
      <c r="A21" s="995" t="s">
        <v>600</v>
      </c>
      <c r="B21" s="1288">
        <f>B22-B19-B20</f>
        <v>-28.990124999999992</v>
      </c>
      <c r="C21" s="693"/>
      <c r="D21" s="1351" t="s">
        <v>1229</v>
      </c>
      <c r="E21" s="1352"/>
      <c r="F21" s="1353"/>
      <c r="G21" s="428"/>
      <c r="H21" s="428"/>
      <c r="I21" s="428"/>
      <c r="J21" s="428"/>
      <c r="K21" s="428"/>
      <c r="L21" s="428"/>
    </row>
    <row r="22" spans="1:12" ht="15" customHeight="1" x14ac:dyDescent="0.25">
      <c r="A22" s="1291" t="s">
        <v>1624</v>
      </c>
      <c r="B22" s="1283">
        <f>B19*B11</f>
        <v>11.743875000000001</v>
      </c>
      <c r="C22" s="693"/>
      <c r="D22" s="693"/>
      <c r="E22" s="1107"/>
      <c r="F22" s="1108"/>
      <c r="G22" s="428"/>
      <c r="H22" s="428"/>
      <c r="I22" s="428"/>
      <c r="J22" s="428"/>
      <c r="K22" s="428"/>
      <c r="L22" s="428"/>
    </row>
    <row r="23" spans="1:12" ht="15" customHeight="1" x14ac:dyDescent="0.25">
      <c r="A23" s="1292" t="s">
        <v>2015</v>
      </c>
      <c r="B23" s="1181">
        <f>B22/B19</f>
        <v>0.11</v>
      </c>
      <c r="C23" s="693"/>
      <c r="D23" s="1354" t="s">
        <v>2000</v>
      </c>
      <c r="E23" s="1271"/>
      <c r="F23" s="1108"/>
      <c r="G23" s="428"/>
      <c r="H23" s="428"/>
      <c r="I23" s="428"/>
      <c r="J23" s="428"/>
      <c r="K23" s="428"/>
      <c r="L23" s="428"/>
    </row>
    <row r="24" spans="1:12" ht="15" customHeight="1" x14ac:dyDescent="0.25">
      <c r="A24" s="1292" t="s">
        <v>5</v>
      </c>
      <c r="B24" s="1181">
        <f>B22/B6</f>
        <v>0.11983545918367348</v>
      </c>
      <c r="C24" s="693"/>
      <c r="D24" s="1291" t="s">
        <v>1624</v>
      </c>
      <c r="E24" s="684">
        <f>B22</f>
        <v>11.743875000000001</v>
      </c>
      <c r="F24" s="1108"/>
      <c r="G24" s="428"/>
      <c r="H24" s="428"/>
      <c r="I24" s="428"/>
      <c r="J24" s="428"/>
      <c r="K24" s="428"/>
      <c r="L24" s="428"/>
    </row>
    <row r="25" spans="1:12" ht="15" customHeight="1" x14ac:dyDescent="0.25">
      <c r="A25" s="995" t="s">
        <v>891</v>
      </c>
      <c r="B25" s="1179">
        <f>-B6/30</f>
        <v>-3.2666666666666666</v>
      </c>
      <c r="C25" s="693"/>
      <c r="D25" s="995" t="s">
        <v>1464</v>
      </c>
      <c r="E25" s="1300">
        <v>7.5</v>
      </c>
      <c r="F25" s="1108"/>
      <c r="G25" s="428"/>
      <c r="H25" s="428"/>
      <c r="I25" s="428"/>
      <c r="J25" s="428"/>
      <c r="K25" s="428"/>
      <c r="L25" s="428"/>
    </row>
    <row r="26" spans="1:12" ht="15" customHeight="1" x14ac:dyDescent="0.25">
      <c r="A26" s="1355" t="s">
        <v>1486</v>
      </c>
      <c r="B26" s="1356">
        <f>-0.06*B6</f>
        <v>-5.88</v>
      </c>
      <c r="C26" s="693"/>
      <c r="D26" s="520" t="s">
        <v>1403</v>
      </c>
      <c r="E26" s="1179">
        <f>E25*E24</f>
        <v>88.079062500000006</v>
      </c>
      <c r="F26" s="1108"/>
      <c r="G26" s="428"/>
      <c r="H26" s="428"/>
      <c r="I26" s="428"/>
      <c r="J26" s="428"/>
      <c r="K26" s="428"/>
      <c r="L26" s="428"/>
    </row>
    <row r="27" spans="1:12" ht="15" customHeight="1" x14ac:dyDescent="0.25">
      <c r="A27" s="520" t="s">
        <v>6</v>
      </c>
      <c r="B27" s="1179">
        <f>(B22+B25+B26)*-0.4</f>
        <v>-1.0388833333333334</v>
      </c>
      <c r="C27" s="693"/>
      <c r="D27" s="520" t="s">
        <v>7</v>
      </c>
      <c r="E27" s="1179">
        <f>-B6+(H54-J54)+(I54-J54)</f>
        <v>-91.519339991155675</v>
      </c>
      <c r="F27" s="1108"/>
      <c r="G27" s="428"/>
      <c r="H27" s="428"/>
      <c r="I27" s="428"/>
      <c r="J27" s="428"/>
      <c r="K27" s="428"/>
      <c r="L27" s="428"/>
    </row>
    <row r="28" spans="1:12" ht="15" customHeight="1" x14ac:dyDescent="0.25">
      <c r="A28" s="1149" t="s">
        <v>1715</v>
      </c>
      <c r="B28" s="1283">
        <f>B22+B25+B26+B27</f>
        <v>1.5583250000000002</v>
      </c>
      <c r="C28" s="693"/>
      <c r="D28" s="1149" t="s">
        <v>8</v>
      </c>
      <c r="E28" s="684">
        <f>E26+E27</f>
        <v>-3.4402774911556691</v>
      </c>
      <c r="F28" s="1108"/>
      <c r="G28" s="428"/>
      <c r="H28" s="428"/>
      <c r="I28" s="428"/>
      <c r="J28" s="428"/>
      <c r="K28" s="428"/>
      <c r="L28" s="428"/>
    </row>
    <row r="29" spans="1:12" ht="15" customHeight="1" x14ac:dyDescent="0.25">
      <c r="A29" s="1262" t="s">
        <v>1447</v>
      </c>
      <c r="B29" s="1302">
        <f>B28/PENN!AF101</f>
        <v>1.456296843167673E-2</v>
      </c>
      <c r="C29" s="693"/>
      <c r="D29" s="520" t="s">
        <v>801</v>
      </c>
      <c r="E29" s="1357">
        <f>E28/(1+0.09)^1</f>
        <v>-3.1562178817941917</v>
      </c>
      <c r="F29" s="1108"/>
      <c r="G29" s="428"/>
      <c r="H29" s="428"/>
      <c r="I29" s="428"/>
      <c r="J29" s="428"/>
      <c r="K29" s="428"/>
      <c r="L29" s="428"/>
    </row>
    <row r="30" spans="1:12" ht="15" customHeight="1" x14ac:dyDescent="0.25">
      <c r="A30" s="428"/>
      <c r="B30" s="428"/>
      <c r="C30" s="693"/>
      <c r="D30" s="1293" t="s">
        <v>1630</v>
      </c>
      <c r="E30" s="1358">
        <f>E29/PENN!AF101</f>
        <v>-2.9495709416240135E-2</v>
      </c>
      <c r="F30" s="1108"/>
      <c r="G30" s="428"/>
      <c r="H30" s="428"/>
      <c r="I30" s="428"/>
      <c r="J30" s="428"/>
      <c r="K30" s="428"/>
      <c r="L30" s="428"/>
    </row>
    <row r="31" spans="1:12" ht="15" customHeight="1" x14ac:dyDescent="0.25">
      <c r="A31" s="428"/>
      <c r="B31" s="428"/>
      <c r="C31" s="693"/>
      <c r="D31" s="693"/>
      <c r="E31" s="1107"/>
      <c r="F31" s="1108"/>
      <c r="G31" s="428"/>
      <c r="H31" s="428"/>
      <c r="I31" s="428"/>
      <c r="J31" s="428"/>
      <c r="K31" s="428"/>
      <c r="L31" s="428"/>
    </row>
    <row r="32" spans="1:12" ht="15" customHeight="1" x14ac:dyDescent="0.25">
      <c r="A32" s="428"/>
      <c r="B32" s="428"/>
      <c r="C32" s="693"/>
      <c r="D32" s="693"/>
      <c r="E32" s="1107"/>
      <c r="F32" s="1108"/>
      <c r="G32" s="428"/>
      <c r="H32" s="428"/>
      <c r="I32" s="428"/>
      <c r="J32" s="428"/>
      <c r="K32" s="428"/>
      <c r="L32" s="428"/>
    </row>
    <row r="33" spans="1:12" ht="15" customHeight="1" x14ac:dyDescent="0.25">
      <c r="A33" s="1109" t="s">
        <v>943</v>
      </c>
      <c r="B33" s="1359" t="s">
        <v>106</v>
      </c>
      <c r="C33" s="1304"/>
      <c r="D33" s="1359" t="s">
        <v>665</v>
      </c>
      <c r="E33" s="1359" t="s">
        <v>2092</v>
      </c>
      <c r="F33" s="1359" t="s">
        <v>2093</v>
      </c>
      <c r="G33" s="1359" t="s">
        <v>2014</v>
      </c>
      <c r="H33" s="1304" t="s">
        <v>1544</v>
      </c>
      <c r="I33" s="1304" t="s">
        <v>1136</v>
      </c>
      <c r="J33" s="1304" t="s">
        <v>1137</v>
      </c>
      <c r="K33" s="1304" t="s">
        <v>1138</v>
      </c>
      <c r="L33" s="1305" t="s">
        <v>1139</v>
      </c>
    </row>
    <row r="34" spans="1:12" ht="15" customHeight="1" x14ac:dyDescent="0.25">
      <c r="A34" s="520" t="s">
        <v>894</v>
      </c>
      <c r="B34" s="331">
        <f>D34</f>
        <v>1500</v>
      </c>
      <c r="C34" s="331"/>
      <c r="D34" s="331">
        <f>D35+(D36*6)</f>
        <v>1500</v>
      </c>
      <c r="E34" s="331">
        <f t="shared" ref="E34:L34" si="0">E35+(E36*6)</f>
        <v>1500</v>
      </c>
      <c r="F34" s="331">
        <f t="shared" si="0"/>
        <v>1500</v>
      </c>
      <c r="G34" s="331">
        <f t="shared" si="0"/>
        <v>1500</v>
      </c>
      <c r="H34" s="331">
        <f t="shared" si="0"/>
        <v>1500</v>
      </c>
      <c r="I34" s="331">
        <f t="shared" si="0"/>
        <v>1500</v>
      </c>
      <c r="J34" s="331">
        <f t="shared" si="0"/>
        <v>1500</v>
      </c>
      <c r="K34" s="331">
        <f t="shared" si="0"/>
        <v>1500</v>
      </c>
      <c r="L34" s="1306">
        <f t="shared" si="0"/>
        <v>1500</v>
      </c>
    </row>
    <row r="35" spans="1:12" ht="15" customHeight="1" x14ac:dyDescent="0.25">
      <c r="A35" s="520" t="s">
        <v>585</v>
      </c>
      <c r="B35" s="331">
        <f>D35</f>
        <v>1500</v>
      </c>
      <c r="C35" s="331"/>
      <c r="D35" s="339">
        <f>B7</f>
        <v>1500</v>
      </c>
      <c r="E35" s="331">
        <f t="shared" ref="E35:I36" si="1">D35</f>
        <v>1500</v>
      </c>
      <c r="F35" s="331">
        <f t="shared" si="1"/>
        <v>1500</v>
      </c>
      <c r="G35" s="331">
        <f t="shared" si="1"/>
        <v>1500</v>
      </c>
      <c r="H35" s="331">
        <f t="shared" si="1"/>
        <v>1500</v>
      </c>
      <c r="I35" s="331">
        <f t="shared" si="1"/>
        <v>1500</v>
      </c>
      <c r="J35" s="331">
        <f t="shared" ref="J35:L36" si="2">I35</f>
        <v>1500</v>
      </c>
      <c r="K35" s="331">
        <f t="shared" si="2"/>
        <v>1500</v>
      </c>
      <c r="L35" s="1306">
        <f t="shared" si="2"/>
        <v>1500</v>
      </c>
    </row>
    <row r="36" spans="1:12" ht="15" customHeight="1" x14ac:dyDescent="0.25">
      <c r="A36" s="520" t="s">
        <v>584</v>
      </c>
      <c r="B36" s="339">
        <v>0</v>
      </c>
      <c r="C36" s="331"/>
      <c r="D36" s="339">
        <v>0</v>
      </c>
      <c r="E36" s="331">
        <f t="shared" si="1"/>
        <v>0</v>
      </c>
      <c r="F36" s="331">
        <f t="shared" si="1"/>
        <v>0</v>
      </c>
      <c r="G36" s="331">
        <f t="shared" si="1"/>
        <v>0</v>
      </c>
      <c r="H36" s="331">
        <f t="shared" si="1"/>
        <v>0</v>
      </c>
      <c r="I36" s="331">
        <f t="shared" si="1"/>
        <v>0</v>
      </c>
      <c r="J36" s="331">
        <f t="shared" si="2"/>
        <v>0</v>
      </c>
      <c r="K36" s="331">
        <f t="shared" si="2"/>
        <v>0</v>
      </c>
      <c r="L36" s="1306">
        <f t="shared" si="2"/>
        <v>0</v>
      </c>
    </row>
    <row r="37" spans="1:12" ht="15" customHeight="1" x14ac:dyDescent="0.25">
      <c r="A37" s="1118" t="s">
        <v>2111</v>
      </c>
      <c r="B37" s="331">
        <f>B34*(2/3)</f>
        <v>1000</v>
      </c>
      <c r="C37" s="331"/>
      <c r="D37" s="331">
        <f>D34</f>
        <v>1500</v>
      </c>
      <c r="E37" s="331">
        <f t="shared" ref="E37:L37" si="3">(E34+D34)/2</f>
        <v>1500</v>
      </c>
      <c r="F37" s="331">
        <f t="shared" si="3"/>
        <v>1500</v>
      </c>
      <c r="G37" s="331">
        <f t="shared" si="3"/>
        <v>1500</v>
      </c>
      <c r="H37" s="331">
        <f t="shared" si="3"/>
        <v>1500</v>
      </c>
      <c r="I37" s="331">
        <f t="shared" si="3"/>
        <v>1500</v>
      </c>
      <c r="J37" s="331">
        <f t="shared" si="3"/>
        <v>1500</v>
      </c>
      <c r="K37" s="331">
        <f t="shared" si="3"/>
        <v>1500</v>
      </c>
      <c r="L37" s="1306">
        <f t="shared" si="3"/>
        <v>1500</v>
      </c>
    </row>
    <row r="38" spans="1:12" ht="15" customHeight="1" x14ac:dyDescent="0.25">
      <c r="A38" s="1307" t="s">
        <v>901</v>
      </c>
      <c r="B38" s="1308">
        <v>260</v>
      </c>
      <c r="C38" s="560"/>
      <c r="D38" s="1308">
        <v>185</v>
      </c>
      <c r="E38" s="1308">
        <v>200</v>
      </c>
      <c r="F38" s="1308">
        <v>210</v>
      </c>
      <c r="G38" s="1308">
        <v>200</v>
      </c>
      <c r="H38" s="560">
        <f>H41*1000000/365/H37</f>
        <v>198.75</v>
      </c>
      <c r="I38" s="1308">
        <f>D38+10</f>
        <v>195</v>
      </c>
      <c r="J38" s="1308">
        <f>B8</f>
        <v>200</v>
      </c>
      <c r="K38" s="1308">
        <f>J38*(1+0.01)</f>
        <v>202</v>
      </c>
      <c r="L38" s="1309">
        <f>K38*(1+0.01)</f>
        <v>204.02</v>
      </c>
    </row>
    <row r="39" spans="1:12" ht="15" customHeight="1" x14ac:dyDescent="0.25">
      <c r="A39" s="1310"/>
      <c r="B39" s="492"/>
      <c r="C39" s="492"/>
      <c r="D39" s="492"/>
      <c r="E39" s="492"/>
      <c r="F39" s="492"/>
      <c r="G39" s="492"/>
      <c r="H39" s="492"/>
      <c r="I39" s="492"/>
      <c r="J39" s="492"/>
      <c r="K39" s="492"/>
      <c r="L39" s="1311"/>
    </row>
    <row r="40" spans="1:12" ht="15" customHeight="1" x14ac:dyDescent="0.25">
      <c r="A40" s="520"/>
      <c r="B40" s="331"/>
      <c r="C40" s="442"/>
      <c r="D40" s="331"/>
      <c r="E40" s="331"/>
      <c r="F40" s="331"/>
      <c r="G40" s="331"/>
      <c r="H40" s="442"/>
      <c r="I40" s="442"/>
      <c r="J40" s="442"/>
      <c r="K40" s="442"/>
      <c r="L40" s="1312"/>
    </row>
    <row r="41" spans="1:12" ht="15" customHeight="1" x14ac:dyDescent="0.25">
      <c r="A41" s="520" t="s">
        <v>1362</v>
      </c>
      <c r="B41" s="476">
        <f>(3/12)*H41*0.75</f>
        <v>20.402929687499999</v>
      </c>
      <c r="C41" s="476"/>
      <c r="D41" s="476">
        <f>((D38*D37*365)/4)/1000000</f>
        <v>25.321874999999999</v>
      </c>
      <c r="E41" s="476">
        <f>((E38*E35*365)/4)/1000000</f>
        <v>27.375</v>
      </c>
      <c r="F41" s="476">
        <f>((F38*F35*365)/4)/1000000</f>
        <v>28.743749999999999</v>
      </c>
      <c r="G41" s="476">
        <f>((G38*G35*365)/4)/1000000</f>
        <v>27.375</v>
      </c>
      <c r="H41" s="476">
        <f>SUM(D41:G41)</f>
        <v>108.815625</v>
      </c>
      <c r="I41" s="476">
        <f>(I38*I35*365)/1000000</f>
        <v>106.7625</v>
      </c>
      <c r="J41" s="476">
        <f>(J38*J35*365)/1000000</f>
        <v>109.5</v>
      </c>
      <c r="K41" s="476">
        <f>(K38*K35*365)/1000000</f>
        <v>110.595</v>
      </c>
      <c r="L41" s="682">
        <f>(L38*L35*365)/1000000</f>
        <v>111.70095000000001</v>
      </c>
    </row>
    <row r="42" spans="1:12" ht="15" customHeight="1" x14ac:dyDescent="0.25">
      <c r="A42" s="1310"/>
      <c r="B42" s="492"/>
      <c r="C42" s="492"/>
      <c r="D42" s="492"/>
      <c r="E42" s="492"/>
      <c r="F42" s="492"/>
      <c r="G42" s="492"/>
      <c r="H42" s="492"/>
      <c r="I42" s="492"/>
      <c r="J42" s="492"/>
      <c r="K42" s="492"/>
      <c r="L42" s="1311"/>
    </row>
    <row r="43" spans="1:12" ht="15" customHeight="1" x14ac:dyDescent="0.25">
      <c r="A43" s="520" t="s">
        <v>134</v>
      </c>
      <c r="B43" s="476">
        <f>(2/12)*H43</f>
        <v>-0.45339843750000008</v>
      </c>
      <c r="C43" s="476"/>
      <c r="D43" s="476">
        <f>(0.075*D41)-(0.1*D41)</f>
        <v>-0.63304687500000023</v>
      </c>
      <c r="E43" s="476">
        <f t="shared" ref="E43:L43" si="4">(0.075*E41)-(0.1*E41)</f>
        <v>-0.68437500000000018</v>
      </c>
      <c r="F43" s="476">
        <f t="shared" si="4"/>
        <v>-0.71859375000000014</v>
      </c>
      <c r="G43" s="476">
        <f t="shared" si="4"/>
        <v>-0.68437500000000018</v>
      </c>
      <c r="H43" s="476">
        <f>SUM(D43:G43)</f>
        <v>-2.7203906250000007</v>
      </c>
      <c r="I43" s="476">
        <f t="shared" si="4"/>
        <v>-2.6690625000000008</v>
      </c>
      <c r="J43" s="476">
        <f t="shared" si="4"/>
        <v>-2.7375000000000007</v>
      </c>
      <c r="K43" s="476">
        <f t="shared" si="4"/>
        <v>-2.764875</v>
      </c>
      <c r="L43" s="682">
        <f t="shared" si="4"/>
        <v>-2.7925237500000009</v>
      </c>
    </row>
    <row r="44" spans="1:12" ht="15" customHeight="1" x14ac:dyDescent="0.25">
      <c r="A44" s="1149" t="s">
        <v>898</v>
      </c>
      <c r="B44" s="476">
        <f>B41+B43</f>
        <v>19.94953125</v>
      </c>
      <c r="C44" s="476"/>
      <c r="D44" s="476">
        <f>D41+D43</f>
        <v>24.688828124999997</v>
      </c>
      <c r="E44" s="476">
        <f>E41+E43</f>
        <v>26.690625000000001</v>
      </c>
      <c r="F44" s="476">
        <f>F41+F43</f>
        <v>28.025156249999998</v>
      </c>
      <c r="G44" s="476">
        <f>G41+G43</f>
        <v>26.690625000000001</v>
      </c>
      <c r="H44" s="476">
        <f>SUM(D44:G44)</f>
        <v>106.09523437499999</v>
      </c>
      <c r="I44" s="476">
        <f>I41+I43</f>
        <v>104.09343750000001</v>
      </c>
      <c r="J44" s="476">
        <f>J41+J43</f>
        <v>106.7625</v>
      </c>
      <c r="K44" s="476">
        <f>K41+K43</f>
        <v>107.830125</v>
      </c>
      <c r="L44" s="682">
        <f>L41+L43</f>
        <v>108.90842625000001</v>
      </c>
    </row>
    <row r="45" spans="1:12" ht="15" customHeight="1" x14ac:dyDescent="0.25">
      <c r="A45" s="1310"/>
      <c r="B45" s="492"/>
      <c r="C45" s="492"/>
      <c r="D45" s="492"/>
      <c r="E45" s="492"/>
      <c r="F45" s="492"/>
      <c r="G45" s="492"/>
      <c r="H45" s="492"/>
      <c r="I45" s="492"/>
      <c r="J45" s="492"/>
      <c r="K45" s="492"/>
      <c r="L45" s="1311"/>
    </row>
    <row r="46" spans="1:12" ht="15" customHeight="1" x14ac:dyDescent="0.25">
      <c r="A46" s="520"/>
      <c r="B46" s="331"/>
      <c r="C46" s="442"/>
      <c r="D46" s="331"/>
      <c r="E46" s="331"/>
      <c r="F46" s="331"/>
      <c r="G46" s="331"/>
      <c r="H46" s="442"/>
      <c r="I46" s="442"/>
      <c r="J46" s="442"/>
      <c r="K46" s="442"/>
      <c r="L46" s="1312"/>
    </row>
    <row r="47" spans="1:12" ht="15" customHeight="1" x14ac:dyDescent="0.25">
      <c r="A47" s="520" t="s">
        <v>600</v>
      </c>
      <c r="B47" s="476">
        <f>B52-B50</f>
        <v>5.2526208984375007</v>
      </c>
      <c r="C47" s="476"/>
      <c r="D47" s="476">
        <f>D52-D50</f>
        <v>5.9633015624999963</v>
      </c>
      <c r="E47" s="476">
        <f>E52-E50</f>
        <v>6.4468125000000001</v>
      </c>
      <c r="F47" s="476">
        <f>F52-F50</f>
        <v>6.6290273437499962</v>
      </c>
      <c r="G47" s="476">
        <f>G52-G50</f>
        <v>6.3133593749999974</v>
      </c>
      <c r="H47" s="476">
        <f>SUM(D47:G47)</f>
        <v>25.35250078124999</v>
      </c>
      <c r="I47" s="476">
        <f>I52-I50</f>
        <v>24.874151709905661</v>
      </c>
      <c r="J47" s="476">
        <f>J52-J50</f>
        <v>28.990124999999992</v>
      </c>
      <c r="K47" s="476">
        <f>K52-K50</f>
        <v>29.280026249999992</v>
      </c>
      <c r="L47" s="682">
        <f>L52-L50</f>
        <v>29.572826512500001</v>
      </c>
    </row>
    <row r="48" spans="1:12" ht="15" customHeight="1" x14ac:dyDescent="0.25">
      <c r="A48" s="1310"/>
      <c r="B48" s="492"/>
      <c r="C48" s="492"/>
      <c r="D48" s="492"/>
      <c r="E48" s="492"/>
      <c r="F48" s="492"/>
      <c r="G48" s="492"/>
      <c r="H48" s="492"/>
      <c r="I48" s="492"/>
      <c r="J48" s="492"/>
      <c r="K48" s="492"/>
      <c r="L48" s="1311"/>
    </row>
    <row r="49" spans="1:12" ht="15" customHeight="1" x14ac:dyDescent="0.25">
      <c r="A49" s="1310"/>
      <c r="B49" s="492"/>
      <c r="C49" s="492"/>
      <c r="D49" s="492"/>
      <c r="E49" s="492"/>
      <c r="F49" s="492"/>
      <c r="G49" s="492"/>
      <c r="H49" s="492"/>
      <c r="I49" s="492"/>
      <c r="J49" s="492"/>
      <c r="K49" s="492"/>
      <c r="L49" s="1311"/>
    </row>
    <row r="50" spans="1:12" ht="15" customHeight="1" x14ac:dyDescent="0.25">
      <c r="A50" s="520" t="s">
        <v>899</v>
      </c>
      <c r="B50" s="476">
        <f>(B41-(B41*0.1))*B51</f>
        <v>12.302966601562501</v>
      </c>
      <c r="C50" s="476"/>
      <c r="D50" s="476">
        <f>(D41-(D41*0.1))*D51</f>
        <v>15.269090625</v>
      </c>
      <c r="E50" s="476">
        <f>(E41-(E41*0.1))*E51</f>
        <v>16.507125000000002</v>
      </c>
      <c r="F50" s="476">
        <f>(F41-(F41*0.1))*F51</f>
        <v>17.332481250000001</v>
      </c>
      <c r="G50" s="476">
        <f>(G41-(G41*0.1))*G51</f>
        <v>16.507125000000002</v>
      </c>
      <c r="H50" s="476">
        <f>SUM(D50:G50)</f>
        <v>65.615821875000009</v>
      </c>
      <c r="I50" s="476">
        <f>(I41-(I41*0.1))*I51</f>
        <v>64.377787500000011</v>
      </c>
      <c r="J50" s="476">
        <f>(J41-(J41*0.1))*J51</f>
        <v>66.028500000000008</v>
      </c>
      <c r="K50" s="476">
        <f>(K41-(K41*0.1))*K51</f>
        <v>66.68878500000001</v>
      </c>
      <c r="L50" s="682">
        <f>(L41-(L41*0.1))*L51</f>
        <v>67.355672850000005</v>
      </c>
    </row>
    <row r="51" spans="1:12" ht="15" customHeight="1" x14ac:dyDescent="0.25">
      <c r="A51" s="1310" t="s">
        <v>130</v>
      </c>
      <c r="B51" s="936">
        <v>0.67</v>
      </c>
      <c r="C51" s="936"/>
      <c r="D51" s="936">
        <v>0.67</v>
      </c>
      <c r="E51" s="936">
        <v>0.67</v>
      </c>
      <c r="F51" s="936">
        <v>0.67</v>
      </c>
      <c r="G51" s="936">
        <v>0.67</v>
      </c>
      <c r="H51" s="936">
        <v>0.67</v>
      </c>
      <c r="I51" s="936">
        <v>0.67</v>
      </c>
      <c r="J51" s="936">
        <v>0.67</v>
      </c>
      <c r="K51" s="936">
        <v>0.67</v>
      </c>
      <c r="L51" s="1314">
        <v>0.67</v>
      </c>
    </row>
    <row r="52" spans="1:12" ht="15" customHeight="1" x14ac:dyDescent="0.25">
      <c r="A52" s="520" t="s">
        <v>893</v>
      </c>
      <c r="B52" s="476">
        <f>B44-B54</f>
        <v>17.555587500000001</v>
      </c>
      <c r="C52" s="476"/>
      <c r="D52" s="476">
        <f>D44-D54</f>
        <v>21.232392187499997</v>
      </c>
      <c r="E52" s="476">
        <f>E44-E54</f>
        <v>22.953937500000002</v>
      </c>
      <c r="F52" s="476">
        <f>F44-F54</f>
        <v>23.961508593749997</v>
      </c>
      <c r="G52" s="476">
        <f>G44-G54</f>
        <v>22.820484374999999</v>
      </c>
      <c r="H52" s="476">
        <f>SUM(D52:G52)</f>
        <v>90.968322656249995</v>
      </c>
      <c r="I52" s="476">
        <f>I44-I54</f>
        <v>89.251939209905672</v>
      </c>
      <c r="J52" s="476">
        <f>J44-J54</f>
        <v>95.018625</v>
      </c>
      <c r="K52" s="476">
        <f>K44-K54</f>
        <v>95.968811250000002</v>
      </c>
      <c r="L52" s="682">
        <f>L44-L54</f>
        <v>96.928499362500006</v>
      </c>
    </row>
    <row r="53" spans="1:12" ht="15" customHeight="1" x14ac:dyDescent="0.25">
      <c r="A53" s="520"/>
      <c r="B53" s="331"/>
      <c r="C53" s="442"/>
      <c r="D53" s="331"/>
      <c r="E53" s="331"/>
      <c r="F53" s="331"/>
      <c r="G53" s="331"/>
      <c r="H53" s="442"/>
      <c r="I53" s="442"/>
      <c r="J53" s="442"/>
      <c r="K53" s="442"/>
      <c r="L53" s="1312"/>
    </row>
    <row r="54" spans="1:12" ht="15" customHeight="1" x14ac:dyDescent="0.25">
      <c r="A54" s="1149" t="s">
        <v>2010</v>
      </c>
      <c r="B54" s="476">
        <f>B55*B44</f>
        <v>2.39394375</v>
      </c>
      <c r="C54" s="476"/>
      <c r="D54" s="476">
        <f>D55*D44</f>
        <v>3.4564359374999998</v>
      </c>
      <c r="E54" s="476">
        <f>E55*E44</f>
        <v>3.7366875000000004</v>
      </c>
      <c r="F54" s="476">
        <f>F55*F44</f>
        <v>4.0636476562499997</v>
      </c>
      <c r="G54" s="476">
        <f>G55*G44</f>
        <v>3.8701406249999999</v>
      </c>
      <c r="H54" s="476">
        <f>SUM(D54:G54)</f>
        <v>15.12691171875</v>
      </c>
      <c r="I54" s="476">
        <f>I55*I44</f>
        <v>14.841498290094341</v>
      </c>
      <c r="J54" s="476">
        <f>J55*J44</f>
        <v>11.743875000000001</v>
      </c>
      <c r="K54" s="476">
        <f>K55*K44</f>
        <v>11.861313749999999</v>
      </c>
      <c r="L54" s="682">
        <f>L55*L44</f>
        <v>11.979926887500001</v>
      </c>
    </row>
    <row r="55" spans="1:12" ht="15" customHeight="1" x14ac:dyDescent="0.25">
      <c r="A55" s="1310" t="s">
        <v>2015</v>
      </c>
      <c r="B55" s="936">
        <v>0.12</v>
      </c>
      <c r="C55" s="492"/>
      <c r="D55" s="936">
        <v>0.14000000000000001</v>
      </c>
      <c r="E55" s="936">
        <v>0.14000000000000001</v>
      </c>
      <c r="F55" s="936">
        <v>0.14499999999999999</v>
      </c>
      <c r="G55" s="936">
        <v>0.14499999999999999</v>
      </c>
      <c r="H55" s="492">
        <f>H54/H44</f>
        <v>0.14257861635220126</v>
      </c>
      <c r="I55" s="492">
        <f>H55</f>
        <v>0.14257861635220126</v>
      </c>
      <c r="J55" s="936">
        <v>0.11</v>
      </c>
      <c r="K55" s="936">
        <f>J55</f>
        <v>0.11</v>
      </c>
      <c r="L55" s="1314">
        <f>K55</f>
        <v>0.11</v>
      </c>
    </row>
    <row r="56" spans="1:12" ht="15" customHeight="1" x14ac:dyDescent="0.25">
      <c r="A56" s="1310"/>
      <c r="B56" s="492"/>
      <c r="C56" s="492"/>
      <c r="D56" s="492"/>
      <c r="E56" s="492"/>
      <c r="F56" s="492"/>
      <c r="G56" s="492"/>
      <c r="H56" s="492"/>
      <c r="I56" s="492"/>
      <c r="J56" s="492"/>
      <c r="K56" s="492"/>
      <c r="L56" s="1311"/>
    </row>
    <row r="57" spans="1:12" ht="15" customHeight="1" x14ac:dyDescent="0.25">
      <c r="A57" s="520" t="s">
        <v>891</v>
      </c>
      <c r="B57" s="476">
        <f>(2/12)*H57</f>
        <v>0.5444444444444444</v>
      </c>
      <c r="C57" s="476"/>
      <c r="D57" s="572">
        <f>-$B$25/4</f>
        <v>0.81666666666666665</v>
      </c>
      <c r="E57" s="572">
        <f>-$B$25/4</f>
        <v>0.81666666666666665</v>
      </c>
      <c r="F57" s="572">
        <f>-$B$25/4</f>
        <v>0.81666666666666665</v>
      </c>
      <c r="G57" s="572">
        <f>-$B$25/4</f>
        <v>0.81666666666666665</v>
      </c>
      <c r="H57" s="476">
        <f>SUM(D57:G57)</f>
        <v>3.2666666666666666</v>
      </c>
      <c r="I57" s="572">
        <f>-$B$25</f>
        <v>3.2666666666666666</v>
      </c>
      <c r="J57" s="572">
        <f>-$B$25</f>
        <v>3.2666666666666666</v>
      </c>
      <c r="K57" s="572">
        <f>-$B$25</f>
        <v>3.2666666666666666</v>
      </c>
      <c r="L57" s="1313">
        <f>-$B$25</f>
        <v>3.2666666666666666</v>
      </c>
    </row>
  </sheetData>
  <phoneticPr fontId="13" type="noConversion"/>
  <pageMargins left="0.5" right="0.5" top="0.5" bottom="0.5" header="0.5" footer="0.5"/>
  <pageSetup scale="66" orientation="landscape"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J74"/>
  <sheetViews>
    <sheetView topLeftCell="A25" zoomScale="85" workbookViewId="0">
      <selection activeCell="E69" sqref="E69"/>
    </sheetView>
  </sheetViews>
  <sheetFormatPr defaultRowHeight="15" customHeight="1" x14ac:dyDescent="0.25"/>
  <cols>
    <col min="1" max="1" width="18.625" customWidth="1"/>
    <col min="2" max="10" width="13.625" customWidth="1"/>
    <col min="11" max="11" width="10.625" customWidth="1"/>
    <col min="12" max="12" width="25.75" bestFit="1" customWidth="1"/>
    <col min="15" max="15" width="23.75" bestFit="1" customWidth="1"/>
  </cols>
  <sheetData>
    <row r="1" spans="1:10" ht="15" customHeight="1" x14ac:dyDescent="0.25">
      <c r="A1" s="10" t="s">
        <v>1633</v>
      </c>
      <c r="B1" s="1070"/>
      <c r="C1" s="533"/>
      <c r="D1" s="533"/>
      <c r="E1" s="533"/>
      <c r="F1" s="533"/>
      <c r="G1" s="533"/>
      <c r="H1" s="533"/>
      <c r="I1" s="533"/>
      <c r="J1" s="533"/>
    </row>
    <row r="2" spans="1:10" ht="15" customHeight="1" x14ac:dyDescent="0.25">
      <c r="A2" s="10" t="s">
        <v>1613</v>
      </c>
      <c r="B2" s="428"/>
      <c r="C2" s="428"/>
      <c r="D2" s="428"/>
      <c r="E2" s="428"/>
      <c r="F2" s="428"/>
      <c r="G2" s="428"/>
      <c r="H2" s="428"/>
      <c r="I2" s="428"/>
      <c r="J2" s="428"/>
    </row>
    <row r="3" spans="1:10" ht="15" customHeight="1" x14ac:dyDescent="0.25">
      <c r="A3" s="11" t="s">
        <v>1508</v>
      </c>
      <c r="B3" s="428"/>
      <c r="C3" s="428"/>
      <c r="D3" s="428"/>
      <c r="E3" s="428"/>
      <c r="F3" s="428"/>
      <c r="G3" s="428"/>
      <c r="H3" s="428"/>
      <c r="I3" s="428"/>
      <c r="J3" s="428"/>
    </row>
    <row r="4" spans="1:10" ht="15" customHeight="1" x14ac:dyDescent="0.25">
      <c r="A4" s="11"/>
      <c r="B4" s="428"/>
      <c r="C4" s="428"/>
      <c r="D4" s="428"/>
      <c r="E4" s="428"/>
      <c r="F4" s="428"/>
      <c r="G4" s="428"/>
      <c r="H4" s="428"/>
      <c r="I4" s="428"/>
      <c r="J4" s="428"/>
    </row>
    <row r="5" spans="1:10" ht="15" customHeight="1" x14ac:dyDescent="0.25">
      <c r="A5" s="282"/>
      <c r="B5" s="1214" t="s">
        <v>1442</v>
      </c>
      <c r="C5" s="1214" t="s">
        <v>1442</v>
      </c>
      <c r="D5" s="1214" t="s">
        <v>1442</v>
      </c>
      <c r="E5" s="1214" t="s">
        <v>1442</v>
      </c>
      <c r="F5" s="1215" t="s">
        <v>1442</v>
      </c>
      <c r="G5" s="1216" t="s">
        <v>1136</v>
      </c>
      <c r="H5" s="1217" t="s">
        <v>1137</v>
      </c>
      <c r="I5" s="1218" t="s">
        <v>1137</v>
      </c>
      <c r="J5" s="1219" t="s">
        <v>1137</v>
      </c>
    </row>
    <row r="6" spans="1:10" ht="15" customHeight="1" x14ac:dyDescent="0.25">
      <c r="A6" s="1220" t="s">
        <v>1608</v>
      </c>
      <c r="B6" s="1221" t="s">
        <v>1148</v>
      </c>
      <c r="C6" s="1221" t="s">
        <v>1215</v>
      </c>
      <c r="D6" s="1221" t="s">
        <v>1606</v>
      </c>
      <c r="E6" s="1221" t="s">
        <v>551</v>
      </c>
      <c r="F6" s="1222" t="s">
        <v>1441</v>
      </c>
      <c r="G6" s="1223" t="s">
        <v>1441</v>
      </c>
      <c r="H6" s="1224" t="s">
        <v>1441</v>
      </c>
      <c r="I6" s="1225" t="s">
        <v>1492</v>
      </c>
      <c r="J6" s="1226" t="s">
        <v>841</v>
      </c>
    </row>
    <row r="7" spans="1:10" ht="15" customHeight="1" x14ac:dyDescent="0.25">
      <c r="A7" s="329" t="s">
        <v>1226</v>
      </c>
      <c r="B7" s="902">
        <v>7619</v>
      </c>
      <c r="C7" s="902">
        <v>5562</v>
      </c>
      <c r="D7" s="902">
        <v>5373</v>
      </c>
      <c r="E7" s="902">
        <v>3057</v>
      </c>
      <c r="F7" s="1228">
        <f t="shared" ref="F7:F12" si="0">SUM(B7:E7)</f>
        <v>21611</v>
      </c>
      <c r="G7" s="1229">
        <f>F7*(1.01)^3</f>
        <v>22265.834910999998</v>
      </c>
      <c r="H7" s="1230">
        <f>G7*(1+((H12-G12)/G12))</f>
        <v>18134.722134405558</v>
      </c>
      <c r="I7" s="338" t="s">
        <v>553</v>
      </c>
      <c r="J7" s="1231" t="s">
        <v>553</v>
      </c>
    </row>
    <row r="8" spans="1:10" ht="15" customHeight="1" x14ac:dyDescent="0.25">
      <c r="A8" s="329" t="s">
        <v>584</v>
      </c>
      <c r="B8" s="902">
        <v>72</v>
      </c>
      <c r="C8" s="902">
        <v>47</v>
      </c>
      <c r="D8" s="863">
        <v>62</v>
      </c>
      <c r="E8" s="863">
        <v>22</v>
      </c>
      <c r="F8" s="1228">
        <f t="shared" si="0"/>
        <v>203</v>
      </c>
      <c r="G8" s="1232">
        <f>F8</f>
        <v>203</v>
      </c>
      <c r="H8" s="1233">
        <f>G8</f>
        <v>203</v>
      </c>
      <c r="I8" s="863">
        <v>86</v>
      </c>
      <c r="J8" s="1228">
        <f>I8+H8</f>
        <v>289</v>
      </c>
    </row>
    <row r="9" spans="1:10" ht="15" customHeight="1" x14ac:dyDescent="0.25">
      <c r="A9" s="329" t="s">
        <v>585</v>
      </c>
      <c r="B9" s="902">
        <v>2997</v>
      </c>
      <c r="C9" s="902">
        <v>1966</v>
      </c>
      <c r="D9" s="863">
        <v>1758</v>
      </c>
      <c r="E9" s="863">
        <v>1201</v>
      </c>
      <c r="F9" s="1228">
        <f t="shared" si="0"/>
        <v>7922</v>
      </c>
      <c r="G9" s="1232">
        <f>F9</f>
        <v>7922</v>
      </c>
      <c r="H9" s="1233">
        <f>G9</f>
        <v>7922</v>
      </c>
      <c r="I9" s="863">
        <v>2300</v>
      </c>
      <c r="J9" s="1228">
        <f>I9+H9</f>
        <v>10222</v>
      </c>
    </row>
    <row r="10" spans="1:10" ht="15" customHeight="1" x14ac:dyDescent="0.25">
      <c r="A10" s="1235" t="s">
        <v>944</v>
      </c>
      <c r="B10" s="311">
        <f>B12-B11</f>
        <v>27.299999999999983</v>
      </c>
      <c r="C10" s="311">
        <f>C12-C11</f>
        <v>20</v>
      </c>
      <c r="D10" s="311">
        <f>D12-D11</f>
        <v>29.699999999999989</v>
      </c>
      <c r="E10" s="311">
        <f>E12-E11</f>
        <v>7.5</v>
      </c>
      <c r="F10" s="1236">
        <f t="shared" si="0"/>
        <v>84.499999999999972</v>
      </c>
      <c r="G10" s="518">
        <f>G12-G11</f>
        <v>87.060434500000042</v>
      </c>
      <c r="H10" s="329">
        <f>H12-H11</f>
        <v>70.907594297222204</v>
      </c>
      <c r="I10" s="1237">
        <f>I8*I19*365/1000000</f>
        <v>32.833939999999998</v>
      </c>
      <c r="J10" s="1238">
        <f>J12-J11</f>
        <v>103.74153429722219</v>
      </c>
    </row>
    <row r="11" spans="1:10" ht="15" customHeight="1" x14ac:dyDescent="0.25">
      <c r="A11" s="1235" t="s">
        <v>945</v>
      </c>
      <c r="B11" s="311">
        <f>B12*B13</f>
        <v>214.8</v>
      </c>
      <c r="C11" s="311">
        <f>C12*C13</f>
        <v>179</v>
      </c>
      <c r="D11" s="311">
        <f>D12*D13</f>
        <v>165.9</v>
      </c>
      <c r="E11" s="311">
        <f>E12*E13</f>
        <v>75.8</v>
      </c>
      <c r="F11" s="1236">
        <f t="shared" si="0"/>
        <v>635.5</v>
      </c>
      <c r="G11" s="518">
        <f>G12*G13</f>
        <v>654.75628549999988</v>
      </c>
      <c r="H11" s="329">
        <f>H12*H13</f>
        <v>533.27545770277777</v>
      </c>
      <c r="I11" s="1237">
        <f>I9*I18*365/1000000</f>
        <v>178.98140000000001</v>
      </c>
      <c r="J11" s="1238">
        <f>J12*J13</f>
        <v>712.25685770277778</v>
      </c>
    </row>
    <row r="12" spans="1:10" ht="15" customHeight="1" x14ac:dyDescent="0.25">
      <c r="A12" s="1186" t="s">
        <v>1607</v>
      </c>
      <c r="B12" s="859">
        <v>242.1</v>
      </c>
      <c r="C12" s="859">
        <v>199</v>
      </c>
      <c r="D12" s="1051">
        <v>195.6</v>
      </c>
      <c r="E12" s="1051">
        <v>83.3</v>
      </c>
      <c r="F12" s="1236">
        <f t="shared" si="0"/>
        <v>720</v>
      </c>
      <c r="G12" s="759">
        <f>F12*(1.01)^3</f>
        <v>741.81671999999992</v>
      </c>
      <c r="H12" s="329">
        <f>J12-I12</f>
        <v>604.18305199999998</v>
      </c>
      <c r="I12" s="526">
        <f>SUM(I10:I11)</f>
        <v>211.81533999999999</v>
      </c>
      <c r="J12" s="1239">
        <f>G12*(1.1)</f>
        <v>815.99839199999997</v>
      </c>
    </row>
    <row r="13" spans="1:10" ht="15" customHeight="1" thickBot="1" x14ac:dyDescent="0.3">
      <c r="A13" s="1240" t="s">
        <v>946</v>
      </c>
      <c r="B13" s="900">
        <f>(214.8/B12)</f>
        <v>0.88723667905824044</v>
      </c>
      <c r="C13" s="900">
        <f>179/C12</f>
        <v>0.89949748743718594</v>
      </c>
      <c r="D13" s="1241">
        <f>165.9/D12</f>
        <v>0.84815950920245409</v>
      </c>
      <c r="E13" s="1241">
        <f>75.8/E12</f>
        <v>0.90996398559423775</v>
      </c>
      <c r="F13" s="1242">
        <f>(214.8+179+165.9+75.8)/F12</f>
        <v>0.88263888888888886</v>
      </c>
      <c r="G13" s="1181">
        <f>F13</f>
        <v>0.88263888888888886</v>
      </c>
      <c r="H13" s="1243">
        <f>G13</f>
        <v>0.88263888888888886</v>
      </c>
      <c r="I13" s="1241">
        <v>0.84499999999999997</v>
      </c>
      <c r="J13" s="1244">
        <f>(H11+I11)/(I12+H12)</f>
        <v>0.87286551626290187</v>
      </c>
    </row>
    <row r="14" spans="1:10" ht="15" customHeight="1" thickBot="1" x14ac:dyDescent="0.3">
      <c r="A14" s="1240" t="s">
        <v>1491</v>
      </c>
      <c r="B14" s="1234" t="s">
        <v>553</v>
      </c>
      <c r="C14" s="1234" t="s">
        <v>553</v>
      </c>
      <c r="D14" s="1245" t="s">
        <v>553</v>
      </c>
      <c r="E14" s="1245" t="s">
        <v>553</v>
      </c>
      <c r="F14" s="1246" t="s">
        <v>553</v>
      </c>
      <c r="G14" s="1241">
        <v>0.01</v>
      </c>
      <c r="H14" s="1247">
        <f>(H12-G12)/G12</f>
        <v>-0.18553594747770036</v>
      </c>
      <c r="I14" s="1245" t="s">
        <v>553</v>
      </c>
      <c r="J14" s="1247">
        <f>(J12-G12)/G12</f>
        <v>0.10000000000000007</v>
      </c>
    </row>
    <row r="15" spans="1:10" ht="15" customHeight="1" x14ac:dyDescent="0.25">
      <c r="A15" s="329" t="s">
        <v>1509</v>
      </c>
      <c r="B15" s="1051">
        <f>(0.21*B12)+((2*1000*B7)/1000000)</f>
        <v>66.078999999999994</v>
      </c>
      <c r="C15" s="1051">
        <f>(0.21*C12)+((2*1000*C7)/1000000)</f>
        <v>52.914000000000001</v>
      </c>
      <c r="D15" s="1051">
        <f>(0.21*D12)+((2*1000*D7)/1000000)</f>
        <v>51.822000000000003</v>
      </c>
      <c r="E15" s="1051">
        <f>(0.21*E12)+((2*1000*E7)/1000000)</f>
        <v>23.606999999999999</v>
      </c>
      <c r="F15" s="1248">
        <f>SUM(B15:E15)</f>
        <v>194.422</v>
      </c>
      <c r="G15" s="1179">
        <f>(0.21*G12)+((2*1000*G7)/1000000)</f>
        <v>200.31318102199998</v>
      </c>
      <c r="H15" s="1249">
        <f>(0.21*H12)+((2*1000*H7)/1000000)</f>
        <v>163.1478851888111</v>
      </c>
      <c r="I15" s="526">
        <f>I12*I16</f>
        <v>59.308295200000003</v>
      </c>
      <c r="J15" s="1248">
        <f>I15+H15</f>
        <v>222.45618038881111</v>
      </c>
    </row>
    <row r="16" spans="1:10" ht="15" customHeight="1" x14ac:dyDescent="0.25">
      <c r="A16" s="1240" t="s">
        <v>947</v>
      </c>
      <c r="B16" s="898">
        <f t="shared" ref="B16:J16" si="1">B15/B12</f>
        <v>0.27294093349855431</v>
      </c>
      <c r="C16" s="898">
        <f t="shared" si="1"/>
        <v>0.26589949748743719</v>
      </c>
      <c r="D16" s="898">
        <f t="shared" si="1"/>
        <v>0.26493865030674851</v>
      </c>
      <c r="E16" s="898">
        <f t="shared" si="1"/>
        <v>0.28339735894357743</v>
      </c>
      <c r="F16" s="1250">
        <f t="shared" si="1"/>
        <v>0.27003055555555555</v>
      </c>
      <c r="G16" s="1251">
        <f t="shared" si="1"/>
        <v>0.27003055555555555</v>
      </c>
      <c r="H16" s="1252">
        <f t="shared" si="1"/>
        <v>0.27003055555555555</v>
      </c>
      <c r="I16" s="1253">
        <v>0.28000000000000003</v>
      </c>
      <c r="J16" s="1250">
        <f t="shared" si="1"/>
        <v>0.2726184053421653</v>
      </c>
    </row>
    <row r="17" spans="1:10" ht="15" customHeight="1" thickBot="1" x14ac:dyDescent="0.3">
      <c r="A17" s="1254" t="s">
        <v>1221</v>
      </c>
      <c r="B17" s="900">
        <f>(59.407+16.671)/(176.354+56.307)</f>
        <v>0.32699077198155257</v>
      </c>
      <c r="C17" s="900">
        <f>67/194</f>
        <v>0.34536082474226804</v>
      </c>
      <c r="D17" s="1255" t="s">
        <v>553</v>
      </c>
      <c r="E17" s="1241">
        <f>17.431/77.45</f>
        <v>0.22506132989025177</v>
      </c>
      <c r="F17" s="1256" t="s">
        <v>553</v>
      </c>
      <c r="G17" s="1257" t="s">
        <v>553</v>
      </c>
      <c r="H17" s="1258" t="s">
        <v>553</v>
      </c>
      <c r="I17" s="717">
        <f>B64</f>
        <v>0.32</v>
      </c>
      <c r="J17" s="1256" t="s">
        <v>553</v>
      </c>
    </row>
    <row r="18" spans="1:10" ht="15" customHeight="1" x14ac:dyDescent="0.25">
      <c r="A18" s="1149" t="s">
        <v>1609</v>
      </c>
      <c r="B18" s="1170">
        <f>(B13*B12*1000000)/365/B9</f>
        <v>196.36074430594979</v>
      </c>
      <c r="C18" s="1170">
        <f t="shared" ref="C18:J18" si="2">(C13*C12*1000000)/365/C9</f>
        <v>249.4460625148065</v>
      </c>
      <c r="D18" s="1170">
        <f t="shared" si="2"/>
        <v>258.54411145916123</v>
      </c>
      <c r="E18" s="1170">
        <f t="shared" si="2"/>
        <v>172.91526467669638</v>
      </c>
      <c r="F18" s="1259">
        <f t="shared" si="2"/>
        <v>219.77983973882337</v>
      </c>
      <c r="G18" s="1171">
        <f t="shared" si="2"/>
        <v>226.43938866274942</v>
      </c>
      <c r="H18" s="1260">
        <f t="shared" si="2"/>
        <v>184.42674214093498</v>
      </c>
      <c r="I18" s="1261">
        <v>213.2</v>
      </c>
      <c r="J18" s="1171">
        <f t="shared" si="2"/>
        <v>190.90086590104548</v>
      </c>
    </row>
    <row r="19" spans="1:10" ht="15" customHeight="1" thickBot="1" x14ac:dyDescent="0.3">
      <c r="A19" s="1262" t="s">
        <v>1610</v>
      </c>
      <c r="B19" s="1263">
        <f>((B12*(1-B13))*1000000)/365/B8</f>
        <v>1038.8127853881274</v>
      </c>
      <c r="C19" s="1263">
        <f t="shared" ref="C19:J19" si="3">((C12*(1-C13))*1000000)/365/C8</f>
        <v>1165.8408627222384</v>
      </c>
      <c r="D19" s="1263">
        <f t="shared" si="3"/>
        <v>1312.417145382235</v>
      </c>
      <c r="E19" s="1263">
        <f t="shared" si="3"/>
        <v>933.9975093399745</v>
      </c>
      <c r="F19" s="1264">
        <f t="shared" si="3"/>
        <v>1140.4278291382686</v>
      </c>
      <c r="G19" s="1265">
        <f t="shared" si="3"/>
        <v>1174.9839327889872</v>
      </c>
      <c r="H19" s="1266">
        <f t="shared" si="3"/>
        <v>956.98217554790779</v>
      </c>
      <c r="I19" s="1267">
        <v>1046</v>
      </c>
      <c r="J19" s="1265">
        <f t="shared" si="3"/>
        <v>983.47190877586581</v>
      </c>
    </row>
    <row r="20" spans="1:10" ht="15" customHeight="1" x14ac:dyDescent="0.25">
      <c r="A20" s="311"/>
      <c r="B20" s="428"/>
      <c r="C20" s="428"/>
      <c r="D20" s="428"/>
      <c r="E20" s="428"/>
      <c r="F20" s="428"/>
      <c r="G20" s="428"/>
      <c r="H20" s="428"/>
      <c r="I20" s="1268"/>
      <c r="J20" s="428"/>
    </row>
    <row r="21" spans="1:10" ht="15" customHeight="1" x14ac:dyDescent="0.25">
      <c r="A21" s="1269" t="s">
        <v>1313</v>
      </c>
      <c r="B21" s="1270">
        <v>2013</v>
      </c>
      <c r="C21" s="428"/>
      <c r="D21" s="1109" t="s">
        <v>1399</v>
      </c>
      <c r="E21" s="1271"/>
      <c r="F21" s="428"/>
      <c r="G21" s="1109" t="s">
        <v>1936</v>
      </c>
      <c r="H21" s="1272" t="s">
        <v>1103</v>
      </c>
      <c r="I21" s="1273"/>
      <c r="J21" s="1225"/>
    </row>
    <row r="22" spans="1:10" ht="15" customHeight="1" x14ac:dyDescent="0.25">
      <c r="A22" s="1274" t="s">
        <v>2254</v>
      </c>
      <c r="B22" s="858">
        <f>E30</f>
        <v>211.81533999999999</v>
      </c>
      <c r="C22" s="428"/>
      <c r="D22" s="520" t="s">
        <v>1493</v>
      </c>
      <c r="E22" s="1179">
        <v>25</v>
      </c>
      <c r="F22" s="428"/>
      <c r="G22" s="520" t="s">
        <v>949</v>
      </c>
      <c r="H22" s="1275">
        <f>(H25-H24)/2</f>
        <v>164.625</v>
      </c>
      <c r="I22" s="428"/>
      <c r="J22" s="428"/>
    </row>
    <row r="23" spans="1:10" ht="15" customHeight="1" x14ac:dyDescent="0.25">
      <c r="A23" s="1276" t="s">
        <v>1223</v>
      </c>
      <c r="B23" s="759">
        <f>0.075*B22</f>
        <v>15.886150499999999</v>
      </c>
      <c r="C23" s="428"/>
      <c r="D23" s="329" t="s">
        <v>1400</v>
      </c>
      <c r="E23" s="1179">
        <f>410-E22</f>
        <v>385</v>
      </c>
      <c r="F23" s="428"/>
      <c r="G23" s="329" t="s">
        <v>950</v>
      </c>
      <c r="H23" s="1275">
        <f>(H25-H24)/2</f>
        <v>164.625</v>
      </c>
      <c r="I23" s="428"/>
      <c r="J23" s="428"/>
    </row>
    <row r="24" spans="1:10" ht="15" customHeight="1" x14ac:dyDescent="0.25">
      <c r="A24" s="1277" t="s">
        <v>1</v>
      </c>
      <c r="B24" s="1278">
        <f>-0.1*B22</f>
        <v>-21.181533999999999</v>
      </c>
      <c r="C24" s="428"/>
      <c r="D24" s="520" t="s">
        <v>1621</v>
      </c>
      <c r="E24" s="1278">
        <f>E23*0.05</f>
        <v>19.25</v>
      </c>
      <c r="F24" s="428"/>
      <c r="G24" s="329" t="s">
        <v>951</v>
      </c>
      <c r="H24" s="1279">
        <v>100</v>
      </c>
      <c r="I24" s="1280"/>
      <c r="J24" s="1281"/>
    </row>
    <row r="25" spans="1:10" ht="15" customHeight="1" x14ac:dyDescent="0.25">
      <c r="A25" s="1282" t="s">
        <v>3</v>
      </c>
      <c r="B25" s="1283">
        <f>SUM(B22:B24)</f>
        <v>206.51995649999998</v>
      </c>
      <c r="C25" s="428"/>
      <c r="D25" s="332" t="s">
        <v>841</v>
      </c>
      <c r="E25" s="1284">
        <f>SUM(E22:E24)</f>
        <v>429.25</v>
      </c>
      <c r="F25" s="428"/>
      <c r="G25" s="332" t="s">
        <v>952</v>
      </c>
      <c r="H25" s="1285">
        <f>E25</f>
        <v>429.25</v>
      </c>
      <c r="I25" s="528"/>
      <c r="J25" s="526"/>
    </row>
    <row r="26" spans="1:10" ht="15" customHeight="1" x14ac:dyDescent="0.25">
      <c r="A26" s="1277" t="s">
        <v>4</v>
      </c>
      <c r="B26" s="1286">
        <f>-B22*I16</f>
        <v>-59.308295200000003</v>
      </c>
      <c r="C26" s="428"/>
      <c r="D26" s="579"/>
      <c r="E26" s="1287"/>
      <c r="F26" s="428"/>
      <c r="G26" s="311"/>
      <c r="H26" s="526"/>
      <c r="I26" s="428"/>
      <c r="J26" s="428"/>
    </row>
    <row r="27" spans="1:10" ht="15" customHeight="1" x14ac:dyDescent="0.25">
      <c r="A27" s="995" t="s">
        <v>600</v>
      </c>
      <c r="B27" s="1288">
        <f>-(B25-B28+B26)</f>
        <v>-81.125275219999963</v>
      </c>
      <c r="C27" s="428"/>
      <c r="D27" s="1289" t="s">
        <v>948</v>
      </c>
      <c r="E27" s="1290"/>
      <c r="F27" s="428"/>
      <c r="G27" s="428"/>
      <c r="H27" s="428"/>
      <c r="I27" s="428"/>
      <c r="J27" s="428"/>
    </row>
    <row r="28" spans="1:10" ht="15" customHeight="1" x14ac:dyDescent="0.25">
      <c r="A28" s="1291" t="s">
        <v>1624</v>
      </c>
      <c r="B28" s="1283">
        <f>B25*B64</f>
        <v>66.086386079999997</v>
      </c>
      <c r="C28" s="428"/>
      <c r="D28" s="285" t="s">
        <v>1620</v>
      </c>
      <c r="E28" s="759">
        <v>203.3</v>
      </c>
      <c r="F28" s="428"/>
      <c r="G28" s="1391"/>
      <c r="H28" s="428"/>
      <c r="I28" s="428"/>
      <c r="J28" s="428"/>
    </row>
    <row r="29" spans="1:10" ht="15" customHeight="1" x14ac:dyDescent="0.25">
      <c r="A29" s="1292" t="s">
        <v>2015</v>
      </c>
      <c r="B29" s="1181">
        <f>B28/B25</f>
        <v>0.32</v>
      </c>
      <c r="C29" s="428"/>
      <c r="D29" s="285" t="s">
        <v>1631</v>
      </c>
      <c r="E29" s="759">
        <f>0.4+((2300*231*365)+(86*825*365))/1000000</f>
        <v>220.22125</v>
      </c>
      <c r="F29" s="428"/>
      <c r="G29" s="1227"/>
      <c r="H29" s="428"/>
      <c r="I29" s="428"/>
      <c r="J29" s="428"/>
    </row>
    <row r="30" spans="1:10" ht="15" customHeight="1" x14ac:dyDescent="0.25">
      <c r="A30" s="1292" t="s">
        <v>5</v>
      </c>
      <c r="B30" s="1181">
        <f>B28/E25</f>
        <v>0.15395780100174722</v>
      </c>
      <c r="C30" s="428"/>
      <c r="D30" s="1293" t="s">
        <v>1632</v>
      </c>
      <c r="E30" s="1199">
        <f>I12</f>
        <v>211.81533999999999</v>
      </c>
      <c r="F30" s="428"/>
      <c r="G30" s="428"/>
      <c r="H30" s="428"/>
      <c r="I30" s="924"/>
      <c r="J30" s="428"/>
    </row>
    <row r="31" spans="1:10" ht="15" customHeight="1" x14ac:dyDescent="0.25">
      <c r="A31" s="1294" t="s">
        <v>1401</v>
      </c>
      <c r="B31" s="1295">
        <f>B28*0.5</f>
        <v>33.043193039999998</v>
      </c>
      <c r="C31" s="1039"/>
      <c r="D31" s="428"/>
      <c r="E31" s="428"/>
      <c r="F31" s="428"/>
      <c r="G31" s="428"/>
      <c r="H31" s="428"/>
      <c r="I31" s="924"/>
      <c r="J31" s="428"/>
    </row>
    <row r="32" spans="1:10" ht="15" customHeight="1" x14ac:dyDescent="0.25">
      <c r="A32" s="1296"/>
      <c r="B32" s="1297"/>
      <c r="C32" s="428"/>
      <c r="D32" s="1298" t="s">
        <v>1966</v>
      </c>
      <c r="E32" s="1299"/>
      <c r="F32" s="428"/>
      <c r="G32" s="428"/>
      <c r="H32" s="428"/>
      <c r="I32" s="428"/>
      <c r="J32" s="428"/>
    </row>
    <row r="33" spans="1:10" ht="15" customHeight="1" x14ac:dyDescent="0.25">
      <c r="A33" s="1298" t="s">
        <v>1960</v>
      </c>
      <c r="B33" s="1270">
        <v>2013</v>
      </c>
      <c r="C33" s="428"/>
      <c r="D33" s="1282" t="s">
        <v>568</v>
      </c>
      <c r="E33" s="1283">
        <f>B31</f>
        <v>33.043193039999998</v>
      </c>
      <c r="F33" s="428"/>
      <c r="G33" s="428"/>
      <c r="H33" s="428"/>
      <c r="I33" s="428"/>
      <c r="J33" s="428"/>
    </row>
    <row r="34" spans="1:10" ht="15" customHeight="1" x14ac:dyDescent="0.25">
      <c r="A34" s="1282" t="s">
        <v>1962</v>
      </c>
      <c r="B34" s="1283">
        <f>B28</f>
        <v>66.086386079999997</v>
      </c>
      <c r="C34" s="428"/>
      <c r="D34" s="995" t="s">
        <v>1464</v>
      </c>
      <c r="E34" s="1300">
        <v>8</v>
      </c>
      <c r="F34" s="428"/>
      <c r="G34" s="428"/>
      <c r="H34" s="428"/>
      <c r="I34" s="428"/>
      <c r="J34" s="428"/>
    </row>
    <row r="35" spans="1:10" ht="15" customHeight="1" x14ac:dyDescent="0.25">
      <c r="A35" s="995" t="s">
        <v>1963</v>
      </c>
      <c r="B35" s="1179">
        <f>-E25/30</f>
        <v>-14.308333333333334</v>
      </c>
      <c r="C35" s="428"/>
      <c r="D35" s="520" t="s">
        <v>1935</v>
      </c>
      <c r="E35" s="1179">
        <f>E34*E33</f>
        <v>264.34554431999999</v>
      </c>
      <c r="F35" s="428"/>
      <c r="G35" s="428"/>
      <c r="H35" s="428"/>
      <c r="I35" s="428"/>
      <c r="J35" s="428"/>
    </row>
    <row r="36" spans="1:10" ht="15" customHeight="1" x14ac:dyDescent="0.25">
      <c r="A36" s="520" t="s">
        <v>1961</v>
      </c>
      <c r="B36" s="1179">
        <f>-0.065*H24</f>
        <v>-6.5</v>
      </c>
      <c r="C36" s="428"/>
      <c r="D36" s="995" t="s">
        <v>1619</v>
      </c>
      <c r="E36" s="684">
        <f>-H22</f>
        <v>-164.625</v>
      </c>
      <c r="F36" s="428"/>
      <c r="G36" s="428"/>
      <c r="H36" s="428"/>
      <c r="I36" s="428"/>
      <c r="J36" s="428"/>
    </row>
    <row r="37" spans="1:10" ht="15" customHeight="1" x14ac:dyDescent="0.25">
      <c r="A37" s="995" t="s">
        <v>1964</v>
      </c>
      <c r="B37" s="1278">
        <f>-0.4*(B34+B35+B36)</f>
        <v>-18.111221098666665</v>
      </c>
      <c r="C37" s="428"/>
      <c r="D37" s="520" t="s">
        <v>1937</v>
      </c>
      <c r="E37" s="1278">
        <f>-0.5*H24</f>
        <v>-50</v>
      </c>
      <c r="F37" s="428"/>
      <c r="G37" s="428"/>
      <c r="H37" s="428"/>
      <c r="I37" s="428"/>
      <c r="J37" s="428"/>
    </row>
    <row r="38" spans="1:10" ht="15" customHeight="1" x14ac:dyDescent="0.25">
      <c r="A38" s="995" t="s">
        <v>1965</v>
      </c>
      <c r="B38" s="684">
        <f>SUM(B34:B37)</f>
        <v>27.166831647999995</v>
      </c>
      <c r="C38" s="428"/>
      <c r="D38" s="1291" t="s">
        <v>8</v>
      </c>
      <c r="E38" s="1283">
        <f>SUM(E35:E37)</f>
        <v>49.720544319999988</v>
      </c>
      <c r="F38" s="428"/>
      <c r="G38" s="428"/>
      <c r="H38" s="428"/>
      <c r="I38" s="428"/>
      <c r="J38" s="428"/>
    </row>
    <row r="39" spans="1:10" ht="15" customHeight="1" x14ac:dyDescent="0.25">
      <c r="A39" s="995" t="s">
        <v>1622</v>
      </c>
      <c r="B39" s="1179">
        <f>B38*0.5</f>
        <v>13.583415823999998</v>
      </c>
      <c r="C39" s="428"/>
      <c r="D39" s="995" t="s">
        <v>801</v>
      </c>
      <c r="E39" s="1278">
        <f>+E38</f>
        <v>49.720544319999988</v>
      </c>
      <c r="F39" s="428"/>
      <c r="G39" s="428"/>
      <c r="H39" s="428"/>
      <c r="I39" s="428"/>
      <c r="J39" s="428"/>
    </row>
    <row r="40" spans="1:10" ht="15" customHeight="1" x14ac:dyDescent="0.25">
      <c r="A40" s="1262" t="s">
        <v>1447</v>
      </c>
      <c r="B40" s="1302">
        <f>B39/PENN!AF101</f>
        <v>0.12694069326953628</v>
      </c>
      <c r="C40" s="428"/>
      <c r="D40" s="1303" t="s">
        <v>1630</v>
      </c>
      <c r="E40" s="1615">
        <f>E39/PENN!AE101</f>
        <v>0.46370290809046388</v>
      </c>
      <c r="F40" s="428"/>
      <c r="G40" s="428"/>
      <c r="H40" s="428"/>
      <c r="I40" s="428"/>
      <c r="J40" s="428"/>
    </row>
    <row r="41" spans="1:10" ht="15" customHeight="1" x14ac:dyDescent="0.25">
      <c r="A41" s="428"/>
      <c r="B41" s="428"/>
      <c r="C41" s="428"/>
      <c r="D41" s="523"/>
      <c r="E41" s="523"/>
      <c r="F41" s="428"/>
      <c r="G41" s="428"/>
      <c r="H41" s="428"/>
      <c r="I41" s="428"/>
      <c r="J41" s="428"/>
    </row>
    <row r="42" spans="1:10" ht="15" customHeight="1" x14ac:dyDescent="0.25">
      <c r="A42" s="1109" t="s">
        <v>943</v>
      </c>
      <c r="B42" s="1304" t="s">
        <v>1137</v>
      </c>
      <c r="C42" s="1304" t="s">
        <v>1138</v>
      </c>
      <c r="D42" s="1304" t="s">
        <v>1139</v>
      </c>
      <c r="E42" s="1305" t="s">
        <v>567</v>
      </c>
      <c r="F42" s="428"/>
      <c r="G42" s="428"/>
      <c r="H42" s="428"/>
      <c r="I42" s="428"/>
      <c r="J42" s="428"/>
    </row>
    <row r="43" spans="1:10" ht="15" customHeight="1" x14ac:dyDescent="0.25">
      <c r="A43" s="520" t="s">
        <v>894</v>
      </c>
      <c r="B43" s="331">
        <f>B44+(6*B45)</f>
        <v>2816</v>
      </c>
      <c r="C43" s="331">
        <f>C44+(6*C45)</f>
        <v>2816</v>
      </c>
      <c r="D43" s="331">
        <f>D44+(6*D45)</f>
        <v>2816</v>
      </c>
      <c r="E43" s="1306">
        <f>E44+(6*E45)</f>
        <v>2816</v>
      </c>
      <c r="F43" s="428"/>
      <c r="G43" s="428"/>
      <c r="H43" s="428"/>
      <c r="I43" s="428"/>
      <c r="J43" s="428"/>
    </row>
    <row r="44" spans="1:10" ht="15" customHeight="1" x14ac:dyDescent="0.25">
      <c r="A44" s="520" t="s">
        <v>585</v>
      </c>
      <c r="B44" s="339">
        <f>I9</f>
        <v>2300</v>
      </c>
      <c r="C44" s="331">
        <f t="shared" ref="C44:E45" si="4">B44</f>
        <v>2300</v>
      </c>
      <c r="D44" s="331">
        <f t="shared" si="4"/>
        <v>2300</v>
      </c>
      <c r="E44" s="1306">
        <f t="shared" si="4"/>
        <v>2300</v>
      </c>
      <c r="F44" s="428"/>
      <c r="G44" s="428"/>
      <c r="H44" s="428"/>
      <c r="I44" s="428"/>
      <c r="J44" s="428"/>
    </row>
    <row r="45" spans="1:10" ht="15" customHeight="1" x14ac:dyDescent="0.25">
      <c r="A45" s="520" t="s">
        <v>584</v>
      </c>
      <c r="B45" s="339">
        <f>I8</f>
        <v>86</v>
      </c>
      <c r="C45" s="331">
        <f t="shared" si="4"/>
        <v>86</v>
      </c>
      <c r="D45" s="331">
        <f t="shared" si="4"/>
        <v>86</v>
      </c>
      <c r="E45" s="1306">
        <f t="shared" si="4"/>
        <v>86</v>
      </c>
      <c r="F45" s="428"/>
      <c r="G45" s="428"/>
      <c r="H45" s="428"/>
      <c r="I45" s="428"/>
      <c r="J45" s="428"/>
    </row>
    <row r="46" spans="1:10" ht="15" customHeight="1" x14ac:dyDescent="0.25">
      <c r="A46" s="1118" t="s">
        <v>2111</v>
      </c>
      <c r="B46" s="331">
        <f>B43</f>
        <v>2816</v>
      </c>
      <c r="C46" s="331">
        <f>(C43+B43)/2</f>
        <v>2816</v>
      </c>
      <c r="D46" s="331">
        <f>(D43+C43)/2</f>
        <v>2816</v>
      </c>
      <c r="E46" s="1306">
        <f>(E43+D43)/2</f>
        <v>2816</v>
      </c>
      <c r="F46" s="428"/>
      <c r="G46" s="428"/>
      <c r="H46" s="428"/>
      <c r="I46" s="428"/>
      <c r="J46" s="428"/>
    </row>
    <row r="47" spans="1:10" ht="15" customHeight="1" x14ac:dyDescent="0.25">
      <c r="A47" s="1307" t="s">
        <v>901</v>
      </c>
      <c r="B47" s="1308">
        <f>B50*1000000/B46/366</f>
        <v>205.49597149776451</v>
      </c>
      <c r="C47" s="1308">
        <f>C50*1000000/C46/365</f>
        <v>210.18015364259026</v>
      </c>
      <c r="D47" s="1308">
        <f>D50*1000000/D46/365</f>
        <v>214.38375671544205</v>
      </c>
      <c r="E47" s="1309">
        <f>E50*1000000/E46/365</f>
        <v>218.67143184975086</v>
      </c>
      <c r="F47" s="428"/>
      <c r="G47" s="428"/>
      <c r="H47" s="428"/>
      <c r="I47" s="428"/>
      <c r="J47" s="428"/>
    </row>
    <row r="48" spans="1:10" ht="5.0999999999999996" customHeight="1" x14ac:dyDescent="0.25">
      <c r="A48" s="1310"/>
      <c r="B48" s="492"/>
      <c r="C48" s="492"/>
      <c r="D48" s="492"/>
      <c r="E48" s="1311"/>
      <c r="F48" s="428"/>
      <c r="G48" s="428"/>
      <c r="H48" s="428"/>
      <c r="I48" s="428"/>
      <c r="J48" s="428"/>
    </row>
    <row r="49" spans="1:10" ht="5.0999999999999996" customHeight="1" x14ac:dyDescent="0.25">
      <c r="A49" s="520"/>
      <c r="B49" s="442"/>
      <c r="C49" s="442"/>
      <c r="D49" s="442"/>
      <c r="E49" s="1312"/>
      <c r="F49" s="428"/>
      <c r="G49" s="428"/>
      <c r="H49" s="428"/>
      <c r="I49" s="428"/>
      <c r="J49" s="428"/>
    </row>
    <row r="50" spans="1:10" ht="15" customHeight="1" x14ac:dyDescent="0.25">
      <c r="A50" s="520" t="s">
        <v>1362</v>
      </c>
      <c r="B50" s="572">
        <f>((B44*I18*366)/1000000+(B45*I19*366)/1000000)-0.6</f>
        <v>211.79565599999998</v>
      </c>
      <c r="C50" s="572">
        <f>B50*1.02</f>
        <v>216.03156911999997</v>
      </c>
      <c r="D50" s="572">
        <f>C50*1.02</f>
        <v>220.35220050239997</v>
      </c>
      <c r="E50" s="1313">
        <f>D50*1.02</f>
        <v>224.75924451244796</v>
      </c>
      <c r="F50" s="428"/>
      <c r="G50" s="428"/>
      <c r="H50" s="428"/>
      <c r="I50" s="428"/>
      <c r="J50" s="428"/>
    </row>
    <row r="51" spans="1:10" ht="5.0999999999999996" customHeight="1" x14ac:dyDescent="0.25">
      <c r="A51" s="1310"/>
      <c r="B51" s="492"/>
      <c r="C51" s="492"/>
      <c r="D51" s="492"/>
      <c r="E51" s="1311"/>
      <c r="F51" s="428"/>
      <c r="G51" s="428"/>
      <c r="H51" s="428"/>
      <c r="I51" s="428"/>
      <c r="J51" s="428"/>
    </row>
    <row r="52" spans="1:10" ht="15" customHeight="1" x14ac:dyDescent="0.25">
      <c r="A52" s="520" t="s">
        <v>134</v>
      </c>
      <c r="B52" s="476">
        <f>B23+B24</f>
        <v>-5.2953834999999998</v>
      </c>
      <c r="C52" s="476">
        <f>B52</f>
        <v>-5.2953834999999998</v>
      </c>
      <c r="D52" s="476">
        <f>C52</f>
        <v>-5.2953834999999998</v>
      </c>
      <c r="E52" s="682">
        <f>D52</f>
        <v>-5.2953834999999998</v>
      </c>
      <c r="F52" s="428"/>
      <c r="G52" s="428"/>
      <c r="H52" s="428"/>
      <c r="I52" s="428"/>
      <c r="J52" s="428"/>
    </row>
    <row r="53" spans="1:10" ht="15" customHeight="1" x14ac:dyDescent="0.25">
      <c r="A53" s="1149" t="s">
        <v>898</v>
      </c>
      <c r="B53" s="476">
        <f>B52+B50</f>
        <v>206.50027249999999</v>
      </c>
      <c r="C53" s="476">
        <f>C52+C50</f>
        <v>210.73618561999996</v>
      </c>
      <c r="D53" s="476">
        <f>D52+D50</f>
        <v>215.05681700239995</v>
      </c>
      <c r="E53" s="682">
        <f>E52+E50</f>
        <v>219.46386101244798</v>
      </c>
      <c r="F53" s="428"/>
      <c r="G53" s="428"/>
      <c r="H53" s="428"/>
      <c r="I53" s="428"/>
      <c r="J53" s="428"/>
    </row>
    <row r="54" spans="1:10" ht="5.0999999999999996" customHeight="1" x14ac:dyDescent="0.25">
      <c r="A54" s="1310"/>
      <c r="B54" s="492"/>
      <c r="C54" s="492"/>
      <c r="D54" s="492"/>
      <c r="E54" s="1311"/>
      <c r="F54" s="428"/>
      <c r="G54" s="428"/>
      <c r="H54" s="428"/>
      <c r="I54" s="428"/>
      <c r="J54" s="428"/>
    </row>
    <row r="55" spans="1:10" ht="5.0999999999999996" customHeight="1" x14ac:dyDescent="0.25">
      <c r="A55" s="520"/>
      <c r="B55" s="442"/>
      <c r="C55" s="442"/>
      <c r="D55" s="442"/>
      <c r="E55" s="1312"/>
      <c r="F55" s="428"/>
      <c r="G55" s="428"/>
      <c r="H55" s="428"/>
      <c r="I55" s="428"/>
      <c r="J55" s="428"/>
    </row>
    <row r="56" spans="1:10" ht="15" customHeight="1" x14ac:dyDescent="0.25">
      <c r="A56" s="520" t="s">
        <v>600</v>
      </c>
      <c r="B56" s="476">
        <f>B61-B59</f>
        <v>81.11740162000001</v>
      </c>
      <c r="C56" s="476">
        <f>C61-C59</f>
        <v>80.704405011799949</v>
      </c>
      <c r="D56" s="476">
        <f>D61-D59</f>
        <v>81.314167165923976</v>
      </c>
      <c r="E56" s="682">
        <f>E61-E59</f>
        <v>83.010879109792455</v>
      </c>
      <c r="F56" s="428"/>
      <c r="G56" s="428"/>
      <c r="H56" s="428"/>
      <c r="I56" s="428"/>
      <c r="J56" s="428"/>
    </row>
    <row r="57" spans="1:10" ht="5.0999999999999996" customHeight="1" x14ac:dyDescent="0.25">
      <c r="A57" s="1310"/>
      <c r="B57" s="492"/>
      <c r="C57" s="492"/>
      <c r="D57" s="492"/>
      <c r="E57" s="1311"/>
      <c r="F57" s="428"/>
      <c r="G57" s="428"/>
      <c r="H57" s="428"/>
      <c r="I57" s="428"/>
      <c r="J57" s="428"/>
    </row>
    <row r="58" spans="1:10" ht="5.0999999999999996" customHeight="1" x14ac:dyDescent="0.25">
      <c r="A58" s="1310"/>
      <c r="B58" s="492"/>
      <c r="C58" s="492"/>
      <c r="D58" s="492"/>
      <c r="E58" s="1311"/>
      <c r="F58" s="428"/>
      <c r="G58" s="428"/>
      <c r="H58" s="428"/>
      <c r="I58" s="428"/>
      <c r="J58" s="428"/>
    </row>
    <row r="59" spans="1:10" ht="15" customHeight="1" x14ac:dyDescent="0.25">
      <c r="A59" s="520" t="s">
        <v>899</v>
      </c>
      <c r="B59" s="476">
        <f>B50*B60</f>
        <v>59.302783679999997</v>
      </c>
      <c r="C59" s="476">
        <f>C50*C60</f>
        <v>60.4888393536</v>
      </c>
      <c r="D59" s="476">
        <f>D50*D60</f>
        <v>61.698616140671994</v>
      </c>
      <c r="E59" s="682">
        <f>E50*E60</f>
        <v>62.932588463485438</v>
      </c>
      <c r="F59" s="428"/>
      <c r="G59" s="428"/>
      <c r="H59" s="428"/>
      <c r="I59" s="428"/>
      <c r="J59" s="428"/>
    </row>
    <row r="60" spans="1:10" ht="15" customHeight="1" x14ac:dyDescent="0.25">
      <c r="A60" s="1310" t="s">
        <v>130</v>
      </c>
      <c r="B60" s="492">
        <f>I16</f>
        <v>0.28000000000000003</v>
      </c>
      <c r="C60" s="492">
        <f>B60</f>
        <v>0.28000000000000003</v>
      </c>
      <c r="D60" s="492">
        <f>C60</f>
        <v>0.28000000000000003</v>
      </c>
      <c r="E60" s="1311">
        <f>D60</f>
        <v>0.28000000000000003</v>
      </c>
      <c r="F60" s="428"/>
      <c r="G60" s="428"/>
      <c r="H60" s="428"/>
      <c r="I60" s="428"/>
      <c r="J60" s="428"/>
    </row>
    <row r="61" spans="1:10" ht="15" customHeight="1" x14ac:dyDescent="0.25">
      <c r="A61" s="520" t="s">
        <v>893</v>
      </c>
      <c r="B61" s="476">
        <f>B53-B63</f>
        <v>140.42018530000001</v>
      </c>
      <c r="C61" s="476">
        <f>C53-C63</f>
        <v>141.19324436539995</v>
      </c>
      <c r="D61" s="476">
        <f>D53-D63</f>
        <v>143.01278330659596</v>
      </c>
      <c r="E61" s="682">
        <f>E53-E63</f>
        <v>145.9434675732779</v>
      </c>
      <c r="F61" s="428"/>
      <c r="G61" s="428"/>
      <c r="H61" s="428"/>
      <c r="I61" s="428"/>
      <c r="J61" s="428"/>
    </row>
    <row r="62" spans="1:10" ht="5.0999999999999996" customHeight="1" x14ac:dyDescent="0.25">
      <c r="A62" s="520"/>
      <c r="B62" s="442"/>
      <c r="C62" s="442"/>
      <c r="D62" s="442"/>
      <c r="E62" s="1312"/>
      <c r="F62" s="428"/>
      <c r="G62" s="428"/>
      <c r="H62" s="428"/>
      <c r="I62" s="428"/>
      <c r="J62" s="428"/>
    </row>
    <row r="63" spans="1:10" ht="15" customHeight="1" x14ac:dyDescent="0.25">
      <c r="A63" s="1149" t="s">
        <v>2010</v>
      </c>
      <c r="B63" s="476">
        <f>B64*B53</f>
        <v>66.080087199999994</v>
      </c>
      <c r="C63" s="476">
        <f>C64*C53</f>
        <v>69.542941254599995</v>
      </c>
      <c r="D63" s="476">
        <f>D64*D53</f>
        <v>72.044033695803989</v>
      </c>
      <c r="E63" s="682">
        <f>E64*E53</f>
        <v>73.520393439170078</v>
      </c>
      <c r="F63" s="428"/>
      <c r="G63" s="428"/>
      <c r="H63" s="428"/>
      <c r="I63" s="428"/>
      <c r="J63" s="428"/>
    </row>
    <row r="64" spans="1:10" ht="15" customHeight="1" x14ac:dyDescent="0.25">
      <c r="A64" s="1310" t="s">
        <v>2015</v>
      </c>
      <c r="B64" s="936">
        <v>0.32</v>
      </c>
      <c r="C64" s="936">
        <v>0.33</v>
      </c>
      <c r="D64" s="936">
        <v>0.33500000000000002</v>
      </c>
      <c r="E64" s="1314">
        <v>0.33500000000000002</v>
      </c>
      <c r="F64" s="428"/>
      <c r="G64" s="428"/>
      <c r="H64" s="428"/>
      <c r="I64" s="428"/>
      <c r="J64" s="428"/>
    </row>
    <row r="65" spans="1:10" ht="5.0999999999999996" customHeight="1" x14ac:dyDescent="0.25">
      <c r="A65" s="1310"/>
      <c r="B65" s="492"/>
      <c r="C65" s="492"/>
      <c r="D65" s="492"/>
      <c r="E65" s="1311"/>
      <c r="F65" s="428"/>
      <c r="G65" s="428"/>
      <c r="H65" s="428"/>
      <c r="I65" s="428"/>
      <c r="J65" s="428"/>
    </row>
    <row r="66" spans="1:10" ht="15" customHeight="1" x14ac:dyDescent="0.25">
      <c r="A66" s="520" t="s">
        <v>891</v>
      </c>
      <c r="B66" s="476">
        <f>-B35</f>
        <v>14.308333333333334</v>
      </c>
      <c r="C66" s="476">
        <f>B66</f>
        <v>14.308333333333334</v>
      </c>
      <c r="D66" s="476">
        <f>C66</f>
        <v>14.308333333333334</v>
      </c>
      <c r="E66" s="682">
        <f>D66</f>
        <v>14.308333333333334</v>
      </c>
      <c r="F66" s="428"/>
      <c r="G66" s="428"/>
      <c r="H66" s="428"/>
      <c r="I66" s="428"/>
      <c r="J66" s="428"/>
    </row>
    <row r="67" spans="1:10" ht="5.0999999999999996" customHeight="1" x14ac:dyDescent="0.25">
      <c r="A67" s="1310"/>
      <c r="B67" s="492"/>
      <c r="C67" s="492"/>
      <c r="D67" s="492"/>
      <c r="E67" s="1311"/>
      <c r="F67" s="428"/>
      <c r="G67" s="428"/>
      <c r="H67" s="428"/>
      <c r="I67" s="428"/>
      <c r="J67" s="428"/>
    </row>
    <row r="68" spans="1:10" ht="15" customHeight="1" x14ac:dyDescent="0.25">
      <c r="A68" s="1149" t="s">
        <v>955</v>
      </c>
      <c r="B68" s="526">
        <f>B63-B66</f>
        <v>51.771753866666657</v>
      </c>
      <c r="C68" s="526">
        <f>C63-C66</f>
        <v>55.234607921266658</v>
      </c>
      <c r="D68" s="526">
        <f>D63-D66</f>
        <v>57.735700362470652</v>
      </c>
      <c r="E68" s="684">
        <f>E63-E66</f>
        <v>59.212060105836741</v>
      </c>
      <c r="F68" s="428"/>
      <c r="G68" s="428"/>
      <c r="H68" s="428"/>
      <c r="I68" s="428"/>
      <c r="J68" s="428"/>
    </row>
    <row r="69" spans="1:10" ht="15" customHeight="1" x14ac:dyDescent="0.25">
      <c r="A69" s="1118" t="s">
        <v>2091</v>
      </c>
      <c r="B69" s="1051">
        <f>0.065*B74</f>
        <v>6.5</v>
      </c>
      <c r="C69" s="1051">
        <f>0.065*C74</f>
        <v>5.8500000000000005</v>
      </c>
      <c r="D69" s="1051">
        <f>0.065*D74</f>
        <v>4.55</v>
      </c>
      <c r="E69" s="1179">
        <f>0.065*E74</f>
        <v>3.25</v>
      </c>
      <c r="F69" s="428"/>
      <c r="G69" s="428"/>
      <c r="H69" s="428"/>
      <c r="I69" s="428"/>
      <c r="J69" s="428"/>
    </row>
    <row r="70" spans="1:10" ht="15" customHeight="1" x14ac:dyDescent="0.25">
      <c r="A70" s="1315" t="s">
        <v>599</v>
      </c>
      <c r="B70" s="526">
        <f>(B68-B69)*0.4</f>
        <v>18.108701546666662</v>
      </c>
      <c r="C70" s="526">
        <f>(C68-C69)*0.4</f>
        <v>19.753843168506663</v>
      </c>
      <c r="D70" s="526">
        <f>(D68-D69)*0.4</f>
        <v>21.274280144988264</v>
      </c>
      <c r="E70" s="684">
        <f>(E68-E69)*0.4</f>
        <v>22.384824042334699</v>
      </c>
      <c r="F70" s="526"/>
      <c r="G70" s="526"/>
      <c r="H70" s="526"/>
      <c r="I70" s="526"/>
      <c r="J70" s="526"/>
    </row>
    <row r="71" spans="1:10" ht="15" customHeight="1" x14ac:dyDescent="0.25">
      <c r="A71" s="1149" t="s">
        <v>954</v>
      </c>
      <c r="B71" s="526">
        <f>B68-B70-B69</f>
        <v>27.163052319999991</v>
      </c>
      <c r="C71" s="526">
        <f>C68-C70-C69</f>
        <v>29.630764752759994</v>
      </c>
      <c r="D71" s="526">
        <f>D68-D70-D69</f>
        <v>31.911420217482384</v>
      </c>
      <c r="E71" s="684">
        <f>E68-E70-E69</f>
        <v>33.577236063502042</v>
      </c>
      <c r="F71" s="428"/>
      <c r="G71" s="428"/>
      <c r="H71" s="428"/>
      <c r="I71" s="428"/>
      <c r="J71" s="428"/>
    </row>
    <row r="72" spans="1:10" ht="15" customHeight="1" x14ac:dyDescent="0.25">
      <c r="A72" s="1262" t="s">
        <v>582</v>
      </c>
      <c r="B72" s="530">
        <f>B71*0.5</f>
        <v>13.581526159999996</v>
      </c>
      <c r="C72" s="530">
        <f>C71*0.5</f>
        <v>14.815382376379997</v>
      </c>
      <c r="D72" s="530">
        <f>D71*0.5</f>
        <v>15.955710108741192</v>
      </c>
      <c r="E72" s="1284">
        <f>E71*0.5</f>
        <v>16.788618031751021</v>
      </c>
      <c r="F72" s="428"/>
      <c r="G72" s="428"/>
      <c r="H72" s="428"/>
      <c r="I72" s="428"/>
      <c r="J72" s="428"/>
    </row>
    <row r="73" spans="1:10" ht="15" customHeight="1" x14ac:dyDescent="0.25">
      <c r="A73" s="428"/>
      <c r="B73" s="428"/>
      <c r="C73" s="428"/>
      <c r="D73" s="428"/>
      <c r="E73" s="428"/>
      <c r="F73" s="428"/>
      <c r="G73" s="428"/>
      <c r="H73" s="428"/>
      <c r="I73" s="428"/>
      <c r="J73" s="428"/>
    </row>
    <row r="74" spans="1:10" ht="15" customHeight="1" x14ac:dyDescent="0.25">
      <c r="A74" s="533" t="s">
        <v>1937</v>
      </c>
      <c r="B74" s="526">
        <f>H24</f>
        <v>100</v>
      </c>
      <c r="C74" s="1165">
        <f>B74-10</f>
        <v>90</v>
      </c>
      <c r="D74" s="1165">
        <f>C74-20</f>
        <v>70</v>
      </c>
      <c r="E74" s="1165">
        <f>D74-20</f>
        <v>50</v>
      </c>
      <c r="F74" s="428"/>
      <c r="G74" s="428"/>
      <c r="H74" s="428"/>
      <c r="I74" s="428"/>
      <c r="J74" s="428"/>
    </row>
  </sheetData>
  <phoneticPr fontId="13" type="noConversion"/>
  <pageMargins left="0.25" right="0.25" top="0.5" bottom="0.5" header="0.5" footer="0.5"/>
  <pageSetup scale="82"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H56"/>
  <sheetViews>
    <sheetView zoomScale="85" workbookViewId="0"/>
  </sheetViews>
  <sheetFormatPr defaultRowHeight="15" customHeight="1" x14ac:dyDescent="0.25"/>
  <cols>
    <col min="1" max="1" width="23.625" customWidth="1"/>
    <col min="2" max="2" width="13" customWidth="1"/>
    <col min="3" max="3" width="13.125" customWidth="1"/>
    <col min="4" max="4" width="12.625" customWidth="1"/>
    <col min="5" max="5" width="2.625" customWidth="1"/>
    <col min="6" max="6" width="22.125" bestFit="1" customWidth="1"/>
    <col min="7" max="7" width="7.375" bestFit="1" customWidth="1"/>
    <col min="8" max="8" width="24.375" bestFit="1" customWidth="1"/>
    <col min="10" max="10" width="11" bestFit="1" customWidth="1"/>
  </cols>
  <sheetData>
    <row r="1" spans="1:8" ht="15" customHeight="1" x14ac:dyDescent="0.25">
      <c r="A1" s="533" t="s">
        <v>652</v>
      </c>
      <c r="B1" s="428"/>
      <c r="C1" s="693"/>
      <c r="D1" s="693"/>
      <c r="E1" s="1107"/>
      <c r="F1" s="1108"/>
      <c r="G1" s="693"/>
      <c r="H1" s="428"/>
    </row>
    <row r="2" spans="1:8" ht="15" customHeight="1" x14ac:dyDescent="0.25">
      <c r="A2" s="533" t="s">
        <v>65</v>
      </c>
      <c r="B2" s="428"/>
      <c r="C2" s="693"/>
      <c r="D2" s="693"/>
      <c r="E2" s="1107"/>
      <c r="F2" s="1108"/>
      <c r="G2" s="693"/>
      <c r="H2" s="428"/>
    </row>
    <row r="3" spans="1:8" ht="15" customHeight="1" x14ac:dyDescent="0.25">
      <c r="A3" s="428"/>
      <c r="B3" s="428"/>
      <c r="C3" s="693"/>
      <c r="D3" s="693"/>
      <c r="E3" s="1107"/>
      <c r="F3" s="1108"/>
      <c r="G3" s="693"/>
      <c r="H3" s="428"/>
    </row>
    <row r="4" spans="1:8" ht="15" customHeight="1" x14ac:dyDescent="0.25">
      <c r="A4" s="1130"/>
      <c r="B4" s="1160" t="s">
        <v>918</v>
      </c>
      <c r="C4" s="1160" t="s">
        <v>918</v>
      </c>
      <c r="D4" s="1193" t="s">
        <v>119</v>
      </c>
      <c r="E4" s="1107"/>
      <c r="F4" s="1159" t="s">
        <v>653</v>
      </c>
      <c r="G4" s="1160"/>
      <c r="H4" s="829"/>
    </row>
    <row r="5" spans="1:8" ht="15" customHeight="1" x14ac:dyDescent="0.25">
      <c r="A5" s="1115" t="s">
        <v>426</v>
      </c>
      <c r="B5" s="878" t="s">
        <v>120</v>
      </c>
      <c r="C5" s="878" t="s">
        <v>2232</v>
      </c>
      <c r="D5" s="1194" t="s">
        <v>1691</v>
      </c>
      <c r="E5" s="1107"/>
      <c r="F5" s="1139" t="s">
        <v>605</v>
      </c>
      <c r="G5" s="693"/>
      <c r="H5" s="840"/>
    </row>
    <row r="6" spans="1:8" ht="15" customHeight="1" x14ac:dyDescent="0.25">
      <c r="A6" s="520" t="s">
        <v>544</v>
      </c>
      <c r="B6" s="428">
        <v>1075</v>
      </c>
      <c r="C6" s="331">
        <v>490</v>
      </c>
      <c r="D6" s="1195">
        <v>40</v>
      </c>
      <c r="E6" s="1107"/>
      <c r="F6" s="1139" t="s">
        <v>904</v>
      </c>
      <c r="G6" s="693"/>
      <c r="H6" s="840"/>
    </row>
    <row r="7" spans="1:8" ht="15" customHeight="1" x14ac:dyDescent="0.25">
      <c r="A7" s="1118" t="s">
        <v>545</v>
      </c>
      <c r="B7" s="526">
        <v>864.46799999999996</v>
      </c>
      <c r="C7" s="476">
        <v>402.267</v>
      </c>
      <c r="D7" s="682">
        <f>(D12*D6*365)/1000000</f>
        <v>30.66</v>
      </c>
      <c r="E7" s="1107"/>
      <c r="F7" s="1139" t="s">
        <v>905</v>
      </c>
      <c r="G7" s="693"/>
      <c r="H7" s="840"/>
    </row>
    <row r="8" spans="1:8" ht="15" customHeight="1" x14ac:dyDescent="0.25">
      <c r="A8" s="1118" t="s">
        <v>546</v>
      </c>
      <c r="B8" s="526">
        <v>111.13200000000001</v>
      </c>
      <c r="C8" s="476">
        <v>50.570999999999998</v>
      </c>
      <c r="D8" s="682">
        <f>0.1*D7</f>
        <v>3.0660000000000003</v>
      </c>
      <c r="E8" s="1107"/>
      <c r="F8" s="1139" t="s">
        <v>617</v>
      </c>
      <c r="G8" s="693"/>
      <c r="H8" s="840"/>
    </row>
    <row r="9" spans="1:8" ht="15" customHeight="1" x14ac:dyDescent="0.25">
      <c r="A9" s="1118" t="s">
        <v>424</v>
      </c>
      <c r="B9" s="476" t="s">
        <v>553</v>
      </c>
      <c r="C9" s="476" t="s">
        <v>553</v>
      </c>
      <c r="D9" s="682">
        <f>G19</f>
        <v>5.0588999999999995</v>
      </c>
      <c r="E9" s="1107"/>
      <c r="F9" s="1139" t="s">
        <v>2002</v>
      </c>
      <c r="G9" s="693"/>
      <c r="H9" s="840"/>
    </row>
    <row r="10" spans="1:8" ht="15" customHeight="1" x14ac:dyDescent="0.25">
      <c r="A10" s="1118" t="s">
        <v>1420</v>
      </c>
      <c r="B10" s="476" t="s">
        <v>553</v>
      </c>
      <c r="C10" s="476" t="s">
        <v>553</v>
      </c>
      <c r="D10" s="682">
        <f>G20</f>
        <v>-2.5294499999999998</v>
      </c>
      <c r="E10" s="1107"/>
      <c r="F10" s="1139" t="s">
        <v>1273</v>
      </c>
      <c r="G10" s="693"/>
      <c r="H10" s="840"/>
    </row>
    <row r="11" spans="1:8" ht="15" customHeight="1" x14ac:dyDescent="0.25">
      <c r="A11" s="520" t="s">
        <v>547</v>
      </c>
      <c r="B11" s="526">
        <f>B8+B7</f>
        <v>975.59999999999991</v>
      </c>
      <c r="C11" s="476">
        <f>C8+C7</f>
        <v>452.83799999999997</v>
      </c>
      <c r="D11" s="682">
        <f>D8+D7+D9+D10</f>
        <v>36.255450000000003</v>
      </c>
      <c r="E11" s="476"/>
      <c r="F11" s="1151" t="s">
        <v>2001</v>
      </c>
      <c r="G11" s="700"/>
      <c r="H11" s="833"/>
    </row>
    <row r="12" spans="1:8" ht="15" customHeight="1" x14ac:dyDescent="0.25">
      <c r="A12" s="520" t="s">
        <v>1610</v>
      </c>
      <c r="B12" s="1170">
        <v>2203</v>
      </c>
      <c r="C12" s="1172">
        <v>2249</v>
      </c>
      <c r="D12" s="1196">
        <v>2100</v>
      </c>
      <c r="E12" s="1107"/>
      <c r="F12" s="1148"/>
      <c r="G12" s="693"/>
      <c r="H12" s="428"/>
    </row>
    <row r="13" spans="1:8" ht="15" customHeight="1" x14ac:dyDescent="0.25">
      <c r="A13" s="520" t="s">
        <v>1101</v>
      </c>
      <c r="B13" s="1172" t="s">
        <v>553</v>
      </c>
      <c r="C13" s="1172" t="s">
        <v>553</v>
      </c>
      <c r="D13" s="1197">
        <f>D14/D11</f>
        <v>0.18904978423933513</v>
      </c>
      <c r="E13" s="1107"/>
      <c r="F13" s="1148"/>
      <c r="G13" s="693"/>
      <c r="H13" s="428"/>
    </row>
    <row r="14" spans="1:8" ht="15" customHeight="1" x14ac:dyDescent="0.25">
      <c r="A14" s="1077" t="s">
        <v>1958</v>
      </c>
      <c r="B14" s="1198" t="s">
        <v>553</v>
      </c>
      <c r="C14" s="1198" t="s">
        <v>553</v>
      </c>
      <c r="D14" s="1199">
        <f>G26</f>
        <v>6.854085000000004</v>
      </c>
      <c r="E14" s="1107"/>
      <c r="F14" s="1148"/>
      <c r="G14" s="693"/>
      <c r="H14" s="428"/>
    </row>
    <row r="15" spans="1:8" ht="15" customHeight="1" x14ac:dyDescent="0.25">
      <c r="A15" s="428"/>
      <c r="B15" s="428"/>
      <c r="C15" s="693"/>
      <c r="D15" s="331"/>
      <c r="E15" s="1107"/>
      <c r="F15" s="1148"/>
      <c r="G15" s="693"/>
      <c r="H15" s="428"/>
    </row>
    <row r="16" spans="1:8" ht="15" customHeight="1" x14ac:dyDescent="0.25">
      <c r="A16" s="1130" t="s">
        <v>1313</v>
      </c>
      <c r="B16" s="1200" t="s">
        <v>920</v>
      </c>
      <c r="C16" s="1200" t="s">
        <v>756</v>
      </c>
      <c r="D16" s="1110" t="s">
        <v>919</v>
      </c>
      <c r="E16" s="1107"/>
      <c r="F16" s="1159" t="s">
        <v>1199</v>
      </c>
      <c r="G16" s="1201" t="s">
        <v>1103</v>
      </c>
      <c r="H16" s="1202" t="s">
        <v>1104</v>
      </c>
    </row>
    <row r="17" spans="1:8" ht="15" customHeight="1" x14ac:dyDescent="0.25">
      <c r="A17" s="1167" t="s">
        <v>894</v>
      </c>
      <c r="B17" s="428">
        <f>PENN!AF388</f>
        <v>2366</v>
      </c>
      <c r="C17" s="428">
        <f>PENN!AG388</f>
        <v>2366</v>
      </c>
      <c r="D17" s="840">
        <f>D18+(6*D19)</f>
        <v>2727</v>
      </c>
      <c r="E17" s="1107"/>
      <c r="F17" s="1153" t="s">
        <v>423</v>
      </c>
      <c r="G17" s="476">
        <f>D7</f>
        <v>30.66</v>
      </c>
      <c r="H17" s="1203" t="s">
        <v>976</v>
      </c>
    </row>
    <row r="18" spans="1:8" ht="15" customHeight="1" x14ac:dyDescent="0.25">
      <c r="A18" s="868" t="s">
        <v>585</v>
      </c>
      <c r="B18" s="428">
        <f>PENN!AF389</f>
        <v>2366</v>
      </c>
      <c r="C18" s="428">
        <f>PENN!AK389</f>
        <v>2487</v>
      </c>
      <c r="D18" s="840">
        <f>C18</f>
        <v>2487</v>
      </c>
      <c r="E18" s="1107"/>
      <c r="F18" s="1153" t="s">
        <v>980</v>
      </c>
      <c r="G18" s="476">
        <f>D8</f>
        <v>3.0660000000000003</v>
      </c>
      <c r="H18" s="1203" t="s">
        <v>982</v>
      </c>
    </row>
    <row r="19" spans="1:8" ht="15" customHeight="1" thickBot="1" x14ac:dyDescent="0.3">
      <c r="A19" s="868" t="s">
        <v>584</v>
      </c>
      <c r="B19" s="428">
        <f>PENN!AF390</f>
        <v>0</v>
      </c>
      <c r="C19" s="428">
        <v>52</v>
      </c>
      <c r="D19" s="840">
        <f>D6</f>
        <v>40</v>
      </c>
      <c r="E19" s="1107"/>
      <c r="F19" s="1153" t="s">
        <v>981</v>
      </c>
      <c r="G19" s="476">
        <f>0.15*(G18+G17)</f>
        <v>5.0588999999999995</v>
      </c>
      <c r="H19" s="1203" t="s">
        <v>1200</v>
      </c>
    </row>
    <row r="20" spans="1:8" ht="15" customHeight="1" thickBot="1" x14ac:dyDescent="0.3">
      <c r="A20" s="1167" t="s">
        <v>1021</v>
      </c>
      <c r="B20" s="1165">
        <v>0</v>
      </c>
      <c r="C20" s="1204">
        <f>40/2</f>
        <v>20</v>
      </c>
      <c r="D20" s="1205">
        <v>40</v>
      </c>
      <c r="E20" s="1107"/>
      <c r="F20" s="1153" t="s">
        <v>977</v>
      </c>
      <c r="G20" s="476">
        <f>-0.075*(G18+G17)</f>
        <v>-2.5294499999999998</v>
      </c>
      <c r="H20" s="1203" t="s">
        <v>1202</v>
      </c>
    </row>
    <row r="21" spans="1:8" ht="15" customHeight="1" x14ac:dyDescent="0.25">
      <c r="A21" s="1167" t="s">
        <v>2111</v>
      </c>
      <c r="B21" s="428">
        <f>PENN!AF391</f>
        <v>2299.125</v>
      </c>
      <c r="C21" s="428">
        <f>PENN!AK391</f>
        <v>2480.25</v>
      </c>
      <c r="D21" s="840">
        <f>D17</f>
        <v>2727</v>
      </c>
      <c r="E21" s="1107"/>
      <c r="F21" s="1206" t="s">
        <v>425</v>
      </c>
      <c r="G21" s="598">
        <f>SUM(G17:G20)</f>
        <v>36.255450000000003</v>
      </c>
      <c r="H21" s="1203"/>
    </row>
    <row r="22" spans="1:8" ht="15" customHeight="1" x14ac:dyDescent="0.25">
      <c r="A22" s="1169" t="s">
        <v>1954</v>
      </c>
      <c r="B22" s="1170">
        <f>PENN!AF392</f>
        <v>283.25248810409556</v>
      </c>
      <c r="C22" s="1170">
        <f>PENN!AK392</f>
        <v>296.57410971331041</v>
      </c>
      <c r="D22" s="1171">
        <f>(D25*1000000)/D18/365</f>
        <v>287.29325217443022</v>
      </c>
      <c r="E22" s="1107"/>
      <c r="F22" s="1153" t="s">
        <v>978</v>
      </c>
      <c r="G22" s="476">
        <f>(-0.14*G17)+(-0.55*G18)</f>
        <v>-5.9787000000000008</v>
      </c>
      <c r="H22" s="1203" t="s">
        <v>979</v>
      </c>
    </row>
    <row r="23" spans="1:8" ht="15" customHeight="1" x14ac:dyDescent="0.25">
      <c r="A23" s="1169" t="s">
        <v>1955</v>
      </c>
      <c r="B23" s="1170">
        <v>0</v>
      </c>
      <c r="C23" s="1170">
        <f>(C26*1000000)/C20/365</f>
        <v>2100</v>
      </c>
      <c r="D23" s="1171">
        <f>(D26*1000000)/D20/365</f>
        <v>2100</v>
      </c>
      <c r="E23" s="1107"/>
      <c r="F23" s="1153" t="s">
        <v>1102</v>
      </c>
      <c r="G23" s="476">
        <f>-350*45000/1000000</f>
        <v>-15.75</v>
      </c>
      <c r="H23" s="1203" t="s">
        <v>903</v>
      </c>
    </row>
    <row r="24" spans="1:8" ht="15" customHeight="1" x14ac:dyDescent="0.25">
      <c r="A24" s="1175" t="s">
        <v>901</v>
      </c>
      <c r="B24" s="1170">
        <f>B27*1000000/365/B21</f>
        <v>283.25248810409556</v>
      </c>
      <c r="C24" s="1170">
        <f>C27*1000000/365/C21</f>
        <v>296.88670621747417</v>
      </c>
      <c r="D24" s="1171">
        <f>D27*1000000/365/D21</f>
        <v>292.81199785764869</v>
      </c>
      <c r="E24" s="1107"/>
      <c r="F24" s="1153" t="s">
        <v>421</v>
      </c>
      <c r="G24" s="476">
        <f>-0.1*SUM(G17:G18)</f>
        <v>-3.3726000000000003</v>
      </c>
      <c r="H24" s="1203" t="s">
        <v>417</v>
      </c>
    </row>
    <row r="25" spans="1:8" ht="15" customHeight="1" x14ac:dyDescent="0.25">
      <c r="A25" s="868" t="s">
        <v>1956</v>
      </c>
      <c r="B25" s="428">
        <f>PENN!AF398</f>
        <v>237.7</v>
      </c>
      <c r="C25" s="697">
        <f>PENN!AK395</f>
        <v>253.43893737999994</v>
      </c>
      <c r="D25" s="1207">
        <f>(C25-(D8/4))*1.02+D8</f>
        <v>260.79188612759992</v>
      </c>
      <c r="E25" s="1107"/>
      <c r="F25" s="1153" t="s">
        <v>422</v>
      </c>
      <c r="G25" s="476">
        <f>-0.85*G19</f>
        <v>-4.3000649999999991</v>
      </c>
      <c r="H25" s="1203" t="s">
        <v>902</v>
      </c>
    </row>
    <row r="26" spans="1:8" ht="15" customHeight="1" x14ac:dyDescent="0.25">
      <c r="A26" s="868" t="s">
        <v>1957</v>
      </c>
      <c r="B26" s="428">
        <v>0</v>
      </c>
      <c r="C26" s="428">
        <f>G17/2</f>
        <v>15.33</v>
      </c>
      <c r="D26" s="1208">
        <f>G17</f>
        <v>30.66</v>
      </c>
      <c r="E26" s="1107"/>
      <c r="F26" s="1206" t="s">
        <v>1958</v>
      </c>
      <c r="G26" s="598">
        <f>SUM(G21:G25)</f>
        <v>6.854085000000004</v>
      </c>
      <c r="H26" s="1203"/>
    </row>
    <row r="27" spans="1:8" ht="15" customHeight="1" x14ac:dyDescent="0.25">
      <c r="A27" s="285" t="s">
        <v>1362</v>
      </c>
      <c r="B27" s="428">
        <f>SUM(B25:B26)</f>
        <v>237.7</v>
      </c>
      <c r="C27" s="428">
        <f>SUM(C25:C26)</f>
        <v>268.76893737999995</v>
      </c>
      <c r="D27" s="1208">
        <f>D26+D25</f>
        <v>291.45188612759995</v>
      </c>
      <c r="E27" s="1107"/>
      <c r="F27" s="1209" t="s">
        <v>1201</v>
      </c>
      <c r="G27" s="1210">
        <f>G26/G21</f>
        <v>0.18904978423933513</v>
      </c>
      <c r="H27" s="1211"/>
    </row>
    <row r="28" spans="1:8" ht="15" customHeight="1" x14ac:dyDescent="0.25">
      <c r="A28" s="865" t="s">
        <v>803</v>
      </c>
      <c r="B28" s="924">
        <f>PENN!AF399</f>
        <v>0.38910294818897456</v>
      </c>
      <c r="C28" s="924">
        <f>(C27-B27)/B27</f>
        <v>0.13070650980227164</v>
      </c>
      <c r="D28" s="1141">
        <f>(D27-C27)/C27</f>
        <v>8.4395722841771784E-2</v>
      </c>
      <c r="E28" s="1107"/>
      <c r="F28" s="1108"/>
      <c r="G28" s="693"/>
      <c r="H28" s="428"/>
    </row>
    <row r="29" spans="1:8" ht="15" customHeight="1" x14ac:dyDescent="0.25">
      <c r="A29" s="285" t="s">
        <v>134</v>
      </c>
      <c r="B29" s="428">
        <f>PENN!AF400</f>
        <v>54.969999999999992</v>
      </c>
      <c r="C29" s="428">
        <f>PENN!AK400</f>
        <v>49.278053500000055</v>
      </c>
      <c r="D29" s="1207">
        <f>(51)+G19+G20</f>
        <v>53.529450000000004</v>
      </c>
      <c r="E29" s="1107"/>
      <c r="F29" s="1108"/>
      <c r="G29" s="693"/>
      <c r="H29" s="428"/>
    </row>
    <row r="30" spans="1:8" ht="15" customHeight="1" x14ac:dyDescent="0.25">
      <c r="A30" s="864" t="s">
        <v>898</v>
      </c>
      <c r="B30" s="428">
        <f>B29+B27</f>
        <v>292.66999999999996</v>
      </c>
      <c r="C30" s="428">
        <f>C29+C27</f>
        <v>318.04699088000001</v>
      </c>
      <c r="D30" s="840">
        <f>D29+D27</f>
        <v>344.98133612759995</v>
      </c>
      <c r="E30" s="1107"/>
      <c r="F30" s="1159" t="s">
        <v>2000</v>
      </c>
      <c r="G30" s="1193"/>
      <c r="H30" s="428"/>
    </row>
    <row r="31" spans="1:8" ht="15" customHeight="1" x14ac:dyDescent="0.25">
      <c r="A31" s="865" t="s">
        <v>803</v>
      </c>
      <c r="B31" s="924">
        <f>PENN!AF402</f>
        <v>0.30113143797096936</v>
      </c>
      <c r="C31" s="924">
        <f>(C30-B30)/B30</f>
        <v>8.6708548467557503E-2</v>
      </c>
      <c r="D31" s="1141">
        <f>(D30-C30)/C30</f>
        <v>8.4686684735094178E-2</v>
      </c>
      <c r="E31" s="1107"/>
      <c r="F31" s="1162" t="s">
        <v>1714</v>
      </c>
      <c r="G31" s="1123">
        <f>G26</f>
        <v>6.854085000000004</v>
      </c>
      <c r="H31" s="428"/>
    </row>
    <row r="32" spans="1:8" ht="15" customHeight="1" x14ac:dyDescent="0.25">
      <c r="A32" s="285" t="s">
        <v>600</v>
      </c>
      <c r="B32" s="428">
        <f>PENN!AF404</f>
        <v>111.10699999999999</v>
      </c>
      <c r="C32" s="428">
        <f>PENN!AK404</f>
        <v>106.43806298180002</v>
      </c>
      <c r="D32" s="1166">
        <f>((B32*0.975)*1.015)-(G24+G23)</f>
        <v>129.07686487499998</v>
      </c>
      <c r="E32" s="1107"/>
      <c r="F32" s="1162" t="s">
        <v>1464</v>
      </c>
      <c r="G32" s="1164">
        <v>7.5</v>
      </c>
      <c r="H32" s="428"/>
    </row>
    <row r="33" spans="1:8" ht="15" customHeight="1" x14ac:dyDescent="0.25">
      <c r="A33" s="865" t="s">
        <v>1285</v>
      </c>
      <c r="B33" s="924">
        <f>B32/B30</f>
        <v>0.37963235042881061</v>
      </c>
      <c r="C33" s="924">
        <f>C32/C30</f>
        <v>0.33466143693828998</v>
      </c>
      <c r="D33" s="1141">
        <f>D32/D30</f>
        <v>0.37415608138075529</v>
      </c>
      <c r="E33" s="1107"/>
      <c r="F33" s="1162" t="s">
        <v>1403</v>
      </c>
      <c r="G33" s="1123">
        <f>G32*G31</f>
        <v>51.405637500000033</v>
      </c>
      <c r="H33" s="428"/>
    </row>
    <row r="34" spans="1:8" ht="15" customHeight="1" x14ac:dyDescent="0.25">
      <c r="A34" s="865" t="s">
        <v>803</v>
      </c>
      <c r="B34" s="924">
        <f>PENN!AF406</f>
        <v>0.15197304695466415</v>
      </c>
      <c r="C34" s="924">
        <f>(C32-B32)/B32</f>
        <v>-4.2021987977354888E-2</v>
      </c>
      <c r="D34" s="1141">
        <f>(D32-C32)/C32</f>
        <v>0.21269460622438241</v>
      </c>
      <c r="E34" s="1107"/>
      <c r="F34" s="1162" t="s">
        <v>1619</v>
      </c>
      <c r="G34" s="1123">
        <f>-16.5-8.5</f>
        <v>-25</v>
      </c>
      <c r="H34" s="428"/>
    </row>
    <row r="35" spans="1:8" ht="15" customHeight="1" x14ac:dyDescent="0.25">
      <c r="A35" s="285" t="s">
        <v>899</v>
      </c>
      <c r="B35" s="428">
        <f>PENN!AF407</f>
        <v>130.73500000000001</v>
      </c>
      <c r="C35" s="428">
        <f>PENN!AK407</f>
        <v>141.79893701819998</v>
      </c>
      <c r="D35" s="840">
        <f>PENN!AP407</f>
        <v>143.05974179299997</v>
      </c>
      <c r="E35" s="1107"/>
      <c r="F35" s="1162" t="s">
        <v>8</v>
      </c>
      <c r="G35" s="1123">
        <f>SUM(G33:G34)</f>
        <v>26.405637500000033</v>
      </c>
      <c r="H35" s="428"/>
    </row>
    <row r="36" spans="1:8" ht="15" customHeight="1" x14ac:dyDescent="0.25">
      <c r="A36" s="865" t="s">
        <v>130</v>
      </c>
      <c r="B36" s="924">
        <f>B35/B27</f>
        <v>0.55000000000000004</v>
      </c>
      <c r="C36" s="924">
        <f>C35/C27</f>
        <v>0.52758677546772093</v>
      </c>
      <c r="D36" s="1141">
        <f>D35/D27</f>
        <v>0.49085200200202955</v>
      </c>
      <c r="E36" s="1212"/>
      <c r="F36" s="1162" t="s">
        <v>580</v>
      </c>
      <c r="G36" s="1123">
        <f>G35/(1+0.075)^1</f>
        <v>24.563383720930265</v>
      </c>
      <c r="H36" s="428"/>
    </row>
    <row r="37" spans="1:8" ht="15" customHeight="1" x14ac:dyDescent="0.25">
      <c r="A37" s="285" t="s">
        <v>893</v>
      </c>
      <c r="B37" s="428">
        <f>B35+B32</f>
        <v>241.84199999999998</v>
      </c>
      <c r="C37" s="428">
        <f>C35+C32</f>
        <v>248.23699999999999</v>
      </c>
      <c r="D37" s="840">
        <f>D35+D32</f>
        <v>272.13660666799996</v>
      </c>
      <c r="E37" s="1107"/>
      <c r="F37" s="1162" t="s">
        <v>1547</v>
      </c>
      <c r="G37" s="1123">
        <f>PENN!AE101</f>
        <v>107.22499999999999</v>
      </c>
      <c r="H37" s="533"/>
    </row>
    <row r="38" spans="1:8" ht="15" customHeight="1" x14ac:dyDescent="0.25">
      <c r="A38" s="1186" t="s">
        <v>2010</v>
      </c>
      <c r="B38" s="533">
        <f>B30-B37</f>
        <v>50.827999999999975</v>
      </c>
      <c r="C38" s="533">
        <f>C30-C37</f>
        <v>69.809990880000015</v>
      </c>
      <c r="D38" s="1213">
        <f>D30-D37</f>
        <v>72.844729459599989</v>
      </c>
      <c r="E38" s="1107"/>
      <c r="F38" s="1176" t="s">
        <v>1354</v>
      </c>
      <c r="G38" s="1178">
        <f>G36/G37</f>
        <v>0.22908261805484043</v>
      </c>
      <c r="H38" s="428"/>
    </row>
    <row r="39" spans="1:8" ht="15" customHeight="1" x14ac:dyDescent="0.25">
      <c r="A39" s="865" t="s">
        <v>2015</v>
      </c>
      <c r="B39" s="924">
        <f>B38/B30</f>
        <v>0.17367000375849928</v>
      </c>
      <c r="C39" s="924">
        <f>C38/C30</f>
        <v>0.21949583829371777</v>
      </c>
      <c r="D39" s="1141">
        <f>D38/D30</f>
        <v>0.21115556649318717</v>
      </c>
      <c r="E39" s="1107"/>
      <c r="F39" s="1108"/>
      <c r="G39" s="693"/>
      <c r="H39" s="428"/>
    </row>
    <row r="40" spans="1:8" ht="15" customHeight="1" x14ac:dyDescent="0.25">
      <c r="A40" s="1187" t="s">
        <v>803</v>
      </c>
      <c r="B40" s="1188">
        <f>PENN!AF415</f>
        <v>0.47880480637746969</v>
      </c>
      <c r="C40" s="1188">
        <f>(C38-B38)/B38</f>
        <v>0.37345539623829482</v>
      </c>
      <c r="D40" s="1189">
        <f>(D38-C38)/C38</f>
        <v>4.3471407764778862E-2</v>
      </c>
      <c r="E40" s="1107"/>
      <c r="F40" s="1108"/>
      <c r="G40" s="693"/>
      <c r="H40" s="428"/>
    </row>
    <row r="41" spans="1:8" ht="15" customHeight="1" x14ac:dyDescent="0.25">
      <c r="A41" s="281"/>
      <c r="B41" s="428"/>
      <c r="C41" s="693"/>
      <c r="D41" s="693"/>
      <c r="E41" s="1107"/>
      <c r="F41" s="1108"/>
      <c r="G41" s="693"/>
      <c r="H41" s="428"/>
    </row>
    <row r="42" spans="1:8" ht="15" customHeight="1" x14ac:dyDescent="0.25">
      <c r="A42" s="1191"/>
      <c r="B42" s="428"/>
      <c r="C42" s="693"/>
      <c r="D42" s="693"/>
      <c r="E42" s="1107"/>
      <c r="F42" s="1108"/>
      <c r="G42" s="693"/>
      <c r="H42" s="428"/>
    </row>
    <row r="43" spans="1:8" ht="15" customHeight="1" x14ac:dyDescent="0.25">
      <c r="A43" s="1190" t="s">
        <v>2008</v>
      </c>
      <c r="B43" s="428"/>
      <c r="C43" s="693"/>
      <c r="D43" s="693"/>
      <c r="E43" s="1107"/>
      <c r="F43" s="1108"/>
      <c r="G43" s="693"/>
      <c r="H43" s="428"/>
    </row>
    <row r="44" spans="1:8" ht="15" customHeight="1" x14ac:dyDescent="0.25">
      <c r="A44" s="355" t="s">
        <v>1692</v>
      </c>
      <c r="B44" s="428"/>
      <c r="C44" s="693"/>
      <c r="D44" s="693"/>
      <c r="E44" s="1107"/>
      <c r="F44" s="1108"/>
      <c r="G44" s="693"/>
      <c r="H44" s="428"/>
    </row>
    <row r="45" spans="1:8" ht="15" customHeight="1" x14ac:dyDescent="0.25">
      <c r="A45" s="355" t="s">
        <v>1693</v>
      </c>
      <c r="B45" s="428"/>
      <c r="C45" s="693"/>
      <c r="D45" s="693"/>
      <c r="E45" s="1107"/>
      <c r="F45" s="1108"/>
      <c r="G45" s="693"/>
      <c r="H45" s="428"/>
    </row>
    <row r="46" spans="1:8" ht="15" customHeight="1" x14ac:dyDescent="0.25">
      <c r="A46" s="1191" t="s">
        <v>487</v>
      </c>
      <c r="B46" s="428"/>
      <c r="C46" s="693"/>
      <c r="D46" s="693"/>
      <c r="E46" s="1107"/>
      <c r="F46" s="1108"/>
      <c r="G46" s="693"/>
      <c r="H46" s="428"/>
    </row>
    <row r="47" spans="1:8" ht="15" customHeight="1" x14ac:dyDescent="0.25">
      <c r="A47" s="1191" t="s">
        <v>1706</v>
      </c>
      <c r="B47" s="428"/>
      <c r="C47" s="693"/>
      <c r="D47" s="693"/>
      <c r="E47" s="1107"/>
      <c r="F47" s="1108"/>
      <c r="G47" s="693"/>
      <c r="H47" s="428"/>
    </row>
    <row r="48" spans="1:8" ht="15" customHeight="1" x14ac:dyDescent="0.25">
      <c r="A48" s="1191" t="s">
        <v>1579</v>
      </c>
      <c r="B48" s="428"/>
      <c r="C48" s="693"/>
      <c r="D48" s="693"/>
      <c r="E48" s="1107"/>
      <c r="F48" s="1108"/>
      <c r="G48" s="693"/>
      <c r="H48" s="428"/>
    </row>
    <row r="49" spans="1:8" ht="15" customHeight="1" x14ac:dyDescent="0.25">
      <c r="A49" s="1191"/>
      <c r="B49" s="428"/>
      <c r="C49" s="693"/>
      <c r="D49" s="693"/>
      <c r="E49" s="1107"/>
      <c r="F49" s="1108"/>
      <c r="G49" s="693"/>
      <c r="H49" s="428"/>
    </row>
    <row r="50" spans="1:8" ht="15" customHeight="1" x14ac:dyDescent="0.25">
      <c r="A50" s="1191"/>
      <c r="B50" s="428"/>
      <c r="C50" s="693"/>
      <c r="D50" s="693"/>
      <c r="E50" s="1107"/>
      <c r="F50" s="1108"/>
      <c r="G50" s="693"/>
      <c r="H50" s="428"/>
    </row>
    <row r="51" spans="1:8" ht="15" customHeight="1" x14ac:dyDescent="0.25">
      <c r="A51" s="1192" t="s">
        <v>1691</v>
      </c>
      <c r="B51" s="428"/>
      <c r="C51" s="693"/>
      <c r="D51" s="693"/>
      <c r="E51" s="1107"/>
      <c r="F51" s="1108"/>
      <c r="G51" s="693"/>
      <c r="H51" s="428"/>
    </row>
    <row r="52" spans="1:8" ht="15" customHeight="1" x14ac:dyDescent="0.25">
      <c r="A52" s="1191" t="s">
        <v>543</v>
      </c>
      <c r="B52" s="428"/>
      <c r="C52" s="693"/>
      <c r="D52" s="693"/>
      <c r="E52" s="1107"/>
      <c r="F52" s="1108"/>
      <c r="G52" s="693"/>
      <c r="H52" s="428"/>
    </row>
    <row r="53" spans="1:8" ht="15" customHeight="1" x14ac:dyDescent="0.25">
      <c r="A53" s="1191" t="s">
        <v>21</v>
      </c>
      <c r="B53" s="428"/>
      <c r="C53" s="693"/>
      <c r="D53" s="693"/>
      <c r="E53" s="1107"/>
      <c r="F53" s="1108"/>
      <c r="G53" s="693"/>
      <c r="H53" s="428"/>
    </row>
    <row r="54" spans="1:8" ht="15" customHeight="1" x14ac:dyDescent="0.25">
      <c r="A54" s="1191" t="s">
        <v>2262</v>
      </c>
      <c r="B54" s="428"/>
      <c r="C54" s="693"/>
      <c r="D54" s="693"/>
      <c r="E54" s="1107"/>
      <c r="F54" s="1108"/>
      <c r="G54" s="693"/>
      <c r="H54" s="428"/>
    </row>
    <row r="55" spans="1:8" ht="15" customHeight="1" x14ac:dyDescent="0.25">
      <c r="A55" s="1191" t="s">
        <v>586</v>
      </c>
      <c r="B55" s="428"/>
      <c r="C55" s="693"/>
      <c r="D55" s="693"/>
      <c r="E55" s="1107"/>
      <c r="F55" s="1108"/>
      <c r="G55" s="693"/>
      <c r="H55" s="428"/>
    </row>
    <row r="56" spans="1:8" ht="15" customHeight="1" x14ac:dyDescent="0.25">
      <c r="A56" s="355" t="s">
        <v>587</v>
      </c>
      <c r="B56" s="428"/>
      <c r="C56" s="693"/>
      <c r="D56" s="693"/>
      <c r="E56" s="1107"/>
      <c r="F56" s="1108"/>
      <c r="G56" s="693"/>
      <c r="H56" s="428"/>
    </row>
  </sheetData>
  <phoneticPr fontId="13" type="noConversion"/>
  <pageMargins left="0.5" right="0.5" top="0.5" bottom="0.5" header="0.5" footer="0.5"/>
  <pageSetup scale="70"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69"/>
  <sheetViews>
    <sheetView topLeftCell="A4" zoomScale="85" workbookViewId="0"/>
  </sheetViews>
  <sheetFormatPr defaultRowHeight="15" customHeight="1" x14ac:dyDescent="0.25"/>
  <cols>
    <col min="1" max="1" width="22.625" customWidth="1"/>
    <col min="2" max="10" width="11.625" customWidth="1"/>
    <col min="11" max="11" width="8.625" customWidth="1"/>
    <col min="12" max="12" width="11" bestFit="1" customWidth="1"/>
    <col min="13" max="20" width="8.875" customWidth="1"/>
  </cols>
  <sheetData>
    <row r="1" spans="1:20" ht="15" customHeight="1" x14ac:dyDescent="0.25">
      <c r="A1" s="533" t="s">
        <v>892</v>
      </c>
      <c r="B1" s="428"/>
      <c r="C1" s="428"/>
      <c r="D1" s="428"/>
      <c r="E1" s="693"/>
      <c r="F1" s="693"/>
      <c r="G1" s="693"/>
      <c r="H1" s="693"/>
      <c r="I1" s="1107"/>
      <c r="J1" s="1107"/>
      <c r="K1" s="1108"/>
      <c r="L1" s="428"/>
      <c r="M1" s="428"/>
      <c r="N1" s="428"/>
      <c r="O1" s="428"/>
      <c r="P1" s="428"/>
      <c r="Q1" s="428"/>
      <c r="R1" s="428"/>
      <c r="S1" s="428"/>
      <c r="T1" s="428"/>
    </row>
    <row r="2" spans="1:20" ht="15" customHeight="1" x14ac:dyDescent="0.25">
      <c r="A2" s="533" t="s">
        <v>1022</v>
      </c>
      <c r="B2" s="428"/>
      <c r="C2" s="428"/>
      <c r="D2" s="428"/>
      <c r="E2" s="693"/>
      <c r="F2" s="693"/>
      <c r="G2" s="693"/>
      <c r="H2" s="693"/>
      <c r="I2" s="1107"/>
      <c r="J2" s="1107"/>
      <c r="K2" s="1108"/>
      <c r="L2" s="428"/>
      <c r="M2" s="428"/>
      <c r="N2" s="428"/>
      <c r="O2" s="428"/>
      <c r="P2" s="428"/>
      <c r="Q2" s="428"/>
      <c r="R2" s="428"/>
      <c r="S2" s="428"/>
      <c r="T2" s="428"/>
    </row>
    <row r="3" spans="1:20" ht="15" customHeight="1" x14ac:dyDescent="0.25">
      <c r="A3" s="533"/>
      <c r="B3" s="428"/>
      <c r="C3" s="428"/>
      <c r="D3" s="428"/>
      <c r="E3" s="693"/>
      <c r="F3" s="693"/>
      <c r="G3" s="693"/>
      <c r="H3" s="693"/>
      <c r="I3" s="1107"/>
      <c r="J3" s="1107"/>
      <c r="K3" s="1108"/>
      <c r="L3" s="428"/>
      <c r="M3" s="428"/>
      <c r="N3" s="428"/>
      <c r="O3" s="428"/>
      <c r="P3" s="428"/>
      <c r="Q3" s="428"/>
      <c r="R3" s="428"/>
      <c r="S3" s="428"/>
      <c r="T3" s="428"/>
    </row>
    <row r="4" spans="1:20" ht="15" customHeight="1" x14ac:dyDescent="0.25">
      <c r="A4" s="1109"/>
      <c r="B4" s="3583" t="s">
        <v>1643</v>
      </c>
      <c r="C4" s="3583"/>
      <c r="D4" s="3583"/>
      <c r="E4" s="3583" t="s">
        <v>1644</v>
      </c>
      <c r="F4" s="3583"/>
      <c r="G4" s="3583"/>
      <c r="H4" s="3583" t="s">
        <v>841</v>
      </c>
      <c r="I4" s="3583"/>
      <c r="J4" s="3584"/>
      <c r="K4" s="1108"/>
      <c r="L4" s="1070" t="s">
        <v>1270</v>
      </c>
      <c r="M4" s="1111" t="s">
        <v>2221</v>
      </c>
      <c r="N4" s="1112" t="s">
        <v>1586</v>
      </c>
      <c r="O4" s="1113" t="s">
        <v>107</v>
      </c>
      <c r="P4" s="1113" t="s">
        <v>108</v>
      </c>
      <c r="Q4" s="1113" t="s">
        <v>109</v>
      </c>
      <c r="R4" s="1113" t="s">
        <v>106</v>
      </c>
      <c r="S4" s="1112" t="s">
        <v>1587</v>
      </c>
      <c r="T4" s="1114" t="s">
        <v>841</v>
      </c>
    </row>
    <row r="5" spans="1:20" ht="15" customHeight="1" x14ac:dyDescent="0.25">
      <c r="A5" s="1115" t="s">
        <v>149</v>
      </c>
      <c r="B5" s="1116">
        <v>2007</v>
      </c>
      <c r="C5" s="1116">
        <v>2008</v>
      </c>
      <c r="D5" s="1116" t="s">
        <v>150</v>
      </c>
      <c r="E5" s="1116" t="s">
        <v>1645</v>
      </c>
      <c r="F5" s="1116" t="s">
        <v>1048</v>
      </c>
      <c r="G5" s="1116" t="s">
        <v>150</v>
      </c>
      <c r="H5" s="1116" t="s">
        <v>1645</v>
      </c>
      <c r="I5" s="1116" t="s">
        <v>1048</v>
      </c>
      <c r="J5" s="1117" t="s">
        <v>150</v>
      </c>
      <c r="K5" s="1108"/>
      <c r="L5" s="428" t="s">
        <v>1274</v>
      </c>
      <c r="M5" s="526">
        <f>PENN!AE137</f>
        <v>0</v>
      </c>
      <c r="N5" s="526">
        <f>M5</f>
        <v>0</v>
      </c>
      <c r="O5" s="526">
        <f>(((25-16.5)*2)-$M$5)/4</f>
        <v>4.25</v>
      </c>
      <c r="P5" s="526">
        <f>(((25-16.5)*2)-$M$5)/4</f>
        <v>4.25</v>
      </c>
      <c r="Q5" s="526">
        <f>(((25-16.5)*2)-$M$5)/4</f>
        <v>4.25</v>
      </c>
      <c r="R5" s="526">
        <f>(((25-16.5)*2)-$M$5)/4</f>
        <v>4.25</v>
      </c>
      <c r="S5" s="526">
        <f>SUM(O5:R5)</f>
        <v>17</v>
      </c>
      <c r="T5" s="526">
        <f>S5+N5</f>
        <v>17</v>
      </c>
    </row>
    <row r="6" spans="1:20" ht="15" customHeight="1" x14ac:dyDescent="0.25">
      <c r="A6" s="1118" t="s">
        <v>585</v>
      </c>
      <c r="B6" s="1119">
        <v>3196</v>
      </c>
      <c r="C6" s="1119">
        <v>3182</v>
      </c>
      <c r="D6" s="1119">
        <v>2838</v>
      </c>
      <c r="E6" s="1119">
        <v>2199</v>
      </c>
      <c r="F6" s="1119">
        <v>2047</v>
      </c>
      <c r="G6" s="1119">
        <v>1859</v>
      </c>
      <c r="H6" s="693">
        <f>E6+B6</f>
        <v>5395</v>
      </c>
      <c r="I6" s="693">
        <f>F6+C6</f>
        <v>5229</v>
      </c>
      <c r="J6" s="1120">
        <f>G6+D6</f>
        <v>4697</v>
      </c>
      <c r="K6" s="1108"/>
      <c r="L6" s="428"/>
      <c r="M6" s="428"/>
      <c r="N6" s="428"/>
      <c r="O6" s="428"/>
      <c r="P6" s="428"/>
      <c r="Q6" s="428"/>
      <c r="R6" s="428"/>
      <c r="S6" s="428"/>
      <c r="T6" s="428"/>
    </row>
    <row r="7" spans="1:20" ht="15" customHeight="1" x14ac:dyDescent="0.25">
      <c r="A7" s="1118" t="s">
        <v>584</v>
      </c>
      <c r="B7" s="1119">
        <v>0</v>
      </c>
      <c r="C7" s="1119">
        <v>95</v>
      </c>
      <c r="D7" s="1119">
        <v>101</v>
      </c>
      <c r="E7" s="1119">
        <v>0</v>
      </c>
      <c r="F7" s="1119">
        <v>63.5</v>
      </c>
      <c r="G7" s="1119">
        <v>64.5</v>
      </c>
      <c r="H7" s="693">
        <f>B7+E7</f>
        <v>0</v>
      </c>
      <c r="I7" s="693">
        <f>C7+F7</f>
        <v>158.5</v>
      </c>
      <c r="J7" s="1120">
        <f>D7+G7</f>
        <v>165.5</v>
      </c>
      <c r="K7" s="1108"/>
      <c r="L7" s="428"/>
      <c r="M7" s="428"/>
      <c r="N7" s="428"/>
      <c r="O7" s="428"/>
      <c r="P7" s="428"/>
      <c r="Q7" s="428"/>
      <c r="R7" s="428"/>
      <c r="S7" s="428"/>
      <c r="T7" s="428"/>
    </row>
    <row r="8" spans="1:20" ht="15" customHeight="1" x14ac:dyDescent="0.25">
      <c r="A8" s="520" t="s">
        <v>809</v>
      </c>
      <c r="B8" s="693">
        <f t="shared" ref="B8:G8" si="0">B6+(B7*6)</f>
        <v>3196</v>
      </c>
      <c r="C8" s="693">
        <f t="shared" si="0"/>
        <v>3752</v>
      </c>
      <c r="D8" s="693">
        <f t="shared" si="0"/>
        <v>3444</v>
      </c>
      <c r="E8" s="693">
        <f t="shared" si="0"/>
        <v>2199</v>
      </c>
      <c r="F8" s="693">
        <f t="shared" si="0"/>
        <v>2428</v>
      </c>
      <c r="G8" s="693">
        <f t="shared" si="0"/>
        <v>2246</v>
      </c>
      <c r="H8" s="693">
        <f t="shared" ref="H8:J9" si="1">E8+B8</f>
        <v>5395</v>
      </c>
      <c r="I8" s="693">
        <f t="shared" si="1"/>
        <v>6180</v>
      </c>
      <c r="J8" s="1120">
        <f t="shared" si="1"/>
        <v>5690</v>
      </c>
      <c r="K8" s="1108"/>
      <c r="L8" s="428"/>
      <c r="M8" s="428"/>
      <c r="N8" s="428"/>
      <c r="O8" s="428"/>
      <c r="P8" s="428"/>
      <c r="Q8" s="428"/>
      <c r="R8" s="428"/>
      <c r="S8" s="428"/>
      <c r="T8" s="428"/>
    </row>
    <row r="9" spans="1:20" ht="15" customHeight="1" x14ac:dyDescent="0.25">
      <c r="A9" s="1118" t="s">
        <v>145</v>
      </c>
      <c r="B9" s="1121">
        <v>226.02500000000001</v>
      </c>
      <c r="C9" s="1121">
        <f>110.032+99.242</f>
        <v>209.274</v>
      </c>
      <c r="D9" s="1121">
        <v>192.5</v>
      </c>
      <c r="E9" s="1121">
        <v>172.67599999999999</v>
      </c>
      <c r="F9" s="1121">
        <f>81.885+78.559</f>
        <v>160.44400000000002</v>
      </c>
      <c r="G9" s="1121">
        <v>150.30000000000001</v>
      </c>
      <c r="H9" s="1122">
        <f t="shared" si="1"/>
        <v>398.70100000000002</v>
      </c>
      <c r="I9" s="1122">
        <f t="shared" si="1"/>
        <v>369.71800000000002</v>
      </c>
      <c r="J9" s="1123">
        <f t="shared" si="1"/>
        <v>342.8</v>
      </c>
      <c r="K9" s="1108"/>
      <c r="L9" s="428"/>
      <c r="M9" s="428"/>
      <c r="N9" s="428"/>
      <c r="O9" s="428"/>
      <c r="P9" s="428"/>
      <c r="Q9" s="428"/>
      <c r="R9" s="428"/>
      <c r="S9" s="428"/>
      <c r="T9" s="428"/>
    </row>
    <row r="10" spans="1:20" ht="15" customHeight="1" x14ac:dyDescent="0.25">
      <c r="A10" s="1118" t="s">
        <v>146</v>
      </c>
      <c r="B10" s="1121">
        <v>0</v>
      </c>
      <c r="C10" s="1121">
        <v>48.8</v>
      </c>
      <c r="D10" s="1121">
        <v>45.1</v>
      </c>
      <c r="E10" s="1121">
        <v>0</v>
      </c>
      <c r="F10" s="1121">
        <v>32.700000000000003</v>
      </c>
      <c r="G10" s="1121">
        <v>30.6</v>
      </c>
      <c r="H10" s="1122">
        <f>B10+E10</f>
        <v>0</v>
      </c>
      <c r="I10" s="1122">
        <f>F10+C10</f>
        <v>81.5</v>
      </c>
      <c r="J10" s="1123">
        <f>G10+D10</f>
        <v>75.7</v>
      </c>
      <c r="K10" s="1108"/>
      <c r="L10" s="428"/>
      <c r="M10" s="428"/>
      <c r="N10" s="428"/>
      <c r="O10" s="428"/>
      <c r="P10" s="428"/>
      <c r="Q10" s="428"/>
      <c r="R10" s="428"/>
      <c r="S10" s="428"/>
      <c r="T10" s="428"/>
    </row>
    <row r="11" spans="1:20" ht="15" customHeight="1" x14ac:dyDescent="0.25">
      <c r="A11" s="520" t="s">
        <v>147</v>
      </c>
      <c r="B11" s="1122">
        <f t="shared" ref="B11:J11" si="2">B10+B9</f>
        <v>226.02500000000001</v>
      </c>
      <c r="C11" s="1122">
        <f t="shared" si="2"/>
        <v>258.07400000000001</v>
      </c>
      <c r="D11" s="1122">
        <f t="shared" si="2"/>
        <v>237.6</v>
      </c>
      <c r="E11" s="1122">
        <f t="shared" si="2"/>
        <v>172.67599999999999</v>
      </c>
      <c r="F11" s="1122">
        <f t="shared" si="2"/>
        <v>193.14400000000001</v>
      </c>
      <c r="G11" s="1122">
        <f t="shared" si="2"/>
        <v>180.9</v>
      </c>
      <c r="H11" s="1122">
        <f t="shared" si="2"/>
        <v>398.70100000000002</v>
      </c>
      <c r="I11" s="1122">
        <f t="shared" si="2"/>
        <v>451.21800000000002</v>
      </c>
      <c r="J11" s="1123">
        <f t="shared" si="2"/>
        <v>418.5</v>
      </c>
      <c r="K11" s="1108"/>
      <c r="L11" s="428"/>
      <c r="M11" s="428"/>
      <c r="N11" s="428"/>
      <c r="O11" s="428"/>
      <c r="P11" s="428"/>
      <c r="Q11" s="428"/>
      <c r="R11" s="428"/>
      <c r="S11" s="428"/>
      <c r="T11" s="428"/>
    </row>
    <row r="12" spans="1:20" ht="5.0999999999999996" customHeight="1" x14ac:dyDescent="0.25">
      <c r="A12" s="520"/>
      <c r="B12" s="693"/>
      <c r="C12" s="693"/>
      <c r="D12" s="693"/>
      <c r="E12" s="693"/>
      <c r="F12" s="693"/>
      <c r="G12" s="693"/>
      <c r="H12" s="693"/>
      <c r="I12" s="693"/>
      <c r="J12" s="1120"/>
      <c r="K12" s="1108"/>
      <c r="L12" s="428"/>
      <c r="M12" s="428"/>
      <c r="N12" s="428"/>
      <c r="O12" s="428"/>
      <c r="P12" s="428"/>
      <c r="Q12" s="428"/>
      <c r="R12" s="428"/>
      <c r="S12" s="428"/>
      <c r="T12" s="428"/>
    </row>
    <row r="13" spans="1:20" ht="15" customHeight="1" x14ac:dyDescent="0.25">
      <c r="A13" s="520" t="s">
        <v>148</v>
      </c>
      <c r="B13" s="693" t="s">
        <v>682</v>
      </c>
      <c r="C13" s="1124">
        <f>C10/B9</f>
        <v>0.21590532020794159</v>
      </c>
      <c r="D13" s="1124" t="s">
        <v>682</v>
      </c>
      <c r="E13" s="693" t="s">
        <v>682</v>
      </c>
      <c r="F13" s="1124">
        <f>F10/E9</f>
        <v>0.18937200305774982</v>
      </c>
      <c r="G13" s="1124" t="s">
        <v>682</v>
      </c>
      <c r="H13" s="693" t="s">
        <v>682</v>
      </c>
      <c r="I13" s="1124">
        <f>I10/H9</f>
        <v>0.20441383392567361</v>
      </c>
      <c r="J13" s="1125" t="s">
        <v>682</v>
      </c>
      <c r="K13" s="1108"/>
      <c r="L13" s="428"/>
      <c r="M13" s="428"/>
      <c r="N13" s="428"/>
      <c r="O13" s="428"/>
      <c r="P13" s="428"/>
      <c r="Q13" s="428"/>
      <c r="R13" s="428"/>
      <c r="S13" s="428"/>
      <c r="T13" s="428"/>
    </row>
    <row r="14" spans="1:20" ht="5.0999999999999996" customHeight="1" x14ac:dyDescent="0.25">
      <c r="A14" s="520"/>
      <c r="B14" s="693"/>
      <c r="C14" s="693"/>
      <c r="D14" s="693"/>
      <c r="E14" s="693"/>
      <c r="F14" s="693"/>
      <c r="G14" s="693"/>
      <c r="H14" s="693"/>
      <c r="I14" s="693"/>
      <c r="J14" s="1120"/>
      <c r="K14" s="1108"/>
      <c r="L14" s="428"/>
      <c r="M14" s="428"/>
      <c r="N14" s="428"/>
      <c r="O14" s="428"/>
      <c r="P14" s="428"/>
      <c r="Q14" s="428"/>
      <c r="R14" s="428"/>
      <c r="S14" s="428"/>
      <c r="T14" s="428"/>
    </row>
    <row r="15" spans="1:20" ht="15" customHeight="1" x14ac:dyDescent="0.25">
      <c r="A15" s="1118" t="s">
        <v>1609</v>
      </c>
      <c r="B15" s="1126">
        <f t="shared" ref="B15:J15" si="3">B9*1000000/365/B6</f>
        <v>193.75675073293672</v>
      </c>
      <c r="C15" s="1126">
        <f t="shared" si="3"/>
        <v>180.18649423555445</v>
      </c>
      <c r="D15" s="1126">
        <f t="shared" si="3"/>
        <v>185.83412976531807</v>
      </c>
      <c r="E15" s="1126">
        <f t="shared" si="3"/>
        <v>215.13639450061359</v>
      </c>
      <c r="F15" s="1126">
        <f t="shared" si="3"/>
        <v>214.73991340484912</v>
      </c>
      <c r="G15" s="1126">
        <f t="shared" si="3"/>
        <v>221.50662825056924</v>
      </c>
      <c r="H15" s="1126">
        <f t="shared" si="3"/>
        <v>202.4710856069166</v>
      </c>
      <c r="I15" s="1126">
        <f t="shared" si="3"/>
        <v>193.71314350683883</v>
      </c>
      <c r="J15" s="1127">
        <f t="shared" si="3"/>
        <v>199.95275328758373</v>
      </c>
      <c r="K15" s="1108"/>
      <c r="L15" s="428"/>
      <c r="M15" s="428"/>
      <c r="N15" s="428"/>
      <c r="O15" s="428"/>
      <c r="P15" s="428"/>
      <c r="Q15" s="428"/>
      <c r="R15" s="428"/>
      <c r="S15" s="428"/>
      <c r="T15" s="428"/>
    </row>
    <row r="16" spans="1:20" ht="15" customHeight="1" x14ac:dyDescent="0.25">
      <c r="A16" s="1118" t="s">
        <v>1610</v>
      </c>
      <c r="B16" s="1126" t="s">
        <v>682</v>
      </c>
      <c r="C16" s="1126">
        <f>C10*1000000/365/C7</f>
        <v>1407.3540014419609</v>
      </c>
      <c r="D16" s="1126">
        <f>D10*1000000/365/D7</f>
        <v>1223.3826122338262</v>
      </c>
      <c r="E16" s="1126" t="s">
        <v>682</v>
      </c>
      <c r="F16" s="1126">
        <f>F10*1000000/365/F7</f>
        <v>1410.8510408801642</v>
      </c>
      <c r="G16" s="1126">
        <f>G10*1000000/365/G7</f>
        <v>1299.7769990442816</v>
      </c>
      <c r="H16" s="1126" t="s">
        <v>682</v>
      </c>
      <c r="I16" s="1126">
        <f>I10*1000000/365/I7</f>
        <v>1408.7550235512726</v>
      </c>
      <c r="J16" s="1127">
        <f>J10*1000000/365/J7</f>
        <v>1253.1556512022514</v>
      </c>
      <c r="K16" s="1108"/>
      <c r="L16" s="428"/>
      <c r="M16" s="428"/>
      <c r="N16" s="428"/>
      <c r="O16" s="428"/>
      <c r="P16" s="428"/>
      <c r="Q16" s="428"/>
      <c r="R16" s="428"/>
      <c r="S16" s="428"/>
      <c r="T16" s="428"/>
    </row>
    <row r="17" spans="1:20" ht="15" customHeight="1" x14ac:dyDescent="0.25">
      <c r="A17" s="1077" t="s">
        <v>151</v>
      </c>
      <c r="B17" s="1128">
        <f>B11*1000000/365/B8</f>
        <v>193.75675073293672</v>
      </c>
      <c r="C17" s="1128">
        <f>C11*1000000/365/C8</f>
        <v>188.44670970003213</v>
      </c>
      <c r="D17" s="1128">
        <f>D11*1000000/365/D8</f>
        <v>189.01245763925351</v>
      </c>
      <c r="E17" s="1128">
        <f>E11*1000000/365/E8</f>
        <v>215.13639450061359</v>
      </c>
      <c r="F17" s="1128">
        <f>F11*1000000/365/F8</f>
        <v>217.94136896030329</v>
      </c>
      <c r="G17" s="1128">
        <f>G11*1000000/365/G8</f>
        <v>220.66626819063418</v>
      </c>
      <c r="H17" s="1128">
        <f>H11*1000000/365/H8</f>
        <v>202.4710856069166</v>
      </c>
      <c r="I17" s="1128">
        <f>I11*1000000/365/I8</f>
        <v>200.03457906636518</v>
      </c>
      <c r="J17" s="1129">
        <f>J11*1000000/365/J8</f>
        <v>201.50709006428005</v>
      </c>
      <c r="K17" s="1108"/>
      <c r="L17" s="428"/>
      <c r="M17" s="428"/>
      <c r="N17" s="428"/>
      <c r="O17" s="428"/>
      <c r="P17" s="428"/>
      <c r="Q17" s="428"/>
      <c r="R17" s="428"/>
      <c r="S17" s="428"/>
      <c r="T17" s="428"/>
    </row>
    <row r="18" spans="1:20" ht="15" customHeight="1" x14ac:dyDescent="0.25">
      <c r="A18" s="428"/>
      <c r="B18" s="1126"/>
      <c r="C18" s="1126"/>
      <c r="D18" s="1126"/>
      <c r="E18" s="1126"/>
      <c r="F18" s="1126"/>
      <c r="G18" s="1126"/>
      <c r="H18" s="1126"/>
      <c r="I18" s="1126"/>
      <c r="J18" s="1126"/>
      <c r="K18" s="1108"/>
      <c r="L18" s="428"/>
      <c r="M18" s="428"/>
      <c r="N18" s="428"/>
      <c r="O18" s="428"/>
      <c r="P18" s="428"/>
      <c r="Q18" s="428"/>
      <c r="R18" s="428"/>
      <c r="S18" s="428"/>
      <c r="T18" s="428"/>
    </row>
    <row r="19" spans="1:20" ht="15" customHeight="1" x14ac:dyDescent="0.25">
      <c r="A19" s="1130" t="s">
        <v>1087</v>
      </c>
      <c r="B19" s="1131" t="s">
        <v>1024</v>
      </c>
      <c r="C19" s="1131" t="s">
        <v>1104</v>
      </c>
      <c r="D19" s="829"/>
      <c r="E19" s="1132"/>
      <c r="F19" s="1133" t="s">
        <v>1915</v>
      </c>
      <c r="G19" s="1134"/>
      <c r="H19" s="1134"/>
      <c r="I19" s="1135"/>
      <c r="J19" s="1126"/>
      <c r="K19" s="1108"/>
      <c r="L19" s="428"/>
      <c r="M19" s="428"/>
      <c r="N19" s="428"/>
      <c r="O19" s="428"/>
      <c r="P19" s="428"/>
      <c r="Q19" s="428"/>
      <c r="R19" s="428"/>
      <c r="S19" s="428"/>
      <c r="T19" s="428"/>
    </row>
    <row r="20" spans="1:20" ht="15" customHeight="1" x14ac:dyDescent="0.25">
      <c r="A20" s="520" t="s">
        <v>544</v>
      </c>
      <c r="B20" s="1136">
        <f>C37</f>
        <v>85</v>
      </c>
      <c r="C20" s="1137" t="s">
        <v>643</v>
      </c>
      <c r="D20" s="840"/>
      <c r="E20" s="1138"/>
      <c r="F20" s="1139" t="s">
        <v>1918</v>
      </c>
      <c r="G20" s="1140"/>
      <c r="H20" s="1126"/>
      <c r="I20" s="1127"/>
      <c r="J20" s="1126"/>
      <c r="K20" s="1108"/>
      <c r="L20" s="428"/>
      <c r="M20" s="428"/>
      <c r="N20" s="428"/>
      <c r="O20" s="428"/>
      <c r="P20" s="428"/>
      <c r="Q20" s="428"/>
      <c r="R20" s="428"/>
      <c r="S20" s="428"/>
      <c r="T20" s="428"/>
    </row>
    <row r="21" spans="1:20" ht="15" customHeight="1" x14ac:dyDescent="0.25">
      <c r="A21" s="520" t="s">
        <v>1610</v>
      </c>
      <c r="B21" s="1126">
        <f>(C41+D41)/2</f>
        <v>1637.5</v>
      </c>
      <c r="C21" s="1137" t="s">
        <v>643</v>
      </c>
      <c r="D21" s="1141"/>
      <c r="E21" s="1138"/>
      <c r="F21" s="1139" t="s">
        <v>1914</v>
      </c>
      <c r="G21" s="1140"/>
      <c r="H21" s="1126"/>
      <c r="I21" s="1127"/>
      <c r="J21" s="1126"/>
      <c r="K21" s="1108"/>
      <c r="L21" s="428"/>
      <c r="M21" s="428"/>
      <c r="N21" s="428"/>
      <c r="O21" s="428"/>
      <c r="P21" s="428"/>
      <c r="Q21" s="428"/>
      <c r="R21" s="428"/>
      <c r="S21" s="428"/>
      <c r="T21" s="428"/>
    </row>
    <row r="22" spans="1:20" ht="15" customHeight="1" x14ac:dyDescent="0.25">
      <c r="A22" s="1118" t="s">
        <v>1023</v>
      </c>
      <c r="B22" s="1140">
        <f>B21*B20*365/1000000</f>
        <v>50.803437500000001</v>
      </c>
      <c r="C22" s="1142" t="s">
        <v>66</v>
      </c>
      <c r="D22" s="840"/>
      <c r="E22" s="1138"/>
      <c r="F22" s="1143" t="s">
        <v>1917</v>
      </c>
      <c r="G22" s="1144"/>
      <c r="H22" s="1145"/>
      <c r="I22" s="1146"/>
      <c r="J22" s="1126"/>
      <c r="K22" s="1108"/>
      <c r="L22" s="428"/>
      <c r="M22" s="428"/>
      <c r="N22" s="428"/>
      <c r="O22" s="428"/>
      <c r="P22" s="428"/>
      <c r="Q22" s="428"/>
      <c r="R22" s="428"/>
      <c r="S22" s="428"/>
      <c r="T22" s="428"/>
    </row>
    <row r="23" spans="1:20" ht="15" customHeight="1" x14ac:dyDescent="0.25">
      <c r="A23" s="1118" t="s">
        <v>546</v>
      </c>
      <c r="B23" s="1147">
        <f>B22*0.1</f>
        <v>5.0803437500000008</v>
      </c>
      <c r="C23" s="1142" t="s">
        <v>982</v>
      </c>
      <c r="D23" s="840"/>
      <c r="E23" s="1138"/>
      <c r="F23" s="1139" t="s">
        <v>1916</v>
      </c>
      <c r="G23" s="1140"/>
      <c r="H23" s="1126"/>
      <c r="I23" s="1127"/>
      <c r="J23" s="1126"/>
      <c r="K23" s="1108"/>
      <c r="L23" s="428"/>
      <c r="M23" s="428"/>
      <c r="N23" s="428"/>
      <c r="O23" s="428"/>
      <c r="P23" s="428"/>
      <c r="Q23" s="428"/>
      <c r="R23" s="428"/>
      <c r="S23" s="428"/>
      <c r="T23" s="428"/>
    </row>
    <row r="24" spans="1:20" ht="15" customHeight="1" x14ac:dyDescent="0.25">
      <c r="A24" s="1118" t="s">
        <v>424</v>
      </c>
      <c r="B24" s="1147">
        <f>(B22+B23)*0.2</f>
        <v>11.17675625</v>
      </c>
      <c r="C24" s="1142" t="s">
        <v>12</v>
      </c>
      <c r="D24" s="840"/>
      <c r="E24" s="1138"/>
      <c r="F24" s="1139" t="s">
        <v>906</v>
      </c>
      <c r="G24" s="1140"/>
      <c r="H24" s="1126"/>
      <c r="I24" s="1127"/>
      <c r="J24" s="1126"/>
      <c r="K24" s="1108"/>
      <c r="L24" s="428"/>
      <c r="M24" s="428"/>
      <c r="N24" s="428"/>
      <c r="O24" s="428"/>
      <c r="P24" s="428"/>
      <c r="Q24" s="428"/>
      <c r="R24" s="428"/>
      <c r="S24" s="428"/>
      <c r="T24" s="428"/>
    </row>
    <row r="25" spans="1:20" ht="15" customHeight="1" x14ac:dyDescent="0.25">
      <c r="A25" s="1118" t="s">
        <v>1420</v>
      </c>
      <c r="B25" s="1147">
        <f>-0.08*(B22+B23)</f>
        <v>-4.4707024999999998</v>
      </c>
      <c r="C25" s="1142" t="s">
        <v>67</v>
      </c>
      <c r="D25" s="840"/>
      <c r="E25" s="1148"/>
      <c r="F25" s="1139" t="s">
        <v>1275</v>
      </c>
      <c r="G25" s="1140"/>
      <c r="H25" s="1126"/>
      <c r="I25" s="1127"/>
      <c r="J25" s="1126"/>
      <c r="K25" s="1108"/>
      <c r="L25" s="428"/>
      <c r="M25" s="428"/>
      <c r="N25" s="428"/>
      <c r="O25" s="428"/>
      <c r="P25" s="428"/>
      <c r="Q25" s="428"/>
      <c r="R25" s="428"/>
      <c r="S25" s="428"/>
      <c r="T25" s="428"/>
    </row>
    <row r="26" spans="1:20" ht="15" customHeight="1" x14ac:dyDescent="0.25">
      <c r="A26" s="1149" t="s">
        <v>157</v>
      </c>
      <c r="B26" s="1150">
        <f>SUM(B22:B25)</f>
        <v>62.589834999999994</v>
      </c>
      <c r="C26" s="1137" t="s">
        <v>643</v>
      </c>
      <c r="D26" s="840"/>
      <c r="E26" s="1138"/>
      <c r="F26" s="1151" t="s">
        <v>1276</v>
      </c>
      <c r="G26" s="1152"/>
      <c r="H26" s="1128"/>
      <c r="I26" s="1129"/>
      <c r="J26" s="1126"/>
      <c r="K26" s="1108"/>
      <c r="L26" s="428"/>
      <c r="M26" s="428"/>
      <c r="N26" s="428"/>
      <c r="O26" s="428"/>
      <c r="P26" s="428"/>
      <c r="Q26" s="428"/>
      <c r="R26" s="428"/>
      <c r="S26" s="428"/>
      <c r="T26" s="428"/>
    </row>
    <row r="27" spans="1:20" ht="15" customHeight="1" x14ac:dyDescent="0.25">
      <c r="A27" s="1153" t="s">
        <v>978</v>
      </c>
      <c r="B27" s="1140">
        <f>-(0.35*B22)+-(0.591*B23)</f>
        <v>-20.783686281249999</v>
      </c>
      <c r="C27" s="1142" t="s">
        <v>158</v>
      </c>
      <c r="D27" s="840"/>
      <c r="E27" s="1138"/>
      <c r="F27" s="1126"/>
      <c r="G27" s="1140"/>
      <c r="H27" s="1126"/>
      <c r="I27" s="1126"/>
      <c r="J27" s="1126"/>
      <c r="K27" s="1108"/>
      <c r="L27" s="428"/>
      <c r="M27" s="428"/>
      <c r="N27" s="428"/>
      <c r="O27" s="428"/>
      <c r="P27" s="428"/>
      <c r="Q27" s="428"/>
      <c r="R27" s="428"/>
      <c r="S27" s="428"/>
      <c r="T27" s="428"/>
    </row>
    <row r="28" spans="1:20" ht="15" customHeight="1" x14ac:dyDescent="0.25">
      <c r="A28" s="1153" t="s">
        <v>1102</v>
      </c>
      <c r="B28" s="1147">
        <f>-325*35000/1000000</f>
        <v>-11.375</v>
      </c>
      <c r="C28" s="1142" t="s">
        <v>806</v>
      </c>
      <c r="D28" s="840"/>
      <c r="E28" s="1138"/>
      <c r="F28" s="1126"/>
      <c r="G28" s="1140"/>
      <c r="H28" s="1126"/>
      <c r="I28" s="1126"/>
      <c r="J28" s="1126"/>
      <c r="K28" s="1108"/>
      <c r="L28" s="428"/>
      <c r="M28" s="428"/>
      <c r="N28" s="428"/>
      <c r="O28" s="428"/>
      <c r="P28" s="428"/>
      <c r="Q28" s="428"/>
      <c r="R28" s="428"/>
      <c r="S28" s="428"/>
      <c r="T28" s="428"/>
    </row>
    <row r="29" spans="1:20" ht="15" customHeight="1" x14ac:dyDescent="0.25">
      <c r="A29" s="1153" t="s">
        <v>421</v>
      </c>
      <c r="B29" s="1147">
        <f>-0.075*(B22+B23)</f>
        <v>-4.1912835937499997</v>
      </c>
      <c r="C29" s="1142" t="s">
        <v>1919</v>
      </c>
      <c r="D29" s="840"/>
      <c r="E29" s="1138"/>
      <c r="F29" s="1126"/>
      <c r="G29" s="1140"/>
      <c r="H29" s="1126"/>
      <c r="I29" s="1126"/>
      <c r="J29" s="1126"/>
      <c r="K29" s="1108"/>
      <c r="L29" s="428"/>
      <c r="M29" s="428"/>
      <c r="N29" s="428"/>
      <c r="O29" s="428"/>
      <c r="P29" s="428"/>
      <c r="Q29" s="428"/>
      <c r="R29" s="428"/>
      <c r="S29" s="428"/>
      <c r="T29" s="428"/>
    </row>
    <row r="30" spans="1:20" ht="15" customHeight="1" x14ac:dyDescent="0.25">
      <c r="A30" s="1153" t="s">
        <v>422</v>
      </c>
      <c r="B30" s="1147">
        <f>-0.825*B24</f>
        <v>-9.2208239062500006</v>
      </c>
      <c r="C30" s="1142" t="s">
        <v>1296</v>
      </c>
      <c r="D30" s="840"/>
      <c r="E30" s="1138"/>
      <c r="F30" s="1126"/>
      <c r="G30" s="1140"/>
      <c r="H30" s="1126"/>
      <c r="I30" s="1126"/>
      <c r="J30" s="1126"/>
      <c r="K30" s="1108"/>
      <c r="L30" s="428"/>
      <c r="M30" s="428"/>
      <c r="N30" s="428"/>
      <c r="O30" s="428"/>
      <c r="P30" s="428"/>
      <c r="Q30" s="428"/>
      <c r="R30" s="428"/>
      <c r="S30" s="428"/>
      <c r="T30" s="428"/>
    </row>
    <row r="31" spans="1:20" ht="15" customHeight="1" x14ac:dyDescent="0.25">
      <c r="A31" s="1149" t="s">
        <v>1714</v>
      </c>
      <c r="B31" s="1150">
        <f>SUM(B26:B30)</f>
        <v>17.019041218749994</v>
      </c>
      <c r="C31" s="1137" t="s">
        <v>643</v>
      </c>
      <c r="D31" s="840"/>
      <c r="E31" s="1138"/>
      <c r="F31" s="1126"/>
      <c r="G31" s="1140"/>
      <c r="H31" s="1126"/>
      <c r="I31" s="1126"/>
      <c r="J31" s="1126"/>
      <c r="K31" s="1108"/>
      <c r="L31" s="428"/>
      <c r="M31" s="428"/>
      <c r="N31" s="428"/>
      <c r="O31" s="428"/>
      <c r="P31" s="428"/>
      <c r="Q31" s="428"/>
      <c r="R31" s="428"/>
      <c r="S31" s="428"/>
      <c r="T31" s="428"/>
    </row>
    <row r="32" spans="1:20" ht="15" customHeight="1" x14ac:dyDescent="0.25">
      <c r="A32" s="1077" t="s">
        <v>1221</v>
      </c>
      <c r="B32" s="1154">
        <f>B31/B26</f>
        <v>0.27191382144960113</v>
      </c>
      <c r="C32" s="1155" t="s">
        <v>643</v>
      </c>
      <c r="D32" s="833"/>
      <c r="E32" s="1138"/>
      <c r="F32" s="1126"/>
      <c r="G32" s="1140"/>
      <c r="H32" s="1126"/>
      <c r="I32" s="1126"/>
      <c r="J32" s="1126"/>
      <c r="K32" s="1108"/>
      <c r="L32" s="428"/>
      <c r="M32" s="428"/>
      <c r="N32" s="428"/>
      <c r="O32" s="428"/>
      <c r="P32" s="428"/>
      <c r="Q32" s="428"/>
      <c r="R32" s="428"/>
      <c r="S32" s="428"/>
      <c r="T32" s="428"/>
    </row>
    <row r="33" spans="1:20" ht="15" customHeight="1" x14ac:dyDescent="0.25">
      <c r="A33" s="428"/>
      <c r="B33" s="1126"/>
      <c r="C33" s="1142"/>
      <c r="D33" s="428"/>
      <c r="E33" s="1148"/>
      <c r="F33" s="1126"/>
      <c r="G33" s="1140"/>
      <c r="H33" s="1126"/>
      <c r="I33" s="1126"/>
      <c r="J33" s="1126"/>
      <c r="K33" s="1108"/>
      <c r="L33" s="428"/>
      <c r="M33" s="428"/>
      <c r="N33" s="428"/>
      <c r="O33" s="428"/>
      <c r="P33" s="428"/>
      <c r="Q33" s="428"/>
      <c r="R33" s="428"/>
      <c r="S33" s="428"/>
      <c r="T33" s="428"/>
    </row>
    <row r="34" spans="1:20" ht="15" customHeight="1" x14ac:dyDescent="0.25">
      <c r="A34" s="1130" t="s">
        <v>152</v>
      </c>
      <c r="B34" s="1156">
        <v>2009</v>
      </c>
      <c r="C34" s="1156" t="s">
        <v>153</v>
      </c>
      <c r="D34" s="1157" t="s">
        <v>154</v>
      </c>
      <c r="E34" s="1158"/>
      <c r="F34" s="1159" t="s">
        <v>2000</v>
      </c>
      <c r="G34" s="1160"/>
      <c r="H34" s="1161"/>
      <c r="I34" s="1158"/>
      <c r="J34" s="1107"/>
      <c r="K34" s="1108"/>
      <c r="L34" s="428"/>
      <c r="M34" s="428"/>
      <c r="N34" s="428"/>
      <c r="O34" s="428"/>
      <c r="P34" s="428"/>
      <c r="Q34" s="428"/>
      <c r="R34" s="428"/>
      <c r="S34" s="428"/>
      <c r="T34" s="428"/>
    </row>
    <row r="35" spans="1:20" ht="15" customHeight="1" x14ac:dyDescent="0.25">
      <c r="A35" s="868" t="s">
        <v>894</v>
      </c>
      <c r="B35" s="428">
        <f>B36+(B37*6)</f>
        <v>5034</v>
      </c>
      <c r="C35" s="428">
        <f>C36+(C37*6)</f>
        <v>5544</v>
      </c>
      <c r="D35" s="840">
        <f>D36+(D37*6)</f>
        <v>5544</v>
      </c>
      <c r="E35" s="693"/>
      <c r="F35" s="1162" t="s">
        <v>1714</v>
      </c>
      <c r="G35" s="1122"/>
      <c r="H35" s="1123">
        <f>B31</f>
        <v>17.019041218749994</v>
      </c>
      <c r="I35" s="1107"/>
      <c r="J35" s="1107"/>
      <c r="K35" s="1108"/>
      <c r="L35" s="428"/>
      <c r="M35" s="428"/>
      <c r="N35" s="428"/>
      <c r="O35" s="428"/>
      <c r="P35" s="428"/>
      <c r="Q35" s="428"/>
      <c r="R35" s="428"/>
      <c r="S35" s="428"/>
      <c r="T35" s="428"/>
    </row>
    <row r="36" spans="1:20" ht="15" customHeight="1" x14ac:dyDescent="0.25">
      <c r="A36" s="868" t="s">
        <v>585</v>
      </c>
      <c r="B36" s="428">
        <f>PENN!AF327</f>
        <v>5034</v>
      </c>
      <c r="C36" s="428">
        <f>B36</f>
        <v>5034</v>
      </c>
      <c r="D36" s="840">
        <f>C36</f>
        <v>5034</v>
      </c>
      <c r="E36" s="693"/>
      <c r="F36" s="1162" t="s">
        <v>1464</v>
      </c>
      <c r="G36" s="1163"/>
      <c r="H36" s="1164">
        <v>7.5</v>
      </c>
      <c r="I36" s="1107"/>
      <c r="J36" s="1107"/>
      <c r="K36" s="1108"/>
      <c r="L36" s="428"/>
      <c r="M36" s="428"/>
      <c r="N36" s="428"/>
      <c r="O36" s="428"/>
      <c r="P36" s="428"/>
      <c r="Q36" s="428"/>
      <c r="R36" s="428"/>
      <c r="S36" s="428"/>
      <c r="T36" s="428"/>
    </row>
    <row r="37" spans="1:20" ht="15" customHeight="1" thickBot="1" x14ac:dyDescent="0.3">
      <c r="A37" s="868" t="s">
        <v>584</v>
      </c>
      <c r="B37" s="428">
        <v>0</v>
      </c>
      <c r="C37" s="1165">
        <v>85</v>
      </c>
      <c r="D37" s="1166">
        <v>85</v>
      </c>
      <c r="E37" s="693"/>
      <c r="F37" s="1162" t="s">
        <v>1403</v>
      </c>
      <c r="G37" s="1122"/>
      <c r="H37" s="1123">
        <f>H35*H36</f>
        <v>127.64280914062495</v>
      </c>
      <c r="I37" s="1107"/>
      <c r="J37" s="1107"/>
      <c r="K37" s="1108"/>
      <c r="L37" s="428"/>
      <c r="M37" s="428"/>
      <c r="N37" s="428"/>
      <c r="O37" s="428"/>
      <c r="P37" s="428"/>
      <c r="Q37" s="428"/>
      <c r="R37" s="428"/>
      <c r="S37" s="428"/>
      <c r="T37" s="428"/>
    </row>
    <row r="38" spans="1:20" ht="15" customHeight="1" thickBot="1" x14ac:dyDescent="0.3">
      <c r="A38" s="1167" t="s">
        <v>1021</v>
      </c>
      <c r="B38" s="428">
        <v>0</v>
      </c>
      <c r="C38" s="1168">
        <f>C37*(6/12)</f>
        <v>42.5</v>
      </c>
      <c r="D38" s="1168">
        <v>85</v>
      </c>
      <c r="E38" s="693"/>
      <c r="F38" s="1162" t="s">
        <v>1619</v>
      </c>
      <c r="G38" s="1122"/>
      <c r="H38" s="1123">
        <f>-T5</f>
        <v>-17</v>
      </c>
      <c r="I38" s="1107"/>
      <c r="J38" s="1107"/>
      <c r="K38" s="1108"/>
      <c r="L38" s="428"/>
      <c r="M38" s="428"/>
      <c r="N38" s="428"/>
      <c r="O38" s="428"/>
      <c r="P38" s="428"/>
      <c r="Q38" s="428"/>
      <c r="R38" s="428"/>
      <c r="S38" s="428"/>
      <c r="T38" s="428"/>
    </row>
    <row r="39" spans="1:20" ht="15" customHeight="1" x14ac:dyDescent="0.25">
      <c r="A39" s="1167" t="s">
        <v>2111</v>
      </c>
      <c r="B39" s="428">
        <f>PENN!AF329</f>
        <v>5007.25</v>
      </c>
      <c r="C39" s="428">
        <f>C36+(C38*6)</f>
        <v>5289</v>
      </c>
      <c r="D39" s="840">
        <f>D35</f>
        <v>5544</v>
      </c>
      <c r="E39" s="693"/>
      <c r="F39" s="1162" t="s">
        <v>8</v>
      </c>
      <c r="G39" s="1122"/>
      <c r="H39" s="1123">
        <f>H37+H38</f>
        <v>110.64280914062495</v>
      </c>
      <c r="I39" s="1107"/>
      <c r="J39" s="1107"/>
      <c r="K39" s="1108"/>
      <c r="L39" s="428"/>
      <c r="M39" s="428"/>
      <c r="N39" s="428"/>
      <c r="O39" s="428"/>
      <c r="P39" s="428"/>
      <c r="Q39" s="428"/>
      <c r="R39" s="428"/>
      <c r="S39" s="428"/>
      <c r="T39" s="428"/>
    </row>
    <row r="40" spans="1:20" ht="15" customHeight="1" x14ac:dyDescent="0.25">
      <c r="A40" s="1169" t="s">
        <v>1609</v>
      </c>
      <c r="B40" s="1170">
        <f>B44*1000000/365/B39</f>
        <v>232.43009964318861</v>
      </c>
      <c r="C40" s="1170">
        <f>C44*1000000/365/C36</f>
        <v>220.78730925369589</v>
      </c>
      <c r="D40" s="1171">
        <f>D44*1000000/365/D36</f>
        <v>224.59654826630964</v>
      </c>
      <c r="E40" s="693"/>
      <c r="F40" s="1162" t="s">
        <v>580</v>
      </c>
      <c r="G40" s="1122"/>
      <c r="H40" s="1123">
        <f>H39/(1+0.075)^0.5</f>
        <v>106.7134010656745</v>
      </c>
      <c r="I40" s="1107"/>
      <c r="J40" s="1107"/>
      <c r="K40" s="1108"/>
      <c r="L40" s="428"/>
      <c r="M40" s="428"/>
      <c r="N40" s="428"/>
      <c r="O40" s="428"/>
      <c r="P40" s="428"/>
      <c r="Q40" s="428"/>
      <c r="R40" s="428"/>
      <c r="S40" s="428"/>
      <c r="T40" s="428"/>
    </row>
    <row r="41" spans="1:20" ht="15" customHeight="1" x14ac:dyDescent="0.25">
      <c r="A41" s="1169" t="s">
        <v>1610</v>
      </c>
      <c r="B41" s="1172" t="s">
        <v>553</v>
      </c>
      <c r="C41" s="1173">
        <v>1575</v>
      </c>
      <c r="D41" s="1174">
        <v>1700</v>
      </c>
      <c r="E41" s="693"/>
      <c r="F41" s="1162" t="s">
        <v>1547</v>
      </c>
      <c r="G41" s="1122"/>
      <c r="H41" s="1123">
        <f>PENN!AE101</f>
        <v>107.22499999999999</v>
      </c>
      <c r="I41" s="1107"/>
      <c r="J41" s="1107"/>
      <c r="K41" s="1108"/>
      <c r="L41" s="428"/>
      <c r="M41" s="428"/>
      <c r="N41" s="428"/>
      <c r="O41" s="428"/>
      <c r="P41" s="428"/>
      <c r="Q41" s="428"/>
      <c r="R41" s="428"/>
      <c r="S41" s="428"/>
      <c r="T41" s="428"/>
    </row>
    <row r="42" spans="1:20" ht="15" customHeight="1" x14ac:dyDescent="0.25">
      <c r="A42" s="1175" t="s">
        <v>151</v>
      </c>
      <c r="B42" s="1170">
        <f>B47*1000000/365/B39</f>
        <v>232.43009964318861</v>
      </c>
      <c r="C42" s="1170">
        <f>C47*1000000/365/C39</f>
        <v>222.79841459313764</v>
      </c>
      <c r="D42" s="1171">
        <f>D47*1000000/365/D39</f>
        <v>229.99982394888218</v>
      </c>
      <c r="E42" s="693"/>
      <c r="F42" s="1176" t="s">
        <v>1354</v>
      </c>
      <c r="G42" s="1177"/>
      <c r="H42" s="1178">
        <f>H40/H41</f>
        <v>0.995228734583115</v>
      </c>
      <c r="I42" s="1107"/>
      <c r="J42" s="1107"/>
      <c r="K42" s="1108"/>
      <c r="L42" s="428"/>
      <c r="M42" s="428"/>
      <c r="N42" s="428"/>
      <c r="O42" s="428"/>
      <c r="P42" s="428"/>
      <c r="Q42" s="428"/>
      <c r="R42" s="428"/>
      <c r="S42" s="428"/>
      <c r="T42" s="428"/>
    </row>
    <row r="43" spans="1:20" ht="5.0999999999999996" customHeight="1" x14ac:dyDescent="0.25">
      <c r="A43" s="865"/>
      <c r="B43" s="428"/>
      <c r="C43" s="428"/>
      <c r="D43" s="840"/>
      <c r="E43" s="693"/>
      <c r="F43" s="693"/>
      <c r="G43" s="693"/>
      <c r="H43" s="693"/>
      <c r="I43" s="1107"/>
      <c r="J43" s="1107"/>
      <c r="K43" s="1108"/>
      <c r="L43" s="428"/>
      <c r="M43" s="428"/>
      <c r="N43" s="428"/>
      <c r="O43" s="428"/>
      <c r="P43" s="428"/>
      <c r="Q43" s="428"/>
      <c r="R43" s="428"/>
      <c r="S43" s="428"/>
      <c r="T43" s="428"/>
    </row>
    <row r="44" spans="1:20" ht="15" customHeight="1" x14ac:dyDescent="0.25">
      <c r="A44" s="868" t="s">
        <v>1956</v>
      </c>
      <c r="B44" s="526">
        <f>PENN!AF336</f>
        <v>424.8</v>
      </c>
      <c r="C44" s="1051">
        <f>(B44*0.95)+(B23*(5/12))</f>
        <v>405.67680989583334</v>
      </c>
      <c r="D44" s="1179">
        <f>(B44*0.95*1.01+B23)</f>
        <v>412.67594374999999</v>
      </c>
      <c r="E44" s="693"/>
      <c r="F44" s="693"/>
      <c r="G44" s="693"/>
      <c r="H44" s="693"/>
      <c r="I44" s="1107"/>
      <c r="J44" s="1107"/>
      <c r="K44" s="1108"/>
      <c r="L44" s="428"/>
      <c r="M44" s="428"/>
      <c r="N44" s="428"/>
      <c r="O44" s="428"/>
      <c r="P44" s="428"/>
      <c r="Q44" s="428"/>
      <c r="R44" s="428"/>
      <c r="S44" s="428"/>
      <c r="T44" s="428"/>
    </row>
    <row r="45" spans="1:20" ht="15" customHeight="1" x14ac:dyDescent="0.25">
      <c r="A45" s="868" t="s">
        <v>1957</v>
      </c>
      <c r="B45" s="526">
        <v>0</v>
      </c>
      <c r="C45" s="526">
        <f>(C38*365*C41)/1000000</f>
        <v>24.432187500000001</v>
      </c>
      <c r="D45" s="684">
        <f>(D38*365*D41)/1000000</f>
        <v>52.7425</v>
      </c>
      <c r="E45" s="693"/>
      <c r="F45" s="693"/>
      <c r="G45" s="693"/>
      <c r="H45" s="693"/>
      <c r="I45" s="1107"/>
      <c r="J45" s="1107"/>
      <c r="K45" s="1108"/>
      <c r="L45" s="428"/>
      <c r="M45" s="428"/>
      <c r="N45" s="428"/>
      <c r="O45" s="428"/>
      <c r="P45" s="428"/>
      <c r="Q45" s="428"/>
      <c r="R45" s="428"/>
      <c r="S45" s="428"/>
      <c r="T45" s="428"/>
    </row>
    <row r="46" spans="1:20" ht="15" customHeight="1" x14ac:dyDescent="0.25">
      <c r="A46" s="870" t="s">
        <v>148</v>
      </c>
      <c r="B46" s="1180" t="s">
        <v>553</v>
      </c>
      <c r="C46" s="717">
        <f>C45/B44</f>
        <v>5.7514565677966104E-2</v>
      </c>
      <c r="D46" s="1181">
        <f>D45/C44</f>
        <v>0.13001112884303845</v>
      </c>
      <c r="E46" s="1182"/>
      <c r="F46" s="1182"/>
      <c r="G46" s="1182"/>
      <c r="H46" s="1182"/>
      <c r="I46" s="1183"/>
      <c r="J46" s="1183"/>
      <c r="K46" s="1184"/>
      <c r="L46" s="1185"/>
      <c r="M46" s="1185"/>
      <c r="N46" s="1185"/>
      <c r="O46" s="1185"/>
      <c r="P46" s="1185"/>
      <c r="Q46" s="1185"/>
      <c r="R46" s="1185"/>
      <c r="S46" s="1185"/>
      <c r="T46" s="1185"/>
    </row>
    <row r="47" spans="1:20" ht="15" customHeight="1" x14ac:dyDescent="0.25">
      <c r="A47" s="285" t="s">
        <v>1362</v>
      </c>
      <c r="B47" s="526">
        <f>B45+B44</f>
        <v>424.8</v>
      </c>
      <c r="C47" s="526">
        <f>C45+C44</f>
        <v>430.10899739583334</v>
      </c>
      <c r="D47" s="684">
        <f>D45+D44</f>
        <v>465.41844374999999</v>
      </c>
      <c r="E47" s="693"/>
      <c r="F47" s="693"/>
      <c r="G47" s="693"/>
      <c r="H47" s="693"/>
      <c r="I47" s="1107"/>
      <c r="J47" s="1107"/>
      <c r="K47" s="1108"/>
      <c r="L47" s="428"/>
      <c r="M47" s="428"/>
      <c r="N47" s="428"/>
      <c r="O47" s="428"/>
      <c r="P47" s="428"/>
      <c r="Q47" s="428"/>
      <c r="R47" s="428"/>
      <c r="S47" s="428"/>
      <c r="T47" s="428"/>
    </row>
    <row r="48" spans="1:20" ht="15" customHeight="1" x14ac:dyDescent="0.25">
      <c r="A48" s="865" t="s">
        <v>803</v>
      </c>
      <c r="B48" s="924">
        <f>PENN!AF339</f>
        <v>-4.0755022025653606E-2</v>
      </c>
      <c r="C48" s="924">
        <f>(C47-B47)/B47</f>
        <v>1.249763982069993E-2</v>
      </c>
      <c r="D48" s="1141">
        <f>(D47-C47)/C47</f>
        <v>8.2094182097918397E-2</v>
      </c>
      <c r="E48" s="693"/>
      <c r="F48" s="693"/>
      <c r="G48" s="693"/>
      <c r="H48" s="693"/>
      <c r="I48" s="1107"/>
      <c r="J48" s="1107"/>
      <c r="K48" s="1108"/>
      <c r="L48" s="428"/>
      <c r="M48" s="428"/>
      <c r="N48" s="428"/>
      <c r="O48" s="428"/>
      <c r="P48" s="428"/>
      <c r="Q48" s="428"/>
      <c r="R48" s="428"/>
      <c r="S48" s="428"/>
      <c r="T48" s="428"/>
    </row>
    <row r="49" spans="1:20" ht="15" customHeight="1" x14ac:dyDescent="0.25">
      <c r="A49" s="285" t="s">
        <v>134</v>
      </c>
      <c r="B49" s="526">
        <f>PENN!AF340</f>
        <v>30.549999999999997</v>
      </c>
      <c r="C49" s="1051">
        <f>(B49*0.97)+(B24*(5/12))+(B25*(5/12))</f>
        <v>32.427689062500001</v>
      </c>
      <c r="D49" s="1179">
        <f>(B49*0.97)+B24+B25</f>
        <v>36.339553749999993</v>
      </c>
      <c r="E49" s="693"/>
      <c r="F49" s="693"/>
      <c r="G49" s="693"/>
      <c r="H49" s="693"/>
      <c r="I49" s="1107"/>
      <c r="J49" s="1107"/>
      <c r="K49" s="1108"/>
      <c r="L49" s="428"/>
      <c r="M49" s="428"/>
      <c r="N49" s="428"/>
      <c r="O49" s="428"/>
      <c r="P49" s="428"/>
      <c r="Q49" s="428"/>
      <c r="R49" s="428"/>
      <c r="S49" s="428"/>
      <c r="T49" s="428"/>
    </row>
    <row r="50" spans="1:20" ht="15" customHeight="1" x14ac:dyDescent="0.25">
      <c r="A50" s="864" t="s">
        <v>898</v>
      </c>
      <c r="B50" s="526">
        <f>B49+B47</f>
        <v>455.35</v>
      </c>
      <c r="C50" s="526">
        <f>C49+C47</f>
        <v>462.53668645833335</v>
      </c>
      <c r="D50" s="684">
        <f>D49+D47</f>
        <v>501.75799749999999</v>
      </c>
      <c r="E50" s="693"/>
      <c r="F50" s="693"/>
      <c r="G50" s="693"/>
      <c r="H50" s="693"/>
      <c r="I50" s="1107"/>
      <c r="J50" s="1107"/>
      <c r="K50" s="1108"/>
      <c r="L50" s="428"/>
      <c r="M50" s="428"/>
      <c r="N50" s="428"/>
      <c r="O50" s="428"/>
      <c r="P50" s="428"/>
      <c r="Q50" s="428"/>
      <c r="R50" s="428"/>
      <c r="S50" s="428"/>
      <c r="T50" s="428"/>
    </row>
    <row r="51" spans="1:20" ht="15" customHeight="1" x14ac:dyDescent="0.25">
      <c r="A51" s="865" t="s">
        <v>803</v>
      </c>
      <c r="B51" s="924">
        <f>PENN!AF342</f>
        <v>-4.5451877442184097E-2</v>
      </c>
      <c r="C51" s="924">
        <f>(C50-B50)/B50</f>
        <v>1.5782774697119417E-2</v>
      </c>
      <c r="D51" s="1141">
        <f>(D50-C50)/C50</f>
        <v>8.479610848165621E-2</v>
      </c>
      <c r="E51" s="693"/>
      <c r="F51" s="693"/>
      <c r="G51" s="693"/>
      <c r="H51" s="693"/>
      <c r="I51" s="1107"/>
      <c r="J51" s="1107"/>
      <c r="K51" s="1108"/>
      <c r="L51" s="428"/>
      <c r="M51" s="428"/>
      <c r="N51" s="428"/>
      <c r="O51" s="428"/>
      <c r="P51" s="428"/>
      <c r="Q51" s="428"/>
      <c r="R51" s="428"/>
      <c r="S51" s="428"/>
      <c r="T51" s="428"/>
    </row>
    <row r="52" spans="1:20" ht="5.0999999999999996" customHeight="1" x14ac:dyDescent="0.25">
      <c r="A52" s="285"/>
      <c r="B52" s="526"/>
      <c r="C52" s="526"/>
      <c r="D52" s="684"/>
      <c r="E52" s="693"/>
      <c r="F52" s="693"/>
      <c r="G52" s="693"/>
      <c r="H52" s="693"/>
      <c r="I52" s="1107"/>
      <c r="J52" s="1107"/>
      <c r="K52" s="1108"/>
      <c r="L52" s="428"/>
      <c r="M52" s="428"/>
      <c r="N52" s="428"/>
      <c r="O52" s="428"/>
      <c r="P52" s="428"/>
      <c r="Q52" s="428"/>
      <c r="R52" s="428"/>
      <c r="S52" s="428"/>
      <c r="T52" s="428"/>
    </row>
    <row r="53" spans="1:20" ht="15" customHeight="1" x14ac:dyDescent="0.25">
      <c r="A53" s="285" t="s">
        <v>600</v>
      </c>
      <c r="B53" s="526">
        <f>PENN!AF344</f>
        <v>76.671200000000013</v>
      </c>
      <c r="C53" s="526">
        <f>B53*0.945-((SUM(B28:B30)*6/12))</f>
        <v>84.847837750000011</v>
      </c>
      <c r="D53" s="684">
        <f>B53*0.945-SUM(B28:B30)</f>
        <v>97.24139150000002</v>
      </c>
      <c r="E53" s="693"/>
      <c r="F53" s="693"/>
      <c r="G53" s="693"/>
      <c r="H53" s="693"/>
      <c r="I53" s="1107"/>
      <c r="J53" s="1107"/>
      <c r="K53" s="1108"/>
      <c r="L53" s="428"/>
      <c r="M53" s="428"/>
      <c r="N53" s="428"/>
      <c r="O53" s="428"/>
      <c r="P53" s="428"/>
      <c r="Q53" s="428"/>
      <c r="R53" s="428"/>
      <c r="S53" s="428"/>
      <c r="T53" s="428"/>
    </row>
    <row r="54" spans="1:20" ht="15" customHeight="1" x14ac:dyDescent="0.25">
      <c r="A54" s="865" t="s">
        <v>1285</v>
      </c>
      <c r="B54" s="924">
        <f>B53/B50</f>
        <v>0.16837860986054684</v>
      </c>
      <c r="C54" s="924">
        <f>C53/C50</f>
        <v>0.18344023346490451</v>
      </c>
      <c r="D54" s="1141">
        <f>D53/D50</f>
        <v>0.19380137832282388</v>
      </c>
      <c r="E54" s="693"/>
      <c r="F54" s="693"/>
      <c r="G54" s="693"/>
      <c r="H54" s="693"/>
      <c r="I54" s="1107"/>
      <c r="J54" s="1107"/>
      <c r="K54" s="1108"/>
      <c r="L54" s="428"/>
      <c r="M54" s="428"/>
      <c r="N54" s="428"/>
      <c r="O54" s="428"/>
      <c r="P54" s="428"/>
      <c r="Q54" s="428"/>
      <c r="R54" s="428"/>
      <c r="S54" s="428"/>
      <c r="T54" s="428"/>
    </row>
    <row r="55" spans="1:20" ht="15" customHeight="1" x14ac:dyDescent="0.25">
      <c r="A55" s="865" t="s">
        <v>803</v>
      </c>
      <c r="B55" s="924">
        <f>PENN!AF346</f>
        <v>-8.9507075744334821E-3</v>
      </c>
      <c r="C55" s="924">
        <f>(C53-B53)/B53</f>
        <v>0.10664549074489503</v>
      </c>
      <c r="D55" s="1141">
        <f>(D53-C53)/C53</f>
        <v>0.14606799747233404</v>
      </c>
      <c r="E55" s="693"/>
      <c r="F55" s="693"/>
      <c r="G55" s="693"/>
      <c r="H55" s="693"/>
      <c r="I55" s="1107"/>
      <c r="J55" s="1107"/>
      <c r="K55" s="1108"/>
      <c r="L55" s="428"/>
      <c r="M55" s="428"/>
      <c r="N55" s="428"/>
      <c r="O55" s="428"/>
      <c r="P55" s="428"/>
      <c r="Q55" s="428"/>
      <c r="R55" s="428"/>
      <c r="S55" s="428"/>
      <c r="T55" s="428"/>
    </row>
    <row r="56" spans="1:20" ht="15" customHeight="1" x14ac:dyDescent="0.25">
      <c r="A56" s="285" t="s">
        <v>899</v>
      </c>
      <c r="B56" s="526">
        <f>PENN!AF347</f>
        <v>251.05679999999998</v>
      </c>
      <c r="C56" s="526">
        <f>(0.591*C44)+(0.35*C45)</f>
        <v>248.30626027343749</v>
      </c>
      <c r="D56" s="684">
        <f>(0.591*D44)+(0.35*D45)</f>
        <v>262.35135775624997</v>
      </c>
      <c r="E56" s="693"/>
      <c r="F56" s="693"/>
      <c r="G56" s="693"/>
      <c r="H56" s="693"/>
      <c r="I56" s="1107"/>
      <c r="J56" s="1107"/>
      <c r="K56" s="1108"/>
      <c r="L56" s="428"/>
      <c r="M56" s="428"/>
      <c r="N56" s="428"/>
      <c r="O56" s="428"/>
      <c r="P56" s="428"/>
      <c r="Q56" s="428"/>
      <c r="R56" s="428"/>
      <c r="S56" s="428"/>
      <c r="T56" s="428"/>
    </row>
    <row r="57" spans="1:20" ht="15" customHeight="1" x14ac:dyDescent="0.25">
      <c r="A57" s="865" t="s">
        <v>130</v>
      </c>
      <c r="B57" s="924">
        <f>B56/B47</f>
        <v>0.59099999999999997</v>
      </c>
      <c r="C57" s="924">
        <f>C56/C47</f>
        <v>0.57731008134414563</v>
      </c>
      <c r="D57" s="1141">
        <f>D56/D47</f>
        <v>0.56368921618665435</v>
      </c>
      <c r="E57" s="693"/>
      <c r="F57" s="693"/>
      <c r="G57" s="693"/>
      <c r="H57" s="693"/>
      <c r="I57" s="1107"/>
      <c r="J57" s="1107"/>
      <c r="K57" s="1108"/>
      <c r="L57" s="428"/>
      <c r="M57" s="428"/>
      <c r="N57" s="428"/>
      <c r="O57" s="428"/>
      <c r="P57" s="428"/>
      <c r="Q57" s="428"/>
      <c r="R57" s="428"/>
      <c r="S57" s="428"/>
      <c r="T57" s="428"/>
    </row>
    <row r="58" spans="1:20" ht="15" customHeight="1" x14ac:dyDescent="0.25">
      <c r="A58" s="285" t="s">
        <v>893</v>
      </c>
      <c r="B58" s="526">
        <f>B56+B53</f>
        <v>327.72800000000001</v>
      </c>
      <c r="C58" s="526">
        <f>C56+C53</f>
        <v>333.15409802343748</v>
      </c>
      <c r="D58" s="684">
        <f>D56+D53</f>
        <v>359.59274925624999</v>
      </c>
      <c r="E58" s="693"/>
      <c r="F58" s="693"/>
      <c r="G58" s="693"/>
      <c r="H58" s="693"/>
      <c r="I58" s="1107"/>
      <c r="J58" s="1107"/>
      <c r="K58" s="1108"/>
      <c r="L58" s="428"/>
      <c r="M58" s="428"/>
      <c r="N58" s="428"/>
      <c r="O58" s="428"/>
      <c r="P58" s="428"/>
      <c r="Q58" s="428"/>
      <c r="R58" s="428"/>
      <c r="S58" s="428"/>
      <c r="T58" s="428"/>
    </row>
    <row r="59" spans="1:20" ht="5.0999999999999996" customHeight="1" x14ac:dyDescent="0.25">
      <c r="A59" s="285"/>
      <c r="B59" s="526"/>
      <c r="C59" s="526"/>
      <c r="D59" s="684"/>
      <c r="E59" s="693"/>
      <c r="F59" s="693"/>
      <c r="G59" s="693"/>
      <c r="H59" s="693"/>
      <c r="I59" s="1107"/>
      <c r="J59" s="1107"/>
      <c r="K59" s="1108"/>
      <c r="L59" s="428"/>
      <c r="M59" s="428"/>
      <c r="N59" s="428"/>
      <c r="O59" s="428"/>
      <c r="P59" s="428"/>
      <c r="Q59" s="428"/>
      <c r="R59" s="428"/>
      <c r="S59" s="428"/>
      <c r="T59" s="428"/>
    </row>
    <row r="60" spans="1:20" ht="15" customHeight="1" x14ac:dyDescent="0.25">
      <c r="A60" s="1186" t="s">
        <v>2010</v>
      </c>
      <c r="B60" s="526">
        <f>B50-B58</f>
        <v>127.62200000000001</v>
      </c>
      <c r="C60" s="526">
        <f>C50-C58</f>
        <v>129.38258843489587</v>
      </c>
      <c r="D60" s="684">
        <f>D50-D58</f>
        <v>142.16524824375</v>
      </c>
      <c r="E60" s="693"/>
      <c r="F60" s="693"/>
      <c r="G60" s="693"/>
      <c r="H60" s="693"/>
      <c r="I60" s="1107"/>
      <c r="J60" s="1107"/>
      <c r="K60" s="1108"/>
      <c r="L60" s="428"/>
      <c r="M60" s="428"/>
      <c r="N60" s="428"/>
      <c r="O60" s="428"/>
      <c r="P60" s="428"/>
      <c r="Q60" s="428"/>
      <c r="R60" s="428"/>
      <c r="S60" s="428"/>
      <c r="T60" s="428"/>
    </row>
    <row r="61" spans="1:20" ht="15" customHeight="1" x14ac:dyDescent="0.25">
      <c r="A61" s="865" t="s">
        <v>2015</v>
      </c>
      <c r="B61" s="924">
        <f>B60/B50</f>
        <v>0.28027231799714508</v>
      </c>
      <c r="C61" s="924">
        <f>C60/C50</f>
        <v>0.27972394887329877</v>
      </c>
      <c r="D61" s="1141">
        <f>D60/D50</f>
        <v>0.28333429452462289</v>
      </c>
      <c r="E61" s="693"/>
      <c r="F61" s="693"/>
      <c r="G61" s="693"/>
      <c r="H61" s="693"/>
      <c r="I61" s="1107"/>
      <c r="J61" s="1107"/>
      <c r="K61" s="1108"/>
      <c r="L61" s="428"/>
      <c r="M61" s="428"/>
      <c r="N61" s="428"/>
      <c r="O61" s="428"/>
      <c r="P61" s="428"/>
      <c r="Q61" s="428"/>
      <c r="R61" s="428"/>
      <c r="S61" s="428"/>
      <c r="T61" s="428"/>
    </row>
    <row r="62" spans="1:20" ht="15" customHeight="1" x14ac:dyDescent="0.25">
      <c r="A62" s="1187" t="s">
        <v>803</v>
      </c>
      <c r="B62" s="1188">
        <f>PENN!AF355</f>
        <v>-7.4834173039979662E-2</v>
      </c>
      <c r="C62" s="1188">
        <f>(C60-B60)/B60</f>
        <v>1.3795336500727546E-2</v>
      </c>
      <c r="D62" s="1189">
        <f>(D60-C60)/C60</f>
        <v>9.8797372687332283E-2</v>
      </c>
      <c r="E62" s="693"/>
      <c r="F62" s="693"/>
      <c r="G62" s="693"/>
      <c r="H62" s="693"/>
      <c r="I62" s="1107"/>
      <c r="J62" s="1107"/>
      <c r="K62" s="1108"/>
      <c r="L62" s="428"/>
      <c r="M62" s="428"/>
      <c r="N62" s="428"/>
      <c r="O62" s="428"/>
      <c r="P62" s="428"/>
      <c r="Q62" s="428"/>
      <c r="R62" s="428"/>
      <c r="S62" s="428"/>
      <c r="T62" s="428"/>
    </row>
    <row r="63" spans="1:20" ht="15" customHeight="1" x14ac:dyDescent="0.25">
      <c r="A63" s="281"/>
      <c r="B63" s="526"/>
      <c r="C63" s="526"/>
      <c r="D63" s="526"/>
      <c r="E63" s="693"/>
      <c r="F63" s="693"/>
      <c r="G63" s="693"/>
      <c r="H63" s="693"/>
      <c r="I63" s="1107"/>
      <c r="J63" s="1107"/>
      <c r="K63" s="1108"/>
      <c r="L63" s="428"/>
      <c r="M63" s="428"/>
      <c r="N63" s="428"/>
      <c r="O63" s="428"/>
      <c r="P63" s="428"/>
      <c r="Q63" s="428"/>
      <c r="R63" s="428"/>
      <c r="S63" s="428"/>
      <c r="T63" s="428"/>
    </row>
    <row r="64" spans="1:20" ht="15" customHeight="1" x14ac:dyDescent="0.25">
      <c r="A64" s="1190" t="s">
        <v>2008</v>
      </c>
      <c r="B64" s="428"/>
      <c r="C64" s="428"/>
      <c r="D64" s="428"/>
      <c r="E64" s="693"/>
      <c r="F64" s="693"/>
      <c r="G64" s="693"/>
      <c r="H64" s="693"/>
      <c r="I64" s="1107"/>
      <c r="J64" s="1107"/>
      <c r="K64" s="1108"/>
      <c r="L64" s="428"/>
      <c r="M64" s="428"/>
      <c r="N64" s="428"/>
      <c r="O64" s="428"/>
      <c r="P64" s="428"/>
      <c r="Q64" s="428"/>
      <c r="R64" s="428"/>
      <c r="S64" s="428"/>
      <c r="T64" s="428"/>
    </row>
    <row r="65" spans="1:20" ht="15" customHeight="1" x14ac:dyDescent="0.25">
      <c r="A65" s="355" t="s">
        <v>1297</v>
      </c>
      <c r="B65" s="428"/>
      <c r="C65" s="428"/>
      <c r="D65" s="428"/>
      <c r="E65" s="693"/>
      <c r="F65" s="693"/>
      <c r="G65" s="693"/>
      <c r="H65" s="693"/>
      <c r="I65" s="1107"/>
      <c r="J65" s="1107"/>
      <c r="K65" s="1108"/>
      <c r="L65" s="428"/>
      <c r="M65" s="428"/>
      <c r="N65" s="428"/>
      <c r="O65" s="428"/>
      <c r="P65" s="428"/>
      <c r="Q65" s="428"/>
      <c r="R65" s="428"/>
      <c r="S65" s="428"/>
      <c r="T65" s="428"/>
    </row>
    <row r="66" spans="1:20" ht="15" customHeight="1" x14ac:dyDescent="0.25">
      <c r="A66" s="355" t="s">
        <v>1693</v>
      </c>
      <c r="B66" s="428"/>
      <c r="C66" s="428"/>
      <c r="D66" s="428"/>
      <c r="E66" s="693"/>
      <c r="F66" s="693"/>
      <c r="G66" s="693"/>
      <c r="H66" s="693"/>
      <c r="I66" s="1107"/>
      <c r="J66" s="1107"/>
      <c r="K66" s="1108"/>
      <c r="L66" s="428"/>
      <c r="M66" s="428"/>
      <c r="N66" s="428"/>
      <c r="O66" s="428"/>
      <c r="P66" s="428"/>
      <c r="Q66" s="428"/>
      <c r="R66" s="428"/>
      <c r="S66" s="428"/>
      <c r="T66" s="428"/>
    </row>
    <row r="67" spans="1:20" ht="15" customHeight="1" x14ac:dyDescent="0.25">
      <c r="A67" s="1191" t="s">
        <v>487</v>
      </c>
      <c r="B67" s="428"/>
      <c r="C67" s="428"/>
      <c r="D67" s="428"/>
      <c r="E67" s="693"/>
      <c r="F67" s="693"/>
      <c r="G67" s="693"/>
      <c r="H67" s="693"/>
      <c r="I67" s="1107"/>
      <c r="J67" s="1107"/>
      <c r="K67" s="1108"/>
      <c r="L67" s="428"/>
      <c r="M67" s="428"/>
      <c r="N67" s="428"/>
      <c r="O67" s="428"/>
      <c r="P67" s="428"/>
      <c r="Q67" s="428"/>
      <c r="R67" s="428"/>
      <c r="S67" s="428"/>
      <c r="T67" s="428"/>
    </row>
    <row r="68" spans="1:20" ht="15" customHeight="1" x14ac:dyDescent="0.25">
      <c r="A68" s="1191" t="s">
        <v>1706</v>
      </c>
      <c r="B68" s="428"/>
      <c r="C68" s="428"/>
      <c r="D68" s="428"/>
      <c r="E68" s="693"/>
      <c r="F68" s="693"/>
      <c r="G68" s="693"/>
      <c r="H68" s="693"/>
      <c r="I68" s="1107"/>
      <c r="J68" s="1107"/>
      <c r="K68" s="1108"/>
      <c r="L68" s="428"/>
      <c r="M68" s="428"/>
      <c r="N68" s="428"/>
      <c r="O68" s="428"/>
      <c r="P68" s="428"/>
      <c r="Q68" s="428"/>
      <c r="R68" s="428"/>
      <c r="S68" s="428"/>
      <c r="T68" s="428"/>
    </row>
    <row r="69" spans="1:20" ht="15" customHeight="1" x14ac:dyDescent="0.25">
      <c r="A69" s="1191" t="s">
        <v>1298</v>
      </c>
      <c r="B69" s="428"/>
      <c r="C69" s="428"/>
      <c r="D69" s="428"/>
      <c r="E69" s="693"/>
      <c r="F69" s="693"/>
      <c r="G69" s="693"/>
      <c r="H69" s="693"/>
      <c r="I69" s="1107"/>
      <c r="J69" s="1107"/>
      <c r="K69" s="1108"/>
      <c r="L69" s="428"/>
      <c r="M69" s="428"/>
      <c r="N69" s="428"/>
      <c r="O69" s="428"/>
      <c r="P69" s="428"/>
      <c r="Q69" s="428"/>
      <c r="R69" s="428"/>
      <c r="S69" s="428"/>
      <c r="T69" s="428"/>
    </row>
  </sheetData>
  <mergeCells count="3">
    <mergeCell ref="H4:J4"/>
    <mergeCell ref="E4:G4"/>
    <mergeCell ref="B4:D4"/>
  </mergeCells>
  <phoneticPr fontId="13" type="noConversion"/>
  <pageMargins left="0.75" right="0.75" top="1" bottom="1" header="0.5" footer="0.5"/>
  <pageSetup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R96"/>
  <sheetViews>
    <sheetView zoomScale="85" workbookViewId="0"/>
  </sheetViews>
  <sheetFormatPr defaultRowHeight="15.75" x14ac:dyDescent="0.25"/>
  <cols>
    <col min="1" max="1" width="2.25" customWidth="1"/>
    <col min="2" max="2" width="18.25" customWidth="1"/>
    <col min="3" max="3" width="10.5" customWidth="1"/>
    <col min="5" max="5" width="26.125" customWidth="1"/>
    <col min="6" max="6" width="12.125" customWidth="1"/>
    <col min="7" max="7" width="12" customWidth="1"/>
    <col min="8" max="8" width="0.75" customWidth="1"/>
    <col min="9" max="9" width="18.875" customWidth="1"/>
    <col min="10" max="10" width="15.375" customWidth="1"/>
    <col min="11" max="11" width="0.875" customWidth="1"/>
    <col min="12" max="12" width="29.375" customWidth="1"/>
    <col min="13" max="13" width="14.5" customWidth="1"/>
    <col min="14" max="14" width="1.5" customWidth="1"/>
    <col min="15" max="15" width="23.25" customWidth="1"/>
    <col min="16" max="18" width="8.75" customWidth="1"/>
  </cols>
  <sheetData>
    <row r="1" spans="1:9" x14ac:dyDescent="0.25">
      <c r="A1" s="10" t="s">
        <v>892</v>
      </c>
      <c r="B1" s="10"/>
      <c r="C1" s="11"/>
      <c r="D1" s="11"/>
      <c r="E1" s="11"/>
      <c r="F1" s="11"/>
      <c r="G1" s="11"/>
      <c r="H1" s="11"/>
      <c r="I1" s="11"/>
    </row>
    <row r="2" spans="1:9" x14ac:dyDescent="0.25">
      <c r="A2" s="10" t="s">
        <v>815</v>
      </c>
      <c r="B2" s="10"/>
      <c r="C2" s="11"/>
      <c r="D2" s="11"/>
      <c r="E2" s="11"/>
      <c r="F2" s="11"/>
      <c r="G2" s="11"/>
      <c r="H2" s="11"/>
      <c r="I2" s="11" t="s">
        <v>1084</v>
      </c>
    </row>
    <row r="3" spans="1:9" x14ac:dyDescent="0.25">
      <c r="B3" s="10"/>
      <c r="C3" s="11"/>
      <c r="D3" s="11"/>
      <c r="E3" s="11"/>
      <c r="F3" s="11"/>
      <c r="G3" s="11"/>
      <c r="H3" s="11"/>
      <c r="I3" s="11" t="s">
        <v>1085</v>
      </c>
    </row>
    <row r="4" spans="1:9" x14ac:dyDescent="0.25">
      <c r="B4" s="1269" t="s">
        <v>813</v>
      </c>
      <c r="C4" s="284"/>
      <c r="D4" s="11"/>
      <c r="E4" s="1269" t="s">
        <v>1172</v>
      </c>
      <c r="F4" s="284"/>
      <c r="G4" s="11"/>
      <c r="H4" s="11"/>
      <c r="I4" s="11" t="s">
        <v>1086</v>
      </c>
    </row>
    <row r="5" spans="1:9" x14ac:dyDescent="0.25">
      <c r="B5" s="868" t="s">
        <v>1755</v>
      </c>
      <c r="C5" s="1405">
        <f>1500+44*6</f>
        <v>1764</v>
      </c>
      <c r="D5" s="11"/>
      <c r="E5" s="285"/>
      <c r="F5" s="286"/>
      <c r="G5" s="11"/>
      <c r="H5" s="11"/>
      <c r="I5" s="11"/>
    </row>
    <row r="6" spans="1:9" x14ac:dyDescent="0.25">
      <c r="B6" s="1097" t="s">
        <v>1756</v>
      </c>
      <c r="C6" s="1406">
        <v>185</v>
      </c>
      <c r="D6" s="11"/>
      <c r="E6" s="285" t="s">
        <v>1509</v>
      </c>
      <c r="F6" s="286">
        <v>30</v>
      </c>
      <c r="G6" s="11"/>
      <c r="H6" s="11"/>
      <c r="I6" s="11"/>
    </row>
    <row r="7" spans="1:9" x14ac:dyDescent="0.25">
      <c r="B7" s="11"/>
      <c r="C7" s="290"/>
      <c r="D7" s="11"/>
      <c r="E7" s="285" t="s">
        <v>1173</v>
      </c>
      <c r="F7" s="1079">
        <v>0.215</v>
      </c>
      <c r="G7" s="11"/>
      <c r="H7" s="11"/>
      <c r="I7" s="11"/>
    </row>
    <row r="8" spans="1:9" x14ac:dyDescent="0.25">
      <c r="B8" s="1269" t="s">
        <v>814</v>
      </c>
      <c r="C8" s="1407"/>
      <c r="D8" s="11"/>
      <c r="E8" s="285" t="s">
        <v>1176</v>
      </c>
      <c r="F8" s="286">
        <f>F6/F7</f>
        <v>139.53488372093022</v>
      </c>
      <c r="G8" s="11"/>
      <c r="H8" s="11"/>
      <c r="I8" s="11"/>
    </row>
    <row r="9" spans="1:9" x14ac:dyDescent="0.25">
      <c r="B9" s="285" t="s">
        <v>2254</v>
      </c>
      <c r="C9" s="1408">
        <f>C5*C6*365/1000000</f>
        <v>119.11409999999999</v>
      </c>
      <c r="D9" s="11"/>
      <c r="E9" s="285"/>
      <c r="F9" s="286"/>
      <c r="G9" s="11"/>
      <c r="H9" s="11"/>
      <c r="I9" s="11"/>
    </row>
    <row r="10" spans="1:9" x14ac:dyDescent="0.25">
      <c r="B10" s="285" t="s">
        <v>1757</v>
      </c>
      <c r="C10" s="286">
        <f>-0.125*C9</f>
        <v>-14.889262499999999</v>
      </c>
      <c r="D10" s="11"/>
      <c r="E10" s="285" t="s">
        <v>1174</v>
      </c>
      <c r="F10" s="286">
        <v>8</v>
      </c>
      <c r="G10" s="11"/>
      <c r="H10" s="11"/>
      <c r="I10" s="11"/>
    </row>
    <row r="11" spans="1:9" x14ac:dyDescent="0.25">
      <c r="B11" s="285" t="s">
        <v>816</v>
      </c>
      <c r="C11" s="286">
        <f>SUM(C9:C10)</f>
        <v>104.22483749999999</v>
      </c>
      <c r="D11" s="11"/>
      <c r="E11" s="285" t="s">
        <v>1175</v>
      </c>
      <c r="F11" s="1079">
        <v>0.06</v>
      </c>
      <c r="G11" s="11"/>
      <c r="H11" s="11"/>
      <c r="I11" s="11"/>
    </row>
    <row r="12" spans="1:9" x14ac:dyDescent="0.25">
      <c r="B12" s="285" t="s">
        <v>1223</v>
      </c>
      <c r="C12" s="286">
        <f>0.0875*C9</f>
        <v>10.42248375</v>
      </c>
      <c r="D12" s="11"/>
      <c r="E12" s="293" t="s">
        <v>1176</v>
      </c>
      <c r="F12" s="295">
        <f>F10/F11</f>
        <v>133.33333333333334</v>
      </c>
      <c r="G12" s="11"/>
      <c r="H12" s="11"/>
      <c r="I12" s="11"/>
    </row>
    <row r="13" spans="1:9" x14ac:dyDescent="0.25">
      <c r="B13" s="285" t="s">
        <v>589</v>
      </c>
      <c r="C13" s="286">
        <f>C12+C11</f>
        <v>114.64732124999999</v>
      </c>
      <c r="D13" s="11"/>
      <c r="E13" s="11"/>
      <c r="F13" s="11"/>
      <c r="G13" s="11"/>
      <c r="H13" s="11"/>
      <c r="I13" s="11"/>
    </row>
    <row r="14" spans="1:9" ht="15.75" customHeight="1" x14ac:dyDescent="0.25">
      <c r="B14" s="285"/>
      <c r="C14" s="286"/>
      <c r="D14" s="11"/>
      <c r="E14" s="281"/>
      <c r="F14" s="11"/>
      <c r="G14" s="11"/>
      <c r="H14" s="11"/>
      <c r="I14" s="11"/>
    </row>
    <row r="15" spans="1:9" x14ac:dyDescent="0.25">
      <c r="B15" s="285" t="s">
        <v>4</v>
      </c>
      <c r="C15" s="286">
        <f>0.275*C9</f>
        <v>32.756377499999999</v>
      </c>
      <c r="D15" s="11"/>
      <c r="E15" s="659" t="s">
        <v>1178</v>
      </c>
      <c r="F15" s="281"/>
      <c r="G15" s="281"/>
      <c r="H15" s="281"/>
      <c r="I15" s="11"/>
    </row>
    <row r="16" spans="1:9" x14ac:dyDescent="0.25">
      <c r="B16" s="285" t="s">
        <v>588</v>
      </c>
      <c r="C16" s="286">
        <f>0.4*C13</f>
        <v>45.858928499999998</v>
      </c>
      <c r="D16" s="11"/>
      <c r="E16" s="746" t="s">
        <v>849</v>
      </c>
      <c r="F16" s="747" t="s">
        <v>894</v>
      </c>
      <c r="G16" s="747" t="s">
        <v>674</v>
      </c>
      <c r="H16" s="281"/>
      <c r="I16" s="11"/>
    </row>
    <row r="17" spans="2:9" ht="15.75" customHeight="1" x14ac:dyDescent="0.25">
      <c r="B17" s="285"/>
      <c r="C17" s="286"/>
      <c r="D17" s="11"/>
      <c r="E17" s="1050"/>
      <c r="F17" s="1050"/>
      <c r="G17" s="1050"/>
      <c r="H17" s="281"/>
      <c r="I17" s="11"/>
    </row>
    <row r="18" spans="2:9" x14ac:dyDescent="0.25">
      <c r="B18" s="285" t="s">
        <v>1624</v>
      </c>
      <c r="C18" s="286">
        <f>C13-C15-C16</f>
        <v>36.032015249999994</v>
      </c>
      <c r="D18" s="11"/>
      <c r="E18" s="333" t="s">
        <v>850</v>
      </c>
      <c r="F18" s="288"/>
      <c r="G18" s="288"/>
      <c r="H18" s="1413"/>
      <c r="I18" s="11"/>
    </row>
    <row r="19" spans="2:9" x14ac:dyDescent="0.25">
      <c r="B19" s="285" t="s">
        <v>1221</v>
      </c>
      <c r="C19" s="1079">
        <f>C18/C13</f>
        <v>0.31428571428571428</v>
      </c>
      <c r="D19" s="11"/>
      <c r="E19" s="428" t="s">
        <v>2073</v>
      </c>
      <c r="F19" s="305">
        <v>1686</v>
      </c>
      <c r="G19" s="328">
        <v>224.43198386728645</v>
      </c>
      <c r="H19" s="1413"/>
      <c r="I19" s="11"/>
    </row>
    <row r="20" spans="2:9" ht="15.75" customHeight="1" x14ac:dyDescent="0.25">
      <c r="B20" s="285"/>
      <c r="C20" s="1409"/>
      <c r="D20" s="11"/>
      <c r="E20" s="281" t="s">
        <v>917</v>
      </c>
      <c r="F20" s="305">
        <v>1184</v>
      </c>
      <c r="G20" s="328">
        <v>238.4469790207846</v>
      </c>
      <c r="H20" s="1413"/>
      <c r="I20" s="11"/>
    </row>
    <row r="21" spans="2:9" x14ac:dyDescent="0.25">
      <c r="B21" s="285" t="s">
        <v>891</v>
      </c>
      <c r="C21" s="286">
        <f>300*0.04</f>
        <v>12</v>
      </c>
      <c r="D21" s="11"/>
      <c r="E21" s="281"/>
      <c r="F21" s="297"/>
      <c r="G21" s="297"/>
      <c r="H21" s="1414"/>
      <c r="I21" s="11"/>
    </row>
    <row r="22" spans="2:9" x14ac:dyDescent="0.25">
      <c r="B22" s="285" t="s">
        <v>1486</v>
      </c>
      <c r="C22" s="286">
        <v>0</v>
      </c>
      <c r="D22" s="11"/>
      <c r="E22" s="333" t="s">
        <v>851</v>
      </c>
      <c r="F22" s="288"/>
      <c r="G22" s="288"/>
      <c r="H22" s="281"/>
      <c r="I22" s="11"/>
    </row>
    <row r="23" spans="2:9" ht="15.75" customHeight="1" x14ac:dyDescent="0.25">
      <c r="B23" s="285"/>
      <c r="C23" s="286"/>
      <c r="D23" s="11"/>
      <c r="E23" s="281" t="s">
        <v>670</v>
      </c>
      <c r="F23" s="305">
        <v>2673</v>
      </c>
      <c r="G23" s="328">
        <v>358.67408298800336</v>
      </c>
      <c r="H23" s="281"/>
      <c r="I23" s="11"/>
    </row>
    <row r="24" spans="2:9" ht="15.75" customHeight="1" x14ac:dyDescent="0.25">
      <c r="B24" s="285" t="s">
        <v>1345</v>
      </c>
      <c r="C24" s="286">
        <f>C18-C21-C22</f>
        <v>24.032015249999994</v>
      </c>
      <c r="D24" s="11"/>
      <c r="E24" s="291"/>
      <c r="F24" s="297"/>
      <c r="G24" s="297"/>
      <c r="H24" s="1413"/>
      <c r="I24" s="11"/>
    </row>
    <row r="25" spans="2:9" x14ac:dyDescent="0.25">
      <c r="B25" s="285" t="s">
        <v>6</v>
      </c>
      <c r="C25" s="286">
        <f>0.38*C24</f>
        <v>9.132165794999997</v>
      </c>
      <c r="D25" s="11"/>
      <c r="E25" s="333" t="s">
        <v>1638</v>
      </c>
      <c r="F25" s="288"/>
      <c r="G25" s="288"/>
      <c r="H25" s="281"/>
      <c r="I25" s="11"/>
    </row>
    <row r="26" spans="2:9" ht="15.75" customHeight="1" x14ac:dyDescent="0.25">
      <c r="B26" s="285"/>
      <c r="C26" s="1409"/>
      <c r="D26" s="11"/>
      <c r="E26" s="281" t="s">
        <v>663</v>
      </c>
      <c r="F26" s="305">
        <v>606</v>
      </c>
      <c r="G26" s="328">
        <v>205.20149473011818</v>
      </c>
      <c r="H26" s="281"/>
      <c r="I26" s="11"/>
    </row>
    <row r="27" spans="2:9" x14ac:dyDescent="0.25">
      <c r="B27" s="293" t="s">
        <v>1715</v>
      </c>
      <c r="C27" s="1410">
        <f>C24-C25</f>
        <v>14.899849454999996</v>
      </c>
      <c r="D27" s="11"/>
      <c r="E27" s="281"/>
      <c r="F27" s="297"/>
      <c r="G27" s="297"/>
      <c r="H27" s="1413"/>
      <c r="I27" s="11"/>
    </row>
    <row r="28" spans="2:9" ht="15.75" customHeight="1" x14ac:dyDescent="0.25">
      <c r="B28" s="11"/>
      <c r="C28" s="11"/>
      <c r="D28" s="11"/>
      <c r="E28" s="281"/>
      <c r="F28" s="297"/>
      <c r="G28" s="297"/>
      <c r="H28" s="281"/>
      <c r="I28" s="11"/>
    </row>
    <row r="29" spans="2:9" ht="15.75" customHeight="1" x14ac:dyDescent="0.25">
      <c r="B29" s="1269" t="s">
        <v>820</v>
      </c>
      <c r="C29" s="284"/>
      <c r="D29" s="11"/>
      <c r="E29" s="281" t="s">
        <v>671</v>
      </c>
      <c r="F29" s="1419">
        <v>974</v>
      </c>
      <c r="G29" s="1421">
        <v>146.10717061572322</v>
      </c>
      <c r="H29" s="281"/>
      <c r="I29" s="11"/>
    </row>
    <row r="30" spans="2:9" ht="15.75" customHeight="1" x14ac:dyDescent="0.25">
      <c r="B30" s="285"/>
      <c r="C30" s="286"/>
      <c r="D30" s="11"/>
      <c r="E30" s="281"/>
      <c r="F30" s="281"/>
      <c r="G30" s="281"/>
      <c r="H30" s="281"/>
      <c r="I30" s="11"/>
    </row>
    <row r="31" spans="2:9" x14ac:dyDescent="0.25">
      <c r="B31" s="285" t="s">
        <v>1538</v>
      </c>
      <c r="C31" s="286">
        <f>C18*8</f>
        <v>288.25612199999995</v>
      </c>
      <c r="D31" s="11"/>
      <c r="E31" s="281"/>
      <c r="F31" s="281"/>
      <c r="G31" s="281"/>
      <c r="H31" s="1413"/>
      <c r="I31" s="11"/>
    </row>
    <row r="32" spans="2:9" x14ac:dyDescent="0.25">
      <c r="B32" s="285" t="s">
        <v>1177</v>
      </c>
      <c r="C32" s="286">
        <v>150</v>
      </c>
      <c r="D32" s="11"/>
      <c r="E32" s="11"/>
      <c r="F32" s="11"/>
      <c r="G32" s="11"/>
      <c r="H32" s="281"/>
      <c r="I32" s="11"/>
    </row>
    <row r="33" spans="2:12" x14ac:dyDescent="0.25">
      <c r="B33" s="285" t="s">
        <v>8</v>
      </c>
      <c r="C33" s="286">
        <f>C31-C32</f>
        <v>138.25612199999995</v>
      </c>
      <c r="D33" s="11"/>
      <c r="E33" s="11"/>
      <c r="F33" s="11"/>
      <c r="G33" s="11"/>
      <c r="H33" s="281"/>
      <c r="I33" s="11"/>
    </row>
    <row r="34" spans="2:12" x14ac:dyDescent="0.25">
      <c r="B34" s="285" t="s">
        <v>1536</v>
      </c>
      <c r="C34" s="286">
        <v>106</v>
      </c>
      <c r="D34" s="11"/>
      <c r="E34" s="11"/>
      <c r="F34" s="11"/>
      <c r="G34" s="11"/>
      <c r="H34" s="11"/>
      <c r="I34" s="11"/>
    </row>
    <row r="35" spans="2:12" x14ac:dyDescent="0.25">
      <c r="B35" s="285" t="s">
        <v>1537</v>
      </c>
      <c r="C35" s="302">
        <f>C33/C34</f>
        <v>1.3043030377358487</v>
      </c>
      <c r="D35" s="11"/>
      <c r="E35" s="11"/>
      <c r="F35" s="11"/>
      <c r="G35" s="11"/>
      <c r="H35" s="11"/>
      <c r="I35" s="11"/>
    </row>
    <row r="36" spans="2:12" x14ac:dyDescent="0.25">
      <c r="B36" s="285"/>
      <c r="C36" s="286"/>
      <c r="D36" s="11"/>
      <c r="E36" s="11"/>
      <c r="F36" s="11"/>
      <c r="G36" s="11"/>
      <c r="H36" s="11"/>
      <c r="I36" s="11"/>
    </row>
    <row r="37" spans="2:12" x14ac:dyDescent="0.25">
      <c r="B37" s="285" t="s">
        <v>1624</v>
      </c>
      <c r="C37" s="1411">
        <f>C18</f>
        <v>36.032015249999994</v>
      </c>
      <c r="D37" s="11"/>
      <c r="E37" s="11"/>
      <c r="F37" s="11"/>
      <c r="G37" s="11"/>
      <c r="H37" s="11"/>
      <c r="I37" s="11"/>
    </row>
    <row r="38" spans="2:12" x14ac:dyDescent="0.25">
      <c r="B38" s="285" t="s">
        <v>818</v>
      </c>
      <c r="C38" s="286">
        <v>4</v>
      </c>
      <c r="D38" s="11"/>
      <c r="E38" s="11"/>
      <c r="F38" s="11"/>
      <c r="G38" s="11"/>
      <c r="H38" s="11"/>
      <c r="I38" s="11"/>
    </row>
    <row r="39" spans="2:12" x14ac:dyDescent="0.25">
      <c r="B39" s="285" t="s">
        <v>819</v>
      </c>
      <c r="C39" s="286">
        <f>C37-C38</f>
        <v>32.032015249999994</v>
      </c>
      <c r="D39" s="11"/>
      <c r="E39" s="11"/>
      <c r="F39" s="11"/>
      <c r="G39" s="11"/>
      <c r="H39" s="11"/>
      <c r="I39" s="11"/>
    </row>
    <row r="40" spans="2:12" x14ac:dyDescent="0.25">
      <c r="B40" s="293" t="s">
        <v>817</v>
      </c>
      <c r="C40" s="397">
        <f>C39/C32</f>
        <v>0.2135467683333333</v>
      </c>
      <c r="D40" s="11"/>
      <c r="E40" s="11"/>
      <c r="H40" s="11"/>
      <c r="I40" s="11"/>
    </row>
    <row r="41" spans="2:12" ht="4.5" customHeight="1" x14ac:dyDescent="0.25">
      <c r="B41" s="11"/>
      <c r="C41" s="10"/>
      <c r="D41" s="11"/>
      <c r="E41" s="11"/>
      <c r="H41" s="11"/>
      <c r="I41" s="11"/>
      <c r="J41" s="11"/>
      <c r="K41" s="11"/>
      <c r="L41" s="10"/>
    </row>
    <row r="42" spans="2:12" x14ac:dyDescent="0.25">
      <c r="I42" s="1269" t="s">
        <v>1539</v>
      </c>
      <c r="J42" s="284"/>
      <c r="K42" s="11"/>
      <c r="L42" s="11"/>
    </row>
    <row r="43" spans="2:12" x14ac:dyDescent="0.25">
      <c r="I43" s="285"/>
      <c r="J43" s="286"/>
      <c r="K43" s="11"/>
      <c r="L43" s="11"/>
    </row>
    <row r="44" spans="2:12" x14ac:dyDescent="0.25">
      <c r="I44" s="285" t="s">
        <v>1780</v>
      </c>
      <c r="J44" s="1405">
        <v>137.69999999999999</v>
      </c>
      <c r="K44" s="11"/>
      <c r="L44" s="11"/>
    </row>
    <row r="45" spans="2:12" x14ac:dyDescent="0.25">
      <c r="I45" s="285" t="s">
        <v>1082</v>
      </c>
      <c r="J45" s="1405">
        <v>139.5</v>
      </c>
      <c r="K45" s="11"/>
      <c r="L45" s="11"/>
    </row>
    <row r="46" spans="2:12" ht="6" customHeight="1" x14ac:dyDescent="0.25">
      <c r="I46" s="285"/>
      <c r="J46" s="286"/>
      <c r="K46" s="11"/>
      <c r="L46" s="11"/>
    </row>
    <row r="47" spans="2:12" x14ac:dyDescent="0.25">
      <c r="I47" s="285" t="s">
        <v>4</v>
      </c>
      <c r="J47" s="286">
        <f>J45*0.23</f>
        <v>32.085000000000001</v>
      </c>
      <c r="K47" s="11"/>
      <c r="L47" s="11"/>
    </row>
    <row r="48" spans="2:12" x14ac:dyDescent="0.25">
      <c r="I48" s="285" t="s">
        <v>600</v>
      </c>
      <c r="J48" s="286">
        <f>J44-J50-J47</f>
        <v>68.014999999999986</v>
      </c>
      <c r="K48" s="11"/>
      <c r="L48" s="11"/>
    </row>
    <row r="49" spans="9:13" ht="6" customHeight="1" x14ac:dyDescent="0.25">
      <c r="I49" s="285"/>
      <c r="J49" s="286"/>
      <c r="K49" s="11"/>
      <c r="L49" s="11"/>
    </row>
    <row r="50" spans="9:13" x14ac:dyDescent="0.25">
      <c r="I50" s="285" t="s">
        <v>2005</v>
      </c>
      <c r="J50" s="1405">
        <v>37.6</v>
      </c>
      <c r="K50" s="11"/>
      <c r="L50" s="11"/>
    </row>
    <row r="51" spans="9:13" ht="6" customHeight="1" x14ac:dyDescent="0.25">
      <c r="I51" s="285"/>
      <c r="J51" s="286"/>
      <c r="K51" s="11"/>
      <c r="L51" s="11"/>
    </row>
    <row r="52" spans="9:13" x14ac:dyDescent="0.25">
      <c r="I52" s="285" t="s">
        <v>1221</v>
      </c>
      <c r="J52" s="1079">
        <f>J50/J44</f>
        <v>0.27305737109658684</v>
      </c>
      <c r="K52" s="11"/>
      <c r="L52" s="11"/>
    </row>
    <row r="53" spans="9:13" ht="6" customHeight="1" x14ac:dyDescent="0.25">
      <c r="I53" s="285"/>
      <c r="J53" s="286"/>
      <c r="K53" s="11"/>
      <c r="L53" s="11"/>
    </row>
    <row r="54" spans="9:13" x14ac:dyDescent="0.25">
      <c r="I54" s="293" t="s">
        <v>1083</v>
      </c>
      <c r="J54" s="1412">
        <f>(J50+J47)/J45</f>
        <v>0.49953405017921149</v>
      </c>
      <c r="K54" s="11"/>
      <c r="L54" s="11" t="s">
        <v>2267</v>
      </c>
      <c r="M54" s="1050"/>
    </row>
    <row r="55" spans="9:13" ht="5.25" customHeight="1" x14ac:dyDescent="0.25">
      <c r="I55" s="11"/>
      <c r="J55" s="11"/>
      <c r="K55" s="11"/>
      <c r="L55" s="11"/>
      <c r="M55" s="1050"/>
    </row>
    <row r="56" spans="9:13" x14ac:dyDescent="0.25">
      <c r="I56" s="11"/>
      <c r="J56" s="11"/>
      <c r="K56" s="11"/>
      <c r="L56" s="659" t="s">
        <v>813</v>
      </c>
      <c r="M56" s="281"/>
    </row>
    <row r="57" spans="9:13" x14ac:dyDescent="0.25">
      <c r="I57" s="11"/>
      <c r="J57" s="11"/>
      <c r="K57" s="11"/>
      <c r="L57" s="312" t="s">
        <v>1755</v>
      </c>
      <c r="M57" s="290">
        <f>C5</f>
        <v>1764</v>
      </c>
    </row>
    <row r="58" spans="9:13" x14ac:dyDescent="0.25">
      <c r="I58" s="11"/>
      <c r="J58" s="11"/>
      <c r="K58" s="11"/>
      <c r="L58" s="312" t="s">
        <v>1756</v>
      </c>
      <c r="M58" s="290">
        <f>C6</f>
        <v>185</v>
      </c>
    </row>
    <row r="59" spans="9:13" x14ac:dyDescent="0.25">
      <c r="L59" s="281"/>
      <c r="M59" s="290"/>
    </row>
    <row r="60" spans="9:13" x14ac:dyDescent="0.25">
      <c r="L60" s="659" t="s">
        <v>814</v>
      </c>
      <c r="M60" s="290"/>
    </row>
    <row r="61" spans="9:13" x14ac:dyDescent="0.25">
      <c r="L61" s="281" t="s">
        <v>2254</v>
      </c>
      <c r="M61" s="1068">
        <f>M57*M58*365/1000000</f>
        <v>119.11409999999999</v>
      </c>
    </row>
    <row r="62" spans="9:13" x14ac:dyDescent="0.25">
      <c r="L62" s="281" t="s">
        <v>1757</v>
      </c>
      <c r="M62" s="281">
        <f>-0.125*M61</f>
        <v>-14.889262499999999</v>
      </c>
    </row>
    <row r="63" spans="9:13" x14ac:dyDescent="0.25">
      <c r="L63" s="312" t="s">
        <v>2268</v>
      </c>
      <c r="M63" s="558">
        <f>C11</f>
        <v>104.22483749999999</v>
      </c>
    </row>
    <row r="64" spans="9:13" x14ac:dyDescent="0.25">
      <c r="L64" s="312" t="s">
        <v>645</v>
      </c>
      <c r="M64" s="1415">
        <f>0.0875*M61</f>
        <v>10.42248375</v>
      </c>
    </row>
    <row r="65" spans="12:13" x14ac:dyDescent="0.25">
      <c r="L65" s="939" t="s">
        <v>2269</v>
      </c>
      <c r="M65" s="1084">
        <f>M64+M63</f>
        <v>114.64732124999999</v>
      </c>
    </row>
    <row r="66" spans="12:13" ht="5.0999999999999996" customHeight="1" x14ac:dyDescent="0.25">
      <c r="L66" s="312"/>
      <c r="M66" s="1415"/>
    </row>
    <row r="67" spans="12:13" x14ac:dyDescent="0.25">
      <c r="L67" s="312" t="s">
        <v>2270</v>
      </c>
      <c r="M67" s="1415">
        <f>0.275*M61</f>
        <v>32.756377499999999</v>
      </c>
    </row>
    <row r="68" spans="12:13" x14ac:dyDescent="0.25">
      <c r="L68" s="956" t="s">
        <v>2271</v>
      </c>
      <c r="M68" s="1423">
        <f>0.4*M65</f>
        <v>45.858928499999998</v>
      </c>
    </row>
    <row r="69" spans="12:13" x14ac:dyDescent="0.25">
      <c r="L69" s="989" t="s">
        <v>2162</v>
      </c>
      <c r="M69" s="1416">
        <f>SUM(M67:M68)</f>
        <v>78.615306000000004</v>
      </c>
    </row>
    <row r="70" spans="12:13" ht="5.0999999999999996" customHeight="1" x14ac:dyDescent="0.25">
      <c r="L70" s="312"/>
      <c r="M70" s="1415"/>
    </row>
    <row r="71" spans="12:13" x14ac:dyDescent="0.25">
      <c r="L71" s="939" t="s">
        <v>2010</v>
      </c>
      <c r="M71" s="1084">
        <f>M65-M67-M68</f>
        <v>36.032015249999994</v>
      </c>
    </row>
    <row r="72" spans="12:13" x14ac:dyDescent="0.25">
      <c r="L72" s="281" t="s">
        <v>1221</v>
      </c>
      <c r="M72" s="382">
        <f>M71/M65</f>
        <v>0.31428571428571428</v>
      </c>
    </row>
    <row r="73" spans="12:13" x14ac:dyDescent="0.25">
      <c r="L73" s="281"/>
      <c r="M73" s="333"/>
    </row>
    <row r="74" spans="12:13" x14ac:dyDescent="0.25">
      <c r="L74" s="281" t="s">
        <v>891</v>
      </c>
      <c r="M74" s="281">
        <f>300*0.04</f>
        <v>12</v>
      </c>
    </row>
    <row r="75" spans="12:13" x14ac:dyDescent="0.25">
      <c r="L75" s="281" t="s">
        <v>1486</v>
      </c>
      <c r="M75" s="281">
        <v>0</v>
      </c>
    </row>
    <row r="76" spans="12:13" x14ac:dyDescent="0.25">
      <c r="L76" s="281"/>
      <c r="M76" s="281"/>
    </row>
    <row r="77" spans="12:13" x14ac:dyDescent="0.25">
      <c r="L77" s="281" t="s">
        <v>1345</v>
      </c>
      <c r="M77" s="281">
        <f>M71-M74-M75</f>
        <v>24.032015249999994</v>
      </c>
    </row>
    <row r="78" spans="12:13" x14ac:dyDescent="0.25">
      <c r="L78" s="281" t="s">
        <v>6</v>
      </c>
      <c r="M78" s="281">
        <f>0.38*M77</f>
        <v>9.132165794999997</v>
      </c>
    </row>
    <row r="79" spans="12:13" x14ac:dyDescent="0.25">
      <c r="L79" s="281"/>
      <c r="M79" s="333"/>
    </row>
    <row r="80" spans="12:13" x14ac:dyDescent="0.25">
      <c r="L80" s="281" t="s">
        <v>1715</v>
      </c>
      <c r="M80" s="333">
        <f>M77-M78</f>
        <v>14.899849454999996</v>
      </c>
    </row>
    <row r="81" spans="12:18" x14ac:dyDescent="0.25">
      <c r="L81" s="991" t="s">
        <v>1892</v>
      </c>
      <c r="M81" s="898">
        <f>M71/M65</f>
        <v>0.31428571428571428</v>
      </c>
    </row>
    <row r="82" spans="12:18" ht="4.5" customHeight="1" x14ac:dyDescent="0.25">
      <c r="L82" s="281"/>
      <c r="M82" s="281"/>
    </row>
    <row r="83" spans="12:18" x14ac:dyDescent="0.25">
      <c r="L83" s="659"/>
      <c r="M83" s="281"/>
      <c r="O83" s="659" t="s">
        <v>820</v>
      </c>
      <c r="P83" s="659"/>
      <c r="Q83" s="281"/>
    </row>
    <row r="84" spans="12:18" x14ac:dyDescent="0.25">
      <c r="L84" s="281"/>
      <c r="M84" s="281"/>
      <c r="O84" s="11" t="s">
        <v>2267</v>
      </c>
      <c r="P84" s="11"/>
      <c r="Q84" s="281"/>
      <c r="R84" s="1050"/>
    </row>
    <row r="85" spans="12:18" x14ac:dyDescent="0.25">
      <c r="L85" s="281"/>
      <c r="M85" s="281"/>
      <c r="O85" s="294"/>
      <c r="P85" s="747" t="s">
        <v>2274</v>
      </c>
      <c r="Q85" s="1427" t="s">
        <v>2272</v>
      </c>
      <c r="R85" s="747" t="s">
        <v>2273</v>
      </c>
    </row>
    <row r="86" spans="12:18" x14ac:dyDescent="0.25">
      <c r="L86" s="281"/>
      <c r="M86" s="281"/>
      <c r="O86" s="281" t="s">
        <v>1624</v>
      </c>
      <c r="P86" s="1424">
        <v>27</v>
      </c>
      <c r="Q86" s="422">
        <f>M71</f>
        <v>36.032015249999994</v>
      </c>
      <c r="R86" s="1424">
        <v>45</v>
      </c>
    </row>
    <row r="87" spans="12:18" x14ac:dyDescent="0.25">
      <c r="L87" s="281"/>
      <c r="M87" s="281"/>
      <c r="O87" s="291" t="s">
        <v>1464</v>
      </c>
      <c r="P87" s="1425">
        <v>7</v>
      </c>
      <c r="Q87" s="1428">
        <f>P87+1</f>
        <v>8</v>
      </c>
      <c r="R87" s="1426">
        <f>Q87+1</f>
        <v>9</v>
      </c>
    </row>
    <row r="88" spans="12:18" x14ac:dyDescent="0.25">
      <c r="L88" s="281"/>
      <c r="M88" s="281"/>
      <c r="O88" s="333" t="s">
        <v>847</v>
      </c>
      <c r="P88" s="557">
        <f>P86*P87</f>
        <v>189</v>
      </c>
      <c r="Q88" s="1429">
        <f>Q86*Q87</f>
        <v>288.25612199999995</v>
      </c>
      <c r="R88" s="557">
        <f>R86*R87</f>
        <v>405</v>
      </c>
    </row>
    <row r="89" spans="12:18" x14ac:dyDescent="0.25">
      <c r="L89" s="281"/>
      <c r="M89" s="281"/>
      <c r="O89" s="281" t="s">
        <v>848</v>
      </c>
      <c r="P89" s="290">
        <v>150</v>
      </c>
      <c r="Q89" s="419">
        <f>P89</f>
        <v>150</v>
      </c>
      <c r="R89" s="281">
        <f>Q89</f>
        <v>150</v>
      </c>
    </row>
    <row r="90" spans="12:18" ht="5.0999999999999996" customHeight="1" x14ac:dyDescent="0.25">
      <c r="L90" s="281"/>
      <c r="M90" s="281"/>
      <c r="O90" s="281"/>
      <c r="P90" s="281"/>
      <c r="Q90" s="419"/>
      <c r="R90" s="281"/>
    </row>
    <row r="91" spans="12:18" x14ac:dyDescent="0.25">
      <c r="L91" s="281"/>
      <c r="M91" s="281"/>
      <c r="O91" s="281" t="s">
        <v>8</v>
      </c>
      <c r="P91" s="281">
        <f>P88-P89</f>
        <v>39</v>
      </c>
      <c r="Q91" s="419">
        <f>Q88-Q89</f>
        <v>138.25612199999995</v>
      </c>
      <c r="R91" s="281">
        <f>R88-R89</f>
        <v>255</v>
      </c>
    </row>
    <row r="92" spans="12:18" x14ac:dyDescent="0.25">
      <c r="L92" s="281"/>
      <c r="M92" s="281"/>
      <c r="O92" s="281" t="s">
        <v>1536</v>
      </c>
      <c r="P92" s="281">
        <f>Q92</f>
        <v>106</v>
      </c>
      <c r="Q92" s="419">
        <f>C34</f>
        <v>106</v>
      </c>
      <c r="R92" s="281">
        <f>Q92</f>
        <v>106</v>
      </c>
    </row>
    <row r="93" spans="12:18" ht="5.0999999999999996" customHeight="1" x14ac:dyDescent="0.25">
      <c r="L93" s="281"/>
      <c r="M93" s="281"/>
      <c r="O93" s="281"/>
      <c r="P93" s="281"/>
      <c r="Q93" s="419"/>
      <c r="R93" s="281"/>
    </row>
    <row r="94" spans="12:18" x14ac:dyDescent="0.25">
      <c r="L94" s="281"/>
      <c r="M94" s="383"/>
      <c r="O94" s="281" t="s">
        <v>1537</v>
      </c>
      <c r="P94" s="384">
        <f>P91/P92</f>
        <v>0.36792452830188677</v>
      </c>
      <c r="Q94" s="1430">
        <f>C35</f>
        <v>1.3043030377358487</v>
      </c>
      <c r="R94" s="384">
        <f>R91/R92</f>
        <v>2.4056603773584904</v>
      </c>
    </row>
    <row r="95" spans="12:18" ht="3.75" customHeight="1" x14ac:dyDescent="0.25"/>
    <row r="96" spans="12:18" ht="4.5" customHeight="1" x14ac:dyDescent="0.25"/>
  </sheetData>
  <phoneticPr fontId="13"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BO47"/>
  <sheetViews>
    <sheetView zoomScale="80" workbookViewId="0"/>
  </sheetViews>
  <sheetFormatPr defaultColWidth="8" defaultRowHeight="15.75" x14ac:dyDescent="0.25"/>
  <cols>
    <col min="1" max="1" width="0.75" customWidth="1"/>
    <col min="2" max="2" width="1.25" customWidth="1"/>
    <col min="3" max="3" width="30.25" bestFit="1" customWidth="1"/>
    <col min="4" max="4" width="5" customWidth="1"/>
    <col min="5" max="5" width="3.875" customWidth="1"/>
    <col min="6" max="6" width="8.25" bestFit="1" customWidth="1"/>
    <col min="7" max="7" width="27" bestFit="1" customWidth="1"/>
    <col min="8" max="8" width="3.125" bestFit="1" customWidth="1"/>
    <col min="9" max="9" width="4.25" bestFit="1" customWidth="1"/>
    <col min="10" max="10" width="5" bestFit="1" customWidth="1"/>
    <col min="11" max="12" width="4.25" bestFit="1" customWidth="1"/>
    <col min="13" max="13" width="9.25" bestFit="1" customWidth="1"/>
    <col min="14" max="14" width="9.5" bestFit="1" customWidth="1"/>
    <col min="15" max="19" width="8" customWidth="1"/>
    <col min="20" max="20" width="0.75" customWidth="1"/>
    <col min="21" max="36" width="8" customWidth="1"/>
  </cols>
  <sheetData>
    <row r="1" spans="1:67" ht="12.75" customHeight="1" x14ac:dyDescent="0.25">
      <c r="A1" s="764"/>
      <c r="B1" s="764"/>
      <c r="C1" s="764"/>
      <c r="D1" s="765"/>
      <c r="E1" s="766"/>
      <c r="F1" s="766"/>
      <c r="G1" s="766"/>
      <c r="H1" s="766"/>
      <c r="I1" s="766"/>
      <c r="J1" s="766"/>
      <c r="K1" s="766"/>
      <c r="L1" s="767"/>
      <c r="M1" s="767"/>
      <c r="N1" s="767"/>
      <c r="O1" s="767"/>
      <c r="P1" s="767"/>
      <c r="Q1" s="3585" t="s">
        <v>1517</v>
      </c>
      <c r="R1" s="3585"/>
      <c r="S1" s="3585"/>
      <c r="T1" s="768"/>
      <c r="U1" s="768"/>
      <c r="V1" s="764"/>
      <c r="W1" s="764"/>
      <c r="X1" s="764"/>
      <c r="Y1" s="764"/>
      <c r="Z1" s="764"/>
      <c r="AA1" s="764"/>
      <c r="AB1" s="764"/>
      <c r="AC1" s="764"/>
      <c r="AD1" s="764"/>
      <c r="AE1" s="764"/>
      <c r="AF1" s="764"/>
      <c r="AG1" s="764"/>
      <c r="AH1" s="764"/>
      <c r="AI1" s="764"/>
      <c r="AJ1" s="764"/>
      <c r="AK1" s="764"/>
      <c r="AL1" s="764"/>
      <c r="AM1" s="764"/>
      <c r="AN1" s="764"/>
      <c r="AO1" s="764"/>
      <c r="AP1" s="764"/>
      <c r="AQ1" s="764"/>
      <c r="AR1" s="764"/>
      <c r="AS1" s="764"/>
      <c r="AT1" s="764"/>
      <c r="AU1" s="764"/>
      <c r="AV1" s="764"/>
      <c r="AW1" s="764"/>
      <c r="AX1" s="764"/>
      <c r="AY1" s="764"/>
      <c r="AZ1" s="764"/>
      <c r="BA1" s="764"/>
      <c r="BB1" s="764"/>
      <c r="BC1" s="764"/>
      <c r="BD1" s="764"/>
      <c r="BE1" s="764"/>
      <c r="BF1" s="764"/>
      <c r="BG1" s="764"/>
      <c r="BH1" s="764"/>
      <c r="BI1" s="764"/>
      <c r="BJ1" s="764"/>
      <c r="BK1" s="764"/>
      <c r="BL1" s="764"/>
      <c r="BM1" s="764"/>
      <c r="BN1" s="764"/>
      <c r="BO1" s="769" t="s">
        <v>1518</v>
      </c>
    </row>
    <row r="2" spans="1:67" ht="12" customHeight="1" x14ac:dyDescent="0.25">
      <c r="A2" s="764"/>
      <c r="B2" s="764"/>
      <c r="C2" s="764"/>
      <c r="D2" s="765"/>
      <c r="E2" s="766"/>
      <c r="F2" s="766"/>
      <c r="G2" s="766"/>
      <c r="H2" s="766"/>
      <c r="I2" s="766"/>
      <c r="J2" s="766"/>
      <c r="K2" s="766"/>
      <c r="L2" s="767"/>
      <c r="M2" s="767"/>
      <c r="N2" s="767"/>
      <c r="O2" s="767"/>
      <c r="P2" s="767"/>
      <c r="Q2" s="3585"/>
      <c r="R2" s="3585"/>
      <c r="S2" s="3585"/>
      <c r="T2" s="768"/>
      <c r="U2" s="768"/>
      <c r="V2" s="764"/>
      <c r="W2" s="764"/>
      <c r="X2" s="764"/>
      <c r="Y2" s="764"/>
      <c r="Z2" s="764"/>
      <c r="AA2" s="764"/>
      <c r="AB2" s="764"/>
      <c r="AC2" s="764"/>
      <c r="AD2" s="764"/>
      <c r="AE2" s="764"/>
      <c r="AF2" s="764"/>
      <c r="AG2" s="764"/>
      <c r="AH2" s="764"/>
      <c r="AI2" s="764"/>
      <c r="AJ2" s="764"/>
      <c r="AK2" s="764"/>
      <c r="AL2" s="764"/>
      <c r="AM2" s="764"/>
      <c r="AN2" s="764"/>
      <c r="AO2" s="764"/>
      <c r="AP2" s="764"/>
      <c r="AQ2" s="764"/>
      <c r="AR2" s="764"/>
      <c r="AS2" s="764"/>
      <c r="AT2" s="764"/>
      <c r="AU2" s="764"/>
      <c r="AV2" s="764"/>
      <c r="AW2" s="764"/>
      <c r="AX2" s="764"/>
      <c r="AY2" s="764"/>
      <c r="AZ2" s="764"/>
      <c r="BA2" s="764"/>
      <c r="BB2" s="764"/>
      <c r="BC2" s="764"/>
      <c r="BD2" s="764"/>
      <c r="BE2" s="764"/>
      <c r="BF2" s="764"/>
      <c r="BG2" s="764"/>
      <c r="BH2" s="764"/>
      <c r="BI2" s="764"/>
      <c r="BJ2" s="764"/>
      <c r="BK2" s="764"/>
      <c r="BL2" s="764"/>
      <c r="BM2" s="764"/>
      <c r="BN2" s="764"/>
      <c r="BO2" s="769" t="s">
        <v>1518</v>
      </c>
    </row>
    <row r="3" spans="1:67" ht="3" customHeight="1" x14ac:dyDescent="0.25">
      <c r="A3" s="770"/>
      <c r="B3" s="770"/>
      <c r="C3" s="770"/>
      <c r="D3" s="770"/>
      <c r="E3" s="771"/>
      <c r="F3" s="771"/>
      <c r="G3" s="771"/>
      <c r="H3" s="771"/>
      <c r="I3" s="771"/>
      <c r="J3" s="771"/>
      <c r="K3" s="771"/>
      <c r="L3" s="771"/>
      <c r="M3" s="771"/>
      <c r="N3" s="771"/>
      <c r="O3" s="771"/>
      <c r="P3" s="771"/>
      <c r="Q3" s="771"/>
      <c r="R3" s="770"/>
      <c r="S3" s="770"/>
      <c r="T3" s="770"/>
      <c r="U3" s="770"/>
      <c r="V3" s="770"/>
      <c r="W3" s="770"/>
      <c r="X3" s="770"/>
      <c r="Y3" s="770"/>
      <c r="Z3" s="770"/>
      <c r="AA3" s="770"/>
      <c r="AB3" s="770"/>
      <c r="AC3" s="770"/>
      <c r="AD3" s="770"/>
      <c r="AE3" s="770"/>
      <c r="AF3" s="770"/>
      <c r="AG3" s="770"/>
      <c r="AH3" s="770"/>
      <c r="AI3" s="770"/>
      <c r="AJ3" s="770"/>
      <c r="AK3" s="770"/>
      <c r="AL3" s="770"/>
      <c r="AM3" s="770"/>
      <c r="AN3" s="770"/>
      <c r="AO3" s="770"/>
      <c r="AP3" s="770"/>
      <c r="AQ3" s="770"/>
      <c r="AR3" s="770"/>
      <c r="AS3" s="770"/>
      <c r="AT3" s="770"/>
      <c r="AU3" s="770"/>
      <c r="AV3" s="770"/>
      <c r="AW3" s="770"/>
      <c r="AX3" s="770"/>
      <c r="AY3" s="770"/>
      <c r="AZ3" s="770"/>
      <c r="BA3" s="770"/>
      <c r="BB3" s="770"/>
      <c r="BC3" s="770"/>
      <c r="BD3" s="770"/>
      <c r="BE3" s="770"/>
      <c r="BF3" s="770"/>
      <c r="BG3" s="770"/>
      <c r="BH3" s="770"/>
      <c r="BI3" s="770"/>
      <c r="BJ3" s="770"/>
      <c r="BK3" s="770"/>
      <c r="BL3" s="770"/>
      <c r="BM3" s="770"/>
      <c r="BN3" s="770"/>
      <c r="BO3" s="769" t="s">
        <v>1518</v>
      </c>
    </row>
    <row r="4" spans="1:67" x14ac:dyDescent="0.25">
      <c r="A4" s="770"/>
      <c r="B4" s="772"/>
      <c r="C4" s="772"/>
      <c r="D4" s="772"/>
      <c r="E4" s="773"/>
      <c r="F4" s="773"/>
      <c r="G4" s="773"/>
      <c r="H4" s="773"/>
      <c r="I4" s="773"/>
      <c r="J4" s="773"/>
      <c r="K4" s="773"/>
      <c r="L4" s="773"/>
      <c r="M4" s="773"/>
      <c r="N4" s="773"/>
      <c r="O4" s="773"/>
      <c r="P4" s="773"/>
      <c r="Q4" s="773"/>
      <c r="R4" s="772"/>
      <c r="S4" s="772"/>
      <c r="T4" s="770"/>
      <c r="U4" s="772"/>
      <c r="V4" s="772"/>
      <c r="W4" s="772"/>
      <c r="X4" s="772"/>
      <c r="Y4" s="772"/>
      <c r="Z4" s="772"/>
      <c r="AA4" s="772"/>
      <c r="AB4" s="772"/>
      <c r="AC4" s="772"/>
      <c r="AD4" s="772"/>
      <c r="AE4" s="772"/>
      <c r="AF4" s="772"/>
      <c r="AG4" s="772"/>
      <c r="AH4" s="772"/>
      <c r="AI4" s="772"/>
      <c r="AJ4" s="772"/>
      <c r="AK4" s="769"/>
      <c r="AL4" s="769"/>
      <c r="AM4" s="769"/>
      <c r="AN4" s="769"/>
      <c r="AO4" s="769"/>
      <c r="AP4" s="769"/>
      <c r="AQ4" s="769"/>
      <c r="AR4" s="769"/>
      <c r="AS4" s="769"/>
      <c r="AT4" s="769"/>
      <c r="AU4" s="769"/>
      <c r="AV4" s="769"/>
      <c r="AW4" s="769"/>
      <c r="AX4" s="769"/>
      <c r="AY4" s="769"/>
      <c r="AZ4" s="769"/>
      <c r="BA4" s="769"/>
      <c r="BB4" s="769"/>
      <c r="BC4" s="769"/>
      <c r="BD4" s="769"/>
      <c r="BE4" s="769"/>
      <c r="BF4" s="769"/>
      <c r="BG4" s="769"/>
      <c r="BH4" s="769"/>
      <c r="BI4" s="769"/>
      <c r="BJ4" s="769"/>
      <c r="BK4" s="769"/>
      <c r="BL4" s="769"/>
      <c r="BM4" s="769"/>
      <c r="BN4" s="769"/>
      <c r="BO4" s="769"/>
    </row>
    <row r="5" spans="1:67" x14ac:dyDescent="0.25">
      <c r="A5" s="770"/>
      <c r="B5" s="772"/>
      <c r="C5" s="772"/>
      <c r="D5" s="772"/>
      <c r="E5" s="773"/>
      <c r="F5" s="773"/>
      <c r="G5" s="773"/>
      <c r="H5" s="773"/>
      <c r="I5" s="773"/>
      <c r="J5" s="773"/>
      <c r="K5" s="773"/>
      <c r="L5" s="773"/>
      <c r="M5" s="773"/>
      <c r="N5" s="773"/>
      <c r="O5" s="773"/>
      <c r="P5" s="773"/>
      <c r="Q5" s="773"/>
      <c r="R5" s="772"/>
      <c r="S5" s="772"/>
      <c r="T5" s="770"/>
      <c r="U5" s="772"/>
      <c r="V5" s="772"/>
      <c r="W5" s="772"/>
      <c r="X5" s="772"/>
      <c r="Y5" s="772"/>
      <c r="Z5" s="772"/>
      <c r="AA5" s="772"/>
      <c r="AB5" s="772"/>
      <c r="AC5" s="772"/>
      <c r="AD5" s="772"/>
      <c r="AE5" s="772"/>
      <c r="AF5" s="772"/>
      <c r="AG5" s="772"/>
      <c r="AH5" s="772"/>
      <c r="AI5" s="772"/>
      <c r="AJ5" s="772"/>
      <c r="AK5" s="769"/>
      <c r="AL5" s="769"/>
      <c r="AM5" s="769"/>
      <c r="AN5" s="769"/>
      <c r="AO5" s="769"/>
      <c r="AP5" s="769"/>
      <c r="AQ5" s="769"/>
      <c r="AR5" s="769"/>
      <c r="AS5" s="769"/>
      <c r="AT5" s="769"/>
      <c r="AU5" s="769"/>
      <c r="AV5" s="769"/>
      <c r="AW5" s="769"/>
      <c r="AX5" s="769"/>
      <c r="AY5" s="769"/>
      <c r="AZ5" s="769"/>
      <c r="BA5" s="769"/>
      <c r="BB5" s="769"/>
      <c r="BC5" s="769"/>
      <c r="BD5" s="769"/>
      <c r="BE5" s="769"/>
      <c r="BF5" s="769"/>
      <c r="BG5" s="769"/>
      <c r="BH5" s="769"/>
      <c r="BI5" s="769"/>
      <c r="BJ5" s="769"/>
      <c r="BK5" s="769"/>
      <c r="BL5" s="769"/>
      <c r="BM5" s="769"/>
      <c r="BN5" s="769"/>
      <c r="BO5" s="769"/>
    </row>
    <row r="6" spans="1:67" x14ac:dyDescent="0.25">
      <c r="A6" s="770"/>
      <c r="B6" s="772"/>
      <c r="C6" s="772"/>
      <c r="D6" s="772"/>
      <c r="E6" s="773"/>
      <c r="F6" s="773"/>
      <c r="G6" s="773"/>
      <c r="H6" s="773"/>
      <c r="I6" s="773"/>
      <c r="J6" s="774"/>
      <c r="K6" s="773"/>
      <c r="L6" s="773"/>
      <c r="M6" s="773"/>
      <c r="N6" s="773"/>
      <c r="O6" s="773"/>
      <c r="P6" s="773"/>
      <c r="Q6" s="773"/>
      <c r="R6" s="772"/>
      <c r="S6" s="772"/>
      <c r="T6" s="770"/>
      <c r="U6" s="772"/>
      <c r="V6" s="772"/>
      <c r="W6" s="772"/>
      <c r="X6" s="772"/>
      <c r="Y6" s="772"/>
      <c r="Z6" s="772"/>
      <c r="AA6" s="772"/>
      <c r="AB6" s="772"/>
      <c r="AC6" s="772"/>
      <c r="AD6" s="772"/>
      <c r="AE6" s="772"/>
      <c r="AF6" s="772"/>
      <c r="AG6" s="772"/>
      <c r="AH6" s="772"/>
      <c r="AI6" s="772"/>
      <c r="AJ6" s="772"/>
      <c r="AK6" s="769"/>
      <c r="AL6" s="769"/>
      <c r="AM6" s="769"/>
      <c r="AN6" s="769"/>
      <c r="AO6" s="769"/>
      <c r="AP6" s="769"/>
      <c r="AQ6" s="769"/>
      <c r="AR6" s="769"/>
      <c r="AS6" s="769"/>
      <c r="AT6" s="769"/>
      <c r="AU6" s="769"/>
      <c r="AV6" s="769"/>
      <c r="AW6" s="769"/>
      <c r="AX6" s="769"/>
      <c r="AY6" s="769"/>
      <c r="AZ6" s="769"/>
      <c r="BA6" s="769"/>
      <c r="BB6" s="769"/>
      <c r="BC6" s="769"/>
      <c r="BD6" s="769"/>
      <c r="BE6" s="769"/>
      <c r="BF6" s="769"/>
      <c r="BG6" s="769"/>
      <c r="BH6" s="769"/>
      <c r="BI6" s="769"/>
      <c r="BJ6" s="769"/>
      <c r="BK6" s="769"/>
      <c r="BL6" s="769"/>
      <c r="BM6" s="769"/>
      <c r="BN6" s="769"/>
      <c r="BO6" s="769"/>
    </row>
    <row r="7" spans="1:67" x14ac:dyDescent="0.25">
      <c r="A7" s="770"/>
      <c r="B7" s="772"/>
      <c r="C7" s="772"/>
      <c r="D7" s="772"/>
      <c r="E7" s="773"/>
      <c r="F7" s="773"/>
      <c r="G7" s="773"/>
      <c r="H7" s="773"/>
      <c r="I7" s="773"/>
      <c r="J7" s="773"/>
      <c r="K7" s="773"/>
      <c r="L7" s="773"/>
      <c r="M7" s="773"/>
      <c r="N7" s="773"/>
      <c r="O7" s="773"/>
      <c r="P7" s="773"/>
      <c r="Q7" s="773"/>
      <c r="R7" s="772"/>
      <c r="S7" s="772"/>
      <c r="T7" s="770"/>
      <c r="U7" s="772"/>
      <c r="V7" s="772"/>
      <c r="W7" s="772"/>
      <c r="X7" s="772"/>
      <c r="Y7" s="772"/>
      <c r="Z7" s="772"/>
      <c r="AA7" s="772"/>
      <c r="AB7" s="772"/>
      <c r="AC7" s="772"/>
      <c r="AD7" s="772"/>
      <c r="AE7" s="772"/>
      <c r="AF7" s="772"/>
      <c r="AG7" s="772"/>
      <c r="AH7" s="772"/>
      <c r="AI7" s="772"/>
      <c r="AJ7" s="772"/>
      <c r="AK7" s="769"/>
      <c r="AL7" s="769"/>
      <c r="AM7" s="769"/>
      <c r="AN7" s="769"/>
      <c r="AO7" s="769"/>
      <c r="AP7" s="769"/>
      <c r="AQ7" s="769"/>
      <c r="AR7" s="769"/>
      <c r="AS7" s="769"/>
      <c r="AT7" s="769"/>
      <c r="AU7" s="769"/>
      <c r="AV7" s="769"/>
      <c r="AW7" s="769"/>
      <c r="AX7" s="769"/>
      <c r="AY7" s="769"/>
      <c r="AZ7" s="769"/>
      <c r="BA7" s="769"/>
      <c r="BB7" s="769"/>
      <c r="BC7" s="769"/>
      <c r="BD7" s="769"/>
      <c r="BE7" s="769"/>
      <c r="BF7" s="769"/>
      <c r="BG7" s="769"/>
      <c r="BH7" s="769"/>
      <c r="BI7" s="769"/>
      <c r="BJ7" s="769"/>
      <c r="BK7" s="769"/>
      <c r="BL7" s="769"/>
      <c r="BM7" s="769"/>
      <c r="BN7" s="769"/>
      <c r="BO7" s="769"/>
    </row>
    <row r="8" spans="1:67" x14ac:dyDescent="0.25">
      <c r="A8" s="770"/>
      <c r="B8" s="772"/>
      <c r="C8" s="772"/>
      <c r="D8" s="772"/>
      <c r="E8" s="773"/>
      <c r="F8" s="773"/>
      <c r="G8" s="773"/>
      <c r="H8" s="773"/>
      <c r="I8" s="773"/>
      <c r="J8" s="773"/>
      <c r="K8" s="773"/>
      <c r="L8" s="773"/>
      <c r="M8" s="773"/>
      <c r="N8" s="773"/>
      <c r="O8" s="773"/>
      <c r="P8" s="773"/>
      <c r="Q8" s="773"/>
      <c r="R8" s="772"/>
      <c r="S8" s="772"/>
      <c r="T8" s="770"/>
      <c r="U8" s="772"/>
      <c r="V8" s="772"/>
      <c r="W8" s="772"/>
      <c r="X8" s="772"/>
      <c r="Y8" s="772"/>
      <c r="Z8" s="772"/>
      <c r="AA8" s="772"/>
      <c r="AB8" s="772"/>
      <c r="AC8" s="772"/>
      <c r="AD8" s="772"/>
      <c r="AE8" s="772"/>
      <c r="AF8" s="772"/>
      <c r="AG8" s="772"/>
      <c r="AH8" s="772"/>
      <c r="AI8" s="772"/>
      <c r="AJ8" s="772"/>
      <c r="AK8" s="769"/>
      <c r="AL8" s="769"/>
      <c r="AM8" s="769"/>
      <c r="AN8" s="769"/>
      <c r="AO8" s="769"/>
      <c r="AP8" s="769"/>
      <c r="AQ8" s="769"/>
      <c r="AR8" s="769"/>
      <c r="AS8" s="769"/>
      <c r="AT8" s="769"/>
      <c r="AU8" s="769"/>
      <c r="AV8" s="769"/>
      <c r="AW8" s="769"/>
      <c r="AX8" s="769"/>
      <c r="AY8" s="769"/>
      <c r="AZ8" s="769"/>
      <c r="BA8" s="769"/>
      <c r="BB8" s="769"/>
      <c r="BC8" s="769"/>
      <c r="BD8" s="769"/>
      <c r="BE8" s="769"/>
      <c r="BF8" s="769"/>
      <c r="BG8" s="769"/>
      <c r="BH8" s="769"/>
      <c r="BI8" s="769"/>
      <c r="BJ8" s="769"/>
      <c r="BK8" s="769"/>
      <c r="BL8" s="769"/>
      <c r="BM8" s="769"/>
      <c r="BN8" s="769"/>
      <c r="BO8" s="769"/>
    </row>
    <row r="9" spans="1:67" x14ac:dyDescent="0.25">
      <c r="A9" s="770"/>
      <c r="B9" s="772"/>
      <c r="C9" s="775" t="s">
        <v>999</v>
      </c>
      <c r="D9" s="776"/>
      <c r="E9" s="773"/>
      <c r="F9" s="773"/>
      <c r="G9" s="773"/>
      <c r="H9" s="773"/>
      <c r="I9" s="773"/>
      <c r="J9" s="773"/>
      <c r="K9" s="773"/>
      <c r="L9" s="773"/>
      <c r="M9" s="773"/>
      <c r="N9" s="773"/>
      <c r="O9" s="773"/>
      <c r="P9" s="773"/>
      <c r="Q9" s="773"/>
      <c r="R9" s="772"/>
      <c r="S9" s="772"/>
      <c r="T9" s="770"/>
      <c r="U9" s="772"/>
      <c r="V9" s="772"/>
      <c r="W9" s="772"/>
      <c r="X9" s="772"/>
      <c r="Y9" s="772"/>
      <c r="Z9" s="772"/>
      <c r="AA9" s="772"/>
      <c r="AB9" s="772"/>
      <c r="AC9" s="772"/>
      <c r="AD9" s="772"/>
      <c r="AE9" s="772"/>
      <c r="AF9" s="772"/>
      <c r="AG9" s="772"/>
      <c r="AH9" s="772"/>
      <c r="AI9" s="772"/>
      <c r="AJ9" s="772"/>
      <c r="AK9" s="769"/>
      <c r="AL9" s="769"/>
      <c r="AM9" s="769"/>
      <c r="AN9" s="769"/>
      <c r="AO9" s="769"/>
      <c r="AP9" s="769"/>
      <c r="AQ9" s="769"/>
      <c r="AR9" s="769"/>
      <c r="AS9" s="769"/>
      <c r="AT9" s="769"/>
      <c r="AU9" s="769"/>
      <c r="AV9" s="769"/>
      <c r="AW9" s="769"/>
      <c r="AX9" s="769"/>
      <c r="AY9" s="769"/>
      <c r="AZ9" s="769"/>
      <c r="BA9" s="769"/>
      <c r="BB9" s="769"/>
      <c r="BC9" s="769"/>
      <c r="BD9" s="769"/>
      <c r="BE9" s="769"/>
      <c r="BF9" s="769"/>
      <c r="BG9" s="769"/>
      <c r="BH9" s="769"/>
      <c r="BI9" s="769"/>
      <c r="BJ9" s="769"/>
      <c r="BK9" s="769"/>
      <c r="BL9" s="769"/>
      <c r="BM9" s="769"/>
      <c r="BN9" s="769"/>
      <c r="BO9" s="769"/>
    </row>
    <row r="10" spans="1:67" x14ac:dyDescent="0.25">
      <c r="A10" s="770"/>
      <c r="B10" s="772"/>
      <c r="C10" s="777" t="s">
        <v>441</v>
      </c>
      <c r="D10" s="778">
        <f>PENN!AF54</f>
        <v>590.94900000000007</v>
      </c>
      <c r="E10" s="773"/>
      <c r="F10" s="773">
        <f>SUM(F13:F14)</f>
        <v>2</v>
      </c>
      <c r="G10" s="773"/>
      <c r="H10" s="773" t="s">
        <v>604</v>
      </c>
      <c r="I10" s="773" t="s">
        <v>1000</v>
      </c>
      <c r="J10" s="773" t="s">
        <v>1001</v>
      </c>
      <c r="K10" s="773" t="s">
        <v>1002</v>
      </c>
      <c r="L10" s="773" t="s">
        <v>1003</v>
      </c>
      <c r="M10" s="773" t="str">
        <f>IF(M16=3,"Value
Gap","")</f>
        <v>Value
Gap</v>
      </c>
      <c r="N10" s="773" t="str">
        <f>IF(N15=3,"Value
Gap","")</f>
        <v/>
      </c>
      <c r="O10" s="773"/>
      <c r="P10" s="773"/>
      <c r="Q10" s="773"/>
      <c r="R10" s="772"/>
      <c r="S10" s="772"/>
      <c r="T10" s="770"/>
      <c r="U10" s="772"/>
      <c r="V10" s="772"/>
      <c r="W10" s="772"/>
      <c r="X10" s="772"/>
      <c r="Y10" s="772"/>
      <c r="Z10" s="772"/>
      <c r="AA10" s="772"/>
      <c r="AB10" s="772"/>
      <c r="AC10" s="772"/>
      <c r="AD10" s="772"/>
      <c r="AE10" s="772"/>
      <c r="AF10" s="772"/>
      <c r="AG10" s="772"/>
      <c r="AH10" s="772"/>
      <c r="AI10" s="772"/>
      <c r="AJ10" s="772"/>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row>
    <row r="11" spans="1:67" x14ac:dyDescent="0.25">
      <c r="A11" s="770"/>
      <c r="B11" s="772"/>
      <c r="C11" s="777" t="s">
        <v>998</v>
      </c>
      <c r="D11" s="778">
        <v>-4</v>
      </c>
      <c r="E11" s="773"/>
      <c r="F11" s="773"/>
      <c r="G11" s="773" t="str">
        <f>C10</f>
        <v>2009 EBITDA</v>
      </c>
      <c r="H11" s="773">
        <f>D10</f>
        <v>590.94900000000007</v>
      </c>
      <c r="I11" s="773"/>
      <c r="J11" s="773"/>
      <c r="K11" s="779"/>
      <c r="L11" s="773"/>
      <c r="M11" s="773"/>
      <c r="N11" s="773"/>
      <c r="O11" s="773"/>
      <c r="P11" s="773"/>
      <c r="Q11" s="773"/>
      <c r="R11" s="772"/>
      <c r="S11" s="772"/>
      <c r="T11" s="770"/>
      <c r="U11" s="772"/>
      <c r="V11" s="772"/>
      <c r="W11" s="772"/>
      <c r="X11" s="772"/>
      <c r="Y11" s="772"/>
      <c r="Z11" s="772"/>
      <c r="AA11" s="772"/>
      <c r="AB11" s="772"/>
      <c r="AC11" s="772"/>
      <c r="AD11" s="772"/>
      <c r="AE11" s="772"/>
      <c r="AF11" s="772"/>
      <c r="AG11" s="772"/>
      <c r="AH11" s="772"/>
      <c r="AI11" s="772"/>
      <c r="AJ11" s="772"/>
      <c r="AK11" s="769"/>
      <c r="AL11" s="769"/>
      <c r="AM11" s="769"/>
      <c r="AN11" s="769"/>
      <c r="AO11" s="769"/>
      <c r="AP11" s="769"/>
      <c r="AQ11" s="769"/>
      <c r="AR11" s="769"/>
      <c r="AS11" s="769"/>
      <c r="AT11" s="769"/>
      <c r="AU11" s="769"/>
      <c r="AV11" s="769"/>
      <c r="AW11" s="769"/>
      <c r="AX11" s="769"/>
      <c r="AY11" s="769"/>
      <c r="AZ11" s="769"/>
      <c r="BA11" s="769"/>
      <c r="BB11" s="769"/>
      <c r="BC11" s="769"/>
      <c r="BD11" s="769"/>
      <c r="BE11" s="769"/>
      <c r="BF11" s="769"/>
      <c r="BG11" s="769"/>
      <c r="BH11" s="769"/>
      <c r="BI11" s="769"/>
      <c r="BJ11" s="769"/>
      <c r="BK11" s="769"/>
      <c r="BL11" s="769"/>
      <c r="BM11" s="769"/>
      <c r="BN11" s="769"/>
      <c r="BO11" s="769"/>
    </row>
    <row r="12" spans="1:67" x14ac:dyDescent="0.25">
      <c r="A12" s="770"/>
      <c r="B12" s="772"/>
      <c r="C12" s="777" t="s">
        <v>888</v>
      </c>
      <c r="D12" s="778">
        <v>5</v>
      </c>
      <c r="E12" s="773"/>
      <c r="F12" s="773"/>
      <c r="G12" s="773"/>
      <c r="H12" s="773"/>
      <c r="I12" s="773"/>
      <c r="J12" s="773"/>
      <c r="K12" s="779"/>
      <c r="L12" s="773"/>
      <c r="M12" s="773"/>
      <c r="N12" s="773"/>
      <c r="O12" s="773"/>
      <c r="P12" s="773"/>
      <c r="Q12" s="773"/>
      <c r="R12" s="772"/>
      <c r="S12" s="772"/>
      <c r="T12" s="770"/>
      <c r="U12" s="772"/>
      <c r="V12" s="772"/>
      <c r="W12" s="772"/>
      <c r="X12" s="772"/>
      <c r="Y12" s="772"/>
      <c r="Z12" s="772"/>
      <c r="AA12" s="772"/>
      <c r="AB12" s="772"/>
      <c r="AC12" s="772"/>
      <c r="AD12" s="772"/>
      <c r="AE12" s="772"/>
      <c r="AF12" s="772"/>
      <c r="AG12" s="772"/>
      <c r="AH12" s="772"/>
      <c r="AI12" s="772"/>
      <c r="AJ12" s="772"/>
      <c r="AK12" s="769"/>
      <c r="AL12" s="769"/>
      <c r="AM12" s="769"/>
      <c r="AN12" s="769"/>
      <c r="AO12" s="769"/>
      <c r="AP12" s="769"/>
      <c r="AQ12" s="769"/>
      <c r="AR12" s="769"/>
      <c r="AS12" s="769"/>
      <c r="AT12" s="769"/>
      <c r="AU12" s="769"/>
      <c r="AV12" s="769"/>
      <c r="AW12" s="769"/>
      <c r="AX12" s="769"/>
      <c r="AY12" s="769"/>
      <c r="AZ12" s="769"/>
      <c r="BA12" s="769"/>
      <c r="BB12" s="769"/>
      <c r="BC12" s="769"/>
      <c r="BD12" s="769"/>
      <c r="BE12" s="769"/>
      <c r="BF12" s="769"/>
      <c r="BG12" s="769"/>
      <c r="BH12" s="769"/>
      <c r="BI12" s="769"/>
      <c r="BJ12" s="769"/>
      <c r="BK12" s="769"/>
      <c r="BL12" s="769"/>
      <c r="BM12" s="769"/>
      <c r="BN12" s="769"/>
      <c r="BO12" s="769"/>
    </row>
    <row r="13" spans="1:67" x14ac:dyDescent="0.25">
      <c r="A13" s="770"/>
      <c r="B13" s="772"/>
      <c r="C13" s="777" t="s">
        <v>888</v>
      </c>
      <c r="D13" s="778">
        <v>8</v>
      </c>
      <c r="E13" s="773"/>
      <c r="F13" s="773">
        <f>IF(D11&lt;0,2,)</f>
        <v>2</v>
      </c>
      <c r="G13" s="773" t="str">
        <f>C11</f>
        <v>Organic Growth</v>
      </c>
      <c r="H13" s="773">
        <f>IF(D11&lt;0,H11+D11,D10)</f>
        <v>586.94900000000007</v>
      </c>
      <c r="I13" s="773" t="str">
        <f>IF(D11&gt;0,D11,"")</f>
        <v/>
      </c>
      <c r="J13" s="773">
        <f>IF(D11&lt;0,D11*-1,)</f>
        <v>4</v>
      </c>
      <c r="K13" s="779"/>
      <c r="L13" s="773"/>
      <c r="M13" s="773"/>
      <c r="N13" s="773"/>
      <c r="O13" s="773"/>
      <c r="P13" s="773"/>
      <c r="Q13" s="773"/>
      <c r="R13" s="772"/>
      <c r="S13" s="772"/>
      <c r="T13" s="770"/>
      <c r="U13" s="772"/>
      <c r="V13" s="772"/>
      <c r="W13" s="772"/>
      <c r="X13" s="772"/>
      <c r="Y13" s="772"/>
      <c r="Z13" s="772"/>
      <c r="AA13" s="772"/>
      <c r="AB13" s="772"/>
      <c r="AC13" s="772"/>
      <c r="AD13" s="772"/>
      <c r="AE13" s="772"/>
      <c r="AF13" s="772"/>
      <c r="AG13" s="772"/>
      <c r="AH13" s="772"/>
      <c r="AI13" s="772"/>
      <c r="AJ13" s="772"/>
      <c r="AK13" s="769"/>
      <c r="AL13" s="769"/>
      <c r="AM13" s="769"/>
      <c r="AN13" s="769"/>
      <c r="AO13" s="769"/>
      <c r="AP13" s="769"/>
      <c r="AQ13" s="769"/>
      <c r="AR13" s="769"/>
      <c r="AS13" s="769"/>
      <c r="AT13" s="769"/>
      <c r="AU13" s="769"/>
      <c r="AV13" s="769"/>
      <c r="AW13" s="769"/>
      <c r="AX13" s="769"/>
      <c r="AY13" s="769"/>
      <c r="AZ13" s="769"/>
      <c r="BA13" s="769"/>
      <c r="BB13" s="769"/>
      <c r="BC13" s="769"/>
      <c r="BD13" s="769"/>
      <c r="BE13" s="769"/>
      <c r="BF13" s="769"/>
      <c r="BG13" s="769"/>
      <c r="BH13" s="769"/>
      <c r="BI13" s="769"/>
      <c r="BJ13" s="769"/>
      <c r="BK13" s="769"/>
      <c r="BL13" s="769"/>
      <c r="BM13" s="769"/>
      <c r="BN13" s="769"/>
      <c r="BO13" s="769"/>
    </row>
    <row r="14" spans="1:67" x14ac:dyDescent="0.25">
      <c r="A14" s="770"/>
      <c r="B14" s="772"/>
      <c r="C14" s="780" t="s">
        <v>1004</v>
      </c>
      <c r="D14" s="780">
        <f>SUM(D10:D13)</f>
        <v>599.94900000000007</v>
      </c>
      <c r="E14" s="773"/>
      <c r="F14" s="773">
        <f>IF(D13&lt;0,1,)</f>
        <v>0</v>
      </c>
      <c r="G14" s="773" t="str">
        <f>C13</f>
        <v>New Projects</v>
      </c>
      <c r="H14" s="773">
        <f>IF(OR(F10=0,F10=2),SUM(D10:D11),IF(F10=1,SUM(D10:D11)-J14,SUM(D10:D13)))</f>
        <v>586.94900000000007</v>
      </c>
      <c r="I14" s="773">
        <f>IF(D13&gt;0,D13,"")</f>
        <v>8</v>
      </c>
      <c r="J14" s="773" t="str">
        <f>IF(D13&lt;0,D13*-1,"")</f>
        <v/>
      </c>
      <c r="K14" s="779"/>
      <c r="L14" s="773"/>
      <c r="M14" s="773"/>
      <c r="N14" s="773"/>
      <c r="O14" s="773"/>
      <c r="P14" s="773"/>
      <c r="Q14" s="773"/>
      <c r="R14" s="772"/>
      <c r="S14" s="772"/>
      <c r="T14" s="770"/>
      <c r="U14" s="772"/>
      <c r="V14" s="772"/>
      <c r="W14" s="772"/>
      <c r="X14" s="772"/>
      <c r="Y14" s="772"/>
      <c r="Z14" s="772"/>
      <c r="AA14" s="772"/>
      <c r="AB14" s="772"/>
      <c r="AC14" s="772"/>
      <c r="AD14" s="772"/>
      <c r="AE14" s="772"/>
      <c r="AF14" s="772"/>
      <c r="AG14" s="772"/>
      <c r="AH14" s="772"/>
      <c r="AI14" s="772"/>
      <c r="AJ14" s="772"/>
      <c r="AK14" s="769"/>
      <c r="AL14" s="769"/>
      <c r="AM14" s="769"/>
      <c r="AN14" s="769"/>
      <c r="AO14" s="769"/>
      <c r="AP14" s="769"/>
      <c r="AQ14" s="769"/>
      <c r="AR14" s="769"/>
      <c r="AS14" s="769"/>
      <c r="AT14" s="769"/>
      <c r="AU14" s="769"/>
      <c r="AV14" s="769"/>
      <c r="AW14" s="769"/>
      <c r="AX14" s="769"/>
      <c r="AY14" s="769"/>
      <c r="AZ14" s="769"/>
      <c r="BA14" s="769"/>
      <c r="BB14" s="769"/>
      <c r="BC14" s="769"/>
      <c r="BD14" s="769"/>
      <c r="BE14" s="769"/>
      <c r="BF14" s="769"/>
      <c r="BG14" s="769"/>
      <c r="BH14" s="769"/>
      <c r="BI14" s="769"/>
      <c r="BJ14" s="769"/>
      <c r="BK14" s="769"/>
      <c r="BL14" s="769"/>
      <c r="BM14" s="769"/>
      <c r="BN14" s="769"/>
      <c r="BO14" s="769"/>
    </row>
    <row r="15" spans="1:67" x14ac:dyDescent="0.25">
      <c r="A15" s="770"/>
      <c r="B15" s="772"/>
      <c r="C15" s="777" t="s">
        <v>1005</v>
      </c>
      <c r="D15" s="778">
        <v>40</v>
      </c>
      <c r="E15" s="779"/>
      <c r="F15" s="773"/>
      <c r="G15" s="773" t="str">
        <f>C14</f>
        <v>Estimated Intrinsic Value</v>
      </c>
      <c r="H15" s="773">
        <f>D14</f>
        <v>599.94900000000007</v>
      </c>
      <c r="I15" s="773"/>
      <c r="J15" s="773"/>
      <c r="K15" s="779"/>
      <c r="L15" s="773" t="str">
        <f>IF(H16&gt;H15,$H16-$H15,"")</f>
        <v/>
      </c>
      <c r="M15" s="773"/>
      <c r="N15" s="773">
        <f>IF(H15&lt;H16,3,0)</f>
        <v>0</v>
      </c>
      <c r="O15" s="773"/>
      <c r="P15" s="773"/>
      <c r="Q15" s="773"/>
      <c r="R15" s="772"/>
      <c r="S15" s="772"/>
      <c r="T15" s="770"/>
      <c r="U15" s="772"/>
      <c r="V15" s="772"/>
      <c r="W15" s="772"/>
      <c r="X15" s="772"/>
      <c r="Y15" s="772"/>
      <c r="Z15" s="772"/>
      <c r="AA15" s="772"/>
      <c r="AB15" s="772"/>
      <c r="AC15" s="772"/>
      <c r="AD15" s="772"/>
      <c r="AE15" s="772"/>
      <c r="AF15" s="772"/>
      <c r="AG15" s="772"/>
      <c r="AH15" s="772"/>
      <c r="AI15" s="772"/>
      <c r="AJ15" s="772"/>
      <c r="AK15" s="769"/>
      <c r="AL15" s="769"/>
      <c r="AM15" s="769"/>
      <c r="AN15" s="769"/>
      <c r="AO15" s="769"/>
      <c r="AP15" s="769"/>
      <c r="AQ15" s="769"/>
      <c r="AR15" s="769"/>
      <c r="AS15" s="769"/>
      <c r="AT15" s="769"/>
      <c r="AU15" s="769"/>
      <c r="AV15" s="769"/>
      <c r="AW15" s="769"/>
      <c r="AX15" s="769"/>
      <c r="AY15" s="769"/>
      <c r="AZ15" s="769"/>
      <c r="BA15" s="769"/>
      <c r="BB15" s="769"/>
      <c r="BC15" s="769"/>
      <c r="BD15" s="769"/>
      <c r="BE15" s="769"/>
      <c r="BF15" s="769"/>
      <c r="BG15" s="769"/>
      <c r="BH15" s="769"/>
      <c r="BI15" s="769"/>
      <c r="BJ15" s="769"/>
      <c r="BK15" s="769"/>
      <c r="BL15" s="769"/>
      <c r="BM15" s="769"/>
      <c r="BN15" s="769"/>
      <c r="BO15" s="769"/>
    </row>
    <row r="16" spans="1:67" x14ac:dyDescent="0.25">
      <c r="A16" s="770"/>
      <c r="B16" s="772"/>
      <c r="C16" s="780" t="s">
        <v>1006</v>
      </c>
      <c r="D16" s="780"/>
      <c r="E16" s="773"/>
      <c r="F16" s="773"/>
      <c r="G16" s="773" t="str">
        <f>C15</f>
        <v>Current Price</v>
      </c>
      <c r="H16" s="773">
        <f>D15</f>
        <v>40</v>
      </c>
      <c r="I16" s="773"/>
      <c r="J16" s="773"/>
      <c r="K16" s="779">
        <f>IF(H15&gt;H16,$H15-$H16,"")</f>
        <v>559.94900000000007</v>
      </c>
      <c r="L16" s="773"/>
      <c r="M16" s="773">
        <f>IF(H15&gt;H16,3,0)</f>
        <v>3</v>
      </c>
      <c r="N16" s="773"/>
      <c r="O16" s="773"/>
      <c r="P16" s="773"/>
      <c r="Q16" s="773"/>
      <c r="R16" s="772"/>
      <c r="S16" s="772"/>
      <c r="T16" s="770"/>
      <c r="U16" s="772"/>
      <c r="V16" s="772"/>
      <c r="W16" s="772"/>
      <c r="X16" s="772"/>
      <c r="Y16" s="772"/>
      <c r="Z16" s="772"/>
      <c r="AA16" s="772"/>
      <c r="AB16" s="772"/>
      <c r="AC16" s="772"/>
      <c r="AD16" s="772"/>
      <c r="AE16" s="772"/>
      <c r="AF16" s="772"/>
      <c r="AG16" s="772"/>
      <c r="AH16" s="772"/>
      <c r="AI16" s="772"/>
      <c r="AJ16" s="772"/>
      <c r="AK16" s="769"/>
      <c r="AL16" s="769"/>
      <c r="AM16" s="769"/>
      <c r="AN16" s="769"/>
      <c r="AO16" s="769"/>
      <c r="AP16" s="769"/>
      <c r="AQ16" s="769"/>
      <c r="AR16" s="769"/>
      <c r="AS16" s="769"/>
      <c r="AT16" s="769"/>
      <c r="AU16" s="769"/>
      <c r="AV16" s="769"/>
      <c r="AW16" s="769"/>
      <c r="AX16" s="769"/>
      <c r="AY16" s="769"/>
      <c r="AZ16" s="769"/>
      <c r="BA16" s="769"/>
      <c r="BB16" s="769"/>
      <c r="BC16" s="769"/>
      <c r="BD16" s="769"/>
      <c r="BE16" s="769"/>
      <c r="BF16" s="769"/>
      <c r="BG16" s="769"/>
      <c r="BH16" s="769"/>
      <c r="BI16" s="769"/>
      <c r="BJ16" s="769"/>
      <c r="BK16" s="769"/>
      <c r="BL16" s="769"/>
      <c r="BM16" s="769"/>
      <c r="BN16" s="769"/>
      <c r="BO16" s="769"/>
    </row>
    <row r="17" spans="1:67" x14ac:dyDescent="0.25">
      <c r="A17" s="770"/>
      <c r="B17" s="772"/>
      <c r="C17" s="772"/>
      <c r="D17" s="772"/>
      <c r="E17" s="779"/>
      <c r="F17" s="773"/>
      <c r="G17" s="773"/>
      <c r="H17" s="773"/>
      <c r="I17" s="773"/>
      <c r="J17" s="773"/>
      <c r="K17" s="773"/>
      <c r="L17" s="773"/>
      <c r="M17" s="773"/>
      <c r="N17" s="773"/>
      <c r="O17" s="773"/>
      <c r="P17" s="773"/>
      <c r="Q17" s="773"/>
      <c r="R17" s="772"/>
      <c r="S17" s="772"/>
      <c r="T17" s="770"/>
      <c r="U17" s="772"/>
      <c r="V17" s="772"/>
      <c r="W17" s="772"/>
      <c r="X17" s="772"/>
      <c r="Y17" s="772"/>
      <c r="Z17" s="772"/>
      <c r="AA17" s="772"/>
      <c r="AB17" s="772"/>
      <c r="AC17" s="772"/>
      <c r="AD17" s="772"/>
      <c r="AE17" s="772"/>
      <c r="AF17" s="772"/>
      <c r="AG17" s="772"/>
      <c r="AH17" s="772"/>
      <c r="AI17" s="772"/>
      <c r="AJ17" s="772"/>
      <c r="AK17" s="769"/>
      <c r="AL17" s="769"/>
      <c r="AM17" s="769"/>
      <c r="AN17" s="769"/>
      <c r="AO17" s="769"/>
      <c r="AP17" s="769"/>
      <c r="AQ17" s="769"/>
      <c r="AR17" s="769"/>
      <c r="AS17" s="769"/>
      <c r="AT17" s="769"/>
      <c r="AU17" s="769"/>
      <c r="AV17" s="769"/>
      <c r="AW17" s="769"/>
      <c r="AX17" s="769"/>
      <c r="AY17" s="769"/>
      <c r="AZ17" s="769"/>
      <c r="BA17" s="769"/>
      <c r="BB17" s="769"/>
      <c r="BC17" s="769"/>
      <c r="BD17" s="769"/>
      <c r="BE17" s="769"/>
      <c r="BF17" s="769"/>
      <c r="BG17" s="769"/>
      <c r="BH17" s="769"/>
      <c r="BI17" s="769"/>
      <c r="BJ17" s="769"/>
      <c r="BK17" s="769"/>
      <c r="BL17" s="769"/>
      <c r="BM17" s="769"/>
      <c r="BN17" s="769"/>
      <c r="BO17" s="769"/>
    </row>
    <row r="18" spans="1:67" x14ac:dyDescent="0.25">
      <c r="A18" s="770"/>
      <c r="B18" s="772"/>
      <c r="C18" s="772"/>
      <c r="D18" s="772"/>
      <c r="E18" s="773"/>
      <c r="F18" s="773"/>
      <c r="G18" s="773"/>
      <c r="H18" s="773"/>
      <c r="I18" s="773"/>
      <c r="J18" s="773"/>
      <c r="K18" s="773"/>
      <c r="L18" s="773"/>
      <c r="M18" s="773"/>
      <c r="N18" s="773"/>
      <c r="O18" s="773"/>
      <c r="P18" s="773"/>
      <c r="Q18" s="773"/>
      <c r="R18" s="772"/>
      <c r="S18" s="772"/>
      <c r="T18" s="770"/>
      <c r="U18" s="772"/>
      <c r="V18" s="772"/>
      <c r="W18" s="772"/>
      <c r="X18" s="772"/>
      <c r="Y18" s="772"/>
      <c r="Z18" s="772"/>
      <c r="AA18" s="772"/>
      <c r="AB18" s="772"/>
      <c r="AC18" s="772"/>
      <c r="AD18" s="772"/>
      <c r="AE18" s="772"/>
      <c r="AF18" s="772"/>
      <c r="AG18" s="772"/>
      <c r="AH18" s="772"/>
      <c r="AI18" s="772"/>
      <c r="AJ18" s="772"/>
      <c r="AK18" s="769"/>
      <c r="AL18" s="769"/>
      <c r="AM18" s="769"/>
      <c r="AN18" s="769"/>
      <c r="AO18" s="769"/>
      <c r="AP18" s="769"/>
      <c r="AQ18" s="769"/>
      <c r="AR18" s="769"/>
      <c r="AS18" s="769"/>
      <c r="AT18" s="769"/>
      <c r="AU18" s="769"/>
      <c r="AV18" s="769"/>
      <c r="AW18" s="769"/>
      <c r="AX18" s="769"/>
      <c r="AY18" s="769"/>
      <c r="AZ18" s="769"/>
      <c r="BA18" s="769"/>
      <c r="BB18" s="769"/>
      <c r="BC18" s="769"/>
      <c r="BD18" s="769"/>
      <c r="BE18" s="769"/>
      <c r="BF18" s="769"/>
      <c r="BG18" s="769"/>
      <c r="BH18" s="769"/>
      <c r="BI18" s="769"/>
      <c r="BJ18" s="769"/>
      <c r="BK18" s="769"/>
      <c r="BL18" s="769"/>
      <c r="BM18" s="769"/>
      <c r="BN18" s="769"/>
      <c r="BO18" s="769"/>
    </row>
    <row r="19" spans="1:67" x14ac:dyDescent="0.25">
      <c r="A19" s="770"/>
      <c r="B19" s="772"/>
      <c r="C19" s="772"/>
      <c r="D19" s="772"/>
      <c r="E19" s="773"/>
      <c r="F19" s="773"/>
      <c r="G19" s="773"/>
      <c r="H19" s="773"/>
      <c r="I19" s="773"/>
      <c r="J19" s="773"/>
      <c r="K19" s="773"/>
      <c r="L19" s="773"/>
      <c r="M19" s="773"/>
      <c r="N19" s="773"/>
      <c r="O19" s="773"/>
      <c r="P19" s="773"/>
      <c r="Q19" s="773"/>
      <c r="R19" s="772"/>
      <c r="S19" s="772"/>
      <c r="T19" s="770"/>
      <c r="U19" s="772"/>
      <c r="V19" s="772"/>
      <c r="W19" s="772"/>
      <c r="X19" s="772"/>
      <c r="Y19" s="772"/>
      <c r="Z19" s="772"/>
      <c r="AA19" s="772"/>
      <c r="AB19" s="772"/>
      <c r="AC19" s="772"/>
      <c r="AD19" s="772"/>
      <c r="AE19" s="772"/>
      <c r="AF19" s="772"/>
      <c r="AG19" s="772"/>
      <c r="AH19" s="772"/>
      <c r="AI19" s="772"/>
      <c r="AJ19" s="772"/>
      <c r="AK19" s="769"/>
      <c r="AL19" s="769"/>
      <c r="AM19" s="769"/>
      <c r="AN19" s="769"/>
      <c r="AO19" s="769"/>
      <c r="AP19" s="769"/>
      <c r="AQ19" s="769"/>
      <c r="AR19" s="769"/>
      <c r="AS19" s="769"/>
      <c r="AT19" s="769"/>
      <c r="AU19" s="769"/>
      <c r="AV19" s="769"/>
      <c r="AW19" s="769"/>
      <c r="AX19" s="769"/>
      <c r="AY19" s="769"/>
      <c r="AZ19" s="769"/>
      <c r="BA19" s="769"/>
      <c r="BB19" s="769"/>
      <c r="BC19" s="769"/>
      <c r="BD19" s="769"/>
      <c r="BE19" s="769"/>
      <c r="BF19" s="769"/>
      <c r="BG19" s="769"/>
      <c r="BH19" s="769"/>
      <c r="BI19" s="769"/>
      <c r="BJ19" s="769"/>
      <c r="BK19" s="769"/>
      <c r="BL19" s="769"/>
      <c r="BM19" s="769"/>
      <c r="BN19" s="769"/>
      <c r="BO19" s="769"/>
    </row>
    <row r="20" spans="1:67" x14ac:dyDescent="0.25">
      <c r="A20" s="770"/>
      <c r="B20" s="772"/>
      <c r="C20" s="772"/>
      <c r="D20" s="772"/>
      <c r="E20" s="773"/>
      <c r="F20" s="773"/>
      <c r="G20" s="773"/>
      <c r="H20" s="773"/>
      <c r="I20" s="773"/>
      <c r="J20" s="773"/>
      <c r="K20" s="773"/>
      <c r="L20" s="773"/>
      <c r="M20" s="773"/>
      <c r="N20" s="773"/>
      <c r="O20" s="773"/>
      <c r="P20" s="773"/>
      <c r="Q20" s="773"/>
      <c r="R20" s="772"/>
      <c r="S20" s="772"/>
      <c r="T20" s="770"/>
      <c r="U20" s="772"/>
      <c r="V20" s="772"/>
      <c r="W20" s="772"/>
      <c r="X20" s="772"/>
      <c r="Y20" s="772"/>
      <c r="Z20" s="772"/>
      <c r="AA20" s="772"/>
      <c r="AB20" s="772"/>
      <c r="AC20" s="772"/>
      <c r="AD20" s="772"/>
      <c r="AE20" s="772"/>
      <c r="AF20" s="772"/>
      <c r="AG20" s="772"/>
      <c r="AH20" s="772"/>
      <c r="AI20" s="772"/>
      <c r="AJ20" s="772"/>
      <c r="AK20" s="769"/>
      <c r="AL20" s="769"/>
      <c r="AM20" s="769"/>
      <c r="AN20" s="769"/>
      <c r="AO20" s="769"/>
      <c r="AP20" s="769"/>
      <c r="AQ20" s="769"/>
      <c r="AR20" s="769"/>
      <c r="AS20" s="769"/>
      <c r="AT20" s="769"/>
      <c r="AU20" s="769"/>
      <c r="AV20" s="769"/>
      <c r="AW20" s="769"/>
      <c r="AX20" s="769"/>
      <c r="AY20" s="769"/>
      <c r="AZ20" s="769"/>
      <c r="BA20" s="769"/>
      <c r="BB20" s="769"/>
      <c r="BC20" s="769"/>
      <c r="BD20" s="769"/>
      <c r="BE20" s="769"/>
      <c r="BF20" s="769"/>
      <c r="BG20" s="769"/>
      <c r="BH20" s="769"/>
      <c r="BI20" s="769"/>
      <c r="BJ20" s="769"/>
      <c r="BK20" s="769"/>
      <c r="BL20" s="769"/>
      <c r="BM20" s="769"/>
      <c r="BN20" s="769"/>
      <c r="BO20" s="769"/>
    </row>
    <row r="21" spans="1:67" x14ac:dyDescent="0.25">
      <c r="A21" s="770"/>
      <c r="B21" s="772"/>
      <c r="C21" s="772"/>
      <c r="D21" s="772"/>
      <c r="E21" s="773"/>
      <c r="F21" s="773"/>
      <c r="G21" s="773"/>
      <c r="H21" s="773"/>
      <c r="I21" s="773"/>
      <c r="J21" s="773"/>
      <c r="K21" s="773"/>
      <c r="L21" s="773"/>
      <c r="M21" s="773"/>
      <c r="N21" s="773"/>
      <c r="O21" s="773"/>
      <c r="P21" s="773"/>
      <c r="Q21" s="773"/>
      <c r="R21" s="772"/>
      <c r="S21" s="772"/>
      <c r="T21" s="770"/>
      <c r="U21" s="772"/>
      <c r="V21" s="772"/>
      <c r="W21" s="772"/>
      <c r="X21" s="772"/>
      <c r="Y21" s="772"/>
      <c r="Z21" s="772"/>
      <c r="AA21" s="772"/>
      <c r="AB21" s="772"/>
      <c r="AC21" s="772"/>
      <c r="AD21" s="772"/>
      <c r="AE21" s="772"/>
      <c r="AF21" s="772"/>
      <c r="AG21" s="772"/>
      <c r="AH21" s="772"/>
      <c r="AI21" s="772"/>
      <c r="AJ21" s="772"/>
      <c r="AK21" s="769"/>
      <c r="AL21" s="769"/>
      <c r="AM21" s="769"/>
      <c r="AN21" s="769"/>
      <c r="AO21" s="769"/>
      <c r="AP21" s="769"/>
      <c r="AQ21" s="769"/>
      <c r="AR21" s="769"/>
      <c r="AS21" s="769"/>
      <c r="AT21" s="769"/>
      <c r="AU21" s="769"/>
      <c r="AV21" s="769"/>
      <c r="AW21" s="769"/>
      <c r="AX21" s="769"/>
      <c r="AY21" s="769"/>
      <c r="AZ21" s="769"/>
      <c r="BA21" s="769"/>
      <c r="BB21" s="769"/>
      <c r="BC21" s="769"/>
      <c r="BD21" s="769"/>
      <c r="BE21" s="769"/>
      <c r="BF21" s="769"/>
      <c r="BG21" s="769"/>
      <c r="BH21" s="769"/>
      <c r="BI21" s="769"/>
      <c r="BJ21" s="769"/>
      <c r="BK21" s="769"/>
      <c r="BL21" s="769"/>
      <c r="BM21" s="769"/>
      <c r="BN21" s="769"/>
      <c r="BO21" s="769"/>
    </row>
    <row r="22" spans="1:67" x14ac:dyDescent="0.25">
      <c r="A22" s="770"/>
      <c r="B22" s="772"/>
      <c r="C22" s="772"/>
      <c r="D22" s="772"/>
      <c r="E22" s="773"/>
      <c r="F22" s="773"/>
      <c r="G22" s="773"/>
      <c r="H22" s="773"/>
      <c r="I22" s="773"/>
      <c r="J22" s="773"/>
      <c r="K22" s="773"/>
      <c r="L22" s="773"/>
      <c r="M22" s="773"/>
      <c r="N22" s="773"/>
      <c r="O22" s="773"/>
      <c r="P22" s="773"/>
      <c r="Q22" s="773"/>
      <c r="R22" s="772"/>
      <c r="S22" s="772"/>
      <c r="T22" s="770"/>
      <c r="U22" s="772"/>
      <c r="V22" s="772"/>
      <c r="W22" s="772"/>
      <c r="X22" s="772"/>
      <c r="Y22" s="772"/>
      <c r="Z22" s="772"/>
      <c r="AA22" s="772"/>
      <c r="AB22" s="772"/>
      <c r="AC22" s="772"/>
      <c r="AD22" s="772"/>
      <c r="AE22" s="772"/>
      <c r="AF22" s="772"/>
      <c r="AG22" s="772"/>
      <c r="AH22" s="772"/>
      <c r="AI22" s="772"/>
      <c r="AJ22" s="772"/>
      <c r="AK22" s="769"/>
      <c r="AL22" s="769"/>
      <c r="AM22" s="769"/>
      <c r="AN22" s="769"/>
      <c r="AO22" s="769"/>
      <c r="AP22" s="769"/>
      <c r="AQ22" s="769"/>
      <c r="AR22" s="769"/>
      <c r="AS22" s="769"/>
      <c r="AT22" s="769"/>
      <c r="AU22" s="769"/>
      <c r="AV22" s="769"/>
      <c r="AW22" s="769"/>
      <c r="AX22" s="769"/>
      <c r="AY22" s="769"/>
      <c r="AZ22" s="769"/>
      <c r="BA22" s="769"/>
      <c r="BB22" s="769"/>
      <c r="BC22" s="769"/>
      <c r="BD22" s="769"/>
      <c r="BE22" s="769"/>
      <c r="BF22" s="769"/>
      <c r="BG22" s="769"/>
      <c r="BH22" s="769"/>
      <c r="BI22" s="769"/>
      <c r="BJ22" s="769"/>
      <c r="BK22" s="769"/>
      <c r="BL22" s="769"/>
      <c r="BM22" s="769"/>
      <c r="BN22" s="769"/>
      <c r="BO22" s="769"/>
    </row>
    <row r="23" spans="1:67" x14ac:dyDescent="0.25">
      <c r="A23" s="770"/>
      <c r="B23" s="772"/>
      <c r="C23" s="772"/>
      <c r="D23" s="772"/>
      <c r="E23" s="773"/>
      <c r="F23" s="773"/>
      <c r="G23" s="773"/>
      <c r="H23" s="773"/>
      <c r="I23" s="773"/>
      <c r="J23" s="773"/>
      <c r="K23" s="773"/>
      <c r="L23" s="773"/>
      <c r="M23" s="773"/>
      <c r="N23" s="773"/>
      <c r="O23" s="773"/>
      <c r="P23" s="773"/>
      <c r="Q23" s="773"/>
      <c r="R23" s="772"/>
      <c r="S23" s="772"/>
      <c r="T23" s="770"/>
      <c r="U23" s="772"/>
      <c r="V23" s="772"/>
      <c r="W23" s="772"/>
      <c r="X23" s="772"/>
      <c r="Y23" s="772"/>
      <c r="Z23" s="772"/>
      <c r="AA23" s="772"/>
      <c r="AB23" s="772"/>
      <c r="AC23" s="772"/>
      <c r="AD23" s="772"/>
      <c r="AE23" s="772"/>
      <c r="AF23" s="772"/>
      <c r="AG23" s="772"/>
      <c r="AH23" s="772"/>
      <c r="AI23" s="772"/>
      <c r="AJ23" s="772"/>
      <c r="AK23" s="769"/>
      <c r="AL23" s="769"/>
      <c r="AM23" s="769"/>
      <c r="AN23" s="769"/>
      <c r="AO23" s="769"/>
      <c r="AP23" s="769"/>
      <c r="AQ23" s="769"/>
      <c r="AR23" s="769"/>
      <c r="AS23" s="769"/>
      <c r="AT23" s="769"/>
      <c r="AU23" s="769"/>
      <c r="AV23" s="769"/>
      <c r="AW23" s="769"/>
      <c r="AX23" s="769"/>
      <c r="AY23" s="769"/>
      <c r="AZ23" s="769"/>
      <c r="BA23" s="769"/>
      <c r="BB23" s="769"/>
      <c r="BC23" s="769"/>
      <c r="BD23" s="769"/>
      <c r="BE23" s="769"/>
      <c r="BF23" s="769"/>
      <c r="BG23" s="769"/>
      <c r="BH23" s="769"/>
      <c r="BI23" s="769"/>
      <c r="BJ23" s="769"/>
      <c r="BK23" s="769"/>
      <c r="BL23" s="769"/>
      <c r="BM23" s="769"/>
      <c r="BN23" s="769"/>
      <c r="BO23" s="769"/>
    </row>
    <row r="24" spans="1:67" x14ac:dyDescent="0.25">
      <c r="A24" s="770"/>
      <c r="B24" s="772"/>
      <c r="C24" s="772"/>
      <c r="D24" s="772"/>
      <c r="E24" s="773"/>
      <c r="F24" s="773"/>
      <c r="G24" s="773"/>
      <c r="H24" s="773"/>
      <c r="I24" s="773"/>
      <c r="J24" s="773"/>
      <c r="K24" s="773"/>
      <c r="L24" s="773"/>
      <c r="M24" s="773"/>
      <c r="N24" s="773"/>
      <c r="O24" s="773"/>
      <c r="P24" s="773"/>
      <c r="Q24" s="773"/>
      <c r="R24" s="772"/>
      <c r="S24" s="772"/>
      <c r="T24" s="770"/>
      <c r="U24" s="772"/>
      <c r="V24" s="772"/>
      <c r="W24" s="772"/>
      <c r="X24" s="772"/>
      <c r="Y24" s="772"/>
      <c r="Z24" s="772"/>
      <c r="AA24" s="772"/>
      <c r="AB24" s="772"/>
      <c r="AC24" s="772"/>
      <c r="AD24" s="772"/>
      <c r="AE24" s="772"/>
      <c r="AF24" s="772"/>
      <c r="AG24" s="772"/>
      <c r="AH24" s="772"/>
      <c r="AI24" s="772"/>
      <c r="AJ24" s="772"/>
      <c r="AK24" s="769"/>
      <c r="AL24" s="769"/>
      <c r="AM24" s="769"/>
      <c r="AN24" s="769"/>
      <c r="AO24" s="769"/>
      <c r="AP24" s="769"/>
      <c r="AQ24" s="769"/>
      <c r="AR24" s="769"/>
      <c r="AS24" s="769"/>
      <c r="AT24" s="769"/>
      <c r="AU24" s="769"/>
      <c r="AV24" s="769"/>
      <c r="AW24" s="769"/>
      <c r="AX24" s="769"/>
      <c r="AY24" s="769"/>
      <c r="AZ24" s="769"/>
      <c r="BA24" s="769"/>
      <c r="BB24" s="769"/>
      <c r="BC24" s="769"/>
      <c r="BD24" s="769"/>
      <c r="BE24" s="769"/>
      <c r="BF24" s="769"/>
      <c r="BG24" s="769"/>
      <c r="BH24" s="769"/>
      <c r="BI24" s="769"/>
      <c r="BJ24" s="769"/>
      <c r="BK24" s="769"/>
      <c r="BL24" s="769"/>
      <c r="BM24" s="769"/>
      <c r="BN24" s="769"/>
      <c r="BO24" s="769"/>
    </row>
    <row r="25" spans="1:67" x14ac:dyDescent="0.25">
      <c r="A25" s="770"/>
      <c r="B25" s="772"/>
      <c r="C25" s="772"/>
      <c r="D25" s="772"/>
      <c r="E25" s="773"/>
      <c r="F25" s="773"/>
      <c r="G25" s="773"/>
      <c r="H25" s="773"/>
      <c r="I25" s="773"/>
      <c r="J25" s="773"/>
      <c r="K25" s="773"/>
      <c r="L25" s="773"/>
      <c r="M25" s="773"/>
      <c r="N25" s="773"/>
      <c r="O25" s="773"/>
      <c r="P25" s="773"/>
      <c r="Q25" s="773"/>
      <c r="R25" s="772"/>
      <c r="S25" s="772"/>
      <c r="T25" s="770"/>
      <c r="U25" s="772"/>
      <c r="V25" s="772"/>
      <c r="W25" s="772"/>
      <c r="X25" s="772"/>
      <c r="Y25" s="772"/>
      <c r="Z25" s="772"/>
      <c r="AA25" s="772"/>
      <c r="AB25" s="772"/>
      <c r="AC25" s="772"/>
      <c r="AD25" s="772"/>
      <c r="AE25" s="772"/>
      <c r="AF25" s="772"/>
      <c r="AG25" s="772"/>
      <c r="AH25" s="772"/>
      <c r="AI25" s="772"/>
      <c r="AJ25" s="772"/>
      <c r="AK25" s="769"/>
      <c r="AL25" s="769"/>
      <c r="AM25" s="769"/>
      <c r="AN25" s="769"/>
      <c r="AO25" s="769"/>
      <c r="AP25" s="769"/>
      <c r="AQ25" s="769"/>
      <c r="AR25" s="769"/>
      <c r="AS25" s="769"/>
      <c r="AT25" s="769"/>
      <c r="AU25" s="769"/>
      <c r="AV25" s="769"/>
      <c r="AW25" s="769"/>
      <c r="AX25" s="769"/>
      <c r="AY25" s="769"/>
      <c r="AZ25" s="769"/>
      <c r="BA25" s="769"/>
      <c r="BB25" s="769"/>
      <c r="BC25" s="769"/>
      <c r="BD25" s="769"/>
      <c r="BE25" s="769"/>
      <c r="BF25" s="769"/>
      <c r="BG25" s="769"/>
      <c r="BH25" s="769"/>
      <c r="BI25" s="769"/>
      <c r="BJ25" s="769"/>
      <c r="BK25" s="769"/>
      <c r="BL25" s="769"/>
      <c r="BM25" s="769"/>
      <c r="BN25" s="769"/>
      <c r="BO25" s="769"/>
    </row>
    <row r="26" spans="1:67" x14ac:dyDescent="0.25">
      <c r="A26" s="770"/>
      <c r="B26" s="772"/>
      <c r="C26" s="772"/>
      <c r="D26" s="772"/>
      <c r="E26" s="773"/>
      <c r="F26" s="773"/>
      <c r="G26" s="773"/>
      <c r="H26" s="773"/>
      <c r="I26" s="773"/>
      <c r="J26" s="773"/>
      <c r="K26" s="773"/>
      <c r="L26" s="773"/>
      <c r="M26" s="773"/>
      <c r="N26" s="773"/>
      <c r="O26" s="773"/>
      <c r="P26" s="773"/>
      <c r="Q26" s="773"/>
      <c r="R26" s="772"/>
      <c r="S26" s="772"/>
      <c r="T26" s="770"/>
      <c r="U26" s="772"/>
      <c r="V26" s="772"/>
      <c r="W26" s="772"/>
      <c r="X26" s="772"/>
      <c r="Y26" s="772"/>
      <c r="Z26" s="772"/>
      <c r="AA26" s="772"/>
      <c r="AB26" s="772"/>
      <c r="AC26" s="772"/>
      <c r="AD26" s="772"/>
      <c r="AE26" s="772"/>
      <c r="AF26" s="772"/>
      <c r="AG26" s="772"/>
      <c r="AH26" s="772"/>
      <c r="AI26" s="772"/>
      <c r="AJ26" s="772"/>
      <c r="AK26" s="769"/>
      <c r="AL26" s="769"/>
      <c r="AM26" s="769"/>
      <c r="AN26" s="769"/>
      <c r="AO26" s="769"/>
      <c r="AP26" s="769"/>
      <c r="AQ26" s="769"/>
      <c r="AR26" s="769"/>
      <c r="AS26" s="769"/>
      <c r="AT26" s="769"/>
      <c r="AU26" s="769"/>
      <c r="AV26" s="769"/>
      <c r="AW26" s="769"/>
      <c r="AX26" s="769"/>
      <c r="AY26" s="769"/>
      <c r="AZ26" s="769"/>
      <c r="BA26" s="769"/>
      <c r="BB26" s="769"/>
      <c r="BC26" s="769"/>
      <c r="BD26" s="769"/>
      <c r="BE26" s="769"/>
      <c r="BF26" s="769"/>
      <c r="BG26" s="769"/>
      <c r="BH26" s="769"/>
      <c r="BI26" s="769"/>
      <c r="BJ26" s="769"/>
      <c r="BK26" s="769"/>
      <c r="BL26" s="769"/>
      <c r="BM26" s="769"/>
      <c r="BN26" s="769"/>
      <c r="BO26" s="769"/>
    </row>
    <row r="27" spans="1:67" x14ac:dyDescent="0.25">
      <c r="A27" s="770"/>
      <c r="B27" s="772"/>
      <c r="C27" s="772"/>
      <c r="D27" s="772"/>
      <c r="E27" s="773"/>
      <c r="F27" s="773"/>
      <c r="G27" s="773"/>
      <c r="H27" s="773"/>
      <c r="I27" s="773"/>
      <c r="J27" s="773"/>
      <c r="K27" s="773"/>
      <c r="L27" s="773"/>
      <c r="M27" s="773"/>
      <c r="N27" s="773"/>
      <c r="O27" s="773"/>
      <c r="P27" s="773"/>
      <c r="Q27" s="773"/>
      <c r="R27" s="772"/>
      <c r="S27" s="772"/>
      <c r="T27" s="770"/>
      <c r="U27" s="772"/>
      <c r="V27" s="772"/>
      <c r="W27" s="772"/>
      <c r="X27" s="772"/>
      <c r="Y27" s="772"/>
      <c r="Z27" s="772"/>
      <c r="AA27" s="772"/>
      <c r="AB27" s="772"/>
      <c r="AC27" s="772"/>
      <c r="AD27" s="772"/>
      <c r="AE27" s="772"/>
      <c r="AF27" s="772"/>
      <c r="AG27" s="772"/>
      <c r="AH27" s="772"/>
      <c r="AI27" s="772"/>
      <c r="AJ27" s="772"/>
      <c r="AK27" s="769"/>
      <c r="AL27" s="769"/>
      <c r="AM27" s="769"/>
      <c r="AN27" s="769"/>
      <c r="AO27" s="769"/>
      <c r="AP27" s="769"/>
      <c r="AQ27" s="769"/>
      <c r="AR27" s="769"/>
      <c r="AS27" s="769"/>
      <c r="AT27" s="769"/>
      <c r="AU27" s="769"/>
      <c r="AV27" s="769"/>
      <c r="AW27" s="769"/>
      <c r="AX27" s="769"/>
      <c r="AY27" s="769"/>
      <c r="AZ27" s="769"/>
      <c r="BA27" s="769"/>
      <c r="BB27" s="769"/>
      <c r="BC27" s="769"/>
      <c r="BD27" s="769"/>
      <c r="BE27" s="769"/>
      <c r="BF27" s="769"/>
      <c r="BG27" s="769"/>
      <c r="BH27" s="769"/>
      <c r="BI27" s="769"/>
      <c r="BJ27" s="769"/>
      <c r="BK27" s="769"/>
      <c r="BL27" s="769"/>
      <c r="BM27" s="769"/>
      <c r="BN27" s="769"/>
      <c r="BO27" s="769"/>
    </row>
    <row r="28" spans="1:67" x14ac:dyDescent="0.25">
      <c r="A28" s="770"/>
      <c r="B28" s="772"/>
      <c r="C28" s="772"/>
      <c r="D28" s="772"/>
      <c r="E28" s="773"/>
      <c r="F28" s="773"/>
      <c r="G28" s="773"/>
      <c r="H28" s="773"/>
      <c r="I28" s="773"/>
      <c r="J28" s="773"/>
      <c r="K28" s="773"/>
      <c r="L28" s="773"/>
      <c r="M28" s="773"/>
      <c r="N28" s="773"/>
      <c r="O28" s="773"/>
      <c r="P28" s="773"/>
      <c r="Q28" s="773"/>
      <c r="R28" s="772"/>
      <c r="S28" s="772"/>
      <c r="T28" s="770"/>
      <c r="U28" s="772"/>
      <c r="V28" s="772"/>
      <c r="W28" s="772"/>
      <c r="X28" s="772"/>
      <c r="Y28" s="772"/>
      <c r="Z28" s="772"/>
      <c r="AA28" s="772"/>
      <c r="AB28" s="772"/>
      <c r="AC28" s="772"/>
      <c r="AD28" s="772"/>
      <c r="AE28" s="772"/>
      <c r="AF28" s="772"/>
      <c r="AG28" s="772"/>
      <c r="AH28" s="772"/>
      <c r="AI28" s="772"/>
      <c r="AJ28" s="772"/>
      <c r="AK28" s="769"/>
      <c r="AL28" s="769"/>
      <c r="AM28" s="769"/>
      <c r="AN28" s="769"/>
      <c r="AO28" s="769"/>
      <c r="AP28" s="769"/>
      <c r="AQ28" s="769"/>
      <c r="AR28" s="769"/>
      <c r="AS28" s="769"/>
      <c r="AT28" s="769"/>
      <c r="AU28" s="769"/>
      <c r="AV28" s="769"/>
      <c r="AW28" s="769"/>
      <c r="AX28" s="769"/>
      <c r="AY28" s="769"/>
      <c r="AZ28" s="769"/>
      <c r="BA28" s="769"/>
      <c r="BB28" s="769"/>
      <c r="BC28" s="769"/>
      <c r="BD28" s="769"/>
      <c r="BE28" s="769"/>
      <c r="BF28" s="769"/>
      <c r="BG28" s="769"/>
      <c r="BH28" s="769"/>
      <c r="BI28" s="769"/>
      <c r="BJ28" s="769"/>
      <c r="BK28" s="769"/>
      <c r="BL28" s="769"/>
      <c r="BM28" s="769"/>
      <c r="BN28" s="769"/>
      <c r="BO28" s="769"/>
    </row>
    <row r="29" spans="1:67" x14ac:dyDescent="0.25">
      <c r="A29" s="770"/>
      <c r="B29" s="772"/>
      <c r="C29" s="772"/>
      <c r="D29" s="772"/>
      <c r="E29" s="773"/>
      <c r="F29" s="773"/>
      <c r="G29" s="773"/>
      <c r="H29" s="773"/>
      <c r="I29" s="773"/>
      <c r="J29" s="773"/>
      <c r="K29" s="773"/>
      <c r="L29" s="773"/>
      <c r="M29" s="773"/>
      <c r="N29" s="773"/>
      <c r="O29" s="773"/>
      <c r="P29" s="773"/>
      <c r="Q29" s="773"/>
      <c r="R29" s="772"/>
      <c r="S29" s="772"/>
      <c r="T29" s="770"/>
      <c r="U29" s="772"/>
      <c r="V29" s="772"/>
      <c r="W29" s="772"/>
      <c r="X29" s="772"/>
      <c r="Y29" s="772"/>
      <c r="Z29" s="772"/>
      <c r="AA29" s="772"/>
      <c r="AB29" s="772"/>
      <c r="AC29" s="772"/>
      <c r="AD29" s="772"/>
      <c r="AE29" s="772"/>
      <c r="AF29" s="772"/>
      <c r="AG29" s="772"/>
      <c r="AH29" s="772"/>
      <c r="AI29" s="772"/>
      <c r="AJ29" s="772"/>
      <c r="AK29" s="769"/>
      <c r="AL29" s="769"/>
      <c r="AM29" s="769"/>
      <c r="AN29" s="769"/>
      <c r="AO29" s="769"/>
      <c r="AP29" s="769"/>
      <c r="AQ29" s="769"/>
      <c r="AR29" s="769"/>
      <c r="AS29" s="769"/>
      <c r="AT29" s="769"/>
      <c r="AU29" s="769"/>
      <c r="AV29" s="769"/>
      <c r="AW29" s="769"/>
      <c r="AX29" s="769"/>
      <c r="AY29" s="769"/>
      <c r="AZ29" s="769"/>
      <c r="BA29" s="769"/>
      <c r="BB29" s="769"/>
      <c r="BC29" s="769"/>
      <c r="BD29" s="769"/>
      <c r="BE29" s="769"/>
      <c r="BF29" s="769"/>
      <c r="BG29" s="769"/>
      <c r="BH29" s="769"/>
      <c r="BI29" s="769"/>
      <c r="BJ29" s="769"/>
      <c r="BK29" s="769"/>
      <c r="BL29" s="769"/>
      <c r="BM29" s="769"/>
      <c r="BN29" s="769"/>
      <c r="BO29" s="769"/>
    </row>
    <row r="30" spans="1:67" x14ac:dyDescent="0.25">
      <c r="A30" s="770"/>
      <c r="B30" s="772"/>
      <c r="C30" s="772"/>
      <c r="D30" s="772"/>
      <c r="E30" s="773"/>
      <c r="F30" s="773"/>
      <c r="G30" s="773"/>
      <c r="H30" s="773"/>
      <c r="I30" s="773"/>
      <c r="J30" s="773"/>
      <c r="K30" s="773"/>
      <c r="L30" s="773"/>
      <c r="M30" s="773"/>
      <c r="N30" s="773"/>
      <c r="O30" s="773"/>
      <c r="P30" s="773"/>
      <c r="Q30" s="773"/>
      <c r="R30" s="772"/>
      <c r="S30" s="772"/>
      <c r="T30" s="770"/>
      <c r="U30" s="772"/>
      <c r="V30" s="772"/>
      <c r="W30" s="772"/>
      <c r="X30" s="772"/>
      <c r="Y30" s="772"/>
      <c r="Z30" s="772"/>
      <c r="AA30" s="772"/>
      <c r="AB30" s="772"/>
      <c r="AC30" s="772"/>
      <c r="AD30" s="772"/>
      <c r="AE30" s="772"/>
      <c r="AF30" s="772"/>
      <c r="AG30" s="772"/>
      <c r="AH30" s="772"/>
      <c r="AI30" s="772"/>
      <c r="AJ30" s="772"/>
      <c r="AK30" s="769"/>
      <c r="AL30" s="769"/>
      <c r="AM30" s="769"/>
      <c r="AN30" s="769"/>
      <c r="AO30" s="769"/>
      <c r="AP30" s="769"/>
      <c r="AQ30" s="769"/>
      <c r="AR30" s="769"/>
      <c r="AS30" s="769"/>
      <c r="AT30" s="769"/>
      <c r="AU30" s="769"/>
      <c r="AV30" s="769"/>
      <c r="AW30" s="769"/>
      <c r="AX30" s="769"/>
      <c r="AY30" s="769"/>
      <c r="AZ30" s="769"/>
      <c r="BA30" s="769"/>
      <c r="BB30" s="769"/>
      <c r="BC30" s="769"/>
      <c r="BD30" s="769"/>
      <c r="BE30" s="769"/>
      <c r="BF30" s="769"/>
      <c r="BG30" s="769"/>
      <c r="BH30" s="769"/>
      <c r="BI30" s="769"/>
      <c r="BJ30" s="769"/>
      <c r="BK30" s="769"/>
      <c r="BL30" s="769"/>
      <c r="BM30" s="769"/>
      <c r="BN30" s="769"/>
      <c r="BO30" s="769"/>
    </row>
    <row r="31" spans="1:67" x14ac:dyDescent="0.25">
      <c r="A31" s="770"/>
      <c r="B31" s="772"/>
      <c r="C31" s="772"/>
      <c r="D31" s="772"/>
      <c r="E31" s="773"/>
      <c r="F31" s="773"/>
      <c r="G31" s="773"/>
      <c r="H31" s="773"/>
      <c r="I31" s="773"/>
      <c r="J31" s="773"/>
      <c r="K31" s="773"/>
      <c r="L31" s="773"/>
      <c r="M31" s="773"/>
      <c r="N31" s="773"/>
      <c r="O31" s="773"/>
      <c r="P31" s="773"/>
      <c r="Q31" s="773"/>
      <c r="R31" s="772"/>
      <c r="S31" s="772"/>
      <c r="T31" s="770"/>
      <c r="U31" s="772"/>
      <c r="V31" s="772"/>
      <c r="W31" s="772"/>
      <c r="X31" s="772"/>
      <c r="Y31" s="772"/>
      <c r="Z31" s="772"/>
      <c r="AA31" s="772"/>
      <c r="AB31" s="772"/>
      <c r="AC31" s="772"/>
      <c r="AD31" s="772"/>
      <c r="AE31" s="772"/>
      <c r="AF31" s="772"/>
      <c r="AG31" s="772"/>
      <c r="AH31" s="772"/>
      <c r="AI31" s="772"/>
      <c r="AJ31" s="772"/>
      <c r="AK31" s="769"/>
      <c r="AL31" s="769"/>
      <c r="AM31" s="769"/>
      <c r="AN31" s="769"/>
      <c r="AO31" s="769"/>
      <c r="AP31" s="769"/>
      <c r="AQ31" s="769"/>
      <c r="AR31" s="769"/>
      <c r="AS31" s="769"/>
      <c r="AT31" s="769"/>
      <c r="AU31" s="769"/>
      <c r="AV31" s="769"/>
      <c r="AW31" s="769"/>
      <c r="AX31" s="769"/>
      <c r="AY31" s="769"/>
      <c r="AZ31" s="769"/>
      <c r="BA31" s="769"/>
      <c r="BB31" s="769"/>
      <c r="BC31" s="769"/>
      <c r="BD31" s="769"/>
      <c r="BE31" s="769"/>
      <c r="BF31" s="769"/>
      <c r="BG31" s="769"/>
      <c r="BH31" s="769"/>
      <c r="BI31" s="769"/>
      <c r="BJ31" s="769"/>
      <c r="BK31" s="769"/>
      <c r="BL31" s="769"/>
      <c r="BM31" s="769"/>
      <c r="BN31" s="769"/>
      <c r="BO31" s="769"/>
    </row>
    <row r="32" spans="1:67" x14ac:dyDescent="0.25">
      <c r="A32" s="770"/>
      <c r="B32" s="772"/>
      <c r="C32" s="772"/>
      <c r="D32" s="772"/>
      <c r="E32" s="773"/>
      <c r="F32" s="773"/>
      <c r="G32" s="773"/>
      <c r="H32" s="773"/>
      <c r="I32" s="773"/>
      <c r="J32" s="773"/>
      <c r="K32" s="773"/>
      <c r="L32" s="773"/>
      <c r="M32" s="773"/>
      <c r="N32" s="773"/>
      <c r="O32" s="773"/>
      <c r="P32" s="773"/>
      <c r="Q32" s="773"/>
      <c r="R32" s="772"/>
      <c r="S32" s="772"/>
      <c r="T32" s="770"/>
      <c r="U32" s="772"/>
      <c r="V32" s="772"/>
      <c r="W32" s="772"/>
      <c r="X32" s="772"/>
      <c r="Y32" s="772"/>
      <c r="Z32" s="772"/>
      <c r="AA32" s="772"/>
      <c r="AB32" s="772"/>
      <c r="AC32" s="772"/>
      <c r="AD32" s="772"/>
      <c r="AE32" s="772"/>
      <c r="AF32" s="772"/>
      <c r="AG32" s="772"/>
      <c r="AH32" s="772"/>
      <c r="AI32" s="772"/>
      <c r="AJ32" s="772"/>
      <c r="AK32" s="769"/>
      <c r="AL32" s="769"/>
      <c r="AM32" s="769"/>
      <c r="AN32" s="769"/>
      <c r="AO32" s="769"/>
      <c r="AP32" s="769"/>
      <c r="AQ32" s="769"/>
      <c r="AR32" s="769"/>
      <c r="AS32" s="769"/>
      <c r="AT32" s="769"/>
      <c r="AU32" s="769"/>
      <c r="AV32" s="769"/>
      <c r="AW32" s="769"/>
      <c r="AX32" s="769"/>
      <c r="AY32" s="769"/>
      <c r="AZ32" s="769"/>
      <c r="BA32" s="769"/>
      <c r="BB32" s="769"/>
      <c r="BC32" s="769"/>
      <c r="BD32" s="769"/>
      <c r="BE32" s="769"/>
      <c r="BF32" s="769"/>
      <c r="BG32" s="769"/>
      <c r="BH32" s="769"/>
      <c r="BI32" s="769"/>
      <c r="BJ32" s="769"/>
      <c r="BK32" s="769"/>
      <c r="BL32" s="769"/>
      <c r="BM32" s="769"/>
      <c r="BN32" s="769"/>
      <c r="BO32" s="769"/>
    </row>
    <row r="33" spans="1:67" x14ac:dyDescent="0.25">
      <c r="A33" s="770"/>
      <c r="B33" s="772"/>
      <c r="C33" s="772"/>
      <c r="D33" s="772"/>
      <c r="E33" s="773"/>
      <c r="F33" s="773"/>
      <c r="G33" s="773"/>
      <c r="H33" s="773"/>
      <c r="I33" s="773"/>
      <c r="J33" s="773"/>
      <c r="K33" s="773"/>
      <c r="L33" s="773"/>
      <c r="M33" s="773"/>
      <c r="N33" s="773"/>
      <c r="O33" s="773"/>
      <c r="P33" s="773"/>
      <c r="Q33" s="773"/>
      <c r="R33" s="772"/>
      <c r="S33" s="772"/>
      <c r="T33" s="770"/>
      <c r="U33" s="772"/>
      <c r="V33" s="772"/>
      <c r="W33" s="772"/>
      <c r="X33" s="772"/>
      <c r="Y33" s="772"/>
      <c r="Z33" s="772"/>
      <c r="AA33" s="772"/>
      <c r="AB33" s="772"/>
      <c r="AC33" s="772"/>
      <c r="AD33" s="772"/>
      <c r="AE33" s="772"/>
      <c r="AF33" s="772"/>
      <c r="AG33" s="772"/>
      <c r="AH33" s="772"/>
      <c r="AI33" s="772"/>
      <c r="AJ33" s="772"/>
      <c r="AK33" s="769"/>
      <c r="AL33" s="769"/>
      <c r="AM33" s="769"/>
      <c r="AN33" s="769"/>
      <c r="AO33" s="769"/>
      <c r="AP33" s="769"/>
      <c r="AQ33" s="769"/>
      <c r="AR33" s="769"/>
      <c r="AS33" s="769"/>
      <c r="AT33" s="769"/>
      <c r="AU33" s="769"/>
      <c r="AV33" s="769"/>
      <c r="AW33" s="769"/>
      <c r="AX33" s="769"/>
      <c r="AY33" s="769"/>
      <c r="AZ33" s="769"/>
      <c r="BA33" s="769"/>
      <c r="BB33" s="769"/>
      <c r="BC33" s="769"/>
      <c r="BD33" s="769"/>
      <c r="BE33" s="769"/>
      <c r="BF33" s="769"/>
      <c r="BG33" s="769"/>
      <c r="BH33" s="769"/>
      <c r="BI33" s="769"/>
      <c r="BJ33" s="769"/>
      <c r="BK33" s="769"/>
      <c r="BL33" s="769"/>
      <c r="BM33" s="769"/>
      <c r="BN33" s="769"/>
      <c r="BO33" s="769"/>
    </row>
    <row r="34" spans="1:67" x14ac:dyDescent="0.25">
      <c r="A34" s="770"/>
      <c r="B34" s="772"/>
      <c r="C34" s="772"/>
      <c r="D34" s="772"/>
      <c r="E34" s="773"/>
      <c r="F34" s="773"/>
      <c r="G34" s="773"/>
      <c r="H34" s="773"/>
      <c r="I34" s="773"/>
      <c r="J34" s="773"/>
      <c r="K34" s="773"/>
      <c r="L34" s="773"/>
      <c r="M34" s="773"/>
      <c r="N34" s="773"/>
      <c r="O34" s="773"/>
      <c r="P34" s="773"/>
      <c r="Q34" s="773"/>
      <c r="R34" s="772"/>
      <c r="S34" s="772"/>
      <c r="T34" s="770"/>
      <c r="U34" s="772"/>
      <c r="V34" s="772"/>
      <c r="W34" s="772"/>
      <c r="X34" s="772"/>
      <c r="Y34" s="772"/>
      <c r="Z34" s="772"/>
      <c r="AA34" s="772"/>
      <c r="AB34" s="772"/>
      <c r="AC34" s="772"/>
      <c r="AD34" s="772"/>
      <c r="AE34" s="772"/>
      <c r="AF34" s="772"/>
      <c r="AG34" s="772"/>
      <c r="AH34" s="772"/>
      <c r="AI34" s="772"/>
      <c r="AJ34" s="772"/>
      <c r="AK34" s="769"/>
      <c r="AL34" s="769"/>
      <c r="AM34" s="769"/>
      <c r="AN34" s="769"/>
      <c r="AO34" s="769"/>
      <c r="AP34" s="769"/>
      <c r="AQ34" s="769"/>
      <c r="AR34" s="769"/>
      <c r="AS34" s="769"/>
      <c r="AT34" s="769"/>
      <c r="AU34" s="769"/>
      <c r="AV34" s="769"/>
      <c r="AW34" s="769"/>
      <c r="AX34" s="769"/>
      <c r="AY34" s="769"/>
      <c r="AZ34" s="769"/>
      <c r="BA34" s="769"/>
      <c r="BB34" s="769"/>
      <c r="BC34" s="769"/>
      <c r="BD34" s="769"/>
      <c r="BE34" s="769"/>
      <c r="BF34" s="769"/>
      <c r="BG34" s="769"/>
      <c r="BH34" s="769"/>
      <c r="BI34" s="769"/>
      <c r="BJ34" s="769"/>
      <c r="BK34" s="769"/>
      <c r="BL34" s="769"/>
      <c r="BM34" s="769"/>
      <c r="BN34" s="769"/>
      <c r="BO34" s="769"/>
    </row>
    <row r="35" spans="1:67" x14ac:dyDescent="0.25">
      <c r="A35" s="770"/>
      <c r="B35" s="772"/>
      <c r="C35" s="772"/>
      <c r="D35" s="772"/>
      <c r="E35" s="773"/>
      <c r="F35" s="773"/>
      <c r="G35" s="773"/>
      <c r="H35" s="773"/>
      <c r="I35" s="773"/>
      <c r="J35" s="773"/>
      <c r="K35" s="773"/>
      <c r="L35" s="773"/>
      <c r="M35" s="773"/>
      <c r="N35" s="773"/>
      <c r="O35" s="773"/>
      <c r="P35" s="773"/>
      <c r="Q35" s="773"/>
      <c r="R35" s="772"/>
      <c r="S35" s="772"/>
      <c r="T35" s="770"/>
      <c r="U35" s="772"/>
      <c r="V35" s="772"/>
      <c r="W35" s="772"/>
      <c r="X35" s="772"/>
      <c r="Y35" s="772"/>
      <c r="Z35" s="772"/>
      <c r="AA35" s="772"/>
      <c r="AB35" s="772"/>
      <c r="AC35" s="772"/>
      <c r="AD35" s="772"/>
      <c r="AE35" s="772"/>
      <c r="AF35" s="772"/>
      <c r="AG35" s="772"/>
      <c r="AH35" s="772"/>
      <c r="AI35" s="772"/>
      <c r="AJ35" s="772"/>
      <c r="AK35" s="769"/>
      <c r="AL35" s="769"/>
      <c r="AM35" s="769"/>
      <c r="AN35" s="769"/>
      <c r="AO35" s="769"/>
      <c r="AP35" s="769"/>
      <c r="AQ35" s="769"/>
      <c r="AR35" s="769"/>
      <c r="AS35" s="769"/>
      <c r="AT35" s="769"/>
      <c r="AU35" s="769"/>
      <c r="AV35" s="769"/>
      <c r="AW35" s="769"/>
      <c r="AX35" s="769"/>
      <c r="AY35" s="769"/>
      <c r="AZ35" s="769"/>
      <c r="BA35" s="769"/>
      <c r="BB35" s="769"/>
      <c r="BC35" s="769"/>
      <c r="BD35" s="769"/>
      <c r="BE35" s="769"/>
      <c r="BF35" s="769"/>
      <c r="BG35" s="769"/>
      <c r="BH35" s="769"/>
      <c r="BI35" s="769"/>
      <c r="BJ35" s="769"/>
      <c r="BK35" s="769"/>
      <c r="BL35" s="769"/>
      <c r="BM35" s="769"/>
      <c r="BN35" s="769"/>
      <c r="BO35" s="769"/>
    </row>
    <row r="36" spans="1:67" x14ac:dyDescent="0.25">
      <c r="A36" s="770"/>
      <c r="B36" s="772"/>
      <c r="C36" s="772"/>
      <c r="D36" s="772"/>
      <c r="E36" s="773"/>
      <c r="F36" s="773"/>
      <c r="G36" s="773"/>
      <c r="H36" s="773"/>
      <c r="I36" s="773"/>
      <c r="J36" s="773"/>
      <c r="K36" s="773"/>
      <c r="L36" s="773"/>
      <c r="M36" s="773"/>
      <c r="N36" s="773"/>
      <c r="O36" s="773"/>
      <c r="P36" s="773"/>
      <c r="Q36" s="773"/>
      <c r="R36" s="772"/>
      <c r="S36" s="772"/>
      <c r="T36" s="770"/>
      <c r="U36" s="772"/>
      <c r="V36" s="772"/>
      <c r="W36" s="772"/>
      <c r="X36" s="772"/>
      <c r="Y36" s="772"/>
      <c r="Z36" s="772"/>
      <c r="AA36" s="772"/>
      <c r="AB36" s="772"/>
      <c r="AC36" s="772"/>
      <c r="AD36" s="772"/>
      <c r="AE36" s="772"/>
      <c r="AF36" s="772"/>
      <c r="AG36" s="772"/>
      <c r="AH36" s="772"/>
      <c r="AI36" s="772"/>
      <c r="AJ36" s="772"/>
      <c r="AK36" s="769"/>
      <c r="AL36" s="769"/>
      <c r="AM36" s="769"/>
      <c r="AN36" s="769"/>
      <c r="AO36" s="769"/>
      <c r="AP36" s="769"/>
      <c r="AQ36" s="769"/>
      <c r="AR36" s="769"/>
      <c r="AS36" s="769"/>
      <c r="AT36" s="769"/>
      <c r="AU36" s="769"/>
      <c r="AV36" s="769"/>
      <c r="AW36" s="769"/>
      <c r="AX36" s="769"/>
      <c r="AY36" s="769"/>
      <c r="AZ36" s="769"/>
      <c r="BA36" s="769"/>
      <c r="BB36" s="769"/>
      <c r="BC36" s="769"/>
      <c r="BD36" s="769"/>
      <c r="BE36" s="769"/>
      <c r="BF36" s="769"/>
      <c r="BG36" s="769"/>
      <c r="BH36" s="769"/>
      <c r="BI36" s="769"/>
      <c r="BJ36" s="769"/>
      <c r="BK36" s="769"/>
      <c r="BL36" s="769"/>
      <c r="BM36" s="769"/>
      <c r="BN36" s="769"/>
      <c r="BO36" s="769"/>
    </row>
    <row r="37" spans="1:67" x14ac:dyDescent="0.25">
      <c r="A37" s="770"/>
      <c r="B37" s="772"/>
      <c r="C37" s="772"/>
      <c r="D37" s="772"/>
      <c r="E37" s="773"/>
      <c r="F37" s="773"/>
      <c r="G37" s="773"/>
      <c r="H37" s="773"/>
      <c r="I37" s="773"/>
      <c r="J37" s="773"/>
      <c r="K37" s="773"/>
      <c r="L37" s="773"/>
      <c r="M37" s="773"/>
      <c r="N37" s="773"/>
      <c r="O37" s="773"/>
      <c r="P37" s="773"/>
      <c r="Q37" s="773"/>
      <c r="R37" s="772"/>
      <c r="S37" s="772"/>
      <c r="T37" s="770"/>
      <c r="U37" s="772"/>
      <c r="V37" s="772"/>
      <c r="W37" s="772"/>
      <c r="X37" s="772"/>
      <c r="Y37" s="772"/>
      <c r="Z37" s="772"/>
      <c r="AA37" s="772"/>
      <c r="AB37" s="772"/>
      <c r="AC37" s="772"/>
      <c r="AD37" s="772"/>
      <c r="AE37" s="772"/>
      <c r="AF37" s="772"/>
      <c r="AG37" s="772"/>
      <c r="AH37" s="772"/>
      <c r="AI37" s="772"/>
      <c r="AJ37" s="772"/>
      <c r="AK37" s="769"/>
      <c r="AL37" s="769"/>
      <c r="AM37" s="769"/>
      <c r="AN37" s="769"/>
      <c r="AO37" s="769"/>
      <c r="AP37" s="769"/>
      <c r="AQ37" s="769"/>
      <c r="AR37" s="769"/>
      <c r="AS37" s="769"/>
      <c r="AT37" s="769"/>
      <c r="AU37" s="769"/>
      <c r="AV37" s="769"/>
      <c r="AW37" s="769"/>
      <c r="AX37" s="769"/>
      <c r="AY37" s="769"/>
      <c r="AZ37" s="769"/>
      <c r="BA37" s="769"/>
      <c r="BB37" s="769"/>
      <c r="BC37" s="769"/>
      <c r="BD37" s="769"/>
      <c r="BE37" s="769"/>
      <c r="BF37" s="769"/>
      <c r="BG37" s="769"/>
      <c r="BH37" s="769"/>
      <c r="BI37" s="769"/>
      <c r="BJ37" s="769"/>
      <c r="BK37" s="769"/>
      <c r="BL37" s="769"/>
      <c r="BM37" s="769"/>
      <c r="BN37" s="769"/>
      <c r="BO37" s="769"/>
    </row>
    <row r="38" spans="1:67" x14ac:dyDescent="0.25">
      <c r="A38" s="770"/>
      <c r="B38" s="772"/>
      <c r="C38" s="772"/>
      <c r="D38" s="772"/>
      <c r="E38" s="773"/>
      <c r="F38" s="773"/>
      <c r="G38" s="773"/>
      <c r="H38" s="773"/>
      <c r="I38" s="773"/>
      <c r="J38" s="773"/>
      <c r="K38" s="773"/>
      <c r="L38" s="773"/>
      <c r="M38" s="773"/>
      <c r="N38" s="773"/>
      <c r="O38" s="773"/>
      <c r="P38" s="773"/>
      <c r="Q38" s="773"/>
      <c r="R38" s="772"/>
      <c r="S38" s="772"/>
      <c r="T38" s="770"/>
      <c r="U38" s="772"/>
      <c r="V38" s="772"/>
      <c r="W38" s="772"/>
      <c r="X38" s="772"/>
      <c r="Y38" s="772"/>
      <c r="Z38" s="772"/>
      <c r="AA38" s="772"/>
      <c r="AB38" s="772"/>
      <c r="AC38" s="772"/>
      <c r="AD38" s="772"/>
      <c r="AE38" s="772"/>
      <c r="AF38" s="772"/>
      <c r="AG38" s="772"/>
      <c r="AH38" s="772"/>
      <c r="AI38" s="772"/>
      <c r="AJ38" s="772"/>
      <c r="AK38" s="769"/>
      <c r="AL38" s="769"/>
      <c r="AM38" s="769"/>
      <c r="AN38" s="769"/>
      <c r="AO38" s="769"/>
      <c r="AP38" s="769"/>
      <c r="AQ38" s="769"/>
      <c r="AR38" s="769"/>
      <c r="AS38" s="769"/>
      <c r="AT38" s="769"/>
      <c r="AU38" s="769"/>
      <c r="AV38" s="769"/>
      <c r="AW38" s="769"/>
      <c r="AX38" s="769"/>
      <c r="AY38" s="769"/>
      <c r="AZ38" s="769"/>
      <c r="BA38" s="769"/>
      <c r="BB38" s="769"/>
      <c r="BC38" s="769"/>
      <c r="BD38" s="769"/>
      <c r="BE38" s="769"/>
      <c r="BF38" s="769"/>
      <c r="BG38" s="769"/>
      <c r="BH38" s="769"/>
      <c r="BI38" s="769"/>
      <c r="BJ38" s="769"/>
      <c r="BK38" s="769"/>
      <c r="BL38" s="769"/>
      <c r="BM38" s="769"/>
      <c r="BN38" s="769"/>
      <c r="BO38" s="769"/>
    </row>
    <row r="39" spans="1:67" x14ac:dyDescent="0.25">
      <c r="A39" s="770"/>
      <c r="B39" s="772"/>
      <c r="C39" s="772"/>
      <c r="D39" s="772"/>
      <c r="E39" s="773"/>
      <c r="F39" s="3586" t="s">
        <v>1007</v>
      </c>
      <c r="G39" s="3586"/>
      <c r="H39" s="3586"/>
      <c r="I39" s="3586"/>
      <c r="J39" s="3586"/>
      <c r="K39" s="3586"/>
      <c r="L39" s="3586"/>
      <c r="M39" s="773"/>
      <c r="N39" s="773"/>
      <c r="O39" s="773"/>
      <c r="P39" s="773"/>
      <c r="Q39" s="773"/>
      <c r="R39" s="772"/>
      <c r="S39" s="772"/>
      <c r="T39" s="770"/>
      <c r="U39" s="772"/>
      <c r="V39" s="772"/>
      <c r="W39" s="772"/>
      <c r="X39" s="772"/>
      <c r="Y39" s="772"/>
      <c r="Z39" s="772"/>
      <c r="AA39" s="772"/>
      <c r="AB39" s="772"/>
      <c r="AC39" s="772"/>
      <c r="AD39" s="772"/>
      <c r="AE39" s="772"/>
      <c r="AF39" s="772"/>
      <c r="AG39" s="772"/>
      <c r="AH39" s="772"/>
      <c r="AI39" s="772"/>
      <c r="AJ39" s="772"/>
      <c r="AK39" s="769"/>
      <c r="AL39" s="769"/>
      <c r="AM39" s="769"/>
      <c r="AN39" s="769"/>
      <c r="AO39" s="769"/>
      <c r="AP39" s="769"/>
      <c r="AQ39" s="769"/>
      <c r="AR39" s="769"/>
      <c r="AS39" s="769"/>
      <c r="AT39" s="769"/>
      <c r="AU39" s="769"/>
      <c r="AV39" s="769"/>
      <c r="AW39" s="769"/>
      <c r="AX39" s="769"/>
      <c r="AY39" s="769"/>
      <c r="AZ39" s="769"/>
      <c r="BA39" s="769"/>
      <c r="BB39" s="769"/>
      <c r="BC39" s="769"/>
      <c r="BD39" s="769"/>
      <c r="BE39" s="769"/>
      <c r="BF39" s="769"/>
      <c r="BG39" s="769"/>
      <c r="BH39" s="769"/>
      <c r="BI39" s="769"/>
      <c r="BJ39" s="769"/>
      <c r="BK39" s="769"/>
      <c r="BL39" s="769"/>
      <c r="BM39" s="769"/>
      <c r="BN39" s="769"/>
      <c r="BO39" s="769"/>
    </row>
    <row r="40" spans="1:67" x14ac:dyDescent="0.25">
      <c r="A40" s="770"/>
      <c r="B40" s="772"/>
      <c r="C40" s="772"/>
      <c r="D40" s="772"/>
      <c r="E40" s="773"/>
      <c r="F40" s="773"/>
      <c r="G40" s="773"/>
      <c r="H40" s="773"/>
      <c r="I40" s="773"/>
      <c r="J40" s="773"/>
      <c r="K40" s="773"/>
      <c r="L40" s="773"/>
      <c r="M40" s="773"/>
      <c r="N40" s="773"/>
      <c r="O40" s="773"/>
      <c r="P40" s="773"/>
      <c r="Q40" s="773"/>
      <c r="R40" s="772"/>
      <c r="S40" s="772"/>
      <c r="T40" s="770"/>
      <c r="U40" s="772"/>
      <c r="V40" s="772"/>
      <c r="W40" s="772"/>
      <c r="X40" s="772"/>
      <c r="Y40" s="772"/>
      <c r="Z40" s="772"/>
      <c r="AA40" s="772"/>
      <c r="AB40" s="772"/>
      <c r="AC40" s="772"/>
      <c r="AD40" s="772"/>
      <c r="AE40" s="772"/>
      <c r="AF40" s="772"/>
      <c r="AG40" s="772"/>
      <c r="AH40" s="772"/>
      <c r="AI40" s="772"/>
      <c r="AJ40" s="772"/>
      <c r="AK40" s="769"/>
      <c r="AL40" s="769"/>
      <c r="AM40" s="769"/>
      <c r="AN40" s="769"/>
      <c r="AO40" s="769"/>
      <c r="AP40" s="769"/>
      <c r="AQ40" s="769"/>
      <c r="AR40" s="769"/>
      <c r="AS40" s="769"/>
      <c r="AT40" s="769"/>
      <c r="AU40" s="769"/>
      <c r="AV40" s="769"/>
      <c r="AW40" s="769"/>
      <c r="AX40" s="769"/>
      <c r="AY40" s="769"/>
      <c r="AZ40" s="769"/>
      <c r="BA40" s="769"/>
      <c r="BB40" s="769"/>
      <c r="BC40" s="769"/>
      <c r="BD40" s="769"/>
      <c r="BE40" s="769"/>
      <c r="BF40" s="769"/>
      <c r="BG40" s="769"/>
      <c r="BH40" s="769"/>
      <c r="BI40" s="769"/>
      <c r="BJ40" s="769"/>
      <c r="BK40" s="769"/>
      <c r="BL40" s="769"/>
      <c r="BM40" s="769"/>
      <c r="BN40" s="769"/>
      <c r="BO40" s="769"/>
    </row>
    <row r="41" spans="1:67" x14ac:dyDescent="0.25">
      <c r="A41" s="770"/>
      <c r="B41" s="772"/>
      <c r="C41" s="772"/>
      <c r="D41" s="772"/>
      <c r="E41" s="773"/>
      <c r="F41" s="781" t="s">
        <v>1329</v>
      </c>
      <c r="G41" s="773"/>
      <c r="H41" s="773"/>
      <c r="I41" s="773"/>
      <c r="J41" s="773"/>
      <c r="K41" s="773"/>
      <c r="L41" s="773"/>
      <c r="M41" s="773"/>
      <c r="N41" s="773"/>
      <c r="O41" s="773"/>
      <c r="P41" s="773"/>
      <c r="Q41" s="773"/>
      <c r="R41" s="772"/>
      <c r="S41" s="772"/>
      <c r="T41" s="770"/>
      <c r="U41" s="772"/>
      <c r="V41" s="772"/>
      <c r="W41" s="772"/>
      <c r="X41" s="772"/>
      <c r="Y41" s="772"/>
      <c r="Z41" s="772"/>
      <c r="AA41" s="772"/>
      <c r="AB41" s="772"/>
      <c r="AC41" s="772"/>
      <c r="AD41" s="772"/>
      <c r="AE41" s="772"/>
      <c r="AF41" s="772"/>
      <c r="AG41" s="772"/>
      <c r="AH41" s="772"/>
      <c r="AI41" s="772"/>
      <c r="AJ41" s="772"/>
      <c r="AK41" s="769"/>
      <c r="AL41" s="769"/>
      <c r="AM41" s="769"/>
      <c r="AN41" s="769"/>
      <c r="AO41" s="769"/>
      <c r="AP41" s="769"/>
      <c r="AQ41" s="769"/>
      <c r="AR41" s="769"/>
      <c r="AS41" s="769"/>
      <c r="AT41" s="769"/>
      <c r="AU41" s="769"/>
      <c r="AV41" s="769"/>
      <c r="AW41" s="769"/>
      <c r="AX41" s="769"/>
      <c r="AY41" s="769"/>
      <c r="AZ41" s="769"/>
      <c r="BA41" s="769"/>
      <c r="BB41" s="769"/>
      <c r="BC41" s="769"/>
      <c r="BD41" s="769"/>
      <c r="BE41" s="769"/>
      <c r="BF41" s="769"/>
      <c r="BG41" s="769"/>
      <c r="BH41" s="769"/>
      <c r="BI41" s="769"/>
      <c r="BJ41" s="769"/>
      <c r="BK41" s="769"/>
      <c r="BL41" s="769"/>
      <c r="BM41" s="769"/>
      <c r="BN41" s="769"/>
      <c r="BO41" s="769"/>
    </row>
    <row r="42" spans="1:67" x14ac:dyDescent="0.25">
      <c r="A42" s="770"/>
      <c r="B42" s="772"/>
      <c r="C42" s="772"/>
      <c r="D42" s="772"/>
      <c r="E42" s="773"/>
      <c r="F42" s="782"/>
      <c r="G42" s="773"/>
      <c r="H42" s="773"/>
      <c r="I42" s="773"/>
      <c r="J42" s="773"/>
      <c r="K42" s="773"/>
      <c r="L42" s="773"/>
      <c r="M42" s="773"/>
      <c r="N42" s="773"/>
      <c r="O42" s="773"/>
      <c r="P42" s="773"/>
      <c r="Q42" s="773"/>
      <c r="R42" s="772"/>
      <c r="S42" s="772"/>
      <c r="T42" s="770"/>
      <c r="U42" s="772"/>
      <c r="V42" s="772"/>
      <c r="W42" s="772"/>
      <c r="X42" s="772"/>
      <c r="Y42" s="772"/>
      <c r="Z42" s="772"/>
      <c r="AA42" s="772"/>
      <c r="AB42" s="772"/>
      <c r="AC42" s="772"/>
      <c r="AD42" s="772"/>
      <c r="AE42" s="772"/>
      <c r="AF42" s="772"/>
      <c r="AG42" s="772"/>
      <c r="AH42" s="772"/>
      <c r="AI42" s="772"/>
      <c r="AJ42" s="772"/>
      <c r="AK42" s="769"/>
      <c r="AL42" s="769"/>
      <c r="AM42" s="769"/>
      <c r="AN42" s="769"/>
      <c r="AO42" s="769"/>
      <c r="AP42" s="769"/>
      <c r="AQ42" s="769"/>
      <c r="AR42" s="769"/>
      <c r="AS42" s="769"/>
      <c r="AT42" s="769"/>
      <c r="AU42" s="769"/>
      <c r="AV42" s="769"/>
      <c r="AW42" s="769"/>
      <c r="AX42" s="769"/>
      <c r="AY42" s="769"/>
      <c r="AZ42" s="769"/>
      <c r="BA42" s="769"/>
      <c r="BB42" s="769"/>
      <c r="BC42" s="769"/>
      <c r="BD42" s="769"/>
      <c r="BE42" s="769"/>
      <c r="BF42" s="769"/>
      <c r="BG42" s="769"/>
      <c r="BH42" s="769"/>
      <c r="BI42" s="769"/>
      <c r="BJ42" s="769"/>
      <c r="BK42" s="769"/>
      <c r="BL42" s="769"/>
      <c r="BM42" s="769"/>
      <c r="BN42" s="769"/>
      <c r="BO42" s="769"/>
    </row>
    <row r="43" spans="1:67" x14ac:dyDescent="0.25">
      <c r="A43" s="770"/>
      <c r="B43" s="772"/>
      <c r="C43" s="772"/>
      <c r="D43" s="772"/>
      <c r="E43" s="773"/>
      <c r="F43" s="781" t="s">
        <v>1970</v>
      </c>
      <c r="G43" s="773"/>
      <c r="H43" s="773"/>
      <c r="I43" s="773"/>
      <c r="J43" s="773"/>
      <c r="K43" s="773"/>
      <c r="L43" s="773"/>
      <c r="M43" s="773"/>
      <c r="N43" s="773"/>
      <c r="O43" s="773"/>
      <c r="P43" s="773"/>
      <c r="Q43" s="773"/>
      <c r="R43" s="772"/>
      <c r="S43" s="772"/>
      <c r="T43" s="770"/>
      <c r="U43" s="772"/>
      <c r="V43" s="772"/>
      <c r="W43" s="772"/>
      <c r="X43" s="772"/>
      <c r="Y43" s="772"/>
      <c r="Z43" s="772"/>
      <c r="AA43" s="772"/>
      <c r="AB43" s="772"/>
      <c r="AC43" s="772"/>
      <c r="AD43" s="772"/>
      <c r="AE43" s="772"/>
      <c r="AF43" s="772"/>
      <c r="AG43" s="772"/>
      <c r="AH43" s="772"/>
      <c r="AI43" s="772"/>
      <c r="AJ43" s="772"/>
      <c r="AK43" s="769"/>
      <c r="AL43" s="769"/>
      <c r="AM43" s="769"/>
      <c r="AN43" s="769"/>
      <c r="AO43" s="769"/>
      <c r="AP43" s="769"/>
      <c r="AQ43" s="769"/>
      <c r="AR43" s="769"/>
      <c r="AS43" s="769"/>
      <c r="AT43" s="769"/>
      <c r="AU43" s="769"/>
      <c r="AV43" s="769"/>
      <c r="AW43" s="769"/>
      <c r="AX43" s="769"/>
      <c r="AY43" s="769"/>
      <c r="AZ43" s="769"/>
      <c r="BA43" s="769"/>
      <c r="BB43" s="769"/>
      <c r="BC43" s="769"/>
      <c r="BD43" s="769"/>
      <c r="BE43" s="769"/>
      <c r="BF43" s="769"/>
      <c r="BG43" s="769"/>
      <c r="BH43" s="769"/>
      <c r="BI43" s="769"/>
      <c r="BJ43" s="769"/>
      <c r="BK43" s="769"/>
      <c r="BL43" s="769"/>
      <c r="BM43" s="769"/>
      <c r="BN43" s="769"/>
      <c r="BO43" s="769"/>
    </row>
    <row r="44" spans="1:67" x14ac:dyDescent="0.25">
      <c r="A44" s="770"/>
      <c r="B44" s="772"/>
      <c r="C44" s="772"/>
      <c r="D44" s="772"/>
      <c r="E44" s="773"/>
      <c r="F44" s="773"/>
      <c r="G44" s="773"/>
      <c r="H44" s="773"/>
      <c r="I44" s="773"/>
      <c r="J44" s="773"/>
      <c r="K44" s="773"/>
      <c r="L44" s="773"/>
      <c r="M44" s="773"/>
      <c r="N44" s="773"/>
      <c r="O44" s="773"/>
      <c r="P44" s="773"/>
      <c r="Q44" s="773"/>
      <c r="R44" s="772"/>
      <c r="S44" s="772"/>
      <c r="T44" s="770"/>
      <c r="U44" s="772"/>
      <c r="V44" s="772"/>
      <c r="W44" s="772"/>
      <c r="X44" s="772"/>
      <c r="Y44" s="772"/>
      <c r="Z44" s="772"/>
      <c r="AA44" s="772"/>
      <c r="AB44" s="772"/>
      <c r="AC44" s="772"/>
      <c r="AD44" s="772"/>
      <c r="AE44" s="772"/>
      <c r="AF44" s="772"/>
      <c r="AG44" s="772"/>
      <c r="AH44" s="772"/>
      <c r="AI44" s="772"/>
      <c r="AJ44" s="772"/>
      <c r="AK44" s="769"/>
      <c r="AL44" s="769"/>
      <c r="AM44" s="769"/>
      <c r="AN44" s="769"/>
      <c r="AO44" s="769"/>
      <c r="AP44" s="769"/>
      <c r="AQ44" s="769"/>
      <c r="AR44" s="769"/>
      <c r="AS44" s="769"/>
      <c r="AT44" s="769"/>
      <c r="AU44" s="769"/>
      <c r="AV44" s="769"/>
      <c r="AW44" s="769"/>
      <c r="AX44" s="769"/>
      <c r="AY44" s="769"/>
      <c r="AZ44" s="769"/>
      <c r="BA44" s="769"/>
      <c r="BB44" s="769"/>
      <c r="BC44" s="769"/>
      <c r="BD44" s="769"/>
      <c r="BE44" s="769"/>
      <c r="BF44" s="769"/>
      <c r="BG44" s="769"/>
      <c r="BH44" s="769"/>
      <c r="BI44" s="769"/>
      <c r="BJ44" s="769"/>
      <c r="BK44" s="769"/>
      <c r="BL44" s="769"/>
      <c r="BM44" s="769"/>
      <c r="BN44" s="769"/>
      <c r="BO44" s="769"/>
    </row>
    <row r="45" spans="1:67" x14ac:dyDescent="0.25">
      <c r="A45" s="770"/>
      <c r="B45" s="772"/>
      <c r="C45" s="772"/>
      <c r="D45" s="772"/>
      <c r="E45" s="773"/>
      <c r="F45" s="783" t="s">
        <v>1971</v>
      </c>
      <c r="G45" s="773"/>
      <c r="H45" s="773"/>
      <c r="I45" s="773"/>
      <c r="J45" s="773"/>
      <c r="K45" s="773"/>
      <c r="L45" s="773"/>
      <c r="M45" s="773"/>
      <c r="N45" s="773"/>
      <c r="O45" s="773"/>
      <c r="P45" s="773"/>
      <c r="Q45" s="773"/>
      <c r="R45" s="772"/>
      <c r="S45" s="772"/>
      <c r="T45" s="770"/>
      <c r="U45" s="772"/>
      <c r="V45" s="772"/>
      <c r="W45" s="772"/>
      <c r="X45" s="772"/>
      <c r="Y45" s="772"/>
      <c r="Z45" s="772"/>
      <c r="AA45" s="772"/>
      <c r="AB45" s="772"/>
      <c r="AC45" s="772"/>
      <c r="AD45" s="772"/>
      <c r="AE45" s="772"/>
      <c r="AF45" s="772"/>
      <c r="AG45" s="772"/>
      <c r="AH45" s="772"/>
      <c r="AI45" s="772"/>
      <c r="AJ45" s="772"/>
      <c r="AK45" s="769"/>
      <c r="AL45" s="769"/>
      <c r="AM45" s="769"/>
      <c r="AN45" s="769"/>
      <c r="AO45" s="769"/>
      <c r="AP45" s="769"/>
      <c r="AQ45" s="769"/>
      <c r="AR45" s="769"/>
      <c r="AS45" s="769"/>
      <c r="AT45" s="769"/>
      <c r="AU45" s="769"/>
      <c r="AV45" s="769"/>
      <c r="AW45" s="769"/>
      <c r="AX45" s="769"/>
      <c r="AY45" s="769"/>
      <c r="AZ45" s="769"/>
      <c r="BA45" s="769"/>
      <c r="BB45" s="769"/>
      <c r="BC45" s="769"/>
      <c r="BD45" s="769"/>
      <c r="BE45" s="769"/>
      <c r="BF45" s="769"/>
      <c r="BG45" s="769"/>
      <c r="BH45" s="769"/>
      <c r="BI45" s="769"/>
      <c r="BJ45" s="769"/>
      <c r="BK45" s="769"/>
      <c r="BL45" s="769"/>
      <c r="BM45" s="769"/>
      <c r="BN45" s="769"/>
      <c r="BO45" s="769"/>
    </row>
    <row r="46" spans="1:67" x14ac:dyDescent="0.25">
      <c r="A46" s="770"/>
      <c r="B46" s="772"/>
      <c r="C46" s="772"/>
      <c r="D46" s="772"/>
      <c r="E46" s="773"/>
      <c r="F46" s="783"/>
      <c r="G46" s="773"/>
      <c r="H46" s="773"/>
      <c r="I46" s="773"/>
      <c r="J46" s="773"/>
      <c r="K46" s="773"/>
      <c r="L46" s="773"/>
      <c r="M46" s="773"/>
      <c r="N46" s="773"/>
      <c r="O46" s="773"/>
      <c r="P46" s="773"/>
      <c r="Q46" s="773"/>
      <c r="R46" s="772"/>
      <c r="S46" s="772"/>
      <c r="T46" s="770"/>
      <c r="U46" s="772"/>
      <c r="V46" s="772"/>
      <c r="W46" s="772"/>
      <c r="X46" s="772"/>
      <c r="Y46" s="772"/>
      <c r="Z46" s="772"/>
      <c r="AA46" s="772"/>
      <c r="AB46" s="772"/>
      <c r="AC46" s="772"/>
      <c r="AD46" s="772"/>
      <c r="AE46" s="772"/>
      <c r="AF46" s="772"/>
      <c r="AG46" s="772"/>
      <c r="AH46" s="772"/>
      <c r="AI46" s="772"/>
      <c r="AJ46" s="772"/>
      <c r="AK46" s="769"/>
      <c r="AL46" s="769"/>
      <c r="AM46" s="769"/>
      <c r="AN46" s="769"/>
      <c r="AO46" s="769"/>
      <c r="AP46" s="769"/>
      <c r="AQ46" s="769"/>
      <c r="AR46" s="769"/>
      <c r="AS46" s="769"/>
      <c r="AT46" s="769"/>
      <c r="AU46" s="769"/>
      <c r="AV46" s="769"/>
      <c r="AW46" s="769"/>
      <c r="AX46" s="769"/>
      <c r="AY46" s="769"/>
      <c r="AZ46" s="769"/>
      <c r="BA46" s="769"/>
      <c r="BB46" s="769"/>
      <c r="BC46" s="769"/>
      <c r="BD46" s="769"/>
      <c r="BE46" s="769"/>
      <c r="BF46" s="769"/>
      <c r="BG46" s="769"/>
      <c r="BH46" s="769"/>
      <c r="BI46" s="769"/>
      <c r="BJ46" s="769"/>
      <c r="BK46" s="769"/>
      <c r="BL46" s="769"/>
      <c r="BM46" s="769"/>
      <c r="BN46" s="769"/>
      <c r="BO46" s="769"/>
    </row>
    <row r="47" spans="1:67" x14ac:dyDescent="0.25">
      <c r="A47" s="770"/>
      <c r="B47" s="772"/>
      <c r="C47" s="772"/>
      <c r="D47" s="772"/>
      <c r="E47" s="773"/>
      <c r="F47" s="783" t="s">
        <v>647</v>
      </c>
      <c r="G47" s="773"/>
      <c r="H47" s="773"/>
      <c r="I47" s="773"/>
      <c r="J47" s="773"/>
      <c r="K47" s="773"/>
      <c r="L47" s="773"/>
      <c r="M47" s="773"/>
      <c r="N47" s="773"/>
      <c r="O47" s="773"/>
      <c r="P47" s="773"/>
      <c r="Q47" s="773"/>
      <c r="R47" s="772"/>
      <c r="S47" s="772"/>
      <c r="T47" s="770"/>
      <c r="U47" s="772"/>
      <c r="V47" s="772"/>
      <c r="W47" s="772"/>
      <c r="X47" s="772"/>
      <c r="Y47" s="772"/>
      <c r="Z47" s="772"/>
      <c r="AA47" s="772"/>
      <c r="AB47" s="772"/>
      <c r="AC47" s="772"/>
      <c r="AD47" s="772"/>
      <c r="AE47" s="772"/>
      <c r="AF47" s="772"/>
      <c r="AG47" s="772"/>
      <c r="AH47" s="772"/>
      <c r="AI47" s="772"/>
      <c r="AJ47" s="772"/>
      <c r="AK47" s="769"/>
      <c r="AL47" s="769"/>
      <c r="AM47" s="769"/>
      <c r="AN47" s="769"/>
      <c r="AO47" s="769"/>
      <c r="AP47" s="769"/>
      <c r="AQ47" s="769"/>
      <c r="AR47" s="769"/>
      <c r="AS47" s="769"/>
      <c r="AT47" s="769"/>
      <c r="AU47" s="769"/>
      <c r="AV47" s="769"/>
      <c r="AW47" s="769"/>
      <c r="AX47" s="769"/>
      <c r="AY47" s="769"/>
      <c r="AZ47" s="769"/>
      <c r="BA47" s="769"/>
      <c r="BB47" s="769"/>
      <c r="BC47" s="769"/>
      <c r="BD47" s="769"/>
      <c r="BE47" s="769"/>
      <c r="BF47" s="769"/>
      <c r="BG47" s="769"/>
      <c r="BH47" s="769"/>
      <c r="BI47" s="769"/>
      <c r="BJ47" s="769"/>
      <c r="BK47" s="769"/>
      <c r="BL47" s="769"/>
      <c r="BM47" s="769"/>
      <c r="BN47" s="769"/>
      <c r="BO47" s="769"/>
    </row>
  </sheetData>
  <mergeCells count="2">
    <mergeCell ref="Q1:S2"/>
    <mergeCell ref="F39:L39"/>
  </mergeCells>
  <phoneticPr fontId="39" type="noConversion"/>
  <hyperlinks>
    <hyperlink ref="F39" r:id="rId1"/>
  </hyperlinks>
  <pageMargins left="0.75" right="0.75" top="1" bottom="1" header="0.5" footer="0.5"/>
  <pageSetup orientation="portrait" horizontalDpi="1200" verticalDpi="1200" r:id="rId2"/>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S12"/>
  <sheetViews>
    <sheetView zoomScale="85" workbookViewId="0">
      <pane xSplit="1" ySplit="3" topLeftCell="B4" activePane="bottomRight" state="frozenSplit"/>
      <selection pane="topRight" activeCell="B1" sqref="B1"/>
      <selection pane="bottomLeft" activeCell="A4" sqref="A4"/>
      <selection pane="bottomRight" activeCell="B4" sqref="B4"/>
    </sheetView>
  </sheetViews>
  <sheetFormatPr defaultRowHeight="15.75" x14ac:dyDescent="0.25"/>
  <cols>
    <col min="1" max="1" width="24.375" customWidth="1"/>
  </cols>
  <sheetData>
    <row r="1" spans="1:19" x14ac:dyDescent="0.25">
      <c r="A1" s="10" t="s">
        <v>1313</v>
      </c>
      <c r="B1" s="11"/>
      <c r="C1" s="11"/>
      <c r="D1" s="11"/>
      <c r="E1" s="11"/>
      <c r="F1" s="419"/>
      <c r="G1" s="11"/>
      <c r="H1" s="11"/>
      <c r="I1" s="11"/>
      <c r="J1" s="11"/>
      <c r="K1" s="11"/>
      <c r="L1" s="11"/>
      <c r="M1" s="11"/>
      <c r="N1" s="11"/>
      <c r="O1" s="11"/>
      <c r="P1" s="11"/>
      <c r="Q1" s="11"/>
      <c r="R1" s="11"/>
      <c r="S1" s="419"/>
    </row>
    <row r="2" spans="1:19" x14ac:dyDescent="0.25">
      <c r="A2" s="10"/>
      <c r="B2" s="11"/>
      <c r="C2" s="11"/>
      <c r="D2" s="11"/>
      <c r="E2" s="11"/>
      <c r="F2" s="419"/>
      <c r="G2" s="11"/>
      <c r="H2" s="11"/>
      <c r="I2" s="11"/>
      <c r="J2" s="11"/>
      <c r="K2" s="11"/>
      <c r="L2" s="11"/>
      <c r="M2" s="11"/>
      <c r="N2" s="11"/>
      <c r="O2" s="11"/>
      <c r="P2" s="11"/>
      <c r="Q2" s="11"/>
      <c r="R2" s="11"/>
      <c r="S2" s="419"/>
    </row>
    <row r="3" spans="1:19" x14ac:dyDescent="0.25">
      <c r="A3" s="909"/>
      <c r="B3" s="997"/>
      <c r="C3" s="1499">
        <v>2005</v>
      </c>
      <c r="D3" s="1499">
        <v>2006</v>
      </c>
      <c r="E3" s="1499">
        <v>2007</v>
      </c>
      <c r="F3" s="1500"/>
      <c r="G3" s="997" t="s">
        <v>1482</v>
      </c>
      <c r="H3" s="997" t="s">
        <v>133</v>
      </c>
      <c r="I3" s="997" t="s">
        <v>1707</v>
      </c>
      <c r="J3" s="997" t="s">
        <v>1398</v>
      </c>
      <c r="K3" s="997" t="s">
        <v>1671</v>
      </c>
      <c r="L3" s="997" t="s">
        <v>1672</v>
      </c>
      <c r="M3" s="997" t="s">
        <v>2112</v>
      </c>
      <c r="N3" s="997" t="s">
        <v>2113</v>
      </c>
      <c r="O3" s="997" t="s">
        <v>2115</v>
      </c>
      <c r="P3" s="997" t="s">
        <v>2116</v>
      </c>
      <c r="Q3" s="997" t="s">
        <v>2117</v>
      </c>
      <c r="R3" s="997" t="s">
        <v>2118</v>
      </c>
      <c r="S3" s="1500">
        <v>2011</v>
      </c>
    </row>
    <row r="4" spans="1:19" x14ac:dyDescent="0.25">
      <c r="A4" s="10" t="s">
        <v>1780</v>
      </c>
      <c r="B4" s="11"/>
      <c r="C4" s="11"/>
      <c r="D4" s="11"/>
      <c r="E4" s="11"/>
      <c r="F4" s="419"/>
      <c r="G4" s="11"/>
      <c r="H4" s="11"/>
      <c r="I4" s="11"/>
      <c r="J4" s="11"/>
      <c r="K4" s="11"/>
      <c r="L4" s="11"/>
      <c r="M4" s="11"/>
      <c r="N4" s="11"/>
      <c r="O4" s="11"/>
      <c r="P4" s="11"/>
      <c r="Q4" s="11"/>
      <c r="R4" s="11"/>
      <c r="S4" s="419"/>
    </row>
    <row r="5" spans="1:19" x14ac:dyDescent="0.25">
      <c r="A5" s="1378" t="s">
        <v>1484</v>
      </c>
      <c r="B5" s="11"/>
      <c r="C5" s="11">
        <v>1211.3599999999999</v>
      </c>
      <c r="D5" s="11">
        <v>2057.6170000000002</v>
      </c>
      <c r="E5" s="11">
        <v>2227.944</v>
      </c>
      <c r="F5" s="419"/>
      <c r="G5" s="423">
        <v>559.90300000000002</v>
      </c>
      <c r="H5" s="423">
        <v>526.39</v>
      </c>
      <c r="I5" s="423">
        <v>565.48299999999995</v>
      </c>
      <c r="J5" s="423">
        <f>2158.028-SUM(G5:I5)</f>
        <v>506.25199999999973</v>
      </c>
      <c r="K5" s="423">
        <v>543.37300000000005</v>
      </c>
      <c r="L5" s="423">
        <v>543.19000000000005</v>
      </c>
      <c r="M5" s="423">
        <v>582.30700000000002</v>
      </c>
      <c r="N5" s="423">
        <f>2242.515-SUM(K5:M5)</f>
        <v>573.64499999999975</v>
      </c>
      <c r="O5" s="423">
        <v>609.11099999999999</v>
      </c>
      <c r="P5" s="11"/>
      <c r="Q5" s="11"/>
      <c r="R5" s="11"/>
      <c r="S5" s="419"/>
    </row>
    <row r="6" spans="1:19" x14ac:dyDescent="0.25">
      <c r="A6" s="1378" t="s">
        <v>167</v>
      </c>
      <c r="B6" s="11"/>
      <c r="C6" s="11">
        <v>213.089</v>
      </c>
      <c r="D6" s="11">
        <v>275.7</v>
      </c>
      <c r="E6" s="11">
        <v>320.52</v>
      </c>
      <c r="F6" s="419"/>
      <c r="G6" s="423">
        <v>84.622</v>
      </c>
      <c r="H6" s="423">
        <v>86.247</v>
      </c>
      <c r="I6" s="423">
        <v>87.403999999999996</v>
      </c>
      <c r="J6" s="423">
        <v>80.962000000000003</v>
      </c>
      <c r="K6" s="423">
        <v>80.432000000000002</v>
      </c>
      <c r="L6" s="423">
        <v>84.751999999999995</v>
      </c>
      <c r="M6" s="423">
        <v>85.787000000000006</v>
      </c>
      <c r="N6" s="423">
        <v>83.837000000000003</v>
      </c>
      <c r="O6" s="423">
        <v>85.289000000000001</v>
      </c>
      <c r="P6" s="11"/>
      <c r="Q6" s="11"/>
      <c r="R6" s="11"/>
      <c r="S6" s="419"/>
    </row>
    <row r="7" spans="1:19" x14ac:dyDescent="0.25">
      <c r="A7" s="1378"/>
      <c r="B7" s="11"/>
      <c r="C7" s="11">
        <f>SUM(C5:C6)</f>
        <v>1424.4489999999998</v>
      </c>
      <c r="D7" s="11">
        <f>SUM(D5:D6)</f>
        <v>2333.317</v>
      </c>
      <c r="E7" s="11">
        <f>SUM(E5:E6)</f>
        <v>2548.4639999999999</v>
      </c>
      <c r="F7" s="419"/>
      <c r="G7" s="423">
        <f>SUM(G5:G6)</f>
        <v>644.52499999999998</v>
      </c>
      <c r="H7" s="423">
        <f t="shared" ref="H7:P7" si="0">SUM(H5:H6)</f>
        <v>612.63699999999994</v>
      </c>
      <c r="I7" s="423">
        <f t="shared" si="0"/>
        <v>652.88699999999994</v>
      </c>
      <c r="J7" s="423">
        <f t="shared" si="0"/>
        <v>587.21399999999971</v>
      </c>
      <c r="K7" s="423">
        <f t="shared" si="0"/>
        <v>623.80500000000006</v>
      </c>
      <c r="L7" s="423">
        <f t="shared" si="0"/>
        <v>627.94200000000001</v>
      </c>
      <c r="M7" s="423">
        <f t="shared" si="0"/>
        <v>668.09400000000005</v>
      </c>
      <c r="N7" s="423">
        <f t="shared" si="0"/>
        <v>657.48199999999974</v>
      </c>
      <c r="O7" s="423">
        <f t="shared" si="0"/>
        <v>694.4</v>
      </c>
      <c r="P7" s="423">
        <f t="shared" si="0"/>
        <v>0</v>
      </c>
      <c r="Q7" s="11"/>
      <c r="R7" s="11"/>
      <c r="S7" s="419"/>
    </row>
    <row r="8" spans="1:19" ht="5.0999999999999996" customHeight="1" x14ac:dyDescent="0.25">
      <c r="A8" s="1378"/>
      <c r="B8" s="11"/>
      <c r="C8" s="11"/>
      <c r="D8" s="11"/>
      <c r="E8" s="11"/>
      <c r="F8" s="419"/>
      <c r="G8" s="11"/>
      <c r="H8" s="11"/>
      <c r="I8" s="423"/>
      <c r="J8" s="423"/>
      <c r="K8" s="423"/>
      <c r="L8" s="423"/>
      <c r="M8" s="423"/>
      <c r="N8" s="423"/>
      <c r="O8" s="423"/>
      <c r="P8" s="11"/>
      <c r="Q8" s="11"/>
      <c r="R8" s="11"/>
      <c r="S8" s="419"/>
    </row>
    <row r="9" spans="1:19" x14ac:dyDescent="0.25">
      <c r="A9" s="10" t="s">
        <v>168</v>
      </c>
      <c r="B9" s="11"/>
      <c r="C9" s="11"/>
      <c r="D9" s="11"/>
      <c r="E9" s="11"/>
      <c r="F9" s="419"/>
      <c r="G9" s="11"/>
      <c r="H9" s="11"/>
      <c r="I9" s="423"/>
      <c r="J9" s="423">
        <f>SUM(G10:J10)</f>
        <v>142.77500000000001</v>
      </c>
      <c r="K9" s="423"/>
      <c r="L9" s="423"/>
      <c r="M9" s="423"/>
      <c r="N9" s="423">
        <f>SUM(K10:N10)</f>
        <v>133.40199999999999</v>
      </c>
      <c r="O9" s="423"/>
      <c r="P9" s="11"/>
      <c r="Q9" s="11"/>
      <c r="R9" s="11"/>
      <c r="S9" s="419"/>
    </row>
    <row r="10" spans="1:19" x14ac:dyDescent="0.25">
      <c r="A10" s="1378" t="s">
        <v>165</v>
      </c>
      <c r="B10" s="11"/>
      <c r="C10" s="11">
        <v>73.94</v>
      </c>
      <c r="D10" s="11">
        <v>106.916</v>
      </c>
      <c r="E10" s="11">
        <v>128.94399999999999</v>
      </c>
      <c r="F10" s="419"/>
      <c r="G10" s="423">
        <v>35.332000000000001</v>
      </c>
      <c r="H10" s="423">
        <v>35.494</v>
      </c>
      <c r="I10" s="423">
        <v>36.700000000000003</v>
      </c>
      <c r="J10" s="423">
        <f>142.775-SUM(G10:I10)</f>
        <v>35.249000000000009</v>
      </c>
      <c r="K10" s="423">
        <v>34.676000000000002</v>
      </c>
      <c r="L10" s="423">
        <v>33.643000000000001</v>
      </c>
      <c r="M10" s="423">
        <v>34.201000000000001</v>
      </c>
      <c r="N10" s="423">
        <f>133.402-SUM(K10:M10)</f>
        <v>30.881999999999977</v>
      </c>
      <c r="O10" s="423">
        <v>30.693999999999999</v>
      </c>
      <c r="P10" s="11"/>
      <c r="Q10" s="11"/>
      <c r="R10" s="11"/>
      <c r="S10" s="419"/>
    </row>
    <row r="11" spans="1:19" ht="5.0999999999999996" customHeight="1" x14ac:dyDescent="0.25">
      <c r="A11" s="1378"/>
      <c r="B11" s="11"/>
      <c r="C11" s="11"/>
      <c r="D11" s="11"/>
      <c r="E11" s="11"/>
      <c r="F11" s="419"/>
      <c r="G11" s="423"/>
      <c r="H11" s="423"/>
      <c r="I11" s="423"/>
      <c r="J11" s="423"/>
      <c r="K11" s="423"/>
      <c r="L11" s="423"/>
      <c r="M11" s="423"/>
      <c r="N11" s="423"/>
      <c r="O11" s="423"/>
      <c r="P11" s="11"/>
      <c r="Q11" s="11"/>
      <c r="R11" s="11"/>
      <c r="S11" s="419"/>
    </row>
    <row r="12" spans="1:19" x14ac:dyDescent="0.25">
      <c r="A12" s="1378" t="s">
        <v>166</v>
      </c>
      <c r="B12" s="11"/>
      <c r="C12" s="280">
        <f>C10/C7</f>
        <v>5.1907790310499011E-2</v>
      </c>
      <c r="D12" s="280">
        <f>D10/D7</f>
        <v>4.5821463607388105E-2</v>
      </c>
      <c r="E12" s="280">
        <f>E10/E7</f>
        <v>5.0596751611951353E-2</v>
      </c>
      <c r="F12" s="419"/>
      <c r="G12" s="280">
        <f>G10/G7</f>
        <v>5.4818664908265778E-2</v>
      </c>
      <c r="H12" s="280">
        <f t="shared" ref="H12:O12" si="1">H10/H7</f>
        <v>5.7936428913043125E-2</v>
      </c>
      <c r="I12" s="280">
        <f t="shared" si="1"/>
        <v>5.6211871273283136E-2</v>
      </c>
      <c r="J12" s="280">
        <f t="shared" si="1"/>
        <v>6.0027519779841804E-2</v>
      </c>
      <c r="K12" s="280">
        <f t="shared" si="1"/>
        <v>5.5587884034273526E-2</v>
      </c>
      <c r="L12" s="280">
        <f t="shared" si="1"/>
        <v>5.3576604208668957E-2</v>
      </c>
      <c r="M12" s="280">
        <f t="shared" si="1"/>
        <v>5.119189814606926E-2</v>
      </c>
      <c r="N12" s="280">
        <f t="shared" si="1"/>
        <v>4.6970107166431914E-2</v>
      </c>
      <c r="O12" s="280">
        <f t="shared" si="1"/>
        <v>4.4202188940092167E-2</v>
      </c>
      <c r="P12" s="280"/>
      <c r="Q12" s="280"/>
      <c r="R12" s="280"/>
      <c r="S12" s="419"/>
    </row>
  </sheetData>
  <phoneticPr fontId="13" type="noConversion"/>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A349"/>
  <sheetViews>
    <sheetView zoomScale="85" workbookViewId="0">
      <pane xSplit="2" topLeftCell="C1" activePane="topRight" state="frozenSplit"/>
      <selection pane="topRight" activeCell="C1" sqref="C1"/>
    </sheetView>
  </sheetViews>
  <sheetFormatPr defaultRowHeight="15.75" x14ac:dyDescent="0.25"/>
  <cols>
    <col min="1" max="1" width="8.125" customWidth="1"/>
    <col min="2" max="2" width="9.375" customWidth="1"/>
    <col min="3" max="3" width="9.375" bestFit="1" customWidth="1"/>
    <col min="4" max="4" width="9.375" customWidth="1"/>
  </cols>
  <sheetData>
    <row r="1" spans="1:27" x14ac:dyDescent="0.25">
      <c r="A1" s="10" t="s">
        <v>191</v>
      </c>
      <c r="B1" s="11"/>
      <c r="C1" s="11"/>
      <c r="D1" s="11"/>
      <c r="E1" s="11"/>
      <c r="F1" s="11"/>
      <c r="G1" s="11"/>
      <c r="H1" s="11"/>
      <c r="I1" s="11"/>
      <c r="J1" s="11"/>
      <c r="K1" s="11"/>
      <c r="L1" s="11"/>
      <c r="M1" s="11"/>
      <c r="N1" s="11"/>
      <c r="O1" s="11"/>
      <c r="P1" s="11"/>
      <c r="Q1" s="11"/>
      <c r="R1" s="11"/>
      <c r="S1" s="11"/>
      <c r="T1" s="11"/>
      <c r="U1" s="11"/>
      <c r="V1" s="11"/>
      <c r="W1" s="11"/>
      <c r="X1" s="11"/>
      <c r="Y1" s="11"/>
      <c r="Z1" s="11"/>
      <c r="AA1" s="11"/>
    </row>
    <row r="2" spans="1:27" x14ac:dyDescent="0.25">
      <c r="A2" s="11"/>
      <c r="B2" s="11"/>
      <c r="C2" s="11"/>
      <c r="D2" s="11"/>
      <c r="E2" s="11"/>
      <c r="F2" s="11"/>
      <c r="G2" s="11"/>
      <c r="H2" s="11"/>
      <c r="I2" s="11"/>
      <c r="J2" s="11"/>
      <c r="K2" s="11"/>
      <c r="L2" s="11"/>
      <c r="M2" s="11"/>
      <c r="N2" s="11"/>
      <c r="O2" s="11"/>
      <c r="P2" s="11"/>
      <c r="Q2" s="11"/>
      <c r="R2" s="11"/>
      <c r="S2" s="11"/>
      <c r="T2" s="11"/>
      <c r="U2" s="11"/>
      <c r="V2" s="11"/>
      <c r="W2" s="11"/>
      <c r="X2" s="11"/>
      <c r="Y2" s="11"/>
      <c r="Z2" s="11"/>
      <c r="AA2" s="11"/>
    </row>
    <row r="3" spans="1:27" x14ac:dyDescent="0.25">
      <c r="A3" s="1542" t="s">
        <v>485</v>
      </c>
      <c r="B3" s="1541"/>
      <c r="C3" s="1541"/>
      <c r="D3" s="1541"/>
      <c r="E3" s="1541"/>
      <c r="F3" s="11"/>
      <c r="G3" s="11"/>
      <c r="H3" s="11"/>
      <c r="I3" s="406" t="s">
        <v>744</v>
      </c>
      <c r="J3" s="439"/>
      <c r="K3" s="11"/>
      <c r="L3" s="11"/>
      <c r="M3" s="406" t="s">
        <v>745</v>
      </c>
      <c r="N3" s="439"/>
      <c r="O3" s="11"/>
      <c r="P3" s="11"/>
      <c r="Q3" s="406" t="s">
        <v>189</v>
      </c>
      <c r="R3" s="406"/>
      <c r="S3" s="439"/>
      <c r="T3" s="296"/>
      <c r="U3" s="11"/>
      <c r="V3" s="406" t="s">
        <v>96</v>
      </c>
      <c r="W3" s="439"/>
      <c r="X3" s="11"/>
      <c r="Y3" s="11"/>
      <c r="Z3" s="406" t="s">
        <v>1634</v>
      </c>
      <c r="AA3" s="439"/>
    </row>
    <row r="4" spans="1:27" x14ac:dyDescent="0.25">
      <c r="A4" s="1543" t="s">
        <v>190</v>
      </c>
      <c r="B4" s="1541"/>
      <c r="C4" s="1541"/>
      <c r="D4" s="1541"/>
      <c r="E4" s="1541"/>
      <c r="F4" s="11"/>
      <c r="G4" s="11"/>
      <c r="H4" s="11"/>
      <c r="I4" s="439" t="s">
        <v>1236</v>
      </c>
      <c r="J4" s="439"/>
      <c r="K4" s="11"/>
      <c r="L4" s="11"/>
      <c r="M4" s="439" t="s">
        <v>1233</v>
      </c>
      <c r="N4" s="439"/>
      <c r="O4" s="11"/>
      <c r="P4" s="11"/>
      <c r="Q4" s="439" t="s">
        <v>2008</v>
      </c>
      <c r="R4" s="439"/>
      <c r="S4" s="439"/>
      <c r="T4" s="296"/>
      <c r="U4" s="11"/>
      <c r="V4" s="439" t="s">
        <v>1691</v>
      </c>
      <c r="W4" s="439"/>
      <c r="X4" s="11"/>
      <c r="Y4" s="11"/>
      <c r="Z4" s="439" t="s">
        <v>1733</v>
      </c>
      <c r="AA4" s="439"/>
    </row>
    <row r="5" spans="1:27" x14ac:dyDescent="0.25">
      <c r="A5" s="274"/>
      <c r="B5" s="274" t="s">
        <v>478</v>
      </c>
      <c r="C5" s="274"/>
      <c r="D5" s="274"/>
      <c r="E5" s="277"/>
      <c r="F5" s="277"/>
      <c r="G5" s="277" t="s">
        <v>729</v>
      </c>
      <c r="H5" s="277"/>
      <c r="I5" s="11"/>
      <c r="J5" s="11"/>
      <c r="K5" s="11"/>
      <c r="L5" s="11"/>
      <c r="M5" s="11"/>
      <c r="N5" s="11"/>
      <c r="O5" s="11"/>
      <c r="P5" s="11"/>
      <c r="Q5" s="11"/>
      <c r="R5" s="11"/>
      <c r="S5" s="11"/>
      <c r="T5" s="11"/>
      <c r="U5" s="11"/>
      <c r="V5" s="11"/>
      <c r="W5" s="11"/>
      <c r="X5" s="11"/>
      <c r="Y5" s="11"/>
      <c r="Z5" s="11"/>
      <c r="AA5" s="11"/>
    </row>
    <row r="6" spans="1:27" x14ac:dyDescent="0.25">
      <c r="A6" s="1" t="s">
        <v>479</v>
      </c>
      <c r="B6" s="1" t="s">
        <v>480</v>
      </c>
      <c r="C6" s="1" t="s">
        <v>481</v>
      </c>
      <c r="D6" s="1546" t="s">
        <v>114</v>
      </c>
      <c r="E6" s="1532" t="s">
        <v>486</v>
      </c>
      <c r="F6" s="1532" t="s">
        <v>482</v>
      </c>
      <c r="G6" s="1532" t="s">
        <v>482</v>
      </c>
      <c r="H6" s="1532"/>
      <c r="I6" s="10" t="s">
        <v>481</v>
      </c>
      <c r="J6" s="10" t="s">
        <v>114</v>
      </c>
      <c r="K6" s="10"/>
      <c r="L6" s="10"/>
      <c r="M6" s="10"/>
      <c r="N6" s="10"/>
      <c r="O6" s="10"/>
      <c r="P6" s="10"/>
      <c r="Q6" s="745" t="s">
        <v>481</v>
      </c>
      <c r="R6" s="10" t="s">
        <v>114</v>
      </c>
      <c r="S6" s="10"/>
      <c r="T6" s="10"/>
      <c r="U6" s="10"/>
      <c r="V6" s="745" t="s">
        <v>481</v>
      </c>
      <c r="W6" s="10" t="s">
        <v>114</v>
      </c>
      <c r="X6" s="10"/>
      <c r="Y6" s="10"/>
      <c r="Z6" s="10"/>
      <c r="AA6" s="10"/>
    </row>
    <row r="7" spans="1:27" x14ac:dyDescent="0.25">
      <c r="A7" s="274"/>
      <c r="B7" s="274"/>
      <c r="C7" s="274"/>
      <c r="D7" s="274"/>
      <c r="E7" s="274"/>
      <c r="F7" s="274"/>
      <c r="G7" s="363"/>
      <c r="H7" s="11"/>
      <c r="I7" s="11"/>
      <c r="J7" s="11"/>
      <c r="K7" s="11"/>
      <c r="L7" s="11"/>
      <c r="M7" s="11"/>
      <c r="N7" s="11"/>
      <c r="O7" s="11"/>
      <c r="P7" s="11"/>
      <c r="Q7" s="11"/>
      <c r="R7" s="11"/>
      <c r="S7" s="11"/>
      <c r="T7" s="11"/>
      <c r="U7" s="11"/>
      <c r="V7" s="11"/>
      <c r="W7" s="11"/>
      <c r="X7" s="11"/>
      <c r="Y7" s="11"/>
      <c r="Z7" s="11"/>
      <c r="AA7" s="11"/>
    </row>
    <row r="8" spans="1:27" x14ac:dyDescent="0.25">
      <c r="A8" s="1537">
        <v>40634</v>
      </c>
      <c r="B8" s="687">
        <v>4.0537999999999998</v>
      </c>
      <c r="C8" s="687">
        <v>3.71</v>
      </c>
      <c r="D8" s="1035">
        <f>C8/C20-1</f>
        <v>1.2195454669467809E-2</v>
      </c>
      <c r="E8" s="687">
        <v>0.34379999999999999</v>
      </c>
      <c r="F8" s="663"/>
      <c r="G8" s="663"/>
      <c r="H8" s="11"/>
      <c r="I8" s="1544">
        <v>1304.4000000000001</v>
      </c>
      <c r="J8" s="1035">
        <f>I8/I20-1</f>
        <v>1.0771018984889746E-2</v>
      </c>
      <c r="K8" s="1544"/>
      <c r="L8" s="11"/>
      <c r="M8" s="1544">
        <v>965</v>
      </c>
      <c r="N8" s="1035">
        <f>M8/M20-1</f>
        <v>-5.1786639047124439E-4</v>
      </c>
      <c r="O8" s="11"/>
      <c r="P8" s="11"/>
      <c r="Q8" s="1547">
        <v>2424.6</v>
      </c>
      <c r="R8" s="1035">
        <f t="shared" ref="R8:R47" si="0">Q8/Q20-1</f>
        <v>7.8144484163271688E-3</v>
      </c>
      <c r="S8" s="11"/>
      <c r="T8" s="11"/>
      <c r="U8" s="11"/>
      <c r="V8" s="1544">
        <v>318.89999999999998</v>
      </c>
      <c r="W8" s="1035">
        <f t="shared" ref="W8:W47" si="1">V8/V20-1</f>
        <v>-6.8514481469948985E-3</v>
      </c>
      <c r="X8" s="11"/>
      <c r="Y8" s="11"/>
      <c r="Z8" s="1544">
        <v>995.4</v>
      </c>
      <c r="AA8" s="1035">
        <f t="shared" ref="AA8:AA47" si="2">Z8/Z20-1</f>
        <v>1.2305501881419767E-2</v>
      </c>
    </row>
    <row r="9" spans="1:27" x14ac:dyDescent="0.25">
      <c r="A9" s="1537">
        <v>40603</v>
      </c>
      <c r="B9" s="687">
        <v>4.0576999999999996</v>
      </c>
      <c r="C9" s="687">
        <v>3.7109000000000001</v>
      </c>
      <c r="D9" s="1035">
        <f t="shared" ref="D9:D72" si="3">C9/C21-1</f>
        <v>1.4600136705399835E-2</v>
      </c>
      <c r="E9" s="687">
        <v>0.3468</v>
      </c>
      <c r="F9" s="663"/>
      <c r="G9" s="663"/>
      <c r="H9" s="11"/>
      <c r="I9" s="1544">
        <v>1305.2</v>
      </c>
      <c r="J9" s="1035">
        <f t="shared" ref="J9:J47" si="4">I9/I21-1</f>
        <v>1.3118062563067578E-2</v>
      </c>
      <c r="K9" s="1544"/>
      <c r="L9" s="11"/>
      <c r="M9" s="1544">
        <v>966.5</v>
      </c>
      <c r="N9" s="1035">
        <f t="shared" ref="N9:N47" si="5">M9/M21-1</f>
        <v>1.6582029225826744E-3</v>
      </c>
      <c r="O9" s="11"/>
      <c r="P9" s="11"/>
      <c r="Q9" s="1547">
        <v>2425.8000000000002</v>
      </c>
      <c r="R9" s="1035">
        <f t="shared" si="0"/>
        <v>1.6808483883137271E-2</v>
      </c>
      <c r="S9" s="11"/>
      <c r="T9" s="11"/>
      <c r="U9" s="11"/>
      <c r="V9" s="1544">
        <v>318.7</v>
      </c>
      <c r="W9" s="1035">
        <f t="shared" si="1"/>
        <v>1.2566760917371855E-3</v>
      </c>
      <c r="X9" s="11"/>
      <c r="Y9" s="11"/>
      <c r="Z9" s="1544">
        <v>989.7</v>
      </c>
      <c r="AA9" s="1035">
        <f t="shared" si="2"/>
        <v>9.7949188858279523E-3</v>
      </c>
    </row>
    <row r="10" spans="1:27" x14ac:dyDescent="0.25">
      <c r="A10" s="1537">
        <v>40575</v>
      </c>
      <c r="B10" s="687">
        <v>4.0675999999999997</v>
      </c>
      <c r="C10" s="687">
        <v>3.7132999999999998</v>
      </c>
      <c r="D10" s="1035">
        <f t="shared" si="3"/>
        <v>1.8318935965994765E-2</v>
      </c>
      <c r="E10" s="687">
        <v>0.35439999999999999</v>
      </c>
      <c r="F10" s="663"/>
      <c r="G10" s="663"/>
      <c r="H10" s="11"/>
      <c r="I10" s="1544">
        <v>1291.3</v>
      </c>
      <c r="J10" s="1035">
        <f t="shared" si="4"/>
        <v>4.1213063763607671E-3</v>
      </c>
      <c r="K10" s="1544"/>
      <c r="L10" s="11"/>
      <c r="M10" s="1544">
        <v>958.4</v>
      </c>
      <c r="N10" s="1035">
        <f t="shared" si="5"/>
        <v>-5.9122497666217466E-3</v>
      </c>
      <c r="O10" s="11"/>
      <c r="P10" s="11"/>
      <c r="Q10" s="1547">
        <v>2411.1</v>
      </c>
      <c r="R10" s="1035">
        <f t="shared" si="0"/>
        <v>1.9621939358058116E-2</v>
      </c>
      <c r="S10" s="11"/>
      <c r="T10" s="11"/>
      <c r="U10" s="11"/>
      <c r="V10" s="1544">
        <v>318.3</v>
      </c>
      <c r="W10" s="1035">
        <f t="shared" si="1"/>
        <v>3.7842951750235443E-3</v>
      </c>
      <c r="X10" s="11"/>
      <c r="Y10" s="11"/>
      <c r="Z10" s="1544">
        <v>990.1</v>
      </c>
      <c r="AA10" s="1035">
        <f t="shared" si="2"/>
        <v>1.1958299264104744E-2</v>
      </c>
    </row>
    <row r="11" spans="1:27" x14ac:dyDescent="0.25">
      <c r="A11" s="1537">
        <v>40544</v>
      </c>
      <c r="B11" s="687">
        <v>4.0892999999999997</v>
      </c>
      <c r="C11" s="687">
        <v>3.7229999999999999</v>
      </c>
      <c r="D11" s="1035">
        <f t="shared" si="3"/>
        <v>2.4293614328555257E-2</v>
      </c>
      <c r="E11" s="687">
        <v>0.36630000000000001</v>
      </c>
      <c r="F11" s="663"/>
      <c r="G11" s="663"/>
      <c r="H11" s="11"/>
      <c r="I11" s="1544">
        <v>1295.2</v>
      </c>
      <c r="J11" s="1035">
        <f t="shared" si="4"/>
        <v>7.8593105594897406E-3</v>
      </c>
      <c r="K11" s="1544"/>
      <c r="L11" s="11"/>
      <c r="M11" s="1544">
        <v>961.9</v>
      </c>
      <c r="N11" s="1035">
        <f t="shared" si="5"/>
        <v>-1.7642175176422192E-3</v>
      </c>
      <c r="O11" s="11"/>
      <c r="P11" s="11"/>
      <c r="Q11" s="1547">
        <v>2417</v>
      </c>
      <c r="R11" s="1035">
        <f t="shared" si="0"/>
        <v>1.2059291516623549E-2</v>
      </c>
      <c r="S11" s="11"/>
      <c r="T11" s="11"/>
      <c r="U11" s="11"/>
      <c r="V11" s="1544">
        <v>318</v>
      </c>
      <c r="W11" s="1035">
        <f t="shared" si="1"/>
        <v>-1.8832391713747842E-3</v>
      </c>
      <c r="X11" s="11"/>
      <c r="Y11" s="11"/>
      <c r="Z11" s="1544">
        <v>983.8</v>
      </c>
      <c r="AA11" s="1035">
        <f t="shared" si="2"/>
        <v>4.8003268307628133E-3</v>
      </c>
    </row>
    <row r="12" spans="1:27" x14ac:dyDescent="0.25">
      <c r="A12" s="1537">
        <v>40513</v>
      </c>
      <c r="B12" s="687">
        <v>4.1094999999999997</v>
      </c>
      <c r="C12" s="687">
        <v>3.7292999999999998</v>
      </c>
      <c r="D12" s="1035">
        <f t="shared" si="3"/>
        <v>2.8488692774407021E-2</v>
      </c>
      <c r="E12" s="687">
        <v>0.38019999999999998</v>
      </c>
      <c r="F12" s="663"/>
      <c r="G12" s="663"/>
      <c r="H12" s="11"/>
      <c r="I12" s="1544">
        <v>1288.2</v>
      </c>
      <c r="J12" s="1035">
        <f t="shared" si="4"/>
        <v>4.4444444444444731E-3</v>
      </c>
      <c r="K12" s="11"/>
      <c r="L12" s="11"/>
      <c r="M12" s="1544">
        <v>960.7</v>
      </c>
      <c r="N12" s="1035">
        <f t="shared" si="5"/>
        <v>-5.8981788079469633E-3</v>
      </c>
      <c r="O12" s="11"/>
      <c r="P12" s="11"/>
      <c r="Q12" s="1547">
        <v>2410.5</v>
      </c>
      <c r="R12" s="1035">
        <f t="shared" si="0"/>
        <v>8.6618127039919113E-3</v>
      </c>
      <c r="S12" s="11"/>
      <c r="T12" s="11"/>
      <c r="U12" s="11"/>
      <c r="V12" s="1544">
        <v>318.3</v>
      </c>
      <c r="W12" s="1035">
        <f t="shared" si="1"/>
        <v>-4.6904315196998336E-3</v>
      </c>
      <c r="X12" s="11"/>
      <c r="Y12" s="11"/>
      <c r="Z12" s="1544">
        <v>977.6</v>
      </c>
      <c r="AA12" s="1035">
        <f t="shared" si="2"/>
        <v>-2.3471782834982857E-3</v>
      </c>
    </row>
    <row r="13" spans="1:27" x14ac:dyDescent="0.25">
      <c r="A13" s="1537">
        <v>40483</v>
      </c>
      <c r="B13" s="687">
        <v>4.1054000000000004</v>
      </c>
      <c r="C13" s="687">
        <v>3.7195999999999998</v>
      </c>
      <c r="D13" s="1035">
        <f t="shared" si="3"/>
        <v>2.6521319166551649E-2</v>
      </c>
      <c r="E13" s="687">
        <v>0.38579999999999998</v>
      </c>
      <c r="F13" s="663"/>
      <c r="G13" s="663"/>
      <c r="H13" s="11"/>
      <c r="I13" s="1544">
        <v>1290.3</v>
      </c>
      <c r="J13" s="1035">
        <f t="shared" si="4"/>
        <v>6.1603243917653927E-3</v>
      </c>
      <c r="K13" s="11"/>
      <c r="L13" s="11"/>
      <c r="M13" s="1544">
        <v>962.2</v>
      </c>
      <c r="N13" s="1035">
        <f t="shared" si="5"/>
        <v>-5.5808185200495464E-3</v>
      </c>
      <c r="O13" s="11"/>
      <c r="P13" s="11"/>
      <c r="Q13" s="1547">
        <v>2412.4</v>
      </c>
      <c r="R13" s="1035">
        <f t="shared" si="0"/>
        <v>8.4862672965178021E-3</v>
      </c>
      <c r="S13" s="11"/>
      <c r="T13" s="11"/>
      <c r="U13" s="11"/>
      <c r="V13" s="1544">
        <v>318</v>
      </c>
      <c r="W13" s="1035">
        <f t="shared" si="1"/>
        <v>-6.5604498594189486E-3</v>
      </c>
      <c r="X13" s="11"/>
      <c r="Y13" s="11"/>
      <c r="Z13" s="1544">
        <v>980.2</v>
      </c>
      <c r="AA13" s="1035">
        <f t="shared" si="2"/>
        <v>-1.222743020175221E-3</v>
      </c>
    </row>
    <row r="14" spans="1:27" x14ac:dyDescent="0.25">
      <c r="A14" s="1537">
        <v>40452</v>
      </c>
      <c r="B14" s="687">
        <v>4.1009000000000002</v>
      </c>
      <c r="C14" s="687">
        <v>3.7086000000000001</v>
      </c>
      <c r="D14" s="1035">
        <f t="shared" si="3"/>
        <v>2.2441552712836321E-2</v>
      </c>
      <c r="E14" s="687">
        <v>0.39229999999999998</v>
      </c>
      <c r="F14" s="663"/>
      <c r="G14" s="663"/>
      <c r="H14" s="11"/>
      <c r="I14" s="1544">
        <v>1290.5</v>
      </c>
      <c r="J14" s="1035">
        <f t="shared" si="4"/>
        <v>5.8456742010912777E-3</v>
      </c>
      <c r="K14" s="11"/>
      <c r="L14" s="11"/>
      <c r="M14" s="1544">
        <v>964.3</v>
      </c>
      <c r="N14" s="1035">
        <f t="shared" si="5"/>
        <v>-4.4393970679331707E-3</v>
      </c>
      <c r="O14" s="11"/>
      <c r="P14" s="11"/>
      <c r="Q14" s="1547">
        <v>2412.8000000000002</v>
      </c>
      <c r="R14" s="1035">
        <f t="shared" si="0"/>
        <v>1.0469888600385335E-2</v>
      </c>
      <c r="S14" s="11"/>
      <c r="T14" s="11"/>
      <c r="U14" s="11"/>
      <c r="V14" s="1544">
        <v>318.2</v>
      </c>
      <c r="W14" s="1035">
        <f t="shared" si="1"/>
        <v>-4.6918986549890906E-3</v>
      </c>
      <c r="X14" s="11"/>
      <c r="Y14" s="11"/>
      <c r="Z14" s="1544">
        <v>984.3</v>
      </c>
      <c r="AA14" s="1035">
        <f t="shared" si="2"/>
        <v>3.0571690614491498E-3</v>
      </c>
    </row>
    <row r="15" spans="1:27" x14ac:dyDescent="0.25">
      <c r="A15" s="1537">
        <v>40422</v>
      </c>
      <c r="B15" s="687">
        <v>4.0952999999999999</v>
      </c>
      <c r="C15" s="687">
        <v>3.6966000000000001</v>
      </c>
      <c r="D15" s="1035">
        <f t="shared" si="3"/>
        <v>1.6834461132199996E-2</v>
      </c>
      <c r="E15" s="687">
        <v>0.3987</v>
      </c>
      <c r="F15" s="663"/>
      <c r="G15" s="663"/>
      <c r="H15" s="11"/>
      <c r="I15" s="1544">
        <v>1289.5</v>
      </c>
      <c r="J15" s="1035">
        <f t="shared" si="4"/>
        <v>3.8144169391249871E-3</v>
      </c>
      <c r="K15" s="11"/>
      <c r="L15" s="11"/>
      <c r="M15" s="1544">
        <v>963.7</v>
      </c>
      <c r="N15" s="1035">
        <f t="shared" si="5"/>
        <v>-6.6996495567923642E-3</v>
      </c>
      <c r="O15" s="11"/>
      <c r="P15" s="11"/>
      <c r="Q15" s="1547">
        <v>2413.6999999999998</v>
      </c>
      <c r="R15" s="1035">
        <f t="shared" si="0"/>
        <v>1.514068217184672E-2</v>
      </c>
      <c r="S15" s="11"/>
      <c r="T15" s="11"/>
      <c r="U15" s="11"/>
      <c r="V15" s="1544">
        <v>317.8</v>
      </c>
      <c r="W15" s="1035">
        <f t="shared" si="1"/>
        <v>-3.7617554858934144E-3</v>
      </c>
      <c r="X15" s="11"/>
      <c r="Y15" s="11"/>
      <c r="Z15" s="1544">
        <v>980</v>
      </c>
      <c r="AA15" s="1035">
        <f t="shared" si="2"/>
        <v>-3.963817461124064E-3</v>
      </c>
    </row>
    <row r="16" spans="1:27" x14ac:dyDescent="0.25">
      <c r="A16" s="1537">
        <v>40391</v>
      </c>
      <c r="B16" s="687">
        <v>4.0900999999999996</v>
      </c>
      <c r="C16" s="687">
        <v>3.6855000000000002</v>
      </c>
      <c r="D16" s="1035">
        <f t="shared" si="3"/>
        <v>1.0861515675141931E-2</v>
      </c>
      <c r="E16" s="687">
        <v>0.40460000000000002</v>
      </c>
      <c r="F16" s="663"/>
      <c r="G16" s="663"/>
      <c r="H16" s="11"/>
      <c r="I16" s="1544">
        <v>1294.3</v>
      </c>
      <c r="J16" s="1035">
        <f t="shared" si="4"/>
        <v>4.1117145073699124E-3</v>
      </c>
      <c r="K16" s="11"/>
      <c r="L16" s="11"/>
      <c r="M16" s="1544">
        <v>965.8</v>
      </c>
      <c r="N16" s="1035">
        <f t="shared" si="5"/>
        <v>-7.8076844051777616E-3</v>
      </c>
      <c r="O16" s="11"/>
      <c r="P16" s="11"/>
      <c r="Q16" s="1547">
        <v>2403.4</v>
      </c>
      <c r="R16" s="1035">
        <f t="shared" si="0"/>
        <v>6.5753654144156126E-3</v>
      </c>
      <c r="S16" s="11"/>
      <c r="T16" s="11"/>
      <c r="U16" s="11"/>
      <c r="V16" s="1544">
        <v>318.39999999999998</v>
      </c>
      <c r="W16" s="1035">
        <f t="shared" si="1"/>
        <v>-2.5062656641604564E-3</v>
      </c>
      <c r="X16" s="11"/>
      <c r="Y16" s="11"/>
      <c r="Z16" s="1544">
        <v>981</v>
      </c>
      <c r="AA16" s="1035">
        <f t="shared" si="2"/>
        <v>-3.5551041137633632E-3</v>
      </c>
    </row>
    <row r="17" spans="1:27" x14ac:dyDescent="0.25">
      <c r="A17" s="1537">
        <v>40360</v>
      </c>
      <c r="B17" s="687">
        <v>4.0880000000000001</v>
      </c>
      <c r="C17" s="687">
        <v>3.6776</v>
      </c>
      <c r="D17" s="1035">
        <f t="shared" si="3"/>
        <v>5.4955570745043314E-3</v>
      </c>
      <c r="E17" s="687">
        <v>0.41039999999999999</v>
      </c>
      <c r="F17" s="663"/>
      <c r="G17" s="663"/>
      <c r="H17" s="11"/>
      <c r="I17" s="1544">
        <v>1289.7</v>
      </c>
      <c r="J17" s="1035">
        <f t="shared" si="4"/>
        <v>-9.2958401115506017E-4</v>
      </c>
      <c r="K17" s="11"/>
      <c r="L17" s="11"/>
      <c r="M17" s="1544">
        <v>964.9</v>
      </c>
      <c r="N17" s="1035">
        <f t="shared" si="5"/>
        <v>-1.0967609676096779E-2</v>
      </c>
      <c r="O17" s="11"/>
      <c r="P17" s="11"/>
      <c r="Q17" s="1547">
        <v>2421.1</v>
      </c>
      <c r="R17" s="1035">
        <f t="shared" si="0"/>
        <v>1.1784863554682445E-2</v>
      </c>
      <c r="S17" s="11"/>
      <c r="T17" s="11"/>
      <c r="U17" s="11"/>
      <c r="V17" s="1544">
        <v>319.10000000000002</v>
      </c>
      <c r="W17" s="1035">
        <f t="shared" si="1"/>
        <v>-2.8124999999998845E-3</v>
      </c>
      <c r="X17" s="11"/>
      <c r="Y17" s="11"/>
      <c r="Z17" s="1544">
        <v>982.5</v>
      </c>
      <c r="AA17" s="1035">
        <f t="shared" si="2"/>
        <v>-2.8417740789606905E-3</v>
      </c>
    </row>
    <row r="18" spans="1:27" x14ac:dyDescent="0.25">
      <c r="A18" s="1537">
        <v>40330</v>
      </c>
      <c r="B18" s="687">
        <v>4.0895999999999999</v>
      </c>
      <c r="C18" s="687">
        <v>3.6734</v>
      </c>
      <c r="D18" s="1035">
        <f t="shared" si="3"/>
        <v>1.1446636869072435E-3</v>
      </c>
      <c r="E18" s="687">
        <v>0.41620000000000001</v>
      </c>
      <c r="F18" s="663"/>
      <c r="G18" s="663"/>
      <c r="H18" s="11"/>
      <c r="I18" s="1544">
        <v>1286.5999999999999</v>
      </c>
      <c r="J18" s="1035">
        <f t="shared" si="4"/>
        <v>-6.6399011735640556E-3</v>
      </c>
      <c r="K18" s="11"/>
      <c r="L18" s="11"/>
      <c r="M18" s="1544">
        <v>965.7</v>
      </c>
      <c r="N18" s="1035">
        <f t="shared" si="5"/>
        <v>-1.3786764705882359E-2</v>
      </c>
      <c r="O18" s="11"/>
      <c r="P18" s="11"/>
      <c r="Q18" s="1547">
        <v>2414.3000000000002</v>
      </c>
      <c r="R18" s="1035">
        <f t="shared" si="0"/>
        <v>1.17760455955076E-2</v>
      </c>
      <c r="S18" s="11"/>
      <c r="T18" s="11"/>
      <c r="U18" s="11"/>
      <c r="V18" s="1544">
        <v>319.39999999999998</v>
      </c>
      <c r="W18" s="1035">
        <f t="shared" si="1"/>
        <v>-8.9978281104562408E-3</v>
      </c>
      <c r="X18" s="11"/>
      <c r="Y18" s="11"/>
      <c r="Z18" s="1544">
        <v>983.9</v>
      </c>
      <c r="AA18" s="1035">
        <f t="shared" si="2"/>
        <v>-5.3578649413668078E-3</v>
      </c>
    </row>
    <row r="19" spans="1:27" x14ac:dyDescent="0.25">
      <c r="A19" s="1537">
        <v>40299</v>
      </c>
      <c r="B19" s="687">
        <v>4.0926</v>
      </c>
      <c r="C19" s="687">
        <v>3.6701000000000001</v>
      </c>
      <c r="D19" s="1035">
        <f t="shared" si="3"/>
        <v>-3.0694844352691097E-3</v>
      </c>
      <c r="E19" s="687">
        <v>0.42249999999999999</v>
      </c>
      <c r="F19" s="663"/>
      <c r="G19" s="663"/>
      <c r="H19" s="11"/>
      <c r="I19" s="1544">
        <v>1290.3</v>
      </c>
      <c r="J19" s="1035">
        <f t="shared" si="4"/>
        <v>-6.7739204064352077E-3</v>
      </c>
      <c r="K19" s="11"/>
      <c r="L19" s="11"/>
      <c r="M19" s="1544">
        <v>968</v>
      </c>
      <c r="N19" s="1035">
        <f t="shared" si="5"/>
        <v>-1.3452914798206317E-2</v>
      </c>
      <c r="O19" s="11"/>
      <c r="P19" s="11"/>
      <c r="Q19" s="1547">
        <v>2411.8000000000002</v>
      </c>
      <c r="R19" s="1035">
        <f t="shared" si="0"/>
        <v>1.0262639802287143E-2</v>
      </c>
      <c r="S19" s="11"/>
      <c r="T19" s="11"/>
      <c r="U19" s="11"/>
      <c r="V19" s="1544">
        <v>320.3</v>
      </c>
      <c r="W19" s="1035">
        <f t="shared" si="1"/>
        <v>-8.972772277227703E-3</v>
      </c>
      <c r="X19" s="11"/>
      <c r="Y19" s="11"/>
      <c r="Z19" s="1544">
        <v>985.5</v>
      </c>
      <c r="AA19" s="1035">
        <f t="shared" si="2"/>
        <v>-7.2529465095195755E-3</v>
      </c>
    </row>
    <row r="20" spans="1:27" x14ac:dyDescent="0.25">
      <c r="A20" s="1537">
        <v>40269</v>
      </c>
      <c r="B20" s="687">
        <v>4.0946999999999996</v>
      </c>
      <c r="C20" s="687">
        <v>3.6652999999999998</v>
      </c>
      <c r="D20" s="1035">
        <f t="shared" si="3"/>
        <v>-8.0378890392421853E-3</v>
      </c>
      <c r="E20" s="687">
        <v>0.4294</v>
      </c>
      <c r="F20" s="663"/>
      <c r="G20" s="663"/>
      <c r="H20" s="11"/>
      <c r="I20" s="1544">
        <v>1290.5</v>
      </c>
      <c r="J20" s="1035">
        <f t="shared" si="4"/>
        <v>-9.9731492136555522E-3</v>
      </c>
      <c r="K20" s="11"/>
      <c r="L20" s="11"/>
      <c r="M20" s="1544">
        <v>965.5</v>
      </c>
      <c r="N20" s="1035">
        <f t="shared" si="5"/>
        <v>-1.9498324362750119E-2</v>
      </c>
      <c r="O20" s="11"/>
      <c r="P20" s="11"/>
      <c r="Q20" s="1547">
        <v>2405.8000000000002</v>
      </c>
      <c r="R20" s="1035">
        <f t="shared" si="0"/>
        <v>7.0322310590205106E-3</v>
      </c>
      <c r="S20" s="11"/>
      <c r="T20" s="11"/>
      <c r="U20" s="11"/>
      <c r="V20" s="1544">
        <v>321.10000000000002</v>
      </c>
      <c r="W20" s="1035">
        <f t="shared" si="1"/>
        <v>-7.1119356833641012E-3</v>
      </c>
      <c r="X20" s="11"/>
      <c r="Y20" s="11"/>
      <c r="Z20" s="1544">
        <v>983.3</v>
      </c>
      <c r="AA20" s="1035">
        <f t="shared" si="2"/>
        <v>-1.1659463262639447E-2</v>
      </c>
    </row>
    <row r="21" spans="1:27" x14ac:dyDescent="0.25">
      <c r="A21" s="1537">
        <v>40238</v>
      </c>
      <c r="B21" s="687">
        <v>4.0938999999999997</v>
      </c>
      <c r="C21" s="687">
        <v>3.6575000000000002</v>
      </c>
      <c r="D21" s="1035">
        <f t="shared" si="3"/>
        <v>-1.4363479573137772E-2</v>
      </c>
      <c r="E21" s="687">
        <v>0.4365</v>
      </c>
      <c r="F21" s="663"/>
      <c r="G21" s="663"/>
      <c r="H21" s="11"/>
      <c r="I21" s="1544">
        <v>1288.3</v>
      </c>
      <c r="J21" s="1035">
        <f t="shared" si="4"/>
        <v>-1.6639951148767262E-2</v>
      </c>
      <c r="K21" s="11"/>
      <c r="L21" s="11"/>
      <c r="M21" s="1544">
        <v>964.9</v>
      </c>
      <c r="N21" s="1035">
        <f t="shared" si="5"/>
        <v>-2.4565305297209905E-2</v>
      </c>
      <c r="O21" s="11"/>
      <c r="P21" s="11"/>
      <c r="Q21" s="1547">
        <v>2385.6999999999998</v>
      </c>
      <c r="R21" s="1035">
        <f t="shared" si="0"/>
        <v>-5.5025219892451682E-3</v>
      </c>
      <c r="S21" s="11"/>
      <c r="T21" s="11"/>
      <c r="U21" s="11"/>
      <c r="V21" s="1544">
        <v>318.3</v>
      </c>
      <c r="W21" s="1035">
        <f t="shared" si="1"/>
        <v>-1.9408502772643277E-2</v>
      </c>
      <c r="X21" s="11"/>
      <c r="Y21" s="11"/>
      <c r="Z21" s="1544">
        <v>980.1</v>
      </c>
      <c r="AA21" s="1035">
        <f t="shared" si="2"/>
        <v>-2.3221048435319913E-2</v>
      </c>
    </row>
    <row r="22" spans="1:27" x14ac:dyDescent="0.25">
      <c r="A22" s="1537">
        <v>40210</v>
      </c>
      <c r="B22" s="687">
        <v>4.0900999999999996</v>
      </c>
      <c r="C22" s="687">
        <v>3.6465000000000001</v>
      </c>
      <c r="D22" s="1035">
        <f t="shared" si="3"/>
        <v>-2.2307424189613068E-2</v>
      </c>
      <c r="E22" s="687">
        <v>0.44350000000000001</v>
      </c>
      <c r="F22" s="663"/>
      <c r="G22" s="663"/>
      <c r="H22" s="11"/>
      <c r="I22" s="1544">
        <v>1286</v>
      </c>
      <c r="J22" s="1035">
        <f t="shared" si="4"/>
        <v>-2.3612481967959842E-2</v>
      </c>
      <c r="K22" s="11"/>
      <c r="L22" s="11"/>
      <c r="M22" s="1544">
        <v>964.1</v>
      </c>
      <c r="N22" s="1035">
        <f t="shared" si="5"/>
        <v>-3.0665594208727165E-2</v>
      </c>
      <c r="O22" s="11"/>
      <c r="P22" s="11"/>
      <c r="Q22" s="1547">
        <v>2364.6999999999998</v>
      </c>
      <c r="R22" s="1035">
        <f t="shared" si="0"/>
        <v>-1.8144826440790629E-2</v>
      </c>
      <c r="S22" s="11"/>
      <c r="T22" s="11"/>
      <c r="U22" s="11"/>
      <c r="V22" s="1544">
        <v>317.10000000000002</v>
      </c>
      <c r="W22" s="1035">
        <f t="shared" si="1"/>
        <v>-2.8194912657063975E-2</v>
      </c>
      <c r="X22" s="11"/>
      <c r="Y22" s="11"/>
      <c r="Z22" s="1544">
        <v>978.4</v>
      </c>
      <c r="AA22" s="1035">
        <f t="shared" si="2"/>
        <v>-3.3583563808771255E-2</v>
      </c>
    </row>
    <row r="23" spans="1:27" x14ac:dyDescent="0.25">
      <c r="A23" s="1537">
        <v>40179</v>
      </c>
      <c r="B23" s="687">
        <v>4.0835999999999997</v>
      </c>
      <c r="C23" s="687">
        <v>3.6347</v>
      </c>
      <c r="D23" s="1035">
        <f t="shared" si="3"/>
        <v>-3.1082558046543918E-2</v>
      </c>
      <c r="E23" s="687">
        <v>0.44900000000000001</v>
      </c>
      <c r="F23" s="663"/>
      <c r="G23" s="1539"/>
      <c r="H23" s="11"/>
      <c r="I23" s="1545">
        <v>1285.0999999999999</v>
      </c>
      <c r="J23" s="1035">
        <f t="shared" si="4"/>
        <v>-2.8867225874707247E-2</v>
      </c>
      <c r="K23" s="11"/>
      <c r="L23" s="11"/>
      <c r="M23" s="1545">
        <v>963.6</v>
      </c>
      <c r="N23" s="1035">
        <f t="shared" si="5"/>
        <v>-3.5531978780902862E-2</v>
      </c>
      <c r="O23" s="11"/>
      <c r="P23" s="11"/>
      <c r="Q23" s="1548">
        <v>2388.1999999999998</v>
      </c>
      <c r="R23" s="1035">
        <f t="shared" si="0"/>
        <v>-1.1424786820101174E-2</v>
      </c>
      <c r="S23" s="11"/>
      <c r="T23" s="11"/>
      <c r="U23" s="11"/>
      <c r="V23" s="1544">
        <v>318.60000000000002</v>
      </c>
      <c r="W23" s="1035">
        <f t="shared" si="1"/>
        <v>-2.4494794856093072E-2</v>
      </c>
      <c r="X23" s="11"/>
      <c r="Y23" s="11"/>
      <c r="Z23" s="1544">
        <v>979.1</v>
      </c>
      <c r="AA23" s="1035">
        <f t="shared" si="2"/>
        <v>-3.7455760912308289E-2</v>
      </c>
    </row>
    <row r="24" spans="1:27" x14ac:dyDescent="0.25">
      <c r="A24" s="1537">
        <v>40148</v>
      </c>
      <c r="B24" s="687">
        <v>4.0774999999999997</v>
      </c>
      <c r="C24" s="687">
        <v>3.6259999999999999</v>
      </c>
      <c r="D24" s="1035">
        <f t="shared" si="3"/>
        <v>-3.9164767608246387E-2</v>
      </c>
      <c r="E24" s="687">
        <v>0.4516</v>
      </c>
      <c r="F24" s="663"/>
      <c r="G24" s="1539"/>
      <c r="H24" s="11"/>
      <c r="I24" s="1544">
        <v>1282.5</v>
      </c>
      <c r="J24" s="1035">
        <f t="shared" si="4"/>
        <v>-3.6655900247878015E-2</v>
      </c>
      <c r="K24" s="11"/>
      <c r="L24" s="11"/>
      <c r="M24" s="1545">
        <v>966.4</v>
      </c>
      <c r="N24" s="1035">
        <f t="shared" si="5"/>
        <v>-3.6298364579178233E-2</v>
      </c>
      <c r="O24" s="11"/>
      <c r="P24" s="11"/>
      <c r="Q24" s="1547">
        <v>2389.8000000000002</v>
      </c>
      <c r="R24" s="1035">
        <f t="shared" si="0"/>
        <v>-1.1130880953366007E-2</v>
      </c>
      <c r="S24" s="11"/>
      <c r="T24" s="11"/>
      <c r="U24" s="11"/>
      <c r="V24" s="1544">
        <v>319.8</v>
      </c>
      <c r="W24" s="1035">
        <f t="shared" si="1"/>
        <v>-2.5594149908592212E-2</v>
      </c>
      <c r="X24" s="11"/>
      <c r="Y24" s="11"/>
      <c r="Z24" s="1544">
        <v>979.9</v>
      </c>
      <c r="AA24" s="1035">
        <f t="shared" si="2"/>
        <v>-4.4559282371294806E-2</v>
      </c>
    </row>
    <row r="25" spans="1:27" x14ac:dyDescent="0.25">
      <c r="A25" s="1537">
        <v>40118</v>
      </c>
      <c r="B25" s="687">
        <v>4.0743</v>
      </c>
      <c r="C25" s="687">
        <v>3.6234999999999999</v>
      </c>
      <c r="D25" s="1035">
        <f t="shared" si="3"/>
        <v>-4.5191040843214791E-2</v>
      </c>
      <c r="E25" s="687">
        <v>0.45079999999999998</v>
      </c>
      <c r="F25" s="663"/>
      <c r="G25" s="1539"/>
      <c r="H25" s="11"/>
      <c r="I25" s="1544">
        <v>1282.4000000000001</v>
      </c>
      <c r="J25" s="1035">
        <f t="shared" si="4"/>
        <v>-4.1841004184100417E-2</v>
      </c>
      <c r="K25" s="11"/>
      <c r="L25" s="11"/>
      <c r="M25" s="1545">
        <v>967.6</v>
      </c>
      <c r="N25" s="1035">
        <f t="shared" si="5"/>
        <v>-3.9221527157183966E-2</v>
      </c>
      <c r="O25" s="11"/>
      <c r="P25" s="11"/>
      <c r="Q25" s="1547">
        <v>2392.1</v>
      </c>
      <c r="R25" s="1035">
        <f t="shared" si="0"/>
        <v>-1.2018833636213366E-2</v>
      </c>
      <c r="S25" s="11"/>
      <c r="T25" s="11"/>
      <c r="U25" s="11"/>
      <c r="V25" s="1544">
        <v>320.10000000000002</v>
      </c>
      <c r="W25" s="1035">
        <f t="shared" si="1"/>
        <v>-2.7642770352369284E-2</v>
      </c>
      <c r="X25" s="11"/>
      <c r="Y25" s="11"/>
      <c r="Z25" s="1544">
        <v>981.4</v>
      </c>
      <c r="AA25" s="1035">
        <f t="shared" si="2"/>
        <v>-4.6629104332621019E-2</v>
      </c>
    </row>
    <row r="26" spans="1:27" x14ac:dyDescent="0.25">
      <c r="A26" s="1537">
        <v>40087</v>
      </c>
      <c r="B26" s="687">
        <v>4.0746000000000002</v>
      </c>
      <c r="C26" s="687">
        <v>3.6272000000000002</v>
      </c>
      <c r="D26" s="1035">
        <f t="shared" si="3"/>
        <v>-4.880287415099771E-2</v>
      </c>
      <c r="E26" s="687">
        <v>0.44740000000000002</v>
      </c>
      <c r="F26" s="663"/>
      <c r="G26" s="1539"/>
      <c r="H26" s="11"/>
      <c r="I26" s="1544">
        <v>1283</v>
      </c>
      <c r="J26" s="1035">
        <f t="shared" si="4"/>
        <v>-4.5670931270455295E-2</v>
      </c>
      <c r="K26" s="11"/>
      <c r="L26" s="11"/>
      <c r="M26" s="1545">
        <v>968.6</v>
      </c>
      <c r="N26" s="1035">
        <f t="shared" si="5"/>
        <v>-4.3074491207271359E-2</v>
      </c>
      <c r="O26" s="11"/>
      <c r="P26" s="11"/>
      <c r="Q26" s="1547">
        <v>2387.8000000000002</v>
      </c>
      <c r="R26" s="1035">
        <f t="shared" si="0"/>
        <v>-1.5827219520237246E-2</v>
      </c>
      <c r="S26" s="11"/>
      <c r="T26" s="11"/>
      <c r="U26" s="11"/>
      <c r="V26" s="1544">
        <v>319.7</v>
      </c>
      <c r="W26" s="1035">
        <f t="shared" si="1"/>
        <v>-3.2970356926799838E-2</v>
      </c>
      <c r="X26" s="11"/>
      <c r="Y26" s="11"/>
      <c r="Z26" s="1544">
        <v>981.3</v>
      </c>
      <c r="AA26" s="1035">
        <f t="shared" si="2"/>
        <v>-5.2707790327251813E-2</v>
      </c>
    </row>
    <row r="27" spans="1:27" x14ac:dyDescent="0.25">
      <c r="A27" s="1537">
        <v>40057</v>
      </c>
      <c r="B27" s="687">
        <v>4.0773000000000001</v>
      </c>
      <c r="C27" s="687">
        <v>3.6354000000000002</v>
      </c>
      <c r="D27" s="1035">
        <f t="shared" si="3"/>
        <v>-5.056150430921913E-2</v>
      </c>
      <c r="E27" s="687">
        <v>0.44190000000000002</v>
      </c>
      <c r="F27" s="663"/>
      <c r="G27" s="1539"/>
      <c r="H27" s="11"/>
      <c r="I27" s="1544">
        <v>1284.5999999999999</v>
      </c>
      <c r="J27" s="1035">
        <f t="shared" si="4"/>
        <v>-4.9148778682457483E-2</v>
      </c>
      <c r="K27" s="11"/>
      <c r="L27" s="11"/>
      <c r="M27" s="1545">
        <v>970.2</v>
      </c>
      <c r="N27" s="1035">
        <f t="shared" si="5"/>
        <v>-4.2628774422735272E-2</v>
      </c>
      <c r="O27" s="11"/>
      <c r="P27" s="11"/>
      <c r="Q27" s="1547">
        <v>2377.6999999999998</v>
      </c>
      <c r="R27" s="1035">
        <f t="shared" si="0"/>
        <v>-2.2488077618812774E-2</v>
      </c>
      <c r="S27" s="11"/>
      <c r="T27" s="11"/>
      <c r="U27" s="11"/>
      <c r="V27" s="1544">
        <v>319</v>
      </c>
      <c r="W27" s="1035">
        <f t="shared" si="1"/>
        <v>-3.8287609285498903E-2</v>
      </c>
      <c r="X27" s="11"/>
      <c r="Y27" s="11"/>
      <c r="Z27" s="1544">
        <v>983.9</v>
      </c>
      <c r="AA27" s="1035">
        <f t="shared" si="2"/>
        <v>-5.2393335259558915E-2</v>
      </c>
    </row>
    <row r="28" spans="1:27" x14ac:dyDescent="0.25">
      <c r="A28" s="1537">
        <v>40026</v>
      </c>
      <c r="B28" s="687">
        <v>4.0807000000000002</v>
      </c>
      <c r="C28" s="687">
        <v>3.6459000000000001</v>
      </c>
      <c r="D28" s="1035">
        <f t="shared" si="3"/>
        <v>-5.1436153605994295E-2</v>
      </c>
      <c r="E28" s="687">
        <v>0.43480000000000002</v>
      </c>
      <c r="F28" s="663"/>
      <c r="G28" s="1539"/>
      <c r="H28" s="11"/>
      <c r="I28" s="1544">
        <v>1289</v>
      </c>
      <c r="J28" s="1035">
        <f t="shared" si="4"/>
        <v>-4.8216790962120615E-2</v>
      </c>
      <c r="K28" s="11"/>
      <c r="L28" s="11"/>
      <c r="M28" s="1545">
        <v>973.4</v>
      </c>
      <c r="N28" s="1035">
        <f t="shared" si="5"/>
        <v>-4.0890728150556721E-2</v>
      </c>
      <c r="O28" s="11"/>
      <c r="P28" s="11"/>
      <c r="Q28" s="1547">
        <v>2387.6999999999998</v>
      </c>
      <c r="R28" s="1035">
        <f t="shared" si="0"/>
        <v>-2.0430769230769252E-2</v>
      </c>
      <c r="S28" s="11"/>
      <c r="T28" s="11"/>
      <c r="U28" s="11"/>
      <c r="V28" s="1544">
        <v>319.2</v>
      </c>
      <c r="W28" s="1035">
        <f t="shared" si="1"/>
        <v>-4.0000000000000036E-2</v>
      </c>
      <c r="X28" s="11"/>
      <c r="Y28" s="11"/>
      <c r="Z28" s="1544">
        <v>984.5</v>
      </c>
      <c r="AA28" s="1035">
        <f t="shared" si="2"/>
        <v>-5.6450067088365086E-2</v>
      </c>
    </row>
    <row r="29" spans="1:27" x14ac:dyDescent="0.25">
      <c r="A29" s="1537">
        <v>39995</v>
      </c>
      <c r="B29" s="687">
        <v>4.0841000000000003</v>
      </c>
      <c r="C29" s="687">
        <v>3.6575000000000002</v>
      </c>
      <c r="D29" s="1035">
        <f t="shared" si="3"/>
        <v>-5.2191038897094977E-2</v>
      </c>
      <c r="E29" s="687">
        <v>0.42659999999999998</v>
      </c>
      <c r="F29" s="663"/>
      <c r="G29" s="1539"/>
      <c r="H29" s="11"/>
      <c r="I29" s="1544">
        <v>1290.9000000000001</v>
      </c>
      <c r="J29" s="1035">
        <f t="shared" si="4"/>
        <v>-4.8359749354957571E-2</v>
      </c>
      <c r="K29" s="11"/>
      <c r="L29" s="11"/>
      <c r="M29" s="1545">
        <v>975.6</v>
      </c>
      <c r="N29" s="1035">
        <f t="shared" si="5"/>
        <v>-4.2496810285602038E-2</v>
      </c>
      <c r="O29" s="11"/>
      <c r="P29" s="11"/>
      <c r="Q29" s="1547">
        <v>2392.9</v>
      </c>
      <c r="R29" s="1035">
        <f t="shared" si="0"/>
        <v>-1.7733262181355403E-2</v>
      </c>
      <c r="S29" s="11"/>
      <c r="T29" s="11"/>
      <c r="U29" s="11"/>
      <c r="V29" s="1544">
        <v>320</v>
      </c>
      <c r="W29" s="1035">
        <f t="shared" si="1"/>
        <v>-3.9039039039039047E-2</v>
      </c>
      <c r="X29" s="11"/>
      <c r="Y29" s="11"/>
      <c r="Z29" s="1544">
        <v>985.3</v>
      </c>
      <c r="AA29" s="1035">
        <f t="shared" si="2"/>
        <v>-5.9469263077510437E-2</v>
      </c>
    </row>
    <row r="30" spans="1:27" x14ac:dyDescent="0.25">
      <c r="A30" s="1537">
        <v>39965</v>
      </c>
      <c r="B30" s="687">
        <v>4.0864000000000003</v>
      </c>
      <c r="C30" s="687">
        <v>3.6692</v>
      </c>
      <c r="D30" s="1035">
        <f t="shared" si="3"/>
        <v>-5.3305124103410928E-2</v>
      </c>
      <c r="E30" s="687">
        <v>0.41710000000000003</v>
      </c>
      <c r="F30" s="663"/>
      <c r="G30" s="663"/>
      <c r="H30" s="11"/>
      <c r="I30" s="1544">
        <v>1295.2</v>
      </c>
      <c r="J30" s="1035">
        <f t="shared" si="4"/>
        <v>-4.9534013355837625E-2</v>
      </c>
      <c r="K30" s="11"/>
      <c r="L30" s="11"/>
      <c r="M30" s="1545">
        <v>979.2</v>
      </c>
      <c r="N30" s="1035">
        <f t="shared" si="5"/>
        <v>-3.8113948919449858E-2</v>
      </c>
      <c r="O30" s="11"/>
      <c r="P30" s="11"/>
      <c r="Q30" s="1547">
        <v>2386.1999999999998</v>
      </c>
      <c r="R30" s="1035">
        <f t="shared" si="0"/>
        <v>-1.8307483440984096E-2</v>
      </c>
      <c r="S30" s="11"/>
      <c r="T30" s="11"/>
      <c r="U30" s="11"/>
      <c r="V30" s="1544">
        <v>322.3</v>
      </c>
      <c r="W30" s="1035">
        <f t="shared" si="1"/>
        <v>-3.2713085234093553E-2</v>
      </c>
      <c r="X30" s="11"/>
      <c r="Y30" s="11"/>
      <c r="Z30" s="1544">
        <v>989.2</v>
      </c>
      <c r="AA30" s="1035">
        <f t="shared" si="2"/>
        <v>-5.4302103250478018E-2</v>
      </c>
    </row>
    <row r="31" spans="1:27" x14ac:dyDescent="0.25">
      <c r="A31" s="1537">
        <v>39934</v>
      </c>
      <c r="B31" s="687">
        <v>4.0868000000000002</v>
      </c>
      <c r="C31" s="687">
        <v>3.6814</v>
      </c>
      <c r="D31" s="1035">
        <f t="shared" si="3"/>
        <v>-5.4378258971000015E-2</v>
      </c>
      <c r="E31" s="687">
        <v>0.40539999999999998</v>
      </c>
      <c r="F31" s="663"/>
      <c r="G31" s="663"/>
      <c r="H31" s="11"/>
      <c r="I31" s="1544">
        <v>1299.0999999999999</v>
      </c>
      <c r="J31" s="1035">
        <f t="shared" si="4"/>
        <v>-4.5901880141010598E-2</v>
      </c>
      <c r="K31" s="11"/>
      <c r="L31" s="11"/>
      <c r="M31" s="1545">
        <v>981.2</v>
      </c>
      <c r="N31" s="1035">
        <f t="shared" si="5"/>
        <v>-3.7567435017165196E-2</v>
      </c>
      <c r="O31" s="11"/>
      <c r="P31" s="11"/>
      <c r="Q31" s="1547">
        <v>2387.3000000000002</v>
      </c>
      <c r="R31" s="1035">
        <f t="shared" si="0"/>
        <v>-1.9267110344260763E-2</v>
      </c>
      <c r="S31" s="11"/>
      <c r="T31" s="11"/>
      <c r="U31" s="11"/>
      <c r="V31" s="1544">
        <v>323.2</v>
      </c>
      <c r="W31" s="1035">
        <f t="shared" si="1"/>
        <v>-2.8262176788935722E-2</v>
      </c>
      <c r="X31" s="11"/>
      <c r="Y31" s="11"/>
      <c r="Z31" s="1544">
        <v>992.7</v>
      </c>
      <c r="AA31" s="1035">
        <f t="shared" si="2"/>
        <v>-5.52012943751784E-2</v>
      </c>
    </row>
    <row r="32" spans="1:27" x14ac:dyDescent="0.25">
      <c r="A32" s="1537">
        <v>39904</v>
      </c>
      <c r="B32" s="687">
        <v>4.085</v>
      </c>
      <c r="C32" s="687">
        <v>3.6949999999999998</v>
      </c>
      <c r="D32" s="1035">
        <f t="shared" si="3"/>
        <v>-5.4793819707356972E-2</v>
      </c>
      <c r="E32" s="687">
        <v>0.39</v>
      </c>
      <c r="F32" s="663"/>
      <c r="G32" s="663"/>
      <c r="H32" s="11"/>
      <c r="I32" s="1544">
        <v>1303.5</v>
      </c>
      <c r="J32" s="1035">
        <f t="shared" si="4"/>
        <v>-4.0556455174444173E-2</v>
      </c>
      <c r="K32" s="11"/>
      <c r="L32" s="11"/>
      <c r="M32" s="1545">
        <v>984.7</v>
      </c>
      <c r="N32" s="1035">
        <f t="shared" si="5"/>
        <v>-3.7721098407114129E-2</v>
      </c>
      <c r="O32" s="11"/>
      <c r="P32" s="11"/>
      <c r="Q32" s="1547">
        <v>2389</v>
      </c>
      <c r="R32" s="1035">
        <f t="shared" si="0"/>
        <v>-1.8246075449987686E-2</v>
      </c>
      <c r="S32" s="11"/>
      <c r="T32" s="11"/>
      <c r="U32" s="11"/>
      <c r="V32" s="1544">
        <v>323.39999999999998</v>
      </c>
      <c r="W32" s="1035">
        <f t="shared" si="1"/>
        <v>-2.9411764705882359E-2</v>
      </c>
      <c r="X32" s="11"/>
      <c r="Y32" s="11"/>
      <c r="Z32" s="1544">
        <v>994.9</v>
      </c>
      <c r="AA32" s="1035">
        <f t="shared" si="2"/>
        <v>-5.418766042399481E-2</v>
      </c>
    </row>
    <row r="33" spans="1:27" x14ac:dyDescent="0.25">
      <c r="A33" s="1537">
        <v>39873</v>
      </c>
      <c r="B33" s="687">
        <v>4.0812999999999997</v>
      </c>
      <c r="C33" s="687">
        <v>3.7107999999999999</v>
      </c>
      <c r="D33" s="1035">
        <f t="shared" si="3"/>
        <v>-5.3753569971440318E-2</v>
      </c>
      <c r="E33" s="687">
        <v>0.3705</v>
      </c>
      <c r="F33" s="663"/>
      <c r="G33" s="663"/>
      <c r="H33" s="11"/>
      <c r="I33" s="1544">
        <v>1310.0999999999999</v>
      </c>
      <c r="J33" s="1035">
        <f t="shared" si="4"/>
        <v>-3.6832818703132042E-2</v>
      </c>
      <c r="K33" s="11"/>
      <c r="L33" s="11"/>
      <c r="M33" s="1545">
        <v>989.2</v>
      </c>
      <c r="N33" s="1035">
        <f t="shared" si="5"/>
        <v>-3.0766215951401166E-2</v>
      </c>
      <c r="O33" s="11"/>
      <c r="P33" s="11"/>
      <c r="Q33" s="1547">
        <v>2398.9</v>
      </c>
      <c r="R33" s="1035">
        <f t="shared" si="0"/>
        <v>-1.2066551354912969E-2</v>
      </c>
      <c r="S33" s="11"/>
      <c r="T33" s="11"/>
      <c r="U33" s="11"/>
      <c r="V33" s="1544">
        <v>324.60000000000002</v>
      </c>
      <c r="W33" s="1035">
        <f t="shared" si="1"/>
        <v>-2.3759398496240536E-2</v>
      </c>
      <c r="X33" s="11"/>
      <c r="Y33" s="11"/>
      <c r="Z33" s="1544">
        <v>1003.4</v>
      </c>
      <c r="AA33" s="1035">
        <f t="shared" si="2"/>
        <v>-4.1642788920725926E-2</v>
      </c>
    </row>
    <row r="34" spans="1:27" x14ac:dyDescent="0.25">
      <c r="A34" s="1537">
        <v>39845</v>
      </c>
      <c r="B34" s="687">
        <v>4.077</v>
      </c>
      <c r="C34" s="687">
        <v>3.7296999999999998</v>
      </c>
      <c r="D34" s="1035">
        <f t="shared" si="3"/>
        <v>-5.0725375413591234E-2</v>
      </c>
      <c r="E34" s="687">
        <v>0.3473</v>
      </c>
      <c r="F34" s="663"/>
      <c r="G34" s="663"/>
      <c r="H34" s="11"/>
      <c r="I34" s="1544">
        <v>1317.1</v>
      </c>
      <c r="J34" s="1035">
        <f t="shared" si="4"/>
        <v>-3.6080210772833854E-2</v>
      </c>
      <c r="K34" s="11"/>
      <c r="L34" s="11"/>
      <c r="M34" s="1545">
        <v>994.6</v>
      </c>
      <c r="N34" s="1035">
        <f t="shared" si="5"/>
        <v>-2.4901960784313726E-2</v>
      </c>
      <c r="O34" s="11"/>
      <c r="P34" s="11"/>
      <c r="Q34" s="1547">
        <v>2408.4</v>
      </c>
      <c r="R34" s="1035">
        <f t="shared" si="0"/>
        <v>-8.2358754735628592E-3</v>
      </c>
      <c r="S34" s="11"/>
      <c r="T34" s="11"/>
      <c r="U34" s="11"/>
      <c r="V34" s="1544">
        <v>326.3</v>
      </c>
      <c r="W34" s="1035">
        <f t="shared" si="1"/>
        <v>-1.7760385310054083E-2</v>
      </c>
      <c r="X34" s="11"/>
      <c r="Y34" s="11"/>
      <c r="Z34" s="1544">
        <v>1012.4</v>
      </c>
      <c r="AA34" s="1035">
        <f t="shared" si="2"/>
        <v>-3.8830342732364964E-2</v>
      </c>
    </row>
    <row r="35" spans="1:27" x14ac:dyDescent="0.25">
      <c r="A35" s="1537">
        <v>39814</v>
      </c>
      <c r="B35" s="687">
        <v>4.0746000000000002</v>
      </c>
      <c r="C35" s="687">
        <v>3.7513000000000001</v>
      </c>
      <c r="D35" s="1035">
        <f t="shared" si="3"/>
        <v>-4.5640725570509022E-2</v>
      </c>
      <c r="E35" s="687">
        <v>0.32329999999999998</v>
      </c>
      <c r="F35" s="663"/>
      <c r="G35" s="663"/>
      <c r="H35" s="11"/>
      <c r="I35" s="1545">
        <v>1323.3</v>
      </c>
      <c r="J35" s="1035">
        <f t="shared" si="4"/>
        <v>-3.1471858303447231E-2</v>
      </c>
      <c r="K35" s="11"/>
      <c r="L35" s="11"/>
      <c r="M35" s="1545">
        <v>999.1</v>
      </c>
      <c r="N35" s="1035">
        <f t="shared" si="5"/>
        <v>-1.962515945442056E-2</v>
      </c>
      <c r="O35" s="11"/>
      <c r="P35" s="11"/>
      <c r="Q35" s="1548">
        <v>2415.8000000000002</v>
      </c>
      <c r="R35" s="1035">
        <f t="shared" si="0"/>
        <v>-4.0812961207072895E-3</v>
      </c>
      <c r="S35" s="11"/>
      <c r="T35" s="11"/>
      <c r="U35" s="11"/>
      <c r="V35" s="1544">
        <v>326.60000000000002</v>
      </c>
      <c r="W35" s="1035">
        <f t="shared" si="1"/>
        <v>-1.6561276723878304E-2</v>
      </c>
      <c r="X35" s="11"/>
      <c r="Y35" s="11"/>
      <c r="Z35" s="1544">
        <v>1017.2</v>
      </c>
      <c r="AA35" s="1035">
        <f t="shared" si="2"/>
        <v>-3.5006166397874794E-2</v>
      </c>
    </row>
    <row r="36" spans="1:27" x14ac:dyDescent="0.25">
      <c r="A36" s="1537">
        <v>39783</v>
      </c>
      <c r="B36" s="687">
        <v>4.0757000000000003</v>
      </c>
      <c r="C36" s="687">
        <v>3.7738</v>
      </c>
      <c r="D36" s="1035">
        <f t="shared" si="3"/>
        <v>-3.9207698966342464E-2</v>
      </c>
      <c r="E36" s="687">
        <v>0.30180000000000001</v>
      </c>
      <c r="F36" s="663"/>
      <c r="G36" s="663"/>
      <c r="H36" s="11"/>
      <c r="I36" s="1544">
        <v>1331.3</v>
      </c>
      <c r="J36" s="1035">
        <f t="shared" si="4"/>
        <v>-2.4545720984759711E-2</v>
      </c>
      <c r="K36" s="1544"/>
      <c r="L36" s="1544"/>
      <c r="M36" s="1544">
        <v>1002.8</v>
      </c>
      <c r="N36" s="1035">
        <f t="shared" si="5"/>
        <v>-1.2117032804649819E-2</v>
      </c>
      <c r="O36" s="1544"/>
      <c r="P36" s="11"/>
      <c r="Q36" s="1547">
        <v>2416.6999999999998</v>
      </c>
      <c r="R36" s="1035">
        <f t="shared" si="0"/>
        <v>-4.6540362438221017E-3</v>
      </c>
      <c r="S36" s="11"/>
      <c r="T36" s="11"/>
      <c r="U36" s="11"/>
      <c r="V36" s="1544">
        <v>328.2</v>
      </c>
      <c r="W36" s="1035">
        <f t="shared" si="1"/>
        <v>-9.3570781768790301E-3</v>
      </c>
      <c r="X36" s="11"/>
      <c r="Y36" s="11"/>
      <c r="Z36" s="1544">
        <v>1025.5999999999999</v>
      </c>
      <c r="AA36" s="1035">
        <f t="shared" si="2"/>
        <v>-2.4724229745150206E-2</v>
      </c>
    </row>
    <row r="37" spans="1:27" x14ac:dyDescent="0.25">
      <c r="A37" s="1537">
        <v>39753</v>
      </c>
      <c r="B37" s="687">
        <v>4.0804999999999998</v>
      </c>
      <c r="C37" s="687">
        <v>3.7949999999999999</v>
      </c>
      <c r="D37" s="1035">
        <f t="shared" si="3"/>
        <v>-3.238143804181548E-2</v>
      </c>
      <c r="E37" s="687">
        <v>0.28549999999999998</v>
      </c>
      <c r="F37" s="663"/>
      <c r="G37" s="663"/>
      <c r="H37" s="11"/>
      <c r="I37" s="1544">
        <v>1338.4</v>
      </c>
      <c r="J37" s="1035">
        <f t="shared" si="4"/>
        <v>-1.8480492813141569E-2</v>
      </c>
      <c r="K37" s="1544"/>
      <c r="L37" s="1544"/>
      <c r="M37" s="1544">
        <v>1007.1</v>
      </c>
      <c r="N37" s="1035">
        <f t="shared" si="5"/>
        <v>-9.9292174596933291E-3</v>
      </c>
      <c r="O37" s="1544"/>
      <c r="P37" s="11"/>
      <c r="Q37" s="1547">
        <v>2421.1999999999998</v>
      </c>
      <c r="R37" s="1035">
        <f t="shared" si="0"/>
        <v>-1.0314807938276438E-3</v>
      </c>
      <c r="S37" s="11"/>
      <c r="T37" s="11"/>
      <c r="U37" s="11"/>
      <c r="V37" s="1544">
        <v>329.2</v>
      </c>
      <c r="W37" s="1035">
        <f t="shared" si="1"/>
        <v>-5.7384475989128436E-3</v>
      </c>
      <c r="X37" s="11"/>
      <c r="Y37" s="11"/>
      <c r="Z37" s="1544">
        <v>1029.4000000000001</v>
      </c>
      <c r="AA37" s="1035">
        <f t="shared" si="2"/>
        <v>-2.0738203957382018E-2</v>
      </c>
    </row>
    <row r="38" spans="1:27" x14ac:dyDescent="0.25">
      <c r="A38" s="1537">
        <v>39722</v>
      </c>
      <c r="B38" s="687">
        <v>4.0888999999999998</v>
      </c>
      <c r="C38" s="687">
        <v>3.8132999999999999</v>
      </c>
      <c r="D38" s="1035">
        <f t="shared" si="3"/>
        <v>-2.5952131599785377E-2</v>
      </c>
      <c r="E38" s="687">
        <v>0.27560000000000001</v>
      </c>
      <c r="F38" s="663"/>
      <c r="G38" s="663"/>
      <c r="H38" s="11"/>
      <c r="I38" s="1544">
        <v>1344.4</v>
      </c>
      <c r="J38" s="1035">
        <f t="shared" si="4"/>
        <v>-1.2124329487838925E-2</v>
      </c>
      <c r="K38" s="1544"/>
      <c r="L38" s="1544"/>
      <c r="M38" s="1544">
        <v>1012.2</v>
      </c>
      <c r="N38" s="1035">
        <f t="shared" si="5"/>
        <v>-2.7586206896551557E-3</v>
      </c>
      <c r="O38" s="1544"/>
      <c r="P38" s="11"/>
      <c r="Q38" s="1547">
        <v>2426.1999999999998</v>
      </c>
      <c r="R38" s="1035">
        <f t="shared" si="0"/>
        <v>2.2306675479177862E-3</v>
      </c>
      <c r="S38" s="11"/>
      <c r="T38" s="11"/>
      <c r="U38" s="11"/>
      <c r="V38" s="1544">
        <v>330.6</v>
      </c>
      <c r="W38" s="1035">
        <f t="shared" si="1"/>
        <v>-1.2084592145014117E-3</v>
      </c>
      <c r="X38" s="11"/>
      <c r="Y38" s="11"/>
      <c r="Z38" s="1544">
        <v>1035.9000000000001</v>
      </c>
      <c r="AA38" s="1035">
        <f t="shared" si="2"/>
        <v>-1.3992004568817662E-2</v>
      </c>
    </row>
    <row r="39" spans="1:27" x14ac:dyDescent="0.25">
      <c r="A39" s="1537">
        <v>39692</v>
      </c>
      <c r="B39" s="687">
        <v>4.0995999999999997</v>
      </c>
      <c r="C39" s="687">
        <v>3.8290000000000002</v>
      </c>
      <c r="D39" s="1035">
        <f t="shared" si="3"/>
        <v>-2.0014332514332489E-2</v>
      </c>
      <c r="E39" s="687">
        <v>0.27060000000000001</v>
      </c>
      <c r="F39" s="663"/>
      <c r="G39" s="663"/>
      <c r="H39" s="11"/>
      <c r="I39" s="1544">
        <v>1351</v>
      </c>
      <c r="J39" s="1035">
        <f t="shared" si="4"/>
        <v>-4.7882136279926435E-3</v>
      </c>
      <c r="K39" s="1544"/>
      <c r="L39" s="1544"/>
      <c r="M39" s="1544">
        <v>1013.4</v>
      </c>
      <c r="N39" s="1035">
        <f t="shared" si="5"/>
        <v>-2.5590551181102761E-3</v>
      </c>
      <c r="O39" s="1544"/>
      <c r="P39" s="11"/>
      <c r="Q39" s="1547">
        <v>2432.4</v>
      </c>
      <c r="R39" s="1035">
        <f t="shared" si="0"/>
        <v>8.3322969779877631E-3</v>
      </c>
      <c r="S39" s="11"/>
      <c r="T39" s="11"/>
      <c r="U39" s="11"/>
      <c r="V39" s="1544">
        <v>331.7</v>
      </c>
      <c r="W39" s="1035">
        <f t="shared" si="1"/>
        <v>2.7206771463119672E-3</v>
      </c>
      <c r="X39" s="11"/>
      <c r="Y39" s="11"/>
      <c r="Z39" s="1544">
        <v>1038.3</v>
      </c>
      <c r="AA39" s="1035">
        <f t="shared" si="2"/>
        <v>-8.8774341351660624E-3</v>
      </c>
    </row>
    <row r="40" spans="1:27" x14ac:dyDescent="0.25">
      <c r="A40" s="1537">
        <v>39661</v>
      </c>
      <c r="B40" s="687">
        <v>4.1109999999999998</v>
      </c>
      <c r="C40" s="687">
        <v>3.8435999999999999</v>
      </c>
      <c r="D40" s="1035">
        <f t="shared" si="3"/>
        <v>-1.4562608963183288E-2</v>
      </c>
      <c r="E40" s="687">
        <v>0.26740000000000003</v>
      </c>
      <c r="F40" s="663"/>
      <c r="G40" s="663"/>
      <c r="H40" s="11"/>
      <c r="I40" s="1544">
        <v>1354.3</v>
      </c>
      <c r="J40" s="1035">
        <f t="shared" si="4"/>
        <v>-1.5482158655264477E-3</v>
      </c>
      <c r="K40" s="1544"/>
      <c r="L40" s="1544"/>
      <c r="M40" s="1544">
        <v>1014.9</v>
      </c>
      <c r="N40" s="1035">
        <f t="shared" si="5"/>
        <v>-3.5346097201767179E-3</v>
      </c>
      <c r="O40" s="1544"/>
      <c r="P40" s="11"/>
      <c r="Q40" s="1547">
        <v>2437.5</v>
      </c>
      <c r="R40" s="1035">
        <f t="shared" si="0"/>
        <v>1.1117102916165411E-2</v>
      </c>
      <c r="S40" s="11"/>
      <c r="T40" s="11"/>
      <c r="U40" s="11"/>
      <c r="V40" s="1544">
        <v>332.5</v>
      </c>
      <c r="W40" s="1035">
        <f t="shared" si="1"/>
        <v>3.6220947781466784E-3</v>
      </c>
      <c r="X40" s="11"/>
      <c r="Y40" s="11"/>
      <c r="Z40" s="1544">
        <v>1043.4000000000001</v>
      </c>
      <c r="AA40" s="1035">
        <f t="shared" si="2"/>
        <v>-1.7221584385762601E-3</v>
      </c>
    </row>
    <row r="41" spans="1:27" x14ac:dyDescent="0.25">
      <c r="A41" s="1537">
        <v>39630</v>
      </c>
      <c r="B41" s="687">
        <v>4.1215000000000002</v>
      </c>
      <c r="C41" s="687">
        <v>3.8589000000000002</v>
      </c>
      <c r="D41" s="1035">
        <f t="shared" si="3"/>
        <v>-9.4717387956260168E-3</v>
      </c>
      <c r="E41" s="687">
        <v>0.2626</v>
      </c>
      <c r="F41" s="663"/>
      <c r="G41" s="663"/>
      <c r="H41" s="11"/>
      <c r="I41" s="1544">
        <v>1356.5</v>
      </c>
      <c r="J41" s="1035">
        <f t="shared" si="4"/>
        <v>0</v>
      </c>
      <c r="K41" s="1544"/>
      <c r="L41" s="1544"/>
      <c r="M41" s="1544">
        <v>1018.9</v>
      </c>
      <c r="N41" s="1035">
        <f t="shared" si="5"/>
        <v>1.4743463731079487E-3</v>
      </c>
      <c r="O41" s="1544"/>
      <c r="P41" s="11"/>
      <c r="Q41" s="1547">
        <v>2436.1</v>
      </c>
      <c r="R41" s="1035">
        <f t="shared" si="0"/>
        <v>1.0620203277328377E-2</v>
      </c>
      <c r="S41" s="11"/>
      <c r="T41" s="11"/>
      <c r="U41" s="11"/>
      <c r="V41" s="1544">
        <v>333</v>
      </c>
      <c r="W41" s="1035">
        <f t="shared" si="1"/>
        <v>4.2219541616403955E-3</v>
      </c>
      <c r="X41" s="11"/>
      <c r="Y41" s="11"/>
      <c r="Z41" s="1544">
        <v>1047.5999999999999</v>
      </c>
      <c r="AA41" s="1035">
        <f t="shared" si="2"/>
        <v>1.2424734779699076E-3</v>
      </c>
    </row>
    <row r="42" spans="1:27" x14ac:dyDescent="0.25">
      <c r="A42" s="1537">
        <v>39600</v>
      </c>
      <c r="B42" s="687">
        <v>4.1303999999999998</v>
      </c>
      <c r="C42" s="687">
        <v>3.8757999999999999</v>
      </c>
      <c r="D42" s="1035">
        <f t="shared" si="3"/>
        <v>-4.5204705398881329E-3</v>
      </c>
      <c r="E42" s="687">
        <v>0.25459999999999999</v>
      </c>
      <c r="F42" s="663"/>
      <c r="G42" s="663"/>
      <c r="H42" s="11"/>
      <c r="I42" s="1544">
        <v>1362.7</v>
      </c>
      <c r="J42" s="1035">
        <f t="shared" si="4"/>
        <v>4.3484669811322263E-3</v>
      </c>
      <c r="K42" s="1544"/>
      <c r="L42" s="1544"/>
      <c r="M42" s="1544">
        <v>1018</v>
      </c>
      <c r="N42" s="1035">
        <f t="shared" si="5"/>
        <v>6.7246835443037778E-3</v>
      </c>
      <c r="O42" s="1544"/>
      <c r="P42" s="11"/>
      <c r="Q42" s="1547">
        <v>2430.6999999999998</v>
      </c>
      <c r="R42" s="1035">
        <f t="shared" si="0"/>
        <v>8.3800041485169174E-3</v>
      </c>
      <c r="S42" s="11"/>
      <c r="T42" s="11"/>
      <c r="U42" s="11"/>
      <c r="V42" s="1544">
        <v>333.2</v>
      </c>
      <c r="W42" s="1035">
        <f t="shared" si="1"/>
        <v>5.12820512820511E-3</v>
      </c>
      <c r="X42" s="11"/>
      <c r="Y42" s="11"/>
      <c r="Z42" s="1544">
        <v>1046</v>
      </c>
      <c r="AA42" s="1035">
        <f t="shared" si="2"/>
        <v>-2.5746161914752541E-3</v>
      </c>
    </row>
    <row r="43" spans="1:27" x14ac:dyDescent="0.25">
      <c r="A43" s="1537">
        <v>39569</v>
      </c>
      <c r="B43" s="687">
        <v>4.1376999999999997</v>
      </c>
      <c r="C43" s="687">
        <v>3.8931</v>
      </c>
      <c r="D43" s="1035">
        <f t="shared" si="3"/>
        <v>-5.1370302827979941E-5</v>
      </c>
      <c r="E43" s="687">
        <v>0.24460000000000001</v>
      </c>
      <c r="F43" s="663"/>
      <c r="G43" s="663"/>
      <c r="H43" s="11"/>
      <c r="I43" s="1544">
        <v>1361.6</v>
      </c>
      <c r="J43" s="1035">
        <f t="shared" si="4"/>
        <v>1.1028600838174363E-3</v>
      </c>
      <c r="K43" s="1544"/>
      <c r="L43" s="1544"/>
      <c r="M43" s="1544">
        <v>1019.5</v>
      </c>
      <c r="N43" s="1035">
        <f t="shared" si="5"/>
        <v>7.411067193675791E-3</v>
      </c>
      <c r="O43" s="1544"/>
      <c r="P43" s="11"/>
      <c r="Q43" s="1547">
        <v>2434.1999999999998</v>
      </c>
      <c r="R43" s="1035">
        <f t="shared" si="0"/>
        <v>1.0418828608193875E-2</v>
      </c>
      <c r="S43" s="11"/>
      <c r="T43" s="11"/>
      <c r="U43" s="11"/>
      <c r="V43" s="1544">
        <v>332.6</v>
      </c>
      <c r="W43" s="1035">
        <f t="shared" si="1"/>
        <v>4.2270531400967482E-3</v>
      </c>
      <c r="X43" s="11"/>
      <c r="Y43" s="11"/>
      <c r="Z43" s="1544">
        <v>1050.7</v>
      </c>
      <c r="AA43" s="1035">
        <f t="shared" si="2"/>
        <v>1.7160835160643373E-3</v>
      </c>
    </row>
    <row r="44" spans="1:27" x14ac:dyDescent="0.25">
      <c r="A44" s="1537">
        <v>39539</v>
      </c>
      <c r="B44" s="687">
        <v>4.1436000000000002</v>
      </c>
      <c r="C44" s="687">
        <v>3.9091999999999998</v>
      </c>
      <c r="D44" s="1035">
        <f t="shared" si="3"/>
        <v>3.6972373420971483E-3</v>
      </c>
      <c r="E44" s="687">
        <v>0.2344</v>
      </c>
      <c r="F44" s="663"/>
      <c r="G44" s="663"/>
      <c r="H44" s="11"/>
      <c r="I44" s="1544">
        <v>1358.6</v>
      </c>
      <c r="J44" s="1035">
        <f t="shared" si="4"/>
        <v>1.2528557741910973E-3</v>
      </c>
      <c r="K44" s="1544"/>
      <c r="L44" s="1544"/>
      <c r="M44" s="1544">
        <v>1023.3</v>
      </c>
      <c r="N44" s="1035">
        <f t="shared" si="5"/>
        <v>1.2767220902612841E-2</v>
      </c>
      <c r="O44" s="1544"/>
      <c r="P44" s="11"/>
      <c r="Q44" s="1547">
        <v>2433.4</v>
      </c>
      <c r="R44" s="1035">
        <f t="shared" si="0"/>
        <v>1.0212553968781179E-2</v>
      </c>
      <c r="S44" s="11"/>
      <c r="T44" s="11"/>
      <c r="U44" s="11"/>
      <c r="V44" s="1544">
        <v>333.2</v>
      </c>
      <c r="W44" s="1035">
        <f t="shared" si="1"/>
        <v>7.8644888082273212E-3</v>
      </c>
      <c r="X44" s="11"/>
      <c r="Y44" s="11"/>
      <c r="Z44" s="1544">
        <v>1051.9000000000001</v>
      </c>
      <c r="AA44" s="1035">
        <f t="shared" si="2"/>
        <v>5.5444030207438821E-3</v>
      </c>
    </row>
    <row r="45" spans="1:27" x14ac:dyDescent="0.25">
      <c r="A45" s="1537">
        <v>39508</v>
      </c>
      <c r="B45" s="687">
        <v>4.1479999999999997</v>
      </c>
      <c r="C45" s="687">
        <v>3.9216000000000002</v>
      </c>
      <c r="D45" s="1035">
        <f t="shared" si="3"/>
        <v>6.2350858286506217E-3</v>
      </c>
      <c r="E45" s="687">
        <v>0.22639999999999999</v>
      </c>
      <c r="F45" s="663"/>
      <c r="G45" s="663"/>
      <c r="H45" s="11"/>
      <c r="I45" s="1544">
        <v>1360.2</v>
      </c>
      <c r="J45" s="1035">
        <f t="shared" si="4"/>
        <v>1.6200294550809957E-3</v>
      </c>
      <c r="K45" s="1544"/>
      <c r="L45" s="1544"/>
      <c r="M45" s="1544">
        <v>1020.6</v>
      </c>
      <c r="N45" s="1035">
        <f t="shared" si="5"/>
        <v>7.1047957371226378E-3</v>
      </c>
      <c r="O45" s="1544"/>
      <c r="P45" s="11"/>
      <c r="Q45" s="1547">
        <v>2428.1999999999998</v>
      </c>
      <c r="R45" s="1035">
        <f t="shared" si="0"/>
        <v>6.8416469710161909E-3</v>
      </c>
      <c r="S45" s="11"/>
      <c r="T45" s="11"/>
      <c r="U45" s="11"/>
      <c r="V45" s="1544">
        <v>332.5</v>
      </c>
      <c r="W45" s="1035">
        <f t="shared" si="1"/>
        <v>4.5317220543805714E-3</v>
      </c>
      <c r="X45" s="11"/>
      <c r="Y45" s="11"/>
      <c r="Z45" s="1544">
        <v>1047</v>
      </c>
      <c r="AA45" s="1035">
        <f t="shared" si="2"/>
        <v>1.1474469305794432E-3</v>
      </c>
    </row>
    <row r="46" spans="1:27" x14ac:dyDescent="0.25">
      <c r="A46" s="1537">
        <v>39479</v>
      </c>
      <c r="B46" s="687">
        <v>4.1505000000000001</v>
      </c>
      <c r="C46" s="1540">
        <v>3.9289999999999998</v>
      </c>
      <c r="D46" s="1035">
        <f t="shared" si="3"/>
        <v>7.5133984665485265E-3</v>
      </c>
      <c r="E46" s="687">
        <v>0.2215</v>
      </c>
      <c r="F46" s="663"/>
      <c r="G46" s="663"/>
      <c r="H46" s="11"/>
      <c r="I46" s="1544">
        <v>1366.4</v>
      </c>
      <c r="J46" s="1035">
        <f t="shared" si="4"/>
        <v>1.1174424628136004E-2</v>
      </c>
      <c r="K46" s="1544"/>
      <c r="L46" s="1544"/>
      <c r="M46" s="1544">
        <v>1020</v>
      </c>
      <c r="N46" s="1035">
        <f t="shared" si="5"/>
        <v>1.3110846245530494E-2</v>
      </c>
      <c r="O46" s="1544"/>
      <c r="P46" s="11"/>
      <c r="Q46" s="1547">
        <v>2428.4</v>
      </c>
      <c r="R46" s="1035">
        <f t="shared" si="0"/>
        <v>7.9276138297430521E-3</v>
      </c>
      <c r="S46" s="11"/>
      <c r="T46" s="11"/>
      <c r="U46" s="11"/>
      <c r="V46" s="1544">
        <v>332.2</v>
      </c>
      <c r="W46" s="1035">
        <f t="shared" si="1"/>
        <v>3.9286793593231728E-3</v>
      </c>
      <c r="X46" s="11"/>
      <c r="Y46" s="11"/>
      <c r="Z46" s="1544">
        <v>1053.3</v>
      </c>
      <c r="AA46" s="1035">
        <f t="shared" si="2"/>
        <v>1.0941549093002934E-2</v>
      </c>
    </row>
    <row r="47" spans="1:27" x14ac:dyDescent="0.25">
      <c r="A47" s="1537">
        <v>39448</v>
      </c>
      <c r="B47" s="687">
        <v>4.1497000000000002</v>
      </c>
      <c r="C47" s="1540">
        <v>3.9306999999999999</v>
      </c>
      <c r="D47" s="1035">
        <f t="shared" si="3"/>
        <v>7.7684340067685209E-3</v>
      </c>
      <c r="E47" s="687">
        <v>0.219</v>
      </c>
      <c r="F47" s="663"/>
      <c r="G47" s="663"/>
      <c r="H47" s="11"/>
      <c r="I47" s="1545">
        <v>1366.3</v>
      </c>
      <c r="J47" s="1035">
        <f t="shared" si="4"/>
        <v>9.5315501699422267E-3</v>
      </c>
      <c r="K47" s="1544"/>
      <c r="L47" s="1544"/>
      <c r="M47" s="1545">
        <v>1019.1</v>
      </c>
      <c r="N47" s="1035">
        <f t="shared" si="5"/>
        <v>1.372724559832883E-2</v>
      </c>
      <c r="O47" s="1544"/>
      <c r="P47" s="11"/>
      <c r="Q47" s="1548">
        <v>2425.6999999999998</v>
      </c>
      <c r="R47" s="1035">
        <f t="shared" si="0"/>
        <v>7.3504983388703593E-3</v>
      </c>
      <c r="S47" s="11"/>
      <c r="T47" s="11"/>
      <c r="U47" s="11"/>
      <c r="V47" s="1544">
        <v>332.1</v>
      </c>
      <c r="W47" s="1035">
        <f t="shared" si="1"/>
        <v>2.1122510561255581E-3</v>
      </c>
      <c r="X47" s="11"/>
      <c r="Y47" s="11"/>
      <c r="Z47" s="1544">
        <v>1054.0999999999999</v>
      </c>
      <c r="AA47" s="1035">
        <f t="shared" si="2"/>
        <v>9.7710508669410778E-3</v>
      </c>
    </row>
    <row r="48" spans="1:27" x14ac:dyDescent="0.25">
      <c r="A48" s="1537">
        <v>39417</v>
      </c>
      <c r="B48" s="687">
        <v>4.1452999999999998</v>
      </c>
      <c r="C48" s="1540">
        <v>3.9278</v>
      </c>
      <c r="D48" s="1035">
        <f t="shared" si="3"/>
        <v>7.6707970958720395E-3</v>
      </c>
      <c r="E48" s="687">
        <v>0.2175</v>
      </c>
      <c r="F48" s="663"/>
      <c r="G48" s="663"/>
      <c r="H48" s="11"/>
      <c r="I48" s="1544">
        <v>1364.8</v>
      </c>
      <c r="J48" s="1035"/>
      <c r="K48" s="11"/>
      <c r="L48" s="11"/>
      <c r="M48" s="1544">
        <v>1015.1</v>
      </c>
      <c r="N48" s="11"/>
      <c r="O48" s="11"/>
      <c r="P48" s="11"/>
      <c r="Q48" s="1547">
        <v>2428</v>
      </c>
      <c r="R48" s="11"/>
      <c r="S48" s="11"/>
      <c r="T48" s="11"/>
      <c r="U48" s="11"/>
      <c r="V48" s="1544">
        <v>331.3</v>
      </c>
      <c r="W48" s="11"/>
      <c r="X48" s="11"/>
      <c r="Y48" s="11"/>
      <c r="Z48" s="1544">
        <v>1051.5999999999999</v>
      </c>
      <c r="AA48" s="11"/>
    </row>
    <row r="49" spans="1:27" x14ac:dyDescent="0.25">
      <c r="A49" s="1537">
        <v>39387</v>
      </c>
      <c r="B49" s="687">
        <v>4.1383000000000001</v>
      </c>
      <c r="C49" s="687">
        <v>3.9220000000000002</v>
      </c>
      <c r="D49" s="1035">
        <f t="shared" si="3"/>
        <v>7.9411991467708276E-3</v>
      </c>
      <c r="E49" s="687">
        <v>0.21629999999999999</v>
      </c>
      <c r="F49" s="663"/>
      <c r="G49" s="663"/>
      <c r="H49" s="11"/>
      <c r="I49" s="1544">
        <v>1363.6</v>
      </c>
      <c r="J49" s="1035"/>
      <c r="K49" s="11"/>
      <c r="L49" s="11"/>
      <c r="M49" s="1544">
        <v>1017.2</v>
      </c>
      <c r="N49" s="11"/>
      <c r="O49" s="11"/>
      <c r="P49" s="11"/>
      <c r="Q49" s="1547">
        <v>2423.6999999999998</v>
      </c>
      <c r="R49" s="11"/>
      <c r="S49" s="11"/>
      <c r="T49" s="11"/>
      <c r="U49" s="11"/>
      <c r="V49" s="1544">
        <v>331.1</v>
      </c>
      <c r="W49" s="11"/>
      <c r="X49" s="11"/>
      <c r="Y49" s="11"/>
      <c r="Z49" s="1544">
        <v>1051.2</v>
      </c>
      <c r="AA49" s="11"/>
    </row>
    <row r="50" spans="1:27" x14ac:dyDescent="0.25">
      <c r="A50" s="1537">
        <v>39356</v>
      </c>
      <c r="B50" s="687">
        <v>4.1295999999999999</v>
      </c>
      <c r="C50" s="687">
        <v>3.9148999999999998</v>
      </c>
      <c r="D50" s="1035">
        <f t="shared" si="3"/>
        <v>8.9688410092523263E-3</v>
      </c>
      <c r="E50" s="687">
        <v>0.2147</v>
      </c>
      <c r="F50" s="663"/>
      <c r="G50" s="663"/>
      <c r="H50" s="11"/>
      <c r="I50" s="1544">
        <v>1360.9</v>
      </c>
      <c r="J50" s="1035"/>
      <c r="K50" s="11"/>
      <c r="L50" s="11"/>
      <c r="M50" s="1544">
        <v>1015</v>
      </c>
      <c r="N50" s="11"/>
      <c r="O50" s="11"/>
      <c r="P50" s="11"/>
      <c r="Q50" s="1547">
        <v>2420.8000000000002</v>
      </c>
      <c r="R50" s="11"/>
      <c r="S50" s="11"/>
      <c r="T50" s="11"/>
      <c r="U50" s="11"/>
      <c r="V50" s="1544">
        <v>331</v>
      </c>
      <c r="W50" s="11"/>
      <c r="X50" s="11"/>
      <c r="Y50" s="11"/>
      <c r="Z50" s="1544">
        <v>1050.5999999999999</v>
      </c>
      <c r="AA50" s="11"/>
    </row>
    <row r="51" spans="1:27" x14ac:dyDescent="0.25">
      <c r="A51" s="1537">
        <v>39326</v>
      </c>
      <c r="B51" s="687">
        <v>4.1200999999999999</v>
      </c>
      <c r="C51" s="687">
        <v>3.9072</v>
      </c>
      <c r="D51" s="1035">
        <f t="shared" si="3"/>
        <v>1.0552451893234061E-2</v>
      </c>
      <c r="E51" s="687">
        <v>0.21290000000000001</v>
      </c>
      <c r="F51" s="663"/>
      <c r="G51" s="663"/>
      <c r="H51" s="11"/>
      <c r="I51" s="1544">
        <v>1357.5</v>
      </c>
      <c r="J51" s="1035"/>
      <c r="K51" s="11"/>
      <c r="L51" s="11"/>
      <c r="M51" s="1544">
        <v>1016</v>
      </c>
      <c r="N51" s="11"/>
      <c r="O51" s="11"/>
      <c r="P51" s="11"/>
      <c r="Q51" s="1547">
        <v>2412.3000000000002</v>
      </c>
      <c r="R51" s="11"/>
      <c r="S51" s="11"/>
      <c r="T51" s="11"/>
      <c r="U51" s="11"/>
      <c r="V51" s="1544">
        <v>330.8</v>
      </c>
      <c r="W51" s="11"/>
      <c r="X51" s="11"/>
      <c r="Y51" s="11"/>
      <c r="Z51" s="1544">
        <v>1047.5999999999999</v>
      </c>
      <c r="AA51" s="11"/>
    </row>
    <row r="52" spans="1:27" x14ac:dyDescent="0.25">
      <c r="A52" s="1537">
        <v>39295</v>
      </c>
      <c r="B52" s="687">
        <v>4.1109</v>
      </c>
      <c r="C52" s="687">
        <v>3.9003999999999999</v>
      </c>
      <c r="D52" s="1035">
        <f t="shared" si="3"/>
        <v>1.2643767686995266E-2</v>
      </c>
      <c r="E52" s="687">
        <v>0.21060000000000001</v>
      </c>
      <c r="F52" s="663"/>
      <c r="G52" s="663"/>
      <c r="H52" s="11"/>
      <c r="I52" s="1544">
        <v>1356.4</v>
      </c>
      <c r="J52" s="1035"/>
      <c r="K52" s="11"/>
      <c r="L52" s="11"/>
      <c r="M52" s="1544">
        <v>1018.5</v>
      </c>
      <c r="N52" s="11"/>
      <c r="O52" s="11"/>
      <c r="P52" s="11"/>
      <c r="Q52" s="1547">
        <v>2410.6999999999998</v>
      </c>
      <c r="R52" s="11"/>
      <c r="S52" s="11"/>
      <c r="T52" s="11"/>
      <c r="U52" s="11"/>
      <c r="V52" s="1544">
        <v>331.3</v>
      </c>
      <c r="W52" s="11"/>
      <c r="X52" s="11"/>
      <c r="Y52" s="11"/>
      <c r="Z52" s="1544">
        <v>1045.2</v>
      </c>
      <c r="AA52" s="11"/>
    </row>
    <row r="53" spans="1:27" x14ac:dyDescent="0.25">
      <c r="A53" s="1537">
        <v>39264</v>
      </c>
      <c r="B53" s="687">
        <v>4.1025999999999998</v>
      </c>
      <c r="C53" s="687">
        <v>3.8957999999999999</v>
      </c>
      <c r="D53" s="1035">
        <f t="shared" si="3"/>
        <v>1.5112825056021739E-2</v>
      </c>
      <c r="E53" s="687">
        <v>0.20680000000000001</v>
      </c>
      <c r="F53" s="663"/>
      <c r="G53" s="663"/>
      <c r="H53" s="11"/>
      <c r="I53" s="1544">
        <v>1356.5</v>
      </c>
      <c r="J53" s="1035"/>
      <c r="K53" s="11"/>
      <c r="L53" s="11"/>
      <c r="M53" s="1544">
        <v>1017.4</v>
      </c>
      <c r="N53" s="11"/>
      <c r="O53" s="11"/>
      <c r="P53" s="11"/>
      <c r="Q53" s="1547">
        <v>2410.5</v>
      </c>
      <c r="R53" s="11"/>
      <c r="S53" s="11"/>
      <c r="T53" s="11"/>
      <c r="U53" s="11"/>
      <c r="V53" s="1544">
        <v>331.6</v>
      </c>
      <c r="W53" s="11"/>
      <c r="X53" s="11"/>
      <c r="Y53" s="11"/>
      <c r="Z53" s="1544">
        <v>1046.3</v>
      </c>
      <c r="AA53" s="11"/>
    </row>
    <row r="54" spans="1:27" x14ac:dyDescent="0.25">
      <c r="A54" s="1537">
        <v>39234</v>
      </c>
      <c r="B54" s="687">
        <v>4.0952999999999999</v>
      </c>
      <c r="C54" s="687">
        <v>3.8934000000000002</v>
      </c>
      <c r="D54" s="1035">
        <f t="shared" si="3"/>
        <v>1.7563117453347932E-2</v>
      </c>
      <c r="E54" s="687">
        <v>0.2019</v>
      </c>
      <c r="F54" s="663"/>
      <c r="G54" s="663"/>
      <c r="H54" s="11"/>
      <c r="I54" s="1544">
        <v>1356.8</v>
      </c>
      <c r="J54" s="1035"/>
      <c r="K54" s="11"/>
      <c r="L54" s="11"/>
      <c r="M54" s="1544">
        <v>1011.2</v>
      </c>
      <c r="N54" s="11"/>
      <c r="O54" s="11"/>
      <c r="P54" s="11"/>
      <c r="Q54" s="1547">
        <v>2410.5</v>
      </c>
      <c r="R54" s="11"/>
      <c r="S54" s="11"/>
      <c r="T54" s="11"/>
      <c r="U54" s="11"/>
      <c r="V54" s="1544">
        <v>331.5</v>
      </c>
      <c r="W54" s="11"/>
      <c r="X54" s="11"/>
      <c r="Y54" s="11"/>
      <c r="Z54" s="1544">
        <v>1048.7</v>
      </c>
      <c r="AA54" s="11"/>
    </row>
    <row r="55" spans="1:27" x14ac:dyDescent="0.25">
      <c r="A55" s="1537">
        <v>39203</v>
      </c>
      <c r="B55" s="687">
        <v>4.0895999999999999</v>
      </c>
      <c r="C55" s="687">
        <v>3.8933</v>
      </c>
      <c r="D55" s="1035">
        <f t="shared" si="3"/>
        <v>2.0176610853444465E-2</v>
      </c>
      <c r="E55" s="687">
        <v>0.1963</v>
      </c>
      <c r="F55" s="663"/>
      <c r="G55" s="663"/>
      <c r="H55" s="11"/>
      <c r="I55" s="1544">
        <v>1360.1</v>
      </c>
      <c r="J55" s="1035"/>
      <c r="K55" s="11"/>
      <c r="L55" s="11"/>
      <c r="M55" s="1544">
        <v>1012</v>
      </c>
      <c r="N55" s="11"/>
      <c r="O55" s="11"/>
      <c r="P55" s="11"/>
      <c r="Q55" s="1547">
        <v>2409.1</v>
      </c>
      <c r="R55" s="11"/>
      <c r="S55" s="11"/>
      <c r="T55" s="11"/>
      <c r="U55" s="11"/>
      <c r="V55" s="1544">
        <v>331.2</v>
      </c>
      <c r="W55" s="11"/>
      <c r="X55" s="11"/>
      <c r="Y55" s="11"/>
      <c r="Z55" s="1544">
        <v>1048.9000000000001</v>
      </c>
      <c r="AA55" s="11"/>
    </row>
    <row r="56" spans="1:27" x14ac:dyDescent="0.25">
      <c r="A56" s="1537">
        <v>39173</v>
      </c>
      <c r="B56" s="687">
        <v>4.0857999999999999</v>
      </c>
      <c r="C56" s="687">
        <v>3.8948</v>
      </c>
      <c r="D56" s="1035">
        <f t="shared" si="3"/>
        <v>2.3277809889128198E-2</v>
      </c>
      <c r="E56" s="687">
        <v>0.191</v>
      </c>
      <c r="F56" s="663"/>
      <c r="G56" s="663"/>
      <c r="H56" s="11"/>
      <c r="I56" s="1544">
        <v>1356.9</v>
      </c>
      <c r="J56" s="1035"/>
      <c r="K56" s="11"/>
      <c r="L56" s="11"/>
      <c r="M56" s="1544">
        <v>1010.4</v>
      </c>
      <c r="N56" s="11"/>
      <c r="O56" s="11"/>
      <c r="P56" s="11"/>
      <c r="Q56" s="1547">
        <v>2408.8000000000002</v>
      </c>
      <c r="R56" s="11"/>
      <c r="S56" s="11"/>
      <c r="T56" s="11"/>
      <c r="U56" s="11"/>
      <c r="V56" s="1544">
        <v>330.6</v>
      </c>
      <c r="W56" s="11"/>
      <c r="X56" s="11"/>
      <c r="Y56" s="11"/>
      <c r="Z56" s="1544">
        <v>1046.0999999999999</v>
      </c>
      <c r="AA56" s="11"/>
    </row>
    <row r="57" spans="1:27" x14ac:dyDescent="0.25">
      <c r="A57" s="1537">
        <v>39142</v>
      </c>
      <c r="B57" s="687">
        <v>4.0837000000000003</v>
      </c>
      <c r="C57" s="687">
        <v>3.8973</v>
      </c>
      <c r="D57" s="1035">
        <f t="shared" si="3"/>
        <v>2.7037710490947831E-2</v>
      </c>
      <c r="E57" s="687">
        <v>0.18629999999999999</v>
      </c>
      <c r="F57" s="663"/>
      <c r="G57" s="663"/>
      <c r="H57" s="11"/>
      <c r="I57" s="1544">
        <v>1358</v>
      </c>
      <c r="J57" s="1035"/>
      <c r="K57" s="11"/>
      <c r="L57" s="11"/>
      <c r="M57" s="1544">
        <v>1013.4</v>
      </c>
      <c r="N57" s="11"/>
      <c r="O57" s="11"/>
      <c r="P57" s="11"/>
      <c r="Q57" s="1547">
        <v>2411.6999999999998</v>
      </c>
      <c r="R57" s="11"/>
      <c r="S57" s="11"/>
      <c r="T57" s="11"/>
      <c r="U57" s="11"/>
      <c r="V57" s="1544">
        <v>331</v>
      </c>
      <c r="W57" s="11"/>
      <c r="X57" s="11"/>
      <c r="Y57" s="11"/>
      <c r="Z57" s="1544">
        <v>1045.8</v>
      </c>
      <c r="AA57" s="11"/>
    </row>
    <row r="58" spans="1:27" x14ac:dyDescent="0.25">
      <c r="A58" s="1537">
        <v>39114</v>
      </c>
      <c r="B58" s="687">
        <v>4.0815999999999999</v>
      </c>
      <c r="C58" s="687">
        <v>3.8997000000000002</v>
      </c>
      <c r="D58" s="1035">
        <f t="shared" si="3"/>
        <v>3.1393811161068541E-2</v>
      </c>
      <c r="E58" s="687">
        <v>0.18190000000000001</v>
      </c>
      <c r="F58" s="663"/>
      <c r="G58" s="663"/>
      <c r="H58" s="11"/>
      <c r="I58" s="1544">
        <v>1351.3</v>
      </c>
      <c r="J58" s="1035"/>
      <c r="K58" s="11"/>
      <c r="L58" s="11"/>
      <c r="M58" s="1544">
        <v>1006.8</v>
      </c>
      <c r="N58" s="11"/>
      <c r="O58" s="11"/>
      <c r="P58" s="11"/>
      <c r="Q58" s="1547">
        <v>2409.3000000000002</v>
      </c>
      <c r="R58" s="11"/>
      <c r="S58" s="11"/>
      <c r="T58" s="11"/>
      <c r="U58" s="11"/>
      <c r="V58" s="1544">
        <v>330.9</v>
      </c>
      <c r="W58" s="11"/>
      <c r="X58" s="11"/>
      <c r="Y58" s="11"/>
      <c r="Z58" s="1544">
        <v>1041.9000000000001</v>
      </c>
      <c r="AA58" s="11"/>
    </row>
    <row r="59" spans="1:27" x14ac:dyDescent="0.25">
      <c r="A59" s="1537">
        <v>39083</v>
      </c>
      <c r="B59" s="687">
        <v>4.0778999999999996</v>
      </c>
      <c r="C59" s="687">
        <v>3.9003999999999999</v>
      </c>
      <c r="D59" s="1035">
        <f t="shared" si="3"/>
        <v>3.5687732342007505E-2</v>
      </c>
      <c r="E59" s="687">
        <v>0.17749999999999999</v>
      </c>
      <c r="F59" s="663"/>
      <c r="G59" s="663"/>
      <c r="H59" s="11"/>
      <c r="I59" s="1545">
        <v>1353.4</v>
      </c>
      <c r="J59" s="1035"/>
      <c r="K59" s="11"/>
      <c r="L59" s="11"/>
      <c r="M59" s="1545">
        <v>1005.3</v>
      </c>
      <c r="N59" s="11"/>
      <c r="O59" s="11"/>
      <c r="P59" s="11"/>
      <c r="Q59" s="1547">
        <v>2408</v>
      </c>
      <c r="R59" s="11"/>
      <c r="S59" s="11"/>
      <c r="T59" s="11"/>
      <c r="U59" s="11"/>
      <c r="V59" s="1544">
        <v>331.4</v>
      </c>
      <c r="W59" s="11"/>
      <c r="X59" s="11"/>
      <c r="Y59" s="11"/>
      <c r="Z59" s="1544">
        <v>1043.9000000000001</v>
      </c>
      <c r="AA59" s="11"/>
    </row>
    <row r="60" spans="1:27" x14ac:dyDescent="0.25">
      <c r="A60" s="1537">
        <v>39052</v>
      </c>
      <c r="B60" s="687">
        <v>4.0713999999999997</v>
      </c>
      <c r="C60" s="687">
        <v>3.8978999999999999</v>
      </c>
      <c r="D60" s="1035">
        <f t="shared" si="3"/>
        <v>3.943999999999992E-2</v>
      </c>
      <c r="E60" s="687">
        <v>0.17349999999999999</v>
      </c>
      <c r="F60" s="663"/>
      <c r="G60" s="663"/>
      <c r="H60" s="11"/>
      <c r="I60" s="11"/>
      <c r="J60" s="11"/>
      <c r="K60" s="11"/>
      <c r="L60" s="11"/>
      <c r="M60" s="11"/>
      <c r="N60" s="11"/>
      <c r="O60" s="11"/>
      <c r="P60" s="11"/>
      <c r="Q60" s="11"/>
      <c r="R60" s="11"/>
      <c r="S60" s="11"/>
      <c r="T60" s="11"/>
      <c r="U60" s="11"/>
      <c r="V60" s="11"/>
      <c r="W60" s="11"/>
      <c r="X60" s="11"/>
      <c r="Y60" s="11"/>
      <c r="Z60" s="11"/>
      <c r="AA60" s="11"/>
    </row>
    <row r="61" spans="1:27" x14ac:dyDescent="0.25">
      <c r="A61" s="1537">
        <v>39022</v>
      </c>
      <c r="B61" s="687">
        <v>4.0618999999999996</v>
      </c>
      <c r="C61" s="687">
        <v>3.8910999999999998</v>
      </c>
      <c r="D61" s="1035">
        <f t="shared" si="3"/>
        <v>4.1542867849781784E-2</v>
      </c>
      <c r="E61" s="687">
        <v>0.17080000000000001</v>
      </c>
      <c r="F61" s="663"/>
      <c r="G61" s="663"/>
      <c r="H61" s="11"/>
      <c r="I61" s="11"/>
      <c r="J61" s="11"/>
      <c r="K61" s="11"/>
      <c r="L61" s="11"/>
      <c r="M61" s="11"/>
      <c r="N61" s="11"/>
      <c r="O61" s="11"/>
      <c r="P61" s="11"/>
      <c r="Q61" s="11"/>
      <c r="R61" s="11"/>
      <c r="S61" s="11"/>
      <c r="T61" s="11"/>
      <c r="U61" s="11"/>
      <c r="V61" s="11"/>
      <c r="W61" s="11"/>
      <c r="X61" s="11"/>
      <c r="Y61" s="11"/>
      <c r="Z61" s="11"/>
      <c r="AA61" s="11"/>
    </row>
    <row r="62" spans="1:27" x14ac:dyDescent="0.25">
      <c r="A62" s="1537">
        <v>38991</v>
      </c>
      <c r="B62" s="687">
        <v>4.0498000000000003</v>
      </c>
      <c r="C62" s="687">
        <v>3.8801000000000001</v>
      </c>
      <c r="D62" s="1035">
        <f t="shared" si="3"/>
        <v>4.2169160108511683E-2</v>
      </c>
      <c r="E62" s="687">
        <v>0.16969999999999999</v>
      </c>
      <c r="F62" s="663"/>
      <c r="G62" s="663"/>
      <c r="H62" s="11"/>
      <c r="I62" s="11"/>
      <c r="J62" s="11"/>
      <c r="K62" s="11"/>
      <c r="L62" s="11"/>
      <c r="M62" s="11"/>
      <c r="N62" s="11"/>
      <c r="O62" s="11"/>
      <c r="P62" s="11"/>
      <c r="Q62" s="11"/>
      <c r="R62" s="11"/>
      <c r="S62" s="11"/>
      <c r="T62" s="11"/>
      <c r="U62" s="11"/>
      <c r="V62" s="11"/>
      <c r="W62" s="11"/>
      <c r="X62" s="11"/>
      <c r="Y62" s="11"/>
      <c r="Z62" s="11"/>
      <c r="AA62" s="11"/>
    </row>
    <row r="63" spans="1:27" x14ac:dyDescent="0.25">
      <c r="A63" s="1537">
        <v>38961</v>
      </c>
      <c r="B63" s="687">
        <v>4.0369000000000002</v>
      </c>
      <c r="C63" s="687">
        <v>3.8664000000000001</v>
      </c>
      <c r="D63" s="1035">
        <f t="shared" si="3"/>
        <v>4.1482598857881747E-2</v>
      </c>
      <c r="E63" s="687">
        <v>0.1704</v>
      </c>
      <c r="F63" s="663"/>
      <c r="G63" s="663"/>
      <c r="H63" s="11"/>
      <c r="I63" s="11"/>
      <c r="J63" s="11"/>
      <c r="K63" s="11"/>
      <c r="L63" s="11"/>
      <c r="M63" s="11"/>
      <c r="N63" s="11"/>
      <c r="O63" s="11"/>
      <c r="P63" s="11"/>
      <c r="Q63" s="11"/>
      <c r="R63" s="11"/>
      <c r="S63" s="11"/>
      <c r="T63" s="11"/>
      <c r="U63" s="11"/>
      <c r="V63" s="11"/>
      <c r="W63" s="11"/>
      <c r="X63" s="11"/>
      <c r="Y63" s="11"/>
      <c r="Z63" s="11"/>
      <c r="AA63" s="11"/>
    </row>
    <row r="64" spans="1:27" x14ac:dyDescent="0.25">
      <c r="A64" s="1537">
        <v>38930</v>
      </c>
      <c r="B64" s="687">
        <v>4.0240999999999998</v>
      </c>
      <c r="C64" s="687">
        <v>3.8517000000000001</v>
      </c>
      <c r="D64" s="1035">
        <f t="shared" si="3"/>
        <v>3.9791593553437865E-2</v>
      </c>
      <c r="E64" s="687">
        <v>0.1724</v>
      </c>
      <c r="F64" s="663"/>
      <c r="G64" s="663"/>
      <c r="H64" s="11"/>
      <c r="I64" s="11"/>
      <c r="J64" s="11"/>
      <c r="K64" s="11"/>
      <c r="L64" s="11"/>
      <c r="M64" s="11"/>
      <c r="N64" s="11"/>
      <c r="O64" s="11"/>
      <c r="P64" s="11"/>
      <c r="Q64" s="11"/>
      <c r="R64" s="11"/>
      <c r="S64" s="11"/>
      <c r="T64" s="11"/>
      <c r="U64" s="11"/>
      <c r="V64" s="11"/>
      <c r="W64" s="11"/>
      <c r="X64" s="11"/>
      <c r="Y64" s="11"/>
      <c r="Z64" s="11"/>
      <c r="AA64" s="11"/>
    </row>
    <row r="65" spans="1:27" x14ac:dyDescent="0.25">
      <c r="A65" s="1537">
        <v>38899</v>
      </c>
      <c r="B65" s="687">
        <v>4.0125999999999999</v>
      </c>
      <c r="C65" s="687">
        <v>3.8378000000000001</v>
      </c>
      <c r="D65" s="1035">
        <f t="shared" si="3"/>
        <v>3.7663917804515279E-2</v>
      </c>
      <c r="E65" s="687">
        <v>0.1749</v>
      </c>
      <c r="F65" s="663"/>
      <c r="G65" s="663"/>
      <c r="H65" s="11"/>
      <c r="I65" s="11"/>
      <c r="J65" s="11"/>
      <c r="K65" s="11"/>
      <c r="L65" s="11"/>
      <c r="M65" s="11"/>
      <c r="N65" s="11"/>
      <c r="O65" s="11"/>
      <c r="P65" s="11"/>
      <c r="Q65" s="11"/>
      <c r="R65" s="11"/>
      <c r="S65" s="11"/>
      <c r="T65" s="11"/>
      <c r="U65" s="11"/>
      <c r="V65" s="11"/>
      <c r="W65" s="11"/>
      <c r="X65" s="11"/>
      <c r="Y65" s="11"/>
      <c r="Z65" s="11"/>
      <c r="AA65" s="11"/>
    </row>
    <row r="66" spans="1:27" x14ac:dyDescent="0.25">
      <c r="A66" s="1537">
        <v>38869</v>
      </c>
      <c r="B66" s="687">
        <v>4.0029000000000003</v>
      </c>
      <c r="C66" s="687">
        <v>3.8262</v>
      </c>
      <c r="D66" s="1035">
        <f t="shared" si="3"/>
        <v>3.5563494641117188E-2</v>
      </c>
      <c r="E66" s="687">
        <v>0.17680000000000001</v>
      </c>
      <c r="F66" s="663"/>
      <c r="G66" s="663"/>
      <c r="H66" s="11"/>
      <c r="I66" s="11"/>
      <c r="J66" s="11"/>
      <c r="K66" s="11"/>
      <c r="L66" s="11"/>
      <c r="M66" s="11"/>
      <c r="N66" s="11"/>
      <c r="O66" s="11"/>
      <c r="P66" s="11"/>
      <c r="Q66" s="11"/>
      <c r="R66" s="11"/>
      <c r="S66" s="11"/>
      <c r="T66" s="11"/>
      <c r="U66" s="11"/>
      <c r="V66" s="11"/>
      <c r="W66" s="11"/>
      <c r="X66" s="11"/>
      <c r="Y66" s="11"/>
      <c r="Z66" s="11"/>
      <c r="AA66" s="11"/>
    </row>
    <row r="67" spans="1:27" x14ac:dyDescent="0.25">
      <c r="A67" s="1537">
        <v>38838</v>
      </c>
      <c r="B67" s="687">
        <v>3.9946000000000002</v>
      </c>
      <c r="C67" s="687">
        <v>3.8163</v>
      </c>
      <c r="D67" s="1035">
        <f t="shared" si="3"/>
        <v>3.3303549671025889E-2</v>
      </c>
      <c r="E67" s="687">
        <v>0.17829999999999999</v>
      </c>
      <c r="F67" s="663"/>
      <c r="G67" s="663"/>
      <c r="H67" s="11"/>
      <c r="I67" s="11"/>
      <c r="J67" s="11"/>
      <c r="K67" s="11"/>
      <c r="L67" s="11"/>
      <c r="M67" s="11"/>
      <c r="N67" s="11"/>
      <c r="O67" s="11"/>
      <c r="P67" s="11"/>
      <c r="Q67" s="11"/>
      <c r="R67" s="11"/>
      <c r="S67" s="11"/>
      <c r="T67" s="11"/>
      <c r="U67" s="11"/>
      <c r="V67" s="11"/>
      <c r="W67" s="11"/>
      <c r="X67" s="11"/>
      <c r="Y67" s="11"/>
      <c r="Z67" s="11"/>
      <c r="AA67" s="11"/>
    </row>
    <row r="68" spans="1:27" x14ac:dyDescent="0.25">
      <c r="A68" s="1537">
        <v>38808</v>
      </c>
      <c r="B68" s="687">
        <v>3.9874000000000001</v>
      </c>
      <c r="C68" s="687">
        <v>3.8062</v>
      </c>
      <c r="D68" s="1035">
        <f t="shared" si="3"/>
        <v>3.0429368130380663E-2</v>
      </c>
      <c r="E68" s="687">
        <v>0.1812</v>
      </c>
      <c r="F68" s="663"/>
      <c r="G68" s="663"/>
      <c r="H68" s="11"/>
      <c r="I68" s="11"/>
      <c r="J68" s="11"/>
      <c r="K68" s="11"/>
      <c r="L68" s="11"/>
      <c r="M68" s="11"/>
      <c r="N68" s="11"/>
      <c r="O68" s="11"/>
      <c r="P68" s="11"/>
      <c r="Q68" s="11"/>
      <c r="R68" s="11"/>
      <c r="S68" s="11"/>
      <c r="T68" s="11"/>
      <c r="U68" s="11"/>
      <c r="V68" s="11"/>
      <c r="W68" s="11"/>
      <c r="X68" s="11"/>
      <c r="Y68" s="11"/>
      <c r="Z68" s="11"/>
      <c r="AA68" s="11"/>
    </row>
    <row r="69" spans="1:27" x14ac:dyDescent="0.25">
      <c r="A69" s="1537">
        <v>38777</v>
      </c>
      <c r="B69" s="687">
        <v>3.9809999999999999</v>
      </c>
      <c r="C69" s="687">
        <v>3.7947000000000002</v>
      </c>
      <c r="D69" s="1035">
        <f t="shared" si="3"/>
        <v>2.6871245332034555E-2</v>
      </c>
      <c r="E69" s="687">
        <v>0.18629999999999999</v>
      </c>
      <c r="F69" s="663"/>
      <c r="G69" s="663"/>
      <c r="H69" s="11"/>
      <c r="I69" s="11"/>
      <c r="J69" s="11"/>
      <c r="K69" s="11"/>
      <c r="L69" s="11"/>
      <c r="M69" s="11"/>
      <c r="N69" s="11"/>
      <c r="O69" s="11"/>
      <c r="P69" s="11"/>
      <c r="Q69" s="11"/>
      <c r="R69" s="11"/>
      <c r="S69" s="11"/>
      <c r="T69" s="11"/>
      <c r="U69" s="11"/>
      <c r="V69" s="11"/>
      <c r="W69" s="11"/>
      <c r="X69" s="11"/>
      <c r="Y69" s="11"/>
      <c r="Z69" s="11"/>
      <c r="AA69" s="11"/>
    </row>
    <row r="70" spans="1:27" x14ac:dyDescent="0.25">
      <c r="A70" s="1537">
        <v>38749</v>
      </c>
      <c r="B70" s="687">
        <v>3.9746000000000001</v>
      </c>
      <c r="C70" s="687">
        <v>3.7810000000000001</v>
      </c>
      <c r="D70" s="1035">
        <f t="shared" si="3"/>
        <v>2.2776455312702781E-2</v>
      </c>
      <c r="E70" s="687">
        <v>0.19359999999999999</v>
      </c>
      <c r="F70" s="663"/>
      <c r="G70" s="663"/>
      <c r="H70" s="11"/>
      <c r="I70" s="11"/>
      <c r="J70" s="11"/>
      <c r="K70" s="11"/>
      <c r="L70" s="11"/>
      <c r="M70" s="11"/>
      <c r="N70" s="11"/>
      <c r="O70" s="11"/>
      <c r="P70" s="11"/>
      <c r="Q70" s="11"/>
      <c r="R70" s="11"/>
      <c r="S70" s="11"/>
      <c r="T70" s="11"/>
      <c r="U70" s="11"/>
      <c r="V70" s="11"/>
      <c r="W70" s="11"/>
      <c r="X70" s="11"/>
      <c r="Y70" s="11"/>
      <c r="Z70" s="11"/>
      <c r="AA70" s="11"/>
    </row>
    <row r="71" spans="1:27" x14ac:dyDescent="0.25">
      <c r="A71" s="1537">
        <v>38718</v>
      </c>
      <c r="B71" s="687">
        <v>3.9678</v>
      </c>
      <c r="C71" s="687">
        <v>3.766</v>
      </c>
      <c r="D71" s="1035">
        <f t="shared" si="3"/>
        <v>1.8581126768182354E-2</v>
      </c>
      <c r="E71" s="687">
        <v>0.20180000000000001</v>
      </c>
      <c r="F71" s="663"/>
      <c r="G71" s="663"/>
      <c r="H71" s="11"/>
      <c r="I71" s="11"/>
      <c r="J71" s="11"/>
      <c r="K71" s="11"/>
      <c r="L71" s="11"/>
      <c r="M71" s="11"/>
      <c r="N71" s="11"/>
      <c r="O71" s="11"/>
      <c r="P71" s="11"/>
      <c r="Q71" s="11"/>
      <c r="R71" s="11"/>
      <c r="S71" s="11"/>
      <c r="T71" s="11"/>
      <c r="U71" s="11"/>
      <c r="V71" s="11"/>
      <c r="W71" s="11"/>
      <c r="X71" s="11"/>
      <c r="Y71" s="11"/>
      <c r="Z71" s="11"/>
      <c r="AA71" s="11"/>
    </row>
    <row r="72" spans="1:27" x14ac:dyDescent="0.25">
      <c r="A72" s="1537">
        <v>38687</v>
      </c>
      <c r="B72" s="687">
        <v>3.9598</v>
      </c>
      <c r="C72" s="687">
        <v>3.75</v>
      </c>
      <c r="D72" s="1035">
        <f t="shared" si="3"/>
        <v>1.4363385539235551E-2</v>
      </c>
      <c r="E72" s="687">
        <v>0.2099</v>
      </c>
      <c r="F72" s="663"/>
      <c r="G72" s="663"/>
      <c r="H72" s="11"/>
      <c r="I72" s="11"/>
      <c r="J72" s="11"/>
      <c r="K72" s="11"/>
      <c r="L72" s="11"/>
      <c r="M72" s="11"/>
      <c r="N72" s="11"/>
      <c r="O72" s="11"/>
      <c r="P72" s="11"/>
      <c r="Q72" s="11"/>
      <c r="R72" s="11"/>
      <c r="S72" s="11"/>
      <c r="T72" s="11"/>
      <c r="U72" s="11"/>
      <c r="V72" s="11"/>
      <c r="W72" s="11"/>
      <c r="X72" s="11"/>
      <c r="Y72" s="11"/>
      <c r="Z72" s="11"/>
      <c r="AA72" s="11"/>
    </row>
    <row r="73" spans="1:27" x14ac:dyDescent="0.25">
      <c r="A73" s="1537">
        <v>38657</v>
      </c>
      <c r="B73" s="687">
        <v>3.9529000000000001</v>
      </c>
      <c r="C73" s="687">
        <v>3.7359</v>
      </c>
      <c r="D73" s="1035">
        <f t="shared" ref="D73:D136" si="6">C73/C85-1</f>
        <v>1.0822803647284829E-2</v>
      </c>
      <c r="E73" s="687">
        <v>0.21690000000000001</v>
      </c>
      <c r="F73" s="663"/>
      <c r="G73" s="663"/>
      <c r="H73" s="11"/>
      <c r="I73" s="11"/>
      <c r="J73" s="11"/>
      <c r="K73" s="11"/>
      <c r="L73" s="11"/>
      <c r="M73" s="11"/>
      <c r="N73" s="11"/>
      <c r="O73" s="11"/>
      <c r="P73" s="11"/>
      <c r="Q73" s="11"/>
      <c r="R73" s="11"/>
      <c r="S73" s="11"/>
      <c r="T73" s="11"/>
      <c r="U73" s="11"/>
      <c r="V73" s="11"/>
      <c r="W73" s="11"/>
      <c r="X73" s="11"/>
      <c r="Y73" s="11"/>
      <c r="Z73" s="11"/>
      <c r="AA73" s="11"/>
    </row>
    <row r="74" spans="1:27" x14ac:dyDescent="0.25">
      <c r="A74" s="1537">
        <v>38626</v>
      </c>
      <c r="B74" s="687">
        <v>3.9466999999999999</v>
      </c>
      <c r="C74" s="687">
        <v>3.7231000000000001</v>
      </c>
      <c r="D74" s="1035">
        <f t="shared" si="6"/>
        <v>7.9049243347140141E-3</v>
      </c>
      <c r="E74" s="687">
        <v>0.22359999999999999</v>
      </c>
      <c r="F74" s="663"/>
      <c r="G74" s="663"/>
      <c r="H74" s="11"/>
      <c r="I74" s="11"/>
      <c r="J74" s="11"/>
      <c r="K74" s="11"/>
      <c r="L74" s="11"/>
      <c r="M74" s="11"/>
      <c r="N74" s="11"/>
      <c r="O74" s="11"/>
      <c r="P74" s="11"/>
      <c r="Q74" s="11"/>
      <c r="R74" s="11"/>
      <c r="S74" s="11"/>
      <c r="T74" s="11"/>
      <c r="U74" s="11"/>
      <c r="V74" s="11"/>
      <c r="W74" s="11"/>
      <c r="X74" s="11"/>
      <c r="Y74" s="11"/>
      <c r="Z74" s="11"/>
      <c r="AA74" s="11"/>
    </row>
    <row r="75" spans="1:27" x14ac:dyDescent="0.25">
      <c r="A75" s="1537">
        <v>38596</v>
      </c>
      <c r="B75" s="687">
        <v>3.9424999999999999</v>
      </c>
      <c r="C75" s="687">
        <v>3.7124000000000001</v>
      </c>
      <c r="D75" s="1035">
        <f t="shared" si="6"/>
        <v>5.8523897258047075E-3</v>
      </c>
      <c r="E75" s="687">
        <v>0.2301</v>
      </c>
      <c r="F75" s="663"/>
      <c r="G75" s="663"/>
      <c r="H75" s="11"/>
      <c r="I75" s="11"/>
      <c r="J75" s="11"/>
      <c r="K75" s="11"/>
      <c r="L75" s="11"/>
      <c r="M75" s="11"/>
      <c r="N75" s="11"/>
      <c r="O75" s="11"/>
      <c r="P75" s="11"/>
      <c r="Q75" s="11"/>
      <c r="R75" s="11"/>
      <c r="S75" s="11"/>
      <c r="T75" s="11"/>
      <c r="U75" s="11"/>
      <c r="V75" s="11"/>
      <c r="W75" s="11"/>
      <c r="X75" s="11"/>
      <c r="Y75" s="11"/>
      <c r="Z75" s="11"/>
      <c r="AA75" s="11"/>
    </row>
    <row r="76" spans="1:27" x14ac:dyDescent="0.25">
      <c r="A76" s="1537">
        <v>38565</v>
      </c>
      <c r="B76" s="687">
        <v>3.94</v>
      </c>
      <c r="C76" s="687">
        <v>3.7042999999999999</v>
      </c>
      <c r="D76" s="1035">
        <f t="shared" si="6"/>
        <v>4.6104195481788679E-3</v>
      </c>
      <c r="E76" s="687">
        <v>0.23569999999999999</v>
      </c>
      <c r="F76" s="663"/>
      <c r="G76" s="663"/>
      <c r="H76" s="11"/>
      <c r="I76" s="11"/>
      <c r="J76" s="11"/>
      <c r="K76" s="11"/>
      <c r="L76" s="11"/>
      <c r="M76" s="11"/>
      <c r="N76" s="11"/>
      <c r="O76" s="11"/>
      <c r="P76" s="11"/>
      <c r="Q76" s="11"/>
      <c r="R76" s="11"/>
      <c r="S76" s="11"/>
      <c r="T76" s="11"/>
      <c r="U76" s="11"/>
      <c r="V76" s="11"/>
      <c r="W76" s="11"/>
      <c r="X76" s="11"/>
      <c r="Y76" s="11"/>
      <c r="Z76" s="11"/>
      <c r="AA76" s="11"/>
    </row>
    <row r="77" spans="1:27" x14ac:dyDescent="0.25">
      <c r="A77" s="1537">
        <v>38534</v>
      </c>
      <c r="B77" s="687">
        <v>3.9388999999999998</v>
      </c>
      <c r="C77" s="687">
        <v>3.6985000000000001</v>
      </c>
      <c r="D77" s="1035">
        <f t="shared" si="6"/>
        <v>3.7179765523229769E-3</v>
      </c>
      <c r="E77" s="687">
        <v>0.2404</v>
      </c>
      <c r="F77" s="663"/>
      <c r="G77" s="663"/>
      <c r="H77" s="11"/>
      <c r="I77" s="11"/>
      <c r="J77" s="11"/>
      <c r="K77" s="11"/>
      <c r="L77" s="11"/>
      <c r="M77" s="11"/>
      <c r="N77" s="11"/>
      <c r="O77" s="11"/>
      <c r="P77" s="11"/>
      <c r="Q77" s="11"/>
      <c r="R77" s="11"/>
      <c r="S77" s="11"/>
      <c r="T77" s="11"/>
      <c r="U77" s="11"/>
      <c r="V77" s="11"/>
      <c r="W77" s="11"/>
      <c r="X77" s="11"/>
      <c r="Y77" s="11"/>
      <c r="Z77" s="11"/>
      <c r="AA77" s="11"/>
    </row>
    <row r="78" spans="1:27" x14ac:dyDescent="0.25">
      <c r="A78" s="1537">
        <v>38504</v>
      </c>
      <c r="B78" s="687">
        <v>3.9388000000000001</v>
      </c>
      <c r="C78" s="687">
        <v>3.6947999999999999</v>
      </c>
      <c r="D78" s="1035">
        <f t="shared" si="6"/>
        <v>2.8499307873952606E-3</v>
      </c>
      <c r="E78" s="687">
        <v>0.24410000000000001</v>
      </c>
      <c r="F78" s="663"/>
      <c r="G78" s="663"/>
      <c r="H78" s="11"/>
      <c r="I78" s="11"/>
      <c r="J78" s="11"/>
      <c r="K78" s="11"/>
      <c r="L78" s="11"/>
      <c r="M78" s="11"/>
      <c r="N78" s="11"/>
      <c r="O78" s="11"/>
      <c r="P78" s="11"/>
      <c r="Q78" s="11"/>
      <c r="R78" s="11"/>
      <c r="S78" s="11"/>
      <c r="T78" s="11"/>
      <c r="U78" s="11"/>
      <c r="V78" s="11"/>
      <c r="W78" s="11"/>
      <c r="X78" s="11"/>
      <c r="Y78" s="11"/>
      <c r="Z78" s="11"/>
      <c r="AA78" s="11"/>
    </row>
    <row r="79" spans="1:27" x14ac:dyDescent="0.25">
      <c r="A79" s="1537">
        <v>38473</v>
      </c>
      <c r="B79" s="687">
        <v>3.9394</v>
      </c>
      <c r="C79" s="687">
        <v>3.6932999999999998</v>
      </c>
      <c r="D79" s="1035">
        <f t="shared" si="6"/>
        <v>2.0348363991533613E-3</v>
      </c>
      <c r="E79" s="687">
        <v>0.24610000000000001</v>
      </c>
      <c r="F79" s="663"/>
      <c r="G79" s="663"/>
      <c r="H79" s="11"/>
      <c r="I79" s="11"/>
      <c r="J79" s="11"/>
      <c r="K79" s="11"/>
      <c r="L79" s="11"/>
      <c r="M79" s="11"/>
      <c r="N79" s="11"/>
      <c r="O79" s="11"/>
      <c r="P79" s="11"/>
      <c r="Q79" s="11"/>
      <c r="R79" s="11"/>
      <c r="S79" s="11"/>
      <c r="T79" s="11"/>
      <c r="U79" s="11"/>
      <c r="V79" s="11"/>
      <c r="W79" s="11"/>
      <c r="X79" s="11"/>
      <c r="Y79" s="11"/>
      <c r="Z79" s="11"/>
      <c r="AA79" s="11"/>
    </row>
    <row r="80" spans="1:27" x14ac:dyDescent="0.25">
      <c r="A80" s="1537">
        <v>38443</v>
      </c>
      <c r="B80" s="687">
        <v>3.9405000000000001</v>
      </c>
      <c r="C80" s="687">
        <v>3.6938</v>
      </c>
      <c r="D80" s="1035">
        <f t="shared" si="6"/>
        <v>1.4912019087385264E-3</v>
      </c>
      <c r="E80" s="687">
        <v>0.24660000000000001</v>
      </c>
      <c r="F80" s="663"/>
      <c r="G80" s="663"/>
      <c r="H80" s="11"/>
      <c r="I80" s="11"/>
      <c r="J80" s="11"/>
      <c r="K80" s="11"/>
      <c r="L80" s="11"/>
      <c r="M80" s="11"/>
      <c r="N80" s="11"/>
      <c r="O80" s="11"/>
      <c r="P80" s="11"/>
      <c r="Q80" s="11"/>
      <c r="R80" s="11"/>
      <c r="S80" s="11"/>
      <c r="T80" s="11"/>
      <c r="U80" s="11"/>
      <c r="V80" s="11"/>
      <c r="W80" s="11"/>
      <c r="X80" s="11"/>
      <c r="Y80" s="11"/>
      <c r="Z80" s="11"/>
      <c r="AA80" s="11"/>
    </row>
    <row r="81" spans="1:27" x14ac:dyDescent="0.25">
      <c r="A81" s="1537">
        <v>38412</v>
      </c>
      <c r="B81" s="687">
        <v>3.9420000000000002</v>
      </c>
      <c r="C81" s="687">
        <v>3.6953999999999998</v>
      </c>
      <c r="D81" s="1035">
        <f t="shared" si="6"/>
        <v>1.2734711572328639E-3</v>
      </c>
      <c r="E81" s="687">
        <v>0.24660000000000001</v>
      </c>
      <c r="F81" s="663"/>
      <c r="G81" s="663"/>
      <c r="H81" s="11"/>
      <c r="I81" s="11"/>
      <c r="J81" s="11"/>
      <c r="K81" s="11"/>
      <c r="L81" s="11"/>
      <c r="M81" s="11"/>
      <c r="N81" s="11"/>
      <c r="O81" s="11"/>
      <c r="P81" s="11"/>
      <c r="Q81" s="11"/>
      <c r="R81" s="11"/>
      <c r="S81" s="11"/>
      <c r="T81" s="11"/>
      <c r="U81" s="11"/>
      <c r="V81" s="11"/>
      <c r="W81" s="11"/>
      <c r="X81" s="11"/>
      <c r="Y81" s="11"/>
      <c r="Z81" s="11"/>
      <c r="AA81" s="11"/>
    </row>
    <row r="82" spans="1:27" x14ac:dyDescent="0.25">
      <c r="A82" s="1537">
        <v>38384</v>
      </c>
      <c r="B82" s="687">
        <v>3.9432999999999998</v>
      </c>
      <c r="C82" s="687">
        <v>3.6968000000000001</v>
      </c>
      <c r="D82" s="1035">
        <f t="shared" si="6"/>
        <v>1.3543528901891477E-3</v>
      </c>
      <c r="E82" s="687">
        <v>0.24660000000000001</v>
      </c>
      <c r="F82" s="663"/>
      <c r="G82" s="663"/>
      <c r="H82" s="11"/>
      <c r="I82" s="11"/>
      <c r="J82" s="11"/>
      <c r="K82" s="11"/>
      <c r="L82" s="11"/>
      <c r="M82" s="11"/>
      <c r="N82" s="11"/>
      <c r="O82" s="11"/>
      <c r="P82" s="11"/>
      <c r="Q82" s="11"/>
      <c r="R82" s="11"/>
      <c r="S82" s="11"/>
      <c r="T82" s="11"/>
      <c r="U82" s="11"/>
      <c r="V82" s="11"/>
      <c r="W82" s="11"/>
      <c r="X82" s="11"/>
      <c r="Y82" s="11"/>
      <c r="Z82" s="11"/>
      <c r="AA82" s="11"/>
    </row>
    <row r="83" spans="1:27" x14ac:dyDescent="0.25">
      <c r="A83" s="1537">
        <v>38353</v>
      </c>
      <c r="B83" s="687">
        <v>3.944</v>
      </c>
      <c r="C83" s="687">
        <v>3.6972999999999998</v>
      </c>
      <c r="D83" s="1035">
        <f t="shared" si="6"/>
        <v>1.9511666350504608E-3</v>
      </c>
      <c r="E83" s="687">
        <v>0.2467</v>
      </c>
      <c r="F83" s="663"/>
      <c r="G83" s="663"/>
      <c r="H83" s="11"/>
      <c r="I83" s="11"/>
      <c r="J83" s="11"/>
      <c r="K83" s="11"/>
      <c r="L83" s="11"/>
      <c r="M83" s="11"/>
      <c r="N83" s="11"/>
      <c r="O83" s="11"/>
      <c r="P83" s="11"/>
      <c r="Q83" s="11"/>
      <c r="R83" s="11"/>
      <c r="S83" s="11"/>
      <c r="T83" s="11"/>
      <c r="U83" s="11"/>
      <c r="V83" s="11"/>
      <c r="W83" s="11"/>
      <c r="X83" s="11"/>
      <c r="Y83" s="11"/>
      <c r="Z83" s="11"/>
      <c r="AA83" s="11"/>
    </row>
    <row r="84" spans="1:27" x14ac:dyDescent="0.25">
      <c r="A84" s="1537">
        <v>38322</v>
      </c>
      <c r="B84" s="687">
        <v>3.9443000000000001</v>
      </c>
      <c r="C84" s="687">
        <v>3.6968999999999999</v>
      </c>
      <c r="D84" s="1035">
        <f t="shared" si="6"/>
        <v>3.2293080054273116E-3</v>
      </c>
      <c r="E84" s="687">
        <v>0.24740000000000001</v>
      </c>
      <c r="F84" s="663"/>
      <c r="G84" s="663"/>
      <c r="H84" s="11"/>
      <c r="I84" s="11"/>
      <c r="J84" s="11"/>
      <c r="K84" s="11"/>
      <c r="L84" s="11"/>
      <c r="M84" s="11"/>
      <c r="N84" s="11"/>
      <c r="O84" s="11"/>
      <c r="P84" s="11"/>
      <c r="Q84" s="11"/>
      <c r="R84" s="11"/>
      <c r="S84" s="11"/>
      <c r="T84" s="11"/>
      <c r="U84" s="11"/>
      <c r="V84" s="11"/>
      <c r="W84" s="11"/>
      <c r="X84" s="11"/>
      <c r="Y84" s="11"/>
      <c r="Z84" s="11"/>
      <c r="AA84" s="11"/>
    </row>
    <row r="85" spans="1:27" x14ac:dyDescent="0.25">
      <c r="A85" s="1537">
        <v>38292</v>
      </c>
      <c r="B85" s="687">
        <v>3.9443999999999999</v>
      </c>
      <c r="C85" s="687">
        <v>3.6959</v>
      </c>
      <c r="D85" s="1035">
        <f t="shared" si="6"/>
        <v>5.0307282319028701E-3</v>
      </c>
      <c r="E85" s="687">
        <v>0.2485</v>
      </c>
      <c r="F85" s="663"/>
      <c r="G85" s="663"/>
      <c r="H85" s="11"/>
      <c r="I85" s="11"/>
      <c r="J85" s="11"/>
      <c r="K85" s="11"/>
      <c r="L85" s="11"/>
      <c r="M85" s="11"/>
      <c r="N85" s="11"/>
      <c r="O85" s="11"/>
      <c r="P85" s="11"/>
      <c r="Q85" s="11"/>
      <c r="R85" s="11"/>
      <c r="S85" s="11"/>
      <c r="T85" s="11"/>
      <c r="U85" s="11"/>
      <c r="V85" s="11"/>
      <c r="W85" s="11"/>
      <c r="X85" s="11"/>
      <c r="Y85" s="11"/>
      <c r="Z85" s="11"/>
      <c r="AA85" s="11"/>
    </row>
    <row r="86" spans="1:27" x14ac:dyDescent="0.25">
      <c r="A86" s="1537">
        <v>38261</v>
      </c>
      <c r="B86" s="687">
        <v>3.9434999999999998</v>
      </c>
      <c r="C86" s="687">
        <v>3.6939000000000002</v>
      </c>
      <c r="D86" s="1035">
        <f t="shared" si="6"/>
        <v>6.8689181453922554E-3</v>
      </c>
      <c r="E86" s="687">
        <v>0.2495</v>
      </c>
      <c r="F86" s="663"/>
      <c r="G86" s="663"/>
      <c r="H86" s="11"/>
      <c r="I86" s="11"/>
      <c r="J86" s="11"/>
      <c r="K86" s="11"/>
      <c r="L86" s="11"/>
      <c r="M86" s="11"/>
      <c r="N86" s="11"/>
      <c r="O86" s="11"/>
      <c r="P86" s="11"/>
      <c r="Q86" s="11"/>
      <c r="R86" s="11"/>
      <c r="S86" s="11"/>
      <c r="T86" s="11"/>
      <c r="U86" s="11"/>
      <c r="V86" s="11"/>
      <c r="W86" s="11"/>
      <c r="X86" s="11"/>
      <c r="Y86" s="11"/>
      <c r="Z86" s="11"/>
      <c r="AA86" s="11"/>
    </row>
    <row r="87" spans="1:27" x14ac:dyDescent="0.25">
      <c r="A87" s="1537">
        <v>38231</v>
      </c>
      <c r="B87" s="687">
        <v>3.9409000000000001</v>
      </c>
      <c r="C87" s="687">
        <v>3.6907999999999999</v>
      </c>
      <c r="D87" s="1035">
        <f t="shared" si="6"/>
        <v>8.0847809461377373E-3</v>
      </c>
      <c r="E87" s="687">
        <v>0.25009999999999999</v>
      </c>
      <c r="F87" s="663"/>
      <c r="G87" s="663"/>
      <c r="H87" s="11"/>
      <c r="I87" s="11"/>
      <c r="J87" s="11"/>
      <c r="K87" s="11"/>
      <c r="L87" s="11"/>
      <c r="M87" s="11"/>
      <c r="N87" s="11"/>
      <c r="O87" s="11"/>
      <c r="P87" s="11"/>
      <c r="Q87" s="11"/>
      <c r="R87" s="11"/>
      <c r="S87" s="11"/>
      <c r="T87" s="11"/>
      <c r="U87" s="11"/>
      <c r="V87" s="11"/>
      <c r="W87" s="11"/>
      <c r="X87" s="11"/>
      <c r="Y87" s="11"/>
      <c r="Z87" s="11"/>
      <c r="AA87" s="11"/>
    </row>
    <row r="88" spans="1:27" x14ac:dyDescent="0.25">
      <c r="A88" s="1537">
        <v>38200</v>
      </c>
      <c r="B88" s="687">
        <v>3.9371999999999998</v>
      </c>
      <c r="C88" s="687">
        <v>3.6873</v>
      </c>
      <c r="D88" s="1035">
        <f t="shared" si="6"/>
        <v>8.5336834331666278E-3</v>
      </c>
      <c r="E88" s="687">
        <v>0.25</v>
      </c>
      <c r="F88" s="663"/>
      <c r="G88" s="663"/>
      <c r="H88" s="11"/>
      <c r="I88" s="11"/>
      <c r="J88" s="11"/>
      <c r="K88" s="11"/>
      <c r="L88" s="11"/>
      <c r="M88" s="11"/>
      <c r="N88" s="11"/>
      <c r="O88" s="11"/>
      <c r="P88" s="11"/>
      <c r="Q88" s="11"/>
      <c r="R88" s="11"/>
      <c r="S88" s="11"/>
      <c r="T88" s="11"/>
      <c r="U88" s="11"/>
      <c r="V88" s="11"/>
      <c r="W88" s="11"/>
      <c r="X88" s="11"/>
      <c r="Y88" s="11"/>
      <c r="Z88" s="11"/>
      <c r="AA88" s="11"/>
    </row>
    <row r="89" spans="1:27" x14ac:dyDescent="0.25">
      <c r="A89" s="1537">
        <v>38169</v>
      </c>
      <c r="B89" s="687">
        <v>3.9340999999999999</v>
      </c>
      <c r="C89" s="687">
        <v>3.6848000000000001</v>
      </c>
      <c r="D89" s="1035">
        <f t="shared" si="6"/>
        <v>8.4015215785009367E-3</v>
      </c>
      <c r="E89" s="687">
        <v>0.24929999999999999</v>
      </c>
      <c r="F89" s="663"/>
      <c r="G89" s="663"/>
      <c r="H89" s="11"/>
      <c r="I89" s="11"/>
      <c r="J89" s="11"/>
      <c r="K89" s="11"/>
      <c r="L89" s="11"/>
      <c r="M89" s="11"/>
      <c r="N89" s="11"/>
      <c r="O89" s="11"/>
      <c r="P89" s="11"/>
      <c r="Q89" s="11"/>
      <c r="R89" s="11"/>
      <c r="S89" s="11"/>
      <c r="T89" s="11"/>
      <c r="U89" s="11"/>
      <c r="V89" s="11"/>
      <c r="W89" s="11"/>
      <c r="X89" s="11"/>
      <c r="Y89" s="11"/>
      <c r="Z89" s="11"/>
      <c r="AA89" s="11"/>
    </row>
    <row r="90" spans="1:27" x14ac:dyDescent="0.25">
      <c r="A90" s="1537">
        <v>38139</v>
      </c>
      <c r="B90" s="687">
        <v>3.9327000000000001</v>
      </c>
      <c r="C90" s="687">
        <v>3.6842999999999999</v>
      </c>
      <c r="D90" s="1035">
        <f t="shared" si="6"/>
        <v>8.0164158686730769E-3</v>
      </c>
      <c r="E90" s="687">
        <v>0.24840000000000001</v>
      </c>
      <c r="F90" s="663"/>
      <c r="G90" s="663"/>
      <c r="H90" s="11"/>
      <c r="I90" s="11"/>
      <c r="J90" s="11"/>
      <c r="K90" s="11"/>
      <c r="L90" s="11"/>
      <c r="M90" s="11"/>
      <c r="N90" s="11"/>
      <c r="O90" s="11"/>
      <c r="P90" s="11"/>
      <c r="Q90" s="11"/>
      <c r="R90" s="11"/>
      <c r="S90" s="11"/>
      <c r="T90" s="11"/>
      <c r="U90" s="11"/>
      <c r="V90" s="11"/>
      <c r="W90" s="11"/>
      <c r="X90" s="11"/>
      <c r="Y90" s="11"/>
      <c r="Z90" s="11"/>
      <c r="AA90" s="11"/>
    </row>
    <row r="91" spans="1:27" x14ac:dyDescent="0.25">
      <c r="A91" s="1537">
        <v>38108</v>
      </c>
      <c r="B91" s="687">
        <v>3.9337</v>
      </c>
      <c r="C91" s="687">
        <v>3.6858</v>
      </c>
      <c r="D91" s="1035">
        <f t="shared" si="6"/>
        <v>7.7099737532808632E-3</v>
      </c>
      <c r="E91" s="687">
        <v>0.24779999999999999</v>
      </c>
      <c r="F91" s="663"/>
      <c r="G91" s="663"/>
      <c r="H91" s="11"/>
      <c r="I91" s="11"/>
      <c r="J91" s="11"/>
      <c r="K91" s="11"/>
      <c r="L91" s="11"/>
      <c r="M91" s="11"/>
      <c r="N91" s="11"/>
      <c r="O91" s="11"/>
      <c r="P91" s="11"/>
      <c r="Q91" s="11"/>
      <c r="R91" s="11"/>
      <c r="S91" s="11"/>
      <c r="T91" s="11"/>
      <c r="U91" s="11"/>
      <c r="V91" s="11"/>
      <c r="W91" s="11"/>
      <c r="X91" s="11"/>
      <c r="Y91" s="11"/>
      <c r="Z91" s="11"/>
      <c r="AA91" s="11"/>
    </row>
    <row r="92" spans="1:27" x14ac:dyDescent="0.25">
      <c r="A92" s="1537">
        <v>38078</v>
      </c>
      <c r="B92" s="687">
        <v>3.9363000000000001</v>
      </c>
      <c r="C92" s="687">
        <v>3.6882999999999999</v>
      </c>
      <c r="D92" s="1035">
        <f t="shared" si="6"/>
        <v>7.7597748572364456E-3</v>
      </c>
      <c r="E92" s="687">
        <v>0.248</v>
      </c>
      <c r="F92" s="663"/>
      <c r="G92" s="663"/>
      <c r="H92" s="11"/>
      <c r="I92" s="11"/>
      <c r="J92" s="11"/>
      <c r="K92" s="11"/>
      <c r="L92" s="11"/>
      <c r="M92" s="11"/>
      <c r="N92" s="11"/>
      <c r="O92" s="11"/>
      <c r="P92" s="11"/>
      <c r="Q92" s="11"/>
      <c r="R92" s="11"/>
      <c r="S92" s="11"/>
      <c r="T92" s="11"/>
      <c r="U92" s="11"/>
      <c r="V92" s="11"/>
      <c r="W92" s="11"/>
      <c r="X92" s="11"/>
      <c r="Y92" s="11"/>
      <c r="Z92" s="11"/>
      <c r="AA92" s="11"/>
    </row>
    <row r="93" spans="1:27" x14ac:dyDescent="0.25">
      <c r="A93" s="1537">
        <v>38047</v>
      </c>
      <c r="B93" s="687">
        <v>3.9397000000000002</v>
      </c>
      <c r="C93" s="687">
        <v>3.6907000000000001</v>
      </c>
      <c r="D93" s="1035">
        <f t="shared" si="6"/>
        <v>8.3879781420765909E-3</v>
      </c>
      <c r="E93" s="687">
        <v>0.249</v>
      </c>
      <c r="F93" s="663"/>
      <c r="G93" s="663"/>
      <c r="H93" s="11"/>
      <c r="I93" s="11"/>
      <c r="J93" s="11"/>
      <c r="K93" s="11"/>
      <c r="L93" s="11"/>
      <c r="M93" s="11"/>
      <c r="N93" s="11"/>
      <c r="O93" s="11"/>
      <c r="P93" s="11"/>
      <c r="Q93" s="11"/>
      <c r="R93" s="11"/>
      <c r="S93" s="11"/>
      <c r="T93" s="11"/>
      <c r="U93" s="11"/>
      <c r="V93" s="11"/>
      <c r="W93" s="11"/>
      <c r="X93" s="11"/>
      <c r="Y93" s="11"/>
      <c r="Z93" s="11"/>
      <c r="AA93" s="11"/>
    </row>
    <row r="94" spans="1:27" x14ac:dyDescent="0.25">
      <c r="A94" s="1537">
        <v>38018</v>
      </c>
      <c r="B94" s="687">
        <v>3.9428000000000001</v>
      </c>
      <c r="C94" s="687">
        <v>3.6918000000000002</v>
      </c>
      <c r="D94" s="1035">
        <f t="shared" si="6"/>
        <v>9.2676125645863028E-3</v>
      </c>
      <c r="E94" s="687">
        <v>0.25109999999999999</v>
      </c>
      <c r="F94" s="663"/>
      <c r="G94" s="663"/>
      <c r="H94" s="11"/>
      <c r="I94" s="11"/>
      <c r="J94" s="11"/>
      <c r="K94" s="11"/>
      <c r="L94" s="11"/>
      <c r="M94" s="11"/>
      <c r="N94" s="11"/>
      <c r="O94" s="11"/>
      <c r="P94" s="11"/>
      <c r="Q94" s="11"/>
      <c r="R94" s="11"/>
      <c r="S94" s="11"/>
      <c r="T94" s="11"/>
      <c r="U94" s="11"/>
      <c r="V94" s="11"/>
      <c r="W94" s="11"/>
      <c r="X94" s="11"/>
      <c r="Y94" s="11"/>
      <c r="Z94" s="11"/>
      <c r="AA94" s="11"/>
    </row>
    <row r="95" spans="1:27" x14ac:dyDescent="0.25">
      <c r="A95" s="1537">
        <v>37987</v>
      </c>
      <c r="B95" s="687">
        <v>3.9449000000000001</v>
      </c>
      <c r="C95" s="687">
        <v>3.6901000000000002</v>
      </c>
      <c r="D95" s="1035">
        <f t="shared" si="6"/>
        <v>9.4928051649614265E-3</v>
      </c>
      <c r="E95" s="687">
        <v>0.25490000000000002</v>
      </c>
      <c r="F95" s="663"/>
      <c r="G95" s="663"/>
      <c r="H95" s="11"/>
      <c r="I95" s="11"/>
      <c r="J95" s="11"/>
      <c r="K95" s="11"/>
      <c r="L95" s="11"/>
      <c r="M95" s="11"/>
      <c r="N95" s="11"/>
      <c r="O95" s="11"/>
      <c r="P95" s="11"/>
      <c r="Q95" s="11"/>
      <c r="R95" s="11"/>
      <c r="S95" s="11"/>
      <c r="T95" s="11"/>
      <c r="U95" s="11"/>
      <c r="V95" s="11"/>
      <c r="W95" s="11"/>
      <c r="X95" s="11"/>
      <c r="Y95" s="11"/>
      <c r="Z95" s="11"/>
      <c r="AA95" s="11"/>
    </row>
    <row r="96" spans="1:27" x14ac:dyDescent="0.25">
      <c r="A96" s="1537">
        <v>37956</v>
      </c>
      <c r="B96" s="687">
        <v>3.9449999999999998</v>
      </c>
      <c r="C96" s="687">
        <v>3.6850000000000001</v>
      </c>
      <c r="D96" s="1035">
        <f t="shared" si="6"/>
        <v>8.6218694402626639E-3</v>
      </c>
      <c r="E96" s="687">
        <v>0.26</v>
      </c>
      <c r="F96" s="663"/>
      <c r="G96" s="663"/>
      <c r="H96" s="11"/>
      <c r="I96" s="11"/>
      <c r="J96" s="11"/>
      <c r="K96" s="11"/>
      <c r="L96" s="11"/>
      <c r="M96" s="11"/>
      <c r="N96" s="11"/>
      <c r="O96" s="11"/>
      <c r="P96" s="11"/>
      <c r="Q96" s="11"/>
      <c r="R96" s="11"/>
      <c r="S96" s="11"/>
      <c r="T96" s="11"/>
      <c r="U96" s="11"/>
      <c r="V96" s="11"/>
      <c r="W96" s="11"/>
      <c r="X96" s="11"/>
      <c r="Y96" s="11"/>
      <c r="Z96" s="11"/>
      <c r="AA96" s="11"/>
    </row>
    <row r="97" spans="1:27" x14ac:dyDescent="0.25">
      <c r="A97" s="1537">
        <v>37926</v>
      </c>
      <c r="B97" s="687">
        <v>3.944</v>
      </c>
      <c r="C97" s="687">
        <v>3.6774</v>
      </c>
      <c r="D97" s="1035">
        <f t="shared" si="6"/>
        <v>6.95509309967135E-3</v>
      </c>
      <c r="E97" s="687">
        <v>0.26669999999999999</v>
      </c>
      <c r="F97" s="663"/>
      <c r="G97" s="663"/>
      <c r="H97" s="11"/>
      <c r="I97" s="11"/>
      <c r="J97" s="11"/>
      <c r="K97" s="11"/>
      <c r="L97" s="11"/>
      <c r="M97" s="11"/>
      <c r="N97" s="11"/>
      <c r="O97" s="11"/>
      <c r="P97" s="11"/>
      <c r="Q97" s="11"/>
      <c r="R97" s="11"/>
      <c r="S97" s="11"/>
      <c r="T97" s="11"/>
      <c r="U97" s="11"/>
      <c r="V97" s="11"/>
      <c r="W97" s="11"/>
      <c r="X97" s="11"/>
      <c r="Y97" s="11"/>
      <c r="Z97" s="11"/>
      <c r="AA97" s="11"/>
    </row>
    <row r="98" spans="1:27" x14ac:dyDescent="0.25">
      <c r="A98" s="1537">
        <v>37895</v>
      </c>
      <c r="B98" s="687">
        <v>3.9428000000000001</v>
      </c>
      <c r="C98" s="687">
        <v>3.6686999999999999</v>
      </c>
      <c r="D98" s="1035">
        <f t="shared" si="6"/>
        <v>4.9030349512435567E-3</v>
      </c>
      <c r="E98" s="687">
        <v>0.27410000000000001</v>
      </c>
      <c r="F98" s="663"/>
      <c r="G98" s="663"/>
      <c r="H98" s="11"/>
      <c r="I98" s="11"/>
      <c r="J98" s="11"/>
      <c r="K98" s="11"/>
      <c r="L98" s="11"/>
      <c r="M98" s="11"/>
      <c r="N98" s="11"/>
      <c r="O98" s="11"/>
      <c r="P98" s="11"/>
      <c r="Q98" s="11"/>
      <c r="R98" s="11"/>
      <c r="S98" s="11"/>
      <c r="T98" s="11"/>
      <c r="U98" s="11"/>
      <c r="V98" s="11"/>
      <c r="W98" s="11"/>
      <c r="X98" s="11"/>
      <c r="Y98" s="11"/>
      <c r="Z98" s="11"/>
      <c r="AA98" s="11"/>
    </row>
    <row r="99" spans="1:27" x14ac:dyDescent="0.25">
      <c r="A99" s="1537">
        <v>37865</v>
      </c>
      <c r="B99" s="687">
        <v>3.9415</v>
      </c>
      <c r="C99" s="687">
        <v>3.6612</v>
      </c>
      <c r="D99" s="1035">
        <f t="shared" si="6"/>
        <v>3.0410125749980033E-3</v>
      </c>
      <c r="E99" s="687">
        <v>0.28029999999999999</v>
      </c>
      <c r="F99" s="663"/>
      <c r="G99" s="663"/>
      <c r="H99" s="11"/>
      <c r="I99" s="11"/>
      <c r="J99" s="11"/>
      <c r="K99" s="11"/>
      <c r="L99" s="11"/>
      <c r="M99" s="11"/>
      <c r="N99" s="11"/>
      <c r="O99" s="11"/>
      <c r="P99" s="11"/>
      <c r="Q99" s="11"/>
      <c r="R99" s="11"/>
      <c r="S99" s="11"/>
      <c r="T99" s="11"/>
      <c r="U99" s="11"/>
      <c r="V99" s="11"/>
      <c r="W99" s="11"/>
      <c r="X99" s="11"/>
      <c r="Y99" s="11"/>
      <c r="Z99" s="11"/>
      <c r="AA99" s="11"/>
    </row>
    <row r="100" spans="1:27" x14ac:dyDescent="0.25">
      <c r="A100" s="1537">
        <v>37834</v>
      </c>
      <c r="B100" s="687">
        <v>3.9394</v>
      </c>
      <c r="C100" s="687">
        <v>3.6560999999999999</v>
      </c>
      <c r="D100" s="1035">
        <f t="shared" si="6"/>
        <v>1.5889105005066906E-3</v>
      </c>
      <c r="E100" s="687">
        <v>0.2833</v>
      </c>
      <c r="F100" s="663"/>
      <c r="G100" s="663"/>
      <c r="H100" s="11"/>
      <c r="I100" s="11"/>
      <c r="J100" s="11"/>
      <c r="K100" s="11"/>
      <c r="L100" s="11"/>
      <c r="M100" s="11"/>
      <c r="N100" s="11"/>
      <c r="O100" s="11"/>
      <c r="P100" s="11"/>
      <c r="Q100" s="11"/>
      <c r="R100" s="11"/>
      <c r="S100" s="11"/>
      <c r="T100" s="11"/>
      <c r="U100" s="11"/>
      <c r="V100" s="11"/>
      <c r="W100" s="11"/>
      <c r="X100" s="11"/>
      <c r="Y100" s="11"/>
      <c r="Z100" s="11"/>
      <c r="AA100" s="11"/>
    </row>
    <row r="101" spans="1:27" x14ac:dyDescent="0.25">
      <c r="A101" s="1537">
        <v>37803</v>
      </c>
      <c r="B101" s="687">
        <v>3.9365999999999999</v>
      </c>
      <c r="C101" s="687">
        <v>3.6541000000000001</v>
      </c>
      <c r="D101" s="1035">
        <f t="shared" si="6"/>
        <v>1.0947806333305721E-4</v>
      </c>
      <c r="E101" s="687">
        <v>0.28249999999999997</v>
      </c>
      <c r="F101" s="663"/>
      <c r="G101" s="663"/>
      <c r="H101" s="11"/>
      <c r="I101" s="11"/>
      <c r="J101" s="11"/>
      <c r="K101" s="11"/>
      <c r="L101" s="11"/>
      <c r="M101" s="11"/>
      <c r="N101" s="11"/>
      <c r="O101" s="11"/>
      <c r="P101" s="11"/>
      <c r="Q101" s="11"/>
      <c r="R101" s="11"/>
      <c r="S101" s="11"/>
      <c r="T101" s="11"/>
      <c r="U101" s="11"/>
      <c r="V101" s="11"/>
      <c r="W101" s="11"/>
      <c r="X101" s="11"/>
      <c r="Y101" s="11"/>
      <c r="Z101" s="11"/>
      <c r="AA101" s="11"/>
    </row>
    <row r="102" spans="1:27" x14ac:dyDescent="0.25">
      <c r="A102" s="1537">
        <v>37773</v>
      </c>
      <c r="B102" s="687">
        <v>3.9338000000000002</v>
      </c>
      <c r="C102" s="687">
        <v>3.6549999999999998</v>
      </c>
      <c r="D102" s="1035">
        <f t="shared" si="6"/>
        <v>-1.802490714441829E-3</v>
      </c>
      <c r="E102" s="687">
        <v>0.27879999999999999</v>
      </c>
      <c r="F102" s="663"/>
      <c r="G102" s="663"/>
      <c r="H102" s="11"/>
      <c r="I102" s="11"/>
      <c r="J102" s="11"/>
      <c r="K102" s="11"/>
      <c r="L102" s="11"/>
      <c r="M102" s="11"/>
      <c r="N102" s="11"/>
      <c r="O102" s="11"/>
      <c r="P102" s="11"/>
      <c r="Q102" s="11"/>
      <c r="R102" s="11"/>
      <c r="S102" s="11"/>
      <c r="T102" s="11"/>
      <c r="U102" s="11"/>
      <c r="V102" s="11"/>
      <c r="W102" s="11"/>
      <c r="X102" s="11"/>
      <c r="Y102" s="11"/>
      <c r="Z102" s="11"/>
      <c r="AA102" s="11"/>
    </row>
    <row r="103" spans="1:27" x14ac:dyDescent="0.25">
      <c r="A103" s="1537">
        <v>37742</v>
      </c>
      <c r="B103" s="687">
        <v>3.9314</v>
      </c>
      <c r="C103" s="687">
        <v>3.6576</v>
      </c>
      <c r="D103" s="1035">
        <f t="shared" si="6"/>
        <v>-4.5450834172495735E-3</v>
      </c>
      <c r="E103" s="687">
        <v>0.27379999999999999</v>
      </c>
      <c r="F103" s="663"/>
      <c r="G103" s="663"/>
      <c r="H103" s="11"/>
      <c r="I103" s="11"/>
      <c r="J103" s="11"/>
      <c r="K103" s="11"/>
      <c r="L103" s="11"/>
      <c r="M103" s="11"/>
      <c r="N103" s="11"/>
      <c r="O103" s="11"/>
      <c r="P103" s="11"/>
      <c r="Q103" s="11"/>
      <c r="R103" s="11"/>
      <c r="S103" s="11"/>
      <c r="T103" s="11"/>
      <c r="U103" s="11"/>
      <c r="V103" s="11"/>
      <c r="W103" s="11"/>
      <c r="X103" s="11"/>
      <c r="Y103" s="11"/>
      <c r="Z103" s="11"/>
      <c r="AA103" s="11"/>
    </row>
    <row r="104" spans="1:27" x14ac:dyDescent="0.25">
      <c r="A104" s="1537">
        <v>37712</v>
      </c>
      <c r="B104" s="687">
        <v>3.9293999999999998</v>
      </c>
      <c r="C104" s="687">
        <v>3.6598999999999999</v>
      </c>
      <c r="D104" s="1035">
        <f t="shared" si="6"/>
        <v>-8.3990354656046096E-3</v>
      </c>
      <c r="E104" s="687">
        <v>0.26950000000000002</v>
      </c>
      <c r="F104" s="663"/>
      <c r="G104" s="663"/>
      <c r="H104" s="11"/>
      <c r="I104" s="11"/>
      <c r="J104" s="11"/>
      <c r="K104" s="11"/>
      <c r="L104" s="11"/>
      <c r="M104" s="11"/>
      <c r="N104" s="11"/>
      <c r="O104" s="11"/>
      <c r="P104" s="11"/>
      <c r="Q104" s="11"/>
      <c r="R104" s="11"/>
      <c r="S104" s="11"/>
      <c r="T104" s="11"/>
      <c r="U104" s="11"/>
      <c r="V104" s="11"/>
      <c r="W104" s="11"/>
      <c r="X104" s="11"/>
      <c r="Y104" s="11"/>
      <c r="Z104" s="11"/>
      <c r="AA104" s="11"/>
    </row>
    <row r="105" spans="1:27" x14ac:dyDescent="0.25">
      <c r="A105" s="1537">
        <v>37681</v>
      </c>
      <c r="B105" s="687">
        <v>3.9277000000000002</v>
      </c>
      <c r="C105" s="687">
        <v>3.66</v>
      </c>
      <c r="D105" s="1035">
        <f t="shared" si="6"/>
        <v>-1.2971602707586016E-2</v>
      </c>
      <c r="E105" s="687">
        <v>0.26779999999999998</v>
      </c>
      <c r="F105" s="663"/>
      <c r="G105" s="663"/>
      <c r="H105" s="11"/>
      <c r="I105" s="11"/>
      <c r="J105" s="11"/>
      <c r="K105" s="11"/>
      <c r="L105" s="11"/>
      <c r="M105" s="11"/>
      <c r="N105" s="11"/>
      <c r="O105" s="11"/>
      <c r="P105" s="11"/>
      <c r="Q105" s="11"/>
      <c r="R105" s="11"/>
      <c r="S105" s="11"/>
      <c r="T105" s="11"/>
      <c r="U105" s="11"/>
      <c r="V105" s="11"/>
      <c r="W105" s="11"/>
      <c r="X105" s="11"/>
      <c r="Y105" s="11"/>
      <c r="Z105" s="11"/>
      <c r="AA105" s="11"/>
    </row>
    <row r="106" spans="1:27" x14ac:dyDescent="0.25">
      <c r="A106" s="1537">
        <v>37653</v>
      </c>
      <c r="B106" s="687">
        <v>3.9266000000000001</v>
      </c>
      <c r="C106" s="687">
        <v>3.6579000000000002</v>
      </c>
      <c r="D106" s="1035">
        <f t="shared" si="6"/>
        <v>-1.7591448675941201E-2</v>
      </c>
      <c r="E106" s="687">
        <v>0.26869999999999999</v>
      </c>
      <c r="F106" s="663"/>
      <c r="G106" s="663"/>
      <c r="H106" s="11"/>
      <c r="I106" s="11"/>
      <c r="J106" s="11"/>
      <c r="K106" s="11"/>
      <c r="L106" s="11"/>
      <c r="M106" s="11"/>
      <c r="N106" s="11"/>
      <c r="O106" s="11"/>
      <c r="P106" s="11"/>
      <c r="Q106" s="11"/>
      <c r="R106" s="11"/>
      <c r="S106" s="11"/>
      <c r="T106" s="11"/>
      <c r="U106" s="11"/>
      <c r="V106" s="11"/>
      <c r="W106" s="11"/>
      <c r="X106" s="11"/>
      <c r="Y106" s="11"/>
      <c r="Z106" s="11"/>
      <c r="AA106" s="11"/>
    </row>
    <row r="107" spans="1:27" x14ac:dyDescent="0.25">
      <c r="A107" s="1537">
        <v>37622</v>
      </c>
      <c r="B107" s="687">
        <v>3.9260000000000002</v>
      </c>
      <c r="C107" s="687">
        <v>3.6554000000000002</v>
      </c>
      <c r="D107" s="1035">
        <f t="shared" si="6"/>
        <v>-2.1338116784021866E-2</v>
      </c>
      <c r="E107" s="687">
        <v>0.27050000000000002</v>
      </c>
      <c r="F107" s="663"/>
      <c r="G107" s="663"/>
      <c r="H107" s="11"/>
      <c r="I107" s="11"/>
      <c r="J107" s="11"/>
      <c r="K107" s="11"/>
      <c r="L107" s="11"/>
      <c r="M107" s="11"/>
      <c r="N107" s="11"/>
      <c r="O107" s="11"/>
      <c r="P107" s="11"/>
      <c r="Q107" s="11"/>
      <c r="R107" s="11"/>
      <c r="S107" s="11"/>
      <c r="T107" s="11"/>
      <c r="U107" s="11"/>
      <c r="V107" s="11"/>
      <c r="W107" s="11"/>
      <c r="X107" s="11"/>
      <c r="Y107" s="11"/>
      <c r="Z107" s="11"/>
      <c r="AA107" s="11"/>
    </row>
    <row r="108" spans="1:27" x14ac:dyDescent="0.25">
      <c r="A108" s="1537">
        <v>37591</v>
      </c>
      <c r="B108" s="687">
        <v>3.9257</v>
      </c>
      <c r="C108" s="687">
        <v>3.6535000000000002</v>
      </c>
      <c r="D108" s="1035">
        <f t="shared" si="6"/>
        <v>-2.4145944069018932E-2</v>
      </c>
      <c r="E108" s="687">
        <v>0.27229999999999999</v>
      </c>
      <c r="F108" s="663"/>
      <c r="G108" s="663"/>
      <c r="H108" s="11"/>
      <c r="I108" s="11"/>
      <c r="J108" s="11"/>
      <c r="K108" s="11"/>
      <c r="L108" s="11"/>
      <c r="M108" s="11"/>
      <c r="N108" s="11"/>
      <c r="O108" s="11"/>
      <c r="P108" s="11"/>
      <c r="Q108" s="11"/>
      <c r="R108" s="11"/>
      <c r="S108" s="11"/>
      <c r="T108" s="11"/>
      <c r="U108" s="11"/>
      <c r="V108" s="11"/>
      <c r="W108" s="11"/>
      <c r="X108" s="11"/>
      <c r="Y108" s="11"/>
      <c r="Z108" s="11"/>
      <c r="AA108" s="11"/>
    </row>
    <row r="109" spans="1:27" x14ac:dyDescent="0.25">
      <c r="A109" s="1537">
        <v>37561</v>
      </c>
      <c r="B109" s="687">
        <v>3.9255</v>
      </c>
      <c r="C109" s="687">
        <v>3.6520000000000001</v>
      </c>
      <c r="D109" s="1035">
        <f t="shared" si="6"/>
        <v>-2.6522724243635887E-2</v>
      </c>
      <c r="E109" s="687">
        <v>0.27350000000000002</v>
      </c>
      <c r="F109" s="663"/>
      <c r="G109" s="663"/>
      <c r="H109" s="11"/>
      <c r="I109" s="11"/>
      <c r="J109" s="11"/>
      <c r="K109" s="11"/>
      <c r="L109" s="11"/>
      <c r="M109" s="11"/>
      <c r="N109" s="11"/>
      <c r="O109" s="11"/>
      <c r="P109" s="11"/>
      <c r="Q109" s="11"/>
      <c r="R109" s="11"/>
      <c r="S109" s="11"/>
      <c r="T109" s="11"/>
      <c r="U109" s="11"/>
      <c r="V109" s="11"/>
      <c r="W109" s="11"/>
      <c r="X109" s="11"/>
      <c r="Y109" s="11"/>
      <c r="Z109" s="11"/>
      <c r="AA109" s="11"/>
    </row>
    <row r="110" spans="1:27" x14ac:dyDescent="0.25">
      <c r="A110" s="1537">
        <v>37530</v>
      </c>
      <c r="B110" s="687">
        <v>3.9247000000000001</v>
      </c>
      <c r="C110" s="687">
        <v>3.6507999999999998</v>
      </c>
      <c r="D110" s="1035">
        <f t="shared" si="6"/>
        <v>-2.8810087520949268E-2</v>
      </c>
      <c r="E110" s="687">
        <v>0.27389999999999998</v>
      </c>
      <c r="F110" s="663"/>
      <c r="G110" s="663"/>
      <c r="H110" s="11"/>
      <c r="I110" s="11"/>
      <c r="J110" s="11"/>
      <c r="K110" s="11"/>
      <c r="L110" s="11"/>
      <c r="M110" s="11"/>
      <c r="N110" s="11"/>
      <c r="O110" s="11"/>
      <c r="P110" s="11"/>
      <c r="Q110" s="11"/>
      <c r="R110" s="11"/>
      <c r="S110" s="11"/>
      <c r="T110" s="11"/>
      <c r="U110" s="11"/>
      <c r="V110" s="11"/>
      <c r="W110" s="11"/>
      <c r="X110" s="11"/>
      <c r="Y110" s="11"/>
      <c r="Z110" s="11"/>
      <c r="AA110" s="11"/>
    </row>
    <row r="111" spans="1:27" x14ac:dyDescent="0.25">
      <c r="A111" s="1537">
        <v>37500</v>
      </c>
      <c r="B111" s="687">
        <v>3.9245999999999999</v>
      </c>
      <c r="C111" s="687">
        <v>3.6501000000000001</v>
      </c>
      <c r="D111" s="1035">
        <f t="shared" si="6"/>
        <v>-3.1264099365694409E-2</v>
      </c>
      <c r="E111" s="687">
        <v>0.27439999999999998</v>
      </c>
      <c r="F111" s="663"/>
      <c r="G111" s="663"/>
      <c r="H111" s="11"/>
      <c r="I111" s="11"/>
      <c r="J111" s="11"/>
      <c r="K111" s="11"/>
      <c r="L111" s="11"/>
      <c r="M111" s="11"/>
      <c r="N111" s="11"/>
      <c r="O111" s="11"/>
      <c r="P111" s="11"/>
      <c r="Q111" s="11"/>
      <c r="R111" s="11"/>
      <c r="S111" s="11"/>
      <c r="T111" s="11"/>
      <c r="U111" s="11"/>
      <c r="V111" s="11"/>
      <c r="W111" s="11"/>
      <c r="X111" s="11"/>
      <c r="Y111" s="11"/>
      <c r="Z111" s="11"/>
      <c r="AA111" s="11"/>
    </row>
    <row r="112" spans="1:27" x14ac:dyDescent="0.25">
      <c r="A112" s="1537">
        <v>37469</v>
      </c>
      <c r="B112" s="687">
        <v>3.9255</v>
      </c>
      <c r="C112" s="687">
        <v>3.6503000000000001</v>
      </c>
      <c r="D112" s="1035">
        <f t="shared" si="6"/>
        <v>-3.3903239466440804E-2</v>
      </c>
      <c r="E112" s="687">
        <v>0.2752</v>
      </c>
      <c r="F112" s="663"/>
      <c r="G112" s="663"/>
      <c r="H112" s="11"/>
      <c r="I112" s="11"/>
      <c r="J112" s="11"/>
      <c r="K112" s="11"/>
      <c r="L112" s="11"/>
      <c r="M112" s="11"/>
      <c r="N112" s="11"/>
      <c r="O112" s="11"/>
      <c r="P112" s="11"/>
      <c r="Q112" s="11"/>
      <c r="R112" s="11"/>
      <c r="S112" s="11"/>
      <c r="T112" s="11"/>
      <c r="U112" s="11"/>
      <c r="V112" s="11"/>
      <c r="W112" s="11"/>
      <c r="X112" s="11"/>
      <c r="Y112" s="11"/>
      <c r="Z112" s="11"/>
      <c r="AA112" s="11"/>
    </row>
    <row r="113" spans="1:27" x14ac:dyDescent="0.25">
      <c r="A113" s="1537">
        <v>37438</v>
      </c>
      <c r="B113" s="687">
        <v>3.9296000000000002</v>
      </c>
      <c r="C113" s="687">
        <v>3.6537000000000002</v>
      </c>
      <c r="D113" s="1035">
        <f t="shared" si="6"/>
        <v>-3.5937623684002107E-2</v>
      </c>
      <c r="E113" s="687">
        <v>0.27589999999999998</v>
      </c>
      <c r="F113" s="663"/>
      <c r="G113" s="663"/>
      <c r="H113" s="11"/>
      <c r="I113" s="11"/>
      <c r="J113" s="11"/>
      <c r="K113" s="11"/>
      <c r="L113" s="11"/>
      <c r="M113" s="11"/>
      <c r="N113" s="11"/>
      <c r="O113" s="11"/>
      <c r="P113" s="11"/>
      <c r="Q113" s="11"/>
      <c r="R113" s="11"/>
      <c r="S113" s="11"/>
      <c r="T113" s="11"/>
      <c r="U113" s="11"/>
      <c r="V113" s="11"/>
      <c r="W113" s="11"/>
      <c r="X113" s="11"/>
      <c r="Y113" s="11"/>
      <c r="Z113" s="11"/>
      <c r="AA113" s="11"/>
    </row>
    <row r="114" spans="1:27" x14ac:dyDescent="0.25">
      <c r="A114" s="1537">
        <v>37408</v>
      </c>
      <c r="B114" s="687">
        <v>3.9378000000000002</v>
      </c>
      <c r="C114" s="687">
        <v>3.6616</v>
      </c>
      <c r="D114" s="1035">
        <f t="shared" si="6"/>
        <v>-3.6801262659476475E-2</v>
      </c>
      <c r="E114" s="687">
        <v>0.2762</v>
      </c>
      <c r="F114" s="663"/>
      <c r="G114" s="663"/>
      <c r="H114" s="11"/>
      <c r="I114" s="11"/>
      <c r="J114" s="11"/>
      <c r="K114" s="11"/>
      <c r="L114" s="11"/>
      <c r="M114" s="11"/>
      <c r="N114" s="11"/>
      <c r="O114" s="11"/>
      <c r="P114" s="11"/>
      <c r="Q114" s="11"/>
      <c r="R114" s="11"/>
      <c r="S114" s="11"/>
      <c r="T114" s="11"/>
      <c r="U114" s="11"/>
      <c r="V114" s="11"/>
      <c r="W114" s="11"/>
      <c r="X114" s="11"/>
      <c r="Y114" s="11"/>
      <c r="Z114" s="11"/>
      <c r="AA114" s="11"/>
    </row>
    <row r="115" spans="1:27" x14ac:dyDescent="0.25">
      <c r="A115" s="1537">
        <v>37377</v>
      </c>
      <c r="B115" s="687">
        <v>3.9502999999999999</v>
      </c>
      <c r="C115" s="687">
        <v>3.6743000000000001</v>
      </c>
      <c r="D115" s="1035">
        <f t="shared" si="6"/>
        <v>-3.6299735095863817E-2</v>
      </c>
      <c r="E115" s="687">
        <v>0.27589999999999998</v>
      </c>
      <c r="F115" s="663"/>
      <c r="G115" s="663"/>
      <c r="H115" s="11"/>
      <c r="I115" s="11"/>
      <c r="J115" s="11"/>
      <c r="K115" s="11"/>
      <c r="L115" s="11"/>
      <c r="M115" s="11"/>
      <c r="N115" s="11"/>
      <c r="O115" s="11"/>
      <c r="P115" s="11"/>
      <c r="Q115" s="11"/>
      <c r="R115" s="11"/>
      <c r="S115" s="11"/>
      <c r="T115" s="11"/>
      <c r="U115" s="11"/>
      <c r="V115" s="11"/>
      <c r="W115" s="11"/>
      <c r="X115" s="11"/>
      <c r="Y115" s="11"/>
      <c r="Z115" s="11"/>
      <c r="AA115" s="11"/>
    </row>
    <row r="116" spans="1:27" x14ac:dyDescent="0.25">
      <c r="A116" s="1537">
        <v>37347</v>
      </c>
      <c r="B116" s="687">
        <v>3.9657</v>
      </c>
      <c r="C116" s="687">
        <v>3.6909000000000001</v>
      </c>
      <c r="D116" s="1035">
        <f t="shared" si="6"/>
        <v>-3.4099235842143805E-2</v>
      </c>
      <c r="E116" s="687">
        <v>0.27479999999999999</v>
      </c>
      <c r="F116" s="663"/>
      <c r="G116" s="663"/>
      <c r="H116" s="11"/>
      <c r="I116" s="11"/>
      <c r="J116" s="11"/>
      <c r="K116" s="11"/>
      <c r="L116" s="11"/>
      <c r="M116" s="11"/>
      <c r="N116" s="11"/>
      <c r="O116" s="11"/>
      <c r="P116" s="11"/>
      <c r="Q116" s="11"/>
      <c r="R116" s="11"/>
      <c r="S116" s="11"/>
      <c r="T116" s="11"/>
      <c r="U116" s="11"/>
      <c r="V116" s="11"/>
      <c r="W116" s="11"/>
      <c r="X116" s="11"/>
      <c r="Y116" s="11"/>
      <c r="Z116" s="11"/>
      <c r="AA116" s="11"/>
    </row>
    <row r="117" spans="1:27" x14ac:dyDescent="0.25">
      <c r="A117" s="1537">
        <v>37316</v>
      </c>
      <c r="B117" s="687">
        <v>3.9805999999999999</v>
      </c>
      <c r="C117" s="687">
        <v>3.7081</v>
      </c>
      <c r="D117" s="1035">
        <f t="shared" si="6"/>
        <v>-3.0840803951804663E-2</v>
      </c>
      <c r="E117" s="687">
        <v>0.27250000000000002</v>
      </c>
      <c r="F117" s="663"/>
      <c r="G117" s="663"/>
      <c r="H117" s="11"/>
      <c r="I117" s="11"/>
      <c r="J117" s="11"/>
      <c r="K117" s="11"/>
      <c r="L117" s="11"/>
      <c r="M117" s="11"/>
      <c r="N117" s="11"/>
      <c r="O117" s="11"/>
      <c r="P117" s="11"/>
      <c r="Q117" s="11"/>
      <c r="R117" s="11"/>
      <c r="S117" s="11"/>
      <c r="T117" s="11"/>
      <c r="U117" s="11"/>
      <c r="V117" s="11"/>
      <c r="W117" s="11"/>
      <c r="X117" s="11"/>
      <c r="Y117" s="11"/>
      <c r="Z117" s="11"/>
      <c r="AA117" s="11"/>
    </row>
    <row r="118" spans="1:27" x14ac:dyDescent="0.25">
      <c r="A118" s="1537">
        <v>37288</v>
      </c>
      <c r="B118" s="687">
        <v>3.9922</v>
      </c>
      <c r="C118" s="687">
        <v>3.7233999999999998</v>
      </c>
      <c r="D118" s="1035">
        <f t="shared" si="6"/>
        <v>-2.7019964461168611E-2</v>
      </c>
      <c r="E118" s="687">
        <v>0.26879999999999998</v>
      </c>
      <c r="F118" s="663"/>
      <c r="G118" s="663"/>
      <c r="H118" s="11"/>
      <c r="I118" s="11"/>
      <c r="J118" s="11"/>
      <c r="K118" s="11"/>
      <c r="L118" s="11"/>
      <c r="M118" s="11"/>
      <c r="N118" s="11"/>
      <c r="O118" s="11"/>
      <c r="P118" s="11"/>
      <c r="Q118" s="11"/>
      <c r="R118" s="11"/>
      <c r="S118" s="11"/>
      <c r="T118" s="11"/>
      <c r="U118" s="11"/>
      <c r="V118" s="11"/>
      <c r="W118" s="11"/>
      <c r="X118" s="11"/>
      <c r="Y118" s="11"/>
      <c r="Z118" s="11"/>
      <c r="AA118" s="11"/>
    </row>
    <row r="119" spans="1:27" x14ac:dyDescent="0.25">
      <c r="A119" s="1537">
        <v>37257</v>
      </c>
      <c r="B119" s="687">
        <v>3.9988000000000001</v>
      </c>
      <c r="C119" s="687">
        <v>3.7351000000000001</v>
      </c>
      <c r="D119" s="1035">
        <f t="shared" si="6"/>
        <v>-2.3324529979342645E-2</v>
      </c>
      <c r="E119" s="687">
        <v>0.26369999999999999</v>
      </c>
      <c r="F119" s="663"/>
      <c r="G119" s="663"/>
      <c r="H119" s="11"/>
      <c r="I119" s="11"/>
      <c r="J119" s="11"/>
      <c r="K119" s="11"/>
      <c r="L119" s="11"/>
      <c r="M119" s="11"/>
      <c r="N119" s="11"/>
      <c r="O119" s="11"/>
      <c r="P119" s="11"/>
      <c r="Q119" s="11"/>
      <c r="R119" s="11"/>
      <c r="S119" s="11"/>
      <c r="T119" s="11"/>
      <c r="U119" s="11"/>
      <c r="V119" s="11"/>
      <c r="W119" s="11"/>
      <c r="X119" s="11"/>
      <c r="Y119" s="11"/>
      <c r="Z119" s="11"/>
      <c r="AA119" s="11"/>
    </row>
    <row r="120" spans="1:27" x14ac:dyDescent="0.25">
      <c r="A120" s="1537">
        <v>37226</v>
      </c>
      <c r="B120" s="687">
        <v>4.0006000000000004</v>
      </c>
      <c r="C120" s="687">
        <v>3.7439</v>
      </c>
      <c r="D120" s="1035">
        <f t="shared" si="6"/>
        <v>-1.9844490405005688E-2</v>
      </c>
      <c r="E120" s="687">
        <v>0.25669999999999998</v>
      </c>
      <c r="F120" s="663"/>
      <c r="G120" s="663"/>
      <c r="H120" s="11"/>
      <c r="I120" s="11"/>
      <c r="J120" s="11"/>
      <c r="K120" s="11"/>
      <c r="L120" s="11"/>
      <c r="M120" s="11"/>
      <c r="N120" s="11"/>
      <c r="O120" s="11"/>
      <c r="P120" s="11"/>
      <c r="Q120" s="11"/>
      <c r="R120" s="11"/>
      <c r="S120" s="11"/>
      <c r="T120" s="11"/>
      <c r="U120" s="11"/>
      <c r="V120" s="11"/>
      <c r="W120" s="11"/>
      <c r="X120" s="11"/>
      <c r="Y120" s="11"/>
      <c r="Z120" s="11"/>
      <c r="AA120" s="11"/>
    </row>
    <row r="121" spans="1:27" x14ac:dyDescent="0.25">
      <c r="A121" s="1537">
        <v>37196</v>
      </c>
      <c r="B121" s="687">
        <v>3.9998999999999998</v>
      </c>
      <c r="C121" s="687">
        <v>3.7515000000000001</v>
      </c>
      <c r="D121" s="1035">
        <f t="shared" si="6"/>
        <v>-1.6490142617449632E-2</v>
      </c>
      <c r="E121" s="687">
        <v>0.24840000000000001</v>
      </c>
      <c r="F121" s="663"/>
      <c r="G121" s="663"/>
      <c r="H121" s="11"/>
      <c r="I121" s="11"/>
      <c r="J121" s="11"/>
      <c r="K121" s="11"/>
      <c r="L121" s="11"/>
      <c r="M121" s="11"/>
      <c r="N121" s="11"/>
      <c r="O121" s="11"/>
      <c r="P121" s="11"/>
      <c r="Q121" s="11"/>
      <c r="R121" s="11"/>
      <c r="S121" s="11"/>
      <c r="T121" s="11"/>
      <c r="U121" s="11"/>
      <c r="V121" s="11"/>
      <c r="W121" s="11"/>
      <c r="X121" s="11"/>
      <c r="Y121" s="11"/>
      <c r="Z121" s="11"/>
      <c r="AA121" s="11"/>
    </row>
    <row r="122" spans="1:27" x14ac:dyDescent="0.25">
      <c r="A122" s="1537">
        <v>37165</v>
      </c>
      <c r="B122" s="687">
        <v>3.9988999999999999</v>
      </c>
      <c r="C122" s="687">
        <v>3.7591000000000001</v>
      </c>
      <c r="D122" s="1035">
        <f t="shared" si="6"/>
        <v>-1.3359580052493381E-2</v>
      </c>
      <c r="E122" s="687">
        <v>0.2399</v>
      </c>
      <c r="F122" s="663"/>
      <c r="G122" s="663"/>
      <c r="H122" s="11"/>
      <c r="I122" s="11"/>
      <c r="J122" s="11"/>
      <c r="K122" s="11"/>
      <c r="L122" s="11"/>
      <c r="M122" s="11"/>
      <c r="N122" s="11"/>
      <c r="O122" s="11"/>
      <c r="P122" s="11"/>
      <c r="Q122" s="11"/>
      <c r="R122" s="11"/>
      <c r="S122" s="11"/>
      <c r="T122" s="11"/>
      <c r="U122" s="11"/>
      <c r="V122" s="11"/>
      <c r="W122" s="11"/>
      <c r="X122" s="11"/>
      <c r="Y122" s="11"/>
      <c r="Z122" s="11"/>
      <c r="AA122" s="11"/>
    </row>
    <row r="123" spans="1:27" x14ac:dyDescent="0.25">
      <c r="A123" s="1537">
        <v>37135</v>
      </c>
      <c r="B123" s="687">
        <v>3.9996999999999998</v>
      </c>
      <c r="C123" s="687">
        <v>3.7679</v>
      </c>
      <c r="D123" s="1035">
        <f t="shared" si="6"/>
        <v>-1.0712316538451394E-2</v>
      </c>
      <c r="E123" s="687">
        <v>0.23180000000000001</v>
      </c>
      <c r="F123" s="663"/>
      <c r="G123" s="663"/>
      <c r="H123" s="11"/>
      <c r="I123" s="11"/>
      <c r="J123" s="11"/>
      <c r="K123" s="11"/>
      <c r="L123" s="11"/>
      <c r="M123" s="11"/>
      <c r="N123" s="11"/>
      <c r="O123" s="11"/>
      <c r="P123" s="11"/>
      <c r="Q123" s="11"/>
      <c r="R123" s="11"/>
      <c r="S123" s="11"/>
      <c r="T123" s="11"/>
      <c r="U123" s="11"/>
      <c r="V123" s="11"/>
      <c r="W123" s="11"/>
      <c r="X123" s="11"/>
      <c r="Y123" s="11"/>
      <c r="Z123" s="11"/>
      <c r="AA123" s="11"/>
    </row>
    <row r="124" spans="1:27" x14ac:dyDescent="0.25">
      <c r="A124" s="1537">
        <v>37104</v>
      </c>
      <c r="B124" s="687">
        <v>4.0035999999999996</v>
      </c>
      <c r="C124" s="687">
        <v>3.7784</v>
      </c>
      <c r="D124" s="1035">
        <f t="shared" si="6"/>
        <v>-8.7882683176369047E-3</v>
      </c>
      <c r="E124" s="687">
        <v>0.22520000000000001</v>
      </c>
      <c r="F124" s="663"/>
      <c r="G124" s="663"/>
      <c r="H124" s="11"/>
      <c r="I124" s="11"/>
      <c r="J124" s="11"/>
      <c r="K124" s="11"/>
      <c r="L124" s="11"/>
      <c r="M124" s="11"/>
      <c r="N124" s="11"/>
      <c r="O124" s="11"/>
      <c r="P124" s="11"/>
      <c r="Q124" s="11"/>
      <c r="R124" s="11"/>
      <c r="S124" s="11"/>
      <c r="T124" s="11"/>
      <c r="U124" s="11"/>
      <c r="V124" s="11"/>
      <c r="W124" s="11"/>
      <c r="X124" s="11"/>
      <c r="Y124" s="11"/>
      <c r="Z124" s="11"/>
      <c r="AA124" s="11"/>
    </row>
    <row r="125" spans="1:27" x14ac:dyDescent="0.25">
      <c r="A125" s="1537">
        <v>37073</v>
      </c>
      <c r="B125" s="687">
        <v>4.0107999999999997</v>
      </c>
      <c r="C125" s="687">
        <v>3.7898999999999998</v>
      </c>
      <c r="D125" s="1035">
        <f t="shared" si="6"/>
        <v>-7.8016598162160555E-3</v>
      </c>
      <c r="E125" s="687">
        <v>0.2208</v>
      </c>
      <c r="F125" s="663"/>
      <c r="G125" s="663"/>
      <c r="H125" s="11"/>
      <c r="I125" s="11"/>
      <c r="J125" s="11"/>
      <c r="K125" s="11"/>
      <c r="L125" s="11"/>
      <c r="M125" s="11"/>
      <c r="N125" s="11"/>
      <c r="O125" s="11"/>
      <c r="P125" s="11"/>
      <c r="Q125" s="11"/>
      <c r="R125" s="11"/>
      <c r="S125" s="11"/>
      <c r="T125" s="11"/>
      <c r="U125" s="11"/>
      <c r="V125" s="11"/>
      <c r="W125" s="11"/>
      <c r="X125" s="11"/>
      <c r="Y125" s="11"/>
      <c r="Z125" s="11"/>
      <c r="AA125" s="11"/>
    </row>
    <row r="126" spans="1:27" x14ac:dyDescent="0.25">
      <c r="A126" s="1537">
        <v>37043</v>
      </c>
      <c r="B126" s="687">
        <v>4.0204000000000004</v>
      </c>
      <c r="C126" s="687">
        <v>3.8014999999999999</v>
      </c>
      <c r="D126" s="1035">
        <f t="shared" si="6"/>
        <v>-7.7003393369877715E-3</v>
      </c>
      <c r="E126" s="687">
        <v>0.21890000000000001</v>
      </c>
      <c r="F126" s="663"/>
      <c r="G126" s="663"/>
      <c r="H126" s="11"/>
      <c r="I126" s="11"/>
      <c r="J126" s="11"/>
      <c r="K126" s="11"/>
      <c r="L126" s="11"/>
      <c r="M126" s="11"/>
      <c r="N126" s="11"/>
      <c r="O126" s="11"/>
      <c r="P126" s="11"/>
      <c r="Q126" s="11"/>
      <c r="R126" s="11"/>
      <c r="S126" s="11"/>
      <c r="T126" s="11"/>
      <c r="U126" s="11"/>
      <c r="V126" s="11"/>
      <c r="W126" s="11"/>
      <c r="X126" s="11"/>
      <c r="Y126" s="11"/>
      <c r="Z126" s="11"/>
      <c r="AA126" s="11"/>
    </row>
    <row r="127" spans="1:27" x14ac:dyDescent="0.25">
      <c r="A127" s="1537">
        <v>37012</v>
      </c>
      <c r="B127" s="687">
        <v>4.0311000000000003</v>
      </c>
      <c r="C127" s="687">
        <v>3.8127</v>
      </c>
      <c r="D127" s="1035">
        <f t="shared" si="6"/>
        <v>-8.1167564192616837E-3</v>
      </c>
      <c r="E127" s="687">
        <v>0.21840000000000001</v>
      </c>
      <c r="F127" s="663"/>
      <c r="G127" s="663"/>
      <c r="H127" s="11"/>
      <c r="I127" s="11"/>
      <c r="J127" s="11"/>
      <c r="K127" s="11"/>
      <c r="L127" s="11"/>
      <c r="M127" s="11"/>
      <c r="N127" s="11"/>
      <c r="O127" s="11"/>
      <c r="P127" s="11"/>
      <c r="Q127" s="11"/>
      <c r="R127" s="11"/>
      <c r="S127" s="11"/>
      <c r="T127" s="11"/>
      <c r="U127" s="11"/>
      <c r="V127" s="11"/>
      <c r="W127" s="11"/>
      <c r="X127" s="11"/>
      <c r="Y127" s="11"/>
      <c r="Z127" s="11"/>
      <c r="AA127" s="11"/>
    </row>
    <row r="128" spans="1:27" x14ac:dyDescent="0.25">
      <c r="A128" s="1537">
        <v>36982</v>
      </c>
      <c r="B128" s="687">
        <v>4.0396999999999998</v>
      </c>
      <c r="C128" s="687">
        <v>3.8212000000000002</v>
      </c>
      <c r="D128" s="1035">
        <f t="shared" si="6"/>
        <v>-8.9734944758544932E-3</v>
      </c>
      <c r="E128" s="687">
        <v>0.2185</v>
      </c>
      <c r="F128" s="663"/>
      <c r="G128" s="663"/>
      <c r="H128" s="11"/>
      <c r="I128" s="11"/>
      <c r="J128" s="11"/>
      <c r="K128" s="11"/>
      <c r="L128" s="11"/>
      <c r="M128" s="11"/>
      <c r="N128" s="11"/>
      <c r="O128" s="11"/>
      <c r="P128" s="11"/>
      <c r="Q128" s="11"/>
      <c r="R128" s="11"/>
      <c r="S128" s="11"/>
      <c r="T128" s="11"/>
      <c r="U128" s="11"/>
      <c r="V128" s="11"/>
      <c r="W128" s="11"/>
      <c r="X128" s="11"/>
      <c r="Y128" s="11"/>
      <c r="Z128" s="11"/>
      <c r="AA128" s="11"/>
    </row>
    <row r="129" spans="1:27" x14ac:dyDescent="0.25">
      <c r="A129" s="1537">
        <v>36951</v>
      </c>
      <c r="B129" s="687">
        <v>4.0431999999999997</v>
      </c>
      <c r="C129" s="687">
        <v>3.8260999999999998</v>
      </c>
      <c r="D129" s="1035">
        <f t="shared" si="6"/>
        <v>-9.7316044206331442E-3</v>
      </c>
      <c r="E129" s="687">
        <v>0.21709999999999999</v>
      </c>
      <c r="F129" s="663"/>
      <c r="G129" s="663"/>
      <c r="H129" s="11"/>
      <c r="I129" s="11"/>
      <c r="J129" s="11"/>
      <c r="K129" s="11"/>
      <c r="L129" s="11"/>
      <c r="M129" s="11"/>
      <c r="N129" s="11"/>
      <c r="O129" s="11"/>
      <c r="P129" s="11"/>
      <c r="Q129" s="11"/>
      <c r="R129" s="11"/>
      <c r="S129" s="11"/>
      <c r="T129" s="11"/>
      <c r="U129" s="11"/>
      <c r="V129" s="11"/>
      <c r="W129" s="11"/>
      <c r="X129" s="11"/>
      <c r="Y129" s="11"/>
      <c r="Z129" s="11"/>
      <c r="AA129" s="11"/>
    </row>
    <row r="130" spans="1:27" x14ac:dyDescent="0.25">
      <c r="A130" s="1537">
        <v>36923</v>
      </c>
      <c r="B130" s="687">
        <v>4.0395000000000003</v>
      </c>
      <c r="C130" s="687">
        <v>3.8268</v>
      </c>
      <c r="D130" s="1035">
        <f t="shared" si="6"/>
        <v>-9.9091873431476074E-3</v>
      </c>
      <c r="E130" s="687">
        <v>0.2127</v>
      </c>
      <c r="F130" s="663"/>
      <c r="G130" s="663"/>
      <c r="H130" s="11"/>
      <c r="I130" s="11"/>
      <c r="J130" s="11"/>
      <c r="K130" s="11"/>
      <c r="L130" s="11"/>
      <c r="M130" s="11"/>
      <c r="N130" s="11"/>
      <c r="O130" s="11"/>
      <c r="P130" s="11"/>
      <c r="Q130" s="11"/>
      <c r="R130" s="11"/>
      <c r="S130" s="11"/>
      <c r="T130" s="11"/>
      <c r="U130" s="11"/>
      <c r="V130" s="11"/>
      <c r="W130" s="11"/>
      <c r="X130" s="11"/>
      <c r="Y130" s="11"/>
      <c r="Z130" s="11"/>
      <c r="AA130" s="11"/>
    </row>
    <row r="131" spans="1:27" x14ac:dyDescent="0.25">
      <c r="A131" s="1537">
        <v>36892</v>
      </c>
      <c r="B131" s="687">
        <v>4.0292000000000003</v>
      </c>
      <c r="C131" s="687">
        <v>3.8243</v>
      </c>
      <c r="D131" s="1035">
        <f t="shared" si="6"/>
        <v>-9.1460254948698694E-3</v>
      </c>
      <c r="E131" s="687">
        <v>0.20499999999999999</v>
      </c>
      <c r="F131" s="663"/>
      <c r="G131" s="663"/>
      <c r="H131" s="11"/>
      <c r="I131" s="11"/>
      <c r="J131" s="11"/>
      <c r="K131" s="11"/>
      <c r="L131" s="11"/>
      <c r="M131" s="11"/>
      <c r="N131" s="11"/>
      <c r="O131" s="11"/>
      <c r="P131" s="11"/>
      <c r="Q131" s="11"/>
      <c r="R131" s="11"/>
      <c r="S131" s="11"/>
      <c r="T131" s="11"/>
      <c r="U131" s="11"/>
      <c r="V131" s="11"/>
      <c r="W131" s="11"/>
      <c r="X131" s="11"/>
      <c r="Y131" s="11"/>
      <c r="Z131" s="11"/>
      <c r="AA131" s="11"/>
    </row>
    <row r="132" spans="1:27" x14ac:dyDescent="0.25">
      <c r="A132" s="1537">
        <v>36861</v>
      </c>
      <c r="B132" s="687">
        <v>4.0148999999999999</v>
      </c>
      <c r="C132" s="687">
        <v>3.8197000000000001</v>
      </c>
      <c r="D132" s="1035">
        <f t="shared" si="6"/>
        <v>-7.431853026011459E-3</v>
      </c>
      <c r="E132" s="687">
        <v>0.19520000000000001</v>
      </c>
      <c r="F132" s="663"/>
      <c r="G132" s="663"/>
      <c r="H132" s="11"/>
      <c r="I132" s="11"/>
      <c r="J132" s="11"/>
      <c r="K132" s="11"/>
      <c r="L132" s="11"/>
      <c r="M132" s="11"/>
      <c r="N132" s="11"/>
      <c r="O132" s="11"/>
      <c r="P132" s="11"/>
      <c r="Q132" s="11"/>
      <c r="R132" s="11"/>
      <c r="S132" s="11"/>
      <c r="T132" s="11"/>
      <c r="U132" s="11"/>
      <c r="V132" s="11"/>
      <c r="W132" s="11"/>
      <c r="X132" s="11"/>
      <c r="Y132" s="11"/>
      <c r="Z132" s="11"/>
      <c r="AA132" s="11"/>
    </row>
    <row r="133" spans="1:27" x14ac:dyDescent="0.25">
      <c r="A133" s="1537">
        <v>36831</v>
      </c>
      <c r="B133" s="687">
        <v>4.0007000000000001</v>
      </c>
      <c r="C133" s="687">
        <v>3.8144</v>
      </c>
      <c r="D133" s="1035">
        <f t="shared" si="6"/>
        <v>-4.9823920699100244E-3</v>
      </c>
      <c r="E133" s="687">
        <v>0.1862</v>
      </c>
      <c r="F133" s="663"/>
      <c r="G133" s="663"/>
      <c r="H133" s="11"/>
      <c r="I133" s="11"/>
      <c r="J133" s="11"/>
      <c r="K133" s="11"/>
      <c r="L133" s="11"/>
      <c r="M133" s="11"/>
      <c r="N133" s="11"/>
      <c r="O133" s="11"/>
      <c r="P133" s="11"/>
      <c r="Q133" s="11"/>
      <c r="R133" s="11"/>
      <c r="S133" s="11"/>
      <c r="T133" s="11"/>
      <c r="U133" s="11"/>
      <c r="V133" s="11"/>
      <c r="W133" s="11"/>
      <c r="X133" s="11"/>
      <c r="Y133" s="11"/>
      <c r="Z133" s="11"/>
      <c r="AA133" s="11"/>
    </row>
    <row r="134" spans="1:27" x14ac:dyDescent="0.25">
      <c r="A134" s="1537">
        <v>36800</v>
      </c>
      <c r="B134" s="687">
        <v>3.9904000000000002</v>
      </c>
      <c r="C134" s="687">
        <v>3.81</v>
      </c>
      <c r="D134" s="1035">
        <f t="shared" si="6"/>
        <v>-1.8600508239239311E-3</v>
      </c>
      <c r="E134" s="687">
        <v>0.18029999999999999</v>
      </c>
      <c r="F134" s="663"/>
      <c r="G134" s="663"/>
      <c r="H134" s="11"/>
      <c r="I134" s="11"/>
      <c r="J134" s="11"/>
      <c r="K134" s="11"/>
      <c r="L134" s="11"/>
      <c r="M134" s="11"/>
      <c r="N134" s="11"/>
      <c r="O134" s="11"/>
      <c r="P134" s="11"/>
      <c r="Q134" s="11"/>
      <c r="R134" s="11"/>
      <c r="S134" s="11"/>
      <c r="T134" s="11"/>
      <c r="U134" s="11"/>
      <c r="V134" s="11"/>
      <c r="W134" s="11"/>
      <c r="X134" s="11"/>
      <c r="Y134" s="11"/>
      <c r="Z134" s="11"/>
      <c r="AA134" s="11"/>
    </row>
    <row r="135" spans="1:27" x14ac:dyDescent="0.25">
      <c r="A135" s="1537">
        <v>36770</v>
      </c>
      <c r="B135" s="687">
        <v>3.9866000000000001</v>
      </c>
      <c r="C135" s="687">
        <v>3.8087</v>
      </c>
      <c r="D135" s="1035">
        <f t="shared" si="6"/>
        <v>1.7622304050499693E-3</v>
      </c>
      <c r="E135" s="687">
        <v>0.1779</v>
      </c>
      <c r="F135" s="663"/>
      <c r="G135" s="663"/>
      <c r="H135" s="11"/>
      <c r="I135" s="11"/>
      <c r="J135" s="11"/>
      <c r="K135" s="11"/>
      <c r="L135" s="11"/>
      <c r="M135" s="11"/>
      <c r="N135" s="11"/>
      <c r="O135" s="11"/>
      <c r="P135" s="11"/>
      <c r="Q135" s="11"/>
      <c r="R135" s="11"/>
      <c r="S135" s="11"/>
      <c r="T135" s="11"/>
      <c r="U135" s="11"/>
      <c r="V135" s="11"/>
      <c r="W135" s="11"/>
      <c r="X135" s="11"/>
      <c r="Y135" s="11"/>
      <c r="Z135" s="11"/>
      <c r="AA135" s="11"/>
    </row>
    <row r="136" spans="1:27" x14ac:dyDescent="0.25">
      <c r="A136" s="1537">
        <v>36739</v>
      </c>
      <c r="B136" s="687">
        <v>3.9895999999999998</v>
      </c>
      <c r="C136" s="687">
        <v>3.8119000000000001</v>
      </c>
      <c r="D136" s="1035">
        <f t="shared" si="6"/>
        <v>5.8314422924692355E-3</v>
      </c>
      <c r="E136" s="687">
        <v>0.1777</v>
      </c>
      <c r="F136" s="663"/>
      <c r="G136" s="663"/>
      <c r="H136" s="11"/>
      <c r="I136" s="11"/>
      <c r="J136" s="11"/>
      <c r="K136" s="11"/>
      <c r="L136" s="11"/>
      <c r="M136" s="11"/>
      <c r="N136" s="11"/>
      <c r="O136" s="11"/>
      <c r="P136" s="11"/>
      <c r="Q136" s="11"/>
      <c r="R136" s="11"/>
      <c r="S136" s="11"/>
      <c r="T136" s="11"/>
      <c r="U136" s="11"/>
      <c r="V136" s="11"/>
      <c r="W136" s="11"/>
      <c r="X136" s="11"/>
      <c r="Y136" s="11"/>
      <c r="Z136" s="11"/>
      <c r="AA136" s="11"/>
    </row>
    <row r="137" spans="1:27" x14ac:dyDescent="0.25">
      <c r="A137" s="1537">
        <v>36708</v>
      </c>
      <c r="B137" s="687">
        <v>3.9983</v>
      </c>
      <c r="C137" s="687">
        <v>3.8197000000000001</v>
      </c>
      <c r="D137" s="1035">
        <f t="shared" ref="D137:D200" si="7">C137/C149-1</f>
        <v>1.0048390935293749E-2</v>
      </c>
      <c r="E137" s="687">
        <v>0.17849999999999999</v>
      </c>
      <c r="F137" s="663"/>
      <c r="G137" s="663"/>
      <c r="H137" s="11"/>
      <c r="I137" s="11"/>
      <c r="J137" s="11"/>
      <c r="K137" s="11"/>
      <c r="L137" s="11"/>
      <c r="M137" s="11"/>
      <c r="N137" s="11"/>
      <c r="O137" s="11"/>
      <c r="P137" s="11"/>
      <c r="Q137" s="11"/>
      <c r="R137" s="11"/>
      <c r="S137" s="11"/>
      <c r="T137" s="11"/>
      <c r="U137" s="11"/>
      <c r="V137" s="11"/>
      <c r="W137" s="11"/>
      <c r="X137" s="11"/>
      <c r="Y137" s="11"/>
      <c r="Z137" s="11"/>
      <c r="AA137" s="11"/>
    </row>
    <row r="138" spans="1:27" x14ac:dyDescent="0.25">
      <c r="A138" s="1537">
        <v>36678</v>
      </c>
      <c r="B138" s="687">
        <v>4.0103999999999997</v>
      </c>
      <c r="C138" s="687">
        <v>3.831</v>
      </c>
      <c r="D138" s="1035">
        <f t="shared" si="7"/>
        <v>1.4350773141283524E-2</v>
      </c>
      <c r="E138" s="687">
        <v>0.1794</v>
      </c>
      <c r="F138" s="663"/>
      <c r="G138" s="663"/>
      <c r="H138" s="11"/>
      <c r="I138" s="11"/>
      <c r="J138" s="11"/>
      <c r="K138" s="11"/>
      <c r="L138" s="11"/>
      <c r="M138" s="11"/>
      <c r="N138" s="11"/>
      <c r="O138" s="11"/>
      <c r="P138" s="11"/>
      <c r="Q138" s="11"/>
      <c r="R138" s="11"/>
      <c r="S138" s="11"/>
      <c r="T138" s="11"/>
      <c r="U138" s="11"/>
      <c r="V138" s="11"/>
      <c r="W138" s="11"/>
      <c r="X138" s="11"/>
      <c r="Y138" s="11"/>
      <c r="Z138" s="11"/>
      <c r="AA138" s="11"/>
    </row>
    <row r="139" spans="1:27" x14ac:dyDescent="0.25">
      <c r="A139" s="1537">
        <v>36647</v>
      </c>
      <c r="B139" s="687">
        <v>4.0232999999999999</v>
      </c>
      <c r="C139" s="687">
        <v>3.8439000000000001</v>
      </c>
      <c r="D139" s="1035">
        <f t="shared" si="7"/>
        <v>1.8602432625804965E-2</v>
      </c>
      <c r="E139" s="687">
        <v>0.1794</v>
      </c>
      <c r="F139" s="663"/>
      <c r="G139" s="663"/>
      <c r="H139" s="11"/>
      <c r="I139" s="11"/>
      <c r="J139" s="11"/>
      <c r="K139" s="11"/>
      <c r="L139" s="11"/>
      <c r="M139" s="11"/>
      <c r="N139" s="11"/>
      <c r="O139" s="11"/>
      <c r="P139" s="11"/>
      <c r="Q139" s="11"/>
      <c r="R139" s="11"/>
      <c r="S139" s="11"/>
      <c r="T139" s="11"/>
      <c r="U139" s="11"/>
      <c r="V139" s="11"/>
      <c r="W139" s="11"/>
      <c r="X139" s="11"/>
      <c r="Y139" s="11"/>
      <c r="Z139" s="11"/>
      <c r="AA139" s="11"/>
    </row>
    <row r="140" spans="1:27" x14ac:dyDescent="0.25">
      <c r="A140" s="1537">
        <v>36617</v>
      </c>
      <c r="B140" s="687">
        <v>4.0345000000000004</v>
      </c>
      <c r="C140" s="687">
        <v>3.8557999999999999</v>
      </c>
      <c r="D140" s="1035">
        <f t="shared" si="7"/>
        <v>2.2514519080325535E-2</v>
      </c>
      <c r="E140" s="687">
        <v>0.1787</v>
      </c>
      <c r="F140" s="663"/>
      <c r="G140" s="663"/>
      <c r="H140" s="11"/>
      <c r="I140" s="11"/>
      <c r="J140" s="11"/>
      <c r="K140" s="11"/>
      <c r="L140" s="11"/>
      <c r="M140" s="11"/>
      <c r="N140" s="11"/>
      <c r="O140" s="11"/>
      <c r="P140" s="11"/>
      <c r="Q140" s="11"/>
      <c r="R140" s="11"/>
      <c r="S140" s="11"/>
      <c r="T140" s="11"/>
      <c r="U140" s="11"/>
      <c r="V140" s="11"/>
      <c r="W140" s="11"/>
      <c r="X140" s="11"/>
      <c r="Y140" s="11"/>
      <c r="Z140" s="11"/>
      <c r="AA140" s="11"/>
    </row>
    <row r="141" spans="1:27" x14ac:dyDescent="0.25">
      <c r="A141" s="1537">
        <v>36586</v>
      </c>
      <c r="B141" s="687">
        <v>4.0415000000000001</v>
      </c>
      <c r="C141" s="687">
        <v>3.8637000000000001</v>
      </c>
      <c r="D141" s="1035">
        <f t="shared" si="7"/>
        <v>2.5670294664189131E-2</v>
      </c>
      <c r="E141" s="687">
        <v>0.1779</v>
      </c>
      <c r="F141" s="663"/>
      <c r="G141" s="663"/>
      <c r="H141" s="11"/>
      <c r="I141" s="11"/>
      <c r="J141" s="11"/>
      <c r="K141" s="11"/>
      <c r="L141" s="11"/>
      <c r="M141" s="11"/>
      <c r="N141" s="11"/>
      <c r="O141" s="11"/>
      <c r="P141" s="11"/>
      <c r="Q141" s="11"/>
      <c r="R141" s="11"/>
      <c r="S141" s="11"/>
      <c r="T141" s="11"/>
      <c r="U141" s="11"/>
      <c r="V141" s="11"/>
      <c r="W141" s="11"/>
      <c r="X141" s="11"/>
      <c r="Y141" s="11"/>
      <c r="Z141" s="11"/>
      <c r="AA141" s="11"/>
    </row>
    <row r="142" spans="1:27" x14ac:dyDescent="0.25">
      <c r="A142" s="1537">
        <v>36557</v>
      </c>
      <c r="B142" s="687">
        <v>4.0425000000000004</v>
      </c>
      <c r="C142" s="687">
        <v>3.8651</v>
      </c>
      <c r="D142" s="1035">
        <f t="shared" si="7"/>
        <v>2.7596841517560478E-2</v>
      </c>
      <c r="E142" s="687">
        <v>0.17730000000000001</v>
      </c>
      <c r="F142" s="663"/>
      <c r="G142" s="663"/>
      <c r="H142" s="11"/>
      <c r="I142" s="11"/>
      <c r="J142" s="11"/>
      <c r="K142" s="11"/>
      <c r="L142" s="11"/>
      <c r="M142" s="11"/>
      <c r="N142" s="11"/>
      <c r="O142" s="11"/>
      <c r="P142" s="11"/>
      <c r="Q142" s="11"/>
      <c r="R142" s="11"/>
      <c r="S142" s="11"/>
      <c r="T142" s="11"/>
      <c r="U142" s="11"/>
      <c r="V142" s="11"/>
      <c r="W142" s="11"/>
      <c r="X142" s="11"/>
      <c r="Y142" s="11"/>
      <c r="Z142" s="11"/>
      <c r="AA142" s="11"/>
    </row>
    <row r="143" spans="1:27" x14ac:dyDescent="0.25">
      <c r="A143" s="1537">
        <v>36526</v>
      </c>
      <c r="B143" s="687">
        <v>4.0362999999999998</v>
      </c>
      <c r="C143" s="687">
        <v>3.8595999999999999</v>
      </c>
      <c r="D143" s="1035">
        <f t="shared" si="7"/>
        <v>2.8431346425431103E-2</v>
      </c>
      <c r="E143" s="687">
        <v>0.1767</v>
      </c>
      <c r="F143" s="663"/>
      <c r="G143" s="663"/>
      <c r="H143" s="11"/>
      <c r="I143" s="11"/>
      <c r="J143" s="11"/>
      <c r="K143" s="11"/>
      <c r="L143" s="11"/>
      <c r="M143" s="11"/>
      <c r="N143" s="11"/>
      <c r="O143" s="11"/>
      <c r="P143" s="11"/>
      <c r="Q143" s="11"/>
      <c r="R143" s="11"/>
      <c r="S143" s="11"/>
      <c r="T143" s="11"/>
      <c r="U143" s="11"/>
      <c r="V143" s="11"/>
      <c r="W143" s="11"/>
      <c r="X143" s="11"/>
      <c r="Y143" s="11"/>
      <c r="Z143" s="11"/>
      <c r="AA143" s="11"/>
    </row>
    <row r="144" spans="1:27" x14ac:dyDescent="0.25">
      <c r="A144" s="1537">
        <v>36495</v>
      </c>
      <c r="B144" s="687">
        <v>4.0244999999999997</v>
      </c>
      <c r="C144" s="687">
        <v>3.8483000000000001</v>
      </c>
      <c r="D144" s="1035">
        <f t="shared" si="7"/>
        <v>2.8297349294570395E-2</v>
      </c>
      <c r="E144" s="687">
        <v>0.1762</v>
      </c>
      <c r="F144" s="663"/>
      <c r="G144" s="663"/>
      <c r="H144" s="11"/>
      <c r="I144" s="11"/>
      <c r="J144" s="11"/>
      <c r="K144" s="11"/>
      <c r="L144" s="11"/>
      <c r="M144" s="11"/>
      <c r="N144" s="11"/>
      <c r="O144" s="11"/>
      <c r="P144" s="11"/>
      <c r="Q144" s="11"/>
      <c r="R144" s="11"/>
      <c r="S144" s="11"/>
      <c r="T144" s="11"/>
      <c r="U144" s="11"/>
      <c r="V144" s="11"/>
      <c r="W144" s="11"/>
      <c r="X144" s="11"/>
      <c r="Y144" s="11"/>
      <c r="Z144" s="11"/>
      <c r="AA144" s="11"/>
    </row>
    <row r="145" spans="1:27" x14ac:dyDescent="0.25">
      <c r="A145" s="1537">
        <v>36465</v>
      </c>
      <c r="B145" s="687">
        <v>4.0103999999999997</v>
      </c>
      <c r="C145" s="687">
        <v>3.8334999999999999</v>
      </c>
      <c r="D145" s="1035">
        <f t="shared" si="7"/>
        <v>2.7610239914220625E-2</v>
      </c>
      <c r="E145" s="687">
        <v>0.1769</v>
      </c>
      <c r="F145" s="663"/>
      <c r="G145" s="663"/>
      <c r="H145" s="11"/>
      <c r="I145" s="11"/>
      <c r="J145" s="11"/>
      <c r="K145" s="11"/>
      <c r="L145" s="11"/>
      <c r="M145" s="11"/>
      <c r="N145" s="11"/>
      <c r="O145" s="11"/>
      <c r="P145" s="11"/>
      <c r="Q145" s="11"/>
      <c r="R145" s="11"/>
      <c r="S145" s="11"/>
      <c r="T145" s="11"/>
      <c r="U145" s="11"/>
      <c r="V145" s="11"/>
      <c r="W145" s="11"/>
      <c r="X145" s="11"/>
      <c r="Y145" s="11"/>
      <c r="Z145" s="11"/>
      <c r="AA145" s="11"/>
    </row>
    <row r="146" spans="1:27" x14ac:dyDescent="0.25">
      <c r="A146" s="1537">
        <v>36434</v>
      </c>
      <c r="B146" s="687">
        <v>3.9967999999999999</v>
      </c>
      <c r="C146" s="687">
        <v>3.8170999999999999</v>
      </c>
      <c r="D146" s="1035">
        <f t="shared" si="7"/>
        <v>2.6405657586920928E-2</v>
      </c>
      <c r="E146" s="687">
        <v>0.17960000000000001</v>
      </c>
      <c r="F146" s="663"/>
      <c r="G146" s="663"/>
      <c r="H146" s="11"/>
      <c r="I146" s="11"/>
      <c r="J146" s="11"/>
      <c r="K146" s="11"/>
      <c r="L146" s="11"/>
      <c r="M146" s="11"/>
      <c r="N146" s="11"/>
      <c r="O146" s="11"/>
      <c r="P146" s="11"/>
      <c r="Q146" s="11"/>
      <c r="R146" s="11"/>
      <c r="S146" s="11"/>
      <c r="T146" s="11"/>
      <c r="U146" s="11"/>
      <c r="V146" s="11"/>
      <c r="W146" s="11"/>
      <c r="X146" s="11"/>
      <c r="Y146" s="11"/>
      <c r="Z146" s="11"/>
      <c r="AA146" s="11"/>
    </row>
    <row r="147" spans="1:27" x14ac:dyDescent="0.25">
      <c r="A147" s="1537">
        <v>36404</v>
      </c>
      <c r="B147" s="687">
        <v>3.9860000000000002</v>
      </c>
      <c r="C147" s="687">
        <v>3.802</v>
      </c>
      <c r="D147" s="1035">
        <f t="shared" si="7"/>
        <v>2.5046507238952964E-2</v>
      </c>
      <c r="E147" s="687">
        <v>0.184</v>
      </c>
      <c r="F147" s="663"/>
      <c r="G147" s="663"/>
      <c r="H147" s="11"/>
      <c r="I147" s="11"/>
      <c r="J147" s="11"/>
      <c r="K147" s="11"/>
      <c r="L147" s="11"/>
      <c r="M147" s="11"/>
      <c r="N147" s="11"/>
      <c r="O147" s="11"/>
      <c r="P147" s="11"/>
      <c r="Q147" s="11"/>
      <c r="R147" s="11"/>
      <c r="S147" s="11"/>
      <c r="T147" s="11"/>
      <c r="U147" s="11"/>
      <c r="V147" s="11"/>
      <c r="W147" s="11"/>
      <c r="X147" s="11"/>
      <c r="Y147" s="11"/>
      <c r="Z147" s="11"/>
      <c r="AA147" s="11"/>
    </row>
    <row r="148" spans="1:27" x14ac:dyDescent="0.25">
      <c r="A148" s="1537">
        <v>36373</v>
      </c>
      <c r="B148" s="687">
        <v>3.9779</v>
      </c>
      <c r="C148" s="687">
        <v>3.7898000000000001</v>
      </c>
      <c r="D148" s="1035">
        <f t="shared" si="7"/>
        <v>2.3661606612284558E-2</v>
      </c>
      <c r="E148" s="687">
        <v>0.18809999999999999</v>
      </c>
      <c r="F148" s="663"/>
      <c r="G148" s="663"/>
      <c r="H148" s="11"/>
      <c r="I148" s="11"/>
      <c r="J148" s="11"/>
      <c r="K148" s="11"/>
      <c r="L148" s="11"/>
      <c r="M148" s="11"/>
      <c r="N148" s="11"/>
      <c r="O148" s="11"/>
      <c r="P148" s="11"/>
      <c r="Q148" s="11"/>
      <c r="R148" s="11"/>
      <c r="S148" s="11"/>
      <c r="T148" s="11"/>
      <c r="U148" s="11"/>
      <c r="V148" s="11"/>
      <c r="W148" s="11"/>
      <c r="X148" s="11"/>
      <c r="Y148" s="11"/>
      <c r="Z148" s="11"/>
      <c r="AA148" s="11"/>
    </row>
    <row r="149" spans="1:27" x14ac:dyDescent="0.25">
      <c r="A149" s="1537">
        <v>36342</v>
      </c>
      <c r="B149" s="687">
        <v>3.9712999999999998</v>
      </c>
      <c r="C149" s="687">
        <v>3.7816999999999998</v>
      </c>
      <c r="D149" s="1035">
        <f t="shared" si="7"/>
        <v>2.2467960850051316E-2</v>
      </c>
      <c r="E149" s="687">
        <v>0.18959999999999999</v>
      </c>
      <c r="F149" s="663"/>
      <c r="G149" s="663"/>
      <c r="H149" s="11"/>
      <c r="I149" s="11"/>
      <c r="J149" s="11"/>
      <c r="K149" s="11"/>
      <c r="L149" s="11"/>
      <c r="M149" s="11"/>
      <c r="N149" s="11"/>
      <c r="O149" s="11"/>
      <c r="P149" s="11"/>
      <c r="Q149" s="11"/>
      <c r="R149" s="11"/>
      <c r="S149" s="11"/>
      <c r="T149" s="11"/>
      <c r="U149" s="11"/>
      <c r="V149" s="11"/>
      <c r="W149" s="11"/>
      <c r="X149" s="11"/>
      <c r="Y149" s="11"/>
      <c r="Z149" s="11"/>
      <c r="AA149" s="11"/>
    </row>
    <row r="150" spans="1:27" x14ac:dyDescent="0.25">
      <c r="A150" s="1537">
        <v>36312</v>
      </c>
      <c r="B150" s="687">
        <v>3.9647000000000001</v>
      </c>
      <c r="C150" s="687">
        <v>3.7768000000000002</v>
      </c>
      <c r="D150" s="1035">
        <f t="shared" si="7"/>
        <v>2.1364054302558388E-2</v>
      </c>
      <c r="E150" s="687">
        <v>0.18790000000000001</v>
      </c>
      <c r="F150" s="663"/>
      <c r="G150" s="663"/>
      <c r="H150" s="11"/>
      <c r="I150" s="11"/>
      <c r="J150" s="11"/>
      <c r="K150" s="11"/>
      <c r="L150" s="11"/>
      <c r="M150" s="11"/>
      <c r="N150" s="11"/>
      <c r="O150" s="11"/>
      <c r="P150" s="11"/>
      <c r="Q150" s="11"/>
      <c r="R150" s="11"/>
      <c r="S150" s="11"/>
      <c r="T150" s="11"/>
      <c r="U150" s="11"/>
      <c r="V150" s="11"/>
      <c r="W150" s="11"/>
      <c r="X150" s="11"/>
      <c r="Y150" s="11"/>
      <c r="Z150" s="11"/>
      <c r="AA150" s="11"/>
    </row>
    <row r="151" spans="1:27" x14ac:dyDescent="0.25">
      <c r="A151" s="1537">
        <v>36281</v>
      </c>
      <c r="B151" s="687">
        <v>3.9575</v>
      </c>
      <c r="C151" s="687">
        <v>3.7736999999999998</v>
      </c>
      <c r="D151" s="1035">
        <f t="shared" si="7"/>
        <v>2.0304980262802141E-2</v>
      </c>
      <c r="E151" s="687">
        <v>0.18379999999999999</v>
      </c>
      <c r="F151" s="663"/>
      <c r="G151" s="663"/>
      <c r="H151" s="11"/>
      <c r="I151" s="11"/>
      <c r="J151" s="11"/>
      <c r="K151" s="11"/>
      <c r="L151" s="11"/>
      <c r="M151" s="11"/>
      <c r="N151" s="11"/>
      <c r="O151" s="11"/>
      <c r="P151" s="11"/>
      <c r="Q151" s="11"/>
      <c r="R151" s="11"/>
      <c r="S151" s="11"/>
      <c r="T151" s="11"/>
      <c r="U151" s="11"/>
      <c r="V151" s="11"/>
      <c r="W151" s="11"/>
      <c r="X151" s="11"/>
      <c r="Y151" s="11"/>
      <c r="Z151" s="11"/>
      <c r="AA151" s="11"/>
    </row>
    <row r="152" spans="1:27" x14ac:dyDescent="0.25">
      <c r="A152" s="1537">
        <v>36251</v>
      </c>
      <c r="B152" s="687">
        <v>3.9497</v>
      </c>
      <c r="C152" s="687">
        <v>3.7709000000000001</v>
      </c>
      <c r="D152" s="1035">
        <f t="shared" si="7"/>
        <v>1.9134617983297852E-2</v>
      </c>
      <c r="E152" s="687">
        <v>0.17879999999999999</v>
      </c>
      <c r="F152" s="663"/>
      <c r="G152" s="663"/>
      <c r="H152" s="11"/>
      <c r="I152" s="11"/>
      <c r="J152" s="11"/>
      <c r="K152" s="11"/>
      <c r="L152" s="11"/>
      <c r="M152" s="11"/>
      <c r="N152" s="11"/>
      <c r="O152" s="11"/>
      <c r="P152" s="11"/>
      <c r="Q152" s="11"/>
      <c r="R152" s="11"/>
      <c r="S152" s="11"/>
      <c r="T152" s="11"/>
      <c r="U152" s="11"/>
      <c r="V152" s="11"/>
      <c r="W152" s="11"/>
      <c r="X152" s="11"/>
      <c r="Y152" s="11"/>
      <c r="Z152" s="11"/>
      <c r="AA152" s="11"/>
    </row>
    <row r="153" spans="1:27" x14ac:dyDescent="0.25">
      <c r="A153" s="1537">
        <v>36220</v>
      </c>
      <c r="B153" s="687">
        <v>3.9419</v>
      </c>
      <c r="C153" s="687">
        <v>3.7669999999999999</v>
      </c>
      <c r="D153" s="1035">
        <f t="shared" si="7"/>
        <v>1.7668035444132313E-2</v>
      </c>
      <c r="E153" s="687">
        <v>0.1749</v>
      </c>
      <c r="F153" s="663"/>
      <c r="G153" s="663"/>
      <c r="H153" s="11"/>
      <c r="I153" s="11"/>
      <c r="J153" s="11"/>
      <c r="K153" s="11"/>
      <c r="L153" s="11"/>
      <c r="M153" s="11"/>
      <c r="N153" s="11"/>
      <c r="O153" s="11"/>
      <c r="P153" s="11"/>
      <c r="Q153" s="11"/>
      <c r="R153" s="11"/>
      <c r="S153" s="11"/>
      <c r="T153" s="11"/>
      <c r="U153" s="11"/>
      <c r="V153" s="11"/>
      <c r="W153" s="11"/>
      <c r="X153" s="11"/>
      <c r="Y153" s="11"/>
      <c r="Z153" s="11"/>
      <c r="AA153" s="11"/>
    </row>
    <row r="154" spans="1:27" x14ac:dyDescent="0.25">
      <c r="A154" s="1537">
        <v>36192</v>
      </c>
      <c r="B154" s="687">
        <v>3.9348000000000001</v>
      </c>
      <c r="C154" s="687">
        <v>3.7612999999999999</v>
      </c>
      <c r="D154" s="1035">
        <f t="shared" si="7"/>
        <v>1.6018368449486786E-2</v>
      </c>
      <c r="E154" s="687">
        <v>0.1734</v>
      </c>
      <c r="F154" s="663"/>
      <c r="G154" s="663"/>
      <c r="H154" s="11"/>
      <c r="I154" s="11"/>
      <c r="J154" s="11"/>
      <c r="K154" s="11"/>
      <c r="L154" s="11"/>
      <c r="M154" s="11"/>
      <c r="N154" s="11"/>
      <c r="O154" s="11"/>
      <c r="P154" s="11"/>
      <c r="Q154" s="11"/>
      <c r="R154" s="11"/>
      <c r="S154" s="11"/>
      <c r="T154" s="11"/>
      <c r="U154" s="11"/>
      <c r="V154" s="11"/>
      <c r="W154" s="11"/>
      <c r="X154" s="11"/>
      <c r="Y154" s="11"/>
      <c r="Z154" s="11"/>
      <c r="AA154" s="11"/>
    </row>
    <row r="155" spans="1:27" x14ac:dyDescent="0.25">
      <c r="A155" s="1537">
        <v>36161</v>
      </c>
      <c r="B155" s="687">
        <v>3.9277000000000002</v>
      </c>
      <c r="C155" s="687">
        <v>3.7528999999999999</v>
      </c>
      <c r="D155" s="1035">
        <f t="shared" si="7"/>
        <v>1.4078037181149972E-2</v>
      </c>
      <c r="E155" s="687">
        <v>0.17480000000000001</v>
      </c>
      <c r="F155" s="663"/>
      <c r="G155" s="663"/>
      <c r="H155" s="11"/>
      <c r="I155" s="11"/>
      <c r="J155" s="11"/>
      <c r="K155" s="11"/>
      <c r="L155" s="11"/>
      <c r="M155" s="11"/>
      <c r="N155" s="11"/>
      <c r="O155" s="11"/>
      <c r="P155" s="11"/>
      <c r="Q155" s="11"/>
      <c r="R155" s="11"/>
      <c r="S155" s="11"/>
      <c r="T155" s="11"/>
      <c r="U155" s="11"/>
      <c r="V155" s="11"/>
      <c r="W155" s="11"/>
      <c r="X155" s="11"/>
      <c r="Y155" s="11"/>
      <c r="Z155" s="11"/>
      <c r="AA155" s="11"/>
    </row>
    <row r="156" spans="1:27" x14ac:dyDescent="0.25">
      <c r="A156" s="1537">
        <v>36130</v>
      </c>
      <c r="B156" s="687">
        <v>3.9197000000000002</v>
      </c>
      <c r="C156" s="687">
        <v>3.7423999999999999</v>
      </c>
      <c r="D156" s="1035">
        <f t="shared" si="7"/>
        <v>1.1924397696238653E-2</v>
      </c>
      <c r="E156" s="687">
        <v>0.17730000000000001</v>
      </c>
      <c r="F156" s="663"/>
      <c r="G156" s="663"/>
      <c r="H156" s="11"/>
      <c r="I156" s="11"/>
      <c r="J156" s="11"/>
      <c r="K156" s="11"/>
      <c r="L156" s="11"/>
      <c r="M156" s="11"/>
      <c r="N156" s="11"/>
      <c r="O156" s="11"/>
      <c r="P156" s="11"/>
      <c r="Q156" s="11"/>
      <c r="R156" s="11"/>
      <c r="S156" s="11"/>
      <c r="T156" s="11"/>
      <c r="U156" s="11"/>
      <c r="V156" s="11"/>
      <c r="W156" s="11"/>
      <c r="X156" s="11"/>
      <c r="Y156" s="11"/>
      <c r="Z156" s="11"/>
      <c r="AA156" s="11"/>
    </row>
    <row r="157" spans="1:27" x14ac:dyDescent="0.25">
      <c r="A157" s="1537">
        <v>36100</v>
      </c>
      <c r="B157" s="687">
        <v>3.91</v>
      </c>
      <c r="C157" s="687">
        <v>3.7305000000000001</v>
      </c>
      <c r="D157" s="1035">
        <f t="shared" si="7"/>
        <v>9.7168841011205931E-3</v>
      </c>
      <c r="E157" s="687">
        <v>0.17949999999999999</v>
      </c>
      <c r="F157" s="663"/>
      <c r="G157" s="663"/>
      <c r="H157" s="11"/>
      <c r="I157" s="11"/>
      <c r="J157" s="11"/>
      <c r="K157" s="11"/>
      <c r="L157" s="11"/>
      <c r="M157" s="11"/>
      <c r="N157" s="11"/>
      <c r="O157" s="11"/>
      <c r="P157" s="11"/>
      <c r="Q157" s="11"/>
      <c r="R157" s="11"/>
      <c r="S157" s="11"/>
      <c r="T157" s="11"/>
      <c r="U157" s="11"/>
      <c r="V157" s="11"/>
      <c r="W157" s="11"/>
      <c r="X157" s="11"/>
      <c r="Y157" s="11"/>
      <c r="Z157" s="11"/>
      <c r="AA157" s="11"/>
    </row>
    <row r="158" spans="1:27" x14ac:dyDescent="0.25">
      <c r="A158" s="1537">
        <v>36069</v>
      </c>
      <c r="B158" s="687">
        <v>3.8992</v>
      </c>
      <c r="C158" s="687">
        <v>3.7189000000000001</v>
      </c>
      <c r="D158" s="1035">
        <f t="shared" si="7"/>
        <v>7.6681298433860512E-3</v>
      </c>
      <c r="E158" s="687">
        <v>0.18029999999999999</v>
      </c>
      <c r="F158" s="663"/>
      <c r="G158" s="663"/>
      <c r="H158" s="11"/>
      <c r="I158" s="11"/>
      <c r="J158" s="11"/>
      <c r="K158" s="11"/>
      <c r="L158" s="11"/>
      <c r="M158" s="11"/>
      <c r="N158" s="11"/>
      <c r="O158" s="11"/>
      <c r="P158" s="11"/>
      <c r="Q158" s="11"/>
      <c r="R158" s="11"/>
      <c r="S158" s="11"/>
      <c r="T158" s="11"/>
      <c r="U158" s="11"/>
      <c r="V158" s="11"/>
      <c r="W158" s="11"/>
      <c r="X158" s="11"/>
      <c r="Y158" s="11"/>
      <c r="Z158" s="11"/>
      <c r="AA158" s="11"/>
    </row>
    <row r="159" spans="1:27" x14ac:dyDescent="0.25">
      <c r="A159" s="1537">
        <v>36039</v>
      </c>
      <c r="B159" s="687">
        <v>3.8877999999999999</v>
      </c>
      <c r="C159" s="687">
        <v>3.7090999999999998</v>
      </c>
      <c r="D159" s="1035">
        <f t="shared" si="7"/>
        <v>6.0758944313341612E-3</v>
      </c>
      <c r="E159" s="687">
        <v>0.17860000000000001</v>
      </c>
      <c r="F159" s="663"/>
      <c r="G159" s="663"/>
      <c r="H159" s="11"/>
      <c r="I159" s="11"/>
      <c r="J159" s="11"/>
      <c r="K159" s="11"/>
      <c r="L159" s="11"/>
      <c r="M159" s="11"/>
      <c r="N159" s="11"/>
      <c r="O159" s="11"/>
      <c r="P159" s="11"/>
      <c r="Q159" s="11"/>
      <c r="R159" s="11"/>
      <c r="S159" s="11"/>
      <c r="T159" s="11"/>
      <c r="U159" s="11"/>
      <c r="V159" s="11"/>
      <c r="W159" s="11"/>
      <c r="X159" s="11"/>
      <c r="Y159" s="11"/>
      <c r="Z159" s="11"/>
      <c r="AA159" s="11"/>
    </row>
    <row r="160" spans="1:27" x14ac:dyDescent="0.25">
      <c r="A160" s="1537">
        <v>36008</v>
      </c>
      <c r="B160" s="687">
        <v>3.8769</v>
      </c>
      <c r="C160" s="687">
        <v>3.7021999999999999</v>
      </c>
      <c r="D160" s="1035">
        <f t="shared" si="7"/>
        <v>4.9402823018458442E-3</v>
      </c>
      <c r="E160" s="687">
        <v>0.17469999999999999</v>
      </c>
      <c r="F160" s="663"/>
      <c r="G160" s="663"/>
      <c r="H160" s="11"/>
      <c r="I160" s="11"/>
      <c r="J160" s="11"/>
      <c r="K160" s="11"/>
      <c r="L160" s="11"/>
      <c r="M160" s="11"/>
      <c r="N160" s="11"/>
      <c r="O160" s="11"/>
      <c r="P160" s="11"/>
      <c r="Q160" s="11"/>
      <c r="R160" s="11"/>
      <c r="S160" s="11"/>
      <c r="T160" s="11"/>
      <c r="U160" s="11"/>
      <c r="V160" s="11"/>
      <c r="W160" s="11"/>
      <c r="X160" s="11"/>
      <c r="Y160" s="11"/>
      <c r="Z160" s="11"/>
      <c r="AA160" s="11"/>
    </row>
    <row r="161" spans="1:27" x14ac:dyDescent="0.25">
      <c r="A161" s="1537">
        <v>35977</v>
      </c>
      <c r="B161" s="687">
        <v>3.8683999999999998</v>
      </c>
      <c r="C161" s="687">
        <v>3.6985999999999999</v>
      </c>
      <c r="D161" s="1035">
        <f t="shared" si="7"/>
        <v>4.3720298710114847E-3</v>
      </c>
      <c r="E161" s="687">
        <v>0.1699</v>
      </c>
      <c r="F161" s="663"/>
      <c r="G161" s="663"/>
      <c r="H161" s="11"/>
      <c r="I161" s="11"/>
      <c r="J161" s="11"/>
      <c r="K161" s="11"/>
      <c r="L161" s="11"/>
      <c r="M161" s="11"/>
      <c r="N161" s="11"/>
      <c r="O161" s="11"/>
      <c r="P161" s="11"/>
      <c r="Q161" s="11"/>
      <c r="R161" s="11"/>
      <c r="S161" s="11"/>
      <c r="T161" s="11"/>
      <c r="U161" s="11"/>
      <c r="V161" s="11"/>
      <c r="W161" s="11"/>
      <c r="X161" s="11"/>
      <c r="Y161" s="11"/>
      <c r="Z161" s="11"/>
      <c r="AA161" s="11"/>
    </row>
    <row r="162" spans="1:27" x14ac:dyDescent="0.25">
      <c r="A162" s="1537">
        <v>35947</v>
      </c>
      <c r="B162" s="687">
        <v>3.8637999999999999</v>
      </c>
      <c r="C162" s="687">
        <v>3.6978</v>
      </c>
      <c r="D162" s="1035">
        <f t="shared" si="7"/>
        <v>4.4821122972862337E-3</v>
      </c>
      <c r="E162" s="687">
        <v>0.1661</v>
      </c>
      <c r="F162" s="663"/>
      <c r="G162" s="663"/>
      <c r="H162" s="11"/>
      <c r="I162" s="11"/>
      <c r="J162" s="11"/>
      <c r="K162" s="11"/>
      <c r="L162" s="11"/>
      <c r="M162" s="11"/>
      <c r="N162" s="11"/>
      <c r="O162" s="11"/>
      <c r="P162" s="11"/>
      <c r="Q162" s="11"/>
      <c r="R162" s="11"/>
      <c r="S162" s="11"/>
      <c r="T162" s="11"/>
      <c r="U162" s="11"/>
      <c r="V162" s="11"/>
      <c r="W162" s="11"/>
      <c r="X162" s="11"/>
      <c r="Y162" s="11"/>
      <c r="Z162" s="11"/>
      <c r="AA162" s="11"/>
    </row>
    <row r="163" spans="1:27" x14ac:dyDescent="0.25">
      <c r="A163" s="1537">
        <v>35916</v>
      </c>
      <c r="B163" s="687">
        <v>3.8641000000000001</v>
      </c>
      <c r="C163" s="687">
        <v>3.6985999999999999</v>
      </c>
      <c r="D163" s="1035">
        <f t="shared" si="7"/>
        <v>5.1909226797119956E-3</v>
      </c>
      <c r="E163" s="687">
        <v>0.16550000000000001</v>
      </c>
      <c r="F163" s="663"/>
      <c r="G163" s="663"/>
      <c r="H163" s="11"/>
      <c r="I163" s="11"/>
      <c r="J163" s="11"/>
      <c r="K163" s="11"/>
      <c r="L163" s="11"/>
      <c r="M163" s="11"/>
      <c r="N163" s="11"/>
      <c r="O163" s="11"/>
      <c r="P163" s="11"/>
      <c r="Q163" s="11"/>
      <c r="R163" s="11"/>
      <c r="S163" s="11"/>
      <c r="T163" s="11"/>
      <c r="U163" s="11"/>
      <c r="V163" s="11"/>
      <c r="W163" s="11"/>
      <c r="X163" s="11"/>
      <c r="Y163" s="11"/>
      <c r="Z163" s="11"/>
      <c r="AA163" s="11"/>
    </row>
    <row r="164" spans="1:27" x14ac:dyDescent="0.25">
      <c r="A164" s="1537">
        <v>35886</v>
      </c>
      <c r="B164" s="687">
        <v>3.8691</v>
      </c>
      <c r="C164" s="687">
        <v>3.7000999999999999</v>
      </c>
      <c r="D164" s="1035">
        <f t="shared" si="7"/>
        <v>6.4739003889779934E-3</v>
      </c>
      <c r="E164" s="687">
        <v>0.1691</v>
      </c>
      <c r="F164" s="663"/>
      <c r="G164" s="663"/>
      <c r="H164" s="11"/>
      <c r="I164" s="11"/>
      <c r="J164" s="11"/>
      <c r="K164" s="11"/>
      <c r="L164" s="11"/>
      <c r="M164" s="11"/>
      <c r="N164" s="11"/>
      <c r="O164" s="11"/>
      <c r="P164" s="11"/>
      <c r="Q164" s="11"/>
      <c r="R164" s="11"/>
      <c r="S164" s="11"/>
      <c r="T164" s="11"/>
      <c r="U164" s="11"/>
      <c r="V164" s="11"/>
      <c r="W164" s="11"/>
      <c r="X164" s="11"/>
      <c r="Y164" s="11"/>
      <c r="Z164" s="11"/>
      <c r="AA164" s="11"/>
    </row>
    <row r="165" spans="1:27" x14ac:dyDescent="0.25">
      <c r="A165" s="1537">
        <v>35855</v>
      </c>
      <c r="B165" s="687">
        <v>3.8769999999999998</v>
      </c>
      <c r="C165" s="687">
        <v>3.7016</v>
      </c>
      <c r="D165" s="1035">
        <f t="shared" si="7"/>
        <v>7.9237576582709135E-3</v>
      </c>
      <c r="E165" s="687">
        <v>0.1754</v>
      </c>
      <c r="F165" s="663"/>
      <c r="G165" s="663"/>
      <c r="H165" s="11"/>
      <c r="I165" s="11"/>
      <c r="J165" s="11"/>
      <c r="K165" s="11"/>
      <c r="L165" s="11"/>
      <c r="M165" s="11"/>
      <c r="N165" s="11"/>
      <c r="O165" s="11"/>
      <c r="P165" s="11"/>
      <c r="Q165" s="11"/>
      <c r="R165" s="11"/>
      <c r="S165" s="11"/>
      <c r="T165" s="11"/>
      <c r="U165" s="11"/>
      <c r="V165" s="11"/>
      <c r="W165" s="11"/>
      <c r="X165" s="11"/>
      <c r="Y165" s="11"/>
      <c r="Z165" s="11"/>
      <c r="AA165" s="11"/>
    </row>
    <row r="166" spans="1:27" x14ac:dyDescent="0.25">
      <c r="A166" s="1537">
        <v>35827</v>
      </c>
      <c r="B166" s="687">
        <v>3.8843999999999999</v>
      </c>
      <c r="C166" s="687">
        <v>3.702</v>
      </c>
      <c r="D166" s="1035">
        <f t="shared" si="7"/>
        <v>9.0217776445256082E-3</v>
      </c>
      <c r="E166" s="687">
        <v>0.18240000000000001</v>
      </c>
      <c r="F166" s="663"/>
      <c r="G166" s="663"/>
      <c r="H166" s="11"/>
      <c r="I166" s="11"/>
      <c r="J166" s="11"/>
      <c r="K166" s="11"/>
      <c r="L166" s="11"/>
      <c r="M166" s="11"/>
      <c r="N166" s="11"/>
      <c r="O166" s="11"/>
      <c r="P166" s="11"/>
      <c r="Q166" s="11"/>
      <c r="R166" s="11"/>
      <c r="S166" s="11"/>
      <c r="T166" s="11"/>
      <c r="U166" s="11"/>
      <c r="V166" s="11"/>
      <c r="W166" s="11"/>
      <c r="X166" s="11"/>
      <c r="Y166" s="11"/>
      <c r="Z166" s="11"/>
      <c r="AA166" s="11"/>
    </row>
    <row r="167" spans="1:27" x14ac:dyDescent="0.25">
      <c r="A167" s="1537">
        <v>35796</v>
      </c>
      <c r="B167" s="687">
        <v>3.8883000000000001</v>
      </c>
      <c r="C167" s="687">
        <v>3.7008000000000001</v>
      </c>
      <c r="D167" s="1035">
        <f t="shared" si="7"/>
        <v>9.575251657255146E-3</v>
      </c>
      <c r="E167" s="687">
        <v>0.1875</v>
      </c>
      <c r="F167" s="663"/>
      <c r="G167" s="663"/>
      <c r="H167" s="11"/>
      <c r="I167" s="11"/>
      <c r="J167" s="11"/>
      <c r="K167" s="11"/>
      <c r="L167" s="11"/>
      <c r="M167" s="11"/>
      <c r="N167" s="11"/>
      <c r="O167" s="11"/>
      <c r="P167" s="11"/>
      <c r="Q167" s="11"/>
      <c r="R167" s="11"/>
      <c r="S167" s="11"/>
      <c r="T167" s="11"/>
      <c r="U167" s="11"/>
      <c r="V167" s="11"/>
      <c r="W167" s="11"/>
      <c r="X167" s="11"/>
      <c r="Y167" s="11"/>
      <c r="Z167" s="11"/>
      <c r="AA167" s="11"/>
    </row>
    <row r="168" spans="1:27" x14ac:dyDescent="0.25">
      <c r="A168" s="1537">
        <v>35765</v>
      </c>
      <c r="B168" s="687">
        <v>3.8879000000000001</v>
      </c>
      <c r="C168" s="687">
        <v>3.6983000000000001</v>
      </c>
      <c r="D168" s="1035">
        <f t="shared" si="7"/>
        <v>9.6920388773615862E-3</v>
      </c>
      <c r="E168" s="687">
        <v>0.1895</v>
      </c>
      <c r="F168" s="663"/>
      <c r="G168" s="663"/>
      <c r="H168" s="11"/>
      <c r="I168" s="11"/>
      <c r="J168" s="11"/>
      <c r="K168" s="11"/>
      <c r="L168" s="11"/>
      <c r="M168" s="11"/>
      <c r="N168" s="11"/>
      <c r="O168" s="11"/>
      <c r="P168" s="11"/>
      <c r="Q168" s="11"/>
      <c r="R168" s="11"/>
      <c r="S168" s="11"/>
      <c r="T168" s="11"/>
      <c r="U168" s="11"/>
      <c r="V168" s="11"/>
      <c r="W168" s="11"/>
      <c r="X168" s="11"/>
      <c r="Y168" s="11"/>
      <c r="Z168" s="11"/>
      <c r="AA168" s="11"/>
    </row>
    <row r="169" spans="1:27" x14ac:dyDescent="0.25">
      <c r="A169" s="1537">
        <v>35735</v>
      </c>
      <c r="B169" s="687">
        <v>3.8832</v>
      </c>
      <c r="C169" s="687">
        <v>3.6945999999999999</v>
      </c>
      <c r="D169" s="1035">
        <f t="shared" si="7"/>
        <v>9.2880948478391012E-3</v>
      </c>
      <c r="E169" s="687">
        <v>0.18859999999999999</v>
      </c>
      <c r="F169" s="663"/>
      <c r="G169" s="663"/>
      <c r="H169" s="11"/>
      <c r="I169" s="11"/>
      <c r="J169" s="11"/>
      <c r="K169" s="11"/>
      <c r="L169" s="11"/>
      <c r="M169" s="11"/>
      <c r="N169" s="11"/>
      <c r="O169" s="11"/>
      <c r="P169" s="11"/>
      <c r="Q169" s="11"/>
      <c r="R169" s="11"/>
      <c r="S169" s="11"/>
      <c r="T169" s="11"/>
      <c r="U169" s="11"/>
      <c r="V169" s="11"/>
      <c r="W169" s="11"/>
      <c r="X169" s="11"/>
      <c r="Y169" s="11"/>
      <c r="Z169" s="11"/>
      <c r="AA169" s="11"/>
    </row>
    <row r="170" spans="1:27" x14ac:dyDescent="0.25">
      <c r="A170" s="1537">
        <v>35704</v>
      </c>
      <c r="B170" s="687">
        <v>3.8759999999999999</v>
      </c>
      <c r="C170" s="687">
        <v>3.6905999999999999</v>
      </c>
      <c r="D170" s="1035">
        <f t="shared" si="7"/>
        <v>8.6638060619310675E-3</v>
      </c>
      <c r="E170" s="687">
        <v>0.18540000000000001</v>
      </c>
      <c r="F170" s="663"/>
      <c r="G170" s="663"/>
      <c r="H170" s="11"/>
      <c r="I170" s="11"/>
      <c r="J170" s="11"/>
      <c r="K170" s="11"/>
      <c r="L170" s="11"/>
      <c r="M170" s="11"/>
      <c r="N170" s="11"/>
      <c r="O170" s="11"/>
      <c r="P170" s="11"/>
      <c r="Q170" s="11"/>
      <c r="R170" s="11"/>
      <c r="S170" s="11"/>
      <c r="T170" s="11"/>
      <c r="U170" s="11"/>
      <c r="V170" s="11"/>
      <c r="W170" s="11"/>
      <c r="X170" s="11"/>
      <c r="Y170" s="11"/>
      <c r="Z170" s="11"/>
      <c r="AA170" s="11"/>
    </row>
    <row r="171" spans="1:27" x14ac:dyDescent="0.25">
      <c r="A171" s="1537">
        <v>35674</v>
      </c>
      <c r="B171" s="687">
        <v>3.8683999999999998</v>
      </c>
      <c r="C171" s="687">
        <v>3.6867000000000001</v>
      </c>
      <c r="D171" s="1035">
        <f t="shared" si="7"/>
        <v>8.2592643238070806E-3</v>
      </c>
      <c r="E171" s="687">
        <v>0.18160000000000001</v>
      </c>
      <c r="F171" s="663"/>
      <c r="G171" s="663"/>
      <c r="H171" s="11"/>
      <c r="I171" s="11"/>
      <c r="J171" s="11"/>
      <c r="K171" s="11"/>
      <c r="L171" s="11"/>
      <c r="M171" s="11"/>
      <c r="N171" s="11"/>
      <c r="O171" s="11"/>
      <c r="P171" s="11"/>
      <c r="Q171" s="11"/>
      <c r="R171" s="11"/>
      <c r="S171" s="11"/>
      <c r="T171" s="11"/>
      <c r="U171" s="11"/>
      <c r="V171" s="11"/>
      <c r="W171" s="11"/>
      <c r="X171" s="11"/>
      <c r="Y171" s="11"/>
      <c r="Z171" s="11"/>
      <c r="AA171" s="11"/>
    </row>
    <row r="172" spans="1:27" x14ac:dyDescent="0.25">
      <c r="A172" s="1537">
        <v>35643</v>
      </c>
      <c r="B172" s="687">
        <v>3.8628</v>
      </c>
      <c r="C172" s="687">
        <v>3.6840000000000002</v>
      </c>
      <c r="D172" s="1035">
        <f t="shared" si="7"/>
        <v>8.4585694341792195E-3</v>
      </c>
      <c r="E172" s="687">
        <v>0.17879999999999999</v>
      </c>
      <c r="F172" s="663"/>
      <c r="G172" s="663"/>
      <c r="H172" s="11"/>
      <c r="I172" s="11"/>
      <c r="J172" s="11"/>
      <c r="K172" s="11"/>
      <c r="L172" s="11"/>
      <c r="M172" s="11"/>
      <c r="N172" s="11"/>
      <c r="O172" s="11"/>
      <c r="P172" s="11"/>
      <c r="Q172" s="11"/>
      <c r="R172" s="11"/>
      <c r="S172" s="11"/>
      <c r="T172" s="11"/>
      <c r="U172" s="11"/>
      <c r="V172" s="11"/>
      <c r="W172" s="11"/>
      <c r="X172" s="11"/>
      <c r="Y172" s="11"/>
      <c r="Z172" s="11"/>
      <c r="AA172" s="11"/>
    </row>
    <row r="173" spans="1:27" x14ac:dyDescent="0.25">
      <c r="A173" s="1537">
        <v>35612</v>
      </c>
      <c r="B173" s="687">
        <v>3.8601000000000001</v>
      </c>
      <c r="C173" s="687">
        <v>3.6825000000000001</v>
      </c>
      <c r="D173" s="1035">
        <f t="shared" si="7"/>
        <v>9.0976351629079577E-3</v>
      </c>
      <c r="E173" s="687">
        <v>0.17760000000000001</v>
      </c>
      <c r="F173" s="663"/>
      <c r="G173" s="663"/>
      <c r="H173" s="11"/>
      <c r="I173" s="11"/>
      <c r="J173" s="11"/>
      <c r="K173" s="11"/>
      <c r="L173" s="11"/>
      <c r="M173" s="11"/>
      <c r="N173" s="11"/>
      <c r="O173" s="11"/>
      <c r="P173" s="11"/>
      <c r="Q173" s="11"/>
      <c r="R173" s="11"/>
      <c r="S173" s="11"/>
      <c r="T173" s="11"/>
      <c r="U173" s="11"/>
      <c r="V173" s="11"/>
      <c r="W173" s="11"/>
      <c r="X173" s="11"/>
      <c r="Y173" s="11"/>
      <c r="Z173" s="11"/>
      <c r="AA173" s="11"/>
    </row>
    <row r="174" spans="1:27" x14ac:dyDescent="0.25">
      <c r="A174" s="1537">
        <v>35582</v>
      </c>
      <c r="B174" s="687">
        <v>3.8603000000000001</v>
      </c>
      <c r="C174" s="687">
        <v>3.6812999999999998</v>
      </c>
      <c r="D174" s="1035">
        <f t="shared" si="7"/>
        <v>9.8480276512864506E-3</v>
      </c>
      <c r="E174" s="687">
        <v>0.17899999999999999</v>
      </c>
      <c r="F174" s="663"/>
      <c r="G174" s="663"/>
      <c r="H174" s="11"/>
      <c r="I174" s="11"/>
      <c r="J174" s="11"/>
      <c r="K174" s="11"/>
      <c r="L174" s="11"/>
      <c r="M174" s="11"/>
      <c r="N174" s="11"/>
      <c r="O174" s="11"/>
      <c r="P174" s="11"/>
      <c r="Q174" s="11"/>
      <c r="R174" s="11"/>
      <c r="S174" s="11"/>
      <c r="T174" s="11"/>
      <c r="U174" s="11"/>
      <c r="V174" s="11"/>
      <c r="W174" s="11"/>
      <c r="X174" s="11"/>
      <c r="Y174" s="11"/>
      <c r="Z174" s="11"/>
      <c r="AA174" s="11"/>
    </row>
    <row r="175" spans="1:27" x14ac:dyDescent="0.25">
      <c r="A175" s="1537">
        <v>35551</v>
      </c>
      <c r="B175" s="687">
        <v>3.8626</v>
      </c>
      <c r="C175" s="687">
        <v>3.6795</v>
      </c>
      <c r="D175" s="1035">
        <f t="shared" si="7"/>
        <v>1.0685051914519628E-2</v>
      </c>
      <c r="E175" s="687">
        <v>0.18310000000000001</v>
      </c>
      <c r="F175" s="663"/>
      <c r="G175" s="663"/>
      <c r="H175" s="11"/>
      <c r="I175" s="11"/>
      <c r="J175" s="11"/>
      <c r="K175" s="11"/>
      <c r="L175" s="11"/>
      <c r="M175" s="11"/>
      <c r="N175" s="11"/>
      <c r="O175" s="11"/>
      <c r="P175" s="11"/>
      <c r="Q175" s="11"/>
      <c r="R175" s="11"/>
      <c r="S175" s="11"/>
      <c r="T175" s="11"/>
      <c r="U175" s="11"/>
      <c r="V175" s="11"/>
      <c r="W175" s="11"/>
      <c r="X175" s="11"/>
      <c r="Y175" s="11"/>
      <c r="Z175" s="11"/>
      <c r="AA175" s="11"/>
    </row>
    <row r="176" spans="1:27" x14ac:dyDescent="0.25">
      <c r="A176" s="1537">
        <v>35521</v>
      </c>
      <c r="B176" s="687">
        <v>3.8656999999999999</v>
      </c>
      <c r="C176" s="687">
        <v>3.6762999999999999</v>
      </c>
      <c r="D176" s="1035">
        <f t="shared" si="7"/>
        <v>1.1445236195559483E-2</v>
      </c>
      <c r="E176" s="687">
        <v>0.18940000000000001</v>
      </c>
      <c r="F176" s="663"/>
      <c r="G176" s="663"/>
      <c r="H176" s="11"/>
      <c r="I176" s="11"/>
      <c r="J176" s="11"/>
      <c r="K176" s="11"/>
      <c r="L176" s="11"/>
      <c r="M176" s="11"/>
      <c r="N176" s="11"/>
      <c r="O176" s="11"/>
      <c r="P176" s="11"/>
      <c r="Q176" s="11"/>
      <c r="R176" s="11"/>
      <c r="S176" s="11"/>
      <c r="T176" s="11"/>
      <c r="U176" s="11"/>
      <c r="V176" s="11"/>
      <c r="W176" s="11"/>
      <c r="X176" s="11"/>
      <c r="Y176" s="11"/>
      <c r="Z176" s="11"/>
      <c r="AA176" s="11"/>
    </row>
    <row r="177" spans="1:27" x14ac:dyDescent="0.25">
      <c r="A177" s="1537">
        <v>35490</v>
      </c>
      <c r="B177" s="687">
        <v>3.8685999999999998</v>
      </c>
      <c r="C177" s="687">
        <v>3.6724999999999999</v>
      </c>
      <c r="D177" s="1035">
        <f t="shared" si="7"/>
        <v>1.2070438449031329E-2</v>
      </c>
      <c r="E177" s="687">
        <v>0.19600000000000001</v>
      </c>
      <c r="F177" s="663"/>
      <c r="G177" s="663"/>
      <c r="H177" s="11"/>
      <c r="I177" s="11"/>
      <c r="J177" s="11"/>
      <c r="K177" s="11"/>
      <c r="L177" s="11"/>
      <c r="M177" s="11"/>
      <c r="N177" s="11"/>
      <c r="O177" s="11"/>
      <c r="P177" s="11"/>
      <c r="Q177" s="11"/>
      <c r="R177" s="11"/>
      <c r="S177" s="11"/>
      <c r="T177" s="11"/>
      <c r="U177" s="11"/>
      <c r="V177" s="11"/>
      <c r="W177" s="11"/>
      <c r="X177" s="11"/>
      <c r="Y177" s="11"/>
      <c r="Z177" s="11"/>
      <c r="AA177" s="11"/>
    </row>
    <row r="178" spans="1:27" x14ac:dyDescent="0.25">
      <c r="A178" s="1537">
        <v>35462</v>
      </c>
      <c r="B178" s="687">
        <v>3.87</v>
      </c>
      <c r="C178" s="687">
        <v>3.6688999999999998</v>
      </c>
      <c r="D178" s="1035">
        <f t="shared" si="7"/>
        <v>1.2305824573020985E-2</v>
      </c>
      <c r="E178" s="687">
        <v>0.2011</v>
      </c>
      <c r="F178" s="663"/>
      <c r="G178" s="663"/>
      <c r="H178" s="11"/>
      <c r="I178" s="11"/>
      <c r="J178" s="11"/>
      <c r="K178" s="11"/>
      <c r="L178" s="11"/>
      <c r="M178" s="11"/>
      <c r="N178" s="11"/>
      <c r="O178" s="11"/>
      <c r="P178" s="11"/>
      <c r="Q178" s="11"/>
      <c r="R178" s="11"/>
      <c r="S178" s="11"/>
      <c r="T178" s="11"/>
      <c r="U178" s="11"/>
      <c r="V178" s="11"/>
      <c r="W178" s="11"/>
      <c r="X178" s="11"/>
      <c r="Y178" s="11"/>
      <c r="Z178" s="11"/>
      <c r="AA178" s="11"/>
    </row>
    <row r="179" spans="1:27" x14ac:dyDescent="0.25">
      <c r="A179" s="1537">
        <v>35431</v>
      </c>
      <c r="B179" s="687">
        <v>3.8685999999999998</v>
      </c>
      <c r="C179" s="687">
        <v>3.6657000000000002</v>
      </c>
      <c r="D179" s="1035">
        <f t="shared" si="7"/>
        <v>1.2037215979680216E-2</v>
      </c>
      <c r="E179" s="687">
        <v>0.2029</v>
      </c>
      <c r="F179" s="663"/>
      <c r="G179" s="663"/>
      <c r="H179" s="11"/>
      <c r="I179" s="11"/>
      <c r="J179" s="11"/>
      <c r="K179" s="11"/>
      <c r="L179" s="11"/>
      <c r="M179" s="11"/>
      <c r="N179" s="11"/>
      <c r="O179" s="11"/>
      <c r="P179" s="11"/>
      <c r="Q179" s="11"/>
      <c r="R179" s="11"/>
      <c r="S179" s="11"/>
      <c r="T179" s="11"/>
      <c r="U179" s="11"/>
      <c r="V179" s="11"/>
      <c r="W179" s="11"/>
      <c r="X179" s="11"/>
      <c r="Y179" s="11"/>
      <c r="Z179" s="11"/>
      <c r="AA179" s="11"/>
    </row>
    <row r="180" spans="1:27" x14ac:dyDescent="0.25">
      <c r="A180" s="1537">
        <v>35400</v>
      </c>
      <c r="B180" s="687">
        <v>3.8650000000000002</v>
      </c>
      <c r="C180" s="687">
        <v>3.6627999999999998</v>
      </c>
      <c r="D180" s="1035">
        <f t="shared" si="7"/>
        <v>1.1487904562023532E-2</v>
      </c>
      <c r="E180" s="687">
        <v>0.20219999999999999</v>
      </c>
      <c r="F180" s="663"/>
      <c r="G180" s="663"/>
      <c r="H180" s="11"/>
      <c r="I180" s="11"/>
      <c r="J180" s="11"/>
      <c r="K180" s="11"/>
      <c r="L180" s="11"/>
      <c r="M180" s="11"/>
      <c r="N180" s="11"/>
      <c r="O180" s="11"/>
      <c r="P180" s="11"/>
      <c r="Q180" s="11"/>
      <c r="R180" s="11"/>
      <c r="S180" s="11"/>
      <c r="T180" s="11"/>
      <c r="U180" s="11"/>
      <c r="V180" s="11"/>
      <c r="W180" s="11"/>
      <c r="X180" s="11"/>
      <c r="Y180" s="11"/>
      <c r="Z180" s="11"/>
      <c r="AA180" s="11"/>
    </row>
    <row r="181" spans="1:27" x14ac:dyDescent="0.25">
      <c r="A181" s="1537">
        <v>35370</v>
      </c>
      <c r="B181" s="687">
        <v>3.8609</v>
      </c>
      <c r="C181" s="687">
        <v>3.6606000000000001</v>
      </c>
      <c r="D181" s="1035">
        <f t="shared" si="7"/>
        <v>1.0964124941313047E-2</v>
      </c>
      <c r="E181" s="687">
        <v>0.20030000000000001</v>
      </c>
      <c r="F181" s="663"/>
      <c r="G181" s="663"/>
      <c r="H181" s="11"/>
      <c r="I181" s="11"/>
      <c r="J181" s="11"/>
      <c r="K181" s="11"/>
      <c r="L181" s="11"/>
      <c r="M181" s="11"/>
      <c r="N181" s="11"/>
      <c r="O181" s="11"/>
      <c r="P181" s="11"/>
      <c r="Q181" s="11"/>
      <c r="R181" s="11"/>
      <c r="S181" s="11"/>
      <c r="T181" s="11"/>
      <c r="U181" s="11"/>
      <c r="V181" s="11"/>
      <c r="W181" s="11"/>
      <c r="X181" s="11"/>
      <c r="Y181" s="11"/>
      <c r="Z181" s="11"/>
      <c r="AA181" s="11"/>
    </row>
    <row r="182" spans="1:27" x14ac:dyDescent="0.25">
      <c r="A182" s="1537">
        <v>35339</v>
      </c>
      <c r="B182" s="687">
        <v>3.8584000000000001</v>
      </c>
      <c r="C182" s="687">
        <v>3.6589</v>
      </c>
      <c r="D182" s="1035">
        <f t="shared" si="7"/>
        <v>1.0801701751477877E-2</v>
      </c>
      <c r="E182" s="687">
        <v>0.19950000000000001</v>
      </c>
      <c r="F182" s="663"/>
      <c r="G182" s="663"/>
      <c r="H182" s="11"/>
      <c r="I182" s="11"/>
      <c r="J182" s="11"/>
      <c r="K182" s="11"/>
      <c r="L182" s="11"/>
      <c r="M182" s="11"/>
      <c r="N182" s="11"/>
      <c r="O182" s="11"/>
      <c r="P182" s="11"/>
      <c r="Q182" s="11"/>
      <c r="R182" s="11"/>
      <c r="S182" s="11"/>
      <c r="T182" s="11"/>
      <c r="U182" s="11"/>
      <c r="V182" s="11"/>
      <c r="W182" s="11"/>
      <c r="X182" s="11"/>
      <c r="Y182" s="11"/>
      <c r="Z182" s="11"/>
      <c r="AA182" s="11"/>
    </row>
    <row r="183" spans="1:27" x14ac:dyDescent="0.25">
      <c r="A183" s="1537">
        <v>35309</v>
      </c>
      <c r="B183" s="687">
        <v>3.8578000000000001</v>
      </c>
      <c r="C183" s="687">
        <v>3.6564999999999999</v>
      </c>
      <c r="D183" s="1035">
        <f t="shared" si="7"/>
        <v>1.0892704099969563E-2</v>
      </c>
      <c r="E183" s="687">
        <v>0.20130000000000001</v>
      </c>
      <c r="F183" s="663"/>
      <c r="G183" s="663"/>
      <c r="H183" s="11"/>
      <c r="I183" s="11"/>
      <c r="J183" s="11"/>
      <c r="K183" s="11"/>
      <c r="L183" s="11"/>
      <c r="M183" s="11"/>
      <c r="N183" s="11"/>
      <c r="O183" s="11"/>
      <c r="P183" s="11"/>
      <c r="Q183" s="11"/>
      <c r="R183" s="11"/>
      <c r="S183" s="11"/>
      <c r="T183" s="11"/>
      <c r="U183" s="11"/>
      <c r="V183" s="11"/>
      <c r="W183" s="11"/>
      <c r="X183" s="11"/>
      <c r="Y183" s="11"/>
      <c r="Z183" s="11"/>
      <c r="AA183" s="11"/>
    </row>
    <row r="184" spans="1:27" x14ac:dyDescent="0.25">
      <c r="A184" s="1537">
        <v>35278</v>
      </c>
      <c r="B184" s="687">
        <v>3.8580999999999999</v>
      </c>
      <c r="C184" s="687">
        <v>3.6530999999999998</v>
      </c>
      <c r="D184" s="1035">
        <f t="shared" si="7"/>
        <v>1.107082560681949E-2</v>
      </c>
      <c r="E184" s="687">
        <v>0.20499999999999999</v>
      </c>
      <c r="F184" s="663"/>
      <c r="G184" s="663"/>
      <c r="H184" s="11"/>
      <c r="I184" s="11"/>
      <c r="J184" s="11"/>
      <c r="K184" s="11"/>
      <c r="L184" s="11"/>
      <c r="M184" s="11"/>
      <c r="N184" s="11"/>
      <c r="O184" s="11"/>
      <c r="P184" s="11"/>
      <c r="Q184" s="11"/>
      <c r="R184" s="11"/>
      <c r="S184" s="11"/>
      <c r="T184" s="11"/>
      <c r="U184" s="11"/>
      <c r="V184" s="11"/>
      <c r="W184" s="11"/>
      <c r="X184" s="11"/>
      <c r="Y184" s="11"/>
      <c r="Z184" s="11"/>
      <c r="AA184" s="11"/>
    </row>
    <row r="185" spans="1:27" x14ac:dyDescent="0.25">
      <c r="A185" s="1537">
        <v>35247</v>
      </c>
      <c r="B185" s="687">
        <v>3.8582000000000001</v>
      </c>
      <c r="C185" s="687">
        <v>3.6493000000000002</v>
      </c>
      <c r="D185" s="1035">
        <f t="shared" si="7"/>
        <v>1.1110495400642906E-2</v>
      </c>
      <c r="E185" s="687">
        <v>0.2089</v>
      </c>
      <c r="F185" s="663"/>
      <c r="G185" s="663"/>
      <c r="H185" s="11"/>
      <c r="I185" s="11"/>
      <c r="J185" s="11"/>
      <c r="K185" s="11"/>
      <c r="L185" s="11"/>
      <c r="M185" s="11"/>
      <c r="N185" s="11"/>
      <c r="O185" s="11"/>
      <c r="P185" s="11"/>
      <c r="Q185" s="11"/>
      <c r="R185" s="11"/>
      <c r="S185" s="11"/>
      <c r="T185" s="11"/>
      <c r="U185" s="11"/>
      <c r="V185" s="11"/>
      <c r="W185" s="11"/>
      <c r="X185" s="11"/>
      <c r="Y185" s="11"/>
      <c r="Z185" s="11"/>
      <c r="AA185" s="11"/>
    </row>
    <row r="186" spans="1:27" x14ac:dyDescent="0.25">
      <c r="A186" s="1537">
        <v>35217</v>
      </c>
      <c r="B186" s="687">
        <v>3.8572000000000002</v>
      </c>
      <c r="C186" s="687">
        <v>3.6454</v>
      </c>
      <c r="D186" s="1035">
        <f t="shared" si="7"/>
        <v>1.0617947936015115E-2</v>
      </c>
      <c r="E186" s="687">
        <v>0.21190000000000001</v>
      </c>
      <c r="F186" s="663"/>
      <c r="G186" s="663"/>
      <c r="H186" s="11"/>
      <c r="I186" s="11"/>
      <c r="J186" s="11"/>
      <c r="K186" s="11"/>
      <c r="L186" s="11"/>
      <c r="M186" s="11"/>
      <c r="N186" s="11"/>
      <c r="O186" s="11"/>
      <c r="P186" s="11"/>
      <c r="Q186" s="11"/>
      <c r="R186" s="11"/>
      <c r="S186" s="11"/>
      <c r="T186" s="11"/>
      <c r="U186" s="11"/>
      <c r="V186" s="11"/>
      <c r="W186" s="11"/>
      <c r="X186" s="11"/>
      <c r="Y186" s="11"/>
      <c r="Z186" s="11"/>
      <c r="AA186" s="11"/>
    </row>
    <row r="187" spans="1:27" x14ac:dyDescent="0.25">
      <c r="A187" s="1537">
        <v>35186</v>
      </c>
      <c r="B187" s="687">
        <v>3.8542000000000001</v>
      </c>
      <c r="C187" s="687">
        <v>3.6406000000000001</v>
      </c>
      <c r="D187" s="1035">
        <f t="shared" si="7"/>
        <v>9.4551504228477246E-3</v>
      </c>
      <c r="E187" s="687">
        <v>0.2135</v>
      </c>
      <c r="F187" s="663"/>
      <c r="G187" s="663"/>
      <c r="H187" s="11"/>
      <c r="I187" s="11"/>
      <c r="J187" s="11"/>
      <c r="K187" s="11"/>
      <c r="L187" s="11"/>
      <c r="M187" s="11"/>
      <c r="N187" s="11"/>
      <c r="O187" s="11"/>
      <c r="P187" s="11"/>
      <c r="Q187" s="11"/>
      <c r="R187" s="11"/>
      <c r="S187" s="11"/>
      <c r="T187" s="11"/>
      <c r="U187" s="11"/>
      <c r="V187" s="11"/>
      <c r="W187" s="11"/>
      <c r="X187" s="11"/>
      <c r="Y187" s="11"/>
      <c r="Z187" s="11"/>
      <c r="AA187" s="11"/>
    </row>
    <row r="188" spans="1:27" x14ac:dyDescent="0.25">
      <c r="A188" s="1537">
        <v>35156</v>
      </c>
      <c r="B188" s="687">
        <v>3.8485</v>
      </c>
      <c r="C188" s="687">
        <v>3.6347</v>
      </c>
      <c r="D188" s="1035">
        <f t="shared" si="7"/>
        <v>8.182625097082008E-3</v>
      </c>
      <c r="E188" s="687">
        <v>0.21379999999999999</v>
      </c>
      <c r="F188" s="663"/>
      <c r="G188" s="663"/>
      <c r="H188" s="11"/>
      <c r="I188" s="11"/>
      <c r="J188" s="11"/>
      <c r="K188" s="11"/>
      <c r="L188" s="11"/>
      <c r="M188" s="11"/>
      <c r="N188" s="11"/>
      <c r="O188" s="11"/>
      <c r="P188" s="11"/>
      <c r="Q188" s="11"/>
      <c r="R188" s="11"/>
      <c r="S188" s="11"/>
      <c r="T188" s="11"/>
      <c r="U188" s="11"/>
      <c r="V188" s="11"/>
      <c r="W188" s="11"/>
      <c r="X188" s="11"/>
      <c r="Y188" s="11"/>
      <c r="Z188" s="11"/>
      <c r="AA188" s="11"/>
    </row>
    <row r="189" spans="1:27" x14ac:dyDescent="0.25">
      <c r="A189" s="1537">
        <v>35125</v>
      </c>
      <c r="B189" s="687">
        <v>3.8414000000000001</v>
      </c>
      <c r="C189" s="687">
        <v>3.6286999999999998</v>
      </c>
      <c r="D189" s="1035">
        <f t="shared" si="7"/>
        <v>7.7202921491847931E-3</v>
      </c>
      <c r="E189" s="687">
        <v>0.21260000000000001</v>
      </c>
      <c r="F189" s="663"/>
      <c r="G189" s="663"/>
      <c r="H189" s="11"/>
      <c r="I189" s="11"/>
      <c r="J189" s="11"/>
      <c r="K189" s="11"/>
      <c r="L189" s="11"/>
      <c r="M189" s="11"/>
      <c r="N189" s="11"/>
      <c r="O189" s="11"/>
      <c r="P189" s="11"/>
      <c r="Q189" s="11"/>
      <c r="R189" s="11"/>
      <c r="S189" s="11"/>
      <c r="T189" s="11"/>
      <c r="U189" s="11"/>
      <c r="V189" s="11"/>
      <c r="W189" s="11"/>
      <c r="X189" s="11"/>
      <c r="Y189" s="11"/>
      <c r="Z189" s="11"/>
      <c r="AA189" s="11"/>
    </row>
    <row r="190" spans="1:27" x14ac:dyDescent="0.25">
      <c r="A190" s="1537">
        <v>35096</v>
      </c>
      <c r="B190" s="687">
        <v>3.8344999999999998</v>
      </c>
      <c r="C190" s="687">
        <v>3.6242999999999999</v>
      </c>
      <c r="D190" s="1035">
        <f t="shared" si="7"/>
        <v>8.9079419870277121E-3</v>
      </c>
      <c r="E190" s="687">
        <v>0.2102</v>
      </c>
      <c r="F190" s="663"/>
      <c r="G190" s="663"/>
      <c r="H190" s="11"/>
      <c r="I190" s="11"/>
      <c r="J190" s="11"/>
      <c r="K190" s="11"/>
      <c r="L190" s="11"/>
      <c r="M190" s="11"/>
      <c r="N190" s="11"/>
      <c r="O190" s="11"/>
      <c r="P190" s="11"/>
      <c r="Q190" s="11"/>
      <c r="R190" s="11"/>
      <c r="S190" s="11"/>
      <c r="T190" s="11"/>
      <c r="U190" s="11"/>
      <c r="V190" s="11"/>
      <c r="W190" s="11"/>
      <c r="X190" s="11"/>
      <c r="Y190" s="11"/>
      <c r="Z190" s="11"/>
      <c r="AA190" s="11"/>
    </row>
    <row r="191" spans="1:27" x14ac:dyDescent="0.25">
      <c r="A191" s="1537">
        <v>35065</v>
      </c>
      <c r="B191" s="687">
        <v>3.8290000000000002</v>
      </c>
      <c r="C191" s="687">
        <v>3.6221000000000001</v>
      </c>
      <c r="D191" s="1035">
        <f t="shared" si="7"/>
        <v>1.1674999301734656E-2</v>
      </c>
      <c r="E191" s="687">
        <v>0.20699999999999999</v>
      </c>
      <c r="F191" s="663"/>
      <c r="G191" s="663"/>
      <c r="H191" s="11"/>
      <c r="I191" s="11"/>
      <c r="J191" s="11"/>
      <c r="K191" s="11"/>
      <c r="L191" s="11"/>
      <c r="M191" s="11"/>
      <c r="N191" s="11"/>
      <c r="O191" s="11"/>
      <c r="P191" s="11"/>
      <c r="Q191" s="11"/>
      <c r="R191" s="11"/>
      <c r="S191" s="11"/>
      <c r="T191" s="11"/>
      <c r="U191" s="11"/>
      <c r="V191" s="11"/>
      <c r="W191" s="11"/>
      <c r="X191" s="11"/>
      <c r="Y191" s="11"/>
      <c r="Z191" s="11"/>
      <c r="AA191" s="11"/>
    </row>
    <row r="192" spans="1:27" x14ac:dyDescent="0.25">
      <c r="A192" s="1537">
        <v>35034</v>
      </c>
      <c r="B192" s="687">
        <v>3.8252999999999999</v>
      </c>
      <c r="C192" s="687">
        <v>3.6212</v>
      </c>
      <c r="D192" s="1035">
        <f t="shared" si="7"/>
        <v>1.5593448507964958E-2</v>
      </c>
      <c r="E192" s="687">
        <v>0.2041</v>
      </c>
      <c r="F192" s="663"/>
      <c r="G192" s="663"/>
      <c r="H192" s="11"/>
      <c r="I192" s="11"/>
      <c r="J192" s="11"/>
      <c r="K192" s="11"/>
      <c r="L192" s="11"/>
      <c r="M192" s="11"/>
      <c r="N192" s="11"/>
      <c r="O192" s="11"/>
      <c r="P192" s="11"/>
      <c r="Q192" s="11"/>
      <c r="R192" s="11"/>
      <c r="S192" s="11"/>
      <c r="T192" s="11"/>
      <c r="U192" s="11"/>
      <c r="V192" s="11"/>
      <c r="W192" s="11"/>
      <c r="X192" s="11"/>
      <c r="Y192" s="11"/>
      <c r="Z192" s="11"/>
      <c r="AA192" s="11"/>
    </row>
    <row r="193" spans="1:27" x14ac:dyDescent="0.25">
      <c r="A193" s="1537">
        <v>35004</v>
      </c>
      <c r="B193" s="687">
        <v>3.8227000000000002</v>
      </c>
      <c r="C193" s="687">
        <v>3.6208999999999998</v>
      </c>
      <c r="D193" s="1035">
        <f t="shared" si="7"/>
        <v>2.0144249732349184E-2</v>
      </c>
      <c r="E193" s="687">
        <v>0.20180000000000001</v>
      </c>
      <c r="F193" s="663"/>
      <c r="G193" s="663"/>
      <c r="H193" s="11"/>
      <c r="I193" s="11"/>
      <c r="J193" s="11"/>
      <c r="K193" s="11"/>
      <c r="L193" s="11"/>
      <c r="M193" s="11"/>
      <c r="N193" s="11"/>
      <c r="O193" s="11"/>
      <c r="P193" s="11"/>
      <c r="Q193" s="11"/>
      <c r="R193" s="11"/>
      <c r="S193" s="11"/>
      <c r="T193" s="11"/>
      <c r="U193" s="11"/>
      <c r="V193" s="11"/>
      <c r="W193" s="11"/>
      <c r="X193" s="11"/>
      <c r="Y193" s="11"/>
      <c r="Z193" s="11"/>
      <c r="AA193" s="11"/>
    </row>
    <row r="194" spans="1:27" x14ac:dyDescent="0.25">
      <c r="A194" s="1537">
        <v>34973</v>
      </c>
      <c r="B194" s="687">
        <v>3.8201000000000001</v>
      </c>
      <c r="C194" s="687">
        <v>3.6198000000000001</v>
      </c>
      <c r="D194" s="1035">
        <f t="shared" si="7"/>
        <v>2.4307422394521661E-2</v>
      </c>
      <c r="E194" s="687">
        <v>0.20039999999999999</v>
      </c>
      <c r="F194" s="663"/>
      <c r="G194" s="663"/>
      <c r="H194" s="11"/>
      <c r="I194" s="11"/>
      <c r="J194" s="11"/>
      <c r="K194" s="11"/>
      <c r="L194" s="11"/>
      <c r="M194" s="11"/>
      <c r="N194" s="11"/>
      <c r="O194" s="11"/>
      <c r="P194" s="11"/>
      <c r="Q194" s="11"/>
      <c r="R194" s="11"/>
      <c r="S194" s="11"/>
      <c r="T194" s="11"/>
      <c r="U194" s="11"/>
      <c r="V194" s="11"/>
      <c r="W194" s="11"/>
      <c r="X194" s="11"/>
      <c r="Y194" s="11"/>
      <c r="Z194" s="11"/>
      <c r="AA194" s="11"/>
    </row>
    <row r="195" spans="1:27" x14ac:dyDescent="0.25">
      <c r="A195" s="1537">
        <v>34943</v>
      </c>
      <c r="B195" s="687">
        <v>3.8172000000000001</v>
      </c>
      <c r="C195" s="687">
        <v>3.6171000000000002</v>
      </c>
      <c r="D195" s="1035">
        <f t="shared" si="7"/>
        <v>2.7380918567330381E-2</v>
      </c>
      <c r="E195" s="687">
        <v>0.2001</v>
      </c>
      <c r="F195" s="663"/>
      <c r="G195" s="663"/>
      <c r="H195" s="11"/>
      <c r="I195" s="11"/>
      <c r="J195" s="11"/>
      <c r="K195" s="11"/>
      <c r="L195" s="11"/>
      <c r="M195" s="11"/>
      <c r="N195" s="11"/>
      <c r="O195" s="11"/>
      <c r="P195" s="11"/>
      <c r="Q195" s="11"/>
      <c r="R195" s="11"/>
      <c r="S195" s="11"/>
      <c r="T195" s="11"/>
      <c r="U195" s="11"/>
      <c r="V195" s="11"/>
      <c r="W195" s="11"/>
      <c r="X195" s="11"/>
      <c r="Y195" s="11"/>
      <c r="Z195" s="11"/>
      <c r="AA195" s="11"/>
    </row>
    <row r="196" spans="1:27" x14ac:dyDescent="0.25">
      <c r="A196" s="1537">
        <v>34912</v>
      </c>
      <c r="B196" s="687">
        <v>3.8142999999999998</v>
      </c>
      <c r="C196" s="687">
        <v>3.6131000000000002</v>
      </c>
      <c r="D196" s="1035">
        <f t="shared" si="7"/>
        <v>2.9695916099062414E-2</v>
      </c>
      <c r="E196" s="687">
        <v>0.20130000000000001</v>
      </c>
      <c r="F196" s="663"/>
      <c r="G196" s="663"/>
      <c r="H196" s="11"/>
      <c r="I196" s="11"/>
      <c r="J196" s="11"/>
      <c r="K196" s="11"/>
      <c r="L196" s="11"/>
      <c r="M196" s="11"/>
      <c r="N196" s="11"/>
      <c r="O196" s="11"/>
      <c r="P196" s="11"/>
      <c r="Q196" s="11"/>
      <c r="R196" s="11"/>
      <c r="S196" s="11"/>
      <c r="T196" s="11"/>
      <c r="U196" s="11"/>
      <c r="V196" s="11"/>
      <c r="W196" s="11"/>
      <c r="X196" s="11"/>
      <c r="Y196" s="11"/>
      <c r="Z196" s="11"/>
      <c r="AA196" s="11"/>
    </row>
    <row r="197" spans="1:27" x14ac:dyDescent="0.25">
      <c r="A197" s="1537">
        <v>34881</v>
      </c>
      <c r="B197" s="687">
        <v>3.8123</v>
      </c>
      <c r="C197" s="687">
        <v>3.6092</v>
      </c>
      <c r="D197" s="1035">
        <f t="shared" si="7"/>
        <v>3.1819091454872828E-2</v>
      </c>
      <c r="E197" s="687">
        <v>0.2031</v>
      </c>
      <c r="F197" s="663"/>
      <c r="G197" s="663"/>
      <c r="H197" s="11"/>
      <c r="I197" s="11"/>
      <c r="J197" s="11"/>
      <c r="K197" s="11"/>
      <c r="L197" s="11"/>
      <c r="M197" s="11"/>
      <c r="N197" s="11"/>
      <c r="O197" s="11"/>
      <c r="P197" s="11"/>
      <c r="Q197" s="11"/>
      <c r="R197" s="11"/>
      <c r="S197" s="11"/>
      <c r="T197" s="11"/>
      <c r="U197" s="11"/>
      <c r="V197" s="11"/>
      <c r="W197" s="11"/>
      <c r="X197" s="11"/>
      <c r="Y197" s="11"/>
      <c r="Z197" s="11"/>
      <c r="AA197" s="11"/>
    </row>
    <row r="198" spans="1:27" x14ac:dyDescent="0.25">
      <c r="A198" s="1537">
        <v>34851</v>
      </c>
      <c r="B198" s="687">
        <v>3.8119000000000001</v>
      </c>
      <c r="C198" s="687">
        <v>3.6071</v>
      </c>
      <c r="D198" s="1035">
        <f t="shared" si="7"/>
        <v>3.4412549109575252E-2</v>
      </c>
      <c r="E198" s="687">
        <v>0.20480000000000001</v>
      </c>
      <c r="F198" s="663"/>
      <c r="G198" s="663"/>
      <c r="H198" s="11"/>
      <c r="I198" s="11"/>
      <c r="J198" s="11"/>
      <c r="K198" s="11"/>
      <c r="L198" s="11"/>
      <c r="M198" s="11"/>
      <c r="N198" s="11"/>
      <c r="O198" s="11"/>
      <c r="P198" s="11"/>
      <c r="Q198" s="11"/>
      <c r="R198" s="11"/>
      <c r="S198" s="11"/>
      <c r="T198" s="11"/>
      <c r="U198" s="11"/>
      <c r="V198" s="11"/>
      <c r="W198" s="11"/>
      <c r="X198" s="11"/>
      <c r="Y198" s="11"/>
      <c r="Z198" s="11"/>
      <c r="AA198" s="11"/>
    </row>
    <row r="199" spans="1:27" x14ac:dyDescent="0.25">
      <c r="A199" s="1537">
        <v>34820</v>
      </c>
      <c r="B199" s="687">
        <v>3.8119000000000001</v>
      </c>
      <c r="C199" s="687">
        <v>3.6065</v>
      </c>
      <c r="D199" s="1035">
        <f t="shared" si="7"/>
        <v>3.706579250057529E-2</v>
      </c>
      <c r="E199" s="687">
        <v>0.20549999999999999</v>
      </c>
      <c r="F199" s="663"/>
      <c r="G199" s="663"/>
      <c r="H199" s="11"/>
      <c r="I199" s="11"/>
      <c r="J199" s="11"/>
      <c r="K199" s="11"/>
      <c r="L199" s="11"/>
      <c r="M199" s="11"/>
      <c r="N199" s="11"/>
      <c r="O199" s="11"/>
      <c r="P199" s="11"/>
      <c r="Q199" s="11"/>
      <c r="R199" s="11"/>
      <c r="S199" s="11"/>
      <c r="T199" s="11"/>
      <c r="U199" s="11"/>
      <c r="V199" s="11"/>
      <c r="W199" s="11"/>
      <c r="X199" s="11"/>
      <c r="Y199" s="11"/>
      <c r="Z199" s="11"/>
      <c r="AA199" s="11"/>
    </row>
    <row r="200" spans="1:27" x14ac:dyDescent="0.25">
      <c r="A200" s="1537">
        <v>34790</v>
      </c>
      <c r="B200" s="687">
        <v>3.8094999999999999</v>
      </c>
      <c r="C200" s="687">
        <v>3.6052</v>
      </c>
      <c r="D200" s="1035">
        <f t="shared" si="7"/>
        <v>3.8902656907382704E-2</v>
      </c>
      <c r="E200" s="687">
        <v>0.2044</v>
      </c>
      <c r="F200" s="663"/>
      <c r="G200" s="663"/>
      <c r="H200" s="11"/>
      <c r="I200" s="11"/>
      <c r="J200" s="11"/>
      <c r="K200" s="11"/>
      <c r="L200" s="11"/>
      <c r="M200" s="11"/>
      <c r="N200" s="11"/>
      <c r="O200" s="11"/>
      <c r="P200" s="11"/>
      <c r="Q200" s="11"/>
      <c r="R200" s="11"/>
      <c r="S200" s="11"/>
      <c r="T200" s="11"/>
      <c r="U200" s="11"/>
      <c r="V200" s="11"/>
      <c r="W200" s="11"/>
      <c r="X200" s="11"/>
      <c r="Y200" s="11"/>
      <c r="Z200" s="11"/>
      <c r="AA200" s="11"/>
    </row>
    <row r="201" spans="1:27" x14ac:dyDescent="0.25">
      <c r="A201" s="1537">
        <v>34759</v>
      </c>
      <c r="B201" s="687">
        <v>3.8028</v>
      </c>
      <c r="C201" s="687">
        <v>3.6009000000000002</v>
      </c>
      <c r="D201" s="1035">
        <f t="shared" ref="D201:D264" si="8">C201/C213-1</f>
        <v>3.9190788144642275E-2</v>
      </c>
      <c r="E201" s="687">
        <v>0.20200000000000001</v>
      </c>
      <c r="F201" s="663"/>
      <c r="G201" s="663"/>
      <c r="H201" s="11"/>
      <c r="I201" s="11"/>
      <c r="J201" s="11"/>
      <c r="K201" s="11"/>
      <c r="L201" s="11"/>
      <c r="M201" s="11"/>
      <c r="N201" s="11"/>
      <c r="O201" s="11"/>
      <c r="P201" s="11"/>
      <c r="Q201" s="11"/>
      <c r="R201" s="11"/>
      <c r="S201" s="11"/>
      <c r="T201" s="11"/>
      <c r="U201" s="11"/>
      <c r="V201" s="11"/>
      <c r="W201" s="11"/>
      <c r="X201" s="11"/>
      <c r="Y201" s="11"/>
      <c r="Z201" s="11"/>
      <c r="AA201" s="11"/>
    </row>
    <row r="202" spans="1:27" x14ac:dyDescent="0.25">
      <c r="A202" s="1537">
        <v>34731</v>
      </c>
      <c r="B202" s="687">
        <v>3.7911999999999999</v>
      </c>
      <c r="C202" s="687">
        <v>3.5922999999999998</v>
      </c>
      <c r="D202" s="1035">
        <f t="shared" si="8"/>
        <v>3.7967002802739014E-2</v>
      </c>
      <c r="E202" s="687">
        <v>0.19889999999999999</v>
      </c>
      <c r="F202" s="663"/>
      <c r="G202" s="663"/>
      <c r="H202" s="11"/>
      <c r="I202" s="11"/>
      <c r="J202" s="11"/>
      <c r="K202" s="11"/>
      <c r="L202" s="11"/>
      <c r="M202" s="11"/>
      <c r="N202" s="11"/>
      <c r="O202" s="11"/>
      <c r="P202" s="11"/>
      <c r="Q202" s="11"/>
      <c r="R202" s="11"/>
      <c r="S202" s="11"/>
      <c r="T202" s="11"/>
      <c r="U202" s="11"/>
      <c r="V202" s="11"/>
      <c r="W202" s="11"/>
      <c r="X202" s="11"/>
      <c r="Y202" s="11"/>
      <c r="Z202" s="11"/>
      <c r="AA202" s="11"/>
    </row>
    <row r="203" spans="1:27" x14ac:dyDescent="0.25">
      <c r="A203" s="1537">
        <v>34700</v>
      </c>
      <c r="B203" s="687">
        <v>3.7763</v>
      </c>
      <c r="C203" s="687">
        <v>3.5802999999999998</v>
      </c>
      <c r="D203" s="1035">
        <f t="shared" si="8"/>
        <v>3.5756646512569601E-2</v>
      </c>
      <c r="E203" s="687">
        <v>0.19600000000000001</v>
      </c>
      <c r="F203" s="663"/>
      <c r="G203" s="663"/>
      <c r="H203" s="11"/>
      <c r="I203" s="11"/>
      <c r="J203" s="11"/>
      <c r="K203" s="11"/>
      <c r="L203" s="11"/>
      <c r="M203" s="11"/>
      <c r="N203" s="11"/>
      <c r="O203" s="11"/>
      <c r="P203" s="11"/>
      <c r="Q203" s="11"/>
      <c r="R203" s="11"/>
      <c r="S203" s="11"/>
      <c r="T203" s="11"/>
      <c r="U203" s="11"/>
      <c r="V203" s="11"/>
      <c r="W203" s="11"/>
      <c r="X203" s="11"/>
      <c r="Y203" s="11"/>
      <c r="Z203" s="11"/>
      <c r="AA203" s="11"/>
    </row>
    <row r="204" spans="1:27" x14ac:dyDescent="0.25">
      <c r="A204" s="1537">
        <v>34669</v>
      </c>
      <c r="B204" s="687">
        <v>3.7604000000000002</v>
      </c>
      <c r="C204" s="687">
        <v>3.5655999999999999</v>
      </c>
      <c r="D204" s="1035">
        <f t="shared" si="8"/>
        <v>3.2878537701688693E-2</v>
      </c>
      <c r="E204" s="687">
        <v>0.1948</v>
      </c>
      <c r="F204" s="663"/>
      <c r="G204" s="663"/>
      <c r="H204" s="11"/>
      <c r="I204" s="11"/>
      <c r="J204" s="11"/>
      <c r="K204" s="11"/>
      <c r="L204" s="11"/>
      <c r="M204" s="11"/>
      <c r="N204" s="11"/>
      <c r="O204" s="11"/>
      <c r="P204" s="11"/>
      <c r="Q204" s="11"/>
      <c r="R204" s="11"/>
      <c r="S204" s="11"/>
      <c r="T204" s="11"/>
      <c r="U204" s="11"/>
      <c r="V204" s="11"/>
      <c r="W204" s="11"/>
      <c r="X204" s="11"/>
      <c r="Y204" s="11"/>
      <c r="Z204" s="11"/>
      <c r="AA204" s="11"/>
    </row>
    <row r="205" spans="1:27" x14ac:dyDescent="0.25">
      <c r="A205" s="1537">
        <v>34639</v>
      </c>
      <c r="B205" s="687">
        <v>3.7458</v>
      </c>
      <c r="C205" s="687">
        <v>3.5493999999999999</v>
      </c>
      <c r="D205" s="1035">
        <f t="shared" si="8"/>
        <v>2.9677119897885129E-2</v>
      </c>
      <c r="E205" s="687">
        <v>0.19650000000000001</v>
      </c>
      <c r="F205" s="663"/>
      <c r="G205" s="663"/>
      <c r="H205" s="11"/>
      <c r="I205" s="11"/>
      <c r="J205" s="11"/>
      <c r="K205" s="11"/>
      <c r="L205" s="11"/>
      <c r="M205" s="11"/>
      <c r="N205" s="11"/>
      <c r="O205" s="11"/>
      <c r="P205" s="11"/>
      <c r="Q205" s="11"/>
      <c r="R205" s="11"/>
      <c r="S205" s="11"/>
      <c r="T205" s="11"/>
      <c r="U205" s="11"/>
      <c r="V205" s="11"/>
      <c r="W205" s="11"/>
      <c r="X205" s="11"/>
      <c r="Y205" s="11"/>
      <c r="Z205" s="11"/>
      <c r="AA205" s="11"/>
    </row>
    <row r="206" spans="1:27" x14ac:dyDescent="0.25">
      <c r="A206" s="1537">
        <v>34608</v>
      </c>
      <c r="B206" s="687">
        <v>3.7343999999999999</v>
      </c>
      <c r="C206" s="687">
        <v>3.5339</v>
      </c>
      <c r="D206" s="1035">
        <f t="shared" si="8"/>
        <v>2.6938277345112338E-2</v>
      </c>
      <c r="E206" s="687">
        <v>0.20050000000000001</v>
      </c>
      <c r="F206" s="663"/>
      <c r="G206" s="663"/>
      <c r="H206" s="11"/>
      <c r="I206" s="11"/>
      <c r="J206" s="11"/>
      <c r="K206" s="11"/>
      <c r="L206" s="11"/>
      <c r="M206" s="11"/>
      <c r="N206" s="11"/>
      <c r="O206" s="11"/>
      <c r="P206" s="11"/>
      <c r="Q206" s="11"/>
      <c r="R206" s="11"/>
      <c r="S206" s="11"/>
      <c r="T206" s="11"/>
      <c r="U206" s="11"/>
      <c r="V206" s="11"/>
      <c r="W206" s="11"/>
      <c r="X206" s="11"/>
      <c r="Y206" s="11"/>
      <c r="Z206" s="11"/>
      <c r="AA206" s="11"/>
    </row>
    <row r="207" spans="1:27" x14ac:dyDescent="0.25">
      <c r="A207" s="1537">
        <v>34578</v>
      </c>
      <c r="B207" s="687">
        <v>3.7258</v>
      </c>
      <c r="C207" s="687">
        <v>3.5207000000000002</v>
      </c>
      <c r="D207" s="1035">
        <f t="shared" si="8"/>
        <v>2.5098267578978151E-2</v>
      </c>
      <c r="E207" s="687">
        <v>0.2051</v>
      </c>
      <c r="F207" s="663"/>
      <c r="G207" s="663"/>
      <c r="H207" s="11"/>
      <c r="I207" s="11"/>
      <c r="J207" s="11"/>
      <c r="K207" s="11"/>
      <c r="L207" s="11"/>
      <c r="M207" s="11"/>
      <c r="N207" s="11"/>
      <c r="O207" s="11"/>
      <c r="P207" s="11"/>
      <c r="Q207" s="11"/>
      <c r="R207" s="11"/>
      <c r="S207" s="11"/>
      <c r="T207" s="11"/>
      <c r="U207" s="11"/>
      <c r="V207" s="11"/>
      <c r="W207" s="11"/>
      <c r="X207" s="11"/>
      <c r="Y207" s="11"/>
      <c r="Z207" s="11"/>
      <c r="AA207" s="11"/>
    </row>
    <row r="208" spans="1:27" x14ac:dyDescent="0.25">
      <c r="A208" s="1537">
        <v>34547</v>
      </c>
      <c r="B208" s="687">
        <v>3.7181000000000002</v>
      </c>
      <c r="C208" s="687">
        <v>3.5089000000000001</v>
      </c>
      <c r="D208" s="1035">
        <f t="shared" si="8"/>
        <v>2.374908825674682E-2</v>
      </c>
      <c r="E208" s="687">
        <v>0.2092</v>
      </c>
      <c r="F208" s="663"/>
      <c r="G208" s="663"/>
      <c r="H208" s="11"/>
      <c r="I208" s="11"/>
      <c r="J208" s="11"/>
      <c r="K208" s="11"/>
      <c r="L208" s="11"/>
      <c r="M208" s="11"/>
      <c r="N208" s="11"/>
      <c r="O208" s="11"/>
      <c r="P208" s="11"/>
      <c r="Q208" s="11"/>
      <c r="R208" s="11"/>
      <c r="S208" s="11"/>
      <c r="T208" s="11"/>
      <c r="U208" s="11"/>
      <c r="V208" s="11"/>
      <c r="W208" s="11"/>
      <c r="X208" s="11"/>
      <c r="Y208" s="11"/>
      <c r="Z208" s="11"/>
      <c r="AA208" s="11"/>
    </row>
    <row r="209" spans="1:27" x14ac:dyDescent="0.25">
      <c r="A209" s="1537">
        <v>34516</v>
      </c>
      <c r="B209" s="687">
        <v>3.7113</v>
      </c>
      <c r="C209" s="687">
        <v>3.4979</v>
      </c>
      <c r="D209" s="1035">
        <f t="shared" si="8"/>
        <v>2.2628270720654875E-2</v>
      </c>
      <c r="E209" s="687">
        <v>0.21340000000000001</v>
      </c>
      <c r="F209" s="663"/>
      <c r="G209" s="663"/>
      <c r="H209" s="11"/>
      <c r="I209" s="11"/>
      <c r="J209" s="11"/>
      <c r="K209" s="11"/>
      <c r="L209" s="11"/>
      <c r="M209" s="11"/>
      <c r="N209" s="11"/>
      <c r="O209" s="11"/>
      <c r="P209" s="11"/>
      <c r="Q209" s="11"/>
      <c r="R209" s="11"/>
      <c r="S209" s="11"/>
      <c r="T209" s="11"/>
      <c r="U209" s="11"/>
      <c r="V209" s="11"/>
      <c r="W209" s="11"/>
      <c r="X209" s="11"/>
      <c r="Y209" s="11"/>
      <c r="Z209" s="11"/>
      <c r="AA209" s="11"/>
    </row>
    <row r="210" spans="1:27" x14ac:dyDescent="0.25">
      <c r="A210" s="1537">
        <v>34486</v>
      </c>
      <c r="B210" s="687">
        <v>3.7063000000000001</v>
      </c>
      <c r="C210" s="687">
        <v>3.4870999999999999</v>
      </c>
      <c r="D210" s="1035">
        <f t="shared" si="8"/>
        <v>2.1711104600058651E-2</v>
      </c>
      <c r="E210" s="687">
        <v>0.21920000000000001</v>
      </c>
      <c r="F210" s="663"/>
      <c r="G210" s="663"/>
      <c r="H210" s="11"/>
      <c r="I210" s="11"/>
      <c r="J210" s="11"/>
      <c r="K210" s="11"/>
      <c r="L210" s="11"/>
      <c r="M210" s="11"/>
      <c r="N210" s="11"/>
      <c r="O210" s="11"/>
      <c r="P210" s="11"/>
      <c r="Q210" s="11"/>
      <c r="R210" s="11"/>
      <c r="S210" s="11"/>
      <c r="T210" s="11"/>
      <c r="U210" s="11"/>
      <c r="V210" s="11"/>
      <c r="W210" s="11"/>
      <c r="X210" s="11"/>
      <c r="Y210" s="11"/>
      <c r="Z210" s="11"/>
      <c r="AA210" s="11"/>
    </row>
    <row r="211" spans="1:27" x14ac:dyDescent="0.25">
      <c r="A211" s="1537">
        <v>34455</v>
      </c>
      <c r="B211" s="687">
        <v>3.7052</v>
      </c>
      <c r="C211" s="687">
        <v>3.4775999999999998</v>
      </c>
      <c r="D211" s="1035">
        <f t="shared" si="8"/>
        <v>2.117163412127443E-2</v>
      </c>
      <c r="E211" s="687">
        <v>0.2276</v>
      </c>
      <c r="F211" s="663"/>
      <c r="G211" s="663"/>
      <c r="H211" s="11"/>
      <c r="I211" s="11"/>
      <c r="J211" s="11"/>
      <c r="K211" s="11"/>
      <c r="L211" s="11"/>
      <c r="M211" s="11"/>
      <c r="N211" s="11"/>
      <c r="O211" s="11"/>
      <c r="P211" s="11"/>
      <c r="Q211" s="11"/>
      <c r="R211" s="11"/>
      <c r="S211" s="11"/>
      <c r="T211" s="11"/>
      <c r="U211" s="11"/>
      <c r="V211" s="11"/>
      <c r="W211" s="11"/>
      <c r="X211" s="11"/>
      <c r="Y211" s="11"/>
      <c r="Z211" s="11"/>
      <c r="AA211" s="11"/>
    </row>
    <row r="212" spans="1:27" x14ac:dyDescent="0.25">
      <c r="A212" s="1537">
        <v>34425</v>
      </c>
      <c r="B212" s="687">
        <v>3.7082999999999999</v>
      </c>
      <c r="C212" s="687">
        <v>3.4702000000000002</v>
      </c>
      <c r="D212" s="1035">
        <f t="shared" si="8"/>
        <v>2.1127589453860729E-2</v>
      </c>
      <c r="E212" s="687">
        <v>0.23810000000000001</v>
      </c>
      <c r="F212" s="663"/>
      <c r="G212" s="663"/>
      <c r="H212" s="11"/>
      <c r="I212" s="11"/>
      <c r="J212" s="11"/>
      <c r="K212" s="11"/>
      <c r="L212" s="11"/>
      <c r="M212" s="11"/>
      <c r="N212" s="11"/>
      <c r="O212" s="11"/>
      <c r="P212" s="11"/>
      <c r="Q212" s="11"/>
      <c r="R212" s="11"/>
      <c r="S212" s="11"/>
      <c r="T212" s="11"/>
      <c r="U212" s="11"/>
      <c r="V212" s="11"/>
      <c r="W212" s="11"/>
      <c r="X212" s="11"/>
      <c r="Y212" s="11"/>
      <c r="Z212" s="11"/>
      <c r="AA212" s="11"/>
    </row>
    <row r="213" spans="1:27" x14ac:dyDescent="0.25">
      <c r="A213" s="1537">
        <v>34394</v>
      </c>
      <c r="B213" s="687">
        <v>3.7136999999999998</v>
      </c>
      <c r="C213" s="687">
        <v>3.4651000000000001</v>
      </c>
      <c r="D213" s="1035">
        <f t="shared" si="8"/>
        <v>2.1189437698927227E-2</v>
      </c>
      <c r="E213" s="687">
        <v>0.24859999999999999</v>
      </c>
      <c r="F213" s="663"/>
      <c r="G213" s="663"/>
      <c r="H213" s="11"/>
      <c r="I213" s="11"/>
      <c r="J213" s="11"/>
      <c r="K213" s="11"/>
      <c r="L213" s="11"/>
      <c r="M213" s="11"/>
      <c r="N213" s="11"/>
      <c r="O213" s="11"/>
      <c r="P213" s="11"/>
      <c r="Q213" s="11"/>
      <c r="R213" s="11"/>
      <c r="S213" s="11"/>
      <c r="T213" s="11"/>
      <c r="U213" s="11"/>
      <c r="V213" s="11"/>
      <c r="W213" s="11"/>
      <c r="X213" s="11"/>
      <c r="Y213" s="11"/>
      <c r="Z213" s="11"/>
      <c r="AA213" s="11"/>
    </row>
    <row r="214" spans="1:27" x14ac:dyDescent="0.25">
      <c r="A214" s="1537">
        <v>34366</v>
      </c>
      <c r="B214" s="687">
        <v>3.7185999999999999</v>
      </c>
      <c r="C214" s="687">
        <v>3.4609000000000001</v>
      </c>
      <c r="D214" s="1035">
        <f t="shared" si="8"/>
        <v>2.0794006606890125E-2</v>
      </c>
      <c r="E214" s="687">
        <v>0.25769999999999998</v>
      </c>
      <c r="F214" s="663"/>
      <c r="G214" s="663"/>
      <c r="H214" s="11"/>
      <c r="I214" s="11"/>
      <c r="J214" s="11"/>
      <c r="K214" s="11"/>
      <c r="L214" s="11"/>
      <c r="M214" s="11"/>
      <c r="N214" s="11"/>
      <c r="O214" s="11"/>
      <c r="P214" s="11"/>
      <c r="Q214" s="11"/>
      <c r="R214" s="11"/>
      <c r="S214" s="11"/>
      <c r="T214" s="11"/>
      <c r="U214" s="11"/>
      <c r="V214" s="11"/>
      <c r="W214" s="11"/>
      <c r="X214" s="11"/>
      <c r="Y214" s="11"/>
      <c r="Z214" s="11"/>
      <c r="AA214" s="11"/>
    </row>
    <row r="215" spans="1:27" x14ac:dyDescent="0.25">
      <c r="A215" s="1537">
        <v>34335</v>
      </c>
      <c r="B215" s="687">
        <v>3.7216</v>
      </c>
      <c r="C215" s="687">
        <v>3.4567000000000001</v>
      </c>
      <c r="D215" s="1035">
        <f t="shared" si="8"/>
        <v>1.988611217655567E-2</v>
      </c>
      <c r="E215" s="687">
        <v>0.26490000000000002</v>
      </c>
      <c r="F215" s="663"/>
      <c r="G215" s="663"/>
      <c r="H215" s="11"/>
      <c r="I215" s="11"/>
      <c r="J215" s="11"/>
      <c r="K215" s="11"/>
      <c r="L215" s="11"/>
      <c r="M215" s="11"/>
      <c r="N215" s="11"/>
      <c r="O215" s="11"/>
      <c r="P215" s="11"/>
      <c r="Q215" s="11"/>
      <c r="R215" s="11"/>
      <c r="S215" s="11"/>
      <c r="T215" s="11"/>
      <c r="U215" s="11"/>
      <c r="V215" s="11"/>
      <c r="W215" s="11"/>
      <c r="X215" s="11"/>
      <c r="Y215" s="11"/>
      <c r="Z215" s="11"/>
      <c r="AA215" s="11"/>
    </row>
    <row r="216" spans="1:27" x14ac:dyDescent="0.25">
      <c r="A216" s="1537">
        <v>34304</v>
      </c>
      <c r="B216" s="687">
        <v>3.7225000000000001</v>
      </c>
      <c r="C216" s="687">
        <v>3.4521000000000002</v>
      </c>
      <c r="D216" s="1035">
        <f t="shared" si="8"/>
        <v>1.8859571453869295E-2</v>
      </c>
      <c r="E216" s="687">
        <v>0.27039999999999997</v>
      </c>
      <c r="F216" s="663"/>
      <c r="G216" s="663"/>
      <c r="H216" s="11"/>
      <c r="I216" s="11"/>
      <c r="J216" s="11"/>
      <c r="K216" s="11"/>
      <c r="L216" s="11"/>
      <c r="M216" s="11"/>
      <c r="N216" s="11"/>
      <c r="O216" s="11"/>
      <c r="P216" s="11"/>
      <c r="Q216" s="11"/>
      <c r="R216" s="11"/>
      <c r="S216" s="11"/>
      <c r="T216" s="11"/>
      <c r="U216" s="11"/>
      <c r="V216" s="11"/>
      <c r="W216" s="11"/>
      <c r="X216" s="11"/>
      <c r="Y216" s="11"/>
      <c r="Z216" s="11"/>
      <c r="AA216" s="11"/>
    </row>
    <row r="217" spans="1:27" x14ac:dyDescent="0.25">
      <c r="A217" s="1537">
        <v>34274</v>
      </c>
      <c r="B217" s="687">
        <v>3.7225000000000001</v>
      </c>
      <c r="C217" s="687">
        <v>3.4470999999999998</v>
      </c>
      <c r="D217" s="1035">
        <f t="shared" si="8"/>
        <v>1.7864524892222233E-2</v>
      </c>
      <c r="E217" s="687">
        <v>0.27539999999999998</v>
      </c>
      <c r="F217" s="663"/>
      <c r="G217" s="663"/>
      <c r="H217" s="11"/>
      <c r="I217" s="11"/>
      <c r="J217" s="11"/>
      <c r="K217" s="11"/>
      <c r="L217" s="11"/>
      <c r="M217" s="11"/>
      <c r="N217" s="11"/>
      <c r="O217" s="11"/>
      <c r="P217" s="11"/>
      <c r="Q217" s="11"/>
      <c r="R217" s="11"/>
      <c r="S217" s="11"/>
      <c r="T217" s="11"/>
      <c r="U217" s="11"/>
      <c r="V217" s="11"/>
      <c r="W217" s="11"/>
      <c r="X217" s="11"/>
      <c r="Y217" s="11"/>
      <c r="Z217" s="11"/>
      <c r="AA217" s="11"/>
    </row>
    <row r="218" spans="1:27" x14ac:dyDescent="0.25">
      <c r="A218" s="1537">
        <v>34243</v>
      </c>
      <c r="B218" s="687">
        <v>3.7225000000000001</v>
      </c>
      <c r="C218" s="687">
        <v>3.4411999999999998</v>
      </c>
      <c r="D218" s="1035">
        <f t="shared" si="8"/>
        <v>1.6842976183440772E-2</v>
      </c>
      <c r="E218" s="687">
        <v>0.28129999999999999</v>
      </c>
      <c r="F218" s="663"/>
      <c r="G218" s="663"/>
      <c r="H218" s="11"/>
      <c r="I218" s="11"/>
      <c r="J218" s="11"/>
      <c r="K218" s="11"/>
      <c r="L218" s="11"/>
      <c r="M218" s="11"/>
      <c r="N218" s="11"/>
      <c r="O218" s="11"/>
      <c r="P218" s="11"/>
      <c r="Q218" s="11"/>
      <c r="R218" s="11"/>
      <c r="S218" s="11"/>
      <c r="T218" s="11"/>
      <c r="U218" s="11"/>
      <c r="V218" s="11"/>
      <c r="W218" s="11"/>
      <c r="X218" s="11"/>
      <c r="Y218" s="11"/>
      <c r="Z218" s="11"/>
      <c r="AA218" s="11"/>
    </row>
    <row r="219" spans="1:27" x14ac:dyDescent="0.25">
      <c r="A219" s="1537">
        <v>34213</v>
      </c>
      <c r="B219" s="687">
        <v>3.7229000000000001</v>
      </c>
      <c r="C219" s="687">
        <v>3.4344999999999999</v>
      </c>
      <c r="D219" s="1035">
        <f t="shared" si="8"/>
        <v>1.5943915281311005E-2</v>
      </c>
      <c r="E219" s="687">
        <v>0.28839999999999999</v>
      </c>
      <c r="F219" s="663"/>
      <c r="G219" s="663"/>
      <c r="H219" s="11"/>
      <c r="I219" s="11"/>
      <c r="J219" s="11"/>
      <c r="K219" s="11"/>
      <c r="L219" s="11"/>
      <c r="M219" s="11"/>
      <c r="N219" s="11"/>
      <c r="O219" s="11"/>
      <c r="P219" s="11"/>
      <c r="Q219" s="11"/>
      <c r="R219" s="11"/>
      <c r="S219" s="11"/>
      <c r="T219" s="11"/>
      <c r="U219" s="11"/>
      <c r="V219" s="11"/>
      <c r="W219" s="11"/>
      <c r="X219" s="11"/>
      <c r="Y219" s="11"/>
      <c r="Z219" s="11"/>
      <c r="AA219" s="11"/>
    </row>
    <row r="220" spans="1:27" x14ac:dyDescent="0.25">
      <c r="A220" s="1537">
        <v>34182</v>
      </c>
      <c r="B220" s="687">
        <v>3.7231000000000001</v>
      </c>
      <c r="C220" s="687">
        <v>3.4275000000000002</v>
      </c>
      <c r="D220" s="1035">
        <f t="shared" si="8"/>
        <v>1.5224667515772561E-2</v>
      </c>
      <c r="E220" s="687">
        <v>0.29559999999999997</v>
      </c>
      <c r="F220" s="663"/>
      <c r="G220" s="663"/>
      <c r="H220" s="11"/>
      <c r="I220" s="11"/>
      <c r="J220" s="11"/>
      <c r="K220" s="11"/>
      <c r="L220" s="11"/>
      <c r="M220" s="11"/>
      <c r="N220" s="11"/>
      <c r="O220" s="11"/>
      <c r="P220" s="11"/>
      <c r="Q220" s="11"/>
      <c r="R220" s="11"/>
      <c r="S220" s="11"/>
      <c r="T220" s="11"/>
      <c r="U220" s="11"/>
      <c r="V220" s="11"/>
      <c r="W220" s="11"/>
      <c r="X220" s="11"/>
      <c r="Y220" s="11"/>
      <c r="Z220" s="11"/>
      <c r="AA220" s="11"/>
    </row>
    <row r="221" spans="1:27" x14ac:dyDescent="0.25">
      <c r="A221" s="1537">
        <v>34151</v>
      </c>
      <c r="B221" s="687">
        <v>3.7216999999999998</v>
      </c>
      <c r="C221" s="687">
        <v>3.4205000000000001</v>
      </c>
      <c r="D221" s="1035">
        <f t="shared" si="8"/>
        <v>1.4985163204747742E-2</v>
      </c>
      <c r="E221" s="687">
        <v>0.30130000000000001</v>
      </c>
      <c r="F221" s="663"/>
      <c r="G221" s="663"/>
      <c r="H221" s="11"/>
      <c r="I221" s="11"/>
      <c r="J221" s="11"/>
      <c r="K221" s="11"/>
      <c r="L221" s="11"/>
      <c r="M221" s="11"/>
      <c r="N221" s="11"/>
      <c r="O221" s="11"/>
      <c r="P221" s="11"/>
      <c r="Q221" s="11"/>
      <c r="R221" s="11"/>
      <c r="S221" s="11"/>
      <c r="T221" s="11"/>
      <c r="U221" s="11"/>
      <c r="V221" s="11"/>
      <c r="W221" s="11"/>
      <c r="X221" s="11"/>
      <c r="Y221" s="11"/>
      <c r="Z221" s="11"/>
      <c r="AA221" s="11"/>
    </row>
    <row r="222" spans="1:27" x14ac:dyDescent="0.25">
      <c r="A222" s="1537">
        <v>34121</v>
      </c>
      <c r="B222" s="687">
        <v>3.7174999999999998</v>
      </c>
      <c r="C222" s="687">
        <v>3.4129999999999998</v>
      </c>
      <c r="D222" s="1035">
        <f t="shared" si="8"/>
        <v>1.5169541939321851E-2</v>
      </c>
      <c r="E222" s="687">
        <v>0.30449999999999999</v>
      </c>
      <c r="F222" s="663"/>
      <c r="G222" s="663"/>
      <c r="H222" s="11"/>
      <c r="I222" s="11"/>
      <c r="J222" s="11"/>
      <c r="K222" s="11"/>
      <c r="L222" s="11"/>
      <c r="M222" s="11"/>
      <c r="N222" s="11"/>
      <c r="O222" s="11"/>
      <c r="P222" s="11"/>
      <c r="Q222" s="11"/>
      <c r="R222" s="11"/>
      <c r="S222" s="11"/>
      <c r="T222" s="11"/>
      <c r="U222" s="11"/>
      <c r="V222" s="11"/>
      <c r="W222" s="11"/>
      <c r="X222" s="11"/>
      <c r="Y222" s="11"/>
      <c r="Z222" s="11"/>
      <c r="AA222" s="11"/>
    </row>
    <row r="223" spans="1:27" x14ac:dyDescent="0.25">
      <c r="A223" s="1537">
        <v>34090</v>
      </c>
      <c r="B223" s="687">
        <v>3.7109000000000001</v>
      </c>
      <c r="C223" s="687">
        <v>3.4055</v>
      </c>
      <c r="D223" s="1035">
        <f t="shared" si="8"/>
        <v>1.5960620525059754E-2</v>
      </c>
      <c r="E223" s="687">
        <v>0.3054</v>
      </c>
      <c r="F223" s="663"/>
      <c r="G223" s="663"/>
      <c r="H223" s="11"/>
      <c r="I223" s="11"/>
      <c r="J223" s="11"/>
      <c r="K223" s="11"/>
      <c r="L223" s="11"/>
      <c r="M223" s="11"/>
      <c r="N223" s="11"/>
      <c r="O223" s="11"/>
      <c r="P223" s="11"/>
      <c r="Q223" s="11"/>
      <c r="R223" s="11"/>
      <c r="S223" s="11"/>
      <c r="T223" s="11"/>
      <c r="U223" s="11"/>
      <c r="V223" s="11"/>
      <c r="W223" s="11"/>
      <c r="X223" s="11"/>
      <c r="Y223" s="11"/>
      <c r="Z223" s="11"/>
      <c r="AA223" s="11"/>
    </row>
    <row r="224" spans="1:27" x14ac:dyDescent="0.25">
      <c r="A224" s="1537">
        <v>34060</v>
      </c>
      <c r="B224" s="687">
        <v>3.7035</v>
      </c>
      <c r="C224" s="687">
        <v>3.3984000000000001</v>
      </c>
      <c r="D224" s="1035">
        <f t="shared" si="8"/>
        <v>1.7485029940119912E-2</v>
      </c>
      <c r="E224" s="687">
        <v>0.30509999999999998</v>
      </c>
      <c r="F224" s="663"/>
      <c r="G224" s="663"/>
      <c r="H224" s="11"/>
      <c r="I224" s="11"/>
      <c r="J224" s="11"/>
      <c r="K224" s="11"/>
      <c r="L224" s="11"/>
      <c r="M224" s="11"/>
      <c r="N224" s="11"/>
      <c r="O224" s="11"/>
      <c r="P224" s="11"/>
      <c r="Q224" s="11"/>
      <c r="R224" s="11"/>
      <c r="S224" s="11"/>
      <c r="T224" s="11"/>
      <c r="U224" s="11"/>
      <c r="V224" s="11"/>
      <c r="W224" s="11"/>
      <c r="X224" s="11"/>
      <c r="Y224" s="11"/>
      <c r="Z224" s="11"/>
      <c r="AA224" s="11"/>
    </row>
    <row r="225" spans="1:27" x14ac:dyDescent="0.25">
      <c r="A225" s="1537">
        <v>34029</v>
      </c>
      <c r="B225" s="687">
        <v>3.6960000000000002</v>
      </c>
      <c r="C225" s="687">
        <v>3.3932000000000002</v>
      </c>
      <c r="D225" s="1035">
        <f t="shared" si="8"/>
        <v>1.9805848585940478E-2</v>
      </c>
      <c r="E225" s="687">
        <v>0.3029</v>
      </c>
      <c r="F225" s="663"/>
      <c r="G225" s="663"/>
      <c r="H225" s="11"/>
      <c r="I225" s="11"/>
      <c r="J225" s="11"/>
      <c r="K225" s="11"/>
      <c r="L225" s="11"/>
      <c r="M225" s="11"/>
      <c r="N225" s="11"/>
      <c r="O225" s="11"/>
      <c r="P225" s="11"/>
      <c r="Q225" s="11"/>
      <c r="R225" s="11"/>
      <c r="S225" s="11"/>
      <c r="T225" s="11"/>
      <c r="U225" s="11"/>
      <c r="V225" s="11"/>
      <c r="W225" s="11"/>
      <c r="X225" s="11"/>
      <c r="Y225" s="11"/>
      <c r="Z225" s="11"/>
      <c r="AA225" s="11"/>
    </row>
    <row r="226" spans="1:27" x14ac:dyDescent="0.25">
      <c r="A226" s="1537">
        <v>34001</v>
      </c>
      <c r="B226" s="687">
        <v>3.6880999999999999</v>
      </c>
      <c r="C226" s="687">
        <v>3.3904000000000001</v>
      </c>
      <c r="D226" s="1035">
        <f t="shared" si="8"/>
        <v>2.2498341275107192E-2</v>
      </c>
      <c r="E226" s="687">
        <v>0.29780000000000001</v>
      </c>
      <c r="F226" s="663"/>
      <c r="G226" s="663"/>
      <c r="H226" s="11"/>
      <c r="I226" s="11"/>
      <c r="J226" s="11"/>
      <c r="K226" s="11"/>
      <c r="L226" s="11"/>
      <c r="M226" s="11"/>
      <c r="N226" s="11"/>
      <c r="O226" s="11"/>
      <c r="P226" s="11"/>
      <c r="Q226" s="11"/>
      <c r="R226" s="11"/>
      <c r="S226" s="11"/>
      <c r="T226" s="11"/>
      <c r="U226" s="11"/>
      <c r="V226" s="11"/>
      <c r="W226" s="11"/>
      <c r="X226" s="11"/>
      <c r="Y226" s="11"/>
      <c r="Z226" s="11"/>
      <c r="AA226" s="11"/>
    </row>
    <row r="227" spans="1:27" x14ac:dyDescent="0.25">
      <c r="A227" s="1537">
        <v>33970</v>
      </c>
      <c r="B227" s="687">
        <v>3.6796000000000002</v>
      </c>
      <c r="C227" s="687">
        <v>3.3893</v>
      </c>
      <c r="D227" s="1035">
        <f t="shared" si="8"/>
        <v>2.4824625060474226E-2</v>
      </c>
      <c r="E227" s="687">
        <v>0.2903</v>
      </c>
      <c r="F227" s="663"/>
      <c r="G227" s="663"/>
      <c r="H227" s="11"/>
      <c r="I227" s="11"/>
      <c r="J227" s="11"/>
      <c r="K227" s="11"/>
      <c r="L227" s="11"/>
      <c r="M227" s="11"/>
      <c r="N227" s="11"/>
      <c r="O227" s="11"/>
      <c r="P227" s="11"/>
      <c r="Q227" s="11"/>
      <c r="R227" s="11"/>
      <c r="S227" s="11"/>
      <c r="T227" s="11"/>
      <c r="U227" s="11"/>
      <c r="V227" s="11"/>
      <c r="W227" s="11"/>
      <c r="X227" s="11"/>
      <c r="Y227" s="11"/>
      <c r="Z227" s="11"/>
      <c r="AA227" s="11"/>
    </row>
    <row r="228" spans="1:27" x14ac:dyDescent="0.25">
      <c r="A228" s="1537">
        <v>33939</v>
      </c>
      <c r="B228" s="687">
        <v>3.6707000000000001</v>
      </c>
      <c r="C228" s="687">
        <v>3.3881999999999999</v>
      </c>
      <c r="D228" s="1035">
        <f t="shared" si="8"/>
        <v>2.5794732061761971E-2</v>
      </c>
      <c r="E228" s="687">
        <v>0.28249999999999997</v>
      </c>
      <c r="F228" s="663"/>
      <c r="G228" s="663"/>
      <c r="H228" s="11"/>
      <c r="I228" s="11"/>
      <c r="J228" s="11"/>
      <c r="K228" s="11"/>
      <c r="L228" s="11"/>
      <c r="M228" s="11"/>
      <c r="N228" s="11"/>
      <c r="O228" s="11"/>
      <c r="P228" s="11"/>
      <c r="Q228" s="11"/>
      <c r="R228" s="11"/>
      <c r="S228" s="11"/>
      <c r="T228" s="11"/>
      <c r="U228" s="11"/>
      <c r="V228" s="11"/>
      <c r="W228" s="11"/>
      <c r="X228" s="11"/>
      <c r="Y228" s="11"/>
      <c r="Z228" s="11"/>
      <c r="AA228" s="11"/>
    </row>
    <row r="229" spans="1:27" x14ac:dyDescent="0.25">
      <c r="A229" s="1537">
        <v>33909</v>
      </c>
      <c r="B229" s="687">
        <v>3.6638000000000002</v>
      </c>
      <c r="C229" s="687">
        <v>3.3866000000000001</v>
      </c>
      <c r="D229" s="1035">
        <f t="shared" si="8"/>
        <v>2.5000000000000133E-2</v>
      </c>
      <c r="E229" s="687">
        <v>0.2772</v>
      </c>
      <c r="F229" s="663"/>
      <c r="G229" s="663"/>
      <c r="H229" s="11"/>
      <c r="I229" s="11"/>
      <c r="J229" s="11"/>
      <c r="K229" s="11"/>
      <c r="L229" s="11"/>
      <c r="M229" s="11"/>
      <c r="N229" s="11"/>
      <c r="O229" s="11"/>
      <c r="P229" s="11"/>
      <c r="Q229" s="11"/>
      <c r="R229" s="11"/>
      <c r="S229" s="11"/>
      <c r="T229" s="11"/>
      <c r="U229" s="11"/>
      <c r="V229" s="11"/>
      <c r="W229" s="11"/>
      <c r="X229" s="11"/>
      <c r="Y229" s="11"/>
      <c r="Z229" s="11"/>
      <c r="AA229" s="11"/>
    </row>
    <row r="230" spans="1:27" x14ac:dyDescent="0.25">
      <c r="A230" s="1537">
        <v>33878</v>
      </c>
      <c r="B230" s="687">
        <v>3.6610999999999998</v>
      </c>
      <c r="C230" s="687">
        <v>3.3841999999999999</v>
      </c>
      <c r="D230" s="1035">
        <f t="shared" si="8"/>
        <v>2.2880459422699007E-2</v>
      </c>
      <c r="E230" s="687">
        <v>0.27700000000000002</v>
      </c>
      <c r="F230" s="663"/>
      <c r="G230" s="663"/>
      <c r="H230" s="11"/>
      <c r="I230" s="11"/>
      <c r="J230" s="11"/>
      <c r="K230" s="11"/>
      <c r="L230" s="11"/>
      <c r="M230" s="11"/>
      <c r="N230" s="11"/>
      <c r="O230" s="11"/>
      <c r="P230" s="11"/>
      <c r="Q230" s="11"/>
      <c r="R230" s="11"/>
      <c r="S230" s="11"/>
      <c r="T230" s="11"/>
      <c r="U230" s="11"/>
      <c r="V230" s="11"/>
      <c r="W230" s="11"/>
      <c r="X230" s="11"/>
      <c r="Y230" s="11"/>
      <c r="Z230" s="11"/>
      <c r="AA230" s="11"/>
    </row>
    <row r="231" spans="1:27" x14ac:dyDescent="0.25">
      <c r="A231" s="1537">
        <v>33848</v>
      </c>
      <c r="B231" s="687">
        <v>3.6633</v>
      </c>
      <c r="C231" s="687">
        <v>3.3805999999999998</v>
      </c>
      <c r="D231" s="1035">
        <f t="shared" si="8"/>
        <v>1.9881135547711537E-2</v>
      </c>
      <c r="E231" s="687">
        <v>0.28270000000000001</v>
      </c>
      <c r="F231" s="663"/>
      <c r="G231" s="663"/>
      <c r="H231" s="11"/>
      <c r="I231" s="11"/>
      <c r="J231" s="11"/>
      <c r="K231" s="11"/>
      <c r="L231" s="11"/>
      <c r="M231" s="11"/>
      <c r="N231" s="11"/>
      <c r="O231" s="11"/>
      <c r="P231" s="11"/>
      <c r="Q231" s="11"/>
      <c r="R231" s="11"/>
      <c r="S231" s="11"/>
      <c r="T231" s="11"/>
      <c r="U231" s="11"/>
      <c r="V231" s="11"/>
      <c r="W231" s="11"/>
      <c r="X231" s="11"/>
      <c r="Y231" s="11"/>
      <c r="Z231" s="11"/>
      <c r="AA231" s="11"/>
    </row>
    <row r="232" spans="1:27" x14ac:dyDescent="0.25">
      <c r="A232" s="1537">
        <v>33817</v>
      </c>
      <c r="B232" s="687">
        <v>3.6686000000000001</v>
      </c>
      <c r="C232" s="687">
        <v>3.3761000000000001</v>
      </c>
      <c r="D232" s="1035">
        <f t="shared" si="8"/>
        <v>1.6775087338875005E-2</v>
      </c>
      <c r="E232" s="687">
        <v>0.29249999999999998</v>
      </c>
      <c r="F232" s="663"/>
      <c r="G232" s="663"/>
      <c r="H232" s="11"/>
      <c r="I232" s="11"/>
      <c r="J232" s="11"/>
      <c r="K232" s="11"/>
      <c r="L232" s="11"/>
      <c r="M232" s="11"/>
      <c r="N232" s="11"/>
      <c r="O232" s="11"/>
      <c r="P232" s="11"/>
      <c r="Q232" s="11"/>
      <c r="R232" s="11"/>
      <c r="S232" s="11"/>
      <c r="T232" s="11"/>
      <c r="U232" s="11"/>
      <c r="V232" s="11"/>
      <c r="W232" s="11"/>
      <c r="X232" s="11"/>
      <c r="Y232" s="11"/>
      <c r="Z232" s="11"/>
      <c r="AA232" s="11"/>
    </row>
    <row r="233" spans="1:27" x14ac:dyDescent="0.25">
      <c r="A233" s="1537">
        <v>33786</v>
      </c>
      <c r="B233" s="687">
        <v>3.6738</v>
      </c>
      <c r="C233" s="687">
        <v>3.37</v>
      </c>
      <c r="D233" s="1035">
        <f t="shared" si="8"/>
        <v>1.3655778138723429E-2</v>
      </c>
      <c r="E233" s="687">
        <v>0.30380000000000001</v>
      </c>
      <c r="F233" s="663"/>
      <c r="G233" s="663"/>
      <c r="H233" s="11"/>
      <c r="I233" s="11"/>
      <c r="J233" s="11"/>
      <c r="K233" s="11"/>
      <c r="L233" s="11"/>
      <c r="M233" s="11"/>
      <c r="N233" s="11"/>
      <c r="O233" s="11"/>
      <c r="P233" s="11"/>
      <c r="Q233" s="11"/>
      <c r="R233" s="11"/>
      <c r="S233" s="11"/>
      <c r="T233" s="11"/>
      <c r="U233" s="11"/>
      <c r="V233" s="11"/>
      <c r="W233" s="11"/>
      <c r="X233" s="11"/>
      <c r="Y233" s="11"/>
      <c r="Z233" s="11"/>
      <c r="AA233" s="11"/>
    </row>
    <row r="234" spans="1:27" x14ac:dyDescent="0.25">
      <c r="A234" s="1537">
        <v>33756</v>
      </c>
      <c r="B234" s="687">
        <v>3.6753999999999998</v>
      </c>
      <c r="C234" s="687">
        <v>3.3620000000000001</v>
      </c>
      <c r="D234" s="1035">
        <f t="shared" si="8"/>
        <v>1.0671877348564562E-2</v>
      </c>
      <c r="E234" s="687">
        <v>0.31340000000000001</v>
      </c>
      <c r="F234" s="663"/>
      <c r="G234" s="663"/>
      <c r="H234" s="11"/>
      <c r="I234" s="11"/>
      <c r="J234" s="11"/>
      <c r="K234" s="11"/>
      <c r="L234" s="11"/>
      <c r="M234" s="11"/>
      <c r="N234" s="11"/>
      <c r="O234" s="11"/>
      <c r="P234" s="11"/>
      <c r="Q234" s="11"/>
      <c r="R234" s="11"/>
      <c r="S234" s="11"/>
      <c r="T234" s="11"/>
      <c r="U234" s="11"/>
      <c r="V234" s="11"/>
      <c r="W234" s="11"/>
      <c r="X234" s="11"/>
      <c r="Y234" s="11"/>
      <c r="Z234" s="11"/>
      <c r="AA234" s="11"/>
    </row>
    <row r="235" spans="1:27" x14ac:dyDescent="0.25">
      <c r="A235" s="1537">
        <v>33725</v>
      </c>
      <c r="B235" s="687">
        <v>3.6722000000000001</v>
      </c>
      <c r="C235" s="687">
        <v>3.3519999999999999</v>
      </c>
      <c r="D235" s="1035">
        <f t="shared" si="8"/>
        <v>7.5748466995311237E-3</v>
      </c>
      <c r="E235" s="687">
        <v>0.32019999999999998</v>
      </c>
      <c r="F235" s="663"/>
      <c r="G235" s="663"/>
      <c r="H235" s="11"/>
      <c r="I235" s="11"/>
      <c r="J235" s="11"/>
      <c r="K235" s="11"/>
      <c r="L235" s="11"/>
      <c r="M235" s="11"/>
      <c r="N235" s="11"/>
      <c r="O235" s="11"/>
      <c r="P235" s="11"/>
      <c r="Q235" s="11"/>
      <c r="R235" s="11"/>
      <c r="S235" s="11"/>
      <c r="T235" s="11"/>
      <c r="U235" s="11"/>
      <c r="V235" s="11"/>
      <c r="W235" s="11"/>
      <c r="X235" s="11"/>
      <c r="Y235" s="11"/>
      <c r="Z235" s="11"/>
      <c r="AA235" s="11"/>
    </row>
    <row r="236" spans="1:27" x14ac:dyDescent="0.25">
      <c r="A236" s="1537">
        <v>33695</v>
      </c>
      <c r="B236" s="687">
        <v>3.6646000000000001</v>
      </c>
      <c r="C236" s="687">
        <v>3.34</v>
      </c>
      <c r="D236" s="1035">
        <f t="shared" si="8"/>
        <v>3.9375995671644404E-3</v>
      </c>
      <c r="E236" s="687">
        <v>0.32450000000000001</v>
      </c>
      <c r="F236" s="663"/>
      <c r="G236" s="663"/>
      <c r="H236" s="11"/>
      <c r="I236" s="11"/>
      <c r="J236" s="11"/>
      <c r="K236" s="11"/>
      <c r="L236" s="11"/>
      <c r="M236" s="11"/>
      <c r="N236" s="11"/>
      <c r="O236" s="11"/>
      <c r="P236" s="11"/>
      <c r="Q236" s="11"/>
      <c r="R236" s="11"/>
      <c r="S236" s="11"/>
      <c r="T236" s="11"/>
      <c r="U236" s="11"/>
      <c r="V236" s="11"/>
      <c r="W236" s="11"/>
      <c r="X236" s="11"/>
      <c r="Y236" s="11"/>
      <c r="Z236" s="11"/>
      <c r="AA236" s="11"/>
    </row>
    <row r="237" spans="1:27" x14ac:dyDescent="0.25">
      <c r="A237" s="1537">
        <v>33664</v>
      </c>
      <c r="B237" s="687">
        <v>3.6549</v>
      </c>
      <c r="C237" s="687">
        <v>3.3273000000000001</v>
      </c>
      <c r="D237" s="1035">
        <f t="shared" si="8"/>
        <v>-3.0045368506437242E-4</v>
      </c>
      <c r="E237" s="687">
        <v>0.3276</v>
      </c>
      <c r="F237" s="663"/>
      <c r="G237" s="663"/>
      <c r="H237" s="11"/>
      <c r="I237" s="11"/>
      <c r="J237" s="11"/>
      <c r="K237" s="11"/>
      <c r="L237" s="11"/>
      <c r="M237" s="11"/>
      <c r="N237" s="11"/>
      <c r="O237" s="11"/>
      <c r="P237" s="11"/>
      <c r="Q237" s="11"/>
      <c r="R237" s="11"/>
      <c r="S237" s="11"/>
      <c r="T237" s="11"/>
      <c r="U237" s="11"/>
      <c r="V237" s="11"/>
      <c r="W237" s="11"/>
      <c r="X237" s="11"/>
      <c r="Y237" s="11"/>
      <c r="Z237" s="11"/>
      <c r="AA237" s="11"/>
    </row>
    <row r="238" spans="1:27" x14ac:dyDescent="0.25">
      <c r="A238" s="1537">
        <v>33635</v>
      </c>
      <c r="B238" s="687">
        <v>3.6455000000000002</v>
      </c>
      <c r="C238" s="687">
        <v>3.3157999999999999</v>
      </c>
      <c r="D238" s="1035">
        <f t="shared" si="8"/>
        <v>-4.8320777934512948E-3</v>
      </c>
      <c r="E238" s="687">
        <v>0.32969999999999999</v>
      </c>
      <c r="F238" s="663"/>
      <c r="G238" s="663"/>
      <c r="H238" s="11"/>
      <c r="I238" s="11"/>
      <c r="J238" s="11"/>
      <c r="K238" s="11"/>
      <c r="L238" s="11"/>
      <c r="M238" s="11"/>
      <c r="N238" s="11"/>
      <c r="O238" s="11"/>
      <c r="P238" s="11"/>
      <c r="Q238" s="11"/>
      <c r="R238" s="11"/>
      <c r="S238" s="11"/>
      <c r="T238" s="11"/>
      <c r="U238" s="11"/>
      <c r="V238" s="11"/>
      <c r="W238" s="11"/>
      <c r="X238" s="11"/>
      <c r="Y238" s="11"/>
      <c r="Z238" s="11"/>
      <c r="AA238" s="11"/>
    </row>
    <row r="239" spans="1:27" x14ac:dyDescent="0.25">
      <c r="A239" s="1537">
        <v>33604</v>
      </c>
      <c r="B239" s="687">
        <v>3.6364999999999998</v>
      </c>
      <c r="C239" s="687">
        <v>3.3071999999999999</v>
      </c>
      <c r="D239" s="1035">
        <f t="shared" si="8"/>
        <v>-8.870774394629688E-3</v>
      </c>
      <c r="E239" s="687">
        <v>0.32929999999999998</v>
      </c>
      <c r="F239" s="663"/>
      <c r="G239" s="663"/>
      <c r="H239" s="11"/>
      <c r="I239" s="11"/>
      <c r="J239" s="11"/>
      <c r="K239" s="11"/>
      <c r="L239" s="11"/>
      <c r="M239" s="11"/>
      <c r="N239" s="11"/>
      <c r="O239" s="11"/>
      <c r="P239" s="11"/>
      <c r="Q239" s="11"/>
      <c r="R239" s="11"/>
      <c r="S239" s="11"/>
      <c r="T239" s="11"/>
      <c r="U239" s="11"/>
      <c r="V239" s="11"/>
      <c r="W239" s="11"/>
      <c r="X239" s="11"/>
      <c r="Y239" s="11"/>
      <c r="Z239" s="11"/>
      <c r="AA239" s="11"/>
    </row>
    <row r="240" spans="1:27" x14ac:dyDescent="0.25">
      <c r="A240" s="1537">
        <v>33573</v>
      </c>
      <c r="B240" s="687">
        <v>3.6280000000000001</v>
      </c>
      <c r="C240" s="687">
        <v>3.3029999999999999</v>
      </c>
      <c r="D240" s="1035">
        <f t="shared" si="8"/>
        <v>-1.1906186430537313E-2</v>
      </c>
      <c r="E240" s="687">
        <v>0.32500000000000001</v>
      </c>
      <c r="F240" s="663"/>
      <c r="G240" s="663"/>
      <c r="H240" s="11"/>
      <c r="I240" s="11"/>
      <c r="J240" s="11"/>
      <c r="K240" s="11"/>
      <c r="L240" s="11"/>
      <c r="M240" s="11"/>
      <c r="N240" s="11"/>
      <c r="O240" s="11"/>
      <c r="P240" s="11"/>
      <c r="Q240" s="11"/>
      <c r="R240" s="11"/>
      <c r="S240" s="11"/>
      <c r="T240" s="11"/>
      <c r="U240" s="11"/>
      <c r="V240" s="11"/>
      <c r="W240" s="11"/>
      <c r="X240" s="11"/>
      <c r="Y240" s="11"/>
      <c r="Z240" s="11"/>
      <c r="AA240" s="11"/>
    </row>
    <row r="241" spans="1:27" x14ac:dyDescent="0.25">
      <c r="A241" s="1537">
        <v>33543</v>
      </c>
      <c r="B241" s="687">
        <v>3.6202000000000001</v>
      </c>
      <c r="C241" s="687">
        <v>3.3039999999999998</v>
      </c>
      <c r="D241" s="1035">
        <f t="shared" si="8"/>
        <v>-1.3407387500373291E-2</v>
      </c>
      <c r="E241" s="687">
        <v>0.31619999999999998</v>
      </c>
      <c r="F241" s="663"/>
      <c r="G241" s="663"/>
      <c r="H241" s="11"/>
      <c r="I241" s="11"/>
      <c r="J241" s="11"/>
      <c r="K241" s="11"/>
      <c r="L241" s="11"/>
      <c r="M241" s="11"/>
      <c r="N241" s="11"/>
      <c r="O241" s="11"/>
      <c r="P241" s="11"/>
      <c r="Q241" s="11"/>
      <c r="R241" s="11"/>
      <c r="S241" s="11"/>
      <c r="T241" s="11"/>
      <c r="U241" s="11"/>
      <c r="V241" s="11"/>
      <c r="W241" s="11"/>
      <c r="X241" s="11"/>
      <c r="Y241" s="11"/>
      <c r="Z241" s="11"/>
      <c r="AA241" s="11"/>
    </row>
    <row r="242" spans="1:27" x14ac:dyDescent="0.25">
      <c r="A242" s="1537">
        <v>33512</v>
      </c>
      <c r="B242" s="687">
        <v>3.6122999999999998</v>
      </c>
      <c r="C242" s="687">
        <v>3.3085</v>
      </c>
      <c r="D242" s="1035">
        <f t="shared" si="8"/>
        <v>-1.3889302852374108E-2</v>
      </c>
      <c r="E242" s="687">
        <v>0.30370000000000003</v>
      </c>
      <c r="F242" s="663"/>
      <c r="G242" s="663"/>
      <c r="H242" s="11"/>
      <c r="I242" s="11"/>
      <c r="J242" s="11"/>
      <c r="K242" s="11"/>
      <c r="L242" s="11"/>
      <c r="M242" s="11"/>
      <c r="N242" s="11"/>
      <c r="O242" s="11"/>
      <c r="P242" s="11"/>
      <c r="Q242" s="11"/>
      <c r="R242" s="11"/>
      <c r="S242" s="11"/>
      <c r="T242" s="11"/>
      <c r="U242" s="11"/>
      <c r="V242" s="11"/>
      <c r="W242" s="11"/>
      <c r="X242" s="11"/>
      <c r="Y242" s="11"/>
      <c r="Z242" s="11"/>
      <c r="AA242" s="11"/>
    </row>
    <row r="243" spans="1:27" x14ac:dyDescent="0.25">
      <c r="A243" s="1537">
        <v>33482</v>
      </c>
      <c r="B243" s="687">
        <v>3.6046</v>
      </c>
      <c r="C243" s="687">
        <v>3.3147000000000002</v>
      </c>
      <c r="D243" s="1035">
        <f t="shared" si="8"/>
        <v>-1.3658275307980583E-2</v>
      </c>
      <c r="E243" s="687">
        <v>0.28989999999999999</v>
      </c>
      <c r="F243" s="663"/>
      <c r="G243" s="663"/>
      <c r="H243" s="11"/>
      <c r="I243" s="11"/>
      <c r="J243" s="11"/>
      <c r="K243" s="11"/>
      <c r="L243" s="11"/>
      <c r="M243" s="11"/>
      <c r="N243" s="11"/>
      <c r="O243" s="11"/>
      <c r="P243" s="11"/>
      <c r="Q243" s="11"/>
      <c r="R243" s="11"/>
      <c r="S243" s="11"/>
      <c r="T243" s="11"/>
      <c r="U243" s="11"/>
      <c r="V243" s="11"/>
      <c r="W243" s="11"/>
      <c r="X243" s="11"/>
      <c r="Y243" s="11"/>
      <c r="Z243" s="11"/>
      <c r="AA243" s="11"/>
    </row>
    <row r="244" spans="1:27" x14ac:dyDescent="0.25">
      <c r="A244" s="1537">
        <v>33451</v>
      </c>
      <c r="B244" s="687">
        <v>3.5979999999999999</v>
      </c>
      <c r="C244" s="687">
        <v>3.3203999999999998</v>
      </c>
      <c r="D244" s="1035">
        <f t="shared" si="8"/>
        <v>-1.3166106933753419E-2</v>
      </c>
      <c r="E244" s="687">
        <v>0.27760000000000001</v>
      </c>
      <c r="F244" s="663"/>
      <c r="G244" s="663"/>
      <c r="H244" s="11"/>
      <c r="I244" s="11"/>
      <c r="J244" s="11"/>
      <c r="K244" s="11"/>
      <c r="L244" s="11"/>
      <c r="M244" s="11"/>
      <c r="N244" s="11"/>
      <c r="O244" s="11"/>
      <c r="P244" s="11"/>
      <c r="Q244" s="11"/>
      <c r="R244" s="11"/>
      <c r="S244" s="11"/>
      <c r="T244" s="11"/>
      <c r="U244" s="11"/>
      <c r="V244" s="11"/>
      <c r="W244" s="11"/>
      <c r="X244" s="11"/>
      <c r="Y244" s="11"/>
      <c r="Z244" s="11"/>
      <c r="AA244" s="11"/>
    </row>
    <row r="245" spans="1:27" x14ac:dyDescent="0.25">
      <c r="A245" s="1537">
        <v>33420</v>
      </c>
      <c r="B245" s="687">
        <v>3.5929000000000002</v>
      </c>
      <c r="C245" s="687">
        <v>3.3246000000000002</v>
      </c>
      <c r="D245" s="1035">
        <f t="shared" si="8"/>
        <v>-1.2856676267110068E-2</v>
      </c>
      <c r="E245" s="687">
        <v>0.26840000000000003</v>
      </c>
      <c r="F245" s="663"/>
      <c r="G245" s="663"/>
      <c r="H245" s="11"/>
      <c r="I245" s="11"/>
      <c r="J245" s="11"/>
      <c r="K245" s="11"/>
      <c r="L245" s="11"/>
      <c r="M245" s="11"/>
      <c r="N245" s="11"/>
      <c r="O245" s="11"/>
      <c r="P245" s="11"/>
      <c r="Q245" s="11"/>
      <c r="R245" s="11"/>
      <c r="S245" s="11"/>
      <c r="T245" s="11"/>
      <c r="U245" s="11"/>
      <c r="V245" s="11"/>
      <c r="W245" s="11"/>
      <c r="X245" s="11"/>
      <c r="Y245" s="11"/>
      <c r="Z245" s="11"/>
      <c r="AA245" s="11"/>
    </row>
    <row r="246" spans="1:27" x14ac:dyDescent="0.25">
      <c r="A246" s="1537">
        <v>33390</v>
      </c>
      <c r="B246" s="687">
        <v>3.5891999999999999</v>
      </c>
      <c r="C246" s="687">
        <v>3.3264999999999998</v>
      </c>
      <c r="D246" s="1035">
        <f t="shared" si="8"/>
        <v>-1.323010293376059E-2</v>
      </c>
      <c r="E246" s="687">
        <v>0.26269999999999999</v>
      </c>
      <c r="F246" s="663"/>
      <c r="G246" s="663"/>
      <c r="H246" s="11"/>
      <c r="I246" s="11"/>
      <c r="J246" s="11"/>
      <c r="K246" s="11"/>
      <c r="L246" s="11"/>
      <c r="M246" s="11"/>
      <c r="N246" s="11"/>
      <c r="O246" s="11"/>
      <c r="P246" s="11"/>
      <c r="Q246" s="11"/>
      <c r="R246" s="11"/>
      <c r="S246" s="11"/>
      <c r="T246" s="11"/>
      <c r="U246" s="11"/>
      <c r="V246" s="11"/>
      <c r="W246" s="11"/>
      <c r="X246" s="11"/>
      <c r="Y246" s="11"/>
      <c r="Z246" s="11"/>
      <c r="AA246" s="11"/>
    </row>
    <row r="247" spans="1:27" x14ac:dyDescent="0.25">
      <c r="A247" s="1537">
        <v>33359</v>
      </c>
      <c r="B247" s="687">
        <v>3.5865999999999998</v>
      </c>
      <c r="C247" s="687">
        <v>3.3268</v>
      </c>
      <c r="D247" s="1035">
        <f t="shared" si="8"/>
        <v>-1.4310687090752894E-2</v>
      </c>
      <c r="E247" s="687">
        <v>0.25979999999999998</v>
      </c>
      <c r="F247" s="663"/>
      <c r="G247" s="663"/>
      <c r="H247" s="11"/>
      <c r="I247" s="11"/>
      <c r="J247" s="11"/>
      <c r="K247" s="11"/>
      <c r="L247" s="11"/>
      <c r="M247" s="11"/>
      <c r="N247" s="11"/>
      <c r="O247" s="11"/>
      <c r="P247" s="11"/>
      <c r="Q247" s="11"/>
      <c r="R247" s="11"/>
      <c r="S247" s="11"/>
      <c r="T247" s="11"/>
      <c r="U247" s="11"/>
      <c r="V247" s="11"/>
      <c r="W247" s="11"/>
      <c r="X247" s="11"/>
      <c r="Y247" s="11"/>
      <c r="Z247" s="11"/>
      <c r="AA247" s="11"/>
    </row>
    <row r="248" spans="1:27" x14ac:dyDescent="0.25">
      <c r="A248" s="1537">
        <v>33329</v>
      </c>
      <c r="B248" s="687">
        <v>3.5847000000000002</v>
      </c>
      <c r="C248" s="687">
        <v>3.3269000000000002</v>
      </c>
      <c r="D248" s="1035">
        <f t="shared" si="8"/>
        <v>-1.5622688404296259E-2</v>
      </c>
      <c r="E248" s="687">
        <v>0.25790000000000002</v>
      </c>
      <c r="F248" s="663"/>
      <c r="G248" s="663"/>
      <c r="H248" s="11"/>
      <c r="I248" s="11"/>
      <c r="J248" s="11"/>
      <c r="K248" s="11"/>
      <c r="L248" s="11"/>
      <c r="M248" s="11"/>
      <c r="N248" s="11"/>
      <c r="O248" s="11"/>
      <c r="P248" s="11"/>
      <c r="Q248" s="11"/>
      <c r="R248" s="11"/>
      <c r="S248" s="11"/>
      <c r="T248" s="11"/>
      <c r="U248" s="11"/>
      <c r="V248" s="11"/>
      <c r="W248" s="11"/>
      <c r="X248" s="11"/>
      <c r="Y248" s="11"/>
      <c r="Z248" s="11"/>
      <c r="AA248" s="11"/>
    </row>
    <row r="249" spans="1:27" x14ac:dyDescent="0.25">
      <c r="A249" s="1537">
        <v>33298</v>
      </c>
      <c r="B249" s="687">
        <v>3.5838000000000001</v>
      </c>
      <c r="C249" s="687">
        <v>3.3283</v>
      </c>
      <c r="D249" s="1035">
        <f t="shared" si="8"/>
        <v>-1.6779415674573861E-2</v>
      </c>
      <c r="E249" s="687">
        <v>0.25540000000000002</v>
      </c>
      <c r="F249" s="663"/>
      <c r="G249" s="663"/>
      <c r="H249" s="11"/>
      <c r="I249" s="11"/>
      <c r="J249" s="11"/>
      <c r="K249" s="11"/>
      <c r="L249" s="11"/>
      <c r="M249" s="11"/>
      <c r="N249" s="11"/>
      <c r="O249" s="11"/>
      <c r="P249" s="11"/>
      <c r="Q249" s="11"/>
      <c r="R249" s="11"/>
      <c r="S249" s="11"/>
      <c r="T249" s="11"/>
      <c r="U249" s="11"/>
      <c r="V249" s="11"/>
      <c r="W249" s="11"/>
      <c r="X249" s="11"/>
      <c r="Y249" s="11"/>
      <c r="Z249" s="11"/>
      <c r="AA249" s="11"/>
    </row>
    <row r="250" spans="1:27" x14ac:dyDescent="0.25">
      <c r="A250" s="1537">
        <v>33270</v>
      </c>
      <c r="B250" s="687">
        <v>3.5838999999999999</v>
      </c>
      <c r="C250" s="687">
        <v>3.3319000000000001</v>
      </c>
      <c r="D250" s="1035">
        <f t="shared" si="8"/>
        <v>-1.7225614252425969E-2</v>
      </c>
      <c r="E250" s="687">
        <v>0.252</v>
      </c>
      <c r="F250" s="663"/>
      <c r="G250" s="663"/>
      <c r="H250" s="11"/>
      <c r="I250" s="11"/>
      <c r="J250" s="11"/>
      <c r="K250" s="11"/>
      <c r="L250" s="11"/>
      <c r="M250" s="11"/>
      <c r="N250" s="11"/>
      <c r="O250" s="11"/>
      <c r="P250" s="11"/>
      <c r="Q250" s="11"/>
      <c r="R250" s="11"/>
      <c r="S250" s="11"/>
      <c r="T250" s="11"/>
      <c r="U250" s="11"/>
      <c r="V250" s="11"/>
      <c r="W250" s="11"/>
      <c r="X250" s="11"/>
      <c r="Y250" s="11"/>
      <c r="Z250" s="11"/>
      <c r="AA250" s="11"/>
    </row>
    <row r="251" spans="1:27" x14ac:dyDescent="0.25">
      <c r="A251" s="1537">
        <v>33239</v>
      </c>
      <c r="B251" s="687">
        <v>3.5851000000000002</v>
      </c>
      <c r="C251" s="687">
        <v>3.3368000000000002</v>
      </c>
      <c r="D251" s="1035">
        <f t="shared" si="8"/>
        <v>-1.7403339320945843E-2</v>
      </c>
      <c r="E251" s="687">
        <v>0.24829999999999999</v>
      </c>
      <c r="F251" s="663"/>
      <c r="G251" s="663"/>
      <c r="H251" s="11"/>
      <c r="I251" s="11"/>
      <c r="J251" s="11"/>
      <c r="K251" s="11"/>
      <c r="L251" s="11"/>
      <c r="M251" s="11"/>
      <c r="N251" s="11"/>
      <c r="O251" s="11"/>
      <c r="P251" s="11"/>
      <c r="Q251" s="11"/>
      <c r="R251" s="11"/>
      <c r="S251" s="11"/>
      <c r="T251" s="11"/>
      <c r="U251" s="11"/>
      <c r="V251" s="11"/>
      <c r="W251" s="11"/>
      <c r="X251" s="11"/>
      <c r="Y251" s="11"/>
      <c r="Z251" s="11"/>
      <c r="AA251" s="11"/>
    </row>
    <row r="252" spans="1:27" x14ac:dyDescent="0.25">
      <c r="A252" s="1537">
        <v>33208</v>
      </c>
      <c r="B252" s="687">
        <v>3.5878999999999999</v>
      </c>
      <c r="C252" s="687">
        <v>3.3428</v>
      </c>
      <c r="D252" s="1035">
        <f t="shared" si="8"/>
        <v>-1.7459291046969638E-2</v>
      </c>
      <c r="E252" s="687">
        <v>0.2452</v>
      </c>
      <c r="F252" s="663"/>
      <c r="G252" s="663"/>
      <c r="H252" s="11"/>
      <c r="I252" s="11"/>
      <c r="J252" s="11"/>
      <c r="K252" s="11"/>
      <c r="L252" s="11"/>
      <c r="M252" s="11"/>
      <c r="N252" s="11"/>
      <c r="O252" s="11"/>
      <c r="P252" s="11"/>
      <c r="Q252" s="11"/>
      <c r="R252" s="11"/>
      <c r="S252" s="11"/>
      <c r="T252" s="11"/>
      <c r="U252" s="11"/>
      <c r="V252" s="11"/>
      <c r="W252" s="11"/>
      <c r="X252" s="11"/>
      <c r="Y252" s="11"/>
      <c r="Z252" s="11"/>
      <c r="AA252" s="11"/>
    </row>
    <row r="253" spans="1:27" x14ac:dyDescent="0.25">
      <c r="A253" s="1537">
        <v>33178</v>
      </c>
      <c r="B253" s="687">
        <v>3.5920999999999998</v>
      </c>
      <c r="C253" s="687">
        <v>3.3489</v>
      </c>
      <c r="D253" s="1035">
        <f t="shared" si="8"/>
        <v>-1.786028506070747E-2</v>
      </c>
      <c r="E253" s="687">
        <v>0.2432</v>
      </c>
      <c r="F253" s="663"/>
      <c r="G253" s="663"/>
      <c r="H253" s="11"/>
      <c r="I253" s="11"/>
      <c r="J253" s="11"/>
      <c r="K253" s="11"/>
      <c r="L253" s="11"/>
      <c r="M253" s="11"/>
      <c r="N253" s="11"/>
      <c r="O253" s="11"/>
      <c r="P253" s="11"/>
      <c r="Q253" s="11"/>
      <c r="R253" s="11"/>
      <c r="S253" s="11"/>
      <c r="T253" s="11"/>
      <c r="U253" s="11"/>
      <c r="V253" s="11"/>
      <c r="W253" s="11"/>
      <c r="X253" s="11"/>
      <c r="Y253" s="11"/>
      <c r="Z253" s="11"/>
      <c r="AA253" s="11"/>
    </row>
    <row r="254" spans="1:27" x14ac:dyDescent="0.25">
      <c r="A254" s="1537">
        <v>33147</v>
      </c>
      <c r="B254" s="687">
        <v>3.5969000000000002</v>
      </c>
      <c r="C254" s="687">
        <v>3.3551000000000002</v>
      </c>
      <c r="D254" s="1035">
        <f t="shared" si="8"/>
        <v>-1.8546145970454786E-2</v>
      </c>
      <c r="E254" s="687">
        <v>0.24179999999999999</v>
      </c>
      <c r="F254" s="663"/>
      <c r="G254" s="663"/>
      <c r="H254" s="11"/>
      <c r="I254" s="11"/>
      <c r="J254" s="11"/>
      <c r="K254" s="11"/>
      <c r="L254" s="11"/>
      <c r="M254" s="11"/>
      <c r="N254" s="11"/>
      <c r="O254" s="11"/>
      <c r="P254" s="11"/>
      <c r="Q254" s="11"/>
      <c r="R254" s="11"/>
      <c r="S254" s="11"/>
      <c r="T254" s="11"/>
      <c r="U254" s="11"/>
      <c r="V254" s="11"/>
      <c r="W254" s="11"/>
      <c r="X254" s="11"/>
      <c r="Y254" s="11"/>
      <c r="Z254" s="11"/>
      <c r="AA254" s="11"/>
    </row>
    <row r="255" spans="1:27" x14ac:dyDescent="0.25">
      <c r="A255" s="1537">
        <v>33117</v>
      </c>
      <c r="B255" s="687">
        <v>3.6015000000000001</v>
      </c>
      <c r="C255" s="687">
        <v>3.3605999999999998</v>
      </c>
      <c r="D255" s="1035">
        <f t="shared" si="8"/>
        <v>-1.9461383596417026E-2</v>
      </c>
      <c r="E255" s="687">
        <v>0.2409</v>
      </c>
      <c r="F255" s="663"/>
      <c r="G255" s="663"/>
      <c r="H255" s="11"/>
      <c r="I255" s="11"/>
      <c r="J255" s="11"/>
      <c r="K255" s="11"/>
      <c r="L255" s="11"/>
      <c r="M255" s="11"/>
      <c r="N255" s="11"/>
      <c r="O255" s="11"/>
      <c r="P255" s="11"/>
      <c r="Q255" s="11"/>
      <c r="R255" s="11"/>
      <c r="S255" s="11"/>
      <c r="T255" s="11"/>
      <c r="U255" s="11"/>
      <c r="V255" s="11"/>
      <c r="W255" s="11"/>
      <c r="X255" s="11"/>
      <c r="Y255" s="11"/>
      <c r="Z255" s="11"/>
      <c r="AA255" s="11"/>
    </row>
    <row r="256" spans="1:27" x14ac:dyDescent="0.25">
      <c r="A256" s="1537">
        <v>33086</v>
      </c>
      <c r="B256" s="687">
        <v>3.6042999999999998</v>
      </c>
      <c r="C256" s="687">
        <v>3.3647</v>
      </c>
      <c r="D256" s="1035">
        <f t="shared" si="8"/>
        <v>-2.0351714901298612E-2</v>
      </c>
      <c r="E256" s="687">
        <v>0.23960000000000001</v>
      </c>
      <c r="F256" s="663"/>
      <c r="G256" s="663"/>
      <c r="H256" s="11"/>
      <c r="I256" s="11"/>
      <c r="J256" s="11"/>
      <c r="K256" s="11"/>
      <c r="L256" s="11"/>
      <c r="M256" s="11"/>
      <c r="N256" s="11"/>
      <c r="O256" s="11"/>
      <c r="P256" s="11"/>
      <c r="Q256" s="11"/>
      <c r="R256" s="11"/>
      <c r="S256" s="11"/>
      <c r="T256" s="11"/>
      <c r="U256" s="11"/>
      <c r="V256" s="11"/>
      <c r="W256" s="11"/>
      <c r="X256" s="11"/>
      <c r="Y256" s="11"/>
      <c r="Z256" s="11"/>
      <c r="AA256" s="11"/>
    </row>
    <row r="257" spans="1:27" x14ac:dyDescent="0.25">
      <c r="A257" s="1537">
        <v>33055</v>
      </c>
      <c r="B257" s="687">
        <v>3.6053000000000002</v>
      </c>
      <c r="C257" s="687">
        <v>3.3679000000000001</v>
      </c>
      <c r="D257" s="1035">
        <f t="shared" si="8"/>
        <v>-2.0617657322321681E-2</v>
      </c>
      <c r="E257" s="687">
        <v>0.2374</v>
      </c>
      <c r="F257" s="663"/>
      <c r="G257" s="663"/>
      <c r="H257" s="11"/>
      <c r="I257" s="11"/>
      <c r="J257" s="11"/>
      <c r="K257" s="11"/>
      <c r="L257" s="11"/>
      <c r="M257" s="11"/>
      <c r="N257" s="11"/>
      <c r="O257" s="11"/>
      <c r="P257" s="11"/>
      <c r="Q257" s="11"/>
      <c r="R257" s="11"/>
      <c r="S257" s="11"/>
      <c r="T257" s="11"/>
      <c r="U257" s="11"/>
      <c r="V257" s="11"/>
      <c r="W257" s="11"/>
      <c r="X257" s="11"/>
      <c r="Y257" s="11"/>
      <c r="Z257" s="11"/>
      <c r="AA257" s="11"/>
    </row>
    <row r="258" spans="1:27" x14ac:dyDescent="0.25">
      <c r="A258" s="1537">
        <v>33025</v>
      </c>
      <c r="B258" s="687">
        <v>3.6057999999999999</v>
      </c>
      <c r="C258" s="687">
        <v>3.3711000000000002</v>
      </c>
      <c r="D258" s="1035">
        <f t="shared" si="8"/>
        <v>-1.9772614928324161E-2</v>
      </c>
      <c r="E258" s="687">
        <v>0.23469999999999999</v>
      </c>
      <c r="F258" s="663"/>
      <c r="G258" s="663"/>
      <c r="H258" s="11"/>
      <c r="I258" s="11"/>
      <c r="J258" s="11"/>
      <c r="K258" s="11"/>
      <c r="L258" s="11"/>
      <c r="M258" s="11"/>
      <c r="N258" s="11"/>
      <c r="O258" s="11"/>
      <c r="P258" s="11"/>
      <c r="Q258" s="11"/>
      <c r="R258" s="11"/>
      <c r="S258" s="11"/>
      <c r="T258" s="11"/>
      <c r="U258" s="11"/>
      <c r="V258" s="11"/>
      <c r="W258" s="11"/>
      <c r="X258" s="11"/>
      <c r="Y258" s="11"/>
      <c r="Z258" s="11"/>
      <c r="AA258" s="11"/>
    </row>
    <row r="259" spans="1:27" x14ac:dyDescent="0.25">
      <c r="A259" s="1537">
        <v>32994</v>
      </c>
      <c r="B259" s="687">
        <v>3.6076999999999999</v>
      </c>
      <c r="C259" s="687">
        <v>3.3751000000000002</v>
      </c>
      <c r="D259" s="1035">
        <f t="shared" si="8"/>
        <v>-1.7409531572971426E-2</v>
      </c>
      <c r="E259" s="687">
        <v>0.23269999999999999</v>
      </c>
      <c r="F259" s="663"/>
      <c r="G259" s="663"/>
      <c r="H259" s="11"/>
      <c r="I259" s="11"/>
      <c r="J259" s="11"/>
      <c r="K259" s="11"/>
      <c r="L259" s="11"/>
      <c r="M259" s="11"/>
      <c r="N259" s="11"/>
      <c r="O259" s="11"/>
      <c r="P259" s="11"/>
      <c r="Q259" s="11"/>
      <c r="R259" s="11"/>
      <c r="S259" s="11"/>
      <c r="T259" s="11"/>
      <c r="U259" s="11"/>
      <c r="V259" s="11"/>
      <c r="W259" s="11"/>
      <c r="X259" s="11"/>
      <c r="Y259" s="11"/>
      <c r="Z259" s="11"/>
      <c r="AA259" s="11"/>
    </row>
    <row r="260" spans="1:27" x14ac:dyDescent="0.25">
      <c r="A260" s="1537">
        <v>32964</v>
      </c>
      <c r="B260" s="687">
        <v>3.6126</v>
      </c>
      <c r="C260" s="687">
        <v>3.3797000000000001</v>
      </c>
      <c r="D260" s="1035">
        <f t="shared" si="8"/>
        <v>-1.368703671277649E-2</v>
      </c>
      <c r="E260" s="687">
        <v>0.2329</v>
      </c>
      <c r="F260" s="663"/>
      <c r="G260" s="663"/>
      <c r="H260" s="11"/>
      <c r="I260" s="11"/>
      <c r="J260" s="11"/>
      <c r="K260" s="11"/>
      <c r="L260" s="11"/>
      <c r="M260" s="11"/>
      <c r="N260" s="11"/>
      <c r="O260" s="11"/>
      <c r="P260" s="11"/>
      <c r="Q260" s="11"/>
      <c r="R260" s="11"/>
      <c r="S260" s="11"/>
      <c r="T260" s="11"/>
      <c r="U260" s="11"/>
      <c r="V260" s="11"/>
      <c r="W260" s="11"/>
      <c r="X260" s="11"/>
      <c r="Y260" s="11"/>
      <c r="Z260" s="11"/>
      <c r="AA260" s="11"/>
    </row>
    <row r="261" spans="1:27" x14ac:dyDescent="0.25">
      <c r="A261" s="1537">
        <v>32933</v>
      </c>
      <c r="B261" s="687">
        <v>3.6214</v>
      </c>
      <c r="C261" s="687">
        <v>3.3851</v>
      </c>
      <c r="D261" s="1035">
        <f t="shared" si="8"/>
        <v>-8.6393721080068042E-3</v>
      </c>
      <c r="E261" s="687">
        <v>0.23630000000000001</v>
      </c>
      <c r="F261" s="663"/>
      <c r="G261" s="663"/>
      <c r="H261" s="11"/>
      <c r="I261" s="11"/>
      <c r="J261" s="11"/>
      <c r="K261" s="11"/>
      <c r="L261" s="11"/>
      <c r="M261" s="11"/>
      <c r="N261" s="11"/>
      <c r="O261" s="11"/>
      <c r="P261" s="11"/>
      <c r="Q261" s="11"/>
      <c r="R261" s="11"/>
      <c r="S261" s="11"/>
      <c r="T261" s="11"/>
      <c r="U261" s="11"/>
      <c r="V261" s="11"/>
      <c r="W261" s="11"/>
      <c r="X261" s="11"/>
      <c r="Y261" s="11"/>
      <c r="Z261" s="11"/>
      <c r="AA261" s="11"/>
    </row>
    <row r="262" spans="1:27" x14ac:dyDescent="0.25">
      <c r="A262" s="1537">
        <v>32905</v>
      </c>
      <c r="B262" s="687">
        <v>3.6324000000000001</v>
      </c>
      <c r="C262" s="687">
        <v>3.3902999999999999</v>
      </c>
      <c r="D262" s="1035">
        <f t="shared" si="8"/>
        <v>-2.6476039184538669E-3</v>
      </c>
      <c r="E262" s="687">
        <v>0.24210000000000001</v>
      </c>
      <c r="F262" s="663"/>
      <c r="G262" s="663"/>
      <c r="H262" s="11"/>
      <c r="I262" s="11"/>
      <c r="J262" s="11"/>
      <c r="K262" s="11"/>
      <c r="L262" s="11"/>
      <c r="M262" s="11"/>
      <c r="N262" s="11"/>
      <c r="O262" s="11"/>
      <c r="P262" s="11"/>
      <c r="Q262" s="11"/>
      <c r="R262" s="11"/>
      <c r="S262" s="11"/>
      <c r="T262" s="11"/>
      <c r="U262" s="11"/>
      <c r="V262" s="11"/>
      <c r="W262" s="11"/>
      <c r="X262" s="11"/>
      <c r="Y262" s="11"/>
      <c r="Z262" s="11"/>
      <c r="AA262" s="11"/>
    </row>
    <row r="263" spans="1:27" x14ac:dyDescent="0.25">
      <c r="A263" s="1537">
        <v>32874</v>
      </c>
      <c r="B263" s="687">
        <v>3.6436000000000002</v>
      </c>
      <c r="C263" s="687">
        <v>3.3959000000000001</v>
      </c>
      <c r="D263" s="1035">
        <f t="shared" si="8"/>
        <v>4.228767447362225E-3</v>
      </c>
      <c r="E263" s="687">
        <v>0.2477</v>
      </c>
      <c r="F263" s="663"/>
      <c r="G263" s="663"/>
      <c r="H263" s="11"/>
      <c r="I263" s="11"/>
      <c r="J263" s="11"/>
      <c r="K263" s="11"/>
      <c r="L263" s="11"/>
      <c r="M263" s="11"/>
      <c r="N263" s="11"/>
      <c r="O263" s="11"/>
      <c r="P263" s="11"/>
      <c r="Q263" s="11"/>
      <c r="R263" s="11"/>
      <c r="S263" s="11"/>
      <c r="T263" s="11"/>
      <c r="U263" s="11"/>
      <c r="V263" s="11"/>
      <c r="W263" s="11"/>
      <c r="X263" s="11"/>
      <c r="Y263" s="11"/>
      <c r="Z263" s="11"/>
      <c r="AA263" s="11"/>
    </row>
    <row r="264" spans="1:27" x14ac:dyDescent="0.25">
      <c r="A264" s="1538">
        <v>32843</v>
      </c>
      <c r="B264" s="687">
        <v>3.653</v>
      </c>
      <c r="C264" s="687">
        <v>3.4022000000000001</v>
      </c>
      <c r="D264" s="1035">
        <f t="shared" si="8"/>
        <v>1.1656259292298632E-2</v>
      </c>
      <c r="E264" s="687">
        <v>0.25080000000000002</v>
      </c>
      <c r="F264" s="663"/>
      <c r="G264" s="663"/>
      <c r="H264" s="11"/>
      <c r="I264" s="11"/>
      <c r="J264" s="11"/>
      <c r="K264" s="11"/>
      <c r="L264" s="11"/>
      <c r="M264" s="11"/>
      <c r="N264" s="11"/>
      <c r="O264" s="11"/>
      <c r="P264" s="11"/>
      <c r="Q264" s="11"/>
      <c r="R264" s="11"/>
      <c r="S264" s="11"/>
      <c r="T264" s="11"/>
      <c r="U264" s="11"/>
      <c r="V264" s="11"/>
      <c r="W264" s="11"/>
      <c r="X264" s="11"/>
      <c r="Y264" s="11"/>
      <c r="Z264" s="11"/>
      <c r="AA264" s="11"/>
    </row>
    <row r="265" spans="1:27" x14ac:dyDescent="0.25">
      <c r="A265" s="1538">
        <v>32813</v>
      </c>
      <c r="B265" s="687">
        <v>3.6598000000000002</v>
      </c>
      <c r="C265" s="687">
        <v>3.4098000000000002</v>
      </c>
      <c r="D265" s="1035">
        <f t="shared" ref="D265:D328" si="9">C265/C277-1</f>
        <v>1.9098000537971949E-2</v>
      </c>
      <c r="E265" s="687">
        <v>0.25</v>
      </c>
      <c r="F265" s="663"/>
      <c r="G265" s="663"/>
      <c r="H265" s="11"/>
      <c r="I265" s="11"/>
      <c r="J265" s="11"/>
      <c r="K265" s="11"/>
      <c r="L265" s="11"/>
      <c r="M265" s="11"/>
      <c r="N265" s="11"/>
      <c r="O265" s="11"/>
      <c r="P265" s="11"/>
      <c r="Q265" s="11"/>
      <c r="R265" s="11"/>
      <c r="S265" s="11"/>
      <c r="T265" s="11"/>
      <c r="U265" s="11"/>
      <c r="V265" s="11"/>
      <c r="W265" s="11"/>
      <c r="X265" s="11"/>
      <c r="Y265" s="11"/>
      <c r="Z265" s="11"/>
      <c r="AA265" s="11"/>
    </row>
    <row r="266" spans="1:27" x14ac:dyDescent="0.25">
      <c r="A266" s="1538">
        <v>32782</v>
      </c>
      <c r="B266" s="687">
        <v>3.6640000000000001</v>
      </c>
      <c r="C266" s="687">
        <v>3.4184999999999999</v>
      </c>
      <c r="D266" s="1035">
        <f t="shared" si="9"/>
        <v>2.611436289959479E-2</v>
      </c>
      <c r="E266" s="687">
        <v>0.2455</v>
      </c>
      <c r="F266" s="663"/>
      <c r="G266" s="663"/>
      <c r="H266" s="11"/>
      <c r="I266" s="11"/>
      <c r="J266" s="11"/>
      <c r="K266" s="11"/>
      <c r="L266" s="11"/>
      <c r="M266" s="11"/>
      <c r="N266" s="11"/>
      <c r="O266" s="11"/>
      <c r="P266" s="11"/>
      <c r="Q266" s="11"/>
      <c r="R266" s="11"/>
      <c r="S266" s="11"/>
      <c r="T266" s="11"/>
      <c r="U266" s="11"/>
      <c r="V266" s="11"/>
      <c r="W266" s="11"/>
      <c r="X266" s="11"/>
      <c r="Y266" s="11"/>
      <c r="Z266" s="11"/>
      <c r="AA266" s="11"/>
    </row>
    <row r="267" spans="1:27" x14ac:dyDescent="0.25">
      <c r="A267" s="1538">
        <v>32752</v>
      </c>
      <c r="B267" s="687">
        <v>3.6657999999999999</v>
      </c>
      <c r="C267" s="687">
        <v>3.4272999999999998</v>
      </c>
      <c r="D267" s="1035">
        <f t="shared" si="9"/>
        <v>3.2505874555642578E-2</v>
      </c>
      <c r="E267" s="687">
        <v>0.23849999999999999</v>
      </c>
      <c r="F267" s="663"/>
      <c r="G267" s="663"/>
      <c r="H267" s="11"/>
      <c r="I267" s="11"/>
      <c r="J267" s="11"/>
      <c r="K267" s="11"/>
      <c r="L267" s="11"/>
      <c r="M267" s="11"/>
      <c r="N267" s="11"/>
      <c r="O267" s="11"/>
      <c r="P267" s="11"/>
      <c r="Q267" s="11"/>
      <c r="R267" s="11"/>
      <c r="S267" s="11"/>
      <c r="T267" s="11"/>
      <c r="U267" s="11"/>
      <c r="V267" s="11"/>
      <c r="W267" s="11"/>
      <c r="X267" s="11"/>
      <c r="Y267" s="11"/>
      <c r="Z267" s="11"/>
      <c r="AA267" s="11"/>
    </row>
    <row r="268" spans="1:27" x14ac:dyDescent="0.25">
      <c r="A268" s="1538">
        <v>32721</v>
      </c>
      <c r="B268" s="687">
        <v>3.6656</v>
      </c>
      <c r="C268" s="687">
        <v>3.4346000000000001</v>
      </c>
      <c r="D268" s="1035">
        <f t="shared" si="9"/>
        <v>3.8270858524788398E-2</v>
      </c>
      <c r="E268" s="687">
        <v>0.23089999999999999</v>
      </c>
      <c r="F268" s="663"/>
      <c r="G268" s="663"/>
      <c r="H268" s="11"/>
      <c r="I268" s="11"/>
      <c r="J268" s="11"/>
      <c r="K268" s="11"/>
      <c r="L268" s="11"/>
      <c r="M268" s="11"/>
      <c r="N268" s="11"/>
      <c r="O268" s="11"/>
      <c r="P268" s="11"/>
      <c r="Q268" s="11"/>
      <c r="R268" s="11"/>
      <c r="S268" s="11"/>
      <c r="T268" s="11"/>
      <c r="U268" s="11"/>
      <c r="V268" s="11"/>
      <c r="W268" s="11"/>
      <c r="X268" s="11"/>
      <c r="Y268" s="11"/>
      <c r="Z268" s="11"/>
      <c r="AA268" s="11"/>
    </row>
    <row r="269" spans="1:27" x14ac:dyDescent="0.25">
      <c r="A269" s="1538">
        <v>32690</v>
      </c>
      <c r="B269" s="687">
        <v>3.6638000000000002</v>
      </c>
      <c r="C269" s="687">
        <v>3.4388000000000001</v>
      </c>
      <c r="D269" s="1035">
        <f t="shared" si="9"/>
        <v>4.3388555130772666E-2</v>
      </c>
      <c r="E269" s="687">
        <v>0.22500000000000001</v>
      </c>
      <c r="F269" s="663"/>
      <c r="G269" s="663"/>
      <c r="H269" s="11"/>
      <c r="I269" s="11"/>
      <c r="J269" s="11"/>
      <c r="K269" s="11"/>
      <c r="L269" s="11"/>
      <c r="M269" s="11"/>
      <c r="N269" s="11"/>
      <c r="O269" s="11"/>
      <c r="P269" s="11"/>
      <c r="Q269" s="11"/>
      <c r="R269" s="11"/>
      <c r="S269" s="11"/>
      <c r="T269" s="11"/>
      <c r="U269" s="11"/>
      <c r="V269" s="11"/>
      <c r="W269" s="11"/>
      <c r="X269" s="11"/>
      <c r="Y269" s="11"/>
      <c r="Z269" s="11"/>
      <c r="AA269" s="11"/>
    </row>
    <row r="270" spans="1:27" x14ac:dyDescent="0.25">
      <c r="A270" s="1538">
        <v>32660</v>
      </c>
      <c r="B270" s="687">
        <v>3.6612</v>
      </c>
      <c r="C270" s="687">
        <v>3.4390999999999998</v>
      </c>
      <c r="D270" s="1035">
        <f t="shared" si="9"/>
        <v>4.7611794809309105E-2</v>
      </c>
      <c r="E270" s="687">
        <v>0.22209999999999999</v>
      </c>
      <c r="F270" s="663"/>
      <c r="G270" s="663"/>
      <c r="H270" s="11"/>
      <c r="I270" s="11"/>
      <c r="J270" s="11"/>
      <c r="K270" s="11"/>
      <c r="L270" s="11"/>
      <c r="M270" s="11"/>
      <c r="N270" s="11"/>
      <c r="O270" s="11"/>
      <c r="P270" s="11"/>
      <c r="Q270" s="11"/>
      <c r="R270" s="11"/>
      <c r="S270" s="11"/>
      <c r="T270" s="11"/>
      <c r="U270" s="11"/>
      <c r="V270" s="11"/>
      <c r="W270" s="11"/>
      <c r="X270" s="11"/>
      <c r="Y270" s="11"/>
      <c r="Z270" s="11"/>
      <c r="AA270" s="11"/>
    </row>
    <row r="271" spans="1:27" x14ac:dyDescent="0.25">
      <c r="A271" s="1538">
        <v>32629</v>
      </c>
      <c r="B271" s="687">
        <v>3.6573000000000002</v>
      </c>
      <c r="C271" s="687">
        <v>3.4348999999999998</v>
      </c>
      <c r="D271" s="1035">
        <f t="shared" si="9"/>
        <v>5.0171211935917892E-2</v>
      </c>
      <c r="E271" s="687">
        <v>0.22239999999999999</v>
      </c>
      <c r="F271" s="663"/>
      <c r="G271" s="663"/>
      <c r="H271" s="11"/>
      <c r="I271" s="11"/>
      <c r="J271" s="11"/>
      <c r="K271" s="11"/>
      <c r="L271" s="11"/>
      <c r="M271" s="11"/>
      <c r="N271" s="11"/>
      <c r="O271" s="11"/>
      <c r="P271" s="11"/>
      <c r="Q271" s="11"/>
      <c r="R271" s="11"/>
      <c r="S271" s="11"/>
      <c r="T271" s="11"/>
      <c r="U271" s="11"/>
      <c r="V271" s="11"/>
      <c r="W271" s="11"/>
      <c r="X271" s="11"/>
      <c r="Y271" s="11"/>
      <c r="Z271" s="11"/>
      <c r="AA271" s="11"/>
    </row>
    <row r="272" spans="1:27" x14ac:dyDescent="0.25">
      <c r="A272" s="1538">
        <v>32599</v>
      </c>
      <c r="B272" s="687">
        <v>3.6520000000000001</v>
      </c>
      <c r="C272" s="687">
        <v>3.4266000000000001</v>
      </c>
      <c r="D272" s="1035">
        <f t="shared" si="9"/>
        <v>5.0524250413881866E-2</v>
      </c>
      <c r="E272" s="687">
        <v>0.22539999999999999</v>
      </c>
      <c r="F272" s="663"/>
      <c r="G272" s="663"/>
      <c r="H272" s="11"/>
      <c r="I272" s="11"/>
      <c r="J272" s="11"/>
      <c r="K272" s="11"/>
      <c r="L272" s="11"/>
      <c r="M272" s="11"/>
      <c r="N272" s="11"/>
      <c r="O272" s="11"/>
      <c r="P272" s="11"/>
      <c r="Q272" s="11"/>
      <c r="R272" s="11"/>
      <c r="S272" s="11"/>
      <c r="T272" s="11"/>
      <c r="U272" s="11"/>
      <c r="V272" s="11"/>
      <c r="W272" s="11"/>
      <c r="X272" s="11"/>
      <c r="Y272" s="11"/>
      <c r="Z272" s="11"/>
      <c r="AA272" s="11"/>
    </row>
    <row r="273" spans="1:27" x14ac:dyDescent="0.25">
      <c r="A273" s="1538">
        <v>32568</v>
      </c>
      <c r="B273" s="687">
        <v>3.6452</v>
      </c>
      <c r="C273" s="687">
        <v>3.4146000000000001</v>
      </c>
      <c r="D273" s="1035">
        <f t="shared" si="9"/>
        <v>4.8420276950474461E-2</v>
      </c>
      <c r="E273" s="687">
        <v>0.23050000000000001</v>
      </c>
      <c r="F273" s="663"/>
      <c r="G273" s="663"/>
      <c r="H273" s="11"/>
      <c r="I273" s="11"/>
      <c r="J273" s="11"/>
      <c r="K273" s="11"/>
      <c r="L273" s="11"/>
      <c r="M273" s="11"/>
      <c r="N273" s="11"/>
      <c r="O273" s="11"/>
      <c r="P273" s="11"/>
      <c r="Q273" s="11"/>
      <c r="R273" s="11"/>
      <c r="S273" s="11"/>
      <c r="T273" s="11"/>
      <c r="U273" s="11"/>
      <c r="V273" s="11"/>
      <c r="W273" s="11"/>
      <c r="X273" s="11"/>
      <c r="Y273" s="11"/>
      <c r="Z273" s="11"/>
      <c r="AA273" s="11"/>
    </row>
    <row r="274" spans="1:27" x14ac:dyDescent="0.25">
      <c r="A274" s="1538">
        <v>32540</v>
      </c>
      <c r="B274" s="687">
        <v>3.6358000000000001</v>
      </c>
      <c r="C274" s="687">
        <v>3.3993000000000002</v>
      </c>
      <c r="D274" s="1035">
        <f t="shared" si="9"/>
        <v>4.4139329155916007E-2</v>
      </c>
      <c r="E274" s="687">
        <v>0.23649999999999999</v>
      </c>
      <c r="F274" s="663"/>
      <c r="G274" s="663"/>
      <c r="H274" s="11"/>
      <c r="I274" s="11"/>
      <c r="J274" s="11"/>
      <c r="K274" s="11"/>
      <c r="L274" s="11"/>
      <c r="M274" s="11"/>
      <c r="N274" s="11"/>
      <c r="O274" s="11"/>
      <c r="P274" s="11"/>
      <c r="Q274" s="11"/>
      <c r="R274" s="11"/>
      <c r="S274" s="11"/>
      <c r="T274" s="11"/>
      <c r="U274" s="11"/>
      <c r="V274" s="11"/>
      <c r="W274" s="11"/>
      <c r="X274" s="11"/>
      <c r="Y274" s="11"/>
      <c r="Z274" s="11"/>
      <c r="AA274" s="11"/>
    </row>
    <row r="275" spans="1:27" x14ac:dyDescent="0.25">
      <c r="A275" s="1538">
        <v>32509</v>
      </c>
      <c r="B275" s="687">
        <v>3.6240999999999999</v>
      </c>
      <c r="C275" s="687">
        <v>3.3816000000000002</v>
      </c>
      <c r="D275" s="1035">
        <f t="shared" si="9"/>
        <v>3.8479255596843176E-2</v>
      </c>
      <c r="E275" s="687">
        <v>0.24249999999999999</v>
      </c>
      <c r="F275" s="663"/>
      <c r="G275" s="663"/>
      <c r="H275" s="11"/>
      <c r="I275" s="11"/>
      <c r="J275" s="11"/>
      <c r="K275" s="11"/>
      <c r="L275" s="11"/>
      <c r="M275" s="11"/>
      <c r="N275" s="11"/>
      <c r="O275" s="11"/>
      <c r="P275" s="11"/>
      <c r="Q275" s="11"/>
      <c r="R275" s="11"/>
      <c r="S275" s="11"/>
      <c r="T275" s="11"/>
      <c r="U275" s="11"/>
      <c r="V275" s="11"/>
      <c r="W275" s="11"/>
      <c r="X275" s="11"/>
      <c r="Y275" s="11"/>
      <c r="Z275" s="11"/>
      <c r="AA275" s="11"/>
    </row>
    <row r="276" spans="1:27" x14ac:dyDescent="0.25">
      <c r="A276" s="1538">
        <v>32478</v>
      </c>
      <c r="B276" s="687">
        <v>3.6105999999999998</v>
      </c>
      <c r="C276" s="687">
        <v>3.363</v>
      </c>
      <c r="D276" s="1035">
        <f t="shared" si="9"/>
        <v>3.2323418362648626E-2</v>
      </c>
      <c r="E276" s="687">
        <v>0.24759999999999999</v>
      </c>
      <c r="F276" s="663"/>
      <c r="G276" s="663"/>
      <c r="H276" s="11"/>
      <c r="I276" s="11"/>
      <c r="J276" s="11"/>
      <c r="K276" s="11"/>
      <c r="L276" s="11"/>
      <c r="M276" s="11"/>
      <c r="N276" s="11"/>
      <c r="O276" s="11"/>
      <c r="P276" s="11"/>
      <c r="Q276" s="11"/>
      <c r="R276" s="11"/>
      <c r="S276" s="11"/>
      <c r="T276" s="11"/>
      <c r="U276" s="11"/>
      <c r="V276" s="11"/>
      <c r="W276" s="11"/>
      <c r="X276" s="11"/>
      <c r="Y276" s="11"/>
      <c r="Z276" s="11"/>
      <c r="AA276" s="11"/>
    </row>
    <row r="277" spans="1:27" x14ac:dyDescent="0.25">
      <c r="A277" s="1538">
        <v>32448</v>
      </c>
      <c r="B277" s="687">
        <v>3.5966</v>
      </c>
      <c r="C277" s="687">
        <v>3.3458999999999999</v>
      </c>
      <c r="D277" s="1035">
        <f t="shared" si="9"/>
        <v>2.6664621049401704E-2</v>
      </c>
      <c r="E277" s="687">
        <v>0.25069999999999998</v>
      </c>
      <c r="F277" s="663"/>
      <c r="G277" s="663"/>
      <c r="H277" s="11"/>
      <c r="I277" s="11"/>
      <c r="J277" s="11"/>
      <c r="K277" s="11"/>
      <c r="L277" s="11"/>
      <c r="M277" s="11"/>
      <c r="N277" s="11"/>
      <c r="O277" s="11"/>
      <c r="P277" s="11"/>
      <c r="Q277" s="11"/>
      <c r="R277" s="11"/>
      <c r="S277" s="11"/>
      <c r="T277" s="11"/>
      <c r="U277" s="11"/>
      <c r="V277" s="11"/>
      <c r="W277" s="11"/>
      <c r="X277" s="11"/>
      <c r="Y277" s="11"/>
      <c r="Z277" s="11"/>
      <c r="AA277" s="11"/>
    </row>
    <row r="278" spans="1:27" x14ac:dyDescent="0.25">
      <c r="A278" s="1538">
        <v>32417</v>
      </c>
      <c r="B278" s="687">
        <v>3.5827</v>
      </c>
      <c r="C278" s="687">
        <v>3.3315000000000001</v>
      </c>
      <c r="D278" s="1035">
        <f t="shared" si="9"/>
        <v>2.2026566861981234E-2</v>
      </c>
      <c r="E278" s="687">
        <v>0.25119999999999998</v>
      </c>
      <c r="F278" s="663"/>
      <c r="G278" s="663"/>
      <c r="H278" s="11"/>
      <c r="I278" s="11"/>
      <c r="J278" s="11"/>
      <c r="K278" s="11"/>
      <c r="L278" s="11"/>
      <c r="M278" s="11"/>
      <c r="N278" s="11"/>
      <c r="O278" s="11"/>
      <c r="P278" s="11"/>
      <c r="Q278" s="11"/>
      <c r="R278" s="11"/>
      <c r="S278" s="11"/>
      <c r="T278" s="11"/>
      <c r="U278" s="11"/>
      <c r="V278" s="11"/>
      <c r="W278" s="11"/>
      <c r="X278" s="11"/>
      <c r="Y278" s="11"/>
      <c r="Z278" s="11"/>
      <c r="AA278" s="11"/>
    </row>
    <row r="279" spans="1:27" x14ac:dyDescent="0.25">
      <c r="A279" s="1538">
        <v>32387</v>
      </c>
      <c r="B279" s="687">
        <v>3.5697000000000001</v>
      </c>
      <c r="C279" s="687">
        <v>3.3193999999999999</v>
      </c>
      <c r="D279" s="1035">
        <f t="shared" si="9"/>
        <v>1.8564546319310038E-2</v>
      </c>
      <c r="E279" s="687">
        <v>0.25030000000000002</v>
      </c>
      <c r="F279" s="663"/>
      <c r="G279" s="663"/>
      <c r="H279" s="11"/>
      <c r="I279" s="11"/>
      <c r="J279" s="11"/>
      <c r="K279" s="11"/>
      <c r="L279" s="11"/>
      <c r="M279" s="11"/>
      <c r="N279" s="11"/>
      <c r="O279" s="11"/>
      <c r="P279" s="11"/>
      <c r="Q279" s="11"/>
      <c r="R279" s="11"/>
      <c r="S279" s="11"/>
      <c r="T279" s="11"/>
      <c r="U279" s="11"/>
      <c r="V279" s="11"/>
      <c r="W279" s="11"/>
      <c r="X279" s="11"/>
      <c r="Y279" s="11"/>
      <c r="Z279" s="11"/>
      <c r="AA279" s="11"/>
    </row>
    <row r="280" spans="1:27" x14ac:dyDescent="0.25">
      <c r="A280" s="1538">
        <v>32356</v>
      </c>
      <c r="B280" s="687">
        <v>3.5577999999999999</v>
      </c>
      <c r="C280" s="687">
        <v>3.3079999999999998</v>
      </c>
      <c r="D280" s="1035">
        <f t="shared" si="9"/>
        <v>1.6126555060666403E-2</v>
      </c>
      <c r="E280" s="687">
        <v>0.24979999999999999</v>
      </c>
      <c r="F280" s="663"/>
      <c r="G280" s="663"/>
      <c r="H280" s="11"/>
      <c r="I280" s="11"/>
      <c r="J280" s="11"/>
      <c r="K280" s="11"/>
      <c r="L280" s="11"/>
      <c r="M280" s="11"/>
      <c r="N280" s="11"/>
      <c r="O280" s="11"/>
      <c r="P280" s="11"/>
      <c r="Q280" s="11"/>
      <c r="R280" s="11"/>
      <c r="S280" s="11"/>
      <c r="T280" s="11"/>
      <c r="U280" s="11"/>
      <c r="V280" s="11"/>
      <c r="W280" s="11"/>
      <c r="X280" s="11"/>
      <c r="Y280" s="11"/>
      <c r="Z280" s="11"/>
      <c r="AA280" s="11"/>
    </row>
    <row r="281" spans="1:27" x14ac:dyDescent="0.25">
      <c r="A281" s="1538">
        <v>32325</v>
      </c>
      <c r="B281" s="687">
        <v>3.5472999999999999</v>
      </c>
      <c r="C281" s="687">
        <v>3.2957999999999998</v>
      </c>
      <c r="D281" s="1035">
        <f t="shared" si="9"/>
        <v>1.440443213296394E-2</v>
      </c>
      <c r="E281" s="687">
        <v>0.2515</v>
      </c>
      <c r="F281" s="663"/>
      <c r="G281" s="663"/>
      <c r="H281" s="11"/>
      <c r="I281" s="11"/>
      <c r="J281" s="11"/>
      <c r="K281" s="11"/>
      <c r="L281" s="11"/>
      <c r="M281" s="11"/>
      <c r="N281" s="11"/>
      <c r="O281" s="11"/>
      <c r="P281" s="11"/>
      <c r="Q281" s="11"/>
      <c r="R281" s="11"/>
      <c r="S281" s="11"/>
      <c r="T281" s="11"/>
      <c r="U281" s="11"/>
      <c r="V281" s="11"/>
      <c r="W281" s="11"/>
      <c r="X281" s="11"/>
      <c r="Y281" s="11"/>
      <c r="Z281" s="11"/>
      <c r="AA281" s="11"/>
    </row>
    <row r="282" spans="1:27" x14ac:dyDescent="0.25">
      <c r="A282" s="1538">
        <v>32295</v>
      </c>
      <c r="B282" s="687">
        <v>3.5387</v>
      </c>
      <c r="C282" s="687">
        <v>3.2827999999999999</v>
      </c>
      <c r="D282" s="1035">
        <f t="shared" si="9"/>
        <v>1.3428827215756556E-2</v>
      </c>
      <c r="E282" s="687">
        <v>0.25580000000000003</v>
      </c>
      <c r="F282" s="663"/>
      <c r="G282" s="663"/>
      <c r="H282" s="11"/>
      <c r="I282" s="11"/>
      <c r="J282" s="11"/>
      <c r="K282" s="11"/>
      <c r="L282" s="11"/>
      <c r="M282" s="11"/>
      <c r="N282" s="11"/>
      <c r="O282" s="11"/>
      <c r="P282" s="11"/>
      <c r="Q282" s="11"/>
      <c r="R282" s="11"/>
      <c r="S282" s="11"/>
      <c r="T282" s="11"/>
      <c r="U282" s="11"/>
      <c r="V282" s="11"/>
      <c r="W282" s="11"/>
      <c r="X282" s="11"/>
      <c r="Y282" s="11"/>
      <c r="Z282" s="11"/>
      <c r="AA282" s="11"/>
    </row>
    <row r="283" spans="1:27" x14ac:dyDescent="0.25">
      <c r="A283" s="1538">
        <v>32264</v>
      </c>
      <c r="B283" s="687">
        <v>3.5322</v>
      </c>
      <c r="C283" s="687">
        <v>3.2707999999999999</v>
      </c>
      <c r="D283" s="1035">
        <f t="shared" si="9"/>
        <v>1.3258983890954035E-2</v>
      </c>
      <c r="E283" s="687">
        <v>0.26140000000000002</v>
      </c>
      <c r="F283" s="663"/>
      <c r="G283" s="663"/>
      <c r="H283" s="11"/>
      <c r="I283" s="11"/>
      <c r="J283" s="11"/>
      <c r="K283" s="11"/>
      <c r="L283" s="11"/>
      <c r="M283" s="11"/>
      <c r="N283" s="11"/>
      <c r="O283" s="11"/>
      <c r="P283" s="11"/>
      <c r="Q283" s="11"/>
      <c r="R283" s="11"/>
      <c r="S283" s="11"/>
      <c r="T283" s="11"/>
      <c r="U283" s="11"/>
      <c r="V283" s="11"/>
      <c r="W283" s="11"/>
      <c r="X283" s="11"/>
      <c r="Y283" s="11"/>
      <c r="Z283" s="11"/>
      <c r="AA283" s="11"/>
    </row>
    <row r="284" spans="1:27" x14ac:dyDescent="0.25">
      <c r="A284" s="1538">
        <v>32234</v>
      </c>
      <c r="B284" s="687">
        <v>3.5278999999999998</v>
      </c>
      <c r="C284" s="687">
        <v>3.2618</v>
      </c>
      <c r="D284" s="1035">
        <f t="shared" si="9"/>
        <v>1.3862986447842784E-2</v>
      </c>
      <c r="E284" s="687">
        <v>0.2661</v>
      </c>
      <c r="F284" s="663"/>
      <c r="G284" s="663"/>
      <c r="H284" s="11"/>
      <c r="I284" s="11"/>
      <c r="J284" s="11"/>
      <c r="K284" s="11"/>
      <c r="L284" s="11"/>
      <c r="M284" s="11"/>
      <c r="N284" s="11"/>
      <c r="O284" s="11"/>
      <c r="P284" s="11"/>
      <c r="Q284" s="11"/>
      <c r="R284" s="11"/>
      <c r="S284" s="11"/>
      <c r="T284" s="11"/>
      <c r="U284" s="11"/>
      <c r="V284" s="11"/>
      <c r="W284" s="11"/>
      <c r="X284" s="11"/>
      <c r="Y284" s="11"/>
      <c r="Z284" s="11"/>
      <c r="AA284" s="11"/>
    </row>
    <row r="285" spans="1:27" x14ac:dyDescent="0.25">
      <c r="A285" s="1538">
        <v>32203</v>
      </c>
      <c r="B285" s="687">
        <v>3.5253000000000001</v>
      </c>
      <c r="C285" s="687">
        <v>3.2568999999999999</v>
      </c>
      <c r="D285" s="1035">
        <f t="shared" si="9"/>
        <v>1.5148209332044971E-2</v>
      </c>
      <c r="E285" s="687">
        <v>0.26840000000000003</v>
      </c>
      <c r="F285" s="663"/>
      <c r="G285" s="663"/>
      <c r="H285" s="11"/>
      <c r="I285" s="11"/>
      <c r="J285" s="11"/>
      <c r="K285" s="11"/>
      <c r="L285" s="11"/>
      <c r="M285" s="11"/>
      <c r="N285" s="11"/>
      <c r="O285" s="11"/>
      <c r="P285" s="11"/>
      <c r="Q285" s="11"/>
      <c r="R285" s="11"/>
      <c r="S285" s="11"/>
      <c r="T285" s="11"/>
      <c r="U285" s="11"/>
      <c r="V285" s="11"/>
      <c r="W285" s="11"/>
      <c r="X285" s="11"/>
      <c r="Y285" s="11"/>
      <c r="Z285" s="11"/>
      <c r="AA285" s="11"/>
    </row>
    <row r="286" spans="1:27" x14ac:dyDescent="0.25">
      <c r="A286" s="1538">
        <v>32175</v>
      </c>
      <c r="B286" s="687">
        <v>3.5234000000000001</v>
      </c>
      <c r="C286" s="687">
        <v>3.2555999999999998</v>
      </c>
      <c r="D286" s="1035">
        <f t="shared" si="9"/>
        <v>1.7025397519602636E-2</v>
      </c>
      <c r="E286" s="687">
        <v>0.26779999999999998</v>
      </c>
      <c r="F286" s="663"/>
      <c r="G286" s="663"/>
      <c r="H286" s="11"/>
      <c r="I286" s="11"/>
      <c r="J286" s="11"/>
      <c r="K286" s="11"/>
      <c r="L286" s="11"/>
      <c r="M286" s="11"/>
      <c r="N286" s="11"/>
      <c r="O286" s="11"/>
      <c r="P286" s="11"/>
      <c r="Q286" s="11"/>
      <c r="R286" s="11"/>
      <c r="S286" s="11"/>
      <c r="T286" s="11"/>
      <c r="U286" s="11"/>
      <c r="V286" s="11"/>
      <c r="W286" s="11"/>
      <c r="X286" s="11"/>
      <c r="Y286" s="11"/>
      <c r="Z286" s="11"/>
      <c r="AA286" s="11"/>
    </row>
    <row r="287" spans="1:27" x14ac:dyDescent="0.25">
      <c r="A287" s="1538">
        <v>32144</v>
      </c>
      <c r="B287" s="687">
        <v>3.5211999999999999</v>
      </c>
      <c r="C287" s="687">
        <v>3.2563</v>
      </c>
      <c r="D287" s="1035">
        <f t="shared" si="9"/>
        <v>1.9026756376153919E-2</v>
      </c>
      <c r="E287" s="687">
        <v>0.26479999999999998</v>
      </c>
      <c r="F287" s="663"/>
      <c r="G287" s="663"/>
      <c r="H287" s="11"/>
      <c r="I287" s="11"/>
      <c r="J287" s="11"/>
      <c r="K287" s="11"/>
      <c r="L287" s="11"/>
      <c r="M287" s="11"/>
      <c r="N287" s="11"/>
      <c r="O287" s="11"/>
      <c r="P287" s="11"/>
      <c r="Q287" s="11"/>
      <c r="R287" s="11"/>
      <c r="S287" s="11"/>
      <c r="T287" s="11"/>
      <c r="U287" s="11"/>
      <c r="V287" s="11"/>
      <c r="W287" s="11"/>
      <c r="X287" s="11"/>
      <c r="Y287" s="11"/>
      <c r="Z287" s="11"/>
      <c r="AA287" s="11"/>
    </row>
    <row r="288" spans="1:27" x14ac:dyDescent="0.25">
      <c r="A288" s="1538">
        <v>32113</v>
      </c>
      <c r="B288" s="687">
        <v>3.5184000000000002</v>
      </c>
      <c r="C288" s="687">
        <v>3.2576999999999998</v>
      </c>
      <c r="D288" s="1035">
        <f t="shared" si="9"/>
        <v>2.1062529384108908E-2</v>
      </c>
      <c r="E288" s="687">
        <v>0.26069999999999999</v>
      </c>
      <c r="F288" s="663"/>
      <c r="G288" s="663"/>
      <c r="H288" s="11"/>
      <c r="I288" s="11"/>
      <c r="J288" s="11"/>
      <c r="K288" s="11"/>
      <c r="L288" s="11"/>
      <c r="M288" s="11"/>
      <c r="N288" s="11"/>
      <c r="O288" s="11"/>
      <c r="P288" s="11"/>
      <c r="Q288" s="11"/>
      <c r="R288" s="11"/>
      <c r="S288" s="11"/>
      <c r="T288" s="11"/>
      <c r="U288" s="11"/>
      <c r="V288" s="11"/>
      <c r="W288" s="11"/>
      <c r="X288" s="11"/>
      <c r="Y288" s="11"/>
      <c r="Z288" s="11"/>
      <c r="AA288" s="11"/>
    </row>
    <row r="289" spans="1:27" x14ac:dyDescent="0.25">
      <c r="A289" s="1538">
        <v>32083</v>
      </c>
      <c r="B289" s="687">
        <v>3.516</v>
      </c>
      <c r="C289" s="687">
        <v>3.2589999999999999</v>
      </c>
      <c r="D289" s="1035">
        <f t="shared" si="9"/>
        <v>2.2784333417022351E-2</v>
      </c>
      <c r="E289" s="687">
        <v>0.25700000000000001</v>
      </c>
      <c r="F289" s="663"/>
      <c r="G289" s="663"/>
      <c r="H289" s="11"/>
      <c r="I289" s="11"/>
      <c r="J289" s="11"/>
      <c r="K289" s="11"/>
      <c r="L289" s="11"/>
      <c r="M289" s="11"/>
      <c r="N289" s="11"/>
      <c r="O289" s="11"/>
      <c r="P289" s="11"/>
      <c r="Q289" s="11"/>
      <c r="R289" s="11"/>
      <c r="S289" s="11"/>
      <c r="T289" s="11"/>
      <c r="U289" s="11"/>
      <c r="V289" s="11"/>
      <c r="W289" s="11"/>
      <c r="X289" s="11"/>
      <c r="Y289" s="11"/>
      <c r="Z289" s="11"/>
      <c r="AA289" s="11"/>
    </row>
    <row r="290" spans="1:27" x14ac:dyDescent="0.25">
      <c r="A290" s="1538">
        <v>32052</v>
      </c>
      <c r="B290" s="687">
        <v>3.5152999999999999</v>
      </c>
      <c r="C290" s="687">
        <v>3.2597</v>
      </c>
      <c r="D290" s="1035">
        <f t="shared" si="9"/>
        <v>2.4064591121862433E-2</v>
      </c>
      <c r="E290" s="687">
        <v>0.25569999999999998</v>
      </c>
      <c r="F290" s="663"/>
      <c r="G290" s="663"/>
      <c r="H290" s="11"/>
      <c r="I290" s="11"/>
      <c r="J290" s="11"/>
      <c r="K290" s="11"/>
      <c r="L290" s="11"/>
      <c r="M290" s="11"/>
      <c r="N290" s="11"/>
      <c r="O290" s="11"/>
      <c r="P290" s="11"/>
      <c r="Q290" s="11"/>
      <c r="R290" s="11"/>
      <c r="S290" s="11"/>
      <c r="T290" s="11"/>
      <c r="U290" s="11"/>
      <c r="V290" s="11"/>
      <c r="W290" s="11"/>
      <c r="X290" s="11"/>
      <c r="Y290" s="11"/>
      <c r="Z290" s="11"/>
      <c r="AA290" s="11"/>
    </row>
    <row r="291" spans="1:27" x14ac:dyDescent="0.25">
      <c r="A291" s="1538">
        <v>32022</v>
      </c>
      <c r="B291" s="687">
        <v>3.5163000000000002</v>
      </c>
      <c r="C291" s="687">
        <v>3.2589000000000001</v>
      </c>
      <c r="D291" s="1035">
        <f t="shared" si="9"/>
        <v>2.4940244055856153E-2</v>
      </c>
      <c r="E291" s="687">
        <v>0.25729999999999997</v>
      </c>
      <c r="F291" s="663"/>
      <c r="G291" s="663"/>
      <c r="H291" s="11"/>
      <c r="I291" s="11"/>
      <c r="J291" s="11"/>
      <c r="K291" s="11"/>
      <c r="L291" s="11"/>
      <c r="M291" s="11"/>
      <c r="N291" s="11"/>
      <c r="O291" s="11"/>
      <c r="P291" s="11"/>
      <c r="Q291" s="11"/>
      <c r="R291" s="11"/>
      <c r="S291" s="11"/>
      <c r="T291" s="11"/>
      <c r="U291" s="11"/>
      <c r="V291" s="11"/>
      <c r="W291" s="11"/>
      <c r="X291" s="11"/>
      <c r="Y291" s="11"/>
      <c r="Z291" s="11"/>
      <c r="AA291" s="11"/>
    </row>
    <row r="292" spans="1:27" x14ac:dyDescent="0.25">
      <c r="A292" s="1538">
        <v>31991</v>
      </c>
      <c r="B292" s="687">
        <v>3.5171000000000001</v>
      </c>
      <c r="C292" s="687">
        <v>3.2555000000000001</v>
      </c>
      <c r="D292" s="1035">
        <f t="shared" si="9"/>
        <v>2.5128318166073749E-2</v>
      </c>
      <c r="E292" s="687">
        <v>0.2616</v>
      </c>
      <c r="F292" s="663"/>
      <c r="G292" s="663"/>
      <c r="H292" s="11"/>
      <c r="I292" s="11"/>
      <c r="J292" s="11"/>
      <c r="K292" s="11"/>
      <c r="L292" s="11"/>
      <c r="M292" s="11"/>
      <c r="N292" s="11"/>
      <c r="O292" s="11"/>
      <c r="P292" s="11"/>
      <c r="Q292" s="11"/>
      <c r="R292" s="11"/>
      <c r="S292" s="11"/>
      <c r="T292" s="11"/>
      <c r="U292" s="11"/>
      <c r="V292" s="11"/>
      <c r="W292" s="11"/>
      <c r="X292" s="11"/>
      <c r="Y292" s="11"/>
      <c r="Z292" s="11"/>
      <c r="AA292" s="11"/>
    </row>
    <row r="293" spans="1:27" x14ac:dyDescent="0.25">
      <c r="A293" s="1538">
        <v>31960</v>
      </c>
      <c r="B293" s="687">
        <v>3.516</v>
      </c>
      <c r="C293" s="687">
        <v>3.2490000000000001</v>
      </c>
      <c r="D293" s="1035">
        <f t="shared" si="9"/>
        <v>2.482414913415143E-2</v>
      </c>
      <c r="E293" s="687">
        <v>0.26700000000000002</v>
      </c>
      <c r="F293" s="663"/>
      <c r="G293" s="663"/>
      <c r="H293" s="11"/>
      <c r="I293" s="11"/>
      <c r="J293" s="11"/>
      <c r="K293" s="11"/>
      <c r="L293" s="11"/>
      <c r="M293" s="11"/>
      <c r="N293" s="11"/>
      <c r="O293" s="11"/>
      <c r="P293" s="11"/>
      <c r="Q293" s="11"/>
      <c r="R293" s="11"/>
      <c r="S293" s="11"/>
      <c r="T293" s="11"/>
      <c r="U293" s="11"/>
      <c r="V293" s="11"/>
      <c r="W293" s="11"/>
      <c r="X293" s="11"/>
      <c r="Y293" s="11"/>
      <c r="Z293" s="11"/>
      <c r="AA293" s="11"/>
    </row>
    <row r="294" spans="1:27" x14ac:dyDescent="0.25">
      <c r="A294" s="1538">
        <v>31930</v>
      </c>
      <c r="B294" s="687">
        <v>3.5114999999999998</v>
      </c>
      <c r="C294" s="687">
        <v>3.2393000000000001</v>
      </c>
      <c r="D294" s="1035">
        <f t="shared" si="9"/>
        <v>2.4090291170054678E-2</v>
      </c>
      <c r="E294" s="687">
        <v>0.27210000000000001</v>
      </c>
      <c r="F294" s="663"/>
      <c r="G294" s="663"/>
      <c r="H294" s="11"/>
      <c r="I294" s="11"/>
      <c r="J294" s="11"/>
      <c r="K294" s="11"/>
      <c r="L294" s="11"/>
      <c r="M294" s="11"/>
      <c r="N294" s="11"/>
      <c r="O294" s="11"/>
      <c r="P294" s="11"/>
      <c r="Q294" s="11"/>
      <c r="R294" s="11"/>
      <c r="S294" s="11"/>
      <c r="T294" s="11"/>
      <c r="U294" s="11"/>
      <c r="V294" s="11"/>
      <c r="W294" s="11"/>
      <c r="X294" s="11"/>
      <c r="Y294" s="11"/>
      <c r="Z294" s="11"/>
      <c r="AA294" s="11"/>
    </row>
    <row r="295" spans="1:27" x14ac:dyDescent="0.25">
      <c r="A295" s="1538">
        <v>31899</v>
      </c>
      <c r="B295" s="687">
        <v>3.5036999999999998</v>
      </c>
      <c r="C295" s="687">
        <v>3.2280000000000002</v>
      </c>
      <c r="D295" s="1035">
        <f t="shared" si="9"/>
        <v>2.313787638668785E-2</v>
      </c>
      <c r="E295" s="687">
        <v>0.2757</v>
      </c>
      <c r="F295" s="663"/>
      <c r="G295" s="663"/>
      <c r="H295" s="11"/>
      <c r="I295" s="11"/>
      <c r="J295" s="11"/>
      <c r="K295" s="11"/>
      <c r="L295" s="11"/>
      <c r="M295" s="11"/>
      <c r="N295" s="11"/>
      <c r="O295" s="11"/>
      <c r="P295" s="11"/>
      <c r="Q295" s="11"/>
      <c r="R295" s="11"/>
      <c r="S295" s="11"/>
      <c r="T295" s="11"/>
      <c r="U295" s="11"/>
      <c r="V295" s="11"/>
      <c r="W295" s="11"/>
      <c r="X295" s="11"/>
      <c r="Y295" s="11"/>
      <c r="Z295" s="11"/>
      <c r="AA295" s="11"/>
    </row>
    <row r="296" spans="1:27" x14ac:dyDescent="0.25">
      <c r="A296" s="1538">
        <v>31869</v>
      </c>
      <c r="B296" s="687">
        <v>3.4937</v>
      </c>
      <c r="C296" s="687">
        <v>3.2172000000000001</v>
      </c>
      <c r="D296" s="1035">
        <f t="shared" si="9"/>
        <v>2.2371933392652865E-2</v>
      </c>
      <c r="E296" s="687">
        <v>0.27650000000000002</v>
      </c>
      <c r="F296" s="663"/>
      <c r="G296" s="663"/>
      <c r="H296" s="11"/>
      <c r="I296" s="11"/>
      <c r="J296" s="11"/>
      <c r="K296" s="11"/>
      <c r="L296" s="11"/>
      <c r="M296" s="11"/>
      <c r="N296" s="11"/>
      <c r="O296" s="11"/>
      <c r="P296" s="11"/>
      <c r="Q296" s="11"/>
      <c r="R296" s="11"/>
      <c r="S296" s="11"/>
      <c r="T296" s="11"/>
      <c r="U296" s="11"/>
      <c r="V296" s="11"/>
      <c r="W296" s="11"/>
      <c r="X296" s="11"/>
      <c r="Y296" s="11"/>
      <c r="Z296" s="11"/>
      <c r="AA296" s="11"/>
    </row>
    <row r="297" spans="1:27" x14ac:dyDescent="0.25">
      <c r="A297" s="1538">
        <v>31838</v>
      </c>
      <c r="B297" s="687">
        <v>3.4832999999999998</v>
      </c>
      <c r="C297" s="687">
        <v>3.2082999999999999</v>
      </c>
      <c r="D297" s="1035">
        <f t="shared" si="9"/>
        <v>2.1979422164176698E-2</v>
      </c>
      <c r="E297" s="687">
        <v>0.27500000000000002</v>
      </c>
      <c r="F297" s="663"/>
      <c r="G297" s="663"/>
      <c r="H297" s="11"/>
      <c r="I297" s="11"/>
      <c r="J297" s="11"/>
      <c r="K297" s="11"/>
      <c r="L297" s="11"/>
      <c r="M297" s="11"/>
      <c r="N297" s="11"/>
      <c r="O297" s="11"/>
      <c r="P297" s="11"/>
      <c r="Q297" s="11"/>
      <c r="R297" s="11"/>
      <c r="S297" s="11"/>
      <c r="T297" s="11"/>
      <c r="U297" s="11"/>
      <c r="V297" s="11"/>
      <c r="W297" s="11"/>
      <c r="X297" s="11"/>
      <c r="Y297" s="11"/>
      <c r="Z297" s="11"/>
      <c r="AA297" s="11"/>
    </row>
    <row r="298" spans="1:27" x14ac:dyDescent="0.25">
      <c r="A298" s="1538">
        <v>31810</v>
      </c>
      <c r="B298" s="687">
        <v>3.4744000000000002</v>
      </c>
      <c r="C298" s="687">
        <v>3.2010999999999998</v>
      </c>
      <c r="D298" s="1035">
        <f t="shared" si="9"/>
        <v>2.1964690483031735E-2</v>
      </c>
      <c r="E298" s="687">
        <v>0.2732</v>
      </c>
      <c r="F298" s="663"/>
      <c r="G298" s="663"/>
      <c r="H298" s="11"/>
      <c r="I298" s="11"/>
      <c r="J298" s="11"/>
      <c r="K298" s="11"/>
      <c r="L298" s="11"/>
      <c r="M298" s="11"/>
      <c r="N298" s="11"/>
      <c r="O298" s="11"/>
      <c r="P298" s="11"/>
      <c r="Q298" s="11"/>
      <c r="R298" s="11"/>
      <c r="S298" s="11"/>
      <c r="T298" s="11"/>
      <c r="U298" s="11"/>
      <c r="V298" s="11"/>
      <c r="W298" s="11"/>
      <c r="X298" s="11"/>
      <c r="Y298" s="11"/>
      <c r="Z298" s="11"/>
      <c r="AA298" s="11"/>
    </row>
    <row r="299" spans="1:27" x14ac:dyDescent="0.25">
      <c r="A299" s="1538">
        <v>31779</v>
      </c>
      <c r="B299" s="687">
        <v>3.4687999999999999</v>
      </c>
      <c r="C299" s="687">
        <v>3.1955</v>
      </c>
      <c r="D299" s="1035">
        <f t="shared" si="9"/>
        <v>2.2298291637340872E-2</v>
      </c>
      <c r="E299" s="687">
        <v>0.27329999999999999</v>
      </c>
      <c r="F299" s="663"/>
      <c r="G299" s="663"/>
      <c r="H299" s="11"/>
      <c r="I299" s="11"/>
      <c r="J299" s="11"/>
      <c r="K299" s="11"/>
      <c r="L299" s="11"/>
      <c r="M299" s="11"/>
      <c r="N299" s="11"/>
      <c r="O299" s="11"/>
      <c r="P299" s="11"/>
      <c r="Q299" s="11"/>
      <c r="R299" s="11"/>
      <c r="S299" s="11"/>
      <c r="T299" s="11"/>
      <c r="U299" s="11"/>
      <c r="V299" s="11"/>
      <c r="W299" s="11"/>
      <c r="X299" s="11"/>
      <c r="Y299" s="11"/>
      <c r="Z299" s="11"/>
      <c r="AA299" s="11"/>
    </row>
    <row r="300" spans="1:27" x14ac:dyDescent="0.25">
      <c r="A300" s="1538">
        <v>31748</v>
      </c>
      <c r="B300" s="687">
        <v>3.4666000000000001</v>
      </c>
      <c r="C300" s="687">
        <v>3.1905000000000001</v>
      </c>
      <c r="D300" s="1035">
        <f t="shared" si="9"/>
        <v>2.2792844777841825E-2</v>
      </c>
      <c r="E300" s="687">
        <v>0.27610000000000001</v>
      </c>
      <c r="F300" s="663"/>
      <c r="G300" s="663"/>
      <c r="H300" s="11"/>
      <c r="I300" s="11"/>
      <c r="J300" s="11"/>
      <c r="K300" s="11"/>
      <c r="L300" s="11"/>
      <c r="M300" s="11"/>
      <c r="N300" s="11"/>
      <c r="O300" s="11"/>
      <c r="P300" s="11"/>
      <c r="Q300" s="11"/>
      <c r="R300" s="11"/>
      <c r="S300" s="11"/>
      <c r="T300" s="11"/>
      <c r="U300" s="11"/>
      <c r="V300" s="11"/>
      <c r="W300" s="11"/>
      <c r="X300" s="11"/>
      <c r="Y300" s="11"/>
      <c r="Z300" s="11"/>
      <c r="AA300" s="11"/>
    </row>
    <row r="301" spans="1:27" x14ac:dyDescent="0.25">
      <c r="A301" s="1538">
        <v>31718</v>
      </c>
      <c r="B301" s="687">
        <v>3.4676</v>
      </c>
      <c r="C301" s="687">
        <v>3.1863999999999999</v>
      </c>
      <c r="D301" s="1035">
        <f t="shared" si="9"/>
        <v>2.357854159974293E-2</v>
      </c>
      <c r="E301" s="687">
        <v>0.28120000000000001</v>
      </c>
      <c r="F301" s="663"/>
      <c r="G301" s="663"/>
      <c r="H301" s="11"/>
      <c r="I301" s="11"/>
      <c r="J301" s="11"/>
      <c r="K301" s="11"/>
      <c r="L301" s="11"/>
      <c r="M301" s="11"/>
      <c r="N301" s="11"/>
      <c r="O301" s="11"/>
      <c r="P301" s="11"/>
      <c r="Q301" s="11"/>
      <c r="R301" s="11"/>
      <c r="S301" s="11"/>
      <c r="T301" s="11"/>
      <c r="U301" s="11"/>
      <c r="V301" s="11"/>
      <c r="W301" s="11"/>
      <c r="X301" s="11"/>
      <c r="Y301" s="11"/>
      <c r="Z301" s="11"/>
      <c r="AA301" s="11"/>
    </row>
    <row r="302" spans="1:27" x14ac:dyDescent="0.25">
      <c r="A302" s="1538">
        <v>31687</v>
      </c>
      <c r="B302" s="687">
        <v>3.4704000000000002</v>
      </c>
      <c r="C302" s="687">
        <v>3.1831</v>
      </c>
      <c r="D302" s="1035">
        <f t="shared" si="9"/>
        <v>2.4657975213262517E-2</v>
      </c>
      <c r="E302" s="687">
        <v>0.28739999999999999</v>
      </c>
      <c r="F302" s="663"/>
      <c r="G302" s="663"/>
      <c r="H302" s="11"/>
      <c r="I302" s="11"/>
      <c r="J302" s="11"/>
      <c r="K302" s="11"/>
      <c r="L302" s="11"/>
      <c r="M302" s="11"/>
      <c r="N302" s="11"/>
      <c r="O302" s="11"/>
      <c r="P302" s="11"/>
      <c r="Q302" s="11"/>
      <c r="R302" s="11"/>
      <c r="S302" s="11"/>
      <c r="T302" s="11"/>
      <c r="U302" s="11"/>
      <c r="V302" s="11"/>
      <c r="W302" s="11"/>
      <c r="X302" s="11"/>
      <c r="Y302" s="11"/>
      <c r="Z302" s="11"/>
      <c r="AA302" s="11"/>
    </row>
    <row r="303" spans="1:27" x14ac:dyDescent="0.25">
      <c r="A303" s="1538">
        <v>31657</v>
      </c>
      <c r="B303" s="687">
        <v>3.4727000000000001</v>
      </c>
      <c r="C303" s="687">
        <v>3.1796000000000002</v>
      </c>
      <c r="D303" s="1035">
        <f t="shared" si="9"/>
        <v>2.5478939560085179E-2</v>
      </c>
      <c r="E303" s="687">
        <v>0.29310000000000003</v>
      </c>
      <c r="F303" s="663"/>
      <c r="G303" s="663"/>
      <c r="H303" s="11"/>
      <c r="I303" s="11"/>
      <c r="J303" s="11"/>
      <c r="K303" s="11"/>
      <c r="L303" s="11"/>
      <c r="M303" s="11"/>
      <c r="N303" s="11"/>
      <c r="O303" s="11"/>
      <c r="P303" s="11"/>
      <c r="Q303" s="11"/>
      <c r="R303" s="11"/>
      <c r="S303" s="11"/>
      <c r="T303" s="11"/>
      <c r="U303" s="11"/>
      <c r="V303" s="11"/>
      <c r="W303" s="11"/>
      <c r="X303" s="11"/>
      <c r="Y303" s="11"/>
      <c r="Z303" s="11"/>
      <c r="AA303" s="11"/>
    </row>
    <row r="304" spans="1:27" x14ac:dyDescent="0.25">
      <c r="A304" s="1538">
        <v>31626</v>
      </c>
      <c r="B304" s="687">
        <v>3.4733999999999998</v>
      </c>
      <c r="C304" s="687">
        <v>3.1757</v>
      </c>
      <c r="D304" s="1035">
        <f t="shared" si="9"/>
        <v>2.5511027868376113E-2</v>
      </c>
      <c r="E304" s="687">
        <v>0.29770000000000002</v>
      </c>
      <c r="F304" s="663"/>
      <c r="G304" s="663"/>
      <c r="H304" s="11"/>
      <c r="I304" s="11"/>
      <c r="J304" s="11"/>
      <c r="K304" s="11"/>
      <c r="L304" s="11"/>
      <c r="M304" s="11"/>
      <c r="N304" s="11"/>
      <c r="O304" s="11"/>
      <c r="P304" s="11"/>
      <c r="Q304" s="11"/>
      <c r="R304" s="11"/>
      <c r="S304" s="11"/>
      <c r="T304" s="11"/>
      <c r="U304" s="11"/>
      <c r="V304" s="11"/>
      <c r="W304" s="11"/>
      <c r="X304" s="11"/>
      <c r="Y304" s="11"/>
      <c r="Z304" s="11"/>
      <c r="AA304" s="11"/>
    </row>
    <row r="305" spans="1:27" x14ac:dyDescent="0.25">
      <c r="A305" s="1538">
        <v>31595</v>
      </c>
      <c r="B305" s="687">
        <v>3.4718</v>
      </c>
      <c r="C305" s="687">
        <v>3.1703000000000001</v>
      </c>
      <c r="D305" s="1035">
        <f t="shared" si="9"/>
        <v>2.4230284625076814E-2</v>
      </c>
      <c r="E305" s="687">
        <v>0.30149999999999999</v>
      </c>
      <c r="F305" s="663"/>
      <c r="G305" s="663"/>
      <c r="H305" s="11"/>
      <c r="I305" s="11"/>
      <c r="J305" s="11"/>
      <c r="K305" s="11"/>
      <c r="L305" s="11"/>
      <c r="M305" s="11"/>
      <c r="N305" s="11"/>
      <c r="O305" s="11"/>
      <c r="P305" s="11"/>
      <c r="Q305" s="11"/>
      <c r="R305" s="11"/>
      <c r="S305" s="11"/>
      <c r="T305" s="11"/>
      <c r="U305" s="11"/>
      <c r="V305" s="11"/>
      <c r="W305" s="11"/>
      <c r="X305" s="11"/>
      <c r="Y305" s="11"/>
      <c r="Z305" s="11"/>
      <c r="AA305" s="11"/>
    </row>
    <row r="306" spans="1:27" x14ac:dyDescent="0.25">
      <c r="A306" s="1538">
        <v>31565</v>
      </c>
      <c r="B306" s="687">
        <v>3.4676</v>
      </c>
      <c r="C306" s="687">
        <v>3.1631</v>
      </c>
      <c r="D306" s="1035">
        <f t="shared" si="9"/>
        <v>2.1574136873041994E-2</v>
      </c>
      <c r="E306" s="687">
        <v>0.30449999999999999</v>
      </c>
      <c r="F306" s="663"/>
      <c r="G306" s="663"/>
      <c r="H306" s="11"/>
      <c r="I306" s="11"/>
      <c r="J306" s="11"/>
      <c r="K306" s="11"/>
      <c r="L306" s="11"/>
      <c r="M306" s="11"/>
      <c r="N306" s="11"/>
      <c r="O306" s="11"/>
      <c r="P306" s="11"/>
      <c r="Q306" s="11"/>
      <c r="R306" s="11"/>
      <c r="S306" s="11"/>
      <c r="T306" s="11"/>
      <c r="U306" s="11"/>
      <c r="V306" s="11"/>
      <c r="W306" s="11"/>
      <c r="X306" s="11"/>
      <c r="Y306" s="11"/>
      <c r="Z306" s="11"/>
      <c r="AA306" s="11"/>
    </row>
    <row r="307" spans="1:27" x14ac:dyDescent="0.25">
      <c r="A307" s="1538">
        <v>31534</v>
      </c>
      <c r="B307" s="687">
        <v>3.4613999999999998</v>
      </c>
      <c r="C307" s="687">
        <v>3.1549999999999998</v>
      </c>
      <c r="D307" s="1035">
        <f t="shared" si="9"/>
        <v>1.8300358260981753E-2</v>
      </c>
      <c r="E307" s="687">
        <v>0.30649999999999999</v>
      </c>
      <c r="F307" s="663"/>
      <c r="G307" s="663"/>
      <c r="H307" s="11"/>
      <c r="I307" s="11"/>
      <c r="J307" s="11"/>
      <c r="K307" s="11"/>
      <c r="L307" s="11"/>
      <c r="M307" s="11"/>
      <c r="N307" s="11"/>
      <c r="O307" s="11"/>
      <c r="P307" s="11"/>
      <c r="Q307" s="11"/>
      <c r="R307" s="11"/>
      <c r="S307" s="11"/>
      <c r="T307" s="11"/>
      <c r="U307" s="11"/>
      <c r="V307" s="11"/>
      <c r="W307" s="11"/>
      <c r="X307" s="11"/>
      <c r="Y307" s="11"/>
      <c r="Z307" s="11"/>
      <c r="AA307" s="11"/>
    </row>
    <row r="308" spans="1:27" x14ac:dyDescent="0.25">
      <c r="A308" s="1538">
        <v>31504</v>
      </c>
      <c r="B308" s="687">
        <v>3.4546999999999999</v>
      </c>
      <c r="C308" s="687">
        <v>3.1467999999999998</v>
      </c>
      <c r="D308" s="1035">
        <f t="shared" si="9"/>
        <v>1.4867610539555542E-2</v>
      </c>
      <c r="E308" s="687">
        <v>0.30790000000000001</v>
      </c>
      <c r="F308" s="663"/>
      <c r="G308" s="663"/>
      <c r="H308" s="11"/>
      <c r="I308" s="11"/>
      <c r="J308" s="11"/>
      <c r="K308" s="11"/>
      <c r="L308" s="11"/>
      <c r="M308" s="11"/>
      <c r="N308" s="11"/>
      <c r="O308" s="11"/>
      <c r="P308" s="11"/>
      <c r="Q308" s="11"/>
      <c r="R308" s="11"/>
      <c r="S308" s="11"/>
      <c r="T308" s="11"/>
      <c r="U308" s="11"/>
      <c r="V308" s="11"/>
      <c r="W308" s="11"/>
      <c r="X308" s="11"/>
      <c r="Y308" s="11"/>
      <c r="Z308" s="11"/>
      <c r="AA308" s="11"/>
    </row>
    <row r="309" spans="1:27" x14ac:dyDescent="0.25">
      <c r="A309" s="1538">
        <v>31473</v>
      </c>
      <c r="B309" s="687">
        <v>3.4489999999999998</v>
      </c>
      <c r="C309" s="687">
        <v>3.1393</v>
      </c>
      <c r="D309" s="1035">
        <f t="shared" si="9"/>
        <v>1.1730961358728864E-2</v>
      </c>
      <c r="E309" s="687">
        <v>0.30969999999999998</v>
      </c>
      <c r="F309" s="663"/>
      <c r="G309" s="663"/>
      <c r="H309" s="11"/>
      <c r="I309" s="11"/>
      <c r="J309" s="11"/>
      <c r="K309" s="11"/>
      <c r="L309" s="11"/>
      <c r="M309" s="11"/>
      <c r="N309" s="11"/>
      <c r="O309" s="11"/>
      <c r="P309" s="11"/>
      <c r="Q309" s="11"/>
      <c r="R309" s="11"/>
      <c r="S309" s="11"/>
      <c r="T309" s="11"/>
      <c r="U309" s="11"/>
      <c r="V309" s="11"/>
      <c r="W309" s="11"/>
      <c r="X309" s="11"/>
      <c r="Y309" s="11"/>
      <c r="Z309" s="11"/>
      <c r="AA309" s="11"/>
    </row>
    <row r="310" spans="1:27" x14ac:dyDescent="0.25">
      <c r="A310" s="1538">
        <v>31445</v>
      </c>
      <c r="B310" s="687">
        <v>3.4451999999999998</v>
      </c>
      <c r="C310" s="687">
        <v>3.1322999999999999</v>
      </c>
      <c r="D310" s="1035">
        <f t="shared" si="9"/>
        <v>9.1172680412370255E-3</v>
      </c>
      <c r="E310" s="687">
        <v>0.31290000000000001</v>
      </c>
      <c r="F310" s="663"/>
      <c r="G310" s="663"/>
      <c r="H310" s="11"/>
      <c r="I310" s="11"/>
      <c r="J310" s="11"/>
      <c r="K310" s="11"/>
      <c r="L310" s="11"/>
      <c r="M310" s="11"/>
      <c r="N310" s="11"/>
      <c r="O310" s="11"/>
      <c r="P310" s="11"/>
      <c r="Q310" s="11"/>
      <c r="R310" s="11"/>
      <c r="S310" s="11"/>
      <c r="T310" s="11"/>
      <c r="U310" s="11"/>
      <c r="V310" s="11"/>
      <c r="W310" s="11"/>
      <c r="X310" s="11"/>
      <c r="Y310" s="11"/>
      <c r="Z310" s="11"/>
      <c r="AA310" s="11"/>
    </row>
    <row r="311" spans="1:27" x14ac:dyDescent="0.25">
      <c r="A311" s="1538">
        <v>31414</v>
      </c>
      <c r="B311" s="687">
        <v>3.4434</v>
      </c>
      <c r="C311" s="687">
        <v>3.1257999999999999</v>
      </c>
      <c r="D311" s="1035">
        <f t="shared" si="9"/>
        <v>7.2178900560675441E-3</v>
      </c>
      <c r="E311" s="687">
        <v>0.31759999999999999</v>
      </c>
      <c r="F311" s="663"/>
      <c r="G311" s="663"/>
      <c r="H311" s="11"/>
      <c r="I311" s="11"/>
      <c r="J311" s="11"/>
      <c r="K311" s="11"/>
      <c r="L311" s="11"/>
      <c r="M311" s="11"/>
      <c r="N311" s="11"/>
      <c r="O311" s="11"/>
      <c r="P311" s="11"/>
      <c r="Q311" s="11"/>
      <c r="R311" s="11"/>
      <c r="S311" s="11"/>
      <c r="T311" s="11"/>
      <c r="U311" s="11"/>
      <c r="V311" s="11"/>
      <c r="W311" s="11"/>
      <c r="X311" s="11"/>
      <c r="Y311" s="11"/>
      <c r="Z311" s="11"/>
      <c r="AA311" s="11"/>
    </row>
    <row r="312" spans="1:27" x14ac:dyDescent="0.25">
      <c r="A312" s="1538">
        <v>31383</v>
      </c>
      <c r="B312" s="687">
        <v>3.4424000000000001</v>
      </c>
      <c r="C312" s="687">
        <v>3.1194000000000002</v>
      </c>
      <c r="D312" s="1035">
        <f t="shared" si="9"/>
        <v>5.7389734330668407E-3</v>
      </c>
      <c r="E312" s="687">
        <v>0.32300000000000001</v>
      </c>
      <c r="F312" s="663"/>
      <c r="G312" s="663"/>
      <c r="H312" s="11"/>
      <c r="I312" s="11"/>
      <c r="J312" s="11"/>
      <c r="K312" s="11"/>
      <c r="L312" s="11"/>
      <c r="M312" s="11"/>
      <c r="N312" s="11"/>
      <c r="O312" s="11"/>
      <c r="P312" s="11"/>
      <c r="Q312" s="11"/>
      <c r="R312" s="11"/>
      <c r="S312" s="11"/>
      <c r="T312" s="11"/>
      <c r="U312" s="11"/>
      <c r="V312" s="11"/>
      <c r="W312" s="11"/>
      <c r="X312" s="11"/>
      <c r="Y312" s="11"/>
      <c r="Z312" s="11"/>
      <c r="AA312" s="11"/>
    </row>
    <row r="313" spans="1:27" x14ac:dyDescent="0.25">
      <c r="A313" s="1538">
        <v>31353</v>
      </c>
      <c r="B313" s="687">
        <v>3.4403999999999999</v>
      </c>
      <c r="C313" s="687">
        <v>3.113</v>
      </c>
      <c r="D313" s="1035">
        <f t="shared" si="9"/>
        <v>4.0316078051927384E-3</v>
      </c>
      <c r="E313" s="687">
        <v>0.32740000000000002</v>
      </c>
      <c r="F313" s="663"/>
      <c r="G313" s="663"/>
      <c r="H313" s="11"/>
      <c r="I313" s="11"/>
      <c r="J313" s="11"/>
      <c r="K313" s="11"/>
      <c r="L313" s="11"/>
      <c r="M313" s="11"/>
      <c r="N313" s="11"/>
      <c r="O313" s="11"/>
      <c r="P313" s="11"/>
      <c r="Q313" s="11"/>
      <c r="R313" s="11"/>
      <c r="S313" s="11"/>
      <c r="T313" s="11"/>
      <c r="U313" s="11"/>
      <c r="V313" s="11"/>
      <c r="W313" s="11"/>
      <c r="X313" s="11"/>
      <c r="Y313" s="11"/>
      <c r="Z313" s="11"/>
      <c r="AA313" s="11"/>
    </row>
    <row r="314" spans="1:27" x14ac:dyDescent="0.25">
      <c r="A314" s="1538">
        <v>31322</v>
      </c>
      <c r="B314" s="687">
        <v>3.4357000000000002</v>
      </c>
      <c r="C314" s="687">
        <v>3.1065</v>
      </c>
      <c r="D314" s="1035">
        <f t="shared" si="9"/>
        <v>1.6121231662098445E-3</v>
      </c>
      <c r="E314" s="687">
        <v>0.32919999999999999</v>
      </c>
      <c r="F314" s="663"/>
      <c r="G314" s="663"/>
      <c r="H314" s="11"/>
      <c r="I314" s="11"/>
      <c r="J314" s="11"/>
      <c r="K314" s="11"/>
      <c r="L314" s="11"/>
      <c r="M314" s="11"/>
      <c r="N314" s="11"/>
      <c r="O314" s="11"/>
      <c r="P314" s="11"/>
      <c r="Q314" s="11"/>
      <c r="R314" s="11"/>
      <c r="S314" s="11"/>
      <c r="T314" s="11"/>
      <c r="U314" s="11"/>
      <c r="V314" s="11"/>
      <c r="W314" s="11"/>
      <c r="X314" s="11"/>
      <c r="Y314" s="11"/>
      <c r="Z314" s="11"/>
      <c r="AA314" s="11"/>
    </row>
    <row r="315" spans="1:27" x14ac:dyDescent="0.25">
      <c r="A315" s="1538">
        <v>31292</v>
      </c>
      <c r="B315" s="687">
        <v>3.4285999999999999</v>
      </c>
      <c r="C315" s="687">
        <v>3.1006</v>
      </c>
      <c r="D315" s="1035">
        <f t="shared" si="9"/>
        <v>-9.9880787447237385E-4</v>
      </c>
      <c r="E315" s="687">
        <v>0.32790000000000002</v>
      </c>
      <c r="F315" s="663"/>
      <c r="G315" s="663"/>
      <c r="H315" s="11"/>
      <c r="I315" s="11"/>
      <c r="J315" s="11"/>
      <c r="K315" s="11"/>
      <c r="L315" s="11"/>
      <c r="M315" s="11"/>
      <c r="N315" s="11"/>
      <c r="O315" s="11"/>
      <c r="P315" s="11"/>
      <c r="Q315" s="11"/>
      <c r="R315" s="11"/>
      <c r="S315" s="11"/>
      <c r="T315" s="11"/>
      <c r="U315" s="11"/>
      <c r="V315" s="11"/>
      <c r="W315" s="11"/>
      <c r="X315" s="11"/>
      <c r="Y315" s="11"/>
      <c r="Z315" s="11"/>
      <c r="AA315" s="11"/>
    </row>
    <row r="316" spans="1:27" x14ac:dyDescent="0.25">
      <c r="A316" s="1538">
        <v>31261</v>
      </c>
      <c r="B316" s="687">
        <v>3.4207000000000001</v>
      </c>
      <c r="C316" s="687">
        <v>3.0966999999999998</v>
      </c>
      <c r="D316" s="1035">
        <f t="shared" si="9"/>
        <v>-2.5446112220576245E-3</v>
      </c>
      <c r="E316" s="687">
        <v>0.32400000000000001</v>
      </c>
      <c r="F316" s="663"/>
      <c r="G316" s="663"/>
      <c r="H316" s="11"/>
      <c r="I316" s="11"/>
      <c r="J316" s="11"/>
      <c r="K316" s="11"/>
      <c r="L316" s="11"/>
      <c r="M316" s="11"/>
      <c r="N316" s="11"/>
      <c r="O316" s="11"/>
      <c r="P316" s="11"/>
      <c r="Q316" s="11"/>
      <c r="R316" s="11"/>
      <c r="S316" s="11"/>
      <c r="T316" s="11"/>
      <c r="U316" s="11"/>
      <c r="V316" s="11"/>
      <c r="W316" s="11"/>
      <c r="X316" s="11"/>
      <c r="Y316" s="11"/>
      <c r="Z316" s="11"/>
      <c r="AA316" s="11"/>
    </row>
    <row r="317" spans="1:27" x14ac:dyDescent="0.25">
      <c r="A317" s="1538">
        <v>31230</v>
      </c>
      <c r="B317" s="687">
        <v>3.4131</v>
      </c>
      <c r="C317" s="687">
        <v>3.0952999999999999</v>
      </c>
      <c r="D317" s="1035">
        <f t="shared" si="9"/>
        <v>-2.3528653387481224E-3</v>
      </c>
      <c r="E317" s="687">
        <v>0.31780000000000003</v>
      </c>
      <c r="F317" s="663"/>
      <c r="G317" s="663"/>
      <c r="H317" s="11"/>
      <c r="I317" s="11"/>
      <c r="J317" s="11"/>
      <c r="K317" s="11"/>
      <c r="L317" s="11"/>
      <c r="M317" s="11"/>
      <c r="N317" s="11"/>
      <c r="O317" s="11"/>
      <c r="P317" s="11"/>
      <c r="Q317" s="11"/>
      <c r="R317" s="11"/>
      <c r="S317" s="11"/>
      <c r="T317" s="11"/>
      <c r="U317" s="11"/>
      <c r="V317" s="11"/>
      <c r="W317" s="11"/>
      <c r="X317" s="11"/>
      <c r="Y317" s="11"/>
      <c r="Z317" s="11"/>
      <c r="AA317" s="11"/>
    </row>
    <row r="318" spans="1:27" x14ac:dyDescent="0.25">
      <c r="A318" s="1538">
        <v>31200</v>
      </c>
      <c r="B318" s="687">
        <v>3.4068999999999998</v>
      </c>
      <c r="C318" s="687">
        <v>3.0962999999999998</v>
      </c>
      <c r="D318" s="1035">
        <f t="shared" si="9"/>
        <v>-2.5830615737310048E-4</v>
      </c>
      <c r="E318" s="687">
        <v>0.31059999999999999</v>
      </c>
      <c r="F318" s="663"/>
      <c r="G318" s="663"/>
      <c r="H318" s="11"/>
      <c r="I318" s="11"/>
      <c r="J318" s="11"/>
      <c r="K318" s="11"/>
      <c r="L318" s="11"/>
      <c r="M318" s="11"/>
      <c r="N318" s="11"/>
      <c r="O318" s="11"/>
      <c r="P318" s="11"/>
      <c r="Q318" s="11"/>
      <c r="R318" s="11"/>
      <c r="S318" s="11"/>
      <c r="T318" s="11"/>
      <c r="U318" s="11"/>
      <c r="V318" s="11"/>
      <c r="W318" s="11"/>
      <c r="X318" s="11"/>
      <c r="Y318" s="11"/>
      <c r="Z318" s="11"/>
      <c r="AA318" s="11"/>
    </row>
    <row r="319" spans="1:27" x14ac:dyDescent="0.25">
      <c r="A319" s="1538">
        <v>31169</v>
      </c>
      <c r="B319" s="687">
        <v>3.4024999999999999</v>
      </c>
      <c r="C319" s="687">
        <v>3.0983000000000001</v>
      </c>
      <c r="D319" s="1035">
        <f t="shared" si="9"/>
        <v>3.4654748024354198E-3</v>
      </c>
      <c r="E319" s="687">
        <v>0.30409999999999998</v>
      </c>
      <c r="F319" s="663"/>
      <c r="G319" s="663"/>
      <c r="H319" s="11"/>
      <c r="I319" s="11"/>
      <c r="J319" s="11"/>
      <c r="K319" s="11"/>
      <c r="L319" s="11"/>
      <c r="M319" s="11"/>
      <c r="N319" s="11"/>
      <c r="O319" s="11"/>
      <c r="P319" s="11"/>
      <c r="Q319" s="11"/>
      <c r="R319" s="11"/>
      <c r="S319" s="11"/>
      <c r="T319" s="11"/>
      <c r="U319" s="11"/>
      <c r="V319" s="11"/>
      <c r="W319" s="11"/>
      <c r="X319" s="11"/>
      <c r="Y319" s="11"/>
      <c r="Z319" s="11"/>
      <c r="AA319" s="11"/>
    </row>
    <row r="320" spans="1:27" x14ac:dyDescent="0.25">
      <c r="A320" s="1538">
        <v>31139</v>
      </c>
      <c r="B320" s="687">
        <v>3.3990999999999998</v>
      </c>
      <c r="C320" s="687">
        <v>3.1006999999999998</v>
      </c>
      <c r="D320" s="1035">
        <f t="shared" si="9"/>
        <v>8.3249325225196458E-3</v>
      </c>
      <c r="E320" s="687">
        <v>0.2984</v>
      </c>
      <c r="F320" s="663"/>
      <c r="G320" s="663"/>
      <c r="H320" s="11"/>
      <c r="I320" s="11"/>
      <c r="J320" s="11"/>
      <c r="K320" s="11"/>
      <c r="L320" s="11"/>
      <c r="M320" s="11"/>
      <c r="N320" s="11"/>
      <c r="O320" s="11"/>
      <c r="P320" s="11"/>
      <c r="Q320" s="11"/>
      <c r="R320" s="11"/>
      <c r="S320" s="11"/>
      <c r="T320" s="11"/>
      <c r="U320" s="11"/>
      <c r="V320" s="11"/>
      <c r="W320" s="11"/>
      <c r="X320" s="11"/>
      <c r="Y320" s="11"/>
      <c r="Z320" s="11"/>
      <c r="AA320" s="11"/>
    </row>
    <row r="321" spans="1:27" x14ac:dyDescent="0.25">
      <c r="A321" s="1538">
        <v>31108</v>
      </c>
      <c r="B321" s="687">
        <v>3.3963999999999999</v>
      </c>
      <c r="C321" s="687">
        <v>3.1029</v>
      </c>
      <c r="D321" s="1035">
        <f t="shared" si="9"/>
        <v>1.3721454474174166E-2</v>
      </c>
      <c r="E321" s="687">
        <v>0.29339999999999999</v>
      </c>
      <c r="F321" s="663"/>
      <c r="G321" s="663"/>
      <c r="H321" s="11"/>
      <c r="I321" s="11"/>
      <c r="J321" s="11"/>
      <c r="K321" s="11"/>
      <c r="L321" s="11"/>
      <c r="M321" s="11"/>
      <c r="N321" s="11"/>
      <c r="O321" s="11"/>
      <c r="P321" s="11"/>
      <c r="Q321" s="11"/>
      <c r="R321" s="11"/>
      <c r="S321" s="11"/>
      <c r="T321" s="11"/>
      <c r="U321" s="11"/>
      <c r="V321" s="11"/>
      <c r="W321" s="11"/>
      <c r="X321" s="11"/>
      <c r="Y321" s="11"/>
      <c r="Z321" s="11"/>
      <c r="AA321" s="11"/>
    </row>
    <row r="322" spans="1:27" x14ac:dyDescent="0.25">
      <c r="A322" s="1538">
        <v>31080</v>
      </c>
      <c r="B322" s="687">
        <v>3.3936999999999999</v>
      </c>
      <c r="C322" s="687">
        <v>3.1040000000000001</v>
      </c>
      <c r="D322" s="1035">
        <f t="shared" si="9"/>
        <v>1.8706924844108963E-2</v>
      </c>
      <c r="E322" s="687">
        <v>0.28970000000000001</v>
      </c>
      <c r="F322" s="663"/>
      <c r="G322" s="663"/>
      <c r="H322" s="11"/>
      <c r="I322" s="11"/>
      <c r="J322" s="11"/>
      <c r="K322" s="11"/>
      <c r="L322" s="11"/>
      <c r="M322" s="11"/>
      <c r="N322" s="11"/>
      <c r="O322" s="11"/>
      <c r="P322" s="11"/>
      <c r="Q322" s="11"/>
      <c r="R322" s="11"/>
      <c r="S322" s="11"/>
      <c r="T322" s="11"/>
      <c r="U322" s="11"/>
      <c r="V322" s="11"/>
      <c r="W322" s="11"/>
      <c r="X322" s="11"/>
      <c r="Y322" s="11"/>
      <c r="Z322" s="11"/>
      <c r="AA322" s="11"/>
    </row>
    <row r="323" spans="1:27" x14ac:dyDescent="0.25">
      <c r="A323" s="1538">
        <v>31049</v>
      </c>
      <c r="B323" s="687">
        <v>3.3913000000000002</v>
      </c>
      <c r="C323" s="687">
        <v>3.1034000000000002</v>
      </c>
      <c r="D323" s="1035">
        <f t="shared" si="9"/>
        <v>2.2436003031002016E-2</v>
      </c>
      <c r="E323" s="687">
        <v>0.28789999999999999</v>
      </c>
      <c r="F323" s="663"/>
      <c r="G323" s="663"/>
      <c r="H323" s="11"/>
      <c r="I323" s="11"/>
      <c r="J323" s="11"/>
      <c r="K323" s="11"/>
      <c r="L323" s="11"/>
      <c r="M323" s="11"/>
      <c r="N323" s="11"/>
      <c r="O323" s="11"/>
      <c r="P323" s="11"/>
      <c r="Q323" s="11"/>
      <c r="R323" s="11"/>
      <c r="S323" s="11"/>
      <c r="T323" s="11"/>
      <c r="U323" s="11"/>
      <c r="V323" s="11"/>
      <c r="W323" s="11"/>
      <c r="X323" s="11"/>
      <c r="Y323" s="11"/>
      <c r="Z323" s="11"/>
      <c r="AA323" s="11"/>
    </row>
    <row r="324" spans="1:27" x14ac:dyDescent="0.25">
      <c r="A324" s="1538">
        <v>31018</v>
      </c>
      <c r="B324" s="687">
        <v>3.3895</v>
      </c>
      <c r="C324" s="687">
        <v>3.1015999999999999</v>
      </c>
      <c r="D324" s="1035">
        <f t="shared" si="9"/>
        <v>2.491573590641738E-2</v>
      </c>
      <c r="E324" s="687">
        <v>0.28789999999999999</v>
      </c>
      <c r="F324" s="663"/>
      <c r="G324" s="663"/>
      <c r="H324" s="11"/>
      <c r="I324" s="11"/>
      <c r="J324" s="11"/>
      <c r="K324" s="11"/>
      <c r="L324" s="11"/>
      <c r="M324" s="11"/>
      <c r="N324" s="11"/>
      <c r="O324" s="11"/>
      <c r="P324" s="11"/>
      <c r="Q324" s="11"/>
      <c r="R324" s="11"/>
      <c r="S324" s="11"/>
      <c r="T324" s="11"/>
      <c r="U324" s="11"/>
      <c r="V324" s="11"/>
      <c r="W324" s="11"/>
      <c r="X324" s="11"/>
      <c r="Y324" s="11"/>
      <c r="Z324" s="11"/>
      <c r="AA324" s="11"/>
    </row>
    <row r="325" spans="1:27" x14ac:dyDescent="0.25">
      <c r="A325" s="1538">
        <v>30988</v>
      </c>
      <c r="B325" s="687">
        <v>3.3887</v>
      </c>
      <c r="C325" s="687">
        <v>3.1004999999999998</v>
      </c>
      <c r="D325" s="1035">
        <f t="shared" si="9"/>
        <v>2.7063733934013401E-2</v>
      </c>
      <c r="E325" s="687">
        <v>0.28820000000000001</v>
      </c>
      <c r="F325" s="663"/>
      <c r="G325" s="663"/>
      <c r="H325" s="11"/>
      <c r="I325" s="11"/>
      <c r="J325" s="11"/>
      <c r="K325" s="11"/>
      <c r="L325" s="11"/>
      <c r="M325" s="11"/>
      <c r="N325" s="11"/>
      <c r="O325" s="11"/>
      <c r="P325" s="11"/>
      <c r="Q325" s="11"/>
      <c r="R325" s="11"/>
      <c r="S325" s="11"/>
      <c r="T325" s="11"/>
      <c r="U325" s="11"/>
      <c r="V325" s="11"/>
      <c r="W325" s="11"/>
      <c r="X325" s="11"/>
      <c r="Y325" s="11"/>
      <c r="Z325" s="11"/>
      <c r="AA325" s="11"/>
    </row>
    <row r="326" spans="1:27" x14ac:dyDescent="0.25">
      <c r="A326" s="1538">
        <v>30957</v>
      </c>
      <c r="B326" s="687">
        <v>3.3885999999999998</v>
      </c>
      <c r="C326" s="687">
        <v>3.1015000000000001</v>
      </c>
      <c r="D326" s="1035">
        <f t="shared" si="9"/>
        <v>2.9988044633368682E-2</v>
      </c>
      <c r="E326" s="687">
        <v>0.28710000000000002</v>
      </c>
      <c r="F326" s="663"/>
      <c r="G326" s="663"/>
      <c r="H326" s="11"/>
      <c r="I326" s="11"/>
      <c r="J326" s="11"/>
      <c r="K326" s="11"/>
      <c r="L326" s="11"/>
      <c r="M326" s="11"/>
      <c r="N326" s="11"/>
      <c r="O326" s="11"/>
      <c r="P326" s="11"/>
      <c r="Q326" s="11"/>
      <c r="R326" s="11"/>
      <c r="S326" s="11"/>
      <c r="T326" s="11"/>
      <c r="U326" s="11"/>
      <c r="V326" s="11"/>
      <c r="W326" s="11"/>
      <c r="X326" s="11"/>
      <c r="Y326" s="11"/>
      <c r="Z326" s="11"/>
      <c r="AA326" s="11"/>
    </row>
    <row r="327" spans="1:27" x14ac:dyDescent="0.25">
      <c r="A327" s="1538">
        <v>30927</v>
      </c>
      <c r="B327" s="687">
        <v>3.3881999999999999</v>
      </c>
      <c r="C327" s="687">
        <v>3.1036999999999999</v>
      </c>
      <c r="D327" s="1035">
        <f t="shared" si="9"/>
        <v>3.37741065183359E-2</v>
      </c>
      <c r="E327" s="687">
        <v>0.28460000000000002</v>
      </c>
      <c r="F327" s="663"/>
      <c r="G327" s="663"/>
      <c r="H327" s="11"/>
      <c r="I327" s="11"/>
      <c r="J327" s="11"/>
      <c r="K327" s="11"/>
      <c r="L327" s="11"/>
      <c r="M327" s="11"/>
      <c r="N327" s="11"/>
      <c r="O327" s="11"/>
      <c r="P327" s="11"/>
      <c r="Q327" s="11"/>
      <c r="R327" s="11"/>
      <c r="S327" s="11"/>
      <c r="T327" s="11"/>
      <c r="U327" s="11"/>
      <c r="V327" s="11"/>
      <c r="W327" s="11"/>
      <c r="X327" s="11"/>
      <c r="Y327" s="11"/>
      <c r="Z327" s="11"/>
      <c r="AA327" s="11"/>
    </row>
    <row r="328" spans="1:27" x14ac:dyDescent="0.25">
      <c r="A328" s="1538">
        <v>30896</v>
      </c>
      <c r="B328" s="687">
        <v>3.3868999999999998</v>
      </c>
      <c r="C328" s="687">
        <v>3.1046</v>
      </c>
      <c r="D328" s="1035">
        <f t="shared" si="9"/>
        <v>3.7807120173825925E-2</v>
      </c>
      <c r="E328" s="687">
        <v>0.2823</v>
      </c>
      <c r="F328" s="663"/>
      <c r="G328" s="663"/>
      <c r="H328" s="11"/>
      <c r="I328" s="11"/>
      <c r="J328" s="11"/>
      <c r="K328" s="11"/>
      <c r="L328" s="11"/>
      <c r="M328" s="11"/>
      <c r="N328" s="11"/>
      <c r="O328" s="11"/>
      <c r="P328" s="11"/>
      <c r="Q328" s="11"/>
      <c r="R328" s="11"/>
      <c r="S328" s="11"/>
      <c r="T328" s="11"/>
      <c r="U328" s="11"/>
      <c r="V328" s="11"/>
      <c r="W328" s="11"/>
      <c r="X328" s="11"/>
      <c r="Y328" s="11"/>
      <c r="Z328" s="11"/>
      <c r="AA328" s="11"/>
    </row>
    <row r="329" spans="1:27" x14ac:dyDescent="0.25">
      <c r="A329" s="1538">
        <v>30865</v>
      </c>
      <c r="B329" s="687">
        <v>3.3849</v>
      </c>
      <c r="C329" s="687">
        <v>3.1025999999999998</v>
      </c>
      <c r="D329" s="1035">
        <f t="shared" ref="D329:D335" si="10">C329/C341-1</f>
        <v>4.1805177797924697E-2</v>
      </c>
      <c r="E329" s="687">
        <v>0.2823</v>
      </c>
      <c r="F329" s="663"/>
      <c r="G329" s="663"/>
      <c r="H329" s="11"/>
      <c r="I329" s="11"/>
      <c r="J329" s="11"/>
      <c r="K329" s="11"/>
      <c r="L329" s="11"/>
      <c r="M329" s="11"/>
      <c r="N329" s="11"/>
      <c r="O329" s="11"/>
      <c r="P329" s="11"/>
      <c r="Q329" s="11"/>
      <c r="R329" s="11"/>
      <c r="S329" s="11"/>
      <c r="T329" s="11"/>
      <c r="U329" s="11"/>
      <c r="V329" s="11"/>
      <c r="W329" s="11"/>
      <c r="X329" s="11"/>
      <c r="Y329" s="11"/>
      <c r="Z329" s="11"/>
      <c r="AA329" s="11"/>
    </row>
    <row r="330" spans="1:27" x14ac:dyDescent="0.25">
      <c r="A330" s="1538">
        <v>30835</v>
      </c>
      <c r="B330" s="687">
        <v>3.3818000000000001</v>
      </c>
      <c r="C330" s="687">
        <v>3.0971000000000002</v>
      </c>
      <c r="D330" s="1035">
        <f t="shared" si="10"/>
        <v>4.5152363918604443E-2</v>
      </c>
      <c r="E330" s="687">
        <v>0.28470000000000001</v>
      </c>
      <c r="F330" s="663"/>
      <c r="G330" s="663"/>
      <c r="H330" s="11"/>
      <c r="I330" s="11"/>
      <c r="J330" s="11"/>
      <c r="K330" s="11"/>
      <c r="L330" s="11"/>
      <c r="M330" s="11"/>
      <c r="N330" s="11"/>
      <c r="O330" s="11"/>
      <c r="P330" s="11"/>
      <c r="Q330" s="11"/>
      <c r="R330" s="11"/>
      <c r="S330" s="11"/>
      <c r="T330" s="11"/>
      <c r="U330" s="11"/>
      <c r="V330" s="11"/>
      <c r="W330" s="11"/>
      <c r="X330" s="11"/>
      <c r="Y330" s="11"/>
      <c r="Z330" s="11"/>
      <c r="AA330" s="11"/>
    </row>
    <row r="331" spans="1:27" x14ac:dyDescent="0.25">
      <c r="A331" s="1538">
        <v>30804</v>
      </c>
      <c r="B331" s="687">
        <v>3.3767999999999998</v>
      </c>
      <c r="C331" s="687">
        <v>3.0876000000000001</v>
      </c>
      <c r="D331" s="1035">
        <f t="shared" si="10"/>
        <v>4.6856987861938038E-2</v>
      </c>
      <c r="E331" s="687">
        <v>0.2893</v>
      </c>
      <c r="F331" s="663"/>
      <c r="G331" s="663"/>
      <c r="H331" s="11"/>
      <c r="I331" s="11"/>
      <c r="J331" s="11"/>
      <c r="K331" s="11"/>
      <c r="L331" s="11"/>
      <c r="M331" s="11"/>
      <c r="N331" s="11"/>
      <c r="O331" s="11"/>
      <c r="P331" s="11"/>
      <c r="Q331" s="11"/>
      <c r="R331" s="11"/>
      <c r="S331" s="11"/>
      <c r="T331" s="11"/>
      <c r="U331" s="11"/>
      <c r="V331" s="11"/>
      <c r="W331" s="11"/>
      <c r="X331" s="11"/>
      <c r="Y331" s="11"/>
      <c r="Z331" s="11"/>
      <c r="AA331" s="11"/>
    </row>
    <row r="332" spans="1:27" x14ac:dyDescent="0.25">
      <c r="A332" s="1538">
        <v>30774</v>
      </c>
      <c r="B332" s="687">
        <v>3.3706999999999998</v>
      </c>
      <c r="C332" s="687">
        <v>3.0750999999999999</v>
      </c>
      <c r="D332" s="1035">
        <f t="shared" si="10"/>
        <v>4.6628773697287462E-2</v>
      </c>
      <c r="E332" s="687">
        <v>0.29559999999999997</v>
      </c>
      <c r="F332" s="663"/>
      <c r="G332" s="663"/>
      <c r="H332" s="11"/>
      <c r="I332" s="11"/>
      <c r="J332" s="11"/>
      <c r="K332" s="11"/>
      <c r="L332" s="11"/>
      <c r="M332" s="11"/>
      <c r="N332" s="11"/>
      <c r="O332" s="11"/>
      <c r="P332" s="11"/>
      <c r="Q332" s="11"/>
      <c r="R332" s="11"/>
      <c r="S332" s="11"/>
      <c r="T332" s="11"/>
      <c r="U332" s="11"/>
      <c r="V332" s="11"/>
      <c r="W332" s="11"/>
      <c r="X332" s="11"/>
      <c r="Y332" s="11"/>
      <c r="Z332" s="11"/>
      <c r="AA332" s="11"/>
    </row>
    <row r="333" spans="1:27" x14ac:dyDescent="0.25">
      <c r="A333" s="1538">
        <v>30743</v>
      </c>
      <c r="B333" s="687">
        <v>3.3641000000000001</v>
      </c>
      <c r="C333" s="687">
        <v>3.0609000000000002</v>
      </c>
      <c r="D333" s="1035">
        <f t="shared" si="10"/>
        <v>4.4675767918088694E-2</v>
      </c>
      <c r="E333" s="687">
        <v>0.30330000000000001</v>
      </c>
      <c r="F333" s="663"/>
      <c r="G333" s="663"/>
      <c r="H333" s="11"/>
      <c r="I333" s="11"/>
      <c r="J333" s="11"/>
      <c r="K333" s="11"/>
      <c r="L333" s="11"/>
      <c r="M333" s="11"/>
      <c r="N333" s="11"/>
      <c r="O333" s="11"/>
      <c r="P333" s="11"/>
      <c r="Q333" s="11"/>
      <c r="R333" s="11"/>
      <c r="S333" s="11"/>
      <c r="T333" s="11"/>
      <c r="U333" s="11"/>
      <c r="V333" s="11"/>
      <c r="W333" s="11"/>
      <c r="X333" s="11"/>
      <c r="Y333" s="11"/>
      <c r="Z333" s="11"/>
      <c r="AA333" s="11"/>
    </row>
    <row r="334" spans="1:27" x14ac:dyDescent="0.25">
      <c r="A334" s="1538">
        <v>30715</v>
      </c>
      <c r="B334" s="687">
        <v>3.3584000000000001</v>
      </c>
      <c r="C334" s="687">
        <v>3.0470000000000002</v>
      </c>
      <c r="D334" s="1035">
        <f t="shared" si="10"/>
        <v>4.1923129530843983E-2</v>
      </c>
      <c r="E334" s="687">
        <v>0.31140000000000001</v>
      </c>
      <c r="F334" s="663"/>
      <c r="G334" s="663"/>
      <c r="H334" s="11"/>
      <c r="I334" s="11"/>
      <c r="J334" s="11"/>
      <c r="K334" s="11"/>
      <c r="L334" s="11"/>
      <c r="M334" s="11"/>
      <c r="N334" s="11"/>
      <c r="O334" s="11"/>
      <c r="P334" s="11"/>
      <c r="Q334" s="11"/>
      <c r="R334" s="11"/>
      <c r="S334" s="11"/>
      <c r="T334" s="11"/>
      <c r="U334" s="11"/>
      <c r="V334" s="11"/>
      <c r="W334" s="11"/>
      <c r="X334" s="11"/>
      <c r="Y334" s="11"/>
      <c r="Z334" s="11"/>
      <c r="AA334" s="11"/>
    </row>
    <row r="335" spans="1:27" x14ac:dyDescent="0.25">
      <c r="A335" s="1538">
        <v>30684</v>
      </c>
      <c r="B335" s="687">
        <v>3.3555000000000001</v>
      </c>
      <c r="C335" s="687">
        <v>3.0352999999999999</v>
      </c>
      <c r="D335" s="1035">
        <f t="shared" si="10"/>
        <v>3.8917031763417098E-2</v>
      </c>
      <c r="E335" s="687">
        <v>0.32019999999999998</v>
      </c>
      <c r="F335" s="663"/>
      <c r="G335" s="663"/>
      <c r="H335" s="11"/>
      <c r="I335" s="11"/>
      <c r="J335" s="11"/>
      <c r="K335" s="11"/>
      <c r="L335" s="11"/>
      <c r="M335" s="11"/>
      <c r="N335" s="11"/>
      <c r="O335" s="11"/>
      <c r="P335" s="11"/>
      <c r="Q335" s="11"/>
      <c r="R335" s="11"/>
      <c r="S335" s="11"/>
      <c r="T335" s="11"/>
      <c r="U335" s="11"/>
      <c r="V335" s="11"/>
      <c r="W335" s="11"/>
      <c r="X335" s="11"/>
      <c r="Y335" s="11"/>
      <c r="Z335" s="11"/>
      <c r="AA335" s="11"/>
    </row>
    <row r="336" spans="1:27" x14ac:dyDescent="0.25">
      <c r="A336" s="1538">
        <v>30653</v>
      </c>
      <c r="B336" s="687">
        <v>3.3553999999999999</v>
      </c>
      <c r="C336" s="687">
        <v>3.0261999999999998</v>
      </c>
      <c r="D336" s="1035"/>
      <c r="E336" s="687">
        <v>0.32919999999999999</v>
      </c>
      <c r="F336" s="663"/>
      <c r="G336" s="663"/>
      <c r="H336" s="11"/>
      <c r="I336" s="11"/>
      <c r="J336" s="11"/>
      <c r="K336" s="11"/>
      <c r="L336" s="11"/>
      <c r="M336" s="11"/>
      <c r="N336" s="11"/>
      <c r="O336" s="11"/>
      <c r="P336" s="11"/>
      <c r="Q336" s="11"/>
      <c r="R336" s="11"/>
      <c r="S336" s="11"/>
      <c r="T336" s="11"/>
      <c r="U336" s="11"/>
      <c r="V336" s="11"/>
      <c r="W336" s="11"/>
      <c r="X336" s="11"/>
      <c r="Y336" s="11"/>
      <c r="Z336" s="11"/>
      <c r="AA336" s="11"/>
    </row>
    <row r="337" spans="1:27" x14ac:dyDescent="0.25">
      <c r="A337" s="1538">
        <v>30623</v>
      </c>
      <c r="B337" s="687">
        <v>3.3578999999999999</v>
      </c>
      <c r="C337" s="687">
        <v>3.0188000000000001</v>
      </c>
      <c r="D337" s="1035"/>
      <c r="E337" s="687">
        <v>0.33910000000000001</v>
      </c>
      <c r="F337" s="663"/>
      <c r="G337" s="663"/>
      <c r="H337" s="11"/>
      <c r="I337" s="11"/>
      <c r="J337" s="11"/>
      <c r="K337" s="11"/>
      <c r="L337" s="11"/>
      <c r="M337" s="11"/>
      <c r="N337" s="11"/>
      <c r="O337" s="11"/>
      <c r="P337" s="11"/>
      <c r="Q337" s="11"/>
      <c r="R337" s="11"/>
      <c r="S337" s="11"/>
      <c r="T337" s="11"/>
      <c r="U337" s="11"/>
      <c r="V337" s="11"/>
      <c r="W337" s="11"/>
      <c r="X337" s="11"/>
      <c r="Y337" s="11"/>
      <c r="Z337" s="11"/>
      <c r="AA337" s="11"/>
    </row>
    <row r="338" spans="1:27" x14ac:dyDescent="0.25">
      <c r="A338" s="1538">
        <v>30592</v>
      </c>
      <c r="B338" s="687">
        <v>3.3618999999999999</v>
      </c>
      <c r="C338" s="687">
        <v>3.0112000000000001</v>
      </c>
      <c r="D338" s="1035"/>
      <c r="E338" s="687">
        <v>0.35070000000000001</v>
      </c>
      <c r="F338" s="663"/>
      <c r="G338" s="663"/>
      <c r="H338" s="11"/>
      <c r="I338" s="11"/>
      <c r="J338" s="11"/>
      <c r="K338" s="11"/>
      <c r="L338" s="11"/>
      <c r="M338" s="11"/>
      <c r="N338" s="11"/>
      <c r="O338" s="11"/>
      <c r="P338" s="11"/>
      <c r="Q338" s="11"/>
      <c r="R338" s="11"/>
      <c r="S338" s="11"/>
      <c r="T338" s="11"/>
      <c r="U338" s="11"/>
      <c r="V338" s="11"/>
      <c r="W338" s="11"/>
      <c r="X338" s="11"/>
      <c r="Y338" s="11"/>
      <c r="Z338" s="11"/>
      <c r="AA338" s="11"/>
    </row>
    <row r="339" spans="1:27" x14ac:dyDescent="0.25">
      <c r="A339" s="1538">
        <v>30562</v>
      </c>
      <c r="B339" s="687">
        <v>3.3662000000000001</v>
      </c>
      <c r="C339" s="687">
        <v>3.0023</v>
      </c>
      <c r="D339" s="1035"/>
      <c r="E339" s="687">
        <v>0.3639</v>
      </c>
      <c r="F339" s="663"/>
      <c r="G339" s="663"/>
      <c r="H339" s="11"/>
      <c r="I339" s="11"/>
      <c r="J339" s="11"/>
      <c r="K339" s="11"/>
      <c r="L339" s="11"/>
      <c r="M339" s="11"/>
      <c r="N339" s="11"/>
      <c r="O339" s="11"/>
      <c r="P339" s="11"/>
      <c r="Q339" s="11"/>
      <c r="R339" s="11"/>
      <c r="S339" s="11"/>
      <c r="T339" s="11"/>
      <c r="U339" s="11"/>
      <c r="V339" s="11"/>
      <c r="W339" s="11"/>
      <c r="X339" s="11"/>
      <c r="Y339" s="11"/>
      <c r="Z339" s="11"/>
      <c r="AA339" s="11"/>
    </row>
    <row r="340" spans="1:27" x14ac:dyDescent="0.25">
      <c r="A340" s="1538">
        <v>30531</v>
      </c>
      <c r="B340" s="687">
        <v>3.3692000000000002</v>
      </c>
      <c r="C340" s="687">
        <v>2.9914999999999998</v>
      </c>
      <c r="D340" s="1035"/>
      <c r="E340" s="687">
        <v>0.37769999999999998</v>
      </c>
      <c r="F340" s="663"/>
      <c r="G340" s="663"/>
      <c r="H340" s="11"/>
      <c r="I340" s="11"/>
      <c r="J340" s="11"/>
      <c r="K340" s="11"/>
      <c r="L340" s="11"/>
      <c r="M340" s="11"/>
      <c r="N340" s="11"/>
      <c r="O340" s="11"/>
      <c r="P340" s="11"/>
      <c r="Q340" s="11"/>
      <c r="R340" s="11"/>
      <c r="S340" s="11"/>
      <c r="T340" s="11"/>
      <c r="U340" s="11"/>
      <c r="V340" s="11"/>
      <c r="W340" s="11"/>
      <c r="X340" s="11"/>
      <c r="Y340" s="11"/>
      <c r="Z340" s="11"/>
      <c r="AA340" s="11"/>
    </row>
    <row r="341" spans="1:27" x14ac:dyDescent="0.25">
      <c r="A341" s="1538">
        <v>30500</v>
      </c>
      <c r="B341" s="687">
        <v>3.3694999999999999</v>
      </c>
      <c r="C341" s="687">
        <v>2.9781</v>
      </c>
      <c r="D341" s="1035"/>
      <c r="E341" s="687">
        <v>0.39129999999999998</v>
      </c>
      <c r="F341" s="663"/>
      <c r="G341" s="663"/>
      <c r="H341" s="11"/>
      <c r="I341" s="11"/>
      <c r="J341" s="11"/>
      <c r="K341" s="11"/>
      <c r="L341" s="11"/>
      <c r="M341" s="11"/>
      <c r="N341" s="11"/>
      <c r="O341" s="11"/>
      <c r="P341" s="11"/>
      <c r="Q341" s="11"/>
      <c r="R341" s="11"/>
      <c r="S341" s="11"/>
      <c r="T341" s="11"/>
      <c r="U341" s="11"/>
      <c r="V341" s="11"/>
      <c r="W341" s="11"/>
      <c r="X341" s="11"/>
      <c r="Y341" s="11"/>
      <c r="Z341" s="11"/>
      <c r="AA341" s="11"/>
    </row>
    <row r="342" spans="1:27" x14ac:dyDescent="0.25">
      <c r="A342" s="1538">
        <v>30470</v>
      </c>
      <c r="B342" s="687">
        <v>3.3662999999999998</v>
      </c>
      <c r="C342" s="687">
        <v>2.9632999999999998</v>
      </c>
      <c r="D342" s="1035"/>
      <c r="E342" s="687">
        <v>0.40300000000000002</v>
      </c>
      <c r="F342" s="663"/>
      <c r="G342" s="663"/>
      <c r="H342" s="11"/>
      <c r="I342" s="11"/>
      <c r="J342" s="11"/>
      <c r="K342" s="11"/>
      <c r="L342" s="11"/>
      <c r="M342" s="11"/>
      <c r="N342" s="11"/>
      <c r="O342" s="11"/>
      <c r="P342" s="11"/>
      <c r="Q342" s="11"/>
      <c r="R342" s="11"/>
      <c r="S342" s="11"/>
      <c r="T342" s="11"/>
      <c r="U342" s="11"/>
      <c r="V342" s="11"/>
      <c r="W342" s="11"/>
      <c r="X342" s="11"/>
      <c r="Y342" s="11"/>
      <c r="Z342" s="11"/>
      <c r="AA342" s="11"/>
    </row>
    <row r="343" spans="1:27" x14ac:dyDescent="0.25">
      <c r="A343" s="1538">
        <v>30439</v>
      </c>
      <c r="B343" s="687">
        <v>3.3607999999999998</v>
      </c>
      <c r="C343" s="687">
        <v>2.9493999999999998</v>
      </c>
      <c r="D343" s="1035"/>
      <c r="E343" s="687">
        <v>0.41139999999999999</v>
      </c>
      <c r="F343" s="663"/>
      <c r="G343" s="663"/>
      <c r="H343" s="11"/>
      <c r="I343" s="11"/>
      <c r="J343" s="11"/>
      <c r="K343" s="11"/>
      <c r="L343" s="11"/>
      <c r="M343" s="11"/>
      <c r="N343" s="11"/>
      <c r="O343" s="11"/>
      <c r="P343" s="11"/>
      <c r="Q343" s="11"/>
      <c r="R343" s="11"/>
      <c r="S343" s="11"/>
      <c r="T343" s="11"/>
      <c r="U343" s="11"/>
      <c r="V343" s="11"/>
      <c r="W343" s="11"/>
      <c r="X343" s="11"/>
      <c r="Y343" s="11"/>
      <c r="Z343" s="11"/>
      <c r="AA343" s="11"/>
    </row>
    <row r="344" spans="1:27" x14ac:dyDescent="0.25">
      <c r="A344" s="1538">
        <v>30409</v>
      </c>
      <c r="B344" s="687">
        <v>3.3542999999999998</v>
      </c>
      <c r="C344" s="687">
        <v>2.9380999999999999</v>
      </c>
      <c r="D344" s="1035"/>
      <c r="E344" s="687">
        <v>0.41620000000000001</v>
      </c>
      <c r="F344" s="663"/>
      <c r="G344" s="663"/>
      <c r="H344" s="11"/>
      <c r="I344" s="11"/>
      <c r="J344" s="11"/>
      <c r="K344" s="11"/>
      <c r="L344" s="11"/>
      <c r="M344" s="11"/>
      <c r="N344" s="11"/>
      <c r="O344" s="11"/>
      <c r="P344" s="11"/>
      <c r="Q344" s="11"/>
      <c r="R344" s="11"/>
      <c r="S344" s="11"/>
      <c r="T344" s="11"/>
      <c r="U344" s="11"/>
      <c r="V344" s="11"/>
      <c r="W344" s="11"/>
      <c r="X344" s="11"/>
      <c r="Y344" s="11"/>
      <c r="Z344" s="11"/>
      <c r="AA344" s="11"/>
    </row>
    <row r="345" spans="1:27" x14ac:dyDescent="0.25">
      <c r="A345" s="1538">
        <v>30378</v>
      </c>
      <c r="B345" s="687">
        <v>3.3485</v>
      </c>
      <c r="C345" s="687">
        <v>2.93</v>
      </c>
      <c r="D345" s="1035"/>
      <c r="E345" s="687">
        <v>0.41860000000000003</v>
      </c>
      <c r="F345" s="663"/>
      <c r="G345" s="663"/>
      <c r="H345" s="11"/>
      <c r="I345" s="11"/>
      <c r="J345" s="11"/>
      <c r="K345" s="11"/>
      <c r="L345" s="11"/>
      <c r="M345" s="11"/>
      <c r="N345" s="11"/>
      <c r="O345" s="11"/>
      <c r="P345" s="11"/>
      <c r="Q345" s="11"/>
      <c r="R345" s="11"/>
      <c r="S345" s="11"/>
      <c r="T345" s="11"/>
      <c r="U345" s="11"/>
      <c r="V345" s="11"/>
      <c r="W345" s="11"/>
      <c r="X345" s="11"/>
      <c r="Y345" s="11"/>
      <c r="Z345" s="11"/>
      <c r="AA345" s="11"/>
    </row>
    <row r="346" spans="1:27" x14ac:dyDescent="0.25">
      <c r="A346" s="1538">
        <v>30350</v>
      </c>
      <c r="B346" s="687">
        <v>3.3439000000000001</v>
      </c>
      <c r="C346" s="687">
        <v>2.9243999999999999</v>
      </c>
      <c r="D346" s="1035"/>
      <c r="E346" s="687">
        <v>0.41949999999999998</v>
      </c>
      <c r="F346" s="663"/>
      <c r="G346" s="663"/>
      <c r="H346" s="11"/>
      <c r="I346" s="11"/>
      <c r="J346" s="11"/>
      <c r="K346" s="11"/>
      <c r="L346" s="11"/>
      <c r="M346" s="11"/>
      <c r="N346" s="11"/>
      <c r="O346" s="11"/>
      <c r="P346" s="11"/>
      <c r="Q346" s="11"/>
      <c r="R346" s="11"/>
      <c r="S346" s="11"/>
      <c r="T346" s="11"/>
      <c r="U346" s="11"/>
      <c r="V346" s="11"/>
      <c r="W346" s="11"/>
      <c r="X346" s="11"/>
      <c r="Y346" s="11"/>
      <c r="Z346" s="11"/>
      <c r="AA346" s="11"/>
    </row>
    <row r="347" spans="1:27" x14ac:dyDescent="0.25">
      <c r="A347" s="1538">
        <v>30319</v>
      </c>
      <c r="B347" s="687">
        <v>3.3408000000000002</v>
      </c>
      <c r="C347" s="687">
        <v>2.9216000000000002</v>
      </c>
      <c r="D347" s="1035"/>
      <c r="E347" s="687">
        <v>0.41920000000000002</v>
      </c>
      <c r="F347" s="663"/>
      <c r="G347" s="663"/>
      <c r="H347" s="11"/>
      <c r="I347" s="11"/>
      <c r="J347" s="11"/>
      <c r="K347" s="11"/>
      <c r="L347" s="11"/>
      <c r="M347" s="11"/>
      <c r="N347" s="11"/>
      <c r="O347" s="11"/>
      <c r="P347" s="11"/>
      <c r="Q347" s="11"/>
      <c r="R347" s="11"/>
      <c r="S347" s="11"/>
      <c r="T347" s="11"/>
      <c r="U347" s="11"/>
      <c r="V347" s="11"/>
      <c r="W347" s="11"/>
      <c r="X347" s="11"/>
      <c r="Y347" s="11"/>
      <c r="Z347" s="11"/>
      <c r="AA347" s="11"/>
    </row>
    <row r="348" spans="1:27" x14ac:dyDescent="0.25">
      <c r="A348" s="11"/>
      <c r="B348" s="11"/>
      <c r="C348" s="11"/>
      <c r="D348" s="11"/>
      <c r="E348" s="11"/>
      <c r="F348" s="11"/>
      <c r="G348" s="11"/>
      <c r="H348" s="11"/>
      <c r="I348" s="11"/>
      <c r="J348" s="11"/>
      <c r="K348" s="11"/>
      <c r="L348" s="11"/>
      <c r="M348" s="11"/>
      <c r="N348" s="11"/>
      <c r="O348" s="11"/>
      <c r="P348" s="11"/>
      <c r="Q348" s="11"/>
      <c r="R348" s="11"/>
      <c r="S348" s="11"/>
      <c r="T348" s="11"/>
      <c r="U348" s="11"/>
      <c r="V348" s="11"/>
      <c r="W348" s="11"/>
      <c r="X348" s="11"/>
      <c r="Y348" s="11"/>
      <c r="Z348" s="11"/>
      <c r="AA348" s="11"/>
    </row>
    <row r="349" spans="1:27" x14ac:dyDescent="0.25">
      <c r="A349" s="11" t="s">
        <v>1461</v>
      </c>
      <c r="B349" s="11" t="s">
        <v>1461</v>
      </c>
      <c r="C349" s="11" t="s">
        <v>1461</v>
      </c>
      <c r="D349" s="11" t="s">
        <v>1461</v>
      </c>
      <c r="E349" s="11" t="s">
        <v>1461</v>
      </c>
      <c r="F349" s="11" t="s">
        <v>1461</v>
      </c>
      <c r="G349" s="11" t="s">
        <v>1461</v>
      </c>
      <c r="H349" s="11" t="s">
        <v>1461</v>
      </c>
      <c r="I349" s="11" t="s">
        <v>1461</v>
      </c>
      <c r="J349" s="11" t="s">
        <v>1461</v>
      </c>
      <c r="K349" s="11" t="s">
        <v>1461</v>
      </c>
      <c r="L349" s="11"/>
      <c r="M349" s="11"/>
      <c r="N349" s="11"/>
      <c r="O349" s="11"/>
      <c r="P349" s="11"/>
      <c r="Q349" s="11"/>
      <c r="R349" s="11"/>
      <c r="S349" s="11"/>
      <c r="T349" s="11"/>
      <c r="U349" s="11"/>
      <c r="V349" s="11"/>
      <c r="W349" s="11"/>
      <c r="X349" s="11"/>
      <c r="Y349" s="11"/>
      <c r="Z349" s="11"/>
      <c r="AA349" s="11"/>
    </row>
  </sheetData>
  <phoneticPr fontId="13"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X103"/>
  <sheetViews>
    <sheetView zoomScale="85" workbookViewId="0">
      <pane xSplit="2" ySplit="6" topLeftCell="C7" activePane="bottomRight" state="frozen"/>
      <selection pane="topRight" activeCell="C1" sqref="C1"/>
      <selection pane="bottomLeft" activeCell="A3" sqref="A3"/>
      <selection pane="bottomRight" activeCell="C7" sqref="C7"/>
    </sheetView>
  </sheetViews>
  <sheetFormatPr defaultRowHeight="15.75" x14ac:dyDescent="0.25"/>
  <cols>
    <col min="1" max="1" width="27.875" bestFit="1" customWidth="1"/>
    <col min="2" max="2" width="11.5" bestFit="1" customWidth="1"/>
    <col min="3" max="3" width="10.875" bestFit="1" customWidth="1"/>
    <col min="4" max="4" width="1.625" customWidth="1"/>
    <col min="5" max="5" width="8.625" bestFit="1" customWidth="1"/>
    <col min="6" max="6" width="8.75" bestFit="1" customWidth="1"/>
    <col min="7" max="9" width="8.625" bestFit="1" customWidth="1"/>
    <col min="10" max="12" width="8.75" bestFit="1" customWidth="1"/>
    <col min="13" max="13" width="8.625" bestFit="1" customWidth="1"/>
    <col min="14" max="14" width="9.625" customWidth="1"/>
    <col min="15" max="15" width="10.625" customWidth="1"/>
    <col min="16" max="16" width="9.25" customWidth="1"/>
    <col min="17" max="18" width="8.75" bestFit="1" customWidth="1"/>
    <col min="19" max="19" width="9.5" bestFit="1" customWidth="1"/>
    <col min="20" max="21" width="8.75" bestFit="1" customWidth="1"/>
    <col min="22" max="22" width="9.5" bestFit="1" customWidth="1"/>
    <col min="23" max="24" width="8.75" bestFit="1" customWidth="1"/>
    <col min="25" max="25" width="9.5" bestFit="1" customWidth="1"/>
    <col min="26" max="27" width="8.75" bestFit="1" customWidth="1"/>
    <col min="28" max="28" width="9.5" bestFit="1" customWidth="1"/>
    <col min="29" max="30" width="8.75" bestFit="1" customWidth="1"/>
    <col min="31" max="31" width="9.5" bestFit="1" customWidth="1"/>
    <col min="32" max="33" width="8.75" bestFit="1" customWidth="1"/>
    <col min="34" max="34" width="9.5" bestFit="1" customWidth="1"/>
    <col min="35" max="36" width="8.75" bestFit="1" customWidth="1"/>
    <col min="37" max="37" width="9.5" bestFit="1" customWidth="1"/>
    <col min="38" max="39" width="8.75" bestFit="1" customWidth="1"/>
    <col min="40" max="40" width="9.5" bestFit="1" customWidth="1"/>
    <col min="41" max="42" width="8.75" bestFit="1" customWidth="1"/>
    <col min="43" max="43" width="9.5" bestFit="1" customWidth="1"/>
    <col min="44" max="45" width="8.75" bestFit="1" customWidth="1"/>
    <col min="46" max="46" width="9.5" bestFit="1" customWidth="1"/>
    <col min="47" max="48" width="8.75" bestFit="1" customWidth="1"/>
    <col min="49" max="49" width="9.5" bestFit="1" customWidth="1"/>
    <col min="50" max="51" width="8.75" bestFit="1" customWidth="1"/>
    <col min="52" max="52" width="9.5" bestFit="1" customWidth="1"/>
    <col min="53" max="54" width="8.75" bestFit="1" customWidth="1"/>
    <col min="55" max="55" width="9.5" bestFit="1" customWidth="1"/>
    <col min="56" max="57" width="8.75" bestFit="1" customWidth="1"/>
    <col min="58" max="58" width="9.5" bestFit="1" customWidth="1"/>
    <col min="59" max="60" width="8.75" bestFit="1" customWidth="1"/>
    <col min="61" max="61" width="9.5" bestFit="1" customWidth="1"/>
    <col min="62" max="63" width="8.75" bestFit="1" customWidth="1"/>
    <col min="64" max="64" width="9.5" bestFit="1" customWidth="1"/>
    <col min="65" max="66" width="8.75" bestFit="1" customWidth="1"/>
    <col min="67" max="67" width="9.5" bestFit="1" customWidth="1"/>
    <col min="68" max="69" width="8.75" bestFit="1" customWidth="1"/>
    <col min="70" max="70" width="9.5" bestFit="1" customWidth="1"/>
    <col min="71" max="72" width="8.75" bestFit="1" customWidth="1"/>
    <col min="73" max="73" width="9.5" bestFit="1" customWidth="1"/>
    <col min="74" max="74" width="8.625" bestFit="1" customWidth="1"/>
    <col min="75" max="75" width="8.75" bestFit="1" customWidth="1"/>
    <col min="76" max="76" width="9.5" bestFit="1" customWidth="1"/>
  </cols>
  <sheetData>
    <row r="1" spans="1:76" x14ac:dyDescent="0.25">
      <c r="A1" s="250"/>
      <c r="B1" s="252"/>
      <c r="C1" s="8"/>
      <c r="D1" s="8"/>
      <c r="E1" s="257"/>
      <c r="F1" s="257"/>
      <c r="G1" s="257"/>
      <c r="H1" s="257"/>
      <c r="I1" s="257"/>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row>
    <row r="2" spans="1:76" x14ac:dyDescent="0.25">
      <c r="A2" s="250"/>
      <c r="B2" s="252"/>
      <c r="C2" s="8"/>
      <c r="D2" s="8"/>
      <c r="E2" s="267" t="s">
        <v>2121</v>
      </c>
      <c r="F2" s="267" t="s">
        <v>2121</v>
      </c>
      <c r="G2" s="267" t="s">
        <v>2121</v>
      </c>
      <c r="H2" s="267" t="s">
        <v>2121</v>
      </c>
      <c r="I2" s="267" t="s">
        <v>2121</v>
      </c>
      <c r="J2" s="267" t="s">
        <v>2121</v>
      </c>
      <c r="K2" s="267" t="s">
        <v>2121</v>
      </c>
      <c r="L2" s="267" t="s">
        <v>2121</v>
      </c>
      <c r="M2" s="267" t="s">
        <v>2121</v>
      </c>
      <c r="N2" s="267" t="s">
        <v>2121</v>
      </c>
      <c r="O2" s="267" t="s">
        <v>2121</v>
      </c>
      <c r="P2" s="267" t="s">
        <v>2121</v>
      </c>
      <c r="Q2" s="267" t="s">
        <v>2121</v>
      </c>
      <c r="R2" s="267" t="s">
        <v>2121</v>
      </c>
      <c r="S2" s="267" t="s">
        <v>2121</v>
      </c>
      <c r="T2" s="267" t="s">
        <v>2121</v>
      </c>
      <c r="U2" s="267" t="s">
        <v>2121</v>
      </c>
      <c r="V2" s="267" t="s">
        <v>2121</v>
      </c>
      <c r="W2" s="267" t="s">
        <v>2121</v>
      </c>
      <c r="X2" s="267" t="s">
        <v>2121</v>
      </c>
      <c r="Y2" s="267" t="s">
        <v>2121</v>
      </c>
      <c r="Z2" s="267" t="s">
        <v>2121</v>
      </c>
      <c r="AA2" s="267" t="s">
        <v>2121</v>
      </c>
      <c r="AB2" s="267" t="s">
        <v>2121</v>
      </c>
      <c r="AC2" s="267" t="s">
        <v>2121</v>
      </c>
      <c r="AD2" s="267" t="s">
        <v>2121</v>
      </c>
      <c r="AE2" s="267" t="s">
        <v>2121</v>
      </c>
      <c r="AF2" s="267" t="s">
        <v>2121</v>
      </c>
      <c r="AG2" s="267" t="s">
        <v>2121</v>
      </c>
      <c r="AH2" s="267" t="s">
        <v>2121</v>
      </c>
      <c r="AI2" s="267" t="s">
        <v>2121</v>
      </c>
      <c r="AJ2" s="267" t="s">
        <v>2121</v>
      </c>
      <c r="AK2" s="267" t="s">
        <v>2121</v>
      </c>
      <c r="AL2" s="267" t="s">
        <v>2121</v>
      </c>
      <c r="AM2" s="267" t="s">
        <v>2121</v>
      </c>
      <c r="AN2" s="267" t="s">
        <v>2121</v>
      </c>
      <c r="AO2" s="267" t="s">
        <v>2121</v>
      </c>
      <c r="AP2" s="267" t="s">
        <v>2121</v>
      </c>
      <c r="AQ2" s="267" t="s">
        <v>2121</v>
      </c>
      <c r="AR2" s="267" t="s">
        <v>2121</v>
      </c>
      <c r="AS2" s="267" t="s">
        <v>2121</v>
      </c>
      <c r="AT2" s="267" t="s">
        <v>2121</v>
      </c>
      <c r="AU2" s="267" t="s">
        <v>2121</v>
      </c>
      <c r="AV2" s="267" t="s">
        <v>2121</v>
      </c>
      <c r="AW2" s="267" t="s">
        <v>2121</v>
      </c>
      <c r="AX2" s="267" t="s">
        <v>2121</v>
      </c>
      <c r="AY2" s="267" t="s">
        <v>2121</v>
      </c>
      <c r="AZ2" s="267" t="s">
        <v>2121</v>
      </c>
      <c r="BA2" s="267" t="s">
        <v>2121</v>
      </c>
      <c r="BB2" s="267" t="s">
        <v>2121</v>
      </c>
      <c r="BC2" s="267" t="s">
        <v>2121</v>
      </c>
      <c r="BD2" s="267" t="s">
        <v>2121</v>
      </c>
      <c r="BE2" s="267" t="s">
        <v>2121</v>
      </c>
      <c r="BF2" s="267" t="s">
        <v>2121</v>
      </c>
      <c r="BG2" s="267" t="s">
        <v>2121</v>
      </c>
      <c r="BH2" s="267" t="s">
        <v>2121</v>
      </c>
      <c r="BI2" s="267" t="s">
        <v>2121</v>
      </c>
      <c r="BJ2" s="267" t="s">
        <v>2121</v>
      </c>
      <c r="BK2" s="267" t="s">
        <v>2121</v>
      </c>
      <c r="BL2" s="267" t="s">
        <v>2121</v>
      </c>
      <c r="BM2" s="267" t="s">
        <v>2121</v>
      </c>
      <c r="BN2" s="267" t="s">
        <v>2121</v>
      </c>
      <c r="BO2" s="267" t="s">
        <v>2121</v>
      </c>
      <c r="BP2" s="267" t="s">
        <v>2121</v>
      </c>
      <c r="BQ2" s="267" t="s">
        <v>2121</v>
      </c>
      <c r="BR2" s="267" t="s">
        <v>2121</v>
      </c>
      <c r="BS2" s="267" t="s">
        <v>2121</v>
      </c>
      <c r="BT2" s="267" t="s">
        <v>2121</v>
      </c>
      <c r="BU2" s="267" t="s">
        <v>2121</v>
      </c>
      <c r="BV2" s="267" t="s">
        <v>2121</v>
      </c>
      <c r="BW2" s="267" t="s">
        <v>2121</v>
      </c>
      <c r="BX2" s="267" t="s">
        <v>2121</v>
      </c>
    </row>
    <row r="3" spans="1:76" x14ac:dyDescent="0.25">
      <c r="A3" s="271" t="s">
        <v>2200</v>
      </c>
      <c r="B3" s="252"/>
      <c r="C3" s="8"/>
      <c r="D3" s="8"/>
      <c r="E3" s="268">
        <v>37987</v>
      </c>
      <c r="F3" s="268">
        <v>38018</v>
      </c>
      <c r="G3" s="268">
        <v>38047</v>
      </c>
      <c r="H3" s="268">
        <v>38078</v>
      </c>
      <c r="I3" s="268">
        <v>38108</v>
      </c>
      <c r="J3" s="268">
        <v>38139</v>
      </c>
      <c r="K3" s="268">
        <v>38169</v>
      </c>
      <c r="L3" s="268">
        <v>38200</v>
      </c>
      <c r="M3" s="268">
        <v>38231</v>
      </c>
      <c r="N3" s="268">
        <v>38261</v>
      </c>
      <c r="O3" s="268">
        <v>38292</v>
      </c>
      <c r="P3" s="268">
        <v>38322</v>
      </c>
      <c r="Q3" s="268">
        <v>38353</v>
      </c>
      <c r="R3" s="268">
        <v>38384</v>
      </c>
      <c r="S3" s="268">
        <v>38412</v>
      </c>
      <c r="T3" s="268">
        <v>38443</v>
      </c>
      <c r="U3" s="268">
        <v>38473</v>
      </c>
      <c r="V3" s="268">
        <v>38504</v>
      </c>
      <c r="W3" s="268">
        <v>38534</v>
      </c>
      <c r="X3" s="268">
        <v>38565</v>
      </c>
      <c r="Y3" s="268">
        <v>38596</v>
      </c>
      <c r="Z3" s="268">
        <v>38626</v>
      </c>
      <c r="AA3" s="268">
        <v>38657</v>
      </c>
      <c r="AB3" s="268">
        <v>38687</v>
      </c>
      <c r="AC3" s="268">
        <v>38718</v>
      </c>
      <c r="AD3" s="268">
        <v>38749</v>
      </c>
      <c r="AE3" s="268">
        <v>38777</v>
      </c>
      <c r="AF3" s="268">
        <v>38808</v>
      </c>
      <c r="AG3" s="268">
        <v>38838</v>
      </c>
      <c r="AH3" s="268">
        <v>38869</v>
      </c>
      <c r="AI3" s="268">
        <v>38899</v>
      </c>
      <c r="AJ3" s="268">
        <v>38930</v>
      </c>
      <c r="AK3" s="268">
        <v>38961</v>
      </c>
      <c r="AL3" s="268">
        <v>38991</v>
      </c>
      <c r="AM3" s="268">
        <v>39022</v>
      </c>
      <c r="AN3" s="268">
        <v>39052</v>
      </c>
      <c r="AO3" s="268">
        <v>39083</v>
      </c>
      <c r="AP3" s="268">
        <v>39114</v>
      </c>
      <c r="AQ3" s="268">
        <v>39142</v>
      </c>
      <c r="AR3" s="268">
        <v>39173</v>
      </c>
      <c r="AS3" s="268">
        <v>39203</v>
      </c>
      <c r="AT3" s="268">
        <v>39234</v>
      </c>
      <c r="AU3" s="268">
        <v>39264</v>
      </c>
      <c r="AV3" s="268">
        <v>39295</v>
      </c>
      <c r="AW3" s="268">
        <v>39326</v>
      </c>
      <c r="AX3" s="268">
        <v>39356</v>
      </c>
      <c r="AY3" s="268">
        <v>39387</v>
      </c>
      <c r="AZ3" s="268">
        <v>39417</v>
      </c>
      <c r="BA3" s="268">
        <v>39448</v>
      </c>
      <c r="BB3" s="268">
        <v>39479</v>
      </c>
      <c r="BC3" s="268">
        <v>39508</v>
      </c>
      <c r="BD3" s="268">
        <v>39539</v>
      </c>
      <c r="BE3" s="268">
        <v>39569</v>
      </c>
      <c r="BF3" s="268">
        <v>39600</v>
      </c>
      <c r="BG3" s="268">
        <v>39630</v>
      </c>
      <c r="BH3" s="268">
        <v>39661</v>
      </c>
      <c r="BI3" s="268">
        <v>39692</v>
      </c>
      <c r="BJ3" s="268">
        <v>39722</v>
      </c>
      <c r="BK3" s="268">
        <v>39753</v>
      </c>
      <c r="BL3" s="268">
        <v>39783</v>
      </c>
      <c r="BM3" s="268">
        <v>39814</v>
      </c>
      <c r="BN3" s="268">
        <v>39845</v>
      </c>
      <c r="BO3" s="268">
        <v>39873</v>
      </c>
      <c r="BP3" s="268">
        <v>39904</v>
      </c>
      <c r="BQ3" s="268">
        <v>39934</v>
      </c>
      <c r="BR3" s="268">
        <v>39965</v>
      </c>
      <c r="BS3" s="268">
        <v>39995</v>
      </c>
      <c r="BT3" s="268">
        <v>40026</v>
      </c>
      <c r="BU3" s="268">
        <v>40057</v>
      </c>
      <c r="BV3" s="268">
        <v>40087</v>
      </c>
      <c r="BW3" s="268">
        <v>40118</v>
      </c>
      <c r="BX3" s="268">
        <v>40148</v>
      </c>
    </row>
    <row r="4" spans="1:76" x14ac:dyDescent="0.25">
      <c r="A4" s="250"/>
      <c r="B4" s="252"/>
      <c r="C4" s="8"/>
      <c r="D4" s="8"/>
      <c r="E4" s="269">
        <v>2004</v>
      </c>
      <c r="F4" s="269">
        <v>2004</v>
      </c>
      <c r="G4" s="269">
        <v>2004</v>
      </c>
      <c r="H4" s="269">
        <v>2004</v>
      </c>
      <c r="I4" s="269">
        <v>2004</v>
      </c>
      <c r="J4" s="269">
        <v>2004</v>
      </c>
      <c r="K4" s="269">
        <v>2004</v>
      </c>
      <c r="L4" s="269">
        <v>2004</v>
      </c>
      <c r="M4" s="269">
        <v>2004</v>
      </c>
      <c r="N4" s="269">
        <v>2004</v>
      </c>
      <c r="O4" s="269">
        <v>2004</v>
      </c>
      <c r="P4" s="269">
        <v>2004</v>
      </c>
      <c r="Q4" s="269">
        <v>2005</v>
      </c>
      <c r="R4" s="269">
        <v>2005</v>
      </c>
      <c r="S4" s="269">
        <v>2005</v>
      </c>
      <c r="T4" s="269">
        <v>2005</v>
      </c>
      <c r="U4" s="269">
        <v>2005</v>
      </c>
      <c r="V4" s="269">
        <v>2005</v>
      </c>
      <c r="W4" s="269">
        <v>2005</v>
      </c>
      <c r="X4" s="269">
        <v>2005</v>
      </c>
      <c r="Y4" s="269">
        <v>2005</v>
      </c>
      <c r="Z4" s="269">
        <v>2005</v>
      </c>
      <c r="AA4" s="269">
        <v>2005</v>
      </c>
      <c r="AB4" s="269">
        <v>2005</v>
      </c>
      <c r="AC4" s="269">
        <v>2006</v>
      </c>
      <c r="AD4" s="269">
        <v>2006</v>
      </c>
      <c r="AE4" s="269">
        <v>2006</v>
      </c>
      <c r="AF4" s="269">
        <v>2006</v>
      </c>
      <c r="AG4" s="269">
        <v>2006</v>
      </c>
      <c r="AH4" s="269">
        <v>2006</v>
      </c>
      <c r="AI4" s="269">
        <v>2006</v>
      </c>
      <c r="AJ4" s="269">
        <v>2006</v>
      </c>
      <c r="AK4" s="269">
        <v>2006</v>
      </c>
      <c r="AL4" s="269">
        <v>2006</v>
      </c>
      <c r="AM4" s="269">
        <v>2006</v>
      </c>
      <c r="AN4" s="269">
        <v>2006</v>
      </c>
      <c r="AO4" s="269">
        <v>2007</v>
      </c>
      <c r="AP4" s="269">
        <v>2007</v>
      </c>
      <c r="AQ4" s="269">
        <v>2007</v>
      </c>
      <c r="AR4" s="269">
        <v>2007</v>
      </c>
      <c r="AS4" s="269">
        <v>2007</v>
      </c>
      <c r="AT4" s="269">
        <v>2007</v>
      </c>
      <c r="AU4" s="269">
        <v>2007</v>
      </c>
      <c r="AV4" s="269">
        <v>2007</v>
      </c>
      <c r="AW4" s="269">
        <v>2007</v>
      </c>
      <c r="AX4" s="269">
        <v>2007</v>
      </c>
      <c r="AY4" s="269">
        <v>2007</v>
      </c>
      <c r="AZ4" s="269">
        <v>2007</v>
      </c>
      <c r="BA4" s="269">
        <v>2008</v>
      </c>
      <c r="BB4" s="269">
        <v>2008</v>
      </c>
      <c r="BC4" s="269">
        <v>2008</v>
      </c>
      <c r="BD4" s="269">
        <v>2008</v>
      </c>
      <c r="BE4" s="269">
        <v>2008</v>
      </c>
      <c r="BF4" s="269">
        <v>2008</v>
      </c>
      <c r="BG4" s="269">
        <v>2008</v>
      </c>
      <c r="BH4" s="269">
        <v>2008</v>
      </c>
      <c r="BI4" s="269">
        <v>2008</v>
      </c>
      <c r="BJ4" s="269">
        <v>2008</v>
      </c>
      <c r="BK4" s="269">
        <v>2008</v>
      </c>
      <c r="BL4" s="269">
        <v>2008</v>
      </c>
      <c r="BM4" s="269">
        <v>2009</v>
      </c>
      <c r="BN4" s="269">
        <v>2009</v>
      </c>
      <c r="BO4" s="269">
        <v>2009</v>
      </c>
      <c r="BP4" s="269">
        <v>2009</v>
      </c>
      <c r="BQ4" s="269">
        <v>2009</v>
      </c>
      <c r="BR4" s="269">
        <v>2009</v>
      </c>
      <c r="BS4" s="269">
        <v>2009</v>
      </c>
      <c r="BT4" s="269">
        <v>2009</v>
      </c>
      <c r="BU4" s="269">
        <v>2009</v>
      </c>
      <c r="BV4" s="269">
        <v>2009</v>
      </c>
      <c r="BW4" s="269">
        <v>2009</v>
      </c>
      <c r="BX4" s="269">
        <v>2009</v>
      </c>
    </row>
    <row r="5" spans="1:76" x14ac:dyDescent="0.25">
      <c r="A5" s="250">
        <v>0</v>
      </c>
      <c r="B5" s="252"/>
      <c r="C5" s="8"/>
      <c r="D5" s="8"/>
      <c r="E5" s="269" t="s">
        <v>1338</v>
      </c>
      <c r="F5" s="269" t="s">
        <v>1338</v>
      </c>
      <c r="G5" s="269" t="s">
        <v>1338</v>
      </c>
      <c r="H5" s="269" t="s">
        <v>1339</v>
      </c>
      <c r="I5" s="269" t="s">
        <v>1339</v>
      </c>
      <c r="J5" s="269" t="s">
        <v>1339</v>
      </c>
      <c r="K5" s="269" t="s">
        <v>139</v>
      </c>
      <c r="L5" s="269" t="s">
        <v>139</v>
      </c>
      <c r="M5" s="269" t="s">
        <v>139</v>
      </c>
      <c r="N5" s="269" t="s">
        <v>2203</v>
      </c>
      <c r="O5" s="269" t="s">
        <v>2203</v>
      </c>
      <c r="P5" s="269" t="s">
        <v>2203</v>
      </c>
      <c r="Q5" s="269" t="s">
        <v>628</v>
      </c>
      <c r="R5" s="269" t="s">
        <v>628</v>
      </c>
      <c r="S5" s="269" t="s">
        <v>628</v>
      </c>
      <c r="T5" s="269" t="s">
        <v>1483</v>
      </c>
      <c r="U5" s="269" t="s">
        <v>1483</v>
      </c>
      <c r="V5" s="269" t="s">
        <v>1483</v>
      </c>
      <c r="W5" s="269" t="s">
        <v>484</v>
      </c>
      <c r="X5" s="269" t="s">
        <v>484</v>
      </c>
      <c r="Y5" s="269" t="s">
        <v>484</v>
      </c>
      <c r="Z5" s="269" t="s">
        <v>1361</v>
      </c>
      <c r="AA5" s="269" t="s">
        <v>1361</v>
      </c>
      <c r="AB5" s="269" t="s">
        <v>1361</v>
      </c>
      <c r="AC5" s="269" t="s">
        <v>590</v>
      </c>
      <c r="AD5" s="269" t="s">
        <v>590</v>
      </c>
      <c r="AE5" s="269" t="s">
        <v>590</v>
      </c>
      <c r="AF5" s="269" t="s">
        <v>1827</v>
      </c>
      <c r="AG5" s="269" t="s">
        <v>1827</v>
      </c>
      <c r="AH5" s="269" t="s">
        <v>1827</v>
      </c>
      <c r="AI5" s="269" t="s">
        <v>2051</v>
      </c>
      <c r="AJ5" s="269" t="s">
        <v>2051</v>
      </c>
      <c r="AK5" s="269" t="s">
        <v>2051</v>
      </c>
      <c r="AL5" s="269" t="s">
        <v>1224</v>
      </c>
      <c r="AM5" s="269" t="s">
        <v>1224</v>
      </c>
      <c r="AN5" s="269" t="s">
        <v>1224</v>
      </c>
      <c r="AO5" s="269" t="s">
        <v>1417</v>
      </c>
      <c r="AP5" s="269" t="s">
        <v>1417</v>
      </c>
      <c r="AQ5" s="269" t="s">
        <v>1417</v>
      </c>
      <c r="AR5" s="269" t="s">
        <v>1209</v>
      </c>
      <c r="AS5" s="269" t="s">
        <v>1209</v>
      </c>
      <c r="AT5" s="269" t="s">
        <v>1209</v>
      </c>
      <c r="AU5" s="269" t="s">
        <v>1546</v>
      </c>
      <c r="AV5" s="269" t="s">
        <v>1546</v>
      </c>
      <c r="AW5" s="269" t="s">
        <v>1546</v>
      </c>
      <c r="AX5" s="269" t="s">
        <v>984</v>
      </c>
      <c r="AY5" s="269" t="s">
        <v>984</v>
      </c>
      <c r="AZ5" s="269" t="s">
        <v>984</v>
      </c>
      <c r="BA5" s="269" t="s">
        <v>2022</v>
      </c>
      <c r="BB5" s="269" t="s">
        <v>2022</v>
      </c>
      <c r="BC5" s="269" t="s">
        <v>2022</v>
      </c>
      <c r="BD5" s="269" t="s">
        <v>727</v>
      </c>
      <c r="BE5" s="269" t="s">
        <v>727</v>
      </c>
      <c r="BF5" s="269" t="s">
        <v>727</v>
      </c>
      <c r="BG5" s="269" t="s">
        <v>48</v>
      </c>
      <c r="BH5" s="269" t="s">
        <v>48</v>
      </c>
      <c r="BI5" s="269" t="s">
        <v>48</v>
      </c>
      <c r="BJ5" s="269" t="s">
        <v>10</v>
      </c>
      <c r="BK5" s="269" t="s">
        <v>10</v>
      </c>
      <c r="BL5" s="269" t="s">
        <v>10</v>
      </c>
      <c r="BM5" s="269" t="s">
        <v>1482</v>
      </c>
      <c r="BN5" s="269" t="s">
        <v>1482</v>
      </c>
      <c r="BO5" s="269" t="s">
        <v>1482</v>
      </c>
      <c r="BP5" s="269" t="s">
        <v>133</v>
      </c>
      <c r="BQ5" s="269" t="s">
        <v>133</v>
      </c>
      <c r="BR5" s="269" t="s">
        <v>133</v>
      </c>
      <c r="BS5" s="269" t="s">
        <v>1707</v>
      </c>
      <c r="BT5" s="269" t="s">
        <v>1707</v>
      </c>
      <c r="BU5" s="269" t="s">
        <v>1707</v>
      </c>
      <c r="BV5" s="269" t="s">
        <v>1398</v>
      </c>
      <c r="BW5" s="269" t="s">
        <v>1398</v>
      </c>
      <c r="BX5" s="269" t="s">
        <v>1398</v>
      </c>
    </row>
    <row r="6" spans="1:76" x14ac:dyDescent="0.25">
      <c r="A6" s="249" t="s">
        <v>1833</v>
      </c>
      <c r="B6" s="249" t="s">
        <v>1363</v>
      </c>
      <c r="C6" s="249" t="s">
        <v>101</v>
      </c>
      <c r="D6" s="249"/>
      <c r="E6" s="269" t="s">
        <v>1397</v>
      </c>
      <c r="F6" s="269" t="s">
        <v>1396</v>
      </c>
      <c r="G6" s="269" t="s">
        <v>1395</v>
      </c>
      <c r="H6" s="269" t="s">
        <v>1394</v>
      </c>
      <c r="I6" s="269" t="s">
        <v>1393</v>
      </c>
      <c r="J6" s="269" t="s">
        <v>1392</v>
      </c>
      <c r="K6" s="269" t="s">
        <v>2276</v>
      </c>
      <c r="L6" s="269" t="s">
        <v>2277</v>
      </c>
      <c r="M6" s="269" t="s">
        <v>2278</v>
      </c>
      <c r="N6" s="269" t="s">
        <v>2279</v>
      </c>
      <c r="O6" s="269" t="s">
        <v>2280</v>
      </c>
      <c r="P6" s="269" t="s">
        <v>2281</v>
      </c>
      <c r="Q6" s="269" t="s">
        <v>2282</v>
      </c>
      <c r="R6" s="269" t="s">
        <v>2283</v>
      </c>
      <c r="S6" s="269" t="s">
        <v>2064</v>
      </c>
      <c r="T6" s="269" t="s">
        <v>2065</v>
      </c>
      <c r="U6" s="269" t="s">
        <v>2066</v>
      </c>
      <c r="V6" s="269" t="s">
        <v>2067</v>
      </c>
      <c r="W6" s="269" t="s">
        <v>2068</v>
      </c>
      <c r="X6" s="269" t="s">
        <v>2069</v>
      </c>
      <c r="Y6" s="269" t="s">
        <v>708</v>
      </c>
      <c r="Z6" s="269" t="s">
        <v>709</v>
      </c>
      <c r="AA6" s="269" t="s">
        <v>710</v>
      </c>
      <c r="AB6" s="269" t="s">
        <v>711</v>
      </c>
      <c r="AC6" s="269" t="s">
        <v>712</v>
      </c>
      <c r="AD6" s="269" t="s">
        <v>713</v>
      </c>
      <c r="AE6" s="269" t="s">
        <v>714</v>
      </c>
      <c r="AF6" s="269" t="s">
        <v>715</v>
      </c>
      <c r="AG6" s="269" t="s">
        <v>716</v>
      </c>
      <c r="AH6" s="269" t="s">
        <v>717</v>
      </c>
      <c r="AI6" s="269" t="s">
        <v>718</v>
      </c>
      <c r="AJ6" s="269" t="s">
        <v>719</v>
      </c>
      <c r="AK6" s="269" t="s">
        <v>720</v>
      </c>
      <c r="AL6" s="269" t="s">
        <v>721</v>
      </c>
      <c r="AM6" s="269" t="s">
        <v>722</v>
      </c>
      <c r="AN6" s="269" t="s">
        <v>723</v>
      </c>
      <c r="AO6" s="269" t="s">
        <v>731</v>
      </c>
      <c r="AP6" s="269" t="s">
        <v>732</v>
      </c>
      <c r="AQ6" s="269" t="s">
        <v>733</v>
      </c>
      <c r="AR6" s="269" t="s">
        <v>734</v>
      </c>
      <c r="AS6" s="269" t="s">
        <v>735</v>
      </c>
      <c r="AT6" s="269" t="s">
        <v>736</v>
      </c>
      <c r="AU6" s="269" t="s">
        <v>737</v>
      </c>
      <c r="AV6" s="269" t="s">
        <v>738</v>
      </c>
      <c r="AW6" s="269" t="s">
        <v>739</v>
      </c>
      <c r="AX6" s="269" t="s">
        <v>1751</v>
      </c>
      <c r="AY6" s="269" t="s">
        <v>1752</v>
      </c>
      <c r="AZ6" s="269" t="s">
        <v>1746</v>
      </c>
      <c r="BA6" s="269" t="s">
        <v>444</v>
      </c>
      <c r="BB6" s="269" t="s">
        <v>445</v>
      </c>
      <c r="BC6" s="269" t="s">
        <v>446</v>
      </c>
      <c r="BD6" s="269" t="s">
        <v>447</v>
      </c>
      <c r="BE6" s="269" t="s">
        <v>448</v>
      </c>
      <c r="BF6" s="269" t="s">
        <v>449</v>
      </c>
      <c r="BG6" s="269" t="s">
        <v>450</v>
      </c>
      <c r="BH6" s="269" t="s">
        <v>451</v>
      </c>
      <c r="BI6" s="269" t="s">
        <v>452</v>
      </c>
      <c r="BJ6" s="269" t="s">
        <v>453</v>
      </c>
      <c r="BK6" s="269" t="s">
        <v>454</v>
      </c>
      <c r="BL6" s="269" t="s">
        <v>455</v>
      </c>
      <c r="BM6" s="269" t="s">
        <v>456</v>
      </c>
      <c r="BN6" s="269" t="s">
        <v>174</v>
      </c>
      <c r="BO6" s="269" t="s">
        <v>175</v>
      </c>
      <c r="BP6" s="269" t="s">
        <v>176</v>
      </c>
      <c r="BQ6" s="269" t="s">
        <v>177</v>
      </c>
      <c r="BR6" s="269" t="s">
        <v>178</v>
      </c>
      <c r="BS6" s="269" t="s">
        <v>179</v>
      </c>
      <c r="BT6" s="269" t="s">
        <v>180</v>
      </c>
      <c r="BU6" s="269" t="s">
        <v>181</v>
      </c>
      <c r="BV6" s="269" t="s">
        <v>182</v>
      </c>
      <c r="BW6" s="269" t="s">
        <v>1388</v>
      </c>
      <c r="BX6" s="269" t="s">
        <v>1389</v>
      </c>
    </row>
    <row r="7" spans="1:76" x14ac:dyDescent="0.25">
      <c r="A7" s="254" t="s">
        <v>1092</v>
      </c>
      <c r="B7" s="253" t="s">
        <v>1634</v>
      </c>
      <c r="C7" s="251">
        <f>PENN!AF296/PENN!$AF$314</f>
        <v>0.19768578001061707</v>
      </c>
      <c r="D7" s="251"/>
      <c r="E7" s="257"/>
      <c r="F7" s="257"/>
      <c r="G7" s="257"/>
      <c r="H7" s="257"/>
      <c r="I7" s="257"/>
      <c r="J7" s="8"/>
      <c r="K7" s="8"/>
      <c r="L7" s="8"/>
      <c r="M7" s="8"/>
      <c r="N7" s="8"/>
      <c r="O7" s="8"/>
      <c r="P7" s="20"/>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row>
    <row r="8" spans="1:76" x14ac:dyDescent="0.25">
      <c r="A8" s="265" t="s">
        <v>898</v>
      </c>
      <c r="B8" s="259"/>
      <c r="C8" s="260"/>
      <c r="D8" s="260"/>
      <c r="E8" s="270"/>
      <c r="F8" s="270"/>
      <c r="G8" s="270">
        <f>PENN!C889</f>
        <v>112.93300000000001</v>
      </c>
      <c r="H8" s="20"/>
      <c r="I8" s="20"/>
      <c r="J8" s="270">
        <f ca="1">OFFSET(PENN!F889,0,-2,1,1)</f>
        <v>108.04900000000001</v>
      </c>
      <c r="K8" s="20"/>
      <c r="L8" s="20"/>
      <c r="M8" s="270">
        <f ca="1">OFFSET(PENN!I889,0,-4,1,1)</f>
        <v>115.504</v>
      </c>
      <c r="N8" s="20"/>
      <c r="O8" s="20"/>
      <c r="P8" s="270">
        <f ca="1">OFFSET(PENN!L889,0,-6,1,1)</f>
        <v>104.79300000000001</v>
      </c>
      <c r="Q8" s="20"/>
      <c r="R8" s="20"/>
      <c r="S8" s="270">
        <f ca="1">OFFSET(PENN!O889,0,-7,1,1)</f>
        <v>112.69499999999999</v>
      </c>
      <c r="T8" s="20"/>
      <c r="U8" s="20"/>
      <c r="V8" s="270">
        <f ca="1">OFFSET(PENN!R889,0,-9,1,1)</f>
        <v>111.932</v>
      </c>
      <c r="W8" s="20"/>
      <c r="X8" s="20"/>
      <c r="Y8" s="270">
        <f ca="1">OFFSET(PENN!U889,0,-11,1,1)</f>
        <v>114.441</v>
      </c>
      <c r="Z8" s="20"/>
      <c r="AA8" s="20"/>
      <c r="AB8" s="270">
        <f ca="1">OFFSET(PENN!X889,0,-13,1,1)</f>
        <v>109.541</v>
      </c>
      <c r="AC8" s="20"/>
      <c r="AD8" s="20"/>
      <c r="AE8" s="270">
        <f ca="1">OFFSET(PENN!AA889,0,-14,1,1)</f>
        <v>120.163</v>
      </c>
      <c r="AF8" s="20"/>
      <c r="AG8" s="20"/>
      <c r="AH8" s="270">
        <f ca="1">OFFSET(PENN!AD889,0,-16,1,1)</f>
        <v>114.994</v>
      </c>
      <c r="AI8" s="20"/>
      <c r="AJ8" s="20"/>
      <c r="AK8" s="270">
        <f ca="1">OFFSET(PENN!AG889,0,-18,1,1)</f>
        <v>120.206</v>
      </c>
      <c r="AL8" s="20"/>
      <c r="AM8" s="20"/>
      <c r="AN8" s="270">
        <f ca="1">OFFSET(PENN!AJ889,0,-20,1,1)</f>
        <v>118.68300000000001</v>
      </c>
      <c r="AO8" s="20"/>
      <c r="AP8" s="20"/>
      <c r="AQ8" s="270">
        <f ca="1">OFFSET(PENN!AM889,0,-21,1,1)</f>
        <v>121.858</v>
      </c>
      <c r="AR8" s="20"/>
      <c r="AS8" s="20"/>
      <c r="AT8" s="270">
        <f ca="1">OFFSET(PENN!AP889,0,-23,1,1)</f>
        <v>121.236</v>
      </c>
      <c r="AU8" s="20"/>
      <c r="AV8" s="20"/>
      <c r="AW8" s="270">
        <f ca="1">OFFSET(PENN!BE889,0,-25,1,1)</f>
        <v>422.01500000000004</v>
      </c>
      <c r="AX8" s="20"/>
      <c r="AY8" s="20"/>
      <c r="AZ8" s="270">
        <f ca="1">OFFSET(PENN!CG889,0,-27,1,1)</f>
        <v>46.507575580000001</v>
      </c>
      <c r="BA8" s="20"/>
      <c r="BB8" s="20"/>
      <c r="BC8" s="270">
        <f ca="1">OFFSET(PENN!BT889,0,-28,1,1)</f>
        <v>101.92500699999998</v>
      </c>
      <c r="BD8" s="20"/>
      <c r="BE8" s="20"/>
      <c r="BF8" s="270">
        <f ca="1">OFFSET(PENN!CM889,0,-30,1,1)</f>
        <v>44.106096590000007</v>
      </c>
      <c r="BG8" s="20"/>
      <c r="BH8" s="20"/>
      <c r="BI8" s="270">
        <f ca="1">OFFSET(PENN!DH889,0,-32,1,1)</f>
        <v>177.55120395005957</v>
      </c>
      <c r="BJ8" s="20"/>
      <c r="BK8" s="20"/>
      <c r="BL8" s="270">
        <f ca="1">OFFSET(PENN!DJ889,0,-34,1,1)</f>
        <v>177.55120395005957</v>
      </c>
      <c r="BM8" s="20"/>
      <c r="BN8" s="20"/>
      <c r="BO8" s="270">
        <f ca="1">OFFSET(PENN!DM889,0,-35,1,1)</f>
        <v>172.04711662760775</v>
      </c>
      <c r="BP8" s="20"/>
      <c r="BQ8" s="20"/>
      <c r="BR8" s="270">
        <f ca="1">OFFSET(PENN!DP889,0,-37,1,1)</f>
        <v>175.48805896015992</v>
      </c>
      <c r="BS8" s="20"/>
      <c r="BT8" s="20"/>
      <c r="BU8" s="270">
        <f ca="1">OFFSET(PENN!DS889,0,-39,1,1)</f>
        <v>178.99782013936311</v>
      </c>
      <c r="BV8" s="20"/>
      <c r="BW8" s="20"/>
      <c r="BX8" s="270">
        <f ca="1">OFFSET(PENN!DV889,0,-41,1,1)</f>
        <v>0</v>
      </c>
    </row>
    <row r="9" spans="1:76" x14ac:dyDescent="0.25">
      <c r="A9" s="265" t="s">
        <v>753</v>
      </c>
      <c r="B9" s="259"/>
      <c r="C9" s="260"/>
      <c r="D9" s="260"/>
      <c r="E9" s="270"/>
      <c r="F9" s="270"/>
      <c r="G9" s="270"/>
      <c r="H9" s="20"/>
      <c r="I9" s="20"/>
      <c r="J9" s="270"/>
      <c r="K9" s="20"/>
      <c r="L9" s="20"/>
      <c r="M9" s="270"/>
      <c r="N9" s="20"/>
      <c r="O9" s="20"/>
      <c r="P9" s="270">
        <f ca="1">SUM(E8:P8)</f>
        <v>441.27900000000005</v>
      </c>
      <c r="Q9" s="20"/>
      <c r="R9" s="20"/>
      <c r="S9" s="270">
        <f ca="1">SUM(H8:S8)</f>
        <v>441.041</v>
      </c>
      <c r="T9" s="20"/>
      <c r="U9" s="20"/>
      <c r="V9" s="270">
        <f ca="1">SUM(K8:V8)</f>
        <v>444.92400000000004</v>
      </c>
      <c r="W9" s="20"/>
      <c r="X9" s="20"/>
      <c r="Y9" s="270">
        <f ca="1">SUM(N8:Y8)</f>
        <v>443.86099999999999</v>
      </c>
      <c r="Z9" s="20"/>
      <c r="AA9" s="20"/>
      <c r="AB9" s="270">
        <f ca="1">SUM(Q8:AB8)</f>
        <v>448.60899999999998</v>
      </c>
      <c r="AC9" s="20"/>
      <c r="AD9" s="20"/>
      <c r="AE9" s="270">
        <f ca="1">SUM(T8:AE8)</f>
        <v>456.077</v>
      </c>
      <c r="AF9" s="20"/>
      <c r="AG9" s="20"/>
      <c r="AH9" s="270">
        <f ca="1">SUM(W8:AH8)</f>
        <v>459.13900000000001</v>
      </c>
      <c r="AI9" s="20"/>
      <c r="AJ9" s="20"/>
      <c r="AK9" s="270">
        <f ca="1">SUM(Z8:AK8)</f>
        <v>464.904</v>
      </c>
      <c r="AL9" s="20"/>
      <c r="AM9" s="20"/>
      <c r="AN9" s="270">
        <f ca="1">SUM(AC8:AN8)</f>
        <v>474.04599999999999</v>
      </c>
      <c r="AO9" s="20"/>
      <c r="AP9" s="20"/>
      <c r="AQ9" s="270">
        <f ca="1">SUM(AF8:AQ8)</f>
        <v>475.74099999999999</v>
      </c>
      <c r="AR9" s="20"/>
      <c r="AS9" s="20"/>
      <c r="AT9" s="270">
        <f ca="1">SUM(AI8:AT8)</f>
        <v>481.983</v>
      </c>
      <c r="AU9" s="20"/>
      <c r="AV9" s="20"/>
      <c r="AW9" s="270">
        <f ca="1">SUM(AL8:AW8)</f>
        <v>783.79200000000003</v>
      </c>
      <c r="AX9" s="20"/>
      <c r="AY9" s="20"/>
      <c r="AZ9" s="270">
        <f ca="1">SUM(AO8:AZ8)</f>
        <v>711.61657558000002</v>
      </c>
      <c r="BA9" s="20"/>
      <c r="BB9" s="20"/>
      <c r="BC9" s="270">
        <f ca="1">SUM(AR8:BC8)</f>
        <v>691.68358258000001</v>
      </c>
      <c r="BD9" s="20"/>
      <c r="BE9" s="20"/>
      <c r="BF9" s="270">
        <f ca="1">SUM(AU8:BF8)</f>
        <v>614.55367917000001</v>
      </c>
      <c r="BG9" s="20"/>
      <c r="BH9" s="20"/>
      <c r="BI9" s="270">
        <f ca="1">SUM(AX8:BI8)</f>
        <v>370.08988312005954</v>
      </c>
      <c r="BJ9" s="20"/>
      <c r="BK9" s="20"/>
      <c r="BL9" s="270">
        <f ca="1">SUM(BA8:BL8)</f>
        <v>501.13351149011913</v>
      </c>
      <c r="BM9" s="20"/>
      <c r="BN9" s="20"/>
      <c r="BO9" s="270">
        <f ca="1">SUM(BD8:BO8)</f>
        <v>571.25562111772683</v>
      </c>
      <c r="BP9" s="20"/>
      <c r="BQ9" s="20"/>
      <c r="BR9" s="270">
        <f ca="1">SUM(BG8:BR8)</f>
        <v>702.6375834878869</v>
      </c>
      <c r="BS9" s="20"/>
      <c r="BT9" s="20"/>
      <c r="BU9" s="270">
        <f ca="1">SUM(BJ8:BU8)</f>
        <v>704.08419967719033</v>
      </c>
      <c r="BV9" s="20"/>
      <c r="BW9" s="20"/>
      <c r="BX9" s="270">
        <f ca="1">SUM(BM8:BX8)</f>
        <v>526.53299572713081</v>
      </c>
    </row>
    <row r="10" spans="1:76" x14ac:dyDescent="0.25">
      <c r="A10" s="265" t="s">
        <v>103</v>
      </c>
      <c r="B10" s="259"/>
      <c r="C10" s="260"/>
      <c r="D10" s="260"/>
      <c r="E10" s="20">
        <v>5.9</v>
      </c>
      <c r="F10" s="20">
        <v>5.7</v>
      </c>
      <c r="G10" s="20">
        <v>5.6</v>
      </c>
      <c r="H10" s="20">
        <v>5.0999999999999996</v>
      </c>
      <c r="I10" s="20">
        <v>5</v>
      </c>
      <c r="J10" s="20">
        <v>5.6</v>
      </c>
      <c r="K10" s="20">
        <v>5.3</v>
      </c>
      <c r="L10" s="20">
        <v>5.2</v>
      </c>
      <c r="M10" s="20">
        <v>5.0999999999999996</v>
      </c>
      <c r="N10" s="20">
        <v>5.0999999999999996</v>
      </c>
      <c r="O10" s="20">
        <v>5.0999999999999996</v>
      </c>
      <c r="P10" s="20">
        <v>5</v>
      </c>
      <c r="Q10" s="20">
        <v>5.9</v>
      </c>
      <c r="R10" s="20">
        <v>6.1</v>
      </c>
      <c r="S10" s="20">
        <v>5.6</v>
      </c>
      <c r="T10" s="20">
        <v>5.2</v>
      </c>
      <c r="U10" s="20">
        <v>5.0999999999999996</v>
      </c>
      <c r="V10" s="20">
        <v>5.5</v>
      </c>
      <c r="W10" s="20">
        <v>5.0999999999999996</v>
      </c>
      <c r="X10" s="20">
        <v>5.0999999999999996</v>
      </c>
      <c r="Y10" s="20">
        <v>5.2</v>
      </c>
      <c r="Z10" s="20">
        <v>5</v>
      </c>
      <c r="AA10" s="20">
        <v>5.0999999999999996</v>
      </c>
      <c r="AB10" s="20">
        <v>5</v>
      </c>
      <c r="AC10" s="20">
        <v>5.5</v>
      </c>
      <c r="AD10" s="20">
        <v>5.6</v>
      </c>
      <c r="AE10" s="20">
        <v>5.4</v>
      </c>
      <c r="AF10" s="20">
        <v>5.3</v>
      </c>
      <c r="AG10" s="20">
        <v>4.9000000000000004</v>
      </c>
      <c r="AH10" s="20">
        <v>5.4</v>
      </c>
      <c r="AI10" s="20">
        <v>5.4</v>
      </c>
      <c r="AJ10" s="20">
        <v>5.2</v>
      </c>
      <c r="AK10" s="20">
        <v>4.9000000000000004</v>
      </c>
      <c r="AL10" s="20">
        <v>4.5999999999999996</v>
      </c>
      <c r="AM10" s="20">
        <v>4.9000000000000004</v>
      </c>
      <c r="AN10" s="20">
        <v>4.8</v>
      </c>
      <c r="AO10" s="20">
        <v>5.5</v>
      </c>
      <c r="AP10" s="20">
        <v>5.4</v>
      </c>
      <c r="AQ10" s="20">
        <v>4.9000000000000004</v>
      </c>
      <c r="AR10" s="20">
        <v>4.9000000000000004</v>
      </c>
      <c r="AS10" s="20">
        <v>4.7</v>
      </c>
      <c r="AT10" s="20">
        <v>5.3</v>
      </c>
      <c r="AU10" s="20">
        <v>5.0999999999999996</v>
      </c>
      <c r="AV10" s="20">
        <v>5</v>
      </c>
      <c r="AW10" s="20">
        <v>5</v>
      </c>
      <c r="AX10" s="20">
        <v>4.7</v>
      </c>
      <c r="AY10" s="20">
        <v>4.7</v>
      </c>
      <c r="AZ10" s="20">
        <v>4.9000000000000004</v>
      </c>
      <c r="BA10" s="20">
        <v>5.5</v>
      </c>
      <c r="BB10" s="20">
        <v>5.3</v>
      </c>
      <c r="BC10" s="20">
        <v>5.3</v>
      </c>
      <c r="BD10" s="20">
        <v>4.8</v>
      </c>
      <c r="BE10" s="20">
        <v>5.4</v>
      </c>
      <c r="BF10" s="20">
        <v>6</v>
      </c>
      <c r="BG10" s="20">
        <v>6.2</v>
      </c>
      <c r="BH10" s="20">
        <v>6.2</v>
      </c>
      <c r="BI10" s="20">
        <v>6.1</v>
      </c>
      <c r="BJ10" s="20">
        <v>6</v>
      </c>
      <c r="BK10" s="20">
        <v>6.2</v>
      </c>
      <c r="BL10" s="20">
        <v>6.7</v>
      </c>
      <c r="BM10" s="20">
        <v>8.4</v>
      </c>
      <c r="BN10" s="20">
        <v>8.9</v>
      </c>
      <c r="BO10" s="20">
        <v>9</v>
      </c>
      <c r="BP10" s="20">
        <v>9.1</v>
      </c>
      <c r="BQ10" s="20">
        <v>9.4</v>
      </c>
      <c r="BR10" s="20">
        <v>10.1</v>
      </c>
      <c r="BS10" s="20">
        <v>10.3</v>
      </c>
      <c r="BT10" s="20">
        <v>9.9</v>
      </c>
      <c r="BU10" s="20">
        <v>9.3000000000000007</v>
      </c>
      <c r="BV10" s="20">
        <v>9.6</v>
      </c>
      <c r="BW10" s="20">
        <v>9.6</v>
      </c>
      <c r="BX10" s="20">
        <v>9.9</v>
      </c>
    </row>
    <row r="11" spans="1:76" x14ac:dyDescent="0.25">
      <c r="A11" s="265" t="s">
        <v>135</v>
      </c>
      <c r="B11" s="259"/>
      <c r="C11" s="260"/>
      <c r="D11" s="260"/>
      <c r="E11" s="20"/>
      <c r="F11" s="20"/>
      <c r="G11" s="20"/>
      <c r="H11" s="20"/>
      <c r="I11" s="20"/>
      <c r="J11" s="20"/>
      <c r="K11" s="20"/>
      <c r="L11" s="20"/>
      <c r="M11" s="20"/>
      <c r="N11" s="20"/>
      <c r="O11" s="20"/>
      <c r="P11" s="20">
        <f>AVERAGE(E10:P10)</f>
        <v>5.3083333333333345</v>
      </c>
      <c r="Q11" s="20"/>
      <c r="R11" s="20"/>
      <c r="S11" s="20"/>
      <c r="T11" s="20"/>
      <c r="U11" s="20"/>
      <c r="V11" s="20"/>
      <c r="W11" s="20"/>
      <c r="X11" s="20"/>
      <c r="Y11" s="20"/>
      <c r="Z11" s="20"/>
      <c r="AA11" s="20"/>
      <c r="AB11" s="20">
        <f>AVERAGE(Q10:AB10)</f>
        <v>5.3250000000000002</v>
      </c>
      <c r="AC11" s="20"/>
      <c r="AD11" s="20"/>
      <c r="AE11" s="20"/>
      <c r="AF11" s="20"/>
      <c r="AG11" s="20"/>
      <c r="AH11" s="20"/>
      <c r="AI11" s="20"/>
      <c r="AJ11" s="20"/>
      <c r="AK11" s="20"/>
      <c r="AL11" s="20"/>
      <c r="AM11" s="20"/>
      <c r="AN11" s="20">
        <f>AVERAGE(AC10:AN10)</f>
        <v>5.1583333333333332</v>
      </c>
      <c r="AO11" s="20"/>
      <c r="AP11" s="20"/>
      <c r="AQ11" s="20"/>
      <c r="AR11" s="20"/>
      <c r="AS11" s="20"/>
      <c r="AT11" s="20"/>
      <c r="AU11" s="20"/>
      <c r="AV11" s="20"/>
      <c r="AW11" s="20"/>
      <c r="AX11" s="20"/>
      <c r="AY11" s="20"/>
      <c r="AZ11" s="20">
        <f>AVERAGE(AO10:AZ10)</f>
        <v>5.0083333333333337</v>
      </c>
      <c r="BA11" s="20"/>
      <c r="BB11" s="20"/>
      <c r="BC11" s="20"/>
      <c r="BD11" s="20"/>
      <c r="BE11" s="20"/>
      <c r="BF11" s="20"/>
      <c r="BG11" s="20"/>
      <c r="BH11" s="20"/>
      <c r="BI11" s="20"/>
      <c r="BJ11" s="20"/>
      <c r="BK11" s="20"/>
      <c r="BL11" s="20">
        <f>AVERAGE(BA10:BL10)</f>
        <v>5.8083333333333345</v>
      </c>
      <c r="BM11" s="20"/>
      <c r="BN11" s="20"/>
      <c r="BO11" s="20"/>
      <c r="BP11" s="20"/>
      <c r="BQ11" s="20"/>
      <c r="BR11" s="20"/>
      <c r="BS11" s="20"/>
      <c r="BT11" s="20"/>
      <c r="BU11" s="20"/>
      <c r="BV11" s="20"/>
      <c r="BW11" s="20"/>
      <c r="BX11" s="20">
        <f>AVERAGE(BM10:BX10)</f>
        <v>9.4583333333333339</v>
      </c>
    </row>
    <row r="12" spans="1:76" x14ac:dyDescent="0.25">
      <c r="A12" s="262" t="s">
        <v>104</v>
      </c>
      <c r="B12" s="263"/>
      <c r="C12" s="264"/>
      <c r="D12" s="264"/>
      <c r="E12" s="30">
        <v>1003752</v>
      </c>
      <c r="F12" s="30">
        <v>1005710</v>
      </c>
      <c r="G12" s="30">
        <v>1013773</v>
      </c>
      <c r="H12" s="30">
        <v>1018149</v>
      </c>
      <c r="I12" s="30">
        <v>1024692</v>
      </c>
      <c r="J12" s="30">
        <v>1032021</v>
      </c>
      <c r="K12" s="30">
        <v>1039125</v>
      </c>
      <c r="L12" s="30">
        <v>1037565</v>
      </c>
      <c r="M12" s="30">
        <v>1025761</v>
      </c>
      <c r="N12" s="30">
        <v>1027768</v>
      </c>
      <c r="O12" s="30">
        <v>1030238</v>
      </c>
      <c r="P12" s="30">
        <v>1028045</v>
      </c>
      <c r="Q12" s="30">
        <v>1006636</v>
      </c>
      <c r="R12" s="30">
        <v>1007896</v>
      </c>
      <c r="S12" s="30">
        <v>1019211</v>
      </c>
      <c r="T12" s="30">
        <v>1026882</v>
      </c>
      <c r="U12" s="30">
        <v>1036363</v>
      </c>
      <c r="V12" s="30">
        <v>1045633</v>
      </c>
      <c r="W12" s="30">
        <v>1050275</v>
      </c>
      <c r="X12" s="30">
        <v>1050304</v>
      </c>
      <c r="Y12" s="30">
        <v>1044300</v>
      </c>
      <c r="Z12" s="30">
        <v>1045814</v>
      </c>
      <c r="AA12" s="30">
        <v>1044099</v>
      </c>
      <c r="AB12" s="30">
        <v>1047734</v>
      </c>
      <c r="AC12" s="30">
        <v>1026773</v>
      </c>
      <c r="AD12" s="30">
        <v>1030719</v>
      </c>
      <c r="AE12" s="30">
        <v>1037464</v>
      </c>
      <c r="AF12" s="30">
        <v>1042244</v>
      </c>
      <c r="AG12" s="30">
        <v>1050508</v>
      </c>
      <c r="AH12" s="30">
        <v>1058632</v>
      </c>
      <c r="AI12" s="30">
        <v>1061682</v>
      </c>
      <c r="AJ12" s="30">
        <v>1064147</v>
      </c>
      <c r="AK12" s="30">
        <v>1058508</v>
      </c>
      <c r="AL12" s="30">
        <v>1063987</v>
      </c>
      <c r="AM12" s="30">
        <v>1064472</v>
      </c>
      <c r="AN12" s="30">
        <v>1062436</v>
      </c>
      <c r="AO12" s="30">
        <v>1042985</v>
      </c>
      <c r="AP12" s="30">
        <v>1046502</v>
      </c>
      <c r="AQ12" s="30">
        <v>1057752</v>
      </c>
      <c r="AR12" s="30">
        <v>1060874</v>
      </c>
      <c r="AS12" s="30">
        <v>1069278</v>
      </c>
      <c r="AT12" s="30">
        <v>1074770</v>
      </c>
      <c r="AU12" s="30">
        <v>1076182</v>
      </c>
      <c r="AV12" s="30">
        <v>1070066</v>
      </c>
      <c r="AW12" s="30">
        <v>1067417</v>
      </c>
      <c r="AX12" s="30">
        <v>1072762</v>
      </c>
      <c r="AY12" s="30">
        <v>1072777</v>
      </c>
      <c r="AZ12" s="30">
        <v>1068325</v>
      </c>
      <c r="BA12" s="30">
        <v>1050961</v>
      </c>
      <c r="BB12" s="30">
        <v>1049445</v>
      </c>
      <c r="BC12" s="30">
        <v>1059784</v>
      </c>
      <c r="BD12" s="30">
        <v>1070856</v>
      </c>
      <c r="BE12" s="30">
        <v>1072659</v>
      </c>
      <c r="BF12" s="30">
        <v>1075843</v>
      </c>
      <c r="BG12" s="30">
        <v>1077932</v>
      </c>
      <c r="BH12" s="30">
        <v>1071306</v>
      </c>
      <c r="BI12" s="30">
        <v>1058955</v>
      </c>
      <c r="BJ12" s="30">
        <v>1057564</v>
      </c>
      <c r="BK12" s="30">
        <v>1052670</v>
      </c>
      <c r="BL12" s="30">
        <v>1047959</v>
      </c>
      <c r="BM12" s="30">
        <v>1017312</v>
      </c>
      <c r="BN12" s="30">
        <v>1014079</v>
      </c>
      <c r="BO12" s="30">
        <v>1012574</v>
      </c>
      <c r="BP12" s="30">
        <v>1015869</v>
      </c>
      <c r="BQ12" s="30">
        <v>1015691</v>
      </c>
      <c r="BR12" s="30">
        <v>1017538</v>
      </c>
      <c r="BS12" s="30">
        <v>1015521</v>
      </c>
      <c r="BT12" s="30">
        <v>1013965</v>
      </c>
      <c r="BU12" s="30">
        <v>1001691</v>
      </c>
      <c r="BV12" s="30">
        <v>996864</v>
      </c>
      <c r="BW12" s="30">
        <v>1002797</v>
      </c>
      <c r="BX12" s="30">
        <v>998304</v>
      </c>
    </row>
    <row r="13" spans="1:76" x14ac:dyDescent="0.25">
      <c r="A13" s="254"/>
      <c r="B13" s="253"/>
      <c r="C13" s="251"/>
      <c r="D13" s="251"/>
      <c r="E13" s="257"/>
      <c r="F13" s="257"/>
      <c r="G13" s="257"/>
      <c r="H13" s="257"/>
      <c r="I13" s="257"/>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row>
    <row r="14" spans="1:76" x14ac:dyDescent="0.25">
      <c r="A14" s="254" t="s">
        <v>1788</v>
      </c>
      <c r="B14" s="253" t="s">
        <v>98</v>
      </c>
      <c r="C14" s="251">
        <f>PENN!AF265/PENN!$AF$314</f>
        <v>0.19637326029589391</v>
      </c>
      <c r="D14" s="251"/>
      <c r="E14" s="257"/>
      <c r="F14" s="257"/>
      <c r="G14" s="257"/>
      <c r="H14" s="257"/>
      <c r="I14" s="257"/>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row>
    <row r="15" spans="1:76" x14ac:dyDescent="0.25">
      <c r="A15" s="265" t="s">
        <v>898</v>
      </c>
      <c r="B15" s="253"/>
      <c r="C15" s="251"/>
      <c r="D15" s="251"/>
      <c r="E15" s="257"/>
      <c r="F15" s="257"/>
      <c r="G15" s="270">
        <f>PENN!C341</f>
        <v>94.052000000000007</v>
      </c>
      <c r="H15" s="20"/>
      <c r="I15" s="20"/>
      <c r="J15" s="270">
        <f ca="1">OFFSET(PENN!F341,0,-2,1,1)</f>
        <v>101.524</v>
      </c>
      <c r="K15" s="20"/>
      <c r="L15" s="20"/>
      <c r="M15" s="270">
        <f ca="1">OFFSET(PENN!I341,0,-4,1,1)</f>
        <v>104.503</v>
      </c>
      <c r="N15" s="20"/>
      <c r="O15" s="20"/>
      <c r="P15" s="270">
        <f ca="1">OFFSET(PENN!L341,0,-6,1,1)</f>
        <v>100.05500000000001</v>
      </c>
      <c r="Q15" s="20"/>
      <c r="R15" s="20"/>
      <c r="S15" s="270">
        <f ca="1">OFFSET(PENN!O341,0,-7,1,1)</f>
        <v>103.208</v>
      </c>
      <c r="T15" s="20"/>
      <c r="U15" s="20"/>
      <c r="V15" s="270">
        <f ca="1">OFFSET(PENN!R341,0,-9,1,1)</f>
        <v>112.779</v>
      </c>
      <c r="W15" s="20"/>
      <c r="X15" s="20"/>
      <c r="Y15" s="270">
        <f ca="1">OFFSET(PENN!U341,0,-11,1,1)</f>
        <v>118.40300000000001</v>
      </c>
      <c r="Z15" s="20"/>
      <c r="AA15" s="20"/>
      <c r="AB15" s="270">
        <f ca="1">OFFSET(PENN!X341,0,-13,1,1)</f>
        <v>106.251</v>
      </c>
      <c r="AC15" s="20"/>
      <c r="AD15" s="20"/>
      <c r="AE15" s="270">
        <f ca="1">OFFSET(PENN!AA341,0,-14,1,1)</f>
        <v>116.917</v>
      </c>
      <c r="AF15" s="20"/>
      <c r="AG15" s="20"/>
      <c r="AH15" s="270">
        <f ca="1">OFFSET(PENN!AD341,0,-16,1,1)</f>
        <v>122.452</v>
      </c>
      <c r="AI15" s="20"/>
      <c r="AJ15" s="20"/>
      <c r="AK15" s="270">
        <f ca="1">OFFSET(PENN!AG341,0,-18,1,1)</f>
        <v>126.973</v>
      </c>
      <c r="AL15" s="20"/>
      <c r="AM15" s="20"/>
      <c r="AN15" s="270">
        <f ca="1">OFFSET(PENN!AJ341,0,-20,1,1)</f>
        <v>118.854</v>
      </c>
      <c r="AO15" s="20"/>
      <c r="AP15" s="20"/>
      <c r="AQ15" s="270">
        <f ca="1">OFFSET(PENN!AM341,0,-21,1,1)</f>
        <v>119.596</v>
      </c>
      <c r="AR15" s="20"/>
      <c r="AS15" s="20"/>
      <c r="AT15" s="270">
        <f ca="1">OFFSET(PENN!AP341,0,-23,1,1)</f>
        <v>129.13999999999999</v>
      </c>
      <c r="AU15" s="20"/>
      <c r="AV15" s="20"/>
      <c r="AW15" s="270">
        <f ca="1">OFFSET(PENN!BE341,0,-25,1,1)</f>
        <v>455.34999999999997</v>
      </c>
      <c r="AX15" s="20"/>
      <c r="AY15" s="20"/>
      <c r="AZ15" s="270">
        <f ca="1">OFFSET(PENN!CG341,0,-27,1,1)</f>
        <v>96.740389599999986</v>
      </c>
      <c r="BA15" s="20"/>
      <c r="BB15" s="20"/>
      <c r="BC15" s="270">
        <f ca="1">OFFSET(PENN!BT341,0,-28,1,1)</f>
        <v>152.96679235000002</v>
      </c>
      <c r="BD15" s="20"/>
      <c r="BE15" s="20"/>
      <c r="BF15" s="270">
        <f ca="1">OFFSET(PENN!CM341,0,-30,1,1)</f>
        <v>105.49893603285716</v>
      </c>
      <c r="BG15" s="20"/>
      <c r="BH15" s="20"/>
      <c r="BI15" s="270">
        <f ca="1">OFFSET(PENN!DH341,0,-32,1,1)</f>
        <v>355.26919376928737</v>
      </c>
      <c r="BJ15" s="20"/>
      <c r="BK15" s="20"/>
      <c r="BL15" s="270">
        <f ca="1">OFFSET(PENN!DJ341,0,-34,1,1)</f>
        <v>355.26919376928737</v>
      </c>
      <c r="BM15" s="20"/>
      <c r="BN15" s="20"/>
      <c r="BO15" s="270">
        <f ca="1">OFFSET(PENN!DM341,0,-35,1,1)</f>
        <v>344.25584876243943</v>
      </c>
      <c r="BP15" s="20"/>
      <c r="BQ15" s="20"/>
      <c r="BR15" s="270">
        <f ca="1">OFFSET(PENN!DP341,0,-37,1,1)</f>
        <v>351.14096573768825</v>
      </c>
      <c r="BS15" s="20"/>
      <c r="BT15" s="20"/>
      <c r="BU15" s="270">
        <f ca="1">OFFSET(PENN!DS341,0,-39,1,1)</f>
        <v>358.16378505244205</v>
      </c>
      <c r="BV15" s="20"/>
      <c r="BW15" s="20"/>
      <c r="BX15" s="270">
        <f ca="1">OFFSET(PENN!DV341,0,-41,1,1)</f>
        <v>0</v>
      </c>
    </row>
    <row r="16" spans="1:76" x14ac:dyDescent="0.25">
      <c r="A16" s="265" t="s">
        <v>753</v>
      </c>
      <c r="B16" s="259"/>
      <c r="C16" s="260"/>
      <c r="D16" s="260"/>
      <c r="E16" s="270"/>
      <c r="F16" s="270"/>
      <c r="G16" s="270"/>
      <c r="H16" s="20"/>
      <c r="I16" s="20"/>
      <c r="J16" s="270"/>
      <c r="K16" s="20"/>
      <c r="L16" s="20"/>
      <c r="M16" s="270"/>
      <c r="N16" s="20"/>
      <c r="O16" s="20"/>
      <c r="P16" s="270">
        <f ca="1">SUM(E15:P15)</f>
        <v>400.13400000000001</v>
      </c>
      <c r="Q16" s="20"/>
      <c r="R16" s="20"/>
      <c r="S16" s="270">
        <f ca="1">SUM(H15:S15)</f>
        <v>409.28999999999996</v>
      </c>
      <c r="T16" s="20"/>
      <c r="U16" s="20"/>
      <c r="V16" s="270">
        <f ca="1">SUM(K15:V15)</f>
        <v>420.54499999999996</v>
      </c>
      <c r="W16" s="20"/>
      <c r="X16" s="20"/>
      <c r="Y16" s="270">
        <f ca="1">SUM(N15:Y15)</f>
        <v>434.44500000000005</v>
      </c>
      <c r="Z16" s="20"/>
      <c r="AA16" s="20"/>
      <c r="AB16" s="270">
        <f ca="1">SUM(Q15:AB15)</f>
        <v>440.64099999999996</v>
      </c>
      <c r="AC16" s="20"/>
      <c r="AD16" s="20"/>
      <c r="AE16" s="270">
        <f ca="1">SUM(T15:AE15)</f>
        <v>454.35</v>
      </c>
      <c r="AF16" s="20"/>
      <c r="AG16" s="20"/>
      <c r="AH16" s="270">
        <f ca="1">SUM(W15:AH15)</f>
        <v>464.02300000000002</v>
      </c>
      <c r="AI16" s="20"/>
      <c r="AJ16" s="20"/>
      <c r="AK16" s="270">
        <f ca="1">SUM(Z15:AK15)</f>
        <v>472.59300000000002</v>
      </c>
      <c r="AL16" s="20"/>
      <c r="AM16" s="20"/>
      <c r="AN16" s="270">
        <f ca="1">SUM(AC15:AN15)</f>
        <v>485.19599999999997</v>
      </c>
      <c r="AO16" s="20"/>
      <c r="AP16" s="20"/>
      <c r="AQ16" s="270">
        <f ca="1">SUM(AF15:AQ15)</f>
        <v>487.875</v>
      </c>
      <c r="AR16" s="20"/>
      <c r="AS16" s="20"/>
      <c r="AT16" s="270">
        <f ca="1">SUM(AI15:AT15)</f>
        <v>494.56299999999999</v>
      </c>
      <c r="AU16" s="20"/>
      <c r="AV16" s="20"/>
      <c r="AW16" s="270">
        <f ca="1">SUM(AL15:AW15)</f>
        <v>822.93999999999994</v>
      </c>
      <c r="AX16" s="20"/>
      <c r="AY16" s="20"/>
      <c r="AZ16" s="270">
        <f ca="1">SUM(AO15:AZ15)</f>
        <v>800.82638959999997</v>
      </c>
      <c r="BA16" s="20"/>
      <c r="BB16" s="20"/>
      <c r="BC16" s="270">
        <f ca="1">SUM(AR15:BC15)</f>
        <v>834.19718194999996</v>
      </c>
      <c r="BD16" s="20"/>
      <c r="BE16" s="20"/>
      <c r="BF16" s="270">
        <f ca="1">SUM(AU15:BF15)</f>
        <v>810.55611798285713</v>
      </c>
      <c r="BG16" s="20"/>
      <c r="BH16" s="20"/>
      <c r="BI16" s="270">
        <f ca="1">SUM(AX15:BI15)</f>
        <v>710.47531175214453</v>
      </c>
      <c r="BJ16" s="20"/>
      <c r="BK16" s="20"/>
      <c r="BL16" s="270">
        <f ca="1">SUM(BA15:BL15)</f>
        <v>969.00411592143178</v>
      </c>
      <c r="BM16" s="20"/>
      <c r="BN16" s="20"/>
      <c r="BO16" s="270">
        <f ca="1">SUM(BD15:BO15)</f>
        <v>1160.2931723338713</v>
      </c>
      <c r="BP16" s="20"/>
      <c r="BQ16" s="20"/>
      <c r="BR16" s="270">
        <f ca="1">SUM(BG15:BR15)</f>
        <v>1405.9352020387025</v>
      </c>
      <c r="BS16" s="20"/>
      <c r="BT16" s="20"/>
      <c r="BU16" s="270">
        <f ca="1">SUM(BJ15:BU15)</f>
        <v>1408.8297933218571</v>
      </c>
      <c r="BV16" s="20"/>
      <c r="BW16" s="20"/>
      <c r="BX16" s="270">
        <f ca="1">SUM(BM15:BX15)</f>
        <v>1053.5605995525698</v>
      </c>
    </row>
    <row r="17" spans="1:76" x14ac:dyDescent="0.25">
      <c r="A17" s="265" t="s">
        <v>103</v>
      </c>
      <c r="B17" s="259"/>
      <c r="C17" s="260"/>
      <c r="D17" s="260"/>
      <c r="E17" s="20">
        <v>3.9</v>
      </c>
      <c r="F17" s="20">
        <v>3.8</v>
      </c>
      <c r="G17" s="20">
        <v>3.8</v>
      </c>
      <c r="H17" s="20">
        <v>3.4</v>
      </c>
      <c r="I17" s="20">
        <v>3.6</v>
      </c>
      <c r="J17" s="20">
        <v>4</v>
      </c>
      <c r="K17" s="20">
        <v>3.9</v>
      </c>
      <c r="L17" s="20">
        <v>3.7</v>
      </c>
      <c r="M17" s="20">
        <v>3.4</v>
      </c>
      <c r="N17" s="20">
        <v>3.5</v>
      </c>
      <c r="O17" s="20">
        <v>3.6</v>
      </c>
      <c r="P17" s="20">
        <v>3.5</v>
      </c>
      <c r="Q17" s="20">
        <v>3.7</v>
      </c>
      <c r="R17" s="20">
        <v>3.9</v>
      </c>
      <c r="S17" s="20">
        <v>3.6</v>
      </c>
      <c r="T17" s="20">
        <v>3.4</v>
      </c>
      <c r="U17" s="20">
        <v>3.6</v>
      </c>
      <c r="V17" s="20">
        <v>3.8</v>
      </c>
      <c r="W17" s="20">
        <v>3.5</v>
      </c>
      <c r="X17" s="20">
        <v>3.4</v>
      </c>
      <c r="Y17" s="20">
        <v>3.3</v>
      </c>
      <c r="Z17" s="20">
        <v>3.2</v>
      </c>
      <c r="AA17" s="20">
        <v>3.2</v>
      </c>
      <c r="AB17" s="20">
        <v>2.9</v>
      </c>
      <c r="AC17" s="20">
        <v>3.1</v>
      </c>
      <c r="AD17" s="20">
        <v>3.1</v>
      </c>
      <c r="AE17" s="20">
        <v>3</v>
      </c>
      <c r="AF17" s="20">
        <v>2.9</v>
      </c>
      <c r="AG17" s="20">
        <v>3</v>
      </c>
      <c r="AH17" s="20">
        <v>3.3</v>
      </c>
      <c r="AI17" s="20">
        <v>3.4</v>
      </c>
      <c r="AJ17" s="20">
        <v>3.2</v>
      </c>
      <c r="AK17" s="20">
        <v>3</v>
      </c>
      <c r="AL17" s="20">
        <v>2.9</v>
      </c>
      <c r="AM17" s="20">
        <v>2.9</v>
      </c>
      <c r="AN17" s="20">
        <v>2.8</v>
      </c>
      <c r="AO17" s="20">
        <v>3.2</v>
      </c>
      <c r="AP17" s="20">
        <v>3</v>
      </c>
      <c r="AQ17" s="20">
        <v>2.8</v>
      </c>
      <c r="AR17" s="20">
        <v>2.7</v>
      </c>
      <c r="AS17" s="20">
        <v>2.8</v>
      </c>
      <c r="AT17" s="20">
        <v>3.1</v>
      </c>
      <c r="AU17" s="20">
        <v>3.1</v>
      </c>
      <c r="AV17" s="20">
        <v>3</v>
      </c>
      <c r="AW17" s="20">
        <v>2.9</v>
      </c>
      <c r="AX17" s="20">
        <v>2.9</v>
      </c>
      <c r="AY17" s="20">
        <v>2.9</v>
      </c>
      <c r="AZ17" s="20">
        <v>3</v>
      </c>
      <c r="BA17" s="20">
        <v>3.4</v>
      </c>
      <c r="BB17" s="20">
        <v>3.2</v>
      </c>
      <c r="BC17" s="20">
        <v>3.3</v>
      </c>
      <c r="BD17" s="20">
        <v>3</v>
      </c>
      <c r="BE17" s="20">
        <v>3.5</v>
      </c>
      <c r="BF17" s="20">
        <v>3.8</v>
      </c>
      <c r="BG17" s="20">
        <v>4</v>
      </c>
      <c r="BH17" s="20">
        <v>4</v>
      </c>
      <c r="BI17" s="20">
        <v>3.9</v>
      </c>
      <c r="BJ17" s="20">
        <v>4.0999999999999996</v>
      </c>
      <c r="BK17" s="20">
        <v>4.3</v>
      </c>
      <c r="BL17" s="20">
        <v>4.7</v>
      </c>
      <c r="BM17" s="20">
        <v>5.6</v>
      </c>
      <c r="BN17" s="20">
        <v>6.1</v>
      </c>
      <c r="BO17" s="20">
        <v>5.9</v>
      </c>
      <c r="BP17" s="20">
        <v>5.7</v>
      </c>
      <c r="BQ17" s="20">
        <v>6.2</v>
      </c>
      <c r="BR17" s="20">
        <v>6.5</v>
      </c>
      <c r="BS17" s="20">
        <v>6.2</v>
      </c>
      <c r="BT17" s="20">
        <v>6</v>
      </c>
      <c r="BU17" s="20">
        <v>6.1</v>
      </c>
      <c r="BV17" s="20">
        <v>6.2</v>
      </c>
      <c r="BW17" s="20">
        <v>6.1</v>
      </c>
      <c r="BX17" s="20">
        <v>6.2</v>
      </c>
    </row>
    <row r="18" spans="1:76" x14ac:dyDescent="0.25">
      <c r="A18" s="265" t="s">
        <v>135</v>
      </c>
      <c r="B18" s="259"/>
      <c r="C18" s="260"/>
      <c r="D18" s="260"/>
      <c r="E18" s="20"/>
      <c r="F18" s="20"/>
      <c r="G18" s="20"/>
      <c r="H18" s="20"/>
      <c r="I18" s="20"/>
      <c r="J18" s="20"/>
      <c r="K18" s="20"/>
      <c r="L18" s="20"/>
      <c r="M18" s="20"/>
      <c r="N18" s="20"/>
      <c r="O18" s="20"/>
      <c r="P18" s="20">
        <f>AVERAGE(E17:P17)</f>
        <v>3.6750000000000003</v>
      </c>
      <c r="Q18" s="20"/>
      <c r="R18" s="20"/>
      <c r="S18" s="20"/>
      <c r="T18" s="20"/>
      <c r="U18" s="20"/>
      <c r="V18" s="20"/>
      <c r="W18" s="20"/>
      <c r="X18" s="20"/>
      <c r="Y18" s="20"/>
      <c r="Z18" s="20"/>
      <c r="AA18" s="20"/>
      <c r="AB18" s="20">
        <f>AVERAGE(Q17:AB17)</f>
        <v>3.4583333333333335</v>
      </c>
      <c r="AC18" s="20"/>
      <c r="AD18" s="20"/>
      <c r="AE18" s="20"/>
      <c r="AF18" s="20"/>
      <c r="AG18" s="20"/>
      <c r="AH18" s="20"/>
      <c r="AI18" s="20"/>
      <c r="AJ18" s="20"/>
      <c r="AK18" s="20"/>
      <c r="AL18" s="20"/>
      <c r="AM18" s="20"/>
      <c r="AN18" s="20">
        <f>AVERAGE(AC17:AN17)</f>
        <v>3.0499999999999994</v>
      </c>
      <c r="AO18" s="20"/>
      <c r="AP18" s="20"/>
      <c r="AQ18" s="20"/>
      <c r="AR18" s="20"/>
      <c r="AS18" s="20"/>
      <c r="AT18" s="20"/>
      <c r="AU18" s="20"/>
      <c r="AV18" s="20"/>
      <c r="AW18" s="20"/>
      <c r="AX18" s="20"/>
      <c r="AY18" s="20"/>
      <c r="AZ18" s="20">
        <f>AVERAGE(AO17:AZ17)</f>
        <v>2.9499999999999997</v>
      </c>
      <c r="BA18" s="20"/>
      <c r="BB18" s="20"/>
      <c r="BC18" s="20"/>
      <c r="BD18" s="20"/>
      <c r="BE18" s="20"/>
      <c r="BF18" s="20"/>
      <c r="BG18" s="20"/>
      <c r="BH18" s="20"/>
      <c r="BI18" s="20"/>
      <c r="BJ18" s="20"/>
      <c r="BK18" s="20"/>
      <c r="BL18" s="20">
        <f>AVERAGE(BA17:BL17)</f>
        <v>3.7666666666666671</v>
      </c>
      <c r="BM18" s="20"/>
      <c r="BN18" s="20"/>
      <c r="BO18" s="20"/>
      <c r="BP18" s="20"/>
      <c r="BQ18" s="20"/>
      <c r="BR18" s="20"/>
      <c r="BS18" s="20"/>
      <c r="BT18" s="20"/>
      <c r="BU18" s="20"/>
      <c r="BV18" s="20"/>
      <c r="BW18" s="20"/>
      <c r="BX18" s="20">
        <f>AVERAGE(BM17:BX17)</f>
        <v>6.0666666666666673</v>
      </c>
    </row>
    <row r="19" spans="1:76" x14ac:dyDescent="0.25">
      <c r="A19" s="262" t="s">
        <v>104</v>
      </c>
      <c r="B19" s="263"/>
      <c r="C19" s="264"/>
      <c r="D19" s="264"/>
      <c r="E19" s="30">
        <v>2683856</v>
      </c>
      <c r="F19" s="30">
        <v>2696422</v>
      </c>
      <c r="G19" s="30">
        <v>2705507</v>
      </c>
      <c r="H19" s="30">
        <v>2707334</v>
      </c>
      <c r="I19" s="30">
        <v>2719748</v>
      </c>
      <c r="J19" s="30">
        <v>2733700</v>
      </c>
      <c r="K19" s="30">
        <v>2772469</v>
      </c>
      <c r="L19" s="30">
        <v>2751380</v>
      </c>
      <c r="M19" s="30">
        <v>2734291</v>
      </c>
      <c r="N19" s="30">
        <v>2753376</v>
      </c>
      <c r="O19" s="30">
        <v>2752170</v>
      </c>
      <c r="P19" s="30">
        <v>2749469</v>
      </c>
      <c r="Q19" s="30">
        <v>2738100</v>
      </c>
      <c r="R19" s="30">
        <v>2746256</v>
      </c>
      <c r="S19" s="30">
        <v>2762633</v>
      </c>
      <c r="T19" s="30">
        <v>2775874</v>
      </c>
      <c r="U19" s="30">
        <v>2795088</v>
      </c>
      <c r="V19" s="30">
        <v>2812638</v>
      </c>
      <c r="W19" s="30">
        <v>2854824</v>
      </c>
      <c r="X19" s="30">
        <v>2831816</v>
      </c>
      <c r="Y19" s="30">
        <v>2810345</v>
      </c>
      <c r="Z19" s="30">
        <v>2828674</v>
      </c>
      <c r="AA19" s="30">
        <v>2823097</v>
      </c>
      <c r="AB19" s="30">
        <v>2832676</v>
      </c>
      <c r="AC19" s="30">
        <v>2823282</v>
      </c>
      <c r="AD19" s="30">
        <v>2833783</v>
      </c>
      <c r="AE19" s="30">
        <v>2849535</v>
      </c>
      <c r="AF19" s="30">
        <v>2846715</v>
      </c>
      <c r="AG19" s="30">
        <v>2862711</v>
      </c>
      <c r="AH19" s="30">
        <v>2884606</v>
      </c>
      <c r="AI19" s="30">
        <v>2911500</v>
      </c>
      <c r="AJ19" s="30">
        <v>2887750</v>
      </c>
      <c r="AK19" s="30">
        <v>2873458</v>
      </c>
      <c r="AL19" s="30">
        <v>2894783</v>
      </c>
      <c r="AM19" s="30">
        <v>2888676</v>
      </c>
      <c r="AN19" s="30">
        <v>2891663</v>
      </c>
      <c r="AO19" s="30">
        <v>2874586</v>
      </c>
      <c r="AP19" s="30">
        <v>2876014</v>
      </c>
      <c r="AQ19" s="30">
        <v>2894483</v>
      </c>
      <c r="AR19" s="30">
        <v>2889285</v>
      </c>
      <c r="AS19" s="30">
        <v>2899318</v>
      </c>
      <c r="AT19" s="30">
        <v>2913737</v>
      </c>
      <c r="AU19" s="30">
        <v>2951239</v>
      </c>
      <c r="AV19" s="30">
        <v>2909455</v>
      </c>
      <c r="AW19" s="30">
        <v>2899886</v>
      </c>
      <c r="AX19" s="30">
        <v>2916076</v>
      </c>
      <c r="AY19" s="30">
        <v>2918980</v>
      </c>
      <c r="AZ19" s="30">
        <v>2905542</v>
      </c>
      <c r="BA19" s="30">
        <v>2897667</v>
      </c>
      <c r="BB19" s="30">
        <v>2897052</v>
      </c>
      <c r="BC19" s="30">
        <v>2914193</v>
      </c>
      <c r="BD19" s="30">
        <v>2929165</v>
      </c>
      <c r="BE19" s="30">
        <v>2930460</v>
      </c>
      <c r="BF19" s="30">
        <v>2935718</v>
      </c>
      <c r="BG19" s="30">
        <v>2971879</v>
      </c>
      <c r="BH19" s="30">
        <v>2929049</v>
      </c>
      <c r="BI19" s="30">
        <v>2897940</v>
      </c>
      <c r="BJ19" s="30">
        <v>2904748</v>
      </c>
      <c r="BK19" s="30">
        <v>2889033</v>
      </c>
      <c r="BL19" s="30">
        <v>2869879</v>
      </c>
      <c r="BM19" s="30">
        <v>2834445</v>
      </c>
      <c r="BN19" s="30">
        <v>2824487</v>
      </c>
      <c r="BO19" s="30">
        <v>2821987</v>
      </c>
      <c r="BP19" s="30">
        <v>2831705</v>
      </c>
      <c r="BQ19" s="30">
        <v>2825499</v>
      </c>
      <c r="BR19" s="30">
        <v>2840903</v>
      </c>
      <c r="BS19" s="30">
        <v>2888205</v>
      </c>
      <c r="BT19" s="30">
        <v>2848619</v>
      </c>
      <c r="BU19" s="30">
        <v>2814927</v>
      </c>
      <c r="BV19" s="30">
        <v>2819488</v>
      </c>
      <c r="BW19" s="30">
        <v>2827679</v>
      </c>
      <c r="BX19" s="30">
        <v>2809503</v>
      </c>
    </row>
    <row r="20" spans="1:76" x14ac:dyDescent="0.25">
      <c r="A20" s="254"/>
      <c r="B20" s="253"/>
      <c r="C20" s="251"/>
      <c r="D20" s="251"/>
      <c r="E20" s="257"/>
      <c r="F20" s="257"/>
      <c r="G20" s="257"/>
      <c r="H20" s="257"/>
      <c r="I20" s="257"/>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row>
    <row r="21" spans="1:76" x14ac:dyDescent="0.25">
      <c r="A21" s="256" t="s">
        <v>1093</v>
      </c>
      <c r="B21" s="253" t="s">
        <v>745</v>
      </c>
      <c r="C21" s="251">
        <f>PENN!AF297/PENN!$AF$314</f>
        <v>0.10156409881596257</v>
      </c>
      <c r="D21" s="251"/>
      <c r="E21" s="257"/>
      <c r="F21" s="257"/>
      <c r="G21" s="257"/>
      <c r="H21" s="257"/>
      <c r="I21" s="257"/>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row>
    <row r="22" spans="1:76" x14ac:dyDescent="0.25">
      <c r="A22" s="265" t="s">
        <v>1390</v>
      </c>
      <c r="B22" s="253"/>
      <c r="C22" s="251"/>
      <c r="D22" s="251"/>
      <c r="E22" s="20"/>
      <c r="F22" s="20"/>
      <c r="G22" s="270">
        <f>PENN!C920</f>
        <v>37.93</v>
      </c>
      <c r="H22" s="20"/>
      <c r="I22" s="20"/>
      <c r="J22" s="270">
        <f ca="1">OFFSET(PENN!F920,0,-2,1,1)</f>
        <v>35.826000000000001</v>
      </c>
      <c r="K22" s="20"/>
      <c r="L22" s="20"/>
      <c r="M22" s="270">
        <f ca="1">OFFSET(PENN!I920,0,-4,1,1)</f>
        <v>34.847000000000001</v>
      </c>
      <c r="N22" s="20"/>
      <c r="O22" s="20"/>
      <c r="P22" s="270">
        <f ca="1">OFFSET(PENN!L920,0,-6,1,1)</f>
        <v>34.802999999999997</v>
      </c>
      <c r="Q22" s="20"/>
      <c r="R22" s="20"/>
      <c r="S22" s="270">
        <f ca="1">OFFSET(PENN!O920,0,-7,1,1)</f>
        <v>37.091000000000001</v>
      </c>
      <c r="T22" s="20"/>
      <c r="U22" s="20"/>
      <c r="V22" s="270">
        <f ca="1">OFFSET(PENN!R920,0,-9,1,1)</f>
        <v>35.661000000000001</v>
      </c>
      <c r="W22" s="20"/>
      <c r="X22" s="20"/>
      <c r="Y22" s="270">
        <f ca="1">OFFSET(PENN!U920,0,-11,1,1)</f>
        <v>33.598999999999997</v>
      </c>
      <c r="Z22" s="20"/>
      <c r="AA22" s="20"/>
      <c r="AB22" s="270">
        <f ca="1">OFFSET(PENN!X920,0,-13,1,1)</f>
        <v>37.372999999999998</v>
      </c>
      <c r="AC22" s="20"/>
      <c r="AD22" s="20"/>
      <c r="AE22" s="270">
        <f ca="1">OFFSET(PENN!AA920,0,-14,1,1)</f>
        <v>38.994999999999997</v>
      </c>
      <c r="AF22" s="20"/>
      <c r="AG22" s="20"/>
      <c r="AH22" s="270">
        <f ca="1">OFFSET(PENN!AD920,0,-16,1,1)</f>
        <v>37.606999999999999</v>
      </c>
      <c r="AI22" s="20"/>
      <c r="AJ22" s="20"/>
      <c r="AK22" s="270">
        <f ca="1">OFFSET(PENN!AG920,0,-18,1,1)</f>
        <v>37.999000000000002</v>
      </c>
      <c r="AL22" s="20"/>
      <c r="AM22" s="20"/>
      <c r="AN22" s="270">
        <f ca="1">OFFSET(PENN!AJ920,0,-20,1,1)</f>
        <v>38.840000000000003</v>
      </c>
      <c r="AO22" s="20"/>
      <c r="AP22" s="20"/>
      <c r="AQ22" s="270">
        <f ca="1">OFFSET(PENN!AM920,0,-21,1,1)</f>
        <v>41.715000000000003</v>
      </c>
      <c r="AR22" s="20"/>
      <c r="AS22" s="20"/>
      <c r="AT22" s="270">
        <f ca="1">OFFSET(PENN!AP920,0,-23,1,1)</f>
        <v>43.116999999999997</v>
      </c>
      <c r="AU22" s="20"/>
      <c r="AV22" s="20"/>
      <c r="AW22" s="270">
        <f ca="1">OFFSET(PENN!BE920,0,-25,1,1)</f>
        <v>193.785</v>
      </c>
      <c r="AX22" s="20"/>
      <c r="AY22" s="20"/>
      <c r="AZ22" s="270">
        <f ca="1">OFFSET(PENN!CG920,0,-27,1,1)</f>
        <v>34.699310610000005</v>
      </c>
      <c r="BA22" s="20"/>
      <c r="BB22" s="20"/>
      <c r="BC22" s="270">
        <f ca="1">OFFSET(PENN!BT920,0,-28,1,1)</f>
        <v>37.672447320000003</v>
      </c>
      <c r="BD22" s="20"/>
      <c r="BE22" s="20"/>
      <c r="BF22" s="270">
        <f ca="1">OFFSET(PENN!CM920,0,-30,1,1)</f>
        <v>36.229385779999994</v>
      </c>
      <c r="BG22" s="20"/>
      <c r="BH22" s="20"/>
      <c r="BI22" s="270">
        <f ca="1">OFFSET(PENN!DH920,0,-32,1,1)</f>
        <v>156.21666960629838</v>
      </c>
      <c r="BJ22" s="20"/>
      <c r="BK22" s="20"/>
      <c r="BL22" s="270">
        <f ca="1">OFFSET(PENN!DJ920,0,-34,1,1)</f>
        <v>156.21666960629838</v>
      </c>
      <c r="BM22" s="20"/>
      <c r="BN22" s="20"/>
      <c r="BO22" s="270">
        <f ca="1">OFFSET(PENN!DM920,0,-35,1,1)</f>
        <v>151.45305284850315</v>
      </c>
      <c r="BP22" s="20"/>
      <c r="BQ22" s="20"/>
      <c r="BR22" s="270">
        <f ca="1">OFFSET(PENN!DP920,0,-37,1,1)</f>
        <v>154.65611390547321</v>
      </c>
      <c r="BS22" s="20"/>
      <c r="BT22" s="20"/>
      <c r="BU22" s="270">
        <f ca="1">OFFSET(PENN!DS920,0,-39,1,1)</f>
        <v>157.92123618358266</v>
      </c>
      <c r="BV22" s="20"/>
      <c r="BW22" s="20"/>
      <c r="BX22" s="270">
        <f ca="1">OFFSET(PENN!DV920,0,-41,1,1)</f>
        <v>0</v>
      </c>
    </row>
    <row r="23" spans="1:76" x14ac:dyDescent="0.25">
      <c r="A23" s="265" t="s">
        <v>753</v>
      </c>
      <c r="B23" s="259"/>
      <c r="C23" s="260"/>
      <c r="D23" s="260"/>
      <c r="E23" s="270"/>
      <c r="F23" s="270"/>
      <c r="G23" s="270"/>
      <c r="H23" s="20"/>
      <c r="I23" s="20"/>
      <c r="J23" s="270"/>
      <c r="K23" s="20"/>
      <c r="L23" s="20"/>
      <c r="M23" s="270"/>
      <c r="N23" s="20"/>
      <c r="O23" s="20"/>
      <c r="P23" s="270">
        <f ca="1">SUM(E22:P22)</f>
        <v>143.40600000000001</v>
      </c>
      <c r="Q23" s="20"/>
      <c r="R23" s="20"/>
      <c r="S23" s="270">
        <f ca="1">SUM(H22:S22)</f>
        <v>142.56700000000001</v>
      </c>
      <c r="T23" s="20"/>
      <c r="U23" s="20"/>
      <c r="V23" s="270">
        <f ca="1">SUM(K22:V22)</f>
        <v>142.40200000000002</v>
      </c>
      <c r="W23" s="20"/>
      <c r="X23" s="20"/>
      <c r="Y23" s="270">
        <f ca="1">SUM(N22:Y22)</f>
        <v>141.154</v>
      </c>
      <c r="Z23" s="20"/>
      <c r="AA23" s="20"/>
      <c r="AB23" s="270">
        <f ca="1">SUM(Q22:AB22)</f>
        <v>143.72399999999999</v>
      </c>
      <c r="AC23" s="20"/>
      <c r="AD23" s="20"/>
      <c r="AE23" s="270">
        <f ca="1">SUM(T22:AE22)</f>
        <v>145.62799999999999</v>
      </c>
      <c r="AF23" s="20"/>
      <c r="AG23" s="20"/>
      <c r="AH23" s="270">
        <f ca="1">SUM(W22:AH22)</f>
        <v>147.57399999999998</v>
      </c>
      <c r="AI23" s="20"/>
      <c r="AJ23" s="20"/>
      <c r="AK23" s="270">
        <f ca="1">SUM(Z22:AK22)</f>
        <v>151.97399999999999</v>
      </c>
      <c r="AL23" s="20"/>
      <c r="AM23" s="20"/>
      <c r="AN23" s="270">
        <f ca="1">SUM(AC22:AN22)</f>
        <v>153.441</v>
      </c>
      <c r="AO23" s="20"/>
      <c r="AP23" s="20"/>
      <c r="AQ23" s="270">
        <f ca="1">SUM(AF22:AQ22)</f>
        <v>156.161</v>
      </c>
      <c r="AR23" s="20"/>
      <c r="AS23" s="20"/>
      <c r="AT23" s="270">
        <f ca="1">SUM(AI22:AT22)</f>
        <v>161.67099999999999</v>
      </c>
      <c r="AU23" s="20"/>
      <c r="AV23" s="20"/>
      <c r="AW23" s="270">
        <f ca="1">SUM(AL22:AW22)</f>
        <v>317.45699999999999</v>
      </c>
      <c r="AX23" s="20"/>
      <c r="AY23" s="20"/>
      <c r="AZ23" s="270">
        <f ca="1">SUM(AO22:AZ22)</f>
        <v>313.31631060999996</v>
      </c>
      <c r="BA23" s="20"/>
      <c r="BB23" s="20"/>
      <c r="BC23" s="270">
        <f ca="1">SUM(AR22:BC22)</f>
        <v>309.27375792999999</v>
      </c>
      <c r="BD23" s="20"/>
      <c r="BE23" s="20"/>
      <c r="BF23" s="270">
        <f ca="1">SUM(AU22:BF22)</f>
        <v>302.38614371</v>
      </c>
      <c r="BG23" s="20"/>
      <c r="BH23" s="20"/>
      <c r="BI23" s="270">
        <f ca="1">SUM(AX22:BI22)</f>
        <v>264.81781331629838</v>
      </c>
      <c r="BJ23" s="20"/>
      <c r="BK23" s="20"/>
      <c r="BL23" s="270">
        <f ca="1">SUM(BA22:BL22)</f>
        <v>386.3351723125968</v>
      </c>
      <c r="BM23" s="20"/>
      <c r="BN23" s="20"/>
      <c r="BO23" s="270">
        <f ca="1">SUM(BD22:BO22)</f>
        <v>500.11577784109988</v>
      </c>
      <c r="BP23" s="20"/>
      <c r="BQ23" s="20"/>
      <c r="BR23" s="270">
        <f ca="1">SUM(BG22:BR22)</f>
        <v>618.54250596657312</v>
      </c>
      <c r="BS23" s="20"/>
      <c r="BT23" s="20"/>
      <c r="BU23" s="270">
        <f ca="1">SUM(BJ22:BU22)</f>
        <v>620.24707254385748</v>
      </c>
      <c r="BV23" s="20"/>
      <c r="BW23" s="20"/>
      <c r="BX23" s="270">
        <f ca="1">SUM(BM22:BX22)</f>
        <v>464.03040293755902</v>
      </c>
    </row>
    <row r="24" spans="1:76" x14ac:dyDescent="0.25">
      <c r="A24" s="265" t="s">
        <v>1391</v>
      </c>
      <c r="B24" s="259"/>
      <c r="C24" s="260"/>
      <c r="D24" s="260"/>
      <c r="E24" s="20">
        <v>6.3</v>
      </c>
      <c r="F24" s="20">
        <v>6.3</v>
      </c>
      <c r="G24" s="20">
        <v>6.3</v>
      </c>
      <c r="H24" s="20">
        <v>5.6</v>
      </c>
      <c r="I24" s="20">
        <v>5.9</v>
      </c>
      <c r="J24" s="20">
        <v>6.5</v>
      </c>
      <c r="K24" s="20">
        <v>6.4</v>
      </c>
      <c r="L24" s="20">
        <v>6.3</v>
      </c>
      <c r="M24" s="20">
        <v>6.1</v>
      </c>
      <c r="N24" s="20">
        <v>5.8</v>
      </c>
      <c r="O24" s="20">
        <v>5.9</v>
      </c>
      <c r="P24" s="20">
        <v>5.7</v>
      </c>
      <c r="Q24" s="20">
        <v>6.4</v>
      </c>
      <c r="R24" s="20">
        <v>6.4</v>
      </c>
      <c r="S24" s="20">
        <v>6</v>
      </c>
      <c r="T24" s="20">
        <v>5.4</v>
      </c>
      <c r="U24" s="20">
        <v>5.5</v>
      </c>
      <c r="V24" s="20">
        <v>5.8</v>
      </c>
      <c r="W24" s="20">
        <v>5.7</v>
      </c>
      <c r="X24" s="20">
        <v>5.2</v>
      </c>
      <c r="Y24" s="20">
        <v>5.4</v>
      </c>
      <c r="Z24" s="20">
        <v>5.2</v>
      </c>
      <c r="AA24" s="20">
        <v>5.6</v>
      </c>
      <c r="AB24" s="20">
        <v>5.0999999999999996</v>
      </c>
      <c r="AC24" s="20">
        <v>5.3</v>
      </c>
      <c r="AD24" s="20">
        <v>5.4</v>
      </c>
      <c r="AE24" s="20">
        <v>5.0999999999999996</v>
      </c>
      <c r="AF24" s="20">
        <v>4.5</v>
      </c>
      <c r="AG24" s="20">
        <v>4.5999999999999996</v>
      </c>
      <c r="AH24" s="20">
        <v>5.2</v>
      </c>
      <c r="AI24" s="20">
        <v>5.4</v>
      </c>
      <c r="AJ24" s="20">
        <v>5.2</v>
      </c>
      <c r="AK24" s="20">
        <v>5.2</v>
      </c>
      <c r="AL24" s="20">
        <v>5</v>
      </c>
      <c r="AM24" s="20">
        <v>4.8</v>
      </c>
      <c r="AN24" s="20">
        <v>4.5</v>
      </c>
      <c r="AO24" s="20">
        <v>5.0999999999999996</v>
      </c>
      <c r="AP24" s="20">
        <v>5.3</v>
      </c>
      <c r="AQ24" s="20">
        <v>4.9000000000000004</v>
      </c>
      <c r="AR24" s="20">
        <v>4.4000000000000004</v>
      </c>
      <c r="AS24" s="20">
        <v>4.5999999999999996</v>
      </c>
      <c r="AT24" s="20">
        <v>5.0999999999999996</v>
      </c>
      <c r="AU24" s="20">
        <v>5.2</v>
      </c>
      <c r="AV24" s="20">
        <v>5</v>
      </c>
      <c r="AW24" s="20">
        <v>5.0999999999999996</v>
      </c>
      <c r="AX24" s="20">
        <v>5</v>
      </c>
      <c r="AY24" s="20">
        <v>4.8</v>
      </c>
      <c r="AZ24" s="20">
        <v>5.0999999999999996</v>
      </c>
      <c r="BA24" s="20">
        <v>5.3</v>
      </c>
      <c r="BB24" s="20">
        <v>5.2</v>
      </c>
      <c r="BC24" s="20">
        <v>5.3</v>
      </c>
      <c r="BD24" s="20">
        <v>4.5</v>
      </c>
      <c r="BE24" s="20">
        <v>5.3</v>
      </c>
      <c r="BF24" s="20">
        <v>5.9</v>
      </c>
      <c r="BG24" s="20">
        <v>6</v>
      </c>
      <c r="BH24" s="20">
        <v>6.2</v>
      </c>
      <c r="BI24" s="20">
        <v>6.1</v>
      </c>
      <c r="BJ24" s="20">
        <v>6</v>
      </c>
      <c r="BK24" s="20">
        <v>6.2</v>
      </c>
      <c r="BL24" s="20">
        <v>6.5</v>
      </c>
      <c r="BM24" s="20">
        <v>8.3000000000000007</v>
      </c>
      <c r="BN24" s="20">
        <v>8.4</v>
      </c>
      <c r="BO24" s="20">
        <v>8.3000000000000007</v>
      </c>
      <c r="BP24" s="20">
        <v>7.8</v>
      </c>
      <c r="BQ24" s="20">
        <v>8.6</v>
      </c>
      <c r="BR24" s="20">
        <v>8.6999999999999993</v>
      </c>
      <c r="BS24" s="20">
        <v>8.9</v>
      </c>
      <c r="BT24" s="20">
        <v>8.9</v>
      </c>
      <c r="BU24" s="20">
        <v>8.9</v>
      </c>
      <c r="BV24" s="20">
        <v>8.4</v>
      </c>
      <c r="BW24" s="20">
        <v>8.4</v>
      </c>
      <c r="BX24" s="20">
        <v>8.6</v>
      </c>
    </row>
    <row r="25" spans="1:76" x14ac:dyDescent="0.25">
      <c r="A25" s="265" t="s">
        <v>135</v>
      </c>
      <c r="B25" s="259"/>
      <c r="C25" s="260"/>
      <c r="D25" s="260"/>
      <c r="E25" s="20"/>
      <c r="F25" s="20"/>
      <c r="G25" s="20"/>
      <c r="H25" s="20"/>
      <c r="I25" s="20"/>
      <c r="J25" s="20"/>
      <c r="K25" s="20"/>
      <c r="L25" s="20"/>
      <c r="M25" s="20"/>
      <c r="N25" s="20"/>
      <c r="O25" s="20"/>
      <c r="P25" s="20">
        <f>AVERAGE(E24:P24)</f>
        <v>6.0916666666666659</v>
      </c>
      <c r="Q25" s="20"/>
      <c r="R25" s="20"/>
      <c r="S25" s="20"/>
      <c r="T25" s="20"/>
      <c r="U25" s="20"/>
      <c r="V25" s="20"/>
      <c r="W25" s="20"/>
      <c r="X25" s="20"/>
      <c r="Y25" s="20"/>
      <c r="Z25" s="20"/>
      <c r="AA25" s="20"/>
      <c r="AB25" s="20">
        <f>AVERAGE(Q24:AB24)</f>
        <v>5.6416666666666666</v>
      </c>
      <c r="AC25" s="20"/>
      <c r="AD25" s="20"/>
      <c r="AE25" s="20"/>
      <c r="AF25" s="20"/>
      <c r="AG25" s="20"/>
      <c r="AH25" s="20"/>
      <c r="AI25" s="20"/>
      <c r="AJ25" s="20"/>
      <c r="AK25" s="20"/>
      <c r="AL25" s="20"/>
      <c r="AM25" s="20"/>
      <c r="AN25" s="20">
        <f>AVERAGE(AC24:AN24)</f>
        <v>5.0166666666666666</v>
      </c>
      <c r="AO25" s="20"/>
      <c r="AP25" s="20"/>
      <c r="AQ25" s="20"/>
      <c r="AR25" s="20"/>
      <c r="AS25" s="20"/>
      <c r="AT25" s="20"/>
      <c r="AU25" s="20"/>
      <c r="AV25" s="20"/>
      <c r="AW25" s="20"/>
      <c r="AX25" s="20"/>
      <c r="AY25" s="20"/>
      <c r="AZ25" s="20">
        <f>AVERAGE(AO24:AZ24)</f>
        <v>4.9666666666666668</v>
      </c>
      <c r="BA25" s="20"/>
      <c r="BB25" s="20"/>
      <c r="BC25" s="20"/>
      <c r="BD25" s="20"/>
      <c r="BE25" s="20"/>
      <c r="BF25" s="20"/>
      <c r="BG25" s="20"/>
      <c r="BH25" s="20"/>
      <c r="BI25" s="20"/>
      <c r="BJ25" s="20"/>
      <c r="BK25" s="20"/>
      <c r="BL25" s="20">
        <f>AVERAGE(BA24:BL24)</f>
        <v>5.708333333333333</v>
      </c>
      <c r="BM25" s="20"/>
      <c r="BN25" s="20"/>
      <c r="BO25" s="20"/>
      <c r="BP25" s="20"/>
      <c r="BQ25" s="20"/>
      <c r="BR25" s="20"/>
      <c r="BS25" s="20"/>
      <c r="BT25" s="20"/>
      <c r="BU25" s="20"/>
      <c r="BV25" s="20"/>
      <c r="BW25" s="20"/>
      <c r="BX25" s="20">
        <f>AVERAGE(BM24:BX24)</f>
        <v>8.5166666666666675</v>
      </c>
    </row>
    <row r="26" spans="1:76" x14ac:dyDescent="0.25">
      <c r="A26" s="262" t="s">
        <v>104</v>
      </c>
      <c r="B26" s="263"/>
      <c r="C26" s="264"/>
      <c r="D26" s="264"/>
      <c r="E26" s="30">
        <v>942675</v>
      </c>
      <c r="F26" s="30">
        <v>943959</v>
      </c>
      <c r="G26" s="30">
        <v>947142</v>
      </c>
      <c r="H26" s="30">
        <v>959694</v>
      </c>
      <c r="I26" s="30">
        <v>958045</v>
      </c>
      <c r="J26" s="30">
        <v>968087</v>
      </c>
      <c r="K26" s="30">
        <v>969811</v>
      </c>
      <c r="L26" s="30">
        <v>958982</v>
      </c>
      <c r="M26" s="30">
        <v>951670</v>
      </c>
      <c r="N26" s="30">
        <v>963768</v>
      </c>
      <c r="O26" s="30">
        <v>967360</v>
      </c>
      <c r="P26" s="30">
        <v>962111</v>
      </c>
      <c r="Q26" s="30">
        <v>953333</v>
      </c>
      <c r="R26" s="30">
        <v>955326</v>
      </c>
      <c r="S26" s="30">
        <v>960284</v>
      </c>
      <c r="T26" s="30">
        <v>966937</v>
      </c>
      <c r="U26" s="30">
        <v>966465</v>
      </c>
      <c r="V26" s="30">
        <v>978577</v>
      </c>
      <c r="W26" s="30">
        <v>979971</v>
      </c>
      <c r="X26" s="30">
        <v>972284</v>
      </c>
      <c r="Y26" s="30">
        <v>965382</v>
      </c>
      <c r="Z26" s="30">
        <v>971528</v>
      </c>
      <c r="AA26" s="30">
        <v>970659</v>
      </c>
      <c r="AB26" s="30">
        <v>971008</v>
      </c>
      <c r="AC26" s="30">
        <v>958398</v>
      </c>
      <c r="AD26" s="30">
        <v>961517</v>
      </c>
      <c r="AE26" s="30">
        <v>965840</v>
      </c>
      <c r="AF26" s="30">
        <v>973709</v>
      </c>
      <c r="AG26" s="30">
        <v>972076</v>
      </c>
      <c r="AH26" s="30">
        <v>982172</v>
      </c>
      <c r="AI26" s="30">
        <v>985691</v>
      </c>
      <c r="AJ26" s="30">
        <v>980554</v>
      </c>
      <c r="AK26" s="30">
        <v>972787</v>
      </c>
      <c r="AL26" s="30">
        <v>982066</v>
      </c>
      <c r="AM26" s="30">
        <v>986552</v>
      </c>
      <c r="AN26" s="30">
        <v>985752</v>
      </c>
      <c r="AO26" s="30">
        <v>975576</v>
      </c>
      <c r="AP26" s="30">
        <v>977230</v>
      </c>
      <c r="AQ26" s="30">
        <v>982667</v>
      </c>
      <c r="AR26" s="30">
        <v>986360</v>
      </c>
      <c r="AS26" s="30">
        <v>983166</v>
      </c>
      <c r="AT26" s="30">
        <v>995143</v>
      </c>
      <c r="AU26" s="30">
        <v>1008139</v>
      </c>
      <c r="AV26" s="30">
        <v>994274</v>
      </c>
      <c r="AW26" s="30">
        <v>984358</v>
      </c>
      <c r="AX26" s="30">
        <v>983541</v>
      </c>
      <c r="AY26" s="30">
        <v>988386</v>
      </c>
      <c r="AZ26" s="30">
        <v>979155</v>
      </c>
      <c r="BA26" s="30">
        <v>976482</v>
      </c>
      <c r="BB26" s="30">
        <v>972456</v>
      </c>
      <c r="BC26" s="30">
        <v>977883</v>
      </c>
      <c r="BD26" s="30">
        <v>991659</v>
      </c>
      <c r="BE26" s="30">
        <v>981463</v>
      </c>
      <c r="BF26" s="30">
        <v>994591</v>
      </c>
      <c r="BG26" s="30">
        <v>1002152</v>
      </c>
      <c r="BH26" s="30">
        <v>985342</v>
      </c>
      <c r="BI26" s="30">
        <v>975335</v>
      </c>
      <c r="BJ26" s="30">
        <v>975140</v>
      </c>
      <c r="BK26" s="30">
        <v>971740</v>
      </c>
      <c r="BL26" s="30">
        <v>966107</v>
      </c>
      <c r="BM26" s="30">
        <v>954299</v>
      </c>
      <c r="BN26" s="30">
        <v>955818</v>
      </c>
      <c r="BO26" s="30">
        <v>957160</v>
      </c>
      <c r="BP26" s="30">
        <v>966198</v>
      </c>
      <c r="BQ26" s="30">
        <v>964894</v>
      </c>
      <c r="BR26" s="30">
        <v>978719</v>
      </c>
      <c r="BS26" s="30">
        <v>982337</v>
      </c>
      <c r="BT26" s="30">
        <v>969603</v>
      </c>
      <c r="BU26" s="30">
        <v>962217</v>
      </c>
      <c r="BV26" s="30">
        <v>962435</v>
      </c>
      <c r="BW26" s="30">
        <v>961526</v>
      </c>
      <c r="BX26" s="30">
        <v>952201</v>
      </c>
    </row>
    <row r="27" spans="1:76" x14ac:dyDescent="0.25">
      <c r="A27" s="256"/>
      <c r="B27" s="253"/>
      <c r="C27" s="251"/>
      <c r="D27" s="251"/>
      <c r="E27" s="257"/>
      <c r="F27" s="257"/>
      <c r="G27" s="257"/>
      <c r="H27" s="257"/>
      <c r="I27" s="257"/>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row>
    <row r="28" spans="1:76" x14ac:dyDescent="0.25">
      <c r="A28" s="254" t="s">
        <v>1094</v>
      </c>
      <c r="B28" s="253" t="s">
        <v>95</v>
      </c>
      <c r="C28" s="251">
        <f>PENN!AF293/PENN!$AF$314</f>
        <v>8.7544911101023998E-2</v>
      </c>
      <c r="D28" s="251"/>
      <c r="E28" s="257"/>
      <c r="F28" s="257"/>
      <c r="G28" s="257"/>
      <c r="H28" s="257"/>
      <c r="I28" s="257"/>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row>
    <row r="29" spans="1:76" x14ac:dyDescent="0.25">
      <c r="A29" s="265" t="s">
        <v>2254</v>
      </c>
      <c r="B29" s="259"/>
      <c r="C29" s="260"/>
      <c r="D29" s="260"/>
      <c r="E29" s="20"/>
      <c r="F29" s="20"/>
      <c r="G29" s="270">
        <f>PENN!C796</f>
        <v>58.869</v>
      </c>
      <c r="H29" s="20"/>
      <c r="I29" s="20"/>
      <c r="J29" s="270">
        <f ca="1">OFFSET(PENN!F796,0,-2,1,1)</f>
        <v>57.475000000000001</v>
      </c>
      <c r="K29" s="20"/>
      <c r="L29" s="20"/>
      <c r="M29" s="270">
        <f ca="1">OFFSET(PENN!I796,0,-4,1,1)</f>
        <v>58.509</v>
      </c>
      <c r="N29" s="20"/>
      <c r="O29" s="20"/>
      <c r="P29" s="270">
        <f ca="1">OFFSET(PENN!L796,0,-6,1,1)</f>
        <v>57.731000000000002</v>
      </c>
      <c r="Q29" s="20"/>
      <c r="R29" s="20"/>
      <c r="S29" s="270">
        <f ca="1">OFFSET(PENN!O796,0,-7,1,1)</f>
        <v>53.460999999999999</v>
      </c>
      <c r="T29" s="20"/>
      <c r="U29" s="20"/>
      <c r="V29" s="270">
        <f ca="1">OFFSET(PENN!R796,0,-9,1,1)</f>
        <v>57.781999999999996</v>
      </c>
      <c r="W29" s="20"/>
      <c r="X29" s="20"/>
      <c r="Y29" s="270">
        <f ca="1">OFFSET(PENN!U796,0,-11,1,1)</f>
        <v>58.619</v>
      </c>
      <c r="Z29" s="20"/>
      <c r="AA29" s="20"/>
      <c r="AB29" s="270">
        <f ca="1">OFFSET(PENN!X796,0,-13,1,1)</f>
        <v>62.030999999999999</v>
      </c>
      <c r="AC29" s="20"/>
      <c r="AD29" s="20"/>
      <c r="AE29" s="270">
        <f ca="1">OFFSET(PENN!AA796,0,-14,1,1)</f>
        <v>61.75</v>
      </c>
      <c r="AF29" s="20"/>
      <c r="AG29" s="20"/>
      <c r="AH29" s="270">
        <f ca="1">OFFSET(PENN!AD796,0,-16,1,1)</f>
        <v>60.703000000000003</v>
      </c>
      <c r="AI29" s="20"/>
      <c r="AJ29" s="20"/>
      <c r="AK29" s="270">
        <f ca="1">OFFSET(PENN!AG796,0,-18,1,1)</f>
        <v>61.780999999999999</v>
      </c>
      <c r="AL29" s="20"/>
      <c r="AM29" s="20"/>
      <c r="AN29" s="270">
        <f ca="1">OFFSET(PENN!AJ796,0,-20,1,1)</f>
        <v>61.241</v>
      </c>
      <c r="AO29" s="20"/>
      <c r="AP29" s="20"/>
      <c r="AQ29" s="270">
        <f ca="1">OFFSET(PENN!AM796,0,-21,1,1)</f>
        <v>64.5</v>
      </c>
      <c r="AR29" s="20"/>
      <c r="AS29" s="20"/>
      <c r="AT29" s="270">
        <f ca="1">OFFSET(PENN!AP796,0,-23,1,1)</f>
        <v>64.052000000000007</v>
      </c>
      <c r="AU29" s="20"/>
      <c r="AV29" s="20"/>
      <c r="AW29" s="270">
        <f ca="1">OFFSET(PENN!BE796,0,-25,1,1)</f>
        <v>184.77599999999998</v>
      </c>
      <c r="AX29" s="20"/>
      <c r="AY29" s="20"/>
      <c r="AZ29" s="270">
        <f ca="1">OFFSET(PENN!CG796,0,-27,1,1)</f>
        <v>28.407322999999998</v>
      </c>
      <c r="BA29" s="20"/>
      <c r="BB29" s="20"/>
      <c r="BC29" s="270">
        <f ca="1">OFFSET(PENN!BT796,0,-28,1,1)</f>
        <v>36.948999999999998</v>
      </c>
      <c r="BD29" s="20"/>
      <c r="BE29" s="20"/>
      <c r="BF29" s="270">
        <f ca="1">OFFSET(PENN!CM796,0,-30,1,1)</f>
        <v>27.545582999999997</v>
      </c>
      <c r="BG29" s="20"/>
      <c r="BH29" s="20"/>
      <c r="BI29" s="270">
        <f ca="1">OFFSET(PENN!DH796,0,-32,1,1)</f>
        <v>105.39549849840499</v>
      </c>
      <c r="BJ29" s="20"/>
      <c r="BK29" s="20"/>
      <c r="BL29" s="270">
        <f ca="1">OFFSET(PENN!DJ796,0,-34,1,1)</f>
        <v>105.39549849840499</v>
      </c>
      <c r="BM29" s="20"/>
      <c r="BN29" s="20"/>
      <c r="BO29" s="270">
        <f ca="1">OFFSET(PENN!DM796,0,-35,1,1)</f>
        <v>101.88023804495442</v>
      </c>
      <c r="BP29" s="20"/>
      <c r="BQ29" s="20"/>
      <c r="BR29" s="270">
        <f ca="1">OFFSET(PENN!DP796,0,-37,1,1)</f>
        <v>104.07784280585352</v>
      </c>
      <c r="BS29" s="20"/>
      <c r="BT29" s="20"/>
      <c r="BU29" s="270">
        <f ca="1">OFFSET(PENN!DS796,0,-39,1,1)</f>
        <v>106.31939966197059</v>
      </c>
      <c r="BV29" s="20"/>
      <c r="BW29" s="20"/>
      <c r="BX29" s="270">
        <f ca="1">OFFSET(PENN!DV796,0,-41,1,1)</f>
        <v>0</v>
      </c>
    </row>
    <row r="30" spans="1:76" x14ac:dyDescent="0.25">
      <c r="A30" s="265" t="s">
        <v>753</v>
      </c>
      <c r="B30" s="259"/>
      <c r="C30" s="260"/>
      <c r="D30" s="260"/>
      <c r="E30" s="270"/>
      <c r="F30" s="270"/>
      <c r="G30" s="270"/>
      <c r="H30" s="20"/>
      <c r="I30" s="20"/>
      <c r="J30" s="270"/>
      <c r="K30" s="20"/>
      <c r="L30" s="20"/>
      <c r="M30" s="270"/>
      <c r="N30" s="20"/>
      <c r="O30" s="20"/>
      <c r="P30" s="270">
        <f ca="1">SUM(E29:P29)</f>
        <v>232.584</v>
      </c>
      <c r="Q30" s="20"/>
      <c r="R30" s="20"/>
      <c r="S30" s="270">
        <f ca="1">SUM(H29:S29)</f>
        <v>227.17599999999999</v>
      </c>
      <c r="T30" s="20"/>
      <c r="U30" s="20"/>
      <c r="V30" s="270">
        <f ca="1">SUM(K29:V29)</f>
        <v>227.483</v>
      </c>
      <c r="W30" s="20"/>
      <c r="X30" s="20"/>
      <c r="Y30" s="270">
        <f ca="1">SUM(N29:Y29)</f>
        <v>227.59299999999999</v>
      </c>
      <c r="Z30" s="20"/>
      <c r="AA30" s="20"/>
      <c r="AB30" s="270">
        <f ca="1">SUM(Q29:AB29)</f>
        <v>231.893</v>
      </c>
      <c r="AC30" s="20"/>
      <c r="AD30" s="20"/>
      <c r="AE30" s="270">
        <f ca="1">SUM(T29:AE29)</f>
        <v>240.18199999999999</v>
      </c>
      <c r="AF30" s="20"/>
      <c r="AG30" s="20"/>
      <c r="AH30" s="270">
        <f ca="1">SUM(W29:AH29)</f>
        <v>243.10300000000001</v>
      </c>
      <c r="AI30" s="20"/>
      <c r="AJ30" s="20"/>
      <c r="AK30" s="270">
        <f ca="1">SUM(Z29:AK29)</f>
        <v>246.26500000000001</v>
      </c>
      <c r="AL30" s="20"/>
      <c r="AM30" s="20"/>
      <c r="AN30" s="270">
        <f ca="1">SUM(AC29:AN29)</f>
        <v>245.47500000000002</v>
      </c>
      <c r="AO30" s="20"/>
      <c r="AP30" s="20"/>
      <c r="AQ30" s="270">
        <f ca="1">SUM(AF29:AQ29)</f>
        <v>248.22500000000002</v>
      </c>
      <c r="AR30" s="20"/>
      <c r="AS30" s="20"/>
      <c r="AT30" s="270">
        <f ca="1">SUM(AI29:AT29)</f>
        <v>251.57400000000001</v>
      </c>
      <c r="AU30" s="20"/>
      <c r="AV30" s="20"/>
      <c r="AW30" s="270">
        <f ca="1">SUM(AL29:AW29)</f>
        <v>374.56899999999996</v>
      </c>
      <c r="AX30" s="20"/>
      <c r="AY30" s="20"/>
      <c r="AZ30" s="270">
        <f ca="1">SUM(AO29:AZ29)</f>
        <v>341.73532299999999</v>
      </c>
      <c r="BA30" s="20"/>
      <c r="BB30" s="20"/>
      <c r="BC30" s="270">
        <f ca="1">SUM(AR29:BC29)</f>
        <v>314.18432300000001</v>
      </c>
      <c r="BD30" s="20"/>
      <c r="BE30" s="20"/>
      <c r="BF30" s="270">
        <f ca="1">SUM(AU29:BF29)</f>
        <v>277.67790600000001</v>
      </c>
      <c r="BG30" s="20"/>
      <c r="BH30" s="20"/>
      <c r="BI30" s="270">
        <f ca="1">SUM(AX29:BI29)</f>
        <v>198.297404498405</v>
      </c>
      <c r="BJ30" s="20"/>
      <c r="BK30" s="20"/>
      <c r="BL30" s="270">
        <f ca="1">SUM(BA29:BL29)</f>
        <v>275.28557999680999</v>
      </c>
      <c r="BM30" s="20"/>
      <c r="BN30" s="20"/>
      <c r="BO30" s="270">
        <f ca="1">SUM(BD29:BO29)</f>
        <v>340.21681804176438</v>
      </c>
      <c r="BP30" s="20"/>
      <c r="BQ30" s="20"/>
      <c r="BR30" s="270">
        <f ca="1">SUM(BG29:BR29)</f>
        <v>416.74907784761797</v>
      </c>
      <c r="BS30" s="20"/>
      <c r="BT30" s="20"/>
      <c r="BU30" s="270">
        <f ca="1">SUM(BJ29:BU29)</f>
        <v>417.67297901118354</v>
      </c>
      <c r="BV30" s="20"/>
      <c r="BW30" s="20"/>
      <c r="BX30" s="270">
        <f ca="1">SUM(BM29:BX29)</f>
        <v>312.27748051277854</v>
      </c>
    </row>
    <row r="31" spans="1:76" x14ac:dyDescent="0.25">
      <c r="A31" s="265" t="s">
        <v>103</v>
      </c>
      <c r="B31" s="259"/>
      <c r="C31" s="260"/>
      <c r="D31" s="260"/>
      <c r="E31" s="20">
        <v>6.9</v>
      </c>
      <c r="F31" s="20">
        <v>6.5</v>
      </c>
      <c r="G31" s="20">
        <v>6.6</v>
      </c>
      <c r="H31" s="20">
        <v>6.2</v>
      </c>
      <c r="I31" s="20">
        <v>6.1</v>
      </c>
      <c r="J31" s="20">
        <v>6.5</v>
      </c>
      <c r="K31" s="20">
        <v>6.5</v>
      </c>
      <c r="L31" s="20">
        <v>6.1</v>
      </c>
      <c r="M31" s="20">
        <v>5.8</v>
      </c>
      <c r="N31" s="20">
        <v>5.8</v>
      </c>
      <c r="O31" s="20">
        <v>5.9</v>
      </c>
      <c r="P31" s="20">
        <v>5.8</v>
      </c>
      <c r="Q31" s="20">
        <v>6.4</v>
      </c>
      <c r="R31" s="20">
        <v>6.7</v>
      </c>
      <c r="S31" s="20">
        <v>6.3</v>
      </c>
      <c r="T31" s="20">
        <v>6.1</v>
      </c>
      <c r="U31" s="20">
        <v>6</v>
      </c>
      <c r="V31" s="20">
        <v>6.5</v>
      </c>
      <c r="W31" s="20">
        <v>6.2</v>
      </c>
      <c r="X31" s="20">
        <v>5.7</v>
      </c>
      <c r="Y31" s="20">
        <v>5.5</v>
      </c>
      <c r="Z31" s="20">
        <v>5</v>
      </c>
      <c r="AA31" s="20">
        <v>5.0999999999999996</v>
      </c>
      <c r="AB31" s="20">
        <v>5.2</v>
      </c>
      <c r="AC31" s="20">
        <v>5.4</v>
      </c>
      <c r="AD31" s="20">
        <v>5.2</v>
      </c>
      <c r="AE31" s="20">
        <v>5</v>
      </c>
      <c r="AF31" s="20">
        <v>4.7</v>
      </c>
      <c r="AG31" s="20">
        <v>4.3</v>
      </c>
      <c r="AH31" s="20">
        <v>4.8</v>
      </c>
      <c r="AI31" s="20">
        <v>4.8</v>
      </c>
      <c r="AJ31" s="20">
        <v>4.5</v>
      </c>
      <c r="AK31" s="20">
        <v>4.0999999999999996</v>
      </c>
      <c r="AL31" s="20">
        <v>3.6</v>
      </c>
      <c r="AM31" s="20">
        <v>3.9</v>
      </c>
      <c r="AN31" s="20">
        <v>4.0999999999999996</v>
      </c>
      <c r="AO31" s="20">
        <v>5.0999999999999996</v>
      </c>
      <c r="AP31" s="20">
        <v>5</v>
      </c>
      <c r="AQ31" s="20">
        <v>4.5999999999999996</v>
      </c>
      <c r="AR31" s="20">
        <v>4.7</v>
      </c>
      <c r="AS31" s="20">
        <v>4.5999999999999996</v>
      </c>
      <c r="AT31" s="20">
        <v>5.3</v>
      </c>
      <c r="AU31" s="20">
        <v>5.3</v>
      </c>
      <c r="AV31" s="20">
        <v>5.0999999999999996</v>
      </c>
      <c r="AW31" s="20">
        <v>4.8</v>
      </c>
      <c r="AX31" s="20">
        <v>4.7</v>
      </c>
      <c r="AY31" s="20">
        <v>4.8</v>
      </c>
      <c r="AZ31" s="20">
        <v>5.2</v>
      </c>
      <c r="BA31" s="20">
        <v>5.9</v>
      </c>
      <c r="BB31" s="20">
        <v>5.7</v>
      </c>
      <c r="BC31" s="20">
        <v>5.6</v>
      </c>
      <c r="BD31" s="20">
        <v>5.4</v>
      </c>
      <c r="BE31" s="20">
        <v>6.1</v>
      </c>
      <c r="BF31" s="20">
        <v>6.7</v>
      </c>
      <c r="BG31" s="20">
        <v>6.8</v>
      </c>
      <c r="BH31" s="20">
        <v>6.6</v>
      </c>
      <c r="BI31" s="20">
        <v>6.2</v>
      </c>
      <c r="BJ31" s="20">
        <v>6.2</v>
      </c>
      <c r="BK31" s="20">
        <v>6.4</v>
      </c>
      <c r="BL31" s="20">
        <v>7.1</v>
      </c>
      <c r="BM31" s="20">
        <v>8.3000000000000007</v>
      </c>
      <c r="BN31" s="20">
        <v>9.1999999999999993</v>
      </c>
      <c r="BO31" s="20">
        <v>9.4</v>
      </c>
      <c r="BP31" s="20">
        <v>9.8000000000000007</v>
      </c>
      <c r="BQ31" s="20">
        <v>10.4</v>
      </c>
      <c r="BR31" s="20">
        <v>11</v>
      </c>
      <c r="BS31" s="20">
        <v>10.6</v>
      </c>
      <c r="BT31" s="20">
        <v>9.6999999999999993</v>
      </c>
      <c r="BU31" s="20">
        <v>10</v>
      </c>
      <c r="BV31" s="20">
        <v>10.3</v>
      </c>
      <c r="BW31" s="20">
        <v>10.3</v>
      </c>
      <c r="BX31" s="20">
        <v>10.6</v>
      </c>
    </row>
    <row r="32" spans="1:76" x14ac:dyDescent="0.25">
      <c r="A32" s="265" t="s">
        <v>135</v>
      </c>
      <c r="B32" s="259"/>
      <c r="C32" s="260"/>
      <c r="D32" s="260"/>
      <c r="E32" s="20"/>
      <c r="F32" s="20"/>
      <c r="G32" s="20"/>
      <c r="H32" s="20"/>
      <c r="I32" s="20"/>
      <c r="J32" s="20"/>
      <c r="K32" s="20"/>
      <c r="L32" s="20"/>
      <c r="M32" s="20"/>
      <c r="N32" s="20"/>
      <c r="O32" s="20"/>
      <c r="P32" s="20">
        <f>AVERAGE(E31:P31)</f>
        <v>6.2249999999999988</v>
      </c>
      <c r="Q32" s="20"/>
      <c r="R32" s="20"/>
      <c r="S32" s="20"/>
      <c r="T32" s="20"/>
      <c r="U32" s="20"/>
      <c r="V32" s="20"/>
      <c r="W32" s="20"/>
      <c r="X32" s="20"/>
      <c r="Y32" s="20"/>
      <c r="Z32" s="20"/>
      <c r="AA32" s="20"/>
      <c r="AB32" s="20">
        <f>AVERAGE(Q31:AB31)</f>
        <v>5.8916666666666666</v>
      </c>
      <c r="AC32" s="20"/>
      <c r="AD32" s="20"/>
      <c r="AE32" s="20"/>
      <c r="AF32" s="20"/>
      <c r="AG32" s="20"/>
      <c r="AH32" s="20"/>
      <c r="AI32" s="20"/>
      <c r="AJ32" s="20"/>
      <c r="AK32" s="20"/>
      <c r="AL32" s="20"/>
      <c r="AM32" s="20"/>
      <c r="AN32" s="20">
        <f>AVERAGE(AC31:AN31)</f>
        <v>4.5333333333333341</v>
      </c>
      <c r="AO32" s="20"/>
      <c r="AP32" s="20"/>
      <c r="AQ32" s="20"/>
      <c r="AR32" s="20"/>
      <c r="AS32" s="20"/>
      <c r="AT32" s="20"/>
      <c r="AU32" s="20"/>
      <c r="AV32" s="20"/>
      <c r="AW32" s="20"/>
      <c r="AX32" s="20"/>
      <c r="AY32" s="20"/>
      <c r="AZ32" s="20">
        <f>AVERAGE(AO31:AZ31)</f>
        <v>4.9333333333333336</v>
      </c>
      <c r="BA32" s="20"/>
      <c r="BB32" s="20"/>
      <c r="BC32" s="20"/>
      <c r="BD32" s="20"/>
      <c r="BE32" s="20"/>
      <c r="BF32" s="20"/>
      <c r="BG32" s="20"/>
      <c r="BH32" s="20"/>
      <c r="BI32" s="20"/>
      <c r="BJ32" s="20"/>
      <c r="BK32" s="20"/>
      <c r="BL32" s="20">
        <f>AVERAGE(BA31:BL31)</f>
        <v>6.2250000000000005</v>
      </c>
      <c r="BM32" s="20"/>
      <c r="BN32" s="20"/>
      <c r="BO32" s="20"/>
      <c r="BP32" s="20"/>
      <c r="BQ32" s="20"/>
      <c r="BR32" s="20"/>
      <c r="BS32" s="20"/>
      <c r="BT32" s="20"/>
      <c r="BU32" s="20"/>
      <c r="BV32" s="20"/>
      <c r="BW32" s="20"/>
      <c r="BX32" s="20">
        <f>AVERAGE(BM31:BX31)</f>
        <v>9.9666666666666668</v>
      </c>
    </row>
    <row r="33" spans="1:76" x14ac:dyDescent="0.25">
      <c r="A33" s="262" t="s">
        <v>104</v>
      </c>
      <c r="B33" s="263"/>
      <c r="C33" s="264"/>
      <c r="D33" s="264"/>
      <c r="E33" s="30">
        <v>4362218</v>
      </c>
      <c r="F33" s="30">
        <v>4384555</v>
      </c>
      <c r="G33" s="30">
        <v>4381832</v>
      </c>
      <c r="H33" s="30">
        <v>4385893</v>
      </c>
      <c r="I33" s="30">
        <v>4394400</v>
      </c>
      <c r="J33" s="30">
        <v>4448007</v>
      </c>
      <c r="K33" s="30">
        <v>4477209</v>
      </c>
      <c r="L33" s="30">
        <v>4433561</v>
      </c>
      <c r="M33" s="30">
        <v>4412059</v>
      </c>
      <c r="N33" s="30">
        <v>4423615</v>
      </c>
      <c r="O33" s="30">
        <v>4438903</v>
      </c>
      <c r="P33" s="30">
        <v>4432327</v>
      </c>
      <c r="Q33" s="30">
        <v>4385637</v>
      </c>
      <c r="R33" s="30">
        <v>4393994</v>
      </c>
      <c r="S33" s="30">
        <v>4396107</v>
      </c>
      <c r="T33" s="30">
        <v>4419624</v>
      </c>
      <c r="U33" s="30">
        <v>4431573</v>
      </c>
      <c r="V33" s="30">
        <v>4474531</v>
      </c>
      <c r="W33" s="30">
        <v>4506287</v>
      </c>
      <c r="X33" s="30">
        <v>4478894</v>
      </c>
      <c r="Y33" s="30">
        <v>4459025</v>
      </c>
      <c r="Z33" s="30">
        <v>4484161</v>
      </c>
      <c r="AA33" s="30">
        <v>4500324</v>
      </c>
      <c r="AB33" s="30">
        <v>4495468</v>
      </c>
      <c r="AC33" s="30">
        <v>4474817</v>
      </c>
      <c r="AD33" s="30">
        <v>4509244</v>
      </c>
      <c r="AE33" s="30">
        <v>4527769</v>
      </c>
      <c r="AF33" s="30">
        <v>4539987</v>
      </c>
      <c r="AG33" s="30">
        <v>4564677</v>
      </c>
      <c r="AH33" s="30">
        <v>4635425</v>
      </c>
      <c r="AI33" s="30">
        <v>4656233</v>
      </c>
      <c r="AJ33" s="30">
        <v>4632022</v>
      </c>
      <c r="AK33" s="30">
        <v>4624128</v>
      </c>
      <c r="AL33" s="30">
        <v>4663057</v>
      </c>
      <c r="AM33" s="30">
        <v>4676007</v>
      </c>
      <c r="AN33" s="30">
        <v>4675778</v>
      </c>
      <c r="AO33" s="30">
        <v>4617268</v>
      </c>
      <c r="AP33" s="30">
        <v>4625914</v>
      </c>
      <c r="AQ33" s="30">
        <v>4644870</v>
      </c>
      <c r="AR33" s="30">
        <v>4635146</v>
      </c>
      <c r="AS33" s="30">
        <v>4645993</v>
      </c>
      <c r="AT33" s="30">
        <v>4713609</v>
      </c>
      <c r="AU33" s="30">
        <v>4729296</v>
      </c>
      <c r="AV33" s="30">
        <v>4674758</v>
      </c>
      <c r="AW33" s="30">
        <v>4674045</v>
      </c>
      <c r="AX33" s="30">
        <v>4678375</v>
      </c>
      <c r="AY33" s="30">
        <v>4713344</v>
      </c>
      <c r="AZ33" s="30">
        <v>4684391</v>
      </c>
      <c r="BA33" s="30">
        <v>4650312</v>
      </c>
      <c r="BB33" s="30">
        <v>4645698</v>
      </c>
      <c r="BC33" s="30">
        <v>4648331</v>
      </c>
      <c r="BD33" s="30">
        <v>4659832</v>
      </c>
      <c r="BE33" s="30">
        <v>4640771</v>
      </c>
      <c r="BF33" s="30">
        <v>4671506</v>
      </c>
      <c r="BG33" s="30">
        <v>4668449</v>
      </c>
      <c r="BH33" s="30">
        <v>4607117</v>
      </c>
      <c r="BI33" s="30">
        <v>4579333</v>
      </c>
      <c r="BJ33" s="30">
        <v>4566217</v>
      </c>
      <c r="BK33" s="30">
        <v>4552620</v>
      </c>
      <c r="BL33" s="30">
        <v>4508629</v>
      </c>
      <c r="BM33" s="30">
        <v>4432703</v>
      </c>
      <c r="BN33" s="30">
        <v>4395050</v>
      </c>
      <c r="BO33" s="30">
        <v>4378762</v>
      </c>
      <c r="BP33" s="30">
        <v>4390285</v>
      </c>
      <c r="BQ33" s="30">
        <v>4400995</v>
      </c>
      <c r="BR33" s="30">
        <v>4447906</v>
      </c>
      <c r="BS33" s="30">
        <v>4460408</v>
      </c>
      <c r="BT33" s="30">
        <v>4406849</v>
      </c>
      <c r="BU33" s="30">
        <v>4361807</v>
      </c>
      <c r="BV33" s="30">
        <v>4361035</v>
      </c>
      <c r="BW33" s="30">
        <v>4380773</v>
      </c>
      <c r="BX33" s="30">
        <v>4327544</v>
      </c>
    </row>
    <row r="34" spans="1:76" x14ac:dyDescent="0.25">
      <c r="A34" s="254"/>
      <c r="B34" s="253"/>
      <c r="C34" s="251"/>
      <c r="D34" s="251"/>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0"/>
      <c r="BH34" s="30"/>
      <c r="BI34" s="30"/>
      <c r="BJ34" s="30"/>
      <c r="BK34" s="30"/>
      <c r="BL34" s="30"/>
      <c r="BM34" s="30"/>
      <c r="BN34" s="30"/>
      <c r="BO34" s="30"/>
      <c r="BP34" s="30"/>
      <c r="BQ34" s="30"/>
      <c r="BR34" s="30"/>
      <c r="BS34" s="30"/>
      <c r="BT34" s="30"/>
      <c r="BU34" s="30"/>
      <c r="BV34" s="30"/>
      <c r="BW34" s="30"/>
      <c r="BX34" s="30"/>
    </row>
    <row r="35" spans="1:76" x14ac:dyDescent="0.25">
      <c r="A35" s="256" t="s">
        <v>1549</v>
      </c>
      <c r="B35" s="253" t="s">
        <v>96</v>
      </c>
      <c r="C35" s="251">
        <f>PENN!AF267/PENN!$AF$314</f>
        <v>7.820955692842689E-2</v>
      </c>
      <c r="D35" s="251"/>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row>
    <row r="36" spans="1:76" x14ac:dyDescent="0.25">
      <c r="A36" s="265" t="s">
        <v>2254</v>
      </c>
      <c r="B36" s="253"/>
      <c r="C36" s="251"/>
      <c r="D36" s="251"/>
      <c r="E36" s="30"/>
      <c r="F36" s="30"/>
      <c r="G36" s="270">
        <f>PENN!C401</f>
        <v>22.51</v>
      </c>
      <c r="H36" s="20"/>
      <c r="I36" s="20"/>
      <c r="J36" s="270">
        <f ca="1">OFFSET(PENN!F401,0,-2,1,1)</f>
        <v>27.157</v>
      </c>
      <c r="K36" s="20"/>
      <c r="L36" s="20"/>
      <c r="M36" s="270">
        <f ca="1">OFFSET(PENN!I401,0,-4,1,1)</f>
        <v>13.632</v>
      </c>
      <c r="N36" s="20"/>
      <c r="O36" s="20"/>
      <c r="P36" s="270">
        <f ca="1">OFFSET(PENN!L401,0,-6,1,1)</f>
        <v>13.206</v>
      </c>
      <c r="Q36" s="20"/>
      <c r="R36" s="20"/>
      <c r="S36" s="270">
        <f ca="1">OFFSET(PENN!O401,0,-7,1,1)</f>
        <v>13.275</v>
      </c>
      <c r="T36" s="20"/>
      <c r="U36" s="20"/>
      <c r="V36" s="270">
        <f ca="1">OFFSET(PENN!R401,0,-9,1,1)</f>
        <v>15.262</v>
      </c>
      <c r="W36" s="20"/>
      <c r="X36" s="20"/>
      <c r="Y36" s="270">
        <f ca="1">OFFSET(PENN!U401,0,-11,1,1)</f>
        <v>13.212999999999999</v>
      </c>
      <c r="Z36" s="20"/>
      <c r="AA36" s="20"/>
      <c r="AB36" s="270">
        <f ca="1">OFFSET(PENN!X401,0,-13,1,1)</f>
        <v>12.026999999999999</v>
      </c>
      <c r="AC36" s="20"/>
      <c r="AD36" s="20"/>
      <c r="AE36" s="270">
        <f ca="1">OFFSET(PENN!AA401,0,-14,1,1)</f>
        <v>13.087</v>
      </c>
      <c r="AF36" s="20"/>
      <c r="AG36" s="20"/>
      <c r="AH36" s="270">
        <f ca="1">OFFSET(PENN!AD401,0,-16,1,1)</f>
        <v>13.073</v>
      </c>
      <c r="AI36" s="20"/>
      <c r="AJ36" s="20"/>
      <c r="AK36" s="270">
        <f ca="1">OFFSET(PENN!AG401,0,-18,1,1)</f>
        <v>12.691000000000001</v>
      </c>
      <c r="AL36" s="20"/>
      <c r="AM36" s="20"/>
      <c r="AN36" s="270">
        <f ca="1">OFFSET(PENN!AJ401,0,-20,1,1)</f>
        <v>11.452</v>
      </c>
      <c r="AO36" s="20"/>
      <c r="AP36" s="20"/>
      <c r="AQ36" s="270">
        <f ca="1">OFFSET(PENN!AM401,0,-21,1,1)</f>
        <v>11.853999999999999</v>
      </c>
      <c r="AR36" s="20"/>
      <c r="AS36" s="20"/>
      <c r="AT36" s="270">
        <f ca="1">OFFSET(PENN!AP401,0,-23,1,1)</f>
        <v>13.53</v>
      </c>
      <c r="AU36" s="20"/>
      <c r="AV36" s="20"/>
      <c r="AW36" s="270">
        <f ca="1">OFFSET(PENN!BE401,0,-25,1,1)</f>
        <v>292.66999999999996</v>
      </c>
      <c r="AX36" s="20"/>
      <c r="AY36" s="20"/>
      <c r="AZ36" s="270">
        <f ca="1">OFFSET(PENN!CG401,0,-27,1,1)</f>
        <v>73.611877497941606</v>
      </c>
      <c r="BA36" s="20"/>
      <c r="BB36" s="20"/>
      <c r="BC36" s="270">
        <f ca="1">OFFSET(PENN!BT401,0,-28,1,1)</f>
        <v>84.303830284473008</v>
      </c>
      <c r="BD36" s="20"/>
      <c r="BE36" s="20"/>
      <c r="BF36" s="270">
        <f ca="1">OFFSET(PENN!CM401,0,-30,1,1)</f>
        <v>70.146848939999927</v>
      </c>
      <c r="BG36" s="20"/>
      <c r="BH36" s="20"/>
      <c r="BI36" s="270">
        <f ca="1">OFFSET(PENN!DH401,0,-32,1,1)</f>
        <v>275.94942328735868</v>
      </c>
      <c r="BJ36" s="20"/>
      <c r="BK36" s="20"/>
      <c r="BL36" s="270">
        <f ca="1">OFFSET(PENN!DJ401,0,-34,1,1)</f>
        <v>275.94942328735868</v>
      </c>
      <c r="BM36" s="20"/>
      <c r="BN36" s="20"/>
      <c r="BO36" s="270">
        <f ca="1">OFFSET(PENN!DM401,0,-35,1,1)</f>
        <v>267.39499116545056</v>
      </c>
      <c r="BP36" s="20"/>
      <c r="BQ36" s="20"/>
      <c r="BR36" s="270">
        <f ca="1">OFFSET(PENN!DP401,0,-37,1,1)</f>
        <v>272.7428909887596</v>
      </c>
      <c r="BS36" s="20"/>
      <c r="BT36" s="20"/>
      <c r="BU36" s="270">
        <f ca="1">OFFSET(PENN!DS401,0,-39,1,1)</f>
        <v>278.19774880853475</v>
      </c>
      <c r="BV36" s="20"/>
      <c r="BW36" s="20"/>
      <c r="BX36" s="270">
        <f ca="1">OFFSET(PENN!DV401,0,-41,1,1)</f>
        <v>0</v>
      </c>
    </row>
    <row r="37" spans="1:76" x14ac:dyDescent="0.25">
      <c r="A37" s="265" t="s">
        <v>753</v>
      </c>
      <c r="B37" s="259"/>
      <c r="C37" s="260"/>
      <c r="D37" s="260"/>
      <c r="E37" s="270"/>
      <c r="F37" s="270"/>
      <c r="G37" s="270"/>
      <c r="H37" s="20"/>
      <c r="I37" s="20"/>
      <c r="J37" s="270"/>
      <c r="K37" s="20"/>
      <c r="L37" s="20"/>
      <c r="M37" s="270"/>
      <c r="N37" s="20"/>
      <c r="O37" s="20"/>
      <c r="P37" s="270">
        <f ca="1">SUM(E36:P36)</f>
        <v>76.504999999999995</v>
      </c>
      <c r="Q37" s="20"/>
      <c r="R37" s="20"/>
      <c r="S37" s="270">
        <f ca="1">SUM(H36:S36)</f>
        <v>67.27000000000001</v>
      </c>
      <c r="T37" s="20"/>
      <c r="U37" s="20"/>
      <c r="V37" s="270">
        <f ca="1">SUM(K36:V36)</f>
        <v>55.375</v>
      </c>
      <c r="W37" s="20"/>
      <c r="X37" s="20"/>
      <c r="Y37" s="270">
        <f ca="1">SUM(N36:Y36)</f>
        <v>54.956000000000003</v>
      </c>
      <c r="Z37" s="20"/>
      <c r="AA37" s="20"/>
      <c r="AB37" s="270">
        <f ca="1">SUM(Q36:AB36)</f>
        <v>53.777000000000001</v>
      </c>
      <c r="AC37" s="20"/>
      <c r="AD37" s="20"/>
      <c r="AE37" s="270">
        <f ca="1">SUM(T36:AE36)</f>
        <v>53.588999999999999</v>
      </c>
      <c r="AF37" s="20"/>
      <c r="AG37" s="20"/>
      <c r="AH37" s="270">
        <f ca="1">SUM(W36:AH36)</f>
        <v>51.4</v>
      </c>
      <c r="AI37" s="20"/>
      <c r="AJ37" s="20"/>
      <c r="AK37" s="270">
        <f ca="1">SUM(Z36:AK36)</f>
        <v>50.878</v>
      </c>
      <c r="AL37" s="20"/>
      <c r="AM37" s="20"/>
      <c r="AN37" s="270">
        <f ca="1">SUM(AC36:AN36)</f>
        <v>50.302999999999997</v>
      </c>
      <c r="AO37" s="20"/>
      <c r="AP37" s="20"/>
      <c r="AQ37" s="270">
        <f ca="1">SUM(AF36:AQ36)</f>
        <v>49.07</v>
      </c>
      <c r="AR37" s="20"/>
      <c r="AS37" s="20"/>
      <c r="AT37" s="270">
        <f ca="1">SUM(AI36:AT36)</f>
        <v>49.527000000000001</v>
      </c>
      <c r="AU37" s="20"/>
      <c r="AV37" s="20"/>
      <c r="AW37" s="270">
        <f ca="1">SUM(AL36:AW36)</f>
        <v>329.50599999999997</v>
      </c>
      <c r="AX37" s="20"/>
      <c r="AY37" s="20"/>
      <c r="AZ37" s="270">
        <f ca="1">SUM(AO36:AZ36)</f>
        <v>391.66587749794155</v>
      </c>
      <c r="BA37" s="20"/>
      <c r="BB37" s="20"/>
      <c r="BC37" s="270">
        <f ca="1">SUM(AR36:BC36)</f>
        <v>464.11570778241452</v>
      </c>
      <c r="BD37" s="20"/>
      <c r="BE37" s="20"/>
      <c r="BF37" s="270">
        <f ca="1">SUM(AU36:BF36)</f>
        <v>520.73255672241453</v>
      </c>
      <c r="BG37" s="20"/>
      <c r="BH37" s="20"/>
      <c r="BI37" s="270">
        <f ca="1">SUM(AX36:BI36)</f>
        <v>504.0119800097732</v>
      </c>
      <c r="BJ37" s="20"/>
      <c r="BK37" s="20"/>
      <c r="BL37" s="270">
        <f ca="1">SUM(BA36:BL36)</f>
        <v>706.34952579919036</v>
      </c>
      <c r="BM37" s="20"/>
      <c r="BN37" s="20"/>
      <c r="BO37" s="270">
        <f ca="1">SUM(BD36:BO36)</f>
        <v>889.4406866801678</v>
      </c>
      <c r="BP37" s="20"/>
      <c r="BQ37" s="20"/>
      <c r="BR37" s="270">
        <f ca="1">SUM(BG36:BR36)</f>
        <v>1092.0367287289275</v>
      </c>
      <c r="BS37" s="20"/>
      <c r="BT37" s="20"/>
      <c r="BU37" s="270">
        <f ca="1">SUM(BJ36:BU36)</f>
        <v>1094.2850542501035</v>
      </c>
      <c r="BV37" s="20"/>
      <c r="BW37" s="20"/>
      <c r="BX37" s="270">
        <f ca="1">SUM(BM36:BX36)</f>
        <v>818.33563096274497</v>
      </c>
    </row>
    <row r="38" spans="1:76" x14ac:dyDescent="0.25">
      <c r="A38" s="265" t="s">
        <v>103</v>
      </c>
      <c r="B38" s="259"/>
      <c r="C38" s="260"/>
      <c r="D38" s="260"/>
      <c r="E38" s="20">
        <v>5.0999999999999996</v>
      </c>
      <c r="F38" s="20">
        <v>4.9000000000000004</v>
      </c>
      <c r="G38" s="20">
        <v>4.9000000000000004</v>
      </c>
      <c r="H38" s="20">
        <v>4.2</v>
      </c>
      <c r="I38" s="20">
        <v>4.4000000000000004</v>
      </c>
      <c r="J38" s="20">
        <v>4.8</v>
      </c>
      <c r="K38" s="20">
        <v>4.5999999999999996</v>
      </c>
      <c r="L38" s="20">
        <v>4.3</v>
      </c>
      <c r="M38" s="20">
        <v>4</v>
      </c>
      <c r="N38" s="20">
        <v>4.0999999999999996</v>
      </c>
      <c r="O38" s="20">
        <v>4.0999999999999996</v>
      </c>
      <c r="P38" s="20">
        <v>3.8</v>
      </c>
      <c r="Q38" s="20">
        <v>4.5999999999999996</v>
      </c>
      <c r="R38" s="20">
        <v>4.7</v>
      </c>
      <c r="S38" s="20">
        <v>4.5</v>
      </c>
      <c r="T38" s="20">
        <v>3.8</v>
      </c>
      <c r="U38" s="20">
        <v>4</v>
      </c>
      <c r="V38" s="20">
        <v>4.2</v>
      </c>
      <c r="W38" s="20">
        <v>4.0999999999999996</v>
      </c>
      <c r="X38" s="20">
        <v>3.9</v>
      </c>
      <c r="Y38" s="20">
        <v>3.7</v>
      </c>
      <c r="Z38" s="20">
        <v>3.7</v>
      </c>
      <c r="AA38" s="20">
        <v>3.9</v>
      </c>
      <c r="AB38" s="20">
        <v>3.5</v>
      </c>
      <c r="AC38" s="20">
        <v>4.0999999999999996</v>
      </c>
      <c r="AD38" s="20">
        <v>4.2</v>
      </c>
      <c r="AE38" s="20">
        <v>3.9</v>
      </c>
      <c r="AF38" s="20">
        <v>3.5</v>
      </c>
      <c r="AG38" s="20">
        <v>3.7</v>
      </c>
      <c r="AH38" s="20">
        <v>4</v>
      </c>
      <c r="AI38" s="20">
        <v>3.9</v>
      </c>
      <c r="AJ38" s="20">
        <v>3.7</v>
      </c>
      <c r="AK38" s="20">
        <v>3.3</v>
      </c>
      <c r="AL38" s="20">
        <v>3.2</v>
      </c>
      <c r="AM38" s="20">
        <v>3.4</v>
      </c>
      <c r="AN38" s="20">
        <v>3.2</v>
      </c>
      <c r="AO38" s="20">
        <v>4.0999999999999996</v>
      </c>
      <c r="AP38" s="20">
        <v>3.9</v>
      </c>
      <c r="AQ38" s="20">
        <v>3.7</v>
      </c>
      <c r="AR38" s="20">
        <v>3.2</v>
      </c>
      <c r="AS38" s="20">
        <v>3.4</v>
      </c>
      <c r="AT38" s="20">
        <v>3.7</v>
      </c>
      <c r="AU38" s="20">
        <v>3.7</v>
      </c>
      <c r="AV38" s="20">
        <v>3.7</v>
      </c>
      <c r="AW38" s="20">
        <v>3.3</v>
      </c>
      <c r="AX38" s="20">
        <v>3.4</v>
      </c>
      <c r="AY38" s="20">
        <v>3.5</v>
      </c>
      <c r="AZ38" s="20">
        <v>3.7</v>
      </c>
      <c r="BA38" s="20">
        <v>4.3</v>
      </c>
      <c r="BB38" s="20">
        <v>4.3</v>
      </c>
      <c r="BC38" s="20">
        <v>4.3</v>
      </c>
      <c r="BD38" s="20">
        <v>3.7</v>
      </c>
      <c r="BE38" s="20">
        <v>4.2</v>
      </c>
      <c r="BF38" s="20">
        <v>4.5999999999999996</v>
      </c>
      <c r="BG38" s="20">
        <v>4.7</v>
      </c>
      <c r="BH38" s="20">
        <v>4.9000000000000004</v>
      </c>
      <c r="BI38" s="20">
        <v>4.5</v>
      </c>
      <c r="BJ38" s="20">
        <v>4.8</v>
      </c>
      <c r="BK38" s="20">
        <v>5.0999999999999996</v>
      </c>
      <c r="BL38" s="20">
        <v>5.5</v>
      </c>
      <c r="BM38" s="20">
        <v>6.7</v>
      </c>
      <c r="BN38" s="20">
        <v>7.2</v>
      </c>
      <c r="BO38" s="20">
        <v>7.2</v>
      </c>
      <c r="BP38" s="20">
        <v>6.7</v>
      </c>
      <c r="BQ38" s="20">
        <v>7.1</v>
      </c>
      <c r="BR38" s="20">
        <v>7.5</v>
      </c>
      <c r="BS38" s="20">
        <v>7.7</v>
      </c>
      <c r="BT38" s="20">
        <v>7.7</v>
      </c>
      <c r="BU38" s="20">
        <v>7.6</v>
      </c>
      <c r="BV38" s="20">
        <v>7.6</v>
      </c>
      <c r="BW38" s="20">
        <v>7.4</v>
      </c>
      <c r="BX38" s="20">
        <v>7.6</v>
      </c>
    </row>
    <row r="39" spans="1:76" x14ac:dyDescent="0.25">
      <c r="A39" s="265" t="s">
        <v>135</v>
      </c>
      <c r="B39" s="259"/>
      <c r="C39" s="260"/>
      <c r="D39" s="260"/>
      <c r="E39" s="20"/>
      <c r="F39" s="20"/>
      <c r="G39" s="20"/>
      <c r="H39" s="20"/>
      <c r="I39" s="20"/>
      <c r="J39" s="20"/>
      <c r="K39" s="20"/>
      <c r="L39" s="20"/>
      <c r="M39" s="20"/>
      <c r="N39" s="20"/>
      <c r="O39" s="20"/>
      <c r="P39" s="20">
        <f>AVERAGE(E38:P38)</f>
        <v>4.4333333333333327</v>
      </c>
      <c r="Q39" s="20"/>
      <c r="R39" s="20"/>
      <c r="S39" s="20"/>
      <c r="T39" s="20"/>
      <c r="U39" s="20"/>
      <c r="V39" s="20"/>
      <c r="W39" s="20"/>
      <c r="X39" s="20"/>
      <c r="Y39" s="20"/>
      <c r="Z39" s="20"/>
      <c r="AA39" s="20"/>
      <c r="AB39" s="20">
        <f>AVERAGE(Q38:AB38)</f>
        <v>4.05</v>
      </c>
      <c r="AC39" s="20"/>
      <c r="AD39" s="20"/>
      <c r="AE39" s="20"/>
      <c r="AF39" s="20"/>
      <c r="AG39" s="20"/>
      <c r="AH39" s="20"/>
      <c r="AI39" s="20"/>
      <c r="AJ39" s="20"/>
      <c r="AK39" s="20"/>
      <c r="AL39" s="20"/>
      <c r="AM39" s="20"/>
      <c r="AN39" s="20">
        <f>AVERAGE(AC38:AN38)</f>
        <v>3.6750000000000003</v>
      </c>
      <c r="AO39" s="20"/>
      <c r="AP39" s="20"/>
      <c r="AQ39" s="20"/>
      <c r="AR39" s="20"/>
      <c r="AS39" s="20"/>
      <c r="AT39" s="20"/>
      <c r="AU39" s="20"/>
      <c r="AV39" s="20"/>
      <c r="AW39" s="20"/>
      <c r="AX39" s="20"/>
      <c r="AY39" s="20"/>
      <c r="AZ39" s="20">
        <f>AVERAGE(AO38:AZ38)</f>
        <v>3.6083333333333329</v>
      </c>
      <c r="BA39" s="20"/>
      <c r="BB39" s="20"/>
      <c r="BC39" s="20"/>
      <c r="BD39" s="20"/>
      <c r="BE39" s="20"/>
      <c r="BF39" s="20"/>
      <c r="BG39" s="20"/>
      <c r="BH39" s="20"/>
      <c r="BI39" s="20"/>
      <c r="BJ39" s="20"/>
      <c r="BK39" s="20"/>
      <c r="BL39" s="20">
        <f>AVERAGE(BA38:BL38)</f>
        <v>4.5750000000000002</v>
      </c>
      <c r="BM39" s="20"/>
      <c r="BN39" s="20"/>
      <c r="BO39" s="20"/>
      <c r="BP39" s="20"/>
      <c r="BQ39" s="20"/>
      <c r="BR39" s="20"/>
      <c r="BS39" s="20"/>
      <c r="BT39" s="20"/>
      <c r="BU39" s="20"/>
      <c r="BV39" s="20"/>
      <c r="BW39" s="20"/>
      <c r="BX39" s="20">
        <f>AVERAGE(BM38:BX38)</f>
        <v>7.333333333333333</v>
      </c>
    </row>
    <row r="40" spans="1:76" x14ac:dyDescent="0.25">
      <c r="A40" s="255" t="s">
        <v>104</v>
      </c>
      <c r="B40" s="253"/>
      <c r="C40" s="251"/>
      <c r="D40" s="251"/>
      <c r="E40" s="30">
        <v>257059</v>
      </c>
      <c r="F40" s="30">
        <v>257113</v>
      </c>
      <c r="G40" s="30">
        <v>259398</v>
      </c>
      <c r="H40" s="30">
        <v>261230</v>
      </c>
      <c r="I40" s="30">
        <v>263067</v>
      </c>
      <c r="J40" s="30">
        <v>264742</v>
      </c>
      <c r="K40" s="30">
        <v>269374</v>
      </c>
      <c r="L40" s="30">
        <v>268952</v>
      </c>
      <c r="M40" s="30">
        <v>264445</v>
      </c>
      <c r="N40" s="30">
        <v>264027</v>
      </c>
      <c r="O40" s="30">
        <v>264586</v>
      </c>
      <c r="P40" s="30">
        <v>263899</v>
      </c>
      <c r="Q40" s="30">
        <v>260725</v>
      </c>
      <c r="R40" s="30">
        <v>260018</v>
      </c>
      <c r="S40" s="30">
        <v>261721</v>
      </c>
      <c r="T40" s="30">
        <v>263959</v>
      </c>
      <c r="U40" s="30">
        <v>266513</v>
      </c>
      <c r="V40" s="30">
        <v>268711</v>
      </c>
      <c r="W40" s="30">
        <v>272050</v>
      </c>
      <c r="X40" s="30">
        <v>272706</v>
      </c>
      <c r="Y40" s="30">
        <v>268588</v>
      </c>
      <c r="Z40" s="30">
        <v>267769</v>
      </c>
      <c r="AA40" s="30">
        <v>267719</v>
      </c>
      <c r="AB40" s="30">
        <v>267337</v>
      </c>
      <c r="AC40" s="30">
        <v>264934</v>
      </c>
      <c r="AD40" s="30">
        <v>264433</v>
      </c>
      <c r="AE40" s="30">
        <v>267153</v>
      </c>
      <c r="AF40" s="30">
        <v>267711</v>
      </c>
      <c r="AG40" s="30">
        <v>269868</v>
      </c>
      <c r="AH40" s="30">
        <v>272765</v>
      </c>
      <c r="AI40" s="30">
        <v>275114</v>
      </c>
      <c r="AJ40" s="30">
        <v>275827</v>
      </c>
      <c r="AK40" s="30">
        <v>272155</v>
      </c>
      <c r="AL40" s="30">
        <v>272381</v>
      </c>
      <c r="AM40" s="30">
        <v>272519</v>
      </c>
      <c r="AN40" s="30">
        <v>272866</v>
      </c>
      <c r="AO40" s="30">
        <v>268098</v>
      </c>
      <c r="AP40" s="30">
        <v>266894</v>
      </c>
      <c r="AQ40" s="30">
        <v>268480</v>
      </c>
      <c r="AR40" s="30">
        <v>268282</v>
      </c>
      <c r="AS40" s="30">
        <v>271074</v>
      </c>
      <c r="AT40" s="30">
        <v>274816</v>
      </c>
      <c r="AU40" s="30">
        <v>276949</v>
      </c>
      <c r="AV40" s="30">
        <v>275275</v>
      </c>
      <c r="AW40" s="30">
        <v>272350</v>
      </c>
      <c r="AX40" s="30">
        <v>271100</v>
      </c>
      <c r="AY40" s="30">
        <v>272093</v>
      </c>
      <c r="AZ40" s="30">
        <v>271179</v>
      </c>
      <c r="BA40" s="30">
        <v>268965</v>
      </c>
      <c r="BB40" s="30">
        <v>267383</v>
      </c>
      <c r="BC40" s="30">
        <v>269608</v>
      </c>
      <c r="BD40" s="30">
        <v>272203</v>
      </c>
      <c r="BE40" s="30">
        <v>274081</v>
      </c>
      <c r="BF40" s="30">
        <v>276809</v>
      </c>
      <c r="BG40" s="30">
        <v>279268</v>
      </c>
      <c r="BH40" s="30">
        <v>277926</v>
      </c>
      <c r="BI40" s="30">
        <v>274012</v>
      </c>
      <c r="BJ40" s="30">
        <v>273129</v>
      </c>
      <c r="BK40" s="30">
        <v>271603</v>
      </c>
      <c r="BL40" s="30">
        <v>269722</v>
      </c>
      <c r="BM40" s="30">
        <v>266515</v>
      </c>
      <c r="BN40" s="30">
        <v>263955</v>
      </c>
      <c r="BO40" s="30">
        <v>263491</v>
      </c>
      <c r="BP40" s="30">
        <v>264362</v>
      </c>
      <c r="BQ40" s="30">
        <v>267057</v>
      </c>
      <c r="BR40" s="30">
        <v>267902</v>
      </c>
      <c r="BS40" s="30">
        <v>268356</v>
      </c>
      <c r="BT40" s="30">
        <v>265310</v>
      </c>
      <c r="BU40" s="30">
        <v>260178</v>
      </c>
      <c r="BV40" s="30">
        <v>258822</v>
      </c>
      <c r="BW40" s="30">
        <v>259490</v>
      </c>
      <c r="BX40" s="30">
        <v>257230</v>
      </c>
    </row>
    <row r="41" spans="1:76" x14ac:dyDescent="0.25">
      <c r="A41" s="256"/>
      <c r="B41" s="253"/>
      <c r="C41" s="251"/>
      <c r="D41" s="251"/>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row>
    <row r="42" spans="1:76" x14ac:dyDescent="0.25">
      <c r="A42" s="254" t="s">
        <v>1548</v>
      </c>
      <c r="B42" s="253" t="s">
        <v>1702</v>
      </c>
      <c r="C42" s="251">
        <f>PENN!AF301/PENN!$AF$314</f>
        <v>7.3802691203963711E-2</v>
      </c>
      <c r="D42" s="251"/>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row>
    <row r="43" spans="1:76" x14ac:dyDescent="0.25">
      <c r="A43" s="265" t="s">
        <v>2254</v>
      </c>
      <c r="B43" s="253"/>
      <c r="C43" s="251"/>
      <c r="D43" s="251"/>
      <c r="E43" s="30"/>
      <c r="F43" s="30"/>
      <c r="G43" s="270">
        <f>PENN!C1013</f>
        <v>28.454999999999998</v>
      </c>
      <c r="H43" s="20"/>
      <c r="I43" s="20"/>
      <c r="J43" s="270">
        <f ca="1">OFFSET(PENN!F1013,0,-2,1,1)</f>
        <v>27.503</v>
      </c>
      <c r="K43" s="20"/>
      <c r="L43" s="20"/>
      <c r="M43" s="270">
        <f ca="1">OFFSET(PENN!I1013,0,-4,1,1)</f>
        <v>26.021999999999998</v>
      </c>
      <c r="N43" s="20"/>
      <c r="O43" s="20"/>
      <c r="P43" s="270">
        <f ca="1">OFFSET(PENN!L1013,0,-6,1,1)</f>
        <v>26.428999999999998</v>
      </c>
      <c r="Q43" s="20"/>
      <c r="R43" s="20"/>
      <c r="S43" s="270">
        <f ca="1">OFFSET(PENN!O1013,0,-7,1,1)</f>
        <v>29.120999999999999</v>
      </c>
      <c r="T43" s="20"/>
      <c r="U43" s="20"/>
      <c r="V43" s="270">
        <f ca="1">OFFSET(PENN!R1013,0,-9,1,1)</f>
        <v>28.43</v>
      </c>
      <c r="W43" s="20"/>
      <c r="X43" s="20"/>
      <c r="Y43" s="270">
        <f ca="1">OFFSET(PENN!U1013,0,-11,1,1)</f>
        <v>28.876999999999999</v>
      </c>
      <c r="Z43" s="20"/>
      <c r="AA43" s="20"/>
      <c r="AB43" s="270">
        <f ca="1">OFFSET(PENN!X1013,0,-13,1,1)</f>
        <v>45.302</v>
      </c>
      <c r="AC43" s="20"/>
      <c r="AD43" s="20"/>
      <c r="AE43" s="270">
        <f ca="1">OFFSET(PENN!AA1013,0,-14,1,1)</f>
        <v>43.12</v>
      </c>
      <c r="AF43" s="20"/>
      <c r="AG43" s="20"/>
      <c r="AH43" s="270">
        <f ca="1">OFFSET(PENN!AD1013,0,-16,1,1)</f>
        <v>35.447000000000003</v>
      </c>
      <c r="AI43" s="20"/>
      <c r="AJ43" s="20"/>
      <c r="AK43" s="270">
        <f ca="1">OFFSET(PENN!AG1013,0,-18,1,1)</f>
        <v>33.332999999999998</v>
      </c>
      <c r="AL43" s="20"/>
      <c r="AM43" s="20"/>
      <c r="AN43" s="270">
        <f ca="1">OFFSET(PENN!AJ1013,0,-20,1,1)</f>
        <v>32.100999999999999</v>
      </c>
      <c r="AO43" s="20"/>
      <c r="AP43" s="20"/>
      <c r="AQ43" s="270">
        <f ca="1">OFFSET(PENN!AM1013,0,-21,1,1)</f>
        <v>34.881</v>
      </c>
      <c r="AR43" s="20"/>
      <c r="AS43" s="20"/>
      <c r="AT43" s="270">
        <f ca="1">OFFSET(PENN!AP1013,0,-23,1,1)</f>
        <v>34.040999999999997</v>
      </c>
      <c r="AU43" s="20"/>
      <c r="AV43" s="20"/>
      <c r="AW43" s="270">
        <f ca="1">OFFSET(PENN!BE1013,0,-25,1,1)</f>
        <v>122.994</v>
      </c>
      <c r="AX43" s="20"/>
      <c r="AY43" s="20"/>
      <c r="AZ43" s="270">
        <f ca="1">OFFSET(PENN!CG1013,0,-27,1,1)</f>
        <v>0</v>
      </c>
      <c r="BA43" s="20"/>
      <c r="BB43" s="20"/>
      <c r="BC43" s="270">
        <f ca="1">OFFSET(PENN!BT1013,0,-28,1,1)</f>
        <v>29.873365969999998</v>
      </c>
      <c r="BD43" s="20"/>
      <c r="BE43" s="20"/>
      <c r="BF43" s="270">
        <f ca="1">OFFSET(PENN!CM1013,0,-30,1,1)</f>
        <v>0</v>
      </c>
      <c r="BG43" s="20"/>
      <c r="BH43" s="20"/>
      <c r="BI43" s="270">
        <f ca="1">OFFSET(PENN!DH1013,0,-32,1,1)</f>
        <v>0</v>
      </c>
      <c r="BJ43" s="20"/>
      <c r="BK43" s="20"/>
      <c r="BL43" s="270">
        <f ca="1">OFFSET(PENN!DJ1013,0,-34,1,1)</f>
        <v>0</v>
      </c>
      <c r="BM43" s="20"/>
      <c r="BN43" s="20"/>
      <c r="BO43" s="270">
        <f ca="1">OFFSET(PENN!DM1013,0,-35,1,1)</f>
        <v>0</v>
      </c>
      <c r="BP43" s="20"/>
      <c r="BQ43" s="20"/>
      <c r="BR43" s="270">
        <f ca="1">OFFSET(PENN!DP1013,0,-37,1,1)</f>
        <v>0</v>
      </c>
      <c r="BS43" s="20"/>
      <c r="BT43" s="20"/>
      <c r="BU43" s="270">
        <f ca="1">OFFSET(PENN!DS1013,0,-39,1,1)</f>
        <v>0</v>
      </c>
      <c r="BV43" s="20"/>
      <c r="BW43" s="20"/>
      <c r="BX43" s="270">
        <f ca="1">OFFSET(PENN!DV1013,0,-41,1,1)</f>
        <v>0</v>
      </c>
    </row>
    <row r="44" spans="1:76" x14ac:dyDescent="0.25">
      <c r="A44" s="265" t="s">
        <v>753</v>
      </c>
      <c r="B44" s="259"/>
      <c r="C44" s="260"/>
      <c r="D44" s="260"/>
      <c r="E44" s="270"/>
      <c r="F44" s="270"/>
      <c r="G44" s="270"/>
      <c r="H44" s="20"/>
      <c r="I44" s="20"/>
      <c r="J44" s="270"/>
      <c r="K44" s="20"/>
      <c r="L44" s="20"/>
      <c r="M44" s="270"/>
      <c r="N44" s="20"/>
      <c r="O44" s="20"/>
      <c r="P44" s="270">
        <f ca="1">SUM(E43:P43)</f>
        <v>108.40899999999999</v>
      </c>
      <c r="Q44" s="20"/>
      <c r="R44" s="20"/>
      <c r="S44" s="270">
        <f ca="1">SUM(H43:S43)</f>
        <v>109.07499999999999</v>
      </c>
      <c r="T44" s="20"/>
      <c r="U44" s="20"/>
      <c r="V44" s="270">
        <f ca="1">SUM(K43:V43)</f>
        <v>110.00199999999998</v>
      </c>
      <c r="W44" s="20"/>
      <c r="X44" s="20"/>
      <c r="Y44" s="270">
        <f ca="1">SUM(N43:Y43)</f>
        <v>112.85699999999999</v>
      </c>
      <c r="Z44" s="20"/>
      <c r="AA44" s="20"/>
      <c r="AB44" s="270">
        <f ca="1">SUM(Q43:AB43)</f>
        <v>131.72999999999999</v>
      </c>
      <c r="AC44" s="20"/>
      <c r="AD44" s="20"/>
      <c r="AE44" s="270">
        <f ca="1">SUM(T43:AE43)</f>
        <v>145.72900000000001</v>
      </c>
      <c r="AF44" s="20"/>
      <c r="AG44" s="20"/>
      <c r="AH44" s="270">
        <f ca="1">SUM(W43:AH43)</f>
        <v>152.74600000000001</v>
      </c>
      <c r="AI44" s="20"/>
      <c r="AJ44" s="20"/>
      <c r="AK44" s="270">
        <f ca="1">SUM(Z43:AK43)</f>
        <v>157.202</v>
      </c>
      <c r="AL44" s="20"/>
      <c r="AM44" s="20"/>
      <c r="AN44" s="270">
        <f ca="1">SUM(AC43:AN43)</f>
        <v>144.001</v>
      </c>
      <c r="AO44" s="20"/>
      <c r="AP44" s="20"/>
      <c r="AQ44" s="270">
        <f ca="1">SUM(AF43:AQ43)</f>
        <v>135.762</v>
      </c>
      <c r="AR44" s="20"/>
      <c r="AS44" s="20"/>
      <c r="AT44" s="270">
        <f ca="1">SUM(AI43:AT43)</f>
        <v>134.35599999999999</v>
      </c>
      <c r="AU44" s="20"/>
      <c r="AV44" s="20"/>
      <c r="AW44" s="270">
        <f ca="1">SUM(AL43:AW43)</f>
        <v>224.017</v>
      </c>
      <c r="AX44" s="20"/>
      <c r="AY44" s="20"/>
      <c r="AZ44" s="270">
        <f ca="1">SUM(AO43:AZ43)</f>
        <v>191.916</v>
      </c>
      <c r="BA44" s="20"/>
      <c r="BB44" s="20"/>
      <c r="BC44" s="270">
        <f ca="1">SUM(AR43:BC43)</f>
        <v>186.90836597000001</v>
      </c>
      <c r="BD44" s="20"/>
      <c r="BE44" s="20"/>
      <c r="BF44" s="270">
        <f ca="1">SUM(AU43:BF43)</f>
        <v>152.86736597000001</v>
      </c>
      <c r="BG44" s="20"/>
      <c r="BH44" s="20"/>
      <c r="BI44" s="270">
        <f ca="1">SUM(AX43:BI43)</f>
        <v>29.873365969999998</v>
      </c>
      <c r="BJ44" s="20"/>
      <c r="BK44" s="20"/>
      <c r="BL44" s="270">
        <f ca="1">SUM(BA43:BL43)</f>
        <v>29.873365969999998</v>
      </c>
      <c r="BM44" s="20"/>
      <c r="BN44" s="20"/>
      <c r="BO44" s="270">
        <f ca="1">SUM(BD43:BO43)</f>
        <v>0</v>
      </c>
      <c r="BP44" s="20"/>
      <c r="BQ44" s="20"/>
      <c r="BR44" s="270">
        <f ca="1">SUM(BG43:BR43)</f>
        <v>0</v>
      </c>
      <c r="BS44" s="20"/>
      <c r="BT44" s="20"/>
      <c r="BU44" s="270">
        <f ca="1">SUM(BJ43:BU43)</f>
        <v>0</v>
      </c>
      <c r="BV44" s="20"/>
      <c r="BW44" s="20"/>
      <c r="BX44" s="270">
        <f ca="1">SUM(BM43:BX43)</f>
        <v>0</v>
      </c>
    </row>
    <row r="45" spans="1:76" x14ac:dyDescent="0.25">
      <c r="A45" s="258" t="s">
        <v>606</v>
      </c>
      <c r="B45" s="259"/>
      <c r="C45" s="260"/>
      <c r="D45" s="260"/>
      <c r="E45" s="261">
        <v>6.6</v>
      </c>
      <c r="F45" s="261">
        <v>5.3</v>
      </c>
      <c r="G45" s="261">
        <v>5.4</v>
      </c>
      <c r="H45" s="261">
        <v>5.4</v>
      </c>
      <c r="I45" s="261">
        <v>5.8</v>
      </c>
      <c r="J45" s="261">
        <v>7.1</v>
      </c>
      <c r="K45" s="261">
        <v>6.3</v>
      </c>
      <c r="L45" s="261">
        <v>5.9</v>
      </c>
      <c r="M45" s="261">
        <v>5.7</v>
      </c>
      <c r="N45" s="261">
        <v>5.4</v>
      </c>
      <c r="O45" s="261">
        <v>5.2</v>
      </c>
      <c r="P45" s="261">
        <v>5.0999999999999996</v>
      </c>
      <c r="Q45" s="261">
        <v>6</v>
      </c>
      <c r="R45" s="261">
        <v>5.0999999999999996</v>
      </c>
      <c r="S45" s="261">
        <v>4.9000000000000004</v>
      </c>
      <c r="T45" s="261">
        <v>4.5</v>
      </c>
      <c r="U45" s="261">
        <v>4.8</v>
      </c>
      <c r="V45" s="261">
        <v>6.2</v>
      </c>
      <c r="W45" s="261">
        <v>5.5</v>
      </c>
      <c r="X45" s="261">
        <v>5.2</v>
      </c>
      <c r="Y45" s="261">
        <v>10.9</v>
      </c>
      <c r="Z45" s="261">
        <v>9.3000000000000007</v>
      </c>
      <c r="AA45" s="261">
        <v>9.3000000000000007</v>
      </c>
      <c r="AB45" s="261">
        <v>5.5</v>
      </c>
      <c r="AC45" s="261">
        <v>4.9000000000000004</v>
      </c>
      <c r="AD45" s="261">
        <v>3.9</v>
      </c>
      <c r="AE45" s="261">
        <v>3.7</v>
      </c>
      <c r="AF45" s="261">
        <v>3.2</v>
      </c>
      <c r="AG45" s="261">
        <v>3.6</v>
      </c>
      <c r="AH45" s="261">
        <v>4.7</v>
      </c>
      <c r="AI45" s="261">
        <v>3.9</v>
      </c>
      <c r="AJ45" s="261">
        <v>4.0999999999999996</v>
      </c>
      <c r="AK45" s="261">
        <v>3.9</v>
      </c>
      <c r="AL45" s="261">
        <v>3.8</v>
      </c>
      <c r="AM45" s="261">
        <v>3.8</v>
      </c>
      <c r="AN45" s="261">
        <v>3.6</v>
      </c>
      <c r="AO45" s="261">
        <v>4.3</v>
      </c>
      <c r="AP45" s="261">
        <v>3.4</v>
      </c>
      <c r="AQ45" s="261">
        <v>3.5</v>
      </c>
      <c r="AR45" s="261">
        <v>3.3</v>
      </c>
      <c r="AS45" s="261">
        <v>3.7</v>
      </c>
      <c r="AT45" s="261">
        <v>4.5999999999999996</v>
      </c>
      <c r="AU45" s="261">
        <v>4.0999999999999996</v>
      </c>
      <c r="AV45" s="261">
        <v>4</v>
      </c>
      <c r="AW45" s="261">
        <v>3.6</v>
      </c>
      <c r="AX45" s="261">
        <v>3.2</v>
      </c>
      <c r="AY45" s="261">
        <v>3.2</v>
      </c>
      <c r="AZ45" s="261">
        <v>3.5</v>
      </c>
      <c r="BA45" s="261">
        <v>4.3</v>
      </c>
      <c r="BB45" s="261">
        <v>3.3</v>
      </c>
      <c r="BC45" s="261">
        <v>3.7</v>
      </c>
      <c r="BD45" s="261">
        <v>3.1</v>
      </c>
      <c r="BE45" s="261">
        <v>3.6</v>
      </c>
      <c r="BF45" s="261">
        <v>5</v>
      </c>
      <c r="BG45" s="261">
        <v>4.7</v>
      </c>
      <c r="BH45" s="261">
        <v>5.2</v>
      </c>
      <c r="BI45" s="261">
        <v>5.7</v>
      </c>
      <c r="BJ45" s="261">
        <v>5.0999999999999996</v>
      </c>
      <c r="BK45" s="261">
        <v>4.9000000000000004</v>
      </c>
      <c r="BL45" s="261">
        <v>5.3</v>
      </c>
      <c r="BM45" s="261">
        <v>5.4</v>
      </c>
      <c r="BN45" s="261">
        <v>5.0999999999999996</v>
      </c>
      <c r="BO45" s="261">
        <v>5.2</v>
      </c>
      <c r="BP45" s="261">
        <v>5.2</v>
      </c>
      <c r="BQ45" s="261">
        <v>6</v>
      </c>
      <c r="BR45" s="261">
        <v>7.4</v>
      </c>
      <c r="BS45" s="261">
        <v>7.3</v>
      </c>
      <c r="BT45" s="261">
        <v>7.7</v>
      </c>
      <c r="BU45" s="261">
        <v>7</v>
      </c>
      <c r="BV45" s="261">
        <v>6.8</v>
      </c>
      <c r="BW45" s="261">
        <v>6.1</v>
      </c>
      <c r="BX45" s="261">
        <v>6.9</v>
      </c>
    </row>
    <row r="46" spans="1:76" x14ac:dyDescent="0.25">
      <c r="A46" s="265" t="s">
        <v>135</v>
      </c>
      <c r="B46" s="259"/>
      <c r="C46" s="260"/>
      <c r="D46" s="260"/>
      <c r="E46" s="20"/>
      <c r="F46" s="20"/>
      <c r="G46" s="20"/>
      <c r="H46" s="20"/>
      <c r="I46" s="20"/>
      <c r="J46" s="20"/>
      <c r="K46" s="20"/>
      <c r="L46" s="20"/>
      <c r="M46" s="20"/>
      <c r="N46" s="20"/>
      <c r="O46" s="20"/>
      <c r="P46" s="20">
        <f>AVERAGE(E45:P45)</f>
        <v>5.7666666666666657</v>
      </c>
      <c r="Q46" s="20"/>
      <c r="R46" s="20"/>
      <c r="S46" s="20"/>
      <c r="T46" s="20"/>
      <c r="U46" s="20"/>
      <c r="V46" s="20"/>
      <c r="W46" s="20"/>
      <c r="X46" s="20"/>
      <c r="Y46" s="20"/>
      <c r="Z46" s="20"/>
      <c r="AA46" s="20"/>
      <c r="AB46" s="20">
        <f>AVERAGE(Q45:AB45)</f>
        <v>6.4333333333333336</v>
      </c>
      <c r="AC46" s="20"/>
      <c r="AD46" s="20"/>
      <c r="AE46" s="20"/>
      <c r="AF46" s="20"/>
      <c r="AG46" s="20"/>
      <c r="AH46" s="20"/>
      <c r="AI46" s="20"/>
      <c r="AJ46" s="20"/>
      <c r="AK46" s="20"/>
      <c r="AL46" s="20"/>
      <c r="AM46" s="20"/>
      <c r="AN46" s="20">
        <f>AVERAGE(AC45:AN45)</f>
        <v>3.9249999999999994</v>
      </c>
      <c r="AO46" s="20"/>
      <c r="AP46" s="20"/>
      <c r="AQ46" s="20"/>
      <c r="AR46" s="20"/>
      <c r="AS46" s="20"/>
      <c r="AT46" s="20"/>
      <c r="AU46" s="20"/>
      <c r="AV46" s="20"/>
      <c r="AW46" s="20"/>
      <c r="AX46" s="20"/>
      <c r="AY46" s="20"/>
      <c r="AZ46" s="20">
        <f>AVERAGE(AO45:AZ45)</f>
        <v>3.7000000000000006</v>
      </c>
      <c r="BA46" s="20"/>
      <c r="BB46" s="20"/>
      <c r="BC46" s="20"/>
      <c r="BD46" s="20"/>
      <c r="BE46" s="20"/>
      <c r="BF46" s="20"/>
      <c r="BG46" s="20"/>
      <c r="BH46" s="20"/>
      <c r="BI46" s="20"/>
      <c r="BJ46" s="20"/>
      <c r="BK46" s="20"/>
      <c r="BL46" s="20">
        <f>AVERAGE(BA45:BL45)</f>
        <v>4.4916666666666663</v>
      </c>
      <c r="BM46" s="20"/>
      <c r="BN46" s="20"/>
      <c r="BO46" s="20"/>
      <c r="BP46" s="20"/>
      <c r="BQ46" s="20"/>
      <c r="BR46" s="20"/>
      <c r="BS46" s="20"/>
      <c r="BT46" s="20"/>
      <c r="BU46" s="20"/>
      <c r="BV46" s="20"/>
      <c r="BW46" s="20"/>
      <c r="BX46" s="20">
        <f>AVERAGE(BM45:BX45)</f>
        <v>6.3416666666666659</v>
      </c>
    </row>
    <row r="47" spans="1:76" x14ac:dyDescent="0.25">
      <c r="A47" s="255" t="s">
        <v>104</v>
      </c>
      <c r="B47" s="253"/>
      <c r="C47" s="251"/>
      <c r="D47" s="251"/>
      <c r="E47" s="30">
        <v>316356</v>
      </c>
      <c r="F47" s="30">
        <v>322140</v>
      </c>
      <c r="G47" s="30">
        <v>324796</v>
      </c>
      <c r="H47" s="30">
        <v>326507</v>
      </c>
      <c r="I47" s="30">
        <v>323142</v>
      </c>
      <c r="J47" s="30">
        <v>325821</v>
      </c>
      <c r="K47" s="30">
        <v>328074</v>
      </c>
      <c r="L47" s="30">
        <v>326444</v>
      </c>
      <c r="M47" s="30">
        <v>326957</v>
      </c>
      <c r="N47" s="30">
        <v>330888</v>
      </c>
      <c r="O47" s="30">
        <v>332171</v>
      </c>
      <c r="P47" s="30">
        <v>329292</v>
      </c>
      <c r="Q47" s="30">
        <v>322714</v>
      </c>
      <c r="R47" s="30">
        <v>328356</v>
      </c>
      <c r="S47" s="30">
        <v>331405</v>
      </c>
      <c r="T47" s="30">
        <v>337670</v>
      </c>
      <c r="U47" s="30">
        <v>333617</v>
      </c>
      <c r="V47" s="30">
        <v>334225</v>
      </c>
      <c r="W47" s="30">
        <v>337400</v>
      </c>
      <c r="X47" s="30">
        <v>338263</v>
      </c>
      <c r="Y47" s="30">
        <v>347221</v>
      </c>
      <c r="Z47" s="30">
        <v>357927</v>
      </c>
      <c r="AA47" s="30">
        <v>357726</v>
      </c>
      <c r="AB47" s="30">
        <v>352881</v>
      </c>
      <c r="AC47" s="30">
        <v>344746</v>
      </c>
      <c r="AD47" s="30">
        <v>350130</v>
      </c>
      <c r="AE47" s="30">
        <v>351602</v>
      </c>
      <c r="AF47" s="30">
        <v>351908</v>
      </c>
      <c r="AG47" s="30">
        <v>350474</v>
      </c>
      <c r="AH47" s="30">
        <v>347827</v>
      </c>
      <c r="AI47" s="30">
        <v>345250</v>
      </c>
      <c r="AJ47" s="30">
        <v>346278</v>
      </c>
      <c r="AK47" s="30">
        <v>347282</v>
      </c>
      <c r="AL47" s="30">
        <v>352224</v>
      </c>
      <c r="AM47" s="30">
        <v>351707</v>
      </c>
      <c r="AN47" s="30">
        <v>351257</v>
      </c>
      <c r="AO47" s="30">
        <v>343028</v>
      </c>
      <c r="AP47" s="30">
        <v>347895</v>
      </c>
      <c r="AQ47" s="30">
        <v>352605</v>
      </c>
      <c r="AR47" s="30">
        <v>355282</v>
      </c>
      <c r="AS47" s="30">
        <v>355806</v>
      </c>
      <c r="AT47" s="30">
        <v>357695</v>
      </c>
      <c r="AU47" s="30">
        <v>361143</v>
      </c>
      <c r="AV47" s="30">
        <v>356554</v>
      </c>
      <c r="AW47" s="30">
        <v>359415</v>
      </c>
      <c r="AX47" s="30">
        <v>362746</v>
      </c>
      <c r="AY47" s="30">
        <v>364036</v>
      </c>
      <c r="AZ47" s="30">
        <v>360831</v>
      </c>
      <c r="BA47" s="30">
        <v>351244</v>
      </c>
      <c r="BB47" s="30">
        <v>355066</v>
      </c>
      <c r="BC47" s="30">
        <v>357330</v>
      </c>
      <c r="BD47" s="30">
        <v>362214</v>
      </c>
      <c r="BE47" s="30">
        <v>360568</v>
      </c>
      <c r="BF47" s="30">
        <v>363527</v>
      </c>
      <c r="BG47" s="30">
        <v>364635</v>
      </c>
      <c r="BH47" s="30">
        <v>360691</v>
      </c>
      <c r="BI47" s="30">
        <v>361163</v>
      </c>
      <c r="BJ47" s="30">
        <v>366281</v>
      </c>
      <c r="BK47" s="30">
        <v>364970</v>
      </c>
      <c r="BL47" s="30">
        <v>361667</v>
      </c>
      <c r="BM47" s="30">
        <v>354329</v>
      </c>
      <c r="BN47" s="30">
        <v>354399</v>
      </c>
      <c r="BO47" s="30">
        <v>354974</v>
      </c>
      <c r="BP47" s="30">
        <v>354950</v>
      </c>
      <c r="BQ47" s="30">
        <v>352342</v>
      </c>
      <c r="BR47" s="30">
        <v>353517</v>
      </c>
      <c r="BS47" s="30">
        <v>352318</v>
      </c>
      <c r="BT47" s="30">
        <v>345791</v>
      </c>
      <c r="BU47" s="30">
        <v>346286</v>
      </c>
      <c r="BV47" s="30">
        <v>350012</v>
      </c>
      <c r="BW47" s="30">
        <v>350907</v>
      </c>
      <c r="BX47" s="30">
        <v>342321</v>
      </c>
    </row>
    <row r="48" spans="1:76" x14ac:dyDescent="0.25">
      <c r="A48" s="254"/>
      <c r="B48" s="253"/>
      <c r="C48" s="251"/>
      <c r="D48" s="251"/>
      <c r="E48" s="30"/>
      <c r="F48" s="30"/>
      <c r="G48" s="30"/>
      <c r="H48" s="30"/>
      <c r="I48" s="30"/>
      <c r="J48" s="30"/>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0"/>
      <c r="BJ48" s="30"/>
      <c r="BK48" s="30"/>
      <c r="BL48" s="30"/>
      <c r="BM48" s="30"/>
      <c r="BN48" s="30"/>
      <c r="BO48" s="30"/>
      <c r="BP48" s="30"/>
      <c r="BQ48" s="30"/>
      <c r="BR48" s="30"/>
      <c r="BS48" s="30"/>
      <c r="BT48" s="30"/>
      <c r="BU48" s="30"/>
      <c r="BV48" s="30"/>
      <c r="BW48" s="30"/>
      <c r="BX48" s="30"/>
    </row>
    <row r="49" spans="1:76" x14ac:dyDescent="0.25">
      <c r="A49" s="254" t="s">
        <v>1479</v>
      </c>
      <c r="B49" s="253" t="s">
        <v>2120</v>
      </c>
      <c r="C49" s="251">
        <f>PENN!AF280/PENN!$AF$314</f>
        <v>4.0494233683902779E-2</v>
      </c>
      <c r="D49" s="251"/>
      <c r="E49" s="30"/>
      <c r="F49" s="30"/>
      <c r="G49" s="30"/>
      <c r="H49" s="30"/>
      <c r="I49" s="30"/>
      <c r="J49" s="30"/>
      <c r="K49" s="30"/>
      <c r="L49" s="30"/>
      <c r="M49" s="30"/>
      <c r="N49" s="30"/>
      <c r="O49" s="30"/>
      <c r="P49" s="30"/>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0"/>
      <c r="BJ49" s="30"/>
      <c r="BK49" s="30"/>
      <c r="BL49" s="30"/>
      <c r="BM49" s="30"/>
      <c r="BN49" s="30"/>
      <c r="BO49" s="30"/>
      <c r="BP49" s="30"/>
      <c r="BQ49" s="30"/>
      <c r="BR49" s="30"/>
      <c r="BS49" s="30"/>
      <c r="BT49" s="30"/>
      <c r="BU49" s="30"/>
      <c r="BV49" s="30"/>
      <c r="BW49" s="30"/>
      <c r="BX49" s="30"/>
    </row>
    <row r="50" spans="1:76" x14ac:dyDescent="0.25">
      <c r="A50" s="265" t="s">
        <v>2254</v>
      </c>
      <c r="B50" s="253"/>
      <c r="C50" s="251"/>
      <c r="D50" s="251"/>
      <c r="E50" s="30"/>
      <c r="F50" s="30"/>
      <c r="G50" s="270">
        <f>PENN!C618</f>
        <v>0</v>
      </c>
      <c r="H50" s="20"/>
      <c r="I50" s="20"/>
      <c r="J50" s="270">
        <f ca="1">OFFSET(PENN!F618,0,-2,1,1)</f>
        <v>0</v>
      </c>
      <c r="K50" s="20"/>
      <c r="L50" s="20"/>
      <c r="M50" s="270">
        <f ca="1">OFFSET(PENN!I618,0,-4,1,1)</f>
        <v>0</v>
      </c>
      <c r="N50" s="20"/>
      <c r="O50" s="20"/>
      <c r="P50" s="270">
        <f ca="1">OFFSET(PENN!L618,0,-6,1,1)</f>
        <v>0</v>
      </c>
      <c r="Q50" s="20"/>
      <c r="R50" s="20"/>
      <c r="S50" s="270">
        <f ca="1">OFFSET(PENN!O618,0,-7,1,1)</f>
        <v>0</v>
      </c>
      <c r="T50" s="20"/>
      <c r="U50" s="20"/>
      <c r="V50" s="270">
        <f ca="1">OFFSET(PENN!R618,0,-9,1,1)</f>
        <v>0</v>
      </c>
      <c r="W50" s="20"/>
      <c r="X50" s="20"/>
      <c r="Y50" s="270">
        <f ca="1">OFFSET(PENN!U618,0,-11,1,1)</f>
        <v>0</v>
      </c>
      <c r="Z50" s="20"/>
      <c r="AA50" s="20"/>
      <c r="AB50" s="270">
        <f ca="1">OFFSET(PENN!X618,0,-13,1,1)</f>
        <v>0</v>
      </c>
      <c r="AC50" s="20"/>
      <c r="AD50" s="20"/>
      <c r="AE50" s="270">
        <f ca="1">OFFSET(PENN!AA618,0,-14,1,1)</f>
        <v>0</v>
      </c>
      <c r="AF50" s="20"/>
      <c r="AG50" s="20"/>
      <c r="AH50" s="270">
        <f ca="1">OFFSET(PENN!AD618,0,-16,1,1)</f>
        <v>0</v>
      </c>
      <c r="AI50" s="20"/>
      <c r="AJ50" s="20"/>
      <c r="AK50" s="270">
        <f ca="1">OFFSET(PENN!AG618,0,-18,1,1)</f>
        <v>0</v>
      </c>
      <c r="AL50" s="20"/>
      <c r="AM50" s="20"/>
      <c r="AN50" s="270">
        <f ca="1">OFFSET(PENN!AJ618,0,-20,1,1)</f>
        <v>0</v>
      </c>
      <c r="AO50" s="20"/>
      <c r="AP50" s="20"/>
      <c r="AQ50" s="270">
        <f ca="1">OFFSET(PENN!AM618,0,-21,1,1)</f>
        <v>0</v>
      </c>
      <c r="AR50" s="20"/>
      <c r="AS50" s="20"/>
      <c r="AT50" s="270">
        <f ca="1">OFFSET(PENN!AP618,0,-23,1,1)</f>
        <v>16.913</v>
      </c>
      <c r="AU50" s="20"/>
      <c r="AV50" s="20"/>
      <c r="AW50" s="270">
        <f ca="1">OFFSET(PENN!BE618,0,-25,1,1)</f>
        <v>81.742999999999995</v>
      </c>
      <c r="AX50" s="20"/>
      <c r="AY50" s="20"/>
      <c r="AZ50" s="270">
        <f ca="1">OFFSET(PENN!CG618,0,-27,1,1)</f>
        <v>23.716859680800003</v>
      </c>
      <c r="BA50" s="20"/>
      <c r="BB50" s="20"/>
      <c r="BC50" s="270">
        <f ca="1">OFFSET(PENN!BT618,0,-28,1,1)</f>
        <v>21.355180000000001</v>
      </c>
      <c r="BD50" s="20"/>
      <c r="BE50" s="20"/>
      <c r="BF50" s="270">
        <f ca="1">OFFSET(PENN!CM618,0,-30,1,1)</f>
        <v>21.871387569405002</v>
      </c>
      <c r="BG50" s="20"/>
      <c r="BH50" s="20"/>
      <c r="BI50" s="270">
        <f ca="1">OFFSET(PENN!DH618,0,-32,1,1)</f>
        <v>69.764624016004319</v>
      </c>
      <c r="BJ50" s="20"/>
      <c r="BK50" s="20"/>
      <c r="BL50" s="270">
        <f ca="1">OFFSET(PENN!DJ618,0,-34,1,1)</f>
        <v>69.764624016004319</v>
      </c>
      <c r="BM50" s="20"/>
      <c r="BN50" s="20"/>
      <c r="BO50" s="270">
        <f ca="1">OFFSET(PENN!DM618,0,-35,1,1)</f>
        <v>67.601920671508182</v>
      </c>
      <c r="BP50" s="20"/>
      <c r="BQ50" s="20"/>
      <c r="BR50" s="270">
        <f ca="1">OFFSET(PENN!DP618,0,-37,1,1)</f>
        <v>68.953959084938347</v>
      </c>
      <c r="BS50" s="20"/>
      <c r="BT50" s="20"/>
      <c r="BU50" s="270">
        <f ca="1">OFFSET(PENN!DS618,0,-39,1,1)</f>
        <v>70.333038266637118</v>
      </c>
      <c r="BV50" s="20"/>
      <c r="BW50" s="20"/>
      <c r="BX50" s="270">
        <f ca="1">OFFSET(PENN!DV618,0,-41,1,1)</f>
        <v>0</v>
      </c>
    </row>
    <row r="51" spans="1:76" x14ac:dyDescent="0.25">
      <c r="A51" s="265" t="s">
        <v>753</v>
      </c>
      <c r="B51" s="259"/>
      <c r="C51" s="260"/>
      <c r="D51" s="260"/>
      <c r="E51" s="270"/>
      <c r="F51" s="270"/>
      <c r="G51" s="270"/>
      <c r="H51" s="20"/>
      <c r="I51" s="20"/>
      <c r="J51" s="270"/>
      <c r="K51" s="20"/>
      <c r="L51" s="20"/>
      <c r="M51" s="270"/>
      <c r="N51" s="20"/>
      <c r="O51" s="20"/>
      <c r="P51" s="270">
        <f ca="1">SUM(E50:P50)</f>
        <v>0</v>
      </c>
      <c r="Q51" s="20"/>
      <c r="R51" s="20"/>
      <c r="S51" s="270">
        <f ca="1">SUM(H50:S50)</f>
        <v>0</v>
      </c>
      <c r="T51" s="20"/>
      <c r="U51" s="20"/>
      <c r="V51" s="270">
        <f ca="1">SUM(K50:V50)</f>
        <v>0</v>
      </c>
      <c r="W51" s="20"/>
      <c r="X51" s="20"/>
      <c r="Y51" s="270">
        <f ca="1">SUM(N50:Y50)</f>
        <v>0</v>
      </c>
      <c r="Z51" s="20"/>
      <c r="AA51" s="20"/>
      <c r="AB51" s="270">
        <f ca="1">SUM(Q50:AB50)</f>
        <v>0</v>
      </c>
      <c r="AC51" s="20"/>
      <c r="AD51" s="20"/>
      <c r="AE51" s="270">
        <f ca="1">SUM(T50:AE50)</f>
        <v>0</v>
      </c>
      <c r="AF51" s="20"/>
      <c r="AG51" s="20"/>
      <c r="AH51" s="270">
        <f ca="1">SUM(W50:AH50)</f>
        <v>0</v>
      </c>
      <c r="AI51" s="20"/>
      <c r="AJ51" s="20"/>
      <c r="AK51" s="270">
        <f ca="1">SUM(Z50:AK50)</f>
        <v>0</v>
      </c>
      <c r="AL51" s="20"/>
      <c r="AM51" s="20"/>
      <c r="AN51" s="270">
        <f ca="1">SUM(AC50:AN50)</f>
        <v>0</v>
      </c>
      <c r="AO51" s="20"/>
      <c r="AP51" s="20"/>
      <c r="AQ51" s="270">
        <f ca="1">SUM(AF50:AQ50)</f>
        <v>0</v>
      </c>
      <c r="AR51" s="20"/>
      <c r="AS51" s="20"/>
      <c r="AT51" s="270">
        <f ca="1">SUM(AI50:AT50)</f>
        <v>16.913</v>
      </c>
      <c r="AU51" s="20"/>
      <c r="AV51" s="20"/>
      <c r="AW51" s="270">
        <f ca="1">SUM(AL50:AW50)</f>
        <v>98.655999999999992</v>
      </c>
      <c r="AX51" s="20"/>
      <c r="AY51" s="20"/>
      <c r="AZ51" s="270">
        <f ca="1">SUM(AO50:AZ50)</f>
        <v>122.37285968079999</v>
      </c>
      <c r="BA51" s="20"/>
      <c r="BB51" s="20"/>
      <c r="BC51" s="270">
        <f ca="1">SUM(AR50:BC50)</f>
        <v>143.72803968079998</v>
      </c>
      <c r="BD51" s="20"/>
      <c r="BE51" s="20"/>
      <c r="BF51" s="270">
        <f ca="1">SUM(AU50:BF50)</f>
        <v>148.68642725020499</v>
      </c>
      <c r="BG51" s="20"/>
      <c r="BH51" s="20"/>
      <c r="BI51" s="270">
        <f ca="1">SUM(AX50:BI50)</f>
        <v>136.70805126620934</v>
      </c>
      <c r="BJ51" s="20"/>
      <c r="BK51" s="20"/>
      <c r="BL51" s="270">
        <f ca="1">SUM(BA50:BL50)</f>
        <v>182.75581560141364</v>
      </c>
      <c r="BM51" s="20"/>
      <c r="BN51" s="20"/>
      <c r="BO51" s="270">
        <f ca="1">SUM(BD50:BO50)</f>
        <v>229.00255627292182</v>
      </c>
      <c r="BP51" s="20"/>
      <c r="BQ51" s="20"/>
      <c r="BR51" s="270">
        <f ca="1">SUM(BG50:BR50)</f>
        <v>276.08512778845517</v>
      </c>
      <c r="BS51" s="20"/>
      <c r="BT51" s="20"/>
      <c r="BU51" s="270">
        <f ca="1">SUM(BJ50:BU50)</f>
        <v>276.65354203908794</v>
      </c>
      <c r="BV51" s="20"/>
      <c r="BW51" s="20"/>
      <c r="BX51" s="270">
        <f ca="1">SUM(BM50:BX50)</f>
        <v>206.88891802308365</v>
      </c>
    </row>
    <row r="52" spans="1:76" x14ac:dyDescent="0.25">
      <c r="A52" s="265" t="s">
        <v>103</v>
      </c>
      <c r="B52" s="259"/>
      <c r="C52" s="260"/>
      <c r="D52" s="260"/>
      <c r="E52" s="20">
        <v>5.3185822428856673</v>
      </c>
      <c r="F52" s="20">
        <v>4.9459019307007903</v>
      </c>
      <c r="G52" s="20">
        <v>5.0210480476121351</v>
      </c>
      <c r="H52" s="20">
        <v>4.5271335731735043</v>
      </c>
      <c r="I52" s="20">
        <v>4.627021575478155</v>
      </c>
      <c r="J52" s="20">
        <v>5.4465733077203229</v>
      </c>
      <c r="K52" s="20">
        <v>5.2045979973230834</v>
      </c>
      <c r="L52" s="20">
        <v>4.8587203637544656</v>
      </c>
      <c r="M52" s="20">
        <v>4.5150387183487855</v>
      </c>
      <c r="N52" s="20">
        <v>4.4572020174060594</v>
      </c>
      <c r="O52" s="20">
        <v>4.4275094003846265</v>
      </c>
      <c r="P52" s="20">
        <v>4.2296984175453094</v>
      </c>
      <c r="Q52" s="20">
        <v>4.5478257428307263</v>
      </c>
      <c r="R52" s="20">
        <v>4.5196971595281985</v>
      </c>
      <c r="S52" s="20">
        <v>4.1823308270676689</v>
      </c>
      <c r="T52" s="20">
        <v>4.0032223415682067</v>
      </c>
      <c r="U52" s="20">
        <v>4.0738232670127807</v>
      </c>
      <c r="V52" s="20">
        <v>4.6756143357478024</v>
      </c>
      <c r="W52" s="20">
        <v>4.4826669030942456</v>
      </c>
      <c r="X52" s="20">
        <v>4.2484577054350572</v>
      </c>
      <c r="Y52" s="20">
        <v>3.8659346190244954</v>
      </c>
      <c r="Z52" s="20">
        <v>3.5560986087587279</v>
      </c>
      <c r="AA52" s="20">
        <v>3.6575187612470641</v>
      </c>
      <c r="AB52" s="20">
        <v>3.505138662891035</v>
      </c>
      <c r="AC52" s="20">
        <v>3.874029182291574</v>
      </c>
      <c r="AD52" s="20">
        <v>3.9118276380738513</v>
      </c>
      <c r="AE52" s="20">
        <v>4.0485659131425438</v>
      </c>
      <c r="AF52" s="20">
        <v>3.7839545167403661</v>
      </c>
      <c r="AG52" s="20">
        <v>3.826085130656625</v>
      </c>
      <c r="AH52" s="20">
        <v>4.5592398249285333</v>
      </c>
      <c r="AI52" s="20">
        <v>4.455645648861819</v>
      </c>
      <c r="AJ52" s="20">
        <v>4.0428617411197907</v>
      </c>
      <c r="AK52" s="20">
        <v>3.6516756741794629</v>
      </c>
      <c r="AL52" s="20">
        <v>3.4036633114434576</v>
      </c>
      <c r="AM52" s="20">
        <v>3.4015759958414091</v>
      </c>
      <c r="AN52" s="20">
        <v>2.9992366333111118</v>
      </c>
      <c r="AO52" s="20">
        <v>3.6530267538768446</v>
      </c>
      <c r="AP52" s="20">
        <v>3.5983435698301043</v>
      </c>
      <c r="AQ52" s="20">
        <v>3.4579657833831936</v>
      </c>
      <c r="AR52" s="20">
        <v>3.0985718286194346</v>
      </c>
      <c r="AS52" s="20">
        <v>3.1127274254632513</v>
      </c>
      <c r="AT52" s="20">
        <v>3.9803630345897254</v>
      </c>
      <c r="AU52" s="20">
        <v>3.8830373124053423</v>
      </c>
      <c r="AV52" s="20">
        <v>3.4866898650078584</v>
      </c>
      <c r="AW52" s="20">
        <v>3.4387881286067601</v>
      </c>
      <c r="AX52" s="20">
        <v>3.1501803787782388</v>
      </c>
      <c r="AY52" s="20">
        <v>3.1881430387382386</v>
      </c>
      <c r="AZ52" s="20">
        <v>3.1153617321014586</v>
      </c>
      <c r="BA52" s="20">
        <v>3.4013328032025338</v>
      </c>
      <c r="BB52" s="20">
        <v>3.1605665814911719</v>
      </c>
      <c r="BC52" s="20">
        <v>3.1192853532012199</v>
      </c>
      <c r="BD52" s="20">
        <v>2.8561364767881758</v>
      </c>
      <c r="BE52" s="20">
        <v>3.225555228236983</v>
      </c>
      <c r="BF52" s="20">
        <v>3.9509207398154493</v>
      </c>
      <c r="BG52" s="20">
        <v>3.9243920201922791</v>
      </c>
      <c r="BH52" s="20">
        <v>3.7745220594363054</v>
      </c>
      <c r="BI52" s="20">
        <v>3.5640048358989733</v>
      </c>
      <c r="BJ52" s="20">
        <v>3.3857498048322867</v>
      </c>
      <c r="BK52" s="20">
        <v>3.601118077118314</v>
      </c>
      <c r="BL52" s="20">
        <v>3.535036605408636</v>
      </c>
      <c r="BM52" s="20">
        <v>4.5453490569478197</v>
      </c>
      <c r="BN52" s="20">
        <v>4.5888444293186454</v>
      </c>
      <c r="BO52" s="20">
        <v>4.9185496584340518</v>
      </c>
      <c r="BP52" s="20">
        <v>4.9405181630007053</v>
      </c>
      <c r="BQ52" s="20">
        <v>5.5967241222544066</v>
      </c>
      <c r="BR52" s="20">
        <v>6.8735471798812338</v>
      </c>
      <c r="BS52" s="20">
        <v>7.024270945743166</v>
      </c>
      <c r="BT52" s="20">
        <v>6.7385236231893391</v>
      </c>
      <c r="BU52" s="20">
        <v>6.7195532307771488</v>
      </c>
      <c r="BV52" s="20">
        <v>6.4078590174293764</v>
      </c>
      <c r="BW52" s="20">
        <v>6.1536732236049785</v>
      </c>
      <c r="BX52" s="20">
        <v>6.1271160983361916</v>
      </c>
    </row>
    <row r="53" spans="1:76" x14ac:dyDescent="0.25">
      <c r="A53" s="265" t="s">
        <v>135</v>
      </c>
      <c r="B53" s="259"/>
      <c r="C53" s="260"/>
      <c r="D53" s="260"/>
      <c r="E53" s="20"/>
      <c r="F53" s="20"/>
      <c r="G53" s="20"/>
      <c r="H53" s="20"/>
      <c r="I53" s="20"/>
      <c r="J53" s="20"/>
      <c r="K53" s="20"/>
      <c r="L53" s="20"/>
      <c r="M53" s="20"/>
      <c r="N53" s="20"/>
      <c r="O53" s="20"/>
      <c r="P53" s="20">
        <f>AVERAGE(E52:P52)</f>
        <v>4.7982522993610752</v>
      </c>
      <c r="Q53" s="20"/>
      <c r="R53" s="20"/>
      <c r="S53" s="20"/>
      <c r="T53" s="20"/>
      <c r="U53" s="20"/>
      <c r="V53" s="20"/>
      <c r="W53" s="20"/>
      <c r="X53" s="20"/>
      <c r="Y53" s="20"/>
      <c r="Z53" s="20"/>
      <c r="AA53" s="20"/>
      <c r="AB53" s="20">
        <f>AVERAGE(Q52:AB52)</f>
        <v>4.1098607445171673</v>
      </c>
      <c r="AC53" s="20"/>
      <c r="AD53" s="20"/>
      <c r="AE53" s="20"/>
      <c r="AF53" s="20"/>
      <c r="AG53" s="20"/>
      <c r="AH53" s="20"/>
      <c r="AI53" s="20"/>
      <c r="AJ53" s="20"/>
      <c r="AK53" s="20"/>
      <c r="AL53" s="20"/>
      <c r="AM53" s="20"/>
      <c r="AN53" s="20">
        <f>AVERAGE(AC52:AN52)</f>
        <v>3.8298634342158793</v>
      </c>
      <c r="AO53" s="20"/>
      <c r="AP53" s="20"/>
      <c r="AQ53" s="20"/>
      <c r="AR53" s="20"/>
      <c r="AS53" s="20"/>
      <c r="AT53" s="20"/>
      <c r="AU53" s="20"/>
      <c r="AV53" s="20"/>
      <c r="AW53" s="20"/>
      <c r="AX53" s="20"/>
      <c r="AY53" s="20"/>
      <c r="AZ53" s="20">
        <f>AVERAGE(AO52:AZ52)</f>
        <v>3.4302665709500375</v>
      </c>
      <c r="BA53" s="20"/>
      <c r="BB53" s="20"/>
      <c r="BC53" s="20"/>
      <c r="BD53" s="20"/>
      <c r="BE53" s="20"/>
      <c r="BF53" s="20"/>
      <c r="BG53" s="20"/>
      <c r="BH53" s="20"/>
      <c r="BI53" s="20"/>
      <c r="BJ53" s="20"/>
      <c r="BK53" s="20"/>
      <c r="BL53" s="20">
        <f>AVERAGE(BA52:BL52)</f>
        <v>3.4582183821351937</v>
      </c>
      <c r="BM53" s="20"/>
      <c r="BN53" s="20"/>
      <c r="BO53" s="20"/>
      <c r="BP53" s="20"/>
      <c r="BQ53" s="20"/>
      <c r="BR53" s="20"/>
      <c r="BS53" s="20"/>
      <c r="BT53" s="20"/>
      <c r="BU53" s="20"/>
      <c r="BV53" s="20"/>
      <c r="BW53" s="20"/>
      <c r="BX53" s="20">
        <f>AVERAGE(BM52:BX52)</f>
        <v>5.8862107290764216</v>
      </c>
    </row>
    <row r="54" spans="1:76" x14ac:dyDescent="0.25">
      <c r="A54" s="255" t="s">
        <v>104</v>
      </c>
      <c r="B54" s="253"/>
      <c r="C54" s="251"/>
      <c r="D54" s="251"/>
      <c r="E54" s="30">
        <v>261280</v>
      </c>
      <c r="F54" s="30">
        <v>262067</v>
      </c>
      <c r="G54" s="30">
        <v>261724</v>
      </c>
      <c r="H54" s="30">
        <v>264583</v>
      </c>
      <c r="I54" s="30">
        <v>264784</v>
      </c>
      <c r="J54" s="30">
        <v>264812</v>
      </c>
      <c r="K54" s="30">
        <v>264883</v>
      </c>
      <c r="L54" s="30">
        <v>263646</v>
      </c>
      <c r="M54" s="30">
        <v>264987</v>
      </c>
      <c r="N54" s="30">
        <v>265780</v>
      </c>
      <c r="O54" s="30">
        <v>266372</v>
      </c>
      <c r="P54" s="30">
        <v>266591</v>
      </c>
      <c r="Q54" s="30">
        <v>265316</v>
      </c>
      <c r="R54" s="30">
        <v>266729</v>
      </c>
      <c r="S54" s="30">
        <v>267109</v>
      </c>
      <c r="T54" s="30">
        <v>268119</v>
      </c>
      <c r="U54" s="30">
        <v>267729</v>
      </c>
      <c r="V54" s="30">
        <v>267546</v>
      </c>
      <c r="W54" s="30">
        <v>269335</v>
      </c>
      <c r="X54" s="30">
        <v>269599</v>
      </c>
      <c r="Y54" s="30">
        <v>271224</v>
      </c>
      <c r="Z54" s="30">
        <v>273892</v>
      </c>
      <c r="AA54" s="30">
        <v>273577</v>
      </c>
      <c r="AB54" s="30">
        <v>273974</v>
      </c>
      <c r="AC54" s="30">
        <v>270436</v>
      </c>
      <c r="AD54" s="30">
        <v>272139</v>
      </c>
      <c r="AE54" s="30">
        <v>272883</v>
      </c>
      <c r="AF54" s="30">
        <v>274158</v>
      </c>
      <c r="AG54" s="30">
        <v>274816</v>
      </c>
      <c r="AH54" s="30">
        <v>274103</v>
      </c>
      <c r="AI54" s="30">
        <v>276556</v>
      </c>
      <c r="AJ54" s="30">
        <v>277248</v>
      </c>
      <c r="AK54" s="30">
        <v>278464</v>
      </c>
      <c r="AL54" s="30">
        <v>280509</v>
      </c>
      <c r="AM54" s="30">
        <v>280602</v>
      </c>
      <c r="AN54" s="30">
        <v>280824</v>
      </c>
      <c r="AO54" s="30">
        <v>277223</v>
      </c>
      <c r="AP54" s="30">
        <v>276559</v>
      </c>
      <c r="AQ54" s="30">
        <v>276563</v>
      </c>
      <c r="AR54" s="30">
        <v>276828</v>
      </c>
      <c r="AS54" s="30">
        <v>276805</v>
      </c>
      <c r="AT54" s="30">
        <v>277346</v>
      </c>
      <c r="AU54" s="30">
        <v>279239</v>
      </c>
      <c r="AV54" s="30">
        <v>278189</v>
      </c>
      <c r="AW54" s="30">
        <v>281109</v>
      </c>
      <c r="AX54" s="30">
        <v>281617</v>
      </c>
      <c r="AY54" s="30">
        <v>284076</v>
      </c>
      <c r="AZ54" s="30">
        <v>283343</v>
      </c>
      <c r="BA54" s="30">
        <v>284258</v>
      </c>
      <c r="BB54" s="30">
        <v>284614</v>
      </c>
      <c r="BC54" s="30">
        <v>285553</v>
      </c>
      <c r="BD54" s="30">
        <v>286826</v>
      </c>
      <c r="BE54" s="30">
        <v>285803</v>
      </c>
      <c r="BF54" s="30">
        <v>286038</v>
      </c>
      <c r="BG54" s="30">
        <v>288908</v>
      </c>
      <c r="BH54" s="30">
        <v>288662</v>
      </c>
      <c r="BI54" s="30">
        <v>292744</v>
      </c>
      <c r="BJ54" s="30">
        <v>294544</v>
      </c>
      <c r="BK54" s="30">
        <v>292453</v>
      </c>
      <c r="BL54" s="30">
        <v>290538</v>
      </c>
      <c r="BM54" s="30">
        <v>287917</v>
      </c>
      <c r="BN54" s="30">
        <v>288759</v>
      </c>
      <c r="BO54" s="30">
        <v>289504</v>
      </c>
      <c r="BP54" s="30">
        <v>292537</v>
      </c>
      <c r="BQ54" s="30">
        <v>290713</v>
      </c>
      <c r="BR54" s="30">
        <v>289654</v>
      </c>
      <c r="BS54" s="30">
        <v>291213</v>
      </c>
      <c r="BT54" s="30">
        <v>289340</v>
      </c>
      <c r="BU54" s="30">
        <v>289966</v>
      </c>
      <c r="BV54" s="30">
        <v>290291</v>
      </c>
      <c r="BW54" s="30">
        <v>292214</v>
      </c>
      <c r="BX54" s="30">
        <v>290622</v>
      </c>
    </row>
    <row r="55" spans="1:76" x14ac:dyDescent="0.25">
      <c r="A55" s="254"/>
      <c r="B55" s="253"/>
      <c r="C55" s="251"/>
      <c r="D55" s="251"/>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0"/>
      <c r="BJ55" s="30"/>
      <c r="BK55" s="30"/>
      <c r="BL55" s="30"/>
      <c r="BM55" s="30"/>
      <c r="BN55" s="30"/>
      <c r="BO55" s="30"/>
      <c r="BP55" s="30"/>
      <c r="BQ55" s="30"/>
      <c r="BR55" s="30"/>
      <c r="BS55" s="30"/>
      <c r="BT55" s="30"/>
      <c r="BU55" s="30"/>
      <c r="BV55" s="30"/>
      <c r="BW55" s="30"/>
      <c r="BX55" s="30"/>
    </row>
    <row r="56" spans="1:76" x14ac:dyDescent="0.25">
      <c r="A56" s="254" t="s">
        <v>1786</v>
      </c>
      <c r="B56" s="253" t="s">
        <v>95</v>
      </c>
      <c r="C56" s="251">
        <f>PENN!AF294/PENN!$AF$314</f>
        <v>3.649358742566107E-2</v>
      </c>
      <c r="D56" s="251"/>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row>
    <row r="57" spans="1:76" x14ac:dyDescent="0.25">
      <c r="A57" s="265" t="s">
        <v>2254</v>
      </c>
      <c r="B57" s="259"/>
      <c r="C57" s="260"/>
      <c r="D57" s="260"/>
      <c r="E57" s="20"/>
      <c r="F57" s="20"/>
      <c r="G57" s="270">
        <f>PENN!C827</f>
        <v>53.484999999999999</v>
      </c>
      <c r="H57" s="20"/>
      <c r="I57" s="20"/>
      <c r="J57" s="270">
        <f ca="1">OFFSET(PENN!F827,0,-2,1,1)</f>
        <v>53.558999999999997</v>
      </c>
      <c r="K57" s="20"/>
      <c r="L57" s="20"/>
      <c r="M57" s="270">
        <f ca="1">OFFSET(PENN!I827,0,-4,1,1)</f>
        <v>56.673999999999999</v>
      </c>
      <c r="N57" s="20"/>
      <c r="O57" s="20"/>
      <c r="P57" s="270">
        <f ca="1">OFFSET(PENN!L827,0,-6,1,1)</f>
        <v>56.536999999999999</v>
      </c>
      <c r="Q57" s="20"/>
      <c r="R57" s="20"/>
      <c r="S57" s="270">
        <f ca="1">OFFSET(PENN!O827,0,-7,1,1)</f>
        <v>54.42</v>
      </c>
      <c r="T57" s="20"/>
      <c r="U57" s="20"/>
      <c r="V57" s="270">
        <f ca="1">OFFSET(PENN!R827,0,-9,1,1)</f>
        <v>56.908000000000001</v>
      </c>
      <c r="W57" s="20"/>
      <c r="X57" s="20"/>
      <c r="Y57" s="270">
        <f ca="1">OFFSET(PENN!U827,0,-11,1,1)</f>
        <v>60.77</v>
      </c>
      <c r="Z57" s="20"/>
      <c r="AA57" s="20"/>
      <c r="AB57" s="270">
        <f ca="1">OFFSET(PENN!X827,0,-13,1,1)</f>
        <v>62.322000000000003</v>
      </c>
      <c r="AC57" s="20"/>
      <c r="AD57" s="20"/>
      <c r="AE57" s="270">
        <f ca="1">OFFSET(PENN!AA827,0,-14,1,1)</f>
        <v>60.317</v>
      </c>
      <c r="AF57" s="20"/>
      <c r="AG57" s="20"/>
      <c r="AH57" s="270">
        <f ca="1">OFFSET(PENN!AD827,0,-16,1,1)</f>
        <v>59.735999999999997</v>
      </c>
      <c r="AI57" s="20"/>
      <c r="AJ57" s="20"/>
      <c r="AK57" s="270">
        <f ca="1">OFFSET(PENN!AG827,0,-18,1,1)</f>
        <v>59.851999999999997</v>
      </c>
      <c r="AL57" s="20"/>
      <c r="AM57" s="20"/>
      <c r="AN57" s="270">
        <f ca="1">OFFSET(PENN!AJ827,0,-20,1,1)</f>
        <v>58.939</v>
      </c>
      <c r="AO57" s="20"/>
      <c r="AP57" s="20"/>
      <c r="AQ57" s="270">
        <f ca="1">OFFSET(PENN!AM827,0,-21,1,1)</f>
        <v>59.613</v>
      </c>
      <c r="AR57" s="20"/>
      <c r="AS57" s="20"/>
      <c r="AT57" s="270">
        <f ca="1">OFFSET(PENN!AP827,0,-23,1,1)</f>
        <v>58.493000000000002</v>
      </c>
      <c r="AU57" s="20"/>
      <c r="AV57" s="20"/>
      <c r="AW57" s="270">
        <f ca="1">OFFSET(PENN!BE827,0,-25,1,1)</f>
        <v>107.05799999999999</v>
      </c>
      <c r="AX57" s="20"/>
      <c r="AY57" s="20"/>
      <c r="AZ57" s="270">
        <f ca="1">OFFSET(PENN!CG827,0,-27,1,1)</f>
        <v>28.205186999999999</v>
      </c>
      <c r="BA57" s="20"/>
      <c r="BB57" s="20"/>
      <c r="BC57" s="270">
        <f ca="1">OFFSET(PENN!BT827,0,-28,1,1)</f>
        <v>33.875999999999998</v>
      </c>
      <c r="BD57" s="20"/>
      <c r="BE57" s="20"/>
      <c r="BF57" s="270">
        <f ca="1">OFFSET(PENN!CM827,0,-30,1,1)</f>
        <v>27.625692999999998</v>
      </c>
      <c r="BG57" s="20"/>
      <c r="BH57" s="20"/>
      <c r="BI57" s="270">
        <f ca="1">OFFSET(PENN!DH827,0,-32,1,1)</f>
        <v>109.75845418958998</v>
      </c>
      <c r="BJ57" s="20"/>
      <c r="BK57" s="20"/>
      <c r="BL57" s="270">
        <f ca="1">OFFSET(PENN!DJ827,0,-34,1,1)</f>
        <v>109.75845418958998</v>
      </c>
      <c r="BM57" s="20"/>
      <c r="BN57" s="20"/>
      <c r="BO57" s="270">
        <f ca="1">OFFSET(PENN!DM827,0,-35,1,1)</f>
        <v>106.23194210971269</v>
      </c>
      <c r="BP57" s="20"/>
      <c r="BQ57" s="20"/>
      <c r="BR57" s="270">
        <f ca="1">OFFSET(PENN!DP827,0,-37,1,1)</f>
        <v>108.43658095190695</v>
      </c>
      <c r="BS57" s="20"/>
      <c r="BT57" s="20"/>
      <c r="BU57" s="270">
        <f ca="1">OFFSET(PENN!DS827,0,-39,1,1)</f>
        <v>110.68531257094509</v>
      </c>
      <c r="BV57" s="20"/>
      <c r="BW57" s="20"/>
      <c r="BX57" s="270">
        <f ca="1">OFFSET(PENN!DV827,0,-41,1,1)</f>
        <v>0</v>
      </c>
    </row>
    <row r="58" spans="1:76" x14ac:dyDescent="0.25">
      <c r="A58" s="265" t="s">
        <v>753</v>
      </c>
      <c r="B58" s="259"/>
      <c r="C58" s="260"/>
      <c r="D58" s="260"/>
      <c r="E58" s="270"/>
      <c r="F58" s="270"/>
      <c r="G58" s="270"/>
      <c r="H58" s="20"/>
      <c r="I58" s="20"/>
      <c r="J58" s="270"/>
      <c r="K58" s="20"/>
      <c r="L58" s="20"/>
      <c r="M58" s="270"/>
      <c r="N58" s="20"/>
      <c r="O58" s="20"/>
      <c r="P58" s="270">
        <f ca="1">SUM(E57:P57)</f>
        <v>220.255</v>
      </c>
      <c r="Q58" s="20"/>
      <c r="R58" s="20"/>
      <c r="S58" s="270">
        <f ca="1">SUM(H57:S57)</f>
        <v>221.19</v>
      </c>
      <c r="T58" s="20"/>
      <c r="U58" s="20"/>
      <c r="V58" s="270">
        <f ca="1">SUM(K57:V57)</f>
        <v>224.53899999999999</v>
      </c>
      <c r="W58" s="20"/>
      <c r="X58" s="20"/>
      <c r="Y58" s="270">
        <f ca="1">SUM(N57:Y57)</f>
        <v>228.63500000000002</v>
      </c>
      <c r="Z58" s="20"/>
      <c r="AA58" s="20"/>
      <c r="AB58" s="270">
        <f ca="1">SUM(Q57:AB57)</f>
        <v>234.42000000000002</v>
      </c>
      <c r="AC58" s="20"/>
      <c r="AD58" s="20"/>
      <c r="AE58" s="270">
        <f ca="1">SUM(T57:AE57)</f>
        <v>240.31700000000001</v>
      </c>
      <c r="AF58" s="20"/>
      <c r="AG58" s="20"/>
      <c r="AH58" s="270">
        <f ca="1">SUM(W57:AH57)</f>
        <v>243.14500000000001</v>
      </c>
      <c r="AI58" s="20"/>
      <c r="AJ58" s="20"/>
      <c r="AK58" s="270">
        <f ca="1">SUM(Z57:AK57)</f>
        <v>242.227</v>
      </c>
      <c r="AL58" s="20"/>
      <c r="AM58" s="20"/>
      <c r="AN58" s="270">
        <f ca="1">SUM(AC57:AN57)</f>
        <v>238.84399999999999</v>
      </c>
      <c r="AO58" s="20"/>
      <c r="AP58" s="20"/>
      <c r="AQ58" s="270">
        <f ca="1">SUM(AF57:AQ57)</f>
        <v>238.14</v>
      </c>
      <c r="AR58" s="20"/>
      <c r="AS58" s="20"/>
      <c r="AT58" s="270">
        <f ca="1">SUM(AI57:AT57)</f>
        <v>236.89699999999999</v>
      </c>
      <c r="AU58" s="20"/>
      <c r="AV58" s="20"/>
      <c r="AW58" s="270">
        <f ca="1">SUM(AL57:AW57)</f>
        <v>284.10299999999995</v>
      </c>
      <c r="AX58" s="20"/>
      <c r="AY58" s="20"/>
      <c r="AZ58" s="270">
        <f ca="1">SUM(AO57:AZ57)</f>
        <v>253.36918699999998</v>
      </c>
      <c r="BA58" s="20"/>
      <c r="BB58" s="20"/>
      <c r="BC58" s="270">
        <f ca="1">SUM(AR57:BC57)</f>
        <v>227.63218699999999</v>
      </c>
      <c r="BD58" s="20"/>
      <c r="BE58" s="20"/>
      <c r="BF58" s="270">
        <f ca="1">SUM(AU57:BF57)</f>
        <v>196.76488000000001</v>
      </c>
      <c r="BG58" s="20"/>
      <c r="BH58" s="20"/>
      <c r="BI58" s="270">
        <f ca="1">SUM(AX57:BI57)</f>
        <v>199.46533418958998</v>
      </c>
      <c r="BJ58" s="20"/>
      <c r="BK58" s="20"/>
      <c r="BL58" s="270">
        <f ca="1">SUM(BA57:BL57)</f>
        <v>281.01860137917998</v>
      </c>
      <c r="BM58" s="20"/>
      <c r="BN58" s="20"/>
      <c r="BO58" s="270">
        <f ca="1">SUM(BD57:BO57)</f>
        <v>353.37454348889264</v>
      </c>
      <c r="BP58" s="20"/>
      <c r="BQ58" s="20"/>
      <c r="BR58" s="270">
        <f ca="1">SUM(BG57:BR57)</f>
        <v>434.18543144079962</v>
      </c>
      <c r="BS58" s="20"/>
      <c r="BT58" s="20"/>
      <c r="BU58" s="270">
        <f ca="1">SUM(BJ57:BU57)</f>
        <v>435.11228982215471</v>
      </c>
      <c r="BV58" s="20"/>
      <c r="BW58" s="20"/>
      <c r="BX58" s="270">
        <f ca="1">SUM(BM57:BX57)</f>
        <v>325.35383563256471</v>
      </c>
    </row>
    <row r="59" spans="1:76" x14ac:dyDescent="0.25">
      <c r="A59" s="255" t="s">
        <v>103</v>
      </c>
      <c r="B59" s="253"/>
      <c r="C59" s="251"/>
      <c r="D59" s="251"/>
      <c r="E59" s="20">
        <v>6.9</v>
      </c>
      <c r="F59" s="20">
        <v>6.5</v>
      </c>
      <c r="G59" s="20">
        <v>6.6</v>
      </c>
      <c r="H59" s="20">
        <v>6.2</v>
      </c>
      <c r="I59" s="20">
        <v>6.1</v>
      </c>
      <c r="J59" s="20">
        <v>6.5</v>
      </c>
      <c r="K59" s="20">
        <v>6.5</v>
      </c>
      <c r="L59" s="20">
        <v>6.1</v>
      </c>
      <c r="M59" s="20">
        <v>5.8</v>
      </c>
      <c r="N59" s="20">
        <v>5.8</v>
      </c>
      <c r="O59" s="20">
        <v>5.9</v>
      </c>
      <c r="P59" s="20">
        <v>5.8</v>
      </c>
      <c r="Q59" s="20">
        <v>6.4</v>
      </c>
      <c r="R59" s="20">
        <v>6.7</v>
      </c>
      <c r="S59" s="20">
        <v>6.3</v>
      </c>
      <c r="T59" s="20">
        <v>6.1</v>
      </c>
      <c r="U59" s="20">
        <v>6</v>
      </c>
      <c r="V59" s="20">
        <v>6.5</v>
      </c>
      <c r="W59" s="20">
        <v>6.2</v>
      </c>
      <c r="X59" s="20">
        <v>5.7</v>
      </c>
      <c r="Y59" s="20">
        <v>5.5</v>
      </c>
      <c r="Z59" s="20">
        <v>5</v>
      </c>
      <c r="AA59" s="20">
        <v>5.0999999999999996</v>
      </c>
      <c r="AB59" s="20">
        <v>5.2</v>
      </c>
      <c r="AC59" s="20">
        <v>5.4</v>
      </c>
      <c r="AD59" s="20">
        <v>5.2</v>
      </c>
      <c r="AE59" s="20">
        <v>5</v>
      </c>
      <c r="AF59" s="20">
        <v>4.7</v>
      </c>
      <c r="AG59" s="20">
        <v>4.3</v>
      </c>
      <c r="AH59" s="20">
        <v>4.8</v>
      </c>
      <c r="AI59" s="20">
        <v>4.8</v>
      </c>
      <c r="AJ59" s="20">
        <v>4.5</v>
      </c>
      <c r="AK59" s="20">
        <v>4.0999999999999996</v>
      </c>
      <c r="AL59" s="20">
        <v>3.6</v>
      </c>
      <c r="AM59" s="20">
        <v>3.9</v>
      </c>
      <c r="AN59" s="20">
        <v>4.0999999999999996</v>
      </c>
      <c r="AO59" s="20">
        <v>5.0999999999999996</v>
      </c>
      <c r="AP59" s="20">
        <v>5</v>
      </c>
      <c r="AQ59" s="20">
        <v>4.5999999999999996</v>
      </c>
      <c r="AR59" s="20">
        <v>4.7</v>
      </c>
      <c r="AS59" s="20">
        <v>4.5999999999999996</v>
      </c>
      <c r="AT59" s="20">
        <v>5.3</v>
      </c>
      <c r="AU59" s="20">
        <v>5.3</v>
      </c>
      <c r="AV59" s="20">
        <v>5.0999999999999996</v>
      </c>
      <c r="AW59" s="20">
        <v>4.8</v>
      </c>
      <c r="AX59" s="20">
        <v>4.7</v>
      </c>
      <c r="AY59" s="20">
        <v>4.8</v>
      </c>
      <c r="AZ59" s="20">
        <v>5.2</v>
      </c>
      <c r="BA59" s="20">
        <v>5.9</v>
      </c>
      <c r="BB59" s="20">
        <v>5.7</v>
      </c>
      <c r="BC59" s="20">
        <v>5.6</v>
      </c>
      <c r="BD59" s="20">
        <v>5.4</v>
      </c>
      <c r="BE59" s="20">
        <v>6.1</v>
      </c>
      <c r="BF59" s="20">
        <v>6.7</v>
      </c>
      <c r="BG59" s="20">
        <v>6.8</v>
      </c>
      <c r="BH59" s="20">
        <v>6.6</v>
      </c>
      <c r="BI59" s="20">
        <v>6.2</v>
      </c>
      <c r="BJ59" s="20">
        <v>6.2</v>
      </c>
      <c r="BK59" s="20">
        <v>6.4</v>
      </c>
      <c r="BL59" s="20">
        <v>7.1</v>
      </c>
      <c r="BM59" s="20">
        <v>8.3000000000000007</v>
      </c>
      <c r="BN59" s="20">
        <v>9.1999999999999993</v>
      </c>
      <c r="BO59" s="20">
        <v>9.4</v>
      </c>
      <c r="BP59" s="20">
        <v>9.8000000000000007</v>
      </c>
      <c r="BQ59" s="20">
        <v>10.4</v>
      </c>
      <c r="BR59" s="20">
        <v>11</v>
      </c>
      <c r="BS59" s="20">
        <v>10.6</v>
      </c>
      <c r="BT59" s="20">
        <v>9.6999999999999993</v>
      </c>
      <c r="BU59" s="20">
        <v>10</v>
      </c>
      <c r="BV59" s="20">
        <v>10.3</v>
      </c>
      <c r="BW59" s="20">
        <v>10.3</v>
      </c>
      <c r="BX59" s="20">
        <v>10.6</v>
      </c>
    </row>
    <row r="60" spans="1:76" x14ac:dyDescent="0.25">
      <c r="A60" s="265" t="s">
        <v>135</v>
      </c>
      <c r="B60" s="253"/>
      <c r="C60" s="251"/>
      <c r="D60" s="251"/>
      <c r="E60" s="20"/>
      <c r="F60" s="20"/>
      <c r="G60" s="20"/>
      <c r="H60" s="20"/>
      <c r="I60" s="20"/>
      <c r="J60" s="20"/>
      <c r="K60" s="20"/>
      <c r="L60" s="20"/>
      <c r="M60" s="20"/>
      <c r="N60" s="20"/>
      <c r="O60" s="20"/>
      <c r="P60" s="20">
        <f>AVERAGE(E59:P59)</f>
        <v>6.2249999999999988</v>
      </c>
      <c r="Q60" s="20"/>
      <c r="R60" s="20"/>
      <c r="S60" s="20"/>
      <c r="T60" s="20"/>
      <c r="U60" s="20"/>
      <c r="V60" s="20"/>
      <c r="W60" s="20"/>
      <c r="X60" s="20"/>
      <c r="Y60" s="20"/>
      <c r="Z60" s="20"/>
      <c r="AA60" s="20"/>
      <c r="AB60" s="20">
        <f>AVERAGE(Q59:AB59)</f>
        <v>5.8916666666666666</v>
      </c>
      <c r="AC60" s="20"/>
      <c r="AD60" s="20"/>
      <c r="AE60" s="20"/>
      <c r="AF60" s="20"/>
      <c r="AG60" s="20"/>
      <c r="AH60" s="20"/>
      <c r="AI60" s="20"/>
      <c r="AJ60" s="20"/>
      <c r="AK60" s="20"/>
      <c r="AL60" s="20"/>
      <c r="AM60" s="20"/>
      <c r="AN60" s="20">
        <f>AVERAGE(AC59:AN59)</f>
        <v>4.5333333333333341</v>
      </c>
      <c r="AO60" s="20"/>
      <c r="AP60" s="20"/>
      <c r="AQ60" s="20"/>
      <c r="AR60" s="20"/>
      <c r="AS60" s="20"/>
      <c r="AT60" s="20"/>
      <c r="AU60" s="20"/>
      <c r="AV60" s="20"/>
      <c r="AW60" s="20"/>
      <c r="AX60" s="20"/>
      <c r="AY60" s="20"/>
      <c r="AZ60" s="20">
        <f>AVERAGE(AO59:AZ59)</f>
        <v>4.9333333333333336</v>
      </c>
      <c r="BA60" s="20"/>
      <c r="BB60" s="20"/>
      <c r="BC60" s="20"/>
      <c r="BD60" s="20"/>
      <c r="BE60" s="20"/>
      <c r="BF60" s="20"/>
      <c r="BG60" s="20"/>
      <c r="BH60" s="20"/>
      <c r="BI60" s="20"/>
      <c r="BJ60" s="20"/>
      <c r="BK60" s="20"/>
      <c r="BL60" s="20">
        <f>AVERAGE(BA59:BL59)</f>
        <v>6.2250000000000005</v>
      </c>
      <c r="BM60" s="20"/>
      <c r="BN60" s="20"/>
      <c r="BO60" s="20"/>
      <c r="BP60" s="20"/>
      <c r="BQ60" s="20"/>
      <c r="BR60" s="20"/>
      <c r="BS60" s="20"/>
      <c r="BT60" s="20"/>
      <c r="BU60" s="20"/>
      <c r="BV60" s="20"/>
      <c r="BW60" s="20"/>
      <c r="BX60" s="20">
        <f>AVERAGE(BM59:BX59)</f>
        <v>9.9666666666666668</v>
      </c>
    </row>
    <row r="61" spans="1:76" x14ac:dyDescent="0.25">
      <c r="A61" s="255" t="s">
        <v>104</v>
      </c>
      <c r="B61" s="253"/>
      <c r="C61" s="251"/>
      <c r="D61" s="251"/>
      <c r="E61" s="30">
        <v>4362218</v>
      </c>
      <c r="F61" s="30">
        <v>4384555</v>
      </c>
      <c r="G61" s="30">
        <v>4381832</v>
      </c>
      <c r="H61" s="30">
        <v>4385893</v>
      </c>
      <c r="I61" s="30">
        <v>4394400</v>
      </c>
      <c r="J61" s="30">
        <v>4448007</v>
      </c>
      <c r="K61" s="30">
        <v>4477209</v>
      </c>
      <c r="L61" s="30">
        <v>4433561</v>
      </c>
      <c r="M61" s="30">
        <v>4412059</v>
      </c>
      <c r="N61" s="30">
        <v>4423615</v>
      </c>
      <c r="O61" s="30">
        <v>4438903</v>
      </c>
      <c r="P61" s="30">
        <v>4432327</v>
      </c>
      <c r="Q61" s="30">
        <v>4385637</v>
      </c>
      <c r="R61" s="30">
        <v>4393994</v>
      </c>
      <c r="S61" s="30">
        <v>4396107</v>
      </c>
      <c r="T61" s="30">
        <v>4419624</v>
      </c>
      <c r="U61" s="30">
        <v>4431573</v>
      </c>
      <c r="V61" s="30">
        <v>4474531</v>
      </c>
      <c r="W61" s="30">
        <v>4506287</v>
      </c>
      <c r="X61" s="30">
        <v>4478894</v>
      </c>
      <c r="Y61" s="30">
        <v>4459025</v>
      </c>
      <c r="Z61" s="30">
        <v>4484161</v>
      </c>
      <c r="AA61" s="30">
        <v>4500324</v>
      </c>
      <c r="AB61" s="30">
        <v>4495468</v>
      </c>
      <c r="AC61" s="30">
        <v>4474817</v>
      </c>
      <c r="AD61" s="30">
        <v>4509244</v>
      </c>
      <c r="AE61" s="30">
        <v>4527769</v>
      </c>
      <c r="AF61" s="30">
        <v>4539987</v>
      </c>
      <c r="AG61" s="30">
        <v>4564677</v>
      </c>
      <c r="AH61" s="30">
        <v>4635425</v>
      </c>
      <c r="AI61" s="30">
        <v>4656233</v>
      </c>
      <c r="AJ61" s="30">
        <v>4632022</v>
      </c>
      <c r="AK61" s="30">
        <v>4624128</v>
      </c>
      <c r="AL61" s="30">
        <v>4663057</v>
      </c>
      <c r="AM61" s="30">
        <v>4676007</v>
      </c>
      <c r="AN61" s="30">
        <v>4675778</v>
      </c>
      <c r="AO61" s="30">
        <v>4617268</v>
      </c>
      <c r="AP61" s="30">
        <v>4625914</v>
      </c>
      <c r="AQ61" s="30">
        <v>4644870</v>
      </c>
      <c r="AR61" s="30">
        <v>4635146</v>
      </c>
      <c r="AS61" s="30">
        <v>4645993</v>
      </c>
      <c r="AT61" s="30">
        <v>4713609</v>
      </c>
      <c r="AU61" s="30">
        <v>4729296</v>
      </c>
      <c r="AV61" s="30">
        <v>4674758</v>
      </c>
      <c r="AW61" s="30">
        <v>4674045</v>
      </c>
      <c r="AX61" s="30">
        <v>4678375</v>
      </c>
      <c r="AY61" s="30">
        <v>4713344</v>
      </c>
      <c r="AZ61" s="30">
        <v>4684391</v>
      </c>
      <c r="BA61" s="30">
        <v>4650312</v>
      </c>
      <c r="BB61" s="30">
        <v>4645698</v>
      </c>
      <c r="BC61" s="30">
        <v>4648331</v>
      </c>
      <c r="BD61" s="30">
        <v>4659832</v>
      </c>
      <c r="BE61" s="30">
        <v>4640771</v>
      </c>
      <c r="BF61" s="30">
        <v>4671506</v>
      </c>
      <c r="BG61" s="30">
        <v>4668449</v>
      </c>
      <c r="BH61" s="30">
        <v>4607117</v>
      </c>
      <c r="BI61" s="30">
        <v>4579333</v>
      </c>
      <c r="BJ61" s="30">
        <v>4566217</v>
      </c>
      <c r="BK61" s="30">
        <v>4552620</v>
      </c>
      <c r="BL61" s="30">
        <v>4508629</v>
      </c>
      <c r="BM61" s="30">
        <v>4432703</v>
      </c>
      <c r="BN61" s="30">
        <v>4395050</v>
      </c>
      <c r="BO61" s="30">
        <v>4378762</v>
      </c>
      <c r="BP61" s="30">
        <v>4390285</v>
      </c>
      <c r="BQ61" s="30">
        <v>4400995</v>
      </c>
      <c r="BR61" s="30">
        <v>4447906</v>
      </c>
      <c r="BS61" s="30">
        <v>4460408</v>
      </c>
      <c r="BT61" s="30">
        <v>4406849</v>
      </c>
      <c r="BU61" s="30">
        <v>4361807</v>
      </c>
      <c r="BV61" s="30">
        <v>4361035</v>
      </c>
      <c r="BW61" s="30">
        <v>4380773</v>
      </c>
      <c r="BX61" s="30">
        <v>4327544</v>
      </c>
    </row>
    <row r="62" spans="1:76" x14ac:dyDescent="0.25">
      <c r="A62" s="254"/>
      <c r="B62" s="253"/>
      <c r="C62" s="251"/>
      <c r="D62" s="251"/>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row>
    <row r="63" spans="1:76" x14ac:dyDescent="0.25">
      <c r="A63" s="254" t="s">
        <v>616</v>
      </c>
      <c r="B63" s="253" t="s">
        <v>97</v>
      </c>
      <c r="C63" s="251">
        <f>PENN!AF284/PENN!$AF$314</f>
        <v>3.2720670262119264E-2</v>
      </c>
      <c r="D63" s="251"/>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0"/>
      <c r="BJ63" s="30"/>
      <c r="BK63" s="30"/>
      <c r="BL63" s="30"/>
      <c r="BM63" s="30"/>
      <c r="BN63" s="30"/>
      <c r="BO63" s="30"/>
      <c r="BP63" s="30"/>
      <c r="BQ63" s="30"/>
      <c r="BR63" s="30"/>
      <c r="BS63" s="30"/>
      <c r="BT63" s="30"/>
      <c r="BU63" s="30"/>
      <c r="BV63" s="30"/>
      <c r="BW63" s="30"/>
      <c r="BX63" s="30"/>
    </row>
    <row r="64" spans="1:76" x14ac:dyDescent="0.25">
      <c r="A64" s="265" t="s">
        <v>2254</v>
      </c>
      <c r="B64" s="253"/>
      <c r="C64" s="251"/>
      <c r="D64" s="251"/>
      <c r="E64" s="30"/>
      <c r="F64" s="30"/>
      <c r="G64" s="270">
        <f>PENN!C710</f>
        <v>30.888000000000002</v>
      </c>
      <c r="H64" s="20"/>
      <c r="I64" s="20"/>
      <c r="J64" s="270">
        <f ca="1">OFFSET(PENN!F710,0,-2,1,1)</f>
        <v>29.864999999999998</v>
      </c>
      <c r="K64" s="20"/>
      <c r="L64" s="20"/>
      <c r="M64" s="270">
        <f ca="1">OFFSET(PENN!I710,0,-4,1,1)</f>
        <v>30.306000000000001</v>
      </c>
      <c r="N64" s="20"/>
      <c r="O64" s="20"/>
      <c r="P64" s="270">
        <f ca="1">OFFSET(PENN!L710,0,-6,1,1)</f>
        <v>26.449000000000002</v>
      </c>
      <c r="Q64" s="20"/>
      <c r="R64" s="20"/>
      <c r="S64" s="270">
        <f ca="1">OFFSET(PENN!O710,0,-7,1,1)</f>
        <v>26.193000000000001</v>
      </c>
      <c r="T64" s="20"/>
      <c r="U64" s="20"/>
      <c r="V64" s="270">
        <f ca="1">OFFSET(PENN!R710,0,-9,1,1)</f>
        <v>26.504999999999999</v>
      </c>
      <c r="W64" s="20"/>
      <c r="X64" s="20"/>
      <c r="Y64" s="270">
        <f ca="1">OFFSET(PENN!U710,0,-11,1,1)</f>
        <v>26.855</v>
      </c>
      <c r="Z64" s="20"/>
      <c r="AA64" s="20"/>
      <c r="AB64" s="270">
        <f ca="1">OFFSET(PENN!X710,0,-13,1,1)</f>
        <v>27.881</v>
      </c>
      <c r="AC64" s="20"/>
      <c r="AD64" s="20"/>
      <c r="AE64" s="270">
        <f ca="1">OFFSET(PENN!AA710,0,-14,1,1)</f>
        <v>28.158999999999999</v>
      </c>
      <c r="AF64" s="20"/>
      <c r="AG64" s="20"/>
      <c r="AH64" s="270">
        <f ca="1">OFFSET(PENN!AD710,0,-16,1,1)</f>
        <v>26.899000000000001</v>
      </c>
      <c r="AI64" s="20"/>
      <c r="AJ64" s="20"/>
      <c r="AK64" s="270">
        <f ca="1">OFFSET(PENN!AG710,0,-18,1,1)</f>
        <v>27.088999999999999</v>
      </c>
      <c r="AL64" s="20"/>
      <c r="AM64" s="20"/>
      <c r="AN64" s="270">
        <f ca="1">OFFSET(PENN!AJ710,0,-20,1,1)</f>
        <v>24.206</v>
      </c>
      <c r="AO64" s="20"/>
      <c r="AP64" s="20"/>
      <c r="AQ64" s="270">
        <f ca="1">OFFSET(PENN!AM710,0,-21,1,1)</f>
        <v>26.596</v>
      </c>
      <c r="AR64" s="20"/>
      <c r="AS64" s="20"/>
      <c r="AT64" s="270">
        <f ca="1">OFFSET(PENN!AP710,0,-23,1,1)</f>
        <v>26.375</v>
      </c>
      <c r="AU64" s="20"/>
      <c r="AV64" s="20"/>
      <c r="AW64" s="270">
        <f ca="1">OFFSET(PENN!BE710,0,-25,1,1)</f>
        <v>92.896000000000001</v>
      </c>
      <c r="AX64" s="20"/>
      <c r="AY64" s="20"/>
      <c r="AZ64" s="270">
        <f ca="1">OFFSET(PENN!CG710,0,-27,1,1)</f>
        <v>17.405507069999999</v>
      </c>
      <c r="BA64" s="20"/>
      <c r="BB64" s="20"/>
      <c r="BC64" s="270">
        <f ca="1">OFFSET(PENN!BT710,0,-28,1,1)</f>
        <v>17.739800000000002</v>
      </c>
      <c r="BD64" s="20"/>
      <c r="BE64" s="20"/>
      <c r="BF64" s="270">
        <f ca="1">OFFSET(PENN!CM710,0,-30,1,1)</f>
        <v>13.517874216000001</v>
      </c>
      <c r="BG64" s="20"/>
      <c r="BH64" s="20"/>
      <c r="BI64" s="270">
        <f ca="1">OFFSET(PENN!DH710,0,-32,1,1)</f>
        <v>53.525986431891972</v>
      </c>
      <c r="BJ64" s="20"/>
      <c r="BK64" s="20"/>
      <c r="BL64" s="270">
        <f ca="1">OFFSET(PENN!DJ710,0,-34,1,1)</f>
        <v>53.525986431891972</v>
      </c>
      <c r="BM64" s="20"/>
      <c r="BN64" s="20"/>
      <c r="BO64" s="270">
        <f ca="1">OFFSET(PENN!DM710,0,-35,1,1)</f>
        <v>51.866680852503322</v>
      </c>
      <c r="BP64" s="20"/>
      <c r="BQ64" s="20"/>
      <c r="BR64" s="270">
        <f ca="1">OFFSET(PENN!DP710,0,-37,1,1)</f>
        <v>52.904014469553388</v>
      </c>
      <c r="BS64" s="20"/>
      <c r="BT64" s="20"/>
      <c r="BU64" s="270">
        <f ca="1">OFFSET(PENN!DS710,0,-39,1,1)</f>
        <v>53.96209475894446</v>
      </c>
      <c r="BV64" s="20"/>
      <c r="BW64" s="20"/>
      <c r="BX64" s="270">
        <f ca="1">OFFSET(PENN!DV710,0,-41,1,1)</f>
        <v>0</v>
      </c>
    </row>
    <row r="65" spans="1:76" x14ac:dyDescent="0.25">
      <c r="A65" s="265" t="s">
        <v>753</v>
      </c>
      <c r="B65" s="259"/>
      <c r="C65" s="260"/>
      <c r="D65" s="260"/>
      <c r="E65" s="270"/>
      <c r="F65" s="270"/>
      <c r="G65" s="270"/>
      <c r="H65" s="20"/>
      <c r="I65" s="20"/>
      <c r="J65" s="270"/>
      <c r="K65" s="20"/>
      <c r="L65" s="20"/>
      <c r="M65" s="270"/>
      <c r="N65" s="20"/>
      <c r="O65" s="20"/>
      <c r="P65" s="270">
        <f ca="1">SUM(E64:P64)</f>
        <v>117.508</v>
      </c>
      <c r="Q65" s="20"/>
      <c r="R65" s="20"/>
      <c r="S65" s="270">
        <f ca="1">SUM(H64:S64)</f>
        <v>112.813</v>
      </c>
      <c r="T65" s="20"/>
      <c r="U65" s="20"/>
      <c r="V65" s="270">
        <f ca="1">SUM(K64:V64)</f>
        <v>109.453</v>
      </c>
      <c r="W65" s="20"/>
      <c r="X65" s="20"/>
      <c r="Y65" s="270">
        <f ca="1">SUM(N64:Y64)</f>
        <v>106.00200000000001</v>
      </c>
      <c r="Z65" s="20"/>
      <c r="AA65" s="20"/>
      <c r="AB65" s="270">
        <f ca="1">SUM(Q64:AB64)</f>
        <v>107.434</v>
      </c>
      <c r="AC65" s="20"/>
      <c r="AD65" s="20"/>
      <c r="AE65" s="270">
        <f ca="1">SUM(T64:AE64)</f>
        <v>109.4</v>
      </c>
      <c r="AF65" s="20"/>
      <c r="AG65" s="20"/>
      <c r="AH65" s="270">
        <f ca="1">SUM(W64:AH64)</f>
        <v>109.79400000000001</v>
      </c>
      <c r="AI65" s="20"/>
      <c r="AJ65" s="20"/>
      <c r="AK65" s="270">
        <f ca="1">SUM(Z64:AK64)</f>
        <v>110.02799999999999</v>
      </c>
      <c r="AL65" s="20"/>
      <c r="AM65" s="20"/>
      <c r="AN65" s="270">
        <f ca="1">SUM(AC64:AN64)</f>
        <v>106.35299999999999</v>
      </c>
      <c r="AO65" s="20"/>
      <c r="AP65" s="20"/>
      <c r="AQ65" s="270">
        <f ca="1">SUM(AF64:AQ64)</f>
        <v>104.79</v>
      </c>
      <c r="AR65" s="20"/>
      <c r="AS65" s="20"/>
      <c r="AT65" s="270">
        <f ca="1">SUM(AI64:AT64)</f>
        <v>104.26600000000001</v>
      </c>
      <c r="AU65" s="20"/>
      <c r="AV65" s="20"/>
      <c r="AW65" s="270">
        <f ca="1">SUM(AL64:AW64)</f>
        <v>170.07299999999998</v>
      </c>
      <c r="AX65" s="20"/>
      <c r="AY65" s="20"/>
      <c r="AZ65" s="270">
        <f ca="1">SUM(AO64:AZ64)</f>
        <v>163.27250707000002</v>
      </c>
      <c r="BA65" s="20"/>
      <c r="BB65" s="20"/>
      <c r="BC65" s="270">
        <f ca="1">SUM(AR64:BC64)</f>
        <v>154.41630707000002</v>
      </c>
      <c r="BD65" s="20"/>
      <c r="BE65" s="20"/>
      <c r="BF65" s="270">
        <f ca="1">SUM(AU64:BF64)</f>
        <v>141.55918128600001</v>
      </c>
      <c r="BG65" s="20"/>
      <c r="BH65" s="20"/>
      <c r="BI65" s="270">
        <f ca="1">SUM(AX64:BI64)</f>
        <v>102.18916771789198</v>
      </c>
      <c r="BJ65" s="20"/>
      <c r="BK65" s="20"/>
      <c r="BL65" s="270">
        <f ca="1">SUM(BA64:BL64)</f>
        <v>138.30964707978396</v>
      </c>
      <c r="BM65" s="20"/>
      <c r="BN65" s="20"/>
      <c r="BO65" s="270">
        <f ca="1">SUM(BD64:BO64)</f>
        <v>172.43652793228728</v>
      </c>
      <c r="BP65" s="20"/>
      <c r="BQ65" s="20"/>
      <c r="BR65" s="270">
        <f ca="1">SUM(BG64:BR64)</f>
        <v>211.82266818584066</v>
      </c>
      <c r="BS65" s="20"/>
      <c r="BT65" s="20"/>
      <c r="BU65" s="270">
        <f ca="1">SUM(BJ64:BU64)</f>
        <v>212.25877651289315</v>
      </c>
      <c r="BV65" s="20"/>
      <c r="BW65" s="20"/>
      <c r="BX65" s="270">
        <f ca="1">SUM(BM64:BX64)</f>
        <v>158.73279008100116</v>
      </c>
    </row>
    <row r="66" spans="1:76" x14ac:dyDescent="0.25">
      <c r="A66" s="265" t="s">
        <v>103</v>
      </c>
      <c r="B66" s="259"/>
      <c r="C66" s="260"/>
      <c r="D66" s="260"/>
      <c r="E66" s="20">
        <v>6.1</v>
      </c>
      <c r="F66" s="20">
        <v>5.7</v>
      </c>
      <c r="G66" s="20">
        <v>5.9</v>
      </c>
      <c r="H66" s="20">
        <v>5.2</v>
      </c>
      <c r="I66" s="20">
        <v>5.2</v>
      </c>
      <c r="J66" s="20">
        <v>6.2</v>
      </c>
      <c r="K66" s="20">
        <v>5.9</v>
      </c>
      <c r="L66" s="20">
        <v>6.1</v>
      </c>
      <c r="M66" s="20">
        <v>6</v>
      </c>
      <c r="N66" s="20">
        <v>6.1</v>
      </c>
      <c r="O66" s="20">
        <v>6.3</v>
      </c>
      <c r="P66" s="20">
        <v>6.5</v>
      </c>
      <c r="Q66" s="20">
        <v>6.9</v>
      </c>
      <c r="R66" s="20">
        <v>6.6</v>
      </c>
      <c r="S66" s="20">
        <v>6.3</v>
      </c>
      <c r="T66" s="20">
        <v>5.9</v>
      </c>
      <c r="U66" s="20">
        <v>6</v>
      </c>
      <c r="V66" s="20">
        <v>6.7</v>
      </c>
      <c r="W66" s="20">
        <v>6.1</v>
      </c>
      <c r="X66" s="20">
        <v>6.4</v>
      </c>
      <c r="Y66" s="20">
        <v>5.5</v>
      </c>
      <c r="Z66" s="20">
        <v>5.6</v>
      </c>
      <c r="AA66" s="20">
        <v>5.9</v>
      </c>
      <c r="AB66" s="20">
        <v>5.9</v>
      </c>
      <c r="AC66" s="20">
        <v>5.9</v>
      </c>
      <c r="AD66" s="20">
        <v>5.9</v>
      </c>
      <c r="AE66" s="20">
        <v>5.9</v>
      </c>
      <c r="AF66" s="20">
        <v>5.5</v>
      </c>
      <c r="AG66" s="20">
        <v>5.5</v>
      </c>
      <c r="AH66" s="20">
        <v>6.3</v>
      </c>
      <c r="AI66" s="20">
        <v>6.1</v>
      </c>
      <c r="AJ66" s="20">
        <v>5.8</v>
      </c>
      <c r="AK66" s="20">
        <v>5.4</v>
      </c>
      <c r="AL66" s="20">
        <v>5.0999999999999996</v>
      </c>
      <c r="AM66" s="20">
        <v>5.4</v>
      </c>
      <c r="AN66" s="20">
        <v>5.0999999999999996</v>
      </c>
      <c r="AO66" s="20">
        <v>5.7</v>
      </c>
      <c r="AP66" s="20">
        <v>5.4</v>
      </c>
      <c r="AQ66" s="20">
        <v>5.0999999999999996</v>
      </c>
      <c r="AR66" s="20">
        <v>4.5999999999999996</v>
      </c>
      <c r="AS66" s="20">
        <v>4.5999999999999996</v>
      </c>
      <c r="AT66" s="20">
        <v>5.3</v>
      </c>
      <c r="AU66" s="20">
        <v>5.2</v>
      </c>
      <c r="AV66" s="20">
        <v>5.2</v>
      </c>
      <c r="AW66" s="20">
        <v>5.3</v>
      </c>
      <c r="AX66" s="20">
        <v>5.3</v>
      </c>
      <c r="AY66" s="20">
        <v>5.4</v>
      </c>
      <c r="AZ66" s="20">
        <v>5.7</v>
      </c>
      <c r="BA66" s="20">
        <v>6.2</v>
      </c>
      <c r="BB66" s="20">
        <v>6.1</v>
      </c>
      <c r="BC66" s="20">
        <v>6.3</v>
      </c>
      <c r="BD66" s="20">
        <v>5.6</v>
      </c>
      <c r="BE66" s="20">
        <v>6.4</v>
      </c>
      <c r="BF66" s="20">
        <v>7.2</v>
      </c>
      <c r="BG66" s="20">
        <v>7</v>
      </c>
      <c r="BH66" s="20">
        <v>7.1</v>
      </c>
      <c r="BI66" s="20">
        <v>6.9</v>
      </c>
      <c r="BJ66" s="20">
        <v>6.9</v>
      </c>
      <c r="BK66" s="20">
        <v>6.9</v>
      </c>
      <c r="BL66" s="20">
        <v>7.5</v>
      </c>
      <c r="BM66" s="20">
        <v>8.6999999999999993</v>
      </c>
      <c r="BN66" s="20">
        <v>8.9</v>
      </c>
      <c r="BO66" s="20">
        <v>9.1</v>
      </c>
      <c r="BP66" s="20">
        <v>9</v>
      </c>
      <c r="BQ66" s="20">
        <v>9.6</v>
      </c>
      <c r="BR66" s="20">
        <v>10.3</v>
      </c>
      <c r="BS66" s="20">
        <v>10.3</v>
      </c>
      <c r="BT66" s="20">
        <v>10.4</v>
      </c>
      <c r="BU66" s="20">
        <v>9.9</v>
      </c>
      <c r="BV66" s="20">
        <v>9.9</v>
      </c>
      <c r="BW66" s="20">
        <v>9.8000000000000007</v>
      </c>
      <c r="BX66" s="20">
        <v>10.3</v>
      </c>
    </row>
    <row r="67" spans="1:76" x14ac:dyDescent="0.25">
      <c r="A67" s="265" t="s">
        <v>135</v>
      </c>
      <c r="B67" s="259"/>
      <c r="C67" s="260"/>
      <c r="D67" s="260"/>
      <c r="E67" s="20"/>
      <c r="F67" s="20"/>
      <c r="G67" s="20"/>
      <c r="H67" s="20"/>
      <c r="I67" s="20"/>
      <c r="J67" s="20"/>
      <c r="K67" s="20"/>
      <c r="L67" s="20"/>
      <c r="M67" s="20"/>
      <c r="N67" s="20"/>
      <c r="O67" s="20"/>
      <c r="P67" s="20">
        <f>AVERAGE(E66:P66)</f>
        <v>5.9333333333333336</v>
      </c>
      <c r="Q67" s="20"/>
      <c r="R67" s="20"/>
      <c r="S67" s="20"/>
      <c r="T67" s="20"/>
      <c r="U67" s="20"/>
      <c r="V67" s="20"/>
      <c r="W67" s="20"/>
      <c r="X67" s="20"/>
      <c r="Y67" s="20"/>
      <c r="Z67" s="20"/>
      <c r="AA67" s="20"/>
      <c r="AB67" s="20">
        <f>AVERAGE(Q66:AB66)</f>
        <v>6.1500000000000012</v>
      </c>
      <c r="AC67" s="20"/>
      <c r="AD67" s="20"/>
      <c r="AE67" s="20"/>
      <c r="AF67" s="20"/>
      <c r="AG67" s="20"/>
      <c r="AH67" s="20"/>
      <c r="AI67" s="20"/>
      <c r="AJ67" s="20"/>
      <c r="AK67" s="20"/>
      <c r="AL67" s="20"/>
      <c r="AM67" s="20"/>
      <c r="AN67" s="20">
        <f>AVERAGE(AC66:AN66)</f>
        <v>5.6583333333333323</v>
      </c>
      <c r="AO67" s="20"/>
      <c r="AP67" s="20"/>
      <c r="AQ67" s="20"/>
      <c r="AR67" s="20"/>
      <c r="AS67" s="20"/>
      <c r="AT67" s="20"/>
      <c r="AU67" s="20"/>
      <c r="AV67" s="20"/>
      <c r="AW67" s="20"/>
      <c r="AX67" s="20"/>
      <c r="AY67" s="20"/>
      <c r="AZ67" s="20">
        <f>AVERAGE(AO66:AZ66)</f>
        <v>5.2333333333333334</v>
      </c>
      <c r="BA67" s="20"/>
      <c r="BB67" s="20"/>
      <c r="BC67" s="20"/>
      <c r="BD67" s="20"/>
      <c r="BE67" s="20"/>
      <c r="BF67" s="20"/>
      <c r="BG67" s="20"/>
      <c r="BH67" s="20"/>
      <c r="BI67" s="20"/>
      <c r="BJ67" s="20"/>
      <c r="BK67" s="20"/>
      <c r="BL67" s="20">
        <f>AVERAGE(BA66:BL66)</f>
        <v>6.6750000000000007</v>
      </c>
      <c r="BM67" s="20"/>
      <c r="BN67" s="20"/>
      <c r="BO67" s="20"/>
      <c r="BP67" s="20"/>
      <c r="BQ67" s="20"/>
      <c r="BR67" s="20"/>
      <c r="BS67" s="20"/>
      <c r="BT67" s="20"/>
      <c r="BU67" s="20"/>
      <c r="BV67" s="20"/>
      <c r="BW67" s="20"/>
      <c r="BX67" s="20">
        <f>AVERAGE(BM66:BX66)</f>
        <v>9.6833333333333353</v>
      </c>
    </row>
    <row r="68" spans="1:76" x14ac:dyDescent="0.25">
      <c r="A68" s="255" t="s">
        <v>104</v>
      </c>
      <c r="B68" s="253"/>
      <c r="C68" s="251"/>
      <c r="D68" s="251"/>
      <c r="E68" s="30">
        <v>552186</v>
      </c>
      <c r="F68" s="30">
        <v>554781</v>
      </c>
      <c r="G68" s="30">
        <v>553964</v>
      </c>
      <c r="H68" s="30">
        <v>556438</v>
      </c>
      <c r="I68" s="30">
        <v>555441</v>
      </c>
      <c r="J68" s="30">
        <v>562570</v>
      </c>
      <c r="K68" s="30">
        <v>567393</v>
      </c>
      <c r="L68" s="30">
        <v>560239</v>
      </c>
      <c r="M68" s="30">
        <v>558608</v>
      </c>
      <c r="N68" s="30">
        <v>561960</v>
      </c>
      <c r="O68" s="30">
        <v>561068</v>
      </c>
      <c r="P68" s="30">
        <v>561098</v>
      </c>
      <c r="Q68" s="30">
        <v>550821</v>
      </c>
      <c r="R68" s="30">
        <v>553817</v>
      </c>
      <c r="S68" s="30">
        <v>555601</v>
      </c>
      <c r="T68" s="30">
        <v>559538</v>
      </c>
      <c r="U68" s="30">
        <v>560603</v>
      </c>
      <c r="V68" s="30">
        <v>565170</v>
      </c>
      <c r="W68" s="30">
        <v>574166</v>
      </c>
      <c r="X68" s="30">
        <v>569084</v>
      </c>
      <c r="Y68" s="30">
        <v>573016</v>
      </c>
      <c r="Z68" s="30">
        <v>573097</v>
      </c>
      <c r="AA68" s="30">
        <v>573387</v>
      </c>
      <c r="AB68" s="30">
        <v>575053</v>
      </c>
      <c r="AC68" s="30">
        <v>566377</v>
      </c>
      <c r="AD68" s="30">
        <v>565386</v>
      </c>
      <c r="AE68" s="30">
        <v>567045</v>
      </c>
      <c r="AF68" s="30">
        <v>569182</v>
      </c>
      <c r="AG68" s="30">
        <v>571611</v>
      </c>
      <c r="AH68" s="30">
        <v>579596</v>
      </c>
      <c r="AI68" s="30">
        <v>586361</v>
      </c>
      <c r="AJ68" s="30">
        <v>579258</v>
      </c>
      <c r="AK68" s="30">
        <v>579417</v>
      </c>
      <c r="AL68" s="30">
        <v>583659</v>
      </c>
      <c r="AM68" s="30">
        <v>587619</v>
      </c>
      <c r="AN68" s="30">
        <v>588962</v>
      </c>
      <c r="AO68" s="30">
        <v>574784</v>
      </c>
      <c r="AP68" s="30">
        <v>573188</v>
      </c>
      <c r="AQ68" s="30">
        <v>576708</v>
      </c>
      <c r="AR68" s="30">
        <v>578717</v>
      </c>
      <c r="AS68" s="30">
        <v>582162</v>
      </c>
      <c r="AT68" s="30">
        <v>589403</v>
      </c>
      <c r="AU68" s="30">
        <v>592420</v>
      </c>
      <c r="AV68" s="30">
        <v>583295</v>
      </c>
      <c r="AW68" s="30">
        <v>584622</v>
      </c>
      <c r="AX68" s="30">
        <v>587742</v>
      </c>
      <c r="AY68" s="30">
        <v>590903</v>
      </c>
      <c r="AZ68" s="30">
        <v>590571</v>
      </c>
      <c r="BA68" s="30">
        <v>575284</v>
      </c>
      <c r="BB68" s="30">
        <v>571161</v>
      </c>
      <c r="BC68" s="30">
        <v>572436</v>
      </c>
      <c r="BD68" s="30">
        <v>576836</v>
      </c>
      <c r="BE68" s="30">
        <v>575770</v>
      </c>
      <c r="BF68" s="30">
        <v>580794</v>
      </c>
      <c r="BG68" s="30">
        <v>584649</v>
      </c>
      <c r="BH68" s="30">
        <v>576577</v>
      </c>
      <c r="BI68" s="30">
        <v>578223</v>
      </c>
      <c r="BJ68" s="30">
        <v>578089</v>
      </c>
      <c r="BK68" s="30">
        <v>575255</v>
      </c>
      <c r="BL68" s="30">
        <v>572417</v>
      </c>
      <c r="BM68" s="30">
        <v>557312</v>
      </c>
      <c r="BN68" s="30">
        <v>559392</v>
      </c>
      <c r="BO68" s="30">
        <v>556171</v>
      </c>
      <c r="BP68" s="30">
        <v>555229</v>
      </c>
      <c r="BQ68" s="30">
        <v>552016</v>
      </c>
      <c r="BR68" s="30">
        <v>559851</v>
      </c>
      <c r="BS68" s="30">
        <v>560601</v>
      </c>
      <c r="BT68" s="30">
        <v>553877</v>
      </c>
      <c r="BU68" s="30">
        <v>552510</v>
      </c>
      <c r="BV68" s="30">
        <v>551878</v>
      </c>
      <c r="BW68" s="30">
        <v>552205</v>
      </c>
      <c r="BX68" s="30">
        <v>547200</v>
      </c>
    </row>
    <row r="69" spans="1:76" x14ac:dyDescent="0.25">
      <c r="A69" s="254"/>
      <c r="B69" s="253"/>
      <c r="C69" s="251"/>
      <c r="D69" s="251"/>
      <c r="E69" s="30"/>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0"/>
      <c r="BJ69" s="30"/>
      <c r="BK69" s="30"/>
      <c r="BL69" s="30"/>
      <c r="BM69" s="30"/>
      <c r="BN69" s="30"/>
      <c r="BO69" s="30"/>
      <c r="BP69" s="30"/>
      <c r="BQ69" s="30"/>
      <c r="BR69" s="30"/>
      <c r="BS69" s="30"/>
      <c r="BT69" s="30"/>
      <c r="BU69" s="30"/>
      <c r="BV69" s="30"/>
      <c r="BW69" s="30"/>
      <c r="BX69" s="30"/>
    </row>
    <row r="70" spans="1:76" x14ac:dyDescent="0.25">
      <c r="A70" s="254" t="s">
        <v>1453</v>
      </c>
      <c r="B70" s="266" t="s">
        <v>99</v>
      </c>
      <c r="C70" s="251">
        <f>PENN!AF287/PENN!$AF$314</f>
        <v>3.05064664291924E-2</v>
      </c>
      <c r="D70" s="251"/>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0"/>
      <c r="BJ70" s="30"/>
      <c r="BK70" s="30"/>
      <c r="BL70" s="30"/>
      <c r="BM70" s="30"/>
      <c r="BN70" s="30"/>
      <c r="BO70" s="30"/>
      <c r="BP70" s="30"/>
      <c r="BQ70" s="30"/>
      <c r="BR70" s="30"/>
      <c r="BS70" s="30"/>
      <c r="BT70" s="30"/>
      <c r="BU70" s="30"/>
      <c r="BV70" s="30"/>
      <c r="BW70" s="30"/>
      <c r="BX70" s="30"/>
    </row>
    <row r="71" spans="1:76" x14ac:dyDescent="0.25">
      <c r="A71" s="265" t="s">
        <v>2254</v>
      </c>
      <c r="B71" s="253"/>
      <c r="C71" s="251"/>
      <c r="D71" s="251"/>
      <c r="E71" s="30"/>
      <c r="F71" s="30"/>
      <c r="G71" s="270">
        <f>PENN!C767</f>
        <v>19.594999999999999</v>
      </c>
      <c r="H71" s="20"/>
      <c r="I71" s="20"/>
      <c r="J71" s="270">
        <f ca="1">OFFSET(PENN!F767,0,-2,1,1)</f>
        <v>17.373000000000001</v>
      </c>
      <c r="K71" s="20"/>
      <c r="L71" s="20"/>
      <c r="M71" s="270">
        <f ca="1">OFFSET(PENN!I767,0,-4,1,1)</f>
        <v>16.815999999999999</v>
      </c>
      <c r="N71" s="20"/>
      <c r="O71" s="20"/>
      <c r="P71" s="270">
        <f ca="1">OFFSET(PENN!L767,0,-6,1,1)</f>
        <v>16.606999999999999</v>
      </c>
      <c r="Q71" s="20"/>
      <c r="R71" s="20"/>
      <c r="S71" s="270">
        <f ca="1">OFFSET(PENN!O767,0,-7,1,1)</f>
        <v>18.263999999999999</v>
      </c>
      <c r="T71" s="20"/>
      <c r="U71" s="20"/>
      <c r="V71" s="270">
        <f ca="1">OFFSET(PENN!R767,0,-9,1,1)</f>
        <v>16.791</v>
      </c>
      <c r="W71" s="20"/>
      <c r="X71" s="20"/>
      <c r="Y71" s="270">
        <f ca="1">OFFSET(PENN!U767,0,-11,1,1)</f>
        <v>10.782</v>
      </c>
      <c r="Z71" s="20"/>
      <c r="AA71" s="20"/>
      <c r="AB71" s="270">
        <f ca="1">OFFSET(PENN!X767,0,-13,1,1)</f>
        <v>0</v>
      </c>
      <c r="AC71" s="20"/>
      <c r="AD71" s="20"/>
      <c r="AE71" s="270">
        <f ca="1">OFFSET(PENN!AA767,0,-14,1,1)</f>
        <v>0</v>
      </c>
      <c r="AF71" s="20"/>
      <c r="AG71" s="20"/>
      <c r="AH71" s="270">
        <f ca="1">OFFSET(PENN!AD767,0,-16,1,1)</f>
        <v>1.01</v>
      </c>
      <c r="AI71" s="20"/>
      <c r="AJ71" s="20"/>
      <c r="AK71" s="270">
        <f ca="1">OFFSET(PENN!AG767,0,-18,1,1)</f>
        <v>27.927</v>
      </c>
      <c r="AL71" s="20"/>
      <c r="AM71" s="20"/>
      <c r="AN71" s="270">
        <f ca="1">OFFSET(PENN!AJ767,0,-20,1,1)</f>
        <v>22.484000000000002</v>
      </c>
      <c r="AO71" s="20"/>
      <c r="AP71" s="20"/>
      <c r="AQ71" s="270">
        <f ca="1">OFFSET(PENN!AM767,0,-21,1,1)</f>
        <v>24.067</v>
      </c>
      <c r="AR71" s="20"/>
      <c r="AS71" s="20"/>
      <c r="AT71" s="270">
        <f ca="1">OFFSET(PENN!AP767,0,-23,1,1)</f>
        <v>22.670999999999999</v>
      </c>
      <c r="AU71" s="20"/>
      <c r="AV71" s="20"/>
      <c r="AW71" s="270">
        <f ca="1">OFFSET(PENN!BE767,0,-25,1,1)</f>
        <v>73.881</v>
      </c>
      <c r="AX71" s="20"/>
      <c r="AY71" s="20"/>
      <c r="AZ71" s="270">
        <f ca="1">OFFSET(PENN!CG767,0,-27,1,1)</f>
        <v>13.611686896499998</v>
      </c>
      <c r="BA71" s="20"/>
      <c r="BB71" s="20"/>
      <c r="BC71" s="270">
        <f ca="1">OFFSET(PENN!BT767,0,-28,1,1)</f>
        <v>16.63776</v>
      </c>
      <c r="BD71" s="20"/>
      <c r="BE71" s="20"/>
      <c r="BF71" s="270">
        <f ca="1">OFFSET(PENN!CM767,0,-30,1,1)</f>
        <v>13.11210062955</v>
      </c>
      <c r="BG71" s="20"/>
      <c r="BH71" s="20"/>
      <c r="BI71" s="270">
        <f ca="1">OFFSET(PENN!DH767,0,-32,1,1)</f>
        <v>46.08521549358575</v>
      </c>
      <c r="BJ71" s="20"/>
      <c r="BK71" s="20"/>
      <c r="BL71" s="270">
        <f ca="1">OFFSET(PENN!DJ767,0,-34,1,1)</f>
        <v>46.08521549358575</v>
      </c>
      <c r="BM71" s="20"/>
      <c r="BN71" s="20"/>
      <c r="BO71" s="270">
        <f ca="1">OFFSET(PENN!DM767,0,-35,1,1)</f>
        <v>44.656573813284588</v>
      </c>
      <c r="BP71" s="20"/>
      <c r="BQ71" s="20"/>
      <c r="BR71" s="270">
        <f ca="1">OFFSET(PENN!DP767,0,-37,1,1)</f>
        <v>45.549705289550282</v>
      </c>
      <c r="BS71" s="20"/>
      <c r="BT71" s="20"/>
      <c r="BU71" s="270">
        <f ca="1">OFFSET(PENN!DS767,0,-39,1,1)</f>
        <v>46.460699395341287</v>
      </c>
      <c r="BV71" s="20"/>
      <c r="BW71" s="20"/>
      <c r="BX71" s="270">
        <f ca="1">OFFSET(PENN!DV767,0,-41,1,1)</f>
        <v>0</v>
      </c>
    </row>
    <row r="72" spans="1:76" x14ac:dyDescent="0.25">
      <c r="A72" s="265" t="s">
        <v>753</v>
      </c>
      <c r="B72" s="259"/>
      <c r="C72" s="260"/>
      <c r="D72" s="260"/>
      <c r="E72" s="270"/>
      <c r="F72" s="270"/>
      <c r="G72" s="270"/>
      <c r="H72" s="20"/>
      <c r="I72" s="20"/>
      <c r="J72" s="270"/>
      <c r="K72" s="20"/>
      <c r="L72" s="20"/>
      <c r="M72" s="270"/>
      <c r="N72" s="20"/>
      <c r="O72" s="20"/>
      <c r="P72" s="270">
        <f ca="1">SUM(E71:P71)</f>
        <v>70.391000000000005</v>
      </c>
      <c r="Q72" s="20"/>
      <c r="R72" s="20"/>
      <c r="S72" s="270">
        <f ca="1">SUM(H71:S71)</f>
        <v>69.06</v>
      </c>
      <c r="T72" s="20"/>
      <c r="U72" s="20"/>
      <c r="V72" s="270">
        <f ca="1">SUM(K71:V71)</f>
        <v>68.477999999999994</v>
      </c>
      <c r="W72" s="20"/>
      <c r="X72" s="20"/>
      <c r="Y72" s="270">
        <f ca="1">SUM(N71:Y71)</f>
        <v>62.443999999999988</v>
      </c>
      <c r="Z72" s="20"/>
      <c r="AA72" s="20"/>
      <c r="AB72" s="270">
        <f ca="1">SUM(Q71:AB71)</f>
        <v>45.837000000000003</v>
      </c>
      <c r="AC72" s="20"/>
      <c r="AD72" s="20"/>
      <c r="AE72" s="270">
        <f ca="1">SUM(T71:AE71)</f>
        <v>27.573</v>
      </c>
      <c r="AF72" s="20"/>
      <c r="AG72" s="20"/>
      <c r="AH72" s="270">
        <f ca="1">SUM(W71:AH71)</f>
        <v>11.792</v>
      </c>
      <c r="AI72" s="20"/>
      <c r="AJ72" s="20"/>
      <c r="AK72" s="270">
        <f ca="1">SUM(Z71:AK71)</f>
        <v>28.937000000000001</v>
      </c>
      <c r="AL72" s="20"/>
      <c r="AM72" s="20"/>
      <c r="AN72" s="270">
        <f ca="1">SUM(AC71:AN71)</f>
        <v>51.421000000000006</v>
      </c>
      <c r="AO72" s="20"/>
      <c r="AP72" s="20"/>
      <c r="AQ72" s="270">
        <f ca="1">SUM(AF71:AQ71)</f>
        <v>75.488</v>
      </c>
      <c r="AR72" s="20"/>
      <c r="AS72" s="20"/>
      <c r="AT72" s="270">
        <f ca="1">SUM(AI71:AT71)</f>
        <v>97.149000000000001</v>
      </c>
      <c r="AU72" s="20"/>
      <c r="AV72" s="20"/>
      <c r="AW72" s="270">
        <f ca="1">SUM(AL71:AW71)</f>
        <v>143.10300000000001</v>
      </c>
      <c r="AX72" s="20"/>
      <c r="AY72" s="20"/>
      <c r="AZ72" s="270">
        <f ca="1">SUM(AO71:AZ71)</f>
        <v>134.2306868965</v>
      </c>
      <c r="BA72" s="20"/>
      <c r="BB72" s="20"/>
      <c r="BC72" s="270">
        <f ca="1">SUM(AR71:BC71)</f>
        <v>126.8014468965</v>
      </c>
      <c r="BD72" s="20"/>
      <c r="BE72" s="20"/>
      <c r="BF72" s="270">
        <f ca="1">SUM(AU71:BF71)</f>
        <v>117.24254752605</v>
      </c>
      <c r="BG72" s="20"/>
      <c r="BH72" s="20"/>
      <c r="BI72" s="270">
        <f ca="1">SUM(AX71:BI71)</f>
        <v>89.446763019635739</v>
      </c>
      <c r="BJ72" s="20"/>
      <c r="BK72" s="20"/>
      <c r="BL72" s="270">
        <f ca="1">SUM(BA71:BL71)</f>
        <v>121.9202916167215</v>
      </c>
      <c r="BM72" s="20"/>
      <c r="BN72" s="20"/>
      <c r="BO72" s="270">
        <f ca="1">SUM(BD71:BO71)</f>
        <v>149.93910543000609</v>
      </c>
      <c r="BP72" s="20"/>
      <c r="BQ72" s="20"/>
      <c r="BR72" s="270">
        <f ca="1">SUM(BG71:BR71)</f>
        <v>182.37671009000636</v>
      </c>
      <c r="BS72" s="20"/>
      <c r="BT72" s="20"/>
      <c r="BU72" s="270">
        <f ca="1">SUM(BJ71:BU71)</f>
        <v>182.75219399176191</v>
      </c>
      <c r="BV72" s="20"/>
      <c r="BW72" s="20"/>
      <c r="BX72" s="270">
        <f ca="1">SUM(BM71:BX71)</f>
        <v>136.66697849817615</v>
      </c>
    </row>
    <row r="73" spans="1:76" x14ac:dyDescent="0.25">
      <c r="A73" s="265" t="s">
        <v>103</v>
      </c>
      <c r="B73" s="259"/>
      <c r="C73" s="260"/>
      <c r="D73" s="260"/>
      <c r="E73" s="20">
        <v>5</v>
      </c>
      <c r="F73" s="20">
        <v>4.5</v>
      </c>
      <c r="G73" s="20">
        <v>4.4000000000000004</v>
      </c>
      <c r="H73" s="20">
        <v>4.4000000000000004</v>
      </c>
      <c r="I73" s="20">
        <v>5.2</v>
      </c>
      <c r="J73" s="20">
        <v>5.9</v>
      </c>
      <c r="K73" s="20">
        <v>5.6</v>
      </c>
      <c r="L73" s="20">
        <v>5.2</v>
      </c>
      <c r="M73" s="20">
        <v>5.4</v>
      </c>
      <c r="N73" s="20">
        <v>6</v>
      </c>
      <c r="O73" s="20">
        <v>5.6</v>
      </c>
      <c r="P73" s="20">
        <v>5.5</v>
      </c>
      <c r="Q73" s="20">
        <v>6.2</v>
      </c>
      <c r="R73" s="20">
        <v>5.9</v>
      </c>
      <c r="S73" s="20">
        <v>5.9</v>
      </c>
      <c r="T73" s="20">
        <v>5.7</v>
      </c>
      <c r="U73" s="20">
        <v>6.3</v>
      </c>
      <c r="V73" s="20">
        <v>6.8</v>
      </c>
      <c r="W73" s="20">
        <v>6.2</v>
      </c>
      <c r="X73" s="20">
        <v>5.7</v>
      </c>
      <c r="Y73" s="20">
        <v>23.2</v>
      </c>
      <c r="Z73" s="20">
        <v>21.7</v>
      </c>
      <c r="AA73" s="20">
        <v>19.399999999999999</v>
      </c>
      <c r="AB73" s="20">
        <v>17.100000000000001</v>
      </c>
      <c r="AC73" s="20">
        <v>16.5</v>
      </c>
      <c r="AD73" s="20">
        <v>14.2</v>
      </c>
      <c r="AE73" s="20">
        <v>12.1</v>
      </c>
      <c r="AF73" s="20">
        <v>12</v>
      </c>
      <c r="AG73" s="20">
        <v>11.3</v>
      </c>
      <c r="AH73" s="20">
        <v>10.199999999999999</v>
      </c>
      <c r="AI73" s="20">
        <v>10</v>
      </c>
      <c r="AJ73" s="20">
        <v>8.3000000000000007</v>
      </c>
      <c r="AK73" s="20">
        <v>7.4</v>
      </c>
      <c r="AL73" s="20">
        <v>6.9</v>
      </c>
      <c r="AM73" s="20">
        <v>6.6</v>
      </c>
      <c r="AN73" s="20">
        <v>6.3</v>
      </c>
      <c r="AO73" s="20">
        <v>6.5</v>
      </c>
      <c r="AP73" s="20">
        <v>6.1</v>
      </c>
      <c r="AQ73" s="20">
        <v>5.8</v>
      </c>
      <c r="AR73" s="20">
        <v>5.4</v>
      </c>
      <c r="AS73" s="20">
        <v>5.2</v>
      </c>
      <c r="AT73" s="20">
        <v>5.8</v>
      </c>
      <c r="AU73" s="20">
        <v>5.7</v>
      </c>
      <c r="AV73" s="20">
        <v>4.9000000000000004</v>
      </c>
      <c r="AW73" s="20">
        <v>5</v>
      </c>
      <c r="AX73" s="20">
        <v>5</v>
      </c>
      <c r="AY73" s="20">
        <v>4.7</v>
      </c>
      <c r="AZ73" s="20">
        <v>5.2</v>
      </c>
      <c r="BA73" s="20">
        <v>5.4</v>
      </c>
      <c r="BB73" s="20">
        <v>5</v>
      </c>
      <c r="BC73" s="20">
        <v>5.0999999999999996</v>
      </c>
      <c r="BD73" s="20">
        <v>4.8</v>
      </c>
      <c r="BE73" s="20">
        <v>5.4</v>
      </c>
      <c r="BF73" s="20">
        <v>6.3</v>
      </c>
      <c r="BG73" s="20">
        <v>6.5</v>
      </c>
      <c r="BH73" s="20">
        <v>6.1</v>
      </c>
      <c r="BI73" s="20">
        <v>5.9</v>
      </c>
      <c r="BJ73" s="20">
        <v>5.8</v>
      </c>
      <c r="BK73" s="20">
        <v>5.7</v>
      </c>
      <c r="BL73" s="20">
        <v>6.6</v>
      </c>
      <c r="BM73" s="20">
        <v>7.7</v>
      </c>
      <c r="BN73" s="20">
        <v>7.7</v>
      </c>
      <c r="BO73" s="20">
        <v>7.9</v>
      </c>
      <c r="BP73" s="20">
        <v>7.1</v>
      </c>
      <c r="BQ73" s="20">
        <v>7.7</v>
      </c>
      <c r="BR73" s="20">
        <v>7.9</v>
      </c>
      <c r="BS73" s="20">
        <v>8.5</v>
      </c>
      <c r="BT73" s="20">
        <v>7.8</v>
      </c>
      <c r="BU73" s="20">
        <v>7.3</v>
      </c>
      <c r="BV73" s="20">
        <v>8</v>
      </c>
      <c r="BW73" s="20">
        <v>7.8</v>
      </c>
      <c r="BX73" s="20">
        <v>8.8000000000000007</v>
      </c>
    </row>
    <row r="74" spans="1:76" x14ac:dyDescent="0.25">
      <c r="A74" s="265" t="s">
        <v>135</v>
      </c>
      <c r="B74" s="259"/>
      <c r="C74" s="260"/>
      <c r="D74" s="260"/>
      <c r="E74" s="20"/>
      <c r="F74" s="20"/>
      <c r="G74" s="20"/>
      <c r="H74" s="20"/>
      <c r="I74" s="20"/>
      <c r="J74" s="20"/>
      <c r="K74" s="20"/>
      <c r="L74" s="20"/>
      <c r="M74" s="20"/>
      <c r="N74" s="20"/>
      <c r="O74" s="20"/>
      <c r="P74" s="20">
        <f>AVERAGE(E73:P73)</f>
        <v>5.2250000000000005</v>
      </c>
      <c r="Q74" s="20"/>
      <c r="R74" s="20"/>
      <c r="S74" s="20"/>
      <c r="T74" s="20"/>
      <c r="U74" s="20"/>
      <c r="V74" s="20"/>
      <c r="W74" s="20"/>
      <c r="X74" s="20"/>
      <c r="Y74" s="20"/>
      <c r="Z74" s="20"/>
      <c r="AA74" s="20"/>
      <c r="AB74" s="20">
        <f>AVERAGE(Q73:AB73)</f>
        <v>10.841666666666667</v>
      </c>
      <c r="AC74" s="20"/>
      <c r="AD74" s="20"/>
      <c r="AE74" s="20"/>
      <c r="AF74" s="20"/>
      <c r="AG74" s="20"/>
      <c r="AH74" s="20"/>
      <c r="AI74" s="20"/>
      <c r="AJ74" s="20"/>
      <c r="AK74" s="20"/>
      <c r="AL74" s="20"/>
      <c r="AM74" s="20"/>
      <c r="AN74" s="20">
        <f>AVERAGE(AC73:AN73)</f>
        <v>10.15</v>
      </c>
      <c r="AO74" s="20"/>
      <c r="AP74" s="20"/>
      <c r="AQ74" s="20"/>
      <c r="AR74" s="20"/>
      <c r="AS74" s="20"/>
      <c r="AT74" s="20"/>
      <c r="AU74" s="20"/>
      <c r="AV74" s="20"/>
      <c r="AW74" s="20"/>
      <c r="AX74" s="20"/>
      <c r="AY74" s="20"/>
      <c r="AZ74" s="20">
        <f>AVERAGE(AO73:AZ73)</f>
        <v>5.4416666666666664</v>
      </c>
      <c r="BA74" s="20"/>
      <c r="BB74" s="20"/>
      <c r="BC74" s="20"/>
      <c r="BD74" s="20"/>
      <c r="BE74" s="20"/>
      <c r="BF74" s="20"/>
      <c r="BG74" s="20"/>
      <c r="BH74" s="20"/>
      <c r="BI74" s="20"/>
      <c r="BJ74" s="20"/>
      <c r="BK74" s="20"/>
      <c r="BL74" s="20">
        <f>AVERAGE(BA73:BL73)</f>
        <v>5.7166666666666659</v>
      </c>
      <c r="BM74" s="20"/>
      <c r="BN74" s="20"/>
      <c r="BO74" s="20"/>
      <c r="BP74" s="20"/>
      <c r="BQ74" s="20"/>
      <c r="BR74" s="20"/>
      <c r="BS74" s="20"/>
      <c r="BT74" s="20"/>
      <c r="BU74" s="20"/>
      <c r="BV74" s="20"/>
      <c r="BW74" s="20"/>
      <c r="BX74" s="20">
        <f>AVERAGE(BM73:BX73)</f>
        <v>7.8499999999999988</v>
      </c>
    </row>
    <row r="75" spans="1:76" x14ac:dyDescent="0.25">
      <c r="A75" s="255" t="s">
        <v>104</v>
      </c>
      <c r="B75" s="253"/>
      <c r="C75" s="251"/>
      <c r="D75" s="251"/>
      <c r="E75" s="30">
        <v>111749</v>
      </c>
      <c r="F75" s="30">
        <v>112642</v>
      </c>
      <c r="G75" s="30">
        <v>113529</v>
      </c>
      <c r="H75" s="30">
        <v>114015</v>
      </c>
      <c r="I75" s="30">
        <v>114197</v>
      </c>
      <c r="J75" s="30">
        <v>115150</v>
      </c>
      <c r="K75" s="30">
        <v>116313</v>
      </c>
      <c r="L75" s="30">
        <v>114928</v>
      </c>
      <c r="M75" s="30">
        <v>113344</v>
      </c>
      <c r="N75" s="30">
        <v>112910</v>
      </c>
      <c r="O75" s="30">
        <v>113735</v>
      </c>
      <c r="P75" s="30">
        <v>114213</v>
      </c>
      <c r="Q75" s="30">
        <v>112604</v>
      </c>
      <c r="R75" s="30">
        <v>113166</v>
      </c>
      <c r="S75" s="30">
        <v>114141</v>
      </c>
      <c r="T75" s="30">
        <v>114146</v>
      </c>
      <c r="U75" s="30">
        <v>114440</v>
      </c>
      <c r="V75" s="30">
        <v>116007</v>
      </c>
      <c r="W75" s="30">
        <v>116233</v>
      </c>
      <c r="X75" s="30">
        <v>114979</v>
      </c>
      <c r="Y75" s="30">
        <v>97606</v>
      </c>
      <c r="Z75" s="30">
        <v>95067</v>
      </c>
      <c r="AA75" s="30">
        <v>97335</v>
      </c>
      <c r="AB75" s="30">
        <v>91307</v>
      </c>
      <c r="AC75" s="30">
        <v>89838</v>
      </c>
      <c r="AD75" s="30">
        <v>91524</v>
      </c>
      <c r="AE75" s="30">
        <v>92077</v>
      </c>
      <c r="AF75" s="30">
        <v>93198</v>
      </c>
      <c r="AG75" s="30">
        <v>94604</v>
      </c>
      <c r="AH75" s="30">
        <v>97041</v>
      </c>
      <c r="AI75" s="30">
        <v>98412</v>
      </c>
      <c r="AJ75" s="30">
        <v>101450</v>
      </c>
      <c r="AK75" s="30">
        <v>102796</v>
      </c>
      <c r="AL75" s="30">
        <v>103373</v>
      </c>
      <c r="AM75" s="30">
        <v>104562</v>
      </c>
      <c r="AN75" s="30">
        <v>105701</v>
      </c>
      <c r="AO75" s="30">
        <v>103663</v>
      </c>
      <c r="AP75" s="30">
        <v>104357</v>
      </c>
      <c r="AQ75" s="30">
        <v>104879</v>
      </c>
      <c r="AR75" s="30">
        <v>104842</v>
      </c>
      <c r="AS75" s="30">
        <v>106280</v>
      </c>
      <c r="AT75" s="30">
        <v>107956</v>
      </c>
      <c r="AU75" s="30">
        <v>108772</v>
      </c>
      <c r="AV75" s="30">
        <v>107000</v>
      </c>
      <c r="AW75" s="30">
        <v>107023</v>
      </c>
      <c r="AX75" s="30">
        <v>107269</v>
      </c>
      <c r="AY75" s="30">
        <v>108263</v>
      </c>
      <c r="AZ75" s="30">
        <v>107631</v>
      </c>
      <c r="BA75" s="30">
        <v>105832</v>
      </c>
      <c r="BB75" s="30">
        <v>106178</v>
      </c>
      <c r="BC75" s="30">
        <v>106863</v>
      </c>
      <c r="BD75" s="30">
        <v>108005</v>
      </c>
      <c r="BE75" s="30">
        <v>108264</v>
      </c>
      <c r="BF75" s="30">
        <v>109556</v>
      </c>
      <c r="BG75" s="30">
        <v>109252</v>
      </c>
      <c r="BH75" s="30">
        <v>107014</v>
      </c>
      <c r="BI75" s="30">
        <v>106752</v>
      </c>
      <c r="BJ75" s="30">
        <v>106178</v>
      </c>
      <c r="BK75" s="30">
        <v>104833</v>
      </c>
      <c r="BL75" s="30">
        <v>103952</v>
      </c>
      <c r="BM75" s="30">
        <v>102366</v>
      </c>
      <c r="BN75" s="30">
        <v>102683</v>
      </c>
      <c r="BO75" s="30">
        <v>102426</v>
      </c>
      <c r="BP75" s="30">
        <v>102760</v>
      </c>
      <c r="BQ75" s="30">
        <v>102123</v>
      </c>
      <c r="BR75" s="30">
        <v>102609</v>
      </c>
      <c r="BS75" s="30">
        <v>102598</v>
      </c>
      <c r="BT75" s="30">
        <v>99482</v>
      </c>
      <c r="BU75" s="30">
        <v>99478</v>
      </c>
      <c r="BV75" s="30">
        <v>100014</v>
      </c>
      <c r="BW75" s="30">
        <v>99058</v>
      </c>
      <c r="BX75" s="30">
        <v>98578</v>
      </c>
    </row>
    <row r="76" spans="1:76" x14ac:dyDescent="0.25">
      <c r="A76" s="254"/>
      <c r="B76" s="253"/>
      <c r="C76" s="251"/>
      <c r="D76" s="251"/>
      <c r="E76" s="30"/>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row>
    <row r="77" spans="1:76" x14ac:dyDescent="0.25">
      <c r="A77" s="256" t="s">
        <v>615</v>
      </c>
      <c r="B77" s="266" t="s">
        <v>99</v>
      </c>
      <c r="C77" s="251">
        <f>PENN!AF286/PENN!$AF$314</f>
        <v>3.0146408265950653E-2</v>
      </c>
      <c r="D77" s="251"/>
      <c r="E77" s="30"/>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row>
    <row r="78" spans="1:76" x14ac:dyDescent="0.25">
      <c r="A78" s="265" t="s">
        <v>2254</v>
      </c>
      <c r="B78" s="253"/>
      <c r="C78" s="251"/>
      <c r="D78" s="251"/>
      <c r="E78" s="30"/>
      <c r="F78" s="30"/>
      <c r="G78" s="270">
        <f>PENN!C748</f>
        <v>28.600999999999999</v>
      </c>
      <c r="H78" s="20"/>
      <c r="I78" s="20"/>
      <c r="J78" s="270">
        <f ca="1">OFFSET(PENN!F748,0,-2,1,1)</f>
        <v>28.056999999999999</v>
      </c>
      <c r="K78" s="20"/>
      <c r="L78" s="20"/>
      <c r="M78" s="270">
        <f ca="1">OFFSET(PENN!I748,0,-4,1,1)</f>
        <v>25.507000000000001</v>
      </c>
      <c r="N78" s="20"/>
      <c r="O78" s="20"/>
      <c r="P78" s="270">
        <f ca="1">OFFSET(PENN!L748,0,-6,1,1)</f>
        <v>24.071000000000002</v>
      </c>
      <c r="Q78" s="20"/>
      <c r="R78" s="20"/>
      <c r="S78" s="270">
        <f ca="1">OFFSET(PENN!O748,0,-7,1,1)</f>
        <v>26.634</v>
      </c>
      <c r="T78" s="20"/>
      <c r="U78" s="20"/>
      <c r="V78" s="270">
        <f ca="1">OFFSET(PENN!R748,0,-9,1,1)</f>
        <v>26.576000000000001</v>
      </c>
      <c r="W78" s="20"/>
      <c r="X78" s="20"/>
      <c r="Y78" s="270">
        <f ca="1">OFFSET(PENN!U748,0,-11,1,1)</f>
        <v>16.366</v>
      </c>
      <c r="Z78" s="20"/>
      <c r="AA78" s="20"/>
      <c r="AB78" s="270">
        <f ca="1">OFFSET(PENN!X748,0,-13,1,1)</f>
        <v>0</v>
      </c>
      <c r="AC78" s="20"/>
      <c r="AD78" s="20"/>
      <c r="AE78" s="270">
        <f ca="1">OFFSET(PENN!AA748,0,-14,1,1)</f>
        <v>0</v>
      </c>
      <c r="AF78" s="20"/>
      <c r="AG78" s="20"/>
      <c r="AH78" s="270">
        <f ca="1">OFFSET(PENN!AD748,0,-16,1,1)</f>
        <v>0</v>
      </c>
      <c r="AI78" s="20"/>
      <c r="AJ78" s="20"/>
      <c r="AK78" s="270">
        <f ca="1">OFFSET(PENN!AG748,0,-18,1,1)</f>
        <v>10.766999999999999</v>
      </c>
      <c r="AL78" s="20"/>
      <c r="AM78" s="20"/>
      <c r="AN78" s="270">
        <f ca="1">OFFSET(PENN!AJ748,0,-20,1,1)</f>
        <v>21.417000000000002</v>
      </c>
      <c r="AO78" s="20"/>
      <c r="AP78" s="20"/>
      <c r="AQ78" s="270">
        <f ca="1">OFFSET(PENN!AM748,0,-21,1,1)</f>
        <v>23.484000000000002</v>
      </c>
      <c r="AR78" s="20"/>
      <c r="AS78" s="20"/>
      <c r="AT78" s="270">
        <f ca="1">OFFSET(PENN!AP748,0,-23,1,1)</f>
        <v>25.466000000000001</v>
      </c>
      <c r="AU78" s="20"/>
      <c r="AV78" s="20"/>
      <c r="AW78" s="270">
        <f ca="1">OFFSET(PENN!BE748,0,-25,1,1)</f>
        <v>95.06</v>
      </c>
      <c r="AX78" s="20"/>
      <c r="AY78" s="20"/>
      <c r="AZ78" s="270">
        <f ca="1">OFFSET(PENN!CG748,0,-27,1,1)</f>
        <v>18.685832675999993</v>
      </c>
      <c r="BA78" s="20"/>
      <c r="BB78" s="20"/>
      <c r="BC78" s="270">
        <f ca="1">OFFSET(PENN!BT748,0,-28,1,1)</f>
        <v>21.199360000000002</v>
      </c>
      <c r="BD78" s="20"/>
      <c r="BE78" s="20"/>
      <c r="BF78" s="270">
        <f ca="1">OFFSET(PENN!CM748,0,-30,1,1)</f>
        <v>16.985333752991995</v>
      </c>
      <c r="BG78" s="20"/>
      <c r="BH78" s="20"/>
      <c r="BI78" s="270">
        <f ca="1">OFFSET(PENN!DH748,0,-32,1,1)</f>
        <v>71.563854509474652</v>
      </c>
      <c r="BJ78" s="20"/>
      <c r="BK78" s="20"/>
      <c r="BL78" s="270">
        <f ca="1">OFFSET(PENN!DJ748,0,-34,1,1)</f>
        <v>71.563854509474652</v>
      </c>
      <c r="BM78" s="20"/>
      <c r="BN78" s="20"/>
      <c r="BO78" s="270">
        <f ca="1">OFFSET(PENN!DM748,0,-35,1,1)</f>
        <v>69.34537501968093</v>
      </c>
      <c r="BP78" s="20"/>
      <c r="BQ78" s="20"/>
      <c r="BR78" s="270">
        <f ca="1">OFFSET(PENN!DP748,0,-37,1,1)</f>
        <v>70.732282520074548</v>
      </c>
      <c r="BS78" s="20"/>
      <c r="BT78" s="20"/>
      <c r="BU78" s="270">
        <f ca="1">OFFSET(PENN!DS748,0,-39,1,1)</f>
        <v>72.146928170476045</v>
      </c>
      <c r="BV78" s="20"/>
      <c r="BW78" s="20"/>
      <c r="BX78" s="270">
        <f ca="1">OFFSET(PENN!DV748,0,-41,1,1)</f>
        <v>0</v>
      </c>
    </row>
    <row r="79" spans="1:76" x14ac:dyDescent="0.25">
      <c r="A79" s="265" t="s">
        <v>753</v>
      </c>
      <c r="B79" s="259"/>
      <c r="C79" s="260"/>
      <c r="D79" s="260"/>
      <c r="E79" s="270"/>
      <c r="F79" s="270"/>
      <c r="G79" s="270"/>
      <c r="H79" s="20"/>
      <c r="I79" s="20"/>
      <c r="J79" s="270"/>
      <c r="K79" s="20"/>
      <c r="L79" s="20"/>
      <c r="M79" s="270"/>
      <c r="N79" s="20"/>
      <c r="O79" s="20"/>
      <c r="P79" s="270">
        <f ca="1">SUM(E78:P78)</f>
        <v>106.236</v>
      </c>
      <c r="Q79" s="20"/>
      <c r="R79" s="20"/>
      <c r="S79" s="270">
        <f ca="1">SUM(H78:S78)</f>
        <v>104.26900000000001</v>
      </c>
      <c r="T79" s="20"/>
      <c r="U79" s="20"/>
      <c r="V79" s="270">
        <f ca="1">SUM(K78:V78)</f>
        <v>102.78800000000001</v>
      </c>
      <c r="W79" s="20"/>
      <c r="X79" s="20"/>
      <c r="Y79" s="270">
        <f ca="1">SUM(N78:Y78)</f>
        <v>93.647000000000006</v>
      </c>
      <c r="Z79" s="20"/>
      <c r="AA79" s="20"/>
      <c r="AB79" s="270">
        <f ca="1">SUM(Q78:AB78)</f>
        <v>69.575999999999993</v>
      </c>
      <c r="AC79" s="20"/>
      <c r="AD79" s="20"/>
      <c r="AE79" s="270">
        <f ca="1">SUM(T78:AE78)</f>
        <v>42.942</v>
      </c>
      <c r="AF79" s="20"/>
      <c r="AG79" s="20"/>
      <c r="AH79" s="270">
        <f ca="1">SUM(W78:AH78)</f>
        <v>16.366</v>
      </c>
      <c r="AI79" s="20"/>
      <c r="AJ79" s="20"/>
      <c r="AK79" s="270">
        <f ca="1">SUM(Z78:AK78)</f>
        <v>10.766999999999999</v>
      </c>
      <c r="AL79" s="20"/>
      <c r="AM79" s="20"/>
      <c r="AN79" s="270">
        <f ca="1">SUM(AC78:AN78)</f>
        <v>32.183999999999997</v>
      </c>
      <c r="AO79" s="20"/>
      <c r="AP79" s="20"/>
      <c r="AQ79" s="270">
        <f ca="1">SUM(AF78:AQ78)</f>
        <v>55.667999999999999</v>
      </c>
      <c r="AR79" s="20"/>
      <c r="AS79" s="20"/>
      <c r="AT79" s="270">
        <f ca="1">SUM(AI78:AT78)</f>
        <v>81.134</v>
      </c>
      <c r="AU79" s="20"/>
      <c r="AV79" s="20"/>
      <c r="AW79" s="270">
        <f ca="1">SUM(AL78:AW78)</f>
        <v>165.42700000000002</v>
      </c>
      <c r="AX79" s="20"/>
      <c r="AY79" s="20"/>
      <c r="AZ79" s="270">
        <f ca="1">SUM(AO78:AZ78)</f>
        <v>162.69583267599998</v>
      </c>
      <c r="BA79" s="20"/>
      <c r="BB79" s="20"/>
      <c r="BC79" s="270">
        <f ca="1">SUM(AR78:BC78)</f>
        <v>160.41119267600001</v>
      </c>
      <c r="BD79" s="20"/>
      <c r="BE79" s="20"/>
      <c r="BF79" s="270">
        <f ca="1">SUM(AU78:BF78)</f>
        <v>151.93052642899201</v>
      </c>
      <c r="BG79" s="20"/>
      <c r="BH79" s="20"/>
      <c r="BI79" s="270">
        <f ca="1">SUM(AX78:BI78)</f>
        <v>128.43438093846663</v>
      </c>
      <c r="BJ79" s="20"/>
      <c r="BK79" s="20"/>
      <c r="BL79" s="270">
        <f ca="1">SUM(BA78:BL78)</f>
        <v>181.31240277194129</v>
      </c>
      <c r="BM79" s="20"/>
      <c r="BN79" s="20"/>
      <c r="BO79" s="270">
        <f ca="1">SUM(BD78:BO78)</f>
        <v>229.45841779162225</v>
      </c>
      <c r="BP79" s="20"/>
      <c r="BQ79" s="20"/>
      <c r="BR79" s="270">
        <f ca="1">SUM(BG78:BR78)</f>
        <v>283.20536655870478</v>
      </c>
      <c r="BS79" s="20"/>
      <c r="BT79" s="20"/>
      <c r="BU79" s="270">
        <f ca="1">SUM(BJ78:BU78)</f>
        <v>283.78844021970616</v>
      </c>
      <c r="BV79" s="20"/>
      <c r="BW79" s="20"/>
      <c r="BX79" s="270">
        <f ca="1">SUM(BM78:BX78)</f>
        <v>212.22458571023151</v>
      </c>
    </row>
    <row r="80" spans="1:76" x14ac:dyDescent="0.25">
      <c r="A80" s="255" t="s">
        <v>103</v>
      </c>
      <c r="B80" s="253"/>
      <c r="C80" s="251"/>
      <c r="D80" s="251"/>
      <c r="E80" s="20">
        <v>5</v>
      </c>
      <c r="F80" s="20">
        <v>4.5</v>
      </c>
      <c r="G80" s="20">
        <v>4.4000000000000004</v>
      </c>
      <c r="H80" s="20">
        <v>4.4000000000000004</v>
      </c>
      <c r="I80" s="20">
        <v>5.2</v>
      </c>
      <c r="J80" s="20">
        <v>5.9</v>
      </c>
      <c r="K80" s="20">
        <v>5.6</v>
      </c>
      <c r="L80" s="20">
        <v>5.2</v>
      </c>
      <c r="M80" s="20">
        <v>5.4</v>
      </c>
      <c r="N80" s="20">
        <v>6</v>
      </c>
      <c r="O80" s="20">
        <v>5.6</v>
      </c>
      <c r="P80" s="20">
        <v>5.5</v>
      </c>
      <c r="Q80" s="20">
        <v>6.2</v>
      </c>
      <c r="R80" s="20">
        <v>5.9</v>
      </c>
      <c r="S80" s="20">
        <v>5.9</v>
      </c>
      <c r="T80" s="20">
        <v>5.7</v>
      </c>
      <c r="U80" s="20">
        <v>6.3</v>
      </c>
      <c r="V80" s="20">
        <v>6.8</v>
      </c>
      <c r="W80" s="20">
        <v>6.2</v>
      </c>
      <c r="X80" s="20">
        <v>5.7</v>
      </c>
      <c r="Y80" s="20">
        <v>23.2</v>
      </c>
      <c r="Z80" s="20">
        <v>21.7</v>
      </c>
      <c r="AA80" s="20">
        <v>19.399999999999999</v>
      </c>
      <c r="AB80" s="20">
        <v>17.100000000000001</v>
      </c>
      <c r="AC80" s="20">
        <v>16.5</v>
      </c>
      <c r="AD80" s="20">
        <v>14.2</v>
      </c>
      <c r="AE80" s="20">
        <v>12.1</v>
      </c>
      <c r="AF80" s="20">
        <v>12</v>
      </c>
      <c r="AG80" s="20">
        <v>11.3</v>
      </c>
      <c r="AH80" s="20">
        <v>10.199999999999999</v>
      </c>
      <c r="AI80" s="20">
        <v>10</v>
      </c>
      <c r="AJ80" s="20">
        <v>8.3000000000000007</v>
      </c>
      <c r="AK80" s="20">
        <v>7.4</v>
      </c>
      <c r="AL80" s="20">
        <v>6.9</v>
      </c>
      <c r="AM80" s="20">
        <v>6.6</v>
      </c>
      <c r="AN80" s="20">
        <v>6.3</v>
      </c>
      <c r="AO80" s="20">
        <v>6.5</v>
      </c>
      <c r="AP80" s="20">
        <v>6.1</v>
      </c>
      <c r="AQ80" s="20">
        <v>5.8</v>
      </c>
      <c r="AR80" s="20">
        <v>5.4</v>
      </c>
      <c r="AS80" s="20">
        <v>5.2</v>
      </c>
      <c r="AT80" s="20">
        <v>5.8</v>
      </c>
      <c r="AU80" s="20">
        <v>5.7</v>
      </c>
      <c r="AV80" s="20">
        <v>4.9000000000000004</v>
      </c>
      <c r="AW80" s="20">
        <v>5</v>
      </c>
      <c r="AX80" s="20">
        <v>5</v>
      </c>
      <c r="AY80" s="20">
        <v>4.7</v>
      </c>
      <c r="AZ80" s="20">
        <v>5.2</v>
      </c>
      <c r="BA80" s="20">
        <v>5.4</v>
      </c>
      <c r="BB80" s="20">
        <v>5</v>
      </c>
      <c r="BC80" s="20">
        <v>5.0999999999999996</v>
      </c>
      <c r="BD80" s="20">
        <v>4.8</v>
      </c>
      <c r="BE80" s="20">
        <v>5.4</v>
      </c>
      <c r="BF80" s="20">
        <v>6.3</v>
      </c>
      <c r="BG80" s="20">
        <v>6.5</v>
      </c>
      <c r="BH80" s="20">
        <v>6.1</v>
      </c>
      <c r="BI80" s="20">
        <v>5.9</v>
      </c>
      <c r="BJ80" s="20">
        <v>5.8</v>
      </c>
      <c r="BK80" s="20">
        <v>5.7</v>
      </c>
      <c r="BL80" s="20">
        <v>6.6</v>
      </c>
      <c r="BM80" s="20">
        <v>7.7</v>
      </c>
      <c r="BN80" s="20">
        <v>7.7</v>
      </c>
      <c r="BO80" s="20">
        <v>7.9</v>
      </c>
      <c r="BP80" s="20">
        <v>7.1</v>
      </c>
      <c r="BQ80" s="20">
        <v>7.7</v>
      </c>
      <c r="BR80" s="20">
        <v>7.9</v>
      </c>
      <c r="BS80" s="20">
        <v>8.5</v>
      </c>
      <c r="BT80" s="20">
        <v>7.8</v>
      </c>
      <c r="BU80" s="20">
        <v>7.3</v>
      </c>
      <c r="BV80" s="20">
        <v>8</v>
      </c>
      <c r="BW80" s="20">
        <v>7.8</v>
      </c>
      <c r="BX80" s="20">
        <v>8.8000000000000007</v>
      </c>
    </row>
    <row r="81" spans="1:76" x14ac:dyDescent="0.25">
      <c r="A81" s="265" t="s">
        <v>135</v>
      </c>
      <c r="B81" s="253"/>
      <c r="C81" s="251"/>
      <c r="D81" s="251"/>
      <c r="E81" s="20"/>
      <c r="F81" s="20"/>
      <c r="G81" s="20"/>
      <c r="H81" s="20"/>
      <c r="I81" s="20"/>
      <c r="J81" s="20"/>
      <c r="K81" s="20"/>
      <c r="L81" s="20"/>
      <c r="M81" s="20"/>
      <c r="N81" s="20"/>
      <c r="O81" s="20"/>
      <c r="P81" s="20">
        <f>AVERAGE(E80:P80)</f>
        <v>5.2250000000000005</v>
      </c>
      <c r="Q81" s="20"/>
      <c r="R81" s="20"/>
      <c r="S81" s="20"/>
      <c r="T81" s="20"/>
      <c r="U81" s="20"/>
      <c r="V81" s="20"/>
      <c r="W81" s="20"/>
      <c r="X81" s="20"/>
      <c r="Y81" s="20"/>
      <c r="Z81" s="20"/>
      <c r="AA81" s="20"/>
      <c r="AB81" s="20">
        <f>AVERAGE(Q80:AB80)</f>
        <v>10.841666666666667</v>
      </c>
      <c r="AC81" s="20"/>
      <c r="AD81" s="20"/>
      <c r="AE81" s="20"/>
      <c r="AF81" s="20"/>
      <c r="AG81" s="20"/>
      <c r="AH81" s="20"/>
      <c r="AI81" s="20"/>
      <c r="AJ81" s="20"/>
      <c r="AK81" s="20"/>
      <c r="AL81" s="20"/>
      <c r="AM81" s="20"/>
      <c r="AN81" s="20">
        <f>AVERAGE(AC80:AN80)</f>
        <v>10.15</v>
      </c>
      <c r="AO81" s="20"/>
      <c r="AP81" s="20"/>
      <c r="AQ81" s="20"/>
      <c r="AR81" s="20"/>
      <c r="AS81" s="20"/>
      <c r="AT81" s="20"/>
      <c r="AU81" s="20"/>
      <c r="AV81" s="20"/>
      <c r="AW81" s="20"/>
      <c r="AX81" s="20"/>
      <c r="AY81" s="20"/>
      <c r="AZ81" s="20">
        <f>AVERAGE(AO80:AZ80)</f>
        <v>5.4416666666666664</v>
      </c>
      <c r="BA81" s="20"/>
      <c r="BB81" s="20"/>
      <c r="BC81" s="20"/>
      <c r="BD81" s="20"/>
      <c r="BE81" s="20"/>
      <c r="BF81" s="20"/>
      <c r="BG81" s="20"/>
      <c r="BH81" s="20"/>
      <c r="BI81" s="20"/>
      <c r="BJ81" s="20"/>
      <c r="BK81" s="20"/>
      <c r="BL81" s="20">
        <f>AVERAGE(BA80:BL80)</f>
        <v>5.7166666666666659</v>
      </c>
      <c r="BM81" s="20"/>
      <c r="BN81" s="20"/>
      <c r="BO81" s="20"/>
      <c r="BP81" s="20"/>
      <c r="BQ81" s="20"/>
      <c r="BR81" s="20"/>
      <c r="BS81" s="20"/>
      <c r="BT81" s="20"/>
      <c r="BU81" s="20"/>
      <c r="BV81" s="20"/>
      <c r="BW81" s="20"/>
      <c r="BX81" s="20">
        <f>AVERAGE(BM80:BX80)</f>
        <v>7.8499999999999988</v>
      </c>
    </row>
    <row r="82" spans="1:76" x14ac:dyDescent="0.25">
      <c r="A82" s="255" t="s">
        <v>104</v>
      </c>
      <c r="B82" s="253"/>
      <c r="C82" s="251"/>
      <c r="D82" s="251"/>
      <c r="E82" s="30">
        <v>111749</v>
      </c>
      <c r="F82" s="30">
        <v>112642</v>
      </c>
      <c r="G82" s="30">
        <v>113529</v>
      </c>
      <c r="H82" s="30">
        <v>114015</v>
      </c>
      <c r="I82" s="30">
        <v>114197</v>
      </c>
      <c r="J82" s="30">
        <v>115150</v>
      </c>
      <c r="K82" s="30">
        <v>116313</v>
      </c>
      <c r="L82" s="30">
        <v>114928</v>
      </c>
      <c r="M82" s="30">
        <v>113344</v>
      </c>
      <c r="N82" s="30">
        <v>112910</v>
      </c>
      <c r="O82" s="30">
        <v>113735</v>
      </c>
      <c r="P82" s="30">
        <v>114213</v>
      </c>
      <c r="Q82" s="30">
        <v>112604</v>
      </c>
      <c r="R82" s="30">
        <v>113166</v>
      </c>
      <c r="S82" s="30">
        <v>114141</v>
      </c>
      <c r="T82" s="30">
        <v>114146</v>
      </c>
      <c r="U82" s="30">
        <v>114440</v>
      </c>
      <c r="V82" s="30">
        <v>116007</v>
      </c>
      <c r="W82" s="30">
        <v>116233</v>
      </c>
      <c r="X82" s="30">
        <v>114979</v>
      </c>
      <c r="Y82" s="30">
        <v>97606</v>
      </c>
      <c r="Z82" s="30">
        <v>95067</v>
      </c>
      <c r="AA82" s="30">
        <v>97335</v>
      </c>
      <c r="AB82" s="30">
        <v>91307</v>
      </c>
      <c r="AC82" s="30">
        <v>89838</v>
      </c>
      <c r="AD82" s="30">
        <v>91524</v>
      </c>
      <c r="AE82" s="30">
        <v>92077</v>
      </c>
      <c r="AF82" s="30">
        <v>93198</v>
      </c>
      <c r="AG82" s="30">
        <v>94604</v>
      </c>
      <c r="AH82" s="30">
        <v>97041</v>
      </c>
      <c r="AI82" s="30">
        <v>98412</v>
      </c>
      <c r="AJ82" s="30">
        <v>101450</v>
      </c>
      <c r="AK82" s="30">
        <v>102796</v>
      </c>
      <c r="AL82" s="30">
        <v>103373</v>
      </c>
      <c r="AM82" s="30">
        <v>104562</v>
      </c>
      <c r="AN82" s="30">
        <v>105701</v>
      </c>
      <c r="AO82" s="30">
        <v>103663</v>
      </c>
      <c r="AP82" s="30">
        <v>104357</v>
      </c>
      <c r="AQ82" s="30">
        <v>104879</v>
      </c>
      <c r="AR82" s="30">
        <v>104842</v>
      </c>
      <c r="AS82" s="30">
        <v>106280</v>
      </c>
      <c r="AT82" s="30">
        <v>107956</v>
      </c>
      <c r="AU82" s="30">
        <v>108772</v>
      </c>
      <c r="AV82" s="30">
        <v>107000</v>
      </c>
      <c r="AW82" s="30">
        <v>107023</v>
      </c>
      <c r="AX82" s="30">
        <v>107269</v>
      </c>
      <c r="AY82" s="30">
        <v>108263</v>
      </c>
      <c r="AZ82" s="30">
        <v>107631</v>
      </c>
      <c r="BA82" s="30">
        <v>105832</v>
      </c>
      <c r="BB82" s="30">
        <v>106178</v>
      </c>
      <c r="BC82" s="30">
        <v>106863</v>
      </c>
      <c r="BD82" s="30">
        <v>108005</v>
      </c>
      <c r="BE82" s="30">
        <v>108264</v>
      </c>
      <c r="BF82" s="30">
        <v>109556</v>
      </c>
      <c r="BG82" s="30">
        <v>109252</v>
      </c>
      <c r="BH82" s="30">
        <v>107014</v>
      </c>
      <c r="BI82" s="30">
        <v>106752</v>
      </c>
      <c r="BJ82" s="30">
        <v>106178</v>
      </c>
      <c r="BK82" s="30">
        <v>104833</v>
      </c>
      <c r="BL82" s="30">
        <v>103952</v>
      </c>
      <c r="BM82" s="30">
        <v>102366</v>
      </c>
      <c r="BN82" s="30">
        <v>102683</v>
      </c>
      <c r="BO82" s="30">
        <v>102426</v>
      </c>
      <c r="BP82" s="30">
        <v>102760</v>
      </c>
      <c r="BQ82" s="30">
        <v>102123</v>
      </c>
      <c r="BR82" s="30">
        <v>102609</v>
      </c>
      <c r="BS82" s="30">
        <v>102598</v>
      </c>
      <c r="BT82" s="30">
        <v>99482</v>
      </c>
      <c r="BU82" s="30">
        <v>99478</v>
      </c>
      <c r="BV82" s="30">
        <v>100014</v>
      </c>
      <c r="BW82" s="30">
        <v>99058</v>
      </c>
      <c r="BX82" s="30">
        <v>98578</v>
      </c>
    </row>
    <row r="83" spans="1:76" x14ac:dyDescent="0.25">
      <c r="A83" s="256"/>
      <c r="B83" s="253"/>
      <c r="C83" s="251"/>
      <c r="D83" s="251"/>
      <c r="E83" s="30"/>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c r="AN83" s="30"/>
      <c r="AO83" s="30"/>
      <c r="AP83" s="30"/>
      <c r="AQ83" s="30"/>
      <c r="AR83" s="30"/>
      <c r="AS83" s="30"/>
      <c r="AT83" s="30"/>
      <c r="AU83" s="30"/>
      <c r="AV83" s="30"/>
      <c r="AW83" s="30"/>
      <c r="AX83" s="30"/>
      <c r="AY83" s="30"/>
      <c r="AZ83" s="30"/>
      <c r="BA83" s="30"/>
      <c r="BB83" s="30"/>
      <c r="BC83" s="30"/>
      <c r="BD83" s="30"/>
      <c r="BE83" s="30"/>
      <c r="BF83" s="30"/>
      <c r="BG83" s="30"/>
      <c r="BH83" s="30"/>
      <c r="BI83" s="30"/>
      <c r="BJ83" s="30"/>
      <c r="BK83" s="30"/>
      <c r="BL83" s="30"/>
      <c r="BM83" s="30"/>
      <c r="BN83" s="30"/>
      <c r="BO83" s="30"/>
      <c r="BP83" s="30"/>
      <c r="BQ83" s="30"/>
      <c r="BR83" s="30"/>
      <c r="BS83" s="30"/>
      <c r="BT83" s="30"/>
      <c r="BU83" s="30"/>
      <c r="BV83" s="30"/>
      <c r="BW83" s="30"/>
      <c r="BX83" s="30"/>
    </row>
    <row r="84" spans="1:76" x14ac:dyDescent="0.25">
      <c r="A84" s="256" t="s">
        <v>1019</v>
      </c>
      <c r="B84" s="253" t="s">
        <v>100</v>
      </c>
      <c r="C84" s="251">
        <f>PENN!AF298/PENN!$AF$314</f>
        <v>2.9918679171250739E-2</v>
      </c>
      <c r="D84" s="251"/>
      <c r="E84" s="30"/>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c r="AN84" s="30"/>
      <c r="AO84" s="30"/>
      <c r="AP84" s="30"/>
      <c r="AQ84" s="30"/>
      <c r="AR84" s="30"/>
      <c r="AS84" s="30"/>
      <c r="AT84" s="30"/>
      <c r="AU84" s="30"/>
      <c r="AV84" s="30"/>
      <c r="AW84" s="30"/>
      <c r="AX84" s="30"/>
      <c r="AY84" s="30"/>
      <c r="AZ84" s="30"/>
      <c r="BA84" s="30"/>
      <c r="BB84" s="30"/>
      <c r="BC84" s="30"/>
      <c r="BD84" s="30"/>
      <c r="BE84" s="30"/>
      <c r="BF84" s="30"/>
      <c r="BG84" s="30"/>
      <c r="BH84" s="30"/>
      <c r="BI84" s="30"/>
      <c r="BJ84" s="30"/>
      <c r="BK84" s="30"/>
      <c r="BL84" s="30"/>
      <c r="BM84" s="30"/>
      <c r="BN84" s="30"/>
      <c r="BO84" s="30"/>
      <c r="BP84" s="30"/>
      <c r="BQ84" s="30"/>
      <c r="BR84" s="30"/>
      <c r="BS84" s="30"/>
      <c r="BT84" s="30"/>
      <c r="BU84" s="30"/>
      <c r="BV84" s="30"/>
      <c r="BW84" s="30"/>
      <c r="BX84" s="30"/>
    </row>
    <row r="85" spans="1:76" x14ac:dyDescent="0.25">
      <c r="A85" s="265" t="s">
        <v>2254</v>
      </c>
      <c r="B85" s="259"/>
      <c r="C85" s="260"/>
      <c r="D85" s="260"/>
      <c r="E85" s="20"/>
      <c r="F85" s="20"/>
      <c r="G85" s="270">
        <f>PENN!C951</f>
        <v>11.346</v>
      </c>
      <c r="H85" s="20"/>
      <c r="I85" s="20"/>
      <c r="J85" s="270">
        <f ca="1">OFFSET(PENN!F951,0,-2,1,1)</f>
        <v>11.035</v>
      </c>
      <c r="K85" s="20"/>
      <c r="L85" s="20"/>
      <c r="M85" s="270">
        <f ca="1">OFFSET(PENN!I951,0,-4,1,1)</f>
        <v>12.497</v>
      </c>
      <c r="N85" s="20"/>
      <c r="O85" s="20"/>
      <c r="P85" s="270">
        <f ca="1">OFFSET(PENN!L951,0,-6,1,1)</f>
        <v>13.48</v>
      </c>
      <c r="Q85" s="20"/>
      <c r="R85" s="20"/>
      <c r="S85" s="270">
        <f ca="1">OFFSET(PENN!O951,0,-7,1,1)</f>
        <v>13.238</v>
      </c>
      <c r="T85" s="20"/>
      <c r="U85" s="20"/>
      <c r="V85" s="270">
        <f ca="1">OFFSET(PENN!R951,0,-9,1,1)</f>
        <v>13.7</v>
      </c>
      <c r="W85" s="20"/>
      <c r="X85" s="20"/>
      <c r="Y85" s="270">
        <f ca="1">OFFSET(PENN!U951,0,-11,1,1)</f>
        <v>13.242000000000001</v>
      </c>
      <c r="Z85" s="20"/>
      <c r="AA85" s="20"/>
      <c r="AB85" s="270">
        <f ca="1">OFFSET(PENN!X951,0,-13,1,1)</f>
        <v>13.837999999999999</v>
      </c>
      <c r="AC85" s="20"/>
      <c r="AD85" s="20"/>
      <c r="AE85" s="270">
        <f ca="1">OFFSET(PENN!AA951,0,-14,1,1)</f>
        <v>14.051</v>
      </c>
      <c r="AF85" s="20"/>
      <c r="AG85" s="20"/>
      <c r="AH85" s="270">
        <f ca="1">OFFSET(PENN!AD951,0,-16,1,1)</f>
        <v>13.196</v>
      </c>
      <c r="AI85" s="20"/>
      <c r="AJ85" s="20"/>
      <c r="AK85" s="270">
        <f ca="1">OFFSET(PENN!AG951,0,-18,1,1)</f>
        <v>13.319000000000001</v>
      </c>
      <c r="AL85" s="20"/>
      <c r="AM85" s="20"/>
      <c r="AN85" s="270">
        <f ca="1">OFFSET(PENN!AJ951,0,-20,1,1)</f>
        <v>13.343</v>
      </c>
      <c r="AO85" s="20"/>
      <c r="AP85" s="20"/>
      <c r="AQ85" s="270">
        <f ca="1">OFFSET(PENN!AM951,0,-21,1,1)</f>
        <v>14.117000000000001</v>
      </c>
      <c r="AR85" s="20"/>
      <c r="AS85" s="20"/>
      <c r="AT85" s="270">
        <f ca="1">OFFSET(PENN!AP951,0,-23,1,1)</f>
        <v>13.835000000000001</v>
      </c>
      <c r="AU85" s="20"/>
      <c r="AV85" s="20"/>
      <c r="AW85" s="270">
        <f ca="1">OFFSET(PENN!BE951,0,-25,1,1)</f>
        <v>53.926999999999992</v>
      </c>
      <c r="AX85" s="20"/>
      <c r="AY85" s="20"/>
      <c r="AZ85" s="270">
        <f ca="1">OFFSET(PENN!CG951,0,-27,1,1)</f>
        <v>0</v>
      </c>
      <c r="BA85" s="20"/>
      <c r="BB85" s="20"/>
      <c r="BC85" s="270">
        <f ca="1">OFFSET(PENN!BT951,0,-28,1,1)</f>
        <v>14.183543</v>
      </c>
      <c r="BD85" s="20"/>
      <c r="BE85" s="20"/>
      <c r="BF85" s="270">
        <f ca="1">OFFSET(PENN!CM951,0,-30,1,1)</f>
        <v>0</v>
      </c>
      <c r="BG85" s="20"/>
      <c r="BH85" s="20"/>
      <c r="BI85" s="270">
        <f ca="1">OFFSET(PENN!DH951,0,-32,1,1)</f>
        <v>0</v>
      </c>
      <c r="BJ85" s="20"/>
      <c r="BK85" s="20"/>
      <c r="BL85" s="270">
        <f ca="1">OFFSET(PENN!DJ951,0,-34,1,1)</f>
        <v>0</v>
      </c>
      <c r="BM85" s="20"/>
      <c r="BN85" s="20"/>
      <c r="BO85" s="270">
        <f ca="1">OFFSET(PENN!DM951,0,-35,1,1)</f>
        <v>0</v>
      </c>
      <c r="BP85" s="20"/>
      <c r="BQ85" s="20"/>
      <c r="BR85" s="270">
        <f ca="1">OFFSET(PENN!DP951,0,-37,1,1)</f>
        <v>0</v>
      </c>
      <c r="BS85" s="20"/>
      <c r="BT85" s="20"/>
      <c r="BU85" s="270">
        <f ca="1">OFFSET(PENN!DS951,0,-39,1,1)</f>
        <v>0</v>
      </c>
      <c r="BV85" s="20"/>
      <c r="BW85" s="20"/>
      <c r="BX85" s="270">
        <f ca="1">OFFSET(PENN!DV951,0,-41,1,1)</f>
        <v>0</v>
      </c>
    </row>
    <row r="86" spans="1:76" x14ac:dyDescent="0.25">
      <c r="A86" s="265" t="s">
        <v>753</v>
      </c>
      <c r="B86" s="259"/>
      <c r="C86" s="260"/>
      <c r="D86" s="260"/>
      <c r="E86" s="270"/>
      <c r="F86" s="270"/>
      <c r="G86" s="270"/>
      <c r="H86" s="20"/>
      <c r="I86" s="20"/>
      <c r="J86" s="270"/>
      <c r="K86" s="20"/>
      <c r="L86" s="20"/>
      <c r="M86" s="270"/>
      <c r="N86" s="20"/>
      <c r="O86" s="20"/>
      <c r="P86" s="270">
        <f ca="1">SUM(E85:P85)</f>
        <v>48.358000000000004</v>
      </c>
      <c r="Q86" s="20"/>
      <c r="R86" s="20"/>
      <c r="S86" s="270">
        <f ca="1">SUM(H85:S85)</f>
        <v>50.25</v>
      </c>
      <c r="T86" s="20"/>
      <c r="U86" s="20"/>
      <c r="V86" s="270">
        <f ca="1">SUM(K85:V85)</f>
        <v>52.915000000000006</v>
      </c>
      <c r="W86" s="20"/>
      <c r="X86" s="20"/>
      <c r="Y86" s="270">
        <f ca="1">SUM(N85:Y85)</f>
        <v>53.66</v>
      </c>
      <c r="Z86" s="20"/>
      <c r="AA86" s="20"/>
      <c r="AB86" s="270">
        <f ca="1">SUM(Q85:AB85)</f>
        <v>54.018000000000001</v>
      </c>
      <c r="AC86" s="20"/>
      <c r="AD86" s="20"/>
      <c r="AE86" s="270">
        <f ca="1">SUM(T85:AE85)</f>
        <v>54.831000000000003</v>
      </c>
      <c r="AF86" s="20"/>
      <c r="AG86" s="20"/>
      <c r="AH86" s="270">
        <f ca="1">SUM(W85:AH85)</f>
        <v>54.326999999999998</v>
      </c>
      <c r="AI86" s="20"/>
      <c r="AJ86" s="20"/>
      <c r="AK86" s="270">
        <f ca="1">SUM(Z85:AK85)</f>
        <v>54.404000000000003</v>
      </c>
      <c r="AL86" s="20"/>
      <c r="AM86" s="20"/>
      <c r="AN86" s="270">
        <f ca="1">SUM(AC85:AN85)</f>
        <v>53.909000000000006</v>
      </c>
      <c r="AO86" s="20"/>
      <c r="AP86" s="20"/>
      <c r="AQ86" s="270">
        <f ca="1">SUM(AF85:AQ85)</f>
        <v>53.975000000000009</v>
      </c>
      <c r="AR86" s="20"/>
      <c r="AS86" s="20"/>
      <c r="AT86" s="270">
        <f ca="1">SUM(AI85:AT85)</f>
        <v>54.613999999999997</v>
      </c>
      <c r="AU86" s="20"/>
      <c r="AV86" s="20"/>
      <c r="AW86" s="270">
        <f ca="1">SUM(AL85:AW85)</f>
        <v>95.221999999999994</v>
      </c>
      <c r="AX86" s="20"/>
      <c r="AY86" s="20"/>
      <c r="AZ86" s="270">
        <f ca="1">SUM(AO85:AZ85)</f>
        <v>81.878999999999991</v>
      </c>
      <c r="BA86" s="20"/>
      <c r="BB86" s="20"/>
      <c r="BC86" s="270">
        <f ca="1">SUM(AR85:BC85)</f>
        <v>81.945543000000001</v>
      </c>
      <c r="BD86" s="20"/>
      <c r="BE86" s="20"/>
      <c r="BF86" s="270">
        <f ca="1">SUM(AU85:BF85)</f>
        <v>68.110542999999993</v>
      </c>
      <c r="BG86" s="20"/>
      <c r="BH86" s="20"/>
      <c r="BI86" s="270">
        <f ca="1">SUM(AX85:BI85)</f>
        <v>14.183543</v>
      </c>
      <c r="BJ86" s="20"/>
      <c r="BK86" s="20"/>
      <c r="BL86" s="270">
        <f ca="1">SUM(BA85:BL85)</f>
        <v>14.183543</v>
      </c>
      <c r="BM86" s="20"/>
      <c r="BN86" s="20"/>
      <c r="BO86" s="270">
        <f ca="1">SUM(BD85:BO85)</f>
        <v>0</v>
      </c>
      <c r="BP86" s="20"/>
      <c r="BQ86" s="20"/>
      <c r="BR86" s="270">
        <f ca="1">SUM(BG85:BR85)</f>
        <v>0</v>
      </c>
      <c r="BS86" s="20"/>
      <c r="BT86" s="20"/>
      <c r="BU86" s="270">
        <f ca="1">SUM(BJ85:BU85)</f>
        <v>0</v>
      </c>
      <c r="BV86" s="20"/>
      <c r="BW86" s="20"/>
      <c r="BX86" s="270">
        <f ca="1">SUM(BM85:BX85)</f>
        <v>0</v>
      </c>
    </row>
    <row r="87" spans="1:76" x14ac:dyDescent="0.25">
      <c r="A87" s="265" t="s">
        <v>103</v>
      </c>
      <c r="B87" s="259"/>
      <c r="C87" s="260"/>
      <c r="D87" s="260"/>
      <c r="E87" s="20">
        <v>5.5</v>
      </c>
      <c r="F87" s="20">
        <v>5</v>
      </c>
      <c r="G87" s="20">
        <v>5.2</v>
      </c>
      <c r="H87" s="20">
        <v>4.9000000000000004</v>
      </c>
      <c r="I87" s="20">
        <v>4.5999999999999996</v>
      </c>
      <c r="J87" s="20">
        <v>5</v>
      </c>
      <c r="K87" s="20">
        <v>4.7</v>
      </c>
      <c r="L87" s="20">
        <v>4.7</v>
      </c>
      <c r="M87" s="20">
        <v>4.8</v>
      </c>
      <c r="N87" s="20">
        <v>4.7</v>
      </c>
      <c r="O87" s="20">
        <v>4.8</v>
      </c>
      <c r="P87" s="20">
        <v>5.4</v>
      </c>
      <c r="Q87" s="20">
        <v>5.9</v>
      </c>
      <c r="R87" s="20">
        <v>5.8</v>
      </c>
      <c r="S87" s="20">
        <v>5.6</v>
      </c>
      <c r="T87" s="20">
        <v>5.0999999999999996</v>
      </c>
      <c r="U87" s="20">
        <v>4.7</v>
      </c>
      <c r="V87" s="20">
        <v>4.8</v>
      </c>
      <c r="W87" s="20">
        <v>4.2</v>
      </c>
      <c r="X87" s="20">
        <v>4.0999999999999996</v>
      </c>
      <c r="Y87" s="20">
        <v>4.2</v>
      </c>
      <c r="Z87" s="20">
        <v>3.8</v>
      </c>
      <c r="AA87" s="20">
        <v>4.3</v>
      </c>
      <c r="AB87" s="20">
        <v>4.4000000000000004</v>
      </c>
      <c r="AC87" s="20">
        <v>4.8</v>
      </c>
      <c r="AD87" s="20">
        <v>4.7</v>
      </c>
      <c r="AE87" s="20">
        <v>4.4000000000000004</v>
      </c>
      <c r="AF87" s="20">
        <v>4</v>
      </c>
      <c r="AG87" s="20">
        <v>3.5</v>
      </c>
      <c r="AH87" s="20">
        <v>3.8</v>
      </c>
      <c r="AI87" s="20">
        <v>3.9</v>
      </c>
      <c r="AJ87" s="20">
        <v>3.9</v>
      </c>
      <c r="AK87" s="20">
        <v>3.6</v>
      </c>
      <c r="AL87" s="20">
        <v>3.5</v>
      </c>
      <c r="AM87" s="20">
        <v>3.6</v>
      </c>
      <c r="AN87" s="20">
        <v>3.9</v>
      </c>
      <c r="AO87" s="20">
        <v>4.5999999999999996</v>
      </c>
      <c r="AP87" s="20">
        <v>4.2</v>
      </c>
      <c r="AQ87" s="20">
        <v>4.2</v>
      </c>
      <c r="AR87" s="20">
        <v>3.9</v>
      </c>
      <c r="AS87" s="20">
        <v>3.6</v>
      </c>
      <c r="AT87" s="20">
        <v>3.9</v>
      </c>
      <c r="AU87" s="20">
        <v>3.7</v>
      </c>
      <c r="AV87" s="20">
        <v>3.6</v>
      </c>
      <c r="AW87" s="20">
        <v>3.5</v>
      </c>
      <c r="AX87" s="20">
        <v>3.3</v>
      </c>
      <c r="AY87" s="20">
        <v>3.4</v>
      </c>
      <c r="AZ87" s="20">
        <v>4</v>
      </c>
      <c r="BA87" s="20">
        <v>4.2</v>
      </c>
      <c r="BB87" s="20">
        <v>3.8</v>
      </c>
      <c r="BC87" s="20">
        <v>3.8</v>
      </c>
      <c r="BD87" s="20">
        <v>3.3</v>
      </c>
      <c r="BE87" s="20">
        <v>3.4</v>
      </c>
      <c r="BF87" s="20">
        <v>3.8</v>
      </c>
      <c r="BG87" s="20">
        <v>3.6</v>
      </c>
      <c r="BH87" s="20">
        <v>3.9</v>
      </c>
      <c r="BI87" s="20">
        <v>3.5</v>
      </c>
      <c r="BJ87" s="20">
        <v>3.5</v>
      </c>
      <c r="BK87" s="20">
        <v>3.9</v>
      </c>
      <c r="BL87" s="20">
        <v>4.3</v>
      </c>
      <c r="BM87" s="20">
        <v>4.9000000000000004</v>
      </c>
      <c r="BN87" s="20">
        <v>4.9000000000000004</v>
      </c>
      <c r="BO87" s="20">
        <v>5</v>
      </c>
      <c r="BP87" s="20">
        <v>4.7</v>
      </c>
      <c r="BQ87" s="20">
        <v>5</v>
      </c>
      <c r="BR87" s="20">
        <v>5.4</v>
      </c>
      <c r="BS87" s="20">
        <v>5.2</v>
      </c>
      <c r="BT87" s="20">
        <v>5.5</v>
      </c>
      <c r="BU87" s="20">
        <v>5.5</v>
      </c>
      <c r="BV87" s="20">
        <v>5.4</v>
      </c>
      <c r="BW87" s="20">
        <v>5.7</v>
      </c>
      <c r="BX87" s="20">
        <v>5.9</v>
      </c>
    </row>
    <row r="88" spans="1:76" x14ac:dyDescent="0.25">
      <c r="A88" s="265" t="s">
        <v>135</v>
      </c>
      <c r="B88" s="259"/>
      <c r="C88" s="260"/>
      <c r="D88" s="260"/>
      <c r="E88" s="20"/>
      <c r="F88" s="20"/>
      <c r="G88" s="20"/>
      <c r="H88" s="20"/>
      <c r="I88" s="20"/>
      <c r="J88" s="20"/>
      <c r="K88" s="20"/>
      <c r="L88" s="20"/>
      <c r="M88" s="20"/>
      <c r="N88" s="20"/>
      <c r="O88" s="20"/>
      <c r="P88" s="20">
        <f>AVERAGE(E87:P87)</f>
        <v>4.9416666666666673</v>
      </c>
      <c r="Q88" s="20"/>
      <c r="R88" s="20"/>
      <c r="S88" s="20"/>
      <c r="T88" s="20"/>
      <c r="U88" s="20"/>
      <c r="V88" s="20"/>
      <c r="W88" s="20"/>
      <c r="X88" s="20"/>
      <c r="Y88" s="20"/>
      <c r="Z88" s="20"/>
      <c r="AA88" s="20"/>
      <c r="AB88" s="20">
        <f>AVERAGE(Q87:AB87)</f>
        <v>4.7416666666666663</v>
      </c>
      <c r="AC88" s="20"/>
      <c r="AD88" s="20"/>
      <c r="AE88" s="20"/>
      <c r="AF88" s="20"/>
      <c r="AG88" s="20"/>
      <c r="AH88" s="20"/>
      <c r="AI88" s="20"/>
      <c r="AJ88" s="20"/>
      <c r="AK88" s="20"/>
      <c r="AL88" s="20"/>
      <c r="AM88" s="20"/>
      <c r="AN88" s="20">
        <f>AVERAGE(AC87:AN87)</f>
        <v>3.9666666666666668</v>
      </c>
      <c r="AO88" s="20"/>
      <c r="AP88" s="20"/>
      <c r="AQ88" s="20"/>
      <c r="AR88" s="20"/>
      <c r="AS88" s="20"/>
      <c r="AT88" s="20"/>
      <c r="AU88" s="20"/>
      <c r="AV88" s="20"/>
      <c r="AW88" s="20"/>
      <c r="AX88" s="20"/>
      <c r="AY88" s="20"/>
      <c r="AZ88" s="20">
        <f>AVERAGE(AO87:AZ87)</f>
        <v>3.8249999999999997</v>
      </c>
      <c r="BA88" s="20"/>
      <c r="BB88" s="20"/>
      <c r="BC88" s="20"/>
      <c r="BD88" s="20"/>
      <c r="BE88" s="20"/>
      <c r="BF88" s="20"/>
      <c r="BG88" s="20"/>
      <c r="BH88" s="20"/>
      <c r="BI88" s="20"/>
      <c r="BJ88" s="20"/>
      <c r="BK88" s="20"/>
      <c r="BL88" s="20">
        <f>AVERAGE(BA87:BL87)</f>
        <v>3.7499999999999996</v>
      </c>
      <c r="BM88" s="20"/>
      <c r="BN88" s="20"/>
      <c r="BO88" s="20"/>
      <c r="BP88" s="20"/>
      <c r="BQ88" s="20"/>
      <c r="BR88" s="20"/>
      <c r="BS88" s="20"/>
      <c r="BT88" s="20"/>
      <c r="BU88" s="20"/>
      <c r="BV88" s="20"/>
      <c r="BW88" s="20"/>
      <c r="BX88" s="20">
        <f>AVERAGE(BM87:BX87)</f>
        <v>5.2583333333333337</v>
      </c>
    </row>
    <row r="89" spans="1:76" x14ac:dyDescent="0.25">
      <c r="A89" s="255" t="s">
        <v>104</v>
      </c>
      <c r="B89" s="253"/>
      <c r="C89" s="251"/>
      <c r="D89" s="251"/>
      <c r="E89" s="30">
        <v>70876</v>
      </c>
      <c r="F89" s="30">
        <v>70965</v>
      </c>
      <c r="G89" s="30">
        <v>70196</v>
      </c>
      <c r="H89" s="30">
        <v>70824</v>
      </c>
      <c r="I89" s="30">
        <v>70649</v>
      </c>
      <c r="J89" s="30">
        <v>70656</v>
      </c>
      <c r="K89" s="30">
        <v>71755</v>
      </c>
      <c r="L89" s="30">
        <v>70877</v>
      </c>
      <c r="M89" s="30">
        <v>70785</v>
      </c>
      <c r="N89" s="30">
        <v>71517</v>
      </c>
      <c r="O89" s="30">
        <v>71345</v>
      </c>
      <c r="P89" s="30">
        <v>70342</v>
      </c>
      <c r="Q89" s="30">
        <v>68309</v>
      </c>
      <c r="R89" s="30">
        <v>69837</v>
      </c>
      <c r="S89" s="30">
        <v>69893</v>
      </c>
      <c r="T89" s="30">
        <v>70702</v>
      </c>
      <c r="U89" s="30">
        <v>70918</v>
      </c>
      <c r="V89" s="30">
        <v>71204</v>
      </c>
      <c r="W89" s="30">
        <v>72029</v>
      </c>
      <c r="X89" s="30">
        <v>71423</v>
      </c>
      <c r="Y89" s="30">
        <v>71647</v>
      </c>
      <c r="Z89" s="30">
        <v>72915</v>
      </c>
      <c r="AA89" s="30">
        <v>72110</v>
      </c>
      <c r="AB89" s="30">
        <v>71770</v>
      </c>
      <c r="AC89" s="30">
        <v>70645</v>
      </c>
      <c r="AD89" s="30">
        <v>71002</v>
      </c>
      <c r="AE89" s="30">
        <v>71508</v>
      </c>
      <c r="AF89" s="30">
        <v>72172</v>
      </c>
      <c r="AG89" s="30">
        <v>72551</v>
      </c>
      <c r="AH89" s="30">
        <v>72837</v>
      </c>
      <c r="AI89" s="30">
        <v>73281</v>
      </c>
      <c r="AJ89" s="30">
        <v>72349</v>
      </c>
      <c r="AK89" s="30">
        <v>72449</v>
      </c>
      <c r="AL89" s="30">
        <v>73862</v>
      </c>
      <c r="AM89" s="30">
        <v>74379</v>
      </c>
      <c r="AN89" s="30">
        <v>74331</v>
      </c>
      <c r="AO89" s="30">
        <v>73311</v>
      </c>
      <c r="AP89" s="30">
        <v>73775</v>
      </c>
      <c r="AQ89" s="30">
        <v>73562</v>
      </c>
      <c r="AR89" s="30">
        <v>74377</v>
      </c>
      <c r="AS89" s="30">
        <v>74273</v>
      </c>
      <c r="AT89" s="30">
        <v>74613</v>
      </c>
      <c r="AU89" s="30">
        <v>75061</v>
      </c>
      <c r="AV89" s="30">
        <v>74187</v>
      </c>
      <c r="AW89" s="30">
        <v>74720</v>
      </c>
      <c r="AX89" s="30">
        <v>75489</v>
      </c>
      <c r="AY89" s="30">
        <v>76074</v>
      </c>
      <c r="AZ89" s="30">
        <v>75505</v>
      </c>
      <c r="BA89" s="30">
        <v>74791</v>
      </c>
      <c r="BB89" s="30">
        <v>75332</v>
      </c>
      <c r="BC89" s="30">
        <v>75490</v>
      </c>
      <c r="BD89" s="30">
        <v>76546</v>
      </c>
      <c r="BE89" s="30">
        <v>76048</v>
      </c>
      <c r="BF89" s="30">
        <v>76160</v>
      </c>
      <c r="BG89" s="30">
        <v>77002</v>
      </c>
      <c r="BH89" s="30">
        <v>75831</v>
      </c>
      <c r="BI89" s="30">
        <v>75932</v>
      </c>
      <c r="BJ89" s="30">
        <v>76131</v>
      </c>
      <c r="BK89" s="30">
        <v>76198</v>
      </c>
      <c r="BL89" s="30">
        <v>75040</v>
      </c>
      <c r="BM89" s="30">
        <v>74040</v>
      </c>
      <c r="BN89" s="30">
        <v>73774</v>
      </c>
      <c r="BO89" s="30">
        <v>73947</v>
      </c>
      <c r="BP89" s="30">
        <v>74702</v>
      </c>
      <c r="BQ89" s="30">
        <v>74641</v>
      </c>
      <c r="BR89" s="30">
        <v>75115</v>
      </c>
      <c r="BS89" s="30">
        <v>76037</v>
      </c>
      <c r="BT89" s="30">
        <v>75006</v>
      </c>
      <c r="BU89" s="30">
        <v>74949</v>
      </c>
      <c r="BV89" s="30">
        <v>74697</v>
      </c>
      <c r="BW89" s="30">
        <v>74238</v>
      </c>
      <c r="BX89" s="30">
        <v>74213</v>
      </c>
    </row>
    <row r="90" spans="1:76" x14ac:dyDescent="0.25">
      <c r="A90" s="256"/>
      <c r="B90" s="253"/>
      <c r="C90" s="251"/>
      <c r="D90" s="251"/>
      <c r="E90" s="30"/>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30"/>
      <c r="BD90" s="30"/>
      <c r="BE90" s="30"/>
      <c r="BF90" s="30"/>
      <c r="BG90" s="30"/>
      <c r="BH90" s="30"/>
      <c r="BI90" s="30"/>
      <c r="BJ90" s="30"/>
      <c r="BK90" s="30"/>
      <c r="BL90" s="30"/>
      <c r="BM90" s="30"/>
      <c r="BN90" s="30"/>
      <c r="BO90" s="30"/>
      <c r="BP90" s="30"/>
      <c r="BQ90" s="30"/>
      <c r="BR90" s="30"/>
      <c r="BS90" s="30"/>
      <c r="BT90" s="30"/>
      <c r="BU90" s="30"/>
      <c r="BV90" s="30"/>
      <c r="BW90" s="30"/>
      <c r="BX90" s="30"/>
    </row>
    <row r="91" spans="1:76" x14ac:dyDescent="0.25">
      <c r="A91" s="254" t="s">
        <v>1020</v>
      </c>
      <c r="B91" s="253" t="s">
        <v>744</v>
      </c>
      <c r="C91" s="251">
        <f>PENN!AF295/PENN!$AF$314</f>
        <v>2.8869278883511949E-2</v>
      </c>
      <c r="D91" s="251"/>
      <c r="E91" s="30"/>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row>
    <row r="92" spans="1:76" x14ac:dyDescent="0.25">
      <c r="A92" s="265" t="s">
        <v>2254</v>
      </c>
      <c r="B92" s="259"/>
      <c r="C92" s="260"/>
      <c r="D92" s="260"/>
      <c r="E92" s="20"/>
      <c r="F92" s="20"/>
      <c r="G92" s="270">
        <f>PENN!C858</f>
        <v>26.044</v>
      </c>
      <c r="H92" s="20"/>
      <c r="I92" s="20"/>
      <c r="J92" s="270">
        <f ca="1">OFFSET(PENN!F858,0,-2,1,1)</f>
        <v>24.59</v>
      </c>
      <c r="K92" s="20"/>
      <c r="L92" s="20"/>
      <c r="M92" s="270">
        <f ca="1">OFFSET(PENN!I858,0,-4,1,1)</f>
        <v>26.433</v>
      </c>
      <c r="N92" s="20"/>
      <c r="O92" s="20"/>
      <c r="P92" s="270">
        <f ca="1">OFFSET(PENN!L858,0,-6,1,1)</f>
        <v>25.253</v>
      </c>
      <c r="Q92" s="20"/>
      <c r="R92" s="20"/>
      <c r="S92" s="270">
        <f ca="1">OFFSET(PENN!O858,0,-7,1,1)</f>
        <v>27.209</v>
      </c>
      <c r="T92" s="20"/>
      <c r="U92" s="20"/>
      <c r="V92" s="270">
        <f ca="1">OFFSET(PENN!R858,0,-9,1,1)</f>
        <v>26.620999999999999</v>
      </c>
      <c r="W92" s="20"/>
      <c r="X92" s="20"/>
      <c r="Y92" s="270">
        <f ca="1">OFFSET(PENN!U858,0,-11,1,1)</f>
        <v>27.515999999999998</v>
      </c>
      <c r="Z92" s="20"/>
      <c r="AA92" s="20"/>
      <c r="AB92" s="270">
        <f ca="1">OFFSET(PENN!X858,0,-13,1,1)</f>
        <v>27.695</v>
      </c>
      <c r="AC92" s="20"/>
      <c r="AD92" s="20"/>
      <c r="AE92" s="270">
        <f ca="1">OFFSET(PENN!AA858,0,-14,1,1)</f>
        <v>29.518999999999998</v>
      </c>
      <c r="AF92" s="20"/>
      <c r="AG92" s="20"/>
      <c r="AH92" s="270">
        <f ca="1">OFFSET(PENN!AD858,0,-16,1,1)</f>
        <v>28.204999999999998</v>
      </c>
      <c r="AI92" s="20"/>
      <c r="AJ92" s="20"/>
      <c r="AK92" s="270">
        <f ca="1">OFFSET(PENN!AG858,0,-18,1,1)</f>
        <v>29.09</v>
      </c>
      <c r="AL92" s="20"/>
      <c r="AM92" s="20"/>
      <c r="AN92" s="270">
        <f ca="1">OFFSET(PENN!AJ858,0,-20,1,1)</f>
        <v>28.38</v>
      </c>
      <c r="AO92" s="20"/>
      <c r="AP92" s="20"/>
      <c r="AQ92" s="270">
        <f ca="1">OFFSET(PENN!AM858,0,-21,1,1)</f>
        <v>30.863</v>
      </c>
      <c r="AR92" s="20"/>
      <c r="AS92" s="20"/>
      <c r="AT92" s="270">
        <f ca="1">OFFSET(PENN!AP858,0,-23,1,1)</f>
        <v>30.366</v>
      </c>
      <c r="AU92" s="20"/>
      <c r="AV92" s="20"/>
      <c r="AW92" s="270">
        <f ca="1">OFFSET(PENN!BE858,0,-25,1,1)</f>
        <v>78.23</v>
      </c>
      <c r="AX92" s="20"/>
      <c r="AY92" s="20"/>
      <c r="AZ92" s="270">
        <f ca="1">OFFSET(PENN!CG858,0,-27,1,1)</f>
        <v>12.946052999999999</v>
      </c>
      <c r="BA92" s="20"/>
      <c r="BB92" s="20"/>
      <c r="BC92" s="270">
        <f ca="1">OFFSET(PENN!BT858,0,-28,1,1)</f>
        <v>16.917000000000002</v>
      </c>
      <c r="BD92" s="20"/>
      <c r="BE92" s="20"/>
      <c r="BF92" s="270">
        <f ca="1">OFFSET(PENN!CM858,0,-30,1,1)</f>
        <v>11.256263000000001</v>
      </c>
      <c r="BG92" s="20"/>
      <c r="BH92" s="20"/>
      <c r="BI92" s="270">
        <f ca="1">OFFSET(PENN!DH858,0,-32,1,1)</f>
        <v>38.337457327930004</v>
      </c>
      <c r="BJ92" s="20"/>
      <c r="BK92" s="20"/>
      <c r="BL92" s="270">
        <f ca="1">OFFSET(PENN!DJ858,0,-34,1,1)</f>
        <v>38.337457327930004</v>
      </c>
      <c r="BM92" s="20"/>
      <c r="BN92" s="20"/>
      <c r="BO92" s="270">
        <f ca="1">OFFSET(PENN!DM858,0,-35,1,1)</f>
        <v>36.556796150764171</v>
      </c>
      <c r="BP92" s="20"/>
      <c r="BQ92" s="20"/>
      <c r="BR92" s="270">
        <f ca="1">OFFSET(PENN!DP858,0,-37,1,1)</f>
        <v>37.219932073779461</v>
      </c>
      <c r="BS92" s="20"/>
      <c r="BT92" s="20"/>
      <c r="BU92" s="270">
        <f ca="1">OFFSET(PENN!DS858,0,-39,1,1)</f>
        <v>37.900330715255045</v>
      </c>
      <c r="BV92" s="20"/>
      <c r="BW92" s="20"/>
      <c r="BX92" s="270">
        <f ca="1">OFFSET(PENN!DV858,0,-41,1,1)</f>
        <v>0</v>
      </c>
    </row>
    <row r="93" spans="1:76" x14ac:dyDescent="0.25">
      <c r="A93" s="265" t="s">
        <v>753</v>
      </c>
      <c r="B93" s="259"/>
      <c r="C93" s="260"/>
      <c r="D93" s="260"/>
      <c r="E93" s="270"/>
      <c r="F93" s="270"/>
      <c r="G93" s="270"/>
      <c r="H93" s="20"/>
      <c r="I93" s="20"/>
      <c r="J93" s="270"/>
      <c r="K93" s="20"/>
      <c r="L93" s="20"/>
      <c r="M93" s="270"/>
      <c r="N93" s="20"/>
      <c r="O93" s="20"/>
      <c r="P93" s="270">
        <f ca="1">SUM(E92:P92)</f>
        <v>102.32000000000001</v>
      </c>
      <c r="Q93" s="20"/>
      <c r="R93" s="20"/>
      <c r="S93" s="270">
        <f ca="1">SUM(H92:S92)</f>
        <v>103.485</v>
      </c>
      <c r="T93" s="20"/>
      <c r="U93" s="20"/>
      <c r="V93" s="270">
        <f ca="1">SUM(K92:V92)</f>
        <v>105.51599999999999</v>
      </c>
      <c r="W93" s="20"/>
      <c r="X93" s="20"/>
      <c r="Y93" s="270">
        <f ca="1">SUM(N92:Y92)</f>
        <v>106.59899999999999</v>
      </c>
      <c r="Z93" s="20"/>
      <c r="AA93" s="20"/>
      <c r="AB93" s="270">
        <f ca="1">SUM(Q92:AB92)</f>
        <v>109.041</v>
      </c>
      <c r="AC93" s="20"/>
      <c r="AD93" s="20"/>
      <c r="AE93" s="270">
        <f ca="1">SUM(T92:AE92)</f>
        <v>111.351</v>
      </c>
      <c r="AF93" s="20"/>
      <c r="AG93" s="20"/>
      <c r="AH93" s="270">
        <f ca="1">SUM(W92:AH92)</f>
        <v>112.93499999999999</v>
      </c>
      <c r="AI93" s="20"/>
      <c r="AJ93" s="20"/>
      <c r="AK93" s="270">
        <f ca="1">SUM(Z92:AK92)</f>
        <v>114.509</v>
      </c>
      <c r="AL93" s="20"/>
      <c r="AM93" s="20"/>
      <c r="AN93" s="270">
        <f ca="1">SUM(AC92:AN92)</f>
        <v>115.19399999999999</v>
      </c>
      <c r="AO93" s="20"/>
      <c r="AP93" s="20"/>
      <c r="AQ93" s="270">
        <f ca="1">SUM(AF92:AQ92)</f>
        <v>116.538</v>
      </c>
      <c r="AR93" s="20"/>
      <c r="AS93" s="20"/>
      <c r="AT93" s="270">
        <f ca="1">SUM(AI92:AT92)</f>
        <v>118.699</v>
      </c>
      <c r="AU93" s="20"/>
      <c r="AV93" s="20"/>
      <c r="AW93" s="270">
        <f ca="1">SUM(AL92:AW92)</f>
        <v>167.839</v>
      </c>
      <c r="AX93" s="20"/>
      <c r="AY93" s="20"/>
      <c r="AZ93" s="270">
        <f ca="1">SUM(AO92:AZ92)</f>
        <v>152.40505300000001</v>
      </c>
      <c r="BA93" s="20"/>
      <c r="BB93" s="20"/>
      <c r="BC93" s="270">
        <f ca="1">SUM(AR92:BC92)</f>
        <v>138.45905300000001</v>
      </c>
      <c r="BD93" s="20"/>
      <c r="BE93" s="20"/>
      <c r="BF93" s="270">
        <f ca="1">SUM(AU92:BF92)</f>
        <v>119.349316</v>
      </c>
      <c r="BG93" s="20"/>
      <c r="BH93" s="20"/>
      <c r="BI93" s="270">
        <f ca="1">SUM(AX92:BI92)</f>
        <v>79.456773327929994</v>
      </c>
      <c r="BJ93" s="20"/>
      <c r="BK93" s="20"/>
      <c r="BL93" s="270">
        <f ca="1">SUM(BA92:BL92)</f>
        <v>104.84817765586001</v>
      </c>
      <c r="BM93" s="20"/>
      <c r="BN93" s="20"/>
      <c r="BO93" s="270">
        <f ca="1">SUM(BD92:BO92)</f>
        <v>124.48797380662418</v>
      </c>
      <c r="BP93" s="20"/>
      <c r="BQ93" s="20"/>
      <c r="BR93" s="270">
        <f ca="1">SUM(BG92:BR92)</f>
        <v>150.45164288040365</v>
      </c>
      <c r="BS93" s="20"/>
      <c r="BT93" s="20"/>
      <c r="BU93" s="270">
        <f ca="1">SUM(BJ92:BU92)</f>
        <v>150.01451626772868</v>
      </c>
      <c r="BV93" s="20"/>
      <c r="BW93" s="20"/>
      <c r="BX93" s="270">
        <f ca="1">SUM(BM92:BX92)</f>
        <v>111.67705893979868</v>
      </c>
    </row>
    <row r="94" spans="1:76" x14ac:dyDescent="0.25">
      <c r="A94" s="265" t="s">
        <v>103</v>
      </c>
      <c r="B94" s="259"/>
      <c r="C94" s="260"/>
      <c r="D94" s="260"/>
      <c r="E94" s="20">
        <v>6.1</v>
      </c>
      <c r="F94" s="20">
        <v>6.1</v>
      </c>
      <c r="G94" s="20">
        <v>6.1</v>
      </c>
      <c r="H94" s="20">
        <v>5.4</v>
      </c>
      <c r="I94" s="20">
        <v>5.7</v>
      </c>
      <c r="J94" s="20">
        <v>6.5</v>
      </c>
      <c r="K94" s="20">
        <v>6.6</v>
      </c>
      <c r="L94" s="20">
        <v>6.2</v>
      </c>
      <c r="M94" s="20">
        <v>5.9</v>
      </c>
      <c r="N94" s="20">
        <v>5.9</v>
      </c>
      <c r="O94" s="20">
        <v>5.9</v>
      </c>
      <c r="P94" s="20">
        <v>5.7</v>
      </c>
      <c r="Q94" s="20">
        <v>6.5</v>
      </c>
      <c r="R94" s="20">
        <v>6.4</v>
      </c>
      <c r="S94" s="20">
        <v>6</v>
      </c>
      <c r="T94" s="20">
        <v>5.5</v>
      </c>
      <c r="U94" s="20">
        <v>5.4</v>
      </c>
      <c r="V94" s="20">
        <v>5.9</v>
      </c>
      <c r="W94" s="20">
        <v>5.9</v>
      </c>
      <c r="X94" s="20">
        <v>5.2</v>
      </c>
      <c r="Y94" s="20">
        <v>5.2</v>
      </c>
      <c r="Z94" s="20">
        <v>5</v>
      </c>
      <c r="AA94" s="20">
        <v>5.3</v>
      </c>
      <c r="AB94" s="20">
        <v>4.9000000000000004</v>
      </c>
      <c r="AC94" s="20">
        <v>5.5</v>
      </c>
      <c r="AD94" s="20">
        <v>5.7</v>
      </c>
      <c r="AE94" s="20">
        <v>5.3</v>
      </c>
      <c r="AF94" s="20">
        <v>4.8</v>
      </c>
      <c r="AG94" s="20">
        <v>4.7</v>
      </c>
      <c r="AH94" s="20">
        <v>5.4</v>
      </c>
      <c r="AI94" s="20">
        <v>5.3</v>
      </c>
      <c r="AJ94" s="20">
        <v>5.5</v>
      </c>
      <c r="AK94" s="20">
        <v>4.8</v>
      </c>
      <c r="AL94" s="20">
        <v>4.7</v>
      </c>
      <c r="AM94" s="20">
        <v>4.7</v>
      </c>
      <c r="AN94" s="20">
        <v>4.5999999999999996</v>
      </c>
      <c r="AO94" s="20">
        <v>5.6</v>
      </c>
      <c r="AP94" s="20">
        <v>5.7</v>
      </c>
      <c r="AQ94" s="20">
        <v>5.0999999999999996</v>
      </c>
      <c r="AR94" s="20">
        <v>4.5999999999999996</v>
      </c>
      <c r="AS94" s="20">
        <v>4.7</v>
      </c>
      <c r="AT94" s="20">
        <v>5.7</v>
      </c>
      <c r="AU94" s="20">
        <v>5.7</v>
      </c>
      <c r="AV94" s="20">
        <v>5.7</v>
      </c>
      <c r="AW94" s="20">
        <v>5.4</v>
      </c>
      <c r="AX94" s="20">
        <v>5.3</v>
      </c>
      <c r="AY94" s="20">
        <v>5.2</v>
      </c>
      <c r="AZ94" s="20">
        <v>5.5</v>
      </c>
      <c r="BA94" s="20">
        <v>6.3</v>
      </c>
      <c r="BB94" s="20">
        <v>6.1</v>
      </c>
      <c r="BC94" s="20">
        <v>6.2</v>
      </c>
      <c r="BD94" s="20">
        <v>5.3</v>
      </c>
      <c r="BE94" s="20">
        <v>5.9</v>
      </c>
      <c r="BF94" s="20">
        <v>6.5</v>
      </c>
      <c r="BG94" s="20">
        <v>7.1</v>
      </c>
      <c r="BH94" s="20">
        <v>7.2</v>
      </c>
      <c r="BI94" s="20">
        <v>6.7</v>
      </c>
      <c r="BJ94" s="20">
        <v>6.9</v>
      </c>
      <c r="BK94" s="20">
        <v>7.1</v>
      </c>
      <c r="BL94" s="20">
        <v>7.6</v>
      </c>
      <c r="BM94" s="20">
        <v>9.1</v>
      </c>
      <c r="BN94" s="20">
        <v>9.1999999999999993</v>
      </c>
      <c r="BO94" s="20">
        <v>9.4</v>
      </c>
      <c r="BP94" s="20">
        <v>8</v>
      </c>
      <c r="BQ94" s="20">
        <v>9</v>
      </c>
      <c r="BR94" s="20">
        <v>9.9</v>
      </c>
      <c r="BS94" s="20">
        <v>9.9</v>
      </c>
      <c r="BT94" s="20">
        <v>9.9</v>
      </c>
      <c r="BU94" s="20">
        <v>9.9</v>
      </c>
      <c r="BV94" s="20">
        <v>9.6999999999999993</v>
      </c>
      <c r="BW94" s="20">
        <v>9.8000000000000007</v>
      </c>
      <c r="BX94" s="20">
        <v>9.8000000000000007</v>
      </c>
    </row>
    <row r="95" spans="1:76" x14ac:dyDescent="0.25">
      <c r="A95" s="265" t="s">
        <v>135</v>
      </c>
      <c r="B95" s="259"/>
      <c r="C95" s="260"/>
      <c r="D95" s="260"/>
      <c r="E95" s="20"/>
      <c r="F95" s="20"/>
      <c r="G95" s="20"/>
      <c r="H95" s="20"/>
      <c r="I95" s="20"/>
      <c r="J95" s="20"/>
      <c r="K95" s="20"/>
      <c r="L95" s="20"/>
      <c r="M95" s="20"/>
      <c r="N95" s="20"/>
      <c r="O95" s="20"/>
      <c r="P95" s="20">
        <f>AVERAGE(E94:P94)</f>
        <v>6.0083333333333329</v>
      </c>
      <c r="Q95" s="20"/>
      <c r="R95" s="20"/>
      <c r="S95" s="20"/>
      <c r="T95" s="20"/>
      <c r="U95" s="20"/>
      <c r="V95" s="20"/>
      <c r="W95" s="20"/>
      <c r="X95" s="20"/>
      <c r="Y95" s="20"/>
      <c r="Z95" s="20"/>
      <c r="AA95" s="20"/>
      <c r="AB95" s="20">
        <f>AVERAGE(Q94:AB94)</f>
        <v>5.6000000000000005</v>
      </c>
      <c r="AC95" s="20"/>
      <c r="AD95" s="20"/>
      <c r="AE95" s="20"/>
      <c r="AF95" s="20"/>
      <c r="AG95" s="20"/>
      <c r="AH95" s="20"/>
      <c r="AI95" s="20"/>
      <c r="AJ95" s="20"/>
      <c r="AK95" s="20"/>
      <c r="AL95" s="20"/>
      <c r="AM95" s="20"/>
      <c r="AN95" s="20">
        <f>AVERAGE(AC94:AN94)</f>
        <v>5.083333333333333</v>
      </c>
      <c r="AO95" s="20"/>
      <c r="AP95" s="20"/>
      <c r="AQ95" s="20"/>
      <c r="AR95" s="20"/>
      <c r="AS95" s="20"/>
      <c r="AT95" s="20"/>
      <c r="AU95" s="20"/>
      <c r="AV95" s="20"/>
      <c r="AW95" s="20"/>
      <c r="AX95" s="20"/>
      <c r="AY95" s="20"/>
      <c r="AZ95" s="20">
        <f>AVERAGE(AO94:AZ94)</f>
        <v>5.3500000000000005</v>
      </c>
      <c r="BA95" s="20"/>
      <c r="BB95" s="20"/>
      <c r="BC95" s="20"/>
      <c r="BD95" s="20"/>
      <c r="BE95" s="20"/>
      <c r="BF95" s="20"/>
      <c r="BG95" s="20"/>
      <c r="BH95" s="20"/>
      <c r="BI95" s="20"/>
      <c r="BJ95" s="20"/>
      <c r="BK95" s="20"/>
      <c r="BL95" s="20">
        <f>AVERAGE(BA94:BL94)</f>
        <v>6.5749999999999993</v>
      </c>
      <c r="BM95" s="20"/>
      <c r="BN95" s="20"/>
      <c r="BO95" s="20"/>
      <c r="BP95" s="20"/>
      <c r="BQ95" s="20"/>
      <c r="BR95" s="20"/>
      <c r="BS95" s="20"/>
      <c r="BT95" s="20"/>
      <c r="BU95" s="20"/>
      <c r="BV95" s="20"/>
      <c r="BW95" s="20"/>
      <c r="BX95" s="20">
        <f>AVERAGE(BM94:BX94)</f>
        <v>9.4666666666666668</v>
      </c>
    </row>
    <row r="96" spans="1:76" x14ac:dyDescent="0.25">
      <c r="A96" s="255" t="s">
        <v>104</v>
      </c>
      <c r="B96" s="253"/>
      <c r="C96" s="251"/>
      <c r="D96" s="251"/>
      <c r="E96" s="30">
        <v>1326001</v>
      </c>
      <c r="F96" s="30">
        <v>1327485</v>
      </c>
      <c r="G96" s="30">
        <v>1331893</v>
      </c>
      <c r="H96" s="30">
        <v>1336223</v>
      </c>
      <c r="I96" s="30">
        <v>1338229</v>
      </c>
      <c r="J96" s="30">
        <v>1348816</v>
      </c>
      <c r="K96" s="30">
        <v>1349176</v>
      </c>
      <c r="L96" s="30">
        <v>1343264</v>
      </c>
      <c r="M96" s="30">
        <v>1332539</v>
      </c>
      <c r="N96" s="30">
        <v>1341908</v>
      </c>
      <c r="O96" s="30">
        <v>1343114</v>
      </c>
      <c r="P96" s="30">
        <v>1343677</v>
      </c>
      <c r="Q96" s="30">
        <v>1332663</v>
      </c>
      <c r="R96" s="30">
        <v>1330050</v>
      </c>
      <c r="S96" s="30">
        <v>1337513</v>
      </c>
      <c r="T96" s="30">
        <v>1346250</v>
      </c>
      <c r="U96" s="30">
        <v>1349840</v>
      </c>
      <c r="V96" s="30">
        <v>1367027</v>
      </c>
      <c r="W96" s="30">
        <v>1363764</v>
      </c>
      <c r="X96" s="30">
        <v>1366091</v>
      </c>
      <c r="Y96" s="30">
        <v>1355997</v>
      </c>
      <c r="Z96" s="30">
        <v>1361313</v>
      </c>
      <c r="AA96" s="30">
        <v>1355327</v>
      </c>
      <c r="AB96" s="30">
        <v>1358480</v>
      </c>
      <c r="AC96" s="30">
        <v>1342232</v>
      </c>
      <c r="AD96" s="30">
        <v>1346411</v>
      </c>
      <c r="AE96" s="30">
        <v>1352455</v>
      </c>
      <c r="AF96" s="30">
        <v>1361694</v>
      </c>
      <c r="AG96" s="30">
        <v>1364142</v>
      </c>
      <c r="AH96" s="30">
        <v>1381344</v>
      </c>
      <c r="AI96" s="30">
        <v>1379195</v>
      </c>
      <c r="AJ96" s="30">
        <v>1374300</v>
      </c>
      <c r="AK96" s="30">
        <v>1369542</v>
      </c>
      <c r="AL96" s="30">
        <v>1382697</v>
      </c>
      <c r="AM96" s="30">
        <v>1379314</v>
      </c>
      <c r="AN96" s="30">
        <v>1377956</v>
      </c>
      <c r="AO96" s="30">
        <v>1352914</v>
      </c>
      <c r="AP96" s="30">
        <v>1354936</v>
      </c>
      <c r="AQ96" s="30">
        <v>1362572</v>
      </c>
      <c r="AR96" s="30">
        <v>1370411</v>
      </c>
      <c r="AS96" s="30">
        <v>1372608</v>
      </c>
      <c r="AT96" s="30">
        <v>1385737</v>
      </c>
      <c r="AU96" s="30">
        <v>1382360</v>
      </c>
      <c r="AV96" s="30">
        <v>1367586</v>
      </c>
      <c r="AW96" s="30">
        <v>1364423</v>
      </c>
      <c r="AX96" s="30">
        <v>1366798</v>
      </c>
      <c r="AY96" s="30">
        <v>1366709</v>
      </c>
      <c r="AZ96" s="30">
        <v>1360118</v>
      </c>
      <c r="BA96" s="30">
        <v>1343054</v>
      </c>
      <c r="BB96" s="30">
        <v>1342575</v>
      </c>
      <c r="BC96" s="30">
        <v>1348303</v>
      </c>
      <c r="BD96" s="30">
        <v>1360210</v>
      </c>
      <c r="BE96" s="30">
        <v>1358618</v>
      </c>
      <c r="BF96" s="30">
        <v>1371131</v>
      </c>
      <c r="BG96" s="30">
        <v>1354963</v>
      </c>
      <c r="BH96" s="30">
        <v>1342237</v>
      </c>
      <c r="BI96" s="30">
        <v>1339995</v>
      </c>
      <c r="BJ96" s="30">
        <v>1337329</v>
      </c>
      <c r="BK96" s="30">
        <v>1327011</v>
      </c>
      <c r="BL96" s="30">
        <v>1321251</v>
      </c>
      <c r="BM96" s="30">
        <v>1292963</v>
      </c>
      <c r="BN96" s="30">
        <v>1293406</v>
      </c>
      <c r="BO96" s="30">
        <v>1286727</v>
      </c>
      <c r="BP96" s="30">
        <v>1303061</v>
      </c>
      <c r="BQ96" s="30">
        <v>1300171</v>
      </c>
      <c r="BR96" s="30">
        <v>1304033</v>
      </c>
      <c r="BS96" s="30">
        <v>1294823</v>
      </c>
      <c r="BT96" s="30">
        <v>1288106</v>
      </c>
      <c r="BU96" s="30">
        <v>1284983</v>
      </c>
      <c r="BV96" s="30">
        <v>1285815</v>
      </c>
      <c r="BW96" s="30">
        <v>1281887</v>
      </c>
      <c r="BX96" s="30">
        <v>1274060</v>
      </c>
    </row>
    <row r="97" spans="1:76" x14ac:dyDescent="0.25">
      <c r="A97" s="254"/>
      <c r="B97" s="253"/>
      <c r="C97" s="251"/>
      <c r="D97" s="251"/>
      <c r="E97" s="30"/>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row>
    <row r="98" spans="1:76" x14ac:dyDescent="0.25">
      <c r="A98" s="254" t="s">
        <v>1090</v>
      </c>
      <c r="B98" s="253" t="s">
        <v>102</v>
      </c>
      <c r="C98" s="251">
        <f>PENN!AF266/PENN!$AF$314</f>
        <v>1.8167550142715358E-2</v>
      </c>
      <c r="D98" s="251"/>
      <c r="E98" s="30"/>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c r="AN98" s="30"/>
      <c r="AO98" s="30"/>
      <c r="AP98" s="30"/>
      <c r="AQ98" s="30"/>
      <c r="AR98" s="30"/>
      <c r="AS98" s="30"/>
      <c r="AT98" s="30"/>
      <c r="AU98" s="30"/>
      <c r="AV98" s="30"/>
      <c r="AW98" s="30"/>
      <c r="AX98" s="30"/>
      <c r="AY98" s="30"/>
      <c r="AZ98" s="30"/>
      <c r="BA98" s="30"/>
      <c r="BB98" s="30"/>
      <c r="BC98" s="30"/>
      <c r="BD98" s="30"/>
      <c r="BE98" s="30"/>
      <c r="BF98" s="30"/>
      <c r="BG98" s="30"/>
      <c r="BH98" s="30"/>
      <c r="BI98" s="30"/>
      <c r="BJ98" s="30"/>
      <c r="BK98" s="30"/>
      <c r="BL98" s="30"/>
      <c r="BM98" s="30"/>
      <c r="BN98" s="30"/>
      <c r="BO98" s="30"/>
      <c r="BP98" s="30"/>
      <c r="BQ98" s="30"/>
      <c r="BR98" s="30"/>
      <c r="BS98" s="30"/>
      <c r="BT98" s="30"/>
      <c r="BU98" s="30"/>
      <c r="BV98" s="30"/>
      <c r="BW98" s="30"/>
      <c r="BX98" s="30"/>
    </row>
    <row r="99" spans="1:76" x14ac:dyDescent="0.25">
      <c r="A99" s="265" t="s">
        <v>2199</v>
      </c>
      <c r="B99" s="253"/>
      <c r="C99" s="251"/>
      <c r="D99" s="251"/>
      <c r="E99" s="30"/>
      <c r="F99" s="30"/>
      <c r="G99" s="270">
        <f>PENN!C370</f>
        <v>0</v>
      </c>
      <c r="H99" s="20"/>
      <c r="I99" s="20"/>
      <c r="J99" s="270">
        <f ca="1">OFFSET(PENN!F370,0,-2,1,1)</f>
        <v>0</v>
      </c>
      <c r="K99" s="20"/>
      <c r="L99" s="20"/>
      <c r="M99" s="270">
        <f ca="1">OFFSET(PENN!I370,0,-4,1,1)</f>
        <v>0.56299999999999994</v>
      </c>
      <c r="N99" s="20"/>
      <c r="O99" s="20"/>
      <c r="P99" s="270">
        <f ca="1">OFFSET(PENN!L370,0,-6,1,1)</f>
        <v>3.2000000000000001E-2</v>
      </c>
      <c r="Q99" s="20"/>
      <c r="R99" s="20"/>
      <c r="S99" s="270">
        <f ca="1">OFFSET(PENN!O370,0,-7,1,1)</f>
        <v>0</v>
      </c>
      <c r="T99" s="20"/>
      <c r="U99" s="20"/>
      <c r="V99" s="270">
        <f ca="1">OFFSET(PENN!R370,0,-9,1,1)</f>
        <v>0.48199999999999998</v>
      </c>
      <c r="W99" s="20"/>
      <c r="X99" s="20"/>
      <c r="Y99" s="270">
        <f ca="1">OFFSET(PENN!U370,0,-11,1,1)</f>
        <v>0.73299999999999998</v>
      </c>
      <c r="Z99" s="20"/>
      <c r="AA99" s="20"/>
      <c r="AB99" s="270">
        <f ca="1">OFFSET(PENN!X370,0,-13,1,1)</f>
        <v>4.742</v>
      </c>
      <c r="AC99" s="20"/>
      <c r="AD99" s="20"/>
      <c r="AE99" s="270">
        <f ca="1">OFFSET(PENN!AA370,0,-14,1,1)</f>
        <v>8.7100000000000009</v>
      </c>
      <c r="AF99" s="20"/>
      <c r="AG99" s="20"/>
      <c r="AH99" s="270">
        <f ca="1">OFFSET(PENN!AD370,0,-16,1,1)</f>
        <v>10.103999999999999</v>
      </c>
      <c r="AI99" s="20"/>
      <c r="AJ99" s="20"/>
      <c r="AK99" s="270">
        <f ca="1">OFFSET(PENN!AG370,0,-18,1,1)</f>
        <v>11.186999999999999</v>
      </c>
      <c r="AL99" s="20"/>
      <c r="AM99" s="20"/>
      <c r="AN99" s="270">
        <f ca="1">OFFSET(PENN!AJ370,0,-20,1,1)</f>
        <v>10.87</v>
      </c>
      <c r="AO99" s="20"/>
      <c r="AP99" s="20"/>
      <c r="AQ99" s="270">
        <f ca="1">OFFSET(PENN!AM370,0,-21,1,1)</f>
        <v>10.976000000000001</v>
      </c>
      <c r="AR99" s="20"/>
      <c r="AS99" s="20"/>
      <c r="AT99" s="270">
        <f ca="1">OFFSET(PENN!AP370,0,-23,1,1)</f>
        <v>11.984999999999999</v>
      </c>
      <c r="AU99" s="20"/>
      <c r="AV99" s="20"/>
      <c r="AW99" s="270">
        <f ca="1">OFFSET(PENN!BE370,0,-25,1,1)</f>
        <v>67.176000000000002</v>
      </c>
      <c r="AX99" s="20"/>
      <c r="AY99" s="20"/>
      <c r="AZ99" s="270">
        <f ca="1">OFFSET(PENN!CG370,0,-27,1,1)</f>
        <v>13.398664868584637</v>
      </c>
      <c r="BA99" s="20"/>
      <c r="BB99" s="20"/>
      <c r="BC99" s="270">
        <f ca="1">OFFSET(PENN!BT370,0,-28,1,1)</f>
        <v>19.7505852</v>
      </c>
      <c r="BD99" s="20"/>
      <c r="BE99" s="20"/>
      <c r="BF99" s="270">
        <f ca="1">OFFSET(PENN!CM370,0,-30,1,1)</f>
        <v>14.759412241655422</v>
      </c>
      <c r="BG99" s="20"/>
      <c r="BH99" s="20"/>
      <c r="BI99" s="270">
        <f ca="1">OFFSET(PENN!DH370,0,-32,1,1)</f>
        <v>55.240939093949471</v>
      </c>
      <c r="BJ99" s="20"/>
      <c r="BK99" s="20"/>
      <c r="BL99" s="270">
        <f ca="1">OFFSET(PENN!DJ370,0,-34,1,1)</f>
        <v>55.240939093949471</v>
      </c>
      <c r="BM99" s="20"/>
      <c r="BN99" s="20"/>
      <c r="BO99" s="270">
        <f ca="1">OFFSET(PENN!DM370,0,-35,1,1)</f>
        <v>53.772436929966844</v>
      </c>
      <c r="BP99" s="20"/>
      <c r="BQ99" s="20"/>
      <c r="BR99" s="270">
        <f ca="1">OFFSET(PENN!DP370,0,-37,1,1)</f>
        <v>54.690487637643727</v>
      </c>
      <c r="BS99" s="20"/>
      <c r="BT99" s="20"/>
      <c r="BU99" s="270">
        <f ca="1">OFFSET(PENN!DS370,0,-39,1,1)</f>
        <v>55.626899359474152</v>
      </c>
      <c r="BV99" s="20"/>
      <c r="BW99" s="20"/>
      <c r="BX99" s="270">
        <f ca="1">OFFSET(PENN!DV370,0,-41,1,1)</f>
        <v>0</v>
      </c>
    </row>
    <row r="100" spans="1:76" x14ac:dyDescent="0.25">
      <c r="A100" s="265" t="s">
        <v>753</v>
      </c>
      <c r="B100" s="259"/>
      <c r="C100" s="260"/>
      <c r="D100" s="260"/>
      <c r="E100" s="270"/>
      <c r="F100" s="270"/>
      <c r="G100" s="270"/>
      <c r="H100" s="20"/>
      <c r="I100" s="20"/>
      <c r="J100" s="270"/>
      <c r="K100" s="20"/>
      <c r="L100" s="20"/>
      <c r="M100" s="270"/>
      <c r="N100" s="20"/>
      <c r="O100" s="20"/>
      <c r="P100" s="270">
        <f ca="1">SUM(E99:P99)</f>
        <v>0.59499999999999997</v>
      </c>
      <c r="Q100" s="20"/>
      <c r="R100" s="20"/>
      <c r="S100" s="270">
        <f ca="1">SUM(H99:S99)</f>
        <v>0.59499999999999997</v>
      </c>
      <c r="T100" s="20"/>
      <c r="U100" s="20"/>
      <c r="V100" s="270">
        <f ca="1">SUM(K99:V99)</f>
        <v>1.077</v>
      </c>
      <c r="W100" s="20"/>
      <c r="X100" s="20"/>
      <c r="Y100" s="270">
        <f ca="1">SUM(N99:Y99)</f>
        <v>1.2469999999999999</v>
      </c>
      <c r="Z100" s="20"/>
      <c r="AA100" s="20"/>
      <c r="AB100" s="270">
        <f ca="1">SUM(Q99:AB99)</f>
        <v>5.9569999999999999</v>
      </c>
      <c r="AC100" s="20"/>
      <c r="AD100" s="20"/>
      <c r="AE100" s="270">
        <f ca="1">SUM(T99:AE99)</f>
        <v>14.667000000000002</v>
      </c>
      <c r="AF100" s="20"/>
      <c r="AG100" s="20"/>
      <c r="AH100" s="270">
        <f ca="1">SUM(W99:AH99)</f>
        <v>24.289000000000001</v>
      </c>
      <c r="AI100" s="20"/>
      <c r="AJ100" s="20"/>
      <c r="AK100" s="270">
        <f ca="1">SUM(Z99:AK99)</f>
        <v>34.743000000000002</v>
      </c>
      <c r="AL100" s="20"/>
      <c r="AM100" s="20"/>
      <c r="AN100" s="270">
        <f ca="1">SUM(AC99:AN99)</f>
        <v>40.870999999999995</v>
      </c>
      <c r="AO100" s="20"/>
      <c r="AP100" s="20"/>
      <c r="AQ100" s="270">
        <f ca="1">SUM(AF99:AQ99)</f>
        <v>43.136999999999993</v>
      </c>
      <c r="AR100" s="20"/>
      <c r="AS100" s="20"/>
      <c r="AT100" s="270">
        <f ca="1">SUM(AI99:AT99)</f>
        <v>45.018000000000001</v>
      </c>
      <c r="AU100" s="20"/>
      <c r="AV100" s="20"/>
      <c r="AW100" s="270">
        <f ca="1">SUM(AL99:AW99)</f>
        <v>101.00700000000001</v>
      </c>
      <c r="AX100" s="20"/>
      <c r="AY100" s="20"/>
      <c r="AZ100" s="270">
        <f ca="1">SUM(AO99:AZ99)</f>
        <v>103.53566486858463</v>
      </c>
      <c r="BA100" s="20"/>
      <c r="BB100" s="20"/>
      <c r="BC100" s="270">
        <f ca="1">SUM(AR99:BC99)</f>
        <v>112.31025006858464</v>
      </c>
      <c r="BD100" s="20"/>
      <c r="BE100" s="20"/>
      <c r="BF100" s="270">
        <f ca="1">SUM(AU99:BF99)</f>
        <v>115.08466231024006</v>
      </c>
      <c r="BG100" s="20"/>
      <c r="BH100" s="20"/>
      <c r="BI100" s="270">
        <f ca="1">SUM(AX99:BI99)</f>
        <v>103.14960140418953</v>
      </c>
      <c r="BJ100" s="20"/>
      <c r="BK100" s="20"/>
      <c r="BL100" s="270">
        <f ca="1">SUM(BA99:BL99)</f>
        <v>144.99187562955436</v>
      </c>
      <c r="BM100" s="20"/>
      <c r="BN100" s="20"/>
      <c r="BO100" s="270">
        <f ca="1">SUM(BD99:BO99)</f>
        <v>179.01372735952123</v>
      </c>
      <c r="BP100" s="20"/>
      <c r="BQ100" s="20"/>
      <c r="BR100" s="270">
        <f ca="1">SUM(BG99:BR99)</f>
        <v>218.9448027555095</v>
      </c>
      <c r="BS100" s="20"/>
      <c r="BT100" s="20"/>
      <c r="BU100" s="270">
        <f ca="1">SUM(BJ99:BU99)</f>
        <v>219.33076302103419</v>
      </c>
      <c r="BV100" s="20"/>
      <c r="BW100" s="20"/>
      <c r="BX100" s="270">
        <f ca="1">SUM(BM99:BX99)</f>
        <v>164.08982392708472</v>
      </c>
    </row>
    <row r="101" spans="1:76" x14ac:dyDescent="0.25">
      <c r="A101" s="265" t="s">
        <v>103</v>
      </c>
      <c r="B101" s="259"/>
      <c r="C101" s="260"/>
      <c r="D101" s="260"/>
      <c r="E101" s="20">
        <v>5.3</v>
      </c>
      <c r="F101" s="20">
        <v>5.6</v>
      </c>
      <c r="G101" s="20">
        <v>5.6</v>
      </c>
      <c r="H101" s="20">
        <v>4.8</v>
      </c>
      <c r="I101" s="20">
        <v>4.4000000000000004</v>
      </c>
      <c r="J101" s="20">
        <v>4.5</v>
      </c>
      <c r="K101" s="20">
        <v>4.5</v>
      </c>
      <c r="L101" s="20">
        <v>4.0999999999999996</v>
      </c>
      <c r="M101" s="20">
        <v>4.2</v>
      </c>
      <c r="N101" s="20">
        <v>4.4000000000000004</v>
      </c>
      <c r="O101" s="20">
        <v>4.5999999999999996</v>
      </c>
      <c r="P101" s="20">
        <v>4.7</v>
      </c>
      <c r="Q101" s="20">
        <v>5.2</v>
      </c>
      <c r="R101" s="20">
        <v>5.5</v>
      </c>
      <c r="S101" s="20">
        <v>5.2</v>
      </c>
      <c r="T101" s="20">
        <v>4.7</v>
      </c>
      <c r="U101" s="20">
        <v>4.4000000000000004</v>
      </c>
      <c r="V101" s="20">
        <v>4.5</v>
      </c>
      <c r="W101" s="20">
        <v>4.5999999999999996</v>
      </c>
      <c r="X101" s="20">
        <v>4.0999999999999996</v>
      </c>
      <c r="Y101" s="20">
        <v>4.3</v>
      </c>
      <c r="Z101" s="20">
        <v>4.3</v>
      </c>
      <c r="AA101" s="20">
        <v>4.5</v>
      </c>
      <c r="AB101" s="20">
        <v>4.3</v>
      </c>
      <c r="AC101" s="20">
        <v>5</v>
      </c>
      <c r="AD101" s="20">
        <v>5.0999999999999996</v>
      </c>
      <c r="AE101" s="20">
        <v>4.9000000000000004</v>
      </c>
      <c r="AF101" s="20">
        <v>4.5</v>
      </c>
      <c r="AG101" s="20">
        <v>4.0999999999999996</v>
      </c>
      <c r="AH101" s="20">
        <v>4.5</v>
      </c>
      <c r="AI101" s="20">
        <v>4.7</v>
      </c>
      <c r="AJ101" s="20">
        <v>4.5</v>
      </c>
      <c r="AK101" s="20">
        <v>4.5</v>
      </c>
      <c r="AL101" s="20">
        <v>4.4000000000000004</v>
      </c>
      <c r="AM101" s="20">
        <v>4.7</v>
      </c>
      <c r="AN101" s="20">
        <v>4.5999999999999996</v>
      </c>
      <c r="AO101" s="20">
        <v>5.4</v>
      </c>
      <c r="AP101" s="20">
        <v>5.5</v>
      </c>
      <c r="AQ101" s="20">
        <v>5.2</v>
      </c>
      <c r="AR101" s="20">
        <v>4.8</v>
      </c>
      <c r="AS101" s="20">
        <v>4.5999999999999996</v>
      </c>
      <c r="AT101" s="20">
        <v>4.7</v>
      </c>
      <c r="AU101" s="20">
        <v>4.8</v>
      </c>
      <c r="AV101" s="20">
        <v>4.2</v>
      </c>
      <c r="AW101" s="20">
        <v>4.3</v>
      </c>
      <c r="AX101" s="20">
        <v>4.3</v>
      </c>
      <c r="AY101" s="20">
        <v>4.3</v>
      </c>
      <c r="AZ101" s="20">
        <v>4.4000000000000004</v>
      </c>
      <c r="BA101" s="20">
        <v>5.0999999999999996</v>
      </c>
      <c r="BB101" s="20">
        <v>5.0999999999999996</v>
      </c>
      <c r="BC101" s="20">
        <v>5.2</v>
      </c>
      <c r="BD101" s="20">
        <v>4.5999999999999996</v>
      </c>
      <c r="BE101" s="20">
        <v>4.5999999999999996</v>
      </c>
      <c r="BF101" s="20">
        <v>5</v>
      </c>
      <c r="BG101" s="20">
        <v>5.4</v>
      </c>
      <c r="BH101" s="20">
        <v>5</v>
      </c>
      <c r="BI101" s="20">
        <v>5.0999999999999996</v>
      </c>
      <c r="BJ101" s="20">
        <v>5.3</v>
      </c>
      <c r="BK101" s="20">
        <v>5.8</v>
      </c>
      <c r="BL101" s="20">
        <v>6.3</v>
      </c>
      <c r="BM101" s="20">
        <v>7.8</v>
      </c>
      <c r="BN101" s="20">
        <v>8</v>
      </c>
      <c r="BO101" s="20">
        <v>8</v>
      </c>
      <c r="BP101" s="20">
        <v>7.4</v>
      </c>
      <c r="BQ101" s="20">
        <v>7.4</v>
      </c>
      <c r="BR101" s="20">
        <v>7.8</v>
      </c>
      <c r="BS101" s="20">
        <v>7.8</v>
      </c>
      <c r="BT101" s="20">
        <v>7.2</v>
      </c>
      <c r="BU101" s="20">
        <v>7.2</v>
      </c>
      <c r="BV101" s="20">
        <v>6.9</v>
      </c>
      <c r="BW101" s="20">
        <v>7.1</v>
      </c>
      <c r="BX101" s="20">
        <v>7.3</v>
      </c>
    </row>
    <row r="102" spans="1:76" x14ac:dyDescent="0.25">
      <c r="A102" s="265" t="s">
        <v>135</v>
      </c>
      <c r="B102" s="259"/>
      <c r="C102" s="260"/>
      <c r="D102" s="260"/>
      <c r="E102" s="20"/>
      <c r="F102" s="20"/>
      <c r="G102" s="20"/>
      <c r="H102" s="20"/>
      <c r="I102" s="20"/>
      <c r="J102" s="20"/>
      <c r="K102" s="20"/>
      <c r="L102" s="20"/>
      <c r="M102" s="20"/>
      <c r="N102" s="20"/>
      <c r="O102" s="20"/>
      <c r="P102" s="20">
        <f>AVERAGE(E101:P101)</f>
        <v>4.7250000000000005</v>
      </c>
      <c r="Q102" s="20"/>
      <c r="R102" s="20"/>
      <c r="S102" s="20"/>
      <c r="T102" s="20"/>
      <c r="U102" s="20"/>
      <c r="V102" s="20"/>
      <c r="W102" s="20"/>
      <c r="X102" s="20"/>
      <c r="Y102" s="20"/>
      <c r="Z102" s="20"/>
      <c r="AA102" s="20"/>
      <c r="AB102" s="20">
        <f>AVERAGE(Q101:AB101)</f>
        <v>4.6333333333333329</v>
      </c>
      <c r="AC102" s="20"/>
      <c r="AD102" s="20"/>
      <c r="AE102" s="20"/>
      <c r="AF102" s="20"/>
      <c r="AG102" s="20"/>
      <c r="AH102" s="20"/>
      <c r="AI102" s="20"/>
      <c r="AJ102" s="20"/>
      <c r="AK102" s="20"/>
      <c r="AL102" s="20"/>
      <c r="AM102" s="20"/>
      <c r="AN102" s="20">
        <f>AVERAGE(AC101:AN101)</f>
        <v>4.6250000000000009</v>
      </c>
      <c r="AO102" s="20"/>
      <c r="AP102" s="20"/>
      <c r="AQ102" s="20"/>
      <c r="AR102" s="20"/>
      <c r="AS102" s="20"/>
      <c r="AT102" s="20"/>
      <c r="AU102" s="20"/>
      <c r="AV102" s="20"/>
      <c r="AW102" s="20"/>
      <c r="AX102" s="20"/>
      <c r="AY102" s="20"/>
      <c r="AZ102" s="20">
        <f>AVERAGE(AO101:AZ101)</f>
        <v>4.708333333333333</v>
      </c>
      <c r="BA102" s="20"/>
      <c r="BB102" s="20"/>
      <c r="BC102" s="20"/>
      <c r="BD102" s="20"/>
      <c r="BE102" s="20"/>
      <c r="BF102" s="20"/>
      <c r="BG102" s="20"/>
      <c r="BH102" s="20"/>
      <c r="BI102" s="20"/>
      <c r="BJ102" s="20"/>
      <c r="BK102" s="20"/>
      <c r="BL102" s="20">
        <f>AVERAGE(BA101:BL101)</f>
        <v>5.208333333333333</v>
      </c>
      <c r="BM102" s="20"/>
      <c r="BN102" s="20"/>
      <c r="BO102" s="20"/>
      <c r="BP102" s="20"/>
      <c r="BQ102" s="20"/>
      <c r="BR102" s="20"/>
      <c r="BS102" s="20"/>
      <c r="BT102" s="20"/>
      <c r="BU102" s="20"/>
      <c r="BV102" s="20"/>
      <c r="BW102" s="20"/>
      <c r="BX102" s="20">
        <f>AVERAGE(BM101:BX101)</f>
        <v>7.4916666666666663</v>
      </c>
    </row>
    <row r="103" spans="1:76" x14ac:dyDescent="0.25">
      <c r="A103" s="255" t="s">
        <v>104</v>
      </c>
      <c r="B103" s="253"/>
      <c r="C103" s="251"/>
      <c r="D103" s="251"/>
      <c r="E103" s="30">
        <v>65086</v>
      </c>
      <c r="F103" s="30">
        <v>65123</v>
      </c>
      <c r="G103" s="30">
        <v>65217</v>
      </c>
      <c r="H103" s="30">
        <v>65614</v>
      </c>
      <c r="I103" s="30">
        <v>65357</v>
      </c>
      <c r="J103" s="30">
        <v>64932</v>
      </c>
      <c r="K103" s="30">
        <v>65176</v>
      </c>
      <c r="L103" s="30">
        <v>64965</v>
      </c>
      <c r="M103" s="30">
        <v>65044</v>
      </c>
      <c r="N103" s="30">
        <v>66738</v>
      </c>
      <c r="O103" s="30">
        <v>66587</v>
      </c>
      <c r="P103" s="30">
        <v>65607</v>
      </c>
      <c r="Q103" s="30">
        <v>65721</v>
      </c>
      <c r="R103" s="30">
        <v>65703</v>
      </c>
      <c r="S103" s="30">
        <v>65613</v>
      </c>
      <c r="T103" s="30">
        <v>66699</v>
      </c>
      <c r="U103" s="30">
        <v>66575</v>
      </c>
      <c r="V103" s="30">
        <v>66160</v>
      </c>
      <c r="W103" s="30">
        <v>66276</v>
      </c>
      <c r="X103" s="30">
        <v>66197</v>
      </c>
      <c r="Y103" s="30">
        <v>66594</v>
      </c>
      <c r="Z103" s="30">
        <v>68147</v>
      </c>
      <c r="AA103" s="30">
        <v>67570</v>
      </c>
      <c r="AB103" s="30">
        <v>67325</v>
      </c>
      <c r="AC103" s="30">
        <v>66326</v>
      </c>
      <c r="AD103" s="30">
        <v>66859</v>
      </c>
      <c r="AE103" s="30">
        <v>67062</v>
      </c>
      <c r="AF103" s="30">
        <v>67397</v>
      </c>
      <c r="AG103" s="30">
        <v>67441</v>
      </c>
      <c r="AH103" s="30">
        <v>66366</v>
      </c>
      <c r="AI103" s="30">
        <v>65961</v>
      </c>
      <c r="AJ103" s="30">
        <v>66233</v>
      </c>
      <c r="AK103" s="30">
        <v>66583</v>
      </c>
      <c r="AL103" s="30">
        <v>68288</v>
      </c>
      <c r="AM103" s="30">
        <v>68248</v>
      </c>
      <c r="AN103" s="30">
        <v>68150</v>
      </c>
      <c r="AO103" s="30">
        <v>67745</v>
      </c>
      <c r="AP103" s="30">
        <v>68015</v>
      </c>
      <c r="AQ103" s="30">
        <v>68151</v>
      </c>
      <c r="AR103" s="30">
        <v>68035</v>
      </c>
      <c r="AS103" s="30">
        <v>67971</v>
      </c>
      <c r="AT103" s="30">
        <v>67278</v>
      </c>
      <c r="AU103" s="30">
        <v>67213</v>
      </c>
      <c r="AV103" s="30">
        <v>67223</v>
      </c>
      <c r="AW103" s="30">
        <v>67806</v>
      </c>
      <c r="AX103" s="30">
        <v>69574</v>
      </c>
      <c r="AY103" s="30">
        <v>69546</v>
      </c>
      <c r="AZ103" s="30">
        <v>68931</v>
      </c>
      <c r="BA103" s="30">
        <v>67786</v>
      </c>
      <c r="BB103" s="30">
        <v>68530</v>
      </c>
      <c r="BC103" s="30">
        <v>68562</v>
      </c>
      <c r="BD103" s="30">
        <v>69204</v>
      </c>
      <c r="BE103" s="30">
        <v>68863</v>
      </c>
      <c r="BF103" s="30">
        <v>67826</v>
      </c>
      <c r="BG103" s="30">
        <v>67568</v>
      </c>
      <c r="BH103" s="30">
        <v>67163</v>
      </c>
      <c r="BI103" s="30">
        <v>67577</v>
      </c>
      <c r="BJ103" s="30">
        <v>68647</v>
      </c>
      <c r="BK103" s="30">
        <v>67551</v>
      </c>
      <c r="BL103" s="30">
        <v>67180</v>
      </c>
      <c r="BM103" s="30">
        <v>66426</v>
      </c>
      <c r="BN103" s="30">
        <v>66186</v>
      </c>
      <c r="BO103" s="30">
        <v>66316</v>
      </c>
      <c r="BP103" s="30">
        <v>66554</v>
      </c>
      <c r="BQ103" s="30">
        <v>66211</v>
      </c>
      <c r="BR103" s="30">
        <v>64384</v>
      </c>
      <c r="BS103" s="30">
        <v>65054</v>
      </c>
      <c r="BT103" s="30">
        <v>65612</v>
      </c>
      <c r="BU103" s="30">
        <v>66046</v>
      </c>
      <c r="BV103" s="30">
        <v>67623</v>
      </c>
      <c r="BW103" s="30">
        <v>67305</v>
      </c>
      <c r="BX103" s="30">
        <v>67071</v>
      </c>
    </row>
  </sheetData>
  <phoneticPr fontId="13" type="noConversion"/>
  <hyperlinks>
    <hyperlink ref="A3" r:id="rId1"/>
  </hyperlinks>
  <pageMargins left="0.75" right="0.75" top="1" bottom="1" header="0.5" footer="0.5"/>
  <pageSetup orientation="portrait" horizontalDpi="1200" verticalDpi="1200" r:id="rId2"/>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G54"/>
  <sheetViews>
    <sheetView workbookViewId="0"/>
  </sheetViews>
  <sheetFormatPr defaultColWidth="8" defaultRowHeight="15.75" x14ac:dyDescent="0.25"/>
  <cols>
    <col min="1" max="1" width="22.375" customWidth="1"/>
    <col min="2" max="7" width="7.75" customWidth="1"/>
    <col min="8" max="8" width="4.75" customWidth="1"/>
  </cols>
  <sheetData>
    <row r="1" spans="1:7" x14ac:dyDescent="0.25">
      <c r="A1" s="1748" t="s">
        <v>1739</v>
      </c>
      <c r="B1" s="1749"/>
      <c r="C1" s="1749"/>
      <c r="D1" s="1749"/>
      <c r="E1" s="1749"/>
      <c r="F1" s="1749"/>
      <c r="G1" s="1749"/>
    </row>
    <row r="2" spans="1:7" x14ac:dyDescent="0.25">
      <c r="A2" s="1751" t="s">
        <v>1740</v>
      </c>
      <c r="B2" s="1752">
        <v>2009</v>
      </c>
      <c r="C2" s="1752">
        <v>2010</v>
      </c>
      <c r="D2" s="1752">
        <v>2011</v>
      </c>
      <c r="E2" s="1752" t="s">
        <v>1136</v>
      </c>
      <c r="F2" s="1752" t="s">
        <v>1137</v>
      </c>
      <c r="G2" s="1752" t="s">
        <v>1138</v>
      </c>
    </row>
    <row r="3" spans="1:7" x14ac:dyDescent="0.25">
      <c r="A3" s="1750"/>
      <c r="B3" s="1749"/>
      <c r="C3" s="1749"/>
      <c r="D3" s="1749"/>
      <c r="E3" s="1749"/>
      <c r="F3" s="1749"/>
      <c r="G3" s="1749"/>
    </row>
    <row r="4" spans="1:7" x14ac:dyDescent="0.25">
      <c r="A4" s="1753" t="s">
        <v>1418</v>
      </c>
      <c r="B4" s="1754">
        <f>+PENN!AF14</f>
        <v>2369.2749999999996</v>
      </c>
      <c r="C4" s="1754">
        <f>+PENN!AK14</f>
        <v>2459.1109999999999</v>
      </c>
      <c r="D4" s="1754">
        <f>+PENN!AP14</f>
        <v>2742.2570000000001</v>
      </c>
      <c r="E4" s="1754">
        <f>+PENN!AU14</f>
        <v>2899.4649999999997</v>
      </c>
      <c r="F4" s="1754">
        <f>+PENN!AZ14</f>
        <v>2918.7540000000004</v>
      </c>
      <c r="G4" s="1754">
        <f>+PENN!BE14</f>
        <v>2590.5279999999998</v>
      </c>
    </row>
    <row r="5" spans="1:7" x14ac:dyDescent="0.25">
      <c r="A5" s="1755" t="s">
        <v>1741</v>
      </c>
      <c r="B5" s="1756"/>
      <c r="C5" s="1756"/>
      <c r="D5" s="1756"/>
      <c r="E5" s="1756"/>
      <c r="F5" s="1756"/>
      <c r="G5" s="1756"/>
    </row>
    <row r="6" spans="1:7" x14ac:dyDescent="0.25">
      <c r="A6" s="1753" t="s">
        <v>2005</v>
      </c>
      <c r="B6" s="1757">
        <f>+PENN!AF24</f>
        <v>649.8950000000001</v>
      </c>
      <c r="C6" s="1757">
        <f>+PENN!AK24</f>
        <v>684.04199999999992</v>
      </c>
      <c r="D6" s="1757">
        <f>+PENN!AP24</f>
        <v>804.48699999999997</v>
      </c>
      <c r="E6" s="1757">
        <f>+PENN!AU24</f>
        <v>879.23199999999986</v>
      </c>
      <c r="F6" s="1757">
        <f>+PENN!AZ24</f>
        <v>890.29300000000001</v>
      </c>
      <c r="G6" s="1757">
        <f>+PENN!BE24</f>
        <v>779.39099999999996</v>
      </c>
    </row>
    <row r="7" spans="1:7" x14ac:dyDescent="0.25">
      <c r="A7" s="1755" t="s">
        <v>1764</v>
      </c>
      <c r="B7" s="1756">
        <f>+PENN!AF59+PENN!AF63</f>
        <v>222.79599999999999</v>
      </c>
      <c r="C7" s="1756">
        <f>+PENN!AK59+PENN!AK63</f>
        <v>238.34100000000001</v>
      </c>
      <c r="D7" s="1756">
        <f>+PENN!AP59+PENN!AP63</f>
        <v>236.208</v>
      </c>
      <c r="E7" s="1756">
        <f>+PENN!AU59+PENN!AU63</f>
        <v>273.95799999999997</v>
      </c>
      <c r="F7" s="1756">
        <f>+PENN!AZ59+PENN!AZ63</f>
        <v>321.13400000000001</v>
      </c>
      <c r="G7" s="1756">
        <f>+PENN!BE59+PENN!BE63</f>
        <v>277.40800000000002</v>
      </c>
    </row>
    <row r="8" spans="1:7" x14ac:dyDescent="0.25">
      <c r="A8" s="1753" t="s">
        <v>2226</v>
      </c>
      <c r="B8" s="1757">
        <f>+PENN!AF65</f>
        <v>343.053</v>
      </c>
      <c r="C8" s="1757">
        <f>+PENN!AK65</f>
        <v>347.54700000000003</v>
      </c>
      <c r="D8" s="1757">
        <f>+PENN!AP65</f>
        <v>473.82900000000006</v>
      </c>
      <c r="E8" s="1757">
        <f>+PENN!AU65</f>
        <v>437.47399999999993</v>
      </c>
      <c r="F8" s="1757">
        <f>+PENN!AZ65</f>
        <v>385.45699999999999</v>
      </c>
      <c r="G8" s="1757">
        <f>+PENN!BE65</f>
        <v>257.18799999999999</v>
      </c>
    </row>
    <row r="9" spans="1:7" x14ac:dyDescent="0.25">
      <c r="A9" s="1750" t="s">
        <v>1742</v>
      </c>
      <c r="B9" s="1758">
        <f>+PENN!AF67+PENN!AF68+PENN!AF69</f>
        <v>-128.46199999999999</v>
      </c>
      <c r="C9" s="1758">
        <f>+PENN!AK67+PENN!AK68+PENN!AK69</f>
        <v>-128.636</v>
      </c>
      <c r="D9" s="1758">
        <f>+PENN!AP67+PENN!AP68+PENN!AP69</f>
        <v>-99.140999999999991</v>
      </c>
      <c r="E9" s="1758">
        <f>+PENN!AU67+PENN!AU68+PENN!AU69</f>
        <v>-80.492000000000004</v>
      </c>
      <c r="F9" s="1758">
        <f>+PENN!AZ67+PENN!AZ68+PENN!AZ69</f>
        <v>-95.704999999999998</v>
      </c>
      <c r="G9" s="1758">
        <f>+PENN!BE67+PENN!BE68+PENN!BE69</f>
        <v>-413.43499999999995</v>
      </c>
    </row>
    <row r="10" spans="1:7" x14ac:dyDescent="0.25">
      <c r="A10" s="1755" t="s">
        <v>1623</v>
      </c>
      <c r="B10" s="1756">
        <f>+PENN!AF70+PENN!AF71+PENN!AF73+PENN!AF78</f>
        <v>-544.93700000000001</v>
      </c>
      <c r="C10" s="1756">
        <f>+PENN!AK70+PENN!AK71+PENN!AK73+PENN!AK78</f>
        <v>-216.58100000000002</v>
      </c>
      <c r="D10" s="1756">
        <f>+PENN!AP70+PENN!AP71+PENN!AP73+PENN!AP78</f>
        <v>14.543999999999997</v>
      </c>
      <c r="E10" s="1756">
        <f>+PENN!AU70+PENN!AU71+PENN!AU73+PENN!AU78</f>
        <v>7.5440000000000005</v>
      </c>
      <c r="F10" s="1756">
        <f>+PENN!AZ70+PENN!AZ71+PENN!AZ73+PENN!AZ78</f>
        <v>-1205.6289999999997</v>
      </c>
      <c r="G10" s="1756">
        <f>+PENN!BE70+PENN!BE71+PENN!BE73+PENN!BE78</f>
        <v>2.944</v>
      </c>
    </row>
    <row r="11" spans="1:7" x14ac:dyDescent="0.25">
      <c r="A11" s="1753" t="s">
        <v>2097</v>
      </c>
      <c r="B11" s="1757">
        <f>+PENN!AF75</f>
        <v>-327.88099999999997</v>
      </c>
      <c r="C11" s="1757">
        <f>+PENN!AK75</f>
        <v>4.5230000000000246</v>
      </c>
      <c r="D11" s="1757">
        <f>+PENN!AP75</f>
        <v>389.23200000000008</v>
      </c>
      <c r="E11" s="1757">
        <f>+PENN!AU75</f>
        <v>364.5259999999999</v>
      </c>
      <c r="F11" s="1757">
        <f>+PENN!AZ75</f>
        <v>-915.87699999999973</v>
      </c>
      <c r="G11" s="1757">
        <f>+PENN!BE75</f>
        <v>-153.30299999999997</v>
      </c>
    </row>
    <row r="12" spans="1:7" x14ac:dyDescent="0.25">
      <c r="A12" s="1755" t="s">
        <v>925</v>
      </c>
      <c r="B12" s="1756">
        <f>+PENN!AF76</f>
        <v>60.467999999999989</v>
      </c>
      <c r="C12" s="1756">
        <f>+PENN!AK76</f>
        <v>-66.177999999999997</v>
      </c>
      <c r="D12" s="1756">
        <f>+PENN!AP76</f>
        <v>-146.881</v>
      </c>
      <c r="E12" s="1756">
        <f>+PENN!AU76</f>
        <v>-152.55499999999998</v>
      </c>
      <c r="F12" s="1756">
        <f>+PENN!AZ76</f>
        <v>121.53799999999998</v>
      </c>
      <c r="G12" s="1756">
        <f>+PENN!BE76</f>
        <v>-30.518999999999998</v>
      </c>
    </row>
    <row r="13" spans="1:7" x14ac:dyDescent="0.25">
      <c r="A13" s="1753" t="s">
        <v>1715</v>
      </c>
      <c r="B13" s="1757">
        <f>+PENN!AF77</f>
        <v>-267.41300000000001</v>
      </c>
      <c r="C13" s="1757">
        <f>+PENN!AK77</f>
        <v>-61.654999999999973</v>
      </c>
      <c r="D13" s="1757">
        <f>+PENN!AP77</f>
        <v>242.35100000000008</v>
      </c>
      <c r="E13" s="1757">
        <f>+PENN!AU77</f>
        <v>211.97099999999992</v>
      </c>
      <c r="F13" s="1757">
        <f>+PENN!AZ77</f>
        <v>-794.33899999999971</v>
      </c>
      <c r="G13" s="1757">
        <f>+PENN!BE77</f>
        <v>-183.82199999999997</v>
      </c>
    </row>
    <row r="14" spans="1:7" x14ac:dyDescent="0.25">
      <c r="A14" s="1755" t="s">
        <v>561</v>
      </c>
      <c r="B14" s="1756">
        <f>+PENN!AF88</f>
        <v>373.95125999999993</v>
      </c>
      <c r="C14" s="1756">
        <f>+PENN!AK88</f>
        <v>118.28104000000002</v>
      </c>
      <c r="D14" s="1756">
        <f>+PENN!AP88</f>
        <v>1.0733000000000015</v>
      </c>
      <c r="E14" s="1756">
        <f>+PENN!AU88</f>
        <v>41.900399999999991</v>
      </c>
      <c r="F14" s="1756">
        <f>+PENN!AZ88</f>
        <v>952.6848</v>
      </c>
      <c r="G14" s="1756">
        <f>+PENN!BE88</f>
        <v>124.71259999999998</v>
      </c>
    </row>
    <row r="15" spans="1:7" x14ac:dyDescent="0.25">
      <c r="A15" s="1753" t="s">
        <v>562</v>
      </c>
      <c r="B15" s="1757">
        <f>+PENN!AF90</f>
        <v>108.4973499999999</v>
      </c>
      <c r="C15" s="1757">
        <f>+PENN!AK90</f>
        <v>58.819040000000044</v>
      </c>
      <c r="D15" s="1757">
        <f>+PENN!AP90</f>
        <v>243.42430000000007</v>
      </c>
      <c r="E15" s="1757">
        <f>+PENN!AU90</f>
        <v>253.87139999999991</v>
      </c>
      <c r="F15" s="1757">
        <f>+PENN!AZ90</f>
        <v>158.34580000000028</v>
      </c>
      <c r="G15" s="1757">
        <f>+PENN!BE90</f>
        <v>-59.109399999999994</v>
      </c>
    </row>
    <row r="16" spans="1:7" x14ac:dyDescent="0.25">
      <c r="A16" s="1750"/>
      <c r="B16" s="1749"/>
      <c r="C16" s="1749"/>
      <c r="D16" s="1749"/>
      <c r="E16" s="1749"/>
      <c r="F16" s="1749"/>
      <c r="G16" s="1749"/>
    </row>
    <row r="17" spans="1:7" x14ac:dyDescent="0.25">
      <c r="A17" s="1753" t="s">
        <v>2004</v>
      </c>
      <c r="B17" s="1759">
        <f>+PENN!AF93</f>
        <v>1.0139370689494038</v>
      </c>
      <c r="C17" s="1759">
        <f>+PENN!AK93</f>
        <v>0.75332727109722264</v>
      </c>
      <c r="D17" s="1759">
        <f>+PENN!AP93</f>
        <v>2.2739096318577134</v>
      </c>
      <c r="E17" s="1759">
        <f>+PENN!AU93</f>
        <v>2.4456803206042146</v>
      </c>
      <c r="F17" s="1759">
        <f>+PENN!AZ93</f>
        <v>2.0271895123606187</v>
      </c>
      <c r="G17" s="1759">
        <f>+PENN!BE93</f>
        <v>-0.75007169595837808</v>
      </c>
    </row>
    <row r="18" spans="1:7" x14ac:dyDescent="0.25">
      <c r="A18" s="1750" t="s">
        <v>1547</v>
      </c>
      <c r="B18" s="1758">
        <f>+PENN!AF101</f>
        <v>107.006</v>
      </c>
      <c r="C18" s="1758">
        <f>+PENN!AK101</f>
        <v>78.078999999999994</v>
      </c>
      <c r="D18" s="1758">
        <f>+PENN!AP101</f>
        <v>107.051</v>
      </c>
      <c r="E18" s="1758">
        <f>+PENN!AU101</f>
        <v>103.804</v>
      </c>
      <c r="F18" s="1758">
        <f>+PENN!AZ101</f>
        <v>78.111000000000004</v>
      </c>
      <c r="G18" s="1758">
        <f>+PENN!BE101</f>
        <v>78.805000000000007</v>
      </c>
    </row>
    <row r="19" spans="1:7" x14ac:dyDescent="0.25">
      <c r="A19" s="1750"/>
      <c r="B19" s="1749"/>
      <c r="C19" s="1749"/>
      <c r="D19" s="1749"/>
      <c r="E19" s="1749"/>
      <c r="F19" s="1749"/>
      <c r="G19" s="1749"/>
    </row>
    <row r="20" spans="1:7" x14ac:dyDescent="0.25">
      <c r="A20" s="1751" t="s">
        <v>1743</v>
      </c>
      <c r="B20" s="1752">
        <v>2009</v>
      </c>
      <c r="C20" s="1752">
        <v>2010</v>
      </c>
      <c r="D20" s="1752">
        <v>2011</v>
      </c>
      <c r="E20" s="1752" t="s">
        <v>1136</v>
      </c>
      <c r="F20" s="1752" t="s">
        <v>1137</v>
      </c>
      <c r="G20" s="1752" t="s">
        <v>1138</v>
      </c>
    </row>
    <row r="21" spans="1:7" x14ac:dyDescent="0.25">
      <c r="A21" s="1760"/>
      <c r="B21" s="1761"/>
      <c r="C21" s="1761"/>
      <c r="D21" s="1761"/>
      <c r="E21" s="1761"/>
      <c r="F21" s="1761"/>
      <c r="G21" s="1761"/>
    </row>
    <row r="22" spans="1:7" x14ac:dyDescent="0.25">
      <c r="A22" s="1750" t="s">
        <v>1744</v>
      </c>
      <c r="B22" s="1762">
        <f>+PENN!AF1339</f>
        <v>713.11800000000005</v>
      </c>
      <c r="C22" s="1762">
        <f>+PENN!AK1339</f>
        <v>246.38499999999993</v>
      </c>
      <c r="D22" s="1762">
        <f>+PENN!AP1339</f>
        <v>238.43999999999994</v>
      </c>
      <c r="E22" s="1762">
        <f>+PENN!AU1339</f>
        <v>260.46699999999987</v>
      </c>
      <c r="F22" s="1762">
        <f>+PENN!AZ1339</f>
        <v>292.99499999999972</v>
      </c>
      <c r="G22" s="1762">
        <f>+PENN!BE1339</f>
        <v>208.67299999999966</v>
      </c>
    </row>
    <row r="23" spans="1:7" x14ac:dyDescent="0.25">
      <c r="A23" s="1750" t="s">
        <v>1745</v>
      </c>
      <c r="B23" s="1758">
        <f>+PENN!AF1341</f>
        <v>46.671999999999997</v>
      </c>
      <c r="C23" s="1758">
        <f>+PENN!AK1341</f>
        <v>44.463000000000001</v>
      </c>
      <c r="D23" s="1758">
        <f>+PENN!AP1341</f>
        <v>55.454999999999998</v>
      </c>
      <c r="E23" s="1758">
        <f>+PENN!AU1341</f>
        <v>53.72</v>
      </c>
      <c r="F23" s="1758">
        <f>+PENN!AZ1341</f>
        <v>52.537999999999997</v>
      </c>
      <c r="G23" s="1758">
        <f>+PENN!BE1341</f>
        <v>41.618000000000002</v>
      </c>
    </row>
    <row r="24" spans="1:7" x14ac:dyDescent="0.25">
      <c r="A24" s="1750" t="s">
        <v>1748</v>
      </c>
      <c r="B24" s="1758">
        <f>+PENN!AF1342+PENN!AF1343+PENN!AF1344</f>
        <v>178.65799999999999</v>
      </c>
      <c r="C24" s="1758">
        <f>+PENN!AK1342+PENN!AK1343+PENN!AK1344</f>
        <v>175.10499999999999</v>
      </c>
      <c r="D24" s="1758">
        <f>+PENN!AP1342+PENN!AP1343+PENN!AP1344</f>
        <v>121.89400000000001</v>
      </c>
      <c r="E24" s="1758">
        <f>+PENN!AU1342+PENN!AU1343+PENN!AU1344</f>
        <v>172.953</v>
      </c>
      <c r="F24" s="1758">
        <f>+PENN!AZ1342+PENN!AZ1343+PENN!AZ1344</f>
        <v>163.328</v>
      </c>
      <c r="G24" s="1758">
        <f>+PENN!BE1342+PENN!BE1343+PENN!BE1344</f>
        <v>122.31699999999999</v>
      </c>
    </row>
    <row r="25" spans="1:7" x14ac:dyDescent="0.25">
      <c r="A25" s="1750" t="s">
        <v>1749</v>
      </c>
      <c r="B25" s="1758">
        <f>+PENN!AF1351</f>
        <v>1837.5039999999999</v>
      </c>
      <c r="C25" s="1758">
        <f>+PENN!AK1351</f>
        <v>1965.7739999999999</v>
      </c>
      <c r="D25" s="1758">
        <f>+PENN!AP1351</f>
        <v>2277.1999999999998</v>
      </c>
      <c r="E25" s="1758">
        <f>+PENN!AU1351</f>
        <v>2730.797</v>
      </c>
      <c r="F25" s="1758">
        <f>+PENN!AZ1351</f>
        <v>497.45699999999988</v>
      </c>
      <c r="G25" s="1758">
        <f>+PENN!BE1351</f>
        <v>2669.732</v>
      </c>
    </row>
    <row r="26" spans="1:7" x14ac:dyDescent="0.25">
      <c r="A26" s="1750" t="s">
        <v>1750</v>
      </c>
      <c r="B26" s="1758">
        <f>+PENN!AF1354</f>
        <v>1379.961</v>
      </c>
      <c r="C26" s="1758">
        <f>+PENN!AK1354</f>
        <v>1185.7560000000001</v>
      </c>
      <c r="D26" s="1758">
        <f>+PENN!AP1354</f>
        <v>1180.3589999999999</v>
      </c>
      <c r="E26" s="1758">
        <f>+PENN!AU1354</f>
        <v>1380.6890000000001</v>
      </c>
      <c r="F26" s="1758">
        <f>+PENN!AZ1354</f>
        <v>492.39800000000002</v>
      </c>
      <c r="G26" s="1758">
        <f>+PENN!BE1354</f>
        <v>874.18399999999997</v>
      </c>
    </row>
    <row r="27" spans="1:7" x14ac:dyDescent="0.25">
      <c r="A27" s="1755" t="s">
        <v>1893</v>
      </c>
      <c r="B27" s="1756">
        <f>+PENN!AF1353+PENN!AF1356+PENN!AF1359</f>
        <v>556.70299999999997</v>
      </c>
      <c r="C27" s="1756">
        <f>+PENN!AK1353+PENN!AK1356+PENN!AK1359</f>
        <v>845.39600000000007</v>
      </c>
      <c r="D27" s="1756">
        <f>+PENN!AP1353+PENN!AP1356+PENN!AP1359</f>
        <v>732.99800000000005</v>
      </c>
      <c r="E27" s="1756">
        <f>+PENN!AU1353+PENN!AU1356+PENN!AU1359</f>
        <v>1045.431</v>
      </c>
      <c r="F27" s="1756">
        <f>+PENN!AZ1353+PENN!AZ1356+PENN!AZ1359</f>
        <v>685.27500000000009</v>
      </c>
      <c r="G27" s="1756">
        <f>+PENN!BE1353+PENN!BE1356+PENN!BE1359</f>
        <v>686.32199999999989</v>
      </c>
    </row>
    <row r="28" spans="1:7" x14ac:dyDescent="0.25">
      <c r="A28" s="1753" t="s">
        <v>1932</v>
      </c>
      <c r="B28" s="1757">
        <f>+PENN!AF1366</f>
        <v>4712.616</v>
      </c>
      <c r="C28" s="1757">
        <f>+PENN!AK1366</f>
        <v>4462.8789999999999</v>
      </c>
      <c r="D28" s="1757">
        <f>+PENN!AP1366</f>
        <v>4606.3459999999995</v>
      </c>
      <c r="E28" s="1757">
        <f>+PENN!AU1366</f>
        <v>5644.0569999999998</v>
      </c>
      <c r="F28" s="1757">
        <f>+PENN!AZ1366</f>
        <v>2183.991</v>
      </c>
      <c r="G28" s="1757">
        <f>+PENN!BE1366</f>
        <v>4664.8939999999993</v>
      </c>
    </row>
    <row r="29" spans="1:7" x14ac:dyDescent="0.25">
      <c r="A29" s="1750" t="s">
        <v>1507</v>
      </c>
      <c r="B29" s="1758">
        <f>PENN!AF1406</f>
        <v>2334.777</v>
      </c>
      <c r="C29" s="1758">
        <f>PENN!AK1406</f>
        <v>2171.123</v>
      </c>
      <c r="D29" s="1758">
        <f>PENN!AP1406</f>
        <v>2043.165</v>
      </c>
      <c r="E29" s="1758">
        <f>PENN!AU1406</f>
        <v>2730.57</v>
      </c>
      <c r="F29" s="1758">
        <f>PENN!AZ1406</f>
        <v>1050.7920000000001</v>
      </c>
      <c r="G29" s="1758">
        <f>PENN!BE1406</f>
        <v>4806.0590000000002</v>
      </c>
    </row>
    <row r="30" spans="1:7" x14ac:dyDescent="0.25">
      <c r="A30" s="1750" t="s">
        <v>1894</v>
      </c>
      <c r="B30" s="1758">
        <f>+PENN!AF1369+PENN!AF1370</f>
        <v>129.958</v>
      </c>
      <c r="C30" s="1758">
        <f>+PENN!AK1369+PENN!AK1370</f>
        <v>118.759</v>
      </c>
      <c r="D30" s="1758">
        <f>+PENN!AP1369+PENN!AP1370</f>
        <v>153.28100000000001</v>
      </c>
      <c r="E30" s="1758">
        <f>+PENN!AU1369+PENN!AU1370</f>
        <v>171.584</v>
      </c>
      <c r="F30" s="1758">
        <f>+PENN!AZ1369+PENN!AZ1370</f>
        <v>120.589</v>
      </c>
      <c r="G30" s="1758">
        <f>+PENN!BE1369+PENN!BE1370</f>
        <v>176.22800000000001</v>
      </c>
    </row>
    <row r="31" spans="1:7" x14ac:dyDescent="0.25">
      <c r="A31" s="1750" t="s">
        <v>1640</v>
      </c>
      <c r="B31" s="1758">
        <f>+PENN!AF1371</f>
        <v>214.227</v>
      </c>
      <c r="C31" s="1758">
        <f>+PENN!AK1371</f>
        <v>214.84300000000002</v>
      </c>
      <c r="D31" s="1758">
        <f>+PENN!AP1371</f>
        <v>228.5</v>
      </c>
      <c r="E31" s="1758">
        <f>+PENN!AU1371</f>
        <v>246.53800000000001</v>
      </c>
      <c r="F31" s="1758">
        <f>+PENN!AZ1371</f>
        <v>213.28199999999998</v>
      </c>
      <c r="G31" s="1758">
        <f>+PENN!BE1371</f>
        <v>230.62200000000001</v>
      </c>
    </row>
    <row r="32" spans="1:7" x14ac:dyDescent="0.25">
      <c r="A32" s="1755" t="s">
        <v>1895</v>
      </c>
      <c r="B32" s="1756">
        <f>+PENN!AF1411</f>
        <v>181.578</v>
      </c>
      <c r="C32" s="1756">
        <f>+PENN!AK1411</f>
        <v>180.38800000000001</v>
      </c>
      <c r="D32" s="1756">
        <f>+PENN!AP1411</f>
        <v>209.76900000000001</v>
      </c>
      <c r="E32" s="1756">
        <f>+PENN!AU1411</f>
        <v>244.43600000000001</v>
      </c>
      <c r="F32" s="1756">
        <f>+PENN!AZ1411</f>
        <v>40.928000000000004</v>
      </c>
      <c r="G32" s="1756">
        <f>+PENN!BE1411</f>
        <v>113.11499999999999</v>
      </c>
    </row>
    <row r="33" spans="1:7" x14ac:dyDescent="0.25">
      <c r="A33" s="1753" t="s">
        <v>1896</v>
      </c>
      <c r="B33" s="1757">
        <f t="shared" ref="B33:G33" si="0">+SUM(B29:B32)</f>
        <v>2860.54</v>
      </c>
      <c r="C33" s="1757">
        <f t="shared" si="0"/>
        <v>2685.1129999999998</v>
      </c>
      <c r="D33" s="1757">
        <f t="shared" si="0"/>
        <v>2634.7150000000001</v>
      </c>
      <c r="E33" s="1757">
        <f t="shared" si="0"/>
        <v>3393.1280000000002</v>
      </c>
      <c r="F33" s="1757">
        <f t="shared" si="0"/>
        <v>1425.5910000000001</v>
      </c>
      <c r="G33" s="1757">
        <f t="shared" si="0"/>
        <v>5326.0240000000003</v>
      </c>
    </row>
    <row r="34" spans="1:7" x14ac:dyDescent="0.25">
      <c r="A34" s="1755" t="s">
        <v>1897</v>
      </c>
      <c r="B34" s="1756">
        <f>+PENN!AF1421+PENN!AF1422</f>
        <v>1852.076</v>
      </c>
      <c r="C34" s="1756">
        <f>+PENN!AK1421</f>
        <v>1777.7660000000001</v>
      </c>
      <c r="D34" s="1756">
        <f>+PENN!AP1421</f>
        <v>1971.6310000000001</v>
      </c>
      <c r="E34" s="1756">
        <f>+PENN!AU1421</f>
        <v>2250.9290000000001</v>
      </c>
      <c r="F34" s="1756">
        <f>+PENN!AZ1421</f>
        <v>758.40000000000009</v>
      </c>
      <c r="G34" s="1756">
        <f>+PENN!BE1421</f>
        <v>-708.01400000000012</v>
      </c>
    </row>
    <row r="35" spans="1:7" x14ac:dyDescent="0.25">
      <c r="A35" s="1753" t="s">
        <v>1898</v>
      </c>
      <c r="B35" s="1757">
        <f>+B34+B33</f>
        <v>4712.616</v>
      </c>
      <c r="C35" s="1757">
        <f>+C34+C33</f>
        <v>4462.8789999999999</v>
      </c>
      <c r="D35" s="1757">
        <f>+D34+D33-0.01</f>
        <v>4606.3360000000002</v>
      </c>
      <c r="E35" s="1757">
        <f>+E34+E33</f>
        <v>5644.0570000000007</v>
      </c>
      <c r="F35" s="1757">
        <f>+F34+F33</f>
        <v>2183.991</v>
      </c>
      <c r="G35" s="1757">
        <f>+G34+G33</f>
        <v>4618.01</v>
      </c>
    </row>
    <row r="36" spans="1:7" x14ac:dyDescent="0.25">
      <c r="A36" s="1750"/>
      <c r="B36" s="1758"/>
      <c r="C36" s="1758"/>
      <c r="D36" s="1758"/>
      <c r="E36" s="1758"/>
      <c r="F36" s="1758"/>
      <c r="G36" s="1758"/>
    </row>
    <row r="37" spans="1:7" x14ac:dyDescent="0.25">
      <c r="A37" s="1750"/>
      <c r="B37" s="1749"/>
      <c r="C37" s="1749"/>
      <c r="D37" s="1749"/>
      <c r="E37" s="1749"/>
      <c r="F37" s="1749"/>
      <c r="G37" s="1749"/>
    </row>
    <row r="38" spans="1:7" x14ac:dyDescent="0.25">
      <c r="A38" s="1750"/>
      <c r="B38" s="1749"/>
      <c r="C38" s="1749"/>
      <c r="D38" s="1749"/>
      <c r="E38" s="1749"/>
      <c r="F38" s="1749"/>
      <c r="G38" s="1749"/>
    </row>
    <row r="39" spans="1:7" x14ac:dyDescent="0.25">
      <c r="A39" s="1751" t="s">
        <v>1899</v>
      </c>
      <c r="B39" s="1752">
        <v>2009</v>
      </c>
      <c r="C39" s="1752">
        <v>2010</v>
      </c>
      <c r="D39" s="1752">
        <v>2011</v>
      </c>
      <c r="E39" s="1752" t="s">
        <v>1136</v>
      </c>
      <c r="F39" s="1752" t="s">
        <v>1137</v>
      </c>
      <c r="G39" s="1752" t="s">
        <v>1138</v>
      </c>
    </row>
    <row r="40" spans="1:7" x14ac:dyDescent="0.25">
      <c r="A40" s="1760"/>
      <c r="B40" s="1761"/>
      <c r="C40" s="1761"/>
      <c r="D40" s="1761"/>
      <c r="E40" s="1761"/>
      <c r="F40" s="1761"/>
      <c r="G40" s="1761"/>
    </row>
    <row r="41" spans="1:7" x14ac:dyDescent="0.25">
      <c r="A41" s="1750" t="s">
        <v>954</v>
      </c>
      <c r="B41" s="1762">
        <f>+PENN!AF1278</f>
        <v>-267.41299999999995</v>
      </c>
      <c r="C41" s="1762">
        <f>+PENN!AK1278</f>
        <v>-61.654999999999987</v>
      </c>
      <c r="D41" s="1762">
        <f>+PENN!AP1278</f>
        <v>242.35100000000006</v>
      </c>
      <c r="E41" s="1762">
        <f>+PENN!AU1278</f>
        <v>211.97099999999998</v>
      </c>
      <c r="F41" s="1762">
        <f>+PENN!AZ1278</f>
        <v>-794.33899999999994</v>
      </c>
      <c r="G41" s="1762">
        <f>+PENN!BE1278</f>
        <v>-183.82199999999995</v>
      </c>
    </row>
    <row r="42" spans="1:7" x14ac:dyDescent="0.25">
      <c r="A42" s="1750" t="s">
        <v>1900</v>
      </c>
      <c r="B42" s="1758">
        <f>+PENN!AF1280</f>
        <v>194.43600000000001</v>
      </c>
      <c r="C42" s="1758">
        <f>+PENN!AK1280</f>
        <v>212.387</v>
      </c>
      <c r="D42" s="1758">
        <f>+PENN!AP1280</f>
        <v>211.476</v>
      </c>
      <c r="E42" s="1758">
        <f>+PENN!AU1280</f>
        <v>245.34799999999998</v>
      </c>
      <c r="F42" s="1758">
        <f>+PENN!AZ1280</f>
        <v>298.32600000000002</v>
      </c>
      <c r="G42" s="1758">
        <f>+PENN!BE1280</f>
        <v>266.74200000000002</v>
      </c>
    </row>
    <row r="43" spans="1:7" x14ac:dyDescent="0.25">
      <c r="A43" s="1750" t="s">
        <v>1901</v>
      </c>
      <c r="B43" s="1758">
        <f>+PENN!AF1287</f>
        <v>-146.40800000000002</v>
      </c>
      <c r="C43" s="1758">
        <f>+PENN!AK1287</f>
        <v>-2.2040000000000006</v>
      </c>
      <c r="D43" s="1758">
        <f>+PENN!AP1287</f>
        <v>21.56</v>
      </c>
      <c r="E43" s="1758">
        <f>+PENN!AU1287</f>
        <v>44.983000000000004</v>
      </c>
      <c r="F43" s="1758">
        <f>+PENN!AZ1287</f>
        <v>-224.983</v>
      </c>
      <c r="G43" s="1758">
        <f>+PENN!BE1287</f>
        <v>2.9079999999999999</v>
      </c>
    </row>
    <row r="44" spans="1:7" x14ac:dyDescent="0.25">
      <c r="A44" s="1750" t="s">
        <v>1902</v>
      </c>
      <c r="B44" s="1758">
        <f>+SUM(PENN!AF1289:AF1299)</f>
        <v>-28.844000000000001</v>
      </c>
      <c r="C44" s="1758">
        <f>+SUM(PENN!AK1289:AK1299)</f>
        <v>58.039999999999992</v>
      </c>
      <c r="D44" s="1758">
        <f>+SUM(PENN!AP1289:AP1299)</f>
        <v>50.692999999999998</v>
      </c>
      <c r="E44" s="1758">
        <f>+SUM(PENN!AU1289:AU1299)</f>
        <v>-31.283000000000001</v>
      </c>
      <c r="F44" s="1758">
        <f>+SUM(PENN!AZ1289:AZ1299)</f>
        <v>-58.853000000000002</v>
      </c>
      <c r="G44" s="1758">
        <f>+SUM(PENN!BE1289:BE1299)</f>
        <v>-17.847000000000001</v>
      </c>
    </row>
    <row r="45" spans="1:7" x14ac:dyDescent="0.25">
      <c r="A45" s="1755" t="s">
        <v>1623</v>
      </c>
      <c r="B45" s="1756">
        <f t="shared" ref="B45:G45" si="1">+B46-SUM(B41:B44)</f>
        <v>586.47500000000002</v>
      </c>
      <c r="C45" s="1756">
        <f t="shared" si="1"/>
        <v>286.61</v>
      </c>
      <c r="D45" s="1756">
        <f t="shared" si="1"/>
        <v>41.285000000000082</v>
      </c>
      <c r="E45" s="1756">
        <f t="shared" si="1"/>
        <v>36.169999999999845</v>
      </c>
      <c r="F45" s="1756">
        <f t="shared" si="1"/>
        <v>1220.6509999999998</v>
      </c>
      <c r="G45" s="1756">
        <f t="shared" si="1"/>
        <v>194.2420000000001</v>
      </c>
    </row>
    <row r="46" spans="1:7" x14ac:dyDescent="0.25">
      <c r="A46" s="1753" t="s">
        <v>1903</v>
      </c>
      <c r="B46" s="1757">
        <f>+PENN!AF1301</f>
        <v>338.24600000000004</v>
      </c>
      <c r="C46" s="1757">
        <f>+PENN!AK1301</f>
        <v>493.178</v>
      </c>
      <c r="D46" s="1757">
        <f>+PENN!AP1301</f>
        <v>567.36500000000012</v>
      </c>
      <c r="E46" s="1757">
        <f>+PENN!AU1301</f>
        <v>507.18899999999979</v>
      </c>
      <c r="F46" s="1757">
        <f>+PENN!AZ1301</f>
        <v>440.80200000000002</v>
      </c>
      <c r="G46" s="1757">
        <f>+PENN!BE1301</f>
        <v>262.22300000000018</v>
      </c>
    </row>
    <row r="47" spans="1:7" x14ac:dyDescent="0.25">
      <c r="A47" s="1750" t="s">
        <v>564</v>
      </c>
      <c r="B47" s="1758">
        <f>+PENN!AF1304+PENN!AF1306</f>
        <v>-302.44599999999997</v>
      </c>
      <c r="C47" s="1758">
        <f>+PENN!AK1304+PENN!AK1306</f>
        <v>-426.58699999999999</v>
      </c>
      <c r="D47" s="1758">
        <f>+PENN!AP1304+PENN!AP1306</f>
        <v>-393.47900000000004</v>
      </c>
      <c r="E47" s="1758">
        <f>+PENN!AU1304+PENN!AU1306</f>
        <v>-508.98500000000001</v>
      </c>
      <c r="F47" s="1758">
        <f>+PENN!AZ1304+PENN!AZ1306</f>
        <v>-200.58800000000002</v>
      </c>
      <c r="G47" s="1758">
        <f>+PENN!BE1304+PENN!BE1306</f>
        <v>-229.42999999999998</v>
      </c>
    </row>
    <row r="48" spans="1:7" x14ac:dyDescent="0.25">
      <c r="A48" s="1750" t="s">
        <v>563</v>
      </c>
      <c r="B48" s="1758">
        <f>+PENN!AF1311</f>
        <v>-9</v>
      </c>
      <c r="C48" s="1758">
        <f>+PENN!AK1311</f>
        <v>-230.5</v>
      </c>
      <c r="D48" s="1758">
        <f>+PENN!AP1311</f>
        <v>0</v>
      </c>
      <c r="E48" s="1758">
        <f>+PENN!AU1311</f>
        <v>-709.45</v>
      </c>
      <c r="F48" s="1758">
        <f>+PENN!AZ1311</f>
        <v>-7.2999999999999954E-2</v>
      </c>
      <c r="G48" s="1758">
        <f>+PENN!BE1311</f>
        <v>-118.678</v>
      </c>
    </row>
    <row r="49" spans="1:7" x14ac:dyDescent="0.25">
      <c r="A49" s="1755" t="s">
        <v>1758</v>
      </c>
      <c r="B49" s="1756">
        <f t="shared" ref="B49:G49" si="2">+B50-SUM(B47:B48)</f>
        <v>48.786999999999978</v>
      </c>
      <c r="C49" s="1756">
        <f t="shared" si="2"/>
        <v>-79.671000000000049</v>
      </c>
      <c r="D49" s="1756">
        <f t="shared" si="2"/>
        <v>54.677000000000021</v>
      </c>
      <c r="E49" s="1756">
        <f t="shared" si="2"/>
        <v>29.947999999999865</v>
      </c>
      <c r="F49" s="1756">
        <f t="shared" si="2"/>
        <v>-214.29599999999996</v>
      </c>
      <c r="G49" s="1756">
        <f t="shared" si="2"/>
        <v>-27.428000000000054</v>
      </c>
    </row>
    <row r="50" spans="1:7" x14ac:dyDescent="0.25">
      <c r="A50" s="1753" t="s">
        <v>1759</v>
      </c>
      <c r="B50" s="1757">
        <f>+PENN!AF1314</f>
        <v>-262.65899999999999</v>
      </c>
      <c r="C50" s="1757">
        <f>+PENN!AK1314</f>
        <v>-736.75800000000004</v>
      </c>
      <c r="D50" s="1757">
        <f>+PENN!AP1314</f>
        <v>-338.80200000000002</v>
      </c>
      <c r="E50" s="1757">
        <f>+PENN!AU1314</f>
        <v>-1188.4870000000001</v>
      </c>
      <c r="F50" s="1757">
        <f>+PENN!AZ1314</f>
        <v>-414.95699999999999</v>
      </c>
      <c r="G50" s="1757">
        <f>+PENN!BE1314</f>
        <v>-375.536</v>
      </c>
    </row>
    <row r="51" spans="1:7" x14ac:dyDescent="0.25">
      <c r="A51" s="1750" t="s">
        <v>1760</v>
      </c>
      <c r="B51" s="1758">
        <f>+PENN!AF1319</f>
        <v>-94.26400000000001</v>
      </c>
      <c r="C51" s="1758">
        <f>+PENN!AK1319</f>
        <v>-170.74399999999997</v>
      </c>
      <c r="D51" s="1758">
        <f>+PENN!AP1319</f>
        <v>-155.33899999999994</v>
      </c>
      <c r="E51" s="1758">
        <f>+PENN!AU1319</f>
        <v>667.81799999999998</v>
      </c>
      <c r="F51" s="1758">
        <f>+PENN!AZ1319</f>
        <v>610.73099999999977</v>
      </c>
      <c r="G51" s="1758">
        <f>+PENN!BE1319</f>
        <v>40.394000000000005</v>
      </c>
    </row>
    <row r="52" spans="1:7" x14ac:dyDescent="0.25">
      <c r="A52" s="1750" t="s">
        <v>1761</v>
      </c>
      <c r="B52" s="1758">
        <f t="shared" ref="B52:G52" si="3">+B53-B51</f>
        <v>-14.483000000000018</v>
      </c>
      <c r="C52" s="1758">
        <f t="shared" si="3"/>
        <v>-52.408999999999992</v>
      </c>
      <c r="D52" s="1758">
        <f t="shared" si="3"/>
        <v>-81.169000000000011</v>
      </c>
      <c r="E52" s="1758">
        <f t="shared" si="3"/>
        <v>35.507000000000062</v>
      </c>
      <c r="F52" s="1758">
        <f t="shared" si="3"/>
        <v>-604.048</v>
      </c>
      <c r="G52" s="1758">
        <f t="shared" si="3"/>
        <v>-11.403000000000002</v>
      </c>
    </row>
    <row r="53" spans="1:7" x14ac:dyDescent="0.25">
      <c r="A53" s="1763" t="s">
        <v>1762</v>
      </c>
      <c r="B53" s="1764">
        <f>+PENN!AF1326</f>
        <v>-108.74700000000003</v>
      </c>
      <c r="C53" s="1764">
        <f>+PENN!AK1326</f>
        <v>-223.15299999999996</v>
      </c>
      <c r="D53" s="1764">
        <f>+PENN!AP1326</f>
        <v>-236.50799999999995</v>
      </c>
      <c r="E53" s="1764">
        <f>+PENN!AU1326</f>
        <v>703.32500000000005</v>
      </c>
      <c r="F53" s="1764">
        <f>+PENN!AZ1326</f>
        <v>6.6829999999997085</v>
      </c>
      <c r="G53" s="1764">
        <f>+PENN!BE1326</f>
        <v>28.991000000000003</v>
      </c>
    </row>
    <row r="54" spans="1:7" x14ac:dyDescent="0.25">
      <c r="A54" s="1753" t="s">
        <v>1763</v>
      </c>
      <c r="B54" s="1757">
        <f>+PENN!AF1330</f>
        <v>-33.159999999999982</v>
      </c>
      <c r="C54" s="1757">
        <f>+PENN!AK1330</f>
        <v>-466.733</v>
      </c>
      <c r="D54" s="1757">
        <f>+PENN!AP1330</f>
        <v>-7.9449999999998511</v>
      </c>
      <c r="E54" s="1757">
        <f>+PENN!AU1330</f>
        <v>22.026999999999816</v>
      </c>
      <c r="F54" s="1757">
        <f>+PENN!AZ1330</f>
        <v>32.527999999999736</v>
      </c>
      <c r="G54" s="1757">
        <f>+PENN!BE1330</f>
        <v>-84.321999999999818</v>
      </c>
    </row>
  </sheetData>
  <phoneticPr fontId="39" type="noConversion"/>
  <pageMargins left="0.75" right="0.75" top="1" bottom="1" header="0.5" footer="0.5"/>
  <pageSetup orientation="portrait" horizontalDpi="1200" verticalDpi="12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3"/>
  <sheetViews>
    <sheetView workbookViewId="0">
      <selection activeCell="B42" sqref="B42"/>
    </sheetView>
  </sheetViews>
  <sheetFormatPr defaultRowHeight="12.75" x14ac:dyDescent="0.2"/>
  <cols>
    <col min="1" max="1" width="25.875" style="3587" bestFit="1" customWidth="1"/>
    <col min="2" max="2" width="17.375" style="3607" customWidth="1"/>
    <col min="3" max="3" width="10.5" style="3587" bestFit="1" customWidth="1"/>
    <col min="4" max="256" width="9" style="3587"/>
    <col min="257" max="257" width="25.875" style="3587" bestFit="1" customWidth="1"/>
    <col min="258" max="258" width="17.375" style="3587" customWidth="1"/>
    <col min="259" max="259" width="10.5" style="3587" bestFit="1" customWidth="1"/>
    <col min="260" max="512" width="9" style="3587"/>
    <col min="513" max="513" width="25.875" style="3587" bestFit="1" customWidth="1"/>
    <col min="514" max="514" width="17.375" style="3587" customWidth="1"/>
    <col min="515" max="515" width="10.5" style="3587" bestFit="1" customWidth="1"/>
    <col min="516" max="768" width="9" style="3587"/>
    <col min="769" max="769" width="25.875" style="3587" bestFit="1" customWidth="1"/>
    <col min="770" max="770" width="17.375" style="3587" customWidth="1"/>
    <col min="771" max="771" width="10.5" style="3587" bestFit="1" customWidth="1"/>
    <col min="772" max="1024" width="9" style="3587"/>
    <col min="1025" max="1025" width="25.875" style="3587" bestFit="1" customWidth="1"/>
    <col min="1026" max="1026" width="17.375" style="3587" customWidth="1"/>
    <col min="1027" max="1027" width="10.5" style="3587" bestFit="1" customWidth="1"/>
    <col min="1028" max="1280" width="9" style="3587"/>
    <col min="1281" max="1281" width="25.875" style="3587" bestFit="1" customWidth="1"/>
    <col min="1282" max="1282" width="17.375" style="3587" customWidth="1"/>
    <col min="1283" max="1283" width="10.5" style="3587" bestFit="1" customWidth="1"/>
    <col min="1284" max="1536" width="9" style="3587"/>
    <col min="1537" max="1537" width="25.875" style="3587" bestFit="1" customWidth="1"/>
    <col min="1538" max="1538" width="17.375" style="3587" customWidth="1"/>
    <col min="1539" max="1539" width="10.5" style="3587" bestFit="1" customWidth="1"/>
    <col min="1540" max="1792" width="9" style="3587"/>
    <col min="1793" max="1793" width="25.875" style="3587" bestFit="1" customWidth="1"/>
    <col min="1794" max="1794" width="17.375" style="3587" customWidth="1"/>
    <col min="1795" max="1795" width="10.5" style="3587" bestFit="1" customWidth="1"/>
    <col min="1796" max="2048" width="9" style="3587"/>
    <col min="2049" max="2049" width="25.875" style="3587" bestFit="1" customWidth="1"/>
    <col min="2050" max="2050" width="17.375" style="3587" customWidth="1"/>
    <col min="2051" max="2051" width="10.5" style="3587" bestFit="1" customWidth="1"/>
    <col min="2052" max="2304" width="9" style="3587"/>
    <col min="2305" max="2305" width="25.875" style="3587" bestFit="1" customWidth="1"/>
    <col min="2306" max="2306" width="17.375" style="3587" customWidth="1"/>
    <col min="2307" max="2307" width="10.5" style="3587" bestFit="1" customWidth="1"/>
    <col min="2308" max="2560" width="9" style="3587"/>
    <col min="2561" max="2561" width="25.875" style="3587" bestFit="1" customWidth="1"/>
    <col min="2562" max="2562" width="17.375" style="3587" customWidth="1"/>
    <col min="2563" max="2563" width="10.5" style="3587" bestFit="1" customWidth="1"/>
    <col min="2564" max="2816" width="9" style="3587"/>
    <col min="2817" max="2817" width="25.875" style="3587" bestFit="1" customWidth="1"/>
    <col min="2818" max="2818" width="17.375" style="3587" customWidth="1"/>
    <col min="2819" max="2819" width="10.5" style="3587" bestFit="1" customWidth="1"/>
    <col min="2820" max="3072" width="9" style="3587"/>
    <col min="3073" max="3073" width="25.875" style="3587" bestFit="1" customWidth="1"/>
    <col min="3074" max="3074" width="17.375" style="3587" customWidth="1"/>
    <col min="3075" max="3075" width="10.5" style="3587" bestFit="1" customWidth="1"/>
    <col min="3076" max="3328" width="9" style="3587"/>
    <col min="3329" max="3329" width="25.875" style="3587" bestFit="1" customWidth="1"/>
    <col min="3330" max="3330" width="17.375" style="3587" customWidth="1"/>
    <col min="3331" max="3331" width="10.5" style="3587" bestFit="1" customWidth="1"/>
    <col min="3332" max="3584" width="9" style="3587"/>
    <col min="3585" max="3585" width="25.875" style="3587" bestFit="1" customWidth="1"/>
    <col min="3586" max="3586" width="17.375" style="3587" customWidth="1"/>
    <col min="3587" max="3587" width="10.5" style="3587" bestFit="1" customWidth="1"/>
    <col min="3588" max="3840" width="9" style="3587"/>
    <col min="3841" max="3841" width="25.875" style="3587" bestFit="1" customWidth="1"/>
    <col min="3842" max="3842" width="17.375" style="3587" customWidth="1"/>
    <col min="3843" max="3843" width="10.5" style="3587" bestFit="1" customWidth="1"/>
    <col min="3844" max="4096" width="9" style="3587"/>
    <col min="4097" max="4097" width="25.875" style="3587" bestFit="1" customWidth="1"/>
    <col min="4098" max="4098" width="17.375" style="3587" customWidth="1"/>
    <col min="4099" max="4099" width="10.5" style="3587" bestFit="1" customWidth="1"/>
    <col min="4100" max="4352" width="9" style="3587"/>
    <col min="4353" max="4353" width="25.875" style="3587" bestFit="1" customWidth="1"/>
    <col min="4354" max="4354" width="17.375" style="3587" customWidth="1"/>
    <col min="4355" max="4355" width="10.5" style="3587" bestFit="1" customWidth="1"/>
    <col min="4356" max="4608" width="9" style="3587"/>
    <col min="4609" max="4609" width="25.875" style="3587" bestFit="1" customWidth="1"/>
    <col min="4610" max="4610" width="17.375" style="3587" customWidth="1"/>
    <col min="4611" max="4611" width="10.5" style="3587" bestFit="1" customWidth="1"/>
    <col min="4612" max="4864" width="9" style="3587"/>
    <col min="4865" max="4865" width="25.875" style="3587" bestFit="1" customWidth="1"/>
    <col min="4866" max="4866" width="17.375" style="3587" customWidth="1"/>
    <col min="4867" max="4867" width="10.5" style="3587" bestFit="1" customWidth="1"/>
    <col min="4868" max="5120" width="9" style="3587"/>
    <col min="5121" max="5121" width="25.875" style="3587" bestFit="1" customWidth="1"/>
    <col min="5122" max="5122" width="17.375" style="3587" customWidth="1"/>
    <col min="5123" max="5123" width="10.5" style="3587" bestFit="1" customWidth="1"/>
    <col min="5124" max="5376" width="9" style="3587"/>
    <col min="5377" max="5377" width="25.875" style="3587" bestFit="1" customWidth="1"/>
    <col min="5378" max="5378" width="17.375" style="3587" customWidth="1"/>
    <col min="5379" max="5379" width="10.5" style="3587" bestFit="1" customWidth="1"/>
    <col min="5380" max="5632" width="9" style="3587"/>
    <col min="5633" max="5633" width="25.875" style="3587" bestFit="1" customWidth="1"/>
    <col min="5634" max="5634" width="17.375" style="3587" customWidth="1"/>
    <col min="5635" max="5635" width="10.5" style="3587" bestFit="1" customWidth="1"/>
    <col min="5636" max="5888" width="9" style="3587"/>
    <col min="5889" max="5889" width="25.875" style="3587" bestFit="1" customWidth="1"/>
    <col min="5890" max="5890" width="17.375" style="3587" customWidth="1"/>
    <col min="5891" max="5891" width="10.5" style="3587" bestFit="1" customWidth="1"/>
    <col min="5892" max="6144" width="9" style="3587"/>
    <col min="6145" max="6145" width="25.875" style="3587" bestFit="1" customWidth="1"/>
    <col min="6146" max="6146" width="17.375" style="3587" customWidth="1"/>
    <col min="6147" max="6147" width="10.5" style="3587" bestFit="1" customWidth="1"/>
    <col min="6148" max="6400" width="9" style="3587"/>
    <col min="6401" max="6401" width="25.875" style="3587" bestFit="1" customWidth="1"/>
    <col min="6402" max="6402" width="17.375" style="3587" customWidth="1"/>
    <col min="6403" max="6403" width="10.5" style="3587" bestFit="1" customWidth="1"/>
    <col min="6404" max="6656" width="9" style="3587"/>
    <col min="6657" max="6657" width="25.875" style="3587" bestFit="1" customWidth="1"/>
    <col min="6658" max="6658" width="17.375" style="3587" customWidth="1"/>
    <col min="6659" max="6659" width="10.5" style="3587" bestFit="1" customWidth="1"/>
    <col min="6660" max="6912" width="9" style="3587"/>
    <col min="6913" max="6913" width="25.875" style="3587" bestFit="1" customWidth="1"/>
    <col min="6914" max="6914" width="17.375" style="3587" customWidth="1"/>
    <col min="6915" max="6915" width="10.5" style="3587" bestFit="1" customWidth="1"/>
    <col min="6916" max="7168" width="9" style="3587"/>
    <col min="7169" max="7169" width="25.875" style="3587" bestFit="1" customWidth="1"/>
    <col min="7170" max="7170" width="17.375" style="3587" customWidth="1"/>
    <col min="7171" max="7171" width="10.5" style="3587" bestFit="1" customWidth="1"/>
    <col min="7172" max="7424" width="9" style="3587"/>
    <col min="7425" max="7425" width="25.875" style="3587" bestFit="1" customWidth="1"/>
    <col min="7426" max="7426" width="17.375" style="3587" customWidth="1"/>
    <col min="7427" max="7427" width="10.5" style="3587" bestFit="1" customWidth="1"/>
    <col min="7428" max="7680" width="9" style="3587"/>
    <col min="7681" max="7681" width="25.875" style="3587" bestFit="1" customWidth="1"/>
    <col min="7682" max="7682" width="17.375" style="3587" customWidth="1"/>
    <col min="7683" max="7683" width="10.5" style="3587" bestFit="1" customWidth="1"/>
    <col min="7684" max="7936" width="9" style="3587"/>
    <col min="7937" max="7937" width="25.875" style="3587" bestFit="1" customWidth="1"/>
    <col min="7938" max="7938" width="17.375" style="3587" customWidth="1"/>
    <col min="7939" max="7939" width="10.5" style="3587" bestFit="1" customWidth="1"/>
    <col min="7940" max="8192" width="9" style="3587"/>
    <col min="8193" max="8193" width="25.875" style="3587" bestFit="1" customWidth="1"/>
    <col min="8194" max="8194" width="17.375" style="3587" customWidth="1"/>
    <col min="8195" max="8195" width="10.5" style="3587" bestFit="1" customWidth="1"/>
    <col min="8196" max="8448" width="9" style="3587"/>
    <col min="8449" max="8449" width="25.875" style="3587" bestFit="1" customWidth="1"/>
    <col min="8450" max="8450" width="17.375" style="3587" customWidth="1"/>
    <col min="8451" max="8451" width="10.5" style="3587" bestFit="1" customWidth="1"/>
    <col min="8452" max="8704" width="9" style="3587"/>
    <col min="8705" max="8705" width="25.875" style="3587" bestFit="1" customWidth="1"/>
    <col min="8706" max="8706" width="17.375" style="3587" customWidth="1"/>
    <col min="8707" max="8707" width="10.5" style="3587" bestFit="1" customWidth="1"/>
    <col min="8708" max="8960" width="9" style="3587"/>
    <col min="8961" max="8961" width="25.875" style="3587" bestFit="1" customWidth="1"/>
    <col min="8962" max="8962" width="17.375" style="3587" customWidth="1"/>
    <col min="8963" max="8963" width="10.5" style="3587" bestFit="1" customWidth="1"/>
    <col min="8964" max="9216" width="9" style="3587"/>
    <col min="9217" max="9217" width="25.875" style="3587" bestFit="1" customWidth="1"/>
    <col min="9218" max="9218" width="17.375" style="3587" customWidth="1"/>
    <col min="9219" max="9219" width="10.5" style="3587" bestFit="1" customWidth="1"/>
    <col min="9220" max="9472" width="9" style="3587"/>
    <col min="9473" max="9473" width="25.875" style="3587" bestFit="1" customWidth="1"/>
    <col min="9474" max="9474" width="17.375" style="3587" customWidth="1"/>
    <col min="9475" max="9475" width="10.5" style="3587" bestFit="1" customWidth="1"/>
    <col min="9476" max="9728" width="9" style="3587"/>
    <col min="9729" max="9729" width="25.875" style="3587" bestFit="1" customWidth="1"/>
    <col min="9730" max="9730" width="17.375" style="3587" customWidth="1"/>
    <col min="9731" max="9731" width="10.5" style="3587" bestFit="1" customWidth="1"/>
    <col min="9732" max="9984" width="9" style="3587"/>
    <col min="9985" max="9985" width="25.875" style="3587" bestFit="1" customWidth="1"/>
    <col min="9986" max="9986" width="17.375" style="3587" customWidth="1"/>
    <col min="9987" max="9987" width="10.5" style="3587" bestFit="1" customWidth="1"/>
    <col min="9988" max="10240" width="9" style="3587"/>
    <col min="10241" max="10241" width="25.875" style="3587" bestFit="1" customWidth="1"/>
    <col min="10242" max="10242" width="17.375" style="3587" customWidth="1"/>
    <col min="10243" max="10243" width="10.5" style="3587" bestFit="1" customWidth="1"/>
    <col min="10244" max="10496" width="9" style="3587"/>
    <col min="10497" max="10497" width="25.875" style="3587" bestFit="1" customWidth="1"/>
    <col min="10498" max="10498" width="17.375" style="3587" customWidth="1"/>
    <col min="10499" max="10499" width="10.5" style="3587" bestFit="1" customWidth="1"/>
    <col min="10500" max="10752" width="9" style="3587"/>
    <col min="10753" max="10753" width="25.875" style="3587" bestFit="1" customWidth="1"/>
    <col min="10754" max="10754" width="17.375" style="3587" customWidth="1"/>
    <col min="10755" max="10755" width="10.5" style="3587" bestFit="1" customWidth="1"/>
    <col min="10756" max="11008" width="9" style="3587"/>
    <col min="11009" max="11009" width="25.875" style="3587" bestFit="1" customWidth="1"/>
    <col min="11010" max="11010" width="17.375" style="3587" customWidth="1"/>
    <col min="11011" max="11011" width="10.5" style="3587" bestFit="1" customWidth="1"/>
    <col min="11012" max="11264" width="9" style="3587"/>
    <col min="11265" max="11265" width="25.875" style="3587" bestFit="1" customWidth="1"/>
    <col min="11266" max="11266" width="17.375" style="3587" customWidth="1"/>
    <col min="11267" max="11267" width="10.5" style="3587" bestFit="1" customWidth="1"/>
    <col min="11268" max="11520" width="9" style="3587"/>
    <col min="11521" max="11521" width="25.875" style="3587" bestFit="1" customWidth="1"/>
    <col min="11522" max="11522" width="17.375" style="3587" customWidth="1"/>
    <col min="11523" max="11523" width="10.5" style="3587" bestFit="1" customWidth="1"/>
    <col min="11524" max="11776" width="9" style="3587"/>
    <col min="11777" max="11777" width="25.875" style="3587" bestFit="1" customWidth="1"/>
    <col min="11778" max="11778" width="17.375" style="3587" customWidth="1"/>
    <col min="11779" max="11779" width="10.5" style="3587" bestFit="1" customWidth="1"/>
    <col min="11780" max="12032" width="9" style="3587"/>
    <col min="12033" max="12033" width="25.875" style="3587" bestFit="1" customWidth="1"/>
    <col min="12034" max="12034" width="17.375" style="3587" customWidth="1"/>
    <col min="12035" max="12035" width="10.5" style="3587" bestFit="1" customWidth="1"/>
    <col min="12036" max="12288" width="9" style="3587"/>
    <col min="12289" max="12289" width="25.875" style="3587" bestFit="1" customWidth="1"/>
    <col min="12290" max="12290" width="17.375" style="3587" customWidth="1"/>
    <col min="12291" max="12291" width="10.5" style="3587" bestFit="1" customWidth="1"/>
    <col min="12292" max="12544" width="9" style="3587"/>
    <col min="12545" max="12545" width="25.875" style="3587" bestFit="1" customWidth="1"/>
    <col min="12546" max="12546" width="17.375" style="3587" customWidth="1"/>
    <col min="12547" max="12547" width="10.5" style="3587" bestFit="1" customWidth="1"/>
    <col min="12548" max="12800" width="9" style="3587"/>
    <col min="12801" max="12801" width="25.875" style="3587" bestFit="1" customWidth="1"/>
    <col min="12802" max="12802" width="17.375" style="3587" customWidth="1"/>
    <col min="12803" max="12803" width="10.5" style="3587" bestFit="1" customWidth="1"/>
    <col min="12804" max="13056" width="9" style="3587"/>
    <col min="13057" max="13057" width="25.875" style="3587" bestFit="1" customWidth="1"/>
    <col min="13058" max="13058" width="17.375" style="3587" customWidth="1"/>
    <col min="13059" max="13059" width="10.5" style="3587" bestFit="1" customWidth="1"/>
    <col min="13060" max="13312" width="9" style="3587"/>
    <col min="13313" max="13313" width="25.875" style="3587" bestFit="1" customWidth="1"/>
    <col min="13314" max="13314" width="17.375" style="3587" customWidth="1"/>
    <col min="13315" max="13315" width="10.5" style="3587" bestFit="1" customWidth="1"/>
    <col min="13316" max="13568" width="9" style="3587"/>
    <col min="13569" max="13569" width="25.875" style="3587" bestFit="1" customWidth="1"/>
    <col min="13570" max="13570" width="17.375" style="3587" customWidth="1"/>
    <col min="13571" max="13571" width="10.5" style="3587" bestFit="1" customWidth="1"/>
    <col min="13572" max="13824" width="9" style="3587"/>
    <col min="13825" max="13825" width="25.875" style="3587" bestFit="1" customWidth="1"/>
    <col min="13826" max="13826" width="17.375" style="3587" customWidth="1"/>
    <col min="13827" max="13827" width="10.5" style="3587" bestFit="1" customWidth="1"/>
    <col min="13828" max="14080" width="9" style="3587"/>
    <col min="14081" max="14081" width="25.875" style="3587" bestFit="1" customWidth="1"/>
    <col min="14082" max="14082" width="17.375" style="3587" customWidth="1"/>
    <col min="14083" max="14083" width="10.5" style="3587" bestFit="1" customWidth="1"/>
    <col min="14084" max="14336" width="9" style="3587"/>
    <col min="14337" max="14337" width="25.875" style="3587" bestFit="1" customWidth="1"/>
    <col min="14338" max="14338" width="17.375" style="3587" customWidth="1"/>
    <col min="14339" max="14339" width="10.5" style="3587" bestFit="1" customWidth="1"/>
    <col min="14340" max="14592" width="9" style="3587"/>
    <col min="14593" max="14593" width="25.875" style="3587" bestFit="1" customWidth="1"/>
    <col min="14594" max="14594" width="17.375" style="3587" customWidth="1"/>
    <col min="14595" max="14595" width="10.5" style="3587" bestFit="1" customWidth="1"/>
    <col min="14596" max="14848" width="9" style="3587"/>
    <col min="14849" max="14849" width="25.875" style="3587" bestFit="1" customWidth="1"/>
    <col min="14850" max="14850" width="17.375" style="3587" customWidth="1"/>
    <col min="14851" max="14851" width="10.5" style="3587" bestFit="1" customWidth="1"/>
    <col min="14852" max="15104" width="9" style="3587"/>
    <col min="15105" max="15105" width="25.875" style="3587" bestFit="1" customWidth="1"/>
    <col min="15106" max="15106" width="17.375" style="3587" customWidth="1"/>
    <col min="15107" max="15107" width="10.5" style="3587" bestFit="1" customWidth="1"/>
    <col min="15108" max="15360" width="9" style="3587"/>
    <col min="15361" max="15361" width="25.875" style="3587" bestFit="1" customWidth="1"/>
    <col min="15362" max="15362" width="17.375" style="3587" customWidth="1"/>
    <col min="15363" max="15363" width="10.5" style="3587" bestFit="1" customWidth="1"/>
    <col min="15364" max="15616" width="9" style="3587"/>
    <col min="15617" max="15617" width="25.875" style="3587" bestFit="1" customWidth="1"/>
    <col min="15618" max="15618" width="17.375" style="3587" customWidth="1"/>
    <col min="15619" max="15619" width="10.5" style="3587" bestFit="1" customWidth="1"/>
    <col min="15620" max="15872" width="9" style="3587"/>
    <col min="15873" max="15873" width="25.875" style="3587" bestFit="1" customWidth="1"/>
    <col min="15874" max="15874" width="17.375" style="3587" customWidth="1"/>
    <col min="15875" max="15875" width="10.5" style="3587" bestFit="1" customWidth="1"/>
    <col min="15876" max="16128" width="9" style="3587"/>
    <col min="16129" max="16129" width="25.875" style="3587" bestFit="1" customWidth="1"/>
    <col min="16130" max="16130" width="17.375" style="3587" customWidth="1"/>
    <col min="16131" max="16131" width="10.5" style="3587" bestFit="1" customWidth="1"/>
    <col min="16132" max="16384" width="9" style="3587"/>
  </cols>
  <sheetData>
    <row r="1" spans="1:2" x14ac:dyDescent="0.2">
      <c r="A1" s="3587" t="s">
        <v>2996</v>
      </c>
      <c r="B1" s="3606">
        <v>6.1</v>
      </c>
    </row>
    <row r="2" spans="1:2" x14ac:dyDescent="0.2">
      <c r="A2" s="3587" t="s">
        <v>2997</v>
      </c>
      <c r="B2" s="3610">
        <v>43214.317673611113</v>
      </c>
    </row>
    <row r="3" spans="1:2" x14ac:dyDescent="0.2">
      <c r="A3" s="3587" t="s">
        <v>2998</v>
      </c>
      <c r="B3" s="3607" t="s">
        <v>2699</v>
      </c>
    </row>
    <row r="4" spans="1:2" x14ac:dyDescent="0.2">
      <c r="A4" s="3587" t="s">
        <v>2999</v>
      </c>
      <c r="B4" s="3607" t="s">
        <v>1988</v>
      </c>
    </row>
    <row r="5" spans="1:2" x14ac:dyDescent="0.2">
      <c r="A5" s="3587" t="s">
        <v>3000</v>
      </c>
      <c r="B5" s="3607" t="s">
        <v>3001</v>
      </c>
    </row>
    <row r="6" spans="1:2" x14ac:dyDescent="0.2">
      <c r="A6" s="3587" t="s">
        <v>3002</v>
      </c>
    </row>
    <row r="7" spans="1:2" x14ac:dyDescent="0.2">
      <c r="A7" s="3587" t="s">
        <v>3003</v>
      </c>
      <c r="B7" s="3607" t="s">
        <v>1633</v>
      </c>
    </row>
    <row r="8" spans="1:2" x14ac:dyDescent="0.2">
      <c r="A8" s="3587" t="s">
        <v>3004</v>
      </c>
      <c r="B8" s="3607" t="s">
        <v>3005</v>
      </c>
    </row>
    <row r="9" spans="1:2" x14ac:dyDescent="0.2">
      <c r="A9" s="3587" t="s">
        <v>3006</v>
      </c>
      <c r="B9" s="3607" t="s">
        <v>3043</v>
      </c>
    </row>
    <row r="10" spans="1:2" x14ac:dyDescent="0.2">
      <c r="A10" s="3587" t="s">
        <v>3007</v>
      </c>
    </row>
    <row r="11" spans="1:2" x14ac:dyDescent="0.2">
      <c r="A11" s="3587" t="s">
        <v>3008</v>
      </c>
    </row>
    <row r="12" spans="1:2" x14ac:dyDescent="0.2">
      <c r="A12" s="3587" t="s">
        <v>3009</v>
      </c>
    </row>
    <row r="13" spans="1:2" x14ac:dyDescent="0.2">
      <c r="A13" s="3587" t="s">
        <v>3010</v>
      </c>
    </row>
    <row r="14" spans="1:2" x14ac:dyDescent="0.2">
      <c r="A14" s="3587" t="s">
        <v>3011</v>
      </c>
    </row>
    <row r="15" spans="1:2" x14ac:dyDescent="0.2">
      <c r="A15" s="3587" t="s">
        <v>3012</v>
      </c>
    </row>
    <row r="16" spans="1:2" x14ac:dyDescent="0.2">
      <c r="A16" s="3587" t="s">
        <v>3013</v>
      </c>
    </row>
    <row r="17" spans="1:4" x14ac:dyDescent="0.2">
      <c r="A17" s="3587" t="s">
        <v>3014</v>
      </c>
      <c r="B17" s="3607" t="s">
        <v>3044</v>
      </c>
    </row>
    <row r="18" spans="1:4" x14ac:dyDescent="0.2">
      <c r="A18" s="3587" t="s">
        <v>3015</v>
      </c>
      <c r="B18" s="3607" t="s">
        <v>2700</v>
      </c>
    </row>
    <row r="19" spans="1:4" x14ac:dyDescent="0.2">
      <c r="A19" s="3587" t="s">
        <v>3016</v>
      </c>
      <c r="B19" s="3607" t="s">
        <v>1214</v>
      </c>
    </row>
    <row r="20" spans="1:4" x14ac:dyDescent="0.2">
      <c r="A20" s="3587" t="s">
        <v>3017</v>
      </c>
      <c r="B20" s="3608">
        <v>707569109</v>
      </c>
    </row>
    <row r="21" spans="1:4" x14ac:dyDescent="0.2">
      <c r="A21" s="3587" t="s">
        <v>3018</v>
      </c>
      <c r="B21" s="3607" t="s">
        <v>1214</v>
      </c>
    </row>
    <row r="22" spans="1:4" x14ac:dyDescent="0.2">
      <c r="A22" s="3587" t="s">
        <v>3019</v>
      </c>
      <c r="B22" s="3608">
        <v>2682105</v>
      </c>
    </row>
    <row r="23" spans="1:4" x14ac:dyDescent="0.2">
      <c r="A23" s="3587" t="s">
        <v>19</v>
      </c>
      <c r="B23" s="3606">
        <v>27.51</v>
      </c>
    </row>
    <row r="24" spans="1:4" x14ac:dyDescent="0.2">
      <c r="A24" s="3587" t="s">
        <v>488</v>
      </c>
      <c r="B24" s="3607" t="s">
        <v>2168</v>
      </c>
      <c r="D24" s="3587" t="s">
        <v>2530</v>
      </c>
    </row>
    <row r="25" spans="1:4" x14ac:dyDescent="0.2">
      <c r="A25" s="3587" t="s">
        <v>3020</v>
      </c>
      <c r="B25" s="3607" t="s">
        <v>3047</v>
      </c>
    </row>
    <row r="26" spans="1:4" x14ac:dyDescent="0.2">
      <c r="A26" s="3587" t="s">
        <v>3021</v>
      </c>
      <c r="B26" s="3607">
        <v>0</v>
      </c>
    </row>
    <row r="27" spans="1:4" x14ac:dyDescent="0.2">
      <c r="A27" s="3587" t="s">
        <v>3022</v>
      </c>
      <c r="B27" s="3607" t="s">
        <v>3023</v>
      </c>
    </row>
    <row r="28" spans="1:4" x14ac:dyDescent="0.2">
      <c r="A28" s="3587" t="s">
        <v>3024</v>
      </c>
      <c r="B28" s="3607" t="s">
        <v>3025</v>
      </c>
    </row>
    <row r="29" spans="1:4" x14ac:dyDescent="0.2">
      <c r="A29" s="3587" t="s">
        <v>3026</v>
      </c>
    </row>
    <row r="30" spans="1:4" x14ac:dyDescent="0.2">
      <c r="A30" s="3587" t="s">
        <v>3027</v>
      </c>
    </row>
    <row r="31" spans="1:4" x14ac:dyDescent="0.2">
      <c r="A31" s="3587" t="s">
        <v>3028</v>
      </c>
    </row>
    <row r="32" spans="1:4" x14ac:dyDescent="0.2">
      <c r="A32" s="3587" t="s">
        <v>3029</v>
      </c>
      <c r="B32" s="3606"/>
    </row>
    <row r="33" spans="1:2" x14ac:dyDescent="0.2">
      <c r="A33" s="3587" t="s">
        <v>3030</v>
      </c>
      <c r="B33" s="3606"/>
    </row>
    <row r="34" spans="1:2" x14ac:dyDescent="0.2">
      <c r="A34" s="3587" t="s">
        <v>3031</v>
      </c>
      <c r="B34" s="3606"/>
    </row>
    <row r="35" spans="1:2" x14ac:dyDescent="0.2">
      <c r="A35" s="3587" t="s">
        <v>3032</v>
      </c>
      <c r="B35" s="3607">
        <v>1000000</v>
      </c>
    </row>
    <row r="36" spans="1:2" x14ac:dyDescent="0.2">
      <c r="A36" s="3587" t="s">
        <v>3033</v>
      </c>
      <c r="B36" s="3607" t="s">
        <v>3045</v>
      </c>
    </row>
    <row r="37" spans="1:2" x14ac:dyDescent="0.2">
      <c r="A37" s="3587" t="s">
        <v>3034</v>
      </c>
      <c r="B37" s="3607" t="s">
        <v>3035</v>
      </c>
    </row>
    <row r="38" spans="1:2" x14ac:dyDescent="0.2">
      <c r="A38" s="3587" t="s">
        <v>3036</v>
      </c>
      <c r="B38" s="3607" t="s">
        <v>3037</v>
      </c>
    </row>
    <row r="39" spans="1:2" x14ac:dyDescent="0.2">
      <c r="A39" s="3587" t="s">
        <v>3038</v>
      </c>
      <c r="B39" s="3607" t="s">
        <v>3046</v>
      </c>
    </row>
    <row r="40" spans="1:2" x14ac:dyDescent="0.2">
      <c r="A40" s="3587" t="s">
        <v>3039</v>
      </c>
      <c r="B40" s="3607">
        <v>1500004839</v>
      </c>
    </row>
    <row r="41" spans="1:2" x14ac:dyDescent="0.2">
      <c r="A41" s="3587" t="s">
        <v>3040</v>
      </c>
      <c r="B41" s="3607">
        <v>1</v>
      </c>
    </row>
    <row r="42" spans="1:2" x14ac:dyDescent="0.2">
      <c r="A42" s="3609" t="s">
        <v>3041</v>
      </c>
    </row>
    <row r="43" spans="1:2" x14ac:dyDescent="0.2">
      <c r="A43" s="3587" t="s">
        <v>3042</v>
      </c>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13"/>
  <sheetViews>
    <sheetView workbookViewId="0">
      <selection activeCell="E11" sqref="E11"/>
    </sheetView>
  </sheetViews>
  <sheetFormatPr defaultRowHeight="12.75" x14ac:dyDescent="0.2"/>
  <cols>
    <col min="1" max="1" width="25" style="3587" bestFit="1" customWidth="1"/>
    <col min="2" max="256" width="9" style="3587"/>
    <col min="257" max="257" width="25" style="3587" bestFit="1" customWidth="1"/>
    <col min="258" max="512" width="9" style="3587"/>
    <col min="513" max="513" width="25" style="3587" bestFit="1" customWidth="1"/>
    <col min="514" max="768" width="9" style="3587"/>
    <col min="769" max="769" width="25" style="3587" bestFit="1" customWidth="1"/>
    <col min="770" max="1024" width="9" style="3587"/>
    <col min="1025" max="1025" width="25" style="3587" bestFit="1" customWidth="1"/>
    <col min="1026" max="1280" width="9" style="3587"/>
    <col min="1281" max="1281" width="25" style="3587" bestFit="1" customWidth="1"/>
    <col min="1282" max="1536" width="9" style="3587"/>
    <col min="1537" max="1537" width="25" style="3587" bestFit="1" customWidth="1"/>
    <col min="1538" max="1792" width="9" style="3587"/>
    <col min="1793" max="1793" width="25" style="3587" bestFit="1" customWidth="1"/>
    <col min="1794" max="2048" width="9" style="3587"/>
    <col min="2049" max="2049" width="25" style="3587" bestFit="1" customWidth="1"/>
    <col min="2050" max="2304" width="9" style="3587"/>
    <col min="2305" max="2305" width="25" style="3587" bestFit="1" customWidth="1"/>
    <col min="2306" max="2560" width="9" style="3587"/>
    <col min="2561" max="2561" width="25" style="3587" bestFit="1" customWidth="1"/>
    <col min="2562" max="2816" width="9" style="3587"/>
    <col min="2817" max="2817" width="25" style="3587" bestFit="1" customWidth="1"/>
    <col min="2818" max="3072" width="9" style="3587"/>
    <col min="3073" max="3073" width="25" style="3587" bestFit="1" customWidth="1"/>
    <col min="3074" max="3328" width="9" style="3587"/>
    <col min="3329" max="3329" width="25" style="3587" bestFit="1" customWidth="1"/>
    <col min="3330" max="3584" width="9" style="3587"/>
    <col min="3585" max="3585" width="25" style="3587" bestFit="1" customWidth="1"/>
    <col min="3586" max="3840" width="9" style="3587"/>
    <col min="3841" max="3841" width="25" style="3587" bestFit="1" customWidth="1"/>
    <col min="3842" max="4096" width="9" style="3587"/>
    <col min="4097" max="4097" width="25" style="3587" bestFit="1" customWidth="1"/>
    <col min="4098" max="4352" width="9" style="3587"/>
    <col min="4353" max="4353" width="25" style="3587" bestFit="1" customWidth="1"/>
    <col min="4354" max="4608" width="9" style="3587"/>
    <col min="4609" max="4609" width="25" style="3587" bestFit="1" customWidth="1"/>
    <col min="4610" max="4864" width="9" style="3587"/>
    <col min="4865" max="4865" width="25" style="3587" bestFit="1" customWidth="1"/>
    <col min="4866" max="5120" width="9" style="3587"/>
    <col min="5121" max="5121" width="25" style="3587" bestFit="1" customWidth="1"/>
    <col min="5122" max="5376" width="9" style="3587"/>
    <col min="5377" max="5377" width="25" style="3587" bestFit="1" customWidth="1"/>
    <col min="5378" max="5632" width="9" style="3587"/>
    <col min="5633" max="5633" width="25" style="3587" bestFit="1" customWidth="1"/>
    <col min="5634" max="5888" width="9" style="3587"/>
    <col min="5889" max="5889" width="25" style="3587" bestFit="1" customWidth="1"/>
    <col min="5890" max="6144" width="9" style="3587"/>
    <col min="6145" max="6145" width="25" style="3587" bestFit="1" customWidth="1"/>
    <col min="6146" max="6400" width="9" style="3587"/>
    <col min="6401" max="6401" width="25" style="3587" bestFit="1" customWidth="1"/>
    <col min="6402" max="6656" width="9" style="3587"/>
    <col min="6657" max="6657" width="25" style="3587" bestFit="1" customWidth="1"/>
    <col min="6658" max="6912" width="9" style="3587"/>
    <col min="6913" max="6913" width="25" style="3587" bestFit="1" customWidth="1"/>
    <col min="6914" max="7168" width="9" style="3587"/>
    <col min="7169" max="7169" width="25" style="3587" bestFit="1" customWidth="1"/>
    <col min="7170" max="7424" width="9" style="3587"/>
    <col min="7425" max="7425" width="25" style="3587" bestFit="1" customWidth="1"/>
    <col min="7426" max="7680" width="9" style="3587"/>
    <col min="7681" max="7681" width="25" style="3587" bestFit="1" customWidth="1"/>
    <col min="7682" max="7936" width="9" style="3587"/>
    <col min="7937" max="7937" width="25" style="3587" bestFit="1" customWidth="1"/>
    <col min="7938" max="8192" width="9" style="3587"/>
    <col min="8193" max="8193" width="25" style="3587" bestFit="1" customWidth="1"/>
    <col min="8194" max="8448" width="9" style="3587"/>
    <col min="8449" max="8449" width="25" style="3587" bestFit="1" customWidth="1"/>
    <col min="8450" max="8704" width="9" style="3587"/>
    <col min="8705" max="8705" width="25" style="3587" bestFit="1" customWidth="1"/>
    <col min="8706" max="8960" width="9" style="3587"/>
    <col min="8961" max="8961" width="25" style="3587" bestFit="1" customWidth="1"/>
    <col min="8962" max="9216" width="9" style="3587"/>
    <col min="9217" max="9217" width="25" style="3587" bestFit="1" customWidth="1"/>
    <col min="9218" max="9472" width="9" style="3587"/>
    <col min="9473" max="9473" width="25" style="3587" bestFit="1" customWidth="1"/>
    <col min="9474" max="9728" width="9" style="3587"/>
    <col min="9729" max="9729" width="25" style="3587" bestFit="1" customWidth="1"/>
    <col min="9730" max="9984" width="9" style="3587"/>
    <col min="9985" max="9985" width="25" style="3587" bestFit="1" customWidth="1"/>
    <col min="9986" max="10240" width="9" style="3587"/>
    <col min="10241" max="10241" width="25" style="3587" bestFit="1" customWidth="1"/>
    <col min="10242" max="10496" width="9" style="3587"/>
    <col min="10497" max="10497" width="25" style="3587" bestFit="1" customWidth="1"/>
    <col min="10498" max="10752" width="9" style="3587"/>
    <col min="10753" max="10753" width="25" style="3587" bestFit="1" customWidth="1"/>
    <col min="10754" max="11008" width="9" style="3587"/>
    <col min="11009" max="11009" width="25" style="3587" bestFit="1" customWidth="1"/>
    <col min="11010" max="11264" width="9" style="3587"/>
    <col min="11265" max="11265" width="25" style="3587" bestFit="1" customWidth="1"/>
    <col min="11266" max="11520" width="9" style="3587"/>
    <col min="11521" max="11521" width="25" style="3587" bestFit="1" customWidth="1"/>
    <col min="11522" max="11776" width="9" style="3587"/>
    <col min="11777" max="11777" width="25" style="3587" bestFit="1" customWidth="1"/>
    <col min="11778" max="12032" width="9" style="3587"/>
    <col min="12033" max="12033" width="25" style="3587" bestFit="1" customWidth="1"/>
    <col min="12034" max="12288" width="9" style="3587"/>
    <col min="12289" max="12289" width="25" style="3587" bestFit="1" customWidth="1"/>
    <col min="12290" max="12544" width="9" style="3587"/>
    <col min="12545" max="12545" width="25" style="3587" bestFit="1" customWidth="1"/>
    <col min="12546" max="12800" width="9" style="3587"/>
    <col min="12801" max="12801" width="25" style="3587" bestFit="1" customWidth="1"/>
    <col min="12802" max="13056" width="9" style="3587"/>
    <col min="13057" max="13057" width="25" style="3587" bestFit="1" customWidth="1"/>
    <col min="13058" max="13312" width="9" style="3587"/>
    <col min="13313" max="13313" width="25" style="3587" bestFit="1" customWidth="1"/>
    <col min="13314" max="13568" width="9" style="3587"/>
    <col min="13569" max="13569" width="25" style="3587" bestFit="1" customWidth="1"/>
    <col min="13570" max="13824" width="9" style="3587"/>
    <col min="13825" max="13825" width="25" style="3587" bestFit="1" customWidth="1"/>
    <col min="13826" max="14080" width="9" style="3587"/>
    <col min="14081" max="14081" width="25" style="3587" bestFit="1" customWidth="1"/>
    <col min="14082" max="14336" width="9" style="3587"/>
    <col min="14337" max="14337" width="25" style="3587" bestFit="1" customWidth="1"/>
    <col min="14338" max="14592" width="9" style="3587"/>
    <col min="14593" max="14593" width="25" style="3587" bestFit="1" customWidth="1"/>
    <col min="14594" max="14848" width="9" style="3587"/>
    <col min="14849" max="14849" width="25" style="3587" bestFit="1" customWidth="1"/>
    <col min="14850" max="15104" width="9" style="3587"/>
    <col min="15105" max="15105" width="25" style="3587" bestFit="1" customWidth="1"/>
    <col min="15106" max="15360" width="9" style="3587"/>
    <col min="15361" max="15361" width="25" style="3587" bestFit="1" customWidth="1"/>
    <col min="15362" max="15616" width="9" style="3587"/>
    <col min="15617" max="15617" width="25" style="3587" bestFit="1" customWidth="1"/>
    <col min="15618" max="15872" width="9" style="3587"/>
    <col min="15873" max="15873" width="25" style="3587" bestFit="1" customWidth="1"/>
    <col min="15874" max="16128" width="9" style="3587"/>
    <col min="16129" max="16129" width="25" style="3587" bestFit="1" customWidth="1"/>
    <col min="16130" max="16384" width="9" style="3587"/>
  </cols>
  <sheetData>
    <row r="1" spans="1:1" x14ac:dyDescent="0.2">
      <c r="A1" s="3611" t="s">
        <v>3048</v>
      </c>
    </row>
    <row r="2" spans="1:1" x14ac:dyDescent="0.2">
      <c r="A2" s="3611" t="s">
        <v>3053</v>
      </c>
    </row>
    <row r="3" spans="1:1" x14ac:dyDescent="0.2">
      <c r="A3" s="3611" t="s">
        <v>3054</v>
      </c>
    </row>
    <row r="4" spans="1:1" x14ac:dyDescent="0.2">
      <c r="A4" s="3611" t="s">
        <v>3055</v>
      </c>
    </row>
    <row r="5" spans="1:1" x14ac:dyDescent="0.2">
      <c r="A5" s="3611" t="s">
        <v>3056</v>
      </c>
    </row>
    <row r="6" spans="1:1" x14ac:dyDescent="0.2">
      <c r="A6" s="3611" t="s">
        <v>3049</v>
      </c>
    </row>
    <row r="7" spans="1:1" x14ac:dyDescent="0.2">
      <c r="A7" s="3611" t="s">
        <v>3057</v>
      </c>
    </row>
    <row r="8" spans="1:1" x14ac:dyDescent="0.2">
      <c r="A8" s="3611" t="s">
        <v>3058</v>
      </c>
    </row>
    <row r="9" spans="1:1" x14ac:dyDescent="0.2">
      <c r="A9" s="3611" t="s">
        <v>3059</v>
      </c>
    </row>
    <row r="10" spans="1:1" x14ac:dyDescent="0.2">
      <c r="A10" s="3611" t="s">
        <v>3050</v>
      </c>
    </row>
    <row r="11" spans="1:1" x14ac:dyDescent="0.2">
      <c r="A11" s="3611" t="s">
        <v>3060</v>
      </c>
    </row>
    <row r="12" spans="1:1" x14ac:dyDescent="0.2">
      <c r="A12" s="3611" t="s">
        <v>3051</v>
      </c>
    </row>
    <row r="13" spans="1:1" x14ac:dyDescent="0.2">
      <c r="A13" s="3611" t="s">
        <v>3052</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9e8a0f6b-45e1-47ec-b243-bc7d53403f96</GUID>
    <SOURCE_ALTADDRESS>$DZ$403:$EA$413</SOURCE_ALTADDRESS>
    <SOURCETYPE>Table</SOURCETYPE>
    <SOURCE_OBJECTNAME>Linking_Range_71</SOURCE_OBJECTNAME>
    <OBJECTTYPE>Native</OBJECTTYPE>
    <SOURCE_SHEETCODE>Sheet26</SOURCE_SHEETCODE>
    <SOURCE_SHEETNAME>Exhibits 2</SOURCE_SHEETNAME>
    <SOURCEAPPLICATION>EXCEL_SOURCE</SOURCEAPPLICATION>
    <UPDATEDAT>4/28/2014 6:02:19 PM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/MSResearch/Content/ExternalAssets/2014-04/Images/9e8a0f6b-45e1-47ec-b243-bc7d53403f96.png</TARGET_BINARYFULLNAME>
    <TARGET_UUID>b95d49ca-cf20-11e3-a22a-9481e7cdfd0d</TARGET_UUID>
    <TARGET_STORYFULLNAME>/MSResearch/Content/ExternalAssets/2014-04/Sections/Linking_Range_71-1435.xml</TARGET_STORYFULLNAME>
    <TARGET_LOID>4.0.1273344856</TARGET_LOID>
  </Link>
  <Link>
    <GUID>36474f61-b605-4a9d-90c3-7fb9b8112910</GUID>
    <SOURCE_ALTADDRESS>$FR$470:$FY$472</SOURCE_ALTADDRESS>
    <SOURCETYPE>Table</SOURCETYPE>
    <SOURCE_OBJECTNAME>Linking_Range_72</SOURCE_OBJECTNAME>
    <OBJECTTYPE>Native</OBJECTTYPE>
    <SOURCE_SHEETCODE>Sheet26</SOURCE_SHEETCODE>
    <SOURCE_SHEETNAME>Exhibits 2</SOURCE_SHEETNAME>
    <SOURCEAPPLICATION>EXCEL_SOURCE</SOURCEAPPLICATION>
    <UPDATEDAT>4/28/2014 7:13:41 PM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/MSResearch/Content/ExternalAssets/2014-04/Images/36474f61-b605-4a9d-90c3-7fb9b8112910.png</TARGET_BINARYFULLNAME>
    <TARGET_UUID>b5754736-cf2a-11e3-a22a-9481e7cdfd0d</TARGET_UUID>
    <TARGET_STORYFULLNAME>/MSResearch/Content/ExternalAssets/2014-04/Sections/Linking_Range_72-1454.xml</TARGET_STORYFULLNAME>
    <TARGET_LOID>4.0.1274206360</TARGET_LOID>
  </Link>
  <Link>
    <GUID>a25968c3-9806-4697-9bc2-db2985a3e64b</GUID>
    <SOURCETYPE>Chart</SOURCETYPE>
    <SOURCE_OBJECTNAME>Chart 1</SOURCE_OBJECTNAME>
    <SOURCE_SHEETCODE>Sheet26</SOURCE_SHEETCODE>
    <SOURCE_SHEETNAME>Exhibits 2</SOURCE_SHEETNAME>
    <OBJECTTYPE>Native</OBJECTTYPE>
    <SOURCEAPPLICATION>EXCEL_SOURCE</SOURCEAPPLICATION>
    <UPDATEDAT>4/30/2014 1:35:18 PM</UPDATEDAT>
    <SOURCE_ISOUTOFDATE>False</SOURCE_ISOUTOFDATE>
    <SOURCE_WORKBOOKNAME>PENN WIP.xls</SOURCE_WORKBOOKNAME>
    <SOURCE_WORKBOOKPATH>\\MSAD\ROOT\NA\NY\LIB\ER\GAMING\Strawn\Gaming\Models\PENN</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/MSResearch/Content/ExternalAssets/2014-04/Images/a25968c3-9806-4697-9bc2-db2985a3e64b.png</TARGET_BINARYFULLNAME>
    <TARGET_UUID>5719b31e-cf13-11e3-a22a-9481e7cdfd0d</TARGET_UUID>
    <TARGET_STORYFULLNAME>/MSResearch/Content/ExternalAssets/2014-04/Sections/Chart_1-1432.xml</TARGET_STORYFULLNAME>
    <TARGET_LOID>4.0.1273344300</TARGET_LOID>
    <HIDEGRIDLINES>False</HIDEGRIDLINES>
  </Link>
  <Link>
    <GUID>2c4e5b69-be72-412f-8ad4-f256d7869e87</GUID>
    <SOURCE_ALTADDRESS>$L$31:$Q$37</SOURCE_ALTADDRESS>
    <SOURCETYPE>Table</SOURCETYPE>
    <SOURCE_OBJECTNAME>Linking_Range_74</SOURCE_OBJECTNAME>
    <OBJECTTYPE>Native</OBJECTTYPE>
    <SOURCE_SHEETCODE>Sheet5</SOURCE_SHEETCODE>
    <SOURCE_SHEETNAME>EBITDA Val</SOURCE_SHEETNAME>
    <SOURCEAPPLICATION>EXCEL_SOURCE</SOURCEAPPLICATION>
    <UPDATEDAT>4/30/2014 3:04:20 PM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/MSResearch/Content/ExternalAssets/2014-04/Images/2c4e5b69-be72-412f-8ad4-f256d7869e87.png</TARGET_BINARYFULLNAME>
    <TARGET_UUID>3521a09a-d09a-11e3-a22a-9481e7cdfd0d</TARGET_UUID>
    <TARGET_STORYFULLNAME>/MSResearch/Content/ExternalAssets/2014-04/Sections/Linking_Range_74-1575.xml</TARGET_STORYFULLNAME>
    <TARGET_LOID>4.0.1295665091</TARGET_LOID>
  </Link>
  <Link>
    <GUID>f9d3a78c-2462-4129-a40a-2c37f82b57dd</GUID>
    <SOURCE_ALTADDRESS>$GK$496:$GN$533</SOURCE_ALTADDRESS>
    <SOURCETYPE>Table</SOURCETYPE>
    <SOURCE_OBJECTNAME>Linking_Range_76</SOURCE_OBJECTNAME>
    <OBJECTTYPE>Native</OBJECTTYPE>
    <SOURCE_SHEETCODE>Sheet26</SOURCE_SHEETCODE>
    <SOURCE_SHEETNAME>Exhibits 2</SOURCE_SHEETNAME>
    <SOURCEAPPLICATION>EXCEL_SOURCE</SOURCEAPPLICATION>
    <UPDATEDAT>5/5/2014 4:26:31 PM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/MSResearch/Content/ExternalAssets/2014-05/Images/f9d3a78c-2462-4129-a40a-2c37f82b57dd.png</TARGET_BINARYFULLNAME>
    <TARGET_UUID>390d6552-d493-11e3-b071-3fc058f64127</TARGET_UUID>
    <TARGET_STORYFULLNAME>/MSResearch/Content/ExternalAssets/2014-05/Sections/Linking_Range_76.xml</TARGET_STORYFULLNAME>
    <TARGET_LOID>4.0.1332909597</TARGET_LOID>
    <TRANSPARENTBACKGROUND>False</TRANSPARENTBACKGROUND>
    <TRANSPARENTPLOTAREA>False</TRANSPARENTPLOTAREA>
  </Link>
  <Link>
    <GUID>e4316770-1419-4a3b-8b61-a549de7b82c8</GUID>
    <SOURCE_ALTADDRESS>$HD$566:$HG$576</SOURCE_ALTADDRESS>
    <SOURCETYPE>Table</SOURCETYPE>
    <SOURCE_OBJECTNAME>Linking_Range_77</SOURCE_OBJECTNAME>
    <OBJECTTYPE>Native</OBJECTTYPE>
    <SOURCE_SHEETCODE>Sheet26</SOURCE_SHEETCODE>
    <SOURCE_SHEETNAME>Exhibits 2</SOURCE_SHEETNAME>
    <SOURCEAPPLICATION>EXCEL_SOURCE</SOURCEAPPLICATION>
    <UPDATEDAT>5/5/2014 8:07:46 PM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/MSResearch/Content/ExternalAssets/2014-05/Images/e4316770-1419-4a3b-8b61-a549de7b82c8.png</TARGET_BINARYFULLNAME>
    <TARGET_UUID>ec8ec478-d4ab-11e3-b071-3fc058f64127</TARGET_UUID>
    <TARGET_STORYFULLNAME>/MSResearch/Content/ExternalAssets/2014-05/Sections/Linking_Range_77.xml</TARGET_STORYFULLNAME>
    <TARGET_LOID>4.0.1332968989</TARGET_LOID>
    <TRANSPARENTBACKGROUND>False</TRANSPARENTBACKGROUND>
    <TRANSPARENTPLOTAREA>False</TRANSPARENTPLOTAREA>
  </Link>
  <Link>
    <GUID>3068dee7-4fd8-4676-89bc-07d075ddddae</GUID>
    <SOURCE_ALTADDRESS>$HL$598:$HQ$603</SOURCE_ALTADDRESS>
    <SOURCETYPE>Table</SOURCETYPE>
    <SOURCE_OBJECTNAME>Linking_Range_78</SOURCE_OBJECTNAME>
    <OBJECTTYPE>Native</OBJECTTYPE>
    <SOURCE_SHEETCODE>Sheet26</SOURCE_SHEETCODE>
    <SOURCE_SHEETNAME>Exhibits 2</SOURCE_SHEETNAME>
    <SOURCEAPPLICATION>EXCEL_SOURCE</SOURCEAPPLICATION>
    <UPDATEDAT>5/6/2014 10:17:07 AM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/MSResearch/Content/ExternalAssets/2014-05/Images/3068dee7-4fd8-4676-89bc-07d075ddddae.png</TARGET_BINARYFULLNAME>
    <TARGET_UUID>ffc64ce6-d528-11e3-b071-3fc058f64127</TARGET_UUID>
    <TARGET_STORYFULLNAME>/MSResearch/Content/ExternalAssets/2014-05/Sections/Linking_Range_78-287.xml</TARGET_STORYFULLNAME>
    <TARGET_LOID>4.0.1339638982</TARGET_LOID>
    <TRANSPARENTBACKGROUND>False</TRANSPARENTBACKGROUND>
    <TRANSPARENTPLOTAREA>False</TRANSPARENTPLOTAREA>
  </Link>
  <Link>
    <GUID>cb0cf8e5-ec87-4c8c-acaf-ad9372ce90ce</GUID>
    <SOURCE_ALTADDRESS>$HL$598:$HQ$605</SOURCE_ALTADDRESS>
    <SOURCETYPE>Table</SOURCETYPE>
    <SOURCE_OBJECTNAME>Linking_Range_79</SOURCE_OBJECTNAME>
    <OBJECTTYPE>Native</OBJECTTYPE>
    <SOURCE_SHEETCODE>Sheet26</SOURCE_SHEETCODE>
    <SOURCE_SHEETNAME>Exhibits 2</SOURCE_SHEETNAME>
    <SOURCEAPPLICATION>EXCEL_SOURCE</SOURCEAPPLICATION>
    <UPDATEDAT>5/6/2014 10:20:07 AM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/MSResearch/Content/ExternalAssets/2014-05/Images/cb0cf8e5-ec87-4c8c-acaf-ad9372ce90ce.png</TARGET_BINARYFULLNAME>
    <TARGET_UUID>7fd92eee-d529-11e3-b071-3fc058f64127</TARGET_UUID>
    <TARGET_STORYFULLNAME>/MSResearch/Content/ExternalAssets/2014-05/Sections/Linking_Range_79.xml</TARGET_STORYFULLNAME>
    <TARGET_LOID>4.0.1339639258</TARGET_LOID>
  </Link>
  <Link>
    <GUID>fc8e5025-9f3a-48b6-9f8d-55e822974bc5</GUID>
    <SOURCE_ALTADDRESS>$GA$476:$GJ$494</SOURCE_ALTADDRESS>
    <SOURCETYPE>Table</SOURCETYPE>
    <SOURCE_OBJECTNAME>Linking_Range_73</SOURCE_OBJECTNAME>
    <OBJECTTYPE>Native</OBJECTTYPE>
    <SOURCE_SHEETCODE>Sheet26</SOURCE_SHEETCODE>
    <SOURCE_SHEETNAME>Exhibits 2</SOURCE_SHEETNAME>
    <SOURCEAPPLICATION>EXCEL_SOURCE</SOURCEAPPLICATION>
    <UPDATEDAT>5/6/2014 10:35:58 AM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/MSResearch/Content/ExternalAssets/2014-04/Images/fc8e5025-9f3a-48b6-9f8d-55e822974bc5.png</TARGET_BINARYFULLNAME>
    <TARGET_UUID>0de36ba6-cf34-11e3-a22a-9481e7cdfd0d</TARGET_UUID>
    <TARGET_STORYFULLNAME>/MSResearch/Content/ExternalAssets/2014-04/Sections/Linking_Range_73-1460.xml</TARGET_STORYFULLNAME>
    <TARGET_LOID>4.0.1274780237</TARGET_LOID>
    <TRANSPARENTBACKGROUND>False</TRANSPARENTBACKGROUND>
    <TRANSPARENTPLOTAREA>False</TRANSPARENTPLOTAREA>
  </Link>
  <Link>
    <GUID>5a556bdd-71ed-48fc-a176-90347ae79c15</GUID>
    <SOURCE_ALTADDRESS>$L$31:$Q$39</SOURCE_ALTADDRESS>
    <SOURCETYPE>Table</SOURCETYPE>
    <SOURCE_OBJECTNAME>Linking_Range_75</SOURCE_OBJECTNAME>
    <OBJECTTYPE>Native</OBJECTTYPE>
    <SOURCE_SHEETCODE>Sheet5</SOURCE_SHEETCODE>
    <SOURCE_SHEETNAME>EBITDA Val</SOURCE_SHEETNAME>
    <SOURCEAPPLICATION>EXCEL_SOURCE</SOURCEAPPLICATION>
    <UPDATEDAT>5/6/2014 5:03:20 PM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/MSResearch/Content/ExternalAssets/2014-04/Images/5a556bdd-71ed-48fc-a176-90347ae79c15.png</TARGET_BINARYFULLNAME>
    <TARGET_UUID>6f6bda86-d09a-11e3-a22a-9481e7cdfd0d</TARGET_UUID>
    <TARGET_STORYFULLNAME>/MSResearch/Content/ExternalAssets/2014-04/Sections/Linking_Range_75-1576.xml</TARGET_STORYFULLNAME>
    <TARGET_LOID>4.0.1295665276</TARGET_LOID>
    <TRANSPARENTBACKGROUND>False</TRANSPARENTBACKGROUND>
    <TRANSPARENTPLOTAREA>False</TRANSPARENTPLOTAREA>
  </Link>
  <Link>
    <GUID>5fb31383-8193-44b7-9ffa-e8b22ea70095</GUID>
    <SOURCE_ALTADDRESS>$CP$240:$CS$254</SOURCE_ALTADDRESS>
    <SOURCETYPE>Table</SOURCETYPE>
    <SOURCE_OBJECTNAME>Linking_Range_69</SOURCE_OBJECTNAME>
    <OBJECTTYPE>Native</OBJECTTYPE>
    <SOURCE_SHEETCODE>Sheet26</SOURCE_SHEETCODE>
    <SOURCE_SHEETNAME>Exhibits 2</SOURCE_SHEETNAME>
    <SOURCEAPPLICATION>EXCEL_SOURCE</SOURCEAPPLICATION>
    <UPDATEDAT>3/3/2015 1:55:40 PM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/MSResearch/Content/ExternalAssets/2015-03/Images/UmP4MgpwBkamIpMfdAT5Pg--.png</TARGET_BINARYFULLNAME>
    <TARGET_STORYFULLNAME>/MSResearch/Content/ExternalAssets/2015-03/Sections/20150303_015538_Linking_Range_69.xml</TARGET_STORYFULLNAME>
    <TARGET_UUID>e1e4afa6-c1d6-11e4-88af-319e7ae7f514</TARGET_UUID>
  </Link>
  <Link>
    <GUID>b2c6e079-d02f-40af-a5ce-22a2e28794bc</GUID>
    <SOURCE_ALTADDRESS>$A$6:$BL$83</SOURCE_ALTADDRESS>
    <SOURCETYPE>Table</SOURCETYPE>
    <SOURCE_OBJECTNAME>Linking_Range_81</SOURCE_OBJECTNAME>
    <OBJECTTYPE>Native</OBJECTTYPE>
    <SOURCE_SHEETCODE>Sheet1</SOURCE_SHEETCODE>
    <SOURCE_SHEETNAME>PENN</SOURCE_SHEETNAME>
    <SOURCEAPPLICATION>EXCEL_SOURCE</SOURCEAPPLICATION>
    <UPDATEDAT>3/30/2015 6:20:44 PM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/MSResearch/Content/ExternalAssets/2015-03/Images/PgnyhJPwZEi0OV7DWpC83g--.png</TARGET_BINARYFULLNAME>
    <TARGET_STORYFULLNAME>/MSResearch/Content/ExternalAssets/2015-03/Sections/20150330_062040_Linking_Range_81.xml</TARGET_STORYFULLNAME>
    <TARGET_UUID>ffc27e0e-d72a-11e4-bab8-0090c965f561</TARGET_UUID>
  </Link>
  <Link>
    <GUID>7187b99c-e78f-40e3-9dd6-e29304f29165</GUID>
    <SOURCE_ALTADDRESS>$DE$333:$DM$353</SOURCE_ALTADDRESS>
    <SOURCETYPE>Table</SOURCETYPE>
    <SOURCE_OBJECTNAME>Linking_Range_70</SOURCE_OBJECTNAME>
    <OBJECTTYPE>Native</OBJECTTYPE>
    <SOURCE_SHEETCODE>Sheet26</SOURCE_SHEETCODE>
    <SOURCE_SHEETNAME>Exhibits 2</SOURCE_SHEETNAME>
    <SOURCEAPPLICATION>EXCEL_SOURCE</SOURCEAPPLICATION>
    <UPDATEDAT>4/20/2015 11:01:20 AM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/MSResearch/Content/ExternalAssets/2014-04/Images/7187b99c-e78f-40e3-9dd6-e29304f29165.png</TARGET_BINARYFULLNAME>
    <TARGET_UUID>a0c72c30-cf0e-11e3-a22a-9481e7cdfd0d</TARGET_UUID>
    <TARGET_STORYFULLNAME>/MSResearch/Content/ExternalAssets/2014-04/Sections/Linking_Range_70.xml</TARGET_STORYFULLNAME>
    <TARGET_LOID>4.0.1273344116</TARGET_LOID>
    <TRANSPARENTBACKGROUND>False</TRANSPARENTBACKGROUND>
    <TRANSPARENTPLOTAREA>False</TRANSPARENTPLOTAREA>
    <LINKSTATUS>Unknown</LINKSTATUS>
  </Link>
  <Link>
    <GUID>b86eb71e-58b8-4c85-834a-2042f2e881f5</GUID>
    <SOURCETYPE>Chart</SOURCETYPE>
    <SOURCE_OBJECTNAME>MWA_Risk_Reward</SOURCE_OBJECTNAME>
    <SOURCE_SHEETCODE>MWRSSData</SOURCE_SHEETCODE>
    <SOURCE_SHEETNAME>MWA RR</SOURCE_SHEETNAME>
    <OBJECTTYPE>Native</OBJECTTYPE>
    <SOURCEAPPLICATION>EXCEL_SOURCE</SOURCEAPPLICATION>
    <UPDATEDAT>4/24/2015 2:45:33 PM</UPDATEDAT>
    <SOURCE_ISOUTOFDATE>False</SOURCE_ISOUTOFDATE>
    <SOURCE_WORKBOOKNAME>PENN WIP.xls</SOURCE_WORKBOOKNAME>
    <SOURCE_WORKBOOKPATH>\\MSAD\ROOT\NA\NY\LIB\ER\GAMING\Strawn\Gaming\Models\PENN</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/MSResearch/Content/ExternalAssets/2014-01/Images/b86eb71e-58b8-4c85-834a-2042f2e881f5.png</TARGET_BINARYFULLNAME>
    <TARGET_UUID>1e1daaf6-82e8-11e3-a2ef-2f65eb4f97ab</TARGET_UUID>
    <TARGET_STORYFULLNAME>/MSResearch/Content/ExternalAssets/2014-01/Sections/MWA_Risk_Reward-1349.xml</TARGET_STORYFULLNAME>
    <TARGET_LOID>4.0.555291479</TARGET_LOID>
    <HIDEGRIDLINES>False</HIDEGRIDLINES>
    <LINKSTATUS>Unknown</LINKSTATUS>
    <EXTRACTSOURCEMODE>CopyToClipboard</EXTRACTSOURCEMODE>
  </Link>
  <Link>
    <GUID>25378b99-3710-49b8-ba80-8f08f9344748</GUID>
    <SOURCE_ALTADDRESS>$A$4:$I$38</SOURCE_ALTADDRESS>
    <SOURCETYPE>Table</SOURCETYPE>
    <SOURCE_OBJECTNAME>Linking_Range_66</SOURCE_OBJECTNAME>
    <OBJECTTYPE>Native</OBJECTTYPE>
    <SOURCE_SHEETCODE>Sheet5</SOURCE_SHEETCODE>
    <SOURCE_SHEETNAME>EBITDA Val</SOURCE_SHEETNAME>
    <SOURCEAPPLICATION>EXCEL_SOURCE</SOURCEAPPLICATION>
    <UPDATEDAT>4/24/2015 2:46:55 PM</UPDATEDAT>
    <SOURCE_ISOUTOFDATE>False</SOURCE_ISOUTOFDATE>
    <SOURCE_WORKBOOKNAME>PENN WIP.xls</SOURCE_WORKBOOKNAME>
    <SOURCE_WORKBOOKPATH>\\MSAD\ROOT\NA\NY\LIB\ER\GAMING\Strawn\Gaming\Models\PENN</SOURCE_WORKBOOKPATH>
    <IMPORTEXPORTINBLACKANDWHITE>False</IMPORTEXPORTINBLACKANDWHITE>
    <TABLEBACKGROUND>Existing</TABLEBACKGROUND>
    <HIDEGRIDLINES>True</HIDEGRIDLINES>
    <TARGETTYPE>Picture</TARGETTYPE>
    <TARGETAPPLICATION>METHODE_TARGET</TARGETAPPLICATION>
    <TARGET_BINARYFULLNAME>/MSResearch/Content/ExternalAssets/2014-01/Images/25378b99-3710-49b8-ba80-8f08f9344748.png</TARGET_BINARYFULLNAME>
    <TARGET_UUID>82c84864-82eb-11e3-a2ef-2f65eb4f97ab</TARGET_UUID>
    <TARGET_STORYFULLNAME>/MSResearch/Content/ExternalAssets/2014-01/Sections/Linking_Range_66-1361.xml</TARGET_STORYFULLNAME>
    <TARGET_LOID>4.0.556582251</TARGET_LOID>
    <TRANSPARENTBACKGROUND>False</TRANSPARENTBACKGROUND>
    <TRANSPARENTPLOTAREA>False</TRANSPARENTPLOTAREA>
    <LINKSTATUS>Unknown</LINKSTATUS>
    <EXTRACTSOURCEMODE>CopyToClipboard</EXTRACTSOURCEMODE>
  </Link>
  <Link>
    <GUID>564de747-59fd-4d4f-982a-e83ee10d738d</GUID>
    <SOURCE_ALTADDRESS>$A$6:$BG$80</SOURCE_ALTADDRESS>
    <SOURCETYPE>Table</SOURCETYPE>
    <SOURCE_OBJECTNAME>Linking_Range_80</SOURCE_OBJECTNAME>
    <OBJECTTYPE>Native</OBJECTTYPE>
    <SOURCE_SHEETCODE>Sheet1</SOURCE_SHEETCODE>
    <SOURCE_SHEETNAME>PENN</SOURCE_SHEETNAME>
    <SOURCEAPPLICATION>EXCEL_SOURCE</SOURCEAPPLICATION>
    <UPDATEDAT>4/24/2015 3:13:27 PM</UPDATEDAT>
    <SOURCE_ISOUTOFDATE>False</SOURCE_ISOUTOFDATE>
    <SOURCE_WORKBOOKNAME>PENN WIP.xls</SOURCE_WORKBOOKNAME>
    <SOURCE_WORKBOOKPATH>\\MSAD\ROOT\NA\NY\LIB\ER\GAMING\Strawn\Gaming\Models\PENN</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/MSResearch/Content/ExternalAssets/2014-07/Images/564de747-59fd-4d4f-982a-e83ee10d738d.png</TARGET_BINARYFULLNAME>
    <TARGET_UUID>cc457f22-11a0-11e4-91b9-5f4258418c52</TARGET_UUID>
    <TARGET_STORYFULLNAME>/MSResearch/Content/ExternalAssets/2014-07/Sections/Linking_Range_80-9262.xml</TARGET_STORYFULLNAME>
    <TARGET_LOID>4.0.1883408428</TARGET_LOID>
    <TRANSPARENTBACKGROUND>False</TRANSPARENTBACKGROUND>
    <TRANSPARENTPLOTAREA>False</TRANSPARENTPLOTAREA>
    <LINKSTATUS>Unknown</LINKSTATUS>
    <EXTRACTSOURCEMODE>CopyToClipboard</EXTRACTSOURCEMODE>
  </Link>
</lk:Links>
</file>

<file path=customXml/itemProps1.xml><?xml version="1.0" encoding="utf-8"?>
<ds:datastoreItem xmlns:ds="http://schemas.openxmlformats.org/officeDocument/2006/customXml" ds:itemID="{0DAE1BD4-12C6-4DC8-8DDD-DFE32E1BFE23}">
  <ds:schemaRefs>
    <ds:schemaRef ds:uri="thomsonreuters.linking.metadatachange"/>
  </ds:schemaRefs>
</ds:datastoreItem>
</file>

<file path=customXml/itemProps2.xml><?xml version="1.0" encoding="utf-8"?>
<ds:datastoreItem xmlns:ds="http://schemas.openxmlformats.org/officeDocument/2006/customXml" ds:itemID="{7ACEA65A-E3F6-44F4-BBA6-24604BEC7D93}">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159</vt:i4>
      </vt:variant>
    </vt:vector>
  </HeadingPairs>
  <TitlesOfParts>
    <vt:vector size="189" baseType="lpstr">
      <vt:lpstr>ImportantDisclosures</vt:lpstr>
      <vt:lpstr>PENN</vt:lpstr>
      <vt:lpstr>EBITDA Val</vt:lpstr>
      <vt:lpstr>Exhibits 3</vt:lpstr>
      <vt:lpstr>Sensitivity</vt:lpstr>
      <vt:lpstr>Exhibits 2</vt:lpstr>
      <vt:lpstr>ROIC</vt:lpstr>
      <vt:lpstr>CompSheet - Output</vt:lpstr>
      <vt:lpstr>REIT</vt:lpstr>
      <vt:lpstr>DCF</vt:lpstr>
      <vt:lpstr>Exhibits</vt:lpstr>
      <vt:lpstr>SSS Trough</vt:lpstr>
      <vt:lpstr>SpendPerVisit</vt:lpstr>
      <vt:lpstr>Taxes</vt:lpstr>
      <vt:lpstr>Debt</vt:lpstr>
      <vt:lpstr>Prop Assumptions</vt:lpstr>
      <vt:lpstr>OHIO</vt:lpstr>
      <vt:lpstr>Ohio Old</vt:lpstr>
      <vt:lpstr>Maryland</vt:lpstr>
      <vt:lpstr>Kansas</vt:lpstr>
      <vt:lpstr>PA Tables</vt:lpstr>
      <vt:lpstr>WV Tables</vt:lpstr>
      <vt:lpstr>LA Tables</vt:lpstr>
      <vt:lpstr>Graphic</vt:lpstr>
      <vt:lpstr>Promotional Expenses</vt:lpstr>
      <vt:lpstr>Employment</vt:lpstr>
      <vt:lpstr>Unemployment</vt:lpstr>
      <vt:lpstr>Summary Financials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Linking_2</vt:lpstr>
      <vt:lpstr>Linking_3</vt:lpstr>
      <vt:lpstr>Linking_4</vt:lpstr>
      <vt:lpstr>Linking_5</vt:lpstr>
      <vt:lpstr>Linking_6</vt:lpstr>
      <vt:lpstr>Linking_7</vt:lpstr>
      <vt:lpstr>Linking_8</vt:lpstr>
      <vt:lpstr>Linking_9</vt:lpstr>
      <vt:lpstr>Linking_Range_1</vt:lpstr>
      <vt:lpstr>Linking_Range_10</vt:lpstr>
      <vt:lpstr>Linking_Range_11</vt:lpstr>
      <vt:lpstr>Linking_Range_12</vt:lpstr>
      <vt:lpstr>Linking_Range_14</vt:lpstr>
      <vt:lpstr>Linking_Range_17</vt:lpstr>
      <vt:lpstr>Linking_Range_2</vt:lpstr>
      <vt:lpstr>Linking_Range_21</vt:lpstr>
      <vt:lpstr>Linking_Range_22</vt:lpstr>
      <vt:lpstr>Linking_Range_25</vt:lpstr>
      <vt:lpstr>Linking_Range_26</vt:lpstr>
      <vt:lpstr>Linking_Range_27</vt:lpstr>
      <vt:lpstr>Linking_Range_28</vt:lpstr>
      <vt:lpstr>Linking_Range_29</vt:lpstr>
      <vt:lpstr>Linking_Range_3</vt:lpstr>
      <vt:lpstr>Linking_Range_31</vt:lpstr>
      <vt:lpstr>Linking_Range_32</vt:lpstr>
      <vt:lpstr>Linking_Range_33</vt:lpstr>
      <vt:lpstr>Linking_Range_34</vt:lpstr>
      <vt:lpstr>Linking_Range_35</vt:lpstr>
      <vt:lpstr>Linking_Range_36</vt:lpstr>
      <vt:lpstr>Linking_Range_37</vt:lpstr>
      <vt:lpstr>Linking_Range_38</vt:lpstr>
      <vt:lpstr>Linking_Range_39</vt:lpstr>
      <vt:lpstr>Linking_Range_4</vt:lpstr>
      <vt:lpstr>Linking_Range_40</vt:lpstr>
      <vt:lpstr>Linking_Range_41</vt:lpstr>
      <vt:lpstr>Linking_Range_42</vt:lpstr>
      <vt:lpstr>Linking_Range_44</vt:lpstr>
      <vt:lpstr>Linking_Range_45</vt:lpstr>
      <vt:lpstr>Linking_Range_46</vt:lpstr>
      <vt:lpstr>Linking_Range_47</vt:lpstr>
      <vt:lpstr>Linking_Range_48</vt:lpstr>
      <vt:lpstr>Linking_Range_49</vt:lpstr>
      <vt:lpstr>Linking_Range_5</vt:lpstr>
      <vt:lpstr>Linking_Range_50</vt:lpstr>
      <vt:lpstr>Linking_Range_51</vt:lpstr>
      <vt:lpstr>Linking_Range_52</vt:lpstr>
      <vt:lpstr>Linking_Range_53</vt:lpstr>
      <vt:lpstr>Linking_Range_54</vt:lpstr>
      <vt:lpstr>Linking_Range_55</vt:lpstr>
      <vt:lpstr>Linking_Range_56</vt:lpstr>
      <vt:lpstr>Linking_Range_57</vt:lpstr>
      <vt:lpstr>Linking_Range_58</vt:lpstr>
      <vt:lpstr>Linking_Range_59</vt:lpstr>
      <vt:lpstr>Linking_Range_6</vt:lpstr>
      <vt:lpstr>Linking_Range_60</vt:lpstr>
      <vt:lpstr>Linking_Range_62</vt:lpstr>
      <vt:lpstr>Linking_Range_63</vt:lpstr>
      <vt:lpstr>Linking_Range_65</vt:lpstr>
      <vt:lpstr>Linking_Range_66</vt:lpstr>
      <vt:lpstr>Linking_Range_67</vt:lpstr>
      <vt:lpstr>Linking_Range_68</vt:lpstr>
      <vt:lpstr>Linking_Range_69</vt:lpstr>
      <vt:lpstr>Linking_Range_7</vt:lpstr>
      <vt:lpstr>Linking_Range_70</vt:lpstr>
      <vt:lpstr>Linking_Range_71</vt:lpstr>
      <vt:lpstr>Linking_Range_72</vt:lpstr>
      <vt:lpstr>Linking_Range_73</vt:lpstr>
      <vt:lpstr>Linking_Range_74</vt:lpstr>
      <vt:lpstr>Linking_Range_75</vt:lpstr>
      <vt:lpstr>Linking_Range_76</vt:lpstr>
      <vt:lpstr>Linking_Range_77</vt:lpstr>
      <vt:lpstr>Linking_Range_78</vt:lpstr>
      <vt:lpstr>Linking_Range_79</vt:lpstr>
      <vt:lpstr>'Summary Financials'!Linking_Range_8</vt:lpstr>
      <vt:lpstr>Linking_Range_8</vt:lpstr>
      <vt:lpstr>Linking_Range_80</vt:lpstr>
      <vt:lpstr>Linking_Range_81</vt:lpstr>
      <vt:lpstr>Linking_Range_9</vt:lpstr>
      <vt:lpstr>Linking_Text_1</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'EBITDA Val'!Print_Area</vt:lpstr>
      <vt:lpstr>Exhibits!Print_Area</vt:lpstr>
      <vt:lpstr>Kansas!Print_Area</vt:lpstr>
      <vt:lpstr>'Ohio Old'!Print_Area</vt:lpstr>
      <vt:lpstr>PENN!Print_Area</vt:lpstr>
      <vt:lpstr>'Prop Assumptions'!Print_Area</vt:lpstr>
      <vt:lpstr>PENN!Print_Titles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1997-05-23T23:47:02Z</dcterms:created>
  <dc:creator>Mark Strawn</dc:creator>
  <cp:lastModifiedBy>DeLalio, Michael M (Research)</cp:lastModifiedBy>
  <cp:lastPrinted>2018-04-23T23:21:48Z</cp:lastPrinted>
  <dcterms:modified xsi:type="dcterms:W3CDTF">2018-04-24T11:37:30Z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1</vt:lpwstr>
  </property>
  <property fmtid="{D5CDD505-2E9C-101B-9397-08002B2CF9AE}" name="LinkingAutoNameNumberLinking_Range_" pid="3">
    <vt:lpwstr>81</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763595</vt:lpwstr>
  </property>
  <property fmtid="{D5CDD505-2E9C-101B-9397-08002B2CF9AE}" name="ERModPubCompanyName" pid="7">
    <vt:lpwstr>Penn National Gaming, Inc.</vt:lpwstr>
  </property>
  <property fmtid="{D5CDD505-2E9C-101B-9397-08002B2CF9AE}" name="MSDH34TAG" pid="8">
    <vt:lpwstr>.TEZUF76X5TAHATHESADREYAK-00-INB160+*94600-06=e69c6942/-47b3/-11e8/-adef/-6a0a1ce82510,MD=20180424074004/-0400,ZZ=000Z-6365.</vt:lpwstr>
  </property>
</Properties>
</file>